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05" windowWidth="20115" windowHeight="8505"/>
  </bookViews>
  <sheets>
    <sheet name="INICIAL" sheetId="1" r:id="rId1"/>
    <sheet name="ESPECIAL" sheetId="2" r:id="rId2"/>
    <sheet name="PREESCOLAR" sheetId="3" r:id="rId3"/>
    <sheet name="PRIMARIA" sheetId="4" r:id="rId4"/>
    <sheet name="SECUNDARIA" sheetId="5" r:id="rId5"/>
    <sheet name="ADULTOS" sheetId="6" r:id="rId6"/>
    <sheet name="GLOSARIO" sheetId="7" r:id="rId7"/>
  </sheets>
  <definedNames>
    <definedName name="_xlnm._FilterDatabase" localSheetId="5" hidden="1">ADULTOS!$A$1:$V$113</definedName>
    <definedName name="_xlnm._FilterDatabase" localSheetId="1" hidden="1">ESPECIAL!$A$1:$V$533</definedName>
    <definedName name="_xlnm._FilterDatabase" localSheetId="0" hidden="1">INICIAL!$A$1:$W$609</definedName>
    <definedName name="_xlnm._FilterDatabase" localSheetId="2" hidden="1">PREESCOLAR!$A$1:$W$3737</definedName>
    <definedName name="_xlnm._FilterDatabase" localSheetId="3" hidden="1">PRIMARIA!$A$1:$W$3249</definedName>
    <definedName name="_xlnm._FilterDatabase" localSheetId="4" hidden="1">SECUNDARIA!$A$1:$W$1367</definedName>
    <definedName name="_xlnm.Print_Area" localSheetId="6">GLOSARIO!$A$1:$D$34</definedName>
  </definedNames>
  <calcPr calcId="145621"/>
</workbook>
</file>

<file path=xl/calcChain.xml><?xml version="1.0" encoding="utf-8"?>
<calcChain xmlns="http://schemas.openxmlformats.org/spreadsheetml/2006/main">
  <c r="G49" i="6" l="1"/>
  <c r="G36" i="6"/>
  <c r="G7" i="6"/>
  <c r="F93" i="6"/>
  <c r="F5" i="6"/>
  <c r="E110" i="6"/>
  <c r="E91" i="6"/>
  <c r="E64" i="6"/>
  <c r="E55" i="6"/>
  <c r="E36" i="6"/>
  <c r="E8" i="6"/>
  <c r="F1264" i="5"/>
  <c r="F1067" i="5"/>
  <c r="F1129" i="5"/>
  <c r="F1064" i="5"/>
  <c r="F938" i="5"/>
  <c r="F930" i="5"/>
  <c r="F512" i="5"/>
  <c r="F288" i="5"/>
  <c r="F158" i="5"/>
  <c r="E1365" i="5"/>
  <c r="E1303" i="5"/>
  <c r="E1299" i="5"/>
  <c r="E1264" i="5"/>
  <c r="E1239" i="5"/>
  <c r="E1191" i="5"/>
  <c r="E1180" i="5"/>
  <c r="E1307" i="5"/>
  <c r="E1302" i="5"/>
  <c r="E1192" i="5"/>
  <c r="E1057" i="5"/>
  <c r="E997" i="5"/>
  <c r="E425" i="5"/>
  <c r="E986" i="5"/>
  <c r="E1362" i="5"/>
  <c r="E1361" i="5"/>
  <c r="E1301" i="5"/>
  <c r="E1300" i="5"/>
  <c r="E1297" i="5"/>
  <c r="E1295" i="5"/>
  <c r="E1294" i="5"/>
  <c r="E1292" i="5"/>
  <c r="E1291" i="5"/>
  <c r="E1280" i="5"/>
  <c r="E1165" i="5"/>
  <c r="E1156" i="5"/>
  <c r="E875" i="5"/>
  <c r="E848" i="5"/>
  <c r="E833" i="5"/>
  <c r="E823" i="5"/>
  <c r="E637" i="5"/>
  <c r="E628" i="5"/>
  <c r="E580" i="5"/>
  <c r="E1068" i="5"/>
  <c r="E888" i="5"/>
  <c r="E527" i="5"/>
  <c r="E307" i="5"/>
  <c r="E490" i="5"/>
  <c r="E250" i="5"/>
  <c r="E633" i="5"/>
  <c r="E330" i="5"/>
  <c r="E235" i="5"/>
  <c r="E175" i="5"/>
  <c r="E374" i="5"/>
  <c r="E68" i="5"/>
  <c r="F1365" i="5"/>
  <c r="F3184" i="4"/>
  <c r="F3095" i="4"/>
  <c r="F3043" i="4"/>
  <c r="F3038" i="4"/>
  <c r="F2848" i="4"/>
  <c r="F2847" i="4"/>
  <c r="F2783" i="4"/>
  <c r="F2740" i="4"/>
  <c r="F2617" i="4"/>
  <c r="F2604" i="4"/>
  <c r="F2466" i="4"/>
  <c r="F2415" i="4"/>
  <c r="F2156" i="4"/>
  <c r="F1791" i="4"/>
  <c r="F1740" i="4"/>
  <c r="F2109" i="4"/>
  <c r="F1108" i="4"/>
  <c r="F326" i="4"/>
  <c r="F308" i="4"/>
  <c r="F108" i="4"/>
  <c r="F11" i="4"/>
  <c r="E3207" i="4"/>
  <c r="E3205" i="4"/>
  <c r="E3204" i="4"/>
  <c r="E3202" i="4"/>
  <c r="E3188" i="4"/>
  <c r="E3116" i="4"/>
  <c r="E3039" i="4"/>
  <c r="E2839" i="4"/>
  <c r="E2772" i="4"/>
  <c r="E2720" i="4"/>
  <c r="E2640" i="4"/>
  <c r="E2597" i="4"/>
  <c r="E2582" i="4"/>
  <c r="E3248" i="4"/>
  <c r="E3217" i="4"/>
  <c r="E3215" i="4"/>
  <c r="E3214" i="4"/>
  <c r="E3212" i="4"/>
  <c r="E2910" i="4"/>
  <c r="E2889" i="4"/>
  <c r="E2454" i="4"/>
  <c r="E2395" i="4"/>
  <c r="E2356" i="4"/>
  <c r="E2236" i="4"/>
  <c r="E2210" i="4"/>
  <c r="E2201" i="4"/>
  <c r="E2124" i="4"/>
  <c r="E2117" i="4"/>
  <c r="E2062" i="4"/>
  <c r="E2041" i="4"/>
  <c r="E2015" i="4"/>
  <c r="F1763" i="4"/>
  <c r="E1921" i="4"/>
  <c r="E1898" i="4"/>
  <c r="E2449" i="4"/>
  <c r="E2180" i="4"/>
  <c r="E1989" i="4"/>
  <c r="E1778" i="4"/>
  <c r="E1777" i="4"/>
  <c r="E1770" i="4"/>
  <c r="E1763" i="4"/>
  <c r="E1735" i="4"/>
  <c r="E1577" i="4"/>
  <c r="E1538" i="4"/>
  <c r="E1520" i="4"/>
  <c r="E1271" i="4"/>
  <c r="E951" i="4"/>
  <c r="E949" i="4"/>
  <c r="E946" i="4"/>
  <c r="E896" i="4"/>
  <c r="E696" i="4"/>
  <c r="E445" i="4"/>
  <c r="F399" i="4"/>
  <c r="E399" i="4"/>
  <c r="E413" i="4"/>
  <c r="E412" i="4"/>
  <c r="E389" i="4"/>
  <c r="E388" i="4"/>
  <c r="E387" i="4"/>
  <c r="E386" i="4"/>
  <c r="E368" i="4"/>
  <c r="E285" i="4"/>
  <c r="E217" i="4"/>
  <c r="E178" i="4"/>
  <c r="E174" i="4"/>
  <c r="E169" i="4"/>
  <c r="E138" i="4"/>
  <c r="E68" i="4"/>
  <c r="E2055" i="4"/>
  <c r="E1608" i="4"/>
  <c r="E995" i="4"/>
  <c r="E381" i="4"/>
  <c r="E3201" i="4"/>
  <c r="E2336" i="4"/>
  <c r="E1508" i="4"/>
  <c r="E1194" i="4"/>
  <c r="E1031" i="4"/>
  <c r="E320" i="4"/>
  <c r="E901" i="4"/>
  <c r="E60" i="4"/>
  <c r="E1249" i="4"/>
  <c r="E306" i="4"/>
  <c r="E305" i="4"/>
  <c r="E39" i="4"/>
  <c r="E2292" i="4"/>
  <c r="F3146" i="3"/>
  <c r="F2583" i="3"/>
  <c r="F2032" i="3"/>
  <c r="F2025" i="3"/>
  <c r="F2788" i="3"/>
  <c r="F2761" i="3"/>
  <c r="F2634" i="3"/>
  <c r="F2506" i="3"/>
  <c r="F2445" i="3"/>
  <c r="F2401" i="3"/>
  <c r="F2189" i="3"/>
  <c r="F1478" i="3"/>
  <c r="F2171" i="3"/>
  <c r="F667" i="3"/>
  <c r="F1627" i="3"/>
  <c r="F890" i="3"/>
  <c r="F557" i="3"/>
  <c r="F100" i="3"/>
  <c r="F2607" i="3"/>
  <c r="F1484" i="3"/>
  <c r="F1292" i="3"/>
  <c r="F85" i="3"/>
  <c r="F1772" i="3"/>
  <c r="F1022" i="3"/>
  <c r="F853" i="3"/>
  <c r="F797" i="3"/>
  <c r="F709" i="3"/>
  <c r="F393" i="3"/>
  <c r="F60" i="3"/>
  <c r="F2925" i="3"/>
  <c r="F2847" i="3"/>
  <c r="F2481" i="3"/>
  <c r="F2317" i="3"/>
  <c r="F2131" i="3"/>
  <c r="F1607" i="3"/>
  <c r="F1325" i="3"/>
  <c r="F738" i="3"/>
  <c r="F37" i="3"/>
  <c r="E3274" i="3"/>
  <c r="E3266" i="3"/>
  <c r="E3260" i="3"/>
  <c r="E3208" i="3"/>
  <c r="E3139" i="3"/>
  <c r="E3118" i="3"/>
  <c r="E3111" i="3"/>
  <c r="E3087" i="3"/>
  <c r="E3073" i="3"/>
  <c r="E3065" i="3"/>
  <c r="E3007" i="3"/>
  <c r="E2904" i="3"/>
  <c r="E2898" i="3"/>
  <c r="E2833" i="3"/>
  <c r="E2771" i="3"/>
  <c r="E2761" i="3"/>
  <c r="E2745" i="3"/>
  <c r="E2718" i="3"/>
  <c r="E2503" i="3"/>
  <c r="E2383" i="3"/>
  <c r="E2365" i="3"/>
  <c r="E2320" i="3"/>
  <c r="E2262" i="3"/>
  <c r="E2163" i="3"/>
  <c r="E2114" i="3"/>
  <c r="E1969" i="3"/>
  <c r="E1950" i="3"/>
  <c r="E1915" i="3"/>
  <c r="E1813" i="3"/>
  <c r="E1761" i="3"/>
  <c r="E1700" i="3"/>
  <c r="E1673" i="3"/>
  <c r="E1651" i="3"/>
  <c r="E1584" i="3"/>
  <c r="E1403" i="3"/>
  <c r="E1288" i="3"/>
  <c r="E1181" i="3"/>
  <c r="E1082" i="3"/>
  <c r="E3205" i="3"/>
  <c r="E2541" i="3"/>
  <c r="E1068" i="3"/>
  <c r="E1036" i="3"/>
  <c r="F1616" i="3"/>
  <c r="E1616" i="3"/>
  <c r="E1029" i="3"/>
  <c r="E987" i="3"/>
  <c r="E986" i="3"/>
  <c r="E931" i="3"/>
  <c r="E920" i="3"/>
  <c r="E908" i="3"/>
  <c r="E904" i="3"/>
  <c r="E864" i="3"/>
  <c r="E857" i="3"/>
  <c r="E843" i="3"/>
  <c r="E813" i="3"/>
  <c r="E804" i="3"/>
  <c r="E769" i="3"/>
  <c r="E717" i="3"/>
  <c r="E695" i="3"/>
  <c r="E679" i="3"/>
  <c r="E639" i="3"/>
  <c r="E632" i="3"/>
  <c r="E545" i="3"/>
  <c r="E525" i="3"/>
  <c r="E465" i="3"/>
  <c r="E317" i="3"/>
  <c r="E312" i="3"/>
  <c r="E165" i="3"/>
  <c r="E116" i="3"/>
  <c r="E108" i="3"/>
  <c r="M112" i="6" l="1"/>
  <c r="L112" i="6"/>
  <c r="K112" i="6"/>
  <c r="J112" i="6"/>
  <c r="I112" i="6"/>
  <c r="H112" i="6"/>
  <c r="G112" i="6"/>
  <c r="F112" i="6"/>
  <c r="E112" i="6"/>
  <c r="D112" i="6"/>
  <c r="C112" i="6"/>
  <c r="B112" i="6"/>
  <c r="A112" i="6"/>
  <c r="M111" i="6"/>
  <c r="L111" i="6"/>
  <c r="K111" i="6"/>
  <c r="J111" i="6"/>
  <c r="I111" i="6"/>
  <c r="H111" i="6"/>
  <c r="G111" i="6"/>
  <c r="F111" i="6"/>
  <c r="E111" i="6"/>
  <c r="D111" i="6"/>
  <c r="C111" i="6"/>
  <c r="B111" i="6"/>
  <c r="A111" i="6"/>
  <c r="M110" i="6"/>
  <c r="L110" i="6"/>
  <c r="K110" i="6"/>
  <c r="J110" i="6"/>
  <c r="I110" i="6"/>
  <c r="H110" i="6"/>
  <c r="G110" i="6"/>
  <c r="F110" i="6"/>
  <c r="D110" i="6"/>
  <c r="C110" i="6"/>
  <c r="B110" i="6"/>
  <c r="A110" i="6"/>
  <c r="M109" i="6"/>
  <c r="L109" i="6"/>
  <c r="K109" i="6"/>
  <c r="J109" i="6"/>
  <c r="I109" i="6"/>
  <c r="H109" i="6"/>
  <c r="G109" i="6"/>
  <c r="F109" i="6"/>
  <c r="E109" i="6"/>
  <c r="D109" i="6"/>
  <c r="C109" i="6"/>
  <c r="B109" i="6"/>
  <c r="A109" i="6"/>
  <c r="M108" i="6"/>
  <c r="L108" i="6"/>
  <c r="K108" i="6"/>
  <c r="J108" i="6"/>
  <c r="I108" i="6"/>
  <c r="H108" i="6"/>
  <c r="G108" i="6"/>
  <c r="F108" i="6"/>
  <c r="E108" i="6"/>
  <c r="D108" i="6"/>
  <c r="C108" i="6"/>
  <c r="B108" i="6"/>
  <c r="A108" i="6"/>
  <c r="M107" i="6"/>
  <c r="L107" i="6"/>
  <c r="K107" i="6"/>
  <c r="J107" i="6"/>
  <c r="I107" i="6"/>
  <c r="H107" i="6"/>
  <c r="G107" i="6"/>
  <c r="F107" i="6"/>
  <c r="E107" i="6"/>
  <c r="D107" i="6"/>
  <c r="C107" i="6"/>
  <c r="B107" i="6"/>
  <c r="A107" i="6"/>
  <c r="M106" i="6"/>
  <c r="L106" i="6"/>
  <c r="K106" i="6"/>
  <c r="J106" i="6"/>
  <c r="I106" i="6"/>
  <c r="H106" i="6"/>
  <c r="G106" i="6"/>
  <c r="F106" i="6"/>
  <c r="E106" i="6"/>
  <c r="D106" i="6"/>
  <c r="C106" i="6"/>
  <c r="B106" i="6"/>
  <c r="A106" i="6"/>
  <c r="M105" i="6"/>
  <c r="L105" i="6"/>
  <c r="K105" i="6"/>
  <c r="J105" i="6"/>
  <c r="I105" i="6"/>
  <c r="H105" i="6"/>
  <c r="G105" i="6"/>
  <c r="F105" i="6"/>
  <c r="E105" i="6"/>
  <c r="D105" i="6"/>
  <c r="C105" i="6"/>
  <c r="B105" i="6"/>
  <c r="A105" i="6"/>
  <c r="M104" i="6"/>
  <c r="L104" i="6"/>
  <c r="K104" i="6"/>
  <c r="J104" i="6"/>
  <c r="I104" i="6"/>
  <c r="H104" i="6"/>
  <c r="G104" i="6"/>
  <c r="F104" i="6"/>
  <c r="E104" i="6"/>
  <c r="D104" i="6"/>
  <c r="C104" i="6"/>
  <c r="B104" i="6"/>
  <c r="A104" i="6"/>
  <c r="M103" i="6"/>
  <c r="L103" i="6"/>
  <c r="K103" i="6"/>
  <c r="J103" i="6"/>
  <c r="I103" i="6"/>
  <c r="H103" i="6"/>
  <c r="G103" i="6"/>
  <c r="F103" i="6"/>
  <c r="E103" i="6"/>
  <c r="D103" i="6"/>
  <c r="C103" i="6"/>
  <c r="B103" i="6"/>
  <c r="A103" i="6"/>
  <c r="M102" i="6"/>
  <c r="L102" i="6"/>
  <c r="K102" i="6"/>
  <c r="J102" i="6"/>
  <c r="I102" i="6"/>
  <c r="H102" i="6"/>
  <c r="G102" i="6"/>
  <c r="F102" i="6"/>
  <c r="E102" i="6"/>
  <c r="D102" i="6"/>
  <c r="C102" i="6"/>
  <c r="B102" i="6"/>
  <c r="A102" i="6"/>
  <c r="M101" i="6"/>
  <c r="L101" i="6"/>
  <c r="K101" i="6"/>
  <c r="J101" i="6"/>
  <c r="I101" i="6"/>
  <c r="H101" i="6"/>
  <c r="G101" i="6"/>
  <c r="F101" i="6"/>
  <c r="E101" i="6"/>
  <c r="D101" i="6"/>
  <c r="C101" i="6"/>
  <c r="B101" i="6"/>
  <c r="A101" i="6"/>
  <c r="M100" i="6"/>
  <c r="L100" i="6"/>
  <c r="K100" i="6"/>
  <c r="J100" i="6"/>
  <c r="I100" i="6"/>
  <c r="H100" i="6"/>
  <c r="G100" i="6"/>
  <c r="F100" i="6"/>
  <c r="E100" i="6"/>
  <c r="D100" i="6"/>
  <c r="C100" i="6"/>
  <c r="B100" i="6"/>
  <c r="A100" i="6"/>
  <c r="M99" i="6"/>
  <c r="L99" i="6"/>
  <c r="K99" i="6"/>
  <c r="J99" i="6"/>
  <c r="I99" i="6"/>
  <c r="H99" i="6"/>
  <c r="G99" i="6"/>
  <c r="F99" i="6"/>
  <c r="E99" i="6"/>
  <c r="D99" i="6"/>
  <c r="C99" i="6"/>
  <c r="B99" i="6"/>
  <c r="A99" i="6"/>
  <c r="M98" i="6"/>
  <c r="L98" i="6"/>
  <c r="K98" i="6"/>
  <c r="J98" i="6"/>
  <c r="I98" i="6"/>
  <c r="H98" i="6"/>
  <c r="G98" i="6"/>
  <c r="F98" i="6"/>
  <c r="E98" i="6"/>
  <c r="D98" i="6"/>
  <c r="C98" i="6"/>
  <c r="B98" i="6"/>
  <c r="A98" i="6"/>
  <c r="M97" i="6"/>
  <c r="L97" i="6"/>
  <c r="K97" i="6"/>
  <c r="J97" i="6"/>
  <c r="I97" i="6"/>
  <c r="H97" i="6"/>
  <c r="G97" i="6"/>
  <c r="F97" i="6"/>
  <c r="E97" i="6"/>
  <c r="D97" i="6"/>
  <c r="C97" i="6"/>
  <c r="B97" i="6"/>
  <c r="A97" i="6"/>
  <c r="M96" i="6"/>
  <c r="L96" i="6"/>
  <c r="K96" i="6"/>
  <c r="J96" i="6"/>
  <c r="I96" i="6"/>
  <c r="H96" i="6"/>
  <c r="G96" i="6"/>
  <c r="F96" i="6"/>
  <c r="E96" i="6"/>
  <c r="D96" i="6"/>
  <c r="C96" i="6"/>
  <c r="B96" i="6"/>
  <c r="A96" i="6"/>
  <c r="M95" i="6"/>
  <c r="L95" i="6"/>
  <c r="K95" i="6"/>
  <c r="J95" i="6"/>
  <c r="I95" i="6"/>
  <c r="H95" i="6"/>
  <c r="G95" i="6"/>
  <c r="F95" i="6"/>
  <c r="E95" i="6"/>
  <c r="D95" i="6"/>
  <c r="C95" i="6"/>
  <c r="B95" i="6"/>
  <c r="A95" i="6"/>
  <c r="M94" i="6"/>
  <c r="L94" i="6"/>
  <c r="K94" i="6"/>
  <c r="J94" i="6"/>
  <c r="I94" i="6"/>
  <c r="H94" i="6"/>
  <c r="G94" i="6"/>
  <c r="F94" i="6"/>
  <c r="E94" i="6"/>
  <c r="D94" i="6"/>
  <c r="C94" i="6"/>
  <c r="B94" i="6"/>
  <c r="A94" i="6"/>
  <c r="M93" i="6"/>
  <c r="L93" i="6"/>
  <c r="K93" i="6"/>
  <c r="J93" i="6"/>
  <c r="I93" i="6"/>
  <c r="H93" i="6"/>
  <c r="G93" i="6"/>
  <c r="E93" i="6"/>
  <c r="D93" i="6"/>
  <c r="C93" i="6"/>
  <c r="B93" i="6"/>
  <c r="A93" i="6"/>
  <c r="M92" i="6"/>
  <c r="L92" i="6"/>
  <c r="K92" i="6"/>
  <c r="J92" i="6"/>
  <c r="I92" i="6"/>
  <c r="H92" i="6"/>
  <c r="G92" i="6"/>
  <c r="F92" i="6"/>
  <c r="E92" i="6"/>
  <c r="D92" i="6"/>
  <c r="C92" i="6"/>
  <c r="B92" i="6"/>
  <c r="A92" i="6"/>
  <c r="M91" i="6"/>
  <c r="L91" i="6"/>
  <c r="K91" i="6"/>
  <c r="J91" i="6"/>
  <c r="I91" i="6"/>
  <c r="H91" i="6"/>
  <c r="G91" i="6"/>
  <c r="F91" i="6"/>
  <c r="D91" i="6"/>
  <c r="C91" i="6"/>
  <c r="B91" i="6"/>
  <c r="A91" i="6"/>
  <c r="M90" i="6"/>
  <c r="L90" i="6"/>
  <c r="K90" i="6"/>
  <c r="J90" i="6"/>
  <c r="I90" i="6"/>
  <c r="H90" i="6"/>
  <c r="G90" i="6"/>
  <c r="F90" i="6"/>
  <c r="E90" i="6"/>
  <c r="D90" i="6"/>
  <c r="C90" i="6"/>
  <c r="B90" i="6"/>
  <c r="A90" i="6"/>
  <c r="M89" i="6"/>
  <c r="L89" i="6"/>
  <c r="K89" i="6"/>
  <c r="J89" i="6"/>
  <c r="I89" i="6"/>
  <c r="H89" i="6"/>
  <c r="G89" i="6"/>
  <c r="F89" i="6"/>
  <c r="E89" i="6"/>
  <c r="D89" i="6"/>
  <c r="C89" i="6"/>
  <c r="B89" i="6"/>
  <c r="A89" i="6"/>
  <c r="M88" i="6"/>
  <c r="L88" i="6"/>
  <c r="K88" i="6"/>
  <c r="J88" i="6"/>
  <c r="I88" i="6"/>
  <c r="H88" i="6"/>
  <c r="G88" i="6"/>
  <c r="F88" i="6"/>
  <c r="E88" i="6"/>
  <c r="D88" i="6"/>
  <c r="C88" i="6"/>
  <c r="B88" i="6"/>
  <c r="A88" i="6"/>
  <c r="M87" i="6"/>
  <c r="L87" i="6"/>
  <c r="K87" i="6"/>
  <c r="J87" i="6"/>
  <c r="I87" i="6"/>
  <c r="H87" i="6"/>
  <c r="G87" i="6"/>
  <c r="F87" i="6"/>
  <c r="E87" i="6"/>
  <c r="D87" i="6"/>
  <c r="C87" i="6"/>
  <c r="B87" i="6"/>
  <c r="A87" i="6"/>
  <c r="M86" i="6"/>
  <c r="L86" i="6"/>
  <c r="K86" i="6"/>
  <c r="J86" i="6"/>
  <c r="I86" i="6"/>
  <c r="H86" i="6"/>
  <c r="G86" i="6"/>
  <c r="F86" i="6"/>
  <c r="E86" i="6"/>
  <c r="D86" i="6"/>
  <c r="C86" i="6"/>
  <c r="B86" i="6"/>
  <c r="A86" i="6"/>
  <c r="M85" i="6"/>
  <c r="L85" i="6"/>
  <c r="K85" i="6"/>
  <c r="J85" i="6"/>
  <c r="I85" i="6"/>
  <c r="H85" i="6"/>
  <c r="G85" i="6"/>
  <c r="F85" i="6"/>
  <c r="E85" i="6"/>
  <c r="D85" i="6"/>
  <c r="C85" i="6"/>
  <c r="B85" i="6"/>
  <c r="A85" i="6"/>
  <c r="M84" i="6"/>
  <c r="L84" i="6"/>
  <c r="K84" i="6"/>
  <c r="J84" i="6"/>
  <c r="I84" i="6"/>
  <c r="H84" i="6"/>
  <c r="G84" i="6"/>
  <c r="F84" i="6"/>
  <c r="E84" i="6"/>
  <c r="D84" i="6"/>
  <c r="C84" i="6"/>
  <c r="B84" i="6"/>
  <c r="A84" i="6"/>
  <c r="M83" i="6"/>
  <c r="L83" i="6"/>
  <c r="K83" i="6"/>
  <c r="J83" i="6"/>
  <c r="I83" i="6"/>
  <c r="H83" i="6"/>
  <c r="G83" i="6"/>
  <c r="F83" i="6"/>
  <c r="E83" i="6"/>
  <c r="D83" i="6"/>
  <c r="C83" i="6"/>
  <c r="B83" i="6"/>
  <c r="A83" i="6"/>
  <c r="M82" i="6"/>
  <c r="L82" i="6"/>
  <c r="K82" i="6"/>
  <c r="J82" i="6"/>
  <c r="I82" i="6"/>
  <c r="H82" i="6"/>
  <c r="G82" i="6"/>
  <c r="F82" i="6"/>
  <c r="E82" i="6"/>
  <c r="D82" i="6"/>
  <c r="C82" i="6"/>
  <c r="B82" i="6"/>
  <c r="A82" i="6"/>
  <c r="M81" i="6"/>
  <c r="L81" i="6"/>
  <c r="K81" i="6"/>
  <c r="J81" i="6"/>
  <c r="I81" i="6"/>
  <c r="H81" i="6"/>
  <c r="G81" i="6"/>
  <c r="F81" i="6"/>
  <c r="E81" i="6"/>
  <c r="D81" i="6"/>
  <c r="C81" i="6"/>
  <c r="B81" i="6"/>
  <c r="A81" i="6"/>
  <c r="M80" i="6"/>
  <c r="L80" i="6"/>
  <c r="K80" i="6"/>
  <c r="J80" i="6"/>
  <c r="I80" i="6"/>
  <c r="H80" i="6"/>
  <c r="G80" i="6"/>
  <c r="F80" i="6"/>
  <c r="E80" i="6"/>
  <c r="D80" i="6"/>
  <c r="C80" i="6"/>
  <c r="B80" i="6"/>
  <c r="A80" i="6"/>
  <c r="M79" i="6"/>
  <c r="L79" i="6"/>
  <c r="K79" i="6"/>
  <c r="J79" i="6"/>
  <c r="I79" i="6"/>
  <c r="H79" i="6"/>
  <c r="G79" i="6"/>
  <c r="F79" i="6"/>
  <c r="E79" i="6"/>
  <c r="D79" i="6"/>
  <c r="C79" i="6"/>
  <c r="B79" i="6"/>
  <c r="A79" i="6"/>
  <c r="M78" i="6"/>
  <c r="L78" i="6"/>
  <c r="K78" i="6"/>
  <c r="J78" i="6"/>
  <c r="I78" i="6"/>
  <c r="H78" i="6"/>
  <c r="G78" i="6"/>
  <c r="F78" i="6"/>
  <c r="E78" i="6"/>
  <c r="D78" i="6"/>
  <c r="C78" i="6"/>
  <c r="B78" i="6"/>
  <c r="A78" i="6"/>
  <c r="M77" i="6"/>
  <c r="L77" i="6"/>
  <c r="K77" i="6"/>
  <c r="J77" i="6"/>
  <c r="I77" i="6"/>
  <c r="H77" i="6"/>
  <c r="G77" i="6"/>
  <c r="F77" i="6"/>
  <c r="E77" i="6"/>
  <c r="D77" i="6"/>
  <c r="C77" i="6"/>
  <c r="B77" i="6"/>
  <c r="A77" i="6"/>
  <c r="M76" i="6"/>
  <c r="L76" i="6"/>
  <c r="K76" i="6"/>
  <c r="J76" i="6"/>
  <c r="I76" i="6"/>
  <c r="H76" i="6"/>
  <c r="G76" i="6"/>
  <c r="F76" i="6"/>
  <c r="E76" i="6"/>
  <c r="D76" i="6"/>
  <c r="C76" i="6"/>
  <c r="B76" i="6"/>
  <c r="A76" i="6"/>
  <c r="M75" i="6"/>
  <c r="L75" i="6"/>
  <c r="K75" i="6"/>
  <c r="J75" i="6"/>
  <c r="I75" i="6"/>
  <c r="H75" i="6"/>
  <c r="G75" i="6"/>
  <c r="F75" i="6"/>
  <c r="E75" i="6"/>
  <c r="D75" i="6"/>
  <c r="C75" i="6"/>
  <c r="B75" i="6"/>
  <c r="A75" i="6"/>
  <c r="M74" i="6"/>
  <c r="L74" i="6"/>
  <c r="K74" i="6"/>
  <c r="J74" i="6"/>
  <c r="I74" i="6"/>
  <c r="H74" i="6"/>
  <c r="G74" i="6"/>
  <c r="F74" i="6"/>
  <c r="E74" i="6"/>
  <c r="D74" i="6"/>
  <c r="C74" i="6"/>
  <c r="B74" i="6"/>
  <c r="A74" i="6"/>
  <c r="M73" i="6"/>
  <c r="L73" i="6"/>
  <c r="K73" i="6"/>
  <c r="J73" i="6"/>
  <c r="I73" i="6"/>
  <c r="H73" i="6"/>
  <c r="G73" i="6"/>
  <c r="F73" i="6"/>
  <c r="E73" i="6"/>
  <c r="D73" i="6"/>
  <c r="C73" i="6"/>
  <c r="B73" i="6"/>
  <c r="A73" i="6"/>
  <c r="M72" i="6"/>
  <c r="L72" i="6"/>
  <c r="K72" i="6"/>
  <c r="J72" i="6"/>
  <c r="I72" i="6"/>
  <c r="H72" i="6"/>
  <c r="G72" i="6"/>
  <c r="F72" i="6"/>
  <c r="E72" i="6"/>
  <c r="D72" i="6"/>
  <c r="C72" i="6"/>
  <c r="B72" i="6"/>
  <c r="A72" i="6"/>
  <c r="M71" i="6"/>
  <c r="L71" i="6"/>
  <c r="K71" i="6"/>
  <c r="J71" i="6"/>
  <c r="I71" i="6"/>
  <c r="H71" i="6"/>
  <c r="G71" i="6"/>
  <c r="F71" i="6"/>
  <c r="E71" i="6"/>
  <c r="D71" i="6"/>
  <c r="C71" i="6"/>
  <c r="B71" i="6"/>
  <c r="A71" i="6"/>
  <c r="M70" i="6"/>
  <c r="L70" i="6"/>
  <c r="K70" i="6"/>
  <c r="J70" i="6"/>
  <c r="I70" i="6"/>
  <c r="H70" i="6"/>
  <c r="G70" i="6"/>
  <c r="F70" i="6"/>
  <c r="E70" i="6"/>
  <c r="D70" i="6"/>
  <c r="C70" i="6"/>
  <c r="B70" i="6"/>
  <c r="A70" i="6"/>
  <c r="M69" i="6"/>
  <c r="L69" i="6"/>
  <c r="K69" i="6"/>
  <c r="J69" i="6"/>
  <c r="I69" i="6"/>
  <c r="H69" i="6"/>
  <c r="G69" i="6"/>
  <c r="F69" i="6"/>
  <c r="E69" i="6"/>
  <c r="D69" i="6"/>
  <c r="C69" i="6"/>
  <c r="B69" i="6"/>
  <c r="A69" i="6"/>
  <c r="M68" i="6"/>
  <c r="L68" i="6"/>
  <c r="K68" i="6"/>
  <c r="J68" i="6"/>
  <c r="I68" i="6"/>
  <c r="H68" i="6"/>
  <c r="G68" i="6"/>
  <c r="F68" i="6"/>
  <c r="E68" i="6"/>
  <c r="D68" i="6"/>
  <c r="C68" i="6"/>
  <c r="B68" i="6"/>
  <c r="A68" i="6"/>
  <c r="M67" i="6"/>
  <c r="L67" i="6"/>
  <c r="K67" i="6"/>
  <c r="J67" i="6"/>
  <c r="I67" i="6"/>
  <c r="H67" i="6"/>
  <c r="G67" i="6"/>
  <c r="F67" i="6"/>
  <c r="E67" i="6"/>
  <c r="D67" i="6"/>
  <c r="C67" i="6"/>
  <c r="B67" i="6"/>
  <c r="A67" i="6"/>
  <c r="M66" i="6"/>
  <c r="L66" i="6"/>
  <c r="K66" i="6"/>
  <c r="J66" i="6"/>
  <c r="I66" i="6"/>
  <c r="H66" i="6"/>
  <c r="G66" i="6"/>
  <c r="F66" i="6"/>
  <c r="E66" i="6"/>
  <c r="D66" i="6"/>
  <c r="C66" i="6"/>
  <c r="B66" i="6"/>
  <c r="A66" i="6"/>
  <c r="M65" i="6"/>
  <c r="L65" i="6"/>
  <c r="K65" i="6"/>
  <c r="J65" i="6"/>
  <c r="I65" i="6"/>
  <c r="H65" i="6"/>
  <c r="G65" i="6"/>
  <c r="F65" i="6"/>
  <c r="E65" i="6"/>
  <c r="D65" i="6"/>
  <c r="C65" i="6"/>
  <c r="B65" i="6"/>
  <c r="A65" i="6"/>
  <c r="M64" i="6"/>
  <c r="L64" i="6"/>
  <c r="K64" i="6"/>
  <c r="J64" i="6"/>
  <c r="I64" i="6"/>
  <c r="H64" i="6"/>
  <c r="G64" i="6"/>
  <c r="F64" i="6"/>
  <c r="D64" i="6"/>
  <c r="C64" i="6"/>
  <c r="B64" i="6"/>
  <c r="A64" i="6"/>
  <c r="M63" i="6"/>
  <c r="L63" i="6"/>
  <c r="K63" i="6"/>
  <c r="J63" i="6"/>
  <c r="I63" i="6"/>
  <c r="H63" i="6"/>
  <c r="G63" i="6"/>
  <c r="F63" i="6"/>
  <c r="E63" i="6"/>
  <c r="D63" i="6"/>
  <c r="C63" i="6"/>
  <c r="B63" i="6"/>
  <c r="A63" i="6"/>
  <c r="M62" i="6"/>
  <c r="L62" i="6"/>
  <c r="K62" i="6"/>
  <c r="J62" i="6"/>
  <c r="I62" i="6"/>
  <c r="H62" i="6"/>
  <c r="G62" i="6"/>
  <c r="F62" i="6"/>
  <c r="E62" i="6"/>
  <c r="D62" i="6"/>
  <c r="C62" i="6"/>
  <c r="B62" i="6"/>
  <c r="A62" i="6"/>
  <c r="M61" i="6"/>
  <c r="L61" i="6"/>
  <c r="K61" i="6"/>
  <c r="J61" i="6"/>
  <c r="I61" i="6"/>
  <c r="H61" i="6"/>
  <c r="G61" i="6"/>
  <c r="F61" i="6"/>
  <c r="E61" i="6"/>
  <c r="D61" i="6"/>
  <c r="C61" i="6"/>
  <c r="B61" i="6"/>
  <c r="A61" i="6"/>
  <c r="M60" i="6"/>
  <c r="L60" i="6"/>
  <c r="K60" i="6"/>
  <c r="J60" i="6"/>
  <c r="I60" i="6"/>
  <c r="H60" i="6"/>
  <c r="G60" i="6"/>
  <c r="F60" i="6"/>
  <c r="E60" i="6"/>
  <c r="D60" i="6"/>
  <c r="C60" i="6"/>
  <c r="B60" i="6"/>
  <c r="A60" i="6"/>
  <c r="M59" i="6"/>
  <c r="L59" i="6"/>
  <c r="K59" i="6"/>
  <c r="J59" i="6"/>
  <c r="I59" i="6"/>
  <c r="H59" i="6"/>
  <c r="G59" i="6"/>
  <c r="F59" i="6"/>
  <c r="E59" i="6"/>
  <c r="D59" i="6"/>
  <c r="C59" i="6"/>
  <c r="B59" i="6"/>
  <c r="A59" i="6"/>
  <c r="M58" i="6"/>
  <c r="L58" i="6"/>
  <c r="K58" i="6"/>
  <c r="J58" i="6"/>
  <c r="I58" i="6"/>
  <c r="H58" i="6"/>
  <c r="G58" i="6"/>
  <c r="F58" i="6"/>
  <c r="E58" i="6"/>
  <c r="D58" i="6"/>
  <c r="C58" i="6"/>
  <c r="B58" i="6"/>
  <c r="A58" i="6"/>
  <c r="M57" i="6"/>
  <c r="L57" i="6"/>
  <c r="K57" i="6"/>
  <c r="J57" i="6"/>
  <c r="I57" i="6"/>
  <c r="H57" i="6"/>
  <c r="G57" i="6"/>
  <c r="F57" i="6"/>
  <c r="E57" i="6"/>
  <c r="D57" i="6"/>
  <c r="C57" i="6"/>
  <c r="B57" i="6"/>
  <c r="A57" i="6"/>
  <c r="M56" i="6"/>
  <c r="L56" i="6"/>
  <c r="K56" i="6"/>
  <c r="J56" i="6"/>
  <c r="I56" i="6"/>
  <c r="H56" i="6"/>
  <c r="G56" i="6"/>
  <c r="F56" i="6"/>
  <c r="E56" i="6"/>
  <c r="D56" i="6"/>
  <c r="C56" i="6"/>
  <c r="B56" i="6"/>
  <c r="A56" i="6"/>
  <c r="M55" i="6"/>
  <c r="L55" i="6"/>
  <c r="K55" i="6"/>
  <c r="J55" i="6"/>
  <c r="I55" i="6"/>
  <c r="H55" i="6"/>
  <c r="G55" i="6"/>
  <c r="F55" i="6"/>
  <c r="D55" i="6"/>
  <c r="C55" i="6"/>
  <c r="B55" i="6"/>
  <c r="A55" i="6"/>
  <c r="M54" i="6"/>
  <c r="L54" i="6"/>
  <c r="K54" i="6"/>
  <c r="J54" i="6"/>
  <c r="I54" i="6"/>
  <c r="H54" i="6"/>
  <c r="G54" i="6"/>
  <c r="F54" i="6"/>
  <c r="E54" i="6"/>
  <c r="D54" i="6"/>
  <c r="C54" i="6"/>
  <c r="B54" i="6"/>
  <c r="A54" i="6"/>
  <c r="M53" i="6"/>
  <c r="L53" i="6"/>
  <c r="K53" i="6"/>
  <c r="J53" i="6"/>
  <c r="I53" i="6"/>
  <c r="H53" i="6"/>
  <c r="G53" i="6"/>
  <c r="F53" i="6"/>
  <c r="E53" i="6"/>
  <c r="D53" i="6"/>
  <c r="C53" i="6"/>
  <c r="B53" i="6"/>
  <c r="A53" i="6"/>
  <c r="M52" i="6"/>
  <c r="L52" i="6"/>
  <c r="K52" i="6"/>
  <c r="J52" i="6"/>
  <c r="I52" i="6"/>
  <c r="H52" i="6"/>
  <c r="G52" i="6"/>
  <c r="F52" i="6"/>
  <c r="E52" i="6"/>
  <c r="D52" i="6"/>
  <c r="C52" i="6"/>
  <c r="B52" i="6"/>
  <c r="A52" i="6"/>
  <c r="M51" i="6"/>
  <c r="L51" i="6"/>
  <c r="K51" i="6"/>
  <c r="J51" i="6"/>
  <c r="I51" i="6"/>
  <c r="H51" i="6"/>
  <c r="G51" i="6"/>
  <c r="F51" i="6"/>
  <c r="E51" i="6"/>
  <c r="D51" i="6"/>
  <c r="C51" i="6"/>
  <c r="B51" i="6"/>
  <c r="A51" i="6"/>
  <c r="M50" i="6"/>
  <c r="L50" i="6"/>
  <c r="K50" i="6"/>
  <c r="J50" i="6"/>
  <c r="I50" i="6"/>
  <c r="H50" i="6"/>
  <c r="G50" i="6"/>
  <c r="F50" i="6"/>
  <c r="E50" i="6"/>
  <c r="D50" i="6"/>
  <c r="C50" i="6"/>
  <c r="B50" i="6"/>
  <c r="A50" i="6"/>
  <c r="M49" i="6"/>
  <c r="L49" i="6"/>
  <c r="K49" i="6"/>
  <c r="J49" i="6"/>
  <c r="I49" i="6"/>
  <c r="H49" i="6"/>
  <c r="F49" i="6"/>
  <c r="E49" i="6"/>
  <c r="D49" i="6"/>
  <c r="C49" i="6"/>
  <c r="B49" i="6"/>
  <c r="A49" i="6"/>
  <c r="M48" i="6"/>
  <c r="L48" i="6"/>
  <c r="K48" i="6"/>
  <c r="J48" i="6"/>
  <c r="I48" i="6"/>
  <c r="H48" i="6"/>
  <c r="G48" i="6"/>
  <c r="F48" i="6"/>
  <c r="E48" i="6"/>
  <c r="D48" i="6"/>
  <c r="C48" i="6"/>
  <c r="B48" i="6"/>
  <c r="A48" i="6"/>
  <c r="M47" i="6"/>
  <c r="L47" i="6"/>
  <c r="K47" i="6"/>
  <c r="J47" i="6"/>
  <c r="I47" i="6"/>
  <c r="H47" i="6"/>
  <c r="G47" i="6"/>
  <c r="F47" i="6"/>
  <c r="E47" i="6"/>
  <c r="D47" i="6"/>
  <c r="C47" i="6"/>
  <c r="B47" i="6"/>
  <c r="A47" i="6"/>
  <c r="M46" i="6"/>
  <c r="L46" i="6"/>
  <c r="K46" i="6"/>
  <c r="J46" i="6"/>
  <c r="I46" i="6"/>
  <c r="H46" i="6"/>
  <c r="G46" i="6"/>
  <c r="F46" i="6"/>
  <c r="E46" i="6"/>
  <c r="D46" i="6"/>
  <c r="C46" i="6"/>
  <c r="B46" i="6"/>
  <c r="A46" i="6"/>
  <c r="M45" i="6"/>
  <c r="L45" i="6"/>
  <c r="K45" i="6"/>
  <c r="J45" i="6"/>
  <c r="I45" i="6"/>
  <c r="H45" i="6"/>
  <c r="G45" i="6"/>
  <c r="F45" i="6"/>
  <c r="E45" i="6"/>
  <c r="D45" i="6"/>
  <c r="C45" i="6"/>
  <c r="B45" i="6"/>
  <c r="A45" i="6"/>
  <c r="M44" i="6"/>
  <c r="L44" i="6"/>
  <c r="K44" i="6"/>
  <c r="J44" i="6"/>
  <c r="I44" i="6"/>
  <c r="H44" i="6"/>
  <c r="G44" i="6"/>
  <c r="F44" i="6"/>
  <c r="E44" i="6"/>
  <c r="D44" i="6"/>
  <c r="C44" i="6"/>
  <c r="B44" i="6"/>
  <c r="A44" i="6"/>
  <c r="M43" i="6"/>
  <c r="L43" i="6"/>
  <c r="K43" i="6"/>
  <c r="J43" i="6"/>
  <c r="I43" i="6"/>
  <c r="H43" i="6"/>
  <c r="G43" i="6"/>
  <c r="F43" i="6"/>
  <c r="E43" i="6"/>
  <c r="D43" i="6"/>
  <c r="C43" i="6"/>
  <c r="B43" i="6"/>
  <c r="A43" i="6"/>
  <c r="M42" i="6"/>
  <c r="L42" i="6"/>
  <c r="K42" i="6"/>
  <c r="J42" i="6"/>
  <c r="I42" i="6"/>
  <c r="H42" i="6"/>
  <c r="G42" i="6"/>
  <c r="F42" i="6"/>
  <c r="E42" i="6"/>
  <c r="D42" i="6"/>
  <c r="C42" i="6"/>
  <c r="B42" i="6"/>
  <c r="A42" i="6"/>
  <c r="M41" i="6"/>
  <c r="L41" i="6"/>
  <c r="K41" i="6"/>
  <c r="J41" i="6"/>
  <c r="I41" i="6"/>
  <c r="H41" i="6"/>
  <c r="G41" i="6"/>
  <c r="F41" i="6"/>
  <c r="E41" i="6"/>
  <c r="D41" i="6"/>
  <c r="C41" i="6"/>
  <c r="B41" i="6"/>
  <c r="A41" i="6"/>
  <c r="M40" i="6"/>
  <c r="L40" i="6"/>
  <c r="K40" i="6"/>
  <c r="J40" i="6"/>
  <c r="I40" i="6"/>
  <c r="H40" i="6"/>
  <c r="G40" i="6"/>
  <c r="F40" i="6"/>
  <c r="E40" i="6"/>
  <c r="D40" i="6"/>
  <c r="C40" i="6"/>
  <c r="B40" i="6"/>
  <c r="A40" i="6"/>
  <c r="M39" i="6"/>
  <c r="L39" i="6"/>
  <c r="K39" i="6"/>
  <c r="J39" i="6"/>
  <c r="I39" i="6"/>
  <c r="H39" i="6"/>
  <c r="G39" i="6"/>
  <c r="F39" i="6"/>
  <c r="E39" i="6"/>
  <c r="D39" i="6"/>
  <c r="C39" i="6"/>
  <c r="B39" i="6"/>
  <c r="A39" i="6"/>
  <c r="M38" i="6"/>
  <c r="L38" i="6"/>
  <c r="K38" i="6"/>
  <c r="J38" i="6"/>
  <c r="I38" i="6"/>
  <c r="H38" i="6"/>
  <c r="G38" i="6"/>
  <c r="F38" i="6"/>
  <c r="E38" i="6"/>
  <c r="D38" i="6"/>
  <c r="C38" i="6"/>
  <c r="B38" i="6"/>
  <c r="A38" i="6"/>
  <c r="M37" i="6"/>
  <c r="L37" i="6"/>
  <c r="K37" i="6"/>
  <c r="J37" i="6"/>
  <c r="I37" i="6"/>
  <c r="H37" i="6"/>
  <c r="G37" i="6"/>
  <c r="F37" i="6"/>
  <c r="E37" i="6"/>
  <c r="D37" i="6"/>
  <c r="C37" i="6"/>
  <c r="B37" i="6"/>
  <c r="A37" i="6"/>
  <c r="M36" i="6"/>
  <c r="L36" i="6"/>
  <c r="K36" i="6"/>
  <c r="J36" i="6"/>
  <c r="I36" i="6"/>
  <c r="H36" i="6"/>
  <c r="F36" i="6"/>
  <c r="D36" i="6"/>
  <c r="C36" i="6"/>
  <c r="B36" i="6"/>
  <c r="A36" i="6"/>
  <c r="M35" i="6"/>
  <c r="L35" i="6"/>
  <c r="K35" i="6"/>
  <c r="J35" i="6"/>
  <c r="I35" i="6"/>
  <c r="H35" i="6"/>
  <c r="G35" i="6"/>
  <c r="F35" i="6"/>
  <c r="E35" i="6"/>
  <c r="D35" i="6"/>
  <c r="C35" i="6"/>
  <c r="B35" i="6"/>
  <c r="A35" i="6"/>
  <c r="M34" i="6"/>
  <c r="L34" i="6"/>
  <c r="K34" i="6"/>
  <c r="J34" i="6"/>
  <c r="I34" i="6"/>
  <c r="H34" i="6"/>
  <c r="G34" i="6"/>
  <c r="F34" i="6"/>
  <c r="E34" i="6"/>
  <c r="D34" i="6"/>
  <c r="C34" i="6"/>
  <c r="B34" i="6"/>
  <c r="A34" i="6"/>
  <c r="M33" i="6"/>
  <c r="L33" i="6"/>
  <c r="K33" i="6"/>
  <c r="J33" i="6"/>
  <c r="I33" i="6"/>
  <c r="H33" i="6"/>
  <c r="G33" i="6"/>
  <c r="F33" i="6"/>
  <c r="E33" i="6"/>
  <c r="D33" i="6"/>
  <c r="C33" i="6"/>
  <c r="B33" i="6"/>
  <c r="A33" i="6"/>
  <c r="M32" i="6"/>
  <c r="L32" i="6"/>
  <c r="K32" i="6"/>
  <c r="J32" i="6"/>
  <c r="I32" i="6"/>
  <c r="H32" i="6"/>
  <c r="G32" i="6"/>
  <c r="F32" i="6"/>
  <c r="E32" i="6"/>
  <c r="D32" i="6"/>
  <c r="C32" i="6"/>
  <c r="B32" i="6"/>
  <c r="A32" i="6"/>
  <c r="M31" i="6"/>
  <c r="L31" i="6"/>
  <c r="K31" i="6"/>
  <c r="J31" i="6"/>
  <c r="I31" i="6"/>
  <c r="H31" i="6"/>
  <c r="G31" i="6"/>
  <c r="F31" i="6"/>
  <c r="E31" i="6"/>
  <c r="D31" i="6"/>
  <c r="C31" i="6"/>
  <c r="B31" i="6"/>
  <c r="A31" i="6"/>
  <c r="M30" i="6"/>
  <c r="L30" i="6"/>
  <c r="K30" i="6"/>
  <c r="J30" i="6"/>
  <c r="I30" i="6"/>
  <c r="H30" i="6"/>
  <c r="G30" i="6"/>
  <c r="F30" i="6"/>
  <c r="E30" i="6"/>
  <c r="D30" i="6"/>
  <c r="C30" i="6"/>
  <c r="B30" i="6"/>
  <c r="A30" i="6"/>
  <c r="M29" i="6"/>
  <c r="L29" i="6"/>
  <c r="K29" i="6"/>
  <c r="J29" i="6"/>
  <c r="I29" i="6"/>
  <c r="H29" i="6"/>
  <c r="G29" i="6"/>
  <c r="F29" i="6"/>
  <c r="E29" i="6"/>
  <c r="D29" i="6"/>
  <c r="C29" i="6"/>
  <c r="B29" i="6"/>
  <c r="A29" i="6"/>
  <c r="M28" i="6"/>
  <c r="L28" i="6"/>
  <c r="K28" i="6"/>
  <c r="J28" i="6"/>
  <c r="I28" i="6"/>
  <c r="H28" i="6"/>
  <c r="G28" i="6"/>
  <c r="F28" i="6"/>
  <c r="E28" i="6"/>
  <c r="D28" i="6"/>
  <c r="C28" i="6"/>
  <c r="B28" i="6"/>
  <c r="A28" i="6"/>
  <c r="M27" i="6"/>
  <c r="L27" i="6"/>
  <c r="K27" i="6"/>
  <c r="J27" i="6"/>
  <c r="I27" i="6"/>
  <c r="H27" i="6"/>
  <c r="G27" i="6"/>
  <c r="F27" i="6"/>
  <c r="E27" i="6"/>
  <c r="D27" i="6"/>
  <c r="C27" i="6"/>
  <c r="B27" i="6"/>
  <c r="A27" i="6"/>
  <c r="M26" i="6"/>
  <c r="L26" i="6"/>
  <c r="K26" i="6"/>
  <c r="J26" i="6"/>
  <c r="I26" i="6"/>
  <c r="H26" i="6"/>
  <c r="G26" i="6"/>
  <c r="F26" i="6"/>
  <c r="E26" i="6"/>
  <c r="D26" i="6"/>
  <c r="C26" i="6"/>
  <c r="B26" i="6"/>
  <c r="A26" i="6"/>
  <c r="M25" i="6"/>
  <c r="L25" i="6"/>
  <c r="K25" i="6"/>
  <c r="J25" i="6"/>
  <c r="I25" i="6"/>
  <c r="H25" i="6"/>
  <c r="G25" i="6"/>
  <c r="F25" i="6"/>
  <c r="E25" i="6"/>
  <c r="D25" i="6"/>
  <c r="C25" i="6"/>
  <c r="B25" i="6"/>
  <c r="A25" i="6"/>
  <c r="M24" i="6"/>
  <c r="L24" i="6"/>
  <c r="K24" i="6"/>
  <c r="J24" i="6"/>
  <c r="I24" i="6"/>
  <c r="H24" i="6"/>
  <c r="G24" i="6"/>
  <c r="F24" i="6"/>
  <c r="E24" i="6"/>
  <c r="D24" i="6"/>
  <c r="C24" i="6"/>
  <c r="B24" i="6"/>
  <c r="A24" i="6"/>
  <c r="M23" i="6"/>
  <c r="L23" i="6"/>
  <c r="K23" i="6"/>
  <c r="J23" i="6"/>
  <c r="I23" i="6"/>
  <c r="H23" i="6"/>
  <c r="G23" i="6"/>
  <c r="F23" i="6"/>
  <c r="E23" i="6"/>
  <c r="D23" i="6"/>
  <c r="C23" i="6"/>
  <c r="B23" i="6"/>
  <c r="A23" i="6"/>
  <c r="M22" i="6"/>
  <c r="L22" i="6"/>
  <c r="K22" i="6"/>
  <c r="J22" i="6"/>
  <c r="I22" i="6"/>
  <c r="H22" i="6"/>
  <c r="G22" i="6"/>
  <c r="F22" i="6"/>
  <c r="E22" i="6"/>
  <c r="D22" i="6"/>
  <c r="C22" i="6"/>
  <c r="B22" i="6"/>
  <c r="A22" i="6"/>
  <c r="M21" i="6"/>
  <c r="L21" i="6"/>
  <c r="K21" i="6"/>
  <c r="J21" i="6"/>
  <c r="I21" i="6"/>
  <c r="H21" i="6"/>
  <c r="G21" i="6"/>
  <c r="F21" i="6"/>
  <c r="E21" i="6"/>
  <c r="D21" i="6"/>
  <c r="C21" i="6"/>
  <c r="B21" i="6"/>
  <c r="A21" i="6"/>
  <c r="M20" i="6"/>
  <c r="L20" i="6"/>
  <c r="K20" i="6"/>
  <c r="J20" i="6"/>
  <c r="I20" i="6"/>
  <c r="H20" i="6"/>
  <c r="G20" i="6"/>
  <c r="F20" i="6"/>
  <c r="E20" i="6"/>
  <c r="D20" i="6"/>
  <c r="C20" i="6"/>
  <c r="B20" i="6"/>
  <c r="A20" i="6"/>
  <c r="M19" i="6"/>
  <c r="L19" i="6"/>
  <c r="K19" i="6"/>
  <c r="J19" i="6"/>
  <c r="I19" i="6"/>
  <c r="H19" i="6"/>
  <c r="G19" i="6"/>
  <c r="F19" i="6"/>
  <c r="E19" i="6"/>
  <c r="D19" i="6"/>
  <c r="C19" i="6"/>
  <c r="B19" i="6"/>
  <c r="A19" i="6"/>
  <c r="M18" i="6"/>
  <c r="L18" i="6"/>
  <c r="K18" i="6"/>
  <c r="J18" i="6"/>
  <c r="I18" i="6"/>
  <c r="H18" i="6"/>
  <c r="G18" i="6"/>
  <c r="F18" i="6"/>
  <c r="E18" i="6"/>
  <c r="D18" i="6"/>
  <c r="C18" i="6"/>
  <c r="B18" i="6"/>
  <c r="A18" i="6"/>
  <c r="M17" i="6"/>
  <c r="L17" i="6"/>
  <c r="K17" i="6"/>
  <c r="J17" i="6"/>
  <c r="I17" i="6"/>
  <c r="H17" i="6"/>
  <c r="G17" i="6"/>
  <c r="F17" i="6"/>
  <c r="E17" i="6"/>
  <c r="D17" i="6"/>
  <c r="C17" i="6"/>
  <c r="B17" i="6"/>
  <c r="A17" i="6"/>
  <c r="M16" i="6"/>
  <c r="L16" i="6"/>
  <c r="K16" i="6"/>
  <c r="J16" i="6"/>
  <c r="I16" i="6"/>
  <c r="H16" i="6"/>
  <c r="G16" i="6"/>
  <c r="F16" i="6"/>
  <c r="E16" i="6"/>
  <c r="D16" i="6"/>
  <c r="C16" i="6"/>
  <c r="B16" i="6"/>
  <c r="A16" i="6"/>
  <c r="M15" i="6"/>
  <c r="L15" i="6"/>
  <c r="K15" i="6"/>
  <c r="J15" i="6"/>
  <c r="I15" i="6"/>
  <c r="H15" i="6"/>
  <c r="G15" i="6"/>
  <c r="F15" i="6"/>
  <c r="E15" i="6"/>
  <c r="D15" i="6"/>
  <c r="C15" i="6"/>
  <c r="B15" i="6"/>
  <c r="A15" i="6"/>
  <c r="M14" i="6"/>
  <c r="L14" i="6"/>
  <c r="K14" i="6"/>
  <c r="J14" i="6"/>
  <c r="I14" i="6"/>
  <c r="H14" i="6"/>
  <c r="G14" i="6"/>
  <c r="F14" i="6"/>
  <c r="E14" i="6"/>
  <c r="D14" i="6"/>
  <c r="C14" i="6"/>
  <c r="B14" i="6"/>
  <c r="A14" i="6"/>
  <c r="M13" i="6"/>
  <c r="L13" i="6"/>
  <c r="K13" i="6"/>
  <c r="J13" i="6"/>
  <c r="I13" i="6"/>
  <c r="H13" i="6"/>
  <c r="G13" i="6"/>
  <c r="F13" i="6"/>
  <c r="E13" i="6"/>
  <c r="D13" i="6"/>
  <c r="C13" i="6"/>
  <c r="B13" i="6"/>
  <c r="A13" i="6"/>
  <c r="M12" i="6"/>
  <c r="L12" i="6"/>
  <c r="K12" i="6"/>
  <c r="J12" i="6"/>
  <c r="I12" i="6"/>
  <c r="H12" i="6"/>
  <c r="G12" i="6"/>
  <c r="F12" i="6"/>
  <c r="E12" i="6"/>
  <c r="D12" i="6"/>
  <c r="C12" i="6"/>
  <c r="B12" i="6"/>
  <c r="A12" i="6"/>
  <c r="M11" i="6"/>
  <c r="L11" i="6"/>
  <c r="K11" i="6"/>
  <c r="J11" i="6"/>
  <c r="I11" i="6"/>
  <c r="H11" i="6"/>
  <c r="G11" i="6"/>
  <c r="F11" i="6"/>
  <c r="E11" i="6"/>
  <c r="D11" i="6"/>
  <c r="C11" i="6"/>
  <c r="B11" i="6"/>
  <c r="A11" i="6"/>
  <c r="M10" i="6"/>
  <c r="L10" i="6"/>
  <c r="K10" i="6"/>
  <c r="J10" i="6"/>
  <c r="I10" i="6"/>
  <c r="H10" i="6"/>
  <c r="G10" i="6"/>
  <c r="F10" i="6"/>
  <c r="E10" i="6"/>
  <c r="D10" i="6"/>
  <c r="C10" i="6"/>
  <c r="B10" i="6"/>
  <c r="A10" i="6"/>
  <c r="M9" i="6"/>
  <c r="L9" i="6"/>
  <c r="K9" i="6"/>
  <c r="J9" i="6"/>
  <c r="I9" i="6"/>
  <c r="H9" i="6"/>
  <c r="G9" i="6"/>
  <c r="F9" i="6"/>
  <c r="E9" i="6"/>
  <c r="D9" i="6"/>
  <c r="C9" i="6"/>
  <c r="B9" i="6"/>
  <c r="A9" i="6"/>
  <c r="M8" i="6"/>
  <c r="L8" i="6"/>
  <c r="K8" i="6"/>
  <c r="J8" i="6"/>
  <c r="I8" i="6"/>
  <c r="H8" i="6"/>
  <c r="G8" i="6"/>
  <c r="F8" i="6"/>
  <c r="D8" i="6"/>
  <c r="C8" i="6"/>
  <c r="B8" i="6"/>
  <c r="A8" i="6"/>
  <c r="M7" i="6"/>
  <c r="L7" i="6"/>
  <c r="K7" i="6"/>
  <c r="J7" i="6"/>
  <c r="I7" i="6"/>
  <c r="H7" i="6"/>
  <c r="F7" i="6"/>
  <c r="E7" i="6"/>
  <c r="D7" i="6"/>
  <c r="C7" i="6"/>
  <c r="B7" i="6"/>
  <c r="A7" i="6"/>
  <c r="M6" i="6"/>
  <c r="L6" i="6"/>
  <c r="K6" i="6"/>
  <c r="J6" i="6"/>
  <c r="I6" i="6"/>
  <c r="H6" i="6"/>
  <c r="G6" i="6"/>
  <c r="F6" i="6"/>
  <c r="E6" i="6"/>
  <c r="D6" i="6"/>
  <c r="C6" i="6"/>
  <c r="B6" i="6"/>
  <c r="A6" i="6"/>
  <c r="M5" i="6"/>
  <c r="L5" i="6"/>
  <c r="K5" i="6"/>
  <c r="J5" i="6"/>
  <c r="I5" i="6"/>
  <c r="H5" i="6"/>
  <c r="G5" i="6"/>
  <c r="E5" i="6"/>
  <c r="D5" i="6"/>
  <c r="C5" i="6"/>
  <c r="B5" i="6"/>
  <c r="A5" i="6"/>
  <c r="M4" i="6"/>
  <c r="L4" i="6"/>
  <c r="K4" i="6"/>
  <c r="J4" i="6"/>
  <c r="I4" i="6"/>
  <c r="H4" i="6"/>
  <c r="G4" i="6"/>
  <c r="F4" i="6"/>
  <c r="E4" i="6"/>
  <c r="D4" i="6"/>
  <c r="C4" i="6"/>
  <c r="B4" i="6"/>
  <c r="A4" i="6"/>
  <c r="M3" i="6"/>
  <c r="L3" i="6"/>
  <c r="K3" i="6"/>
  <c r="J3" i="6"/>
  <c r="I3" i="6"/>
  <c r="H3" i="6"/>
  <c r="G3" i="6"/>
  <c r="F3" i="6"/>
  <c r="E3" i="6"/>
  <c r="D3" i="6"/>
  <c r="C3" i="6"/>
  <c r="B3" i="6"/>
  <c r="A3" i="6"/>
  <c r="M2" i="6"/>
  <c r="L2" i="6"/>
  <c r="K2" i="6"/>
  <c r="J2" i="6"/>
  <c r="I2" i="6"/>
  <c r="H2" i="6"/>
  <c r="G2" i="6"/>
  <c r="F2" i="6"/>
  <c r="E2" i="6"/>
  <c r="D2" i="6"/>
  <c r="C2" i="6"/>
  <c r="B2" i="6"/>
  <c r="A2" i="6"/>
  <c r="V1" i="6"/>
  <c r="U1" i="6"/>
  <c r="T1" i="6"/>
  <c r="S1" i="6"/>
  <c r="R1" i="6"/>
  <c r="Q1" i="6"/>
  <c r="P1" i="6"/>
  <c r="O1" i="6"/>
  <c r="N1" i="6"/>
  <c r="M1" i="6"/>
  <c r="L1" i="6"/>
  <c r="K1" i="6"/>
  <c r="J1" i="6"/>
  <c r="I1" i="6"/>
  <c r="H1" i="6"/>
  <c r="G1" i="6"/>
  <c r="F1" i="6"/>
  <c r="E1" i="6"/>
  <c r="D1" i="6"/>
  <c r="C1" i="6"/>
  <c r="B1" i="6"/>
  <c r="A1" i="6"/>
  <c r="M1366" i="5"/>
  <c r="L1366" i="5"/>
  <c r="K1366" i="5"/>
  <c r="J1366" i="5"/>
  <c r="I1366" i="5"/>
  <c r="H1366" i="5"/>
  <c r="G1366" i="5"/>
  <c r="F1366" i="5"/>
  <c r="E1366" i="5"/>
  <c r="D1366" i="5"/>
  <c r="C1366" i="5"/>
  <c r="B1366" i="5"/>
  <c r="A1366" i="5"/>
  <c r="M1365" i="5"/>
  <c r="L1365" i="5"/>
  <c r="K1365" i="5"/>
  <c r="J1365" i="5"/>
  <c r="I1365" i="5"/>
  <c r="H1365" i="5"/>
  <c r="G1365" i="5"/>
  <c r="D1365" i="5"/>
  <c r="C1365" i="5"/>
  <c r="B1365" i="5"/>
  <c r="A1365" i="5"/>
  <c r="M1364" i="5"/>
  <c r="L1364" i="5"/>
  <c r="K1364" i="5"/>
  <c r="J1364" i="5"/>
  <c r="I1364" i="5"/>
  <c r="H1364" i="5"/>
  <c r="G1364" i="5"/>
  <c r="F1364" i="5"/>
  <c r="E1364" i="5"/>
  <c r="D1364" i="5"/>
  <c r="C1364" i="5"/>
  <c r="B1364" i="5"/>
  <c r="A1364" i="5"/>
  <c r="M1363" i="5"/>
  <c r="L1363" i="5"/>
  <c r="K1363" i="5"/>
  <c r="J1363" i="5"/>
  <c r="I1363" i="5"/>
  <c r="H1363" i="5"/>
  <c r="G1363" i="5"/>
  <c r="F1363" i="5"/>
  <c r="E1363" i="5"/>
  <c r="D1363" i="5"/>
  <c r="C1363" i="5"/>
  <c r="B1363" i="5"/>
  <c r="A1363" i="5"/>
  <c r="M1362" i="5"/>
  <c r="L1362" i="5"/>
  <c r="K1362" i="5"/>
  <c r="J1362" i="5"/>
  <c r="I1362" i="5"/>
  <c r="H1362" i="5"/>
  <c r="G1362" i="5"/>
  <c r="F1362" i="5"/>
  <c r="D1362" i="5"/>
  <c r="C1362" i="5"/>
  <c r="B1362" i="5"/>
  <c r="A1362" i="5"/>
  <c r="M1361" i="5"/>
  <c r="L1361" i="5"/>
  <c r="K1361" i="5"/>
  <c r="J1361" i="5"/>
  <c r="I1361" i="5"/>
  <c r="H1361" i="5"/>
  <c r="G1361" i="5"/>
  <c r="F1361" i="5"/>
  <c r="D1361" i="5"/>
  <c r="C1361" i="5"/>
  <c r="B1361" i="5"/>
  <c r="A1361" i="5"/>
  <c r="M1360" i="5"/>
  <c r="L1360" i="5"/>
  <c r="K1360" i="5"/>
  <c r="J1360" i="5"/>
  <c r="I1360" i="5"/>
  <c r="H1360" i="5"/>
  <c r="G1360" i="5"/>
  <c r="F1360" i="5"/>
  <c r="E1360" i="5"/>
  <c r="D1360" i="5"/>
  <c r="C1360" i="5"/>
  <c r="B1360" i="5"/>
  <c r="A1360" i="5"/>
  <c r="M1359" i="5"/>
  <c r="L1359" i="5"/>
  <c r="K1359" i="5"/>
  <c r="J1359" i="5"/>
  <c r="I1359" i="5"/>
  <c r="H1359" i="5"/>
  <c r="G1359" i="5"/>
  <c r="F1359" i="5"/>
  <c r="E1359" i="5"/>
  <c r="D1359" i="5"/>
  <c r="C1359" i="5"/>
  <c r="B1359" i="5"/>
  <c r="A1359" i="5"/>
  <c r="M1358" i="5"/>
  <c r="L1358" i="5"/>
  <c r="K1358" i="5"/>
  <c r="J1358" i="5"/>
  <c r="I1358" i="5"/>
  <c r="H1358" i="5"/>
  <c r="G1358" i="5"/>
  <c r="F1358" i="5"/>
  <c r="E1358" i="5"/>
  <c r="D1358" i="5"/>
  <c r="C1358" i="5"/>
  <c r="B1358" i="5"/>
  <c r="A1358" i="5"/>
  <c r="M1357" i="5"/>
  <c r="L1357" i="5"/>
  <c r="K1357" i="5"/>
  <c r="J1357" i="5"/>
  <c r="I1357" i="5"/>
  <c r="H1357" i="5"/>
  <c r="G1357" i="5"/>
  <c r="F1357" i="5"/>
  <c r="E1357" i="5"/>
  <c r="D1357" i="5"/>
  <c r="C1357" i="5"/>
  <c r="B1357" i="5"/>
  <c r="A1357" i="5"/>
  <c r="M1356" i="5"/>
  <c r="L1356" i="5"/>
  <c r="K1356" i="5"/>
  <c r="J1356" i="5"/>
  <c r="I1356" i="5"/>
  <c r="H1356" i="5"/>
  <c r="G1356" i="5"/>
  <c r="F1356" i="5"/>
  <c r="E1356" i="5"/>
  <c r="D1356" i="5"/>
  <c r="C1356" i="5"/>
  <c r="B1356" i="5"/>
  <c r="A1356" i="5"/>
  <c r="M1355" i="5"/>
  <c r="L1355" i="5"/>
  <c r="K1355" i="5"/>
  <c r="J1355" i="5"/>
  <c r="I1355" i="5"/>
  <c r="H1355" i="5"/>
  <c r="G1355" i="5"/>
  <c r="F1355" i="5"/>
  <c r="E1355" i="5"/>
  <c r="D1355" i="5"/>
  <c r="C1355" i="5"/>
  <c r="B1355" i="5"/>
  <c r="A1355" i="5"/>
  <c r="M1354" i="5"/>
  <c r="L1354" i="5"/>
  <c r="K1354" i="5"/>
  <c r="J1354" i="5"/>
  <c r="I1354" i="5"/>
  <c r="H1354" i="5"/>
  <c r="G1354" i="5"/>
  <c r="F1354" i="5"/>
  <c r="E1354" i="5"/>
  <c r="D1354" i="5"/>
  <c r="C1354" i="5"/>
  <c r="B1354" i="5"/>
  <c r="A1354" i="5"/>
  <c r="M1353" i="5"/>
  <c r="L1353" i="5"/>
  <c r="K1353" i="5"/>
  <c r="J1353" i="5"/>
  <c r="I1353" i="5"/>
  <c r="H1353" i="5"/>
  <c r="G1353" i="5"/>
  <c r="F1353" i="5"/>
  <c r="E1353" i="5"/>
  <c r="D1353" i="5"/>
  <c r="B1353" i="5"/>
  <c r="A1353" i="5"/>
  <c r="M1352" i="5"/>
  <c r="L1352" i="5"/>
  <c r="K1352" i="5"/>
  <c r="J1352" i="5"/>
  <c r="I1352" i="5"/>
  <c r="H1352" i="5"/>
  <c r="G1352" i="5"/>
  <c r="F1352" i="5"/>
  <c r="E1352" i="5"/>
  <c r="D1352" i="5"/>
  <c r="C1352" i="5"/>
  <c r="B1352" i="5"/>
  <c r="A1352" i="5"/>
  <c r="M1351" i="5"/>
  <c r="L1351" i="5"/>
  <c r="K1351" i="5"/>
  <c r="J1351" i="5"/>
  <c r="I1351" i="5"/>
  <c r="H1351" i="5"/>
  <c r="G1351" i="5"/>
  <c r="F1351" i="5"/>
  <c r="E1351" i="5"/>
  <c r="D1351" i="5"/>
  <c r="C1351" i="5"/>
  <c r="B1351" i="5"/>
  <c r="A1351" i="5"/>
  <c r="M1350" i="5"/>
  <c r="L1350" i="5"/>
  <c r="K1350" i="5"/>
  <c r="J1350" i="5"/>
  <c r="I1350" i="5"/>
  <c r="H1350" i="5"/>
  <c r="G1350" i="5"/>
  <c r="F1350" i="5"/>
  <c r="E1350" i="5"/>
  <c r="D1350" i="5"/>
  <c r="C1350" i="5"/>
  <c r="B1350" i="5"/>
  <c r="A1350" i="5"/>
  <c r="M1349" i="5"/>
  <c r="L1349" i="5"/>
  <c r="K1349" i="5"/>
  <c r="J1349" i="5"/>
  <c r="I1349" i="5"/>
  <c r="H1349" i="5"/>
  <c r="G1349" i="5"/>
  <c r="F1349" i="5"/>
  <c r="E1349" i="5"/>
  <c r="D1349" i="5"/>
  <c r="C1349" i="5"/>
  <c r="B1349" i="5"/>
  <c r="A1349" i="5"/>
  <c r="M1348" i="5"/>
  <c r="L1348" i="5"/>
  <c r="K1348" i="5"/>
  <c r="J1348" i="5"/>
  <c r="I1348" i="5"/>
  <c r="H1348" i="5"/>
  <c r="G1348" i="5"/>
  <c r="F1348" i="5"/>
  <c r="E1348" i="5"/>
  <c r="D1348" i="5"/>
  <c r="C1348" i="5"/>
  <c r="B1348" i="5"/>
  <c r="A1348" i="5"/>
  <c r="M1347" i="5"/>
  <c r="L1347" i="5"/>
  <c r="K1347" i="5"/>
  <c r="J1347" i="5"/>
  <c r="I1347" i="5"/>
  <c r="H1347" i="5"/>
  <c r="G1347" i="5"/>
  <c r="F1347" i="5"/>
  <c r="E1347" i="5"/>
  <c r="D1347" i="5"/>
  <c r="C1347" i="5"/>
  <c r="B1347" i="5"/>
  <c r="A1347" i="5"/>
  <c r="M1346" i="5"/>
  <c r="L1346" i="5"/>
  <c r="K1346" i="5"/>
  <c r="J1346" i="5"/>
  <c r="I1346" i="5"/>
  <c r="H1346" i="5"/>
  <c r="G1346" i="5"/>
  <c r="F1346" i="5"/>
  <c r="E1346" i="5"/>
  <c r="D1346" i="5"/>
  <c r="C1346" i="5"/>
  <c r="B1346" i="5"/>
  <c r="A1346" i="5"/>
  <c r="M1345" i="5"/>
  <c r="L1345" i="5"/>
  <c r="K1345" i="5"/>
  <c r="J1345" i="5"/>
  <c r="I1345" i="5"/>
  <c r="H1345" i="5"/>
  <c r="G1345" i="5"/>
  <c r="F1345" i="5"/>
  <c r="E1345" i="5"/>
  <c r="D1345" i="5"/>
  <c r="C1345" i="5"/>
  <c r="B1345" i="5"/>
  <c r="A1345" i="5"/>
  <c r="M1344" i="5"/>
  <c r="L1344" i="5"/>
  <c r="K1344" i="5"/>
  <c r="J1344" i="5"/>
  <c r="I1344" i="5"/>
  <c r="H1344" i="5"/>
  <c r="G1344" i="5"/>
  <c r="F1344" i="5"/>
  <c r="E1344" i="5"/>
  <c r="D1344" i="5"/>
  <c r="C1344" i="5"/>
  <c r="B1344" i="5"/>
  <c r="A1344" i="5"/>
  <c r="M1343" i="5"/>
  <c r="L1343" i="5"/>
  <c r="K1343" i="5"/>
  <c r="J1343" i="5"/>
  <c r="I1343" i="5"/>
  <c r="H1343" i="5"/>
  <c r="G1343" i="5"/>
  <c r="F1343" i="5"/>
  <c r="E1343" i="5"/>
  <c r="D1343" i="5"/>
  <c r="C1343" i="5"/>
  <c r="B1343" i="5"/>
  <c r="A1343" i="5"/>
  <c r="M1342" i="5"/>
  <c r="L1342" i="5"/>
  <c r="K1342" i="5"/>
  <c r="J1342" i="5"/>
  <c r="I1342" i="5"/>
  <c r="H1342" i="5"/>
  <c r="G1342" i="5"/>
  <c r="F1342" i="5"/>
  <c r="E1342" i="5"/>
  <c r="D1342" i="5"/>
  <c r="C1342" i="5"/>
  <c r="B1342" i="5"/>
  <c r="A1342" i="5"/>
  <c r="M1341" i="5"/>
  <c r="L1341" i="5"/>
  <c r="K1341" i="5"/>
  <c r="J1341" i="5"/>
  <c r="I1341" i="5"/>
  <c r="H1341" i="5"/>
  <c r="G1341" i="5"/>
  <c r="F1341" i="5"/>
  <c r="E1341" i="5"/>
  <c r="D1341" i="5"/>
  <c r="C1341" i="5"/>
  <c r="B1341" i="5"/>
  <c r="A1341" i="5"/>
  <c r="M1340" i="5"/>
  <c r="L1340" i="5"/>
  <c r="K1340" i="5"/>
  <c r="J1340" i="5"/>
  <c r="I1340" i="5"/>
  <c r="H1340" i="5"/>
  <c r="G1340" i="5"/>
  <c r="F1340" i="5"/>
  <c r="E1340" i="5"/>
  <c r="D1340" i="5"/>
  <c r="C1340" i="5"/>
  <c r="B1340" i="5"/>
  <c r="A1340" i="5"/>
  <c r="M1339" i="5"/>
  <c r="L1339" i="5"/>
  <c r="K1339" i="5"/>
  <c r="J1339" i="5"/>
  <c r="I1339" i="5"/>
  <c r="H1339" i="5"/>
  <c r="G1339" i="5"/>
  <c r="F1339" i="5"/>
  <c r="E1339" i="5"/>
  <c r="D1339" i="5"/>
  <c r="C1339" i="5"/>
  <c r="B1339" i="5"/>
  <c r="A1339" i="5"/>
  <c r="M1338" i="5"/>
  <c r="L1338" i="5"/>
  <c r="K1338" i="5"/>
  <c r="J1338" i="5"/>
  <c r="I1338" i="5"/>
  <c r="H1338" i="5"/>
  <c r="G1338" i="5"/>
  <c r="F1338" i="5"/>
  <c r="E1338" i="5"/>
  <c r="D1338" i="5"/>
  <c r="C1338" i="5"/>
  <c r="B1338" i="5"/>
  <c r="A1338" i="5"/>
  <c r="M1337" i="5"/>
  <c r="L1337" i="5"/>
  <c r="K1337" i="5"/>
  <c r="J1337" i="5"/>
  <c r="I1337" i="5"/>
  <c r="H1337" i="5"/>
  <c r="G1337" i="5"/>
  <c r="F1337" i="5"/>
  <c r="E1337" i="5"/>
  <c r="D1337" i="5"/>
  <c r="C1337" i="5"/>
  <c r="B1337" i="5"/>
  <c r="A1337" i="5"/>
  <c r="M1336" i="5"/>
  <c r="L1336" i="5"/>
  <c r="K1336" i="5"/>
  <c r="J1336" i="5"/>
  <c r="I1336" i="5"/>
  <c r="H1336" i="5"/>
  <c r="G1336" i="5"/>
  <c r="F1336" i="5"/>
  <c r="E1336" i="5"/>
  <c r="D1336" i="5"/>
  <c r="C1336" i="5"/>
  <c r="B1336" i="5"/>
  <c r="A1336" i="5"/>
  <c r="M1335" i="5"/>
  <c r="L1335" i="5"/>
  <c r="K1335" i="5"/>
  <c r="J1335" i="5"/>
  <c r="I1335" i="5"/>
  <c r="H1335" i="5"/>
  <c r="G1335" i="5"/>
  <c r="F1335" i="5"/>
  <c r="E1335" i="5"/>
  <c r="D1335" i="5"/>
  <c r="C1335" i="5"/>
  <c r="B1335" i="5"/>
  <c r="A1335" i="5"/>
  <c r="M1334" i="5"/>
  <c r="L1334" i="5"/>
  <c r="K1334" i="5"/>
  <c r="J1334" i="5"/>
  <c r="I1334" i="5"/>
  <c r="H1334" i="5"/>
  <c r="G1334" i="5"/>
  <c r="F1334" i="5"/>
  <c r="E1334" i="5"/>
  <c r="D1334" i="5"/>
  <c r="C1334" i="5"/>
  <c r="B1334" i="5"/>
  <c r="A1334" i="5"/>
  <c r="M1333" i="5"/>
  <c r="L1333" i="5"/>
  <c r="K1333" i="5"/>
  <c r="J1333" i="5"/>
  <c r="I1333" i="5"/>
  <c r="H1333" i="5"/>
  <c r="G1333" i="5"/>
  <c r="F1333" i="5"/>
  <c r="E1333" i="5"/>
  <c r="D1333" i="5"/>
  <c r="C1333" i="5"/>
  <c r="B1333" i="5"/>
  <c r="A1333" i="5"/>
  <c r="M1332" i="5"/>
  <c r="L1332" i="5"/>
  <c r="K1332" i="5"/>
  <c r="J1332" i="5"/>
  <c r="I1332" i="5"/>
  <c r="H1332" i="5"/>
  <c r="G1332" i="5"/>
  <c r="F1332" i="5"/>
  <c r="E1332" i="5"/>
  <c r="D1332" i="5"/>
  <c r="C1332" i="5"/>
  <c r="B1332" i="5"/>
  <c r="A1332" i="5"/>
  <c r="M1331" i="5"/>
  <c r="L1331" i="5"/>
  <c r="K1331" i="5"/>
  <c r="J1331" i="5"/>
  <c r="I1331" i="5"/>
  <c r="H1331" i="5"/>
  <c r="G1331" i="5"/>
  <c r="F1331" i="5"/>
  <c r="E1331" i="5"/>
  <c r="D1331" i="5"/>
  <c r="C1331" i="5"/>
  <c r="B1331" i="5"/>
  <c r="A1331" i="5"/>
  <c r="M1330" i="5"/>
  <c r="L1330" i="5"/>
  <c r="K1330" i="5"/>
  <c r="J1330" i="5"/>
  <c r="I1330" i="5"/>
  <c r="H1330" i="5"/>
  <c r="G1330" i="5"/>
  <c r="F1330" i="5"/>
  <c r="E1330" i="5"/>
  <c r="D1330" i="5"/>
  <c r="C1330" i="5"/>
  <c r="B1330" i="5"/>
  <c r="A1330" i="5"/>
  <c r="M1329" i="5"/>
  <c r="L1329" i="5"/>
  <c r="K1329" i="5"/>
  <c r="J1329" i="5"/>
  <c r="I1329" i="5"/>
  <c r="H1329" i="5"/>
  <c r="G1329" i="5"/>
  <c r="F1329" i="5"/>
  <c r="E1329" i="5"/>
  <c r="D1329" i="5"/>
  <c r="C1329" i="5"/>
  <c r="B1329" i="5"/>
  <c r="A1329" i="5"/>
  <c r="M1328" i="5"/>
  <c r="L1328" i="5"/>
  <c r="K1328" i="5"/>
  <c r="J1328" i="5"/>
  <c r="I1328" i="5"/>
  <c r="H1328" i="5"/>
  <c r="G1328" i="5"/>
  <c r="F1328" i="5"/>
  <c r="E1328" i="5"/>
  <c r="D1328" i="5"/>
  <c r="C1328" i="5"/>
  <c r="B1328" i="5"/>
  <c r="A1328" i="5"/>
  <c r="M1327" i="5"/>
  <c r="L1327" i="5"/>
  <c r="K1327" i="5"/>
  <c r="J1327" i="5"/>
  <c r="I1327" i="5"/>
  <c r="H1327" i="5"/>
  <c r="G1327" i="5"/>
  <c r="F1327" i="5"/>
  <c r="E1327" i="5"/>
  <c r="D1327" i="5"/>
  <c r="C1327" i="5"/>
  <c r="B1327" i="5"/>
  <c r="A1327" i="5"/>
  <c r="M1326" i="5"/>
  <c r="L1326" i="5"/>
  <c r="K1326" i="5"/>
  <c r="J1326" i="5"/>
  <c r="I1326" i="5"/>
  <c r="H1326" i="5"/>
  <c r="G1326" i="5"/>
  <c r="F1326" i="5"/>
  <c r="E1326" i="5"/>
  <c r="D1326" i="5"/>
  <c r="C1326" i="5"/>
  <c r="B1326" i="5"/>
  <c r="A1326" i="5"/>
  <c r="M1325" i="5"/>
  <c r="L1325" i="5"/>
  <c r="K1325" i="5"/>
  <c r="J1325" i="5"/>
  <c r="I1325" i="5"/>
  <c r="H1325" i="5"/>
  <c r="G1325" i="5"/>
  <c r="F1325" i="5"/>
  <c r="E1325" i="5"/>
  <c r="D1325" i="5"/>
  <c r="C1325" i="5"/>
  <c r="B1325" i="5"/>
  <c r="A1325" i="5"/>
  <c r="M1324" i="5"/>
  <c r="L1324" i="5"/>
  <c r="K1324" i="5"/>
  <c r="J1324" i="5"/>
  <c r="I1324" i="5"/>
  <c r="H1324" i="5"/>
  <c r="G1324" i="5"/>
  <c r="F1324" i="5"/>
  <c r="E1324" i="5"/>
  <c r="D1324" i="5"/>
  <c r="C1324" i="5"/>
  <c r="B1324" i="5"/>
  <c r="A1324" i="5"/>
  <c r="M1323" i="5"/>
  <c r="L1323" i="5"/>
  <c r="K1323" i="5"/>
  <c r="J1323" i="5"/>
  <c r="I1323" i="5"/>
  <c r="H1323" i="5"/>
  <c r="G1323" i="5"/>
  <c r="F1323" i="5"/>
  <c r="E1323" i="5"/>
  <c r="D1323" i="5"/>
  <c r="C1323" i="5"/>
  <c r="B1323" i="5"/>
  <c r="A1323" i="5"/>
  <c r="M1322" i="5"/>
  <c r="L1322" i="5"/>
  <c r="K1322" i="5"/>
  <c r="J1322" i="5"/>
  <c r="I1322" i="5"/>
  <c r="H1322" i="5"/>
  <c r="G1322" i="5"/>
  <c r="F1322" i="5"/>
  <c r="E1322" i="5"/>
  <c r="D1322" i="5"/>
  <c r="C1322" i="5"/>
  <c r="B1322" i="5"/>
  <c r="A1322" i="5"/>
  <c r="M1321" i="5"/>
  <c r="L1321" i="5"/>
  <c r="K1321" i="5"/>
  <c r="J1321" i="5"/>
  <c r="I1321" i="5"/>
  <c r="H1321" i="5"/>
  <c r="G1321" i="5"/>
  <c r="F1321" i="5"/>
  <c r="E1321" i="5"/>
  <c r="D1321" i="5"/>
  <c r="C1321" i="5"/>
  <c r="B1321" i="5"/>
  <c r="A1321" i="5"/>
  <c r="M1320" i="5"/>
  <c r="L1320" i="5"/>
  <c r="K1320" i="5"/>
  <c r="J1320" i="5"/>
  <c r="I1320" i="5"/>
  <c r="H1320" i="5"/>
  <c r="G1320" i="5"/>
  <c r="F1320" i="5"/>
  <c r="E1320" i="5"/>
  <c r="D1320" i="5"/>
  <c r="C1320" i="5"/>
  <c r="B1320" i="5"/>
  <c r="A1320" i="5"/>
  <c r="M1319" i="5"/>
  <c r="L1319" i="5"/>
  <c r="K1319" i="5"/>
  <c r="J1319" i="5"/>
  <c r="I1319" i="5"/>
  <c r="H1319" i="5"/>
  <c r="G1319" i="5"/>
  <c r="F1319" i="5"/>
  <c r="E1319" i="5"/>
  <c r="D1319" i="5"/>
  <c r="C1319" i="5"/>
  <c r="B1319" i="5"/>
  <c r="A1319" i="5"/>
  <c r="M1318" i="5"/>
  <c r="L1318" i="5"/>
  <c r="K1318" i="5"/>
  <c r="J1318" i="5"/>
  <c r="I1318" i="5"/>
  <c r="H1318" i="5"/>
  <c r="G1318" i="5"/>
  <c r="F1318" i="5"/>
  <c r="E1318" i="5"/>
  <c r="D1318" i="5"/>
  <c r="C1318" i="5"/>
  <c r="B1318" i="5"/>
  <c r="A1318" i="5"/>
  <c r="M1317" i="5"/>
  <c r="L1317" i="5"/>
  <c r="K1317" i="5"/>
  <c r="J1317" i="5"/>
  <c r="I1317" i="5"/>
  <c r="H1317" i="5"/>
  <c r="G1317" i="5"/>
  <c r="F1317" i="5"/>
  <c r="E1317" i="5"/>
  <c r="D1317" i="5"/>
  <c r="C1317" i="5"/>
  <c r="B1317" i="5"/>
  <c r="A1317" i="5"/>
  <c r="M1316" i="5"/>
  <c r="L1316" i="5"/>
  <c r="K1316" i="5"/>
  <c r="J1316" i="5"/>
  <c r="I1316" i="5"/>
  <c r="H1316" i="5"/>
  <c r="G1316" i="5"/>
  <c r="F1316" i="5"/>
  <c r="E1316" i="5"/>
  <c r="D1316" i="5"/>
  <c r="C1316" i="5"/>
  <c r="B1316" i="5"/>
  <c r="A1316" i="5"/>
  <c r="M1315" i="5"/>
  <c r="L1315" i="5"/>
  <c r="K1315" i="5"/>
  <c r="J1315" i="5"/>
  <c r="I1315" i="5"/>
  <c r="H1315" i="5"/>
  <c r="G1315" i="5"/>
  <c r="F1315" i="5"/>
  <c r="E1315" i="5"/>
  <c r="D1315" i="5"/>
  <c r="C1315" i="5"/>
  <c r="B1315" i="5"/>
  <c r="A1315" i="5"/>
  <c r="M1314" i="5"/>
  <c r="L1314" i="5"/>
  <c r="K1314" i="5"/>
  <c r="J1314" i="5"/>
  <c r="I1314" i="5"/>
  <c r="H1314" i="5"/>
  <c r="G1314" i="5"/>
  <c r="F1314" i="5"/>
  <c r="E1314" i="5"/>
  <c r="D1314" i="5"/>
  <c r="C1314" i="5"/>
  <c r="B1314" i="5"/>
  <c r="A1314" i="5"/>
  <c r="M1313" i="5"/>
  <c r="L1313" i="5"/>
  <c r="K1313" i="5"/>
  <c r="J1313" i="5"/>
  <c r="I1313" i="5"/>
  <c r="H1313" i="5"/>
  <c r="G1313" i="5"/>
  <c r="F1313" i="5"/>
  <c r="E1313" i="5"/>
  <c r="D1313" i="5"/>
  <c r="C1313" i="5"/>
  <c r="B1313" i="5"/>
  <c r="A1313" i="5"/>
  <c r="M1312" i="5"/>
  <c r="L1312" i="5"/>
  <c r="K1312" i="5"/>
  <c r="J1312" i="5"/>
  <c r="I1312" i="5"/>
  <c r="H1312" i="5"/>
  <c r="G1312" i="5"/>
  <c r="F1312" i="5"/>
  <c r="E1312" i="5"/>
  <c r="D1312" i="5"/>
  <c r="C1312" i="5"/>
  <c r="B1312" i="5"/>
  <c r="A1312" i="5"/>
  <c r="M1311" i="5"/>
  <c r="L1311" i="5"/>
  <c r="K1311" i="5"/>
  <c r="J1311" i="5"/>
  <c r="I1311" i="5"/>
  <c r="H1311" i="5"/>
  <c r="G1311" i="5"/>
  <c r="F1311" i="5"/>
  <c r="E1311" i="5"/>
  <c r="D1311" i="5"/>
  <c r="C1311" i="5"/>
  <c r="B1311" i="5"/>
  <c r="A1311" i="5"/>
  <c r="M1310" i="5"/>
  <c r="L1310" i="5"/>
  <c r="K1310" i="5"/>
  <c r="J1310" i="5"/>
  <c r="I1310" i="5"/>
  <c r="H1310" i="5"/>
  <c r="G1310" i="5"/>
  <c r="F1310" i="5"/>
  <c r="E1310" i="5"/>
  <c r="D1310" i="5"/>
  <c r="C1310" i="5"/>
  <c r="B1310" i="5"/>
  <c r="A1310" i="5"/>
  <c r="M1309" i="5"/>
  <c r="L1309" i="5"/>
  <c r="K1309" i="5"/>
  <c r="J1309" i="5"/>
  <c r="I1309" i="5"/>
  <c r="H1309" i="5"/>
  <c r="G1309" i="5"/>
  <c r="F1309" i="5"/>
  <c r="E1309" i="5"/>
  <c r="D1309" i="5"/>
  <c r="C1309" i="5"/>
  <c r="B1309" i="5"/>
  <c r="A1309" i="5"/>
  <c r="M1308" i="5"/>
  <c r="L1308" i="5"/>
  <c r="K1308" i="5"/>
  <c r="J1308" i="5"/>
  <c r="I1308" i="5"/>
  <c r="H1308" i="5"/>
  <c r="G1308" i="5"/>
  <c r="F1308" i="5"/>
  <c r="E1308" i="5"/>
  <c r="D1308" i="5"/>
  <c r="C1308" i="5"/>
  <c r="B1308" i="5"/>
  <c r="A1308" i="5"/>
  <c r="M1307" i="5"/>
  <c r="L1307" i="5"/>
  <c r="K1307" i="5"/>
  <c r="J1307" i="5"/>
  <c r="I1307" i="5"/>
  <c r="H1307" i="5"/>
  <c r="G1307" i="5"/>
  <c r="F1307" i="5"/>
  <c r="D1307" i="5"/>
  <c r="C1307" i="5"/>
  <c r="B1307" i="5"/>
  <c r="A1307" i="5"/>
  <c r="M1306" i="5"/>
  <c r="L1306" i="5"/>
  <c r="K1306" i="5"/>
  <c r="J1306" i="5"/>
  <c r="I1306" i="5"/>
  <c r="H1306" i="5"/>
  <c r="G1306" i="5"/>
  <c r="F1306" i="5"/>
  <c r="E1306" i="5"/>
  <c r="D1306" i="5"/>
  <c r="C1306" i="5"/>
  <c r="B1306" i="5"/>
  <c r="A1306" i="5"/>
  <c r="M1305" i="5"/>
  <c r="L1305" i="5"/>
  <c r="K1305" i="5"/>
  <c r="J1305" i="5"/>
  <c r="I1305" i="5"/>
  <c r="H1305" i="5"/>
  <c r="G1305" i="5"/>
  <c r="F1305" i="5"/>
  <c r="E1305" i="5"/>
  <c r="D1305" i="5"/>
  <c r="C1305" i="5"/>
  <c r="B1305" i="5"/>
  <c r="A1305" i="5"/>
  <c r="M1304" i="5"/>
  <c r="L1304" i="5"/>
  <c r="K1304" i="5"/>
  <c r="J1304" i="5"/>
  <c r="I1304" i="5"/>
  <c r="H1304" i="5"/>
  <c r="G1304" i="5"/>
  <c r="F1304" i="5"/>
  <c r="E1304" i="5"/>
  <c r="D1304" i="5"/>
  <c r="C1304" i="5"/>
  <c r="B1304" i="5"/>
  <c r="A1304" i="5"/>
  <c r="M1303" i="5"/>
  <c r="L1303" i="5"/>
  <c r="K1303" i="5"/>
  <c r="J1303" i="5"/>
  <c r="I1303" i="5"/>
  <c r="H1303" i="5"/>
  <c r="G1303" i="5"/>
  <c r="F1303" i="5"/>
  <c r="D1303" i="5"/>
  <c r="C1303" i="5"/>
  <c r="B1303" i="5"/>
  <c r="A1303" i="5"/>
  <c r="M1302" i="5"/>
  <c r="L1302" i="5"/>
  <c r="K1302" i="5"/>
  <c r="J1302" i="5"/>
  <c r="I1302" i="5"/>
  <c r="H1302" i="5"/>
  <c r="G1302" i="5"/>
  <c r="F1302" i="5"/>
  <c r="D1302" i="5"/>
  <c r="C1302" i="5"/>
  <c r="B1302" i="5"/>
  <c r="A1302" i="5"/>
  <c r="M1301" i="5"/>
  <c r="L1301" i="5"/>
  <c r="K1301" i="5"/>
  <c r="J1301" i="5"/>
  <c r="I1301" i="5"/>
  <c r="H1301" i="5"/>
  <c r="G1301" i="5"/>
  <c r="F1301" i="5"/>
  <c r="D1301" i="5"/>
  <c r="C1301" i="5"/>
  <c r="B1301" i="5"/>
  <c r="A1301" i="5"/>
  <c r="M1300" i="5"/>
  <c r="L1300" i="5"/>
  <c r="K1300" i="5"/>
  <c r="J1300" i="5"/>
  <c r="I1300" i="5"/>
  <c r="H1300" i="5"/>
  <c r="G1300" i="5"/>
  <c r="F1300" i="5"/>
  <c r="D1300" i="5"/>
  <c r="C1300" i="5"/>
  <c r="B1300" i="5"/>
  <c r="A1300" i="5"/>
  <c r="M1299" i="5"/>
  <c r="L1299" i="5"/>
  <c r="K1299" i="5"/>
  <c r="J1299" i="5"/>
  <c r="I1299" i="5"/>
  <c r="H1299" i="5"/>
  <c r="G1299" i="5"/>
  <c r="F1299" i="5"/>
  <c r="D1299" i="5"/>
  <c r="C1299" i="5"/>
  <c r="B1299" i="5"/>
  <c r="A1299" i="5"/>
  <c r="M1298" i="5"/>
  <c r="L1298" i="5"/>
  <c r="K1298" i="5"/>
  <c r="J1298" i="5"/>
  <c r="I1298" i="5"/>
  <c r="H1298" i="5"/>
  <c r="G1298" i="5"/>
  <c r="F1298" i="5"/>
  <c r="E1298" i="5"/>
  <c r="D1298" i="5"/>
  <c r="C1298" i="5"/>
  <c r="B1298" i="5"/>
  <c r="A1298" i="5"/>
  <c r="M1297" i="5"/>
  <c r="L1297" i="5"/>
  <c r="K1297" i="5"/>
  <c r="J1297" i="5"/>
  <c r="I1297" i="5"/>
  <c r="H1297" i="5"/>
  <c r="G1297" i="5"/>
  <c r="F1297" i="5"/>
  <c r="D1297" i="5"/>
  <c r="C1297" i="5"/>
  <c r="B1297" i="5"/>
  <c r="A1297" i="5"/>
  <c r="M1296" i="5"/>
  <c r="L1296" i="5"/>
  <c r="K1296" i="5"/>
  <c r="J1296" i="5"/>
  <c r="I1296" i="5"/>
  <c r="H1296" i="5"/>
  <c r="G1296" i="5"/>
  <c r="F1296" i="5"/>
  <c r="E1296" i="5"/>
  <c r="D1296" i="5"/>
  <c r="C1296" i="5"/>
  <c r="B1296" i="5"/>
  <c r="A1296" i="5"/>
  <c r="M1295" i="5"/>
  <c r="L1295" i="5"/>
  <c r="K1295" i="5"/>
  <c r="J1295" i="5"/>
  <c r="I1295" i="5"/>
  <c r="H1295" i="5"/>
  <c r="G1295" i="5"/>
  <c r="F1295" i="5"/>
  <c r="D1295" i="5"/>
  <c r="C1295" i="5"/>
  <c r="B1295" i="5"/>
  <c r="A1295" i="5"/>
  <c r="M1294" i="5"/>
  <c r="L1294" i="5"/>
  <c r="K1294" i="5"/>
  <c r="J1294" i="5"/>
  <c r="I1294" i="5"/>
  <c r="H1294" i="5"/>
  <c r="G1294" i="5"/>
  <c r="F1294" i="5"/>
  <c r="D1294" i="5"/>
  <c r="C1294" i="5"/>
  <c r="B1294" i="5"/>
  <c r="A1294" i="5"/>
  <c r="M1293" i="5"/>
  <c r="L1293" i="5"/>
  <c r="K1293" i="5"/>
  <c r="J1293" i="5"/>
  <c r="I1293" i="5"/>
  <c r="H1293" i="5"/>
  <c r="G1293" i="5"/>
  <c r="F1293" i="5"/>
  <c r="E1293" i="5"/>
  <c r="D1293" i="5"/>
  <c r="C1293" i="5"/>
  <c r="B1293" i="5"/>
  <c r="A1293" i="5"/>
  <c r="M1292" i="5"/>
  <c r="L1292" i="5"/>
  <c r="K1292" i="5"/>
  <c r="J1292" i="5"/>
  <c r="I1292" i="5"/>
  <c r="H1292" i="5"/>
  <c r="G1292" i="5"/>
  <c r="F1292" i="5"/>
  <c r="D1292" i="5"/>
  <c r="C1292" i="5"/>
  <c r="B1292" i="5"/>
  <c r="A1292" i="5"/>
  <c r="M1291" i="5"/>
  <c r="L1291" i="5"/>
  <c r="K1291" i="5"/>
  <c r="J1291" i="5"/>
  <c r="I1291" i="5"/>
  <c r="H1291" i="5"/>
  <c r="G1291" i="5"/>
  <c r="F1291" i="5"/>
  <c r="D1291" i="5"/>
  <c r="C1291" i="5"/>
  <c r="B1291" i="5"/>
  <c r="A1291" i="5"/>
  <c r="M1290" i="5"/>
  <c r="L1290" i="5"/>
  <c r="K1290" i="5"/>
  <c r="J1290" i="5"/>
  <c r="I1290" i="5"/>
  <c r="H1290" i="5"/>
  <c r="G1290" i="5"/>
  <c r="F1290" i="5"/>
  <c r="E1290" i="5"/>
  <c r="D1290" i="5"/>
  <c r="C1290" i="5"/>
  <c r="B1290" i="5"/>
  <c r="A1290" i="5"/>
  <c r="M1289" i="5"/>
  <c r="L1289" i="5"/>
  <c r="K1289" i="5"/>
  <c r="J1289" i="5"/>
  <c r="I1289" i="5"/>
  <c r="H1289" i="5"/>
  <c r="G1289" i="5"/>
  <c r="F1289" i="5"/>
  <c r="E1289" i="5"/>
  <c r="D1289" i="5"/>
  <c r="C1289" i="5"/>
  <c r="B1289" i="5"/>
  <c r="A1289" i="5"/>
  <c r="M1288" i="5"/>
  <c r="L1288" i="5"/>
  <c r="K1288" i="5"/>
  <c r="J1288" i="5"/>
  <c r="I1288" i="5"/>
  <c r="H1288" i="5"/>
  <c r="G1288" i="5"/>
  <c r="F1288" i="5"/>
  <c r="E1288" i="5"/>
  <c r="D1288" i="5"/>
  <c r="C1288" i="5"/>
  <c r="B1288" i="5"/>
  <c r="A1288" i="5"/>
  <c r="M1287" i="5"/>
  <c r="L1287" i="5"/>
  <c r="K1287" i="5"/>
  <c r="J1287" i="5"/>
  <c r="I1287" i="5"/>
  <c r="H1287" i="5"/>
  <c r="G1287" i="5"/>
  <c r="F1287" i="5"/>
  <c r="E1287" i="5"/>
  <c r="D1287" i="5"/>
  <c r="C1287" i="5"/>
  <c r="B1287" i="5"/>
  <c r="A1287" i="5"/>
  <c r="M1286" i="5"/>
  <c r="L1286" i="5"/>
  <c r="K1286" i="5"/>
  <c r="J1286" i="5"/>
  <c r="I1286" i="5"/>
  <c r="H1286" i="5"/>
  <c r="G1286" i="5"/>
  <c r="F1286" i="5"/>
  <c r="E1286" i="5"/>
  <c r="D1286" i="5"/>
  <c r="C1286" i="5"/>
  <c r="B1286" i="5"/>
  <c r="A1286" i="5"/>
  <c r="M1285" i="5"/>
  <c r="L1285" i="5"/>
  <c r="K1285" i="5"/>
  <c r="J1285" i="5"/>
  <c r="I1285" i="5"/>
  <c r="H1285" i="5"/>
  <c r="G1285" i="5"/>
  <c r="F1285" i="5"/>
  <c r="E1285" i="5"/>
  <c r="D1285" i="5"/>
  <c r="C1285" i="5"/>
  <c r="B1285" i="5"/>
  <c r="A1285" i="5"/>
  <c r="M1284" i="5"/>
  <c r="L1284" i="5"/>
  <c r="K1284" i="5"/>
  <c r="J1284" i="5"/>
  <c r="I1284" i="5"/>
  <c r="H1284" i="5"/>
  <c r="G1284" i="5"/>
  <c r="F1284" i="5"/>
  <c r="E1284" i="5"/>
  <c r="D1284" i="5"/>
  <c r="C1284" i="5"/>
  <c r="B1284" i="5"/>
  <c r="A1284" i="5"/>
  <c r="M1283" i="5"/>
  <c r="L1283" i="5"/>
  <c r="K1283" i="5"/>
  <c r="J1283" i="5"/>
  <c r="I1283" i="5"/>
  <c r="H1283" i="5"/>
  <c r="G1283" i="5"/>
  <c r="F1283" i="5"/>
  <c r="E1283" i="5"/>
  <c r="D1283" i="5"/>
  <c r="C1283" i="5"/>
  <c r="B1283" i="5"/>
  <c r="A1283" i="5"/>
  <c r="M1282" i="5"/>
  <c r="L1282" i="5"/>
  <c r="K1282" i="5"/>
  <c r="J1282" i="5"/>
  <c r="I1282" i="5"/>
  <c r="H1282" i="5"/>
  <c r="G1282" i="5"/>
  <c r="F1282" i="5"/>
  <c r="E1282" i="5"/>
  <c r="D1282" i="5"/>
  <c r="C1282" i="5"/>
  <c r="B1282" i="5"/>
  <c r="A1282" i="5"/>
  <c r="M1281" i="5"/>
  <c r="L1281" i="5"/>
  <c r="K1281" i="5"/>
  <c r="J1281" i="5"/>
  <c r="I1281" i="5"/>
  <c r="H1281" i="5"/>
  <c r="G1281" i="5"/>
  <c r="F1281" i="5"/>
  <c r="E1281" i="5"/>
  <c r="D1281" i="5"/>
  <c r="C1281" i="5"/>
  <c r="B1281" i="5"/>
  <c r="A1281" i="5"/>
  <c r="M1280" i="5"/>
  <c r="L1280" i="5"/>
  <c r="K1280" i="5"/>
  <c r="J1280" i="5"/>
  <c r="I1280" i="5"/>
  <c r="H1280" i="5"/>
  <c r="G1280" i="5"/>
  <c r="F1280" i="5"/>
  <c r="D1280" i="5"/>
  <c r="C1280" i="5"/>
  <c r="B1280" i="5"/>
  <c r="A1280" i="5"/>
  <c r="M1279" i="5"/>
  <c r="L1279" i="5"/>
  <c r="K1279" i="5"/>
  <c r="J1279" i="5"/>
  <c r="I1279" i="5"/>
  <c r="H1279" i="5"/>
  <c r="G1279" i="5"/>
  <c r="F1279" i="5"/>
  <c r="E1279" i="5"/>
  <c r="D1279" i="5"/>
  <c r="C1279" i="5"/>
  <c r="B1279" i="5"/>
  <c r="A1279" i="5"/>
  <c r="M1278" i="5"/>
  <c r="L1278" i="5"/>
  <c r="K1278" i="5"/>
  <c r="J1278" i="5"/>
  <c r="I1278" i="5"/>
  <c r="H1278" i="5"/>
  <c r="G1278" i="5"/>
  <c r="F1278" i="5"/>
  <c r="E1278" i="5"/>
  <c r="D1278" i="5"/>
  <c r="B1278" i="5"/>
  <c r="A1278" i="5"/>
  <c r="M1277" i="5"/>
  <c r="L1277" i="5"/>
  <c r="K1277" i="5"/>
  <c r="J1277" i="5"/>
  <c r="I1277" i="5"/>
  <c r="H1277" i="5"/>
  <c r="G1277" i="5"/>
  <c r="F1277" i="5"/>
  <c r="E1277" i="5"/>
  <c r="D1277" i="5"/>
  <c r="C1277" i="5"/>
  <c r="B1277" i="5"/>
  <c r="A1277" i="5"/>
  <c r="M1276" i="5"/>
  <c r="L1276" i="5"/>
  <c r="K1276" i="5"/>
  <c r="J1276" i="5"/>
  <c r="I1276" i="5"/>
  <c r="H1276" i="5"/>
  <c r="G1276" i="5"/>
  <c r="F1276" i="5"/>
  <c r="E1276" i="5"/>
  <c r="D1276" i="5"/>
  <c r="C1276" i="5"/>
  <c r="B1276" i="5"/>
  <c r="A1276" i="5"/>
  <c r="M1275" i="5"/>
  <c r="L1275" i="5"/>
  <c r="K1275" i="5"/>
  <c r="J1275" i="5"/>
  <c r="I1275" i="5"/>
  <c r="H1275" i="5"/>
  <c r="G1275" i="5"/>
  <c r="F1275" i="5"/>
  <c r="E1275" i="5"/>
  <c r="D1275" i="5"/>
  <c r="C1275" i="5"/>
  <c r="B1275" i="5"/>
  <c r="A1275" i="5"/>
  <c r="M1274" i="5"/>
  <c r="L1274" i="5"/>
  <c r="K1274" i="5"/>
  <c r="J1274" i="5"/>
  <c r="I1274" i="5"/>
  <c r="H1274" i="5"/>
  <c r="G1274" i="5"/>
  <c r="F1274" i="5"/>
  <c r="E1274" i="5"/>
  <c r="D1274" i="5"/>
  <c r="C1274" i="5"/>
  <c r="B1274" i="5"/>
  <c r="A1274" i="5"/>
  <c r="M1273" i="5"/>
  <c r="L1273" i="5"/>
  <c r="K1273" i="5"/>
  <c r="J1273" i="5"/>
  <c r="I1273" i="5"/>
  <c r="H1273" i="5"/>
  <c r="G1273" i="5"/>
  <c r="F1273" i="5"/>
  <c r="E1273" i="5"/>
  <c r="D1273" i="5"/>
  <c r="C1273" i="5"/>
  <c r="B1273" i="5"/>
  <c r="A1273" i="5"/>
  <c r="M1272" i="5"/>
  <c r="L1272" i="5"/>
  <c r="K1272" i="5"/>
  <c r="J1272" i="5"/>
  <c r="I1272" i="5"/>
  <c r="H1272" i="5"/>
  <c r="G1272" i="5"/>
  <c r="F1272" i="5"/>
  <c r="E1272" i="5"/>
  <c r="D1272" i="5"/>
  <c r="C1272" i="5"/>
  <c r="B1272" i="5"/>
  <c r="A1272" i="5"/>
  <c r="M1271" i="5"/>
  <c r="L1271" i="5"/>
  <c r="K1271" i="5"/>
  <c r="J1271" i="5"/>
  <c r="I1271" i="5"/>
  <c r="H1271" i="5"/>
  <c r="G1271" i="5"/>
  <c r="F1271" i="5"/>
  <c r="E1271" i="5"/>
  <c r="D1271" i="5"/>
  <c r="C1271" i="5"/>
  <c r="B1271" i="5"/>
  <c r="A1271" i="5"/>
  <c r="M1270" i="5"/>
  <c r="L1270" i="5"/>
  <c r="K1270" i="5"/>
  <c r="J1270" i="5"/>
  <c r="I1270" i="5"/>
  <c r="H1270" i="5"/>
  <c r="G1270" i="5"/>
  <c r="F1270" i="5"/>
  <c r="E1270" i="5"/>
  <c r="D1270" i="5"/>
  <c r="C1270" i="5"/>
  <c r="B1270" i="5"/>
  <c r="A1270" i="5"/>
  <c r="M1269" i="5"/>
  <c r="L1269" i="5"/>
  <c r="K1269" i="5"/>
  <c r="J1269" i="5"/>
  <c r="I1269" i="5"/>
  <c r="H1269" i="5"/>
  <c r="G1269" i="5"/>
  <c r="F1269" i="5"/>
  <c r="E1269" i="5"/>
  <c r="D1269" i="5"/>
  <c r="C1269" i="5"/>
  <c r="B1269" i="5"/>
  <c r="A1269" i="5"/>
  <c r="M1268" i="5"/>
  <c r="L1268" i="5"/>
  <c r="K1268" i="5"/>
  <c r="J1268" i="5"/>
  <c r="I1268" i="5"/>
  <c r="H1268" i="5"/>
  <c r="G1268" i="5"/>
  <c r="F1268" i="5"/>
  <c r="E1268" i="5"/>
  <c r="D1268" i="5"/>
  <c r="C1268" i="5"/>
  <c r="B1268" i="5"/>
  <c r="A1268" i="5"/>
  <c r="M1267" i="5"/>
  <c r="L1267" i="5"/>
  <c r="K1267" i="5"/>
  <c r="J1267" i="5"/>
  <c r="I1267" i="5"/>
  <c r="H1267" i="5"/>
  <c r="G1267" i="5"/>
  <c r="F1267" i="5"/>
  <c r="E1267" i="5"/>
  <c r="D1267" i="5"/>
  <c r="C1267" i="5"/>
  <c r="B1267" i="5"/>
  <c r="A1267" i="5"/>
  <c r="M1266" i="5"/>
  <c r="L1266" i="5"/>
  <c r="K1266" i="5"/>
  <c r="J1266" i="5"/>
  <c r="I1266" i="5"/>
  <c r="H1266" i="5"/>
  <c r="G1266" i="5"/>
  <c r="F1266" i="5"/>
  <c r="E1266" i="5"/>
  <c r="D1266" i="5"/>
  <c r="C1266" i="5"/>
  <c r="B1266" i="5"/>
  <c r="A1266" i="5"/>
  <c r="M1265" i="5"/>
  <c r="L1265" i="5"/>
  <c r="K1265" i="5"/>
  <c r="J1265" i="5"/>
  <c r="I1265" i="5"/>
  <c r="H1265" i="5"/>
  <c r="G1265" i="5"/>
  <c r="F1265" i="5"/>
  <c r="D1265" i="5"/>
  <c r="C1265" i="5"/>
  <c r="B1265" i="5"/>
  <c r="A1265" i="5"/>
  <c r="M1264" i="5"/>
  <c r="L1264" i="5"/>
  <c r="K1264" i="5"/>
  <c r="J1264" i="5"/>
  <c r="I1264" i="5"/>
  <c r="H1264" i="5"/>
  <c r="G1264" i="5"/>
  <c r="D1264" i="5"/>
  <c r="C1264" i="5"/>
  <c r="B1264" i="5"/>
  <c r="A1264" i="5"/>
  <c r="M1263" i="5"/>
  <c r="L1263" i="5"/>
  <c r="K1263" i="5"/>
  <c r="J1263" i="5"/>
  <c r="I1263" i="5"/>
  <c r="H1263" i="5"/>
  <c r="G1263" i="5"/>
  <c r="F1263" i="5"/>
  <c r="E1263" i="5"/>
  <c r="D1263" i="5"/>
  <c r="C1263" i="5"/>
  <c r="B1263" i="5"/>
  <c r="A1263" i="5"/>
  <c r="M1262" i="5"/>
  <c r="L1262" i="5"/>
  <c r="K1262" i="5"/>
  <c r="J1262" i="5"/>
  <c r="I1262" i="5"/>
  <c r="H1262" i="5"/>
  <c r="G1262" i="5"/>
  <c r="F1262" i="5"/>
  <c r="E1262" i="5"/>
  <c r="D1262" i="5"/>
  <c r="C1262" i="5"/>
  <c r="B1262" i="5"/>
  <c r="A1262" i="5"/>
  <c r="M1261" i="5"/>
  <c r="L1261" i="5"/>
  <c r="K1261" i="5"/>
  <c r="J1261" i="5"/>
  <c r="I1261" i="5"/>
  <c r="H1261" i="5"/>
  <c r="G1261" i="5"/>
  <c r="F1261" i="5"/>
  <c r="E1261" i="5"/>
  <c r="D1261" i="5"/>
  <c r="C1261" i="5"/>
  <c r="B1261" i="5"/>
  <c r="A1261" i="5"/>
  <c r="M1260" i="5"/>
  <c r="L1260" i="5"/>
  <c r="K1260" i="5"/>
  <c r="J1260" i="5"/>
  <c r="I1260" i="5"/>
  <c r="H1260" i="5"/>
  <c r="G1260" i="5"/>
  <c r="F1260" i="5"/>
  <c r="E1260" i="5"/>
  <c r="D1260" i="5"/>
  <c r="C1260" i="5"/>
  <c r="B1260" i="5"/>
  <c r="A1260" i="5"/>
  <c r="M1259" i="5"/>
  <c r="L1259" i="5"/>
  <c r="K1259" i="5"/>
  <c r="J1259" i="5"/>
  <c r="I1259" i="5"/>
  <c r="H1259" i="5"/>
  <c r="G1259" i="5"/>
  <c r="F1259" i="5"/>
  <c r="E1259" i="5"/>
  <c r="D1259" i="5"/>
  <c r="C1259" i="5"/>
  <c r="B1259" i="5"/>
  <c r="A1259" i="5"/>
  <c r="M1258" i="5"/>
  <c r="L1258" i="5"/>
  <c r="K1258" i="5"/>
  <c r="J1258" i="5"/>
  <c r="I1258" i="5"/>
  <c r="H1258" i="5"/>
  <c r="G1258" i="5"/>
  <c r="F1258" i="5"/>
  <c r="E1258" i="5"/>
  <c r="D1258" i="5"/>
  <c r="C1258" i="5"/>
  <c r="B1258" i="5"/>
  <c r="A1258" i="5"/>
  <c r="M1257" i="5"/>
  <c r="L1257" i="5"/>
  <c r="K1257" i="5"/>
  <c r="J1257" i="5"/>
  <c r="I1257" i="5"/>
  <c r="H1257" i="5"/>
  <c r="G1257" i="5"/>
  <c r="F1257" i="5"/>
  <c r="E1257" i="5"/>
  <c r="D1257" i="5"/>
  <c r="C1257" i="5"/>
  <c r="B1257" i="5"/>
  <c r="A1257" i="5"/>
  <c r="M1256" i="5"/>
  <c r="L1256" i="5"/>
  <c r="K1256" i="5"/>
  <c r="J1256" i="5"/>
  <c r="I1256" i="5"/>
  <c r="H1256" i="5"/>
  <c r="G1256" i="5"/>
  <c r="F1256" i="5"/>
  <c r="E1256" i="5"/>
  <c r="D1256" i="5"/>
  <c r="C1256" i="5"/>
  <c r="B1256" i="5"/>
  <c r="A1256" i="5"/>
  <c r="M1255" i="5"/>
  <c r="L1255" i="5"/>
  <c r="K1255" i="5"/>
  <c r="J1255" i="5"/>
  <c r="I1255" i="5"/>
  <c r="H1255" i="5"/>
  <c r="G1255" i="5"/>
  <c r="F1255" i="5"/>
  <c r="E1255" i="5"/>
  <c r="D1255" i="5"/>
  <c r="C1255" i="5"/>
  <c r="B1255" i="5"/>
  <c r="A1255" i="5"/>
  <c r="M1254" i="5"/>
  <c r="L1254" i="5"/>
  <c r="K1254" i="5"/>
  <c r="J1254" i="5"/>
  <c r="I1254" i="5"/>
  <c r="H1254" i="5"/>
  <c r="G1254" i="5"/>
  <c r="F1254" i="5"/>
  <c r="E1254" i="5"/>
  <c r="D1254" i="5"/>
  <c r="C1254" i="5"/>
  <c r="B1254" i="5"/>
  <c r="A1254" i="5"/>
  <c r="M1253" i="5"/>
  <c r="L1253" i="5"/>
  <c r="K1253" i="5"/>
  <c r="J1253" i="5"/>
  <c r="I1253" i="5"/>
  <c r="H1253" i="5"/>
  <c r="G1253" i="5"/>
  <c r="F1253" i="5"/>
  <c r="E1253" i="5"/>
  <c r="D1253" i="5"/>
  <c r="B1253" i="5"/>
  <c r="A1253" i="5"/>
  <c r="M1252" i="5"/>
  <c r="L1252" i="5"/>
  <c r="K1252" i="5"/>
  <c r="J1252" i="5"/>
  <c r="I1252" i="5"/>
  <c r="H1252" i="5"/>
  <c r="G1252" i="5"/>
  <c r="F1252" i="5"/>
  <c r="E1252" i="5"/>
  <c r="D1252" i="5"/>
  <c r="C1252" i="5"/>
  <c r="B1252" i="5"/>
  <c r="A1252" i="5"/>
  <c r="M1251" i="5"/>
  <c r="L1251" i="5"/>
  <c r="K1251" i="5"/>
  <c r="J1251" i="5"/>
  <c r="I1251" i="5"/>
  <c r="H1251" i="5"/>
  <c r="G1251" i="5"/>
  <c r="F1251" i="5"/>
  <c r="E1251" i="5"/>
  <c r="D1251" i="5"/>
  <c r="C1251" i="5"/>
  <c r="B1251" i="5"/>
  <c r="A1251" i="5"/>
  <c r="M1250" i="5"/>
  <c r="L1250" i="5"/>
  <c r="K1250" i="5"/>
  <c r="J1250" i="5"/>
  <c r="I1250" i="5"/>
  <c r="H1250" i="5"/>
  <c r="G1250" i="5"/>
  <c r="F1250" i="5"/>
  <c r="E1250" i="5"/>
  <c r="D1250" i="5"/>
  <c r="C1250" i="5"/>
  <c r="B1250" i="5"/>
  <c r="A1250" i="5"/>
  <c r="M1249" i="5"/>
  <c r="L1249" i="5"/>
  <c r="K1249" i="5"/>
  <c r="J1249" i="5"/>
  <c r="I1249" i="5"/>
  <c r="H1249" i="5"/>
  <c r="G1249" i="5"/>
  <c r="F1249" i="5"/>
  <c r="E1249" i="5"/>
  <c r="D1249" i="5"/>
  <c r="C1249" i="5"/>
  <c r="B1249" i="5"/>
  <c r="A1249" i="5"/>
  <c r="M1248" i="5"/>
  <c r="L1248" i="5"/>
  <c r="K1248" i="5"/>
  <c r="J1248" i="5"/>
  <c r="I1248" i="5"/>
  <c r="H1248" i="5"/>
  <c r="G1248" i="5"/>
  <c r="F1248" i="5"/>
  <c r="E1248" i="5"/>
  <c r="D1248" i="5"/>
  <c r="C1248" i="5"/>
  <c r="B1248" i="5"/>
  <c r="A1248" i="5"/>
  <c r="M1247" i="5"/>
  <c r="L1247" i="5"/>
  <c r="K1247" i="5"/>
  <c r="J1247" i="5"/>
  <c r="I1247" i="5"/>
  <c r="H1247" i="5"/>
  <c r="G1247" i="5"/>
  <c r="F1247" i="5"/>
  <c r="E1247" i="5"/>
  <c r="D1247" i="5"/>
  <c r="C1247" i="5"/>
  <c r="B1247" i="5"/>
  <c r="A1247" i="5"/>
  <c r="M1246" i="5"/>
  <c r="L1246" i="5"/>
  <c r="K1246" i="5"/>
  <c r="J1246" i="5"/>
  <c r="I1246" i="5"/>
  <c r="H1246" i="5"/>
  <c r="G1246" i="5"/>
  <c r="F1246" i="5"/>
  <c r="E1246" i="5"/>
  <c r="D1246" i="5"/>
  <c r="C1246" i="5"/>
  <c r="B1246" i="5"/>
  <c r="A1246" i="5"/>
  <c r="M1245" i="5"/>
  <c r="L1245" i="5"/>
  <c r="K1245" i="5"/>
  <c r="J1245" i="5"/>
  <c r="I1245" i="5"/>
  <c r="H1245" i="5"/>
  <c r="G1245" i="5"/>
  <c r="F1245" i="5"/>
  <c r="E1245" i="5"/>
  <c r="D1245" i="5"/>
  <c r="C1245" i="5"/>
  <c r="B1245" i="5"/>
  <c r="A1245" i="5"/>
  <c r="M1244" i="5"/>
  <c r="L1244" i="5"/>
  <c r="K1244" i="5"/>
  <c r="J1244" i="5"/>
  <c r="I1244" i="5"/>
  <c r="H1244" i="5"/>
  <c r="G1244" i="5"/>
  <c r="F1244" i="5"/>
  <c r="E1244" i="5"/>
  <c r="D1244" i="5"/>
  <c r="C1244" i="5"/>
  <c r="B1244" i="5"/>
  <c r="A1244" i="5"/>
  <c r="M1243" i="5"/>
  <c r="L1243" i="5"/>
  <c r="K1243" i="5"/>
  <c r="J1243" i="5"/>
  <c r="I1243" i="5"/>
  <c r="H1243" i="5"/>
  <c r="G1243" i="5"/>
  <c r="F1243" i="5"/>
  <c r="E1243" i="5"/>
  <c r="D1243" i="5"/>
  <c r="C1243" i="5"/>
  <c r="B1243" i="5"/>
  <c r="A1243" i="5"/>
  <c r="M1242" i="5"/>
  <c r="L1242" i="5"/>
  <c r="K1242" i="5"/>
  <c r="J1242" i="5"/>
  <c r="I1242" i="5"/>
  <c r="H1242" i="5"/>
  <c r="G1242" i="5"/>
  <c r="F1242" i="5"/>
  <c r="E1242" i="5"/>
  <c r="D1242" i="5"/>
  <c r="C1242" i="5"/>
  <c r="B1242" i="5"/>
  <c r="A1242" i="5"/>
  <c r="M1241" i="5"/>
  <c r="L1241" i="5"/>
  <c r="K1241" i="5"/>
  <c r="J1241" i="5"/>
  <c r="I1241" i="5"/>
  <c r="H1241" i="5"/>
  <c r="G1241" i="5"/>
  <c r="F1241" i="5"/>
  <c r="E1241" i="5"/>
  <c r="D1241" i="5"/>
  <c r="C1241" i="5"/>
  <c r="B1241" i="5"/>
  <c r="A1241" i="5"/>
  <c r="M1240" i="5"/>
  <c r="L1240" i="5"/>
  <c r="K1240" i="5"/>
  <c r="J1240" i="5"/>
  <c r="I1240" i="5"/>
  <c r="H1240" i="5"/>
  <c r="G1240" i="5"/>
  <c r="F1240" i="5"/>
  <c r="E1240" i="5"/>
  <c r="D1240" i="5"/>
  <c r="C1240" i="5"/>
  <c r="B1240" i="5"/>
  <c r="A1240" i="5"/>
  <c r="M1239" i="5"/>
  <c r="L1239" i="5"/>
  <c r="K1239" i="5"/>
  <c r="J1239" i="5"/>
  <c r="I1239" i="5"/>
  <c r="H1239" i="5"/>
  <c r="G1239" i="5"/>
  <c r="F1239" i="5"/>
  <c r="D1239" i="5"/>
  <c r="C1239" i="5"/>
  <c r="B1239" i="5"/>
  <c r="A1239" i="5"/>
  <c r="M1238" i="5"/>
  <c r="L1238" i="5"/>
  <c r="K1238" i="5"/>
  <c r="J1238" i="5"/>
  <c r="I1238" i="5"/>
  <c r="H1238" i="5"/>
  <c r="G1238" i="5"/>
  <c r="F1238" i="5"/>
  <c r="E1238" i="5"/>
  <c r="D1238" i="5"/>
  <c r="C1238" i="5"/>
  <c r="B1238" i="5"/>
  <c r="A1238" i="5"/>
  <c r="M1237" i="5"/>
  <c r="L1237" i="5"/>
  <c r="K1237" i="5"/>
  <c r="J1237" i="5"/>
  <c r="I1237" i="5"/>
  <c r="H1237" i="5"/>
  <c r="G1237" i="5"/>
  <c r="F1237" i="5"/>
  <c r="E1237" i="5"/>
  <c r="D1237" i="5"/>
  <c r="C1237" i="5"/>
  <c r="B1237" i="5"/>
  <c r="A1237" i="5"/>
  <c r="M1236" i="5"/>
  <c r="L1236" i="5"/>
  <c r="K1236" i="5"/>
  <c r="J1236" i="5"/>
  <c r="I1236" i="5"/>
  <c r="H1236" i="5"/>
  <c r="G1236" i="5"/>
  <c r="F1236" i="5"/>
  <c r="E1236" i="5"/>
  <c r="D1236" i="5"/>
  <c r="C1236" i="5"/>
  <c r="B1236" i="5"/>
  <c r="A1236" i="5"/>
  <c r="M1235" i="5"/>
  <c r="L1235" i="5"/>
  <c r="K1235" i="5"/>
  <c r="J1235" i="5"/>
  <c r="I1235" i="5"/>
  <c r="H1235" i="5"/>
  <c r="G1235" i="5"/>
  <c r="F1235" i="5"/>
  <c r="E1235" i="5"/>
  <c r="D1235" i="5"/>
  <c r="C1235" i="5"/>
  <c r="B1235" i="5"/>
  <c r="A1235" i="5"/>
  <c r="M1234" i="5"/>
  <c r="L1234" i="5"/>
  <c r="K1234" i="5"/>
  <c r="J1234" i="5"/>
  <c r="I1234" i="5"/>
  <c r="H1234" i="5"/>
  <c r="G1234" i="5"/>
  <c r="F1234" i="5"/>
  <c r="E1234" i="5"/>
  <c r="D1234" i="5"/>
  <c r="C1234" i="5"/>
  <c r="B1234" i="5"/>
  <c r="A1234" i="5"/>
  <c r="M1233" i="5"/>
  <c r="L1233" i="5"/>
  <c r="K1233" i="5"/>
  <c r="J1233" i="5"/>
  <c r="I1233" i="5"/>
  <c r="H1233" i="5"/>
  <c r="G1233" i="5"/>
  <c r="F1233" i="5"/>
  <c r="E1233" i="5"/>
  <c r="D1233" i="5"/>
  <c r="C1233" i="5"/>
  <c r="B1233" i="5"/>
  <c r="A1233" i="5"/>
  <c r="M1232" i="5"/>
  <c r="L1232" i="5"/>
  <c r="K1232" i="5"/>
  <c r="J1232" i="5"/>
  <c r="I1232" i="5"/>
  <c r="H1232" i="5"/>
  <c r="G1232" i="5"/>
  <c r="F1232" i="5"/>
  <c r="E1232" i="5"/>
  <c r="D1232" i="5"/>
  <c r="C1232" i="5"/>
  <c r="B1232" i="5"/>
  <c r="A1232" i="5"/>
  <c r="M1231" i="5"/>
  <c r="L1231" i="5"/>
  <c r="K1231" i="5"/>
  <c r="J1231" i="5"/>
  <c r="I1231" i="5"/>
  <c r="H1231" i="5"/>
  <c r="G1231" i="5"/>
  <c r="F1231" i="5"/>
  <c r="E1231" i="5"/>
  <c r="D1231" i="5"/>
  <c r="C1231" i="5"/>
  <c r="B1231" i="5"/>
  <c r="A1231" i="5"/>
  <c r="M1230" i="5"/>
  <c r="L1230" i="5"/>
  <c r="K1230" i="5"/>
  <c r="J1230" i="5"/>
  <c r="I1230" i="5"/>
  <c r="H1230" i="5"/>
  <c r="G1230" i="5"/>
  <c r="F1230" i="5"/>
  <c r="E1230" i="5"/>
  <c r="D1230" i="5"/>
  <c r="C1230" i="5"/>
  <c r="B1230" i="5"/>
  <c r="A1230" i="5"/>
  <c r="M1229" i="5"/>
  <c r="L1229" i="5"/>
  <c r="K1229" i="5"/>
  <c r="J1229" i="5"/>
  <c r="I1229" i="5"/>
  <c r="H1229" i="5"/>
  <c r="G1229" i="5"/>
  <c r="F1229" i="5"/>
  <c r="E1229" i="5"/>
  <c r="D1229" i="5"/>
  <c r="C1229" i="5"/>
  <c r="B1229" i="5"/>
  <c r="A1229" i="5"/>
  <c r="M1228" i="5"/>
  <c r="L1228" i="5"/>
  <c r="K1228" i="5"/>
  <c r="J1228" i="5"/>
  <c r="I1228" i="5"/>
  <c r="H1228" i="5"/>
  <c r="G1228" i="5"/>
  <c r="F1228" i="5"/>
  <c r="E1228" i="5"/>
  <c r="D1228" i="5"/>
  <c r="C1228" i="5"/>
  <c r="B1228" i="5"/>
  <c r="A1228" i="5"/>
  <c r="M1227" i="5"/>
  <c r="L1227" i="5"/>
  <c r="K1227" i="5"/>
  <c r="J1227" i="5"/>
  <c r="I1227" i="5"/>
  <c r="H1227" i="5"/>
  <c r="G1227" i="5"/>
  <c r="F1227" i="5"/>
  <c r="E1227" i="5"/>
  <c r="D1227" i="5"/>
  <c r="C1227" i="5"/>
  <c r="B1227" i="5"/>
  <c r="A1227" i="5"/>
  <c r="M1226" i="5"/>
  <c r="L1226" i="5"/>
  <c r="K1226" i="5"/>
  <c r="J1226" i="5"/>
  <c r="I1226" i="5"/>
  <c r="H1226" i="5"/>
  <c r="G1226" i="5"/>
  <c r="F1226" i="5"/>
  <c r="E1226" i="5"/>
  <c r="D1226" i="5"/>
  <c r="C1226" i="5"/>
  <c r="B1226" i="5"/>
  <c r="A1226" i="5"/>
  <c r="M1225" i="5"/>
  <c r="L1225" i="5"/>
  <c r="K1225" i="5"/>
  <c r="J1225" i="5"/>
  <c r="I1225" i="5"/>
  <c r="H1225" i="5"/>
  <c r="G1225" i="5"/>
  <c r="F1225" i="5"/>
  <c r="E1225" i="5"/>
  <c r="D1225" i="5"/>
  <c r="C1225" i="5"/>
  <c r="B1225" i="5"/>
  <c r="A1225" i="5"/>
  <c r="M1224" i="5"/>
  <c r="L1224" i="5"/>
  <c r="K1224" i="5"/>
  <c r="J1224" i="5"/>
  <c r="I1224" i="5"/>
  <c r="H1224" i="5"/>
  <c r="G1224" i="5"/>
  <c r="F1224" i="5"/>
  <c r="E1224" i="5"/>
  <c r="D1224" i="5"/>
  <c r="C1224" i="5"/>
  <c r="B1224" i="5"/>
  <c r="A1224" i="5"/>
  <c r="M1223" i="5"/>
  <c r="L1223" i="5"/>
  <c r="K1223" i="5"/>
  <c r="J1223" i="5"/>
  <c r="I1223" i="5"/>
  <c r="H1223" i="5"/>
  <c r="G1223" i="5"/>
  <c r="F1223" i="5"/>
  <c r="E1223" i="5"/>
  <c r="D1223" i="5"/>
  <c r="C1223" i="5"/>
  <c r="B1223" i="5"/>
  <c r="A1223" i="5"/>
  <c r="M1222" i="5"/>
  <c r="L1222" i="5"/>
  <c r="K1222" i="5"/>
  <c r="J1222" i="5"/>
  <c r="I1222" i="5"/>
  <c r="H1222" i="5"/>
  <c r="G1222" i="5"/>
  <c r="F1222" i="5"/>
  <c r="E1222" i="5"/>
  <c r="D1222" i="5"/>
  <c r="C1222" i="5"/>
  <c r="B1222" i="5"/>
  <c r="A1222" i="5"/>
  <c r="M1221" i="5"/>
  <c r="L1221" i="5"/>
  <c r="K1221" i="5"/>
  <c r="J1221" i="5"/>
  <c r="I1221" i="5"/>
  <c r="H1221" i="5"/>
  <c r="G1221" i="5"/>
  <c r="F1221" i="5"/>
  <c r="E1221" i="5"/>
  <c r="D1221" i="5"/>
  <c r="C1221" i="5"/>
  <c r="B1221" i="5"/>
  <c r="A1221" i="5"/>
  <c r="M1220" i="5"/>
  <c r="L1220" i="5"/>
  <c r="K1220" i="5"/>
  <c r="J1220" i="5"/>
  <c r="I1220" i="5"/>
  <c r="H1220" i="5"/>
  <c r="G1220" i="5"/>
  <c r="F1220" i="5"/>
  <c r="E1220" i="5"/>
  <c r="D1220" i="5"/>
  <c r="C1220" i="5"/>
  <c r="B1220" i="5"/>
  <c r="A1220" i="5"/>
  <c r="M1219" i="5"/>
  <c r="L1219" i="5"/>
  <c r="K1219" i="5"/>
  <c r="J1219" i="5"/>
  <c r="I1219" i="5"/>
  <c r="H1219" i="5"/>
  <c r="G1219" i="5"/>
  <c r="F1219" i="5"/>
  <c r="E1219" i="5"/>
  <c r="D1219" i="5"/>
  <c r="C1219" i="5"/>
  <c r="B1219" i="5"/>
  <c r="A1219" i="5"/>
  <c r="M1218" i="5"/>
  <c r="L1218" i="5"/>
  <c r="K1218" i="5"/>
  <c r="J1218" i="5"/>
  <c r="I1218" i="5"/>
  <c r="H1218" i="5"/>
  <c r="G1218" i="5"/>
  <c r="F1218" i="5"/>
  <c r="E1218" i="5"/>
  <c r="D1218" i="5"/>
  <c r="C1218" i="5"/>
  <c r="B1218" i="5"/>
  <c r="A1218" i="5"/>
  <c r="M1217" i="5"/>
  <c r="L1217" i="5"/>
  <c r="K1217" i="5"/>
  <c r="J1217" i="5"/>
  <c r="I1217" i="5"/>
  <c r="H1217" i="5"/>
  <c r="G1217" i="5"/>
  <c r="F1217" i="5"/>
  <c r="E1217" i="5"/>
  <c r="D1217" i="5"/>
  <c r="C1217" i="5"/>
  <c r="B1217" i="5"/>
  <c r="A1217" i="5"/>
  <c r="M1216" i="5"/>
  <c r="L1216" i="5"/>
  <c r="K1216" i="5"/>
  <c r="J1216" i="5"/>
  <c r="I1216" i="5"/>
  <c r="H1216" i="5"/>
  <c r="G1216" i="5"/>
  <c r="F1216" i="5"/>
  <c r="E1216" i="5"/>
  <c r="D1216" i="5"/>
  <c r="C1216" i="5"/>
  <c r="B1216" i="5"/>
  <c r="A1216" i="5"/>
  <c r="M1215" i="5"/>
  <c r="L1215" i="5"/>
  <c r="K1215" i="5"/>
  <c r="J1215" i="5"/>
  <c r="I1215" i="5"/>
  <c r="H1215" i="5"/>
  <c r="G1215" i="5"/>
  <c r="F1215" i="5"/>
  <c r="E1215" i="5"/>
  <c r="D1215" i="5"/>
  <c r="C1215" i="5"/>
  <c r="B1215" i="5"/>
  <c r="A1215" i="5"/>
  <c r="M1214" i="5"/>
  <c r="L1214" i="5"/>
  <c r="K1214" i="5"/>
  <c r="J1214" i="5"/>
  <c r="I1214" i="5"/>
  <c r="H1214" i="5"/>
  <c r="G1214" i="5"/>
  <c r="F1214" i="5"/>
  <c r="E1214" i="5"/>
  <c r="D1214" i="5"/>
  <c r="C1214" i="5"/>
  <c r="B1214" i="5"/>
  <c r="A1214" i="5"/>
  <c r="M1213" i="5"/>
  <c r="L1213" i="5"/>
  <c r="K1213" i="5"/>
  <c r="J1213" i="5"/>
  <c r="I1213" i="5"/>
  <c r="H1213" i="5"/>
  <c r="G1213" i="5"/>
  <c r="F1213" i="5"/>
  <c r="E1213" i="5"/>
  <c r="D1213" i="5"/>
  <c r="C1213" i="5"/>
  <c r="B1213" i="5"/>
  <c r="A1213" i="5"/>
  <c r="M1212" i="5"/>
  <c r="L1212" i="5"/>
  <c r="K1212" i="5"/>
  <c r="J1212" i="5"/>
  <c r="I1212" i="5"/>
  <c r="H1212" i="5"/>
  <c r="G1212" i="5"/>
  <c r="F1212" i="5"/>
  <c r="E1212" i="5"/>
  <c r="D1212" i="5"/>
  <c r="C1212" i="5"/>
  <c r="B1212" i="5"/>
  <c r="A1212" i="5"/>
  <c r="M1211" i="5"/>
  <c r="L1211" i="5"/>
  <c r="K1211" i="5"/>
  <c r="J1211" i="5"/>
  <c r="I1211" i="5"/>
  <c r="H1211" i="5"/>
  <c r="G1211" i="5"/>
  <c r="F1211" i="5"/>
  <c r="E1211" i="5"/>
  <c r="D1211" i="5"/>
  <c r="C1211" i="5"/>
  <c r="B1211" i="5"/>
  <c r="A1211" i="5"/>
  <c r="M1210" i="5"/>
  <c r="L1210" i="5"/>
  <c r="K1210" i="5"/>
  <c r="J1210" i="5"/>
  <c r="I1210" i="5"/>
  <c r="H1210" i="5"/>
  <c r="G1210" i="5"/>
  <c r="F1210" i="5"/>
  <c r="E1210" i="5"/>
  <c r="D1210" i="5"/>
  <c r="C1210" i="5"/>
  <c r="B1210" i="5"/>
  <c r="A1210" i="5"/>
  <c r="M1209" i="5"/>
  <c r="L1209" i="5"/>
  <c r="K1209" i="5"/>
  <c r="J1209" i="5"/>
  <c r="I1209" i="5"/>
  <c r="H1209" i="5"/>
  <c r="G1209" i="5"/>
  <c r="F1209" i="5"/>
  <c r="E1209" i="5"/>
  <c r="D1209" i="5"/>
  <c r="C1209" i="5"/>
  <c r="B1209" i="5"/>
  <c r="A1209" i="5"/>
  <c r="M1208" i="5"/>
  <c r="L1208" i="5"/>
  <c r="K1208" i="5"/>
  <c r="J1208" i="5"/>
  <c r="I1208" i="5"/>
  <c r="H1208" i="5"/>
  <c r="G1208" i="5"/>
  <c r="F1208" i="5"/>
  <c r="E1208" i="5"/>
  <c r="D1208" i="5"/>
  <c r="C1208" i="5"/>
  <c r="B1208" i="5"/>
  <c r="A1208" i="5"/>
  <c r="M1207" i="5"/>
  <c r="L1207" i="5"/>
  <c r="K1207" i="5"/>
  <c r="J1207" i="5"/>
  <c r="I1207" i="5"/>
  <c r="H1207" i="5"/>
  <c r="G1207" i="5"/>
  <c r="F1207" i="5"/>
  <c r="E1207" i="5"/>
  <c r="D1207" i="5"/>
  <c r="C1207" i="5"/>
  <c r="B1207" i="5"/>
  <c r="A1207" i="5"/>
  <c r="M1206" i="5"/>
  <c r="L1206" i="5"/>
  <c r="K1206" i="5"/>
  <c r="J1206" i="5"/>
  <c r="I1206" i="5"/>
  <c r="H1206" i="5"/>
  <c r="G1206" i="5"/>
  <c r="F1206" i="5"/>
  <c r="E1206" i="5"/>
  <c r="D1206" i="5"/>
  <c r="C1206" i="5"/>
  <c r="B1206" i="5"/>
  <c r="A1206" i="5"/>
  <c r="M1205" i="5"/>
  <c r="L1205" i="5"/>
  <c r="K1205" i="5"/>
  <c r="J1205" i="5"/>
  <c r="I1205" i="5"/>
  <c r="H1205" i="5"/>
  <c r="G1205" i="5"/>
  <c r="F1205" i="5"/>
  <c r="E1205" i="5"/>
  <c r="D1205" i="5"/>
  <c r="C1205" i="5"/>
  <c r="B1205" i="5"/>
  <c r="A1205" i="5"/>
  <c r="M1204" i="5"/>
  <c r="L1204" i="5"/>
  <c r="K1204" i="5"/>
  <c r="J1204" i="5"/>
  <c r="I1204" i="5"/>
  <c r="H1204" i="5"/>
  <c r="G1204" i="5"/>
  <c r="F1204" i="5"/>
  <c r="E1204" i="5"/>
  <c r="D1204" i="5"/>
  <c r="C1204" i="5"/>
  <c r="B1204" i="5"/>
  <c r="A1204" i="5"/>
  <c r="M1203" i="5"/>
  <c r="L1203" i="5"/>
  <c r="K1203" i="5"/>
  <c r="J1203" i="5"/>
  <c r="I1203" i="5"/>
  <c r="H1203" i="5"/>
  <c r="G1203" i="5"/>
  <c r="F1203" i="5"/>
  <c r="E1203" i="5"/>
  <c r="D1203" i="5"/>
  <c r="C1203" i="5"/>
  <c r="B1203" i="5"/>
  <c r="A1203" i="5"/>
  <c r="M1202" i="5"/>
  <c r="L1202" i="5"/>
  <c r="K1202" i="5"/>
  <c r="J1202" i="5"/>
  <c r="I1202" i="5"/>
  <c r="H1202" i="5"/>
  <c r="G1202" i="5"/>
  <c r="F1202" i="5"/>
  <c r="E1202" i="5"/>
  <c r="D1202" i="5"/>
  <c r="C1202" i="5"/>
  <c r="B1202" i="5"/>
  <c r="A1202" i="5"/>
  <c r="M1201" i="5"/>
  <c r="L1201" i="5"/>
  <c r="K1201" i="5"/>
  <c r="J1201" i="5"/>
  <c r="I1201" i="5"/>
  <c r="H1201" i="5"/>
  <c r="G1201" i="5"/>
  <c r="F1201" i="5"/>
  <c r="E1201" i="5"/>
  <c r="D1201" i="5"/>
  <c r="C1201" i="5"/>
  <c r="B1201" i="5"/>
  <c r="A1201" i="5"/>
  <c r="M1200" i="5"/>
  <c r="L1200" i="5"/>
  <c r="K1200" i="5"/>
  <c r="J1200" i="5"/>
  <c r="I1200" i="5"/>
  <c r="H1200" i="5"/>
  <c r="G1200" i="5"/>
  <c r="F1200" i="5"/>
  <c r="E1200" i="5"/>
  <c r="D1200" i="5"/>
  <c r="C1200" i="5"/>
  <c r="B1200" i="5"/>
  <c r="A1200" i="5"/>
  <c r="M1199" i="5"/>
  <c r="L1199" i="5"/>
  <c r="K1199" i="5"/>
  <c r="J1199" i="5"/>
  <c r="I1199" i="5"/>
  <c r="H1199" i="5"/>
  <c r="G1199" i="5"/>
  <c r="F1199" i="5"/>
  <c r="E1199" i="5"/>
  <c r="D1199" i="5"/>
  <c r="C1199" i="5"/>
  <c r="B1199" i="5"/>
  <c r="A1199" i="5"/>
  <c r="M1198" i="5"/>
  <c r="L1198" i="5"/>
  <c r="K1198" i="5"/>
  <c r="J1198" i="5"/>
  <c r="I1198" i="5"/>
  <c r="H1198" i="5"/>
  <c r="G1198" i="5"/>
  <c r="F1198" i="5"/>
  <c r="E1198" i="5"/>
  <c r="D1198" i="5"/>
  <c r="C1198" i="5"/>
  <c r="B1198" i="5"/>
  <c r="A1198" i="5"/>
  <c r="M1197" i="5"/>
  <c r="L1197" i="5"/>
  <c r="K1197" i="5"/>
  <c r="J1197" i="5"/>
  <c r="I1197" i="5"/>
  <c r="H1197" i="5"/>
  <c r="G1197" i="5"/>
  <c r="F1197" i="5"/>
  <c r="E1197" i="5"/>
  <c r="D1197" i="5"/>
  <c r="C1197" i="5"/>
  <c r="B1197" i="5"/>
  <c r="A1197" i="5"/>
  <c r="M1196" i="5"/>
  <c r="L1196" i="5"/>
  <c r="K1196" i="5"/>
  <c r="J1196" i="5"/>
  <c r="I1196" i="5"/>
  <c r="H1196" i="5"/>
  <c r="G1196" i="5"/>
  <c r="F1196" i="5"/>
  <c r="E1196" i="5"/>
  <c r="D1196" i="5"/>
  <c r="C1196" i="5"/>
  <c r="B1196" i="5"/>
  <c r="A1196" i="5"/>
  <c r="M1195" i="5"/>
  <c r="L1195" i="5"/>
  <c r="K1195" i="5"/>
  <c r="J1195" i="5"/>
  <c r="I1195" i="5"/>
  <c r="H1195" i="5"/>
  <c r="G1195" i="5"/>
  <c r="F1195" i="5"/>
  <c r="E1195" i="5"/>
  <c r="D1195" i="5"/>
  <c r="C1195" i="5"/>
  <c r="B1195" i="5"/>
  <c r="A1195" i="5"/>
  <c r="M1194" i="5"/>
  <c r="L1194" i="5"/>
  <c r="K1194" i="5"/>
  <c r="J1194" i="5"/>
  <c r="I1194" i="5"/>
  <c r="H1194" i="5"/>
  <c r="G1194" i="5"/>
  <c r="F1194" i="5"/>
  <c r="E1194" i="5"/>
  <c r="D1194" i="5"/>
  <c r="C1194" i="5"/>
  <c r="B1194" i="5"/>
  <c r="A1194" i="5"/>
  <c r="M1193" i="5"/>
  <c r="L1193" i="5"/>
  <c r="K1193" i="5"/>
  <c r="J1193" i="5"/>
  <c r="I1193" i="5"/>
  <c r="H1193" i="5"/>
  <c r="G1193" i="5"/>
  <c r="F1193" i="5"/>
  <c r="E1193" i="5"/>
  <c r="D1193" i="5"/>
  <c r="C1193" i="5"/>
  <c r="B1193" i="5"/>
  <c r="A1193" i="5"/>
  <c r="M1192" i="5"/>
  <c r="L1192" i="5"/>
  <c r="K1192" i="5"/>
  <c r="J1192" i="5"/>
  <c r="I1192" i="5"/>
  <c r="H1192" i="5"/>
  <c r="G1192" i="5"/>
  <c r="F1192" i="5"/>
  <c r="D1192" i="5"/>
  <c r="C1192" i="5"/>
  <c r="B1192" i="5"/>
  <c r="A1192" i="5"/>
  <c r="M1191" i="5"/>
  <c r="L1191" i="5"/>
  <c r="K1191" i="5"/>
  <c r="J1191" i="5"/>
  <c r="I1191" i="5"/>
  <c r="H1191" i="5"/>
  <c r="G1191" i="5"/>
  <c r="F1191" i="5"/>
  <c r="D1191" i="5"/>
  <c r="C1191" i="5"/>
  <c r="B1191" i="5"/>
  <c r="A1191" i="5"/>
  <c r="M1190" i="5"/>
  <c r="L1190" i="5"/>
  <c r="K1190" i="5"/>
  <c r="J1190" i="5"/>
  <c r="I1190" i="5"/>
  <c r="H1190" i="5"/>
  <c r="G1190" i="5"/>
  <c r="F1190" i="5"/>
  <c r="E1190" i="5"/>
  <c r="D1190" i="5"/>
  <c r="C1190" i="5"/>
  <c r="B1190" i="5"/>
  <c r="A1190" i="5"/>
  <c r="M1189" i="5"/>
  <c r="L1189" i="5"/>
  <c r="K1189" i="5"/>
  <c r="J1189" i="5"/>
  <c r="I1189" i="5"/>
  <c r="H1189" i="5"/>
  <c r="G1189" i="5"/>
  <c r="F1189" i="5"/>
  <c r="E1189" i="5"/>
  <c r="D1189" i="5"/>
  <c r="C1189" i="5"/>
  <c r="B1189" i="5"/>
  <c r="A1189" i="5"/>
  <c r="M1188" i="5"/>
  <c r="L1188" i="5"/>
  <c r="K1188" i="5"/>
  <c r="J1188" i="5"/>
  <c r="I1188" i="5"/>
  <c r="H1188" i="5"/>
  <c r="G1188" i="5"/>
  <c r="F1188" i="5"/>
  <c r="E1188" i="5"/>
  <c r="D1188" i="5"/>
  <c r="C1188" i="5"/>
  <c r="B1188" i="5"/>
  <c r="A1188" i="5"/>
  <c r="M1187" i="5"/>
  <c r="L1187" i="5"/>
  <c r="K1187" i="5"/>
  <c r="J1187" i="5"/>
  <c r="I1187" i="5"/>
  <c r="H1187" i="5"/>
  <c r="G1187" i="5"/>
  <c r="F1187" i="5"/>
  <c r="E1187" i="5"/>
  <c r="D1187" i="5"/>
  <c r="C1187" i="5"/>
  <c r="B1187" i="5"/>
  <c r="A1187" i="5"/>
  <c r="M1186" i="5"/>
  <c r="L1186" i="5"/>
  <c r="K1186" i="5"/>
  <c r="J1186" i="5"/>
  <c r="I1186" i="5"/>
  <c r="H1186" i="5"/>
  <c r="G1186" i="5"/>
  <c r="F1186" i="5"/>
  <c r="E1186" i="5"/>
  <c r="D1186" i="5"/>
  <c r="C1186" i="5"/>
  <c r="B1186" i="5"/>
  <c r="A1186" i="5"/>
  <c r="M1185" i="5"/>
  <c r="L1185" i="5"/>
  <c r="K1185" i="5"/>
  <c r="J1185" i="5"/>
  <c r="I1185" i="5"/>
  <c r="H1185" i="5"/>
  <c r="G1185" i="5"/>
  <c r="F1185" i="5"/>
  <c r="E1185" i="5"/>
  <c r="D1185" i="5"/>
  <c r="C1185" i="5"/>
  <c r="B1185" i="5"/>
  <c r="A1185" i="5"/>
  <c r="M1184" i="5"/>
  <c r="L1184" i="5"/>
  <c r="K1184" i="5"/>
  <c r="J1184" i="5"/>
  <c r="I1184" i="5"/>
  <c r="H1184" i="5"/>
  <c r="G1184" i="5"/>
  <c r="F1184" i="5"/>
  <c r="E1184" i="5"/>
  <c r="D1184" i="5"/>
  <c r="C1184" i="5"/>
  <c r="B1184" i="5"/>
  <c r="A1184" i="5"/>
  <c r="M1183" i="5"/>
  <c r="L1183" i="5"/>
  <c r="K1183" i="5"/>
  <c r="J1183" i="5"/>
  <c r="I1183" i="5"/>
  <c r="H1183" i="5"/>
  <c r="G1183" i="5"/>
  <c r="F1183" i="5"/>
  <c r="E1183" i="5"/>
  <c r="D1183" i="5"/>
  <c r="C1183" i="5"/>
  <c r="B1183" i="5"/>
  <c r="A1183" i="5"/>
  <c r="M1182" i="5"/>
  <c r="L1182" i="5"/>
  <c r="K1182" i="5"/>
  <c r="J1182" i="5"/>
  <c r="I1182" i="5"/>
  <c r="H1182" i="5"/>
  <c r="G1182" i="5"/>
  <c r="F1182" i="5"/>
  <c r="D1182" i="5"/>
  <c r="C1182" i="5"/>
  <c r="B1182" i="5"/>
  <c r="A1182" i="5"/>
  <c r="M1181" i="5"/>
  <c r="L1181" i="5"/>
  <c r="K1181" i="5"/>
  <c r="J1181" i="5"/>
  <c r="I1181" i="5"/>
  <c r="H1181" i="5"/>
  <c r="G1181" i="5"/>
  <c r="F1181" i="5"/>
  <c r="E1181" i="5"/>
  <c r="D1181" i="5"/>
  <c r="C1181" i="5"/>
  <c r="B1181" i="5"/>
  <c r="A1181" i="5"/>
  <c r="M1180" i="5"/>
  <c r="L1180" i="5"/>
  <c r="K1180" i="5"/>
  <c r="J1180" i="5"/>
  <c r="I1180" i="5"/>
  <c r="H1180" i="5"/>
  <c r="G1180" i="5"/>
  <c r="F1180" i="5"/>
  <c r="D1180" i="5"/>
  <c r="C1180" i="5"/>
  <c r="B1180" i="5"/>
  <c r="A1180" i="5"/>
  <c r="M1179" i="5"/>
  <c r="L1179" i="5"/>
  <c r="K1179" i="5"/>
  <c r="J1179" i="5"/>
  <c r="I1179" i="5"/>
  <c r="H1179" i="5"/>
  <c r="G1179" i="5"/>
  <c r="F1179" i="5"/>
  <c r="E1179" i="5"/>
  <c r="D1179" i="5"/>
  <c r="C1179" i="5"/>
  <c r="B1179" i="5"/>
  <c r="A1179" i="5"/>
  <c r="M1178" i="5"/>
  <c r="L1178" i="5"/>
  <c r="K1178" i="5"/>
  <c r="J1178" i="5"/>
  <c r="I1178" i="5"/>
  <c r="H1178" i="5"/>
  <c r="G1178" i="5"/>
  <c r="F1178" i="5"/>
  <c r="E1178" i="5"/>
  <c r="D1178" i="5"/>
  <c r="C1178" i="5"/>
  <c r="B1178" i="5"/>
  <c r="A1178" i="5"/>
  <c r="M1177" i="5"/>
  <c r="L1177" i="5"/>
  <c r="K1177" i="5"/>
  <c r="J1177" i="5"/>
  <c r="I1177" i="5"/>
  <c r="H1177" i="5"/>
  <c r="G1177" i="5"/>
  <c r="F1177" i="5"/>
  <c r="E1177" i="5"/>
  <c r="D1177" i="5"/>
  <c r="C1177" i="5"/>
  <c r="B1177" i="5"/>
  <c r="A1177" i="5"/>
  <c r="M1176" i="5"/>
  <c r="L1176" i="5"/>
  <c r="K1176" i="5"/>
  <c r="J1176" i="5"/>
  <c r="I1176" i="5"/>
  <c r="H1176" i="5"/>
  <c r="G1176" i="5"/>
  <c r="F1176" i="5"/>
  <c r="E1176" i="5"/>
  <c r="D1176" i="5"/>
  <c r="C1176" i="5"/>
  <c r="B1176" i="5"/>
  <c r="A1176" i="5"/>
  <c r="M1175" i="5"/>
  <c r="L1175" i="5"/>
  <c r="K1175" i="5"/>
  <c r="J1175" i="5"/>
  <c r="I1175" i="5"/>
  <c r="H1175" i="5"/>
  <c r="G1175" i="5"/>
  <c r="F1175" i="5"/>
  <c r="E1175" i="5"/>
  <c r="D1175" i="5"/>
  <c r="C1175" i="5"/>
  <c r="B1175" i="5"/>
  <c r="A1175" i="5"/>
  <c r="M1174" i="5"/>
  <c r="L1174" i="5"/>
  <c r="K1174" i="5"/>
  <c r="J1174" i="5"/>
  <c r="I1174" i="5"/>
  <c r="H1174" i="5"/>
  <c r="G1174" i="5"/>
  <c r="F1174" i="5"/>
  <c r="E1174" i="5"/>
  <c r="D1174" i="5"/>
  <c r="C1174" i="5"/>
  <c r="B1174" i="5"/>
  <c r="A1174" i="5"/>
  <c r="M1173" i="5"/>
  <c r="L1173" i="5"/>
  <c r="K1173" i="5"/>
  <c r="J1173" i="5"/>
  <c r="I1173" i="5"/>
  <c r="H1173" i="5"/>
  <c r="G1173" i="5"/>
  <c r="F1173" i="5"/>
  <c r="E1173" i="5"/>
  <c r="D1173" i="5"/>
  <c r="C1173" i="5"/>
  <c r="B1173" i="5"/>
  <c r="A1173" i="5"/>
  <c r="M1172" i="5"/>
  <c r="L1172" i="5"/>
  <c r="K1172" i="5"/>
  <c r="J1172" i="5"/>
  <c r="I1172" i="5"/>
  <c r="H1172" i="5"/>
  <c r="G1172" i="5"/>
  <c r="F1172" i="5"/>
  <c r="E1172" i="5"/>
  <c r="D1172" i="5"/>
  <c r="C1172" i="5"/>
  <c r="B1172" i="5"/>
  <c r="A1172" i="5"/>
  <c r="M1171" i="5"/>
  <c r="L1171" i="5"/>
  <c r="K1171" i="5"/>
  <c r="J1171" i="5"/>
  <c r="I1171" i="5"/>
  <c r="H1171" i="5"/>
  <c r="G1171" i="5"/>
  <c r="F1171" i="5"/>
  <c r="E1171" i="5"/>
  <c r="D1171" i="5"/>
  <c r="C1171" i="5"/>
  <c r="B1171" i="5"/>
  <c r="A1171" i="5"/>
  <c r="M1170" i="5"/>
  <c r="L1170" i="5"/>
  <c r="K1170" i="5"/>
  <c r="J1170" i="5"/>
  <c r="I1170" i="5"/>
  <c r="H1170" i="5"/>
  <c r="G1170" i="5"/>
  <c r="F1170" i="5"/>
  <c r="E1170" i="5"/>
  <c r="D1170" i="5"/>
  <c r="C1170" i="5"/>
  <c r="B1170" i="5"/>
  <c r="A1170" i="5"/>
  <c r="M1169" i="5"/>
  <c r="L1169" i="5"/>
  <c r="K1169" i="5"/>
  <c r="J1169" i="5"/>
  <c r="I1169" i="5"/>
  <c r="H1169" i="5"/>
  <c r="G1169" i="5"/>
  <c r="F1169" i="5"/>
  <c r="E1169" i="5"/>
  <c r="D1169" i="5"/>
  <c r="C1169" i="5"/>
  <c r="B1169" i="5"/>
  <c r="A1169" i="5"/>
  <c r="M1168" i="5"/>
  <c r="L1168" i="5"/>
  <c r="K1168" i="5"/>
  <c r="J1168" i="5"/>
  <c r="I1168" i="5"/>
  <c r="H1168" i="5"/>
  <c r="G1168" i="5"/>
  <c r="F1168" i="5"/>
  <c r="E1168" i="5"/>
  <c r="D1168" i="5"/>
  <c r="C1168" i="5"/>
  <c r="B1168" i="5"/>
  <c r="A1168" i="5"/>
  <c r="M1167" i="5"/>
  <c r="L1167" i="5"/>
  <c r="K1167" i="5"/>
  <c r="J1167" i="5"/>
  <c r="I1167" i="5"/>
  <c r="H1167" i="5"/>
  <c r="G1167" i="5"/>
  <c r="F1167" i="5"/>
  <c r="E1167" i="5"/>
  <c r="D1167" i="5"/>
  <c r="C1167" i="5"/>
  <c r="B1167" i="5"/>
  <c r="A1167" i="5"/>
  <c r="M1166" i="5"/>
  <c r="L1166" i="5"/>
  <c r="K1166" i="5"/>
  <c r="J1166" i="5"/>
  <c r="I1166" i="5"/>
  <c r="H1166" i="5"/>
  <c r="G1166" i="5"/>
  <c r="F1166" i="5"/>
  <c r="E1166" i="5"/>
  <c r="D1166" i="5"/>
  <c r="C1166" i="5"/>
  <c r="B1166" i="5"/>
  <c r="A1166" i="5"/>
  <c r="M1165" i="5"/>
  <c r="L1165" i="5"/>
  <c r="K1165" i="5"/>
  <c r="J1165" i="5"/>
  <c r="I1165" i="5"/>
  <c r="H1165" i="5"/>
  <c r="G1165" i="5"/>
  <c r="F1165" i="5"/>
  <c r="D1165" i="5"/>
  <c r="C1165" i="5"/>
  <c r="B1165" i="5"/>
  <c r="A1165" i="5"/>
  <c r="M1164" i="5"/>
  <c r="L1164" i="5"/>
  <c r="K1164" i="5"/>
  <c r="J1164" i="5"/>
  <c r="I1164" i="5"/>
  <c r="H1164" i="5"/>
  <c r="G1164" i="5"/>
  <c r="F1164" i="5"/>
  <c r="E1164" i="5"/>
  <c r="D1164" i="5"/>
  <c r="C1164" i="5"/>
  <c r="B1164" i="5"/>
  <c r="A1164" i="5"/>
  <c r="M1163" i="5"/>
  <c r="L1163" i="5"/>
  <c r="K1163" i="5"/>
  <c r="J1163" i="5"/>
  <c r="I1163" i="5"/>
  <c r="H1163" i="5"/>
  <c r="G1163" i="5"/>
  <c r="F1163" i="5"/>
  <c r="E1163" i="5"/>
  <c r="D1163" i="5"/>
  <c r="C1163" i="5"/>
  <c r="B1163" i="5"/>
  <c r="A1163" i="5"/>
  <c r="M1162" i="5"/>
  <c r="L1162" i="5"/>
  <c r="K1162" i="5"/>
  <c r="J1162" i="5"/>
  <c r="I1162" i="5"/>
  <c r="H1162" i="5"/>
  <c r="G1162" i="5"/>
  <c r="F1162" i="5"/>
  <c r="E1162" i="5"/>
  <c r="D1162" i="5"/>
  <c r="C1162" i="5"/>
  <c r="B1162" i="5"/>
  <c r="A1162" i="5"/>
  <c r="M1161" i="5"/>
  <c r="L1161" i="5"/>
  <c r="K1161" i="5"/>
  <c r="J1161" i="5"/>
  <c r="I1161" i="5"/>
  <c r="H1161" i="5"/>
  <c r="G1161" i="5"/>
  <c r="F1161" i="5"/>
  <c r="E1161" i="5"/>
  <c r="D1161" i="5"/>
  <c r="C1161" i="5"/>
  <c r="B1161" i="5"/>
  <c r="A1161" i="5"/>
  <c r="M1160" i="5"/>
  <c r="L1160" i="5"/>
  <c r="K1160" i="5"/>
  <c r="J1160" i="5"/>
  <c r="I1160" i="5"/>
  <c r="H1160" i="5"/>
  <c r="G1160" i="5"/>
  <c r="F1160" i="5"/>
  <c r="E1160" i="5"/>
  <c r="D1160" i="5"/>
  <c r="C1160" i="5"/>
  <c r="B1160" i="5"/>
  <c r="A1160" i="5"/>
  <c r="M1159" i="5"/>
  <c r="L1159" i="5"/>
  <c r="K1159" i="5"/>
  <c r="J1159" i="5"/>
  <c r="I1159" i="5"/>
  <c r="H1159" i="5"/>
  <c r="G1159" i="5"/>
  <c r="F1159" i="5"/>
  <c r="E1159" i="5"/>
  <c r="D1159" i="5"/>
  <c r="C1159" i="5"/>
  <c r="B1159" i="5"/>
  <c r="A1159" i="5"/>
  <c r="M1158" i="5"/>
  <c r="L1158" i="5"/>
  <c r="K1158" i="5"/>
  <c r="J1158" i="5"/>
  <c r="I1158" i="5"/>
  <c r="H1158" i="5"/>
  <c r="G1158" i="5"/>
  <c r="F1158" i="5"/>
  <c r="E1158" i="5"/>
  <c r="D1158" i="5"/>
  <c r="C1158" i="5"/>
  <c r="B1158" i="5"/>
  <c r="A1158" i="5"/>
  <c r="M1157" i="5"/>
  <c r="L1157" i="5"/>
  <c r="K1157" i="5"/>
  <c r="J1157" i="5"/>
  <c r="I1157" i="5"/>
  <c r="H1157" i="5"/>
  <c r="G1157" i="5"/>
  <c r="F1157" i="5"/>
  <c r="E1157" i="5"/>
  <c r="D1157" i="5"/>
  <c r="C1157" i="5"/>
  <c r="B1157" i="5"/>
  <c r="A1157" i="5"/>
  <c r="M1156" i="5"/>
  <c r="L1156" i="5"/>
  <c r="K1156" i="5"/>
  <c r="J1156" i="5"/>
  <c r="I1156" i="5"/>
  <c r="H1156" i="5"/>
  <c r="G1156" i="5"/>
  <c r="F1156" i="5"/>
  <c r="D1156" i="5"/>
  <c r="C1156" i="5"/>
  <c r="B1156" i="5"/>
  <c r="A1156" i="5"/>
  <c r="M1155" i="5"/>
  <c r="L1155" i="5"/>
  <c r="K1155" i="5"/>
  <c r="J1155" i="5"/>
  <c r="I1155" i="5"/>
  <c r="H1155" i="5"/>
  <c r="G1155" i="5"/>
  <c r="F1155" i="5"/>
  <c r="E1155" i="5"/>
  <c r="D1155" i="5"/>
  <c r="C1155" i="5"/>
  <c r="B1155" i="5"/>
  <c r="A1155" i="5"/>
  <c r="M1154" i="5"/>
  <c r="L1154" i="5"/>
  <c r="K1154" i="5"/>
  <c r="J1154" i="5"/>
  <c r="I1154" i="5"/>
  <c r="H1154" i="5"/>
  <c r="G1154" i="5"/>
  <c r="F1154" i="5"/>
  <c r="E1154" i="5"/>
  <c r="D1154" i="5"/>
  <c r="C1154" i="5"/>
  <c r="B1154" i="5"/>
  <c r="A1154" i="5"/>
  <c r="M1153" i="5"/>
  <c r="L1153" i="5"/>
  <c r="K1153" i="5"/>
  <c r="J1153" i="5"/>
  <c r="I1153" i="5"/>
  <c r="H1153" i="5"/>
  <c r="G1153" i="5"/>
  <c r="F1153" i="5"/>
  <c r="E1153" i="5"/>
  <c r="D1153" i="5"/>
  <c r="C1153" i="5"/>
  <c r="B1153" i="5"/>
  <c r="A1153" i="5"/>
  <c r="M1152" i="5"/>
  <c r="L1152" i="5"/>
  <c r="K1152" i="5"/>
  <c r="J1152" i="5"/>
  <c r="I1152" i="5"/>
  <c r="H1152" i="5"/>
  <c r="G1152" i="5"/>
  <c r="F1152" i="5"/>
  <c r="E1152" i="5"/>
  <c r="D1152" i="5"/>
  <c r="C1152" i="5"/>
  <c r="B1152" i="5"/>
  <c r="A1152" i="5"/>
  <c r="M1151" i="5"/>
  <c r="L1151" i="5"/>
  <c r="K1151" i="5"/>
  <c r="J1151" i="5"/>
  <c r="I1151" i="5"/>
  <c r="H1151" i="5"/>
  <c r="G1151" i="5"/>
  <c r="F1151" i="5"/>
  <c r="E1151" i="5"/>
  <c r="D1151" i="5"/>
  <c r="C1151" i="5"/>
  <c r="B1151" i="5"/>
  <c r="A1151" i="5"/>
  <c r="M1150" i="5"/>
  <c r="L1150" i="5"/>
  <c r="K1150" i="5"/>
  <c r="J1150" i="5"/>
  <c r="I1150" i="5"/>
  <c r="H1150" i="5"/>
  <c r="G1150" i="5"/>
  <c r="F1150" i="5"/>
  <c r="E1150" i="5"/>
  <c r="D1150" i="5"/>
  <c r="C1150" i="5"/>
  <c r="B1150" i="5"/>
  <c r="A1150" i="5"/>
  <c r="M1149" i="5"/>
  <c r="L1149" i="5"/>
  <c r="K1149" i="5"/>
  <c r="J1149" i="5"/>
  <c r="I1149" i="5"/>
  <c r="H1149" i="5"/>
  <c r="G1149" i="5"/>
  <c r="F1149" i="5"/>
  <c r="E1149" i="5"/>
  <c r="D1149" i="5"/>
  <c r="C1149" i="5"/>
  <c r="B1149" i="5"/>
  <c r="A1149" i="5"/>
  <c r="M1148" i="5"/>
  <c r="L1148" i="5"/>
  <c r="K1148" i="5"/>
  <c r="J1148" i="5"/>
  <c r="I1148" i="5"/>
  <c r="H1148" i="5"/>
  <c r="G1148" i="5"/>
  <c r="F1148" i="5"/>
  <c r="E1148" i="5"/>
  <c r="D1148" i="5"/>
  <c r="C1148" i="5"/>
  <c r="B1148" i="5"/>
  <c r="A1148" i="5"/>
  <c r="M1147" i="5"/>
  <c r="L1147" i="5"/>
  <c r="K1147" i="5"/>
  <c r="J1147" i="5"/>
  <c r="I1147" i="5"/>
  <c r="H1147" i="5"/>
  <c r="G1147" i="5"/>
  <c r="F1147" i="5"/>
  <c r="E1147" i="5"/>
  <c r="D1147" i="5"/>
  <c r="C1147" i="5"/>
  <c r="B1147" i="5"/>
  <c r="A1147" i="5"/>
  <c r="M1146" i="5"/>
  <c r="L1146" i="5"/>
  <c r="K1146" i="5"/>
  <c r="J1146" i="5"/>
  <c r="I1146" i="5"/>
  <c r="H1146" i="5"/>
  <c r="G1146" i="5"/>
  <c r="F1146" i="5"/>
  <c r="E1146" i="5"/>
  <c r="D1146" i="5"/>
  <c r="C1146" i="5"/>
  <c r="B1146" i="5"/>
  <c r="A1146" i="5"/>
  <c r="M1145" i="5"/>
  <c r="L1145" i="5"/>
  <c r="K1145" i="5"/>
  <c r="J1145" i="5"/>
  <c r="I1145" i="5"/>
  <c r="H1145" i="5"/>
  <c r="G1145" i="5"/>
  <c r="F1145" i="5"/>
  <c r="E1145" i="5"/>
  <c r="D1145" i="5"/>
  <c r="C1145" i="5"/>
  <c r="B1145" i="5"/>
  <c r="A1145" i="5"/>
  <c r="M1144" i="5"/>
  <c r="L1144" i="5"/>
  <c r="K1144" i="5"/>
  <c r="J1144" i="5"/>
  <c r="I1144" i="5"/>
  <c r="H1144" i="5"/>
  <c r="G1144" i="5"/>
  <c r="F1144" i="5"/>
  <c r="E1144" i="5"/>
  <c r="D1144" i="5"/>
  <c r="C1144" i="5"/>
  <c r="B1144" i="5"/>
  <c r="A1144" i="5"/>
  <c r="M1143" i="5"/>
  <c r="L1143" i="5"/>
  <c r="K1143" i="5"/>
  <c r="J1143" i="5"/>
  <c r="I1143" i="5"/>
  <c r="H1143" i="5"/>
  <c r="G1143" i="5"/>
  <c r="F1143" i="5"/>
  <c r="E1143" i="5"/>
  <c r="D1143" i="5"/>
  <c r="C1143" i="5"/>
  <c r="B1143" i="5"/>
  <c r="A1143" i="5"/>
  <c r="M1142" i="5"/>
  <c r="L1142" i="5"/>
  <c r="K1142" i="5"/>
  <c r="J1142" i="5"/>
  <c r="I1142" i="5"/>
  <c r="H1142" i="5"/>
  <c r="G1142" i="5"/>
  <c r="F1142" i="5"/>
  <c r="E1142" i="5"/>
  <c r="D1142" i="5"/>
  <c r="C1142" i="5"/>
  <c r="B1142" i="5"/>
  <c r="A1142" i="5"/>
  <c r="M1141" i="5"/>
  <c r="L1141" i="5"/>
  <c r="K1141" i="5"/>
  <c r="J1141" i="5"/>
  <c r="I1141" i="5"/>
  <c r="H1141" i="5"/>
  <c r="G1141" i="5"/>
  <c r="F1141" i="5"/>
  <c r="E1141" i="5"/>
  <c r="D1141" i="5"/>
  <c r="C1141" i="5"/>
  <c r="B1141" i="5"/>
  <c r="A1141" i="5"/>
  <c r="M1140" i="5"/>
  <c r="L1140" i="5"/>
  <c r="K1140" i="5"/>
  <c r="J1140" i="5"/>
  <c r="I1140" i="5"/>
  <c r="H1140" i="5"/>
  <c r="G1140" i="5"/>
  <c r="F1140" i="5"/>
  <c r="E1140" i="5"/>
  <c r="D1140" i="5"/>
  <c r="C1140" i="5"/>
  <c r="B1140" i="5"/>
  <c r="A1140" i="5"/>
  <c r="M1139" i="5"/>
  <c r="L1139" i="5"/>
  <c r="K1139" i="5"/>
  <c r="J1139" i="5"/>
  <c r="I1139" i="5"/>
  <c r="H1139" i="5"/>
  <c r="G1139" i="5"/>
  <c r="F1139" i="5"/>
  <c r="E1139" i="5"/>
  <c r="D1139" i="5"/>
  <c r="C1139" i="5"/>
  <c r="B1139" i="5"/>
  <c r="A1139" i="5"/>
  <c r="M1138" i="5"/>
  <c r="L1138" i="5"/>
  <c r="K1138" i="5"/>
  <c r="J1138" i="5"/>
  <c r="I1138" i="5"/>
  <c r="H1138" i="5"/>
  <c r="G1138" i="5"/>
  <c r="F1138" i="5"/>
  <c r="E1138" i="5"/>
  <c r="D1138" i="5"/>
  <c r="C1138" i="5"/>
  <c r="B1138" i="5"/>
  <c r="A1138" i="5"/>
  <c r="M1137" i="5"/>
  <c r="L1137" i="5"/>
  <c r="K1137" i="5"/>
  <c r="J1137" i="5"/>
  <c r="I1137" i="5"/>
  <c r="H1137" i="5"/>
  <c r="G1137" i="5"/>
  <c r="F1137" i="5"/>
  <c r="E1137" i="5"/>
  <c r="D1137" i="5"/>
  <c r="C1137" i="5"/>
  <c r="B1137" i="5"/>
  <c r="A1137" i="5"/>
  <c r="M1136" i="5"/>
  <c r="L1136" i="5"/>
  <c r="K1136" i="5"/>
  <c r="J1136" i="5"/>
  <c r="I1136" i="5"/>
  <c r="H1136" i="5"/>
  <c r="G1136" i="5"/>
  <c r="F1136" i="5"/>
  <c r="E1136" i="5"/>
  <c r="D1136" i="5"/>
  <c r="C1136" i="5"/>
  <c r="B1136" i="5"/>
  <c r="A1136" i="5"/>
  <c r="M1135" i="5"/>
  <c r="L1135" i="5"/>
  <c r="K1135" i="5"/>
  <c r="J1135" i="5"/>
  <c r="I1135" i="5"/>
  <c r="H1135" i="5"/>
  <c r="G1135" i="5"/>
  <c r="F1135" i="5"/>
  <c r="E1135" i="5"/>
  <c r="D1135" i="5"/>
  <c r="C1135" i="5"/>
  <c r="B1135" i="5"/>
  <c r="A1135" i="5"/>
  <c r="M1134" i="5"/>
  <c r="L1134" i="5"/>
  <c r="K1134" i="5"/>
  <c r="J1134" i="5"/>
  <c r="I1134" i="5"/>
  <c r="H1134" i="5"/>
  <c r="G1134" i="5"/>
  <c r="F1134" i="5"/>
  <c r="E1134" i="5"/>
  <c r="D1134" i="5"/>
  <c r="C1134" i="5"/>
  <c r="B1134" i="5"/>
  <c r="A1134" i="5"/>
  <c r="M1133" i="5"/>
  <c r="L1133" i="5"/>
  <c r="K1133" i="5"/>
  <c r="J1133" i="5"/>
  <c r="I1133" i="5"/>
  <c r="H1133" i="5"/>
  <c r="G1133" i="5"/>
  <c r="F1133" i="5"/>
  <c r="E1133" i="5"/>
  <c r="D1133" i="5"/>
  <c r="C1133" i="5"/>
  <c r="B1133" i="5"/>
  <c r="A1133" i="5"/>
  <c r="M1132" i="5"/>
  <c r="L1132" i="5"/>
  <c r="K1132" i="5"/>
  <c r="J1132" i="5"/>
  <c r="I1132" i="5"/>
  <c r="H1132" i="5"/>
  <c r="G1132" i="5"/>
  <c r="F1132" i="5"/>
  <c r="E1132" i="5"/>
  <c r="D1132" i="5"/>
  <c r="C1132" i="5"/>
  <c r="B1132" i="5"/>
  <c r="A1132" i="5"/>
  <c r="M1131" i="5"/>
  <c r="L1131" i="5"/>
  <c r="K1131" i="5"/>
  <c r="J1131" i="5"/>
  <c r="I1131" i="5"/>
  <c r="H1131" i="5"/>
  <c r="G1131" i="5"/>
  <c r="F1131" i="5"/>
  <c r="E1131" i="5"/>
  <c r="D1131" i="5"/>
  <c r="C1131" i="5"/>
  <c r="B1131" i="5"/>
  <c r="A1131" i="5"/>
  <c r="M1130" i="5"/>
  <c r="L1130" i="5"/>
  <c r="K1130" i="5"/>
  <c r="J1130" i="5"/>
  <c r="I1130" i="5"/>
  <c r="H1130" i="5"/>
  <c r="G1130" i="5"/>
  <c r="F1130" i="5"/>
  <c r="E1130" i="5"/>
  <c r="D1130" i="5"/>
  <c r="C1130" i="5"/>
  <c r="B1130" i="5"/>
  <c r="A1130" i="5"/>
  <c r="M1129" i="5"/>
  <c r="L1129" i="5"/>
  <c r="K1129" i="5"/>
  <c r="J1129" i="5"/>
  <c r="I1129" i="5"/>
  <c r="H1129" i="5"/>
  <c r="G1129" i="5"/>
  <c r="E1129" i="5"/>
  <c r="D1129" i="5"/>
  <c r="C1129" i="5"/>
  <c r="B1129" i="5"/>
  <c r="A1129" i="5"/>
  <c r="M1128" i="5"/>
  <c r="L1128" i="5"/>
  <c r="K1128" i="5"/>
  <c r="J1128" i="5"/>
  <c r="I1128" i="5"/>
  <c r="H1128" i="5"/>
  <c r="G1128" i="5"/>
  <c r="F1128" i="5"/>
  <c r="E1128" i="5"/>
  <c r="D1128" i="5"/>
  <c r="C1128" i="5"/>
  <c r="B1128" i="5"/>
  <c r="A1128" i="5"/>
  <c r="M1127" i="5"/>
  <c r="L1127" i="5"/>
  <c r="K1127" i="5"/>
  <c r="J1127" i="5"/>
  <c r="I1127" i="5"/>
  <c r="H1127" i="5"/>
  <c r="G1127" i="5"/>
  <c r="F1127" i="5"/>
  <c r="E1127" i="5"/>
  <c r="D1127" i="5"/>
  <c r="B1127" i="5"/>
  <c r="A1127" i="5"/>
  <c r="M1126" i="5"/>
  <c r="L1126" i="5"/>
  <c r="K1126" i="5"/>
  <c r="J1126" i="5"/>
  <c r="I1126" i="5"/>
  <c r="H1126" i="5"/>
  <c r="G1126" i="5"/>
  <c r="F1126" i="5"/>
  <c r="E1126" i="5"/>
  <c r="D1126" i="5"/>
  <c r="C1126" i="5"/>
  <c r="B1126" i="5"/>
  <c r="A1126" i="5"/>
  <c r="M1125" i="5"/>
  <c r="L1125" i="5"/>
  <c r="K1125" i="5"/>
  <c r="J1125" i="5"/>
  <c r="I1125" i="5"/>
  <c r="H1125" i="5"/>
  <c r="G1125" i="5"/>
  <c r="F1125" i="5"/>
  <c r="E1125" i="5"/>
  <c r="D1125" i="5"/>
  <c r="B1125" i="5"/>
  <c r="A1125" i="5"/>
  <c r="M1124" i="5"/>
  <c r="L1124" i="5"/>
  <c r="K1124" i="5"/>
  <c r="J1124" i="5"/>
  <c r="I1124" i="5"/>
  <c r="H1124" i="5"/>
  <c r="G1124" i="5"/>
  <c r="F1124" i="5"/>
  <c r="E1124" i="5"/>
  <c r="D1124" i="5"/>
  <c r="C1124" i="5"/>
  <c r="B1124" i="5"/>
  <c r="A1124" i="5"/>
  <c r="M1123" i="5"/>
  <c r="L1123" i="5"/>
  <c r="K1123" i="5"/>
  <c r="J1123" i="5"/>
  <c r="I1123" i="5"/>
  <c r="H1123" i="5"/>
  <c r="G1123" i="5"/>
  <c r="F1123" i="5"/>
  <c r="E1123" i="5"/>
  <c r="D1123" i="5"/>
  <c r="C1123" i="5"/>
  <c r="B1123" i="5"/>
  <c r="A1123" i="5"/>
  <c r="M1122" i="5"/>
  <c r="L1122" i="5"/>
  <c r="K1122" i="5"/>
  <c r="J1122" i="5"/>
  <c r="I1122" i="5"/>
  <c r="H1122" i="5"/>
  <c r="G1122" i="5"/>
  <c r="F1122" i="5"/>
  <c r="E1122" i="5"/>
  <c r="D1122" i="5"/>
  <c r="C1122" i="5"/>
  <c r="B1122" i="5"/>
  <c r="A1122" i="5"/>
  <c r="M1121" i="5"/>
  <c r="L1121" i="5"/>
  <c r="K1121" i="5"/>
  <c r="J1121" i="5"/>
  <c r="I1121" i="5"/>
  <c r="H1121" i="5"/>
  <c r="G1121" i="5"/>
  <c r="F1121" i="5"/>
  <c r="E1121" i="5"/>
  <c r="D1121" i="5"/>
  <c r="C1121" i="5"/>
  <c r="B1121" i="5"/>
  <c r="A1121" i="5"/>
  <c r="M1120" i="5"/>
  <c r="L1120" i="5"/>
  <c r="K1120" i="5"/>
  <c r="J1120" i="5"/>
  <c r="I1120" i="5"/>
  <c r="H1120" i="5"/>
  <c r="G1120" i="5"/>
  <c r="F1120" i="5"/>
  <c r="E1120" i="5"/>
  <c r="D1120" i="5"/>
  <c r="B1120" i="5"/>
  <c r="A1120" i="5"/>
  <c r="M1119" i="5"/>
  <c r="L1119" i="5"/>
  <c r="K1119" i="5"/>
  <c r="J1119" i="5"/>
  <c r="I1119" i="5"/>
  <c r="H1119" i="5"/>
  <c r="G1119" i="5"/>
  <c r="F1119" i="5"/>
  <c r="E1119" i="5"/>
  <c r="D1119" i="5"/>
  <c r="C1119" i="5"/>
  <c r="B1119" i="5"/>
  <c r="A1119" i="5"/>
  <c r="M1118" i="5"/>
  <c r="L1118" i="5"/>
  <c r="K1118" i="5"/>
  <c r="J1118" i="5"/>
  <c r="I1118" i="5"/>
  <c r="H1118" i="5"/>
  <c r="G1118" i="5"/>
  <c r="F1118" i="5"/>
  <c r="E1118" i="5"/>
  <c r="D1118" i="5"/>
  <c r="C1118" i="5"/>
  <c r="B1118" i="5"/>
  <c r="A1118" i="5"/>
  <c r="M1117" i="5"/>
  <c r="L1117" i="5"/>
  <c r="K1117" i="5"/>
  <c r="J1117" i="5"/>
  <c r="I1117" i="5"/>
  <c r="H1117" i="5"/>
  <c r="G1117" i="5"/>
  <c r="F1117" i="5"/>
  <c r="E1117" i="5"/>
  <c r="D1117" i="5"/>
  <c r="C1117" i="5"/>
  <c r="B1117" i="5"/>
  <c r="A1117" i="5"/>
  <c r="M1116" i="5"/>
  <c r="L1116" i="5"/>
  <c r="K1116" i="5"/>
  <c r="J1116" i="5"/>
  <c r="I1116" i="5"/>
  <c r="H1116" i="5"/>
  <c r="G1116" i="5"/>
  <c r="F1116" i="5"/>
  <c r="E1116" i="5"/>
  <c r="D1116" i="5"/>
  <c r="C1116" i="5"/>
  <c r="B1116" i="5"/>
  <c r="A1116" i="5"/>
  <c r="M1115" i="5"/>
  <c r="L1115" i="5"/>
  <c r="K1115" i="5"/>
  <c r="J1115" i="5"/>
  <c r="I1115" i="5"/>
  <c r="H1115" i="5"/>
  <c r="G1115" i="5"/>
  <c r="F1115" i="5"/>
  <c r="E1115" i="5"/>
  <c r="D1115" i="5"/>
  <c r="C1115" i="5"/>
  <c r="B1115" i="5"/>
  <c r="A1115" i="5"/>
  <c r="M1114" i="5"/>
  <c r="L1114" i="5"/>
  <c r="K1114" i="5"/>
  <c r="J1114" i="5"/>
  <c r="I1114" i="5"/>
  <c r="H1114" i="5"/>
  <c r="G1114" i="5"/>
  <c r="F1114" i="5"/>
  <c r="E1114" i="5"/>
  <c r="D1114" i="5"/>
  <c r="C1114" i="5"/>
  <c r="B1114" i="5"/>
  <c r="A1114" i="5"/>
  <c r="M1113" i="5"/>
  <c r="L1113" i="5"/>
  <c r="K1113" i="5"/>
  <c r="J1113" i="5"/>
  <c r="I1113" i="5"/>
  <c r="H1113" i="5"/>
  <c r="G1113" i="5"/>
  <c r="F1113" i="5"/>
  <c r="E1113" i="5"/>
  <c r="D1113" i="5"/>
  <c r="C1113" i="5"/>
  <c r="B1113" i="5"/>
  <c r="A1113" i="5"/>
  <c r="M1112" i="5"/>
  <c r="L1112" i="5"/>
  <c r="K1112" i="5"/>
  <c r="J1112" i="5"/>
  <c r="I1112" i="5"/>
  <c r="H1112" i="5"/>
  <c r="G1112" i="5"/>
  <c r="F1112" i="5"/>
  <c r="E1112" i="5"/>
  <c r="D1112" i="5"/>
  <c r="C1112" i="5"/>
  <c r="B1112" i="5"/>
  <c r="A1112" i="5"/>
  <c r="M1111" i="5"/>
  <c r="L1111" i="5"/>
  <c r="K1111" i="5"/>
  <c r="J1111" i="5"/>
  <c r="I1111" i="5"/>
  <c r="H1111" i="5"/>
  <c r="G1111" i="5"/>
  <c r="F1111" i="5"/>
  <c r="E1111" i="5"/>
  <c r="D1111" i="5"/>
  <c r="C1111" i="5"/>
  <c r="B1111" i="5"/>
  <c r="A1111" i="5"/>
  <c r="M1110" i="5"/>
  <c r="L1110" i="5"/>
  <c r="K1110" i="5"/>
  <c r="J1110" i="5"/>
  <c r="I1110" i="5"/>
  <c r="H1110" i="5"/>
  <c r="G1110" i="5"/>
  <c r="F1110" i="5"/>
  <c r="E1110" i="5"/>
  <c r="D1110" i="5"/>
  <c r="C1110" i="5"/>
  <c r="B1110" i="5"/>
  <c r="A1110" i="5"/>
  <c r="M1109" i="5"/>
  <c r="L1109" i="5"/>
  <c r="K1109" i="5"/>
  <c r="J1109" i="5"/>
  <c r="I1109" i="5"/>
  <c r="H1109" i="5"/>
  <c r="G1109" i="5"/>
  <c r="F1109" i="5"/>
  <c r="E1109" i="5"/>
  <c r="D1109" i="5"/>
  <c r="C1109" i="5"/>
  <c r="B1109" i="5"/>
  <c r="A1109" i="5"/>
  <c r="M1108" i="5"/>
  <c r="L1108" i="5"/>
  <c r="K1108" i="5"/>
  <c r="J1108" i="5"/>
  <c r="I1108" i="5"/>
  <c r="H1108" i="5"/>
  <c r="G1108" i="5"/>
  <c r="F1108" i="5"/>
  <c r="E1108" i="5"/>
  <c r="D1108" i="5"/>
  <c r="C1108" i="5"/>
  <c r="B1108" i="5"/>
  <c r="A1108" i="5"/>
  <c r="M1107" i="5"/>
  <c r="L1107" i="5"/>
  <c r="K1107" i="5"/>
  <c r="J1107" i="5"/>
  <c r="I1107" i="5"/>
  <c r="H1107" i="5"/>
  <c r="G1107" i="5"/>
  <c r="F1107" i="5"/>
  <c r="E1107" i="5"/>
  <c r="D1107" i="5"/>
  <c r="C1107" i="5"/>
  <c r="B1107" i="5"/>
  <c r="A1107" i="5"/>
  <c r="M1106" i="5"/>
  <c r="L1106" i="5"/>
  <c r="K1106" i="5"/>
  <c r="J1106" i="5"/>
  <c r="I1106" i="5"/>
  <c r="H1106" i="5"/>
  <c r="G1106" i="5"/>
  <c r="F1106" i="5"/>
  <c r="E1106" i="5"/>
  <c r="D1106" i="5"/>
  <c r="C1106" i="5"/>
  <c r="B1106" i="5"/>
  <c r="A1106" i="5"/>
  <c r="M1105" i="5"/>
  <c r="L1105" i="5"/>
  <c r="K1105" i="5"/>
  <c r="J1105" i="5"/>
  <c r="I1105" i="5"/>
  <c r="H1105" i="5"/>
  <c r="G1105" i="5"/>
  <c r="F1105" i="5"/>
  <c r="E1105" i="5"/>
  <c r="D1105" i="5"/>
  <c r="C1105" i="5"/>
  <c r="B1105" i="5"/>
  <c r="A1105" i="5"/>
  <c r="M1104" i="5"/>
  <c r="L1104" i="5"/>
  <c r="K1104" i="5"/>
  <c r="J1104" i="5"/>
  <c r="I1104" i="5"/>
  <c r="H1104" i="5"/>
  <c r="G1104" i="5"/>
  <c r="F1104" i="5"/>
  <c r="E1104" i="5"/>
  <c r="D1104" i="5"/>
  <c r="C1104" i="5"/>
  <c r="B1104" i="5"/>
  <c r="A1104" i="5"/>
  <c r="M1103" i="5"/>
  <c r="L1103" i="5"/>
  <c r="K1103" i="5"/>
  <c r="J1103" i="5"/>
  <c r="I1103" i="5"/>
  <c r="H1103" i="5"/>
  <c r="G1103" i="5"/>
  <c r="F1103" i="5"/>
  <c r="E1103" i="5"/>
  <c r="D1103" i="5"/>
  <c r="C1103" i="5"/>
  <c r="B1103" i="5"/>
  <c r="A1103" i="5"/>
  <c r="M1102" i="5"/>
  <c r="L1102" i="5"/>
  <c r="K1102" i="5"/>
  <c r="J1102" i="5"/>
  <c r="I1102" i="5"/>
  <c r="H1102" i="5"/>
  <c r="G1102" i="5"/>
  <c r="F1102" i="5"/>
  <c r="E1102" i="5"/>
  <c r="D1102" i="5"/>
  <c r="C1102" i="5"/>
  <c r="B1102" i="5"/>
  <c r="A1102" i="5"/>
  <c r="M1101" i="5"/>
  <c r="L1101" i="5"/>
  <c r="K1101" i="5"/>
  <c r="J1101" i="5"/>
  <c r="I1101" i="5"/>
  <c r="H1101" i="5"/>
  <c r="G1101" i="5"/>
  <c r="F1101" i="5"/>
  <c r="E1101" i="5"/>
  <c r="D1101" i="5"/>
  <c r="C1101" i="5"/>
  <c r="B1101" i="5"/>
  <c r="A1101" i="5"/>
  <c r="M1100" i="5"/>
  <c r="L1100" i="5"/>
  <c r="K1100" i="5"/>
  <c r="J1100" i="5"/>
  <c r="I1100" i="5"/>
  <c r="H1100" i="5"/>
  <c r="G1100" i="5"/>
  <c r="F1100" i="5"/>
  <c r="E1100" i="5"/>
  <c r="D1100" i="5"/>
  <c r="C1100" i="5"/>
  <c r="B1100" i="5"/>
  <c r="A1100" i="5"/>
  <c r="M1099" i="5"/>
  <c r="L1099" i="5"/>
  <c r="K1099" i="5"/>
  <c r="J1099" i="5"/>
  <c r="I1099" i="5"/>
  <c r="H1099" i="5"/>
  <c r="G1099" i="5"/>
  <c r="F1099" i="5"/>
  <c r="E1099" i="5"/>
  <c r="D1099" i="5"/>
  <c r="B1099" i="5"/>
  <c r="A1099" i="5"/>
  <c r="M1098" i="5"/>
  <c r="L1098" i="5"/>
  <c r="K1098" i="5"/>
  <c r="J1098" i="5"/>
  <c r="I1098" i="5"/>
  <c r="H1098" i="5"/>
  <c r="G1098" i="5"/>
  <c r="F1098" i="5"/>
  <c r="E1098" i="5"/>
  <c r="D1098" i="5"/>
  <c r="C1098" i="5"/>
  <c r="B1098" i="5"/>
  <c r="A1098" i="5"/>
  <c r="M1097" i="5"/>
  <c r="L1097" i="5"/>
  <c r="K1097" i="5"/>
  <c r="J1097" i="5"/>
  <c r="I1097" i="5"/>
  <c r="H1097" i="5"/>
  <c r="G1097" i="5"/>
  <c r="F1097" i="5"/>
  <c r="E1097" i="5"/>
  <c r="D1097" i="5"/>
  <c r="C1097" i="5"/>
  <c r="B1097" i="5"/>
  <c r="A1097" i="5"/>
  <c r="M1096" i="5"/>
  <c r="L1096" i="5"/>
  <c r="K1096" i="5"/>
  <c r="J1096" i="5"/>
  <c r="I1096" i="5"/>
  <c r="H1096" i="5"/>
  <c r="G1096" i="5"/>
  <c r="F1096" i="5"/>
  <c r="E1096" i="5"/>
  <c r="D1096" i="5"/>
  <c r="C1096" i="5"/>
  <c r="B1096" i="5"/>
  <c r="A1096" i="5"/>
  <c r="M1095" i="5"/>
  <c r="L1095" i="5"/>
  <c r="K1095" i="5"/>
  <c r="J1095" i="5"/>
  <c r="I1095" i="5"/>
  <c r="H1095" i="5"/>
  <c r="G1095" i="5"/>
  <c r="F1095" i="5"/>
  <c r="E1095" i="5"/>
  <c r="D1095" i="5"/>
  <c r="C1095" i="5"/>
  <c r="B1095" i="5"/>
  <c r="A1095" i="5"/>
  <c r="M1094" i="5"/>
  <c r="L1094" i="5"/>
  <c r="K1094" i="5"/>
  <c r="J1094" i="5"/>
  <c r="I1094" i="5"/>
  <c r="H1094" i="5"/>
  <c r="G1094" i="5"/>
  <c r="F1094" i="5"/>
  <c r="E1094" i="5"/>
  <c r="D1094" i="5"/>
  <c r="C1094" i="5"/>
  <c r="B1094" i="5"/>
  <c r="A1094" i="5"/>
  <c r="M1093" i="5"/>
  <c r="L1093" i="5"/>
  <c r="K1093" i="5"/>
  <c r="J1093" i="5"/>
  <c r="I1093" i="5"/>
  <c r="H1093" i="5"/>
  <c r="G1093" i="5"/>
  <c r="F1093" i="5"/>
  <c r="E1093" i="5"/>
  <c r="D1093" i="5"/>
  <c r="C1093" i="5"/>
  <c r="B1093" i="5"/>
  <c r="A1093" i="5"/>
  <c r="M1092" i="5"/>
  <c r="L1092" i="5"/>
  <c r="K1092" i="5"/>
  <c r="J1092" i="5"/>
  <c r="I1092" i="5"/>
  <c r="H1092" i="5"/>
  <c r="G1092" i="5"/>
  <c r="F1092" i="5"/>
  <c r="E1092" i="5"/>
  <c r="D1092" i="5"/>
  <c r="C1092" i="5"/>
  <c r="B1092" i="5"/>
  <c r="A1092" i="5"/>
  <c r="M1091" i="5"/>
  <c r="L1091" i="5"/>
  <c r="K1091" i="5"/>
  <c r="J1091" i="5"/>
  <c r="I1091" i="5"/>
  <c r="H1091" i="5"/>
  <c r="G1091" i="5"/>
  <c r="F1091" i="5"/>
  <c r="E1091" i="5"/>
  <c r="D1091" i="5"/>
  <c r="C1091" i="5"/>
  <c r="B1091" i="5"/>
  <c r="A1091" i="5"/>
  <c r="M1090" i="5"/>
  <c r="L1090" i="5"/>
  <c r="K1090" i="5"/>
  <c r="J1090" i="5"/>
  <c r="I1090" i="5"/>
  <c r="H1090" i="5"/>
  <c r="G1090" i="5"/>
  <c r="F1090" i="5"/>
  <c r="E1090" i="5"/>
  <c r="D1090" i="5"/>
  <c r="C1090" i="5"/>
  <c r="B1090" i="5"/>
  <c r="A1090" i="5"/>
  <c r="M1089" i="5"/>
  <c r="L1089" i="5"/>
  <c r="K1089" i="5"/>
  <c r="J1089" i="5"/>
  <c r="I1089" i="5"/>
  <c r="H1089" i="5"/>
  <c r="G1089" i="5"/>
  <c r="F1089" i="5"/>
  <c r="E1089" i="5"/>
  <c r="D1089" i="5"/>
  <c r="C1089" i="5"/>
  <c r="B1089" i="5"/>
  <c r="A1089" i="5"/>
  <c r="M1088" i="5"/>
  <c r="L1088" i="5"/>
  <c r="K1088" i="5"/>
  <c r="J1088" i="5"/>
  <c r="I1088" i="5"/>
  <c r="H1088" i="5"/>
  <c r="G1088" i="5"/>
  <c r="F1088" i="5"/>
  <c r="E1088" i="5"/>
  <c r="D1088" i="5"/>
  <c r="C1088" i="5"/>
  <c r="B1088" i="5"/>
  <c r="A1088" i="5"/>
  <c r="M1087" i="5"/>
  <c r="L1087" i="5"/>
  <c r="K1087" i="5"/>
  <c r="J1087" i="5"/>
  <c r="I1087" i="5"/>
  <c r="H1087" i="5"/>
  <c r="G1087" i="5"/>
  <c r="F1087" i="5"/>
  <c r="E1087" i="5"/>
  <c r="D1087" i="5"/>
  <c r="C1087" i="5"/>
  <c r="B1087" i="5"/>
  <c r="A1087" i="5"/>
  <c r="M1086" i="5"/>
  <c r="L1086" i="5"/>
  <c r="K1086" i="5"/>
  <c r="J1086" i="5"/>
  <c r="I1086" i="5"/>
  <c r="H1086" i="5"/>
  <c r="G1086" i="5"/>
  <c r="F1086" i="5"/>
  <c r="E1086" i="5"/>
  <c r="D1086" i="5"/>
  <c r="C1086" i="5"/>
  <c r="B1086" i="5"/>
  <c r="A1086" i="5"/>
  <c r="M1085" i="5"/>
  <c r="L1085" i="5"/>
  <c r="K1085" i="5"/>
  <c r="J1085" i="5"/>
  <c r="I1085" i="5"/>
  <c r="H1085" i="5"/>
  <c r="G1085" i="5"/>
  <c r="F1085" i="5"/>
  <c r="E1085" i="5"/>
  <c r="D1085" i="5"/>
  <c r="C1085" i="5"/>
  <c r="B1085" i="5"/>
  <c r="A1085" i="5"/>
  <c r="M1084" i="5"/>
  <c r="L1084" i="5"/>
  <c r="K1084" i="5"/>
  <c r="J1084" i="5"/>
  <c r="I1084" i="5"/>
  <c r="H1084" i="5"/>
  <c r="G1084" i="5"/>
  <c r="F1084" i="5"/>
  <c r="E1084" i="5"/>
  <c r="D1084" i="5"/>
  <c r="C1084" i="5"/>
  <c r="B1084" i="5"/>
  <c r="A1084" i="5"/>
  <c r="M1083" i="5"/>
  <c r="L1083" i="5"/>
  <c r="K1083" i="5"/>
  <c r="J1083" i="5"/>
  <c r="I1083" i="5"/>
  <c r="H1083" i="5"/>
  <c r="G1083" i="5"/>
  <c r="F1083" i="5"/>
  <c r="E1083" i="5"/>
  <c r="D1083" i="5"/>
  <c r="C1083" i="5"/>
  <c r="B1083" i="5"/>
  <c r="A1083" i="5"/>
  <c r="M1082" i="5"/>
  <c r="L1082" i="5"/>
  <c r="K1082" i="5"/>
  <c r="J1082" i="5"/>
  <c r="I1082" i="5"/>
  <c r="H1082" i="5"/>
  <c r="G1082" i="5"/>
  <c r="F1082" i="5"/>
  <c r="E1082" i="5"/>
  <c r="D1082" i="5"/>
  <c r="C1082" i="5"/>
  <c r="B1082" i="5"/>
  <c r="A1082" i="5"/>
  <c r="M1081" i="5"/>
  <c r="L1081" i="5"/>
  <c r="K1081" i="5"/>
  <c r="J1081" i="5"/>
  <c r="I1081" i="5"/>
  <c r="H1081" i="5"/>
  <c r="G1081" i="5"/>
  <c r="F1081" i="5"/>
  <c r="E1081" i="5"/>
  <c r="D1081" i="5"/>
  <c r="C1081" i="5"/>
  <c r="B1081" i="5"/>
  <c r="A1081" i="5"/>
  <c r="M1080" i="5"/>
  <c r="L1080" i="5"/>
  <c r="K1080" i="5"/>
  <c r="J1080" i="5"/>
  <c r="I1080" i="5"/>
  <c r="H1080" i="5"/>
  <c r="G1080" i="5"/>
  <c r="F1080" i="5"/>
  <c r="E1080" i="5"/>
  <c r="D1080" i="5"/>
  <c r="C1080" i="5"/>
  <c r="B1080" i="5"/>
  <c r="A1080" i="5"/>
  <c r="M1079" i="5"/>
  <c r="L1079" i="5"/>
  <c r="K1079" i="5"/>
  <c r="J1079" i="5"/>
  <c r="I1079" i="5"/>
  <c r="H1079" i="5"/>
  <c r="G1079" i="5"/>
  <c r="F1079" i="5"/>
  <c r="E1079" i="5"/>
  <c r="D1079" i="5"/>
  <c r="C1079" i="5"/>
  <c r="B1079" i="5"/>
  <c r="A1079" i="5"/>
  <c r="M1078" i="5"/>
  <c r="L1078" i="5"/>
  <c r="K1078" i="5"/>
  <c r="J1078" i="5"/>
  <c r="I1078" i="5"/>
  <c r="H1078" i="5"/>
  <c r="G1078" i="5"/>
  <c r="F1078" i="5"/>
  <c r="E1078" i="5"/>
  <c r="D1078" i="5"/>
  <c r="C1078" i="5"/>
  <c r="B1078" i="5"/>
  <c r="A1078" i="5"/>
  <c r="M1077" i="5"/>
  <c r="L1077" i="5"/>
  <c r="K1077" i="5"/>
  <c r="J1077" i="5"/>
  <c r="I1077" i="5"/>
  <c r="H1077" i="5"/>
  <c r="G1077" i="5"/>
  <c r="F1077" i="5"/>
  <c r="E1077" i="5"/>
  <c r="D1077" i="5"/>
  <c r="C1077" i="5"/>
  <c r="B1077" i="5"/>
  <c r="A1077" i="5"/>
  <c r="M1076" i="5"/>
  <c r="L1076" i="5"/>
  <c r="K1076" i="5"/>
  <c r="J1076" i="5"/>
  <c r="I1076" i="5"/>
  <c r="H1076" i="5"/>
  <c r="G1076" i="5"/>
  <c r="F1076" i="5"/>
  <c r="E1076" i="5"/>
  <c r="D1076" i="5"/>
  <c r="C1076" i="5"/>
  <c r="B1076" i="5"/>
  <c r="A1076" i="5"/>
  <c r="M1075" i="5"/>
  <c r="L1075" i="5"/>
  <c r="K1075" i="5"/>
  <c r="J1075" i="5"/>
  <c r="I1075" i="5"/>
  <c r="H1075" i="5"/>
  <c r="G1075" i="5"/>
  <c r="F1075" i="5"/>
  <c r="E1075" i="5"/>
  <c r="D1075" i="5"/>
  <c r="C1075" i="5"/>
  <c r="B1075" i="5"/>
  <c r="A1075" i="5"/>
  <c r="M1074" i="5"/>
  <c r="L1074" i="5"/>
  <c r="K1074" i="5"/>
  <c r="J1074" i="5"/>
  <c r="I1074" i="5"/>
  <c r="H1074" i="5"/>
  <c r="G1074" i="5"/>
  <c r="F1074" i="5"/>
  <c r="E1074" i="5"/>
  <c r="D1074" i="5"/>
  <c r="C1074" i="5"/>
  <c r="B1074" i="5"/>
  <c r="A1074" i="5"/>
  <c r="M1073" i="5"/>
  <c r="L1073" i="5"/>
  <c r="K1073" i="5"/>
  <c r="J1073" i="5"/>
  <c r="I1073" i="5"/>
  <c r="H1073" i="5"/>
  <c r="G1073" i="5"/>
  <c r="F1073" i="5"/>
  <c r="E1073" i="5"/>
  <c r="D1073" i="5"/>
  <c r="C1073" i="5"/>
  <c r="B1073" i="5"/>
  <c r="A1073" i="5"/>
  <c r="M1072" i="5"/>
  <c r="L1072" i="5"/>
  <c r="K1072" i="5"/>
  <c r="J1072" i="5"/>
  <c r="I1072" i="5"/>
  <c r="H1072" i="5"/>
  <c r="G1072" i="5"/>
  <c r="F1072" i="5"/>
  <c r="E1072" i="5"/>
  <c r="D1072" i="5"/>
  <c r="C1072" i="5"/>
  <c r="B1072" i="5"/>
  <c r="A1072" i="5"/>
  <c r="M1071" i="5"/>
  <c r="L1071" i="5"/>
  <c r="K1071" i="5"/>
  <c r="J1071" i="5"/>
  <c r="I1071" i="5"/>
  <c r="H1071" i="5"/>
  <c r="G1071" i="5"/>
  <c r="F1071" i="5"/>
  <c r="E1071" i="5"/>
  <c r="D1071" i="5"/>
  <c r="C1071" i="5"/>
  <c r="B1071" i="5"/>
  <c r="A1071" i="5"/>
  <c r="M1070" i="5"/>
  <c r="L1070" i="5"/>
  <c r="K1070" i="5"/>
  <c r="J1070" i="5"/>
  <c r="I1070" i="5"/>
  <c r="H1070" i="5"/>
  <c r="G1070" i="5"/>
  <c r="F1070" i="5"/>
  <c r="E1070" i="5"/>
  <c r="D1070" i="5"/>
  <c r="C1070" i="5"/>
  <c r="B1070" i="5"/>
  <c r="A1070" i="5"/>
  <c r="M1069" i="5"/>
  <c r="L1069" i="5"/>
  <c r="K1069" i="5"/>
  <c r="J1069" i="5"/>
  <c r="I1069" i="5"/>
  <c r="H1069" i="5"/>
  <c r="G1069" i="5"/>
  <c r="F1069" i="5"/>
  <c r="E1069" i="5"/>
  <c r="D1069" i="5"/>
  <c r="C1069" i="5"/>
  <c r="B1069" i="5"/>
  <c r="A1069" i="5"/>
  <c r="M1068" i="5"/>
  <c r="L1068" i="5"/>
  <c r="K1068" i="5"/>
  <c r="J1068" i="5"/>
  <c r="I1068" i="5"/>
  <c r="H1068" i="5"/>
  <c r="G1068" i="5"/>
  <c r="F1068" i="5"/>
  <c r="D1068" i="5"/>
  <c r="C1068" i="5"/>
  <c r="B1068" i="5"/>
  <c r="A1068" i="5"/>
  <c r="M1067" i="5"/>
  <c r="L1067" i="5"/>
  <c r="K1067" i="5"/>
  <c r="J1067" i="5"/>
  <c r="I1067" i="5"/>
  <c r="H1067" i="5"/>
  <c r="G1067" i="5"/>
  <c r="E1067" i="5"/>
  <c r="D1067" i="5"/>
  <c r="C1067" i="5"/>
  <c r="B1067" i="5"/>
  <c r="A1067" i="5"/>
  <c r="M1066" i="5"/>
  <c r="L1066" i="5"/>
  <c r="K1066" i="5"/>
  <c r="J1066" i="5"/>
  <c r="I1066" i="5"/>
  <c r="H1066" i="5"/>
  <c r="G1066" i="5"/>
  <c r="F1066" i="5"/>
  <c r="E1066" i="5"/>
  <c r="D1066" i="5"/>
  <c r="C1066" i="5"/>
  <c r="B1066" i="5"/>
  <c r="A1066" i="5"/>
  <c r="M1065" i="5"/>
  <c r="L1065" i="5"/>
  <c r="K1065" i="5"/>
  <c r="J1065" i="5"/>
  <c r="I1065" i="5"/>
  <c r="H1065" i="5"/>
  <c r="G1065" i="5"/>
  <c r="F1065" i="5"/>
  <c r="E1065" i="5"/>
  <c r="D1065" i="5"/>
  <c r="C1065" i="5"/>
  <c r="B1065" i="5"/>
  <c r="A1065" i="5"/>
  <c r="M1064" i="5"/>
  <c r="L1064" i="5"/>
  <c r="K1064" i="5"/>
  <c r="J1064" i="5"/>
  <c r="I1064" i="5"/>
  <c r="H1064" i="5"/>
  <c r="G1064" i="5"/>
  <c r="E1064" i="5"/>
  <c r="D1064" i="5"/>
  <c r="C1064" i="5"/>
  <c r="B1064" i="5"/>
  <c r="A1064" i="5"/>
  <c r="M1063" i="5"/>
  <c r="L1063" i="5"/>
  <c r="K1063" i="5"/>
  <c r="J1063" i="5"/>
  <c r="I1063" i="5"/>
  <c r="H1063" i="5"/>
  <c r="G1063" i="5"/>
  <c r="F1063" i="5"/>
  <c r="E1063" i="5"/>
  <c r="D1063" i="5"/>
  <c r="C1063" i="5"/>
  <c r="B1063" i="5"/>
  <c r="A1063" i="5"/>
  <c r="M1062" i="5"/>
  <c r="L1062" i="5"/>
  <c r="K1062" i="5"/>
  <c r="J1062" i="5"/>
  <c r="I1062" i="5"/>
  <c r="H1062" i="5"/>
  <c r="G1062" i="5"/>
  <c r="F1062" i="5"/>
  <c r="E1062" i="5"/>
  <c r="D1062" i="5"/>
  <c r="C1062" i="5"/>
  <c r="B1062" i="5"/>
  <c r="A1062" i="5"/>
  <c r="M1061" i="5"/>
  <c r="L1061" i="5"/>
  <c r="K1061" i="5"/>
  <c r="J1061" i="5"/>
  <c r="I1061" i="5"/>
  <c r="H1061" i="5"/>
  <c r="G1061" i="5"/>
  <c r="F1061" i="5"/>
  <c r="E1061" i="5"/>
  <c r="D1061" i="5"/>
  <c r="C1061" i="5"/>
  <c r="B1061" i="5"/>
  <c r="A1061" i="5"/>
  <c r="M1060" i="5"/>
  <c r="L1060" i="5"/>
  <c r="K1060" i="5"/>
  <c r="J1060" i="5"/>
  <c r="I1060" i="5"/>
  <c r="H1060" i="5"/>
  <c r="G1060" i="5"/>
  <c r="F1060" i="5"/>
  <c r="E1060" i="5"/>
  <c r="D1060" i="5"/>
  <c r="C1060" i="5"/>
  <c r="B1060" i="5"/>
  <c r="A1060" i="5"/>
  <c r="M1059" i="5"/>
  <c r="L1059" i="5"/>
  <c r="K1059" i="5"/>
  <c r="J1059" i="5"/>
  <c r="I1059" i="5"/>
  <c r="H1059" i="5"/>
  <c r="G1059" i="5"/>
  <c r="F1059" i="5"/>
  <c r="E1059" i="5"/>
  <c r="D1059" i="5"/>
  <c r="C1059" i="5"/>
  <c r="B1059" i="5"/>
  <c r="A1059" i="5"/>
  <c r="M1058" i="5"/>
  <c r="L1058" i="5"/>
  <c r="K1058" i="5"/>
  <c r="J1058" i="5"/>
  <c r="I1058" i="5"/>
  <c r="H1058" i="5"/>
  <c r="G1058" i="5"/>
  <c r="F1058" i="5"/>
  <c r="E1058" i="5"/>
  <c r="D1058" i="5"/>
  <c r="C1058" i="5"/>
  <c r="B1058" i="5"/>
  <c r="A1058" i="5"/>
  <c r="M1057" i="5"/>
  <c r="L1057" i="5"/>
  <c r="K1057" i="5"/>
  <c r="J1057" i="5"/>
  <c r="I1057" i="5"/>
  <c r="H1057" i="5"/>
  <c r="G1057" i="5"/>
  <c r="F1057" i="5"/>
  <c r="D1057" i="5"/>
  <c r="C1057" i="5"/>
  <c r="B1057" i="5"/>
  <c r="A1057" i="5"/>
  <c r="M1056" i="5"/>
  <c r="L1056" i="5"/>
  <c r="K1056" i="5"/>
  <c r="J1056" i="5"/>
  <c r="I1056" i="5"/>
  <c r="H1056" i="5"/>
  <c r="G1056" i="5"/>
  <c r="F1056" i="5"/>
  <c r="E1056" i="5"/>
  <c r="D1056" i="5"/>
  <c r="C1056" i="5"/>
  <c r="B1056" i="5"/>
  <c r="A1056" i="5"/>
  <c r="M1055" i="5"/>
  <c r="L1055" i="5"/>
  <c r="K1055" i="5"/>
  <c r="J1055" i="5"/>
  <c r="I1055" i="5"/>
  <c r="H1055" i="5"/>
  <c r="G1055" i="5"/>
  <c r="F1055" i="5"/>
  <c r="E1055" i="5"/>
  <c r="D1055" i="5"/>
  <c r="C1055" i="5"/>
  <c r="B1055" i="5"/>
  <c r="A1055" i="5"/>
  <c r="M1054" i="5"/>
  <c r="L1054" i="5"/>
  <c r="K1054" i="5"/>
  <c r="J1054" i="5"/>
  <c r="I1054" i="5"/>
  <c r="H1054" i="5"/>
  <c r="G1054" i="5"/>
  <c r="F1054" i="5"/>
  <c r="E1054" i="5"/>
  <c r="D1054" i="5"/>
  <c r="C1054" i="5"/>
  <c r="B1054" i="5"/>
  <c r="A1054" i="5"/>
  <c r="M1053" i="5"/>
  <c r="L1053" i="5"/>
  <c r="K1053" i="5"/>
  <c r="J1053" i="5"/>
  <c r="I1053" i="5"/>
  <c r="H1053" i="5"/>
  <c r="G1053" i="5"/>
  <c r="F1053" i="5"/>
  <c r="E1053" i="5"/>
  <c r="D1053" i="5"/>
  <c r="C1053" i="5"/>
  <c r="B1053" i="5"/>
  <c r="A1053" i="5"/>
  <c r="M1052" i="5"/>
  <c r="L1052" i="5"/>
  <c r="K1052" i="5"/>
  <c r="J1052" i="5"/>
  <c r="I1052" i="5"/>
  <c r="H1052" i="5"/>
  <c r="G1052" i="5"/>
  <c r="F1052" i="5"/>
  <c r="E1052" i="5"/>
  <c r="D1052" i="5"/>
  <c r="C1052" i="5"/>
  <c r="B1052" i="5"/>
  <c r="A1052" i="5"/>
  <c r="M1051" i="5"/>
  <c r="L1051" i="5"/>
  <c r="K1051" i="5"/>
  <c r="J1051" i="5"/>
  <c r="I1051" i="5"/>
  <c r="H1051" i="5"/>
  <c r="G1051" i="5"/>
  <c r="F1051" i="5"/>
  <c r="E1051" i="5"/>
  <c r="D1051" i="5"/>
  <c r="C1051" i="5"/>
  <c r="B1051" i="5"/>
  <c r="A1051" i="5"/>
  <c r="M1050" i="5"/>
  <c r="L1050" i="5"/>
  <c r="K1050" i="5"/>
  <c r="J1050" i="5"/>
  <c r="I1050" i="5"/>
  <c r="H1050" i="5"/>
  <c r="G1050" i="5"/>
  <c r="F1050" i="5"/>
  <c r="E1050" i="5"/>
  <c r="D1050" i="5"/>
  <c r="C1050" i="5"/>
  <c r="B1050" i="5"/>
  <c r="A1050" i="5"/>
  <c r="M1049" i="5"/>
  <c r="L1049" i="5"/>
  <c r="K1049" i="5"/>
  <c r="J1049" i="5"/>
  <c r="I1049" i="5"/>
  <c r="H1049" i="5"/>
  <c r="G1049" i="5"/>
  <c r="F1049" i="5"/>
  <c r="E1049" i="5"/>
  <c r="D1049" i="5"/>
  <c r="C1049" i="5"/>
  <c r="B1049" i="5"/>
  <c r="A1049" i="5"/>
  <c r="M1048" i="5"/>
  <c r="L1048" i="5"/>
  <c r="K1048" i="5"/>
  <c r="J1048" i="5"/>
  <c r="I1048" i="5"/>
  <c r="H1048" i="5"/>
  <c r="G1048" i="5"/>
  <c r="F1048" i="5"/>
  <c r="E1048" i="5"/>
  <c r="D1048" i="5"/>
  <c r="C1048" i="5"/>
  <c r="B1048" i="5"/>
  <c r="A1048" i="5"/>
  <c r="M1047" i="5"/>
  <c r="L1047" i="5"/>
  <c r="K1047" i="5"/>
  <c r="J1047" i="5"/>
  <c r="I1047" i="5"/>
  <c r="H1047" i="5"/>
  <c r="G1047" i="5"/>
  <c r="F1047" i="5"/>
  <c r="E1047" i="5"/>
  <c r="D1047" i="5"/>
  <c r="C1047" i="5"/>
  <c r="B1047" i="5"/>
  <c r="A1047" i="5"/>
  <c r="M1046" i="5"/>
  <c r="L1046" i="5"/>
  <c r="K1046" i="5"/>
  <c r="J1046" i="5"/>
  <c r="I1046" i="5"/>
  <c r="H1046" i="5"/>
  <c r="G1046" i="5"/>
  <c r="F1046" i="5"/>
  <c r="E1046" i="5"/>
  <c r="D1046" i="5"/>
  <c r="C1046" i="5"/>
  <c r="B1046" i="5"/>
  <c r="A1046" i="5"/>
  <c r="M1045" i="5"/>
  <c r="L1045" i="5"/>
  <c r="K1045" i="5"/>
  <c r="J1045" i="5"/>
  <c r="I1045" i="5"/>
  <c r="H1045" i="5"/>
  <c r="G1045" i="5"/>
  <c r="F1045" i="5"/>
  <c r="E1045" i="5"/>
  <c r="D1045" i="5"/>
  <c r="C1045" i="5"/>
  <c r="B1045" i="5"/>
  <c r="A1045" i="5"/>
  <c r="M1044" i="5"/>
  <c r="L1044" i="5"/>
  <c r="K1044" i="5"/>
  <c r="J1044" i="5"/>
  <c r="I1044" i="5"/>
  <c r="H1044" i="5"/>
  <c r="G1044" i="5"/>
  <c r="F1044" i="5"/>
  <c r="E1044" i="5"/>
  <c r="D1044" i="5"/>
  <c r="C1044" i="5"/>
  <c r="B1044" i="5"/>
  <c r="A1044" i="5"/>
  <c r="M1043" i="5"/>
  <c r="L1043" i="5"/>
  <c r="K1043" i="5"/>
  <c r="J1043" i="5"/>
  <c r="I1043" i="5"/>
  <c r="H1043" i="5"/>
  <c r="G1043" i="5"/>
  <c r="F1043" i="5"/>
  <c r="E1043" i="5"/>
  <c r="D1043" i="5"/>
  <c r="C1043" i="5"/>
  <c r="B1043" i="5"/>
  <c r="A1043" i="5"/>
  <c r="M1042" i="5"/>
  <c r="L1042" i="5"/>
  <c r="K1042" i="5"/>
  <c r="J1042" i="5"/>
  <c r="I1042" i="5"/>
  <c r="H1042" i="5"/>
  <c r="G1042" i="5"/>
  <c r="F1042" i="5"/>
  <c r="E1042" i="5"/>
  <c r="D1042" i="5"/>
  <c r="C1042" i="5"/>
  <c r="B1042" i="5"/>
  <c r="A1042" i="5"/>
  <c r="M1041" i="5"/>
  <c r="L1041" i="5"/>
  <c r="K1041" i="5"/>
  <c r="J1041" i="5"/>
  <c r="I1041" i="5"/>
  <c r="H1041" i="5"/>
  <c r="G1041" i="5"/>
  <c r="F1041" i="5"/>
  <c r="E1041" i="5"/>
  <c r="D1041" i="5"/>
  <c r="C1041" i="5"/>
  <c r="B1041" i="5"/>
  <c r="A1041" i="5"/>
  <c r="M1040" i="5"/>
  <c r="L1040" i="5"/>
  <c r="K1040" i="5"/>
  <c r="J1040" i="5"/>
  <c r="I1040" i="5"/>
  <c r="H1040" i="5"/>
  <c r="G1040" i="5"/>
  <c r="F1040" i="5"/>
  <c r="E1040" i="5"/>
  <c r="D1040" i="5"/>
  <c r="C1040" i="5"/>
  <c r="B1040" i="5"/>
  <c r="A1040" i="5"/>
  <c r="M1039" i="5"/>
  <c r="L1039" i="5"/>
  <c r="K1039" i="5"/>
  <c r="J1039" i="5"/>
  <c r="I1039" i="5"/>
  <c r="H1039" i="5"/>
  <c r="G1039" i="5"/>
  <c r="F1039" i="5"/>
  <c r="E1039" i="5"/>
  <c r="D1039" i="5"/>
  <c r="C1039" i="5"/>
  <c r="B1039" i="5"/>
  <c r="A1039" i="5"/>
  <c r="M1038" i="5"/>
  <c r="L1038" i="5"/>
  <c r="K1038" i="5"/>
  <c r="J1038" i="5"/>
  <c r="I1038" i="5"/>
  <c r="H1038" i="5"/>
  <c r="G1038" i="5"/>
  <c r="F1038" i="5"/>
  <c r="E1038" i="5"/>
  <c r="D1038" i="5"/>
  <c r="C1038" i="5"/>
  <c r="B1038" i="5"/>
  <c r="A1038" i="5"/>
  <c r="M1037" i="5"/>
  <c r="L1037" i="5"/>
  <c r="K1037" i="5"/>
  <c r="J1037" i="5"/>
  <c r="I1037" i="5"/>
  <c r="H1037" i="5"/>
  <c r="G1037" i="5"/>
  <c r="F1037" i="5"/>
  <c r="E1037" i="5"/>
  <c r="D1037" i="5"/>
  <c r="C1037" i="5"/>
  <c r="B1037" i="5"/>
  <c r="A1037" i="5"/>
  <c r="M1036" i="5"/>
  <c r="L1036" i="5"/>
  <c r="K1036" i="5"/>
  <c r="J1036" i="5"/>
  <c r="I1036" i="5"/>
  <c r="H1036" i="5"/>
  <c r="G1036" i="5"/>
  <c r="F1036" i="5"/>
  <c r="E1036" i="5"/>
  <c r="D1036" i="5"/>
  <c r="C1036" i="5"/>
  <c r="B1036" i="5"/>
  <c r="A1036" i="5"/>
  <c r="M1035" i="5"/>
  <c r="L1035" i="5"/>
  <c r="K1035" i="5"/>
  <c r="J1035" i="5"/>
  <c r="I1035" i="5"/>
  <c r="H1035" i="5"/>
  <c r="G1035" i="5"/>
  <c r="F1035" i="5"/>
  <c r="E1035" i="5"/>
  <c r="D1035" i="5"/>
  <c r="C1035" i="5"/>
  <c r="B1035" i="5"/>
  <c r="A1035" i="5"/>
  <c r="M1034" i="5"/>
  <c r="L1034" i="5"/>
  <c r="K1034" i="5"/>
  <c r="J1034" i="5"/>
  <c r="I1034" i="5"/>
  <c r="H1034" i="5"/>
  <c r="G1034" i="5"/>
  <c r="F1034" i="5"/>
  <c r="E1034" i="5"/>
  <c r="D1034" i="5"/>
  <c r="C1034" i="5"/>
  <c r="B1034" i="5"/>
  <c r="A1034" i="5"/>
  <c r="M1033" i="5"/>
  <c r="L1033" i="5"/>
  <c r="K1033" i="5"/>
  <c r="J1033" i="5"/>
  <c r="I1033" i="5"/>
  <c r="H1033" i="5"/>
  <c r="G1033" i="5"/>
  <c r="F1033" i="5"/>
  <c r="E1033" i="5"/>
  <c r="D1033" i="5"/>
  <c r="C1033" i="5"/>
  <c r="B1033" i="5"/>
  <c r="A1033" i="5"/>
  <c r="M1032" i="5"/>
  <c r="L1032" i="5"/>
  <c r="K1032" i="5"/>
  <c r="J1032" i="5"/>
  <c r="I1032" i="5"/>
  <c r="H1032" i="5"/>
  <c r="G1032" i="5"/>
  <c r="F1032" i="5"/>
  <c r="E1032" i="5"/>
  <c r="D1032" i="5"/>
  <c r="C1032" i="5"/>
  <c r="B1032" i="5"/>
  <c r="A1032" i="5"/>
  <c r="M1031" i="5"/>
  <c r="L1031" i="5"/>
  <c r="K1031" i="5"/>
  <c r="J1031" i="5"/>
  <c r="I1031" i="5"/>
  <c r="H1031" i="5"/>
  <c r="G1031" i="5"/>
  <c r="F1031" i="5"/>
  <c r="E1031" i="5"/>
  <c r="D1031" i="5"/>
  <c r="C1031" i="5"/>
  <c r="B1031" i="5"/>
  <c r="A1031" i="5"/>
  <c r="M1030" i="5"/>
  <c r="L1030" i="5"/>
  <c r="K1030" i="5"/>
  <c r="J1030" i="5"/>
  <c r="I1030" i="5"/>
  <c r="H1030" i="5"/>
  <c r="G1030" i="5"/>
  <c r="F1030" i="5"/>
  <c r="E1030" i="5"/>
  <c r="D1030" i="5"/>
  <c r="C1030" i="5"/>
  <c r="B1030" i="5"/>
  <c r="A1030" i="5"/>
  <c r="M1029" i="5"/>
  <c r="L1029" i="5"/>
  <c r="K1029" i="5"/>
  <c r="J1029" i="5"/>
  <c r="I1029" i="5"/>
  <c r="H1029" i="5"/>
  <c r="G1029" i="5"/>
  <c r="F1029" i="5"/>
  <c r="E1029" i="5"/>
  <c r="D1029" i="5"/>
  <c r="C1029" i="5"/>
  <c r="B1029" i="5"/>
  <c r="A1029" i="5"/>
  <c r="M1028" i="5"/>
  <c r="L1028" i="5"/>
  <c r="K1028" i="5"/>
  <c r="J1028" i="5"/>
  <c r="I1028" i="5"/>
  <c r="H1028" i="5"/>
  <c r="G1028" i="5"/>
  <c r="F1028" i="5"/>
  <c r="E1028" i="5"/>
  <c r="D1028" i="5"/>
  <c r="C1028" i="5"/>
  <c r="B1028" i="5"/>
  <c r="A1028" i="5"/>
  <c r="M1027" i="5"/>
  <c r="L1027" i="5"/>
  <c r="K1027" i="5"/>
  <c r="J1027" i="5"/>
  <c r="I1027" i="5"/>
  <c r="H1027" i="5"/>
  <c r="G1027" i="5"/>
  <c r="F1027" i="5"/>
  <c r="E1027" i="5"/>
  <c r="D1027" i="5"/>
  <c r="C1027" i="5"/>
  <c r="B1027" i="5"/>
  <c r="A1027" i="5"/>
  <c r="M1026" i="5"/>
  <c r="L1026" i="5"/>
  <c r="K1026" i="5"/>
  <c r="J1026" i="5"/>
  <c r="I1026" i="5"/>
  <c r="H1026" i="5"/>
  <c r="G1026" i="5"/>
  <c r="F1026" i="5"/>
  <c r="E1026" i="5"/>
  <c r="D1026" i="5"/>
  <c r="C1026" i="5"/>
  <c r="B1026" i="5"/>
  <c r="A1026" i="5"/>
  <c r="M1025" i="5"/>
  <c r="L1025" i="5"/>
  <c r="K1025" i="5"/>
  <c r="J1025" i="5"/>
  <c r="I1025" i="5"/>
  <c r="H1025" i="5"/>
  <c r="G1025" i="5"/>
  <c r="F1025" i="5"/>
  <c r="E1025" i="5"/>
  <c r="D1025" i="5"/>
  <c r="B1025" i="5"/>
  <c r="A1025" i="5"/>
  <c r="M1024" i="5"/>
  <c r="L1024" i="5"/>
  <c r="K1024" i="5"/>
  <c r="J1024" i="5"/>
  <c r="I1024" i="5"/>
  <c r="H1024" i="5"/>
  <c r="G1024" i="5"/>
  <c r="F1024" i="5"/>
  <c r="E1024" i="5"/>
  <c r="D1024" i="5"/>
  <c r="C1024" i="5"/>
  <c r="B1024" i="5"/>
  <c r="A1024" i="5"/>
  <c r="M1023" i="5"/>
  <c r="L1023" i="5"/>
  <c r="K1023" i="5"/>
  <c r="J1023" i="5"/>
  <c r="I1023" i="5"/>
  <c r="H1023" i="5"/>
  <c r="G1023" i="5"/>
  <c r="F1023" i="5"/>
  <c r="E1023" i="5"/>
  <c r="D1023" i="5"/>
  <c r="C1023" i="5"/>
  <c r="B1023" i="5"/>
  <c r="A1023" i="5"/>
  <c r="M1022" i="5"/>
  <c r="L1022" i="5"/>
  <c r="K1022" i="5"/>
  <c r="J1022" i="5"/>
  <c r="I1022" i="5"/>
  <c r="H1022" i="5"/>
  <c r="G1022" i="5"/>
  <c r="F1022" i="5"/>
  <c r="E1022" i="5"/>
  <c r="D1022" i="5"/>
  <c r="C1022" i="5"/>
  <c r="B1022" i="5"/>
  <c r="A1022" i="5"/>
  <c r="M1021" i="5"/>
  <c r="L1021" i="5"/>
  <c r="K1021" i="5"/>
  <c r="J1021" i="5"/>
  <c r="I1021" i="5"/>
  <c r="H1021" i="5"/>
  <c r="G1021" i="5"/>
  <c r="F1021" i="5"/>
  <c r="E1021" i="5"/>
  <c r="D1021" i="5"/>
  <c r="C1021" i="5"/>
  <c r="B1021" i="5"/>
  <c r="A1021" i="5"/>
  <c r="M1020" i="5"/>
  <c r="L1020" i="5"/>
  <c r="K1020" i="5"/>
  <c r="J1020" i="5"/>
  <c r="I1020" i="5"/>
  <c r="H1020" i="5"/>
  <c r="G1020" i="5"/>
  <c r="F1020" i="5"/>
  <c r="E1020" i="5"/>
  <c r="D1020" i="5"/>
  <c r="C1020" i="5"/>
  <c r="B1020" i="5"/>
  <c r="A1020" i="5"/>
  <c r="M1019" i="5"/>
  <c r="L1019" i="5"/>
  <c r="K1019" i="5"/>
  <c r="J1019" i="5"/>
  <c r="I1019" i="5"/>
  <c r="H1019" i="5"/>
  <c r="G1019" i="5"/>
  <c r="F1019" i="5"/>
  <c r="E1019" i="5"/>
  <c r="D1019" i="5"/>
  <c r="C1019" i="5"/>
  <c r="B1019" i="5"/>
  <c r="A1019" i="5"/>
  <c r="M1018" i="5"/>
  <c r="L1018" i="5"/>
  <c r="K1018" i="5"/>
  <c r="J1018" i="5"/>
  <c r="I1018" i="5"/>
  <c r="H1018" i="5"/>
  <c r="G1018" i="5"/>
  <c r="F1018" i="5"/>
  <c r="E1018" i="5"/>
  <c r="D1018" i="5"/>
  <c r="C1018" i="5"/>
  <c r="B1018" i="5"/>
  <c r="A1018" i="5"/>
  <c r="M1017" i="5"/>
  <c r="L1017" i="5"/>
  <c r="K1017" i="5"/>
  <c r="J1017" i="5"/>
  <c r="I1017" i="5"/>
  <c r="H1017" i="5"/>
  <c r="G1017" i="5"/>
  <c r="F1017" i="5"/>
  <c r="E1017" i="5"/>
  <c r="D1017" i="5"/>
  <c r="C1017" i="5"/>
  <c r="B1017" i="5"/>
  <c r="A1017" i="5"/>
  <c r="M1016" i="5"/>
  <c r="L1016" i="5"/>
  <c r="K1016" i="5"/>
  <c r="J1016" i="5"/>
  <c r="I1016" i="5"/>
  <c r="H1016" i="5"/>
  <c r="G1016" i="5"/>
  <c r="F1016" i="5"/>
  <c r="E1016" i="5"/>
  <c r="D1016" i="5"/>
  <c r="C1016" i="5"/>
  <c r="B1016" i="5"/>
  <c r="A1016" i="5"/>
  <c r="M1015" i="5"/>
  <c r="L1015" i="5"/>
  <c r="K1015" i="5"/>
  <c r="J1015" i="5"/>
  <c r="I1015" i="5"/>
  <c r="H1015" i="5"/>
  <c r="G1015" i="5"/>
  <c r="F1015" i="5"/>
  <c r="E1015" i="5"/>
  <c r="D1015" i="5"/>
  <c r="C1015" i="5"/>
  <c r="B1015" i="5"/>
  <c r="A1015" i="5"/>
  <c r="M1014" i="5"/>
  <c r="L1014" i="5"/>
  <c r="K1014" i="5"/>
  <c r="J1014" i="5"/>
  <c r="I1014" i="5"/>
  <c r="H1014" i="5"/>
  <c r="G1014" i="5"/>
  <c r="F1014" i="5"/>
  <c r="E1014" i="5"/>
  <c r="D1014" i="5"/>
  <c r="C1014" i="5"/>
  <c r="B1014" i="5"/>
  <c r="A1014" i="5"/>
  <c r="M1013" i="5"/>
  <c r="L1013" i="5"/>
  <c r="K1013" i="5"/>
  <c r="J1013" i="5"/>
  <c r="I1013" i="5"/>
  <c r="H1013" i="5"/>
  <c r="G1013" i="5"/>
  <c r="F1013" i="5"/>
  <c r="E1013" i="5"/>
  <c r="D1013" i="5"/>
  <c r="C1013" i="5"/>
  <c r="B1013" i="5"/>
  <c r="A1013" i="5"/>
  <c r="M1012" i="5"/>
  <c r="L1012" i="5"/>
  <c r="K1012" i="5"/>
  <c r="J1012" i="5"/>
  <c r="I1012" i="5"/>
  <c r="H1012" i="5"/>
  <c r="G1012" i="5"/>
  <c r="F1012" i="5"/>
  <c r="E1012" i="5"/>
  <c r="D1012" i="5"/>
  <c r="C1012" i="5"/>
  <c r="B1012" i="5"/>
  <c r="A1012" i="5"/>
  <c r="M1011" i="5"/>
  <c r="L1011" i="5"/>
  <c r="K1011" i="5"/>
  <c r="J1011" i="5"/>
  <c r="I1011" i="5"/>
  <c r="H1011" i="5"/>
  <c r="G1011" i="5"/>
  <c r="F1011" i="5"/>
  <c r="E1011" i="5"/>
  <c r="D1011" i="5"/>
  <c r="C1011" i="5"/>
  <c r="B1011" i="5"/>
  <c r="A1011" i="5"/>
  <c r="M1010" i="5"/>
  <c r="L1010" i="5"/>
  <c r="K1010" i="5"/>
  <c r="J1010" i="5"/>
  <c r="I1010" i="5"/>
  <c r="H1010" i="5"/>
  <c r="G1010" i="5"/>
  <c r="F1010" i="5"/>
  <c r="E1010" i="5"/>
  <c r="D1010" i="5"/>
  <c r="C1010" i="5"/>
  <c r="B1010" i="5"/>
  <c r="A1010" i="5"/>
  <c r="M1009" i="5"/>
  <c r="L1009" i="5"/>
  <c r="K1009" i="5"/>
  <c r="J1009" i="5"/>
  <c r="I1009" i="5"/>
  <c r="H1009" i="5"/>
  <c r="G1009" i="5"/>
  <c r="F1009" i="5"/>
  <c r="E1009" i="5"/>
  <c r="D1009" i="5"/>
  <c r="C1009" i="5"/>
  <c r="B1009" i="5"/>
  <c r="A1009" i="5"/>
  <c r="M1008" i="5"/>
  <c r="L1008" i="5"/>
  <c r="K1008" i="5"/>
  <c r="J1008" i="5"/>
  <c r="I1008" i="5"/>
  <c r="H1008" i="5"/>
  <c r="G1008" i="5"/>
  <c r="F1008" i="5"/>
  <c r="E1008" i="5"/>
  <c r="D1008" i="5"/>
  <c r="C1008" i="5"/>
  <c r="B1008" i="5"/>
  <c r="A1008" i="5"/>
  <c r="M1007" i="5"/>
  <c r="L1007" i="5"/>
  <c r="K1007" i="5"/>
  <c r="J1007" i="5"/>
  <c r="I1007" i="5"/>
  <c r="H1007" i="5"/>
  <c r="G1007" i="5"/>
  <c r="F1007" i="5"/>
  <c r="E1007" i="5"/>
  <c r="D1007" i="5"/>
  <c r="C1007" i="5"/>
  <c r="B1007" i="5"/>
  <c r="A1007" i="5"/>
  <c r="M1006" i="5"/>
  <c r="L1006" i="5"/>
  <c r="K1006" i="5"/>
  <c r="J1006" i="5"/>
  <c r="I1006" i="5"/>
  <c r="H1006" i="5"/>
  <c r="G1006" i="5"/>
  <c r="F1006" i="5"/>
  <c r="E1006" i="5"/>
  <c r="D1006" i="5"/>
  <c r="C1006" i="5"/>
  <c r="B1006" i="5"/>
  <c r="A1006" i="5"/>
  <c r="M1005" i="5"/>
  <c r="L1005" i="5"/>
  <c r="K1005" i="5"/>
  <c r="J1005" i="5"/>
  <c r="I1005" i="5"/>
  <c r="H1005" i="5"/>
  <c r="G1005" i="5"/>
  <c r="F1005" i="5"/>
  <c r="E1005" i="5"/>
  <c r="D1005" i="5"/>
  <c r="C1005" i="5"/>
  <c r="B1005" i="5"/>
  <c r="A1005" i="5"/>
  <c r="M1004" i="5"/>
  <c r="L1004" i="5"/>
  <c r="K1004" i="5"/>
  <c r="J1004" i="5"/>
  <c r="I1004" i="5"/>
  <c r="H1004" i="5"/>
  <c r="G1004" i="5"/>
  <c r="F1004" i="5"/>
  <c r="E1004" i="5"/>
  <c r="D1004" i="5"/>
  <c r="C1004" i="5"/>
  <c r="B1004" i="5"/>
  <c r="A1004" i="5"/>
  <c r="M1003" i="5"/>
  <c r="L1003" i="5"/>
  <c r="K1003" i="5"/>
  <c r="J1003" i="5"/>
  <c r="I1003" i="5"/>
  <c r="H1003" i="5"/>
  <c r="G1003" i="5"/>
  <c r="F1003" i="5"/>
  <c r="E1003" i="5"/>
  <c r="D1003" i="5"/>
  <c r="C1003" i="5"/>
  <c r="B1003" i="5"/>
  <c r="A1003" i="5"/>
  <c r="M1002" i="5"/>
  <c r="L1002" i="5"/>
  <c r="K1002" i="5"/>
  <c r="J1002" i="5"/>
  <c r="I1002" i="5"/>
  <c r="H1002" i="5"/>
  <c r="G1002" i="5"/>
  <c r="F1002" i="5"/>
  <c r="E1002" i="5"/>
  <c r="D1002" i="5"/>
  <c r="C1002" i="5"/>
  <c r="B1002" i="5"/>
  <c r="A1002" i="5"/>
  <c r="M1001" i="5"/>
  <c r="L1001" i="5"/>
  <c r="K1001" i="5"/>
  <c r="J1001" i="5"/>
  <c r="I1001" i="5"/>
  <c r="H1001" i="5"/>
  <c r="G1001" i="5"/>
  <c r="F1001" i="5"/>
  <c r="E1001" i="5"/>
  <c r="D1001" i="5"/>
  <c r="C1001" i="5"/>
  <c r="B1001" i="5"/>
  <c r="A1001" i="5"/>
  <c r="M1000" i="5"/>
  <c r="L1000" i="5"/>
  <c r="K1000" i="5"/>
  <c r="J1000" i="5"/>
  <c r="I1000" i="5"/>
  <c r="H1000" i="5"/>
  <c r="G1000" i="5"/>
  <c r="F1000" i="5"/>
  <c r="E1000" i="5"/>
  <c r="D1000" i="5"/>
  <c r="C1000" i="5"/>
  <c r="B1000" i="5"/>
  <c r="A1000" i="5"/>
  <c r="M999" i="5"/>
  <c r="L999" i="5"/>
  <c r="K999" i="5"/>
  <c r="J999" i="5"/>
  <c r="I999" i="5"/>
  <c r="H999" i="5"/>
  <c r="G999" i="5"/>
  <c r="F999" i="5"/>
  <c r="E999" i="5"/>
  <c r="D999" i="5"/>
  <c r="C999" i="5"/>
  <c r="B999" i="5"/>
  <c r="A999" i="5"/>
  <c r="M998" i="5"/>
  <c r="L998" i="5"/>
  <c r="K998" i="5"/>
  <c r="J998" i="5"/>
  <c r="I998" i="5"/>
  <c r="H998" i="5"/>
  <c r="G998" i="5"/>
  <c r="F998" i="5"/>
  <c r="E998" i="5"/>
  <c r="D998" i="5"/>
  <c r="C998" i="5"/>
  <c r="B998" i="5"/>
  <c r="A998" i="5"/>
  <c r="M997" i="5"/>
  <c r="L997" i="5"/>
  <c r="K997" i="5"/>
  <c r="J997" i="5"/>
  <c r="I997" i="5"/>
  <c r="H997" i="5"/>
  <c r="G997" i="5"/>
  <c r="F997" i="5"/>
  <c r="D997" i="5"/>
  <c r="C997" i="5"/>
  <c r="B997" i="5"/>
  <c r="A997" i="5"/>
  <c r="M996" i="5"/>
  <c r="L996" i="5"/>
  <c r="K996" i="5"/>
  <c r="J996" i="5"/>
  <c r="I996" i="5"/>
  <c r="H996" i="5"/>
  <c r="G996" i="5"/>
  <c r="F996" i="5"/>
  <c r="E996" i="5"/>
  <c r="D996" i="5"/>
  <c r="C996" i="5"/>
  <c r="B996" i="5"/>
  <c r="A996" i="5"/>
  <c r="M995" i="5"/>
  <c r="L995" i="5"/>
  <c r="K995" i="5"/>
  <c r="J995" i="5"/>
  <c r="I995" i="5"/>
  <c r="H995" i="5"/>
  <c r="G995" i="5"/>
  <c r="F995" i="5"/>
  <c r="E995" i="5"/>
  <c r="D995" i="5"/>
  <c r="C995" i="5"/>
  <c r="B995" i="5"/>
  <c r="A995" i="5"/>
  <c r="M994" i="5"/>
  <c r="L994" i="5"/>
  <c r="K994" i="5"/>
  <c r="J994" i="5"/>
  <c r="I994" i="5"/>
  <c r="H994" i="5"/>
  <c r="G994" i="5"/>
  <c r="F994" i="5"/>
  <c r="E994" i="5"/>
  <c r="D994" i="5"/>
  <c r="C994" i="5"/>
  <c r="B994" i="5"/>
  <c r="A994" i="5"/>
  <c r="M993" i="5"/>
  <c r="L993" i="5"/>
  <c r="K993" i="5"/>
  <c r="J993" i="5"/>
  <c r="I993" i="5"/>
  <c r="H993" i="5"/>
  <c r="G993" i="5"/>
  <c r="F993" i="5"/>
  <c r="E993" i="5"/>
  <c r="D993" i="5"/>
  <c r="C993" i="5"/>
  <c r="B993" i="5"/>
  <c r="A993" i="5"/>
  <c r="M992" i="5"/>
  <c r="L992" i="5"/>
  <c r="K992" i="5"/>
  <c r="J992" i="5"/>
  <c r="I992" i="5"/>
  <c r="H992" i="5"/>
  <c r="G992" i="5"/>
  <c r="F992" i="5"/>
  <c r="E992" i="5"/>
  <c r="D992" i="5"/>
  <c r="C992" i="5"/>
  <c r="B992" i="5"/>
  <c r="A992" i="5"/>
  <c r="M991" i="5"/>
  <c r="L991" i="5"/>
  <c r="K991" i="5"/>
  <c r="J991" i="5"/>
  <c r="I991" i="5"/>
  <c r="H991" i="5"/>
  <c r="G991" i="5"/>
  <c r="F991" i="5"/>
  <c r="E991" i="5"/>
  <c r="D991" i="5"/>
  <c r="C991" i="5"/>
  <c r="B991" i="5"/>
  <c r="A991" i="5"/>
  <c r="M990" i="5"/>
  <c r="L990" i="5"/>
  <c r="K990" i="5"/>
  <c r="J990" i="5"/>
  <c r="I990" i="5"/>
  <c r="H990" i="5"/>
  <c r="G990" i="5"/>
  <c r="F990" i="5"/>
  <c r="E990" i="5"/>
  <c r="D990" i="5"/>
  <c r="C990" i="5"/>
  <c r="B990" i="5"/>
  <c r="A990" i="5"/>
  <c r="M989" i="5"/>
  <c r="L989" i="5"/>
  <c r="K989" i="5"/>
  <c r="J989" i="5"/>
  <c r="I989" i="5"/>
  <c r="H989" i="5"/>
  <c r="G989" i="5"/>
  <c r="F989" i="5"/>
  <c r="E989" i="5"/>
  <c r="D989" i="5"/>
  <c r="C989" i="5"/>
  <c r="B989" i="5"/>
  <c r="A989" i="5"/>
  <c r="M988" i="5"/>
  <c r="L988" i="5"/>
  <c r="K988" i="5"/>
  <c r="J988" i="5"/>
  <c r="I988" i="5"/>
  <c r="H988" i="5"/>
  <c r="G988" i="5"/>
  <c r="F988" i="5"/>
  <c r="E988" i="5"/>
  <c r="D988" i="5"/>
  <c r="C988" i="5"/>
  <c r="B988" i="5"/>
  <c r="A988" i="5"/>
  <c r="M987" i="5"/>
  <c r="L987" i="5"/>
  <c r="K987" i="5"/>
  <c r="J987" i="5"/>
  <c r="I987" i="5"/>
  <c r="H987" i="5"/>
  <c r="G987" i="5"/>
  <c r="F987" i="5"/>
  <c r="E987" i="5"/>
  <c r="D987" i="5"/>
  <c r="C987" i="5"/>
  <c r="B987" i="5"/>
  <c r="A987" i="5"/>
  <c r="M986" i="5"/>
  <c r="L986" i="5"/>
  <c r="K986" i="5"/>
  <c r="J986" i="5"/>
  <c r="I986" i="5"/>
  <c r="H986" i="5"/>
  <c r="G986" i="5"/>
  <c r="F986" i="5"/>
  <c r="D986" i="5"/>
  <c r="C986" i="5"/>
  <c r="B986" i="5"/>
  <c r="A986" i="5"/>
  <c r="M985" i="5"/>
  <c r="L985" i="5"/>
  <c r="K985" i="5"/>
  <c r="J985" i="5"/>
  <c r="I985" i="5"/>
  <c r="H985" i="5"/>
  <c r="G985" i="5"/>
  <c r="F985" i="5"/>
  <c r="E985" i="5"/>
  <c r="D985" i="5"/>
  <c r="C985" i="5"/>
  <c r="B985" i="5"/>
  <c r="A985" i="5"/>
  <c r="M984" i="5"/>
  <c r="L984" i="5"/>
  <c r="K984" i="5"/>
  <c r="J984" i="5"/>
  <c r="I984" i="5"/>
  <c r="H984" i="5"/>
  <c r="G984" i="5"/>
  <c r="F984" i="5"/>
  <c r="E984" i="5"/>
  <c r="D984" i="5"/>
  <c r="C984" i="5"/>
  <c r="B984" i="5"/>
  <c r="A984" i="5"/>
  <c r="M983" i="5"/>
  <c r="L983" i="5"/>
  <c r="K983" i="5"/>
  <c r="J983" i="5"/>
  <c r="I983" i="5"/>
  <c r="H983" i="5"/>
  <c r="G983" i="5"/>
  <c r="F983" i="5"/>
  <c r="E983" i="5"/>
  <c r="D983" i="5"/>
  <c r="C983" i="5"/>
  <c r="B983" i="5"/>
  <c r="A983" i="5"/>
  <c r="M982" i="5"/>
  <c r="L982" i="5"/>
  <c r="K982" i="5"/>
  <c r="J982" i="5"/>
  <c r="I982" i="5"/>
  <c r="H982" i="5"/>
  <c r="G982" i="5"/>
  <c r="F982" i="5"/>
  <c r="E982" i="5"/>
  <c r="D982" i="5"/>
  <c r="C982" i="5"/>
  <c r="B982" i="5"/>
  <c r="A982" i="5"/>
  <c r="M981" i="5"/>
  <c r="L981" i="5"/>
  <c r="K981" i="5"/>
  <c r="J981" i="5"/>
  <c r="I981" i="5"/>
  <c r="H981" i="5"/>
  <c r="G981" i="5"/>
  <c r="F981" i="5"/>
  <c r="E981" i="5"/>
  <c r="D981" i="5"/>
  <c r="C981" i="5"/>
  <c r="B981" i="5"/>
  <c r="A981" i="5"/>
  <c r="M980" i="5"/>
  <c r="L980" i="5"/>
  <c r="K980" i="5"/>
  <c r="J980" i="5"/>
  <c r="I980" i="5"/>
  <c r="H980" i="5"/>
  <c r="G980" i="5"/>
  <c r="F980" i="5"/>
  <c r="E980" i="5"/>
  <c r="D980" i="5"/>
  <c r="C980" i="5"/>
  <c r="B980" i="5"/>
  <c r="A980" i="5"/>
  <c r="M979" i="5"/>
  <c r="L979" i="5"/>
  <c r="K979" i="5"/>
  <c r="J979" i="5"/>
  <c r="I979" i="5"/>
  <c r="H979" i="5"/>
  <c r="G979" i="5"/>
  <c r="F979" i="5"/>
  <c r="E979" i="5"/>
  <c r="D979" i="5"/>
  <c r="C979" i="5"/>
  <c r="B979" i="5"/>
  <c r="A979" i="5"/>
  <c r="M978" i="5"/>
  <c r="L978" i="5"/>
  <c r="K978" i="5"/>
  <c r="J978" i="5"/>
  <c r="I978" i="5"/>
  <c r="H978" i="5"/>
  <c r="G978" i="5"/>
  <c r="F978" i="5"/>
  <c r="E978" i="5"/>
  <c r="D978" i="5"/>
  <c r="C978" i="5"/>
  <c r="B978" i="5"/>
  <c r="A978" i="5"/>
  <c r="M977" i="5"/>
  <c r="L977" i="5"/>
  <c r="K977" i="5"/>
  <c r="J977" i="5"/>
  <c r="I977" i="5"/>
  <c r="H977" i="5"/>
  <c r="G977" i="5"/>
  <c r="F977" i="5"/>
  <c r="E977" i="5"/>
  <c r="D977" i="5"/>
  <c r="C977" i="5"/>
  <c r="B977" i="5"/>
  <c r="A977" i="5"/>
  <c r="M976" i="5"/>
  <c r="L976" i="5"/>
  <c r="K976" i="5"/>
  <c r="J976" i="5"/>
  <c r="I976" i="5"/>
  <c r="H976" i="5"/>
  <c r="G976" i="5"/>
  <c r="F976" i="5"/>
  <c r="E976" i="5"/>
  <c r="D976" i="5"/>
  <c r="C976" i="5"/>
  <c r="B976" i="5"/>
  <c r="A976" i="5"/>
  <c r="M975" i="5"/>
  <c r="L975" i="5"/>
  <c r="K975" i="5"/>
  <c r="J975" i="5"/>
  <c r="I975" i="5"/>
  <c r="H975" i="5"/>
  <c r="G975" i="5"/>
  <c r="F975" i="5"/>
  <c r="E975" i="5"/>
  <c r="D975" i="5"/>
  <c r="C975" i="5"/>
  <c r="B975" i="5"/>
  <c r="A975" i="5"/>
  <c r="M974" i="5"/>
  <c r="L974" i="5"/>
  <c r="K974" i="5"/>
  <c r="J974" i="5"/>
  <c r="I974" i="5"/>
  <c r="H974" i="5"/>
  <c r="G974" i="5"/>
  <c r="F974" i="5"/>
  <c r="E974" i="5"/>
  <c r="D974" i="5"/>
  <c r="C974" i="5"/>
  <c r="B974" i="5"/>
  <c r="A974" i="5"/>
  <c r="M973" i="5"/>
  <c r="L973" i="5"/>
  <c r="K973" i="5"/>
  <c r="J973" i="5"/>
  <c r="I973" i="5"/>
  <c r="H973" i="5"/>
  <c r="G973" i="5"/>
  <c r="F973" i="5"/>
  <c r="E973" i="5"/>
  <c r="D973" i="5"/>
  <c r="C973" i="5"/>
  <c r="B973" i="5"/>
  <c r="A973" i="5"/>
  <c r="M972" i="5"/>
  <c r="L972" i="5"/>
  <c r="K972" i="5"/>
  <c r="J972" i="5"/>
  <c r="I972" i="5"/>
  <c r="H972" i="5"/>
  <c r="G972" i="5"/>
  <c r="F972" i="5"/>
  <c r="E972" i="5"/>
  <c r="D972" i="5"/>
  <c r="C972" i="5"/>
  <c r="B972" i="5"/>
  <c r="A972" i="5"/>
  <c r="M971" i="5"/>
  <c r="L971" i="5"/>
  <c r="K971" i="5"/>
  <c r="J971" i="5"/>
  <c r="I971" i="5"/>
  <c r="H971" i="5"/>
  <c r="G971" i="5"/>
  <c r="F971" i="5"/>
  <c r="E971" i="5"/>
  <c r="D971" i="5"/>
  <c r="C971" i="5"/>
  <c r="B971" i="5"/>
  <c r="A971" i="5"/>
  <c r="M970" i="5"/>
  <c r="L970" i="5"/>
  <c r="K970" i="5"/>
  <c r="J970" i="5"/>
  <c r="I970" i="5"/>
  <c r="H970" i="5"/>
  <c r="G970" i="5"/>
  <c r="F970" i="5"/>
  <c r="E970" i="5"/>
  <c r="D970" i="5"/>
  <c r="C970" i="5"/>
  <c r="B970" i="5"/>
  <c r="A970" i="5"/>
  <c r="M969" i="5"/>
  <c r="L969" i="5"/>
  <c r="K969" i="5"/>
  <c r="J969" i="5"/>
  <c r="I969" i="5"/>
  <c r="H969" i="5"/>
  <c r="G969" i="5"/>
  <c r="F969" i="5"/>
  <c r="E969" i="5"/>
  <c r="D969" i="5"/>
  <c r="C969" i="5"/>
  <c r="B969" i="5"/>
  <c r="A969" i="5"/>
  <c r="M968" i="5"/>
  <c r="L968" i="5"/>
  <c r="K968" i="5"/>
  <c r="J968" i="5"/>
  <c r="I968" i="5"/>
  <c r="H968" i="5"/>
  <c r="G968" i="5"/>
  <c r="F968" i="5"/>
  <c r="E968" i="5"/>
  <c r="D968" i="5"/>
  <c r="C968" i="5"/>
  <c r="B968" i="5"/>
  <c r="A968" i="5"/>
  <c r="M967" i="5"/>
  <c r="L967" i="5"/>
  <c r="K967" i="5"/>
  <c r="J967" i="5"/>
  <c r="I967" i="5"/>
  <c r="H967" i="5"/>
  <c r="G967" i="5"/>
  <c r="F967" i="5"/>
  <c r="E967" i="5"/>
  <c r="D967" i="5"/>
  <c r="C967" i="5"/>
  <c r="B967" i="5"/>
  <c r="A967" i="5"/>
  <c r="M966" i="5"/>
  <c r="L966" i="5"/>
  <c r="K966" i="5"/>
  <c r="J966" i="5"/>
  <c r="I966" i="5"/>
  <c r="H966" i="5"/>
  <c r="G966" i="5"/>
  <c r="F966" i="5"/>
  <c r="E966" i="5"/>
  <c r="D966" i="5"/>
  <c r="C966" i="5"/>
  <c r="B966" i="5"/>
  <c r="A966" i="5"/>
  <c r="M965" i="5"/>
  <c r="L965" i="5"/>
  <c r="K965" i="5"/>
  <c r="J965" i="5"/>
  <c r="I965" i="5"/>
  <c r="H965" i="5"/>
  <c r="G965" i="5"/>
  <c r="F965" i="5"/>
  <c r="E965" i="5"/>
  <c r="D965" i="5"/>
  <c r="C965" i="5"/>
  <c r="B965" i="5"/>
  <c r="A965" i="5"/>
  <c r="M964" i="5"/>
  <c r="L964" i="5"/>
  <c r="K964" i="5"/>
  <c r="J964" i="5"/>
  <c r="I964" i="5"/>
  <c r="H964" i="5"/>
  <c r="G964" i="5"/>
  <c r="F964" i="5"/>
  <c r="E964" i="5"/>
  <c r="D964" i="5"/>
  <c r="C964" i="5"/>
  <c r="B964" i="5"/>
  <c r="A964" i="5"/>
  <c r="M963" i="5"/>
  <c r="L963" i="5"/>
  <c r="K963" i="5"/>
  <c r="J963" i="5"/>
  <c r="I963" i="5"/>
  <c r="H963" i="5"/>
  <c r="G963" i="5"/>
  <c r="F963" i="5"/>
  <c r="E963" i="5"/>
  <c r="D963" i="5"/>
  <c r="C963" i="5"/>
  <c r="B963" i="5"/>
  <c r="A963" i="5"/>
  <c r="M962" i="5"/>
  <c r="L962" i="5"/>
  <c r="K962" i="5"/>
  <c r="J962" i="5"/>
  <c r="I962" i="5"/>
  <c r="H962" i="5"/>
  <c r="G962" i="5"/>
  <c r="F962" i="5"/>
  <c r="E962" i="5"/>
  <c r="D962" i="5"/>
  <c r="C962" i="5"/>
  <c r="B962" i="5"/>
  <c r="A962" i="5"/>
  <c r="M961" i="5"/>
  <c r="L961" i="5"/>
  <c r="K961" i="5"/>
  <c r="J961" i="5"/>
  <c r="I961" i="5"/>
  <c r="H961" i="5"/>
  <c r="G961" i="5"/>
  <c r="F961" i="5"/>
  <c r="E961" i="5"/>
  <c r="D961" i="5"/>
  <c r="C961" i="5"/>
  <c r="B961" i="5"/>
  <c r="A961" i="5"/>
  <c r="M960" i="5"/>
  <c r="L960" i="5"/>
  <c r="K960" i="5"/>
  <c r="J960" i="5"/>
  <c r="I960" i="5"/>
  <c r="H960" i="5"/>
  <c r="G960" i="5"/>
  <c r="F960" i="5"/>
  <c r="E960" i="5"/>
  <c r="D960" i="5"/>
  <c r="C960" i="5"/>
  <c r="B960" i="5"/>
  <c r="A960" i="5"/>
  <c r="M959" i="5"/>
  <c r="L959" i="5"/>
  <c r="K959" i="5"/>
  <c r="J959" i="5"/>
  <c r="I959" i="5"/>
  <c r="H959" i="5"/>
  <c r="G959" i="5"/>
  <c r="F959" i="5"/>
  <c r="E959" i="5"/>
  <c r="D959" i="5"/>
  <c r="C959" i="5"/>
  <c r="B959" i="5"/>
  <c r="A959" i="5"/>
  <c r="M958" i="5"/>
  <c r="L958" i="5"/>
  <c r="K958" i="5"/>
  <c r="J958" i="5"/>
  <c r="I958" i="5"/>
  <c r="H958" i="5"/>
  <c r="G958" i="5"/>
  <c r="F958" i="5"/>
  <c r="E958" i="5"/>
  <c r="D958" i="5"/>
  <c r="C958" i="5"/>
  <c r="B958" i="5"/>
  <c r="A958" i="5"/>
  <c r="M957" i="5"/>
  <c r="L957" i="5"/>
  <c r="K957" i="5"/>
  <c r="J957" i="5"/>
  <c r="I957" i="5"/>
  <c r="H957" i="5"/>
  <c r="G957" i="5"/>
  <c r="F957" i="5"/>
  <c r="E957" i="5"/>
  <c r="D957" i="5"/>
  <c r="C957" i="5"/>
  <c r="B957" i="5"/>
  <c r="A957" i="5"/>
  <c r="M956" i="5"/>
  <c r="L956" i="5"/>
  <c r="K956" i="5"/>
  <c r="J956" i="5"/>
  <c r="I956" i="5"/>
  <c r="H956" i="5"/>
  <c r="G956" i="5"/>
  <c r="F956" i="5"/>
  <c r="E956" i="5"/>
  <c r="D956" i="5"/>
  <c r="C956" i="5"/>
  <c r="B956" i="5"/>
  <c r="A956" i="5"/>
  <c r="M955" i="5"/>
  <c r="L955" i="5"/>
  <c r="K955" i="5"/>
  <c r="J955" i="5"/>
  <c r="I955" i="5"/>
  <c r="H955" i="5"/>
  <c r="G955" i="5"/>
  <c r="F955" i="5"/>
  <c r="E955" i="5"/>
  <c r="D955" i="5"/>
  <c r="C955" i="5"/>
  <c r="B955" i="5"/>
  <c r="A955" i="5"/>
  <c r="M954" i="5"/>
  <c r="L954" i="5"/>
  <c r="K954" i="5"/>
  <c r="J954" i="5"/>
  <c r="I954" i="5"/>
  <c r="H954" i="5"/>
  <c r="G954" i="5"/>
  <c r="F954" i="5"/>
  <c r="E954" i="5"/>
  <c r="D954" i="5"/>
  <c r="C954" i="5"/>
  <c r="B954" i="5"/>
  <c r="A954" i="5"/>
  <c r="M953" i="5"/>
  <c r="L953" i="5"/>
  <c r="K953" i="5"/>
  <c r="J953" i="5"/>
  <c r="I953" i="5"/>
  <c r="H953" i="5"/>
  <c r="G953" i="5"/>
  <c r="F953" i="5"/>
  <c r="E953" i="5"/>
  <c r="D953" i="5"/>
  <c r="C953" i="5"/>
  <c r="B953" i="5"/>
  <c r="A953" i="5"/>
  <c r="M952" i="5"/>
  <c r="L952" i="5"/>
  <c r="K952" i="5"/>
  <c r="J952" i="5"/>
  <c r="I952" i="5"/>
  <c r="H952" i="5"/>
  <c r="G952" i="5"/>
  <c r="F952" i="5"/>
  <c r="E952" i="5"/>
  <c r="D952" i="5"/>
  <c r="C952" i="5"/>
  <c r="B952" i="5"/>
  <c r="A952" i="5"/>
  <c r="M951" i="5"/>
  <c r="L951" i="5"/>
  <c r="K951" i="5"/>
  <c r="J951" i="5"/>
  <c r="I951" i="5"/>
  <c r="H951" i="5"/>
  <c r="G951" i="5"/>
  <c r="F951" i="5"/>
  <c r="E951" i="5"/>
  <c r="D951" i="5"/>
  <c r="C951" i="5"/>
  <c r="B951" i="5"/>
  <c r="A951" i="5"/>
  <c r="M950" i="5"/>
  <c r="L950" i="5"/>
  <c r="K950" i="5"/>
  <c r="J950" i="5"/>
  <c r="I950" i="5"/>
  <c r="H950" i="5"/>
  <c r="G950" i="5"/>
  <c r="F950" i="5"/>
  <c r="E950" i="5"/>
  <c r="D950" i="5"/>
  <c r="C950" i="5"/>
  <c r="B950" i="5"/>
  <c r="A950" i="5"/>
  <c r="M949" i="5"/>
  <c r="L949" i="5"/>
  <c r="K949" i="5"/>
  <c r="J949" i="5"/>
  <c r="I949" i="5"/>
  <c r="H949" i="5"/>
  <c r="G949" i="5"/>
  <c r="F949" i="5"/>
  <c r="E949" i="5"/>
  <c r="D949" i="5"/>
  <c r="C949" i="5"/>
  <c r="B949" i="5"/>
  <c r="A949" i="5"/>
  <c r="M948" i="5"/>
  <c r="L948" i="5"/>
  <c r="K948" i="5"/>
  <c r="J948" i="5"/>
  <c r="I948" i="5"/>
  <c r="H948" i="5"/>
  <c r="G948" i="5"/>
  <c r="F948" i="5"/>
  <c r="E948" i="5"/>
  <c r="D948" i="5"/>
  <c r="C948" i="5"/>
  <c r="B948" i="5"/>
  <c r="A948" i="5"/>
  <c r="M947" i="5"/>
  <c r="L947" i="5"/>
  <c r="K947" i="5"/>
  <c r="J947" i="5"/>
  <c r="I947" i="5"/>
  <c r="H947" i="5"/>
  <c r="G947" i="5"/>
  <c r="F947" i="5"/>
  <c r="E947" i="5"/>
  <c r="D947" i="5"/>
  <c r="C947" i="5"/>
  <c r="B947" i="5"/>
  <c r="A947" i="5"/>
  <c r="M946" i="5"/>
  <c r="L946" i="5"/>
  <c r="K946" i="5"/>
  <c r="J946" i="5"/>
  <c r="I946" i="5"/>
  <c r="H946" i="5"/>
  <c r="G946" i="5"/>
  <c r="F946" i="5"/>
  <c r="E946" i="5"/>
  <c r="D946" i="5"/>
  <c r="C946" i="5"/>
  <c r="B946" i="5"/>
  <c r="A946" i="5"/>
  <c r="M945" i="5"/>
  <c r="L945" i="5"/>
  <c r="K945" i="5"/>
  <c r="J945" i="5"/>
  <c r="I945" i="5"/>
  <c r="H945" i="5"/>
  <c r="G945" i="5"/>
  <c r="F945" i="5"/>
  <c r="E945" i="5"/>
  <c r="D945" i="5"/>
  <c r="C945" i="5"/>
  <c r="B945" i="5"/>
  <c r="A945" i="5"/>
  <c r="M944" i="5"/>
  <c r="L944" i="5"/>
  <c r="K944" i="5"/>
  <c r="J944" i="5"/>
  <c r="I944" i="5"/>
  <c r="H944" i="5"/>
  <c r="G944" i="5"/>
  <c r="F944" i="5"/>
  <c r="E944" i="5"/>
  <c r="D944" i="5"/>
  <c r="C944" i="5"/>
  <c r="B944" i="5"/>
  <c r="A944" i="5"/>
  <c r="M943" i="5"/>
  <c r="L943" i="5"/>
  <c r="K943" i="5"/>
  <c r="J943" i="5"/>
  <c r="I943" i="5"/>
  <c r="H943" i="5"/>
  <c r="G943" i="5"/>
  <c r="F943" i="5"/>
  <c r="E943" i="5"/>
  <c r="D943" i="5"/>
  <c r="C943" i="5"/>
  <c r="B943" i="5"/>
  <c r="A943" i="5"/>
  <c r="M942" i="5"/>
  <c r="L942" i="5"/>
  <c r="K942" i="5"/>
  <c r="J942" i="5"/>
  <c r="I942" i="5"/>
  <c r="H942" i="5"/>
  <c r="G942" i="5"/>
  <c r="F942" i="5"/>
  <c r="E942" i="5"/>
  <c r="D942" i="5"/>
  <c r="C942" i="5"/>
  <c r="B942" i="5"/>
  <c r="A942" i="5"/>
  <c r="M941" i="5"/>
  <c r="L941" i="5"/>
  <c r="K941" i="5"/>
  <c r="J941" i="5"/>
  <c r="I941" i="5"/>
  <c r="H941" i="5"/>
  <c r="G941" i="5"/>
  <c r="F941" i="5"/>
  <c r="E941" i="5"/>
  <c r="D941" i="5"/>
  <c r="C941" i="5"/>
  <c r="B941" i="5"/>
  <c r="A941" i="5"/>
  <c r="M940" i="5"/>
  <c r="L940" i="5"/>
  <c r="K940" i="5"/>
  <c r="J940" i="5"/>
  <c r="I940" i="5"/>
  <c r="H940" i="5"/>
  <c r="G940" i="5"/>
  <c r="F940" i="5"/>
  <c r="E940" i="5"/>
  <c r="D940" i="5"/>
  <c r="C940" i="5"/>
  <c r="B940" i="5"/>
  <c r="A940" i="5"/>
  <c r="M939" i="5"/>
  <c r="L939" i="5"/>
  <c r="K939" i="5"/>
  <c r="J939" i="5"/>
  <c r="I939" i="5"/>
  <c r="H939" i="5"/>
  <c r="G939" i="5"/>
  <c r="F939" i="5"/>
  <c r="E939" i="5"/>
  <c r="D939" i="5"/>
  <c r="C939" i="5"/>
  <c r="B939" i="5"/>
  <c r="A939" i="5"/>
  <c r="M938" i="5"/>
  <c r="L938" i="5"/>
  <c r="K938" i="5"/>
  <c r="J938" i="5"/>
  <c r="I938" i="5"/>
  <c r="H938" i="5"/>
  <c r="G938" i="5"/>
  <c r="E938" i="5"/>
  <c r="D938" i="5"/>
  <c r="C938" i="5"/>
  <c r="B938" i="5"/>
  <c r="A938" i="5"/>
  <c r="M937" i="5"/>
  <c r="L937" i="5"/>
  <c r="K937" i="5"/>
  <c r="J937" i="5"/>
  <c r="I937" i="5"/>
  <c r="H937" i="5"/>
  <c r="G937" i="5"/>
  <c r="F937" i="5"/>
  <c r="E937" i="5"/>
  <c r="D937" i="5"/>
  <c r="C937" i="5"/>
  <c r="B937" i="5"/>
  <c r="A937" i="5"/>
  <c r="M936" i="5"/>
  <c r="L936" i="5"/>
  <c r="K936" i="5"/>
  <c r="J936" i="5"/>
  <c r="I936" i="5"/>
  <c r="H936" i="5"/>
  <c r="G936" i="5"/>
  <c r="F936" i="5"/>
  <c r="E936" i="5"/>
  <c r="D936" i="5"/>
  <c r="C936" i="5"/>
  <c r="B936" i="5"/>
  <c r="A936" i="5"/>
  <c r="M935" i="5"/>
  <c r="L935" i="5"/>
  <c r="K935" i="5"/>
  <c r="J935" i="5"/>
  <c r="I935" i="5"/>
  <c r="H935" i="5"/>
  <c r="G935" i="5"/>
  <c r="F935" i="5"/>
  <c r="E935" i="5"/>
  <c r="D935" i="5"/>
  <c r="C935" i="5"/>
  <c r="B935" i="5"/>
  <c r="A935" i="5"/>
  <c r="M934" i="5"/>
  <c r="L934" i="5"/>
  <c r="K934" i="5"/>
  <c r="J934" i="5"/>
  <c r="I934" i="5"/>
  <c r="H934" i="5"/>
  <c r="G934" i="5"/>
  <c r="F934" i="5"/>
  <c r="E934" i="5"/>
  <c r="D934" i="5"/>
  <c r="C934" i="5"/>
  <c r="B934" i="5"/>
  <c r="A934" i="5"/>
  <c r="M933" i="5"/>
  <c r="L933" i="5"/>
  <c r="K933" i="5"/>
  <c r="J933" i="5"/>
  <c r="I933" i="5"/>
  <c r="H933" i="5"/>
  <c r="G933" i="5"/>
  <c r="F933" i="5"/>
  <c r="E933" i="5"/>
  <c r="D933" i="5"/>
  <c r="C933" i="5"/>
  <c r="B933" i="5"/>
  <c r="A933" i="5"/>
  <c r="M932" i="5"/>
  <c r="L932" i="5"/>
  <c r="K932" i="5"/>
  <c r="J932" i="5"/>
  <c r="I932" i="5"/>
  <c r="H932" i="5"/>
  <c r="G932" i="5"/>
  <c r="F932" i="5"/>
  <c r="E932" i="5"/>
  <c r="D932" i="5"/>
  <c r="C932" i="5"/>
  <c r="B932" i="5"/>
  <c r="A932" i="5"/>
  <c r="M931" i="5"/>
  <c r="L931" i="5"/>
  <c r="K931" i="5"/>
  <c r="J931" i="5"/>
  <c r="I931" i="5"/>
  <c r="H931" i="5"/>
  <c r="G931" i="5"/>
  <c r="F931" i="5"/>
  <c r="E931" i="5"/>
  <c r="D931" i="5"/>
  <c r="C931" i="5"/>
  <c r="B931" i="5"/>
  <c r="A931" i="5"/>
  <c r="M930" i="5"/>
  <c r="L930" i="5"/>
  <c r="K930" i="5"/>
  <c r="J930" i="5"/>
  <c r="I930" i="5"/>
  <c r="H930" i="5"/>
  <c r="G930" i="5"/>
  <c r="E930" i="5"/>
  <c r="D930" i="5"/>
  <c r="C930" i="5"/>
  <c r="B930" i="5"/>
  <c r="A930" i="5"/>
  <c r="M929" i="5"/>
  <c r="L929" i="5"/>
  <c r="K929" i="5"/>
  <c r="J929" i="5"/>
  <c r="I929" i="5"/>
  <c r="H929" i="5"/>
  <c r="G929" i="5"/>
  <c r="F929" i="5"/>
  <c r="E929" i="5"/>
  <c r="D929" i="5"/>
  <c r="C929" i="5"/>
  <c r="B929" i="5"/>
  <c r="A929" i="5"/>
  <c r="M928" i="5"/>
  <c r="L928" i="5"/>
  <c r="K928" i="5"/>
  <c r="J928" i="5"/>
  <c r="I928" i="5"/>
  <c r="H928" i="5"/>
  <c r="G928" i="5"/>
  <c r="F928" i="5"/>
  <c r="E928" i="5"/>
  <c r="D928" i="5"/>
  <c r="C928" i="5"/>
  <c r="B928" i="5"/>
  <c r="A928" i="5"/>
  <c r="M927" i="5"/>
  <c r="L927" i="5"/>
  <c r="K927" i="5"/>
  <c r="J927" i="5"/>
  <c r="I927" i="5"/>
  <c r="H927" i="5"/>
  <c r="G927" i="5"/>
  <c r="F927" i="5"/>
  <c r="E927" i="5"/>
  <c r="D927" i="5"/>
  <c r="C927" i="5"/>
  <c r="B927" i="5"/>
  <c r="A927" i="5"/>
  <c r="M926" i="5"/>
  <c r="L926" i="5"/>
  <c r="K926" i="5"/>
  <c r="J926" i="5"/>
  <c r="I926" i="5"/>
  <c r="H926" i="5"/>
  <c r="G926" i="5"/>
  <c r="F926" i="5"/>
  <c r="E926" i="5"/>
  <c r="D926" i="5"/>
  <c r="C926" i="5"/>
  <c r="B926" i="5"/>
  <c r="A926" i="5"/>
  <c r="M925" i="5"/>
  <c r="L925" i="5"/>
  <c r="K925" i="5"/>
  <c r="J925" i="5"/>
  <c r="I925" i="5"/>
  <c r="H925" i="5"/>
  <c r="G925" i="5"/>
  <c r="F925" i="5"/>
  <c r="E925" i="5"/>
  <c r="D925" i="5"/>
  <c r="C925" i="5"/>
  <c r="B925" i="5"/>
  <c r="A925" i="5"/>
  <c r="M924" i="5"/>
  <c r="L924" i="5"/>
  <c r="K924" i="5"/>
  <c r="J924" i="5"/>
  <c r="I924" i="5"/>
  <c r="H924" i="5"/>
  <c r="G924" i="5"/>
  <c r="F924" i="5"/>
  <c r="E924" i="5"/>
  <c r="D924" i="5"/>
  <c r="C924" i="5"/>
  <c r="B924" i="5"/>
  <c r="A924" i="5"/>
  <c r="M923" i="5"/>
  <c r="L923" i="5"/>
  <c r="K923" i="5"/>
  <c r="J923" i="5"/>
  <c r="I923" i="5"/>
  <c r="H923" i="5"/>
  <c r="G923" i="5"/>
  <c r="F923" i="5"/>
  <c r="E923" i="5"/>
  <c r="D923" i="5"/>
  <c r="C923" i="5"/>
  <c r="B923" i="5"/>
  <c r="A923" i="5"/>
  <c r="M922" i="5"/>
  <c r="L922" i="5"/>
  <c r="K922" i="5"/>
  <c r="J922" i="5"/>
  <c r="I922" i="5"/>
  <c r="H922" i="5"/>
  <c r="G922" i="5"/>
  <c r="F922" i="5"/>
  <c r="E922" i="5"/>
  <c r="D922" i="5"/>
  <c r="C922" i="5"/>
  <c r="B922" i="5"/>
  <c r="A922" i="5"/>
  <c r="M921" i="5"/>
  <c r="L921" i="5"/>
  <c r="K921" i="5"/>
  <c r="J921" i="5"/>
  <c r="I921" i="5"/>
  <c r="H921" i="5"/>
  <c r="G921" i="5"/>
  <c r="F921" i="5"/>
  <c r="E921" i="5"/>
  <c r="D921" i="5"/>
  <c r="C921" i="5"/>
  <c r="B921" i="5"/>
  <c r="A921" i="5"/>
  <c r="M920" i="5"/>
  <c r="L920" i="5"/>
  <c r="K920" i="5"/>
  <c r="J920" i="5"/>
  <c r="I920" i="5"/>
  <c r="H920" i="5"/>
  <c r="G920" i="5"/>
  <c r="F920" i="5"/>
  <c r="E920" i="5"/>
  <c r="D920" i="5"/>
  <c r="C920" i="5"/>
  <c r="B920" i="5"/>
  <c r="A920" i="5"/>
  <c r="M919" i="5"/>
  <c r="L919" i="5"/>
  <c r="K919" i="5"/>
  <c r="J919" i="5"/>
  <c r="I919" i="5"/>
  <c r="H919" i="5"/>
  <c r="G919" i="5"/>
  <c r="F919" i="5"/>
  <c r="E919" i="5"/>
  <c r="D919" i="5"/>
  <c r="C919" i="5"/>
  <c r="B919" i="5"/>
  <c r="A919" i="5"/>
  <c r="M918" i="5"/>
  <c r="L918" i="5"/>
  <c r="K918" i="5"/>
  <c r="J918" i="5"/>
  <c r="I918" i="5"/>
  <c r="H918" i="5"/>
  <c r="G918" i="5"/>
  <c r="F918" i="5"/>
  <c r="E918" i="5"/>
  <c r="D918" i="5"/>
  <c r="C918" i="5"/>
  <c r="B918" i="5"/>
  <c r="A918" i="5"/>
  <c r="M917" i="5"/>
  <c r="L917" i="5"/>
  <c r="K917" i="5"/>
  <c r="J917" i="5"/>
  <c r="I917" i="5"/>
  <c r="H917" i="5"/>
  <c r="G917" i="5"/>
  <c r="F917" i="5"/>
  <c r="E917" i="5"/>
  <c r="D917" i="5"/>
  <c r="C917" i="5"/>
  <c r="B917" i="5"/>
  <c r="A917" i="5"/>
  <c r="M916" i="5"/>
  <c r="L916" i="5"/>
  <c r="K916" i="5"/>
  <c r="J916" i="5"/>
  <c r="I916" i="5"/>
  <c r="H916" i="5"/>
  <c r="G916" i="5"/>
  <c r="F916" i="5"/>
  <c r="E916" i="5"/>
  <c r="D916" i="5"/>
  <c r="C916" i="5"/>
  <c r="B916" i="5"/>
  <c r="A916" i="5"/>
  <c r="M915" i="5"/>
  <c r="L915" i="5"/>
  <c r="K915" i="5"/>
  <c r="J915" i="5"/>
  <c r="I915" i="5"/>
  <c r="H915" i="5"/>
  <c r="G915" i="5"/>
  <c r="F915" i="5"/>
  <c r="E915" i="5"/>
  <c r="D915" i="5"/>
  <c r="C915" i="5"/>
  <c r="B915" i="5"/>
  <c r="A915" i="5"/>
  <c r="M914" i="5"/>
  <c r="L914" i="5"/>
  <c r="K914" i="5"/>
  <c r="J914" i="5"/>
  <c r="I914" i="5"/>
  <c r="H914" i="5"/>
  <c r="G914" i="5"/>
  <c r="F914" i="5"/>
  <c r="E914" i="5"/>
  <c r="D914" i="5"/>
  <c r="C914" i="5"/>
  <c r="B914" i="5"/>
  <c r="A914" i="5"/>
  <c r="M913" i="5"/>
  <c r="L913" i="5"/>
  <c r="K913" i="5"/>
  <c r="J913" i="5"/>
  <c r="I913" i="5"/>
  <c r="H913" i="5"/>
  <c r="G913" i="5"/>
  <c r="F913" i="5"/>
  <c r="E913" i="5"/>
  <c r="D913" i="5"/>
  <c r="C913" i="5"/>
  <c r="B913" i="5"/>
  <c r="A913" i="5"/>
  <c r="M912" i="5"/>
  <c r="L912" i="5"/>
  <c r="K912" i="5"/>
  <c r="J912" i="5"/>
  <c r="I912" i="5"/>
  <c r="H912" i="5"/>
  <c r="G912" i="5"/>
  <c r="F912" i="5"/>
  <c r="E912" i="5"/>
  <c r="D912" i="5"/>
  <c r="C912" i="5"/>
  <c r="B912" i="5"/>
  <c r="A912" i="5"/>
  <c r="M911" i="5"/>
  <c r="L911" i="5"/>
  <c r="K911" i="5"/>
  <c r="J911" i="5"/>
  <c r="I911" i="5"/>
  <c r="H911" i="5"/>
  <c r="G911" i="5"/>
  <c r="F911" i="5"/>
  <c r="E911" i="5"/>
  <c r="D911" i="5"/>
  <c r="C911" i="5"/>
  <c r="B911" i="5"/>
  <c r="A911" i="5"/>
  <c r="M910" i="5"/>
  <c r="L910" i="5"/>
  <c r="K910" i="5"/>
  <c r="J910" i="5"/>
  <c r="I910" i="5"/>
  <c r="H910" i="5"/>
  <c r="G910" i="5"/>
  <c r="F910" i="5"/>
  <c r="E910" i="5"/>
  <c r="D910" i="5"/>
  <c r="C910" i="5"/>
  <c r="B910" i="5"/>
  <c r="A910" i="5"/>
  <c r="M909" i="5"/>
  <c r="L909" i="5"/>
  <c r="K909" i="5"/>
  <c r="J909" i="5"/>
  <c r="I909" i="5"/>
  <c r="H909" i="5"/>
  <c r="G909" i="5"/>
  <c r="F909" i="5"/>
  <c r="E909" i="5"/>
  <c r="D909" i="5"/>
  <c r="C909" i="5"/>
  <c r="B909" i="5"/>
  <c r="A909" i="5"/>
  <c r="M908" i="5"/>
  <c r="L908" i="5"/>
  <c r="K908" i="5"/>
  <c r="J908" i="5"/>
  <c r="I908" i="5"/>
  <c r="H908" i="5"/>
  <c r="G908" i="5"/>
  <c r="F908" i="5"/>
  <c r="E908" i="5"/>
  <c r="D908" i="5"/>
  <c r="C908" i="5"/>
  <c r="B908" i="5"/>
  <c r="A908" i="5"/>
  <c r="M907" i="5"/>
  <c r="L907" i="5"/>
  <c r="K907" i="5"/>
  <c r="J907" i="5"/>
  <c r="I907" i="5"/>
  <c r="H907" i="5"/>
  <c r="G907" i="5"/>
  <c r="F907" i="5"/>
  <c r="E907" i="5"/>
  <c r="D907" i="5"/>
  <c r="C907" i="5"/>
  <c r="B907" i="5"/>
  <c r="A907" i="5"/>
  <c r="M906" i="5"/>
  <c r="L906" i="5"/>
  <c r="K906" i="5"/>
  <c r="J906" i="5"/>
  <c r="I906" i="5"/>
  <c r="H906" i="5"/>
  <c r="G906" i="5"/>
  <c r="F906" i="5"/>
  <c r="E906" i="5"/>
  <c r="D906" i="5"/>
  <c r="C906" i="5"/>
  <c r="B906" i="5"/>
  <c r="A906" i="5"/>
  <c r="M905" i="5"/>
  <c r="L905" i="5"/>
  <c r="K905" i="5"/>
  <c r="J905" i="5"/>
  <c r="I905" i="5"/>
  <c r="H905" i="5"/>
  <c r="G905" i="5"/>
  <c r="F905" i="5"/>
  <c r="E905" i="5"/>
  <c r="D905" i="5"/>
  <c r="C905" i="5"/>
  <c r="B905" i="5"/>
  <c r="A905" i="5"/>
  <c r="M904" i="5"/>
  <c r="L904" i="5"/>
  <c r="K904" i="5"/>
  <c r="J904" i="5"/>
  <c r="I904" i="5"/>
  <c r="H904" i="5"/>
  <c r="G904" i="5"/>
  <c r="F904" i="5"/>
  <c r="E904" i="5"/>
  <c r="D904" i="5"/>
  <c r="C904" i="5"/>
  <c r="B904" i="5"/>
  <c r="A904" i="5"/>
  <c r="M903" i="5"/>
  <c r="L903" i="5"/>
  <c r="K903" i="5"/>
  <c r="J903" i="5"/>
  <c r="I903" i="5"/>
  <c r="H903" i="5"/>
  <c r="G903" i="5"/>
  <c r="F903" i="5"/>
  <c r="E903" i="5"/>
  <c r="D903" i="5"/>
  <c r="C903" i="5"/>
  <c r="B903" i="5"/>
  <c r="A903" i="5"/>
  <c r="M902" i="5"/>
  <c r="L902" i="5"/>
  <c r="K902" i="5"/>
  <c r="J902" i="5"/>
  <c r="I902" i="5"/>
  <c r="H902" i="5"/>
  <c r="G902" i="5"/>
  <c r="F902" i="5"/>
  <c r="E902" i="5"/>
  <c r="D902" i="5"/>
  <c r="C902" i="5"/>
  <c r="B902" i="5"/>
  <c r="A902" i="5"/>
  <c r="M901" i="5"/>
  <c r="L901" i="5"/>
  <c r="K901" i="5"/>
  <c r="J901" i="5"/>
  <c r="I901" i="5"/>
  <c r="H901" i="5"/>
  <c r="G901" i="5"/>
  <c r="F901" i="5"/>
  <c r="E901" i="5"/>
  <c r="D901" i="5"/>
  <c r="C901" i="5"/>
  <c r="B901" i="5"/>
  <c r="A901" i="5"/>
  <c r="M900" i="5"/>
  <c r="L900" i="5"/>
  <c r="K900" i="5"/>
  <c r="J900" i="5"/>
  <c r="I900" i="5"/>
  <c r="H900" i="5"/>
  <c r="G900" i="5"/>
  <c r="F900" i="5"/>
  <c r="E900" i="5"/>
  <c r="D900" i="5"/>
  <c r="C900" i="5"/>
  <c r="B900" i="5"/>
  <c r="A900" i="5"/>
  <c r="M899" i="5"/>
  <c r="L899" i="5"/>
  <c r="K899" i="5"/>
  <c r="J899" i="5"/>
  <c r="I899" i="5"/>
  <c r="H899" i="5"/>
  <c r="G899" i="5"/>
  <c r="F899" i="5"/>
  <c r="E899" i="5"/>
  <c r="D899" i="5"/>
  <c r="C899" i="5"/>
  <c r="B899" i="5"/>
  <c r="A899" i="5"/>
  <c r="M898" i="5"/>
  <c r="L898" i="5"/>
  <c r="K898" i="5"/>
  <c r="J898" i="5"/>
  <c r="I898" i="5"/>
  <c r="H898" i="5"/>
  <c r="G898" i="5"/>
  <c r="F898" i="5"/>
  <c r="E898" i="5"/>
  <c r="D898" i="5"/>
  <c r="C898" i="5"/>
  <c r="B898" i="5"/>
  <c r="A898" i="5"/>
  <c r="M897" i="5"/>
  <c r="L897" i="5"/>
  <c r="K897" i="5"/>
  <c r="J897" i="5"/>
  <c r="I897" i="5"/>
  <c r="H897" i="5"/>
  <c r="G897" i="5"/>
  <c r="F897" i="5"/>
  <c r="E897" i="5"/>
  <c r="D897" i="5"/>
  <c r="C897" i="5"/>
  <c r="B897" i="5"/>
  <c r="A897" i="5"/>
  <c r="M896" i="5"/>
  <c r="L896" i="5"/>
  <c r="K896" i="5"/>
  <c r="J896" i="5"/>
  <c r="I896" i="5"/>
  <c r="H896" i="5"/>
  <c r="G896" i="5"/>
  <c r="F896" i="5"/>
  <c r="E896" i="5"/>
  <c r="D896" i="5"/>
  <c r="C896" i="5"/>
  <c r="B896" i="5"/>
  <c r="A896" i="5"/>
  <c r="M895" i="5"/>
  <c r="L895" i="5"/>
  <c r="K895" i="5"/>
  <c r="J895" i="5"/>
  <c r="I895" i="5"/>
  <c r="H895" i="5"/>
  <c r="G895" i="5"/>
  <c r="F895" i="5"/>
  <c r="E895" i="5"/>
  <c r="D895" i="5"/>
  <c r="C895" i="5"/>
  <c r="B895" i="5"/>
  <c r="A895" i="5"/>
  <c r="M894" i="5"/>
  <c r="L894" i="5"/>
  <c r="K894" i="5"/>
  <c r="J894" i="5"/>
  <c r="I894" i="5"/>
  <c r="H894" i="5"/>
  <c r="G894" i="5"/>
  <c r="F894" i="5"/>
  <c r="E894" i="5"/>
  <c r="D894" i="5"/>
  <c r="C894" i="5"/>
  <c r="B894" i="5"/>
  <c r="A894" i="5"/>
  <c r="M893" i="5"/>
  <c r="L893" i="5"/>
  <c r="K893" i="5"/>
  <c r="J893" i="5"/>
  <c r="I893" i="5"/>
  <c r="H893" i="5"/>
  <c r="G893" i="5"/>
  <c r="F893" i="5"/>
  <c r="E893" i="5"/>
  <c r="D893" i="5"/>
  <c r="C893" i="5"/>
  <c r="B893" i="5"/>
  <c r="A893" i="5"/>
  <c r="M892" i="5"/>
  <c r="L892" i="5"/>
  <c r="K892" i="5"/>
  <c r="J892" i="5"/>
  <c r="I892" i="5"/>
  <c r="H892" i="5"/>
  <c r="G892" i="5"/>
  <c r="F892" i="5"/>
  <c r="E892" i="5"/>
  <c r="D892" i="5"/>
  <c r="C892" i="5"/>
  <c r="B892" i="5"/>
  <c r="A892" i="5"/>
  <c r="M891" i="5"/>
  <c r="L891" i="5"/>
  <c r="K891" i="5"/>
  <c r="J891" i="5"/>
  <c r="I891" i="5"/>
  <c r="H891" i="5"/>
  <c r="G891" i="5"/>
  <c r="F891" i="5"/>
  <c r="E891" i="5"/>
  <c r="D891" i="5"/>
  <c r="C891" i="5"/>
  <c r="B891" i="5"/>
  <c r="A891" i="5"/>
  <c r="M890" i="5"/>
  <c r="L890" i="5"/>
  <c r="K890" i="5"/>
  <c r="J890" i="5"/>
  <c r="I890" i="5"/>
  <c r="H890" i="5"/>
  <c r="G890" i="5"/>
  <c r="F890" i="5"/>
  <c r="E890" i="5"/>
  <c r="D890" i="5"/>
  <c r="C890" i="5"/>
  <c r="B890" i="5"/>
  <c r="A890" i="5"/>
  <c r="M889" i="5"/>
  <c r="L889" i="5"/>
  <c r="K889" i="5"/>
  <c r="J889" i="5"/>
  <c r="I889" i="5"/>
  <c r="H889" i="5"/>
  <c r="G889" i="5"/>
  <c r="F889" i="5"/>
  <c r="E889" i="5"/>
  <c r="D889" i="5"/>
  <c r="C889" i="5"/>
  <c r="B889" i="5"/>
  <c r="A889" i="5"/>
  <c r="M888" i="5"/>
  <c r="L888" i="5"/>
  <c r="K888" i="5"/>
  <c r="J888" i="5"/>
  <c r="I888" i="5"/>
  <c r="H888" i="5"/>
  <c r="G888" i="5"/>
  <c r="F888" i="5"/>
  <c r="D888" i="5"/>
  <c r="C888" i="5"/>
  <c r="B888" i="5"/>
  <c r="A888" i="5"/>
  <c r="M887" i="5"/>
  <c r="L887" i="5"/>
  <c r="K887" i="5"/>
  <c r="J887" i="5"/>
  <c r="I887" i="5"/>
  <c r="H887" i="5"/>
  <c r="G887" i="5"/>
  <c r="F887" i="5"/>
  <c r="E887" i="5"/>
  <c r="D887" i="5"/>
  <c r="C887" i="5"/>
  <c r="B887" i="5"/>
  <c r="A887" i="5"/>
  <c r="M886" i="5"/>
  <c r="L886" i="5"/>
  <c r="K886" i="5"/>
  <c r="J886" i="5"/>
  <c r="I886" i="5"/>
  <c r="H886" i="5"/>
  <c r="G886" i="5"/>
  <c r="F886" i="5"/>
  <c r="E886" i="5"/>
  <c r="D886" i="5"/>
  <c r="C886" i="5"/>
  <c r="B886" i="5"/>
  <c r="A886" i="5"/>
  <c r="M885" i="5"/>
  <c r="L885" i="5"/>
  <c r="K885" i="5"/>
  <c r="J885" i="5"/>
  <c r="I885" i="5"/>
  <c r="H885" i="5"/>
  <c r="G885" i="5"/>
  <c r="F885" i="5"/>
  <c r="E885" i="5"/>
  <c r="D885" i="5"/>
  <c r="C885" i="5"/>
  <c r="B885" i="5"/>
  <c r="A885" i="5"/>
  <c r="M884" i="5"/>
  <c r="L884" i="5"/>
  <c r="K884" i="5"/>
  <c r="J884" i="5"/>
  <c r="I884" i="5"/>
  <c r="H884" i="5"/>
  <c r="G884" i="5"/>
  <c r="F884" i="5"/>
  <c r="E884" i="5"/>
  <c r="D884" i="5"/>
  <c r="C884" i="5"/>
  <c r="B884" i="5"/>
  <c r="A884" i="5"/>
  <c r="M883" i="5"/>
  <c r="L883" i="5"/>
  <c r="K883" i="5"/>
  <c r="J883" i="5"/>
  <c r="I883" i="5"/>
  <c r="H883" i="5"/>
  <c r="G883" i="5"/>
  <c r="F883" i="5"/>
  <c r="E883" i="5"/>
  <c r="D883" i="5"/>
  <c r="C883" i="5"/>
  <c r="B883" i="5"/>
  <c r="A883" i="5"/>
  <c r="M882" i="5"/>
  <c r="L882" i="5"/>
  <c r="K882" i="5"/>
  <c r="J882" i="5"/>
  <c r="I882" i="5"/>
  <c r="H882" i="5"/>
  <c r="G882" i="5"/>
  <c r="F882" i="5"/>
  <c r="E882" i="5"/>
  <c r="D882" i="5"/>
  <c r="C882" i="5"/>
  <c r="B882" i="5"/>
  <c r="A882" i="5"/>
  <c r="M881" i="5"/>
  <c r="L881" i="5"/>
  <c r="K881" i="5"/>
  <c r="J881" i="5"/>
  <c r="I881" i="5"/>
  <c r="H881" i="5"/>
  <c r="G881" i="5"/>
  <c r="F881" i="5"/>
  <c r="E881" i="5"/>
  <c r="D881" i="5"/>
  <c r="C881" i="5"/>
  <c r="B881" i="5"/>
  <c r="A881" i="5"/>
  <c r="M880" i="5"/>
  <c r="L880" i="5"/>
  <c r="K880" i="5"/>
  <c r="J880" i="5"/>
  <c r="I880" i="5"/>
  <c r="H880" i="5"/>
  <c r="G880" i="5"/>
  <c r="F880" i="5"/>
  <c r="E880" i="5"/>
  <c r="D880" i="5"/>
  <c r="C880" i="5"/>
  <c r="B880" i="5"/>
  <c r="A880" i="5"/>
  <c r="M879" i="5"/>
  <c r="L879" i="5"/>
  <c r="K879" i="5"/>
  <c r="J879" i="5"/>
  <c r="I879" i="5"/>
  <c r="H879" i="5"/>
  <c r="G879" i="5"/>
  <c r="F879" i="5"/>
  <c r="E879" i="5"/>
  <c r="D879" i="5"/>
  <c r="C879" i="5"/>
  <c r="B879" i="5"/>
  <c r="A879" i="5"/>
  <c r="M878" i="5"/>
  <c r="L878" i="5"/>
  <c r="K878" i="5"/>
  <c r="J878" i="5"/>
  <c r="I878" i="5"/>
  <c r="H878" i="5"/>
  <c r="G878" i="5"/>
  <c r="F878" i="5"/>
  <c r="E878" i="5"/>
  <c r="D878" i="5"/>
  <c r="C878" i="5"/>
  <c r="B878" i="5"/>
  <c r="A878" i="5"/>
  <c r="M877" i="5"/>
  <c r="L877" i="5"/>
  <c r="K877" i="5"/>
  <c r="J877" i="5"/>
  <c r="I877" i="5"/>
  <c r="H877" i="5"/>
  <c r="G877" i="5"/>
  <c r="F877" i="5"/>
  <c r="E877" i="5"/>
  <c r="D877" i="5"/>
  <c r="C877" i="5"/>
  <c r="B877" i="5"/>
  <c r="A877" i="5"/>
  <c r="M876" i="5"/>
  <c r="L876" i="5"/>
  <c r="K876" i="5"/>
  <c r="J876" i="5"/>
  <c r="I876" i="5"/>
  <c r="H876" i="5"/>
  <c r="G876" i="5"/>
  <c r="F876" i="5"/>
  <c r="E876" i="5"/>
  <c r="D876" i="5"/>
  <c r="C876" i="5"/>
  <c r="B876" i="5"/>
  <c r="A876" i="5"/>
  <c r="M875" i="5"/>
  <c r="L875" i="5"/>
  <c r="K875" i="5"/>
  <c r="J875" i="5"/>
  <c r="I875" i="5"/>
  <c r="H875" i="5"/>
  <c r="G875" i="5"/>
  <c r="F875" i="5"/>
  <c r="D875" i="5"/>
  <c r="C875" i="5"/>
  <c r="B875" i="5"/>
  <c r="A875" i="5"/>
  <c r="M874" i="5"/>
  <c r="L874" i="5"/>
  <c r="K874" i="5"/>
  <c r="J874" i="5"/>
  <c r="I874" i="5"/>
  <c r="H874" i="5"/>
  <c r="G874" i="5"/>
  <c r="F874" i="5"/>
  <c r="E874" i="5"/>
  <c r="D874" i="5"/>
  <c r="C874" i="5"/>
  <c r="B874" i="5"/>
  <c r="A874" i="5"/>
  <c r="M873" i="5"/>
  <c r="L873" i="5"/>
  <c r="K873" i="5"/>
  <c r="J873" i="5"/>
  <c r="I873" i="5"/>
  <c r="H873" i="5"/>
  <c r="G873" i="5"/>
  <c r="F873" i="5"/>
  <c r="E873" i="5"/>
  <c r="D873" i="5"/>
  <c r="C873" i="5"/>
  <c r="B873" i="5"/>
  <c r="A873" i="5"/>
  <c r="M872" i="5"/>
  <c r="L872" i="5"/>
  <c r="K872" i="5"/>
  <c r="J872" i="5"/>
  <c r="I872" i="5"/>
  <c r="H872" i="5"/>
  <c r="G872" i="5"/>
  <c r="F872" i="5"/>
  <c r="E872" i="5"/>
  <c r="D872" i="5"/>
  <c r="C872" i="5"/>
  <c r="B872" i="5"/>
  <c r="A872" i="5"/>
  <c r="M871" i="5"/>
  <c r="L871" i="5"/>
  <c r="K871" i="5"/>
  <c r="J871" i="5"/>
  <c r="I871" i="5"/>
  <c r="H871" i="5"/>
  <c r="G871" i="5"/>
  <c r="F871" i="5"/>
  <c r="E871" i="5"/>
  <c r="D871" i="5"/>
  <c r="C871" i="5"/>
  <c r="B871" i="5"/>
  <c r="A871" i="5"/>
  <c r="M870" i="5"/>
  <c r="L870" i="5"/>
  <c r="K870" i="5"/>
  <c r="J870" i="5"/>
  <c r="I870" i="5"/>
  <c r="H870" i="5"/>
  <c r="G870" i="5"/>
  <c r="F870" i="5"/>
  <c r="E870" i="5"/>
  <c r="D870" i="5"/>
  <c r="C870" i="5"/>
  <c r="B870" i="5"/>
  <c r="A870" i="5"/>
  <c r="M869" i="5"/>
  <c r="L869" i="5"/>
  <c r="K869" i="5"/>
  <c r="J869" i="5"/>
  <c r="I869" i="5"/>
  <c r="H869" i="5"/>
  <c r="G869" i="5"/>
  <c r="F869" i="5"/>
  <c r="E869" i="5"/>
  <c r="D869" i="5"/>
  <c r="C869" i="5"/>
  <c r="B869" i="5"/>
  <c r="A869" i="5"/>
  <c r="M868" i="5"/>
  <c r="L868" i="5"/>
  <c r="K868" i="5"/>
  <c r="J868" i="5"/>
  <c r="I868" i="5"/>
  <c r="H868" i="5"/>
  <c r="G868" i="5"/>
  <c r="F868" i="5"/>
  <c r="E868" i="5"/>
  <c r="D868" i="5"/>
  <c r="C868" i="5"/>
  <c r="B868" i="5"/>
  <c r="A868" i="5"/>
  <c r="M867" i="5"/>
  <c r="L867" i="5"/>
  <c r="K867" i="5"/>
  <c r="J867" i="5"/>
  <c r="I867" i="5"/>
  <c r="H867" i="5"/>
  <c r="G867" i="5"/>
  <c r="F867" i="5"/>
  <c r="E867" i="5"/>
  <c r="D867" i="5"/>
  <c r="C867" i="5"/>
  <c r="B867" i="5"/>
  <c r="A867" i="5"/>
  <c r="M866" i="5"/>
  <c r="L866" i="5"/>
  <c r="K866" i="5"/>
  <c r="J866" i="5"/>
  <c r="I866" i="5"/>
  <c r="H866" i="5"/>
  <c r="G866" i="5"/>
  <c r="F866" i="5"/>
  <c r="E866" i="5"/>
  <c r="D866" i="5"/>
  <c r="C866" i="5"/>
  <c r="B866" i="5"/>
  <c r="A866" i="5"/>
  <c r="M865" i="5"/>
  <c r="L865" i="5"/>
  <c r="K865" i="5"/>
  <c r="J865" i="5"/>
  <c r="I865" i="5"/>
  <c r="H865" i="5"/>
  <c r="G865" i="5"/>
  <c r="F865" i="5"/>
  <c r="E865" i="5"/>
  <c r="D865" i="5"/>
  <c r="C865" i="5"/>
  <c r="B865" i="5"/>
  <c r="A865" i="5"/>
  <c r="M864" i="5"/>
  <c r="L864" i="5"/>
  <c r="K864" i="5"/>
  <c r="J864" i="5"/>
  <c r="I864" i="5"/>
  <c r="H864" i="5"/>
  <c r="G864" i="5"/>
  <c r="F864" i="5"/>
  <c r="E864" i="5"/>
  <c r="D864" i="5"/>
  <c r="C864" i="5"/>
  <c r="B864" i="5"/>
  <c r="A864" i="5"/>
  <c r="M863" i="5"/>
  <c r="L863" i="5"/>
  <c r="K863" i="5"/>
  <c r="J863" i="5"/>
  <c r="I863" i="5"/>
  <c r="H863" i="5"/>
  <c r="G863" i="5"/>
  <c r="F863" i="5"/>
  <c r="E863" i="5"/>
  <c r="D863" i="5"/>
  <c r="C863" i="5"/>
  <c r="B863" i="5"/>
  <c r="A863" i="5"/>
  <c r="M862" i="5"/>
  <c r="L862" i="5"/>
  <c r="K862" i="5"/>
  <c r="J862" i="5"/>
  <c r="I862" i="5"/>
  <c r="H862" i="5"/>
  <c r="G862" i="5"/>
  <c r="F862" i="5"/>
  <c r="E862" i="5"/>
  <c r="D862" i="5"/>
  <c r="C862" i="5"/>
  <c r="B862" i="5"/>
  <c r="A862" i="5"/>
  <c r="M861" i="5"/>
  <c r="L861" i="5"/>
  <c r="K861" i="5"/>
  <c r="J861" i="5"/>
  <c r="I861" i="5"/>
  <c r="H861" i="5"/>
  <c r="G861" i="5"/>
  <c r="F861" i="5"/>
  <c r="E861" i="5"/>
  <c r="D861" i="5"/>
  <c r="C861" i="5"/>
  <c r="B861" i="5"/>
  <c r="A861" i="5"/>
  <c r="M860" i="5"/>
  <c r="L860" i="5"/>
  <c r="K860" i="5"/>
  <c r="J860" i="5"/>
  <c r="I860" i="5"/>
  <c r="H860" i="5"/>
  <c r="G860" i="5"/>
  <c r="F860" i="5"/>
  <c r="E860" i="5"/>
  <c r="D860" i="5"/>
  <c r="C860" i="5"/>
  <c r="B860" i="5"/>
  <c r="A860" i="5"/>
  <c r="M859" i="5"/>
  <c r="L859" i="5"/>
  <c r="K859" i="5"/>
  <c r="J859" i="5"/>
  <c r="I859" i="5"/>
  <c r="H859" i="5"/>
  <c r="G859" i="5"/>
  <c r="F859" i="5"/>
  <c r="E859" i="5"/>
  <c r="D859" i="5"/>
  <c r="C859" i="5"/>
  <c r="B859" i="5"/>
  <c r="A859" i="5"/>
  <c r="M858" i="5"/>
  <c r="L858" i="5"/>
  <c r="K858" i="5"/>
  <c r="J858" i="5"/>
  <c r="I858" i="5"/>
  <c r="H858" i="5"/>
  <c r="G858" i="5"/>
  <c r="F858" i="5"/>
  <c r="E858" i="5"/>
  <c r="D858" i="5"/>
  <c r="C858" i="5"/>
  <c r="B858" i="5"/>
  <c r="A858" i="5"/>
  <c r="M857" i="5"/>
  <c r="L857" i="5"/>
  <c r="K857" i="5"/>
  <c r="J857" i="5"/>
  <c r="I857" i="5"/>
  <c r="H857" i="5"/>
  <c r="G857" i="5"/>
  <c r="F857" i="5"/>
  <c r="E857" i="5"/>
  <c r="D857" i="5"/>
  <c r="C857" i="5"/>
  <c r="B857" i="5"/>
  <c r="A857" i="5"/>
  <c r="M856" i="5"/>
  <c r="L856" i="5"/>
  <c r="K856" i="5"/>
  <c r="J856" i="5"/>
  <c r="I856" i="5"/>
  <c r="H856" i="5"/>
  <c r="G856" i="5"/>
  <c r="F856" i="5"/>
  <c r="E856" i="5"/>
  <c r="D856" i="5"/>
  <c r="C856" i="5"/>
  <c r="B856" i="5"/>
  <c r="A856" i="5"/>
  <c r="M855" i="5"/>
  <c r="L855" i="5"/>
  <c r="K855" i="5"/>
  <c r="J855" i="5"/>
  <c r="I855" i="5"/>
  <c r="H855" i="5"/>
  <c r="G855" i="5"/>
  <c r="F855" i="5"/>
  <c r="E855" i="5"/>
  <c r="D855" i="5"/>
  <c r="C855" i="5"/>
  <c r="B855" i="5"/>
  <c r="A855" i="5"/>
  <c r="M854" i="5"/>
  <c r="L854" i="5"/>
  <c r="K854" i="5"/>
  <c r="J854" i="5"/>
  <c r="I854" i="5"/>
  <c r="H854" i="5"/>
  <c r="G854" i="5"/>
  <c r="F854" i="5"/>
  <c r="E854" i="5"/>
  <c r="D854" i="5"/>
  <c r="C854" i="5"/>
  <c r="B854" i="5"/>
  <c r="A854" i="5"/>
  <c r="M853" i="5"/>
  <c r="L853" i="5"/>
  <c r="K853" i="5"/>
  <c r="J853" i="5"/>
  <c r="I853" i="5"/>
  <c r="H853" i="5"/>
  <c r="G853" i="5"/>
  <c r="F853" i="5"/>
  <c r="E853" i="5"/>
  <c r="D853" i="5"/>
  <c r="C853" i="5"/>
  <c r="B853" i="5"/>
  <c r="A853" i="5"/>
  <c r="M852" i="5"/>
  <c r="L852" i="5"/>
  <c r="K852" i="5"/>
  <c r="J852" i="5"/>
  <c r="I852" i="5"/>
  <c r="H852" i="5"/>
  <c r="G852" i="5"/>
  <c r="F852" i="5"/>
  <c r="E852" i="5"/>
  <c r="D852" i="5"/>
  <c r="C852" i="5"/>
  <c r="B852" i="5"/>
  <c r="A852" i="5"/>
  <c r="M851" i="5"/>
  <c r="L851" i="5"/>
  <c r="K851" i="5"/>
  <c r="J851" i="5"/>
  <c r="I851" i="5"/>
  <c r="H851" i="5"/>
  <c r="G851" i="5"/>
  <c r="F851" i="5"/>
  <c r="E851" i="5"/>
  <c r="D851" i="5"/>
  <c r="C851" i="5"/>
  <c r="B851" i="5"/>
  <c r="A851" i="5"/>
  <c r="M850" i="5"/>
  <c r="L850" i="5"/>
  <c r="K850" i="5"/>
  <c r="J850" i="5"/>
  <c r="I850" i="5"/>
  <c r="H850" i="5"/>
  <c r="G850" i="5"/>
  <c r="F850" i="5"/>
  <c r="E850" i="5"/>
  <c r="D850" i="5"/>
  <c r="C850" i="5"/>
  <c r="B850" i="5"/>
  <c r="A850" i="5"/>
  <c r="M849" i="5"/>
  <c r="L849" i="5"/>
  <c r="K849" i="5"/>
  <c r="J849" i="5"/>
  <c r="I849" i="5"/>
  <c r="H849" i="5"/>
  <c r="G849" i="5"/>
  <c r="F849" i="5"/>
  <c r="E849" i="5"/>
  <c r="D849" i="5"/>
  <c r="C849" i="5"/>
  <c r="B849" i="5"/>
  <c r="A849" i="5"/>
  <c r="M848" i="5"/>
  <c r="L848" i="5"/>
  <c r="K848" i="5"/>
  <c r="J848" i="5"/>
  <c r="I848" i="5"/>
  <c r="H848" i="5"/>
  <c r="G848" i="5"/>
  <c r="F848" i="5"/>
  <c r="D848" i="5"/>
  <c r="C848" i="5"/>
  <c r="B848" i="5"/>
  <c r="A848" i="5"/>
  <c r="M847" i="5"/>
  <c r="L847" i="5"/>
  <c r="K847" i="5"/>
  <c r="J847" i="5"/>
  <c r="I847" i="5"/>
  <c r="H847" i="5"/>
  <c r="G847" i="5"/>
  <c r="F847" i="5"/>
  <c r="E847" i="5"/>
  <c r="D847" i="5"/>
  <c r="C847" i="5"/>
  <c r="B847" i="5"/>
  <c r="A847" i="5"/>
  <c r="M846" i="5"/>
  <c r="L846" i="5"/>
  <c r="K846" i="5"/>
  <c r="J846" i="5"/>
  <c r="I846" i="5"/>
  <c r="H846" i="5"/>
  <c r="G846" i="5"/>
  <c r="F846" i="5"/>
  <c r="E846" i="5"/>
  <c r="D846" i="5"/>
  <c r="C846" i="5"/>
  <c r="B846" i="5"/>
  <c r="A846" i="5"/>
  <c r="M845" i="5"/>
  <c r="L845" i="5"/>
  <c r="K845" i="5"/>
  <c r="J845" i="5"/>
  <c r="I845" i="5"/>
  <c r="H845" i="5"/>
  <c r="G845" i="5"/>
  <c r="F845" i="5"/>
  <c r="E845" i="5"/>
  <c r="D845" i="5"/>
  <c r="C845" i="5"/>
  <c r="B845" i="5"/>
  <c r="A845" i="5"/>
  <c r="M844" i="5"/>
  <c r="L844" i="5"/>
  <c r="K844" i="5"/>
  <c r="J844" i="5"/>
  <c r="I844" i="5"/>
  <c r="H844" i="5"/>
  <c r="G844" i="5"/>
  <c r="F844" i="5"/>
  <c r="E844" i="5"/>
  <c r="D844" i="5"/>
  <c r="C844" i="5"/>
  <c r="B844" i="5"/>
  <c r="A844" i="5"/>
  <c r="M843" i="5"/>
  <c r="L843" i="5"/>
  <c r="K843" i="5"/>
  <c r="J843" i="5"/>
  <c r="I843" i="5"/>
  <c r="H843" i="5"/>
  <c r="G843" i="5"/>
  <c r="F843" i="5"/>
  <c r="E843" i="5"/>
  <c r="D843" i="5"/>
  <c r="C843" i="5"/>
  <c r="B843" i="5"/>
  <c r="A843" i="5"/>
  <c r="M842" i="5"/>
  <c r="L842" i="5"/>
  <c r="K842" i="5"/>
  <c r="J842" i="5"/>
  <c r="I842" i="5"/>
  <c r="H842" i="5"/>
  <c r="G842" i="5"/>
  <c r="F842" i="5"/>
  <c r="E842" i="5"/>
  <c r="D842" i="5"/>
  <c r="C842" i="5"/>
  <c r="B842" i="5"/>
  <c r="A842" i="5"/>
  <c r="M841" i="5"/>
  <c r="L841" i="5"/>
  <c r="K841" i="5"/>
  <c r="J841" i="5"/>
  <c r="I841" i="5"/>
  <c r="H841" i="5"/>
  <c r="G841" i="5"/>
  <c r="F841" i="5"/>
  <c r="E841" i="5"/>
  <c r="D841" i="5"/>
  <c r="C841" i="5"/>
  <c r="B841" i="5"/>
  <c r="A841" i="5"/>
  <c r="M840" i="5"/>
  <c r="L840" i="5"/>
  <c r="K840" i="5"/>
  <c r="J840" i="5"/>
  <c r="I840" i="5"/>
  <c r="H840" i="5"/>
  <c r="G840" i="5"/>
  <c r="F840" i="5"/>
  <c r="E840" i="5"/>
  <c r="D840" i="5"/>
  <c r="C840" i="5"/>
  <c r="B840" i="5"/>
  <c r="A840" i="5"/>
  <c r="M839" i="5"/>
  <c r="L839" i="5"/>
  <c r="K839" i="5"/>
  <c r="J839" i="5"/>
  <c r="I839" i="5"/>
  <c r="H839" i="5"/>
  <c r="G839" i="5"/>
  <c r="F839" i="5"/>
  <c r="E839" i="5"/>
  <c r="D839" i="5"/>
  <c r="C839" i="5"/>
  <c r="B839" i="5"/>
  <c r="A839" i="5"/>
  <c r="M838" i="5"/>
  <c r="L838" i="5"/>
  <c r="K838" i="5"/>
  <c r="J838" i="5"/>
  <c r="I838" i="5"/>
  <c r="H838" i="5"/>
  <c r="G838" i="5"/>
  <c r="F838" i="5"/>
  <c r="E838" i="5"/>
  <c r="D838" i="5"/>
  <c r="C838" i="5"/>
  <c r="B838" i="5"/>
  <c r="A838" i="5"/>
  <c r="M837" i="5"/>
  <c r="L837" i="5"/>
  <c r="K837" i="5"/>
  <c r="J837" i="5"/>
  <c r="I837" i="5"/>
  <c r="H837" i="5"/>
  <c r="G837" i="5"/>
  <c r="F837" i="5"/>
  <c r="E837" i="5"/>
  <c r="D837" i="5"/>
  <c r="C837" i="5"/>
  <c r="B837" i="5"/>
  <c r="A837" i="5"/>
  <c r="M836" i="5"/>
  <c r="L836" i="5"/>
  <c r="K836" i="5"/>
  <c r="J836" i="5"/>
  <c r="I836" i="5"/>
  <c r="H836" i="5"/>
  <c r="G836" i="5"/>
  <c r="F836" i="5"/>
  <c r="E836" i="5"/>
  <c r="D836" i="5"/>
  <c r="C836" i="5"/>
  <c r="B836" i="5"/>
  <c r="A836" i="5"/>
  <c r="M835" i="5"/>
  <c r="L835" i="5"/>
  <c r="K835" i="5"/>
  <c r="J835" i="5"/>
  <c r="I835" i="5"/>
  <c r="H835" i="5"/>
  <c r="G835" i="5"/>
  <c r="F835" i="5"/>
  <c r="E835" i="5"/>
  <c r="D835" i="5"/>
  <c r="C835" i="5"/>
  <c r="B835" i="5"/>
  <c r="A835" i="5"/>
  <c r="M834" i="5"/>
  <c r="L834" i="5"/>
  <c r="K834" i="5"/>
  <c r="J834" i="5"/>
  <c r="I834" i="5"/>
  <c r="H834" i="5"/>
  <c r="G834" i="5"/>
  <c r="F834" i="5"/>
  <c r="E834" i="5"/>
  <c r="D834" i="5"/>
  <c r="C834" i="5"/>
  <c r="B834" i="5"/>
  <c r="A834" i="5"/>
  <c r="M833" i="5"/>
  <c r="L833" i="5"/>
  <c r="K833" i="5"/>
  <c r="J833" i="5"/>
  <c r="I833" i="5"/>
  <c r="H833" i="5"/>
  <c r="G833" i="5"/>
  <c r="F833" i="5"/>
  <c r="D833" i="5"/>
  <c r="C833" i="5"/>
  <c r="B833" i="5"/>
  <c r="A833" i="5"/>
  <c r="M832" i="5"/>
  <c r="L832" i="5"/>
  <c r="K832" i="5"/>
  <c r="J832" i="5"/>
  <c r="I832" i="5"/>
  <c r="H832" i="5"/>
  <c r="G832" i="5"/>
  <c r="F832" i="5"/>
  <c r="E832" i="5"/>
  <c r="D832" i="5"/>
  <c r="C832" i="5"/>
  <c r="B832" i="5"/>
  <c r="A832" i="5"/>
  <c r="M831" i="5"/>
  <c r="L831" i="5"/>
  <c r="K831" i="5"/>
  <c r="J831" i="5"/>
  <c r="I831" i="5"/>
  <c r="H831" i="5"/>
  <c r="G831" i="5"/>
  <c r="F831" i="5"/>
  <c r="E831" i="5"/>
  <c r="D831" i="5"/>
  <c r="C831" i="5"/>
  <c r="B831" i="5"/>
  <c r="A831" i="5"/>
  <c r="M830" i="5"/>
  <c r="L830" i="5"/>
  <c r="K830" i="5"/>
  <c r="J830" i="5"/>
  <c r="I830" i="5"/>
  <c r="H830" i="5"/>
  <c r="G830" i="5"/>
  <c r="F830" i="5"/>
  <c r="E830" i="5"/>
  <c r="D830" i="5"/>
  <c r="C830" i="5"/>
  <c r="B830" i="5"/>
  <c r="A830" i="5"/>
  <c r="M829" i="5"/>
  <c r="L829" i="5"/>
  <c r="K829" i="5"/>
  <c r="J829" i="5"/>
  <c r="I829" i="5"/>
  <c r="H829" i="5"/>
  <c r="G829" i="5"/>
  <c r="F829" i="5"/>
  <c r="E829" i="5"/>
  <c r="D829" i="5"/>
  <c r="C829" i="5"/>
  <c r="B829" i="5"/>
  <c r="A829" i="5"/>
  <c r="M828" i="5"/>
  <c r="L828" i="5"/>
  <c r="K828" i="5"/>
  <c r="J828" i="5"/>
  <c r="I828" i="5"/>
  <c r="H828" i="5"/>
  <c r="G828" i="5"/>
  <c r="F828" i="5"/>
  <c r="E828" i="5"/>
  <c r="D828" i="5"/>
  <c r="C828" i="5"/>
  <c r="B828" i="5"/>
  <c r="A828" i="5"/>
  <c r="M827" i="5"/>
  <c r="L827" i="5"/>
  <c r="K827" i="5"/>
  <c r="J827" i="5"/>
  <c r="I827" i="5"/>
  <c r="H827" i="5"/>
  <c r="G827" i="5"/>
  <c r="F827" i="5"/>
  <c r="E827" i="5"/>
  <c r="D827" i="5"/>
  <c r="C827" i="5"/>
  <c r="B827" i="5"/>
  <c r="A827" i="5"/>
  <c r="M826" i="5"/>
  <c r="L826" i="5"/>
  <c r="K826" i="5"/>
  <c r="J826" i="5"/>
  <c r="I826" i="5"/>
  <c r="H826" i="5"/>
  <c r="G826" i="5"/>
  <c r="F826" i="5"/>
  <c r="E826" i="5"/>
  <c r="D826" i="5"/>
  <c r="C826" i="5"/>
  <c r="B826" i="5"/>
  <c r="A826" i="5"/>
  <c r="M825" i="5"/>
  <c r="L825" i="5"/>
  <c r="K825" i="5"/>
  <c r="J825" i="5"/>
  <c r="I825" i="5"/>
  <c r="H825" i="5"/>
  <c r="G825" i="5"/>
  <c r="F825" i="5"/>
  <c r="E825" i="5"/>
  <c r="D825" i="5"/>
  <c r="C825" i="5"/>
  <c r="B825" i="5"/>
  <c r="A825" i="5"/>
  <c r="M824" i="5"/>
  <c r="L824" i="5"/>
  <c r="K824" i="5"/>
  <c r="J824" i="5"/>
  <c r="I824" i="5"/>
  <c r="H824" i="5"/>
  <c r="G824" i="5"/>
  <c r="F824" i="5"/>
  <c r="E824" i="5"/>
  <c r="D824" i="5"/>
  <c r="C824" i="5"/>
  <c r="B824" i="5"/>
  <c r="A824" i="5"/>
  <c r="M823" i="5"/>
  <c r="L823" i="5"/>
  <c r="K823" i="5"/>
  <c r="J823" i="5"/>
  <c r="I823" i="5"/>
  <c r="H823" i="5"/>
  <c r="G823" i="5"/>
  <c r="F823" i="5"/>
  <c r="D823" i="5"/>
  <c r="C823" i="5"/>
  <c r="B823" i="5"/>
  <c r="A823" i="5"/>
  <c r="M822" i="5"/>
  <c r="L822" i="5"/>
  <c r="K822" i="5"/>
  <c r="J822" i="5"/>
  <c r="I822" i="5"/>
  <c r="H822" i="5"/>
  <c r="G822" i="5"/>
  <c r="F822" i="5"/>
  <c r="E822" i="5"/>
  <c r="D822" i="5"/>
  <c r="C822" i="5"/>
  <c r="B822" i="5"/>
  <c r="A822" i="5"/>
  <c r="M821" i="5"/>
  <c r="L821" i="5"/>
  <c r="K821" i="5"/>
  <c r="J821" i="5"/>
  <c r="I821" i="5"/>
  <c r="H821" i="5"/>
  <c r="G821" i="5"/>
  <c r="F821" i="5"/>
  <c r="E821" i="5"/>
  <c r="D821" i="5"/>
  <c r="C821" i="5"/>
  <c r="B821" i="5"/>
  <c r="A821" i="5"/>
  <c r="M820" i="5"/>
  <c r="L820" i="5"/>
  <c r="K820" i="5"/>
  <c r="J820" i="5"/>
  <c r="I820" i="5"/>
  <c r="H820" i="5"/>
  <c r="G820" i="5"/>
  <c r="F820" i="5"/>
  <c r="E820" i="5"/>
  <c r="D820" i="5"/>
  <c r="C820" i="5"/>
  <c r="B820" i="5"/>
  <c r="A820" i="5"/>
  <c r="M819" i="5"/>
  <c r="L819" i="5"/>
  <c r="K819" i="5"/>
  <c r="J819" i="5"/>
  <c r="I819" i="5"/>
  <c r="H819" i="5"/>
  <c r="G819" i="5"/>
  <c r="F819" i="5"/>
  <c r="E819" i="5"/>
  <c r="D819" i="5"/>
  <c r="C819" i="5"/>
  <c r="B819" i="5"/>
  <c r="A819" i="5"/>
  <c r="M818" i="5"/>
  <c r="L818" i="5"/>
  <c r="K818" i="5"/>
  <c r="J818" i="5"/>
  <c r="I818" i="5"/>
  <c r="H818" i="5"/>
  <c r="G818" i="5"/>
  <c r="F818" i="5"/>
  <c r="E818" i="5"/>
  <c r="D818" i="5"/>
  <c r="C818" i="5"/>
  <c r="B818" i="5"/>
  <c r="A818" i="5"/>
  <c r="M817" i="5"/>
  <c r="L817" i="5"/>
  <c r="K817" i="5"/>
  <c r="J817" i="5"/>
  <c r="I817" i="5"/>
  <c r="H817" i="5"/>
  <c r="G817" i="5"/>
  <c r="F817" i="5"/>
  <c r="E817" i="5"/>
  <c r="D817" i="5"/>
  <c r="C817" i="5"/>
  <c r="B817" i="5"/>
  <c r="A817" i="5"/>
  <c r="M816" i="5"/>
  <c r="L816" i="5"/>
  <c r="K816" i="5"/>
  <c r="J816" i="5"/>
  <c r="I816" i="5"/>
  <c r="H816" i="5"/>
  <c r="G816" i="5"/>
  <c r="F816" i="5"/>
  <c r="E816" i="5"/>
  <c r="D816" i="5"/>
  <c r="C816" i="5"/>
  <c r="B816" i="5"/>
  <c r="A816" i="5"/>
  <c r="M815" i="5"/>
  <c r="L815" i="5"/>
  <c r="K815" i="5"/>
  <c r="J815" i="5"/>
  <c r="I815" i="5"/>
  <c r="H815" i="5"/>
  <c r="G815" i="5"/>
  <c r="F815" i="5"/>
  <c r="E815" i="5"/>
  <c r="D815" i="5"/>
  <c r="C815" i="5"/>
  <c r="B815" i="5"/>
  <c r="A815" i="5"/>
  <c r="M814" i="5"/>
  <c r="L814" i="5"/>
  <c r="K814" i="5"/>
  <c r="J814" i="5"/>
  <c r="I814" i="5"/>
  <c r="H814" i="5"/>
  <c r="G814" i="5"/>
  <c r="F814" i="5"/>
  <c r="E814" i="5"/>
  <c r="D814" i="5"/>
  <c r="C814" i="5"/>
  <c r="B814" i="5"/>
  <c r="A814" i="5"/>
  <c r="M813" i="5"/>
  <c r="L813" i="5"/>
  <c r="K813" i="5"/>
  <c r="J813" i="5"/>
  <c r="I813" i="5"/>
  <c r="H813" i="5"/>
  <c r="G813" i="5"/>
  <c r="F813" i="5"/>
  <c r="E813" i="5"/>
  <c r="D813" i="5"/>
  <c r="C813" i="5"/>
  <c r="B813" i="5"/>
  <c r="A813" i="5"/>
  <c r="M812" i="5"/>
  <c r="L812" i="5"/>
  <c r="K812" i="5"/>
  <c r="J812" i="5"/>
  <c r="I812" i="5"/>
  <c r="H812" i="5"/>
  <c r="G812" i="5"/>
  <c r="F812" i="5"/>
  <c r="E812" i="5"/>
  <c r="D812" i="5"/>
  <c r="C812" i="5"/>
  <c r="B812" i="5"/>
  <c r="A812" i="5"/>
  <c r="M811" i="5"/>
  <c r="L811" i="5"/>
  <c r="K811" i="5"/>
  <c r="J811" i="5"/>
  <c r="I811" i="5"/>
  <c r="H811" i="5"/>
  <c r="G811" i="5"/>
  <c r="F811" i="5"/>
  <c r="E811" i="5"/>
  <c r="D811" i="5"/>
  <c r="C811" i="5"/>
  <c r="B811" i="5"/>
  <c r="A811" i="5"/>
  <c r="M810" i="5"/>
  <c r="L810" i="5"/>
  <c r="K810" i="5"/>
  <c r="J810" i="5"/>
  <c r="I810" i="5"/>
  <c r="H810" i="5"/>
  <c r="G810" i="5"/>
  <c r="F810" i="5"/>
  <c r="E810" i="5"/>
  <c r="D810" i="5"/>
  <c r="C810" i="5"/>
  <c r="B810" i="5"/>
  <c r="A810" i="5"/>
  <c r="M809" i="5"/>
  <c r="L809" i="5"/>
  <c r="K809" i="5"/>
  <c r="J809" i="5"/>
  <c r="I809" i="5"/>
  <c r="H809" i="5"/>
  <c r="G809" i="5"/>
  <c r="F809" i="5"/>
  <c r="E809" i="5"/>
  <c r="D809" i="5"/>
  <c r="C809" i="5"/>
  <c r="B809" i="5"/>
  <c r="A809" i="5"/>
  <c r="M808" i="5"/>
  <c r="L808" i="5"/>
  <c r="K808" i="5"/>
  <c r="J808" i="5"/>
  <c r="I808" i="5"/>
  <c r="H808" i="5"/>
  <c r="G808" i="5"/>
  <c r="F808" i="5"/>
  <c r="E808" i="5"/>
  <c r="D808" i="5"/>
  <c r="C808" i="5"/>
  <c r="B808" i="5"/>
  <c r="A808" i="5"/>
  <c r="M807" i="5"/>
  <c r="L807" i="5"/>
  <c r="K807" i="5"/>
  <c r="J807" i="5"/>
  <c r="I807" i="5"/>
  <c r="H807" i="5"/>
  <c r="G807" i="5"/>
  <c r="F807" i="5"/>
  <c r="E807" i="5"/>
  <c r="D807" i="5"/>
  <c r="C807" i="5"/>
  <c r="B807" i="5"/>
  <c r="A807" i="5"/>
  <c r="M806" i="5"/>
  <c r="L806" i="5"/>
  <c r="K806" i="5"/>
  <c r="J806" i="5"/>
  <c r="I806" i="5"/>
  <c r="H806" i="5"/>
  <c r="G806" i="5"/>
  <c r="F806" i="5"/>
  <c r="E806" i="5"/>
  <c r="D806" i="5"/>
  <c r="C806" i="5"/>
  <c r="B806" i="5"/>
  <c r="A806" i="5"/>
  <c r="M805" i="5"/>
  <c r="L805" i="5"/>
  <c r="K805" i="5"/>
  <c r="J805" i="5"/>
  <c r="I805" i="5"/>
  <c r="H805" i="5"/>
  <c r="G805" i="5"/>
  <c r="F805" i="5"/>
  <c r="E805" i="5"/>
  <c r="D805" i="5"/>
  <c r="C805" i="5"/>
  <c r="B805" i="5"/>
  <c r="A805" i="5"/>
  <c r="M804" i="5"/>
  <c r="L804" i="5"/>
  <c r="K804" i="5"/>
  <c r="J804" i="5"/>
  <c r="I804" i="5"/>
  <c r="H804" i="5"/>
  <c r="G804" i="5"/>
  <c r="F804" i="5"/>
  <c r="E804" i="5"/>
  <c r="D804" i="5"/>
  <c r="C804" i="5"/>
  <c r="B804" i="5"/>
  <c r="A804" i="5"/>
  <c r="M803" i="5"/>
  <c r="L803" i="5"/>
  <c r="K803" i="5"/>
  <c r="J803" i="5"/>
  <c r="I803" i="5"/>
  <c r="H803" i="5"/>
  <c r="G803" i="5"/>
  <c r="F803" i="5"/>
  <c r="E803" i="5"/>
  <c r="D803" i="5"/>
  <c r="C803" i="5"/>
  <c r="B803" i="5"/>
  <c r="A803" i="5"/>
  <c r="M802" i="5"/>
  <c r="L802" i="5"/>
  <c r="K802" i="5"/>
  <c r="J802" i="5"/>
  <c r="I802" i="5"/>
  <c r="H802" i="5"/>
  <c r="G802" i="5"/>
  <c r="F802" i="5"/>
  <c r="E802" i="5"/>
  <c r="D802" i="5"/>
  <c r="C802" i="5"/>
  <c r="B802" i="5"/>
  <c r="A802" i="5"/>
  <c r="M801" i="5"/>
  <c r="L801" i="5"/>
  <c r="K801" i="5"/>
  <c r="J801" i="5"/>
  <c r="I801" i="5"/>
  <c r="H801" i="5"/>
  <c r="G801" i="5"/>
  <c r="F801" i="5"/>
  <c r="E801" i="5"/>
  <c r="D801" i="5"/>
  <c r="C801" i="5"/>
  <c r="B801" i="5"/>
  <c r="A801" i="5"/>
  <c r="M800" i="5"/>
  <c r="L800" i="5"/>
  <c r="K800" i="5"/>
  <c r="J800" i="5"/>
  <c r="I800" i="5"/>
  <c r="H800" i="5"/>
  <c r="G800" i="5"/>
  <c r="F800" i="5"/>
  <c r="E800" i="5"/>
  <c r="D800" i="5"/>
  <c r="C800" i="5"/>
  <c r="B800" i="5"/>
  <c r="A800" i="5"/>
  <c r="M799" i="5"/>
  <c r="L799" i="5"/>
  <c r="K799" i="5"/>
  <c r="J799" i="5"/>
  <c r="I799" i="5"/>
  <c r="H799" i="5"/>
  <c r="G799" i="5"/>
  <c r="F799" i="5"/>
  <c r="E799" i="5"/>
  <c r="D799" i="5"/>
  <c r="C799" i="5"/>
  <c r="B799" i="5"/>
  <c r="A799" i="5"/>
  <c r="M798" i="5"/>
  <c r="L798" i="5"/>
  <c r="K798" i="5"/>
  <c r="J798" i="5"/>
  <c r="I798" i="5"/>
  <c r="H798" i="5"/>
  <c r="G798" i="5"/>
  <c r="F798" i="5"/>
  <c r="E798" i="5"/>
  <c r="D798" i="5"/>
  <c r="C798" i="5"/>
  <c r="B798" i="5"/>
  <c r="A798" i="5"/>
  <c r="M797" i="5"/>
  <c r="L797" i="5"/>
  <c r="K797" i="5"/>
  <c r="J797" i="5"/>
  <c r="I797" i="5"/>
  <c r="H797" i="5"/>
  <c r="G797" i="5"/>
  <c r="F797" i="5"/>
  <c r="E797" i="5"/>
  <c r="D797" i="5"/>
  <c r="C797" i="5"/>
  <c r="B797" i="5"/>
  <c r="A797" i="5"/>
  <c r="M796" i="5"/>
  <c r="L796" i="5"/>
  <c r="K796" i="5"/>
  <c r="J796" i="5"/>
  <c r="I796" i="5"/>
  <c r="H796" i="5"/>
  <c r="G796" i="5"/>
  <c r="F796" i="5"/>
  <c r="E796" i="5"/>
  <c r="D796" i="5"/>
  <c r="C796" i="5"/>
  <c r="B796" i="5"/>
  <c r="A796" i="5"/>
  <c r="M795" i="5"/>
  <c r="L795" i="5"/>
  <c r="K795" i="5"/>
  <c r="J795" i="5"/>
  <c r="I795" i="5"/>
  <c r="H795" i="5"/>
  <c r="G795" i="5"/>
  <c r="F795" i="5"/>
  <c r="E795" i="5"/>
  <c r="D795" i="5"/>
  <c r="C795" i="5"/>
  <c r="B795" i="5"/>
  <c r="A795" i="5"/>
  <c r="M794" i="5"/>
  <c r="L794" i="5"/>
  <c r="K794" i="5"/>
  <c r="J794" i="5"/>
  <c r="I794" i="5"/>
  <c r="H794" i="5"/>
  <c r="G794" i="5"/>
  <c r="F794" i="5"/>
  <c r="E794" i="5"/>
  <c r="D794" i="5"/>
  <c r="C794" i="5"/>
  <c r="B794" i="5"/>
  <c r="A794" i="5"/>
  <c r="M793" i="5"/>
  <c r="L793" i="5"/>
  <c r="K793" i="5"/>
  <c r="J793" i="5"/>
  <c r="I793" i="5"/>
  <c r="H793" i="5"/>
  <c r="G793" i="5"/>
  <c r="F793" i="5"/>
  <c r="E793" i="5"/>
  <c r="D793" i="5"/>
  <c r="C793" i="5"/>
  <c r="B793" i="5"/>
  <c r="A793" i="5"/>
  <c r="M792" i="5"/>
  <c r="L792" i="5"/>
  <c r="K792" i="5"/>
  <c r="J792" i="5"/>
  <c r="I792" i="5"/>
  <c r="H792" i="5"/>
  <c r="G792" i="5"/>
  <c r="F792" i="5"/>
  <c r="E792" i="5"/>
  <c r="D792" i="5"/>
  <c r="C792" i="5"/>
  <c r="B792" i="5"/>
  <c r="A792" i="5"/>
  <c r="M791" i="5"/>
  <c r="L791" i="5"/>
  <c r="K791" i="5"/>
  <c r="J791" i="5"/>
  <c r="I791" i="5"/>
  <c r="H791" i="5"/>
  <c r="G791" i="5"/>
  <c r="F791" i="5"/>
  <c r="E791" i="5"/>
  <c r="D791" i="5"/>
  <c r="C791" i="5"/>
  <c r="B791" i="5"/>
  <c r="A791" i="5"/>
  <c r="M790" i="5"/>
  <c r="L790" i="5"/>
  <c r="K790" i="5"/>
  <c r="J790" i="5"/>
  <c r="I790" i="5"/>
  <c r="H790" i="5"/>
  <c r="G790" i="5"/>
  <c r="F790" i="5"/>
  <c r="E790" i="5"/>
  <c r="D790" i="5"/>
  <c r="C790" i="5"/>
  <c r="B790" i="5"/>
  <c r="A790" i="5"/>
  <c r="M789" i="5"/>
  <c r="L789" i="5"/>
  <c r="K789" i="5"/>
  <c r="J789" i="5"/>
  <c r="I789" i="5"/>
  <c r="H789" i="5"/>
  <c r="G789" i="5"/>
  <c r="F789" i="5"/>
  <c r="E789" i="5"/>
  <c r="D789" i="5"/>
  <c r="C789" i="5"/>
  <c r="B789" i="5"/>
  <c r="A789" i="5"/>
  <c r="M788" i="5"/>
  <c r="L788" i="5"/>
  <c r="K788" i="5"/>
  <c r="J788" i="5"/>
  <c r="I788" i="5"/>
  <c r="H788" i="5"/>
  <c r="G788" i="5"/>
  <c r="F788" i="5"/>
  <c r="E788" i="5"/>
  <c r="D788" i="5"/>
  <c r="C788" i="5"/>
  <c r="B788" i="5"/>
  <c r="A788" i="5"/>
  <c r="M787" i="5"/>
  <c r="L787" i="5"/>
  <c r="K787" i="5"/>
  <c r="J787" i="5"/>
  <c r="I787" i="5"/>
  <c r="H787" i="5"/>
  <c r="G787" i="5"/>
  <c r="F787" i="5"/>
  <c r="E787" i="5"/>
  <c r="D787" i="5"/>
  <c r="C787" i="5"/>
  <c r="B787" i="5"/>
  <c r="A787" i="5"/>
  <c r="M786" i="5"/>
  <c r="L786" i="5"/>
  <c r="K786" i="5"/>
  <c r="J786" i="5"/>
  <c r="I786" i="5"/>
  <c r="H786" i="5"/>
  <c r="G786" i="5"/>
  <c r="F786" i="5"/>
  <c r="E786" i="5"/>
  <c r="D786" i="5"/>
  <c r="C786" i="5"/>
  <c r="B786" i="5"/>
  <c r="A786" i="5"/>
  <c r="M785" i="5"/>
  <c r="L785" i="5"/>
  <c r="K785" i="5"/>
  <c r="J785" i="5"/>
  <c r="I785" i="5"/>
  <c r="H785" i="5"/>
  <c r="G785" i="5"/>
  <c r="F785" i="5"/>
  <c r="E785" i="5"/>
  <c r="D785" i="5"/>
  <c r="C785" i="5"/>
  <c r="B785" i="5"/>
  <c r="A785" i="5"/>
  <c r="M784" i="5"/>
  <c r="L784" i="5"/>
  <c r="K784" i="5"/>
  <c r="J784" i="5"/>
  <c r="I784" i="5"/>
  <c r="H784" i="5"/>
  <c r="G784" i="5"/>
  <c r="F784" i="5"/>
  <c r="E784" i="5"/>
  <c r="D784" i="5"/>
  <c r="C784" i="5"/>
  <c r="B784" i="5"/>
  <c r="A784" i="5"/>
  <c r="M783" i="5"/>
  <c r="L783" i="5"/>
  <c r="K783" i="5"/>
  <c r="J783" i="5"/>
  <c r="I783" i="5"/>
  <c r="H783" i="5"/>
  <c r="G783" i="5"/>
  <c r="F783" i="5"/>
  <c r="E783" i="5"/>
  <c r="D783" i="5"/>
  <c r="C783" i="5"/>
  <c r="B783" i="5"/>
  <c r="A783" i="5"/>
  <c r="M782" i="5"/>
  <c r="L782" i="5"/>
  <c r="K782" i="5"/>
  <c r="J782" i="5"/>
  <c r="I782" i="5"/>
  <c r="H782" i="5"/>
  <c r="G782" i="5"/>
  <c r="F782" i="5"/>
  <c r="E782" i="5"/>
  <c r="D782" i="5"/>
  <c r="C782" i="5"/>
  <c r="B782" i="5"/>
  <c r="A782" i="5"/>
  <c r="M781" i="5"/>
  <c r="L781" i="5"/>
  <c r="K781" i="5"/>
  <c r="J781" i="5"/>
  <c r="I781" i="5"/>
  <c r="H781" i="5"/>
  <c r="G781" i="5"/>
  <c r="F781" i="5"/>
  <c r="E781" i="5"/>
  <c r="D781" i="5"/>
  <c r="C781" i="5"/>
  <c r="B781" i="5"/>
  <c r="A781" i="5"/>
  <c r="M780" i="5"/>
  <c r="L780" i="5"/>
  <c r="K780" i="5"/>
  <c r="J780" i="5"/>
  <c r="I780" i="5"/>
  <c r="H780" i="5"/>
  <c r="G780" i="5"/>
  <c r="F780" i="5"/>
  <c r="E780" i="5"/>
  <c r="D780" i="5"/>
  <c r="C780" i="5"/>
  <c r="B780" i="5"/>
  <c r="A780" i="5"/>
  <c r="M779" i="5"/>
  <c r="L779" i="5"/>
  <c r="K779" i="5"/>
  <c r="J779" i="5"/>
  <c r="I779" i="5"/>
  <c r="H779" i="5"/>
  <c r="G779" i="5"/>
  <c r="F779" i="5"/>
  <c r="E779" i="5"/>
  <c r="D779" i="5"/>
  <c r="C779" i="5"/>
  <c r="B779" i="5"/>
  <c r="A779" i="5"/>
  <c r="M778" i="5"/>
  <c r="L778" i="5"/>
  <c r="K778" i="5"/>
  <c r="J778" i="5"/>
  <c r="I778" i="5"/>
  <c r="H778" i="5"/>
  <c r="G778" i="5"/>
  <c r="F778" i="5"/>
  <c r="E778" i="5"/>
  <c r="D778" i="5"/>
  <c r="C778" i="5"/>
  <c r="B778" i="5"/>
  <c r="A778" i="5"/>
  <c r="M777" i="5"/>
  <c r="L777" i="5"/>
  <c r="K777" i="5"/>
  <c r="J777" i="5"/>
  <c r="I777" i="5"/>
  <c r="H777" i="5"/>
  <c r="G777" i="5"/>
  <c r="F777" i="5"/>
  <c r="E777" i="5"/>
  <c r="D777" i="5"/>
  <c r="C777" i="5"/>
  <c r="B777" i="5"/>
  <c r="A777" i="5"/>
  <c r="M776" i="5"/>
  <c r="L776" i="5"/>
  <c r="K776" i="5"/>
  <c r="J776" i="5"/>
  <c r="I776" i="5"/>
  <c r="H776" i="5"/>
  <c r="G776" i="5"/>
  <c r="F776" i="5"/>
  <c r="E776" i="5"/>
  <c r="D776" i="5"/>
  <c r="C776" i="5"/>
  <c r="B776" i="5"/>
  <c r="A776" i="5"/>
  <c r="M775" i="5"/>
  <c r="L775" i="5"/>
  <c r="K775" i="5"/>
  <c r="J775" i="5"/>
  <c r="I775" i="5"/>
  <c r="H775" i="5"/>
  <c r="G775" i="5"/>
  <c r="F775" i="5"/>
  <c r="E775" i="5"/>
  <c r="D775" i="5"/>
  <c r="C775" i="5"/>
  <c r="B775" i="5"/>
  <c r="A775" i="5"/>
  <c r="M774" i="5"/>
  <c r="L774" i="5"/>
  <c r="K774" i="5"/>
  <c r="J774" i="5"/>
  <c r="I774" i="5"/>
  <c r="H774" i="5"/>
  <c r="G774" i="5"/>
  <c r="F774" i="5"/>
  <c r="E774" i="5"/>
  <c r="D774" i="5"/>
  <c r="C774" i="5"/>
  <c r="B774" i="5"/>
  <c r="A774" i="5"/>
  <c r="M773" i="5"/>
  <c r="L773" i="5"/>
  <c r="K773" i="5"/>
  <c r="J773" i="5"/>
  <c r="I773" i="5"/>
  <c r="H773" i="5"/>
  <c r="G773" i="5"/>
  <c r="F773" i="5"/>
  <c r="E773" i="5"/>
  <c r="D773" i="5"/>
  <c r="C773" i="5"/>
  <c r="B773" i="5"/>
  <c r="A773" i="5"/>
  <c r="M772" i="5"/>
  <c r="L772" i="5"/>
  <c r="K772" i="5"/>
  <c r="J772" i="5"/>
  <c r="I772" i="5"/>
  <c r="H772" i="5"/>
  <c r="G772" i="5"/>
  <c r="F772" i="5"/>
  <c r="E772" i="5"/>
  <c r="D772" i="5"/>
  <c r="C772" i="5"/>
  <c r="B772" i="5"/>
  <c r="A772" i="5"/>
  <c r="M771" i="5"/>
  <c r="L771" i="5"/>
  <c r="K771" i="5"/>
  <c r="J771" i="5"/>
  <c r="I771" i="5"/>
  <c r="H771" i="5"/>
  <c r="G771" i="5"/>
  <c r="F771" i="5"/>
  <c r="E771" i="5"/>
  <c r="D771" i="5"/>
  <c r="C771" i="5"/>
  <c r="B771" i="5"/>
  <c r="A771" i="5"/>
  <c r="M770" i="5"/>
  <c r="L770" i="5"/>
  <c r="K770" i="5"/>
  <c r="J770" i="5"/>
  <c r="I770" i="5"/>
  <c r="H770" i="5"/>
  <c r="G770" i="5"/>
  <c r="F770" i="5"/>
  <c r="E770" i="5"/>
  <c r="D770" i="5"/>
  <c r="C770" i="5"/>
  <c r="B770" i="5"/>
  <c r="A770" i="5"/>
  <c r="M769" i="5"/>
  <c r="L769" i="5"/>
  <c r="K769" i="5"/>
  <c r="J769" i="5"/>
  <c r="I769" i="5"/>
  <c r="H769" i="5"/>
  <c r="G769" i="5"/>
  <c r="F769" i="5"/>
  <c r="E769" i="5"/>
  <c r="D769" i="5"/>
  <c r="C769" i="5"/>
  <c r="B769" i="5"/>
  <c r="A769" i="5"/>
  <c r="M768" i="5"/>
  <c r="L768" i="5"/>
  <c r="K768" i="5"/>
  <c r="J768" i="5"/>
  <c r="I768" i="5"/>
  <c r="H768" i="5"/>
  <c r="G768" i="5"/>
  <c r="F768" i="5"/>
  <c r="E768" i="5"/>
  <c r="D768" i="5"/>
  <c r="C768" i="5"/>
  <c r="B768" i="5"/>
  <c r="A768" i="5"/>
  <c r="M767" i="5"/>
  <c r="L767" i="5"/>
  <c r="K767" i="5"/>
  <c r="J767" i="5"/>
  <c r="I767" i="5"/>
  <c r="H767" i="5"/>
  <c r="G767" i="5"/>
  <c r="F767" i="5"/>
  <c r="E767" i="5"/>
  <c r="D767" i="5"/>
  <c r="C767" i="5"/>
  <c r="B767" i="5"/>
  <c r="A767" i="5"/>
  <c r="M766" i="5"/>
  <c r="L766" i="5"/>
  <c r="K766" i="5"/>
  <c r="J766" i="5"/>
  <c r="I766" i="5"/>
  <c r="H766" i="5"/>
  <c r="G766" i="5"/>
  <c r="F766" i="5"/>
  <c r="E766" i="5"/>
  <c r="D766" i="5"/>
  <c r="C766" i="5"/>
  <c r="B766" i="5"/>
  <c r="A766" i="5"/>
  <c r="M765" i="5"/>
  <c r="L765" i="5"/>
  <c r="K765" i="5"/>
  <c r="J765" i="5"/>
  <c r="I765" i="5"/>
  <c r="H765" i="5"/>
  <c r="G765" i="5"/>
  <c r="F765" i="5"/>
  <c r="E765" i="5"/>
  <c r="D765" i="5"/>
  <c r="C765" i="5"/>
  <c r="B765" i="5"/>
  <c r="A765" i="5"/>
  <c r="M764" i="5"/>
  <c r="L764" i="5"/>
  <c r="K764" i="5"/>
  <c r="J764" i="5"/>
  <c r="I764" i="5"/>
  <c r="H764" i="5"/>
  <c r="G764" i="5"/>
  <c r="F764" i="5"/>
  <c r="E764" i="5"/>
  <c r="D764" i="5"/>
  <c r="C764" i="5"/>
  <c r="B764" i="5"/>
  <c r="A764" i="5"/>
  <c r="M763" i="5"/>
  <c r="L763" i="5"/>
  <c r="K763" i="5"/>
  <c r="J763" i="5"/>
  <c r="I763" i="5"/>
  <c r="H763" i="5"/>
  <c r="G763" i="5"/>
  <c r="F763" i="5"/>
  <c r="E763" i="5"/>
  <c r="D763" i="5"/>
  <c r="C763" i="5"/>
  <c r="B763" i="5"/>
  <c r="A763" i="5"/>
  <c r="M762" i="5"/>
  <c r="L762" i="5"/>
  <c r="K762" i="5"/>
  <c r="J762" i="5"/>
  <c r="I762" i="5"/>
  <c r="H762" i="5"/>
  <c r="G762" i="5"/>
  <c r="F762" i="5"/>
  <c r="E762" i="5"/>
  <c r="D762" i="5"/>
  <c r="C762" i="5"/>
  <c r="B762" i="5"/>
  <c r="A762" i="5"/>
  <c r="M761" i="5"/>
  <c r="L761" i="5"/>
  <c r="K761" i="5"/>
  <c r="J761" i="5"/>
  <c r="I761" i="5"/>
  <c r="H761" i="5"/>
  <c r="G761" i="5"/>
  <c r="F761" i="5"/>
  <c r="E761" i="5"/>
  <c r="D761" i="5"/>
  <c r="C761" i="5"/>
  <c r="B761" i="5"/>
  <c r="A761" i="5"/>
  <c r="M760" i="5"/>
  <c r="L760" i="5"/>
  <c r="K760" i="5"/>
  <c r="J760" i="5"/>
  <c r="I760" i="5"/>
  <c r="H760" i="5"/>
  <c r="G760" i="5"/>
  <c r="F760" i="5"/>
  <c r="E760" i="5"/>
  <c r="D760" i="5"/>
  <c r="C760" i="5"/>
  <c r="B760" i="5"/>
  <c r="A760" i="5"/>
  <c r="M759" i="5"/>
  <c r="L759" i="5"/>
  <c r="K759" i="5"/>
  <c r="J759" i="5"/>
  <c r="I759" i="5"/>
  <c r="H759" i="5"/>
  <c r="G759" i="5"/>
  <c r="F759" i="5"/>
  <c r="E759" i="5"/>
  <c r="D759" i="5"/>
  <c r="C759" i="5"/>
  <c r="B759" i="5"/>
  <c r="A759" i="5"/>
  <c r="M758" i="5"/>
  <c r="L758" i="5"/>
  <c r="K758" i="5"/>
  <c r="J758" i="5"/>
  <c r="I758" i="5"/>
  <c r="H758" i="5"/>
  <c r="G758" i="5"/>
  <c r="F758" i="5"/>
  <c r="E758" i="5"/>
  <c r="D758" i="5"/>
  <c r="C758" i="5"/>
  <c r="B758" i="5"/>
  <c r="A758" i="5"/>
  <c r="M757" i="5"/>
  <c r="L757" i="5"/>
  <c r="K757" i="5"/>
  <c r="J757" i="5"/>
  <c r="I757" i="5"/>
  <c r="H757" i="5"/>
  <c r="G757" i="5"/>
  <c r="F757" i="5"/>
  <c r="E757" i="5"/>
  <c r="D757" i="5"/>
  <c r="C757" i="5"/>
  <c r="B757" i="5"/>
  <c r="A757" i="5"/>
  <c r="M756" i="5"/>
  <c r="L756" i="5"/>
  <c r="K756" i="5"/>
  <c r="J756" i="5"/>
  <c r="I756" i="5"/>
  <c r="H756" i="5"/>
  <c r="G756" i="5"/>
  <c r="F756" i="5"/>
  <c r="E756" i="5"/>
  <c r="D756" i="5"/>
  <c r="C756" i="5"/>
  <c r="B756" i="5"/>
  <c r="A756" i="5"/>
  <c r="M755" i="5"/>
  <c r="L755" i="5"/>
  <c r="K755" i="5"/>
  <c r="J755" i="5"/>
  <c r="I755" i="5"/>
  <c r="H755" i="5"/>
  <c r="G755" i="5"/>
  <c r="F755" i="5"/>
  <c r="E755" i="5"/>
  <c r="D755" i="5"/>
  <c r="C755" i="5"/>
  <c r="B755" i="5"/>
  <c r="A755" i="5"/>
  <c r="M754" i="5"/>
  <c r="L754" i="5"/>
  <c r="K754" i="5"/>
  <c r="J754" i="5"/>
  <c r="I754" i="5"/>
  <c r="H754" i="5"/>
  <c r="G754" i="5"/>
  <c r="F754" i="5"/>
  <c r="E754" i="5"/>
  <c r="D754" i="5"/>
  <c r="C754" i="5"/>
  <c r="B754" i="5"/>
  <c r="A754" i="5"/>
  <c r="M753" i="5"/>
  <c r="L753" i="5"/>
  <c r="K753" i="5"/>
  <c r="J753" i="5"/>
  <c r="I753" i="5"/>
  <c r="H753" i="5"/>
  <c r="G753" i="5"/>
  <c r="F753" i="5"/>
  <c r="E753" i="5"/>
  <c r="D753" i="5"/>
  <c r="C753" i="5"/>
  <c r="B753" i="5"/>
  <c r="A753" i="5"/>
  <c r="M752" i="5"/>
  <c r="L752" i="5"/>
  <c r="K752" i="5"/>
  <c r="J752" i="5"/>
  <c r="I752" i="5"/>
  <c r="H752" i="5"/>
  <c r="G752" i="5"/>
  <c r="F752" i="5"/>
  <c r="E752" i="5"/>
  <c r="D752" i="5"/>
  <c r="C752" i="5"/>
  <c r="B752" i="5"/>
  <c r="A752" i="5"/>
  <c r="M751" i="5"/>
  <c r="L751" i="5"/>
  <c r="K751" i="5"/>
  <c r="J751" i="5"/>
  <c r="I751" i="5"/>
  <c r="H751" i="5"/>
  <c r="G751" i="5"/>
  <c r="F751" i="5"/>
  <c r="E751" i="5"/>
  <c r="D751" i="5"/>
  <c r="C751" i="5"/>
  <c r="B751" i="5"/>
  <c r="A751" i="5"/>
  <c r="M750" i="5"/>
  <c r="L750" i="5"/>
  <c r="K750" i="5"/>
  <c r="J750" i="5"/>
  <c r="I750" i="5"/>
  <c r="H750" i="5"/>
  <c r="G750" i="5"/>
  <c r="F750" i="5"/>
  <c r="E750" i="5"/>
  <c r="D750" i="5"/>
  <c r="C750" i="5"/>
  <c r="B750" i="5"/>
  <c r="A750" i="5"/>
  <c r="M749" i="5"/>
  <c r="L749" i="5"/>
  <c r="K749" i="5"/>
  <c r="J749" i="5"/>
  <c r="I749" i="5"/>
  <c r="H749" i="5"/>
  <c r="G749" i="5"/>
  <c r="F749" i="5"/>
  <c r="E749" i="5"/>
  <c r="D749" i="5"/>
  <c r="C749" i="5"/>
  <c r="B749" i="5"/>
  <c r="A749" i="5"/>
  <c r="M748" i="5"/>
  <c r="L748" i="5"/>
  <c r="K748" i="5"/>
  <c r="J748" i="5"/>
  <c r="I748" i="5"/>
  <c r="H748" i="5"/>
  <c r="G748" i="5"/>
  <c r="F748" i="5"/>
  <c r="E748" i="5"/>
  <c r="D748" i="5"/>
  <c r="C748" i="5"/>
  <c r="B748" i="5"/>
  <c r="A748" i="5"/>
  <c r="M747" i="5"/>
  <c r="L747" i="5"/>
  <c r="K747" i="5"/>
  <c r="J747" i="5"/>
  <c r="I747" i="5"/>
  <c r="H747" i="5"/>
  <c r="G747" i="5"/>
  <c r="F747" i="5"/>
  <c r="E747" i="5"/>
  <c r="D747" i="5"/>
  <c r="C747" i="5"/>
  <c r="B747" i="5"/>
  <c r="A747" i="5"/>
  <c r="M746" i="5"/>
  <c r="L746" i="5"/>
  <c r="K746" i="5"/>
  <c r="J746" i="5"/>
  <c r="I746" i="5"/>
  <c r="H746" i="5"/>
  <c r="G746" i="5"/>
  <c r="F746" i="5"/>
  <c r="E746" i="5"/>
  <c r="D746" i="5"/>
  <c r="C746" i="5"/>
  <c r="B746" i="5"/>
  <c r="A746" i="5"/>
  <c r="M745" i="5"/>
  <c r="L745" i="5"/>
  <c r="K745" i="5"/>
  <c r="J745" i="5"/>
  <c r="I745" i="5"/>
  <c r="H745" i="5"/>
  <c r="G745" i="5"/>
  <c r="F745" i="5"/>
  <c r="E745" i="5"/>
  <c r="D745" i="5"/>
  <c r="C745" i="5"/>
  <c r="B745" i="5"/>
  <c r="A745" i="5"/>
  <c r="M744" i="5"/>
  <c r="L744" i="5"/>
  <c r="K744" i="5"/>
  <c r="J744" i="5"/>
  <c r="I744" i="5"/>
  <c r="H744" i="5"/>
  <c r="G744" i="5"/>
  <c r="F744" i="5"/>
  <c r="E744" i="5"/>
  <c r="D744" i="5"/>
  <c r="C744" i="5"/>
  <c r="B744" i="5"/>
  <c r="A744" i="5"/>
  <c r="M743" i="5"/>
  <c r="L743" i="5"/>
  <c r="K743" i="5"/>
  <c r="J743" i="5"/>
  <c r="I743" i="5"/>
  <c r="H743" i="5"/>
  <c r="G743" i="5"/>
  <c r="F743" i="5"/>
  <c r="E743" i="5"/>
  <c r="D743" i="5"/>
  <c r="C743" i="5"/>
  <c r="B743" i="5"/>
  <c r="A743" i="5"/>
  <c r="M742" i="5"/>
  <c r="L742" i="5"/>
  <c r="K742" i="5"/>
  <c r="J742" i="5"/>
  <c r="I742" i="5"/>
  <c r="H742" i="5"/>
  <c r="G742" i="5"/>
  <c r="F742" i="5"/>
  <c r="E742" i="5"/>
  <c r="D742" i="5"/>
  <c r="C742" i="5"/>
  <c r="B742" i="5"/>
  <c r="A742" i="5"/>
  <c r="M741" i="5"/>
  <c r="L741" i="5"/>
  <c r="K741" i="5"/>
  <c r="J741" i="5"/>
  <c r="I741" i="5"/>
  <c r="H741" i="5"/>
  <c r="G741" i="5"/>
  <c r="F741" i="5"/>
  <c r="E741" i="5"/>
  <c r="D741" i="5"/>
  <c r="C741" i="5"/>
  <c r="B741" i="5"/>
  <c r="A741" i="5"/>
  <c r="M740" i="5"/>
  <c r="L740" i="5"/>
  <c r="K740" i="5"/>
  <c r="J740" i="5"/>
  <c r="I740" i="5"/>
  <c r="H740" i="5"/>
  <c r="G740" i="5"/>
  <c r="F740" i="5"/>
  <c r="E740" i="5"/>
  <c r="D740" i="5"/>
  <c r="C740" i="5"/>
  <c r="B740" i="5"/>
  <c r="A740" i="5"/>
  <c r="M739" i="5"/>
  <c r="L739" i="5"/>
  <c r="K739" i="5"/>
  <c r="J739" i="5"/>
  <c r="I739" i="5"/>
  <c r="H739" i="5"/>
  <c r="G739" i="5"/>
  <c r="F739" i="5"/>
  <c r="E739" i="5"/>
  <c r="D739" i="5"/>
  <c r="C739" i="5"/>
  <c r="B739" i="5"/>
  <c r="A739" i="5"/>
  <c r="M738" i="5"/>
  <c r="L738" i="5"/>
  <c r="K738" i="5"/>
  <c r="J738" i="5"/>
  <c r="I738" i="5"/>
  <c r="H738" i="5"/>
  <c r="G738" i="5"/>
  <c r="F738" i="5"/>
  <c r="E738" i="5"/>
  <c r="D738" i="5"/>
  <c r="C738" i="5"/>
  <c r="B738" i="5"/>
  <c r="A738" i="5"/>
  <c r="M737" i="5"/>
  <c r="L737" i="5"/>
  <c r="K737" i="5"/>
  <c r="J737" i="5"/>
  <c r="I737" i="5"/>
  <c r="H737" i="5"/>
  <c r="G737" i="5"/>
  <c r="F737" i="5"/>
  <c r="E737" i="5"/>
  <c r="D737" i="5"/>
  <c r="C737" i="5"/>
  <c r="B737" i="5"/>
  <c r="A737" i="5"/>
  <c r="M736" i="5"/>
  <c r="L736" i="5"/>
  <c r="K736" i="5"/>
  <c r="J736" i="5"/>
  <c r="I736" i="5"/>
  <c r="H736" i="5"/>
  <c r="G736" i="5"/>
  <c r="F736" i="5"/>
  <c r="E736" i="5"/>
  <c r="D736" i="5"/>
  <c r="C736" i="5"/>
  <c r="B736" i="5"/>
  <c r="A736" i="5"/>
  <c r="M735" i="5"/>
  <c r="L735" i="5"/>
  <c r="K735" i="5"/>
  <c r="J735" i="5"/>
  <c r="I735" i="5"/>
  <c r="H735" i="5"/>
  <c r="G735" i="5"/>
  <c r="F735" i="5"/>
  <c r="E735" i="5"/>
  <c r="D735" i="5"/>
  <c r="C735" i="5"/>
  <c r="B735" i="5"/>
  <c r="A735" i="5"/>
  <c r="M734" i="5"/>
  <c r="L734" i="5"/>
  <c r="K734" i="5"/>
  <c r="J734" i="5"/>
  <c r="I734" i="5"/>
  <c r="H734" i="5"/>
  <c r="G734" i="5"/>
  <c r="F734" i="5"/>
  <c r="E734" i="5"/>
  <c r="D734" i="5"/>
  <c r="C734" i="5"/>
  <c r="B734" i="5"/>
  <c r="A734" i="5"/>
  <c r="M733" i="5"/>
  <c r="L733" i="5"/>
  <c r="K733" i="5"/>
  <c r="J733" i="5"/>
  <c r="I733" i="5"/>
  <c r="H733" i="5"/>
  <c r="G733" i="5"/>
  <c r="F733" i="5"/>
  <c r="E733" i="5"/>
  <c r="D733" i="5"/>
  <c r="C733" i="5"/>
  <c r="B733" i="5"/>
  <c r="A733" i="5"/>
  <c r="M732" i="5"/>
  <c r="L732" i="5"/>
  <c r="K732" i="5"/>
  <c r="J732" i="5"/>
  <c r="I732" i="5"/>
  <c r="H732" i="5"/>
  <c r="G732" i="5"/>
  <c r="F732" i="5"/>
  <c r="E732" i="5"/>
  <c r="D732" i="5"/>
  <c r="C732" i="5"/>
  <c r="B732" i="5"/>
  <c r="A732" i="5"/>
  <c r="M731" i="5"/>
  <c r="L731" i="5"/>
  <c r="K731" i="5"/>
  <c r="J731" i="5"/>
  <c r="I731" i="5"/>
  <c r="H731" i="5"/>
  <c r="G731" i="5"/>
  <c r="F731" i="5"/>
  <c r="E731" i="5"/>
  <c r="D731" i="5"/>
  <c r="C731" i="5"/>
  <c r="B731" i="5"/>
  <c r="A731" i="5"/>
  <c r="M730" i="5"/>
  <c r="L730" i="5"/>
  <c r="K730" i="5"/>
  <c r="J730" i="5"/>
  <c r="I730" i="5"/>
  <c r="H730" i="5"/>
  <c r="G730" i="5"/>
  <c r="F730" i="5"/>
  <c r="E730" i="5"/>
  <c r="D730" i="5"/>
  <c r="C730" i="5"/>
  <c r="B730" i="5"/>
  <c r="A730" i="5"/>
  <c r="M729" i="5"/>
  <c r="L729" i="5"/>
  <c r="K729" i="5"/>
  <c r="J729" i="5"/>
  <c r="I729" i="5"/>
  <c r="H729" i="5"/>
  <c r="G729" i="5"/>
  <c r="F729" i="5"/>
  <c r="E729" i="5"/>
  <c r="D729" i="5"/>
  <c r="C729" i="5"/>
  <c r="B729" i="5"/>
  <c r="A729" i="5"/>
  <c r="M728" i="5"/>
  <c r="L728" i="5"/>
  <c r="K728" i="5"/>
  <c r="J728" i="5"/>
  <c r="I728" i="5"/>
  <c r="H728" i="5"/>
  <c r="G728" i="5"/>
  <c r="F728" i="5"/>
  <c r="E728" i="5"/>
  <c r="D728" i="5"/>
  <c r="C728" i="5"/>
  <c r="B728" i="5"/>
  <c r="A728" i="5"/>
  <c r="M727" i="5"/>
  <c r="L727" i="5"/>
  <c r="K727" i="5"/>
  <c r="J727" i="5"/>
  <c r="I727" i="5"/>
  <c r="H727" i="5"/>
  <c r="G727" i="5"/>
  <c r="F727" i="5"/>
  <c r="E727" i="5"/>
  <c r="D727" i="5"/>
  <c r="C727" i="5"/>
  <c r="B727" i="5"/>
  <c r="A727" i="5"/>
  <c r="M726" i="5"/>
  <c r="L726" i="5"/>
  <c r="K726" i="5"/>
  <c r="J726" i="5"/>
  <c r="I726" i="5"/>
  <c r="H726" i="5"/>
  <c r="G726" i="5"/>
  <c r="F726" i="5"/>
  <c r="E726" i="5"/>
  <c r="D726" i="5"/>
  <c r="C726" i="5"/>
  <c r="B726" i="5"/>
  <c r="A726" i="5"/>
  <c r="M725" i="5"/>
  <c r="L725" i="5"/>
  <c r="K725" i="5"/>
  <c r="J725" i="5"/>
  <c r="I725" i="5"/>
  <c r="H725" i="5"/>
  <c r="G725" i="5"/>
  <c r="F725" i="5"/>
  <c r="E725" i="5"/>
  <c r="D725" i="5"/>
  <c r="C725" i="5"/>
  <c r="B725" i="5"/>
  <c r="A725" i="5"/>
  <c r="M724" i="5"/>
  <c r="L724" i="5"/>
  <c r="K724" i="5"/>
  <c r="J724" i="5"/>
  <c r="I724" i="5"/>
  <c r="H724" i="5"/>
  <c r="G724" i="5"/>
  <c r="F724" i="5"/>
  <c r="E724" i="5"/>
  <c r="D724" i="5"/>
  <c r="C724" i="5"/>
  <c r="B724" i="5"/>
  <c r="A724" i="5"/>
  <c r="M723" i="5"/>
  <c r="L723" i="5"/>
  <c r="K723" i="5"/>
  <c r="J723" i="5"/>
  <c r="I723" i="5"/>
  <c r="H723" i="5"/>
  <c r="G723" i="5"/>
  <c r="F723" i="5"/>
  <c r="E723" i="5"/>
  <c r="D723" i="5"/>
  <c r="C723" i="5"/>
  <c r="B723" i="5"/>
  <c r="A723" i="5"/>
  <c r="M722" i="5"/>
  <c r="L722" i="5"/>
  <c r="K722" i="5"/>
  <c r="J722" i="5"/>
  <c r="I722" i="5"/>
  <c r="H722" i="5"/>
  <c r="G722" i="5"/>
  <c r="F722" i="5"/>
  <c r="E722" i="5"/>
  <c r="D722" i="5"/>
  <c r="C722" i="5"/>
  <c r="B722" i="5"/>
  <c r="A722" i="5"/>
  <c r="M721" i="5"/>
  <c r="L721" i="5"/>
  <c r="K721" i="5"/>
  <c r="J721" i="5"/>
  <c r="I721" i="5"/>
  <c r="H721" i="5"/>
  <c r="G721" i="5"/>
  <c r="F721" i="5"/>
  <c r="E721" i="5"/>
  <c r="D721" i="5"/>
  <c r="C721" i="5"/>
  <c r="B721" i="5"/>
  <c r="A721" i="5"/>
  <c r="M720" i="5"/>
  <c r="L720" i="5"/>
  <c r="K720" i="5"/>
  <c r="J720" i="5"/>
  <c r="I720" i="5"/>
  <c r="H720" i="5"/>
  <c r="G720" i="5"/>
  <c r="F720" i="5"/>
  <c r="E720" i="5"/>
  <c r="D720" i="5"/>
  <c r="C720" i="5"/>
  <c r="B720" i="5"/>
  <c r="A720" i="5"/>
  <c r="M719" i="5"/>
  <c r="L719" i="5"/>
  <c r="K719" i="5"/>
  <c r="J719" i="5"/>
  <c r="I719" i="5"/>
  <c r="H719" i="5"/>
  <c r="G719" i="5"/>
  <c r="F719" i="5"/>
  <c r="E719" i="5"/>
  <c r="D719" i="5"/>
  <c r="C719" i="5"/>
  <c r="B719" i="5"/>
  <c r="A719" i="5"/>
  <c r="M718" i="5"/>
  <c r="L718" i="5"/>
  <c r="K718" i="5"/>
  <c r="J718" i="5"/>
  <c r="I718" i="5"/>
  <c r="H718" i="5"/>
  <c r="G718" i="5"/>
  <c r="F718" i="5"/>
  <c r="E718" i="5"/>
  <c r="D718" i="5"/>
  <c r="C718" i="5"/>
  <c r="B718" i="5"/>
  <c r="A718" i="5"/>
  <c r="M717" i="5"/>
  <c r="L717" i="5"/>
  <c r="K717" i="5"/>
  <c r="J717" i="5"/>
  <c r="I717" i="5"/>
  <c r="H717" i="5"/>
  <c r="G717" i="5"/>
  <c r="F717" i="5"/>
  <c r="E717" i="5"/>
  <c r="D717" i="5"/>
  <c r="C717" i="5"/>
  <c r="B717" i="5"/>
  <c r="A717" i="5"/>
  <c r="M716" i="5"/>
  <c r="L716" i="5"/>
  <c r="K716" i="5"/>
  <c r="J716" i="5"/>
  <c r="I716" i="5"/>
  <c r="H716" i="5"/>
  <c r="G716" i="5"/>
  <c r="F716" i="5"/>
  <c r="E716" i="5"/>
  <c r="D716" i="5"/>
  <c r="C716" i="5"/>
  <c r="B716" i="5"/>
  <c r="A716" i="5"/>
  <c r="M715" i="5"/>
  <c r="L715" i="5"/>
  <c r="K715" i="5"/>
  <c r="J715" i="5"/>
  <c r="I715" i="5"/>
  <c r="H715" i="5"/>
  <c r="G715" i="5"/>
  <c r="F715" i="5"/>
  <c r="E715" i="5"/>
  <c r="D715" i="5"/>
  <c r="C715" i="5"/>
  <c r="B715" i="5"/>
  <c r="A715" i="5"/>
  <c r="M714" i="5"/>
  <c r="L714" i="5"/>
  <c r="K714" i="5"/>
  <c r="J714" i="5"/>
  <c r="I714" i="5"/>
  <c r="H714" i="5"/>
  <c r="G714" i="5"/>
  <c r="F714" i="5"/>
  <c r="E714" i="5"/>
  <c r="D714" i="5"/>
  <c r="C714" i="5"/>
  <c r="B714" i="5"/>
  <c r="A714" i="5"/>
  <c r="M713" i="5"/>
  <c r="L713" i="5"/>
  <c r="K713" i="5"/>
  <c r="J713" i="5"/>
  <c r="I713" i="5"/>
  <c r="H713" i="5"/>
  <c r="G713" i="5"/>
  <c r="F713" i="5"/>
  <c r="E713" i="5"/>
  <c r="D713" i="5"/>
  <c r="C713" i="5"/>
  <c r="B713" i="5"/>
  <c r="A713" i="5"/>
  <c r="M712" i="5"/>
  <c r="L712" i="5"/>
  <c r="K712" i="5"/>
  <c r="J712" i="5"/>
  <c r="I712" i="5"/>
  <c r="H712" i="5"/>
  <c r="G712" i="5"/>
  <c r="F712" i="5"/>
  <c r="E712" i="5"/>
  <c r="D712" i="5"/>
  <c r="C712" i="5"/>
  <c r="B712" i="5"/>
  <c r="A712" i="5"/>
  <c r="M711" i="5"/>
  <c r="L711" i="5"/>
  <c r="K711" i="5"/>
  <c r="J711" i="5"/>
  <c r="I711" i="5"/>
  <c r="H711" i="5"/>
  <c r="G711" i="5"/>
  <c r="F711" i="5"/>
  <c r="E711" i="5"/>
  <c r="D711" i="5"/>
  <c r="C711" i="5"/>
  <c r="B711" i="5"/>
  <c r="A711" i="5"/>
  <c r="M710" i="5"/>
  <c r="L710" i="5"/>
  <c r="K710" i="5"/>
  <c r="J710" i="5"/>
  <c r="I710" i="5"/>
  <c r="H710" i="5"/>
  <c r="G710" i="5"/>
  <c r="F710" i="5"/>
  <c r="E710" i="5"/>
  <c r="D710" i="5"/>
  <c r="C710" i="5"/>
  <c r="B710" i="5"/>
  <c r="A710" i="5"/>
  <c r="M709" i="5"/>
  <c r="L709" i="5"/>
  <c r="K709" i="5"/>
  <c r="J709" i="5"/>
  <c r="I709" i="5"/>
  <c r="H709" i="5"/>
  <c r="G709" i="5"/>
  <c r="F709" i="5"/>
  <c r="E709" i="5"/>
  <c r="D709" i="5"/>
  <c r="C709" i="5"/>
  <c r="B709" i="5"/>
  <c r="A709" i="5"/>
  <c r="M708" i="5"/>
  <c r="L708" i="5"/>
  <c r="K708" i="5"/>
  <c r="J708" i="5"/>
  <c r="I708" i="5"/>
  <c r="H708" i="5"/>
  <c r="G708" i="5"/>
  <c r="F708" i="5"/>
  <c r="E708" i="5"/>
  <c r="D708" i="5"/>
  <c r="C708" i="5"/>
  <c r="B708" i="5"/>
  <c r="A708" i="5"/>
  <c r="M707" i="5"/>
  <c r="L707" i="5"/>
  <c r="K707" i="5"/>
  <c r="J707" i="5"/>
  <c r="I707" i="5"/>
  <c r="H707" i="5"/>
  <c r="G707" i="5"/>
  <c r="F707" i="5"/>
  <c r="E707" i="5"/>
  <c r="D707" i="5"/>
  <c r="C707" i="5"/>
  <c r="B707" i="5"/>
  <c r="A707" i="5"/>
  <c r="M706" i="5"/>
  <c r="L706" i="5"/>
  <c r="K706" i="5"/>
  <c r="J706" i="5"/>
  <c r="I706" i="5"/>
  <c r="H706" i="5"/>
  <c r="G706" i="5"/>
  <c r="F706" i="5"/>
  <c r="E706" i="5"/>
  <c r="D706" i="5"/>
  <c r="C706" i="5"/>
  <c r="B706" i="5"/>
  <c r="A706" i="5"/>
  <c r="M705" i="5"/>
  <c r="L705" i="5"/>
  <c r="K705" i="5"/>
  <c r="J705" i="5"/>
  <c r="I705" i="5"/>
  <c r="H705" i="5"/>
  <c r="G705" i="5"/>
  <c r="F705" i="5"/>
  <c r="E705" i="5"/>
  <c r="D705" i="5"/>
  <c r="C705" i="5"/>
  <c r="B705" i="5"/>
  <c r="A705" i="5"/>
  <c r="M704" i="5"/>
  <c r="L704" i="5"/>
  <c r="K704" i="5"/>
  <c r="J704" i="5"/>
  <c r="I704" i="5"/>
  <c r="H704" i="5"/>
  <c r="G704" i="5"/>
  <c r="F704" i="5"/>
  <c r="E704" i="5"/>
  <c r="D704" i="5"/>
  <c r="C704" i="5"/>
  <c r="B704" i="5"/>
  <c r="A704" i="5"/>
  <c r="M703" i="5"/>
  <c r="L703" i="5"/>
  <c r="K703" i="5"/>
  <c r="J703" i="5"/>
  <c r="I703" i="5"/>
  <c r="H703" i="5"/>
  <c r="G703" i="5"/>
  <c r="F703" i="5"/>
  <c r="E703" i="5"/>
  <c r="D703" i="5"/>
  <c r="C703" i="5"/>
  <c r="B703" i="5"/>
  <c r="A703" i="5"/>
  <c r="M702" i="5"/>
  <c r="L702" i="5"/>
  <c r="K702" i="5"/>
  <c r="J702" i="5"/>
  <c r="I702" i="5"/>
  <c r="H702" i="5"/>
  <c r="G702" i="5"/>
  <c r="F702" i="5"/>
  <c r="E702" i="5"/>
  <c r="D702" i="5"/>
  <c r="C702" i="5"/>
  <c r="B702" i="5"/>
  <c r="A702" i="5"/>
  <c r="M701" i="5"/>
  <c r="L701" i="5"/>
  <c r="K701" i="5"/>
  <c r="J701" i="5"/>
  <c r="I701" i="5"/>
  <c r="H701" i="5"/>
  <c r="G701" i="5"/>
  <c r="F701" i="5"/>
  <c r="E701" i="5"/>
  <c r="D701" i="5"/>
  <c r="C701" i="5"/>
  <c r="B701" i="5"/>
  <c r="A701" i="5"/>
  <c r="M700" i="5"/>
  <c r="L700" i="5"/>
  <c r="K700" i="5"/>
  <c r="J700" i="5"/>
  <c r="I700" i="5"/>
  <c r="H700" i="5"/>
  <c r="G700" i="5"/>
  <c r="F700" i="5"/>
  <c r="E700" i="5"/>
  <c r="D700" i="5"/>
  <c r="C700" i="5"/>
  <c r="B700" i="5"/>
  <c r="A700" i="5"/>
  <c r="M699" i="5"/>
  <c r="L699" i="5"/>
  <c r="K699" i="5"/>
  <c r="J699" i="5"/>
  <c r="I699" i="5"/>
  <c r="H699" i="5"/>
  <c r="G699" i="5"/>
  <c r="F699" i="5"/>
  <c r="E699" i="5"/>
  <c r="D699" i="5"/>
  <c r="C699" i="5"/>
  <c r="B699" i="5"/>
  <c r="A699" i="5"/>
  <c r="M698" i="5"/>
  <c r="L698" i="5"/>
  <c r="K698" i="5"/>
  <c r="J698" i="5"/>
  <c r="I698" i="5"/>
  <c r="H698" i="5"/>
  <c r="G698" i="5"/>
  <c r="F698" i="5"/>
  <c r="E698" i="5"/>
  <c r="D698" i="5"/>
  <c r="C698" i="5"/>
  <c r="B698" i="5"/>
  <c r="A698" i="5"/>
  <c r="M697" i="5"/>
  <c r="L697" i="5"/>
  <c r="K697" i="5"/>
  <c r="J697" i="5"/>
  <c r="I697" i="5"/>
  <c r="H697" i="5"/>
  <c r="G697" i="5"/>
  <c r="F697" i="5"/>
  <c r="E697" i="5"/>
  <c r="D697" i="5"/>
  <c r="C697" i="5"/>
  <c r="B697" i="5"/>
  <c r="A697" i="5"/>
  <c r="M696" i="5"/>
  <c r="L696" i="5"/>
  <c r="K696" i="5"/>
  <c r="J696" i="5"/>
  <c r="I696" i="5"/>
  <c r="H696" i="5"/>
  <c r="G696" i="5"/>
  <c r="F696" i="5"/>
  <c r="E696" i="5"/>
  <c r="D696" i="5"/>
  <c r="C696" i="5"/>
  <c r="B696" i="5"/>
  <c r="A696" i="5"/>
  <c r="M695" i="5"/>
  <c r="L695" i="5"/>
  <c r="K695" i="5"/>
  <c r="J695" i="5"/>
  <c r="I695" i="5"/>
  <c r="H695" i="5"/>
  <c r="G695" i="5"/>
  <c r="F695" i="5"/>
  <c r="E695" i="5"/>
  <c r="D695" i="5"/>
  <c r="C695" i="5"/>
  <c r="B695" i="5"/>
  <c r="A695" i="5"/>
  <c r="M694" i="5"/>
  <c r="L694" i="5"/>
  <c r="K694" i="5"/>
  <c r="J694" i="5"/>
  <c r="I694" i="5"/>
  <c r="H694" i="5"/>
  <c r="G694" i="5"/>
  <c r="F694" i="5"/>
  <c r="E694" i="5"/>
  <c r="D694" i="5"/>
  <c r="C694" i="5"/>
  <c r="B694" i="5"/>
  <c r="A694" i="5"/>
  <c r="M693" i="5"/>
  <c r="L693" i="5"/>
  <c r="K693" i="5"/>
  <c r="J693" i="5"/>
  <c r="I693" i="5"/>
  <c r="H693" i="5"/>
  <c r="G693" i="5"/>
  <c r="F693" i="5"/>
  <c r="E693" i="5"/>
  <c r="D693" i="5"/>
  <c r="C693" i="5"/>
  <c r="B693" i="5"/>
  <c r="A693" i="5"/>
  <c r="M692" i="5"/>
  <c r="L692" i="5"/>
  <c r="K692" i="5"/>
  <c r="J692" i="5"/>
  <c r="I692" i="5"/>
  <c r="H692" i="5"/>
  <c r="G692" i="5"/>
  <c r="F692" i="5"/>
  <c r="E692" i="5"/>
  <c r="D692" i="5"/>
  <c r="C692" i="5"/>
  <c r="B692" i="5"/>
  <c r="A692" i="5"/>
  <c r="M691" i="5"/>
  <c r="L691" i="5"/>
  <c r="K691" i="5"/>
  <c r="J691" i="5"/>
  <c r="I691" i="5"/>
  <c r="H691" i="5"/>
  <c r="G691" i="5"/>
  <c r="F691" i="5"/>
  <c r="E691" i="5"/>
  <c r="D691" i="5"/>
  <c r="C691" i="5"/>
  <c r="B691" i="5"/>
  <c r="A691" i="5"/>
  <c r="M690" i="5"/>
  <c r="L690" i="5"/>
  <c r="K690" i="5"/>
  <c r="J690" i="5"/>
  <c r="I690" i="5"/>
  <c r="H690" i="5"/>
  <c r="G690" i="5"/>
  <c r="F690" i="5"/>
  <c r="E690" i="5"/>
  <c r="D690" i="5"/>
  <c r="C690" i="5"/>
  <c r="B690" i="5"/>
  <c r="A690" i="5"/>
  <c r="M689" i="5"/>
  <c r="L689" i="5"/>
  <c r="K689" i="5"/>
  <c r="J689" i="5"/>
  <c r="I689" i="5"/>
  <c r="H689" i="5"/>
  <c r="G689" i="5"/>
  <c r="F689" i="5"/>
  <c r="E689" i="5"/>
  <c r="D689" i="5"/>
  <c r="C689" i="5"/>
  <c r="B689" i="5"/>
  <c r="A689" i="5"/>
  <c r="M688" i="5"/>
  <c r="L688" i="5"/>
  <c r="K688" i="5"/>
  <c r="J688" i="5"/>
  <c r="I688" i="5"/>
  <c r="H688" i="5"/>
  <c r="G688" i="5"/>
  <c r="F688" i="5"/>
  <c r="E688" i="5"/>
  <c r="D688" i="5"/>
  <c r="C688" i="5"/>
  <c r="B688" i="5"/>
  <c r="A688" i="5"/>
  <c r="M687" i="5"/>
  <c r="L687" i="5"/>
  <c r="K687" i="5"/>
  <c r="J687" i="5"/>
  <c r="I687" i="5"/>
  <c r="H687" i="5"/>
  <c r="G687" i="5"/>
  <c r="F687" i="5"/>
  <c r="D687" i="5"/>
  <c r="C687" i="5"/>
  <c r="B687" i="5"/>
  <c r="A687" i="5"/>
  <c r="M686" i="5"/>
  <c r="L686" i="5"/>
  <c r="K686" i="5"/>
  <c r="J686" i="5"/>
  <c r="I686" i="5"/>
  <c r="H686" i="5"/>
  <c r="G686" i="5"/>
  <c r="F686" i="5"/>
  <c r="D686" i="5"/>
  <c r="C686" i="5"/>
  <c r="B686" i="5"/>
  <c r="A686" i="5"/>
  <c r="M685" i="5"/>
  <c r="L685" i="5"/>
  <c r="K685" i="5"/>
  <c r="J685" i="5"/>
  <c r="I685" i="5"/>
  <c r="H685" i="5"/>
  <c r="G685" i="5"/>
  <c r="F685" i="5"/>
  <c r="E685" i="5"/>
  <c r="D685" i="5"/>
  <c r="C685" i="5"/>
  <c r="B685" i="5"/>
  <c r="A685" i="5"/>
  <c r="M684" i="5"/>
  <c r="L684" i="5"/>
  <c r="K684" i="5"/>
  <c r="J684" i="5"/>
  <c r="I684" i="5"/>
  <c r="H684" i="5"/>
  <c r="G684" i="5"/>
  <c r="F684" i="5"/>
  <c r="E684" i="5"/>
  <c r="D684" i="5"/>
  <c r="C684" i="5"/>
  <c r="B684" i="5"/>
  <c r="A684" i="5"/>
  <c r="M683" i="5"/>
  <c r="L683" i="5"/>
  <c r="K683" i="5"/>
  <c r="J683" i="5"/>
  <c r="I683" i="5"/>
  <c r="H683" i="5"/>
  <c r="G683" i="5"/>
  <c r="F683" i="5"/>
  <c r="E683" i="5"/>
  <c r="D683" i="5"/>
  <c r="C683" i="5"/>
  <c r="B683" i="5"/>
  <c r="A683" i="5"/>
  <c r="M682" i="5"/>
  <c r="L682" i="5"/>
  <c r="K682" i="5"/>
  <c r="J682" i="5"/>
  <c r="I682" i="5"/>
  <c r="H682" i="5"/>
  <c r="G682" i="5"/>
  <c r="F682" i="5"/>
  <c r="E682" i="5"/>
  <c r="D682" i="5"/>
  <c r="C682" i="5"/>
  <c r="B682" i="5"/>
  <c r="A682" i="5"/>
  <c r="M681" i="5"/>
  <c r="L681" i="5"/>
  <c r="K681" i="5"/>
  <c r="J681" i="5"/>
  <c r="I681" i="5"/>
  <c r="H681" i="5"/>
  <c r="G681" i="5"/>
  <c r="F681" i="5"/>
  <c r="E681" i="5"/>
  <c r="D681" i="5"/>
  <c r="C681" i="5"/>
  <c r="B681" i="5"/>
  <c r="A681" i="5"/>
  <c r="M680" i="5"/>
  <c r="L680" i="5"/>
  <c r="K680" i="5"/>
  <c r="J680" i="5"/>
  <c r="I680" i="5"/>
  <c r="H680" i="5"/>
  <c r="G680" i="5"/>
  <c r="F680" i="5"/>
  <c r="E680" i="5"/>
  <c r="D680" i="5"/>
  <c r="C680" i="5"/>
  <c r="B680" i="5"/>
  <c r="A680" i="5"/>
  <c r="M679" i="5"/>
  <c r="L679" i="5"/>
  <c r="K679" i="5"/>
  <c r="J679" i="5"/>
  <c r="I679" i="5"/>
  <c r="H679" i="5"/>
  <c r="G679" i="5"/>
  <c r="F679" i="5"/>
  <c r="E679" i="5"/>
  <c r="D679" i="5"/>
  <c r="C679" i="5"/>
  <c r="B679" i="5"/>
  <c r="A679" i="5"/>
  <c r="M678" i="5"/>
  <c r="L678" i="5"/>
  <c r="K678" i="5"/>
  <c r="J678" i="5"/>
  <c r="I678" i="5"/>
  <c r="H678" i="5"/>
  <c r="G678" i="5"/>
  <c r="F678" i="5"/>
  <c r="E678" i="5"/>
  <c r="D678" i="5"/>
  <c r="C678" i="5"/>
  <c r="B678" i="5"/>
  <c r="A678" i="5"/>
  <c r="M677" i="5"/>
  <c r="L677" i="5"/>
  <c r="K677" i="5"/>
  <c r="J677" i="5"/>
  <c r="I677" i="5"/>
  <c r="H677" i="5"/>
  <c r="G677" i="5"/>
  <c r="F677" i="5"/>
  <c r="E677" i="5"/>
  <c r="D677" i="5"/>
  <c r="C677" i="5"/>
  <c r="B677" i="5"/>
  <c r="A677" i="5"/>
  <c r="M676" i="5"/>
  <c r="L676" i="5"/>
  <c r="K676" i="5"/>
  <c r="J676" i="5"/>
  <c r="I676" i="5"/>
  <c r="H676" i="5"/>
  <c r="G676" i="5"/>
  <c r="F676" i="5"/>
  <c r="E676" i="5"/>
  <c r="D676" i="5"/>
  <c r="C676" i="5"/>
  <c r="B676" i="5"/>
  <c r="A676" i="5"/>
  <c r="M675" i="5"/>
  <c r="L675" i="5"/>
  <c r="K675" i="5"/>
  <c r="J675" i="5"/>
  <c r="I675" i="5"/>
  <c r="H675" i="5"/>
  <c r="G675" i="5"/>
  <c r="F675" i="5"/>
  <c r="E675" i="5"/>
  <c r="D675" i="5"/>
  <c r="C675" i="5"/>
  <c r="B675" i="5"/>
  <c r="A675" i="5"/>
  <c r="M674" i="5"/>
  <c r="L674" i="5"/>
  <c r="K674" i="5"/>
  <c r="J674" i="5"/>
  <c r="I674" i="5"/>
  <c r="H674" i="5"/>
  <c r="G674" i="5"/>
  <c r="F674" i="5"/>
  <c r="E674" i="5"/>
  <c r="D674" i="5"/>
  <c r="C674" i="5"/>
  <c r="B674" i="5"/>
  <c r="A674" i="5"/>
  <c r="M673" i="5"/>
  <c r="L673" i="5"/>
  <c r="K673" i="5"/>
  <c r="J673" i="5"/>
  <c r="I673" i="5"/>
  <c r="H673" i="5"/>
  <c r="G673" i="5"/>
  <c r="F673" i="5"/>
  <c r="E673" i="5"/>
  <c r="D673" i="5"/>
  <c r="C673" i="5"/>
  <c r="B673" i="5"/>
  <c r="A673" i="5"/>
  <c r="M672" i="5"/>
  <c r="L672" i="5"/>
  <c r="K672" i="5"/>
  <c r="J672" i="5"/>
  <c r="I672" i="5"/>
  <c r="H672" i="5"/>
  <c r="G672" i="5"/>
  <c r="F672" i="5"/>
  <c r="E672" i="5"/>
  <c r="D672" i="5"/>
  <c r="C672" i="5"/>
  <c r="B672" i="5"/>
  <c r="A672" i="5"/>
  <c r="M671" i="5"/>
  <c r="L671" i="5"/>
  <c r="K671" i="5"/>
  <c r="J671" i="5"/>
  <c r="I671" i="5"/>
  <c r="H671" i="5"/>
  <c r="G671" i="5"/>
  <c r="F671" i="5"/>
  <c r="E671" i="5"/>
  <c r="D671" i="5"/>
  <c r="C671" i="5"/>
  <c r="B671" i="5"/>
  <c r="A671" i="5"/>
  <c r="M670" i="5"/>
  <c r="L670" i="5"/>
  <c r="K670" i="5"/>
  <c r="J670" i="5"/>
  <c r="I670" i="5"/>
  <c r="H670" i="5"/>
  <c r="G670" i="5"/>
  <c r="F670" i="5"/>
  <c r="E670" i="5"/>
  <c r="D670" i="5"/>
  <c r="C670" i="5"/>
  <c r="B670" i="5"/>
  <c r="A670" i="5"/>
  <c r="M669" i="5"/>
  <c r="L669" i="5"/>
  <c r="K669" i="5"/>
  <c r="J669" i="5"/>
  <c r="I669" i="5"/>
  <c r="H669" i="5"/>
  <c r="G669" i="5"/>
  <c r="F669" i="5"/>
  <c r="E669" i="5"/>
  <c r="D669" i="5"/>
  <c r="C669" i="5"/>
  <c r="B669" i="5"/>
  <c r="A669" i="5"/>
  <c r="M668" i="5"/>
  <c r="L668" i="5"/>
  <c r="K668" i="5"/>
  <c r="J668" i="5"/>
  <c r="I668" i="5"/>
  <c r="H668" i="5"/>
  <c r="G668" i="5"/>
  <c r="F668" i="5"/>
  <c r="E668" i="5"/>
  <c r="D668" i="5"/>
  <c r="C668" i="5"/>
  <c r="B668" i="5"/>
  <c r="A668" i="5"/>
  <c r="M667" i="5"/>
  <c r="L667" i="5"/>
  <c r="K667" i="5"/>
  <c r="J667" i="5"/>
  <c r="I667" i="5"/>
  <c r="H667" i="5"/>
  <c r="G667" i="5"/>
  <c r="F667" i="5"/>
  <c r="E667" i="5"/>
  <c r="D667" i="5"/>
  <c r="C667" i="5"/>
  <c r="B667" i="5"/>
  <c r="A667" i="5"/>
  <c r="M666" i="5"/>
  <c r="L666" i="5"/>
  <c r="K666" i="5"/>
  <c r="J666" i="5"/>
  <c r="I666" i="5"/>
  <c r="H666" i="5"/>
  <c r="G666" i="5"/>
  <c r="F666" i="5"/>
  <c r="E666" i="5"/>
  <c r="D666" i="5"/>
  <c r="C666" i="5"/>
  <c r="B666" i="5"/>
  <c r="A666" i="5"/>
  <c r="M665" i="5"/>
  <c r="L665" i="5"/>
  <c r="K665" i="5"/>
  <c r="J665" i="5"/>
  <c r="I665" i="5"/>
  <c r="H665" i="5"/>
  <c r="G665" i="5"/>
  <c r="F665" i="5"/>
  <c r="D665" i="5"/>
  <c r="C665" i="5"/>
  <c r="B665" i="5"/>
  <c r="A665" i="5"/>
  <c r="M664" i="5"/>
  <c r="L664" i="5"/>
  <c r="K664" i="5"/>
  <c r="J664" i="5"/>
  <c r="I664" i="5"/>
  <c r="H664" i="5"/>
  <c r="G664" i="5"/>
  <c r="F664" i="5"/>
  <c r="D664" i="5"/>
  <c r="C664" i="5"/>
  <c r="B664" i="5"/>
  <c r="A664" i="5"/>
  <c r="M663" i="5"/>
  <c r="L663" i="5"/>
  <c r="K663" i="5"/>
  <c r="J663" i="5"/>
  <c r="I663" i="5"/>
  <c r="H663" i="5"/>
  <c r="G663" i="5"/>
  <c r="F663" i="5"/>
  <c r="E663" i="5"/>
  <c r="D663" i="5"/>
  <c r="C663" i="5"/>
  <c r="B663" i="5"/>
  <c r="A663" i="5"/>
  <c r="M662" i="5"/>
  <c r="L662" i="5"/>
  <c r="K662" i="5"/>
  <c r="J662" i="5"/>
  <c r="I662" i="5"/>
  <c r="H662" i="5"/>
  <c r="G662" i="5"/>
  <c r="F662" i="5"/>
  <c r="E662" i="5"/>
  <c r="D662" i="5"/>
  <c r="C662" i="5"/>
  <c r="B662" i="5"/>
  <c r="A662" i="5"/>
  <c r="M661" i="5"/>
  <c r="L661" i="5"/>
  <c r="K661" i="5"/>
  <c r="J661" i="5"/>
  <c r="I661" i="5"/>
  <c r="H661" i="5"/>
  <c r="G661" i="5"/>
  <c r="F661" i="5"/>
  <c r="E661" i="5"/>
  <c r="D661" i="5"/>
  <c r="C661" i="5"/>
  <c r="B661" i="5"/>
  <c r="A661" i="5"/>
  <c r="M660" i="5"/>
  <c r="L660" i="5"/>
  <c r="K660" i="5"/>
  <c r="J660" i="5"/>
  <c r="I660" i="5"/>
  <c r="H660" i="5"/>
  <c r="G660" i="5"/>
  <c r="F660" i="5"/>
  <c r="E660" i="5"/>
  <c r="D660" i="5"/>
  <c r="C660" i="5"/>
  <c r="B660" i="5"/>
  <c r="A660" i="5"/>
  <c r="M659" i="5"/>
  <c r="L659" i="5"/>
  <c r="K659" i="5"/>
  <c r="J659" i="5"/>
  <c r="I659" i="5"/>
  <c r="H659" i="5"/>
  <c r="G659" i="5"/>
  <c r="F659" i="5"/>
  <c r="E659" i="5"/>
  <c r="D659" i="5"/>
  <c r="C659" i="5"/>
  <c r="B659" i="5"/>
  <c r="A659" i="5"/>
  <c r="M658" i="5"/>
  <c r="L658" i="5"/>
  <c r="K658" i="5"/>
  <c r="J658" i="5"/>
  <c r="I658" i="5"/>
  <c r="H658" i="5"/>
  <c r="G658" i="5"/>
  <c r="F658" i="5"/>
  <c r="E658" i="5"/>
  <c r="D658" i="5"/>
  <c r="C658" i="5"/>
  <c r="B658" i="5"/>
  <c r="A658" i="5"/>
  <c r="M657" i="5"/>
  <c r="L657" i="5"/>
  <c r="K657" i="5"/>
  <c r="J657" i="5"/>
  <c r="I657" i="5"/>
  <c r="H657" i="5"/>
  <c r="G657" i="5"/>
  <c r="F657" i="5"/>
  <c r="E657" i="5"/>
  <c r="D657" i="5"/>
  <c r="C657" i="5"/>
  <c r="B657" i="5"/>
  <c r="A657" i="5"/>
  <c r="M656" i="5"/>
  <c r="L656" i="5"/>
  <c r="K656" i="5"/>
  <c r="J656" i="5"/>
  <c r="I656" i="5"/>
  <c r="H656" i="5"/>
  <c r="G656" i="5"/>
  <c r="F656" i="5"/>
  <c r="E656" i="5"/>
  <c r="D656" i="5"/>
  <c r="C656" i="5"/>
  <c r="B656" i="5"/>
  <c r="A656" i="5"/>
  <c r="M655" i="5"/>
  <c r="L655" i="5"/>
  <c r="K655" i="5"/>
  <c r="J655" i="5"/>
  <c r="I655" i="5"/>
  <c r="H655" i="5"/>
  <c r="G655" i="5"/>
  <c r="F655" i="5"/>
  <c r="E655" i="5"/>
  <c r="D655" i="5"/>
  <c r="C655" i="5"/>
  <c r="B655" i="5"/>
  <c r="A655" i="5"/>
  <c r="M654" i="5"/>
  <c r="L654" i="5"/>
  <c r="K654" i="5"/>
  <c r="J654" i="5"/>
  <c r="I654" i="5"/>
  <c r="H654" i="5"/>
  <c r="G654" i="5"/>
  <c r="F654" i="5"/>
  <c r="E654" i="5"/>
  <c r="D654" i="5"/>
  <c r="C654" i="5"/>
  <c r="B654" i="5"/>
  <c r="A654" i="5"/>
  <c r="M653" i="5"/>
  <c r="L653" i="5"/>
  <c r="K653" i="5"/>
  <c r="J653" i="5"/>
  <c r="I653" i="5"/>
  <c r="H653" i="5"/>
  <c r="G653" i="5"/>
  <c r="F653" i="5"/>
  <c r="E653" i="5"/>
  <c r="D653" i="5"/>
  <c r="C653" i="5"/>
  <c r="B653" i="5"/>
  <c r="A653" i="5"/>
  <c r="M652" i="5"/>
  <c r="L652" i="5"/>
  <c r="K652" i="5"/>
  <c r="J652" i="5"/>
  <c r="I652" i="5"/>
  <c r="H652" i="5"/>
  <c r="G652" i="5"/>
  <c r="F652" i="5"/>
  <c r="E652" i="5"/>
  <c r="D652" i="5"/>
  <c r="C652" i="5"/>
  <c r="B652" i="5"/>
  <c r="A652" i="5"/>
  <c r="M651" i="5"/>
  <c r="L651" i="5"/>
  <c r="K651" i="5"/>
  <c r="J651" i="5"/>
  <c r="I651" i="5"/>
  <c r="H651" i="5"/>
  <c r="G651" i="5"/>
  <c r="F651" i="5"/>
  <c r="E651" i="5"/>
  <c r="D651" i="5"/>
  <c r="C651" i="5"/>
  <c r="B651" i="5"/>
  <c r="A651" i="5"/>
  <c r="M650" i="5"/>
  <c r="L650" i="5"/>
  <c r="K650" i="5"/>
  <c r="J650" i="5"/>
  <c r="I650" i="5"/>
  <c r="H650" i="5"/>
  <c r="G650" i="5"/>
  <c r="F650" i="5"/>
  <c r="E650" i="5"/>
  <c r="D650" i="5"/>
  <c r="C650" i="5"/>
  <c r="B650" i="5"/>
  <c r="A650" i="5"/>
  <c r="M649" i="5"/>
  <c r="L649" i="5"/>
  <c r="K649" i="5"/>
  <c r="J649" i="5"/>
  <c r="I649" i="5"/>
  <c r="H649" i="5"/>
  <c r="G649" i="5"/>
  <c r="F649" i="5"/>
  <c r="E649" i="5"/>
  <c r="D649" i="5"/>
  <c r="C649" i="5"/>
  <c r="B649" i="5"/>
  <c r="A649" i="5"/>
  <c r="M648" i="5"/>
  <c r="L648" i="5"/>
  <c r="K648" i="5"/>
  <c r="J648" i="5"/>
  <c r="I648" i="5"/>
  <c r="H648" i="5"/>
  <c r="G648" i="5"/>
  <c r="F648" i="5"/>
  <c r="E648" i="5"/>
  <c r="D648" i="5"/>
  <c r="C648" i="5"/>
  <c r="B648" i="5"/>
  <c r="A648" i="5"/>
  <c r="M647" i="5"/>
  <c r="L647" i="5"/>
  <c r="K647" i="5"/>
  <c r="J647" i="5"/>
  <c r="I647" i="5"/>
  <c r="H647" i="5"/>
  <c r="G647" i="5"/>
  <c r="F647" i="5"/>
  <c r="E647" i="5"/>
  <c r="D647" i="5"/>
  <c r="C647" i="5"/>
  <c r="B647" i="5"/>
  <c r="A647" i="5"/>
  <c r="M646" i="5"/>
  <c r="L646" i="5"/>
  <c r="K646" i="5"/>
  <c r="J646" i="5"/>
  <c r="I646" i="5"/>
  <c r="H646" i="5"/>
  <c r="G646" i="5"/>
  <c r="F646" i="5"/>
  <c r="E646" i="5"/>
  <c r="D646" i="5"/>
  <c r="C646" i="5"/>
  <c r="B646" i="5"/>
  <c r="A646" i="5"/>
  <c r="M645" i="5"/>
  <c r="L645" i="5"/>
  <c r="K645" i="5"/>
  <c r="J645" i="5"/>
  <c r="I645" i="5"/>
  <c r="H645" i="5"/>
  <c r="G645" i="5"/>
  <c r="F645" i="5"/>
  <c r="E645" i="5"/>
  <c r="D645" i="5"/>
  <c r="C645" i="5"/>
  <c r="B645" i="5"/>
  <c r="A645" i="5"/>
  <c r="M644" i="5"/>
  <c r="L644" i="5"/>
  <c r="K644" i="5"/>
  <c r="J644" i="5"/>
  <c r="I644" i="5"/>
  <c r="H644" i="5"/>
  <c r="G644" i="5"/>
  <c r="F644" i="5"/>
  <c r="E644" i="5"/>
  <c r="D644" i="5"/>
  <c r="C644" i="5"/>
  <c r="B644" i="5"/>
  <c r="A644" i="5"/>
  <c r="M643" i="5"/>
  <c r="L643" i="5"/>
  <c r="K643" i="5"/>
  <c r="J643" i="5"/>
  <c r="I643" i="5"/>
  <c r="H643" i="5"/>
  <c r="G643" i="5"/>
  <c r="F643" i="5"/>
  <c r="E643" i="5"/>
  <c r="D643" i="5"/>
  <c r="C643" i="5"/>
  <c r="B643" i="5"/>
  <c r="A643" i="5"/>
  <c r="M642" i="5"/>
  <c r="L642" i="5"/>
  <c r="K642" i="5"/>
  <c r="J642" i="5"/>
  <c r="I642" i="5"/>
  <c r="H642" i="5"/>
  <c r="G642" i="5"/>
  <c r="F642" i="5"/>
  <c r="E642" i="5"/>
  <c r="D642" i="5"/>
  <c r="C642" i="5"/>
  <c r="B642" i="5"/>
  <c r="A642" i="5"/>
  <c r="M641" i="5"/>
  <c r="L641" i="5"/>
  <c r="K641" i="5"/>
  <c r="J641" i="5"/>
  <c r="I641" i="5"/>
  <c r="H641" i="5"/>
  <c r="G641" i="5"/>
  <c r="F641" i="5"/>
  <c r="E641" i="5"/>
  <c r="D641" i="5"/>
  <c r="C641" i="5"/>
  <c r="B641" i="5"/>
  <c r="A641" i="5"/>
  <c r="M640" i="5"/>
  <c r="L640" i="5"/>
  <c r="K640" i="5"/>
  <c r="J640" i="5"/>
  <c r="I640" i="5"/>
  <c r="H640" i="5"/>
  <c r="G640" i="5"/>
  <c r="F640" i="5"/>
  <c r="E640" i="5"/>
  <c r="D640" i="5"/>
  <c r="C640" i="5"/>
  <c r="B640" i="5"/>
  <c r="A640" i="5"/>
  <c r="M639" i="5"/>
  <c r="L639" i="5"/>
  <c r="K639" i="5"/>
  <c r="J639" i="5"/>
  <c r="I639" i="5"/>
  <c r="H639" i="5"/>
  <c r="G639" i="5"/>
  <c r="F639" i="5"/>
  <c r="E639" i="5"/>
  <c r="D639" i="5"/>
  <c r="C639" i="5"/>
  <c r="B639" i="5"/>
  <c r="A639" i="5"/>
  <c r="M638" i="5"/>
  <c r="L638" i="5"/>
  <c r="K638" i="5"/>
  <c r="J638" i="5"/>
  <c r="I638" i="5"/>
  <c r="H638" i="5"/>
  <c r="G638" i="5"/>
  <c r="F638" i="5"/>
  <c r="E638" i="5"/>
  <c r="D638" i="5"/>
  <c r="C638" i="5"/>
  <c r="B638" i="5"/>
  <c r="A638" i="5"/>
  <c r="M637" i="5"/>
  <c r="L637" i="5"/>
  <c r="K637" i="5"/>
  <c r="J637" i="5"/>
  <c r="I637" i="5"/>
  <c r="H637" i="5"/>
  <c r="G637" i="5"/>
  <c r="F637" i="5"/>
  <c r="D637" i="5"/>
  <c r="C637" i="5"/>
  <c r="B637" i="5"/>
  <c r="A637" i="5"/>
  <c r="M636" i="5"/>
  <c r="L636" i="5"/>
  <c r="K636" i="5"/>
  <c r="J636" i="5"/>
  <c r="I636" i="5"/>
  <c r="H636" i="5"/>
  <c r="G636" i="5"/>
  <c r="F636" i="5"/>
  <c r="E636" i="5"/>
  <c r="D636" i="5"/>
  <c r="C636" i="5"/>
  <c r="B636" i="5"/>
  <c r="A636" i="5"/>
  <c r="M635" i="5"/>
  <c r="L635" i="5"/>
  <c r="K635" i="5"/>
  <c r="J635" i="5"/>
  <c r="I635" i="5"/>
  <c r="H635" i="5"/>
  <c r="G635" i="5"/>
  <c r="F635" i="5"/>
  <c r="E635" i="5"/>
  <c r="D635" i="5"/>
  <c r="C635" i="5"/>
  <c r="B635" i="5"/>
  <c r="A635" i="5"/>
  <c r="M634" i="5"/>
  <c r="L634" i="5"/>
  <c r="K634" i="5"/>
  <c r="J634" i="5"/>
  <c r="I634" i="5"/>
  <c r="H634" i="5"/>
  <c r="G634" i="5"/>
  <c r="F634" i="5"/>
  <c r="E634" i="5"/>
  <c r="D634" i="5"/>
  <c r="C634" i="5"/>
  <c r="B634" i="5"/>
  <c r="A634" i="5"/>
  <c r="M633" i="5"/>
  <c r="L633" i="5"/>
  <c r="K633" i="5"/>
  <c r="J633" i="5"/>
  <c r="I633" i="5"/>
  <c r="H633" i="5"/>
  <c r="G633" i="5"/>
  <c r="F633" i="5"/>
  <c r="D633" i="5"/>
  <c r="C633" i="5"/>
  <c r="B633" i="5"/>
  <c r="A633" i="5"/>
  <c r="M632" i="5"/>
  <c r="L632" i="5"/>
  <c r="K632" i="5"/>
  <c r="J632" i="5"/>
  <c r="I632" i="5"/>
  <c r="H632" i="5"/>
  <c r="G632" i="5"/>
  <c r="F632" i="5"/>
  <c r="E632" i="5"/>
  <c r="D632" i="5"/>
  <c r="C632" i="5"/>
  <c r="B632" i="5"/>
  <c r="A632" i="5"/>
  <c r="M631" i="5"/>
  <c r="L631" i="5"/>
  <c r="K631" i="5"/>
  <c r="J631" i="5"/>
  <c r="I631" i="5"/>
  <c r="H631" i="5"/>
  <c r="G631" i="5"/>
  <c r="F631" i="5"/>
  <c r="E631" i="5"/>
  <c r="D631" i="5"/>
  <c r="C631" i="5"/>
  <c r="B631" i="5"/>
  <c r="A631" i="5"/>
  <c r="M630" i="5"/>
  <c r="L630" i="5"/>
  <c r="K630" i="5"/>
  <c r="J630" i="5"/>
  <c r="I630" i="5"/>
  <c r="H630" i="5"/>
  <c r="G630" i="5"/>
  <c r="F630" i="5"/>
  <c r="E630" i="5"/>
  <c r="D630" i="5"/>
  <c r="C630" i="5"/>
  <c r="B630" i="5"/>
  <c r="A630" i="5"/>
  <c r="M629" i="5"/>
  <c r="L629" i="5"/>
  <c r="K629" i="5"/>
  <c r="J629" i="5"/>
  <c r="I629" i="5"/>
  <c r="H629" i="5"/>
  <c r="G629" i="5"/>
  <c r="F629" i="5"/>
  <c r="E629" i="5"/>
  <c r="D629" i="5"/>
  <c r="C629" i="5"/>
  <c r="B629" i="5"/>
  <c r="A629" i="5"/>
  <c r="M628" i="5"/>
  <c r="L628" i="5"/>
  <c r="K628" i="5"/>
  <c r="J628" i="5"/>
  <c r="I628" i="5"/>
  <c r="H628" i="5"/>
  <c r="G628" i="5"/>
  <c r="F628" i="5"/>
  <c r="D628" i="5"/>
  <c r="C628" i="5"/>
  <c r="B628" i="5"/>
  <c r="A628" i="5"/>
  <c r="M627" i="5"/>
  <c r="L627" i="5"/>
  <c r="K627" i="5"/>
  <c r="J627" i="5"/>
  <c r="I627" i="5"/>
  <c r="H627" i="5"/>
  <c r="G627" i="5"/>
  <c r="F627" i="5"/>
  <c r="E627" i="5"/>
  <c r="D627" i="5"/>
  <c r="C627" i="5"/>
  <c r="B627" i="5"/>
  <c r="A627" i="5"/>
  <c r="M626" i="5"/>
  <c r="L626" i="5"/>
  <c r="K626" i="5"/>
  <c r="J626" i="5"/>
  <c r="I626" i="5"/>
  <c r="H626" i="5"/>
  <c r="G626" i="5"/>
  <c r="F626" i="5"/>
  <c r="E626" i="5"/>
  <c r="D626" i="5"/>
  <c r="C626" i="5"/>
  <c r="B626" i="5"/>
  <c r="A626" i="5"/>
  <c r="M625" i="5"/>
  <c r="L625" i="5"/>
  <c r="K625" i="5"/>
  <c r="J625" i="5"/>
  <c r="I625" i="5"/>
  <c r="H625" i="5"/>
  <c r="G625" i="5"/>
  <c r="F625" i="5"/>
  <c r="E625" i="5"/>
  <c r="D625" i="5"/>
  <c r="C625" i="5"/>
  <c r="B625" i="5"/>
  <c r="A625" i="5"/>
  <c r="M624" i="5"/>
  <c r="L624" i="5"/>
  <c r="K624" i="5"/>
  <c r="J624" i="5"/>
  <c r="I624" i="5"/>
  <c r="H624" i="5"/>
  <c r="G624" i="5"/>
  <c r="F624" i="5"/>
  <c r="E624" i="5"/>
  <c r="D624" i="5"/>
  <c r="C624" i="5"/>
  <c r="B624" i="5"/>
  <c r="A624" i="5"/>
  <c r="M623" i="5"/>
  <c r="L623" i="5"/>
  <c r="K623" i="5"/>
  <c r="J623" i="5"/>
  <c r="I623" i="5"/>
  <c r="H623" i="5"/>
  <c r="G623" i="5"/>
  <c r="F623" i="5"/>
  <c r="E623" i="5"/>
  <c r="D623" i="5"/>
  <c r="C623" i="5"/>
  <c r="B623" i="5"/>
  <c r="A623" i="5"/>
  <c r="M622" i="5"/>
  <c r="L622" i="5"/>
  <c r="K622" i="5"/>
  <c r="J622" i="5"/>
  <c r="I622" i="5"/>
  <c r="H622" i="5"/>
  <c r="G622" i="5"/>
  <c r="F622" i="5"/>
  <c r="E622" i="5"/>
  <c r="D622" i="5"/>
  <c r="C622" i="5"/>
  <c r="B622" i="5"/>
  <c r="A622" i="5"/>
  <c r="M621" i="5"/>
  <c r="L621" i="5"/>
  <c r="K621" i="5"/>
  <c r="J621" i="5"/>
  <c r="I621" i="5"/>
  <c r="H621" i="5"/>
  <c r="G621" i="5"/>
  <c r="F621" i="5"/>
  <c r="E621" i="5"/>
  <c r="D621" i="5"/>
  <c r="C621" i="5"/>
  <c r="B621" i="5"/>
  <c r="A621" i="5"/>
  <c r="M620" i="5"/>
  <c r="L620" i="5"/>
  <c r="K620" i="5"/>
  <c r="J620" i="5"/>
  <c r="I620" i="5"/>
  <c r="H620" i="5"/>
  <c r="G620" i="5"/>
  <c r="F620" i="5"/>
  <c r="E620" i="5"/>
  <c r="D620" i="5"/>
  <c r="C620" i="5"/>
  <c r="B620" i="5"/>
  <c r="A620" i="5"/>
  <c r="M619" i="5"/>
  <c r="L619" i="5"/>
  <c r="K619" i="5"/>
  <c r="J619" i="5"/>
  <c r="I619" i="5"/>
  <c r="H619" i="5"/>
  <c r="G619" i="5"/>
  <c r="F619" i="5"/>
  <c r="E619" i="5"/>
  <c r="D619" i="5"/>
  <c r="C619" i="5"/>
  <c r="B619" i="5"/>
  <c r="A619" i="5"/>
  <c r="M618" i="5"/>
  <c r="L618" i="5"/>
  <c r="K618" i="5"/>
  <c r="J618" i="5"/>
  <c r="I618" i="5"/>
  <c r="H618" i="5"/>
  <c r="G618" i="5"/>
  <c r="F618" i="5"/>
  <c r="E618" i="5"/>
  <c r="D618" i="5"/>
  <c r="C618" i="5"/>
  <c r="B618" i="5"/>
  <c r="A618" i="5"/>
  <c r="M617" i="5"/>
  <c r="L617" i="5"/>
  <c r="K617" i="5"/>
  <c r="J617" i="5"/>
  <c r="I617" i="5"/>
  <c r="H617" i="5"/>
  <c r="G617" i="5"/>
  <c r="F617" i="5"/>
  <c r="E617" i="5"/>
  <c r="D617" i="5"/>
  <c r="C617" i="5"/>
  <c r="B617" i="5"/>
  <c r="A617" i="5"/>
  <c r="M616" i="5"/>
  <c r="L616" i="5"/>
  <c r="K616" i="5"/>
  <c r="J616" i="5"/>
  <c r="I616" i="5"/>
  <c r="H616" i="5"/>
  <c r="G616" i="5"/>
  <c r="F616" i="5"/>
  <c r="E616" i="5"/>
  <c r="D616" i="5"/>
  <c r="C616" i="5"/>
  <c r="B616" i="5"/>
  <c r="A616" i="5"/>
  <c r="M615" i="5"/>
  <c r="L615" i="5"/>
  <c r="K615" i="5"/>
  <c r="J615" i="5"/>
  <c r="I615" i="5"/>
  <c r="H615" i="5"/>
  <c r="G615" i="5"/>
  <c r="F615" i="5"/>
  <c r="E615" i="5"/>
  <c r="D615" i="5"/>
  <c r="C615" i="5"/>
  <c r="B615" i="5"/>
  <c r="A615" i="5"/>
  <c r="M614" i="5"/>
  <c r="L614" i="5"/>
  <c r="K614" i="5"/>
  <c r="J614" i="5"/>
  <c r="I614" i="5"/>
  <c r="H614" i="5"/>
  <c r="G614" i="5"/>
  <c r="F614" i="5"/>
  <c r="E614" i="5"/>
  <c r="D614" i="5"/>
  <c r="C614" i="5"/>
  <c r="B614" i="5"/>
  <c r="A614" i="5"/>
  <c r="M613" i="5"/>
  <c r="L613" i="5"/>
  <c r="K613" i="5"/>
  <c r="J613" i="5"/>
  <c r="I613" i="5"/>
  <c r="H613" i="5"/>
  <c r="G613" i="5"/>
  <c r="F613" i="5"/>
  <c r="E613" i="5"/>
  <c r="D613" i="5"/>
  <c r="C613" i="5"/>
  <c r="B613" i="5"/>
  <c r="A613" i="5"/>
  <c r="M612" i="5"/>
  <c r="L612" i="5"/>
  <c r="K612" i="5"/>
  <c r="J612" i="5"/>
  <c r="I612" i="5"/>
  <c r="H612" i="5"/>
  <c r="G612" i="5"/>
  <c r="F612" i="5"/>
  <c r="E612" i="5"/>
  <c r="D612" i="5"/>
  <c r="C612" i="5"/>
  <c r="B612" i="5"/>
  <c r="A612" i="5"/>
  <c r="M611" i="5"/>
  <c r="L611" i="5"/>
  <c r="K611" i="5"/>
  <c r="J611" i="5"/>
  <c r="I611" i="5"/>
  <c r="H611" i="5"/>
  <c r="G611" i="5"/>
  <c r="F611" i="5"/>
  <c r="E611" i="5"/>
  <c r="D611" i="5"/>
  <c r="C611" i="5"/>
  <c r="B611" i="5"/>
  <c r="A611" i="5"/>
  <c r="M610" i="5"/>
  <c r="L610" i="5"/>
  <c r="K610" i="5"/>
  <c r="J610" i="5"/>
  <c r="I610" i="5"/>
  <c r="H610" i="5"/>
  <c r="G610" i="5"/>
  <c r="F610" i="5"/>
  <c r="E610" i="5"/>
  <c r="D610" i="5"/>
  <c r="C610" i="5"/>
  <c r="B610" i="5"/>
  <c r="A610" i="5"/>
  <c r="M609" i="5"/>
  <c r="L609" i="5"/>
  <c r="K609" i="5"/>
  <c r="J609" i="5"/>
  <c r="I609" i="5"/>
  <c r="H609" i="5"/>
  <c r="G609" i="5"/>
  <c r="F609" i="5"/>
  <c r="E609" i="5"/>
  <c r="D609" i="5"/>
  <c r="C609" i="5"/>
  <c r="B609" i="5"/>
  <c r="A609" i="5"/>
  <c r="M608" i="5"/>
  <c r="L608" i="5"/>
  <c r="K608" i="5"/>
  <c r="J608" i="5"/>
  <c r="I608" i="5"/>
  <c r="H608" i="5"/>
  <c r="G608" i="5"/>
  <c r="F608" i="5"/>
  <c r="E608" i="5"/>
  <c r="D608" i="5"/>
  <c r="C608" i="5"/>
  <c r="B608" i="5"/>
  <c r="A608" i="5"/>
  <c r="M607" i="5"/>
  <c r="L607" i="5"/>
  <c r="K607" i="5"/>
  <c r="J607" i="5"/>
  <c r="I607" i="5"/>
  <c r="H607" i="5"/>
  <c r="G607" i="5"/>
  <c r="F607" i="5"/>
  <c r="E607" i="5"/>
  <c r="D607" i="5"/>
  <c r="C607" i="5"/>
  <c r="B607" i="5"/>
  <c r="A607" i="5"/>
  <c r="M606" i="5"/>
  <c r="L606" i="5"/>
  <c r="K606" i="5"/>
  <c r="J606" i="5"/>
  <c r="I606" i="5"/>
  <c r="H606" i="5"/>
  <c r="G606" i="5"/>
  <c r="F606" i="5"/>
  <c r="E606" i="5"/>
  <c r="D606" i="5"/>
  <c r="C606" i="5"/>
  <c r="B606" i="5"/>
  <c r="A606" i="5"/>
  <c r="M605" i="5"/>
  <c r="L605" i="5"/>
  <c r="K605" i="5"/>
  <c r="J605" i="5"/>
  <c r="I605" i="5"/>
  <c r="H605" i="5"/>
  <c r="G605" i="5"/>
  <c r="F605" i="5"/>
  <c r="E605" i="5"/>
  <c r="D605" i="5"/>
  <c r="C605" i="5"/>
  <c r="B605" i="5"/>
  <c r="A605" i="5"/>
  <c r="M604" i="5"/>
  <c r="L604" i="5"/>
  <c r="K604" i="5"/>
  <c r="J604" i="5"/>
  <c r="I604" i="5"/>
  <c r="H604" i="5"/>
  <c r="G604" i="5"/>
  <c r="F604" i="5"/>
  <c r="E604" i="5"/>
  <c r="D604" i="5"/>
  <c r="C604" i="5"/>
  <c r="B604" i="5"/>
  <c r="A604" i="5"/>
  <c r="M603" i="5"/>
  <c r="L603" i="5"/>
  <c r="K603" i="5"/>
  <c r="J603" i="5"/>
  <c r="I603" i="5"/>
  <c r="H603" i="5"/>
  <c r="G603" i="5"/>
  <c r="F603" i="5"/>
  <c r="E603" i="5"/>
  <c r="D603" i="5"/>
  <c r="C603" i="5"/>
  <c r="B603" i="5"/>
  <c r="A603" i="5"/>
  <c r="M602" i="5"/>
  <c r="L602" i="5"/>
  <c r="K602" i="5"/>
  <c r="J602" i="5"/>
  <c r="I602" i="5"/>
  <c r="H602" i="5"/>
  <c r="G602" i="5"/>
  <c r="F602" i="5"/>
  <c r="E602" i="5"/>
  <c r="D602" i="5"/>
  <c r="C602" i="5"/>
  <c r="B602" i="5"/>
  <c r="A602" i="5"/>
  <c r="M601" i="5"/>
  <c r="L601" i="5"/>
  <c r="K601" i="5"/>
  <c r="J601" i="5"/>
  <c r="I601" i="5"/>
  <c r="H601" i="5"/>
  <c r="G601" i="5"/>
  <c r="F601" i="5"/>
  <c r="E601" i="5"/>
  <c r="D601" i="5"/>
  <c r="C601" i="5"/>
  <c r="B601" i="5"/>
  <c r="A601" i="5"/>
  <c r="M600" i="5"/>
  <c r="L600" i="5"/>
  <c r="K600" i="5"/>
  <c r="J600" i="5"/>
  <c r="I600" i="5"/>
  <c r="H600" i="5"/>
  <c r="G600" i="5"/>
  <c r="F600" i="5"/>
  <c r="E600" i="5"/>
  <c r="D600" i="5"/>
  <c r="C600" i="5"/>
  <c r="B600" i="5"/>
  <c r="A600" i="5"/>
  <c r="M599" i="5"/>
  <c r="L599" i="5"/>
  <c r="K599" i="5"/>
  <c r="J599" i="5"/>
  <c r="I599" i="5"/>
  <c r="H599" i="5"/>
  <c r="G599" i="5"/>
  <c r="F599" i="5"/>
  <c r="E599" i="5"/>
  <c r="D599" i="5"/>
  <c r="C599" i="5"/>
  <c r="B599" i="5"/>
  <c r="A599" i="5"/>
  <c r="M598" i="5"/>
  <c r="L598" i="5"/>
  <c r="K598" i="5"/>
  <c r="J598" i="5"/>
  <c r="I598" i="5"/>
  <c r="H598" i="5"/>
  <c r="G598" i="5"/>
  <c r="F598" i="5"/>
  <c r="E598" i="5"/>
  <c r="D598" i="5"/>
  <c r="C598" i="5"/>
  <c r="B598" i="5"/>
  <c r="A598" i="5"/>
  <c r="M597" i="5"/>
  <c r="L597" i="5"/>
  <c r="K597" i="5"/>
  <c r="J597" i="5"/>
  <c r="I597" i="5"/>
  <c r="H597" i="5"/>
  <c r="G597" i="5"/>
  <c r="F597" i="5"/>
  <c r="E597" i="5"/>
  <c r="D597" i="5"/>
  <c r="C597" i="5"/>
  <c r="B597" i="5"/>
  <c r="A597" i="5"/>
  <c r="M596" i="5"/>
  <c r="L596" i="5"/>
  <c r="K596" i="5"/>
  <c r="J596" i="5"/>
  <c r="I596" i="5"/>
  <c r="H596" i="5"/>
  <c r="G596" i="5"/>
  <c r="F596" i="5"/>
  <c r="E596" i="5"/>
  <c r="D596" i="5"/>
  <c r="C596" i="5"/>
  <c r="B596" i="5"/>
  <c r="A596" i="5"/>
  <c r="M595" i="5"/>
  <c r="L595" i="5"/>
  <c r="K595" i="5"/>
  <c r="J595" i="5"/>
  <c r="I595" i="5"/>
  <c r="H595" i="5"/>
  <c r="G595" i="5"/>
  <c r="F595" i="5"/>
  <c r="E595" i="5"/>
  <c r="D595" i="5"/>
  <c r="C595" i="5"/>
  <c r="B595" i="5"/>
  <c r="A595" i="5"/>
  <c r="M594" i="5"/>
  <c r="L594" i="5"/>
  <c r="K594" i="5"/>
  <c r="J594" i="5"/>
  <c r="I594" i="5"/>
  <c r="H594" i="5"/>
  <c r="G594" i="5"/>
  <c r="F594" i="5"/>
  <c r="E594" i="5"/>
  <c r="D594" i="5"/>
  <c r="C594" i="5"/>
  <c r="B594" i="5"/>
  <c r="A594" i="5"/>
  <c r="M593" i="5"/>
  <c r="L593" i="5"/>
  <c r="K593" i="5"/>
  <c r="J593" i="5"/>
  <c r="I593" i="5"/>
  <c r="H593" i="5"/>
  <c r="G593" i="5"/>
  <c r="F593" i="5"/>
  <c r="E593" i="5"/>
  <c r="D593" i="5"/>
  <c r="C593" i="5"/>
  <c r="B593" i="5"/>
  <c r="A593" i="5"/>
  <c r="M592" i="5"/>
  <c r="L592" i="5"/>
  <c r="K592" i="5"/>
  <c r="J592" i="5"/>
  <c r="I592" i="5"/>
  <c r="H592" i="5"/>
  <c r="G592" i="5"/>
  <c r="F592" i="5"/>
  <c r="E592" i="5"/>
  <c r="D592" i="5"/>
  <c r="C592" i="5"/>
  <c r="B592" i="5"/>
  <c r="A592" i="5"/>
  <c r="M591" i="5"/>
  <c r="L591" i="5"/>
  <c r="K591" i="5"/>
  <c r="J591" i="5"/>
  <c r="I591" i="5"/>
  <c r="H591" i="5"/>
  <c r="G591" i="5"/>
  <c r="F591" i="5"/>
  <c r="E591" i="5"/>
  <c r="D591" i="5"/>
  <c r="C591" i="5"/>
  <c r="B591" i="5"/>
  <c r="A591" i="5"/>
  <c r="M590" i="5"/>
  <c r="L590" i="5"/>
  <c r="K590" i="5"/>
  <c r="J590" i="5"/>
  <c r="I590" i="5"/>
  <c r="H590" i="5"/>
  <c r="G590" i="5"/>
  <c r="F590" i="5"/>
  <c r="E590" i="5"/>
  <c r="D590" i="5"/>
  <c r="C590" i="5"/>
  <c r="B590" i="5"/>
  <c r="A590" i="5"/>
  <c r="M589" i="5"/>
  <c r="L589" i="5"/>
  <c r="K589" i="5"/>
  <c r="J589" i="5"/>
  <c r="I589" i="5"/>
  <c r="H589" i="5"/>
  <c r="G589" i="5"/>
  <c r="F589" i="5"/>
  <c r="E589" i="5"/>
  <c r="D589" i="5"/>
  <c r="C589" i="5"/>
  <c r="B589" i="5"/>
  <c r="A589" i="5"/>
  <c r="M588" i="5"/>
  <c r="L588" i="5"/>
  <c r="K588" i="5"/>
  <c r="J588" i="5"/>
  <c r="I588" i="5"/>
  <c r="H588" i="5"/>
  <c r="G588" i="5"/>
  <c r="F588" i="5"/>
  <c r="E588" i="5"/>
  <c r="D588" i="5"/>
  <c r="C588" i="5"/>
  <c r="B588" i="5"/>
  <c r="A588" i="5"/>
  <c r="M587" i="5"/>
  <c r="L587" i="5"/>
  <c r="K587" i="5"/>
  <c r="J587" i="5"/>
  <c r="I587" i="5"/>
  <c r="H587" i="5"/>
  <c r="G587" i="5"/>
  <c r="F587" i="5"/>
  <c r="E587" i="5"/>
  <c r="D587" i="5"/>
  <c r="C587" i="5"/>
  <c r="B587" i="5"/>
  <c r="A587" i="5"/>
  <c r="M586" i="5"/>
  <c r="L586" i="5"/>
  <c r="K586" i="5"/>
  <c r="J586" i="5"/>
  <c r="I586" i="5"/>
  <c r="H586" i="5"/>
  <c r="G586" i="5"/>
  <c r="F586" i="5"/>
  <c r="E586" i="5"/>
  <c r="D586" i="5"/>
  <c r="C586" i="5"/>
  <c r="B586" i="5"/>
  <c r="A586" i="5"/>
  <c r="M585" i="5"/>
  <c r="L585" i="5"/>
  <c r="K585" i="5"/>
  <c r="J585" i="5"/>
  <c r="I585" i="5"/>
  <c r="H585" i="5"/>
  <c r="G585" i="5"/>
  <c r="F585" i="5"/>
  <c r="E585" i="5"/>
  <c r="D585" i="5"/>
  <c r="C585" i="5"/>
  <c r="B585" i="5"/>
  <c r="A585" i="5"/>
  <c r="M584" i="5"/>
  <c r="L584" i="5"/>
  <c r="K584" i="5"/>
  <c r="J584" i="5"/>
  <c r="I584" i="5"/>
  <c r="H584" i="5"/>
  <c r="G584" i="5"/>
  <c r="F584" i="5"/>
  <c r="E584" i="5"/>
  <c r="D584" i="5"/>
  <c r="C584" i="5"/>
  <c r="B584" i="5"/>
  <c r="A584" i="5"/>
  <c r="M583" i="5"/>
  <c r="L583" i="5"/>
  <c r="K583" i="5"/>
  <c r="J583" i="5"/>
  <c r="I583" i="5"/>
  <c r="H583" i="5"/>
  <c r="G583" i="5"/>
  <c r="F583" i="5"/>
  <c r="E583" i="5"/>
  <c r="D583" i="5"/>
  <c r="C583" i="5"/>
  <c r="B583" i="5"/>
  <c r="A583" i="5"/>
  <c r="M582" i="5"/>
  <c r="L582" i="5"/>
  <c r="K582" i="5"/>
  <c r="J582" i="5"/>
  <c r="I582" i="5"/>
  <c r="H582" i="5"/>
  <c r="G582" i="5"/>
  <c r="F582" i="5"/>
  <c r="E582" i="5"/>
  <c r="D582" i="5"/>
  <c r="C582" i="5"/>
  <c r="B582" i="5"/>
  <c r="A582" i="5"/>
  <c r="M581" i="5"/>
  <c r="L581" i="5"/>
  <c r="K581" i="5"/>
  <c r="J581" i="5"/>
  <c r="I581" i="5"/>
  <c r="H581" i="5"/>
  <c r="G581" i="5"/>
  <c r="F581" i="5"/>
  <c r="E581" i="5"/>
  <c r="D581" i="5"/>
  <c r="C581" i="5"/>
  <c r="B581" i="5"/>
  <c r="A581" i="5"/>
  <c r="M580" i="5"/>
  <c r="L580" i="5"/>
  <c r="K580" i="5"/>
  <c r="J580" i="5"/>
  <c r="I580" i="5"/>
  <c r="H580" i="5"/>
  <c r="G580" i="5"/>
  <c r="F580" i="5"/>
  <c r="D580" i="5"/>
  <c r="C580" i="5"/>
  <c r="B580" i="5"/>
  <c r="A580" i="5"/>
  <c r="M579" i="5"/>
  <c r="L579" i="5"/>
  <c r="K579" i="5"/>
  <c r="J579" i="5"/>
  <c r="I579" i="5"/>
  <c r="H579" i="5"/>
  <c r="G579" i="5"/>
  <c r="F579" i="5"/>
  <c r="E579" i="5"/>
  <c r="D579" i="5"/>
  <c r="C579" i="5"/>
  <c r="B579" i="5"/>
  <c r="A579" i="5"/>
  <c r="M578" i="5"/>
  <c r="L578" i="5"/>
  <c r="K578" i="5"/>
  <c r="J578" i="5"/>
  <c r="I578" i="5"/>
  <c r="H578" i="5"/>
  <c r="G578" i="5"/>
  <c r="F578" i="5"/>
  <c r="E578" i="5"/>
  <c r="D578" i="5"/>
  <c r="C578" i="5"/>
  <c r="B578" i="5"/>
  <c r="A578" i="5"/>
  <c r="M577" i="5"/>
  <c r="L577" i="5"/>
  <c r="K577" i="5"/>
  <c r="J577" i="5"/>
  <c r="I577" i="5"/>
  <c r="H577" i="5"/>
  <c r="G577" i="5"/>
  <c r="F577" i="5"/>
  <c r="E577" i="5"/>
  <c r="D577" i="5"/>
  <c r="C577" i="5"/>
  <c r="B577" i="5"/>
  <c r="A577" i="5"/>
  <c r="M576" i="5"/>
  <c r="L576" i="5"/>
  <c r="K576" i="5"/>
  <c r="J576" i="5"/>
  <c r="I576" i="5"/>
  <c r="H576" i="5"/>
  <c r="G576" i="5"/>
  <c r="F576" i="5"/>
  <c r="E576" i="5"/>
  <c r="D576" i="5"/>
  <c r="C576" i="5"/>
  <c r="B576" i="5"/>
  <c r="A576" i="5"/>
  <c r="M575" i="5"/>
  <c r="L575" i="5"/>
  <c r="K575" i="5"/>
  <c r="J575" i="5"/>
  <c r="I575" i="5"/>
  <c r="H575" i="5"/>
  <c r="G575" i="5"/>
  <c r="F575" i="5"/>
  <c r="E575" i="5"/>
  <c r="D575" i="5"/>
  <c r="C575" i="5"/>
  <c r="B575" i="5"/>
  <c r="A575" i="5"/>
  <c r="M574" i="5"/>
  <c r="L574" i="5"/>
  <c r="K574" i="5"/>
  <c r="J574" i="5"/>
  <c r="I574" i="5"/>
  <c r="H574" i="5"/>
  <c r="G574" i="5"/>
  <c r="F574" i="5"/>
  <c r="E574" i="5"/>
  <c r="D574" i="5"/>
  <c r="C574" i="5"/>
  <c r="B574" i="5"/>
  <c r="A574" i="5"/>
  <c r="M573" i="5"/>
  <c r="L573" i="5"/>
  <c r="K573" i="5"/>
  <c r="J573" i="5"/>
  <c r="I573" i="5"/>
  <c r="H573" i="5"/>
  <c r="G573" i="5"/>
  <c r="F573" i="5"/>
  <c r="E573" i="5"/>
  <c r="D573" i="5"/>
  <c r="C573" i="5"/>
  <c r="B573" i="5"/>
  <c r="A573" i="5"/>
  <c r="M572" i="5"/>
  <c r="L572" i="5"/>
  <c r="K572" i="5"/>
  <c r="J572" i="5"/>
  <c r="I572" i="5"/>
  <c r="H572" i="5"/>
  <c r="G572" i="5"/>
  <c r="F572" i="5"/>
  <c r="E572" i="5"/>
  <c r="D572" i="5"/>
  <c r="C572" i="5"/>
  <c r="B572" i="5"/>
  <c r="A572" i="5"/>
  <c r="M571" i="5"/>
  <c r="L571" i="5"/>
  <c r="K571" i="5"/>
  <c r="J571" i="5"/>
  <c r="I571" i="5"/>
  <c r="H571" i="5"/>
  <c r="G571" i="5"/>
  <c r="F571" i="5"/>
  <c r="E571" i="5"/>
  <c r="D571" i="5"/>
  <c r="C571" i="5"/>
  <c r="B571" i="5"/>
  <c r="A571" i="5"/>
  <c r="M570" i="5"/>
  <c r="L570" i="5"/>
  <c r="K570" i="5"/>
  <c r="J570" i="5"/>
  <c r="I570" i="5"/>
  <c r="H570" i="5"/>
  <c r="G570" i="5"/>
  <c r="F570" i="5"/>
  <c r="E570" i="5"/>
  <c r="D570" i="5"/>
  <c r="C570" i="5"/>
  <c r="B570" i="5"/>
  <c r="A570" i="5"/>
  <c r="M569" i="5"/>
  <c r="L569" i="5"/>
  <c r="K569" i="5"/>
  <c r="J569" i="5"/>
  <c r="I569" i="5"/>
  <c r="H569" i="5"/>
  <c r="G569" i="5"/>
  <c r="F569" i="5"/>
  <c r="E569" i="5"/>
  <c r="D569" i="5"/>
  <c r="C569" i="5"/>
  <c r="B569" i="5"/>
  <c r="A569" i="5"/>
  <c r="M568" i="5"/>
  <c r="L568" i="5"/>
  <c r="K568" i="5"/>
  <c r="J568" i="5"/>
  <c r="I568" i="5"/>
  <c r="H568" i="5"/>
  <c r="G568" i="5"/>
  <c r="F568" i="5"/>
  <c r="E568" i="5"/>
  <c r="D568" i="5"/>
  <c r="C568" i="5"/>
  <c r="B568" i="5"/>
  <c r="A568" i="5"/>
  <c r="M567" i="5"/>
  <c r="L567" i="5"/>
  <c r="K567" i="5"/>
  <c r="J567" i="5"/>
  <c r="I567" i="5"/>
  <c r="H567" i="5"/>
  <c r="G567" i="5"/>
  <c r="F567" i="5"/>
  <c r="E567" i="5"/>
  <c r="D567" i="5"/>
  <c r="C567" i="5"/>
  <c r="B567" i="5"/>
  <c r="A567" i="5"/>
  <c r="M566" i="5"/>
  <c r="L566" i="5"/>
  <c r="K566" i="5"/>
  <c r="J566" i="5"/>
  <c r="I566" i="5"/>
  <c r="H566" i="5"/>
  <c r="G566" i="5"/>
  <c r="F566" i="5"/>
  <c r="E566" i="5"/>
  <c r="D566" i="5"/>
  <c r="C566" i="5"/>
  <c r="B566" i="5"/>
  <c r="A566" i="5"/>
  <c r="M565" i="5"/>
  <c r="L565" i="5"/>
  <c r="K565" i="5"/>
  <c r="J565" i="5"/>
  <c r="I565" i="5"/>
  <c r="H565" i="5"/>
  <c r="G565" i="5"/>
  <c r="F565" i="5"/>
  <c r="E565" i="5"/>
  <c r="D565" i="5"/>
  <c r="C565" i="5"/>
  <c r="B565" i="5"/>
  <c r="A565" i="5"/>
  <c r="M564" i="5"/>
  <c r="L564" i="5"/>
  <c r="K564" i="5"/>
  <c r="J564" i="5"/>
  <c r="I564" i="5"/>
  <c r="H564" i="5"/>
  <c r="G564" i="5"/>
  <c r="F564" i="5"/>
  <c r="E564" i="5"/>
  <c r="D564" i="5"/>
  <c r="C564" i="5"/>
  <c r="B564" i="5"/>
  <c r="A564" i="5"/>
  <c r="M563" i="5"/>
  <c r="L563" i="5"/>
  <c r="K563" i="5"/>
  <c r="J563" i="5"/>
  <c r="I563" i="5"/>
  <c r="H563" i="5"/>
  <c r="G563" i="5"/>
  <c r="F563" i="5"/>
  <c r="E563" i="5"/>
  <c r="D563" i="5"/>
  <c r="C563" i="5"/>
  <c r="B563" i="5"/>
  <c r="A563" i="5"/>
  <c r="M562" i="5"/>
  <c r="L562" i="5"/>
  <c r="K562" i="5"/>
  <c r="J562" i="5"/>
  <c r="I562" i="5"/>
  <c r="H562" i="5"/>
  <c r="G562" i="5"/>
  <c r="F562" i="5"/>
  <c r="E562" i="5"/>
  <c r="D562" i="5"/>
  <c r="C562" i="5"/>
  <c r="B562" i="5"/>
  <c r="A562" i="5"/>
  <c r="M561" i="5"/>
  <c r="L561" i="5"/>
  <c r="K561" i="5"/>
  <c r="J561" i="5"/>
  <c r="I561" i="5"/>
  <c r="H561" i="5"/>
  <c r="G561" i="5"/>
  <c r="F561" i="5"/>
  <c r="E561" i="5"/>
  <c r="D561" i="5"/>
  <c r="C561" i="5"/>
  <c r="B561" i="5"/>
  <c r="A561" i="5"/>
  <c r="M560" i="5"/>
  <c r="L560" i="5"/>
  <c r="K560" i="5"/>
  <c r="J560" i="5"/>
  <c r="I560" i="5"/>
  <c r="H560" i="5"/>
  <c r="G560" i="5"/>
  <c r="F560" i="5"/>
  <c r="E560" i="5"/>
  <c r="D560" i="5"/>
  <c r="C560" i="5"/>
  <c r="B560" i="5"/>
  <c r="A560" i="5"/>
  <c r="M559" i="5"/>
  <c r="L559" i="5"/>
  <c r="K559" i="5"/>
  <c r="J559" i="5"/>
  <c r="I559" i="5"/>
  <c r="H559" i="5"/>
  <c r="G559" i="5"/>
  <c r="F559" i="5"/>
  <c r="E559" i="5"/>
  <c r="D559" i="5"/>
  <c r="C559" i="5"/>
  <c r="B559" i="5"/>
  <c r="A559" i="5"/>
  <c r="M558" i="5"/>
  <c r="L558" i="5"/>
  <c r="K558" i="5"/>
  <c r="J558" i="5"/>
  <c r="I558" i="5"/>
  <c r="H558" i="5"/>
  <c r="G558" i="5"/>
  <c r="F558" i="5"/>
  <c r="E558" i="5"/>
  <c r="D558" i="5"/>
  <c r="C558" i="5"/>
  <c r="B558" i="5"/>
  <c r="A558" i="5"/>
  <c r="M557" i="5"/>
  <c r="L557" i="5"/>
  <c r="K557" i="5"/>
  <c r="J557" i="5"/>
  <c r="I557" i="5"/>
  <c r="H557" i="5"/>
  <c r="G557" i="5"/>
  <c r="F557" i="5"/>
  <c r="E557" i="5"/>
  <c r="D557" i="5"/>
  <c r="C557" i="5"/>
  <c r="B557" i="5"/>
  <c r="A557" i="5"/>
  <c r="M556" i="5"/>
  <c r="L556" i="5"/>
  <c r="K556" i="5"/>
  <c r="J556" i="5"/>
  <c r="I556" i="5"/>
  <c r="H556" i="5"/>
  <c r="G556" i="5"/>
  <c r="F556" i="5"/>
  <c r="E556" i="5"/>
  <c r="D556" i="5"/>
  <c r="C556" i="5"/>
  <c r="B556" i="5"/>
  <c r="A556" i="5"/>
  <c r="M555" i="5"/>
  <c r="L555" i="5"/>
  <c r="K555" i="5"/>
  <c r="J555" i="5"/>
  <c r="I555" i="5"/>
  <c r="H555" i="5"/>
  <c r="G555" i="5"/>
  <c r="F555" i="5"/>
  <c r="E555" i="5"/>
  <c r="D555" i="5"/>
  <c r="C555" i="5"/>
  <c r="B555" i="5"/>
  <c r="A555" i="5"/>
  <c r="M554" i="5"/>
  <c r="L554" i="5"/>
  <c r="K554" i="5"/>
  <c r="J554" i="5"/>
  <c r="I554" i="5"/>
  <c r="H554" i="5"/>
  <c r="G554" i="5"/>
  <c r="F554" i="5"/>
  <c r="E554" i="5"/>
  <c r="D554" i="5"/>
  <c r="C554" i="5"/>
  <c r="B554" i="5"/>
  <c r="A554" i="5"/>
  <c r="M553" i="5"/>
  <c r="L553" i="5"/>
  <c r="K553" i="5"/>
  <c r="J553" i="5"/>
  <c r="I553" i="5"/>
  <c r="H553" i="5"/>
  <c r="G553" i="5"/>
  <c r="F553" i="5"/>
  <c r="E553" i="5"/>
  <c r="D553" i="5"/>
  <c r="C553" i="5"/>
  <c r="B553" i="5"/>
  <c r="A553" i="5"/>
  <c r="M552" i="5"/>
  <c r="L552" i="5"/>
  <c r="K552" i="5"/>
  <c r="J552" i="5"/>
  <c r="I552" i="5"/>
  <c r="H552" i="5"/>
  <c r="G552" i="5"/>
  <c r="F552" i="5"/>
  <c r="E552" i="5"/>
  <c r="D552" i="5"/>
  <c r="C552" i="5"/>
  <c r="B552" i="5"/>
  <c r="A552" i="5"/>
  <c r="M551" i="5"/>
  <c r="L551" i="5"/>
  <c r="K551" i="5"/>
  <c r="J551" i="5"/>
  <c r="I551" i="5"/>
  <c r="H551" i="5"/>
  <c r="G551" i="5"/>
  <c r="F551" i="5"/>
  <c r="E551" i="5"/>
  <c r="D551" i="5"/>
  <c r="C551" i="5"/>
  <c r="B551" i="5"/>
  <c r="A551" i="5"/>
  <c r="M550" i="5"/>
  <c r="L550" i="5"/>
  <c r="K550" i="5"/>
  <c r="J550" i="5"/>
  <c r="I550" i="5"/>
  <c r="H550" i="5"/>
  <c r="G550" i="5"/>
  <c r="F550" i="5"/>
  <c r="E550" i="5"/>
  <c r="D550" i="5"/>
  <c r="C550" i="5"/>
  <c r="B550" i="5"/>
  <c r="A550" i="5"/>
  <c r="M549" i="5"/>
  <c r="L549" i="5"/>
  <c r="K549" i="5"/>
  <c r="J549" i="5"/>
  <c r="I549" i="5"/>
  <c r="H549" i="5"/>
  <c r="G549" i="5"/>
  <c r="F549" i="5"/>
  <c r="E549" i="5"/>
  <c r="D549" i="5"/>
  <c r="C549" i="5"/>
  <c r="B549" i="5"/>
  <c r="A549" i="5"/>
  <c r="M548" i="5"/>
  <c r="L548" i="5"/>
  <c r="K548" i="5"/>
  <c r="J548" i="5"/>
  <c r="I548" i="5"/>
  <c r="H548" i="5"/>
  <c r="G548" i="5"/>
  <c r="F548" i="5"/>
  <c r="E548" i="5"/>
  <c r="D548" i="5"/>
  <c r="C548" i="5"/>
  <c r="B548" i="5"/>
  <c r="A548" i="5"/>
  <c r="M547" i="5"/>
  <c r="L547" i="5"/>
  <c r="K547" i="5"/>
  <c r="J547" i="5"/>
  <c r="I547" i="5"/>
  <c r="H547" i="5"/>
  <c r="G547" i="5"/>
  <c r="F547" i="5"/>
  <c r="E547" i="5"/>
  <c r="D547" i="5"/>
  <c r="C547" i="5"/>
  <c r="B547" i="5"/>
  <c r="A547" i="5"/>
  <c r="M546" i="5"/>
  <c r="L546" i="5"/>
  <c r="K546" i="5"/>
  <c r="J546" i="5"/>
  <c r="I546" i="5"/>
  <c r="H546" i="5"/>
  <c r="G546" i="5"/>
  <c r="F546" i="5"/>
  <c r="E546" i="5"/>
  <c r="D546" i="5"/>
  <c r="C546" i="5"/>
  <c r="B546" i="5"/>
  <c r="A546" i="5"/>
  <c r="M545" i="5"/>
  <c r="L545" i="5"/>
  <c r="K545" i="5"/>
  <c r="J545" i="5"/>
  <c r="I545" i="5"/>
  <c r="H545" i="5"/>
  <c r="G545" i="5"/>
  <c r="F545" i="5"/>
  <c r="E545" i="5"/>
  <c r="D545" i="5"/>
  <c r="C545" i="5"/>
  <c r="B545" i="5"/>
  <c r="A545" i="5"/>
  <c r="M544" i="5"/>
  <c r="L544" i="5"/>
  <c r="K544" i="5"/>
  <c r="J544" i="5"/>
  <c r="I544" i="5"/>
  <c r="H544" i="5"/>
  <c r="G544" i="5"/>
  <c r="F544" i="5"/>
  <c r="E544" i="5"/>
  <c r="D544" i="5"/>
  <c r="C544" i="5"/>
  <c r="B544" i="5"/>
  <c r="A544" i="5"/>
  <c r="M543" i="5"/>
  <c r="L543" i="5"/>
  <c r="K543" i="5"/>
  <c r="J543" i="5"/>
  <c r="I543" i="5"/>
  <c r="H543" i="5"/>
  <c r="G543" i="5"/>
  <c r="F543" i="5"/>
  <c r="E543" i="5"/>
  <c r="D543" i="5"/>
  <c r="C543" i="5"/>
  <c r="B543" i="5"/>
  <c r="A543" i="5"/>
  <c r="M542" i="5"/>
  <c r="L542" i="5"/>
  <c r="K542" i="5"/>
  <c r="J542" i="5"/>
  <c r="I542" i="5"/>
  <c r="H542" i="5"/>
  <c r="G542" i="5"/>
  <c r="F542" i="5"/>
  <c r="E542" i="5"/>
  <c r="D542" i="5"/>
  <c r="C542" i="5"/>
  <c r="B542" i="5"/>
  <c r="A542" i="5"/>
  <c r="M541" i="5"/>
  <c r="L541" i="5"/>
  <c r="K541" i="5"/>
  <c r="J541" i="5"/>
  <c r="I541" i="5"/>
  <c r="H541" i="5"/>
  <c r="G541" i="5"/>
  <c r="F541" i="5"/>
  <c r="E541" i="5"/>
  <c r="D541" i="5"/>
  <c r="C541" i="5"/>
  <c r="B541" i="5"/>
  <c r="A541" i="5"/>
  <c r="M540" i="5"/>
  <c r="L540" i="5"/>
  <c r="K540" i="5"/>
  <c r="J540" i="5"/>
  <c r="I540" i="5"/>
  <c r="H540" i="5"/>
  <c r="G540" i="5"/>
  <c r="F540" i="5"/>
  <c r="E540" i="5"/>
  <c r="D540" i="5"/>
  <c r="C540" i="5"/>
  <c r="B540" i="5"/>
  <c r="A540" i="5"/>
  <c r="M539" i="5"/>
  <c r="L539" i="5"/>
  <c r="K539" i="5"/>
  <c r="J539" i="5"/>
  <c r="I539" i="5"/>
  <c r="H539" i="5"/>
  <c r="G539" i="5"/>
  <c r="F539" i="5"/>
  <c r="E539" i="5"/>
  <c r="D539" i="5"/>
  <c r="C539" i="5"/>
  <c r="B539" i="5"/>
  <c r="A539" i="5"/>
  <c r="M538" i="5"/>
  <c r="L538" i="5"/>
  <c r="K538" i="5"/>
  <c r="J538" i="5"/>
  <c r="I538" i="5"/>
  <c r="H538" i="5"/>
  <c r="G538" i="5"/>
  <c r="F538" i="5"/>
  <c r="E538" i="5"/>
  <c r="D538" i="5"/>
  <c r="C538" i="5"/>
  <c r="B538" i="5"/>
  <c r="A538" i="5"/>
  <c r="M537" i="5"/>
  <c r="L537" i="5"/>
  <c r="K537" i="5"/>
  <c r="J537" i="5"/>
  <c r="I537" i="5"/>
  <c r="H537" i="5"/>
  <c r="G537" i="5"/>
  <c r="F537" i="5"/>
  <c r="E537" i="5"/>
  <c r="D537" i="5"/>
  <c r="C537" i="5"/>
  <c r="B537" i="5"/>
  <c r="A537" i="5"/>
  <c r="M536" i="5"/>
  <c r="L536" i="5"/>
  <c r="K536" i="5"/>
  <c r="J536" i="5"/>
  <c r="I536" i="5"/>
  <c r="H536" i="5"/>
  <c r="G536" i="5"/>
  <c r="F536" i="5"/>
  <c r="E536" i="5"/>
  <c r="D536" i="5"/>
  <c r="C536" i="5"/>
  <c r="B536" i="5"/>
  <c r="A536" i="5"/>
  <c r="M535" i="5"/>
  <c r="L535" i="5"/>
  <c r="K535" i="5"/>
  <c r="J535" i="5"/>
  <c r="I535" i="5"/>
  <c r="H535" i="5"/>
  <c r="G535" i="5"/>
  <c r="F535" i="5"/>
  <c r="E535" i="5"/>
  <c r="D535" i="5"/>
  <c r="C535" i="5"/>
  <c r="B535" i="5"/>
  <c r="A535" i="5"/>
  <c r="M534" i="5"/>
  <c r="L534" i="5"/>
  <c r="K534" i="5"/>
  <c r="J534" i="5"/>
  <c r="I534" i="5"/>
  <c r="H534" i="5"/>
  <c r="G534" i="5"/>
  <c r="F534" i="5"/>
  <c r="E534" i="5"/>
  <c r="D534" i="5"/>
  <c r="C534" i="5"/>
  <c r="B534" i="5"/>
  <c r="A534" i="5"/>
  <c r="M533" i="5"/>
  <c r="L533" i="5"/>
  <c r="K533" i="5"/>
  <c r="J533" i="5"/>
  <c r="I533" i="5"/>
  <c r="H533" i="5"/>
  <c r="G533" i="5"/>
  <c r="F533" i="5"/>
  <c r="E533" i="5"/>
  <c r="D533" i="5"/>
  <c r="C533" i="5"/>
  <c r="B533" i="5"/>
  <c r="A533" i="5"/>
  <c r="M532" i="5"/>
  <c r="L532" i="5"/>
  <c r="K532" i="5"/>
  <c r="J532" i="5"/>
  <c r="I532" i="5"/>
  <c r="H532" i="5"/>
  <c r="G532" i="5"/>
  <c r="F532" i="5"/>
  <c r="E532" i="5"/>
  <c r="D532" i="5"/>
  <c r="C532" i="5"/>
  <c r="B532" i="5"/>
  <c r="A532" i="5"/>
  <c r="M531" i="5"/>
  <c r="L531" i="5"/>
  <c r="K531" i="5"/>
  <c r="J531" i="5"/>
  <c r="I531" i="5"/>
  <c r="H531" i="5"/>
  <c r="G531" i="5"/>
  <c r="F531" i="5"/>
  <c r="E531" i="5"/>
  <c r="D531" i="5"/>
  <c r="C531" i="5"/>
  <c r="B531" i="5"/>
  <c r="A531" i="5"/>
  <c r="M530" i="5"/>
  <c r="L530" i="5"/>
  <c r="K530" i="5"/>
  <c r="J530" i="5"/>
  <c r="I530" i="5"/>
  <c r="H530" i="5"/>
  <c r="G530" i="5"/>
  <c r="F530" i="5"/>
  <c r="E530" i="5"/>
  <c r="D530" i="5"/>
  <c r="C530" i="5"/>
  <c r="B530" i="5"/>
  <c r="A530" i="5"/>
  <c r="M529" i="5"/>
  <c r="L529" i="5"/>
  <c r="K529" i="5"/>
  <c r="J529" i="5"/>
  <c r="I529" i="5"/>
  <c r="H529" i="5"/>
  <c r="G529" i="5"/>
  <c r="F529" i="5"/>
  <c r="E529" i="5"/>
  <c r="D529" i="5"/>
  <c r="C529" i="5"/>
  <c r="B529" i="5"/>
  <c r="A529" i="5"/>
  <c r="M528" i="5"/>
  <c r="L528" i="5"/>
  <c r="K528" i="5"/>
  <c r="J528" i="5"/>
  <c r="I528" i="5"/>
  <c r="H528" i="5"/>
  <c r="G528" i="5"/>
  <c r="F528" i="5"/>
  <c r="E528" i="5"/>
  <c r="D528" i="5"/>
  <c r="C528" i="5"/>
  <c r="B528" i="5"/>
  <c r="A528" i="5"/>
  <c r="M527" i="5"/>
  <c r="L527" i="5"/>
  <c r="K527" i="5"/>
  <c r="J527" i="5"/>
  <c r="I527" i="5"/>
  <c r="H527" i="5"/>
  <c r="G527" i="5"/>
  <c r="F527" i="5"/>
  <c r="D527" i="5"/>
  <c r="C527" i="5"/>
  <c r="B527" i="5"/>
  <c r="A527" i="5"/>
  <c r="M526" i="5"/>
  <c r="L526" i="5"/>
  <c r="K526" i="5"/>
  <c r="J526" i="5"/>
  <c r="I526" i="5"/>
  <c r="H526" i="5"/>
  <c r="G526" i="5"/>
  <c r="F526" i="5"/>
  <c r="E526" i="5"/>
  <c r="D526" i="5"/>
  <c r="C526" i="5"/>
  <c r="B526" i="5"/>
  <c r="A526" i="5"/>
  <c r="M525" i="5"/>
  <c r="L525" i="5"/>
  <c r="K525" i="5"/>
  <c r="J525" i="5"/>
  <c r="I525" i="5"/>
  <c r="H525" i="5"/>
  <c r="G525" i="5"/>
  <c r="F525" i="5"/>
  <c r="E525" i="5"/>
  <c r="D525" i="5"/>
  <c r="C525" i="5"/>
  <c r="B525" i="5"/>
  <c r="A525" i="5"/>
  <c r="M524" i="5"/>
  <c r="L524" i="5"/>
  <c r="K524" i="5"/>
  <c r="J524" i="5"/>
  <c r="I524" i="5"/>
  <c r="H524" i="5"/>
  <c r="G524" i="5"/>
  <c r="F524" i="5"/>
  <c r="E524" i="5"/>
  <c r="D524" i="5"/>
  <c r="C524" i="5"/>
  <c r="B524" i="5"/>
  <c r="A524" i="5"/>
  <c r="M523" i="5"/>
  <c r="L523" i="5"/>
  <c r="K523" i="5"/>
  <c r="J523" i="5"/>
  <c r="I523" i="5"/>
  <c r="H523" i="5"/>
  <c r="G523" i="5"/>
  <c r="F523" i="5"/>
  <c r="E523" i="5"/>
  <c r="D523" i="5"/>
  <c r="C523" i="5"/>
  <c r="B523" i="5"/>
  <c r="A523" i="5"/>
  <c r="M522" i="5"/>
  <c r="L522" i="5"/>
  <c r="K522" i="5"/>
  <c r="J522" i="5"/>
  <c r="I522" i="5"/>
  <c r="H522" i="5"/>
  <c r="G522" i="5"/>
  <c r="F522" i="5"/>
  <c r="E522" i="5"/>
  <c r="D522" i="5"/>
  <c r="C522" i="5"/>
  <c r="B522" i="5"/>
  <c r="A522" i="5"/>
  <c r="M521" i="5"/>
  <c r="L521" i="5"/>
  <c r="K521" i="5"/>
  <c r="J521" i="5"/>
  <c r="I521" i="5"/>
  <c r="H521" i="5"/>
  <c r="G521" i="5"/>
  <c r="F521" i="5"/>
  <c r="E521" i="5"/>
  <c r="D521" i="5"/>
  <c r="C521" i="5"/>
  <c r="B521" i="5"/>
  <c r="A521" i="5"/>
  <c r="M520" i="5"/>
  <c r="L520" i="5"/>
  <c r="K520" i="5"/>
  <c r="J520" i="5"/>
  <c r="I520" i="5"/>
  <c r="H520" i="5"/>
  <c r="G520" i="5"/>
  <c r="F520" i="5"/>
  <c r="E520" i="5"/>
  <c r="D520" i="5"/>
  <c r="C520" i="5"/>
  <c r="B520" i="5"/>
  <c r="A520" i="5"/>
  <c r="M519" i="5"/>
  <c r="L519" i="5"/>
  <c r="K519" i="5"/>
  <c r="J519" i="5"/>
  <c r="I519" i="5"/>
  <c r="H519" i="5"/>
  <c r="G519" i="5"/>
  <c r="F519" i="5"/>
  <c r="E519" i="5"/>
  <c r="D519" i="5"/>
  <c r="C519" i="5"/>
  <c r="B519" i="5"/>
  <c r="A519" i="5"/>
  <c r="M518" i="5"/>
  <c r="L518" i="5"/>
  <c r="K518" i="5"/>
  <c r="J518" i="5"/>
  <c r="I518" i="5"/>
  <c r="H518" i="5"/>
  <c r="G518" i="5"/>
  <c r="F518" i="5"/>
  <c r="E518" i="5"/>
  <c r="D518" i="5"/>
  <c r="C518" i="5"/>
  <c r="B518" i="5"/>
  <c r="A518" i="5"/>
  <c r="M517" i="5"/>
  <c r="L517" i="5"/>
  <c r="K517" i="5"/>
  <c r="J517" i="5"/>
  <c r="I517" i="5"/>
  <c r="H517" i="5"/>
  <c r="G517" i="5"/>
  <c r="F517" i="5"/>
  <c r="E517" i="5"/>
  <c r="D517" i="5"/>
  <c r="C517" i="5"/>
  <c r="B517" i="5"/>
  <c r="A517" i="5"/>
  <c r="M516" i="5"/>
  <c r="L516" i="5"/>
  <c r="K516" i="5"/>
  <c r="J516" i="5"/>
  <c r="I516" i="5"/>
  <c r="H516" i="5"/>
  <c r="G516" i="5"/>
  <c r="F516" i="5"/>
  <c r="E516" i="5"/>
  <c r="D516" i="5"/>
  <c r="C516" i="5"/>
  <c r="B516" i="5"/>
  <c r="A516" i="5"/>
  <c r="M515" i="5"/>
  <c r="L515" i="5"/>
  <c r="K515" i="5"/>
  <c r="J515" i="5"/>
  <c r="I515" i="5"/>
  <c r="H515" i="5"/>
  <c r="G515" i="5"/>
  <c r="F515" i="5"/>
  <c r="E515" i="5"/>
  <c r="D515" i="5"/>
  <c r="C515" i="5"/>
  <c r="B515" i="5"/>
  <c r="A515" i="5"/>
  <c r="M514" i="5"/>
  <c r="L514" i="5"/>
  <c r="K514" i="5"/>
  <c r="J514" i="5"/>
  <c r="I514" i="5"/>
  <c r="H514" i="5"/>
  <c r="G514" i="5"/>
  <c r="F514" i="5"/>
  <c r="E514" i="5"/>
  <c r="D514" i="5"/>
  <c r="C514" i="5"/>
  <c r="B514" i="5"/>
  <c r="A514" i="5"/>
  <c r="M513" i="5"/>
  <c r="L513" i="5"/>
  <c r="K513" i="5"/>
  <c r="J513" i="5"/>
  <c r="I513" i="5"/>
  <c r="H513" i="5"/>
  <c r="G513" i="5"/>
  <c r="F513" i="5"/>
  <c r="E513" i="5"/>
  <c r="D513" i="5"/>
  <c r="C513" i="5"/>
  <c r="B513" i="5"/>
  <c r="A513" i="5"/>
  <c r="M512" i="5"/>
  <c r="L512" i="5"/>
  <c r="K512" i="5"/>
  <c r="J512" i="5"/>
  <c r="I512" i="5"/>
  <c r="H512" i="5"/>
  <c r="G512" i="5"/>
  <c r="E512" i="5"/>
  <c r="D512" i="5"/>
  <c r="C512" i="5"/>
  <c r="B512" i="5"/>
  <c r="A512" i="5"/>
  <c r="M511" i="5"/>
  <c r="L511" i="5"/>
  <c r="K511" i="5"/>
  <c r="J511" i="5"/>
  <c r="I511" i="5"/>
  <c r="H511" i="5"/>
  <c r="G511" i="5"/>
  <c r="F511" i="5"/>
  <c r="E511" i="5"/>
  <c r="D511" i="5"/>
  <c r="C511" i="5"/>
  <c r="B511" i="5"/>
  <c r="A511" i="5"/>
  <c r="M510" i="5"/>
  <c r="L510" i="5"/>
  <c r="K510" i="5"/>
  <c r="J510" i="5"/>
  <c r="I510" i="5"/>
  <c r="H510" i="5"/>
  <c r="G510" i="5"/>
  <c r="F510" i="5"/>
  <c r="E510" i="5"/>
  <c r="D510" i="5"/>
  <c r="C510" i="5"/>
  <c r="B510" i="5"/>
  <c r="A510" i="5"/>
  <c r="M509" i="5"/>
  <c r="L509" i="5"/>
  <c r="K509" i="5"/>
  <c r="J509" i="5"/>
  <c r="I509" i="5"/>
  <c r="H509" i="5"/>
  <c r="G509" i="5"/>
  <c r="F509" i="5"/>
  <c r="E509" i="5"/>
  <c r="D509" i="5"/>
  <c r="C509" i="5"/>
  <c r="B509" i="5"/>
  <c r="A509" i="5"/>
  <c r="M508" i="5"/>
  <c r="L508" i="5"/>
  <c r="K508" i="5"/>
  <c r="J508" i="5"/>
  <c r="I508" i="5"/>
  <c r="H508" i="5"/>
  <c r="G508" i="5"/>
  <c r="F508" i="5"/>
  <c r="E508" i="5"/>
  <c r="D508" i="5"/>
  <c r="C508" i="5"/>
  <c r="B508" i="5"/>
  <c r="A508" i="5"/>
  <c r="M507" i="5"/>
  <c r="L507" i="5"/>
  <c r="K507" i="5"/>
  <c r="J507" i="5"/>
  <c r="I507" i="5"/>
  <c r="H507" i="5"/>
  <c r="G507" i="5"/>
  <c r="F507" i="5"/>
  <c r="E507" i="5"/>
  <c r="D507" i="5"/>
  <c r="C507" i="5"/>
  <c r="B507" i="5"/>
  <c r="A507" i="5"/>
  <c r="M506" i="5"/>
  <c r="L506" i="5"/>
  <c r="K506" i="5"/>
  <c r="J506" i="5"/>
  <c r="I506" i="5"/>
  <c r="H506" i="5"/>
  <c r="G506" i="5"/>
  <c r="F506" i="5"/>
  <c r="E506" i="5"/>
  <c r="D506" i="5"/>
  <c r="C506" i="5"/>
  <c r="B506" i="5"/>
  <c r="A506" i="5"/>
  <c r="M505" i="5"/>
  <c r="L505" i="5"/>
  <c r="K505" i="5"/>
  <c r="J505" i="5"/>
  <c r="I505" i="5"/>
  <c r="H505" i="5"/>
  <c r="G505" i="5"/>
  <c r="F505" i="5"/>
  <c r="E505" i="5"/>
  <c r="D505" i="5"/>
  <c r="C505" i="5"/>
  <c r="B505" i="5"/>
  <c r="A505" i="5"/>
  <c r="M504" i="5"/>
  <c r="L504" i="5"/>
  <c r="K504" i="5"/>
  <c r="J504" i="5"/>
  <c r="I504" i="5"/>
  <c r="H504" i="5"/>
  <c r="G504" i="5"/>
  <c r="F504" i="5"/>
  <c r="E504" i="5"/>
  <c r="D504" i="5"/>
  <c r="C504" i="5"/>
  <c r="B504" i="5"/>
  <c r="A504" i="5"/>
  <c r="M503" i="5"/>
  <c r="L503" i="5"/>
  <c r="K503" i="5"/>
  <c r="J503" i="5"/>
  <c r="I503" i="5"/>
  <c r="H503" i="5"/>
  <c r="G503" i="5"/>
  <c r="F503" i="5"/>
  <c r="E503" i="5"/>
  <c r="D503" i="5"/>
  <c r="C503" i="5"/>
  <c r="B503" i="5"/>
  <c r="A503" i="5"/>
  <c r="M502" i="5"/>
  <c r="L502" i="5"/>
  <c r="K502" i="5"/>
  <c r="J502" i="5"/>
  <c r="I502" i="5"/>
  <c r="H502" i="5"/>
  <c r="G502" i="5"/>
  <c r="F502" i="5"/>
  <c r="E502" i="5"/>
  <c r="D502" i="5"/>
  <c r="C502" i="5"/>
  <c r="B502" i="5"/>
  <c r="A502" i="5"/>
  <c r="M501" i="5"/>
  <c r="L501" i="5"/>
  <c r="K501" i="5"/>
  <c r="J501" i="5"/>
  <c r="I501" i="5"/>
  <c r="H501" i="5"/>
  <c r="G501" i="5"/>
  <c r="F501" i="5"/>
  <c r="E501" i="5"/>
  <c r="D501" i="5"/>
  <c r="C501" i="5"/>
  <c r="B501" i="5"/>
  <c r="A501" i="5"/>
  <c r="M500" i="5"/>
  <c r="L500" i="5"/>
  <c r="K500" i="5"/>
  <c r="J500" i="5"/>
  <c r="I500" i="5"/>
  <c r="H500" i="5"/>
  <c r="G500" i="5"/>
  <c r="F500" i="5"/>
  <c r="E500" i="5"/>
  <c r="D500" i="5"/>
  <c r="C500" i="5"/>
  <c r="B500" i="5"/>
  <c r="A500" i="5"/>
  <c r="M499" i="5"/>
  <c r="L499" i="5"/>
  <c r="K499" i="5"/>
  <c r="J499" i="5"/>
  <c r="I499" i="5"/>
  <c r="H499" i="5"/>
  <c r="G499" i="5"/>
  <c r="F499" i="5"/>
  <c r="E499" i="5"/>
  <c r="D499" i="5"/>
  <c r="C499" i="5"/>
  <c r="B499" i="5"/>
  <c r="A499" i="5"/>
  <c r="M498" i="5"/>
  <c r="L498" i="5"/>
  <c r="K498" i="5"/>
  <c r="J498" i="5"/>
  <c r="I498" i="5"/>
  <c r="H498" i="5"/>
  <c r="G498" i="5"/>
  <c r="F498" i="5"/>
  <c r="E498" i="5"/>
  <c r="D498" i="5"/>
  <c r="C498" i="5"/>
  <c r="B498" i="5"/>
  <c r="A498" i="5"/>
  <c r="M497" i="5"/>
  <c r="L497" i="5"/>
  <c r="K497" i="5"/>
  <c r="J497" i="5"/>
  <c r="I497" i="5"/>
  <c r="H497" i="5"/>
  <c r="G497" i="5"/>
  <c r="F497" i="5"/>
  <c r="E497" i="5"/>
  <c r="D497" i="5"/>
  <c r="C497" i="5"/>
  <c r="B497" i="5"/>
  <c r="A497" i="5"/>
  <c r="M496" i="5"/>
  <c r="L496" i="5"/>
  <c r="K496" i="5"/>
  <c r="J496" i="5"/>
  <c r="I496" i="5"/>
  <c r="H496" i="5"/>
  <c r="G496" i="5"/>
  <c r="F496" i="5"/>
  <c r="E496" i="5"/>
  <c r="D496" i="5"/>
  <c r="C496" i="5"/>
  <c r="B496" i="5"/>
  <c r="A496" i="5"/>
  <c r="M495" i="5"/>
  <c r="L495" i="5"/>
  <c r="K495" i="5"/>
  <c r="J495" i="5"/>
  <c r="I495" i="5"/>
  <c r="H495" i="5"/>
  <c r="G495" i="5"/>
  <c r="F495" i="5"/>
  <c r="E495" i="5"/>
  <c r="D495" i="5"/>
  <c r="C495" i="5"/>
  <c r="B495" i="5"/>
  <c r="A495" i="5"/>
  <c r="M494" i="5"/>
  <c r="L494" i="5"/>
  <c r="K494" i="5"/>
  <c r="J494" i="5"/>
  <c r="I494" i="5"/>
  <c r="H494" i="5"/>
  <c r="G494" i="5"/>
  <c r="F494" i="5"/>
  <c r="E494" i="5"/>
  <c r="D494" i="5"/>
  <c r="C494" i="5"/>
  <c r="B494" i="5"/>
  <c r="A494" i="5"/>
  <c r="M493" i="5"/>
  <c r="L493" i="5"/>
  <c r="K493" i="5"/>
  <c r="J493" i="5"/>
  <c r="I493" i="5"/>
  <c r="H493" i="5"/>
  <c r="G493" i="5"/>
  <c r="F493" i="5"/>
  <c r="E493" i="5"/>
  <c r="D493" i="5"/>
  <c r="C493" i="5"/>
  <c r="B493" i="5"/>
  <c r="A493" i="5"/>
  <c r="M492" i="5"/>
  <c r="L492" i="5"/>
  <c r="K492" i="5"/>
  <c r="J492" i="5"/>
  <c r="I492" i="5"/>
  <c r="H492" i="5"/>
  <c r="G492" i="5"/>
  <c r="F492" i="5"/>
  <c r="E492" i="5"/>
  <c r="D492" i="5"/>
  <c r="C492" i="5"/>
  <c r="B492" i="5"/>
  <c r="A492" i="5"/>
  <c r="M491" i="5"/>
  <c r="L491" i="5"/>
  <c r="K491" i="5"/>
  <c r="J491" i="5"/>
  <c r="I491" i="5"/>
  <c r="H491" i="5"/>
  <c r="G491" i="5"/>
  <c r="F491" i="5"/>
  <c r="E491" i="5"/>
  <c r="D491" i="5"/>
  <c r="C491" i="5"/>
  <c r="B491" i="5"/>
  <c r="A491" i="5"/>
  <c r="M490" i="5"/>
  <c r="L490" i="5"/>
  <c r="K490" i="5"/>
  <c r="J490" i="5"/>
  <c r="I490" i="5"/>
  <c r="H490" i="5"/>
  <c r="G490" i="5"/>
  <c r="F490" i="5"/>
  <c r="D490" i="5"/>
  <c r="C490" i="5"/>
  <c r="B490" i="5"/>
  <c r="A490" i="5"/>
  <c r="M489" i="5"/>
  <c r="L489" i="5"/>
  <c r="K489" i="5"/>
  <c r="J489" i="5"/>
  <c r="I489" i="5"/>
  <c r="H489" i="5"/>
  <c r="G489" i="5"/>
  <c r="F489" i="5"/>
  <c r="E489" i="5"/>
  <c r="D489" i="5"/>
  <c r="C489" i="5"/>
  <c r="B489" i="5"/>
  <c r="A489" i="5"/>
  <c r="M488" i="5"/>
  <c r="L488" i="5"/>
  <c r="K488" i="5"/>
  <c r="J488" i="5"/>
  <c r="I488" i="5"/>
  <c r="H488" i="5"/>
  <c r="G488" i="5"/>
  <c r="F488" i="5"/>
  <c r="E488" i="5"/>
  <c r="D488" i="5"/>
  <c r="C488" i="5"/>
  <c r="B488" i="5"/>
  <c r="A488" i="5"/>
  <c r="M487" i="5"/>
  <c r="L487" i="5"/>
  <c r="K487" i="5"/>
  <c r="J487" i="5"/>
  <c r="I487" i="5"/>
  <c r="H487" i="5"/>
  <c r="G487" i="5"/>
  <c r="F487" i="5"/>
  <c r="E487" i="5"/>
  <c r="D487" i="5"/>
  <c r="C487" i="5"/>
  <c r="B487" i="5"/>
  <c r="A487" i="5"/>
  <c r="M486" i="5"/>
  <c r="L486" i="5"/>
  <c r="K486" i="5"/>
  <c r="J486" i="5"/>
  <c r="I486" i="5"/>
  <c r="H486" i="5"/>
  <c r="G486" i="5"/>
  <c r="F486" i="5"/>
  <c r="E486" i="5"/>
  <c r="D486" i="5"/>
  <c r="C486" i="5"/>
  <c r="B486" i="5"/>
  <c r="A486" i="5"/>
  <c r="M485" i="5"/>
  <c r="L485" i="5"/>
  <c r="K485" i="5"/>
  <c r="J485" i="5"/>
  <c r="I485" i="5"/>
  <c r="H485" i="5"/>
  <c r="G485" i="5"/>
  <c r="F485" i="5"/>
  <c r="E485" i="5"/>
  <c r="D485" i="5"/>
  <c r="C485" i="5"/>
  <c r="B485" i="5"/>
  <c r="A485" i="5"/>
  <c r="M484" i="5"/>
  <c r="L484" i="5"/>
  <c r="K484" i="5"/>
  <c r="J484" i="5"/>
  <c r="I484" i="5"/>
  <c r="H484" i="5"/>
  <c r="G484" i="5"/>
  <c r="F484" i="5"/>
  <c r="E484" i="5"/>
  <c r="D484" i="5"/>
  <c r="C484" i="5"/>
  <c r="B484" i="5"/>
  <c r="A484" i="5"/>
  <c r="M483" i="5"/>
  <c r="L483" i="5"/>
  <c r="K483" i="5"/>
  <c r="J483" i="5"/>
  <c r="I483" i="5"/>
  <c r="H483" i="5"/>
  <c r="G483" i="5"/>
  <c r="F483" i="5"/>
  <c r="E483" i="5"/>
  <c r="D483" i="5"/>
  <c r="C483" i="5"/>
  <c r="B483" i="5"/>
  <c r="A483" i="5"/>
  <c r="M482" i="5"/>
  <c r="L482" i="5"/>
  <c r="K482" i="5"/>
  <c r="J482" i="5"/>
  <c r="I482" i="5"/>
  <c r="H482" i="5"/>
  <c r="G482" i="5"/>
  <c r="F482" i="5"/>
  <c r="E482" i="5"/>
  <c r="D482" i="5"/>
  <c r="C482" i="5"/>
  <c r="B482" i="5"/>
  <c r="A482" i="5"/>
  <c r="M481" i="5"/>
  <c r="L481" i="5"/>
  <c r="K481" i="5"/>
  <c r="J481" i="5"/>
  <c r="I481" i="5"/>
  <c r="H481" i="5"/>
  <c r="G481" i="5"/>
  <c r="F481" i="5"/>
  <c r="E481" i="5"/>
  <c r="D481" i="5"/>
  <c r="C481" i="5"/>
  <c r="B481" i="5"/>
  <c r="A481" i="5"/>
  <c r="M480" i="5"/>
  <c r="L480" i="5"/>
  <c r="K480" i="5"/>
  <c r="J480" i="5"/>
  <c r="I480" i="5"/>
  <c r="H480" i="5"/>
  <c r="G480" i="5"/>
  <c r="F480" i="5"/>
  <c r="E480" i="5"/>
  <c r="D480" i="5"/>
  <c r="C480" i="5"/>
  <c r="B480" i="5"/>
  <c r="A480" i="5"/>
  <c r="M479" i="5"/>
  <c r="L479" i="5"/>
  <c r="K479" i="5"/>
  <c r="J479" i="5"/>
  <c r="I479" i="5"/>
  <c r="H479" i="5"/>
  <c r="G479" i="5"/>
  <c r="F479" i="5"/>
  <c r="E479" i="5"/>
  <c r="D479" i="5"/>
  <c r="C479" i="5"/>
  <c r="B479" i="5"/>
  <c r="A479" i="5"/>
  <c r="M478" i="5"/>
  <c r="L478" i="5"/>
  <c r="K478" i="5"/>
  <c r="J478" i="5"/>
  <c r="I478" i="5"/>
  <c r="H478" i="5"/>
  <c r="G478" i="5"/>
  <c r="F478" i="5"/>
  <c r="E478" i="5"/>
  <c r="D478" i="5"/>
  <c r="C478" i="5"/>
  <c r="B478" i="5"/>
  <c r="A478" i="5"/>
  <c r="M477" i="5"/>
  <c r="L477" i="5"/>
  <c r="K477" i="5"/>
  <c r="J477" i="5"/>
  <c r="I477" i="5"/>
  <c r="H477" i="5"/>
  <c r="G477" i="5"/>
  <c r="F477" i="5"/>
  <c r="E477" i="5"/>
  <c r="D477" i="5"/>
  <c r="C477" i="5"/>
  <c r="B477" i="5"/>
  <c r="A477" i="5"/>
  <c r="M476" i="5"/>
  <c r="L476" i="5"/>
  <c r="K476" i="5"/>
  <c r="J476" i="5"/>
  <c r="I476" i="5"/>
  <c r="H476" i="5"/>
  <c r="G476" i="5"/>
  <c r="F476" i="5"/>
  <c r="E476" i="5"/>
  <c r="D476" i="5"/>
  <c r="C476" i="5"/>
  <c r="B476" i="5"/>
  <c r="A476" i="5"/>
  <c r="M475" i="5"/>
  <c r="L475" i="5"/>
  <c r="K475" i="5"/>
  <c r="J475" i="5"/>
  <c r="I475" i="5"/>
  <c r="H475" i="5"/>
  <c r="G475" i="5"/>
  <c r="F475" i="5"/>
  <c r="E475" i="5"/>
  <c r="D475" i="5"/>
  <c r="C475" i="5"/>
  <c r="B475" i="5"/>
  <c r="A475" i="5"/>
  <c r="M474" i="5"/>
  <c r="L474" i="5"/>
  <c r="K474" i="5"/>
  <c r="J474" i="5"/>
  <c r="I474" i="5"/>
  <c r="H474" i="5"/>
  <c r="G474" i="5"/>
  <c r="F474" i="5"/>
  <c r="E474" i="5"/>
  <c r="D474" i="5"/>
  <c r="C474" i="5"/>
  <c r="B474" i="5"/>
  <c r="A474" i="5"/>
  <c r="M473" i="5"/>
  <c r="L473" i="5"/>
  <c r="K473" i="5"/>
  <c r="J473" i="5"/>
  <c r="I473" i="5"/>
  <c r="H473" i="5"/>
  <c r="G473" i="5"/>
  <c r="F473" i="5"/>
  <c r="E473" i="5"/>
  <c r="D473" i="5"/>
  <c r="C473" i="5"/>
  <c r="B473" i="5"/>
  <c r="A473" i="5"/>
  <c r="M472" i="5"/>
  <c r="L472" i="5"/>
  <c r="K472" i="5"/>
  <c r="J472" i="5"/>
  <c r="I472" i="5"/>
  <c r="H472" i="5"/>
  <c r="G472" i="5"/>
  <c r="F472" i="5"/>
  <c r="E472" i="5"/>
  <c r="D472" i="5"/>
  <c r="C472" i="5"/>
  <c r="B472" i="5"/>
  <c r="A472" i="5"/>
  <c r="M471" i="5"/>
  <c r="L471" i="5"/>
  <c r="K471" i="5"/>
  <c r="J471" i="5"/>
  <c r="I471" i="5"/>
  <c r="H471" i="5"/>
  <c r="G471" i="5"/>
  <c r="F471" i="5"/>
  <c r="E471" i="5"/>
  <c r="D471" i="5"/>
  <c r="C471" i="5"/>
  <c r="B471" i="5"/>
  <c r="A471" i="5"/>
  <c r="M470" i="5"/>
  <c r="L470" i="5"/>
  <c r="K470" i="5"/>
  <c r="J470" i="5"/>
  <c r="I470" i="5"/>
  <c r="H470" i="5"/>
  <c r="G470" i="5"/>
  <c r="F470" i="5"/>
  <c r="E470" i="5"/>
  <c r="D470" i="5"/>
  <c r="C470" i="5"/>
  <c r="B470" i="5"/>
  <c r="A470" i="5"/>
  <c r="M469" i="5"/>
  <c r="L469" i="5"/>
  <c r="K469" i="5"/>
  <c r="J469" i="5"/>
  <c r="I469" i="5"/>
  <c r="H469" i="5"/>
  <c r="G469" i="5"/>
  <c r="F469" i="5"/>
  <c r="E469" i="5"/>
  <c r="D469" i="5"/>
  <c r="C469" i="5"/>
  <c r="B469" i="5"/>
  <c r="A469" i="5"/>
  <c r="M468" i="5"/>
  <c r="L468" i="5"/>
  <c r="K468" i="5"/>
  <c r="J468" i="5"/>
  <c r="I468" i="5"/>
  <c r="H468" i="5"/>
  <c r="G468" i="5"/>
  <c r="F468" i="5"/>
  <c r="E468" i="5"/>
  <c r="D468" i="5"/>
  <c r="C468" i="5"/>
  <c r="B468" i="5"/>
  <c r="A468" i="5"/>
  <c r="M467" i="5"/>
  <c r="L467" i="5"/>
  <c r="K467" i="5"/>
  <c r="J467" i="5"/>
  <c r="I467" i="5"/>
  <c r="H467" i="5"/>
  <c r="G467" i="5"/>
  <c r="F467" i="5"/>
  <c r="E467" i="5"/>
  <c r="D467" i="5"/>
  <c r="C467" i="5"/>
  <c r="B467" i="5"/>
  <c r="A467" i="5"/>
  <c r="M466" i="5"/>
  <c r="L466" i="5"/>
  <c r="K466" i="5"/>
  <c r="J466" i="5"/>
  <c r="I466" i="5"/>
  <c r="H466" i="5"/>
  <c r="G466" i="5"/>
  <c r="F466" i="5"/>
  <c r="E466" i="5"/>
  <c r="D466" i="5"/>
  <c r="C466" i="5"/>
  <c r="B466" i="5"/>
  <c r="A466" i="5"/>
  <c r="M465" i="5"/>
  <c r="L465" i="5"/>
  <c r="K465" i="5"/>
  <c r="J465" i="5"/>
  <c r="I465" i="5"/>
  <c r="H465" i="5"/>
  <c r="G465" i="5"/>
  <c r="F465" i="5"/>
  <c r="E465" i="5"/>
  <c r="D465" i="5"/>
  <c r="C465" i="5"/>
  <c r="B465" i="5"/>
  <c r="A465" i="5"/>
  <c r="M464" i="5"/>
  <c r="L464" i="5"/>
  <c r="K464" i="5"/>
  <c r="J464" i="5"/>
  <c r="I464" i="5"/>
  <c r="H464" i="5"/>
  <c r="G464" i="5"/>
  <c r="F464" i="5"/>
  <c r="E464" i="5"/>
  <c r="D464" i="5"/>
  <c r="C464" i="5"/>
  <c r="B464" i="5"/>
  <c r="A464" i="5"/>
  <c r="M463" i="5"/>
  <c r="L463" i="5"/>
  <c r="K463" i="5"/>
  <c r="J463" i="5"/>
  <c r="I463" i="5"/>
  <c r="H463" i="5"/>
  <c r="G463" i="5"/>
  <c r="F463" i="5"/>
  <c r="E463" i="5"/>
  <c r="D463" i="5"/>
  <c r="C463" i="5"/>
  <c r="B463" i="5"/>
  <c r="A463" i="5"/>
  <c r="M462" i="5"/>
  <c r="L462" i="5"/>
  <c r="K462" i="5"/>
  <c r="J462" i="5"/>
  <c r="I462" i="5"/>
  <c r="H462" i="5"/>
  <c r="G462" i="5"/>
  <c r="F462" i="5"/>
  <c r="E462" i="5"/>
  <c r="D462" i="5"/>
  <c r="C462" i="5"/>
  <c r="B462" i="5"/>
  <c r="A462" i="5"/>
  <c r="M461" i="5"/>
  <c r="L461" i="5"/>
  <c r="K461" i="5"/>
  <c r="J461" i="5"/>
  <c r="I461" i="5"/>
  <c r="H461" i="5"/>
  <c r="G461" i="5"/>
  <c r="F461" i="5"/>
  <c r="E461" i="5"/>
  <c r="D461" i="5"/>
  <c r="C461" i="5"/>
  <c r="B461" i="5"/>
  <c r="A461" i="5"/>
  <c r="M460" i="5"/>
  <c r="L460" i="5"/>
  <c r="K460" i="5"/>
  <c r="J460" i="5"/>
  <c r="I460" i="5"/>
  <c r="H460" i="5"/>
  <c r="G460" i="5"/>
  <c r="F460" i="5"/>
  <c r="E460" i="5"/>
  <c r="D460" i="5"/>
  <c r="C460" i="5"/>
  <c r="B460" i="5"/>
  <c r="A460" i="5"/>
  <c r="M459" i="5"/>
  <c r="L459" i="5"/>
  <c r="K459" i="5"/>
  <c r="J459" i="5"/>
  <c r="I459" i="5"/>
  <c r="H459" i="5"/>
  <c r="G459" i="5"/>
  <c r="F459" i="5"/>
  <c r="E459" i="5"/>
  <c r="D459" i="5"/>
  <c r="C459" i="5"/>
  <c r="B459" i="5"/>
  <c r="A459" i="5"/>
  <c r="M458" i="5"/>
  <c r="L458" i="5"/>
  <c r="K458" i="5"/>
  <c r="J458" i="5"/>
  <c r="I458" i="5"/>
  <c r="H458" i="5"/>
  <c r="G458" i="5"/>
  <c r="F458" i="5"/>
  <c r="E458" i="5"/>
  <c r="D458" i="5"/>
  <c r="C458" i="5"/>
  <c r="B458" i="5"/>
  <c r="A458" i="5"/>
  <c r="M457" i="5"/>
  <c r="L457" i="5"/>
  <c r="K457" i="5"/>
  <c r="J457" i="5"/>
  <c r="I457" i="5"/>
  <c r="H457" i="5"/>
  <c r="G457" i="5"/>
  <c r="F457" i="5"/>
  <c r="E457" i="5"/>
  <c r="D457" i="5"/>
  <c r="C457" i="5"/>
  <c r="B457" i="5"/>
  <c r="A457" i="5"/>
  <c r="M456" i="5"/>
  <c r="L456" i="5"/>
  <c r="K456" i="5"/>
  <c r="J456" i="5"/>
  <c r="I456" i="5"/>
  <c r="H456" i="5"/>
  <c r="G456" i="5"/>
  <c r="F456" i="5"/>
  <c r="E456" i="5"/>
  <c r="D456" i="5"/>
  <c r="C456" i="5"/>
  <c r="B456" i="5"/>
  <c r="A456" i="5"/>
  <c r="M455" i="5"/>
  <c r="L455" i="5"/>
  <c r="K455" i="5"/>
  <c r="J455" i="5"/>
  <c r="I455" i="5"/>
  <c r="H455" i="5"/>
  <c r="G455" i="5"/>
  <c r="F455" i="5"/>
  <c r="E455" i="5"/>
  <c r="D455" i="5"/>
  <c r="C455" i="5"/>
  <c r="B455" i="5"/>
  <c r="A455" i="5"/>
  <c r="M454" i="5"/>
  <c r="L454" i="5"/>
  <c r="K454" i="5"/>
  <c r="J454" i="5"/>
  <c r="I454" i="5"/>
  <c r="H454" i="5"/>
  <c r="G454" i="5"/>
  <c r="F454" i="5"/>
  <c r="D454" i="5"/>
  <c r="C454" i="5"/>
  <c r="B454" i="5"/>
  <c r="A454" i="5"/>
  <c r="M453" i="5"/>
  <c r="L453" i="5"/>
  <c r="K453" i="5"/>
  <c r="J453" i="5"/>
  <c r="I453" i="5"/>
  <c r="H453" i="5"/>
  <c r="G453" i="5"/>
  <c r="F453" i="5"/>
  <c r="E453" i="5"/>
  <c r="D453" i="5"/>
  <c r="C453" i="5"/>
  <c r="B453" i="5"/>
  <c r="A453" i="5"/>
  <c r="M452" i="5"/>
  <c r="L452" i="5"/>
  <c r="K452" i="5"/>
  <c r="J452" i="5"/>
  <c r="I452" i="5"/>
  <c r="H452" i="5"/>
  <c r="G452" i="5"/>
  <c r="F452" i="5"/>
  <c r="E452" i="5"/>
  <c r="D452" i="5"/>
  <c r="C452" i="5"/>
  <c r="B452" i="5"/>
  <c r="A452" i="5"/>
  <c r="M451" i="5"/>
  <c r="L451" i="5"/>
  <c r="K451" i="5"/>
  <c r="J451" i="5"/>
  <c r="I451" i="5"/>
  <c r="H451" i="5"/>
  <c r="G451" i="5"/>
  <c r="F451" i="5"/>
  <c r="E451" i="5"/>
  <c r="D451" i="5"/>
  <c r="C451" i="5"/>
  <c r="B451" i="5"/>
  <c r="A451" i="5"/>
  <c r="M450" i="5"/>
  <c r="L450" i="5"/>
  <c r="K450" i="5"/>
  <c r="J450" i="5"/>
  <c r="I450" i="5"/>
  <c r="H450" i="5"/>
  <c r="G450" i="5"/>
  <c r="F450" i="5"/>
  <c r="E450" i="5"/>
  <c r="D450" i="5"/>
  <c r="C450" i="5"/>
  <c r="B450" i="5"/>
  <c r="A450" i="5"/>
  <c r="M449" i="5"/>
  <c r="L449" i="5"/>
  <c r="K449" i="5"/>
  <c r="J449" i="5"/>
  <c r="I449" i="5"/>
  <c r="H449" i="5"/>
  <c r="G449" i="5"/>
  <c r="F449" i="5"/>
  <c r="E449" i="5"/>
  <c r="D449" i="5"/>
  <c r="C449" i="5"/>
  <c r="B449" i="5"/>
  <c r="A449" i="5"/>
  <c r="M448" i="5"/>
  <c r="L448" i="5"/>
  <c r="K448" i="5"/>
  <c r="J448" i="5"/>
  <c r="I448" i="5"/>
  <c r="H448" i="5"/>
  <c r="G448" i="5"/>
  <c r="F448" i="5"/>
  <c r="E448" i="5"/>
  <c r="D448" i="5"/>
  <c r="C448" i="5"/>
  <c r="B448" i="5"/>
  <c r="A448" i="5"/>
  <c r="M447" i="5"/>
  <c r="L447" i="5"/>
  <c r="K447" i="5"/>
  <c r="J447" i="5"/>
  <c r="I447" i="5"/>
  <c r="H447" i="5"/>
  <c r="G447" i="5"/>
  <c r="F447" i="5"/>
  <c r="E447" i="5"/>
  <c r="D447" i="5"/>
  <c r="C447" i="5"/>
  <c r="B447" i="5"/>
  <c r="A447" i="5"/>
  <c r="M446" i="5"/>
  <c r="L446" i="5"/>
  <c r="K446" i="5"/>
  <c r="J446" i="5"/>
  <c r="I446" i="5"/>
  <c r="H446" i="5"/>
  <c r="G446" i="5"/>
  <c r="F446" i="5"/>
  <c r="E446" i="5"/>
  <c r="D446" i="5"/>
  <c r="C446" i="5"/>
  <c r="B446" i="5"/>
  <c r="A446" i="5"/>
  <c r="M445" i="5"/>
  <c r="L445" i="5"/>
  <c r="K445" i="5"/>
  <c r="J445" i="5"/>
  <c r="I445" i="5"/>
  <c r="H445" i="5"/>
  <c r="G445" i="5"/>
  <c r="F445" i="5"/>
  <c r="E445" i="5"/>
  <c r="D445" i="5"/>
  <c r="C445" i="5"/>
  <c r="B445" i="5"/>
  <c r="A445" i="5"/>
  <c r="M444" i="5"/>
  <c r="L444" i="5"/>
  <c r="K444" i="5"/>
  <c r="J444" i="5"/>
  <c r="I444" i="5"/>
  <c r="H444" i="5"/>
  <c r="G444" i="5"/>
  <c r="F444" i="5"/>
  <c r="E444" i="5"/>
  <c r="D444" i="5"/>
  <c r="C444" i="5"/>
  <c r="B444" i="5"/>
  <c r="A444" i="5"/>
  <c r="M443" i="5"/>
  <c r="L443" i="5"/>
  <c r="K443" i="5"/>
  <c r="J443" i="5"/>
  <c r="I443" i="5"/>
  <c r="H443" i="5"/>
  <c r="G443" i="5"/>
  <c r="F443" i="5"/>
  <c r="E443" i="5"/>
  <c r="D443" i="5"/>
  <c r="C443" i="5"/>
  <c r="B443" i="5"/>
  <c r="A443" i="5"/>
  <c r="M442" i="5"/>
  <c r="L442" i="5"/>
  <c r="K442" i="5"/>
  <c r="J442" i="5"/>
  <c r="I442" i="5"/>
  <c r="H442" i="5"/>
  <c r="G442" i="5"/>
  <c r="F442" i="5"/>
  <c r="E442" i="5"/>
  <c r="D442" i="5"/>
  <c r="C442" i="5"/>
  <c r="B442" i="5"/>
  <c r="A442" i="5"/>
  <c r="M441" i="5"/>
  <c r="L441" i="5"/>
  <c r="K441" i="5"/>
  <c r="J441" i="5"/>
  <c r="I441" i="5"/>
  <c r="H441" i="5"/>
  <c r="G441" i="5"/>
  <c r="F441" i="5"/>
  <c r="E441" i="5"/>
  <c r="D441" i="5"/>
  <c r="C441" i="5"/>
  <c r="B441" i="5"/>
  <c r="A441" i="5"/>
  <c r="M440" i="5"/>
  <c r="L440" i="5"/>
  <c r="K440" i="5"/>
  <c r="J440" i="5"/>
  <c r="I440" i="5"/>
  <c r="H440" i="5"/>
  <c r="G440" i="5"/>
  <c r="F440" i="5"/>
  <c r="E440" i="5"/>
  <c r="D440" i="5"/>
  <c r="C440" i="5"/>
  <c r="B440" i="5"/>
  <c r="A440" i="5"/>
  <c r="M439" i="5"/>
  <c r="L439" i="5"/>
  <c r="K439" i="5"/>
  <c r="J439" i="5"/>
  <c r="I439" i="5"/>
  <c r="H439" i="5"/>
  <c r="G439" i="5"/>
  <c r="F439" i="5"/>
  <c r="E439" i="5"/>
  <c r="D439" i="5"/>
  <c r="C439" i="5"/>
  <c r="B439" i="5"/>
  <c r="A439" i="5"/>
  <c r="M438" i="5"/>
  <c r="L438" i="5"/>
  <c r="K438" i="5"/>
  <c r="J438" i="5"/>
  <c r="I438" i="5"/>
  <c r="H438" i="5"/>
  <c r="G438" i="5"/>
  <c r="F438" i="5"/>
  <c r="E438" i="5"/>
  <c r="D438" i="5"/>
  <c r="C438" i="5"/>
  <c r="B438" i="5"/>
  <c r="A438" i="5"/>
  <c r="M437" i="5"/>
  <c r="L437" i="5"/>
  <c r="K437" i="5"/>
  <c r="J437" i="5"/>
  <c r="I437" i="5"/>
  <c r="H437" i="5"/>
  <c r="G437" i="5"/>
  <c r="F437" i="5"/>
  <c r="E437" i="5"/>
  <c r="D437" i="5"/>
  <c r="C437" i="5"/>
  <c r="B437" i="5"/>
  <c r="A437" i="5"/>
  <c r="M436" i="5"/>
  <c r="L436" i="5"/>
  <c r="K436" i="5"/>
  <c r="J436" i="5"/>
  <c r="I436" i="5"/>
  <c r="H436" i="5"/>
  <c r="G436" i="5"/>
  <c r="F436" i="5"/>
  <c r="E436" i="5"/>
  <c r="D436" i="5"/>
  <c r="C436" i="5"/>
  <c r="B436" i="5"/>
  <c r="A436" i="5"/>
  <c r="M435" i="5"/>
  <c r="L435" i="5"/>
  <c r="K435" i="5"/>
  <c r="J435" i="5"/>
  <c r="I435" i="5"/>
  <c r="H435" i="5"/>
  <c r="G435" i="5"/>
  <c r="F435" i="5"/>
  <c r="E435" i="5"/>
  <c r="D435" i="5"/>
  <c r="C435" i="5"/>
  <c r="B435" i="5"/>
  <c r="A435" i="5"/>
  <c r="M434" i="5"/>
  <c r="L434" i="5"/>
  <c r="K434" i="5"/>
  <c r="J434" i="5"/>
  <c r="I434" i="5"/>
  <c r="H434" i="5"/>
  <c r="G434" i="5"/>
  <c r="F434" i="5"/>
  <c r="E434" i="5"/>
  <c r="D434" i="5"/>
  <c r="C434" i="5"/>
  <c r="B434" i="5"/>
  <c r="A434" i="5"/>
  <c r="M433" i="5"/>
  <c r="L433" i="5"/>
  <c r="K433" i="5"/>
  <c r="J433" i="5"/>
  <c r="I433" i="5"/>
  <c r="H433" i="5"/>
  <c r="G433" i="5"/>
  <c r="F433" i="5"/>
  <c r="E433" i="5"/>
  <c r="D433" i="5"/>
  <c r="C433" i="5"/>
  <c r="B433" i="5"/>
  <c r="A433" i="5"/>
  <c r="M432" i="5"/>
  <c r="L432" i="5"/>
  <c r="K432" i="5"/>
  <c r="J432" i="5"/>
  <c r="I432" i="5"/>
  <c r="H432" i="5"/>
  <c r="G432" i="5"/>
  <c r="F432" i="5"/>
  <c r="E432" i="5"/>
  <c r="D432" i="5"/>
  <c r="C432" i="5"/>
  <c r="B432" i="5"/>
  <c r="A432" i="5"/>
  <c r="M431" i="5"/>
  <c r="L431" i="5"/>
  <c r="K431" i="5"/>
  <c r="J431" i="5"/>
  <c r="I431" i="5"/>
  <c r="H431" i="5"/>
  <c r="G431" i="5"/>
  <c r="F431" i="5"/>
  <c r="E431" i="5"/>
  <c r="D431" i="5"/>
  <c r="C431" i="5"/>
  <c r="B431" i="5"/>
  <c r="A431" i="5"/>
  <c r="M430" i="5"/>
  <c r="L430" i="5"/>
  <c r="K430" i="5"/>
  <c r="J430" i="5"/>
  <c r="I430" i="5"/>
  <c r="H430" i="5"/>
  <c r="G430" i="5"/>
  <c r="F430" i="5"/>
  <c r="E430" i="5"/>
  <c r="D430" i="5"/>
  <c r="C430" i="5"/>
  <c r="B430" i="5"/>
  <c r="A430" i="5"/>
  <c r="M429" i="5"/>
  <c r="L429" i="5"/>
  <c r="K429" i="5"/>
  <c r="J429" i="5"/>
  <c r="I429" i="5"/>
  <c r="H429" i="5"/>
  <c r="G429" i="5"/>
  <c r="F429" i="5"/>
  <c r="E429" i="5"/>
  <c r="D429" i="5"/>
  <c r="C429" i="5"/>
  <c r="B429" i="5"/>
  <c r="A429" i="5"/>
  <c r="M428" i="5"/>
  <c r="L428" i="5"/>
  <c r="K428" i="5"/>
  <c r="J428" i="5"/>
  <c r="I428" i="5"/>
  <c r="H428" i="5"/>
  <c r="G428" i="5"/>
  <c r="F428" i="5"/>
  <c r="E428" i="5"/>
  <c r="D428" i="5"/>
  <c r="C428" i="5"/>
  <c r="B428" i="5"/>
  <c r="A428" i="5"/>
  <c r="M427" i="5"/>
  <c r="L427" i="5"/>
  <c r="K427" i="5"/>
  <c r="J427" i="5"/>
  <c r="I427" i="5"/>
  <c r="H427" i="5"/>
  <c r="G427" i="5"/>
  <c r="F427" i="5"/>
  <c r="E427" i="5"/>
  <c r="D427" i="5"/>
  <c r="C427" i="5"/>
  <c r="B427" i="5"/>
  <c r="A427" i="5"/>
  <c r="M426" i="5"/>
  <c r="L426" i="5"/>
  <c r="K426" i="5"/>
  <c r="J426" i="5"/>
  <c r="I426" i="5"/>
  <c r="H426" i="5"/>
  <c r="G426" i="5"/>
  <c r="F426" i="5"/>
  <c r="E426" i="5"/>
  <c r="D426" i="5"/>
  <c r="C426" i="5"/>
  <c r="B426" i="5"/>
  <c r="A426" i="5"/>
  <c r="M425" i="5"/>
  <c r="L425" i="5"/>
  <c r="K425" i="5"/>
  <c r="J425" i="5"/>
  <c r="I425" i="5"/>
  <c r="H425" i="5"/>
  <c r="G425" i="5"/>
  <c r="F425" i="5"/>
  <c r="D425" i="5"/>
  <c r="C425" i="5"/>
  <c r="B425" i="5"/>
  <c r="A425" i="5"/>
  <c r="M424" i="5"/>
  <c r="L424" i="5"/>
  <c r="K424" i="5"/>
  <c r="J424" i="5"/>
  <c r="I424" i="5"/>
  <c r="H424" i="5"/>
  <c r="G424" i="5"/>
  <c r="F424" i="5"/>
  <c r="E424" i="5"/>
  <c r="D424" i="5"/>
  <c r="C424" i="5"/>
  <c r="B424" i="5"/>
  <c r="A424" i="5"/>
  <c r="M423" i="5"/>
  <c r="L423" i="5"/>
  <c r="K423" i="5"/>
  <c r="J423" i="5"/>
  <c r="I423" i="5"/>
  <c r="H423" i="5"/>
  <c r="G423" i="5"/>
  <c r="F423" i="5"/>
  <c r="E423" i="5"/>
  <c r="D423" i="5"/>
  <c r="C423" i="5"/>
  <c r="B423" i="5"/>
  <c r="A423" i="5"/>
  <c r="M422" i="5"/>
  <c r="L422" i="5"/>
  <c r="K422" i="5"/>
  <c r="J422" i="5"/>
  <c r="I422" i="5"/>
  <c r="H422" i="5"/>
  <c r="G422" i="5"/>
  <c r="F422" i="5"/>
  <c r="E422" i="5"/>
  <c r="D422" i="5"/>
  <c r="C422" i="5"/>
  <c r="B422" i="5"/>
  <c r="A422" i="5"/>
  <c r="M421" i="5"/>
  <c r="L421" i="5"/>
  <c r="K421" i="5"/>
  <c r="J421" i="5"/>
  <c r="I421" i="5"/>
  <c r="H421" i="5"/>
  <c r="G421" i="5"/>
  <c r="F421" i="5"/>
  <c r="E421" i="5"/>
  <c r="D421" i="5"/>
  <c r="C421" i="5"/>
  <c r="B421" i="5"/>
  <c r="A421" i="5"/>
  <c r="M420" i="5"/>
  <c r="L420" i="5"/>
  <c r="K420" i="5"/>
  <c r="J420" i="5"/>
  <c r="I420" i="5"/>
  <c r="H420" i="5"/>
  <c r="G420" i="5"/>
  <c r="F420" i="5"/>
  <c r="E420" i="5"/>
  <c r="D420" i="5"/>
  <c r="C420" i="5"/>
  <c r="B420" i="5"/>
  <c r="A420" i="5"/>
  <c r="M419" i="5"/>
  <c r="L419" i="5"/>
  <c r="K419" i="5"/>
  <c r="J419" i="5"/>
  <c r="I419" i="5"/>
  <c r="H419" i="5"/>
  <c r="G419" i="5"/>
  <c r="F419" i="5"/>
  <c r="E419" i="5"/>
  <c r="D419" i="5"/>
  <c r="C419" i="5"/>
  <c r="B419" i="5"/>
  <c r="A419" i="5"/>
  <c r="M418" i="5"/>
  <c r="L418" i="5"/>
  <c r="K418" i="5"/>
  <c r="J418" i="5"/>
  <c r="I418" i="5"/>
  <c r="H418" i="5"/>
  <c r="G418" i="5"/>
  <c r="F418" i="5"/>
  <c r="E418" i="5"/>
  <c r="D418" i="5"/>
  <c r="C418" i="5"/>
  <c r="B418" i="5"/>
  <c r="A418" i="5"/>
  <c r="M417" i="5"/>
  <c r="L417" i="5"/>
  <c r="K417" i="5"/>
  <c r="J417" i="5"/>
  <c r="I417" i="5"/>
  <c r="H417" i="5"/>
  <c r="G417" i="5"/>
  <c r="F417" i="5"/>
  <c r="E417" i="5"/>
  <c r="D417" i="5"/>
  <c r="C417" i="5"/>
  <c r="B417" i="5"/>
  <c r="A417" i="5"/>
  <c r="M416" i="5"/>
  <c r="L416" i="5"/>
  <c r="K416" i="5"/>
  <c r="J416" i="5"/>
  <c r="I416" i="5"/>
  <c r="H416" i="5"/>
  <c r="G416" i="5"/>
  <c r="F416" i="5"/>
  <c r="E416" i="5"/>
  <c r="D416" i="5"/>
  <c r="C416" i="5"/>
  <c r="B416" i="5"/>
  <c r="A416" i="5"/>
  <c r="M415" i="5"/>
  <c r="L415" i="5"/>
  <c r="K415" i="5"/>
  <c r="J415" i="5"/>
  <c r="I415" i="5"/>
  <c r="H415" i="5"/>
  <c r="G415" i="5"/>
  <c r="F415" i="5"/>
  <c r="E415" i="5"/>
  <c r="D415" i="5"/>
  <c r="C415" i="5"/>
  <c r="B415" i="5"/>
  <c r="A415" i="5"/>
  <c r="M414" i="5"/>
  <c r="L414" i="5"/>
  <c r="K414" i="5"/>
  <c r="J414" i="5"/>
  <c r="I414" i="5"/>
  <c r="H414" i="5"/>
  <c r="G414" i="5"/>
  <c r="F414" i="5"/>
  <c r="E414" i="5"/>
  <c r="D414" i="5"/>
  <c r="C414" i="5"/>
  <c r="B414" i="5"/>
  <c r="A414" i="5"/>
  <c r="M413" i="5"/>
  <c r="L413" i="5"/>
  <c r="K413" i="5"/>
  <c r="J413" i="5"/>
  <c r="I413" i="5"/>
  <c r="H413" i="5"/>
  <c r="G413" i="5"/>
  <c r="F413" i="5"/>
  <c r="E413" i="5"/>
  <c r="D413" i="5"/>
  <c r="C413" i="5"/>
  <c r="B413" i="5"/>
  <c r="A413" i="5"/>
  <c r="M412" i="5"/>
  <c r="L412" i="5"/>
  <c r="K412" i="5"/>
  <c r="J412" i="5"/>
  <c r="I412" i="5"/>
  <c r="H412" i="5"/>
  <c r="G412" i="5"/>
  <c r="F412" i="5"/>
  <c r="E412" i="5"/>
  <c r="D412" i="5"/>
  <c r="C412" i="5"/>
  <c r="B412" i="5"/>
  <c r="A412" i="5"/>
  <c r="M411" i="5"/>
  <c r="L411" i="5"/>
  <c r="K411" i="5"/>
  <c r="J411" i="5"/>
  <c r="I411" i="5"/>
  <c r="H411" i="5"/>
  <c r="G411" i="5"/>
  <c r="F411" i="5"/>
  <c r="E411" i="5"/>
  <c r="D411" i="5"/>
  <c r="C411" i="5"/>
  <c r="B411" i="5"/>
  <c r="A411" i="5"/>
  <c r="M410" i="5"/>
  <c r="L410" i="5"/>
  <c r="K410" i="5"/>
  <c r="J410" i="5"/>
  <c r="I410" i="5"/>
  <c r="H410" i="5"/>
  <c r="G410" i="5"/>
  <c r="F410" i="5"/>
  <c r="E410" i="5"/>
  <c r="D410" i="5"/>
  <c r="C410" i="5"/>
  <c r="B410" i="5"/>
  <c r="A410" i="5"/>
  <c r="M409" i="5"/>
  <c r="L409" i="5"/>
  <c r="K409" i="5"/>
  <c r="J409" i="5"/>
  <c r="I409" i="5"/>
  <c r="H409" i="5"/>
  <c r="G409" i="5"/>
  <c r="F409" i="5"/>
  <c r="E409" i="5"/>
  <c r="D409" i="5"/>
  <c r="C409" i="5"/>
  <c r="B409" i="5"/>
  <c r="A409" i="5"/>
  <c r="M408" i="5"/>
  <c r="L408" i="5"/>
  <c r="K408" i="5"/>
  <c r="J408" i="5"/>
  <c r="I408" i="5"/>
  <c r="H408" i="5"/>
  <c r="G408" i="5"/>
  <c r="F408" i="5"/>
  <c r="E408" i="5"/>
  <c r="D408" i="5"/>
  <c r="C408" i="5"/>
  <c r="B408" i="5"/>
  <c r="A408" i="5"/>
  <c r="M407" i="5"/>
  <c r="L407" i="5"/>
  <c r="K407" i="5"/>
  <c r="J407" i="5"/>
  <c r="I407" i="5"/>
  <c r="H407" i="5"/>
  <c r="G407" i="5"/>
  <c r="F407" i="5"/>
  <c r="E407" i="5"/>
  <c r="D407" i="5"/>
  <c r="C407" i="5"/>
  <c r="B407" i="5"/>
  <c r="A407" i="5"/>
  <c r="M406" i="5"/>
  <c r="L406" i="5"/>
  <c r="K406" i="5"/>
  <c r="J406" i="5"/>
  <c r="I406" i="5"/>
  <c r="H406" i="5"/>
  <c r="G406" i="5"/>
  <c r="F406" i="5"/>
  <c r="E406" i="5"/>
  <c r="D406" i="5"/>
  <c r="C406" i="5"/>
  <c r="B406" i="5"/>
  <c r="A406" i="5"/>
  <c r="M405" i="5"/>
  <c r="L405" i="5"/>
  <c r="K405" i="5"/>
  <c r="J405" i="5"/>
  <c r="I405" i="5"/>
  <c r="H405" i="5"/>
  <c r="G405" i="5"/>
  <c r="F405" i="5"/>
  <c r="E405" i="5"/>
  <c r="D405" i="5"/>
  <c r="C405" i="5"/>
  <c r="B405" i="5"/>
  <c r="A405" i="5"/>
  <c r="M404" i="5"/>
  <c r="L404" i="5"/>
  <c r="K404" i="5"/>
  <c r="J404" i="5"/>
  <c r="I404" i="5"/>
  <c r="H404" i="5"/>
  <c r="G404" i="5"/>
  <c r="F404" i="5"/>
  <c r="E404" i="5"/>
  <c r="D404" i="5"/>
  <c r="C404" i="5"/>
  <c r="B404" i="5"/>
  <c r="A404" i="5"/>
  <c r="M403" i="5"/>
  <c r="L403" i="5"/>
  <c r="K403" i="5"/>
  <c r="J403" i="5"/>
  <c r="I403" i="5"/>
  <c r="H403" i="5"/>
  <c r="G403" i="5"/>
  <c r="F403" i="5"/>
  <c r="E403" i="5"/>
  <c r="D403" i="5"/>
  <c r="C403" i="5"/>
  <c r="B403" i="5"/>
  <c r="A403" i="5"/>
  <c r="M402" i="5"/>
  <c r="L402" i="5"/>
  <c r="K402" i="5"/>
  <c r="J402" i="5"/>
  <c r="I402" i="5"/>
  <c r="H402" i="5"/>
  <c r="G402" i="5"/>
  <c r="F402" i="5"/>
  <c r="E402" i="5"/>
  <c r="D402" i="5"/>
  <c r="C402" i="5"/>
  <c r="B402" i="5"/>
  <c r="A402" i="5"/>
  <c r="M401" i="5"/>
  <c r="L401" i="5"/>
  <c r="K401" i="5"/>
  <c r="J401" i="5"/>
  <c r="I401" i="5"/>
  <c r="H401" i="5"/>
  <c r="G401" i="5"/>
  <c r="F401" i="5"/>
  <c r="E401" i="5"/>
  <c r="D401" i="5"/>
  <c r="C401" i="5"/>
  <c r="B401" i="5"/>
  <c r="A401" i="5"/>
  <c r="M400" i="5"/>
  <c r="L400" i="5"/>
  <c r="K400" i="5"/>
  <c r="J400" i="5"/>
  <c r="I400" i="5"/>
  <c r="H400" i="5"/>
  <c r="G400" i="5"/>
  <c r="F400" i="5"/>
  <c r="E400" i="5"/>
  <c r="D400" i="5"/>
  <c r="C400" i="5"/>
  <c r="B400" i="5"/>
  <c r="A400" i="5"/>
  <c r="M399" i="5"/>
  <c r="L399" i="5"/>
  <c r="K399" i="5"/>
  <c r="J399" i="5"/>
  <c r="I399" i="5"/>
  <c r="H399" i="5"/>
  <c r="G399" i="5"/>
  <c r="F399" i="5"/>
  <c r="E399" i="5"/>
  <c r="D399" i="5"/>
  <c r="C399" i="5"/>
  <c r="B399" i="5"/>
  <c r="A399" i="5"/>
  <c r="M398" i="5"/>
  <c r="L398" i="5"/>
  <c r="K398" i="5"/>
  <c r="J398" i="5"/>
  <c r="I398" i="5"/>
  <c r="H398" i="5"/>
  <c r="G398" i="5"/>
  <c r="F398" i="5"/>
  <c r="E398" i="5"/>
  <c r="D398" i="5"/>
  <c r="C398" i="5"/>
  <c r="B398" i="5"/>
  <c r="A398" i="5"/>
  <c r="M397" i="5"/>
  <c r="L397" i="5"/>
  <c r="K397" i="5"/>
  <c r="J397" i="5"/>
  <c r="I397" i="5"/>
  <c r="H397" i="5"/>
  <c r="G397" i="5"/>
  <c r="F397" i="5"/>
  <c r="E397" i="5"/>
  <c r="D397" i="5"/>
  <c r="C397" i="5"/>
  <c r="B397" i="5"/>
  <c r="A397" i="5"/>
  <c r="M396" i="5"/>
  <c r="L396" i="5"/>
  <c r="K396" i="5"/>
  <c r="J396" i="5"/>
  <c r="I396" i="5"/>
  <c r="H396" i="5"/>
  <c r="G396" i="5"/>
  <c r="F396" i="5"/>
  <c r="E396" i="5"/>
  <c r="D396" i="5"/>
  <c r="C396" i="5"/>
  <c r="B396" i="5"/>
  <c r="A396" i="5"/>
  <c r="M395" i="5"/>
  <c r="L395" i="5"/>
  <c r="K395" i="5"/>
  <c r="J395" i="5"/>
  <c r="I395" i="5"/>
  <c r="H395" i="5"/>
  <c r="G395" i="5"/>
  <c r="F395" i="5"/>
  <c r="E395" i="5"/>
  <c r="D395" i="5"/>
  <c r="C395" i="5"/>
  <c r="B395" i="5"/>
  <c r="A395" i="5"/>
  <c r="M394" i="5"/>
  <c r="L394" i="5"/>
  <c r="K394" i="5"/>
  <c r="J394" i="5"/>
  <c r="I394" i="5"/>
  <c r="H394" i="5"/>
  <c r="G394" i="5"/>
  <c r="F394" i="5"/>
  <c r="E394" i="5"/>
  <c r="D394" i="5"/>
  <c r="C394" i="5"/>
  <c r="B394" i="5"/>
  <c r="A394" i="5"/>
  <c r="M393" i="5"/>
  <c r="L393" i="5"/>
  <c r="K393" i="5"/>
  <c r="J393" i="5"/>
  <c r="I393" i="5"/>
  <c r="H393" i="5"/>
  <c r="G393" i="5"/>
  <c r="F393" i="5"/>
  <c r="E393" i="5"/>
  <c r="D393" i="5"/>
  <c r="C393" i="5"/>
  <c r="B393" i="5"/>
  <c r="A393" i="5"/>
  <c r="M392" i="5"/>
  <c r="L392" i="5"/>
  <c r="K392" i="5"/>
  <c r="J392" i="5"/>
  <c r="I392" i="5"/>
  <c r="H392" i="5"/>
  <c r="G392" i="5"/>
  <c r="F392" i="5"/>
  <c r="E392" i="5"/>
  <c r="D392" i="5"/>
  <c r="C392" i="5"/>
  <c r="B392" i="5"/>
  <c r="A392" i="5"/>
  <c r="M391" i="5"/>
  <c r="L391" i="5"/>
  <c r="K391" i="5"/>
  <c r="J391" i="5"/>
  <c r="I391" i="5"/>
  <c r="H391" i="5"/>
  <c r="G391" i="5"/>
  <c r="F391" i="5"/>
  <c r="E391" i="5"/>
  <c r="D391" i="5"/>
  <c r="C391" i="5"/>
  <c r="B391" i="5"/>
  <c r="A391" i="5"/>
  <c r="M390" i="5"/>
  <c r="L390" i="5"/>
  <c r="K390" i="5"/>
  <c r="J390" i="5"/>
  <c r="I390" i="5"/>
  <c r="H390" i="5"/>
  <c r="G390" i="5"/>
  <c r="F390" i="5"/>
  <c r="E390" i="5"/>
  <c r="D390" i="5"/>
  <c r="C390" i="5"/>
  <c r="B390" i="5"/>
  <c r="A390" i="5"/>
  <c r="M389" i="5"/>
  <c r="L389" i="5"/>
  <c r="K389" i="5"/>
  <c r="J389" i="5"/>
  <c r="I389" i="5"/>
  <c r="H389" i="5"/>
  <c r="G389" i="5"/>
  <c r="F389" i="5"/>
  <c r="E389" i="5"/>
  <c r="D389" i="5"/>
  <c r="C389" i="5"/>
  <c r="B389" i="5"/>
  <c r="A389" i="5"/>
  <c r="M388" i="5"/>
  <c r="L388" i="5"/>
  <c r="K388" i="5"/>
  <c r="J388" i="5"/>
  <c r="I388" i="5"/>
  <c r="H388" i="5"/>
  <c r="G388" i="5"/>
  <c r="F388" i="5"/>
  <c r="E388" i="5"/>
  <c r="D388" i="5"/>
  <c r="C388" i="5"/>
  <c r="B388" i="5"/>
  <c r="A388" i="5"/>
  <c r="M387" i="5"/>
  <c r="L387" i="5"/>
  <c r="K387" i="5"/>
  <c r="J387" i="5"/>
  <c r="I387" i="5"/>
  <c r="H387" i="5"/>
  <c r="G387" i="5"/>
  <c r="F387" i="5"/>
  <c r="E387" i="5"/>
  <c r="D387" i="5"/>
  <c r="C387" i="5"/>
  <c r="B387" i="5"/>
  <c r="A387" i="5"/>
  <c r="M386" i="5"/>
  <c r="L386" i="5"/>
  <c r="K386" i="5"/>
  <c r="J386" i="5"/>
  <c r="I386" i="5"/>
  <c r="H386" i="5"/>
  <c r="G386" i="5"/>
  <c r="F386" i="5"/>
  <c r="E386" i="5"/>
  <c r="D386" i="5"/>
  <c r="C386" i="5"/>
  <c r="B386" i="5"/>
  <c r="A386" i="5"/>
  <c r="M385" i="5"/>
  <c r="L385" i="5"/>
  <c r="K385" i="5"/>
  <c r="J385" i="5"/>
  <c r="I385" i="5"/>
  <c r="H385" i="5"/>
  <c r="G385" i="5"/>
  <c r="F385" i="5"/>
  <c r="E385" i="5"/>
  <c r="D385" i="5"/>
  <c r="C385" i="5"/>
  <c r="B385" i="5"/>
  <c r="A385" i="5"/>
  <c r="M384" i="5"/>
  <c r="L384" i="5"/>
  <c r="K384" i="5"/>
  <c r="J384" i="5"/>
  <c r="I384" i="5"/>
  <c r="H384" i="5"/>
  <c r="G384" i="5"/>
  <c r="F384" i="5"/>
  <c r="E384" i="5"/>
  <c r="D384" i="5"/>
  <c r="C384" i="5"/>
  <c r="B384" i="5"/>
  <c r="A384" i="5"/>
  <c r="M383" i="5"/>
  <c r="L383" i="5"/>
  <c r="K383" i="5"/>
  <c r="J383" i="5"/>
  <c r="I383" i="5"/>
  <c r="H383" i="5"/>
  <c r="G383" i="5"/>
  <c r="F383" i="5"/>
  <c r="E383" i="5"/>
  <c r="D383" i="5"/>
  <c r="C383" i="5"/>
  <c r="B383" i="5"/>
  <c r="A383" i="5"/>
  <c r="M382" i="5"/>
  <c r="L382" i="5"/>
  <c r="K382" i="5"/>
  <c r="J382" i="5"/>
  <c r="I382" i="5"/>
  <c r="H382" i="5"/>
  <c r="G382" i="5"/>
  <c r="F382" i="5"/>
  <c r="E382" i="5"/>
  <c r="D382" i="5"/>
  <c r="C382" i="5"/>
  <c r="B382" i="5"/>
  <c r="A382" i="5"/>
  <c r="M381" i="5"/>
  <c r="L381" i="5"/>
  <c r="K381" i="5"/>
  <c r="J381" i="5"/>
  <c r="I381" i="5"/>
  <c r="H381" i="5"/>
  <c r="G381" i="5"/>
  <c r="F381" i="5"/>
  <c r="E381" i="5"/>
  <c r="D381" i="5"/>
  <c r="C381" i="5"/>
  <c r="B381" i="5"/>
  <c r="A381" i="5"/>
  <c r="M380" i="5"/>
  <c r="L380" i="5"/>
  <c r="K380" i="5"/>
  <c r="J380" i="5"/>
  <c r="I380" i="5"/>
  <c r="H380" i="5"/>
  <c r="G380" i="5"/>
  <c r="F380" i="5"/>
  <c r="E380" i="5"/>
  <c r="D380" i="5"/>
  <c r="C380" i="5"/>
  <c r="B380" i="5"/>
  <c r="A380" i="5"/>
  <c r="M379" i="5"/>
  <c r="L379" i="5"/>
  <c r="K379" i="5"/>
  <c r="J379" i="5"/>
  <c r="I379" i="5"/>
  <c r="H379" i="5"/>
  <c r="G379" i="5"/>
  <c r="F379" i="5"/>
  <c r="E379" i="5"/>
  <c r="D379" i="5"/>
  <c r="C379" i="5"/>
  <c r="B379" i="5"/>
  <c r="A379" i="5"/>
  <c r="M378" i="5"/>
  <c r="L378" i="5"/>
  <c r="K378" i="5"/>
  <c r="J378" i="5"/>
  <c r="I378" i="5"/>
  <c r="H378" i="5"/>
  <c r="G378" i="5"/>
  <c r="F378" i="5"/>
  <c r="E378" i="5"/>
  <c r="D378" i="5"/>
  <c r="C378" i="5"/>
  <c r="B378" i="5"/>
  <c r="A378" i="5"/>
  <c r="M377" i="5"/>
  <c r="L377" i="5"/>
  <c r="K377" i="5"/>
  <c r="J377" i="5"/>
  <c r="I377" i="5"/>
  <c r="H377" i="5"/>
  <c r="G377" i="5"/>
  <c r="F377" i="5"/>
  <c r="E377" i="5"/>
  <c r="D377" i="5"/>
  <c r="C377" i="5"/>
  <c r="B377" i="5"/>
  <c r="A377" i="5"/>
  <c r="M376" i="5"/>
  <c r="L376" i="5"/>
  <c r="K376" i="5"/>
  <c r="J376" i="5"/>
  <c r="I376" i="5"/>
  <c r="H376" i="5"/>
  <c r="G376" i="5"/>
  <c r="F376" i="5"/>
  <c r="E376" i="5"/>
  <c r="D376" i="5"/>
  <c r="C376" i="5"/>
  <c r="B376" i="5"/>
  <c r="A376" i="5"/>
  <c r="M375" i="5"/>
  <c r="L375" i="5"/>
  <c r="K375" i="5"/>
  <c r="J375" i="5"/>
  <c r="I375" i="5"/>
  <c r="H375" i="5"/>
  <c r="G375" i="5"/>
  <c r="F375" i="5"/>
  <c r="E375" i="5"/>
  <c r="D375" i="5"/>
  <c r="C375" i="5"/>
  <c r="B375" i="5"/>
  <c r="A375" i="5"/>
  <c r="M374" i="5"/>
  <c r="L374" i="5"/>
  <c r="K374" i="5"/>
  <c r="J374" i="5"/>
  <c r="I374" i="5"/>
  <c r="H374" i="5"/>
  <c r="G374" i="5"/>
  <c r="F374" i="5"/>
  <c r="D374" i="5"/>
  <c r="C374" i="5"/>
  <c r="B374" i="5"/>
  <c r="A374" i="5"/>
  <c r="M373" i="5"/>
  <c r="L373" i="5"/>
  <c r="K373" i="5"/>
  <c r="J373" i="5"/>
  <c r="I373" i="5"/>
  <c r="H373" i="5"/>
  <c r="G373" i="5"/>
  <c r="F373" i="5"/>
  <c r="E373" i="5"/>
  <c r="D373" i="5"/>
  <c r="C373" i="5"/>
  <c r="B373" i="5"/>
  <c r="A373" i="5"/>
  <c r="M372" i="5"/>
  <c r="L372" i="5"/>
  <c r="K372" i="5"/>
  <c r="J372" i="5"/>
  <c r="I372" i="5"/>
  <c r="H372" i="5"/>
  <c r="G372" i="5"/>
  <c r="F372" i="5"/>
  <c r="E372" i="5"/>
  <c r="D372" i="5"/>
  <c r="C372" i="5"/>
  <c r="B372" i="5"/>
  <c r="A372" i="5"/>
  <c r="M371" i="5"/>
  <c r="L371" i="5"/>
  <c r="K371" i="5"/>
  <c r="J371" i="5"/>
  <c r="I371" i="5"/>
  <c r="H371" i="5"/>
  <c r="G371" i="5"/>
  <c r="F371" i="5"/>
  <c r="E371" i="5"/>
  <c r="D371" i="5"/>
  <c r="C371" i="5"/>
  <c r="B371" i="5"/>
  <c r="A371" i="5"/>
  <c r="M370" i="5"/>
  <c r="L370" i="5"/>
  <c r="K370" i="5"/>
  <c r="J370" i="5"/>
  <c r="I370" i="5"/>
  <c r="H370" i="5"/>
  <c r="G370" i="5"/>
  <c r="F370" i="5"/>
  <c r="E370" i="5"/>
  <c r="D370" i="5"/>
  <c r="C370" i="5"/>
  <c r="B370" i="5"/>
  <c r="A370" i="5"/>
  <c r="M369" i="5"/>
  <c r="L369" i="5"/>
  <c r="K369" i="5"/>
  <c r="J369" i="5"/>
  <c r="I369" i="5"/>
  <c r="H369" i="5"/>
  <c r="G369" i="5"/>
  <c r="F369" i="5"/>
  <c r="E369" i="5"/>
  <c r="D369" i="5"/>
  <c r="C369" i="5"/>
  <c r="B369" i="5"/>
  <c r="A369" i="5"/>
  <c r="M368" i="5"/>
  <c r="L368" i="5"/>
  <c r="K368" i="5"/>
  <c r="J368" i="5"/>
  <c r="I368" i="5"/>
  <c r="H368" i="5"/>
  <c r="G368" i="5"/>
  <c r="F368" i="5"/>
  <c r="E368" i="5"/>
  <c r="D368" i="5"/>
  <c r="C368" i="5"/>
  <c r="B368" i="5"/>
  <c r="A368" i="5"/>
  <c r="M367" i="5"/>
  <c r="L367" i="5"/>
  <c r="K367" i="5"/>
  <c r="J367" i="5"/>
  <c r="I367" i="5"/>
  <c r="H367" i="5"/>
  <c r="G367" i="5"/>
  <c r="F367" i="5"/>
  <c r="E367" i="5"/>
  <c r="D367" i="5"/>
  <c r="C367" i="5"/>
  <c r="B367" i="5"/>
  <c r="A367" i="5"/>
  <c r="M366" i="5"/>
  <c r="L366" i="5"/>
  <c r="K366" i="5"/>
  <c r="J366" i="5"/>
  <c r="I366" i="5"/>
  <c r="H366" i="5"/>
  <c r="G366" i="5"/>
  <c r="F366" i="5"/>
  <c r="E366" i="5"/>
  <c r="D366" i="5"/>
  <c r="C366" i="5"/>
  <c r="B366" i="5"/>
  <c r="A366" i="5"/>
  <c r="M365" i="5"/>
  <c r="L365" i="5"/>
  <c r="K365" i="5"/>
  <c r="J365" i="5"/>
  <c r="I365" i="5"/>
  <c r="H365" i="5"/>
  <c r="G365" i="5"/>
  <c r="F365" i="5"/>
  <c r="E365" i="5"/>
  <c r="D365" i="5"/>
  <c r="C365" i="5"/>
  <c r="B365" i="5"/>
  <c r="A365" i="5"/>
  <c r="M364" i="5"/>
  <c r="L364" i="5"/>
  <c r="K364" i="5"/>
  <c r="J364" i="5"/>
  <c r="I364" i="5"/>
  <c r="H364" i="5"/>
  <c r="G364" i="5"/>
  <c r="F364" i="5"/>
  <c r="E364" i="5"/>
  <c r="D364" i="5"/>
  <c r="C364" i="5"/>
  <c r="B364" i="5"/>
  <c r="A364" i="5"/>
  <c r="M363" i="5"/>
  <c r="L363" i="5"/>
  <c r="K363" i="5"/>
  <c r="J363" i="5"/>
  <c r="I363" i="5"/>
  <c r="H363" i="5"/>
  <c r="G363" i="5"/>
  <c r="F363" i="5"/>
  <c r="E363" i="5"/>
  <c r="D363" i="5"/>
  <c r="C363" i="5"/>
  <c r="B363" i="5"/>
  <c r="A363" i="5"/>
  <c r="M362" i="5"/>
  <c r="L362" i="5"/>
  <c r="K362" i="5"/>
  <c r="J362" i="5"/>
  <c r="I362" i="5"/>
  <c r="H362" i="5"/>
  <c r="G362" i="5"/>
  <c r="F362" i="5"/>
  <c r="E362" i="5"/>
  <c r="D362" i="5"/>
  <c r="C362" i="5"/>
  <c r="B362" i="5"/>
  <c r="A362" i="5"/>
  <c r="M361" i="5"/>
  <c r="L361" i="5"/>
  <c r="K361" i="5"/>
  <c r="J361" i="5"/>
  <c r="I361" i="5"/>
  <c r="H361" i="5"/>
  <c r="G361" i="5"/>
  <c r="F361" i="5"/>
  <c r="E361" i="5"/>
  <c r="D361" i="5"/>
  <c r="C361" i="5"/>
  <c r="B361" i="5"/>
  <c r="A361" i="5"/>
  <c r="M360" i="5"/>
  <c r="L360" i="5"/>
  <c r="K360" i="5"/>
  <c r="J360" i="5"/>
  <c r="I360" i="5"/>
  <c r="H360" i="5"/>
  <c r="G360" i="5"/>
  <c r="F360" i="5"/>
  <c r="E360" i="5"/>
  <c r="D360" i="5"/>
  <c r="C360" i="5"/>
  <c r="B360" i="5"/>
  <c r="A360" i="5"/>
  <c r="M359" i="5"/>
  <c r="L359" i="5"/>
  <c r="K359" i="5"/>
  <c r="J359" i="5"/>
  <c r="I359" i="5"/>
  <c r="H359" i="5"/>
  <c r="G359" i="5"/>
  <c r="F359" i="5"/>
  <c r="E359" i="5"/>
  <c r="D359" i="5"/>
  <c r="C359" i="5"/>
  <c r="B359" i="5"/>
  <c r="A359" i="5"/>
  <c r="M358" i="5"/>
  <c r="L358" i="5"/>
  <c r="K358" i="5"/>
  <c r="J358" i="5"/>
  <c r="I358" i="5"/>
  <c r="H358" i="5"/>
  <c r="G358" i="5"/>
  <c r="F358" i="5"/>
  <c r="E358" i="5"/>
  <c r="D358" i="5"/>
  <c r="C358" i="5"/>
  <c r="B358" i="5"/>
  <c r="A358" i="5"/>
  <c r="M357" i="5"/>
  <c r="L357" i="5"/>
  <c r="K357" i="5"/>
  <c r="J357" i="5"/>
  <c r="I357" i="5"/>
  <c r="H357" i="5"/>
  <c r="G357" i="5"/>
  <c r="F357" i="5"/>
  <c r="E357" i="5"/>
  <c r="D357" i="5"/>
  <c r="C357" i="5"/>
  <c r="B357" i="5"/>
  <c r="A357" i="5"/>
  <c r="M356" i="5"/>
  <c r="L356" i="5"/>
  <c r="K356" i="5"/>
  <c r="J356" i="5"/>
  <c r="I356" i="5"/>
  <c r="H356" i="5"/>
  <c r="G356" i="5"/>
  <c r="F356" i="5"/>
  <c r="E356" i="5"/>
  <c r="D356" i="5"/>
  <c r="C356" i="5"/>
  <c r="B356" i="5"/>
  <c r="A356" i="5"/>
  <c r="M355" i="5"/>
  <c r="L355" i="5"/>
  <c r="K355" i="5"/>
  <c r="J355" i="5"/>
  <c r="I355" i="5"/>
  <c r="H355" i="5"/>
  <c r="G355" i="5"/>
  <c r="F355" i="5"/>
  <c r="E355" i="5"/>
  <c r="D355" i="5"/>
  <c r="C355" i="5"/>
  <c r="B355" i="5"/>
  <c r="A355" i="5"/>
  <c r="M354" i="5"/>
  <c r="L354" i="5"/>
  <c r="K354" i="5"/>
  <c r="J354" i="5"/>
  <c r="I354" i="5"/>
  <c r="H354" i="5"/>
  <c r="G354" i="5"/>
  <c r="F354" i="5"/>
  <c r="E354" i="5"/>
  <c r="D354" i="5"/>
  <c r="C354" i="5"/>
  <c r="B354" i="5"/>
  <c r="A354" i="5"/>
  <c r="M353" i="5"/>
  <c r="L353" i="5"/>
  <c r="K353" i="5"/>
  <c r="J353" i="5"/>
  <c r="I353" i="5"/>
  <c r="H353" i="5"/>
  <c r="G353" i="5"/>
  <c r="F353" i="5"/>
  <c r="E353" i="5"/>
  <c r="D353" i="5"/>
  <c r="C353" i="5"/>
  <c r="B353" i="5"/>
  <c r="A353" i="5"/>
  <c r="M352" i="5"/>
  <c r="L352" i="5"/>
  <c r="K352" i="5"/>
  <c r="J352" i="5"/>
  <c r="I352" i="5"/>
  <c r="H352" i="5"/>
  <c r="G352" i="5"/>
  <c r="F352" i="5"/>
  <c r="E352" i="5"/>
  <c r="D352" i="5"/>
  <c r="C352" i="5"/>
  <c r="B352" i="5"/>
  <c r="A352" i="5"/>
  <c r="M351" i="5"/>
  <c r="L351" i="5"/>
  <c r="K351" i="5"/>
  <c r="J351" i="5"/>
  <c r="I351" i="5"/>
  <c r="H351" i="5"/>
  <c r="G351" i="5"/>
  <c r="F351" i="5"/>
  <c r="E351" i="5"/>
  <c r="D351" i="5"/>
  <c r="C351" i="5"/>
  <c r="B351" i="5"/>
  <c r="A351" i="5"/>
  <c r="M350" i="5"/>
  <c r="L350" i="5"/>
  <c r="K350" i="5"/>
  <c r="J350" i="5"/>
  <c r="I350" i="5"/>
  <c r="H350" i="5"/>
  <c r="G350" i="5"/>
  <c r="F350" i="5"/>
  <c r="E350" i="5"/>
  <c r="D350" i="5"/>
  <c r="C350" i="5"/>
  <c r="B350" i="5"/>
  <c r="A350" i="5"/>
  <c r="M349" i="5"/>
  <c r="L349" i="5"/>
  <c r="K349" i="5"/>
  <c r="J349" i="5"/>
  <c r="I349" i="5"/>
  <c r="H349" i="5"/>
  <c r="G349" i="5"/>
  <c r="F349" i="5"/>
  <c r="E349" i="5"/>
  <c r="D349" i="5"/>
  <c r="C349" i="5"/>
  <c r="B349" i="5"/>
  <c r="A349" i="5"/>
  <c r="M348" i="5"/>
  <c r="L348" i="5"/>
  <c r="K348" i="5"/>
  <c r="J348" i="5"/>
  <c r="I348" i="5"/>
  <c r="H348" i="5"/>
  <c r="G348" i="5"/>
  <c r="F348" i="5"/>
  <c r="E348" i="5"/>
  <c r="D348" i="5"/>
  <c r="C348" i="5"/>
  <c r="B348" i="5"/>
  <c r="A348" i="5"/>
  <c r="M347" i="5"/>
  <c r="L347" i="5"/>
  <c r="K347" i="5"/>
  <c r="J347" i="5"/>
  <c r="I347" i="5"/>
  <c r="H347" i="5"/>
  <c r="G347" i="5"/>
  <c r="F347" i="5"/>
  <c r="E347" i="5"/>
  <c r="D347" i="5"/>
  <c r="C347" i="5"/>
  <c r="B347" i="5"/>
  <c r="A347" i="5"/>
  <c r="M346" i="5"/>
  <c r="L346" i="5"/>
  <c r="K346" i="5"/>
  <c r="J346" i="5"/>
  <c r="I346" i="5"/>
  <c r="H346" i="5"/>
  <c r="G346" i="5"/>
  <c r="F346" i="5"/>
  <c r="E346" i="5"/>
  <c r="D346" i="5"/>
  <c r="C346" i="5"/>
  <c r="B346" i="5"/>
  <c r="A346" i="5"/>
  <c r="M345" i="5"/>
  <c r="L345" i="5"/>
  <c r="K345" i="5"/>
  <c r="J345" i="5"/>
  <c r="I345" i="5"/>
  <c r="H345" i="5"/>
  <c r="G345" i="5"/>
  <c r="F345" i="5"/>
  <c r="E345" i="5"/>
  <c r="D345" i="5"/>
  <c r="C345" i="5"/>
  <c r="B345" i="5"/>
  <c r="A345" i="5"/>
  <c r="M344" i="5"/>
  <c r="L344" i="5"/>
  <c r="K344" i="5"/>
  <c r="J344" i="5"/>
  <c r="I344" i="5"/>
  <c r="H344" i="5"/>
  <c r="G344" i="5"/>
  <c r="F344" i="5"/>
  <c r="E344" i="5"/>
  <c r="D344" i="5"/>
  <c r="C344" i="5"/>
  <c r="B344" i="5"/>
  <c r="A344" i="5"/>
  <c r="M343" i="5"/>
  <c r="L343" i="5"/>
  <c r="K343" i="5"/>
  <c r="J343" i="5"/>
  <c r="I343" i="5"/>
  <c r="H343" i="5"/>
  <c r="G343" i="5"/>
  <c r="F343" i="5"/>
  <c r="E343" i="5"/>
  <c r="D343" i="5"/>
  <c r="C343" i="5"/>
  <c r="B343" i="5"/>
  <c r="A343" i="5"/>
  <c r="M342" i="5"/>
  <c r="L342" i="5"/>
  <c r="K342" i="5"/>
  <c r="J342" i="5"/>
  <c r="I342" i="5"/>
  <c r="H342" i="5"/>
  <c r="G342" i="5"/>
  <c r="F342" i="5"/>
  <c r="E342" i="5"/>
  <c r="D342" i="5"/>
  <c r="C342" i="5"/>
  <c r="B342" i="5"/>
  <c r="A342" i="5"/>
  <c r="M341" i="5"/>
  <c r="L341" i="5"/>
  <c r="K341" i="5"/>
  <c r="J341" i="5"/>
  <c r="I341" i="5"/>
  <c r="H341" i="5"/>
  <c r="G341" i="5"/>
  <c r="F341" i="5"/>
  <c r="E341" i="5"/>
  <c r="D341" i="5"/>
  <c r="C341" i="5"/>
  <c r="B341" i="5"/>
  <c r="A341" i="5"/>
  <c r="M340" i="5"/>
  <c r="L340" i="5"/>
  <c r="K340" i="5"/>
  <c r="J340" i="5"/>
  <c r="I340" i="5"/>
  <c r="H340" i="5"/>
  <c r="G340" i="5"/>
  <c r="F340" i="5"/>
  <c r="E340" i="5"/>
  <c r="D340" i="5"/>
  <c r="C340" i="5"/>
  <c r="B340" i="5"/>
  <c r="A340" i="5"/>
  <c r="M339" i="5"/>
  <c r="L339" i="5"/>
  <c r="K339" i="5"/>
  <c r="J339" i="5"/>
  <c r="I339" i="5"/>
  <c r="H339" i="5"/>
  <c r="G339" i="5"/>
  <c r="F339" i="5"/>
  <c r="E339" i="5"/>
  <c r="D339" i="5"/>
  <c r="C339" i="5"/>
  <c r="B339" i="5"/>
  <c r="A339" i="5"/>
  <c r="M338" i="5"/>
  <c r="L338" i="5"/>
  <c r="K338" i="5"/>
  <c r="J338" i="5"/>
  <c r="I338" i="5"/>
  <c r="H338" i="5"/>
  <c r="G338" i="5"/>
  <c r="F338" i="5"/>
  <c r="E338" i="5"/>
  <c r="D338" i="5"/>
  <c r="C338" i="5"/>
  <c r="B338" i="5"/>
  <c r="A338" i="5"/>
  <c r="M337" i="5"/>
  <c r="L337" i="5"/>
  <c r="K337" i="5"/>
  <c r="J337" i="5"/>
  <c r="I337" i="5"/>
  <c r="H337" i="5"/>
  <c r="G337" i="5"/>
  <c r="F337" i="5"/>
  <c r="E337" i="5"/>
  <c r="D337" i="5"/>
  <c r="C337" i="5"/>
  <c r="B337" i="5"/>
  <c r="A337" i="5"/>
  <c r="M336" i="5"/>
  <c r="L336" i="5"/>
  <c r="K336" i="5"/>
  <c r="J336" i="5"/>
  <c r="I336" i="5"/>
  <c r="H336" i="5"/>
  <c r="G336" i="5"/>
  <c r="F336" i="5"/>
  <c r="E336" i="5"/>
  <c r="D336" i="5"/>
  <c r="C336" i="5"/>
  <c r="B336" i="5"/>
  <c r="A336" i="5"/>
  <c r="M335" i="5"/>
  <c r="L335" i="5"/>
  <c r="K335" i="5"/>
  <c r="J335" i="5"/>
  <c r="I335" i="5"/>
  <c r="H335" i="5"/>
  <c r="G335" i="5"/>
  <c r="F335" i="5"/>
  <c r="E335" i="5"/>
  <c r="D335" i="5"/>
  <c r="C335" i="5"/>
  <c r="B335" i="5"/>
  <c r="A335" i="5"/>
  <c r="M334" i="5"/>
  <c r="L334" i="5"/>
  <c r="K334" i="5"/>
  <c r="J334" i="5"/>
  <c r="I334" i="5"/>
  <c r="H334" i="5"/>
  <c r="G334" i="5"/>
  <c r="F334" i="5"/>
  <c r="E334" i="5"/>
  <c r="D334" i="5"/>
  <c r="C334" i="5"/>
  <c r="B334" i="5"/>
  <c r="A334" i="5"/>
  <c r="M333" i="5"/>
  <c r="L333" i="5"/>
  <c r="K333" i="5"/>
  <c r="J333" i="5"/>
  <c r="I333" i="5"/>
  <c r="H333" i="5"/>
  <c r="G333" i="5"/>
  <c r="F333" i="5"/>
  <c r="E333" i="5"/>
  <c r="D333" i="5"/>
  <c r="C333" i="5"/>
  <c r="B333" i="5"/>
  <c r="A333" i="5"/>
  <c r="M332" i="5"/>
  <c r="L332" i="5"/>
  <c r="K332" i="5"/>
  <c r="J332" i="5"/>
  <c r="I332" i="5"/>
  <c r="H332" i="5"/>
  <c r="G332" i="5"/>
  <c r="F332" i="5"/>
  <c r="E332" i="5"/>
  <c r="D332" i="5"/>
  <c r="C332" i="5"/>
  <c r="B332" i="5"/>
  <c r="A332" i="5"/>
  <c r="M331" i="5"/>
  <c r="L331" i="5"/>
  <c r="K331" i="5"/>
  <c r="J331" i="5"/>
  <c r="I331" i="5"/>
  <c r="H331" i="5"/>
  <c r="G331" i="5"/>
  <c r="F331" i="5"/>
  <c r="E331" i="5"/>
  <c r="D331" i="5"/>
  <c r="C331" i="5"/>
  <c r="B331" i="5"/>
  <c r="A331" i="5"/>
  <c r="M330" i="5"/>
  <c r="L330" i="5"/>
  <c r="K330" i="5"/>
  <c r="J330" i="5"/>
  <c r="I330" i="5"/>
  <c r="H330" i="5"/>
  <c r="G330" i="5"/>
  <c r="F330" i="5"/>
  <c r="D330" i="5"/>
  <c r="C330" i="5"/>
  <c r="B330" i="5"/>
  <c r="A330" i="5"/>
  <c r="M329" i="5"/>
  <c r="L329" i="5"/>
  <c r="K329" i="5"/>
  <c r="J329" i="5"/>
  <c r="I329" i="5"/>
  <c r="H329" i="5"/>
  <c r="G329" i="5"/>
  <c r="F329" i="5"/>
  <c r="E329" i="5"/>
  <c r="D329" i="5"/>
  <c r="C329" i="5"/>
  <c r="B329" i="5"/>
  <c r="A329" i="5"/>
  <c r="M328" i="5"/>
  <c r="L328" i="5"/>
  <c r="K328" i="5"/>
  <c r="J328" i="5"/>
  <c r="I328" i="5"/>
  <c r="H328" i="5"/>
  <c r="G328" i="5"/>
  <c r="F328" i="5"/>
  <c r="E328" i="5"/>
  <c r="D328" i="5"/>
  <c r="C328" i="5"/>
  <c r="B328" i="5"/>
  <c r="A328" i="5"/>
  <c r="M327" i="5"/>
  <c r="L327" i="5"/>
  <c r="K327" i="5"/>
  <c r="J327" i="5"/>
  <c r="I327" i="5"/>
  <c r="H327" i="5"/>
  <c r="G327" i="5"/>
  <c r="F327" i="5"/>
  <c r="E327" i="5"/>
  <c r="D327" i="5"/>
  <c r="C327" i="5"/>
  <c r="B327" i="5"/>
  <c r="A327" i="5"/>
  <c r="M326" i="5"/>
  <c r="L326" i="5"/>
  <c r="K326" i="5"/>
  <c r="J326" i="5"/>
  <c r="I326" i="5"/>
  <c r="H326" i="5"/>
  <c r="G326" i="5"/>
  <c r="F326" i="5"/>
  <c r="E326" i="5"/>
  <c r="D326" i="5"/>
  <c r="C326" i="5"/>
  <c r="B326" i="5"/>
  <c r="A326" i="5"/>
  <c r="M325" i="5"/>
  <c r="L325" i="5"/>
  <c r="K325" i="5"/>
  <c r="J325" i="5"/>
  <c r="I325" i="5"/>
  <c r="H325" i="5"/>
  <c r="G325" i="5"/>
  <c r="F325" i="5"/>
  <c r="E325" i="5"/>
  <c r="D325" i="5"/>
  <c r="C325" i="5"/>
  <c r="B325" i="5"/>
  <c r="A325" i="5"/>
  <c r="M324" i="5"/>
  <c r="L324" i="5"/>
  <c r="K324" i="5"/>
  <c r="J324" i="5"/>
  <c r="I324" i="5"/>
  <c r="H324" i="5"/>
  <c r="G324" i="5"/>
  <c r="F324" i="5"/>
  <c r="E324" i="5"/>
  <c r="D324" i="5"/>
  <c r="C324" i="5"/>
  <c r="B324" i="5"/>
  <c r="A324" i="5"/>
  <c r="M323" i="5"/>
  <c r="L323" i="5"/>
  <c r="K323" i="5"/>
  <c r="J323" i="5"/>
  <c r="I323" i="5"/>
  <c r="H323" i="5"/>
  <c r="G323" i="5"/>
  <c r="F323" i="5"/>
  <c r="E323" i="5"/>
  <c r="D323" i="5"/>
  <c r="C323" i="5"/>
  <c r="B323" i="5"/>
  <c r="A323" i="5"/>
  <c r="M322" i="5"/>
  <c r="L322" i="5"/>
  <c r="K322" i="5"/>
  <c r="J322" i="5"/>
  <c r="I322" i="5"/>
  <c r="H322" i="5"/>
  <c r="G322" i="5"/>
  <c r="F322" i="5"/>
  <c r="E322" i="5"/>
  <c r="D322" i="5"/>
  <c r="C322" i="5"/>
  <c r="B322" i="5"/>
  <c r="A322" i="5"/>
  <c r="M321" i="5"/>
  <c r="L321" i="5"/>
  <c r="K321" i="5"/>
  <c r="J321" i="5"/>
  <c r="I321" i="5"/>
  <c r="H321" i="5"/>
  <c r="G321" i="5"/>
  <c r="F321" i="5"/>
  <c r="E321" i="5"/>
  <c r="D321" i="5"/>
  <c r="C321" i="5"/>
  <c r="B321" i="5"/>
  <c r="A321" i="5"/>
  <c r="M320" i="5"/>
  <c r="L320" i="5"/>
  <c r="K320" i="5"/>
  <c r="J320" i="5"/>
  <c r="I320" i="5"/>
  <c r="H320" i="5"/>
  <c r="G320" i="5"/>
  <c r="F320" i="5"/>
  <c r="E320" i="5"/>
  <c r="D320" i="5"/>
  <c r="C320" i="5"/>
  <c r="B320" i="5"/>
  <c r="A320" i="5"/>
  <c r="M319" i="5"/>
  <c r="L319" i="5"/>
  <c r="K319" i="5"/>
  <c r="J319" i="5"/>
  <c r="I319" i="5"/>
  <c r="H319" i="5"/>
  <c r="G319" i="5"/>
  <c r="F319" i="5"/>
  <c r="E319" i="5"/>
  <c r="D319" i="5"/>
  <c r="C319" i="5"/>
  <c r="B319" i="5"/>
  <c r="A319" i="5"/>
  <c r="M318" i="5"/>
  <c r="L318" i="5"/>
  <c r="K318" i="5"/>
  <c r="J318" i="5"/>
  <c r="I318" i="5"/>
  <c r="H318" i="5"/>
  <c r="G318" i="5"/>
  <c r="F318" i="5"/>
  <c r="E318" i="5"/>
  <c r="D318" i="5"/>
  <c r="C318" i="5"/>
  <c r="B318" i="5"/>
  <c r="A318" i="5"/>
  <c r="M317" i="5"/>
  <c r="L317" i="5"/>
  <c r="K317" i="5"/>
  <c r="J317" i="5"/>
  <c r="I317" i="5"/>
  <c r="H317" i="5"/>
  <c r="G317" i="5"/>
  <c r="F317" i="5"/>
  <c r="E317" i="5"/>
  <c r="D317" i="5"/>
  <c r="C317" i="5"/>
  <c r="B317" i="5"/>
  <c r="A317" i="5"/>
  <c r="M316" i="5"/>
  <c r="L316" i="5"/>
  <c r="K316" i="5"/>
  <c r="J316" i="5"/>
  <c r="I316" i="5"/>
  <c r="H316" i="5"/>
  <c r="G316" i="5"/>
  <c r="F316" i="5"/>
  <c r="E316" i="5"/>
  <c r="D316" i="5"/>
  <c r="C316" i="5"/>
  <c r="B316" i="5"/>
  <c r="A316" i="5"/>
  <c r="M315" i="5"/>
  <c r="L315" i="5"/>
  <c r="K315" i="5"/>
  <c r="J315" i="5"/>
  <c r="I315" i="5"/>
  <c r="H315" i="5"/>
  <c r="G315" i="5"/>
  <c r="F315" i="5"/>
  <c r="E315" i="5"/>
  <c r="D315" i="5"/>
  <c r="C315" i="5"/>
  <c r="B315" i="5"/>
  <c r="A315" i="5"/>
  <c r="M314" i="5"/>
  <c r="L314" i="5"/>
  <c r="K314" i="5"/>
  <c r="J314" i="5"/>
  <c r="I314" i="5"/>
  <c r="H314" i="5"/>
  <c r="G314" i="5"/>
  <c r="F314" i="5"/>
  <c r="E314" i="5"/>
  <c r="D314" i="5"/>
  <c r="C314" i="5"/>
  <c r="B314" i="5"/>
  <c r="A314" i="5"/>
  <c r="M313" i="5"/>
  <c r="L313" i="5"/>
  <c r="K313" i="5"/>
  <c r="J313" i="5"/>
  <c r="I313" i="5"/>
  <c r="H313" i="5"/>
  <c r="G313" i="5"/>
  <c r="F313" i="5"/>
  <c r="E313" i="5"/>
  <c r="D313" i="5"/>
  <c r="C313" i="5"/>
  <c r="B313" i="5"/>
  <c r="A313" i="5"/>
  <c r="M312" i="5"/>
  <c r="L312" i="5"/>
  <c r="K312" i="5"/>
  <c r="J312" i="5"/>
  <c r="I312" i="5"/>
  <c r="H312" i="5"/>
  <c r="G312" i="5"/>
  <c r="F312" i="5"/>
  <c r="E312" i="5"/>
  <c r="D312" i="5"/>
  <c r="C312" i="5"/>
  <c r="B312" i="5"/>
  <c r="A312" i="5"/>
  <c r="M311" i="5"/>
  <c r="L311" i="5"/>
  <c r="K311" i="5"/>
  <c r="J311" i="5"/>
  <c r="I311" i="5"/>
  <c r="H311" i="5"/>
  <c r="G311" i="5"/>
  <c r="F311" i="5"/>
  <c r="E311" i="5"/>
  <c r="D311" i="5"/>
  <c r="C311" i="5"/>
  <c r="B311" i="5"/>
  <c r="A311" i="5"/>
  <c r="M310" i="5"/>
  <c r="L310" i="5"/>
  <c r="K310" i="5"/>
  <c r="J310" i="5"/>
  <c r="I310" i="5"/>
  <c r="H310" i="5"/>
  <c r="G310" i="5"/>
  <c r="F310" i="5"/>
  <c r="E310" i="5"/>
  <c r="D310" i="5"/>
  <c r="C310" i="5"/>
  <c r="B310" i="5"/>
  <c r="A310" i="5"/>
  <c r="M309" i="5"/>
  <c r="L309" i="5"/>
  <c r="K309" i="5"/>
  <c r="J309" i="5"/>
  <c r="I309" i="5"/>
  <c r="H309" i="5"/>
  <c r="G309" i="5"/>
  <c r="F309" i="5"/>
  <c r="E309" i="5"/>
  <c r="D309" i="5"/>
  <c r="C309" i="5"/>
  <c r="B309" i="5"/>
  <c r="A309" i="5"/>
  <c r="M308" i="5"/>
  <c r="L308" i="5"/>
  <c r="K308" i="5"/>
  <c r="J308" i="5"/>
  <c r="I308" i="5"/>
  <c r="H308" i="5"/>
  <c r="G308" i="5"/>
  <c r="F308" i="5"/>
  <c r="E308" i="5"/>
  <c r="D308" i="5"/>
  <c r="C308" i="5"/>
  <c r="B308" i="5"/>
  <c r="A308" i="5"/>
  <c r="M307" i="5"/>
  <c r="L307" i="5"/>
  <c r="K307" i="5"/>
  <c r="J307" i="5"/>
  <c r="I307" i="5"/>
  <c r="H307" i="5"/>
  <c r="G307" i="5"/>
  <c r="F307" i="5"/>
  <c r="D307" i="5"/>
  <c r="C307" i="5"/>
  <c r="B307" i="5"/>
  <c r="A307" i="5"/>
  <c r="M306" i="5"/>
  <c r="L306" i="5"/>
  <c r="K306" i="5"/>
  <c r="J306" i="5"/>
  <c r="I306" i="5"/>
  <c r="H306" i="5"/>
  <c r="G306" i="5"/>
  <c r="F306" i="5"/>
  <c r="E306" i="5"/>
  <c r="D306" i="5"/>
  <c r="C306" i="5"/>
  <c r="B306" i="5"/>
  <c r="A306" i="5"/>
  <c r="M305" i="5"/>
  <c r="L305" i="5"/>
  <c r="K305" i="5"/>
  <c r="J305" i="5"/>
  <c r="I305" i="5"/>
  <c r="H305" i="5"/>
  <c r="G305" i="5"/>
  <c r="F305" i="5"/>
  <c r="E305" i="5"/>
  <c r="D305" i="5"/>
  <c r="C305" i="5"/>
  <c r="B305" i="5"/>
  <c r="A305" i="5"/>
  <c r="M304" i="5"/>
  <c r="L304" i="5"/>
  <c r="K304" i="5"/>
  <c r="J304" i="5"/>
  <c r="I304" i="5"/>
  <c r="H304" i="5"/>
  <c r="G304" i="5"/>
  <c r="F304" i="5"/>
  <c r="E304" i="5"/>
  <c r="D304" i="5"/>
  <c r="C304" i="5"/>
  <c r="B304" i="5"/>
  <c r="A304" i="5"/>
  <c r="M303" i="5"/>
  <c r="L303" i="5"/>
  <c r="K303" i="5"/>
  <c r="J303" i="5"/>
  <c r="I303" i="5"/>
  <c r="H303" i="5"/>
  <c r="G303" i="5"/>
  <c r="F303" i="5"/>
  <c r="E303" i="5"/>
  <c r="D303" i="5"/>
  <c r="C303" i="5"/>
  <c r="B303" i="5"/>
  <c r="A303" i="5"/>
  <c r="M302" i="5"/>
  <c r="L302" i="5"/>
  <c r="K302" i="5"/>
  <c r="J302" i="5"/>
  <c r="I302" i="5"/>
  <c r="H302" i="5"/>
  <c r="G302" i="5"/>
  <c r="F302" i="5"/>
  <c r="E302" i="5"/>
  <c r="D302" i="5"/>
  <c r="C302" i="5"/>
  <c r="B302" i="5"/>
  <c r="A302" i="5"/>
  <c r="M301" i="5"/>
  <c r="L301" i="5"/>
  <c r="K301" i="5"/>
  <c r="J301" i="5"/>
  <c r="I301" i="5"/>
  <c r="H301" i="5"/>
  <c r="G301" i="5"/>
  <c r="F301" i="5"/>
  <c r="E301" i="5"/>
  <c r="D301" i="5"/>
  <c r="C301" i="5"/>
  <c r="B301" i="5"/>
  <c r="A301" i="5"/>
  <c r="M300" i="5"/>
  <c r="L300" i="5"/>
  <c r="K300" i="5"/>
  <c r="J300" i="5"/>
  <c r="I300" i="5"/>
  <c r="H300" i="5"/>
  <c r="G300" i="5"/>
  <c r="F300" i="5"/>
  <c r="E300" i="5"/>
  <c r="D300" i="5"/>
  <c r="C300" i="5"/>
  <c r="B300" i="5"/>
  <c r="A300" i="5"/>
  <c r="M299" i="5"/>
  <c r="L299" i="5"/>
  <c r="K299" i="5"/>
  <c r="J299" i="5"/>
  <c r="I299" i="5"/>
  <c r="H299" i="5"/>
  <c r="G299" i="5"/>
  <c r="F299" i="5"/>
  <c r="E299" i="5"/>
  <c r="D299" i="5"/>
  <c r="C299" i="5"/>
  <c r="B299" i="5"/>
  <c r="A299" i="5"/>
  <c r="M298" i="5"/>
  <c r="L298" i="5"/>
  <c r="K298" i="5"/>
  <c r="J298" i="5"/>
  <c r="I298" i="5"/>
  <c r="H298" i="5"/>
  <c r="G298" i="5"/>
  <c r="F298" i="5"/>
  <c r="E298" i="5"/>
  <c r="D298" i="5"/>
  <c r="C298" i="5"/>
  <c r="B298" i="5"/>
  <c r="A298" i="5"/>
  <c r="M297" i="5"/>
  <c r="L297" i="5"/>
  <c r="K297" i="5"/>
  <c r="J297" i="5"/>
  <c r="I297" i="5"/>
  <c r="H297" i="5"/>
  <c r="G297" i="5"/>
  <c r="F297" i="5"/>
  <c r="E297" i="5"/>
  <c r="D297" i="5"/>
  <c r="C297" i="5"/>
  <c r="B297" i="5"/>
  <c r="A297" i="5"/>
  <c r="M296" i="5"/>
  <c r="L296" i="5"/>
  <c r="K296" i="5"/>
  <c r="J296" i="5"/>
  <c r="I296" i="5"/>
  <c r="H296" i="5"/>
  <c r="G296" i="5"/>
  <c r="F296" i="5"/>
  <c r="E296" i="5"/>
  <c r="D296" i="5"/>
  <c r="C296" i="5"/>
  <c r="B296" i="5"/>
  <c r="A296" i="5"/>
  <c r="M295" i="5"/>
  <c r="L295" i="5"/>
  <c r="K295" i="5"/>
  <c r="J295" i="5"/>
  <c r="I295" i="5"/>
  <c r="H295" i="5"/>
  <c r="G295" i="5"/>
  <c r="F295" i="5"/>
  <c r="E295" i="5"/>
  <c r="D295" i="5"/>
  <c r="C295" i="5"/>
  <c r="B295" i="5"/>
  <c r="A295" i="5"/>
  <c r="M294" i="5"/>
  <c r="L294" i="5"/>
  <c r="K294" i="5"/>
  <c r="J294" i="5"/>
  <c r="I294" i="5"/>
  <c r="H294" i="5"/>
  <c r="G294" i="5"/>
  <c r="F294" i="5"/>
  <c r="E294" i="5"/>
  <c r="D294" i="5"/>
  <c r="C294" i="5"/>
  <c r="B294" i="5"/>
  <c r="A294" i="5"/>
  <c r="M293" i="5"/>
  <c r="L293" i="5"/>
  <c r="K293" i="5"/>
  <c r="J293" i="5"/>
  <c r="I293" i="5"/>
  <c r="H293" i="5"/>
  <c r="G293" i="5"/>
  <c r="F293" i="5"/>
  <c r="E293" i="5"/>
  <c r="D293" i="5"/>
  <c r="C293" i="5"/>
  <c r="B293" i="5"/>
  <c r="A293" i="5"/>
  <c r="M292" i="5"/>
  <c r="L292" i="5"/>
  <c r="K292" i="5"/>
  <c r="J292" i="5"/>
  <c r="I292" i="5"/>
  <c r="H292" i="5"/>
  <c r="G292" i="5"/>
  <c r="F292" i="5"/>
  <c r="E292" i="5"/>
  <c r="D292" i="5"/>
  <c r="C292" i="5"/>
  <c r="B292" i="5"/>
  <c r="A292" i="5"/>
  <c r="M291" i="5"/>
  <c r="L291" i="5"/>
  <c r="K291" i="5"/>
  <c r="J291" i="5"/>
  <c r="I291" i="5"/>
  <c r="H291" i="5"/>
  <c r="G291" i="5"/>
  <c r="F291" i="5"/>
  <c r="E291" i="5"/>
  <c r="D291" i="5"/>
  <c r="C291" i="5"/>
  <c r="B291" i="5"/>
  <c r="A291" i="5"/>
  <c r="M290" i="5"/>
  <c r="L290" i="5"/>
  <c r="K290" i="5"/>
  <c r="J290" i="5"/>
  <c r="I290" i="5"/>
  <c r="H290" i="5"/>
  <c r="G290" i="5"/>
  <c r="F290" i="5"/>
  <c r="E290" i="5"/>
  <c r="D290" i="5"/>
  <c r="C290" i="5"/>
  <c r="B290" i="5"/>
  <c r="A290" i="5"/>
  <c r="M289" i="5"/>
  <c r="L289" i="5"/>
  <c r="K289" i="5"/>
  <c r="J289" i="5"/>
  <c r="I289" i="5"/>
  <c r="H289" i="5"/>
  <c r="G289" i="5"/>
  <c r="F289" i="5"/>
  <c r="E289" i="5"/>
  <c r="D289" i="5"/>
  <c r="C289" i="5"/>
  <c r="B289" i="5"/>
  <c r="A289" i="5"/>
  <c r="M288" i="5"/>
  <c r="L288" i="5"/>
  <c r="K288" i="5"/>
  <c r="J288" i="5"/>
  <c r="I288" i="5"/>
  <c r="H288" i="5"/>
  <c r="G288" i="5"/>
  <c r="E288" i="5"/>
  <c r="D288" i="5"/>
  <c r="C288" i="5"/>
  <c r="B288" i="5"/>
  <c r="A288" i="5"/>
  <c r="M287" i="5"/>
  <c r="L287" i="5"/>
  <c r="K287" i="5"/>
  <c r="J287" i="5"/>
  <c r="I287" i="5"/>
  <c r="H287" i="5"/>
  <c r="G287" i="5"/>
  <c r="F287" i="5"/>
  <c r="E287" i="5"/>
  <c r="D287" i="5"/>
  <c r="C287" i="5"/>
  <c r="B287" i="5"/>
  <c r="A287" i="5"/>
  <c r="M286" i="5"/>
  <c r="L286" i="5"/>
  <c r="K286" i="5"/>
  <c r="J286" i="5"/>
  <c r="I286" i="5"/>
  <c r="H286" i="5"/>
  <c r="G286" i="5"/>
  <c r="F286" i="5"/>
  <c r="E286" i="5"/>
  <c r="D286" i="5"/>
  <c r="C286" i="5"/>
  <c r="B286" i="5"/>
  <c r="A286" i="5"/>
  <c r="M285" i="5"/>
  <c r="L285" i="5"/>
  <c r="K285" i="5"/>
  <c r="J285" i="5"/>
  <c r="I285" i="5"/>
  <c r="H285" i="5"/>
  <c r="G285" i="5"/>
  <c r="F285" i="5"/>
  <c r="E285" i="5"/>
  <c r="D285" i="5"/>
  <c r="C285" i="5"/>
  <c r="B285" i="5"/>
  <c r="A285" i="5"/>
  <c r="M284" i="5"/>
  <c r="L284" i="5"/>
  <c r="K284" i="5"/>
  <c r="J284" i="5"/>
  <c r="I284" i="5"/>
  <c r="H284" i="5"/>
  <c r="G284" i="5"/>
  <c r="F284" i="5"/>
  <c r="E284" i="5"/>
  <c r="D284" i="5"/>
  <c r="C284" i="5"/>
  <c r="B284" i="5"/>
  <c r="A284" i="5"/>
  <c r="M283" i="5"/>
  <c r="L283" i="5"/>
  <c r="K283" i="5"/>
  <c r="J283" i="5"/>
  <c r="I283" i="5"/>
  <c r="H283" i="5"/>
  <c r="G283" i="5"/>
  <c r="F283" i="5"/>
  <c r="E283" i="5"/>
  <c r="D283" i="5"/>
  <c r="C283" i="5"/>
  <c r="B283" i="5"/>
  <c r="A283" i="5"/>
  <c r="M282" i="5"/>
  <c r="L282" i="5"/>
  <c r="K282" i="5"/>
  <c r="J282" i="5"/>
  <c r="I282" i="5"/>
  <c r="H282" i="5"/>
  <c r="G282" i="5"/>
  <c r="F282" i="5"/>
  <c r="E282" i="5"/>
  <c r="D282" i="5"/>
  <c r="C282" i="5"/>
  <c r="B282" i="5"/>
  <c r="A282" i="5"/>
  <c r="M281" i="5"/>
  <c r="L281" i="5"/>
  <c r="K281" i="5"/>
  <c r="J281" i="5"/>
  <c r="I281" i="5"/>
  <c r="H281" i="5"/>
  <c r="G281" i="5"/>
  <c r="F281" i="5"/>
  <c r="E281" i="5"/>
  <c r="D281" i="5"/>
  <c r="C281" i="5"/>
  <c r="B281" i="5"/>
  <c r="A281" i="5"/>
  <c r="M280" i="5"/>
  <c r="L280" i="5"/>
  <c r="K280" i="5"/>
  <c r="J280" i="5"/>
  <c r="I280" i="5"/>
  <c r="H280" i="5"/>
  <c r="G280" i="5"/>
  <c r="F280" i="5"/>
  <c r="E280" i="5"/>
  <c r="D280" i="5"/>
  <c r="C280" i="5"/>
  <c r="B280" i="5"/>
  <c r="A280" i="5"/>
  <c r="M279" i="5"/>
  <c r="L279" i="5"/>
  <c r="K279" i="5"/>
  <c r="J279" i="5"/>
  <c r="I279" i="5"/>
  <c r="H279" i="5"/>
  <c r="G279" i="5"/>
  <c r="F279" i="5"/>
  <c r="E279" i="5"/>
  <c r="D279" i="5"/>
  <c r="C279" i="5"/>
  <c r="B279" i="5"/>
  <c r="A279" i="5"/>
  <c r="M278" i="5"/>
  <c r="L278" i="5"/>
  <c r="K278" i="5"/>
  <c r="J278" i="5"/>
  <c r="I278" i="5"/>
  <c r="H278" i="5"/>
  <c r="G278" i="5"/>
  <c r="F278" i="5"/>
  <c r="E278" i="5"/>
  <c r="D278" i="5"/>
  <c r="C278" i="5"/>
  <c r="B278" i="5"/>
  <c r="A278" i="5"/>
  <c r="M277" i="5"/>
  <c r="L277" i="5"/>
  <c r="K277" i="5"/>
  <c r="J277" i="5"/>
  <c r="I277" i="5"/>
  <c r="H277" i="5"/>
  <c r="G277" i="5"/>
  <c r="F277" i="5"/>
  <c r="E277" i="5"/>
  <c r="D277" i="5"/>
  <c r="C277" i="5"/>
  <c r="B277" i="5"/>
  <c r="A277" i="5"/>
  <c r="M276" i="5"/>
  <c r="L276" i="5"/>
  <c r="K276" i="5"/>
  <c r="J276" i="5"/>
  <c r="I276" i="5"/>
  <c r="H276" i="5"/>
  <c r="G276" i="5"/>
  <c r="F276" i="5"/>
  <c r="E276" i="5"/>
  <c r="D276" i="5"/>
  <c r="C276" i="5"/>
  <c r="B276" i="5"/>
  <c r="A276" i="5"/>
  <c r="M275" i="5"/>
  <c r="L275" i="5"/>
  <c r="K275" i="5"/>
  <c r="J275" i="5"/>
  <c r="I275" i="5"/>
  <c r="H275" i="5"/>
  <c r="G275" i="5"/>
  <c r="F275" i="5"/>
  <c r="E275" i="5"/>
  <c r="D275" i="5"/>
  <c r="C275" i="5"/>
  <c r="B275" i="5"/>
  <c r="A275" i="5"/>
  <c r="M274" i="5"/>
  <c r="L274" i="5"/>
  <c r="K274" i="5"/>
  <c r="J274" i="5"/>
  <c r="I274" i="5"/>
  <c r="H274" i="5"/>
  <c r="G274" i="5"/>
  <c r="F274" i="5"/>
  <c r="E274" i="5"/>
  <c r="D274" i="5"/>
  <c r="C274" i="5"/>
  <c r="B274" i="5"/>
  <c r="A274" i="5"/>
  <c r="M273" i="5"/>
  <c r="L273" i="5"/>
  <c r="K273" i="5"/>
  <c r="J273" i="5"/>
  <c r="I273" i="5"/>
  <c r="H273" i="5"/>
  <c r="G273" i="5"/>
  <c r="F273" i="5"/>
  <c r="E273" i="5"/>
  <c r="D273" i="5"/>
  <c r="C273" i="5"/>
  <c r="B273" i="5"/>
  <c r="A273" i="5"/>
  <c r="M272" i="5"/>
  <c r="L272" i="5"/>
  <c r="K272" i="5"/>
  <c r="J272" i="5"/>
  <c r="I272" i="5"/>
  <c r="H272" i="5"/>
  <c r="G272" i="5"/>
  <c r="F272" i="5"/>
  <c r="E272" i="5"/>
  <c r="D272" i="5"/>
  <c r="C272" i="5"/>
  <c r="B272" i="5"/>
  <c r="A272" i="5"/>
  <c r="M271" i="5"/>
  <c r="L271" i="5"/>
  <c r="K271" i="5"/>
  <c r="J271" i="5"/>
  <c r="I271" i="5"/>
  <c r="H271" i="5"/>
  <c r="G271" i="5"/>
  <c r="F271" i="5"/>
  <c r="E271" i="5"/>
  <c r="D271" i="5"/>
  <c r="C271" i="5"/>
  <c r="B271" i="5"/>
  <c r="A271" i="5"/>
  <c r="M270" i="5"/>
  <c r="L270" i="5"/>
  <c r="K270" i="5"/>
  <c r="J270" i="5"/>
  <c r="I270" i="5"/>
  <c r="H270" i="5"/>
  <c r="G270" i="5"/>
  <c r="F270" i="5"/>
  <c r="E270" i="5"/>
  <c r="D270" i="5"/>
  <c r="C270" i="5"/>
  <c r="B270" i="5"/>
  <c r="A270" i="5"/>
  <c r="M269" i="5"/>
  <c r="L269" i="5"/>
  <c r="K269" i="5"/>
  <c r="J269" i="5"/>
  <c r="I269" i="5"/>
  <c r="H269" i="5"/>
  <c r="G269" i="5"/>
  <c r="F269" i="5"/>
  <c r="E269" i="5"/>
  <c r="D269" i="5"/>
  <c r="C269" i="5"/>
  <c r="B269" i="5"/>
  <c r="A269" i="5"/>
  <c r="M268" i="5"/>
  <c r="L268" i="5"/>
  <c r="K268" i="5"/>
  <c r="J268" i="5"/>
  <c r="I268" i="5"/>
  <c r="H268" i="5"/>
  <c r="G268" i="5"/>
  <c r="F268" i="5"/>
  <c r="D268" i="5"/>
  <c r="C268" i="5"/>
  <c r="B268" i="5"/>
  <c r="A268" i="5"/>
  <c r="M267" i="5"/>
  <c r="L267" i="5"/>
  <c r="K267" i="5"/>
  <c r="J267" i="5"/>
  <c r="I267" i="5"/>
  <c r="H267" i="5"/>
  <c r="G267" i="5"/>
  <c r="F267" i="5"/>
  <c r="E267" i="5"/>
  <c r="D267" i="5"/>
  <c r="C267" i="5"/>
  <c r="B267" i="5"/>
  <c r="A267" i="5"/>
  <c r="M266" i="5"/>
  <c r="L266" i="5"/>
  <c r="K266" i="5"/>
  <c r="J266" i="5"/>
  <c r="I266" i="5"/>
  <c r="H266" i="5"/>
  <c r="G266" i="5"/>
  <c r="F266" i="5"/>
  <c r="E266" i="5"/>
  <c r="D266" i="5"/>
  <c r="C266" i="5"/>
  <c r="B266" i="5"/>
  <c r="A266" i="5"/>
  <c r="M265" i="5"/>
  <c r="L265" i="5"/>
  <c r="K265" i="5"/>
  <c r="J265" i="5"/>
  <c r="I265" i="5"/>
  <c r="H265" i="5"/>
  <c r="G265" i="5"/>
  <c r="F265" i="5"/>
  <c r="E265" i="5"/>
  <c r="D265" i="5"/>
  <c r="C265" i="5"/>
  <c r="B265" i="5"/>
  <c r="A265" i="5"/>
  <c r="M264" i="5"/>
  <c r="L264" i="5"/>
  <c r="K264" i="5"/>
  <c r="J264" i="5"/>
  <c r="I264" i="5"/>
  <c r="H264" i="5"/>
  <c r="G264" i="5"/>
  <c r="F264" i="5"/>
  <c r="E264" i="5"/>
  <c r="D264" i="5"/>
  <c r="C264" i="5"/>
  <c r="B264" i="5"/>
  <c r="A264" i="5"/>
  <c r="M263" i="5"/>
  <c r="L263" i="5"/>
  <c r="K263" i="5"/>
  <c r="J263" i="5"/>
  <c r="I263" i="5"/>
  <c r="H263" i="5"/>
  <c r="G263" i="5"/>
  <c r="F263" i="5"/>
  <c r="E263" i="5"/>
  <c r="D263" i="5"/>
  <c r="C263" i="5"/>
  <c r="B263" i="5"/>
  <c r="A263" i="5"/>
  <c r="M262" i="5"/>
  <c r="L262" i="5"/>
  <c r="K262" i="5"/>
  <c r="J262" i="5"/>
  <c r="I262" i="5"/>
  <c r="H262" i="5"/>
  <c r="G262" i="5"/>
  <c r="F262" i="5"/>
  <c r="E262" i="5"/>
  <c r="D262" i="5"/>
  <c r="C262" i="5"/>
  <c r="B262" i="5"/>
  <c r="A262" i="5"/>
  <c r="M261" i="5"/>
  <c r="L261" i="5"/>
  <c r="K261" i="5"/>
  <c r="J261" i="5"/>
  <c r="I261" i="5"/>
  <c r="H261" i="5"/>
  <c r="G261" i="5"/>
  <c r="F261" i="5"/>
  <c r="E261" i="5"/>
  <c r="D261" i="5"/>
  <c r="C261" i="5"/>
  <c r="B261" i="5"/>
  <c r="A261" i="5"/>
  <c r="M260" i="5"/>
  <c r="L260" i="5"/>
  <c r="K260" i="5"/>
  <c r="J260" i="5"/>
  <c r="I260" i="5"/>
  <c r="H260" i="5"/>
  <c r="G260" i="5"/>
  <c r="F260" i="5"/>
  <c r="E260" i="5"/>
  <c r="D260" i="5"/>
  <c r="C260" i="5"/>
  <c r="B260" i="5"/>
  <c r="A260" i="5"/>
  <c r="M259" i="5"/>
  <c r="L259" i="5"/>
  <c r="K259" i="5"/>
  <c r="J259" i="5"/>
  <c r="I259" i="5"/>
  <c r="H259" i="5"/>
  <c r="G259" i="5"/>
  <c r="F259" i="5"/>
  <c r="E259" i="5"/>
  <c r="D259" i="5"/>
  <c r="C259" i="5"/>
  <c r="B259" i="5"/>
  <c r="A259" i="5"/>
  <c r="M258" i="5"/>
  <c r="L258" i="5"/>
  <c r="K258" i="5"/>
  <c r="J258" i="5"/>
  <c r="I258" i="5"/>
  <c r="H258" i="5"/>
  <c r="G258" i="5"/>
  <c r="F258" i="5"/>
  <c r="E258" i="5"/>
  <c r="D258" i="5"/>
  <c r="C258" i="5"/>
  <c r="B258" i="5"/>
  <c r="A258" i="5"/>
  <c r="M257" i="5"/>
  <c r="L257" i="5"/>
  <c r="K257" i="5"/>
  <c r="J257" i="5"/>
  <c r="I257" i="5"/>
  <c r="H257" i="5"/>
  <c r="G257" i="5"/>
  <c r="F257" i="5"/>
  <c r="E257" i="5"/>
  <c r="D257" i="5"/>
  <c r="C257" i="5"/>
  <c r="B257" i="5"/>
  <c r="A257" i="5"/>
  <c r="M256" i="5"/>
  <c r="L256" i="5"/>
  <c r="K256" i="5"/>
  <c r="J256" i="5"/>
  <c r="I256" i="5"/>
  <c r="H256" i="5"/>
  <c r="G256" i="5"/>
  <c r="F256" i="5"/>
  <c r="E256" i="5"/>
  <c r="D256" i="5"/>
  <c r="C256" i="5"/>
  <c r="B256" i="5"/>
  <c r="A256" i="5"/>
  <c r="M255" i="5"/>
  <c r="L255" i="5"/>
  <c r="K255" i="5"/>
  <c r="J255" i="5"/>
  <c r="I255" i="5"/>
  <c r="H255" i="5"/>
  <c r="G255" i="5"/>
  <c r="F255" i="5"/>
  <c r="E255" i="5"/>
  <c r="D255" i="5"/>
  <c r="C255" i="5"/>
  <c r="B255" i="5"/>
  <c r="A255" i="5"/>
  <c r="M254" i="5"/>
  <c r="L254" i="5"/>
  <c r="K254" i="5"/>
  <c r="J254" i="5"/>
  <c r="I254" i="5"/>
  <c r="H254" i="5"/>
  <c r="G254" i="5"/>
  <c r="F254" i="5"/>
  <c r="E254" i="5"/>
  <c r="D254" i="5"/>
  <c r="C254" i="5"/>
  <c r="B254" i="5"/>
  <c r="A254" i="5"/>
  <c r="M253" i="5"/>
  <c r="L253" i="5"/>
  <c r="K253" i="5"/>
  <c r="J253" i="5"/>
  <c r="I253" i="5"/>
  <c r="H253" i="5"/>
  <c r="G253" i="5"/>
  <c r="F253" i="5"/>
  <c r="E253" i="5"/>
  <c r="D253" i="5"/>
  <c r="C253" i="5"/>
  <c r="B253" i="5"/>
  <c r="A253" i="5"/>
  <c r="M252" i="5"/>
  <c r="L252" i="5"/>
  <c r="K252" i="5"/>
  <c r="J252" i="5"/>
  <c r="I252" i="5"/>
  <c r="H252" i="5"/>
  <c r="G252" i="5"/>
  <c r="F252" i="5"/>
  <c r="E252" i="5"/>
  <c r="D252" i="5"/>
  <c r="C252" i="5"/>
  <c r="B252" i="5"/>
  <c r="A252" i="5"/>
  <c r="M251" i="5"/>
  <c r="L251" i="5"/>
  <c r="K251" i="5"/>
  <c r="J251" i="5"/>
  <c r="I251" i="5"/>
  <c r="H251" i="5"/>
  <c r="G251" i="5"/>
  <c r="F251" i="5"/>
  <c r="E251" i="5"/>
  <c r="D251" i="5"/>
  <c r="C251" i="5"/>
  <c r="B251" i="5"/>
  <c r="A251" i="5"/>
  <c r="M250" i="5"/>
  <c r="L250" i="5"/>
  <c r="K250" i="5"/>
  <c r="J250" i="5"/>
  <c r="I250" i="5"/>
  <c r="H250" i="5"/>
  <c r="G250" i="5"/>
  <c r="F250" i="5"/>
  <c r="D250" i="5"/>
  <c r="C250" i="5"/>
  <c r="B250" i="5"/>
  <c r="A250" i="5"/>
  <c r="M249" i="5"/>
  <c r="L249" i="5"/>
  <c r="K249" i="5"/>
  <c r="J249" i="5"/>
  <c r="I249" i="5"/>
  <c r="H249" i="5"/>
  <c r="G249" i="5"/>
  <c r="F249" i="5"/>
  <c r="E249" i="5"/>
  <c r="D249" i="5"/>
  <c r="C249" i="5"/>
  <c r="B249" i="5"/>
  <c r="A249" i="5"/>
  <c r="M248" i="5"/>
  <c r="L248" i="5"/>
  <c r="K248" i="5"/>
  <c r="J248" i="5"/>
  <c r="I248" i="5"/>
  <c r="H248" i="5"/>
  <c r="G248" i="5"/>
  <c r="F248" i="5"/>
  <c r="E248" i="5"/>
  <c r="D248" i="5"/>
  <c r="C248" i="5"/>
  <c r="B248" i="5"/>
  <c r="A248" i="5"/>
  <c r="M247" i="5"/>
  <c r="L247" i="5"/>
  <c r="K247" i="5"/>
  <c r="J247" i="5"/>
  <c r="I247" i="5"/>
  <c r="H247" i="5"/>
  <c r="G247" i="5"/>
  <c r="F247" i="5"/>
  <c r="E247" i="5"/>
  <c r="D247" i="5"/>
  <c r="C247" i="5"/>
  <c r="B247" i="5"/>
  <c r="A247" i="5"/>
  <c r="M246" i="5"/>
  <c r="L246" i="5"/>
  <c r="K246" i="5"/>
  <c r="J246" i="5"/>
  <c r="I246" i="5"/>
  <c r="H246" i="5"/>
  <c r="G246" i="5"/>
  <c r="F246" i="5"/>
  <c r="E246" i="5"/>
  <c r="D246" i="5"/>
  <c r="C246" i="5"/>
  <c r="B246" i="5"/>
  <c r="A246" i="5"/>
  <c r="M245" i="5"/>
  <c r="L245" i="5"/>
  <c r="K245" i="5"/>
  <c r="J245" i="5"/>
  <c r="I245" i="5"/>
  <c r="H245" i="5"/>
  <c r="G245" i="5"/>
  <c r="F245" i="5"/>
  <c r="E245" i="5"/>
  <c r="D245" i="5"/>
  <c r="C245" i="5"/>
  <c r="B245" i="5"/>
  <c r="A245" i="5"/>
  <c r="M244" i="5"/>
  <c r="L244" i="5"/>
  <c r="K244" i="5"/>
  <c r="J244" i="5"/>
  <c r="I244" i="5"/>
  <c r="H244" i="5"/>
  <c r="G244" i="5"/>
  <c r="F244" i="5"/>
  <c r="E244" i="5"/>
  <c r="D244" i="5"/>
  <c r="C244" i="5"/>
  <c r="B244" i="5"/>
  <c r="A244" i="5"/>
  <c r="M243" i="5"/>
  <c r="L243" i="5"/>
  <c r="K243" i="5"/>
  <c r="J243" i="5"/>
  <c r="I243" i="5"/>
  <c r="H243" i="5"/>
  <c r="G243" i="5"/>
  <c r="F243" i="5"/>
  <c r="E243" i="5"/>
  <c r="D243" i="5"/>
  <c r="C243" i="5"/>
  <c r="B243" i="5"/>
  <c r="A243" i="5"/>
  <c r="M242" i="5"/>
  <c r="L242" i="5"/>
  <c r="K242" i="5"/>
  <c r="J242" i="5"/>
  <c r="I242" i="5"/>
  <c r="H242" i="5"/>
  <c r="G242" i="5"/>
  <c r="F242" i="5"/>
  <c r="E242" i="5"/>
  <c r="D242" i="5"/>
  <c r="C242" i="5"/>
  <c r="B242" i="5"/>
  <c r="A242" i="5"/>
  <c r="M241" i="5"/>
  <c r="L241" i="5"/>
  <c r="K241" i="5"/>
  <c r="J241" i="5"/>
  <c r="I241" i="5"/>
  <c r="H241" i="5"/>
  <c r="G241" i="5"/>
  <c r="F241" i="5"/>
  <c r="E241" i="5"/>
  <c r="D241" i="5"/>
  <c r="C241" i="5"/>
  <c r="B241" i="5"/>
  <c r="A241" i="5"/>
  <c r="M240" i="5"/>
  <c r="L240" i="5"/>
  <c r="K240" i="5"/>
  <c r="J240" i="5"/>
  <c r="I240" i="5"/>
  <c r="H240" i="5"/>
  <c r="G240" i="5"/>
  <c r="F240" i="5"/>
  <c r="E240" i="5"/>
  <c r="D240" i="5"/>
  <c r="C240" i="5"/>
  <c r="B240" i="5"/>
  <c r="A240" i="5"/>
  <c r="M239" i="5"/>
  <c r="L239" i="5"/>
  <c r="K239" i="5"/>
  <c r="J239" i="5"/>
  <c r="I239" i="5"/>
  <c r="H239" i="5"/>
  <c r="G239" i="5"/>
  <c r="F239" i="5"/>
  <c r="E239" i="5"/>
  <c r="D239" i="5"/>
  <c r="C239" i="5"/>
  <c r="B239" i="5"/>
  <c r="A239" i="5"/>
  <c r="M238" i="5"/>
  <c r="L238" i="5"/>
  <c r="K238" i="5"/>
  <c r="J238" i="5"/>
  <c r="I238" i="5"/>
  <c r="H238" i="5"/>
  <c r="G238" i="5"/>
  <c r="F238" i="5"/>
  <c r="E238" i="5"/>
  <c r="D238" i="5"/>
  <c r="C238" i="5"/>
  <c r="B238" i="5"/>
  <c r="A238" i="5"/>
  <c r="M237" i="5"/>
  <c r="L237" i="5"/>
  <c r="K237" i="5"/>
  <c r="J237" i="5"/>
  <c r="I237" i="5"/>
  <c r="H237" i="5"/>
  <c r="G237" i="5"/>
  <c r="F237" i="5"/>
  <c r="E237" i="5"/>
  <c r="D237" i="5"/>
  <c r="C237" i="5"/>
  <c r="B237" i="5"/>
  <c r="A237" i="5"/>
  <c r="M236" i="5"/>
  <c r="L236" i="5"/>
  <c r="K236" i="5"/>
  <c r="J236" i="5"/>
  <c r="I236" i="5"/>
  <c r="H236" i="5"/>
  <c r="G236" i="5"/>
  <c r="F236" i="5"/>
  <c r="E236" i="5"/>
  <c r="D236" i="5"/>
  <c r="C236" i="5"/>
  <c r="B236" i="5"/>
  <c r="A236" i="5"/>
  <c r="M235" i="5"/>
  <c r="L235" i="5"/>
  <c r="K235" i="5"/>
  <c r="J235" i="5"/>
  <c r="I235" i="5"/>
  <c r="H235" i="5"/>
  <c r="G235" i="5"/>
  <c r="F235" i="5"/>
  <c r="D235" i="5"/>
  <c r="C235" i="5"/>
  <c r="B235" i="5"/>
  <c r="A235" i="5"/>
  <c r="M234" i="5"/>
  <c r="L234" i="5"/>
  <c r="K234" i="5"/>
  <c r="J234" i="5"/>
  <c r="I234" i="5"/>
  <c r="H234" i="5"/>
  <c r="G234" i="5"/>
  <c r="F234" i="5"/>
  <c r="E234" i="5"/>
  <c r="D234" i="5"/>
  <c r="C234" i="5"/>
  <c r="B234" i="5"/>
  <c r="A234" i="5"/>
  <c r="M233" i="5"/>
  <c r="L233" i="5"/>
  <c r="K233" i="5"/>
  <c r="J233" i="5"/>
  <c r="I233" i="5"/>
  <c r="H233" i="5"/>
  <c r="G233" i="5"/>
  <c r="F233" i="5"/>
  <c r="E233" i="5"/>
  <c r="D233" i="5"/>
  <c r="C233" i="5"/>
  <c r="B233" i="5"/>
  <c r="A233" i="5"/>
  <c r="M232" i="5"/>
  <c r="L232" i="5"/>
  <c r="K232" i="5"/>
  <c r="J232" i="5"/>
  <c r="I232" i="5"/>
  <c r="H232" i="5"/>
  <c r="G232" i="5"/>
  <c r="F232" i="5"/>
  <c r="E232" i="5"/>
  <c r="D232" i="5"/>
  <c r="C232" i="5"/>
  <c r="B232" i="5"/>
  <c r="A232" i="5"/>
  <c r="M231" i="5"/>
  <c r="L231" i="5"/>
  <c r="K231" i="5"/>
  <c r="J231" i="5"/>
  <c r="I231" i="5"/>
  <c r="H231" i="5"/>
  <c r="G231" i="5"/>
  <c r="F231" i="5"/>
  <c r="E231" i="5"/>
  <c r="D231" i="5"/>
  <c r="C231" i="5"/>
  <c r="B231" i="5"/>
  <c r="A231" i="5"/>
  <c r="M230" i="5"/>
  <c r="L230" i="5"/>
  <c r="K230" i="5"/>
  <c r="J230" i="5"/>
  <c r="I230" i="5"/>
  <c r="H230" i="5"/>
  <c r="G230" i="5"/>
  <c r="F230" i="5"/>
  <c r="E230" i="5"/>
  <c r="D230" i="5"/>
  <c r="C230" i="5"/>
  <c r="B230" i="5"/>
  <c r="A230" i="5"/>
  <c r="M229" i="5"/>
  <c r="L229" i="5"/>
  <c r="K229" i="5"/>
  <c r="J229" i="5"/>
  <c r="I229" i="5"/>
  <c r="H229" i="5"/>
  <c r="G229" i="5"/>
  <c r="F229" i="5"/>
  <c r="E229" i="5"/>
  <c r="D229" i="5"/>
  <c r="C229" i="5"/>
  <c r="B229" i="5"/>
  <c r="A229" i="5"/>
  <c r="M228" i="5"/>
  <c r="L228" i="5"/>
  <c r="K228" i="5"/>
  <c r="J228" i="5"/>
  <c r="I228" i="5"/>
  <c r="H228" i="5"/>
  <c r="G228" i="5"/>
  <c r="F228" i="5"/>
  <c r="E228" i="5"/>
  <c r="D228" i="5"/>
  <c r="C228" i="5"/>
  <c r="B228" i="5"/>
  <c r="A228" i="5"/>
  <c r="M227" i="5"/>
  <c r="L227" i="5"/>
  <c r="K227" i="5"/>
  <c r="J227" i="5"/>
  <c r="I227" i="5"/>
  <c r="H227" i="5"/>
  <c r="G227" i="5"/>
  <c r="F227" i="5"/>
  <c r="E227" i="5"/>
  <c r="D227" i="5"/>
  <c r="C227" i="5"/>
  <c r="B227" i="5"/>
  <c r="A227" i="5"/>
  <c r="M226" i="5"/>
  <c r="L226" i="5"/>
  <c r="K226" i="5"/>
  <c r="J226" i="5"/>
  <c r="I226" i="5"/>
  <c r="H226" i="5"/>
  <c r="G226" i="5"/>
  <c r="F226" i="5"/>
  <c r="E226" i="5"/>
  <c r="D226" i="5"/>
  <c r="C226" i="5"/>
  <c r="B226" i="5"/>
  <c r="A226" i="5"/>
  <c r="M225" i="5"/>
  <c r="L225" i="5"/>
  <c r="K225" i="5"/>
  <c r="J225" i="5"/>
  <c r="I225" i="5"/>
  <c r="H225" i="5"/>
  <c r="G225" i="5"/>
  <c r="F225" i="5"/>
  <c r="E225" i="5"/>
  <c r="D225" i="5"/>
  <c r="C225" i="5"/>
  <c r="B225" i="5"/>
  <c r="A225" i="5"/>
  <c r="M224" i="5"/>
  <c r="L224" i="5"/>
  <c r="K224" i="5"/>
  <c r="J224" i="5"/>
  <c r="I224" i="5"/>
  <c r="H224" i="5"/>
  <c r="G224" i="5"/>
  <c r="F224" i="5"/>
  <c r="E224" i="5"/>
  <c r="D224" i="5"/>
  <c r="C224" i="5"/>
  <c r="B224" i="5"/>
  <c r="A224" i="5"/>
  <c r="M223" i="5"/>
  <c r="L223" i="5"/>
  <c r="K223" i="5"/>
  <c r="J223" i="5"/>
  <c r="I223" i="5"/>
  <c r="H223" i="5"/>
  <c r="G223" i="5"/>
  <c r="F223" i="5"/>
  <c r="E223" i="5"/>
  <c r="D223" i="5"/>
  <c r="C223" i="5"/>
  <c r="B223" i="5"/>
  <c r="A223" i="5"/>
  <c r="M222" i="5"/>
  <c r="L222" i="5"/>
  <c r="K222" i="5"/>
  <c r="J222" i="5"/>
  <c r="I222" i="5"/>
  <c r="H222" i="5"/>
  <c r="G222" i="5"/>
  <c r="F222" i="5"/>
  <c r="E222" i="5"/>
  <c r="D222" i="5"/>
  <c r="C222" i="5"/>
  <c r="B222" i="5"/>
  <c r="A222" i="5"/>
  <c r="M221" i="5"/>
  <c r="L221" i="5"/>
  <c r="K221" i="5"/>
  <c r="J221" i="5"/>
  <c r="I221" i="5"/>
  <c r="H221" i="5"/>
  <c r="G221" i="5"/>
  <c r="F221" i="5"/>
  <c r="E221" i="5"/>
  <c r="D221" i="5"/>
  <c r="C221" i="5"/>
  <c r="B221" i="5"/>
  <c r="A221" i="5"/>
  <c r="M220" i="5"/>
  <c r="L220" i="5"/>
  <c r="K220" i="5"/>
  <c r="J220" i="5"/>
  <c r="I220" i="5"/>
  <c r="H220" i="5"/>
  <c r="G220" i="5"/>
  <c r="F220" i="5"/>
  <c r="E220" i="5"/>
  <c r="D220" i="5"/>
  <c r="C220" i="5"/>
  <c r="B220" i="5"/>
  <c r="A220" i="5"/>
  <c r="M219" i="5"/>
  <c r="L219" i="5"/>
  <c r="K219" i="5"/>
  <c r="J219" i="5"/>
  <c r="I219" i="5"/>
  <c r="H219" i="5"/>
  <c r="G219" i="5"/>
  <c r="F219" i="5"/>
  <c r="E219" i="5"/>
  <c r="D219" i="5"/>
  <c r="C219" i="5"/>
  <c r="B219" i="5"/>
  <c r="A219" i="5"/>
  <c r="M218" i="5"/>
  <c r="L218" i="5"/>
  <c r="K218" i="5"/>
  <c r="J218" i="5"/>
  <c r="I218" i="5"/>
  <c r="H218" i="5"/>
  <c r="G218" i="5"/>
  <c r="F218" i="5"/>
  <c r="E218" i="5"/>
  <c r="D218" i="5"/>
  <c r="C218" i="5"/>
  <c r="B218" i="5"/>
  <c r="A218" i="5"/>
  <c r="M217" i="5"/>
  <c r="L217" i="5"/>
  <c r="K217" i="5"/>
  <c r="J217" i="5"/>
  <c r="I217" i="5"/>
  <c r="H217" i="5"/>
  <c r="G217" i="5"/>
  <c r="F217" i="5"/>
  <c r="E217" i="5"/>
  <c r="D217" i="5"/>
  <c r="C217" i="5"/>
  <c r="B217" i="5"/>
  <c r="A217" i="5"/>
  <c r="M216" i="5"/>
  <c r="L216" i="5"/>
  <c r="K216" i="5"/>
  <c r="J216" i="5"/>
  <c r="I216" i="5"/>
  <c r="H216" i="5"/>
  <c r="G216" i="5"/>
  <c r="F216" i="5"/>
  <c r="E216" i="5"/>
  <c r="D216" i="5"/>
  <c r="C216" i="5"/>
  <c r="B216" i="5"/>
  <c r="A216" i="5"/>
  <c r="M215" i="5"/>
  <c r="L215" i="5"/>
  <c r="K215" i="5"/>
  <c r="J215" i="5"/>
  <c r="I215" i="5"/>
  <c r="H215" i="5"/>
  <c r="G215" i="5"/>
  <c r="F215" i="5"/>
  <c r="E215" i="5"/>
  <c r="D215" i="5"/>
  <c r="C215" i="5"/>
  <c r="B215" i="5"/>
  <c r="A215" i="5"/>
  <c r="M214" i="5"/>
  <c r="L214" i="5"/>
  <c r="K214" i="5"/>
  <c r="J214" i="5"/>
  <c r="I214" i="5"/>
  <c r="H214" i="5"/>
  <c r="G214" i="5"/>
  <c r="F214" i="5"/>
  <c r="E214" i="5"/>
  <c r="D214" i="5"/>
  <c r="C214" i="5"/>
  <c r="B214" i="5"/>
  <c r="A214" i="5"/>
  <c r="M213" i="5"/>
  <c r="L213" i="5"/>
  <c r="K213" i="5"/>
  <c r="J213" i="5"/>
  <c r="I213" i="5"/>
  <c r="H213" i="5"/>
  <c r="G213" i="5"/>
  <c r="F213" i="5"/>
  <c r="E213" i="5"/>
  <c r="D213" i="5"/>
  <c r="C213" i="5"/>
  <c r="B213" i="5"/>
  <c r="A213" i="5"/>
  <c r="M212" i="5"/>
  <c r="L212" i="5"/>
  <c r="K212" i="5"/>
  <c r="J212" i="5"/>
  <c r="I212" i="5"/>
  <c r="H212" i="5"/>
  <c r="G212" i="5"/>
  <c r="F212" i="5"/>
  <c r="E212" i="5"/>
  <c r="D212" i="5"/>
  <c r="C212" i="5"/>
  <c r="B212" i="5"/>
  <c r="A212" i="5"/>
  <c r="M211" i="5"/>
  <c r="L211" i="5"/>
  <c r="K211" i="5"/>
  <c r="J211" i="5"/>
  <c r="I211" i="5"/>
  <c r="H211" i="5"/>
  <c r="G211" i="5"/>
  <c r="F211" i="5"/>
  <c r="E211" i="5"/>
  <c r="D211" i="5"/>
  <c r="C211" i="5"/>
  <c r="B211" i="5"/>
  <c r="A211" i="5"/>
  <c r="M210" i="5"/>
  <c r="L210" i="5"/>
  <c r="K210" i="5"/>
  <c r="J210" i="5"/>
  <c r="I210" i="5"/>
  <c r="H210" i="5"/>
  <c r="G210" i="5"/>
  <c r="F210" i="5"/>
  <c r="E210" i="5"/>
  <c r="D210" i="5"/>
  <c r="C210" i="5"/>
  <c r="B210" i="5"/>
  <c r="A210" i="5"/>
  <c r="M209" i="5"/>
  <c r="L209" i="5"/>
  <c r="K209" i="5"/>
  <c r="J209" i="5"/>
  <c r="I209" i="5"/>
  <c r="H209" i="5"/>
  <c r="G209" i="5"/>
  <c r="F209" i="5"/>
  <c r="E209" i="5"/>
  <c r="D209" i="5"/>
  <c r="C209" i="5"/>
  <c r="B209" i="5"/>
  <c r="A209" i="5"/>
  <c r="M208" i="5"/>
  <c r="L208" i="5"/>
  <c r="K208" i="5"/>
  <c r="J208" i="5"/>
  <c r="I208" i="5"/>
  <c r="H208" i="5"/>
  <c r="G208" i="5"/>
  <c r="F208" i="5"/>
  <c r="E208" i="5"/>
  <c r="D208" i="5"/>
  <c r="C208" i="5"/>
  <c r="B208" i="5"/>
  <c r="A208" i="5"/>
  <c r="M207" i="5"/>
  <c r="L207" i="5"/>
  <c r="K207" i="5"/>
  <c r="J207" i="5"/>
  <c r="I207" i="5"/>
  <c r="H207" i="5"/>
  <c r="G207" i="5"/>
  <c r="F207" i="5"/>
  <c r="E207" i="5"/>
  <c r="D207" i="5"/>
  <c r="C207" i="5"/>
  <c r="B207" i="5"/>
  <c r="A207" i="5"/>
  <c r="M206" i="5"/>
  <c r="L206" i="5"/>
  <c r="K206" i="5"/>
  <c r="J206" i="5"/>
  <c r="I206" i="5"/>
  <c r="H206" i="5"/>
  <c r="G206" i="5"/>
  <c r="F206" i="5"/>
  <c r="E206" i="5"/>
  <c r="D206" i="5"/>
  <c r="C206" i="5"/>
  <c r="B206" i="5"/>
  <c r="A206" i="5"/>
  <c r="M205" i="5"/>
  <c r="L205" i="5"/>
  <c r="K205" i="5"/>
  <c r="J205" i="5"/>
  <c r="I205" i="5"/>
  <c r="H205" i="5"/>
  <c r="G205" i="5"/>
  <c r="F205" i="5"/>
  <c r="E205" i="5"/>
  <c r="D205" i="5"/>
  <c r="C205" i="5"/>
  <c r="B205" i="5"/>
  <c r="A205" i="5"/>
  <c r="M204" i="5"/>
  <c r="L204" i="5"/>
  <c r="K204" i="5"/>
  <c r="J204" i="5"/>
  <c r="I204" i="5"/>
  <c r="H204" i="5"/>
  <c r="G204" i="5"/>
  <c r="F204" i="5"/>
  <c r="E204" i="5"/>
  <c r="D204" i="5"/>
  <c r="C204" i="5"/>
  <c r="B204" i="5"/>
  <c r="A204" i="5"/>
  <c r="M203" i="5"/>
  <c r="L203" i="5"/>
  <c r="K203" i="5"/>
  <c r="J203" i="5"/>
  <c r="I203" i="5"/>
  <c r="H203" i="5"/>
  <c r="G203" i="5"/>
  <c r="F203" i="5"/>
  <c r="E203" i="5"/>
  <c r="D203" i="5"/>
  <c r="C203" i="5"/>
  <c r="B203" i="5"/>
  <c r="A203" i="5"/>
  <c r="M202" i="5"/>
  <c r="L202" i="5"/>
  <c r="K202" i="5"/>
  <c r="J202" i="5"/>
  <c r="I202" i="5"/>
  <c r="H202" i="5"/>
  <c r="G202" i="5"/>
  <c r="F202" i="5"/>
  <c r="E202" i="5"/>
  <c r="D202" i="5"/>
  <c r="C202" i="5"/>
  <c r="B202" i="5"/>
  <c r="A202" i="5"/>
  <c r="M201" i="5"/>
  <c r="L201" i="5"/>
  <c r="K201" i="5"/>
  <c r="J201" i="5"/>
  <c r="I201" i="5"/>
  <c r="H201" i="5"/>
  <c r="G201" i="5"/>
  <c r="F201" i="5"/>
  <c r="E201" i="5"/>
  <c r="D201" i="5"/>
  <c r="C201" i="5"/>
  <c r="B201" i="5"/>
  <c r="A201" i="5"/>
  <c r="M200" i="5"/>
  <c r="L200" i="5"/>
  <c r="K200" i="5"/>
  <c r="J200" i="5"/>
  <c r="I200" i="5"/>
  <c r="H200" i="5"/>
  <c r="G200" i="5"/>
  <c r="F200" i="5"/>
  <c r="E200" i="5"/>
  <c r="D200" i="5"/>
  <c r="C200" i="5"/>
  <c r="B200" i="5"/>
  <c r="A200" i="5"/>
  <c r="M199" i="5"/>
  <c r="L199" i="5"/>
  <c r="K199" i="5"/>
  <c r="J199" i="5"/>
  <c r="I199" i="5"/>
  <c r="H199" i="5"/>
  <c r="G199" i="5"/>
  <c r="F199" i="5"/>
  <c r="E199" i="5"/>
  <c r="D199" i="5"/>
  <c r="C199" i="5"/>
  <c r="B199" i="5"/>
  <c r="A199" i="5"/>
  <c r="M198" i="5"/>
  <c r="L198" i="5"/>
  <c r="K198" i="5"/>
  <c r="J198" i="5"/>
  <c r="I198" i="5"/>
  <c r="H198" i="5"/>
  <c r="G198" i="5"/>
  <c r="F198" i="5"/>
  <c r="E198" i="5"/>
  <c r="D198" i="5"/>
  <c r="C198" i="5"/>
  <c r="B198" i="5"/>
  <c r="A198" i="5"/>
  <c r="M197" i="5"/>
  <c r="L197" i="5"/>
  <c r="K197" i="5"/>
  <c r="J197" i="5"/>
  <c r="I197" i="5"/>
  <c r="H197" i="5"/>
  <c r="G197" i="5"/>
  <c r="F197" i="5"/>
  <c r="E197" i="5"/>
  <c r="D197" i="5"/>
  <c r="C197" i="5"/>
  <c r="B197" i="5"/>
  <c r="A197" i="5"/>
  <c r="M196" i="5"/>
  <c r="L196" i="5"/>
  <c r="K196" i="5"/>
  <c r="J196" i="5"/>
  <c r="I196" i="5"/>
  <c r="H196" i="5"/>
  <c r="G196" i="5"/>
  <c r="F196" i="5"/>
  <c r="E196" i="5"/>
  <c r="D196" i="5"/>
  <c r="C196" i="5"/>
  <c r="B196" i="5"/>
  <c r="A196" i="5"/>
  <c r="M195" i="5"/>
  <c r="L195" i="5"/>
  <c r="K195" i="5"/>
  <c r="J195" i="5"/>
  <c r="I195" i="5"/>
  <c r="H195" i="5"/>
  <c r="G195" i="5"/>
  <c r="F195" i="5"/>
  <c r="E195" i="5"/>
  <c r="D195" i="5"/>
  <c r="C195" i="5"/>
  <c r="B195" i="5"/>
  <c r="A195" i="5"/>
  <c r="M194" i="5"/>
  <c r="L194" i="5"/>
  <c r="K194" i="5"/>
  <c r="J194" i="5"/>
  <c r="I194" i="5"/>
  <c r="H194" i="5"/>
  <c r="G194" i="5"/>
  <c r="F194" i="5"/>
  <c r="D194" i="5"/>
  <c r="C194" i="5"/>
  <c r="B194" i="5"/>
  <c r="A194" i="5"/>
  <c r="M193" i="5"/>
  <c r="L193" i="5"/>
  <c r="K193" i="5"/>
  <c r="J193" i="5"/>
  <c r="I193" i="5"/>
  <c r="H193" i="5"/>
  <c r="G193" i="5"/>
  <c r="F193" i="5"/>
  <c r="E193" i="5"/>
  <c r="D193" i="5"/>
  <c r="C193" i="5"/>
  <c r="B193" i="5"/>
  <c r="A193" i="5"/>
  <c r="M192" i="5"/>
  <c r="L192" i="5"/>
  <c r="K192" i="5"/>
  <c r="J192" i="5"/>
  <c r="I192" i="5"/>
  <c r="H192" i="5"/>
  <c r="G192" i="5"/>
  <c r="F192" i="5"/>
  <c r="E192" i="5"/>
  <c r="D192" i="5"/>
  <c r="C192" i="5"/>
  <c r="B192" i="5"/>
  <c r="A192" i="5"/>
  <c r="M191" i="5"/>
  <c r="L191" i="5"/>
  <c r="K191" i="5"/>
  <c r="J191" i="5"/>
  <c r="I191" i="5"/>
  <c r="H191" i="5"/>
  <c r="G191" i="5"/>
  <c r="F191" i="5"/>
  <c r="E191" i="5"/>
  <c r="D191" i="5"/>
  <c r="C191" i="5"/>
  <c r="B191" i="5"/>
  <c r="A191" i="5"/>
  <c r="M190" i="5"/>
  <c r="L190" i="5"/>
  <c r="K190" i="5"/>
  <c r="J190" i="5"/>
  <c r="I190" i="5"/>
  <c r="H190" i="5"/>
  <c r="G190" i="5"/>
  <c r="F190" i="5"/>
  <c r="E190" i="5"/>
  <c r="D190" i="5"/>
  <c r="C190" i="5"/>
  <c r="B190" i="5"/>
  <c r="A190" i="5"/>
  <c r="M189" i="5"/>
  <c r="L189" i="5"/>
  <c r="K189" i="5"/>
  <c r="J189" i="5"/>
  <c r="I189" i="5"/>
  <c r="H189" i="5"/>
  <c r="G189" i="5"/>
  <c r="F189" i="5"/>
  <c r="E189" i="5"/>
  <c r="D189" i="5"/>
  <c r="C189" i="5"/>
  <c r="B189" i="5"/>
  <c r="A189" i="5"/>
  <c r="M188" i="5"/>
  <c r="L188" i="5"/>
  <c r="K188" i="5"/>
  <c r="J188" i="5"/>
  <c r="I188" i="5"/>
  <c r="H188" i="5"/>
  <c r="G188" i="5"/>
  <c r="F188" i="5"/>
  <c r="E188" i="5"/>
  <c r="D188" i="5"/>
  <c r="C188" i="5"/>
  <c r="B188" i="5"/>
  <c r="A188" i="5"/>
  <c r="M187" i="5"/>
  <c r="L187" i="5"/>
  <c r="K187" i="5"/>
  <c r="J187" i="5"/>
  <c r="I187" i="5"/>
  <c r="H187" i="5"/>
  <c r="G187" i="5"/>
  <c r="F187" i="5"/>
  <c r="E187" i="5"/>
  <c r="D187" i="5"/>
  <c r="C187" i="5"/>
  <c r="B187" i="5"/>
  <c r="A187" i="5"/>
  <c r="M186" i="5"/>
  <c r="L186" i="5"/>
  <c r="K186" i="5"/>
  <c r="J186" i="5"/>
  <c r="I186" i="5"/>
  <c r="H186" i="5"/>
  <c r="G186" i="5"/>
  <c r="F186" i="5"/>
  <c r="E186" i="5"/>
  <c r="D186" i="5"/>
  <c r="C186" i="5"/>
  <c r="B186" i="5"/>
  <c r="A186" i="5"/>
  <c r="M185" i="5"/>
  <c r="L185" i="5"/>
  <c r="K185" i="5"/>
  <c r="J185" i="5"/>
  <c r="I185" i="5"/>
  <c r="H185" i="5"/>
  <c r="G185" i="5"/>
  <c r="F185" i="5"/>
  <c r="E185" i="5"/>
  <c r="D185" i="5"/>
  <c r="C185" i="5"/>
  <c r="B185" i="5"/>
  <c r="A185" i="5"/>
  <c r="M184" i="5"/>
  <c r="L184" i="5"/>
  <c r="K184" i="5"/>
  <c r="J184" i="5"/>
  <c r="I184" i="5"/>
  <c r="H184" i="5"/>
  <c r="G184" i="5"/>
  <c r="F184" i="5"/>
  <c r="E184" i="5"/>
  <c r="D184" i="5"/>
  <c r="C184" i="5"/>
  <c r="B184" i="5"/>
  <c r="A184" i="5"/>
  <c r="M183" i="5"/>
  <c r="L183" i="5"/>
  <c r="K183" i="5"/>
  <c r="J183" i="5"/>
  <c r="I183" i="5"/>
  <c r="H183" i="5"/>
  <c r="G183" i="5"/>
  <c r="F183" i="5"/>
  <c r="E183" i="5"/>
  <c r="D183" i="5"/>
  <c r="C183" i="5"/>
  <c r="B183" i="5"/>
  <c r="A183" i="5"/>
  <c r="M182" i="5"/>
  <c r="L182" i="5"/>
  <c r="K182" i="5"/>
  <c r="J182" i="5"/>
  <c r="I182" i="5"/>
  <c r="H182" i="5"/>
  <c r="G182" i="5"/>
  <c r="F182" i="5"/>
  <c r="E182" i="5"/>
  <c r="D182" i="5"/>
  <c r="C182" i="5"/>
  <c r="B182" i="5"/>
  <c r="A182" i="5"/>
  <c r="M181" i="5"/>
  <c r="L181" i="5"/>
  <c r="K181" i="5"/>
  <c r="J181" i="5"/>
  <c r="I181" i="5"/>
  <c r="H181" i="5"/>
  <c r="G181" i="5"/>
  <c r="F181" i="5"/>
  <c r="E181" i="5"/>
  <c r="D181" i="5"/>
  <c r="C181" i="5"/>
  <c r="B181" i="5"/>
  <c r="A181" i="5"/>
  <c r="M180" i="5"/>
  <c r="L180" i="5"/>
  <c r="K180" i="5"/>
  <c r="J180" i="5"/>
  <c r="I180" i="5"/>
  <c r="H180" i="5"/>
  <c r="G180" i="5"/>
  <c r="F180" i="5"/>
  <c r="E180" i="5"/>
  <c r="D180" i="5"/>
  <c r="C180" i="5"/>
  <c r="B180" i="5"/>
  <c r="A180" i="5"/>
  <c r="M179" i="5"/>
  <c r="L179" i="5"/>
  <c r="K179" i="5"/>
  <c r="J179" i="5"/>
  <c r="I179" i="5"/>
  <c r="H179" i="5"/>
  <c r="G179" i="5"/>
  <c r="F179" i="5"/>
  <c r="E179" i="5"/>
  <c r="D179" i="5"/>
  <c r="C179" i="5"/>
  <c r="B179" i="5"/>
  <c r="A179" i="5"/>
  <c r="M178" i="5"/>
  <c r="L178" i="5"/>
  <c r="K178" i="5"/>
  <c r="J178" i="5"/>
  <c r="I178" i="5"/>
  <c r="H178" i="5"/>
  <c r="G178" i="5"/>
  <c r="F178" i="5"/>
  <c r="E178" i="5"/>
  <c r="D178" i="5"/>
  <c r="C178" i="5"/>
  <c r="B178" i="5"/>
  <c r="A178" i="5"/>
  <c r="M177" i="5"/>
  <c r="L177" i="5"/>
  <c r="K177" i="5"/>
  <c r="J177" i="5"/>
  <c r="I177" i="5"/>
  <c r="H177" i="5"/>
  <c r="G177" i="5"/>
  <c r="F177" i="5"/>
  <c r="E177" i="5"/>
  <c r="D177" i="5"/>
  <c r="C177" i="5"/>
  <c r="B177" i="5"/>
  <c r="A177" i="5"/>
  <c r="M176" i="5"/>
  <c r="L176" i="5"/>
  <c r="K176" i="5"/>
  <c r="J176" i="5"/>
  <c r="I176" i="5"/>
  <c r="H176" i="5"/>
  <c r="G176" i="5"/>
  <c r="F176" i="5"/>
  <c r="E176" i="5"/>
  <c r="D176" i="5"/>
  <c r="C176" i="5"/>
  <c r="B176" i="5"/>
  <c r="A176" i="5"/>
  <c r="M175" i="5"/>
  <c r="L175" i="5"/>
  <c r="K175" i="5"/>
  <c r="J175" i="5"/>
  <c r="I175" i="5"/>
  <c r="H175" i="5"/>
  <c r="G175" i="5"/>
  <c r="F175" i="5"/>
  <c r="D175" i="5"/>
  <c r="C175" i="5"/>
  <c r="B175" i="5"/>
  <c r="A175" i="5"/>
  <c r="M174" i="5"/>
  <c r="L174" i="5"/>
  <c r="K174" i="5"/>
  <c r="J174" i="5"/>
  <c r="I174" i="5"/>
  <c r="H174" i="5"/>
  <c r="G174" i="5"/>
  <c r="F174" i="5"/>
  <c r="E174" i="5"/>
  <c r="D174" i="5"/>
  <c r="C174" i="5"/>
  <c r="B174" i="5"/>
  <c r="A174" i="5"/>
  <c r="M173" i="5"/>
  <c r="L173" i="5"/>
  <c r="K173" i="5"/>
  <c r="J173" i="5"/>
  <c r="I173" i="5"/>
  <c r="H173" i="5"/>
  <c r="G173" i="5"/>
  <c r="F173" i="5"/>
  <c r="E173" i="5"/>
  <c r="D173" i="5"/>
  <c r="C173" i="5"/>
  <c r="B173" i="5"/>
  <c r="A173" i="5"/>
  <c r="M172" i="5"/>
  <c r="L172" i="5"/>
  <c r="K172" i="5"/>
  <c r="J172" i="5"/>
  <c r="I172" i="5"/>
  <c r="H172" i="5"/>
  <c r="G172" i="5"/>
  <c r="F172" i="5"/>
  <c r="E172" i="5"/>
  <c r="D172" i="5"/>
  <c r="C172" i="5"/>
  <c r="B172" i="5"/>
  <c r="A172" i="5"/>
  <c r="M171" i="5"/>
  <c r="L171" i="5"/>
  <c r="K171" i="5"/>
  <c r="J171" i="5"/>
  <c r="I171" i="5"/>
  <c r="H171" i="5"/>
  <c r="G171" i="5"/>
  <c r="F171" i="5"/>
  <c r="E171" i="5"/>
  <c r="D171" i="5"/>
  <c r="C171" i="5"/>
  <c r="B171" i="5"/>
  <c r="A171" i="5"/>
  <c r="M170" i="5"/>
  <c r="L170" i="5"/>
  <c r="K170" i="5"/>
  <c r="J170" i="5"/>
  <c r="I170" i="5"/>
  <c r="H170" i="5"/>
  <c r="G170" i="5"/>
  <c r="F170" i="5"/>
  <c r="E170" i="5"/>
  <c r="D170" i="5"/>
  <c r="C170" i="5"/>
  <c r="B170" i="5"/>
  <c r="A170" i="5"/>
  <c r="M169" i="5"/>
  <c r="L169" i="5"/>
  <c r="K169" i="5"/>
  <c r="J169" i="5"/>
  <c r="I169" i="5"/>
  <c r="H169" i="5"/>
  <c r="G169" i="5"/>
  <c r="F169" i="5"/>
  <c r="E169" i="5"/>
  <c r="D169" i="5"/>
  <c r="C169" i="5"/>
  <c r="B169" i="5"/>
  <c r="A169" i="5"/>
  <c r="M168" i="5"/>
  <c r="L168" i="5"/>
  <c r="K168" i="5"/>
  <c r="J168" i="5"/>
  <c r="I168" i="5"/>
  <c r="H168" i="5"/>
  <c r="G168" i="5"/>
  <c r="F168" i="5"/>
  <c r="E168" i="5"/>
  <c r="D168" i="5"/>
  <c r="C168" i="5"/>
  <c r="B168" i="5"/>
  <c r="A168" i="5"/>
  <c r="M167" i="5"/>
  <c r="L167" i="5"/>
  <c r="K167" i="5"/>
  <c r="J167" i="5"/>
  <c r="I167" i="5"/>
  <c r="H167" i="5"/>
  <c r="G167" i="5"/>
  <c r="F167" i="5"/>
  <c r="E167" i="5"/>
  <c r="D167" i="5"/>
  <c r="C167" i="5"/>
  <c r="B167" i="5"/>
  <c r="A167" i="5"/>
  <c r="M166" i="5"/>
  <c r="L166" i="5"/>
  <c r="K166" i="5"/>
  <c r="J166" i="5"/>
  <c r="I166" i="5"/>
  <c r="H166" i="5"/>
  <c r="G166" i="5"/>
  <c r="F166" i="5"/>
  <c r="E166" i="5"/>
  <c r="D166" i="5"/>
  <c r="C166" i="5"/>
  <c r="B166" i="5"/>
  <c r="A166" i="5"/>
  <c r="M165" i="5"/>
  <c r="L165" i="5"/>
  <c r="K165" i="5"/>
  <c r="J165" i="5"/>
  <c r="I165" i="5"/>
  <c r="H165" i="5"/>
  <c r="G165" i="5"/>
  <c r="F165" i="5"/>
  <c r="E165" i="5"/>
  <c r="D165" i="5"/>
  <c r="C165" i="5"/>
  <c r="B165" i="5"/>
  <c r="A165" i="5"/>
  <c r="M164" i="5"/>
  <c r="L164" i="5"/>
  <c r="K164" i="5"/>
  <c r="J164" i="5"/>
  <c r="I164" i="5"/>
  <c r="H164" i="5"/>
  <c r="G164" i="5"/>
  <c r="F164" i="5"/>
  <c r="E164" i="5"/>
  <c r="D164" i="5"/>
  <c r="C164" i="5"/>
  <c r="B164" i="5"/>
  <c r="A164" i="5"/>
  <c r="M163" i="5"/>
  <c r="L163" i="5"/>
  <c r="K163" i="5"/>
  <c r="J163" i="5"/>
  <c r="I163" i="5"/>
  <c r="H163" i="5"/>
  <c r="G163" i="5"/>
  <c r="F163" i="5"/>
  <c r="E163" i="5"/>
  <c r="D163" i="5"/>
  <c r="C163" i="5"/>
  <c r="B163" i="5"/>
  <c r="A163" i="5"/>
  <c r="M162" i="5"/>
  <c r="L162" i="5"/>
  <c r="K162" i="5"/>
  <c r="J162" i="5"/>
  <c r="I162" i="5"/>
  <c r="H162" i="5"/>
  <c r="G162" i="5"/>
  <c r="F162" i="5"/>
  <c r="E162" i="5"/>
  <c r="D162" i="5"/>
  <c r="C162" i="5"/>
  <c r="B162" i="5"/>
  <c r="A162" i="5"/>
  <c r="M161" i="5"/>
  <c r="L161" i="5"/>
  <c r="K161" i="5"/>
  <c r="J161" i="5"/>
  <c r="I161" i="5"/>
  <c r="H161" i="5"/>
  <c r="G161" i="5"/>
  <c r="F161" i="5"/>
  <c r="D161" i="5"/>
  <c r="C161" i="5"/>
  <c r="B161" i="5"/>
  <c r="A161" i="5"/>
  <c r="M160" i="5"/>
  <c r="L160" i="5"/>
  <c r="K160" i="5"/>
  <c r="J160" i="5"/>
  <c r="I160" i="5"/>
  <c r="H160" i="5"/>
  <c r="G160" i="5"/>
  <c r="F160" i="5"/>
  <c r="E160" i="5"/>
  <c r="D160" i="5"/>
  <c r="C160" i="5"/>
  <c r="B160" i="5"/>
  <c r="A160" i="5"/>
  <c r="M159" i="5"/>
  <c r="L159" i="5"/>
  <c r="K159" i="5"/>
  <c r="J159" i="5"/>
  <c r="I159" i="5"/>
  <c r="H159" i="5"/>
  <c r="G159" i="5"/>
  <c r="F159" i="5"/>
  <c r="E159" i="5"/>
  <c r="D159" i="5"/>
  <c r="C159" i="5"/>
  <c r="B159" i="5"/>
  <c r="A159" i="5"/>
  <c r="M158" i="5"/>
  <c r="L158" i="5"/>
  <c r="K158" i="5"/>
  <c r="J158" i="5"/>
  <c r="I158" i="5"/>
  <c r="H158" i="5"/>
  <c r="G158" i="5"/>
  <c r="E158" i="5"/>
  <c r="D158" i="5"/>
  <c r="C158" i="5"/>
  <c r="B158" i="5"/>
  <c r="A158" i="5"/>
  <c r="M157" i="5"/>
  <c r="L157" i="5"/>
  <c r="K157" i="5"/>
  <c r="J157" i="5"/>
  <c r="I157" i="5"/>
  <c r="H157" i="5"/>
  <c r="G157" i="5"/>
  <c r="F157" i="5"/>
  <c r="E157" i="5"/>
  <c r="D157" i="5"/>
  <c r="C157" i="5"/>
  <c r="B157" i="5"/>
  <c r="A157" i="5"/>
  <c r="M156" i="5"/>
  <c r="L156" i="5"/>
  <c r="K156" i="5"/>
  <c r="J156" i="5"/>
  <c r="I156" i="5"/>
  <c r="H156" i="5"/>
  <c r="G156" i="5"/>
  <c r="F156" i="5"/>
  <c r="E156" i="5"/>
  <c r="D156" i="5"/>
  <c r="C156" i="5"/>
  <c r="B156" i="5"/>
  <c r="A156" i="5"/>
  <c r="M155" i="5"/>
  <c r="L155" i="5"/>
  <c r="K155" i="5"/>
  <c r="J155" i="5"/>
  <c r="I155" i="5"/>
  <c r="H155" i="5"/>
  <c r="G155" i="5"/>
  <c r="F155" i="5"/>
  <c r="E155" i="5"/>
  <c r="D155" i="5"/>
  <c r="C155" i="5"/>
  <c r="B155" i="5"/>
  <c r="A155" i="5"/>
  <c r="M154" i="5"/>
  <c r="L154" i="5"/>
  <c r="K154" i="5"/>
  <c r="J154" i="5"/>
  <c r="I154" i="5"/>
  <c r="H154" i="5"/>
  <c r="G154" i="5"/>
  <c r="F154" i="5"/>
  <c r="E154" i="5"/>
  <c r="D154" i="5"/>
  <c r="C154" i="5"/>
  <c r="B154" i="5"/>
  <c r="A154" i="5"/>
  <c r="M153" i="5"/>
  <c r="L153" i="5"/>
  <c r="K153" i="5"/>
  <c r="J153" i="5"/>
  <c r="I153" i="5"/>
  <c r="H153" i="5"/>
  <c r="G153" i="5"/>
  <c r="F153" i="5"/>
  <c r="E153" i="5"/>
  <c r="D153" i="5"/>
  <c r="C153" i="5"/>
  <c r="B153" i="5"/>
  <c r="A153" i="5"/>
  <c r="M152" i="5"/>
  <c r="L152" i="5"/>
  <c r="K152" i="5"/>
  <c r="J152" i="5"/>
  <c r="I152" i="5"/>
  <c r="H152" i="5"/>
  <c r="G152" i="5"/>
  <c r="F152" i="5"/>
  <c r="E152" i="5"/>
  <c r="D152" i="5"/>
  <c r="C152" i="5"/>
  <c r="B152" i="5"/>
  <c r="A152" i="5"/>
  <c r="M151" i="5"/>
  <c r="L151" i="5"/>
  <c r="K151" i="5"/>
  <c r="J151" i="5"/>
  <c r="I151" i="5"/>
  <c r="H151" i="5"/>
  <c r="G151" i="5"/>
  <c r="F151" i="5"/>
  <c r="E151" i="5"/>
  <c r="D151" i="5"/>
  <c r="C151" i="5"/>
  <c r="B151" i="5"/>
  <c r="A151" i="5"/>
  <c r="M150" i="5"/>
  <c r="L150" i="5"/>
  <c r="K150" i="5"/>
  <c r="J150" i="5"/>
  <c r="I150" i="5"/>
  <c r="H150" i="5"/>
  <c r="G150" i="5"/>
  <c r="F150" i="5"/>
  <c r="E150" i="5"/>
  <c r="D150" i="5"/>
  <c r="C150" i="5"/>
  <c r="B150" i="5"/>
  <c r="A150" i="5"/>
  <c r="M149" i="5"/>
  <c r="L149" i="5"/>
  <c r="K149" i="5"/>
  <c r="J149" i="5"/>
  <c r="I149" i="5"/>
  <c r="H149" i="5"/>
  <c r="G149" i="5"/>
  <c r="F149" i="5"/>
  <c r="E149" i="5"/>
  <c r="D149" i="5"/>
  <c r="C149" i="5"/>
  <c r="B149" i="5"/>
  <c r="A149" i="5"/>
  <c r="M148" i="5"/>
  <c r="L148" i="5"/>
  <c r="K148" i="5"/>
  <c r="J148" i="5"/>
  <c r="I148" i="5"/>
  <c r="H148" i="5"/>
  <c r="G148" i="5"/>
  <c r="F148" i="5"/>
  <c r="D148" i="5"/>
  <c r="C148" i="5"/>
  <c r="B148" i="5"/>
  <c r="A148" i="5"/>
  <c r="M147" i="5"/>
  <c r="L147" i="5"/>
  <c r="K147" i="5"/>
  <c r="J147" i="5"/>
  <c r="I147" i="5"/>
  <c r="H147" i="5"/>
  <c r="G147" i="5"/>
  <c r="F147" i="5"/>
  <c r="E147" i="5"/>
  <c r="D147" i="5"/>
  <c r="C147" i="5"/>
  <c r="B147" i="5"/>
  <c r="A147" i="5"/>
  <c r="M146" i="5"/>
  <c r="L146" i="5"/>
  <c r="K146" i="5"/>
  <c r="J146" i="5"/>
  <c r="I146" i="5"/>
  <c r="H146" i="5"/>
  <c r="G146" i="5"/>
  <c r="F146" i="5"/>
  <c r="E146" i="5"/>
  <c r="D146" i="5"/>
  <c r="C146" i="5"/>
  <c r="B146" i="5"/>
  <c r="A146" i="5"/>
  <c r="M145" i="5"/>
  <c r="L145" i="5"/>
  <c r="K145" i="5"/>
  <c r="J145" i="5"/>
  <c r="I145" i="5"/>
  <c r="H145" i="5"/>
  <c r="G145" i="5"/>
  <c r="F145" i="5"/>
  <c r="E145" i="5"/>
  <c r="D145" i="5"/>
  <c r="C145" i="5"/>
  <c r="B145" i="5"/>
  <c r="A145" i="5"/>
  <c r="M144" i="5"/>
  <c r="L144" i="5"/>
  <c r="K144" i="5"/>
  <c r="J144" i="5"/>
  <c r="I144" i="5"/>
  <c r="H144" i="5"/>
  <c r="G144" i="5"/>
  <c r="F144" i="5"/>
  <c r="E144" i="5"/>
  <c r="D144" i="5"/>
  <c r="C144" i="5"/>
  <c r="B144" i="5"/>
  <c r="A144" i="5"/>
  <c r="M143" i="5"/>
  <c r="L143" i="5"/>
  <c r="K143" i="5"/>
  <c r="J143" i="5"/>
  <c r="I143" i="5"/>
  <c r="H143" i="5"/>
  <c r="G143" i="5"/>
  <c r="F143" i="5"/>
  <c r="D143" i="5"/>
  <c r="C143" i="5"/>
  <c r="B143" i="5"/>
  <c r="A143" i="5"/>
  <c r="M142" i="5"/>
  <c r="L142" i="5"/>
  <c r="K142" i="5"/>
  <c r="J142" i="5"/>
  <c r="I142" i="5"/>
  <c r="H142" i="5"/>
  <c r="G142" i="5"/>
  <c r="F142" i="5"/>
  <c r="E142" i="5"/>
  <c r="D142" i="5"/>
  <c r="C142" i="5"/>
  <c r="B142" i="5"/>
  <c r="A142" i="5"/>
  <c r="M141" i="5"/>
  <c r="L141" i="5"/>
  <c r="K141" i="5"/>
  <c r="J141" i="5"/>
  <c r="I141" i="5"/>
  <c r="H141" i="5"/>
  <c r="G141" i="5"/>
  <c r="F141" i="5"/>
  <c r="E141" i="5"/>
  <c r="D141" i="5"/>
  <c r="C141" i="5"/>
  <c r="B141" i="5"/>
  <c r="A141" i="5"/>
  <c r="M140" i="5"/>
  <c r="L140" i="5"/>
  <c r="K140" i="5"/>
  <c r="J140" i="5"/>
  <c r="I140" i="5"/>
  <c r="H140" i="5"/>
  <c r="G140" i="5"/>
  <c r="F140" i="5"/>
  <c r="E140" i="5"/>
  <c r="D140" i="5"/>
  <c r="C140" i="5"/>
  <c r="B140" i="5"/>
  <c r="A140" i="5"/>
  <c r="M139" i="5"/>
  <c r="L139" i="5"/>
  <c r="K139" i="5"/>
  <c r="J139" i="5"/>
  <c r="I139" i="5"/>
  <c r="H139" i="5"/>
  <c r="G139" i="5"/>
  <c r="F139" i="5"/>
  <c r="E139" i="5"/>
  <c r="D139" i="5"/>
  <c r="C139" i="5"/>
  <c r="B139" i="5"/>
  <c r="A139" i="5"/>
  <c r="M138" i="5"/>
  <c r="L138" i="5"/>
  <c r="K138" i="5"/>
  <c r="J138" i="5"/>
  <c r="I138" i="5"/>
  <c r="H138" i="5"/>
  <c r="G138" i="5"/>
  <c r="F138" i="5"/>
  <c r="E138" i="5"/>
  <c r="D138" i="5"/>
  <c r="C138" i="5"/>
  <c r="B138" i="5"/>
  <c r="A138" i="5"/>
  <c r="M137" i="5"/>
  <c r="L137" i="5"/>
  <c r="K137" i="5"/>
  <c r="J137" i="5"/>
  <c r="I137" i="5"/>
  <c r="H137" i="5"/>
  <c r="G137" i="5"/>
  <c r="F137" i="5"/>
  <c r="E137" i="5"/>
  <c r="D137" i="5"/>
  <c r="C137" i="5"/>
  <c r="B137" i="5"/>
  <c r="A137" i="5"/>
  <c r="M136" i="5"/>
  <c r="L136" i="5"/>
  <c r="K136" i="5"/>
  <c r="J136" i="5"/>
  <c r="I136" i="5"/>
  <c r="H136" i="5"/>
  <c r="G136" i="5"/>
  <c r="F136" i="5"/>
  <c r="E136" i="5"/>
  <c r="D136" i="5"/>
  <c r="C136" i="5"/>
  <c r="B136" i="5"/>
  <c r="A136" i="5"/>
  <c r="M135" i="5"/>
  <c r="L135" i="5"/>
  <c r="K135" i="5"/>
  <c r="J135" i="5"/>
  <c r="I135" i="5"/>
  <c r="H135" i="5"/>
  <c r="G135" i="5"/>
  <c r="F135" i="5"/>
  <c r="E135" i="5"/>
  <c r="D135" i="5"/>
  <c r="C135" i="5"/>
  <c r="B135" i="5"/>
  <c r="A135" i="5"/>
  <c r="M134" i="5"/>
  <c r="L134" i="5"/>
  <c r="K134" i="5"/>
  <c r="J134" i="5"/>
  <c r="I134" i="5"/>
  <c r="H134" i="5"/>
  <c r="G134" i="5"/>
  <c r="F134" i="5"/>
  <c r="E134" i="5"/>
  <c r="D134" i="5"/>
  <c r="C134" i="5"/>
  <c r="B134" i="5"/>
  <c r="A134" i="5"/>
  <c r="M133" i="5"/>
  <c r="L133" i="5"/>
  <c r="K133" i="5"/>
  <c r="J133" i="5"/>
  <c r="I133" i="5"/>
  <c r="H133" i="5"/>
  <c r="G133" i="5"/>
  <c r="F133" i="5"/>
  <c r="E133" i="5"/>
  <c r="D133" i="5"/>
  <c r="C133" i="5"/>
  <c r="B133" i="5"/>
  <c r="A133" i="5"/>
  <c r="M132" i="5"/>
  <c r="L132" i="5"/>
  <c r="K132" i="5"/>
  <c r="J132" i="5"/>
  <c r="I132" i="5"/>
  <c r="H132" i="5"/>
  <c r="G132" i="5"/>
  <c r="F132" i="5"/>
  <c r="E132" i="5"/>
  <c r="D132" i="5"/>
  <c r="C132" i="5"/>
  <c r="B132" i="5"/>
  <c r="A132" i="5"/>
  <c r="M131" i="5"/>
  <c r="L131" i="5"/>
  <c r="K131" i="5"/>
  <c r="J131" i="5"/>
  <c r="I131" i="5"/>
  <c r="H131" i="5"/>
  <c r="G131" i="5"/>
  <c r="F131" i="5"/>
  <c r="E131" i="5"/>
  <c r="D131" i="5"/>
  <c r="C131" i="5"/>
  <c r="B131" i="5"/>
  <c r="A131" i="5"/>
  <c r="M130" i="5"/>
  <c r="L130" i="5"/>
  <c r="K130" i="5"/>
  <c r="J130" i="5"/>
  <c r="I130" i="5"/>
  <c r="H130" i="5"/>
  <c r="G130" i="5"/>
  <c r="F130" i="5"/>
  <c r="E130" i="5"/>
  <c r="D130" i="5"/>
  <c r="C130" i="5"/>
  <c r="B130" i="5"/>
  <c r="A130" i="5"/>
  <c r="M129" i="5"/>
  <c r="L129" i="5"/>
  <c r="K129" i="5"/>
  <c r="J129" i="5"/>
  <c r="I129" i="5"/>
  <c r="H129" i="5"/>
  <c r="G129" i="5"/>
  <c r="F129" i="5"/>
  <c r="E129" i="5"/>
  <c r="D129" i="5"/>
  <c r="C129" i="5"/>
  <c r="B129" i="5"/>
  <c r="A129" i="5"/>
  <c r="M128" i="5"/>
  <c r="L128" i="5"/>
  <c r="K128" i="5"/>
  <c r="J128" i="5"/>
  <c r="I128" i="5"/>
  <c r="H128" i="5"/>
  <c r="G128" i="5"/>
  <c r="F128" i="5"/>
  <c r="E128" i="5"/>
  <c r="D128" i="5"/>
  <c r="C128" i="5"/>
  <c r="B128" i="5"/>
  <c r="A128" i="5"/>
  <c r="M127" i="5"/>
  <c r="L127" i="5"/>
  <c r="K127" i="5"/>
  <c r="J127" i="5"/>
  <c r="I127" i="5"/>
  <c r="H127" i="5"/>
  <c r="G127" i="5"/>
  <c r="F127" i="5"/>
  <c r="E127" i="5"/>
  <c r="D127" i="5"/>
  <c r="C127" i="5"/>
  <c r="B127" i="5"/>
  <c r="A127" i="5"/>
  <c r="M126" i="5"/>
  <c r="L126" i="5"/>
  <c r="K126" i="5"/>
  <c r="J126" i="5"/>
  <c r="I126" i="5"/>
  <c r="H126" i="5"/>
  <c r="G126" i="5"/>
  <c r="F126" i="5"/>
  <c r="E126" i="5"/>
  <c r="D126" i="5"/>
  <c r="C126" i="5"/>
  <c r="B126" i="5"/>
  <c r="A126" i="5"/>
  <c r="M125" i="5"/>
  <c r="L125" i="5"/>
  <c r="K125" i="5"/>
  <c r="J125" i="5"/>
  <c r="I125" i="5"/>
  <c r="H125" i="5"/>
  <c r="G125" i="5"/>
  <c r="F125" i="5"/>
  <c r="E125" i="5"/>
  <c r="D125" i="5"/>
  <c r="C125" i="5"/>
  <c r="B125" i="5"/>
  <c r="A125" i="5"/>
  <c r="M124" i="5"/>
  <c r="L124" i="5"/>
  <c r="K124" i="5"/>
  <c r="J124" i="5"/>
  <c r="I124" i="5"/>
  <c r="H124" i="5"/>
  <c r="G124" i="5"/>
  <c r="F124" i="5"/>
  <c r="E124" i="5"/>
  <c r="D124" i="5"/>
  <c r="C124" i="5"/>
  <c r="B124" i="5"/>
  <c r="A124" i="5"/>
  <c r="M123" i="5"/>
  <c r="L123" i="5"/>
  <c r="K123" i="5"/>
  <c r="J123" i="5"/>
  <c r="I123" i="5"/>
  <c r="H123" i="5"/>
  <c r="G123" i="5"/>
  <c r="F123" i="5"/>
  <c r="E123" i="5"/>
  <c r="D123" i="5"/>
  <c r="C123" i="5"/>
  <c r="B123" i="5"/>
  <c r="A123" i="5"/>
  <c r="M122" i="5"/>
  <c r="L122" i="5"/>
  <c r="K122" i="5"/>
  <c r="J122" i="5"/>
  <c r="I122" i="5"/>
  <c r="H122" i="5"/>
  <c r="G122" i="5"/>
  <c r="F122" i="5"/>
  <c r="E122" i="5"/>
  <c r="D122" i="5"/>
  <c r="C122" i="5"/>
  <c r="B122" i="5"/>
  <c r="A122" i="5"/>
  <c r="M121" i="5"/>
  <c r="L121" i="5"/>
  <c r="K121" i="5"/>
  <c r="J121" i="5"/>
  <c r="I121" i="5"/>
  <c r="H121" i="5"/>
  <c r="G121" i="5"/>
  <c r="F121" i="5"/>
  <c r="E121" i="5"/>
  <c r="D121" i="5"/>
  <c r="C121" i="5"/>
  <c r="B121" i="5"/>
  <c r="A121" i="5"/>
  <c r="M120" i="5"/>
  <c r="L120" i="5"/>
  <c r="K120" i="5"/>
  <c r="J120" i="5"/>
  <c r="I120" i="5"/>
  <c r="H120" i="5"/>
  <c r="G120" i="5"/>
  <c r="F120" i="5"/>
  <c r="E120" i="5"/>
  <c r="D120" i="5"/>
  <c r="C120" i="5"/>
  <c r="B120" i="5"/>
  <c r="A120" i="5"/>
  <c r="M119" i="5"/>
  <c r="L119" i="5"/>
  <c r="K119" i="5"/>
  <c r="J119" i="5"/>
  <c r="I119" i="5"/>
  <c r="H119" i="5"/>
  <c r="G119" i="5"/>
  <c r="F119" i="5"/>
  <c r="E119" i="5"/>
  <c r="D119" i="5"/>
  <c r="C119" i="5"/>
  <c r="B119" i="5"/>
  <c r="A119" i="5"/>
  <c r="M118" i="5"/>
  <c r="L118" i="5"/>
  <c r="K118" i="5"/>
  <c r="J118" i="5"/>
  <c r="I118" i="5"/>
  <c r="H118" i="5"/>
  <c r="G118" i="5"/>
  <c r="F118" i="5"/>
  <c r="E118" i="5"/>
  <c r="D118" i="5"/>
  <c r="C118" i="5"/>
  <c r="B118" i="5"/>
  <c r="A118" i="5"/>
  <c r="M117" i="5"/>
  <c r="L117" i="5"/>
  <c r="K117" i="5"/>
  <c r="J117" i="5"/>
  <c r="I117" i="5"/>
  <c r="H117" i="5"/>
  <c r="G117" i="5"/>
  <c r="F117" i="5"/>
  <c r="E117" i="5"/>
  <c r="D117" i="5"/>
  <c r="C117" i="5"/>
  <c r="B117" i="5"/>
  <c r="A117" i="5"/>
  <c r="M116" i="5"/>
  <c r="L116" i="5"/>
  <c r="K116" i="5"/>
  <c r="J116" i="5"/>
  <c r="I116" i="5"/>
  <c r="H116" i="5"/>
  <c r="G116" i="5"/>
  <c r="F116" i="5"/>
  <c r="E116" i="5"/>
  <c r="D116" i="5"/>
  <c r="C116" i="5"/>
  <c r="B116" i="5"/>
  <c r="A116" i="5"/>
  <c r="M115" i="5"/>
  <c r="L115" i="5"/>
  <c r="K115" i="5"/>
  <c r="J115" i="5"/>
  <c r="I115" i="5"/>
  <c r="H115" i="5"/>
  <c r="G115" i="5"/>
  <c r="F115" i="5"/>
  <c r="E115" i="5"/>
  <c r="D115" i="5"/>
  <c r="C115" i="5"/>
  <c r="B115" i="5"/>
  <c r="A115" i="5"/>
  <c r="M114" i="5"/>
  <c r="L114" i="5"/>
  <c r="K114" i="5"/>
  <c r="J114" i="5"/>
  <c r="I114" i="5"/>
  <c r="H114" i="5"/>
  <c r="G114" i="5"/>
  <c r="F114" i="5"/>
  <c r="E114" i="5"/>
  <c r="D114" i="5"/>
  <c r="C114" i="5"/>
  <c r="B114" i="5"/>
  <c r="A114" i="5"/>
  <c r="M113" i="5"/>
  <c r="L113" i="5"/>
  <c r="K113" i="5"/>
  <c r="J113" i="5"/>
  <c r="I113" i="5"/>
  <c r="H113" i="5"/>
  <c r="G113" i="5"/>
  <c r="F113" i="5"/>
  <c r="E113" i="5"/>
  <c r="D113" i="5"/>
  <c r="C113" i="5"/>
  <c r="B113" i="5"/>
  <c r="A113" i="5"/>
  <c r="M112" i="5"/>
  <c r="L112" i="5"/>
  <c r="K112" i="5"/>
  <c r="J112" i="5"/>
  <c r="I112" i="5"/>
  <c r="H112" i="5"/>
  <c r="G112" i="5"/>
  <c r="F112" i="5"/>
  <c r="E112" i="5"/>
  <c r="D112" i="5"/>
  <c r="C112" i="5"/>
  <c r="B112" i="5"/>
  <c r="A112" i="5"/>
  <c r="M111" i="5"/>
  <c r="L111" i="5"/>
  <c r="K111" i="5"/>
  <c r="J111" i="5"/>
  <c r="I111" i="5"/>
  <c r="H111" i="5"/>
  <c r="G111" i="5"/>
  <c r="F111" i="5"/>
  <c r="E111" i="5"/>
  <c r="D111" i="5"/>
  <c r="C111" i="5"/>
  <c r="B111" i="5"/>
  <c r="A111" i="5"/>
  <c r="M110" i="5"/>
  <c r="L110" i="5"/>
  <c r="K110" i="5"/>
  <c r="J110" i="5"/>
  <c r="I110" i="5"/>
  <c r="H110" i="5"/>
  <c r="G110" i="5"/>
  <c r="F110" i="5"/>
  <c r="E110" i="5"/>
  <c r="D110" i="5"/>
  <c r="C110" i="5"/>
  <c r="B110" i="5"/>
  <c r="A110" i="5"/>
  <c r="M109" i="5"/>
  <c r="L109" i="5"/>
  <c r="K109" i="5"/>
  <c r="J109" i="5"/>
  <c r="I109" i="5"/>
  <c r="H109" i="5"/>
  <c r="G109" i="5"/>
  <c r="F109" i="5"/>
  <c r="E109" i="5"/>
  <c r="D109" i="5"/>
  <c r="C109" i="5"/>
  <c r="B109" i="5"/>
  <c r="A109" i="5"/>
  <c r="M108" i="5"/>
  <c r="L108" i="5"/>
  <c r="K108" i="5"/>
  <c r="J108" i="5"/>
  <c r="I108" i="5"/>
  <c r="H108" i="5"/>
  <c r="G108" i="5"/>
  <c r="F108" i="5"/>
  <c r="E108" i="5"/>
  <c r="D108" i="5"/>
  <c r="C108" i="5"/>
  <c r="B108" i="5"/>
  <c r="A108" i="5"/>
  <c r="M107" i="5"/>
  <c r="L107" i="5"/>
  <c r="K107" i="5"/>
  <c r="J107" i="5"/>
  <c r="I107" i="5"/>
  <c r="H107" i="5"/>
  <c r="G107" i="5"/>
  <c r="F107" i="5"/>
  <c r="E107" i="5"/>
  <c r="D107" i="5"/>
  <c r="C107" i="5"/>
  <c r="B107" i="5"/>
  <c r="A107" i="5"/>
  <c r="M106" i="5"/>
  <c r="L106" i="5"/>
  <c r="K106" i="5"/>
  <c r="J106" i="5"/>
  <c r="I106" i="5"/>
  <c r="H106" i="5"/>
  <c r="G106" i="5"/>
  <c r="F106" i="5"/>
  <c r="E106" i="5"/>
  <c r="D106" i="5"/>
  <c r="C106" i="5"/>
  <c r="B106" i="5"/>
  <c r="A106" i="5"/>
  <c r="M105" i="5"/>
  <c r="L105" i="5"/>
  <c r="K105" i="5"/>
  <c r="J105" i="5"/>
  <c r="I105" i="5"/>
  <c r="H105" i="5"/>
  <c r="G105" i="5"/>
  <c r="F105" i="5"/>
  <c r="E105" i="5"/>
  <c r="D105" i="5"/>
  <c r="C105" i="5"/>
  <c r="B105" i="5"/>
  <c r="A105" i="5"/>
  <c r="M104" i="5"/>
  <c r="L104" i="5"/>
  <c r="K104" i="5"/>
  <c r="J104" i="5"/>
  <c r="I104" i="5"/>
  <c r="H104" i="5"/>
  <c r="G104" i="5"/>
  <c r="F104" i="5"/>
  <c r="E104" i="5"/>
  <c r="D104" i="5"/>
  <c r="C104" i="5"/>
  <c r="B104" i="5"/>
  <c r="A104" i="5"/>
  <c r="M103" i="5"/>
  <c r="L103" i="5"/>
  <c r="K103" i="5"/>
  <c r="J103" i="5"/>
  <c r="I103" i="5"/>
  <c r="H103" i="5"/>
  <c r="G103" i="5"/>
  <c r="F103" i="5"/>
  <c r="E103" i="5"/>
  <c r="D103" i="5"/>
  <c r="C103" i="5"/>
  <c r="B103" i="5"/>
  <c r="A103" i="5"/>
  <c r="M102" i="5"/>
  <c r="L102" i="5"/>
  <c r="K102" i="5"/>
  <c r="J102" i="5"/>
  <c r="I102" i="5"/>
  <c r="H102" i="5"/>
  <c r="G102" i="5"/>
  <c r="F102" i="5"/>
  <c r="E102" i="5"/>
  <c r="D102" i="5"/>
  <c r="C102" i="5"/>
  <c r="B102" i="5"/>
  <c r="A102" i="5"/>
  <c r="M101" i="5"/>
  <c r="L101" i="5"/>
  <c r="K101" i="5"/>
  <c r="J101" i="5"/>
  <c r="I101" i="5"/>
  <c r="H101" i="5"/>
  <c r="G101" i="5"/>
  <c r="F101" i="5"/>
  <c r="E101" i="5"/>
  <c r="D101" i="5"/>
  <c r="C101" i="5"/>
  <c r="B101" i="5"/>
  <c r="A101" i="5"/>
  <c r="M100" i="5"/>
  <c r="L100" i="5"/>
  <c r="K100" i="5"/>
  <c r="J100" i="5"/>
  <c r="I100" i="5"/>
  <c r="H100" i="5"/>
  <c r="G100" i="5"/>
  <c r="F100" i="5"/>
  <c r="E100" i="5"/>
  <c r="D100" i="5"/>
  <c r="C100" i="5"/>
  <c r="B100" i="5"/>
  <c r="A100" i="5"/>
  <c r="M99" i="5"/>
  <c r="L99" i="5"/>
  <c r="K99" i="5"/>
  <c r="J99" i="5"/>
  <c r="I99" i="5"/>
  <c r="H99" i="5"/>
  <c r="G99" i="5"/>
  <c r="F99" i="5"/>
  <c r="E99" i="5"/>
  <c r="D99" i="5"/>
  <c r="C99" i="5"/>
  <c r="B99" i="5"/>
  <c r="A99" i="5"/>
  <c r="M98" i="5"/>
  <c r="L98" i="5"/>
  <c r="K98" i="5"/>
  <c r="J98" i="5"/>
  <c r="I98" i="5"/>
  <c r="H98" i="5"/>
  <c r="G98" i="5"/>
  <c r="F98" i="5"/>
  <c r="E98" i="5"/>
  <c r="D98" i="5"/>
  <c r="C98" i="5"/>
  <c r="B98" i="5"/>
  <c r="A98" i="5"/>
  <c r="M97" i="5"/>
  <c r="L97" i="5"/>
  <c r="K97" i="5"/>
  <c r="J97" i="5"/>
  <c r="I97" i="5"/>
  <c r="H97" i="5"/>
  <c r="G97" i="5"/>
  <c r="F97" i="5"/>
  <c r="E97" i="5"/>
  <c r="D97" i="5"/>
  <c r="C97" i="5"/>
  <c r="B97" i="5"/>
  <c r="A97" i="5"/>
  <c r="M96" i="5"/>
  <c r="L96" i="5"/>
  <c r="K96" i="5"/>
  <c r="J96" i="5"/>
  <c r="I96" i="5"/>
  <c r="H96" i="5"/>
  <c r="G96" i="5"/>
  <c r="F96" i="5"/>
  <c r="E96" i="5"/>
  <c r="D96" i="5"/>
  <c r="C96" i="5"/>
  <c r="B96" i="5"/>
  <c r="A96" i="5"/>
  <c r="M95" i="5"/>
  <c r="L95" i="5"/>
  <c r="K95" i="5"/>
  <c r="J95" i="5"/>
  <c r="I95" i="5"/>
  <c r="H95" i="5"/>
  <c r="G95" i="5"/>
  <c r="F95" i="5"/>
  <c r="E95" i="5"/>
  <c r="D95" i="5"/>
  <c r="C95" i="5"/>
  <c r="B95" i="5"/>
  <c r="A95" i="5"/>
  <c r="M94" i="5"/>
  <c r="L94" i="5"/>
  <c r="K94" i="5"/>
  <c r="J94" i="5"/>
  <c r="I94" i="5"/>
  <c r="H94" i="5"/>
  <c r="G94" i="5"/>
  <c r="F94" i="5"/>
  <c r="E94" i="5"/>
  <c r="D94" i="5"/>
  <c r="C94" i="5"/>
  <c r="B94" i="5"/>
  <c r="A94" i="5"/>
  <c r="M93" i="5"/>
  <c r="L93" i="5"/>
  <c r="K93" i="5"/>
  <c r="J93" i="5"/>
  <c r="I93" i="5"/>
  <c r="H93" i="5"/>
  <c r="G93" i="5"/>
  <c r="F93" i="5"/>
  <c r="E93" i="5"/>
  <c r="D93" i="5"/>
  <c r="C93" i="5"/>
  <c r="B93" i="5"/>
  <c r="A93" i="5"/>
  <c r="M92" i="5"/>
  <c r="L92" i="5"/>
  <c r="K92" i="5"/>
  <c r="J92" i="5"/>
  <c r="I92" i="5"/>
  <c r="H92" i="5"/>
  <c r="G92" i="5"/>
  <c r="F92" i="5"/>
  <c r="E92" i="5"/>
  <c r="D92" i="5"/>
  <c r="C92" i="5"/>
  <c r="B92" i="5"/>
  <c r="A92" i="5"/>
  <c r="M91" i="5"/>
  <c r="L91" i="5"/>
  <c r="K91" i="5"/>
  <c r="J91" i="5"/>
  <c r="I91" i="5"/>
  <c r="H91" i="5"/>
  <c r="G91" i="5"/>
  <c r="F91" i="5"/>
  <c r="E91" i="5"/>
  <c r="D91" i="5"/>
  <c r="C91" i="5"/>
  <c r="B91" i="5"/>
  <c r="A91" i="5"/>
  <c r="M90" i="5"/>
  <c r="L90" i="5"/>
  <c r="K90" i="5"/>
  <c r="J90" i="5"/>
  <c r="I90" i="5"/>
  <c r="H90" i="5"/>
  <c r="G90" i="5"/>
  <c r="F90" i="5"/>
  <c r="E90" i="5"/>
  <c r="D90" i="5"/>
  <c r="C90" i="5"/>
  <c r="B90" i="5"/>
  <c r="A90" i="5"/>
  <c r="M89" i="5"/>
  <c r="L89" i="5"/>
  <c r="K89" i="5"/>
  <c r="J89" i="5"/>
  <c r="I89" i="5"/>
  <c r="H89" i="5"/>
  <c r="G89" i="5"/>
  <c r="F89" i="5"/>
  <c r="E89" i="5"/>
  <c r="D89" i="5"/>
  <c r="C89" i="5"/>
  <c r="B89" i="5"/>
  <c r="A89" i="5"/>
  <c r="M88" i="5"/>
  <c r="L88" i="5"/>
  <c r="K88" i="5"/>
  <c r="J88" i="5"/>
  <c r="I88" i="5"/>
  <c r="H88" i="5"/>
  <c r="G88" i="5"/>
  <c r="F88" i="5"/>
  <c r="E88" i="5"/>
  <c r="D88" i="5"/>
  <c r="C88" i="5"/>
  <c r="B88" i="5"/>
  <c r="A88" i="5"/>
  <c r="M87" i="5"/>
  <c r="L87" i="5"/>
  <c r="K87" i="5"/>
  <c r="J87" i="5"/>
  <c r="I87" i="5"/>
  <c r="H87" i="5"/>
  <c r="G87" i="5"/>
  <c r="F87" i="5"/>
  <c r="E87" i="5"/>
  <c r="D87" i="5"/>
  <c r="C87" i="5"/>
  <c r="B87" i="5"/>
  <c r="A87" i="5"/>
  <c r="M86" i="5"/>
  <c r="L86" i="5"/>
  <c r="K86" i="5"/>
  <c r="J86" i="5"/>
  <c r="I86" i="5"/>
  <c r="H86" i="5"/>
  <c r="G86" i="5"/>
  <c r="F86" i="5"/>
  <c r="E86" i="5"/>
  <c r="D86" i="5"/>
  <c r="C86" i="5"/>
  <c r="B86" i="5"/>
  <c r="A86" i="5"/>
  <c r="M85" i="5"/>
  <c r="L85" i="5"/>
  <c r="K85" i="5"/>
  <c r="J85" i="5"/>
  <c r="I85" i="5"/>
  <c r="H85" i="5"/>
  <c r="G85" i="5"/>
  <c r="F85" i="5"/>
  <c r="E85" i="5"/>
  <c r="D85" i="5"/>
  <c r="C85" i="5"/>
  <c r="B85" i="5"/>
  <c r="A85" i="5"/>
  <c r="M84" i="5"/>
  <c r="L84" i="5"/>
  <c r="K84" i="5"/>
  <c r="J84" i="5"/>
  <c r="I84" i="5"/>
  <c r="H84" i="5"/>
  <c r="G84" i="5"/>
  <c r="F84" i="5"/>
  <c r="E84" i="5"/>
  <c r="D84" i="5"/>
  <c r="C84" i="5"/>
  <c r="B84" i="5"/>
  <c r="A84" i="5"/>
  <c r="M83" i="5"/>
  <c r="L83" i="5"/>
  <c r="K83" i="5"/>
  <c r="J83" i="5"/>
  <c r="I83" i="5"/>
  <c r="H83" i="5"/>
  <c r="G83" i="5"/>
  <c r="F83" i="5"/>
  <c r="E83" i="5"/>
  <c r="D83" i="5"/>
  <c r="C83" i="5"/>
  <c r="B83" i="5"/>
  <c r="A83" i="5"/>
  <c r="M82" i="5"/>
  <c r="L82" i="5"/>
  <c r="K82" i="5"/>
  <c r="J82" i="5"/>
  <c r="I82" i="5"/>
  <c r="H82" i="5"/>
  <c r="G82" i="5"/>
  <c r="F82" i="5"/>
  <c r="E82" i="5"/>
  <c r="D82" i="5"/>
  <c r="C82" i="5"/>
  <c r="B82" i="5"/>
  <c r="A82" i="5"/>
  <c r="M81" i="5"/>
  <c r="L81" i="5"/>
  <c r="K81" i="5"/>
  <c r="J81" i="5"/>
  <c r="I81" i="5"/>
  <c r="H81" i="5"/>
  <c r="G81" i="5"/>
  <c r="F81" i="5"/>
  <c r="E81" i="5"/>
  <c r="D81" i="5"/>
  <c r="C81" i="5"/>
  <c r="B81" i="5"/>
  <c r="A81" i="5"/>
  <c r="M80" i="5"/>
  <c r="L80" i="5"/>
  <c r="K80" i="5"/>
  <c r="J80" i="5"/>
  <c r="I80" i="5"/>
  <c r="H80" i="5"/>
  <c r="G80" i="5"/>
  <c r="F80" i="5"/>
  <c r="E80" i="5"/>
  <c r="D80" i="5"/>
  <c r="C80" i="5"/>
  <c r="B80" i="5"/>
  <c r="A80" i="5"/>
  <c r="M79" i="5"/>
  <c r="L79" i="5"/>
  <c r="K79" i="5"/>
  <c r="J79" i="5"/>
  <c r="I79" i="5"/>
  <c r="H79" i="5"/>
  <c r="G79" i="5"/>
  <c r="F79" i="5"/>
  <c r="E79" i="5"/>
  <c r="D79" i="5"/>
  <c r="C79" i="5"/>
  <c r="B79" i="5"/>
  <c r="A79" i="5"/>
  <c r="M78" i="5"/>
  <c r="L78" i="5"/>
  <c r="K78" i="5"/>
  <c r="J78" i="5"/>
  <c r="I78" i="5"/>
  <c r="H78" i="5"/>
  <c r="G78" i="5"/>
  <c r="F78" i="5"/>
  <c r="E78" i="5"/>
  <c r="D78" i="5"/>
  <c r="C78" i="5"/>
  <c r="B78" i="5"/>
  <c r="A78" i="5"/>
  <c r="M77" i="5"/>
  <c r="L77" i="5"/>
  <c r="K77" i="5"/>
  <c r="J77" i="5"/>
  <c r="I77" i="5"/>
  <c r="H77" i="5"/>
  <c r="G77" i="5"/>
  <c r="F77" i="5"/>
  <c r="E77" i="5"/>
  <c r="D77" i="5"/>
  <c r="C77" i="5"/>
  <c r="B77" i="5"/>
  <c r="A77" i="5"/>
  <c r="M76" i="5"/>
  <c r="L76" i="5"/>
  <c r="K76" i="5"/>
  <c r="J76" i="5"/>
  <c r="I76" i="5"/>
  <c r="H76" i="5"/>
  <c r="G76" i="5"/>
  <c r="F76" i="5"/>
  <c r="E76" i="5"/>
  <c r="D76" i="5"/>
  <c r="C76" i="5"/>
  <c r="B76" i="5"/>
  <c r="A76" i="5"/>
  <c r="M75" i="5"/>
  <c r="L75" i="5"/>
  <c r="K75" i="5"/>
  <c r="J75" i="5"/>
  <c r="I75" i="5"/>
  <c r="H75" i="5"/>
  <c r="G75" i="5"/>
  <c r="F75" i="5"/>
  <c r="E75" i="5"/>
  <c r="D75" i="5"/>
  <c r="C75" i="5"/>
  <c r="B75" i="5"/>
  <c r="A75" i="5"/>
  <c r="M74" i="5"/>
  <c r="L74" i="5"/>
  <c r="K74" i="5"/>
  <c r="J74" i="5"/>
  <c r="I74" i="5"/>
  <c r="H74" i="5"/>
  <c r="G74" i="5"/>
  <c r="F74" i="5"/>
  <c r="E74" i="5"/>
  <c r="D74" i="5"/>
  <c r="C74" i="5"/>
  <c r="B74" i="5"/>
  <c r="A74" i="5"/>
  <c r="M73" i="5"/>
  <c r="L73" i="5"/>
  <c r="K73" i="5"/>
  <c r="J73" i="5"/>
  <c r="I73" i="5"/>
  <c r="H73" i="5"/>
  <c r="G73" i="5"/>
  <c r="F73" i="5"/>
  <c r="E73" i="5"/>
  <c r="D73" i="5"/>
  <c r="C73" i="5"/>
  <c r="B73" i="5"/>
  <c r="A73" i="5"/>
  <c r="M72" i="5"/>
  <c r="L72" i="5"/>
  <c r="K72" i="5"/>
  <c r="J72" i="5"/>
  <c r="I72" i="5"/>
  <c r="H72" i="5"/>
  <c r="G72" i="5"/>
  <c r="F72" i="5"/>
  <c r="E72" i="5"/>
  <c r="D72" i="5"/>
  <c r="C72" i="5"/>
  <c r="B72" i="5"/>
  <c r="A72" i="5"/>
  <c r="M71" i="5"/>
  <c r="L71" i="5"/>
  <c r="K71" i="5"/>
  <c r="J71" i="5"/>
  <c r="I71" i="5"/>
  <c r="H71" i="5"/>
  <c r="G71" i="5"/>
  <c r="F71" i="5"/>
  <c r="E71" i="5"/>
  <c r="D71" i="5"/>
  <c r="C71" i="5"/>
  <c r="B71" i="5"/>
  <c r="A71" i="5"/>
  <c r="M70" i="5"/>
  <c r="L70" i="5"/>
  <c r="K70" i="5"/>
  <c r="J70" i="5"/>
  <c r="I70" i="5"/>
  <c r="H70" i="5"/>
  <c r="G70" i="5"/>
  <c r="F70" i="5"/>
  <c r="E70" i="5"/>
  <c r="D70" i="5"/>
  <c r="C70" i="5"/>
  <c r="B70" i="5"/>
  <c r="A70" i="5"/>
  <c r="M69" i="5"/>
  <c r="L69" i="5"/>
  <c r="K69" i="5"/>
  <c r="J69" i="5"/>
  <c r="I69" i="5"/>
  <c r="H69" i="5"/>
  <c r="G69" i="5"/>
  <c r="F69" i="5"/>
  <c r="E69" i="5"/>
  <c r="D69" i="5"/>
  <c r="C69" i="5"/>
  <c r="B69" i="5"/>
  <c r="A69" i="5"/>
  <c r="M68" i="5"/>
  <c r="L68" i="5"/>
  <c r="K68" i="5"/>
  <c r="J68" i="5"/>
  <c r="I68" i="5"/>
  <c r="H68" i="5"/>
  <c r="G68" i="5"/>
  <c r="F68" i="5"/>
  <c r="D68" i="5"/>
  <c r="C68" i="5"/>
  <c r="B68" i="5"/>
  <c r="A68" i="5"/>
  <c r="M67" i="5"/>
  <c r="L67" i="5"/>
  <c r="K67" i="5"/>
  <c r="J67" i="5"/>
  <c r="I67" i="5"/>
  <c r="H67" i="5"/>
  <c r="G67" i="5"/>
  <c r="F67" i="5"/>
  <c r="E67" i="5"/>
  <c r="D67" i="5"/>
  <c r="C67" i="5"/>
  <c r="B67" i="5"/>
  <c r="A67" i="5"/>
  <c r="M66" i="5"/>
  <c r="L66" i="5"/>
  <c r="K66" i="5"/>
  <c r="J66" i="5"/>
  <c r="I66" i="5"/>
  <c r="H66" i="5"/>
  <c r="G66" i="5"/>
  <c r="F66" i="5"/>
  <c r="E66" i="5"/>
  <c r="D66" i="5"/>
  <c r="C66" i="5"/>
  <c r="B66" i="5"/>
  <c r="A66" i="5"/>
  <c r="M65" i="5"/>
  <c r="L65" i="5"/>
  <c r="K65" i="5"/>
  <c r="J65" i="5"/>
  <c r="I65" i="5"/>
  <c r="H65" i="5"/>
  <c r="G65" i="5"/>
  <c r="F65" i="5"/>
  <c r="E65" i="5"/>
  <c r="D65" i="5"/>
  <c r="C65" i="5"/>
  <c r="B65" i="5"/>
  <c r="A65" i="5"/>
  <c r="M64" i="5"/>
  <c r="L64" i="5"/>
  <c r="K64" i="5"/>
  <c r="J64" i="5"/>
  <c r="I64" i="5"/>
  <c r="H64" i="5"/>
  <c r="G64" i="5"/>
  <c r="F64" i="5"/>
  <c r="E64" i="5"/>
  <c r="D64" i="5"/>
  <c r="C64" i="5"/>
  <c r="B64" i="5"/>
  <c r="A64" i="5"/>
  <c r="M63" i="5"/>
  <c r="L63" i="5"/>
  <c r="K63" i="5"/>
  <c r="J63" i="5"/>
  <c r="I63" i="5"/>
  <c r="H63" i="5"/>
  <c r="G63" i="5"/>
  <c r="F63" i="5"/>
  <c r="E63" i="5"/>
  <c r="D63" i="5"/>
  <c r="C63" i="5"/>
  <c r="B63" i="5"/>
  <c r="A63" i="5"/>
  <c r="M62" i="5"/>
  <c r="L62" i="5"/>
  <c r="K62" i="5"/>
  <c r="J62" i="5"/>
  <c r="I62" i="5"/>
  <c r="H62" i="5"/>
  <c r="G62" i="5"/>
  <c r="F62" i="5"/>
  <c r="E62" i="5"/>
  <c r="D62" i="5"/>
  <c r="C62" i="5"/>
  <c r="B62" i="5"/>
  <c r="A62" i="5"/>
  <c r="M61" i="5"/>
  <c r="L61" i="5"/>
  <c r="K61" i="5"/>
  <c r="J61" i="5"/>
  <c r="I61" i="5"/>
  <c r="H61" i="5"/>
  <c r="G61" i="5"/>
  <c r="F61" i="5"/>
  <c r="E61" i="5"/>
  <c r="D61" i="5"/>
  <c r="C61" i="5"/>
  <c r="B61" i="5"/>
  <c r="A61" i="5"/>
  <c r="M60" i="5"/>
  <c r="L60" i="5"/>
  <c r="K60" i="5"/>
  <c r="J60" i="5"/>
  <c r="I60" i="5"/>
  <c r="H60" i="5"/>
  <c r="G60" i="5"/>
  <c r="F60" i="5"/>
  <c r="E60" i="5"/>
  <c r="D60" i="5"/>
  <c r="C60" i="5"/>
  <c r="B60" i="5"/>
  <c r="A60" i="5"/>
  <c r="M59" i="5"/>
  <c r="L59" i="5"/>
  <c r="K59" i="5"/>
  <c r="J59" i="5"/>
  <c r="I59" i="5"/>
  <c r="H59" i="5"/>
  <c r="G59" i="5"/>
  <c r="F59" i="5"/>
  <c r="E59" i="5"/>
  <c r="D59" i="5"/>
  <c r="C59" i="5"/>
  <c r="B59" i="5"/>
  <c r="A59" i="5"/>
  <c r="M58" i="5"/>
  <c r="L58" i="5"/>
  <c r="K58" i="5"/>
  <c r="J58" i="5"/>
  <c r="I58" i="5"/>
  <c r="H58" i="5"/>
  <c r="G58" i="5"/>
  <c r="F58" i="5"/>
  <c r="E58" i="5"/>
  <c r="D58" i="5"/>
  <c r="C58" i="5"/>
  <c r="B58" i="5"/>
  <c r="A58" i="5"/>
  <c r="M57" i="5"/>
  <c r="L57" i="5"/>
  <c r="K57" i="5"/>
  <c r="J57" i="5"/>
  <c r="I57" i="5"/>
  <c r="H57" i="5"/>
  <c r="G57" i="5"/>
  <c r="F57" i="5"/>
  <c r="E57" i="5"/>
  <c r="D57" i="5"/>
  <c r="C57" i="5"/>
  <c r="B57" i="5"/>
  <c r="A57" i="5"/>
  <c r="M56" i="5"/>
  <c r="L56" i="5"/>
  <c r="K56" i="5"/>
  <c r="J56" i="5"/>
  <c r="I56" i="5"/>
  <c r="H56" i="5"/>
  <c r="G56" i="5"/>
  <c r="F56" i="5"/>
  <c r="E56" i="5"/>
  <c r="D56" i="5"/>
  <c r="C56" i="5"/>
  <c r="B56" i="5"/>
  <c r="A56" i="5"/>
  <c r="M55" i="5"/>
  <c r="L55" i="5"/>
  <c r="K55" i="5"/>
  <c r="J55" i="5"/>
  <c r="I55" i="5"/>
  <c r="H55" i="5"/>
  <c r="G55" i="5"/>
  <c r="F55" i="5"/>
  <c r="E55" i="5"/>
  <c r="D55" i="5"/>
  <c r="C55" i="5"/>
  <c r="B55" i="5"/>
  <c r="A55" i="5"/>
  <c r="M54" i="5"/>
  <c r="L54" i="5"/>
  <c r="K54" i="5"/>
  <c r="J54" i="5"/>
  <c r="I54" i="5"/>
  <c r="H54" i="5"/>
  <c r="G54" i="5"/>
  <c r="F54" i="5"/>
  <c r="E54" i="5"/>
  <c r="D54" i="5"/>
  <c r="C54" i="5"/>
  <c r="B54" i="5"/>
  <c r="A54" i="5"/>
  <c r="M53" i="5"/>
  <c r="L53" i="5"/>
  <c r="K53" i="5"/>
  <c r="J53" i="5"/>
  <c r="I53" i="5"/>
  <c r="H53" i="5"/>
  <c r="G53" i="5"/>
  <c r="F53" i="5"/>
  <c r="E53" i="5"/>
  <c r="D53" i="5"/>
  <c r="C53" i="5"/>
  <c r="B53" i="5"/>
  <c r="A53" i="5"/>
  <c r="M52" i="5"/>
  <c r="L52" i="5"/>
  <c r="K52" i="5"/>
  <c r="J52" i="5"/>
  <c r="I52" i="5"/>
  <c r="H52" i="5"/>
  <c r="G52" i="5"/>
  <c r="F52" i="5"/>
  <c r="E52" i="5"/>
  <c r="D52" i="5"/>
  <c r="C52" i="5"/>
  <c r="B52" i="5"/>
  <c r="A52" i="5"/>
  <c r="M51" i="5"/>
  <c r="L51" i="5"/>
  <c r="K51" i="5"/>
  <c r="J51" i="5"/>
  <c r="I51" i="5"/>
  <c r="H51" i="5"/>
  <c r="G51" i="5"/>
  <c r="F51" i="5"/>
  <c r="E51" i="5"/>
  <c r="D51" i="5"/>
  <c r="C51" i="5"/>
  <c r="B51" i="5"/>
  <c r="A51" i="5"/>
  <c r="M50" i="5"/>
  <c r="L50" i="5"/>
  <c r="K50" i="5"/>
  <c r="J50" i="5"/>
  <c r="I50" i="5"/>
  <c r="H50" i="5"/>
  <c r="G50" i="5"/>
  <c r="F50" i="5"/>
  <c r="E50" i="5"/>
  <c r="D50" i="5"/>
  <c r="C50" i="5"/>
  <c r="B50" i="5"/>
  <c r="A50" i="5"/>
  <c r="M49" i="5"/>
  <c r="L49" i="5"/>
  <c r="K49" i="5"/>
  <c r="J49" i="5"/>
  <c r="I49" i="5"/>
  <c r="H49" i="5"/>
  <c r="G49" i="5"/>
  <c r="F49" i="5"/>
  <c r="E49" i="5"/>
  <c r="D49" i="5"/>
  <c r="C49" i="5"/>
  <c r="B49" i="5"/>
  <c r="A49" i="5"/>
  <c r="M48" i="5"/>
  <c r="L48" i="5"/>
  <c r="K48" i="5"/>
  <c r="J48" i="5"/>
  <c r="I48" i="5"/>
  <c r="H48" i="5"/>
  <c r="G48" i="5"/>
  <c r="F48" i="5"/>
  <c r="E48" i="5"/>
  <c r="D48" i="5"/>
  <c r="C48" i="5"/>
  <c r="B48" i="5"/>
  <c r="A48" i="5"/>
  <c r="M47" i="5"/>
  <c r="L47" i="5"/>
  <c r="K47" i="5"/>
  <c r="J47" i="5"/>
  <c r="I47" i="5"/>
  <c r="H47" i="5"/>
  <c r="G47" i="5"/>
  <c r="F47" i="5"/>
  <c r="E47" i="5"/>
  <c r="D47" i="5"/>
  <c r="C47" i="5"/>
  <c r="B47" i="5"/>
  <c r="A47" i="5"/>
  <c r="M46" i="5"/>
  <c r="L46" i="5"/>
  <c r="K46" i="5"/>
  <c r="J46" i="5"/>
  <c r="I46" i="5"/>
  <c r="H46" i="5"/>
  <c r="G46" i="5"/>
  <c r="F46" i="5"/>
  <c r="E46" i="5"/>
  <c r="D46" i="5"/>
  <c r="C46" i="5"/>
  <c r="B46" i="5"/>
  <c r="A46" i="5"/>
  <c r="M45" i="5"/>
  <c r="L45" i="5"/>
  <c r="K45" i="5"/>
  <c r="J45" i="5"/>
  <c r="I45" i="5"/>
  <c r="H45" i="5"/>
  <c r="G45" i="5"/>
  <c r="F45" i="5"/>
  <c r="E45" i="5"/>
  <c r="D45" i="5"/>
  <c r="C45" i="5"/>
  <c r="B45" i="5"/>
  <c r="A45" i="5"/>
  <c r="M44" i="5"/>
  <c r="L44" i="5"/>
  <c r="K44" i="5"/>
  <c r="J44" i="5"/>
  <c r="I44" i="5"/>
  <c r="H44" i="5"/>
  <c r="G44" i="5"/>
  <c r="F44" i="5"/>
  <c r="E44" i="5"/>
  <c r="D44" i="5"/>
  <c r="C44" i="5"/>
  <c r="B44" i="5"/>
  <c r="A44" i="5"/>
  <c r="M43" i="5"/>
  <c r="L43" i="5"/>
  <c r="K43" i="5"/>
  <c r="J43" i="5"/>
  <c r="I43" i="5"/>
  <c r="H43" i="5"/>
  <c r="G43" i="5"/>
  <c r="F43" i="5"/>
  <c r="E43" i="5"/>
  <c r="D43" i="5"/>
  <c r="C43" i="5"/>
  <c r="B43" i="5"/>
  <c r="A43" i="5"/>
  <c r="M42" i="5"/>
  <c r="L42" i="5"/>
  <c r="K42" i="5"/>
  <c r="J42" i="5"/>
  <c r="I42" i="5"/>
  <c r="H42" i="5"/>
  <c r="G42" i="5"/>
  <c r="F42" i="5"/>
  <c r="E42" i="5"/>
  <c r="D42" i="5"/>
  <c r="C42" i="5"/>
  <c r="B42" i="5"/>
  <c r="A42" i="5"/>
  <c r="M41" i="5"/>
  <c r="L41" i="5"/>
  <c r="K41" i="5"/>
  <c r="J41" i="5"/>
  <c r="I41" i="5"/>
  <c r="H41" i="5"/>
  <c r="G41" i="5"/>
  <c r="F41" i="5"/>
  <c r="E41" i="5"/>
  <c r="D41" i="5"/>
  <c r="C41" i="5"/>
  <c r="B41" i="5"/>
  <c r="A41" i="5"/>
  <c r="M40" i="5"/>
  <c r="L40" i="5"/>
  <c r="K40" i="5"/>
  <c r="J40" i="5"/>
  <c r="I40" i="5"/>
  <c r="H40" i="5"/>
  <c r="G40" i="5"/>
  <c r="F40" i="5"/>
  <c r="E40" i="5"/>
  <c r="D40" i="5"/>
  <c r="C40" i="5"/>
  <c r="B40" i="5"/>
  <c r="A40" i="5"/>
  <c r="M39" i="5"/>
  <c r="L39" i="5"/>
  <c r="K39" i="5"/>
  <c r="J39" i="5"/>
  <c r="I39" i="5"/>
  <c r="H39" i="5"/>
  <c r="G39" i="5"/>
  <c r="F39" i="5"/>
  <c r="E39" i="5"/>
  <c r="D39" i="5"/>
  <c r="C39" i="5"/>
  <c r="B39" i="5"/>
  <c r="A39" i="5"/>
  <c r="M38" i="5"/>
  <c r="L38" i="5"/>
  <c r="K38" i="5"/>
  <c r="J38" i="5"/>
  <c r="I38" i="5"/>
  <c r="H38" i="5"/>
  <c r="G38" i="5"/>
  <c r="F38" i="5"/>
  <c r="E38" i="5"/>
  <c r="D38" i="5"/>
  <c r="C38" i="5"/>
  <c r="B38" i="5"/>
  <c r="A38" i="5"/>
  <c r="M37" i="5"/>
  <c r="L37" i="5"/>
  <c r="K37" i="5"/>
  <c r="J37" i="5"/>
  <c r="I37" i="5"/>
  <c r="H37" i="5"/>
  <c r="G37" i="5"/>
  <c r="F37" i="5"/>
  <c r="E37" i="5"/>
  <c r="D37" i="5"/>
  <c r="C37" i="5"/>
  <c r="B37" i="5"/>
  <c r="A37" i="5"/>
  <c r="M36" i="5"/>
  <c r="L36" i="5"/>
  <c r="K36" i="5"/>
  <c r="J36" i="5"/>
  <c r="I36" i="5"/>
  <c r="H36" i="5"/>
  <c r="G36" i="5"/>
  <c r="F36" i="5"/>
  <c r="E36" i="5"/>
  <c r="D36" i="5"/>
  <c r="C36" i="5"/>
  <c r="B36" i="5"/>
  <c r="A36" i="5"/>
  <c r="M35" i="5"/>
  <c r="L35" i="5"/>
  <c r="K35" i="5"/>
  <c r="J35" i="5"/>
  <c r="I35" i="5"/>
  <c r="H35" i="5"/>
  <c r="G35" i="5"/>
  <c r="F35" i="5"/>
  <c r="E35" i="5"/>
  <c r="D35" i="5"/>
  <c r="C35" i="5"/>
  <c r="B35" i="5"/>
  <c r="A35" i="5"/>
  <c r="M34" i="5"/>
  <c r="L34" i="5"/>
  <c r="K34" i="5"/>
  <c r="J34" i="5"/>
  <c r="I34" i="5"/>
  <c r="H34" i="5"/>
  <c r="G34" i="5"/>
  <c r="F34" i="5"/>
  <c r="E34" i="5"/>
  <c r="D34" i="5"/>
  <c r="C34" i="5"/>
  <c r="B34" i="5"/>
  <c r="A34" i="5"/>
  <c r="M33" i="5"/>
  <c r="L33" i="5"/>
  <c r="K33" i="5"/>
  <c r="J33" i="5"/>
  <c r="I33" i="5"/>
  <c r="H33" i="5"/>
  <c r="G33" i="5"/>
  <c r="F33" i="5"/>
  <c r="E33" i="5"/>
  <c r="D33" i="5"/>
  <c r="C33" i="5"/>
  <c r="B33" i="5"/>
  <c r="A33" i="5"/>
  <c r="M32" i="5"/>
  <c r="L32" i="5"/>
  <c r="K32" i="5"/>
  <c r="J32" i="5"/>
  <c r="I32" i="5"/>
  <c r="H32" i="5"/>
  <c r="G32" i="5"/>
  <c r="F32" i="5"/>
  <c r="E32" i="5"/>
  <c r="D32" i="5"/>
  <c r="C32" i="5"/>
  <c r="B32" i="5"/>
  <c r="A32" i="5"/>
  <c r="M31" i="5"/>
  <c r="L31" i="5"/>
  <c r="K31" i="5"/>
  <c r="J31" i="5"/>
  <c r="I31" i="5"/>
  <c r="H31" i="5"/>
  <c r="G31" i="5"/>
  <c r="F31" i="5"/>
  <c r="E31" i="5"/>
  <c r="D31" i="5"/>
  <c r="C31" i="5"/>
  <c r="B31" i="5"/>
  <c r="A31" i="5"/>
  <c r="M30" i="5"/>
  <c r="L30" i="5"/>
  <c r="K30" i="5"/>
  <c r="J30" i="5"/>
  <c r="I30" i="5"/>
  <c r="H30" i="5"/>
  <c r="G30" i="5"/>
  <c r="F30" i="5"/>
  <c r="E30" i="5"/>
  <c r="D30" i="5"/>
  <c r="C30" i="5"/>
  <c r="B30" i="5"/>
  <c r="A30" i="5"/>
  <c r="M29" i="5"/>
  <c r="L29" i="5"/>
  <c r="K29" i="5"/>
  <c r="J29" i="5"/>
  <c r="I29" i="5"/>
  <c r="H29" i="5"/>
  <c r="G29" i="5"/>
  <c r="F29" i="5"/>
  <c r="E29" i="5"/>
  <c r="D29" i="5"/>
  <c r="C29" i="5"/>
  <c r="B29" i="5"/>
  <c r="A29" i="5"/>
  <c r="M28" i="5"/>
  <c r="L28" i="5"/>
  <c r="K28" i="5"/>
  <c r="J28" i="5"/>
  <c r="I28" i="5"/>
  <c r="H28" i="5"/>
  <c r="G28" i="5"/>
  <c r="F28" i="5"/>
  <c r="E28" i="5"/>
  <c r="D28" i="5"/>
  <c r="C28" i="5"/>
  <c r="B28" i="5"/>
  <c r="A28" i="5"/>
  <c r="M27" i="5"/>
  <c r="L27" i="5"/>
  <c r="K27" i="5"/>
  <c r="J27" i="5"/>
  <c r="I27" i="5"/>
  <c r="H27" i="5"/>
  <c r="G27" i="5"/>
  <c r="F27" i="5"/>
  <c r="E27" i="5"/>
  <c r="D27" i="5"/>
  <c r="C27" i="5"/>
  <c r="B27" i="5"/>
  <c r="A27" i="5"/>
  <c r="M26" i="5"/>
  <c r="L26" i="5"/>
  <c r="K26" i="5"/>
  <c r="J26" i="5"/>
  <c r="I26" i="5"/>
  <c r="H26" i="5"/>
  <c r="G26" i="5"/>
  <c r="F26" i="5"/>
  <c r="E26" i="5"/>
  <c r="D26" i="5"/>
  <c r="C26" i="5"/>
  <c r="B26" i="5"/>
  <c r="A26" i="5"/>
  <c r="M25" i="5"/>
  <c r="L25" i="5"/>
  <c r="K25" i="5"/>
  <c r="J25" i="5"/>
  <c r="I25" i="5"/>
  <c r="H25" i="5"/>
  <c r="G25" i="5"/>
  <c r="F25" i="5"/>
  <c r="E25" i="5"/>
  <c r="D25" i="5"/>
  <c r="C25" i="5"/>
  <c r="B25" i="5"/>
  <c r="A25" i="5"/>
  <c r="M24" i="5"/>
  <c r="L24" i="5"/>
  <c r="K24" i="5"/>
  <c r="J24" i="5"/>
  <c r="I24" i="5"/>
  <c r="H24" i="5"/>
  <c r="G24" i="5"/>
  <c r="F24" i="5"/>
  <c r="E24" i="5"/>
  <c r="D24" i="5"/>
  <c r="C24" i="5"/>
  <c r="B24" i="5"/>
  <c r="A24" i="5"/>
  <c r="M23" i="5"/>
  <c r="L23" i="5"/>
  <c r="K23" i="5"/>
  <c r="J23" i="5"/>
  <c r="I23" i="5"/>
  <c r="H23" i="5"/>
  <c r="G23" i="5"/>
  <c r="F23" i="5"/>
  <c r="E23" i="5"/>
  <c r="D23" i="5"/>
  <c r="C23" i="5"/>
  <c r="B23" i="5"/>
  <c r="A23" i="5"/>
  <c r="M22" i="5"/>
  <c r="L22" i="5"/>
  <c r="K22" i="5"/>
  <c r="J22" i="5"/>
  <c r="I22" i="5"/>
  <c r="H22" i="5"/>
  <c r="G22" i="5"/>
  <c r="F22" i="5"/>
  <c r="E22" i="5"/>
  <c r="D22" i="5"/>
  <c r="C22" i="5"/>
  <c r="B22" i="5"/>
  <c r="A22" i="5"/>
  <c r="M21" i="5"/>
  <c r="L21" i="5"/>
  <c r="K21" i="5"/>
  <c r="J21" i="5"/>
  <c r="I21" i="5"/>
  <c r="H21" i="5"/>
  <c r="G21" i="5"/>
  <c r="F21" i="5"/>
  <c r="E21" i="5"/>
  <c r="D21" i="5"/>
  <c r="C21" i="5"/>
  <c r="B21" i="5"/>
  <c r="A21" i="5"/>
  <c r="M20" i="5"/>
  <c r="L20" i="5"/>
  <c r="K20" i="5"/>
  <c r="J20" i="5"/>
  <c r="I20" i="5"/>
  <c r="H20" i="5"/>
  <c r="G20" i="5"/>
  <c r="F20" i="5"/>
  <c r="E20" i="5"/>
  <c r="D20" i="5"/>
  <c r="C20" i="5"/>
  <c r="B20" i="5"/>
  <c r="A20" i="5"/>
  <c r="M19" i="5"/>
  <c r="L19" i="5"/>
  <c r="K19" i="5"/>
  <c r="J19" i="5"/>
  <c r="I19" i="5"/>
  <c r="H19" i="5"/>
  <c r="G19" i="5"/>
  <c r="F19" i="5"/>
  <c r="E19" i="5"/>
  <c r="D19" i="5"/>
  <c r="C19" i="5"/>
  <c r="B19" i="5"/>
  <c r="A19" i="5"/>
  <c r="M18" i="5"/>
  <c r="L18" i="5"/>
  <c r="K18" i="5"/>
  <c r="J18" i="5"/>
  <c r="I18" i="5"/>
  <c r="H18" i="5"/>
  <c r="G18" i="5"/>
  <c r="F18" i="5"/>
  <c r="E18" i="5"/>
  <c r="D18" i="5"/>
  <c r="C18" i="5"/>
  <c r="B18" i="5"/>
  <c r="A18" i="5"/>
  <c r="M17" i="5"/>
  <c r="L17" i="5"/>
  <c r="K17" i="5"/>
  <c r="J17" i="5"/>
  <c r="I17" i="5"/>
  <c r="H17" i="5"/>
  <c r="G17" i="5"/>
  <c r="F17" i="5"/>
  <c r="E17" i="5"/>
  <c r="D17" i="5"/>
  <c r="C17" i="5"/>
  <c r="B17" i="5"/>
  <c r="A17" i="5"/>
  <c r="M16" i="5"/>
  <c r="L16" i="5"/>
  <c r="K16" i="5"/>
  <c r="J16" i="5"/>
  <c r="I16" i="5"/>
  <c r="H16" i="5"/>
  <c r="G16" i="5"/>
  <c r="F16" i="5"/>
  <c r="E16" i="5"/>
  <c r="D16" i="5"/>
  <c r="C16" i="5"/>
  <c r="B16" i="5"/>
  <c r="A16" i="5"/>
  <c r="M15" i="5"/>
  <c r="L15" i="5"/>
  <c r="K15" i="5"/>
  <c r="J15" i="5"/>
  <c r="I15" i="5"/>
  <c r="H15" i="5"/>
  <c r="G15" i="5"/>
  <c r="F15" i="5"/>
  <c r="E15" i="5"/>
  <c r="D15" i="5"/>
  <c r="C15" i="5"/>
  <c r="B15" i="5"/>
  <c r="A15" i="5"/>
  <c r="M14" i="5"/>
  <c r="L14" i="5"/>
  <c r="K14" i="5"/>
  <c r="J14" i="5"/>
  <c r="I14" i="5"/>
  <c r="H14" i="5"/>
  <c r="G14" i="5"/>
  <c r="F14" i="5"/>
  <c r="E14" i="5"/>
  <c r="D14" i="5"/>
  <c r="C14" i="5"/>
  <c r="B14" i="5"/>
  <c r="A14" i="5"/>
  <c r="M13" i="5"/>
  <c r="L13" i="5"/>
  <c r="K13" i="5"/>
  <c r="J13" i="5"/>
  <c r="I13" i="5"/>
  <c r="H13" i="5"/>
  <c r="G13" i="5"/>
  <c r="F13" i="5"/>
  <c r="E13" i="5"/>
  <c r="D13" i="5"/>
  <c r="C13" i="5"/>
  <c r="B13" i="5"/>
  <c r="A13" i="5"/>
  <c r="M12" i="5"/>
  <c r="L12" i="5"/>
  <c r="K12" i="5"/>
  <c r="J12" i="5"/>
  <c r="I12" i="5"/>
  <c r="H12" i="5"/>
  <c r="G12" i="5"/>
  <c r="F12" i="5"/>
  <c r="E12" i="5"/>
  <c r="D12" i="5"/>
  <c r="C12" i="5"/>
  <c r="B12" i="5"/>
  <c r="A12" i="5"/>
  <c r="M11" i="5"/>
  <c r="L11" i="5"/>
  <c r="K11" i="5"/>
  <c r="J11" i="5"/>
  <c r="I11" i="5"/>
  <c r="H11" i="5"/>
  <c r="G11" i="5"/>
  <c r="F11" i="5"/>
  <c r="E11" i="5"/>
  <c r="D11" i="5"/>
  <c r="C11" i="5"/>
  <c r="B11" i="5"/>
  <c r="A11" i="5"/>
  <c r="M10" i="5"/>
  <c r="L10" i="5"/>
  <c r="K10" i="5"/>
  <c r="J10" i="5"/>
  <c r="I10" i="5"/>
  <c r="H10" i="5"/>
  <c r="G10" i="5"/>
  <c r="F10" i="5"/>
  <c r="E10" i="5"/>
  <c r="D10" i="5"/>
  <c r="C10" i="5"/>
  <c r="B10" i="5"/>
  <c r="A10" i="5"/>
  <c r="M9" i="5"/>
  <c r="L9" i="5"/>
  <c r="K9" i="5"/>
  <c r="J9" i="5"/>
  <c r="I9" i="5"/>
  <c r="H9" i="5"/>
  <c r="G9" i="5"/>
  <c r="F9" i="5"/>
  <c r="E9" i="5"/>
  <c r="D9" i="5"/>
  <c r="C9" i="5"/>
  <c r="B9" i="5"/>
  <c r="A9" i="5"/>
  <c r="M8" i="5"/>
  <c r="L8" i="5"/>
  <c r="K8" i="5"/>
  <c r="J8" i="5"/>
  <c r="I8" i="5"/>
  <c r="H8" i="5"/>
  <c r="G8" i="5"/>
  <c r="F8" i="5"/>
  <c r="E8" i="5"/>
  <c r="D8" i="5"/>
  <c r="C8" i="5"/>
  <c r="B8" i="5"/>
  <c r="A8" i="5"/>
  <c r="M7" i="5"/>
  <c r="L7" i="5"/>
  <c r="K7" i="5"/>
  <c r="J7" i="5"/>
  <c r="I7" i="5"/>
  <c r="H7" i="5"/>
  <c r="G7" i="5"/>
  <c r="F7" i="5"/>
  <c r="E7" i="5"/>
  <c r="D7" i="5"/>
  <c r="C7" i="5"/>
  <c r="B7" i="5"/>
  <c r="A7" i="5"/>
  <c r="M6" i="5"/>
  <c r="L6" i="5"/>
  <c r="K6" i="5"/>
  <c r="J6" i="5"/>
  <c r="I6" i="5"/>
  <c r="H6" i="5"/>
  <c r="G6" i="5"/>
  <c r="F6" i="5"/>
  <c r="E6" i="5"/>
  <c r="D6" i="5"/>
  <c r="C6" i="5"/>
  <c r="B6" i="5"/>
  <c r="A6" i="5"/>
  <c r="M5" i="5"/>
  <c r="L5" i="5"/>
  <c r="K5" i="5"/>
  <c r="J5" i="5"/>
  <c r="I5" i="5"/>
  <c r="H5" i="5"/>
  <c r="G5" i="5"/>
  <c r="F5" i="5"/>
  <c r="E5" i="5"/>
  <c r="D5" i="5"/>
  <c r="C5" i="5"/>
  <c r="B5" i="5"/>
  <c r="A5" i="5"/>
  <c r="M4" i="5"/>
  <c r="L4" i="5"/>
  <c r="K4" i="5"/>
  <c r="J4" i="5"/>
  <c r="I4" i="5"/>
  <c r="H4" i="5"/>
  <c r="G4" i="5"/>
  <c r="F4" i="5"/>
  <c r="E4" i="5"/>
  <c r="D4" i="5"/>
  <c r="C4" i="5"/>
  <c r="B4" i="5"/>
  <c r="A4" i="5"/>
  <c r="M3" i="5"/>
  <c r="L3" i="5"/>
  <c r="K3" i="5"/>
  <c r="J3" i="5"/>
  <c r="I3" i="5"/>
  <c r="H3" i="5"/>
  <c r="G3" i="5"/>
  <c r="F3" i="5"/>
  <c r="E3" i="5"/>
  <c r="D3" i="5"/>
  <c r="C3" i="5"/>
  <c r="B3" i="5"/>
  <c r="A3" i="5"/>
  <c r="M2" i="5"/>
  <c r="L2" i="5"/>
  <c r="K2" i="5"/>
  <c r="J2" i="5"/>
  <c r="I2" i="5"/>
  <c r="H2" i="5"/>
  <c r="G2" i="5"/>
  <c r="F2" i="5"/>
  <c r="E2" i="5"/>
  <c r="D2" i="5"/>
  <c r="C2" i="5"/>
  <c r="B2" i="5"/>
  <c r="A2" i="5"/>
  <c r="V1" i="5"/>
  <c r="U1" i="5"/>
  <c r="T1" i="5"/>
  <c r="S1" i="5"/>
  <c r="R1" i="5"/>
  <c r="Q1" i="5"/>
  <c r="P1" i="5"/>
  <c r="O1" i="5"/>
  <c r="N1" i="5"/>
  <c r="M1" i="5"/>
  <c r="L1" i="5"/>
  <c r="K1" i="5"/>
  <c r="J1" i="5"/>
  <c r="I1" i="5"/>
  <c r="H1" i="5"/>
  <c r="G1" i="5"/>
  <c r="F1" i="5"/>
  <c r="E1" i="5"/>
  <c r="D1" i="5"/>
  <c r="C1" i="5"/>
  <c r="B1" i="5"/>
  <c r="A1" i="5"/>
  <c r="M3248" i="4"/>
  <c r="L3248" i="4"/>
  <c r="K3248" i="4"/>
  <c r="J3248" i="4"/>
  <c r="I3248" i="4"/>
  <c r="H3248" i="4"/>
  <c r="G3248" i="4"/>
  <c r="F3248" i="4"/>
  <c r="D3248" i="4"/>
  <c r="C3248" i="4"/>
  <c r="B3248" i="4"/>
  <c r="A3248" i="4"/>
  <c r="M3247" i="4"/>
  <c r="L3247" i="4"/>
  <c r="K3247" i="4"/>
  <c r="J3247" i="4"/>
  <c r="I3247" i="4"/>
  <c r="H3247" i="4"/>
  <c r="G3247" i="4"/>
  <c r="F3247" i="4"/>
  <c r="E3247" i="4"/>
  <c r="D3247" i="4"/>
  <c r="C3247" i="4"/>
  <c r="B3247" i="4"/>
  <c r="A3247" i="4"/>
  <c r="M3246" i="4"/>
  <c r="L3246" i="4"/>
  <c r="K3246" i="4"/>
  <c r="J3246" i="4"/>
  <c r="I3246" i="4"/>
  <c r="H3246" i="4"/>
  <c r="G3246" i="4"/>
  <c r="F3246" i="4"/>
  <c r="E3246" i="4"/>
  <c r="D3246" i="4"/>
  <c r="C3246" i="4"/>
  <c r="B3246" i="4"/>
  <c r="A3246" i="4"/>
  <c r="M3245" i="4"/>
  <c r="L3245" i="4"/>
  <c r="K3245" i="4"/>
  <c r="J3245" i="4"/>
  <c r="I3245" i="4"/>
  <c r="H3245" i="4"/>
  <c r="G3245" i="4"/>
  <c r="F3245" i="4"/>
  <c r="E3245" i="4"/>
  <c r="D3245" i="4"/>
  <c r="C3245" i="4"/>
  <c r="B3245" i="4"/>
  <c r="A3245" i="4"/>
  <c r="M3244" i="4"/>
  <c r="L3244" i="4"/>
  <c r="K3244" i="4"/>
  <c r="J3244" i="4"/>
  <c r="I3244" i="4"/>
  <c r="H3244" i="4"/>
  <c r="G3244" i="4"/>
  <c r="F3244" i="4"/>
  <c r="E3244" i="4"/>
  <c r="D3244" i="4"/>
  <c r="C3244" i="4"/>
  <c r="B3244" i="4"/>
  <c r="A3244" i="4"/>
  <c r="M3243" i="4"/>
  <c r="L3243" i="4"/>
  <c r="K3243" i="4"/>
  <c r="J3243" i="4"/>
  <c r="I3243" i="4"/>
  <c r="H3243" i="4"/>
  <c r="G3243" i="4"/>
  <c r="F3243" i="4"/>
  <c r="E3243" i="4"/>
  <c r="D3243" i="4"/>
  <c r="C3243" i="4"/>
  <c r="B3243" i="4"/>
  <c r="A3243" i="4"/>
  <c r="M3242" i="4"/>
  <c r="L3242" i="4"/>
  <c r="K3242" i="4"/>
  <c r="J3242" i="4"/>
  <c r="I3242" i="4"/>
  <c r="H3242" i="4"/>
  <c r="G3242" i="4"/>
  <c r="F3242" i="4"/>
  <c r="E3242" i="4"/>
  <c r="D3242" i="4"/>
  <c r="C3242" i="4"/>
  <c r="B3242" i="4"/>
  <c r="A3242" i="4"/>
  <c r="M3241" i="4"/>
  <c r="L3241" i="4"/>
  <c r="K3241" i="4"/>
  <c r="J3241" i="4"/>
  <c r="I3241" i="4"/>
  <c r="H3241" i="4"/>
  <c r="G3241" i="4"/>
  <c r="F3241" i="4"/>
  <c r="D3241" i="4"/>
  <c r="C3241" i="4"/>
  <c r="B3241" i="4"/>
  <c r="A3241" i="4"/>
  <c r="M3240" i="4"/>
  <c r="L3240" i="4"/>
  <c r="K3240" i="4"/>
  <c r="J3240" i="4"/>
  <c r="I3240" i="4"/>
  <c r="H3240" i="4"/>
  <c r="G3240" i="4"/>
  <c r="F3240" i="4"/>
  <c r="E3240" i="4"/>
  <c r="D3240" i="4"/>
  <c r="C3240" i="4"/>
  <c r="B3240" i="4"/>
  <c r="A3240" i="4"/>
  <c r="M3239" i="4"/>
  <c r="L3239" i="4"/>
  <c r="K3239" i="4"/>
  <c r="J3239" i="4"/>
  <c r="I3239" i="4"/>
  <c r="H3239" i="4"/>
  <c r="G3239" i="4"/>
  <c r="F3239" i="4"/>
  <c r="E3239" i="4"/>
  <c r="D3239" i="4"/>
  <c r="C3239" i="4"/>
  <c r="B3239" i="4"/>
  <c r="A3239" i="4"/>
  <c r="M3238" i="4"/>
  <c r="L3238" i="4"/>
  <c r="K3238" i="4"/>
  <c r="J3238" i="4"/>
  <c r="I3238" i="4"/>
  <c r="H3238" i="4"/>
  <c r="G3238" i="4"/>
  <c r="F3238" i="4"/>
  <c r="E3238" i="4"/>
  <c r="D3238" i="4"/>
  <c r="C3238" i="4"/>
  <c r="B3238" i="4"/>
  <c r="A3238" i="4"/>
  <c r="M3237" i="4"/>
  <c r="L3237" i="4"/>
  <c r="K3237" i="4"/>
  <c r="J3237" i="4"/>
  <c r="I3237" i="4"/>
  <c r="H3237" i="4"/>
  <c r="G3237" i="4"/>
  <c r="F3237" i="4"/>
  <c r="E3237" i="4"/>
  <c r="D3237" i="4"/>
  <c r="C3237" i="4"/>
  <c r="B3237" i="4"/>
  <c r="A3237" i="4"/>
  <c r="M3236" i="4"/>
  <c r="L3236" i="4"/>
  <c r="K3236" i="4"/>
  <c r="J3236" i="4"/>
  <c r="I3236" i="4"/>
  <c r="H3236" i="4"/>
  <c r="G3236" i="4"/>
  <c r="F3236" i="4"/>
  <c r="E3236" i="4"/>
  <c r="D3236" i="4"/>
  <c r="C3236" i="4"/>
  <c r="B3236" i="4"/>
  <c r="A3236" i="4"/>
  <c r="M3235" i="4"/>
  <c r="L3235" i="4"/>
  <c r="K3235" i="4"/>
  <c r="J3235" i="4"/>
  <c r="I3235" i="4"/>
  <c r="H3235" i="4"/>
  <c r="G3235" i="4"/>
  <c r="F3235" i="4"/>
  <c r="E3235" i="4"/>
  <c r="D3235" i="4"/>
  <c r="C3235" i="4"/>
  <c r="B3235" i="4"/>
  <c r="A3235" i="4"/>
  <c r="M3234" i="4"/>
  <c r="L3234" i="4"/>
  <c r="K3234" i="4"/>
  <c r="J3234" i="4"/>
  <c r="I3234" i="4"/>
  <c r="H3234" i="4"/>
  <c r="G3234" i="4"/>
  <c r="F3234" i="4"/>
  <c r="E3234" i="4"/>
  <c r="D3234" i="4"/>
  <c r="C3234" i="4"/>
  <c r="B3234" i="4"/>
  <c r="A3234" i="4"/>
  <c r="M3233" i="4"/>
  <c r="L3233" i="4"/>
  <c r="K3233" i="4"/>
  <c r="J3233" i="4"/>
  <c r="I3233" i="4"/>
  <c r="H3233" i="4"/>
  <c r="G3233" i="4"/>
  <c r="F3233" i="4"/>
  <c r="E3233" i="4"/>
  <c r="D3233" i="4"/>
  <c r="C3233" i="4"/>
  <c r="B3233" i="4"/>
  <c r="A3233" i="4"/>
  <c r="M3232" i="4"/>
  <c r="L3232" i="4"/>
  <c r="K3232" i="4"/>
  <c r="J3232" i="4"/>
  <c r="I3232" i="4"/>
  <c r="H3232" i="4"/>
  <c r="G3232" i="4"/>
  <c r="F3232" i="4"/>
  <c r="E3232" i="4"/>
  <c r="D3232" i="4"/>
  <c r="C3232" i="4"/>
  <c r="B3232" i="4"/>
  <c r="A3232" i="4"/>
  <c r="M3231" i="4"/>
  <c r="L3231" i="4"/>
  <c r="K3231" i="4"/>
  <c r="J3231" i="4"/>
  <c r="I3231" i="4"/>
  <c r="H3231" i="4"/>
  <c r="G3231" i="4"/>
  <c r="F3231" i="4"/>
  <c r="E3231" i="4"/>
  <c r="D3231" i="4"/>
  <c r="C3231" i="4"/>
  <c r="B3231" i="4"/>
  <c r="A3231" i="4"/>
  <c r="M3230" i="4"/>
  <c r="L3230" i="4"/>
  <c r="K3230" i="4"/>
  <c r="J3230" i="4"/>
  <c r="I3230" i="4"/>
  <c r="H3230" i="4"/>
  <c r="G3230" i="4"/>
  <c r="F3230" i="4"/>
  <c r="E3230" i="4"/>
  <c r="D3230" i="4"/>
  <c r="C3230" i="4"/>
  <c r="B3230" i="4"/>
  <c r="A3230" i="4"/>
  <c r="M3229" i="4"/>
  <c r="L3229" i="4"/>
  <c r="K3229" i="4"/>
  <c r="J3229" i="4"/>
  <c r="I3229" i="4"/>
  <c r="H3229" i="4"/>
  <c r="G3229" i="4"/>
  <c r="F3229" i="4"/>
  <c r="E3229" i="4"/>
  <c r="D3229" i="4"/>
  <c r="C3229" i="4"/>
  <c r="B3229" i="4"/>
  <c r="A3229" i="4"/>
  <c r="M3228" i="4"/>
  <c r="L3228" i="4"/>
  <c r="K3228" i="4"/>
  <c r="J3228" i="4"/>
  <c r="I3228" i="4"/>
  <c r="H3228" i="4"/>
  <c r="G3228" i="4"/>
  <c r="F3228" i="4"/>
  <c r="E3228" i="4"/>
  <c r="D3228" i="4"/>
  <c r="C3228" i="4"/>
  <c r="B3228" i="4"/>
  <c r="A3228" i="4"/>
  <c r="M3227" i="4"/>
  <c r="L3227" i="4"/>
  <c r="K3227" i="4"/>
  <c r="J3227" i="4"/>
  <c r="I3227" i="4"/>
  <c r="H3227" i="4"/>
  <c r="G3227" i="4"/>
  <c r="F3227" i="4"/>
  <c r="E3227" i="4"/>
  <c r="D3227" i="4"/>
  <c r="C3227" i="4"/>
  <c r="B3227" i="4"/>
  <c r="A3227" i="4"/>
  <c r="M3226" i="4"/>
  <c r="L3226" i="4"/>
  <c r="K3226" i="4"/>
  <c r="J3226" i="4"/>
  <c r="I3226" i="4"/>
  <c r="H3226" i="4"/>
  <c r="G3226" i="4"/>
  <c r="F3226" i="4"/>
  <c r="E3226" i="4"/>
  <c r="D3226" i="4"/>
  <c r="C3226" i="4"/>
  <c r="B3226" i="4"/>
  <c r="A3226" i="4"/>
  <c r="M3225" i="4"/>
  <c r="L3225" i="4"/>
  <c r="K3225" i="4"/>
  <c r="J3225" i="4"/>
  <c r="I3225" i="4"/>
  <c r="H3225" i="4"/>
  <c r="G3225" i="4"/>
  <c r="F3225" i="4"/>
  <c r="E3225" i="4"/>
  <c r="D3225" i="4"/>
  <c r="C3225" i="4"/>
  <c r="B3225" i="4"/>
  <c r="A3225" i="4"/>
  <c r="M3224" i="4"/>
  <c r="L3224" i="4"/>
  <c r="K3224" i="4"/>
  <c r="J3224" i="4"/>
  <c r="I3224" i="4"/>
  <c r="H3224" i="4"/>
  <c r="G3224" i="4"/>
  <c r="F3224" i="4"/>
  <c r="E3224" i="4"/>
  <c r="D3224" i="4"/>
  <c r="C3224" i="4"/>
  <c r="B3224" i="4"/>
  <c r="A3224" i="4"/>
  <c r="M3223" i="4"/>
  <c r="L3223" i="4"/>
  <c r="K3223" i="4"/>
  <c r="J3223" i="4"/>
  <c r="I3223" i="4"/>
  <c r="H3223" i="4"/>
  <c r="G3223" i="4"/>
  <c r="F3223" i="4"/>
  <c r="E3223" i="4"/>
  <c r="D3223" i="4"/>
  <c r="C3223" i="4"/>
  <c r="B3223" i="4"/>
  <c r="A3223" i="4"/>
  <c r="M3222" i="4"/>
  <c r="L3222" i="4"/>
  <c r="K3222" i="4"/>
  <c r="J3222" i="4"/>
  <c r="I3222" i="4"/>
  <c r="H3222" i="4"/>
  <c r="G3222" i="4"/>
  <c r="F3222" i="4"/>
  <c r="E3222" i="4"/>
  <c r="D3222" i="4"/>
  <c r="C3222" i="4"/>
  <c r="B3222" i="4"/>
  <c r="A3222" i="4"/>
  <c r="M3221" i="4"/>
  <c r="L3221" i="4"/>
  <c r="K3221" i="4"/>
  <c r="J3221" i="4"/>
  <c r="I3221" i="4"/>
  <c r="H3221" i="4"/>
  <c r="G3221" i="4"/>
  <c r="F3221" i="4"/>
  <c r="E3221" i="4"/>
  <c r="D3221" i="4"/>
  <c r="C3221" i="4"/>
  <c r="B3221" i="4"/>
  <c r="A3221" i="4"/>
  <c r="M3220" i="4"/>
  <c r="L3220" i="4"/>
  <c r="K3220" i="4"/>
  <c r="J3220" i="4"/>
  <c r="I3220" i="4"/>
  <c r="H3220" i="4"/>
  <c r="G3220" i="4"/>
  <c r="F3220" i="4"/>
  <c r="E3220" i="4"/>
  <c r="D3220" i="4"/>
  <c r="C3220" i="4"/>
  <c r="B3220" i="4"/>
  <c r="A3220" i="4"/>
  <c r="M3219" i="4"/>
  <c r="L3219" i="4"/>
  <c r="K3219" i="4"/>
  <c r="J3219" i="4"/>
  <c r="I3219" i="4"/>
  <c r="H3219" i="4"/>
  <c r="G3219" i="4"/>
  <c r="F3219" i="4"/>
  <c r="E3219" i="4"/>
  <c r="D3219" i="4"/>
  <c r="C3219" i="4"/>
  <c r="B3219" i="4"/>
  <c r="A3219" i="4"/>
  <c r="M3218" i="4"/>
  <c r="L3218" i="4"/>
  <c r="K3218" i="4"/>
  <c r="J3218" i="4"/>
  <c r="I3218" i="4"/>
  <c r="H3218" i="4"/>
  <c r="G3218" i="4"/>
  <c r="F3218" i="4"/>
  <c r="E3218" i="4"/>
  <c r="D3218" i="4"/>
  <c r="C3218" i="4"/>
  <c r="B3218" i="4"/>
  <c r="A3218" i="4"/>
  <c r="M3217" i="4"/>
  <c r="L3217" i="4"/>
  <c r="K3217" i="4"/>
  <c r="J3217" i="4"/>
  <c r="I3217" i="4"/>
  <c r="H3217" i="4"/>
  <c r="G3217" i="4"/>
  <c r="F3217" i="4"/>
  <c r="D3217" i="4"/>
  <c r="C3217" i="4"/>
  <c r="B3217" i="4"/>
  <c r="A3217" i="4"/>
  <c r="M3216" i="4"/>
  <c r="L3216" i="4"/>
  <c r="K3216" i="4"/>
  <c r="J3216" i="4"/>
  <c r="I3216" i="4"/>
  <c r="H3216" i="4"/>
  <c r="G3216" i="4"/>
  <c r="F3216" i="4"/>
  <c r="E3216" i="4"/>
  <c r="D3216" i="4"/>
  <c r="C3216" i="4"/>
  <c r="B3216" i="4"/>
  <c r="A3216" i="4"/>
  <c r="M3215" i="4"/>
  <c r="L3215" i="4"/>
  <c r="K3215" i="4"/>
  <c r="J3215" i="4"/>
  <c r="I3215" i="4"/>
  <c r="H3215" i="4"/>
  <c r="G3215" i="4"/>
  <c r="F3215" i="4"/>
  <c r="D3215" i="4"/>
  <c r="C3215" i="4"/>
  <c r="B3215" i="4"/>
  <c r="A3215" i="4"/>
  <c r="M3214" i="4"/>
  <c r="L3214" i="4"/>
  <c r="K3214" i="4"/>
  <c r="J3214" i="4"/>
  <c r="I3214" i="4"/>
  <c r="H3214" i="4"/>
  <c r="G3214" i="4"/>
  <c r="F3214" i="4"/>
  <c r="D3214" i="4"/>
  <c r="C3214" i="4"/>
  <c r="B3214" i="4"/>
  <c r="A3214" i="4"/>
  <c r="M3213" i="4"/>
  <c r="L3213" i="4"/>
  <c r="K3213" i="4"/>
  <c r="J3213" i="4"/>
  <c r="I3213" i="4"/>
  <c r="H3213" i="4"/>
  <c r="G3213" i="4"/>
  <c r="F3213" i="4"/>
  <c r="E3213" i="4"/>
  <c r="D3213" i="4"/>
  <c r="C3213" i="4"/>
  <c r="B3213" i="4"/>
  <c r="A3213" i="4"/>
  <c r="M3212" i="4"/>
  <c r="L3212" i="4"/>
  <c r="K3212" i="4"/>
  <c r="J3212" i="4"/>
  <c r="I3212" i="4"/>
  <c r="H3212" i="4"/>
  <c r="G3212" i="4"/>
  <c r="F3212" i="4"/>
  <c r="D3212" i="4"/>
  <c r="C3212" i="4"/>
  <c r="B3212" i="4"/>
  <c r="A3212" i="4"/>
  <c r="M3211" i="4"/>
  <c r="L3211" i="4"/>
  <c r="K3211" i="4"/>
  <c r="J3211" i="4"/>
  <c r="I3211" i="4"/>
  <c r="H3211" i="4"/>
  <c r="G3211" i="4"/>
  <c r="F3211" i="4"/>
  <c r="E3211" i="4"/>
  <c r="D3211" i="4"/>
  <c r="C3211" i="4"/>
  <c r="B3211" i="4"/>
  <c r="A3211" i="4"/>
  <c r="M3210" i="4"/>
  <c r="L3210" i="4"/>
  <c r="K3210" i="4"/>
  <c r="J3210" i="4"/>
  <c r="I3210" i="4"/>
  <c r="H3210" i="4"/>
  <c r="G3210" i="4"/>
  <c r="F3210" i="4"/>
  <c r="E3210" i="4"/>
  <c r="D3210" i="4"/>
  <c r="C3210" i="4"/>
  <c r="B3210" i="4"/>
  <c r="A3210" i="4"/>
  <c r="M3209" i="4"/>
  <c r="L3209" i="4"/>
  <c r="K3209" i="4"/>
  <c r="J3209" i="4"/>
  <c r="I3209" i="4"/>
  <c r="H3209" i="4"/>
  <c r="G3209" i="4"/>
  <c r="F3209" i="4"/>
  <c r="E3209" i="4"/>
  <c r="D3209" i="4"/>
  <c r="C3209" i="4"/>
  <c r="B3209" i="4"/>
  <c r="A3209" i="4"/>
  <c r="M3208" i="4"/>
  <c r="L3208" i="4"/>
  <c r="K3208" i="4"/>
  <c r="J3208" i="4"/>
  <c r="I3208" i="4"/>
  <c r="H3208" i="4"/>
  <c r="G3208" i="4"/>
  <c r="F3208" i="4"/>
  <c r="E3208" i="4"/>
  <c r="D3208" i="4"/>
  <c r="C3208" i="4"/>
  <c r="B3208" i="4"/>
  <c r="A3208" i="4"/>
  <c r="M3207" i="4"/>
  <c r="L3207" i="4"/>
  <c r="K3207" i="4"/>
  <c r="J3207" i="4"/>
  <c r="I3207" i="4"/>
  <c r="H3207" i="4"/>
  <c r="G3207" i="4"/>
  <c r="F3207" i="4"/>
  <c r="D3207" i="4"/>
  <c r="C3207" i="4"/>
  <c r="B3207" i="4"/>
  <c r="A3207" i="4"/>
  <c r="M3206" i="4"/>
  <c r="L3206" i="4"/>
  <c r="K3206" i="4"/>
  <c r="J3206" i="4"/>
  <c r="I3206" i="4"/>
  <c r="H3206" i="4"/>
  <c r="G3206" i="4"/>
  <c r="F3206" i="4"/>
  <c r="E3206" i="4"/>
  <c r="D3206" i="4"/>
  <c r="C3206" i="4"/>
  <c r="B3206" i="4"/>
  <c r="A3206" i="4"/>
  <c r="M3205" i="4"/>
  <c r="L3205" i="4"/>
  <c r="K3205" i="4"/>
  <c r="J3205" i="4"/>
  <c r="I3205" i="4"/>
  <c r="H3205" i="4"/>
  <c r="G3205" i="4"/>
  <c r="F3205" i="4"/>
  <c r="D3205" i="4"/>
  <c r="C3205" i="4"/>
  <c r="B3205" i="4"/>
  <c r="A3205" i="4"/>
  <c r="M3204" i="4"/>
  <c r="L3204" i="4"/>
  <c r="K3204" i="4"/>
  <c r="J3204" i="4"/>
  <c r="I3204" i="4"/>
  <c r="H3204" i="4"/>
  <c r="G3204" i="4"/>
  <c r="F3204" i="4"/>
  <c r="D3204" i="4"/>
  <c r="C3204" i="4"/>
  <c r="B3204" i="4"/>
  <c r="A3204" i="4"/>
  <c r="M3203" i="4"/>
  <c r="L3203" i="4"/>
  <c r="K3203" i="4"/>
  <c r="J3203" i="4"/>
  <c r="I3203" i="4"/>
  <c r="H3203" i="4"/>
  <c r="G3203" i="4"/>
  <c r="F3203" i="4"/>
  <c r="E3203" i="4"/>
  <c r="D3203" i="4"/>
  <c r="C3203" i="4"/>
  <c r="B3203" i="4"/>
  <c r="A3203" i="4"/>
  <c r="M3202" i="4"/>
  <c r="L3202" i="4"/>
  <c r="K3202" i="4"/>
  <c r="J3202" i="4"/>
  <c r="I3202" i="4"/>
  <c r="H3202" i="4"/>
  <c r="G3202" i="4"/>
  <c r="F3202" i="4"/>
  <c r="D3202" i="4"/>
  <c r="C3202" i="4"/>
  <c r="B3202" i="4"/>
  <c r="A3202" i="4"/>
  <c r="M3201" i="4"/>
  <c r="L3201" i="4"/>
  <c r="K3201" i="4"/>
  <c r="J3201" i="4"/>
  <c r="I3201" i="4"/>
  <c r="H3201" i="4"/>
  <c r="G3201" i="4"/>
  <c r="F3201" i="4"/>
  <c r="D3201" i="4"/>
  <c r="C3201" i="4"/>
  <c r="B3201" i="4"/>
  <c r="A3201" i="4"/>
  <c r="M3200" i="4"/>
  <c r="L3200" i="4"/>
  <c r="K3200" i="4"/>
  <c r="J3200" i="4"/>
  <c r="I3200" i="4"/>
  <c r="H3200" i="4"/>
  <c r="G3200" i="4"/>
  <c r="F3200" i="4"/>
  <c r="E3200" i="4"/>
  <c r="D3200" i="4"/>
  <c r="C3200" i="4"/>
  <c r="B3200" i="4"/>
  <c r="A3200" i="4"/>
  <c r="M3199" i="4"/>
  <c r="L3199" i="4"/>
  <c r="K3199" i="4"/>
  <c r="J3199" i="4"/>
  <c r="I3199" i="4"/>
  <c r="H3199" i="4"/>
  <c r="G3199" i="4"/>
  <c r="F3199" i="4"/>
  <c r="E3199" i="4"/>
  <c r="D3199" i="4"/>
  <c r="C3199" i="4"/>
  <c r="B3199" i="4"/>
  <c r="A3199" i="4"/>
  <c r="M3198" i="4"/>
  <c r="L3198" i="4"/>
  <c r="K3198" i="4"/>
  <c r="J3198" i="4"/>
  <c r="I3198" i="4"/>
  <c r="H3198" i="4"/>
  <c r="G3198" i="4"/>
  <c r="F3198" i="4"/>
  <c r="E3198" i="4"/>
  <c r="D3198" i="4"/>
  <c r="C3198" i="4"/>
  <c r="B3198" i="4"/>
  <c r="A3198" i="4"/>
  <c r="M3197" i="4"/>
  <c r="L3197" i="4"/>
  <c r="K3197" i="4"/>
  <c r="J3197" i="4"/>
  <c r="I3197" i="4"/>
  <c r="H3197" i="4"/>
  <c r="G3197" i="4"/>
  <c r="F3197" i="4"/>
  <c r="E3197" i="4"/>
  <c r="D3197" i="4"/>
  <c r="C3197" i="4"/>
  <c r="B3197" i="4"/>
  <c r="A3197" i="4"/>
  <c r="M3196" i="4"/>
  <c r="L3196" i="4"/>
  <c r="K3196" i="4"/>
  <c r="J3196" i="4"/>
  <c r="I3196" i="4"/>
  <c r="H3196" i="4"/>
  <c r="G3196" i="4"/>
  <c r="F3196" i="4"/>
  <c r="E3196" i="4"/>
  <c r="D3196" i="4"/>
  <c r="C3196" i="4"/>
  <c r="B3196" i="4"/>
  <c r="A3196" i="4"/>
  <c r="M3195" i="4"/>
  <c r="L3195" i="4"/>
  <c r="K3195" i="4"/>
  <c r="J3195" i="4"/>
  <c r="I3195" i="4"/>
  <c r="H3195" i="4"/>
  <c r="G3195" i="4"/>
  <c r="F3195" i="4"/>
  <c r="E3195" i="4"/>
  <c r="D3195" i="4"/>
  <c r="C3195" i="4"/>
  <c r="B3195" i="4"/>
  <c r="A3195" i="4"/>
  <c r="M3194" i="4"/>
  <c r="L3194" i="4"/>
  <c r="K3194" i="4"/>
  <c r="J3194" i="4"/>
  <c r="I3194" i="4"/>
  <c r="H3194" i="4"/>
  <c r="G3194" i="4"/>
  <c r="F3194" i="4"/>
  <c r="E3194" i="4"/>
  <c r="D3194" i="4"/>
  <c r="C3194" i="4"/>
  <c r="B3194" i="4"/>
  <c r="A3194" i="4"/>
  <c r="M3193" i="4"/>
  <c r="L3193" i="4"/>
  <c r="K3193" i="4"/>
  <c r="J3193" i="4"/>
  <c r="I3193" i="4"/>
  <c r="H3193" i="4"/>
  <c r="G3193" i="4"/>
  <c r="F3193" i="4"/>
  <c r="E3193" i="4"/>
  <c r="D3193" i="4"/>
  <c r="C3193" i="4"/>
  <c r="B3193" i="4"/>
  <c r="A3193" i="4"/>
  <c r="M3192" i="4"/>
  <c r="L3192" i="4"/>
  <c r="K3192" i="4"/>
  <c r="J3192" i="4"/>
  <c r="I3192" i="4"/>
  <c r="H3192" i="4"/>
  <c r="G3192" i="4"/>
  <c r="F3192" i="4"/>
  <c r="E3192" i="4"/>
  <c r="D3192" i="4"/>
  <c r="C3192" i="4"/>
  <c r="B3192" i="4"/>
  <c r="A3192" i="4"/>
  <c r="M3191" i="4"/>
  <c r="L3191" i="4"/>
  <c r="K3191" i="4"/>
  <c r="J3191" i="4"/>
  <c r="I3191" i="4"/>
  <c r="H3191" i="4"/>
  <c r="G3191" i="4"/>
  <c r="F3191" i="4"/>
  <c r="E3191" i="4"/>
  <c r="D3191" i="4"/>
  <c r="C3191" i="4"/>
  <c r="B3191" i="4"/>
  <c r="A3191" i="4"/>
  <c r="M3190" i="4"/>
  <c r="L3190" i="4"/>
  <c r="K3190" i="4"/>
  <c r="J3190" i="4"/>
  <c r="I3190" i="4"/>
  <c r="H3190" i="4"/>
  <c r="G3190" i="4"/>
  <c r="F3190" i="4"/>
  <c r="E3190" i="4"/>
  <c r="D3190" i="4"/>
  <c r="C3190" i="4"/>
  <c r="B3190" i="4"/>
  <c r="A3190" i="4"/>
  <c r="M3189" i="4"/>
  <c r="L3189" i="4"/>
  <c r="K3189" i="4"/>
  <c r="J3189" i="4"/>
  <c r="I3189" i="4"/>
  <c r="H3189" i="4"/>
  <c r="G3189" i="4"/>
  <c r="F3189" i="4"/>
  <c r="E3189" i="4"/>
  <c r="D3189" i="4"/>
  <c r="C3189" i="4"/>
  <c r="B3189" i="4"/>
  <c r="A3189" i="4"/>
  <c r="M3188" i="4"/>
  <c r="L3188" i="4"/>
  <c r="K3188" i="4"/>
  <c r="J3188" i="4"/>
  <c r="I3188" i="4"/>
  <c r="H3188" i="4"/>
  <c r="G3188" i="4"/>
  <c r="F3188" i="4"/>
  <c r="D3188" i="4"/>
  <c r="C3188" i="4"/>
  <c r="B3188" i="4"/>
  <c r="A3188" i="4"/>
  <c r="M3187" i="4"/>
  <c r="L3187" i="4"/>
  <c r="K3187" i="4"/>
  <c r="J3187" i="4"/>
  <c r="I3187" i="4"/>
  <c r="H3187" i="4"/>
  <c r="G3187" i="4"/>
  <c r="F3187" i="4"/>
  <c r="E3187" i="4"/>
  <c r="D3187" i="4"/>
  <c r="C3187" i="4"/>
  <c r="B3187" i="4"/>
  <c r="A3187" i="4"/>
  <c r="M3186" i="4"/>
  <c r="L3186" i="4"/>
  <c r="K3186" i="4"/>
  <c r="J3186" i="4"/>
  <c r="I3186" i="4"/>
  <c r="H3186" i="4"/>
  <c r="G3186" i="4"/>
  <c r="F3186" i="4"/>
  <c r="E3186" i="4"/>
  <c r="D3186" i="4"/>
  <c r="C3186" i="4"/>
  <c r="B3186" i="4"/>
  <c r="A3186" i="4"/>
  <c r="M3185" i="4"/>
  <c r="L3185" i="4"/>
  <c r="K3185" i="4"/>
  <c r="J3185" i="4"/>
  <c r="I3185" i="4"/>
  <c r="H3185" i="4"/>
  <c r="G3185" i="4"/>
  <c r="F3185" i="4"/>
  <c r="E3185" i="4"/>
  <c r="D3185" i="4"/>
  <c r="C3185" i="4"/>
  <c r="B3185" i="4"/>
  <c r="A3185" i="4"/>
  <c r="M3184" i="4"/>
  <c r="L3184" i="4"/>
  <c r="K3184" i="4"/>
  <c r="J3184" i="4"/>
  <c r="I3184" i="4"/>
  <c r="H3184" i="4"/>
  <c r="G3184" i="4"/>
  <c r="E3184" i="4"/>
  <c r="D3184" i="4"/>
  <c r="C3184" i="4"/>
  <c r="B3184" i="4"/>
  <c r="A3184" i="4"/>
  <c r="M3183" i="4"/>
  <c r="L3183" i="4"/>
  <c r="K3183" i="4"/>
  <c r="J3183" i="4"/>
  <c r="I3183" i="4"/>
  <c r="H3183" i="4"/>
  <c r="G3183" i="4"/>
  <c r="F3183" i="4"/>
  <c r="E3183" i="4"/>
  <c r="D3183" i="4"/>
  <c r="C3183" i="4"/>
  <c r="B3183" i="4"/>
  <c r="A3183" i="4"/>
  <c r="M3182" i="4"/>
  <c r="L3182" i="4"/>
  <c r="K3182" i="4"/>
  <c r="J3182" i="4"/>
  <c r="I3182" i="4"/>
  <c r="H3182" i="4"/>
  <c r="G3182" i="4"/>
  <c r="F3182" i="4"/>
  <c r="E3182" i="4"/>
  <c r="D3182" i="4"/>
  <c r="C3182" i="4"/>
  <c r="B3182" i="4"/>
  <c r="A3182" i="4"/>
  <c r="M3181" i="4"/>
  <c r="L3181" i="4"/>
  <c r="K3181" i="4"/>
  <c r="J3181" i="4"/>
  <c r="I3181" i="4"/>
  <c r="H3181" i="4"/>
  <c r="G3181" i="4"/>
  <c r="F3181" i="4"/>
  <c r="E3181" i="4"/>
  <c r="D3181" i="4"/>
  <c r="C3181" i="4"/>
  <c r="B3181" i="4"/>
  <c r="A3181" i="4"/>
  <c r="M3180" i="4"/>
  <c r="L3180" i="4"/>
  <c r="K3180" i="4"/>
  <c r="J3180" i="4"/>
  <c r="I3180" i="4"/>
  <c r="H3180" i="4"/>
  <c r="G3180" i="4"/>
  <c r="F3180" i="4"/>
  <c r="E3180" i="4"/>
  <c r="D3180" i="4"/>
  <c r="C3180" i="4"/>
  <c r="B3180" i="4"/>
  <c r="A3180" i="4"/>
  <c r="M3179" i="4"/>
  <c r="L3179" i="4"/>
  <c r="K3179" i="4"/>
  <c r="J3179" i="4"/>
  <c r="I3179" i="4"/>
  <c r="H3179" i="4"/>
  <c r="G3179" i="4"/>
  <c r="F3179" i="4"/>
  <c r="E3179" i="4"/>
  <c r="D3179" i="4"/>
  <c r="C3179" i="4"/>
  <c r="B3179" i="4"/>
  <c r="A3179" i="4"/>
  <c r="M3178" i="4"/>
  <c r="L3178" i="4"/>
  <c r="K3178" i="4"/>
  <c r="J3178" i="4"/>
  <c r="I3178" i="4"/>
  <c r="H3178" i="4"/>
  <c r="G3178" i="4"/>
  <c r="F3178" i="4"/>
  <c r="E3178" i="4"/>
  <c r="D3178" i="4"/>
  <c r="C3178" i="4"/>
  <c r="B3178" i="4"/>
  <c r="A3178" i="4"/>
  <c r="M3177" i="4"/>
  <c r="L3177" i="4"/>
  <c r="K3177" i="4"/>
  <c r="J3177" i="4"/>
  <c r="I3177" i="4"/>
  <c r="H3177" i="4"/>
  <c r="G3177" i="4"/>
  <c r="F3177" i="4"/>
  <c r="E3177" i="4"/>
  <c r="D3177" i="4"/>
  <c r="C3177" i="4"/>
  <c r="B3177" i="4"/>
  <c r="A3177" i="4"/>
  <c r="M3176" i="4"/>
  <c r="L3176" i="4"/>
  <c r="K3176" i="4"/>
  <c r="J3176" i="4"/>
  <c r="I3176" i="4"/>
  <c r="H3176" i="4"/>
  <c r="G3176" i="4"/>
  <c r="F3176" i="4"/>
  <c r="E3176" i="4"/>
  <c r="D3176" i="4"/>
  <c r="C3176" i="4"/>
  <c r="B3176" i="4"/>
  <c r="A3176" i="4"/>
  <c r="M3175" i="4"/>
  <c r="L3175" i="4"/>
  <c r="K3175" i="4"/>
  <c r="J3175" i="4"/>
  <c r="I3175" i="4"/>
  <c r="H3175" i="4"/>
  <c r="G3175" i="4"/>
  <c r="F3175" i="4"/>
  <c r="E3175" i="4"/>
  <c r="D3175" i="4"/>
  <c r="C3175" i="4"/>
  <c r="B3175" i="4"/>
  <c r="A3175" i="4"/>
  <c r="M3174" i="4"/>
  <c r="L3174" i="4"/>
  <c r="K3174" i="4"/>
  <c r="J3174" i="4"/>
  <c r="I3174" i="4"/>
  <c r="H3174" i="4"/>
  <c r="G3174" i="4"/>
  <c r="F3174" i="4"/>
  <c r="E3174" i="4"/>
  <c r="D3174" i="4"/>
  <c r="C3174" i="4"/>
  <c r="B3174" i="4"/>
  <c r="A3174" i="4"/>
  <c r="M3173" i="4"/>
  <c r="L3173" i="4"/>
  <c r="K3173" i="4"/>
  <c r="J3173" i="4"/>
  <c r="I3173" i="4"/>
  <c r="H3173" i="4"/>
  <c r="G3173" i="4"/>
  <c r="F3173" i="4"/>
  <c r="E3173" i="4"/>
  <c r="D3173" i="4"/>
  <c r="C3173" i="4"/>
  <c r="B3173" i="4"/>
  <c r="A3173" i="4"/>
  <c r="M3172" i="4"/>
  <c r="L3172" i="4"/>
  <c r="K3172" i="4"/>
  <c r="J3172" i="4"/>
  <c r="I3172" i="4"/>
  <c r="H3172" i="4"/>
  <c r="G3172" i="4"/>
  <c r="F3172" i="4"/>
  <c r="E3172" i="4"/>
  <c r="D3172" i="4"/>
  <c r="C3172" i="4"/>
  <c r="B3172" i="4"/>
  <c r="A3172" i="4"/>
  <c r="M3171" i="4"/>
  <c r="L3171" i="4"/>
  <c r="K3171" i="4"/>
  <c r="J3171" i="4"/>
  <c r="I3171" i="4"/>
  <c r="H3171" i="4"/>
  <c r="G3171" i="4"/>
  <c r="F3171" i="4"/>
  <c r="E3171" i="4"/>
  <c r="D3171" i="4"/>
  <c r="C3171" i="4"/>
  <c r="B3171" i="4"/>
  <c r="A3171" i="4"/>
  <c r="M3170" i="4"/>
  <c r="L3170" i="4"/>
  <c r="K3170" i="4"/>
  <c r="J3170" i="4"/>
  <c r="I3170" i="4"/>
  <c r="H3170" i="4"/>
  <c r="G3170" i="4"/>
  <c r="F3170" i="4"/>
  <c r="E3170" i="4"/>
  <c r="D3170" i="4"/>
  <c r="C3170" i="4"/>
  <c r="B3170" i="4"/>
  <c r="A3170" i="4"/>
  <c r="M3169" i="4"/>
  <c r="L3169" i="4"/>
  <c r="K3169" i="4"/>
  <c r="J3169" i="4"/>
  <c r="I3169" i="4"/>
  <c r="H3169" i="4"/>
  <c r="G3169" i="4"/>
  <c r="F3169" i="4"/>
  <c r="E3169" i="4"/>
  <c r="D3169" i="4"/>
  <c r="C3169" i="4"/>
  <c r="B3169" i="4"/>
  <c r="A3169" i="4"/>
  <c r="M3168" i="4"/>
  <c r="L3168" i="4"/>
  <c r="K3168" i="4"/>
  <c r="J3168" i="4"/>
  <c r="I3168" i="4"/>
  <c r="H3168" i="4"/>
  <c r="G3168" i="4"/>
  <c r="F3168" i="4"/>
  <c r="E3168" i="4"/>
  <c r="D3168" i="4"/>
  <c r="C3168" i="4"/>
  <c r="B3168" i="4"/>
  <c r="A3168" i="4"/>
  <c r="M3167" i="4"/>
  <c r="L3167" i="4"/>
  <c r="K3167" i="4"/>
  <c r="J3167" i="4"/>
  <c r="I3167" i="4"/>
  <c r="H3167" i="4"/>
  <c r="G3167" i="4"/>
  <c r="F3167" i="4"/>
  <c r="E3167" i="4"/>
  <c r="D3167" i="4"/>
  <c r="C3167" i="4"/>
  <c r="B3167" i="4"/>
  <c r="A3167" i="4"/>
  <c r="M3166" i="4"/>
  <c r="L3166" i="4"/>
  <c r="K3166" i="4"/>
  <c r="J3166" i="4"/>
  <c r="I3166" i="4"/>
  <c r="H3166" i="4"/>
  <c r="G3166" i="4"/>
  <c r="F3166" i="4"/>
  <c r="E3166" i="4"/>
  <c r="D3166" i="4"/>
  <c r="C3166" i="4"/>
  <c r="B3166" i="4"/>
  <c r="A3166" i="4"/>
  <c r="M3165" i="4"/>
  <c r="L3165" i="4"/>
  <c r="K3165" i="4"/>
  <c r="J3165" i="4"/>
  <c r="I3165" i="4"/>
  <c r="H3165" i="4"/>
  <c r="G3165" i="4"/>
  <c r="F3165" i="4"/>
  <c r="E3165" i="4"/>
  <c r="D3165" i="4"/>
  <c r="C3165" i="4"/>
  <c r="B3165" i="4"/>
  <c r="A3165" i="4"/>
  <c r="M3164" i="4"/>
  <c r="L3164" i="4"/>
  <c r="K3164" i="4"/>
  <c r="J3164" i="4"/>
  <c r="I3164" i="4"/>
  <c r="H3164" i="4"/>
  <c r="G3164" i="4"/>
  <c r="F3164" i="4"/>
  <c r="E3164" i="4"/>
  <c r="D3164" i="4"/>
  <c r="C3164" i="4"/>
  <c r="B3164" i="4"/>
  <c r="A3164" i="4"/>
  <c r="M3163" i="4"/>
  <c r="L3163" i="4"/>
  <c r="K3163" i="4"/>
  <c r="J3163" i="4"/>
  <c r="I3163" i="4"/>
  <c r="H3163" i="4"/>
  <c r="G3163" i="4"/>
  <c r="F3163" i="4"/>
  <c r="E3163" i="4"/>
  <c r="D3163" i="4"/>
  <c r="C3163" i="4"/>
  <c r="B3163" i="4"/>
  <c r="A3163" i="4"/>
  <c r="M3162" i="4"/>
  <c r="L3162" i="4"/>
  <c r="K3162" i="4"/>
  <c r="J3162" i="4"/>
  <c r="I3162" i="4"/>
  <c r="H3162" i="4"/>
  <c r="G3162" i="4"/>
  <c r="F3162" i="4"/>
  <c r="E3162" i="4"/>
  <c r="D3162" i="4"/>
  <c r="C3162" i="4"/>
  <c r="B3162" i="4"/>
  <c r="A3162" i="4"/>
  <c r="M3161" i="4"/>
  <c r="L3161" i="4"/>
  <c r="K3161" i="4"/>
  <c r="J3161" i="4"/>
  <c r="I3161" i="4"/>
  <c r="H3161" i="4"/>
  <c r="G3161" i="4"/>
  <c r="F3161" i="4"/>
  <c r="E3161" i="4"/>
  <c r="D3161" i="4"/>
  <c r="C3161" i="4"/>
  <c r="B3161" i="4"/>
  <c r="A3161" i="4"/>
  <c r="M3160" i="4"/>
  <c r="L3160" i="4"/>
  <c r="K3160" i="4"/>
  <c r="J3160" i="4"/>
  <c r="I3160" i="4"/>
  <c r="H3160" i="4"/>
  <c r="G3160" i="4"/>
  <c r="F3160" i="4"/>
  <c r="E3160" i="4"/>
  <c r="D3160" i="4"/>
  <c r="C3160" i="4"/>
  <c r="B3160" i="4"/>
  <c r="A3160" i="4"/>
  <c r="M3159" i="4"/>
  <c r="L3159" i="4"/>
  <c r="K3159" i="4"/>
  <c r="J3159" i="4"/>
  <c r="I3159" i="4"/>
  <c r="H3159" i="4"/>
  <c r="G3159" i="4"/>
  <c r="F3159" i="4"/>
  <c r="E3159" i="4"/>
  <c r="D3159" i="4"/>
  <c r="B3159" i="4"/>
  <c r="A3159" i="4"/>
  <c r="M3158" i="4"/>
  <c r="L3158" i="4"/>
  <c r="K3158" i="4"/>
  <c r="J3158" i="4"/>
  <c r="I3158" i="4"/>
  <c r="H3158" i="4"/>
  <c r="G3158" i="4"/>
  <c r="F3158" i="4"/>
  <c r="E3158" i="4"/>
  <c r="D3158" i="4"/>
  <c r="C3158" i="4"/>
  <c r="B3158" i="4"/>
  <c r="A3158" i="4"/>
  <c r="M3157" i="4"/>
  <c r="L3157" i="4"/>
  <c r="K3157" i="4"/>
  <c r="J3157" i="4"/>
  <c r="I3157" i="4"/>
  <c r="H3157" i="4"/>
  <c r="G3157" i="4"/>
  <c r="F3157" i="4"/>
  <c r="E3157" i="4"/>
  <c r="D3157" i="4"/>
  <c r="C3157" i="4"/>
  <c r="B3157" i="4"/>
  <c r="A3157" i="4"/>
  <c r="M3156" i="4"/>
  <c r="L3156" i="4"/>
  <c r="K3156" i="4"/>
  <c r="J3156" i="4"/>
  <c r="I3156" i="4"/>
  <c r="H3156" i="4"/>
  <c r="G3156" i="4"/>
  <c r="F3156" i="4"/>
  <c r="E3156" i="4"/>
  <c r="D3156" i="4"/>
  <c r="C3156" i="4"/>
  <c r="B3156" i="4"/>
  <c r="A3156" i="4"/>
  <c r="M3155" i="4"/>
  <c r="L3155" i="4"/>
  <c r="K3155" i="4"/>
  <c r="J3155" i="4"/>
  <c r="I3155" i="4"/>
  <c r="H3155" i="4"/>
  <c r="G3155" i="4"/>
  <c r="F3155" i="4"/>
  <c r="E3155" i="4"/>
  <c r="D3155" i="4"/>
  <c r="C3155" i="4"/>
  <c r="B3155" i="4"/>
  <c r="A3155" i="4"/>
  <c r="M3154" i="4"/>
  <c r="L3154" i="4"/>
  <c r="K3154" i="4"/>
  <c r="J3154" i="4"/>
  <c r="I3154" i="4"/>
  <c r="H3154" i="4"/>
  <c r="G3154" i="4"/>
  <c r="F3154" i="4"/>
  <c r="E3154" i="4"/>
  <c r="D3154" i="4"/>
  <c r="C3154" i="4"/>
  <c r="B3154" i="4"/>
  <c r="A3154" i="4"/>
  <c r="M3153" i="4"/>
  <c r="L3153" i="4"/>
  <c r="K3153" i="4"/>
  <c r="J3153" i="4"/>
  <c r="I3153" i="4"/>
  <c r="H3153" i="4"/>
  <c r="G3153" i="4"/>
  <c r="F3153" i="4"/>
  <c r="E3153" i="4"/>
  <c r="D3153" i="4"/>
  <c r="C3153" i="4"/>
  <c r="B3153" i="4"/>
  <c r="A3153" i="4"/>
  <c r="M3152" i="4"/>
  <c r="L3152" i="4"/>
  <c r="K3152" i="4"/>
  <c r="J3152" i="4"/>
  <c r="I3152" i="4"/>
  <c r="H3152" i="4"/>
  <c r="G3152" i="4"/>
  <c r="F3152" i="4"/>
  <c r="E3152" i="4"/>
  <c r="D3152" i="4"/>
  <c r="C3152" i="4"/>
  <c r="B3152" i="4"/>
  <c r="A3152" i="4"/>
  <c r="M3151" i="4"/>
  <c r="L3151" i="4"/>
  <c r="K3151" i="4"/>
  <c r="J3151" i="4"/>
  <c r="I3151" i="4"/>
  <c r="H3151" i="4"/>
  <c r="G3151" i="4"/>
  <c r="F3151" i="4"/>
  <c r="E3151" i="4"/>
  <c r="D3151" i="4"/>
  <c r="C3151" i="4"/>
  <c r="B3151" i="4"/>
  <c r="A3151" i="4"/>
  <c r="M3150" i="4"/>
  <c r="L3150" i="4"/>
  <c r="K3150" i="4"/>
  <c r="J3150" i="4"/>
  <c r="I3150" i="4"/>
  <c r="H3150" i="4"/>
  <c r="G3150" i="4"/>
  <c r="F3150" i="4"/>
  <c r="E3150" i="4"/>
  <c r="D3150" i="4"/>
  <c r="C3150" i="4"/>
  <c r="B3150" i="4"/>
  <c r="A3150" i="4"/>
  <c r="M3149" i="4"/>
  <c r="L3149" i="4"/>
  <c r="K3149" i="4"/>
  <c r="J3149" i="4"/>
  <c r="I3149" i="4"/>
  <c r="H3149" i="4"/>
  <c r="G3149" i="4"/>
  <c r="F3149" i="4"/>
  <c r="E3149" i="4"/>
  <c r="D3149" i="4"/>
  <c r="C3149" i="4"/>
  <c r="B3149" i="4"/>
  <c r="A3149" i="4"/>
  <c r="M3148" i="4"/>
  <c r="L3148" i="4"/>
  <c r="K3148" i="4"/>
  <c r="J3148" i="4"/>
  <c r="I3148" i="4"/>
  <c r="H3148" i="4"/>
  <c r="G3148" i="4"/>
  <c r="F3148" i="4"/>
  <c r="E3148" i="4"/>
  <c r="D3148" i="4"/>
  <c r="C3148" i="4"/>
  <c r="B3148" i="4"/>
  <c r="A3148" i="4"/>
  <c r="M3147" i="4"/>
  <c r="L3147" i="4"/>
  <c r="K3147" i="4"/>
  <c r="J3147" i="4"/>
  <c r="I3147" i="4"/>
  <c r="H3147" i="4"/>
  <c r="G3147" i="4"/>
  <c r="F3147" i="4"/>
  <c r="E3147" i="4"/>
  <c r="D3147" i="4"/>
  <c r="C3147" i="4"/>
  <c r="B3147" i="4"/>
  <c r="A3147" i="4"/>
  <c r="M3146" i="4"/>
  <c r="L3146" i="4"/>
  <c r="K3146" i="4"/>
  <c r="J3146" i="4"/>
  <c r="I3146" i="4"/>
  <c r="H3146" i="4"/>
  <c r="G3146" i="4"/>
  <c r="F3146" i="4"/>
  <c r="E3146" i="4"/>
  <c r="D3146" i="4"/>
  <c r="C3146" i="4"/>
  <c r="B3146" i="4"/>
  <c r="A3146" i="4"/>
  <c r="M3145" i="4"/>
  <c r="L3145" i="4"/>
  <c r="K3145" i="4"/>
  <c r="J3145" i="4"/>
  <c r="I3145" i="4"/>
  <c r="H3145" i="4"/>
  <c r="G3145" i="4"/>
  <c r="F3145" i="4"/>
  <c r="E3145" i="4"/>
  <c r="D3145" i="4"/>
  <c r="C3145" i="4"/>
  <c r="B3145" i="4"/>
  <c r="A3145" i="4"/>
  <c r="M3144" i="4"/>
  <c r="L3144" i="4"/>
  <c r="K3144" i="4"/>
  <c r="J3144" i="4"/>
  <c r="I3144" i="4"/>
  <c r="H3144" i="4"/>
  <c r="G3144" i="4"/>
  <c r="F3144" i="4"/>
  <c r="E3144" i="4"/>
  <c r="D3144" i="4"/>
  <c r="C3144" i="4"/>
  <c r="B3144" i="4"/>
  <c r="A3144" i="4"/>
  <c r="M3143" i="4"/>
  <c r="L3143" i="4"/>
  <c r="K3143" i="4"/>
  <c r="J3143" i="4"/>
  <c r="I3143" i="4"/>
  <c r="H3143" i="4"/>
  <c r="G3143" i="4"/>
  <c r="F3143" i="4"/>
  <c r="E3143" i="4"/>
  <c r="D3143" i="4"/>
  <c r="C3143" i="4"/>
  <c r="B3143" i="4"/>
  <c r="A3143" i="4"/>
  <c r="M3142" i="4"/>
  <c r="L3142" i="4"/>
  <c r="K3142" i="4"/>
  <c r="J3142" i="4"/>
  <c r="I3142" i="4"/>
  <c r="H3142" i="4"/>
  <c r="G3142" i="4"/>
  <c r="F3142" i="4"/>
  <c r="E3142" i="4"/>
  <c r="D3142" i="4"/>
  <c r="C3142" i="4"/>
  <c r="B3142" i="4"/>
  <c r="A3142" i="4"/>
  <c r="M3141" i="4"/>
  <c r="L3141" i="4"/>
  <c r="K3141" i="4"/>
  <c r="J3141" i="4"/>
  <c r="I3141" i="4"/>
  <c r="H3141" i="4"/>
  <c r="G3141" i="4"/>
  <c r="F3141" i="4"/>
  <c r="E3141" i="4"/>
  <c r="D3141" i="4"/>
  <c r="C3141" i="4"/>
  <c r="B3141" i="4"/>
  <c r="A3141" i="4"/>
  <c r="M3140" i="4"/>
  <c r="L3140" i="4"/>
  <c r="K3140" i="4"/>
  <c r="J3140" i="4"/>
  <c r="I3140" i="4"/>
  <c r="H3140" i="4"/>
  <c r="G3140" i="4"/>
  <c r="F3140" i="4"/>
  <c r="E3140" i="4"/>
  <c r="D3140" i="4"/>
  <c r="C3140" i="4"/>
  <c r="B3140" i="4"/>
  <c r="A3140" i="4"/>
  <c r="M3139" i="4"/>
  <c r="L3139" i="4"/>
  <c r="K3139" i="4"/>
  <c r="J3139" i="4"/>
  <c r="I3139" i="4"/>
  <c r="H3139" i="4"/>
  <c r="G3139" i="4"/>
  <c r="F3139" i="4"/>
  <c r="E3139" i="4"/>
  <c r="D3139" i="4"/>
  <c r="C3139" i="4"/>
  <c r="B3139" i="4"/>
  <c r="A3139" i="4"/>
  <c r="M3138" i="4"/>
  <c r="L3138" i="4"/>
  <c r="K3138" i="4"/>
  <c r="J3138" i="4"/>
  <c r="I3138" i="4"/>
  <c r="H3138" i="4"/>
  <c r="G3138" i="4"/>
  <c r="F3138" i="4"/>
  <c r="E3138" i="4"/>
  <c r="D3138" i="4"/>
  <c r="C3138" i="4"/>
  <c r="B3138" i="4"/>
  <c r="A3138" i="4"/>
  <c r="M3137" i="4"/>
  <c r="L3137" i="4"/>
  <c r="K3137" i="4"/>
  <c r="J3137" i="4"/>
  <c r="I3137" i="4"/>
  <c r="H3137" i="4"/>
  <c r="G3137" i="4"/>
  <c r="F3137" i="4"/>
  <c r="E3137" i="4"/>
  <c r="D3137" i="4"/>
  <c r="C3137" i="4"/>
  <c r="B3137" i="4"/>
  <c r="A3137" i="4"/>
  <c r="M3136" i="4"/>
  <c r="L3136" i="4"/>
  <c r="K3136" i="4"/>
  <c r="J3136" i="4"/>
  <c r="I3136" i="4"/>
  <c r="H3136" i="4"/>
  <c r="G3136" i="4"/>
  <c r="F3136" i="4"/>
  <c r="E3136" i="4"/>
  <c r="D3136" i="4"/>
  <c r="C3136" i="4"/>
  <c r="B3136" i="4"/>
  <c r="A3136" i="4"/>
  <c r="M3135" i="4"/>
  <c r="L3135" i="4"/>
  <c r="K3135" i="4"/>
  <c r="J3135" i="4"/>
  <c r="I3135" i="4"/>
  <c r="H3135" i="4"/>
  <c r="G3135" i="4"/>
  <c r="F3135" i="4"/>
  <c r="E3135" i="4"/>
  <c r="D3135" i="4"/>
  <c r="C3135" i="4"/>
  <c r="B3135" i="4"/>
  <c r="A3135" i="4"/>
  <c r="M3134" i="4"/>
  <c r="L3134" i="4"/>
  <c r="K3134" i="4"/>
  <c r="J3134" i="4"/>
  <c r="I3134" i="4"/>
  <c r="H3134" i="4"/>
  <c r="G3134" i="4"/>
  <c r="F3134" i="4"/>
  <c r="E3134" i="4"/>
  <c r="D3134" i="4"/>
  <c r="C3134" i="4"/>
  <c r="B3134" i="4"/>
  <c r="A3134" i="4"/>
  <c r="M3133" i="4"/>
  <c r="L3133" i="4"/>
  <c r="K3133" i="4"/>
  <c r="J3133" i="4"/>
  <c r="I3133" i="4"/>
  <c r="H3133" i="4"/>
  <c r="G3133" i="4"/>
  <c r="F3133" i="4"/>
  <c r="E3133" i="4"/>
  <c r="D3133" i="4"/>
  <c r="C3133" i="4"/>
  <c r="B3133" i="4"/>
  <c r="A3133" i="4"/>
  <c r="M3132" i="4"/>
  <c r="L3132" i="4"/>
  <c r="K3132" i="4"/>
  <c r="J3132" i="4"/>
  <c r="I3132" i="4"/>
  <c r="H3132" i="4"/>
  <c r="G3132" i="4"/>
  <c r="F3132" i="4"/>
  <c r="E3132" i="4"/>
  <c r="D3132" i="4"/>
  <c r="C3132" i="4"/>
  <c r="B3132" i="4"/>
  <c r="A3132" i="4"/>
  <c r="M3131" i="4"/>
  <c r="L3131" i="4"/>
  <c r="K3131" i="4"/>
  <c r="J3131" i="4"/>
  <c r="I3131" i="4"/>
  <c r="H3131" i="4"/>
  <c r="G3131" i="4"/>
  <c r="F3131" i="4"/>
  <c r="E3131" i="4"/>
  <c r="D3131" i="4"/>
  <c r="C3131" i="4"/>
  <c r="B3131" i="4"/>
  <c r="A3131" i="4"/>
  <c r="M3130" i="4"/>
  <c r="L3130" i="4"/>
  <c r="K3130" i="4"/>
  <c r="J3130" i="4"/>
  <c r="I3130" i="4"/>
  <c r="H3130" i="4"/>
  <c r="G3130" i="4"/>
  <c r="F3130" i="4"/>
  <c r="E3130" i="4"/>
  <c r="D3130" i="4"/>
  <c r="C3130" i="4"/>
  <c r="B3130" i="4"/>
  <c r="A3130" i="4"/>
  <c r="M3129" i="4"/>
  <c r="L3129" i="4"/>
  <c r="K3129" i="4"/>
  <c r="J3129" i="4"/>
  <c r="I3129" i="4"/>
  <c r="H3129" i="4"/>
  <c r="G3129" i="4"/>
  <c r="F3129" i="4"/>
  <c r="E3129" i="4"/>
  <c r="D3129" i="4"/>
  <c r="C3129" i="4"/>
  <c r="B3129" i="4"/>
  <c r="A3129" i="4"/>
  <c r="M3128" i="4"/>
  <c r="L3128" i="4"/>
  <c r="K3128" i="4"/>
  <c r="J3128" i="4"/>
  <c r="I3128" i="4"/>
  <c r="H3128" i="4"/>
  <c r="G3128" i="4"/>
  <c r="F3128" i="4"/>
  <c r="E3128" i="4"/>
  <c r="D3128" i="4"/>
  <c r="C3128" i="4"/>
  <c r="B3128" i="4"/>
  <c r="A3128" i="4"/>
  <c r="M3127" i="4"/>
  <c r="L3127" i="4"/>
  <c r="K3127" i="4"/>
  <c r="J3127" i="4"/>
  <c r="I3127" i="4"/>
  <c r="H3127" i="4"/>
  <c r="G3127" i="4"/>
  <c r="F3127" i="4"/>
  <c r="E3127" i="4"/>
  <c r="D3127" i="4"/>
  <c r="C3127" i="4"/>
  <c r="B3127" i="4"/>
  <c r="A3127" i="4"/>
  <c r="M3126" i="4"/>
  <c r="L3126" i="4"/>
  <c r="K3126" i="4"/>
  <c r="J3126" i="4"/>
  <c r="I3126" i="4"/>
  <c r="H3126" i="4"/>
  <c r="G3126" i="4"/>
  <c r="F3126" i="4"/>
  <c r="E3126" i="4"/>
  <c r="D3126" i="4"/>
  <c r="C3126" i="4"/>
  <c r="B3126" i="4"/>
  <c r="A3126" i="4"/>
  <c r="M3125" i="4"/>
  <c r="L3125" i="4"/>
  <c r="K3125" i="4"/>
  <c r="J3125" i="4"/>
  <c r="I3125" i="4"/>
  <c r="H3125" i="4"/>
  <c r="G3125" i="4"/>
  <c r="F3125" i="4"/>
  <c r="E3125" i="4"/>
  <c r="D3125" i="4"/>
  <c r="C3125" i="4"/>
  <c r="B3125" i="4"/>
  <c r="A3125" i="4"/>
  <c r="M3124" i="4"/>
  <c r="L3124" i="4"/>
  <c r="K3124" i="4"/>
  <c r="J3124" i="4"/>
  <c r="I3124" i="4"/>
  <c r="H3124" i="4"/>
  <c r="G3124" i="4"/>
  <c r="F3124" i="4"/>
  <c r="E3124" i="4"/>
  <c r="D3124" i="4"/>
  <c r="C3124" i="4"/>
  <c r="B3124" i="4"/>
  <c r="A3124" i="4"/>
  <c r="M3123" i="4"/>
  <c r="L3123" i="4"/>
  <c r="K3123" i="4"/>
  <c r="J3123" i="4"/>
  <c r="I3123" i="4"/>
  <c r="H3123" i="4"/>
  <c r="G3123" i="4"/>
  <c r="F3123" i="4"/>
  <c r="E3123" i="4"/>
  <c r="D3123" i="4"/>
  <c r="C3123" i="4"/>
  <c r="B3123" i="4"/>
  <c r="A3123" i="4"/>
  <c r="M3122" i="4"/>
  <c r="L3122" i="4"/>
  <c r="K3122" i="4"/>
  <c r="J3122" i="4"/>
  <c r="I3122" i="4"/>
  <c r="H3122" i="4"/>
  <c r="G3122" i="4"/>
  <c r="F3122" i="4"/>
  <c r="E3122" i="4"/>
  <c r="D3122" i="4"/>
  <c r="C3122" i="4"/>
  <c r="B3122" i="4"/>
  <c r="A3122" i="4"/>
  <c r="M3121" i="4"/>
  <c r="L3121" i="4"/>
  <c r="K3121" i="4"/>
  <c r="J3121" i="4"/>
  <c r="I3121" i="4"/>
  <c r="H3121" i="4"/>
  <c r="G3121" i="4"/>
  <c r="F3121" i="4"/>
  <c r="E3121" i="4"/>
  <c r="D3121" i="4"/>
  <c r="C3121" i="4"/>
  <c r="B3121" i="4"/>
  <c r="A3121" i="4"/>
  <c r="M3120" i="4"/>
  <c r="L3120" i="4"/>
  <c r="K3120" i="4"/>
  <c r="J3120" i="4"/>
  <c r="I3120" i="4"/>
  <c r="H3120" i="4"/>
  <c r="G3120" i="4"/>
  <c r="F3120" i="4"/>
  <c r="E3120" i="4"/>
  <c r="D3120" i="4"/>
  <c r="C3120" i="4"/>
  <c r="B3120" i="4"/>
  <c r="A3120" i="4"/>
  <c r="M3119" i="4"/>
  <c r="L3119" i="4"/>
  <c r="K3119" i="4"/>
  <c r="J3119" i="4"/>
  <c r="I3119" i="4"/>
  <c r="H3119" i="4"/>
  <c r="G3119" i="4"/>
  <c r="F3119" i="4"/>
  <c r="E3119" i="4"/>
  <c r="D3119" i="4"/>
  <c r="C3119" i="4"/>
  <c r="B3119" i="4"/>
  <c r="A3119" i="4"/>
  <c r="M3118" i="4"/>
  <c r="L3118" i="4"/>
  <c r="K3118" i="4"/>
  <c r="J3118" i="4"/>
  <c r="I3118" i="4"/>
  <c r="H3118" i="4"/>
  <c r="G3118" i="4"/>
  <c r="F3118" i="4"/>
  <c r="E3118" i="4"/>
  <c r="D3118" i="4"/>
  <c r="C3118" i="4"/>
  <c r="B3118" i="4"/>
  <c r="A3118" i="4"/>
  <c r="M3117" i="4"/>
  <c r="L3117" i="4"/>
  <c r="K3117" i="4"/>
  <c r="J3117" i="4"/>
  <c r="I3117" i="4"/>
  <c r="H3117" i="4"/>
  <c r="G3117" i="4"/>
  <c r="F3117" i="4"/>
  <c r="E3117" i="4"/>
  <c r="D3117" i="4"/>
  <c r="C3117" i="4"/>
  <c r="B3117" i="4"/>
  <c r="A3117" i="4"/>
  <c r="M3116" i="4"/>
  <c r="L3116" i="4"/>
  <c r="K3116" i="4"/>
  <c r="J3116" i="4"/>
  <c r="I3116" i="4"/>
  <c r="H3116" i="4"/>
  <c r="G3116" i="4"/>
  <c r="F3116" i="4"/>
  <c r="D3116" i="4"/>
  <c r="C3116" i="4"/>
  <c r="B3116" i="4"/>
  <c r="A3116" i="4"/>
  <c r="M3115" i="4"/>
  <c r="L3115" i="4"/>
  <c r="K3115" i="4"/>
  <c r="J3115" i="4"/>
  <c r="I3115" i="4"/>
  <c r="H3115" i="4"/>
  <c r="G3115" i="4"/>
  <c r="F3115" i="4"/>
  <c r="E3115" i="4"/>
  <c r="D3115" i="4"/>
  <c r="C3115" i="4"/>
  <c r="B3115" i="4"/>
  <c r="A3115" i="4"/>
  <c r="M3114" i="4"/>
  <c r="L3114" i="4"/>
  <c r="K3114" i="4"/>
  <c r="J3114" i="4"/>
  <c r="I3114" i="4"/>
  <c r="H3114" i="4"/>
  <c r="G3114" i="4"/>
  <c r="F3114" i="4"/>
  <c r="E3114" i="4"/>
  <c r="D3114" i="4"/>
  <c r="C3114" i="4"/>
  <c r="B3114" i="4"/>
  <c r="A3114" i="4"/>
  <c r="M3113" i="4"/>
  <c r="L3113" i="4"/>
  <c r="K3113" i="4"/>
  <c r="J3113" i="4"/>
  <c r="I3113" i="4"/>
  <c r="H3113" i="4"/>
  <c r="G3113" i="4"/>
  <c r="F3113" i="4"/>
  <c r="E3113" i="4"/>
  <c r="D3113" i="4"/>
  <c r="C3113" i="4"/>
  <c r="B3113" i="4"/>
  <c r="A3113" i="4"/>
  <c r="M3112" i="4"/>
  <c r="L3112" i="4"/>
  <c r="K3112" i="4"/>
  <c r="J3112" i="4"/>
  <c r="I3112" i="4"/>
  <c r="H3112" i="4"/>
  <c r="G3112" i="4"/>
  <c r="F3112" i="4"/>
  <c r="E3112" i="4"/>
  <c r="D3112" i="4"/>
  <c r="C3112" i="4"/>
  <c r="B3112" i="4"/>
  <c r="A3112" i="4"/>
  <c r="M3111" i="4"/>
  <c r="L3111" i="4"/>
  <c r="K3111" i="4"/>
  <c r="J3111" i="4"/>
  <c r="I3111" i="4"/>
  <c r="H3111" i="4"/>
  <c r="G3111" i="4"/>
  <c r="F3111" i="4"/>
  <c r="E3111" i="4"/>
  <c r="D3111" i="4"/>
  <c r="C3111" i="4"/>
  <c r="B3111" i="4"/>
  <c r="A3111" i="4"/>
  <c r="M3110" i="4"/>
  <c r="L3110" i="4"/>
  <c r="K3110" i="4"/>
  <c r="J3110" i="4"/>
  <c r="I3110" i="4"/>
  <c r="H3110" i="4"/>
  <c r="G3110" i="4"/>
  <c r="F3110" i="4"/>
  <c r="E3110" i="4"/>
  <c r="D3110" i="4"/>
  <c r="C3110" i="4"/>
  <c r="B3110" i="4"/>
  <c r="A3110" i="4"/>
  <c r="M3109" i="4"/>
  <c r="L3109" i="4"/>
  <c r="K3109" i="4"/>
  <c r="J3109" i="4"/>
  <c r="I3109" i="4"/>
  <c r="H3109" i="4"/>
  <c r="G3109" i="4"/>
  <c r="F3109" i="4"/>
  <c r="E3109" i="4"/>
  <c r="D3109" i="4"/>
  <c r="C3109" i="4"/>
  <c r="B3109" i="4"/>
  <c r="A3109" i="4"/>
  <c r="M3108" i="4"/>
  <c r="L3108" i="4"/>
  <c r="K3108" i="4"/>
  <c r="J3108" i="4"/>
  <c r="I3108" i="4"/>
  <c r="H3108" i="4"/>
  <c r="G3108" i="4"/>
  <c r="F3108" i="4"/>
  <c r="E3108" i="4"/>
  <c r="D3108" i="4"/>
  <c r="C3108" i="4"/>
  <c r="B3108" i="4"/>
  <c r="A3108" i="4"/>
  <c r="M3107" i="4"/>
  <c r="L3107" i="4"/>
  <c r="K3107" i="4"/>
  <c r="J3107" i="4"/>
  <c r="I3107" i="4"/>
  <c r="H3107" i="4"/>
  <c r="G3107" i="4"/>
  <c r="F3107" i="4"/>
  <c r="E3107" i="4"/>
  <c r="D3107" i="4"/>
  <c r="C3107" i="4"/>
  <c r="B3107" i="4"/>
  <c r="A3107" i="4"/>
  <c r="M3106" i="4"/>
  <c r="L3106" i="4"/>
  <c r="K3106" i="4"/>
  <c r="J3106" i="4"/>
  <c r="I3106" i="4"/>
  <c r="H3106" i="4"/>
  <c r="G3106" i="4"/>
  <c r="F3106" i="4"/>
  <c r="E3106" i="4"/>
  <c r="D3106" i="4"/>
  <c r="C3106" i="4"/>
  <c r="B3106" i="4"/>
  <c r="A3106" i="4"/>
  <c r="M3105" i="4"/>
  <c r="L3105" i="4"/>
  <c r="K3105" i="4"/>
  <c r="J3105" i="4"/>
  <c r="I3105" i="4"/>
  <c r="H3105" i="4"/>
  <c r="G3105" i="4"/>
  <c r="F3105" i="4"/>
  <c r="E3105" i="4"/>
  <c r="D3105" i="4"/>
  <c r="C3105" i="4"/>
  <c r="B3105" i="4"/>
  <c r="A3105" i="4"/>
  <c r="M3104" i="4"/>
  <c r="L3104" i="4"/>
  <c r="K3104" i="4"/>
  <c r="J3104" i="4"/>
  <c r="I3104" i="4"/>
  <c r="H3104" i="4"/>
  <c r="G3104" i="4"/>
  <c r="F3104" i="4"/>
  <c r="E3104" i="4"/>
  <c r="D3104" i="4"/>
  <c r="C3104" i="4"/>
  <c r="B3104" i="4"/>
  <c r="A3104" i="4"/>
  <c r="M3103" i="4"/>
  <c r="L3103" i="4"/>
  <c r="K3103" i="4"/>
  <c r="J3103" i="4"/>
  <c r="I3103" i="4"/>
  <c r="H3103" i="4"/>
  <c r="G3103" i="4"/>
  <c r="F3103" i="4"/>
  <c r="E3103" i="4"/>
  <c r="D3103" i="4"/>
  <c r="C3103" i="4"/>
  <c r="B3103" i="4"/>
  <c r="A3103" i="4"/>
  <c r="M3102" i="4"/>
  <c r="L3102" i="4"/>
  <c r="K3102" i="4"/>
  <c r="J3102" i="4"/>
  <c r="I3102" i="4"/>
  <c r="H3102" i="4"/>
  <c r="G3102" i="4"/>
  <c r="F3102" i="4"/>
  <c r="E3102" i="4"/>
  <c r="D3102" i="4"/>
  <c r="C3102" i="4"/>
  <c r="B3102" i="4"/>
  <c r="A3102" i="4"/>
  <c r="M3101" i="4"/>
  <c r="L3101" i="4"/>
  <c r="K3101" i="4"/>
  <c r="J3101" i="4"/>
  <c r="I3101" i="4"/>
  <c r="H3101" i="4"/>
  <c r="G3101" i="4"/>
  <c r="F3101" i="4"/>
  <c r="E3101" i="4"/>
  <c r="D3101" i="4"/>
  <c r="C3101" i="4"/>
  <c r="B3101" i="4"/>
  <c r="A3101" i="4"/>
  <c r="M3100" i="4"/>
  <c r="L3100" i="4"/>
  <c r="K3100" i="4"/>
  <c r="J3100" i="4"/>
  <c r="I3100" i="4"/>
  <c r="H3100" i="4"/>
  <c r="G3100" i="4"/>
  <c r="F3100" i="4"/>
  <c r="E3100" i="4"/>
  <c r="D3100" i="4"/>
  <c r="C3100" i="4"/>
  <c r="B3100" i="4"/>
  <c r="A3100" i="4"/>
  <c r="M3099" i="4"/>
  <c r="L3099" i="4"/>
  <c r="K3099" i="4"/>
  <c r="J3099" i="4"/>
  <c r="I3099" i="4"/>
  <c r="H3099" i="4"/>
  <c r="G3099" i="4"/>
  <c r="F3099" i="4"/>
  <c r="E3099" i="4"/>
  <c r="D3099" i="4"/>
  <c r="C3099" i="4"/>
  <c r="B3099" i="4"/>
  <c r="A3099" i="4"/>
  <c r="M3098" i="4"/>
  <c r="L3098" i="4"/>
  <c r="K3098" i="4"/>
  <c r="J3098" i="4"/>
  <c r="I3098" i="4"/>
  <c r="H3098" i="4"/>
  <c r="G3098" i="4"/>
  <c r="F3098" i="4"/>
  <c r="E3098" i="4"/>
  <c r="D3098" i="4"/>
  <c r="C3098" i="4"/>
  <c r="B3098" i="4"/>
  <c r="A3098" i="4"/>
  <c r="M3097" i="4"/>
  <c r="L3097" i="4"/>
  <c r="K3097" i="4"/>
  <c r="J3097" i="4"/>
  <c r="I3097" i="4"/>
  <c r="H3097" i="4"/>
  <c r="G3097" i="4"/>
  <c r="F3097" i="4"/>
  <c r="E3097" i="4"/>
  <c r="D3097" i="4"/>
  <c r="C3097" i="4"/>
  <c r="B3097" i="4"/>
  <c r="A3097" i="4"/>
  <c r="M3096" i="4"/>
  <c r="L3096" i="4"/>
  <c r="K3096" i="4"/>
  <c r="J3096" i="4"/>
  <c r="I3096" i="4"/>
  <c r="H3096" i="4"/>
  <c r="G3096" i="4"/>
  <c r="F3096" i="4"/>
  <c r="E3096" i="4"/>
  <c r="D3096" i="4"/>
  <c r="C3096" i="4"/>
  <c r="B3096" i="4"/>
  <c r="A3096" i="4"/>
  <c r="M3095" i="4"/>
  <c r="L3095" i="4"/>
  <c r="K3095" i="4"/>
  <c r="J3095" i="4"/>
  <c r="I3095" i="4"/>
  <c r="H3095" i="4"/>
  <c r="G3095" i="4"/>
  <c r="E3095" i="4"/>
  <c r="D3095" i="4"/>
  <c r="C3095" i="4"/>
  <c r="B3095" i="4"/>
  <c r="A3095" i="4"/>
  <c r="M3094" i="4"/>
  <c r="L3094" i="4"/>
  <c r="K3094" i="4"/>
  <c r="J3094" i="4"/>
  <c r="I3094" i="4"/>
  <c r="H3094" i="4"/>
  <c r="G3094" i="4"/>
  <c r="F3094" i="4"/>
  <c r="E3094" i="4"/>
  <c r="D3094" i="4"/>
  <c r="C3094" i="4"/>
  <c r="B3094" i="4"/>
  <c r="A3094" i="4"/>
  <c r="M3093" i="4"/>
  <c r="L3093" i="4"/>
  <c r="K3093" i="4"/>
  <c r="J3093" i="4"/>
  <c r="I3093" i="4"/>
  <c r="H3093" i="4"/>
  <c r="G3093" i="4"/>
  <c r="F3093" i="4"/>
  <c r="E3093" i="4"/>
  <c r="D3093" i="4"/>
  <c r="C3093" i="4"/>
  <c r="B3093" i="4"/>
  <c r="A3093" i="4"/>
  <c r="M3092" i="4"/>
  <c r="L3092" i="4"/>
  <c r="K3092" i="4"/>
  <c r="J3092" i="4"/>
  <c r="I3092" i="4"/>
  <c r="H3092" i="4"/>
  <c r="G3092" i="4"/>
  <c r="F3092" i="4"/>
  <c r="E3092" i="4"/>
  <c r="D3092" i="4"/>
  <c r="C3092" i="4"/>
  <c r="B3092" i="4"/>
  <c r="A3092" i="4"/>
  <c r="M3091" i="4"/>
  <c r="L3091" i="4"/>
  <c r="K3091" i="4"/>
  <c r="J3091" i="4"/>
  <c r="I3091" i="4"/>
  <c r="H3091" i="4"/>
  <c r="G3091" i="4"/>
  <c r="F3091" i="4"/>
  <c r="E3091" i="4"/>
  <c r="D3091" i="4"/>
  <c r="B3091" i="4"/>
  <c r="A3091" i="4"/>
  <c r="M3090" i="4"/>
  <c r="L3090" i="4"/>
  <c r="K3090" i="4"/>
  <c r="J3090" i="4"/>
  <c r="I3090" i="4"/>
  <c r="H3090" i="4"/>
  <c r="G3090" i="4"/>
  <c r="F3090" i="4"/>
  <c r="E3090" i="4"/>
  <c r="D3090" i="4"/>
  <c r="C3090" i="4"/>
  <c r="B3090" i="4"/>
  <c r="A3090" i="4"/>
  <c r="M3089" i="4"/>
  <c r="L3089" i="4"/>
  <c r="K3089" i="4"/>
  <c r="J3089" i="4"/>
  <c r="I3089" i="4"/>
  <c r="H3089" i="4"/>
  <c r="G3089" i="4"/>
  <c r="F3089" i="4"/>
  <c r="E3089" i="4"/>
  <c r="D3089" i="4"/>
  <c r="C3089" i="4"/>
  <c r="B3089" i="4"/>
  <c r="A3089" i="4"/>
  <c r="M3088" i="4"/>
  <c r="L3088" i="4"/>
  <c r="K3088" i="4"/>
  <c r="J3088" i="4"/>
  <c r="I3088" i="4"/>
  <c r="H3088" i="4"/>
  <c r="G3088" i="4"/>
  <c r="F3088" i="4"/>
  <c r="E3088" i="4"/>
  <c r="D3088" i="4"/>
  <c r="C3088" i="4"/>
  <c r="B3088" i="4"/>
  <c r="A3088" i="4"/>
  <c r="M3087" i="4"/>
  <c r="L3087" i="4"/>
  <c r="K3087" i="4"/>
  <c r="J3087" i="4"/>
  <c r="I3087" i="4"/>
  <c r="H3087" i="4"/>
  <c r="G3087" i="4"/>
  <c r="F3087" i="4"/>
  <c r="E3087" i="4"/>
  <c r="D3087" i="4"/>
  <c r="C3087" i="4"/>
  <c r="B3087" i="4"/>
  <c r="A3087" i="4"/>
  <c r="M3086" i="4"/>
  <c r="L3086" i="4"/>
  <c r="K3086" i="4"/>
  <c r="J3086" i="4"/>
  <c r="I3086" i="4"/>
  <c r="H3086" i="4"/>
  <c r="G3086" i="4"/>
  <c r="F3086" i="4"/>
  <c r="E3086" i="4"/>
  <c r="D3086" i="4"/>
  <c r="C3086" i="4"/>
  <c r="B3086" i="4"/>
  <c r="A3086" i="4"/>
  <c r="M3085" i="4"/>
  <c r="L3085" i="4"/>
  <c r="K3085" i="4"/>
  <c r="J3085" i="4"/>
  <c r="I3085" i="4"/>
  <c r="H3085" i="4"/>
  <c r="G3085" i="4"/>
  <c r="F3085" i="4"/>
  <c r="E3085" i="4"/>
  <c r="D3085" i="4"/>
  <c r="C3085" i="4"/>
  <c r="B3085" i="4"/>
  <c r="A3085" i="4"/>
  <c r="M3084" i="4"/>
  <c r="L3084" i="4"/>
  <c r="K3084" i="4"/>
  <c r="J3084" i="4"/>
  <c r="I3084" i="4"/>
  <c r="H3084" i="4"/>
  <c r="G3084" i="4"/>
  <c r="F3084" i="4"/>
  <c r="E3084" i="4"/>
  <c r="D3084" i="4"/>
  <c r="C3084" i="4"/>
  <c r="B3084" i="4"/>
  <c r="A3084" i="4"/>
  <c r="M3083" i="4"/>
  <c r="L3083" i="4"/>
  <c r="K3083" i="4"/>
  <c r="J3083" i="4"/>
  <c r="I3083" i="4"/>
  <c r="H3083" i="4"/>
  <c r="G3083" i="4"/>
  <c r="F3083" i="4"/>
  <c r="E3083" i="4"/>
  <c r="D3083" i="4"/>
  <c r="C3083" i="4"/>
  <c r="B3083" i="4"/>
  <c r="A3083" i="4"/>
  <c r="M3082" i="4"/>
  <c r="L3082" i="4"/>
  <c r="K3082" i="4"/>
  <c r="J3082" i="4"/>
  <c r="I3082" i="4"/>
  <c r="H3082" i="4"/>
  <c r="G3082" i="4"/>
  <c r="F3082" i="4"/>
  <c r="E3082" i="4"/>
  <c r="D3082" i="4"/>
  <c r="C3082" i="4"/>
  <c r="B3082" i="4"/>
  <c r="A3082" i="4"/>
  <c r="M3081" i="4"/>
  <c r="L3081" i="4"/>
  <c r="K3081" i="4"/>
  <c r="J3081" i="4"/>
  <c r="I3081" i="4"/>
  <c r="H3081" i="4"/>
  <c r="G3081" i="4"/>
  <c r="F3081" i="4"/>
  <c r="E3081" i="4"/>
  <c r="D3081" i="4"/>
  <c r="C3081" i="4"/>
  <c r="B3081" i="4"/>
  <c r="A3081" i="4"/>
  <c r="M3080" i="4"/>
  <c r="L3080" i="4"/>
  <c r="K3080" i="4"/>
  <c r="J3080" i="4"/>
  <c r="I3080" i="4"/>
  <c r="H3080" i="4"/>
  <c r="G3080" i="4"/>
  <c r="F3080" i="4"/>
  <c r="E3080" i="4"/>
  <c r="D3080" i="4"/>
  <c r="C3080" i="4"/>
  <c r="B3080" i="4"/>
  <c r="A3080" i="4"/>
  <c r="M3079" i="4"/>
  <c r="L3079" i="4"/>
  <c r="K3079" i="4"/>
  <c r="J3079" i="4"/>
  <c r="I3079" i="4"/>
  <c r="H3079" i="4"/>
  <c r="G3079" i="4"/>
  <c r="F3079" i="4"/>
  <c r="E3079" i="4"/>
  <c r="D3079" i="4"/>
  <c r="C3079" i="4"/>
  <c r="B3079" i="4"/>
  <c r="A3079" i="4"/>
  <c r="M3078" i="4"/>
  <c r="L3078" i="4"/>
  <c r="K3078" i="4"/>
  <c r="J3078" i="4"/>
  <c r="I3078" i="4"/>
  <c r="H3078" i="4"/>
  <c r="G3078" i="4"/>
  <c r="F3078" i="4"/>
  <c r="E3078" i="4"/>
  <c r="D3078" i="4"/>
  <c r="C3078" i="4"/>
  <c r="B3078" i="4"/>
  <c r="A3078" i="4"/>
  <c r="M3077" i="4"/>
  <c r="L3077" i="4"/>
  <c r="K3077" i="4"/>
  <c r="J3077" i="4"/>
  <c r="I3077" i="4"/>
  <c r="H3077" i="4"/>
  <c r="G3077" i="4"/>
  <c r="F3077" i="4"/>
  <c r="E3077" i="4"/>
  <c r="D3077" i="4"/>
  <c r="C3077" i="4"/>
  <c r="B3077" i="4"/>
  <c r="A3077" i="4"/>
  <c r="M3076" i="4"/>
  <c r="L3076" i="4"/>
  <c r="K3076" i="4"/>
  <c r="J3076" i="4"/>
  <c r="I3076" i="4"/>
  <c r="H3076" i="4"/>
  <c r="G3076" i="4"/>
  <c r="F3076" i="4"/>
  <c r="E3076" i="4"/>
  <c r="D3076" i="4"/>
  <c r="B3076" i="4"/>
  <c r="A3076" i="4"/>
  <c r="M3075" i="4"/>
  <c r="L3075" i="4"/>
  <c r="K3075" i="4"/>
  <c r="J3075" i="4"/>
  <c r="I3075" i="4"/>
  <c r="H3075" i="4"/>
  <c r="G3075" i="4"/>
  <c r="F3075" i="4"/>
  <c r="E3075" i="4"/>
  <c r="D3075" i="4"/>
  <c r="C3075" i="4"/>
  <c r="B3075" i="4"/>
  <c r="A3075" i="4"/>
  <c r="M3074" i="4"/>
  <c r="L3074" i="4"/>
  <c r="K3074" i="4"/>
  <c r="J3074" i="4"/>
  <c r="I3074" i="4"/>
  <c r="H3074" i="4"/>
  <c r="G3074" i="4"/>
  <c r="F3074" i="4"/>
  <c r="E3074" i="4"/>
  <c r="D3074" i="4"/>
  <c r="C3074" i="4"/>
  <c r="B3074" i="4"/>
  <c r="A3074" i="4"/>
  <c r="M3073" i="4"/>
  <c r="L3073" i="4"/>
  <c r="K3073" i="4"/>
  <c r="J3073" i="4"/>
  <c r="I3073" i="4"/>
  <c r="H3073" i="4"/>
  <c r="G3073" i="4"/>
  <c r="F3073" i="4"/>
  <c r="E3073" i="4"/>
  <c r="D3073" i="4"/>
  <c r="C3073" i="4"/>
  <c r="B3073" i="4"/>
  <c r="A3073" i="4"/>
  <c r="M3072" i="4"/>
  <c r="L3072" i="4"/>
  <c r="K3072" i="4"/>
  <c r="J3072" i="4"/>
  <c r="I3072" i="4"/>
  <c r="H3072" i="4"/>
  <c r="G3072" i="4"/>
  <c r="F3072" i="4"/>
  <c r="E3072" i="4"/>
  <c r="D3072" i="4"/>
  <c r="C3072" i="4"/>
  <c r="B3072" i="4"/>
  <c r="A3072" i="4"/>
  <c r="M3071" i="4"/>
  <c r="L3071" i="4"/>
  <c r="K3071" i="4"/>
  <c r="J3071" i="4"/>
  <c r="I3071" i="4"/>
  <c r="H3071" i="4"/>
  <c r="G3071" i="4"/>
  <c r="F3071" i="4"/>
  <c r="E3071" i="4"/>
  <c r="D3071" i="4"/>
  <c r="C3071" i="4"/>
  <c r="B3071" i="4"/>
  <c r="A3071" i="4"/>
  <c r="M3070" i="4"/>
  <c r="L3070" i="4"/>
  <c r="K3070" i="4"/>
  <c r="J3070" i="4"/>
  <c r="I3070" i="4"/>
  <c r="H3070" i="4"/>
  <c r="G3070" i="4"/>
  <c r="F3070" i="4"/>
  <c r="E3070" i="4"/>
  <c r="D3070" i="4"/>
  <c r="C3070" i="4"/>
  <c r="B3070" i="4"/>
  <c r="A3070" i="4"/>
  <c r="M3069" i="4"/>
  <c r="L3069" i="4"/>
  <c r="K3069" i="4"/>
  <c r="J3069" i="4"/>
  <c r="I3069" i="4"/>
  <c r="H3069" i="4"/>
  <c r="G3069" i="4"/>
  <c r="F3069" i="4"/>
  <c r="E3069" i="4"/>
  <c r="D3069" i="4"/>
  <c r="C3069" i="4"/>
  <c r="B3069" i="4"/>
  <c r="A3069" i="4"/>
  <c r="M3068" i="4"/>
  <c r="L3068" i="4"/>
  <c r="K3068" i="4"/>
  <c r="J3068" i="4"/>
  <c r="I3068" i="4"/>
  <c r="H3068" i="4"/>
  <c r="G3068" i="4"/>
  <c r="F3068" i="4"/>
  <c r="E3068" i="4"/>
  <c r="D3068" i="4"/>
  <c r="C3068" i="4"/>
  <c r="B3068" i="4"/>
  <c r="A3068" i="4"/>
  <c r="M3067" i="4"/>
  <c r="L3067" i="4"/>
  <c r="K3067" i="4"/>
  <c r="J3067" i="4"/>
  <c r="I3067" i="4"/>
  <c r="H3067" i="4"/>
  <c r="G3067" i="4"/>
  <c r="F3067" i="4"/>
  <c r="E3067" i="4"/>
  <c r="D3067" i="4"/>
  <c r="C3067" i="4"/>
  <c r="B3067" i="4"/>
  <c r="A3067" i="4"/>
  <c r="M3066" i="4"/>
  <c r="L3066" i="4"/>
  <c r="K3066" i="4"/>
  <c r="J3066" i="4"/>
  <c r="I3066" i="4"/>
  <c r="H3066" i="4"/>
  <c r="G3066" i="4"/>
  <c r="F3066" i="4"/>
  <c r="E3066" i="4"/>
  <c r="D3066" i="4"/>
  <c r="C3066" i="4"/>
  <c r="B3066" i="4"/>
  <c r="A3066" i="4"/>
  <c r="M3065" i="4"/>
  <c r="L3065" i="4"/>
  <c r="K3065" i="4"/>
  <c r="J3065" i="4"/>
  <c r="I3065" i="4"/>
  <c r="H3065" i="4"/>
  <c r="G3065" i="4"/>
  <c r="F3065" i="4"/>
  <c r="E3065" i="4"/>
  <c r="D3065" i="4"/>
  <c r="C3065" i="4"/>
  <c r="B3065" i="4"/>
  <c r="A3065" i="4"/>
  <c r="M3064" i="4"/>
  <c r="L3064" i="4"/>
  <c r="K3064" i="4"/>
  <c r="J3064" i="4"/>
  <c r="I3064" i="4"/>
  <c r="H3064" i="4"/>
  <c r="G3064" i="4"/>
  <c r="F3064" i="4"/>
  <c r="E3064" i="4"/>
  <c r="D3064" i="4"/>
  <c r="C3064" i="4"/>
  <c r="B3064" i="4"/>
  <c r="A3064" i="4"/>
  <c r="M3063" i="4"/>
  <c r="L3063" i="4"/>
  <c r="K3063" i="4"/>
  <c r="J3063" i="4"/>
  <c r="I3063" i="4"/>
  <c r="H3063" i="4"/>
  <c r="G3063" i="4"/>
  <c r="F3063" i="4"/>
  <c r="E3063" i="4"/>
  <c r="D3063" i="4"/>
  <c r="C3063" i="4"/>
  <c r="B3063" i="4"/>
  <c r="A3063" i="4"/>
  <c r="M3062" i="4"/>
  <c r="L3062" i="4"/>
  <c r="K3062" i="4"/>
  <c r="J3062" i="4"/>
  <c r="I3062" i="4"/>
  <c r="H3062" i="4"/>
  <c r="G3062" i="4"/>
  <c r="F3062" i="4"/>
  <c r="E3062" i="4"/>
  <c r="D3062" i="4"/>
  <c r="C3062" i="4"/>
  <c r="B3062" i="4"/>
  <c r="A3062" i="4"/>
  <c r="M3061" i="4"/>
  <c r="L3061" i="4"/>
  <c r="K3061" i="4"/>
  <c r="J3061" i="4"/>
  <c r="I3061" i="4"/>
  <c r="H3061" i="4"/>
  <c r="G3061" i="4"/>
  <c r="F3061" i="4"/>
  <c r="E3061" i="4"/>
  <c r="D3061" i="4"/>
  <c r="C3061" i="4"/>
  <c r="B3061" i="4"/>
  <c r="A3061" i="4"/>
  <c r="M3060" i="4"/>
  <c r="L3060" i="4"/>
  <c r="K3060" i="4"/>
  <c r="J3060" i="4"/>
  <c r="I3060" i="4"/>
  <c r="H3060" i="4"/>
  <c r="G3060" i="4"/>
  <c r="F3060" i="4"/>
  <c r="E3060" i="4"/>
  <c r="D3060" i="4"/>
  <c r="C3060" i="4"/>
  <c r="B3060" i="4"/>
  <c r="A3060" i="4"/>
  <c r="M3059" i="4"/>
  <c r="L3059" i="4"/>
  <c r="K3059" i="4"/>
  <c r="J3059" i="4"/>
  <c r="I3059" i="4"/>
  <c r="H3059" i="4"/>
  <c r="G3059" i="4"/>
  <c r="F3059" i="4"/>
  <c r="E3059" i="4"/>
  <c r="D3059" i="4"/>
  <c r="C3059" i="4"/>
  <c r="B3059" i="4"/>
  <c r="A3059" i="4"/>
  <c r="M3058" i="4"/>
  <c r="L3058" i="4"/>
  <c r="K3058" i="4"/>
  <c r="J3058" i="4"/>
  <c r="I3058" i="4"/>
  <c r="H3058" i="4"/>
  <c r="G3058" i="4"/>
  <c r="F3058" i="4"/>
  <c r="E3058" i="4"/>
  <c r="D3058" i="4"/>
  <c r="C3058" i="4"/>
  <c r="B3058" i="4"/>
  <c r="A3058" i="4"/>
  <c r="M3057" i="4"/>
  <c r="L3057" i="4"/>
  <c r="K3057" i="4"/>
  <c r="J3057" i="4"/>
  <c r="I3057" i="4"/>
  <c r="H3057" i="4"/>
  <c r="G3057" i="4"/>
  <c r="F3057" i="4"/>
  <c r="E3057" i="4"/>
  <c r="D3057" i="4"/>
  <c r="C3057" i="4"/>
  <c r="B3057" i="4"/>
  <c r="A3057" i="4"/>
  <c r="M3056" i="4"/>
  <c r="L3056" i="4"/>
  <c r="K3056" i="4"/>
  <c r="J3056" i="4"/>
  <c r="I3056" i="4"/>
  <c r="H3056" i="4"/>
  <c r="G3056" i="4"/>
  <c r="F3056" i="4"/>
  <c r="E3056" i="4"/>
  <c r="D3056" i="4"/>
  <c r="C3056" i="4"/>
  <c r="B3056" i="4"/>
  <c r="A3056" i="4"/>
  <c r="M3055" i="4"/>
  <c r="L3055" i="4"/>
  <c r="K3055" i="4"/>
  <c r="J3055" i="4"/>
  <c r="I3055" i="4"/>
  <c r="H3055" i="4"/>
  <c r="G3055" i="4"/>
  <c r="F3055" i="4"/>
  <c r="E3055" i="4"/>
  <c r="D3055" i="4"/>
  <c r="C3055" i="4"/>
  <c r="B3055" i="4"/>
  <c r="A3055" i="4"/>
  <c r="M3054" i="4"/>
  <c r="L3054" i="4"/>
  <c r="K3054" i="4"/>
  <c r="J3054" i="4"/>
  <c r="I3054" i="4"/>
  <c r="H3054" i="4"/>
  <c r="G3054" i="4"/>
  <c r="F3054" i="4"/>
  <c r="E3054" i="4"/>
  <c r="D3054" i="4"/>
  <c r="C3054" i="4"/>
  <c r="B3054" i="4"/>
  <c r="A3054" i="4"/>
  <c r="M3053" i="4"/>
  <c r="L3053" i="4"/>
  <c r="K3053" i="4"/>
  <c r="J3053" i="4"/>
  <c r="I3053" i="4"/>
  <c r="H3053" i="4"/>
  <c r="G3053" i="4"/>
  <c r="F3053" i="4"/>
  <c r="E3053" i="4"/>
  <c r="D3053" i="4"/>
  <c r="C3053" i="4"/>
  <c r="B3053" i="4"/>
  <c r="A3053" i="4"/>
  <c r="M3052" i="4"/>
  <c r="L3052" i="4"/>
  <c r="K3052" i="4"/>
  <c r="J3052" i="4"/>
  <c r="I3052" i="4"/>
  <c r="H3052" i="4"/>
  <c r="G3052" i="4"/>
  <c r="F3052" i="4"/>
  <c r="E3052" i="4"/>
  <c r="D3052" i="4"/>
  <c r="C3052" i="4"/>
  <c r="B3052" i="4"/>
  <c r="A3052" i="4"/>
  <c r="M3051" i="4"/>
  <c r="L3051" i="4"/>
  <c r="K3051" i="4"/>
  <c r="J3051" i="4"/>
  <c r="I3051" i="4"/>
  <c r="H3051" i="4"/>
  <c r="G3051" i="4"/>
  <c r="F3051" i="4"/>
  <c r="E3051" i="4"/>
  <c r="D3051" i="4"/>
  <c r="C3051" i="4"/>
  <c r="B3051" i="4"/>
  <c r="A3051" i="4"/>
  <c r="M3050" i="4"/>
  <c r="L3050" i="4"/>
  <c r="K3050" i="4"/>
  <c r="J3050" i="4"/>
  <c r="I3050" i="4"/>
  <c r="H3050" i="4"/>
  <c r="G3050" i="4"/>
  <c r="F3050" i="4"/>
  <c r="E3050" i="4"/>
  <c r="D3050" i="4"/>
  <c r="C3050" i="4"/>
  <c r="B3050" i="4"/>
  <c r="A3050" i="4"/>
  <c r="M3049" i="4"/>
  <c r="L3049" i="4"/>
  <c r="K3049" i="4"/>
  <c r="J3049" i="4"/>
  <c r="I3049" i="4"/>
  <c r="H3049" i="4"/>
  <c r="G3049" i="4"/>
  <c r="F3049" i="4"/>
  <c r="E3049" i="4"/>
  <c r="D3049" i="4"/>
  <c r="C3049" i="4"/>
  <c r="B3049" i="4"/>
  <c r="A3049" i="4"/>
  <c r="M3048" i="4"/>
  <c r="L3048" i="4"/>
  <c r="K3048" i="4"/>
  <c r="J3048" i="4"/>
  <c r="I3048" i="4"/>
  <c r="H3048" i="4"/>
  <c r="G3048" i="4"/>
  <c r="F3048" i="4"/>
  <c r="E3048" i="4"/>
  <c r="D3048" i="4"/>
  <c r="C3048" i="4"/>
  <c r="B3048" i="4"/>
  <c r="A3048" i="4"/>
  <c r="M3047" i="4"/>
  <c r="L3047" i="4"/>
  <c r="K3047" i="4"/>
  <c r="J3047" i="4"/>
  <c r="I3047" i="4"/>
  <c r="H3047" i="4"/>
  <c r="G3047" i="4"/>
  <c r="F3047" i="4"/>
  <c r="E3047" i="4"/>
  <c r="D3047" i="4"/>
  <c r="C3047" i="4"/>
  <c r="B3047" i="4"/>
  <c r="A3047" i="4"/>
  <c r="M3046" i="4"/>
  <c r="L3046" i="4"/>
  <c r="K3046" i="4"/>
  <c r="J3046" i="4"/>
  <c r="I3046" i="4"/>
  <c r="H3046" i="4"/>
  <c r="G3046" i="4"/>
  <c r="F3046" i="4"/>
  <c r="E3046" i="4"/>
  <c r="D3046" i="4"/>
  <c r="C3046" i="4"/>
  <c r="B3046" i="4"/>
  <c r="A3046" i="4"/>
  <c r="M3045" i="4"/>
  <c r="L3045" i="4"/>
  <c r="K3045" i="4"/>
  <c r="J3045" i="4"/>
  <c r="I3045" i="4"/>
  <c r="H3045" i="4"/>
  <c r="G3045" i="4"/>
  <c r="F3045" i="4"/>
  <c r="E3045" i="4"/>
  <c r="D3045" i="4"/>
  <c r="C3045" i="4"/>
  <c r="B3045" i="4"/>
  <c r="A3045" i="4"/>
  <c r="M3044" i="4"/>
  <c r="L3044" i="4"/>
  <c r="K3044" i="4"/>
  <c r="J3044" i="4"/>
  <c r="I3044" i="4"/>
  <c r="H3044" i="4"/>
  <c r="G3044" i="4"/>
  <c r="F3044" i="4"/>
  <c r="E3044" i="4"/>
  <c r="D3044" i="4"/>
  <c r="C3044" i="4"/>
  <c r="B3044" i="4"/>
  <c r="A3044" i="4"/>
  <c r="M3043" i="4"/>
  <c r="L3043" i="4"/>
  <c r="K3043" i="4"/>
  <c r="J3043" i="4"/>
  <c r="I3043" i="4"/>
  <c r="H3043" i="4"/>
  <c r="G3043" i="4"/>
  <c r="E3043" i="4"/>
  <c r="D3043" i="4"/>
  <c r="C3043" i="4"/>
  <c r="B3043" i="4"/>
  <c r="A3043" i="4"/>
  <c r="M3042" i="4"/>
  <c r="L3042" i="4"/>
  <c r="K3042" i="4"/>
  <c r="J3042" i="4"/>
  <c r="I3042" i="4"/>
  <c r="H3042" i="4"/>
  <c r="G3042" i="4"/>
  <c r="F3042" i="4"/>
  <c r="E3042" i="4"/>
  <c r="D3042" i="4"/>
  <c r="C3042" i="4"/>
  <c r="B3042" i="4"/>
  <c r="A3042" i="4"/>
  <c r="M3041" i="4"/>
  <c r="L3041" i="4"/>
  <c r="K3041" i="4"/>
  <c r="J3041" i="4"/>
  <c r="I3041" i="4"/>
  <c r="H3041" i="4"/>
  <c r="G3041" i="4"/>
  <c r="F3041" i="4"/>
  <c r="E3041" i="4"/>
  <c r="D3041" i="4"/>
  <c r="C3041" i="4"/>
  <c r="B3041" i="4"/>
  <c r="A3041" i="4"/>
  <c r="M3040" i="4"/>
  <c r="L3040" i="4"/>
  <c r="K3040" i="4"/>
  <c r="J3040" i="4"/>
  <c r="I3040" i="4"/>
  <c r="H3040" i="4"/>
  <c r="G3040" i="4"/>
  <c r="F3040" i="4"/>
  <c r="E3040" i="4"/>
  <c r="D3040" i="4"/>
  <c r="C3040" i="4"/>
  <c r="B3040" i="4"/>
  <c r="A3040" i="4"/>
  <c r="M3039" i="4"/>
  <c r="L3039" i="4"/>
  <c r="K3039" i="4"/>
  <c r="J3039" i="4"/>
  <c r="I3039" i="4"/>
  <c r="H3039" i="4"/>
  <c r="G3039" i="4"/>
  <c r="F3039" i="4"/>
  <c r="D3039" i="4"/>
  <c r="C3039" i="4"/>
  <c r="B3039" i="4"/>
  <c r="A3039" i="4"/>
  <c r="M3038" i="4"/>
  <c r="L3038" i="4"/>
  <c r="K3038" i="4"/>
  <c r="J3038" i="4"/>
  <c r="I3038" i="4"/>
  <c r="H3038" i="4"/>
  <c r="G3038" i="4"/>
  <c r="E3038" i="4"/>
  <c r="D3038" i="4"/>
  <c r="C3038" i="4"/>
  <c r="B3038" i="4"/>
  <c r="A3038" i="4"/>
  <c r="M3037" i="4"/>
  <c r="L3037" i="4"/>
  <c r="K3037" i="4"/>
  <c r="J3037" i="4"/>
  <c r="I3037" i="4"/>
  <c r="H3037" i="4"/>
  <c r="G3037" i="4"/>
  <c r="F3037" i="4"/>
  <c r="E3037" i="4"/>
  <c r="D3037" i="4"/>
  <c r="C3037" i="4"/>
  <c r="B3037" i="4"/>
  <c r="A3037" i="4"/>
  <c r="M3036" i="4"/>
  <c r="L3036" i="4"/>
  <c r="K3036" i="4"/>
  <c r="J3036" i="4"/>
  <c r="I3036" i="4"/>
  <c r="H3036" i="4"/>
  <c r="G3036" i="4"/>
  <c r="F3036" i="4"/>
  <c r="E3036" i="4"/>
  <c r="D3036" i="4"/>
  <c r="C3036" i="4"/>
  <c r="B3036" i="4"/>
  <c r="A3036" i="4"/>
  <c r="M3035" i="4"/>
  <c r="L3035" i="4"/>
  <c r="K3035" i="4"/>
  <c r="J3035" i="4"/>
  <c r="I3035" i="4"/>
  <c r="H3035" i="4"/>
  <c r="G3035" i="4"/>
  <c r="F3035" i="4"/>
  <c r="E3035" i="4"/>
  <c r="D3035" i="4"/>
  <c r="C3035" i="4"/>
  <c r="B3035" i="4"/>
  <c r="A3035" i="4"/>
  <c r="M3034" i="4"/>
  <c r="L3034" i="4"/>
  <c r="K3034" i="4"/>
  <c r="J3034" i="4"/>
  <c r="I3034" i="4"/>
  <c r="H3034" i="4"/>
  <c r="G3034" i="4"/>
  <c r="F3034" i="4"/>
  <c r="E3034" i="4"/>
  <c r="D3034" i="4"/>
  <c r="C3034" i="4"/>
  <c r="B3034" i="4"/>
  <c r="A3034" i="4"/>
  <c r="M3033" i="4"/>
  <c r="L3033" i="4"/>
  <c r="K3033" i="4"/>
  <c r="J3033" i="4"/>
  <c r="I3033" i="4"/>
  <c r="H3033" i="4"/>
  <c r="G3033" i="4"/>
  <c r="F3033" i="4"/>
  <c r="E3033" i="4"/>
  <c r="D3033" i="4"/>
  <c r="C3033" i="4"/>
  <c r="B3033" i="4"/>
  <c r="A3033" i="4"/>
  <c r="M3032" i="4"/>
  <c r="L3032" i="4"/>
  <c r="K3032" i="4"/>
  <c r="J3032" i="4"/>
  <c r="I3032" i="4"/>
  <c r="H3032" i="4"/>
  <c r="G3032" i="4"/>
  <c r="F3032" i="4"/>
  <c r="E3032" i="4"/>
  <c r="D3032" i="4"/>
  <c r="C3032" i="4"/>
  <c r="B3032" i="4"/>
  <c r="A3032" i="4"/>
  <c r="M3031" i="4"/>
  <c r="L3031" i="4"/>
  <c r="K3031" i="4"/>
  <c r="J3031" i="4"/>
  <c r="I3031" i="4"/>
  <c r="H3031" i="4"/>
  <c r="G3031" i="4"/>
  <c r="F3031" i="4"/>
  <c r="E3031" i="4"/>
  <c r="D3031" i="4"/>
  <c r="C3031" i="4"/>
  <c r="B3031" i="4"/>
  <c r="A3031" i="4"/>
  <c r="M3030" i="4"/>
  <c r="L3030" i="4"/>
  <c r="K3030" i="4"/>
  <c r="J3030" i="4"/>
  <c r="I3030" i="4"/>
  <c r="H3030" i="4"/>
  <c r="G3030" i="4"/>
  <c r="F3030" i="4"/>
  <c r="E3030" i="4"/>
  <c r="D3030" i="4"/>
  <c r="C3030" i="4"/>
  <c r="B3030" i="4"/>
  <c r="A3030" i="4"/>
  <c r="M3029" i="4"/>
  <c r="L3029" i="4"/>
  <c r="K3029" i="4"/>
  <c r="J3029" i="4"/>
  <c r="I3029" i="4"/>
  <c r="H3029" i="4"/>
  <c r="G3029" i="4"/>
  <c r="F3029" i="4"/>
  <c r="E3029" i="4"/>
  <c r="D3029" i="4"/>
  <c r="C3029" i="4"/>
  <c r="B3029" i="4"/>
  <c r="A3029" i="4"/>
  <c r="M3028" i="4"/>
  <c r="L3028" i="4"/>
  <c r="K3028" i="4"/>
  <c r="J3028" i="4"/>
  <c r="I3028" i="4"/>
  <c r="H3028" i="4"/>
  <c r="G3028" i="4"/>
  <c r="F3028" i="4"/>
  <c r="E3028" i="4"/>
  <c r="D3028" i="4"/>
  <c r="C3028" i="4"/>
  <c r="B3028" i="4"/>
  <c r="A3028" i="4"/>
  <c r="M3027" i="4"/>
  <c r="L3027" i="4"/>
  <c r="K3027" i="4"/>
  <c r="J3027" i="4"/>
  <c r="I3027" i="4"/>
  <c r="H3027" i="4"/>
  <c r="G3027" i="4"/>
  <c r="F3027" i="4"/>
  <c r="E3027" i="4"/>
  <c r="D3027" i="4"/>
  <c r="C3027" i="4"/>
  <c r="B3027" i="4"/>
  <c r="A3027" i="4"/>
  <c r="M3026" i="4"/>
  <c r="L3026" i="4"/>
  <c r="K3026" i="4"/>
  <c r="J3026" i="4"/>
  <c r="I3026" i="4"/>
  <c r="H3026" i="4"/>
  <c r="G3026" i="4"/>
  <c r="F3026" i="4"/>
  <c r="E3026" i="4"/>
  <c r="D3026" i="4"/>
  <c r="C3026" i="4"/>
  <c r="B3026" i="4"/>
  <c r="A3026" i="4"/>
  <c r="M3025" i="4"/>
  <c r="L3025" i="4"/>
  <c r="K3025" i="4"/>
  <c r="J3025" i="4"/>
  <c r="I3025" i="4"/>
  <c r="H3025" i="4"/>
  <c r="G3025" i="4"/>
  <c r="F3025" i="4"/>
  <c r="E3025" i="4"/>
  <c r="D3025" i="4"/>
  <c r="C3025" i="4"/>
  <c r="B3025" i="4"/>
  <c r="A3025" i="4"/>
  <c r="M3024" i="4"/>
  <c r="L3024" i="4"/>
  <c r="K3024" i="4"/>
  <c r="J3024" i="4"/>
  <c r="I3024" i="4"/>
  <c r="H3024" i="4"/>
  <c r="G3024" i="4"/>
  <c r="F3024" i="4"/>
  <c r="E3024" i="4"/>
  <c r="D3024" i="4"/>
  <c r="C3024" i="4"/>
  <c r="B3024" i="4"/>
  <c r="A3024" i="4"/>
  <c r="M3023" i="4"/>
  <c r="L3023" i="4"/>
  <c r="K3023" i="4"/>
  <c r="J3023" i="4"/>
  <c r="I3023" i="4"/>
  <c r="H3023" i="4"/>
  <c r="G3023" i="4"/>
  <c r="F3023" i="4"/>
  <c r="E3023" i="4"/>
  <c r="D3023" i="4"/>
  <c r="C3023" i="4"/>
  <c r="B3023" i="4"/>
  <c r="A3023" i="4"/>
  <c r="M3022" i="4"/>
  <c r="L3022" i="4"/>
  <c r="K3022" i="4"/>
  <c r="J3022" i="4"/>
  <c r="I3022" i="4"/>
  <c r="H3022" i="4"/>
  <c r="G3022" i="4"/>
  <c r="F3022" i="4"/>
  <c r="E3022" i="4"/>
  <c r="D3022" i="4"/>
  <c r="C3022" i="4"/>
  <c r="B3022" i="4"/>
  <c r="A3022" i="4"/>
  <c r="M3021" i="4"/>
  <c r="L3021" i="4"/>
  <c r="K3021" i="4"/>
  <c r="J3021" i="4"/>
  <c r="I3021" i="4"/>
  <c r="H3021" i="4"/>
  <c r="G3021" i="4"/>
  <c r="F3021" i="4"/>
  <c r="E3021" i="4"/>
  <c r="D3021" i="4"/>
  <c r="C3021" i="4"/>
  <c r="B3021" i="4"/>
  <c r="A3021" i="4"/>
  <c r="M3020" i="4"/>
  <c r="L3020" i="4"/>
  <c r="K3020" i="4"/>
  <c r="J3020" i="4"/>
  <c r="I3020" i="4"/>
  <c r="H3020" i="4"/>
  <c r="G3020" i="4"/>
  <c r="F3020" i="4"/>
  <c r="E3020" i="4"/>
  <c r="D3020" i="4"/>
  <c r="C3020" i="4"/>
  <c r="B3020" i="4"/>
  <c r="A3020" i="4"/>
  <c r="M3019" i="4"/>
  <c r="L3019" i="4"/>
  <c r="K3019" i="4"/>
  <c r="J3019" i="4"/>
  <c r="I3019" i="4"/>
  <c r="H3019" i="4"/>
  <c r="G3019" i="4"/>
  <c r="F3019" i="4"/>
  <c r="E3019" i="4"/>
  <c r="D3019" i="4"/>
  <c r="C3019" i="4"/>
  <c r="B3019" i="4"/>
  <c r="A3019" i="4"/>
  <c r="M3018" i="4"/>
  <c r="L3018" i="4"/>
  <c r="K3018" i="4"/>
  <c r="J3018" i="4"/>
  <c r="I3018" i="4"/>
  <c r="H3018" i="4"/>
  <c r="G3018" i="4"/>
  <c r="F3018" i="4"/>
  <c r="E3018" i="4"/>
  <c r="D3018" i="4"/>
  <c r="C3018" i="4"/>
  <c r="B3018" i="4"/>
  <c r="A3018" i="4"/>
  <c r="M3017" i="4"/>
  <c r="L3017" i="4"/>
  <c r="K3017" i="4"/>
  <c r="J3017" i="4"/>
  <c r="I3017" i="4"/>
  <c r="H3017" i="4"/>
  <c r="G3017" i="4"/>
  <c r="F3017" i="4"/>
  <c r="E3017" i="4"/>
  <c r="D3017" i="4"/>
  <c r="C3017" i="4"/>
  <c r="B3017" i="4"/>
  <c r="A3017" i="4"/>
  <c r="M3016" i="4"/>
  <c r="L3016" i="4"/>
  <c r="K3016" i="4"/>
  <c r="J3016" i="4"/>
  <c r="I3016" i="4"/>
  <c r="H3016" i="4"/>
  <c r="G3016" i="4"/>
  <c r="F3016" i="4"/>
  <c r="E3016" i="4"/>
  <c r="D3016" i="4"/>
  <c r="C3016" i="4"/>
  <c r="B3016" i="4"/>
  <c r="A3016" i="4"/>
  <c r="M3015" i="4"/>
  <c r="L3015" i="4"/>
  <c r="K3015" i="4"/>
  <c r="J3015" i="4"/>
  <c r="I3015" i="4"/>
  <c r="H3015" i="4"/>
  <c r="G3015" i="4"/>
  <c r="F3015" i="4"/>
  <c r="E3015" i="4"/>
  <c r="D3015" i="4"/>
  <c r="C3015" i="4"/>
  <c r="B3015" i="4"/>
  <c r="A3015" i="4"/>
  <c r="M3014" i="4"/>
  <c r="L3014" i="4"/>
  <c r="K3014" i="4"/>
  <c r="J3014" i="4"/>
  <c r="I3014" i="4"/>
  <c r="H3014" i="4"/>
  <c r="G3014" i="4"/>
  <c r="F3014" i="4"/>
  <c r="E3014" i="4"/>
  <c r="D3014" i="4"/>
  <c r="C3014" i="4"/>
  <c r="B3014" i="4"/>
  <c r="A3014" i="4"/>
  <c r="M3013" i="4"/>
  <c r="L3013" i="4"/>
  <c r="K3013" i="4"/>
  <c r="J3013" i="4"/>
  <c r="I3013" i="4"/>
  <c r="H3013" i="4"/>
  <c r="G3013" i="4"/>
  <c r="F3013" i="4"/>
  <c r="E3013" i="4"/>
  <c r="D3013" i="4"/>
  <c r="C3013" i="4"/>
  <c r="B3013" i="4"/>
  <c r="A3013" i="4"/>
  <c r="M3012" i="4"/>
  <c r="L3012" i="4"/>
  <c r="K3012" i="4"/>
  <c r="J3012" i="4"/>
  <c r="I3012" i="4"/>
  <c r="H3012" i="4"/>
  <c r="G3012" i="4"/>
  <c r="F3012" i="4"/>
  <c r="E3012" i="4"/>
  <c r="D3012" i="4"/>
  <c r="C3012" i="4"/>
  <c r="B3012" i="4"/>
  <c r="A3012" i="4"/>
  <c r="M3011" i="4"/>
  <c r="L3011" i="4"/>
  <c r="K3011" i="4"/>
  <c r="J3011" i="4"/>
  <c r="I3011" i="4"/>
  <c r="H3011" i="4"/>
  <c r="G3011" i="4"/>
  <c r="F3011" i="4"/>
  <c r="E3011" i="4"/>
  <c r="D3011" i="4"/>
  <c r="C3011" i="4"/>
  <c r="B3011" i="4"/>
  <c r="A3011" i="4"/>
  <c r="M3010" i="4"/>
  <c r="L3010" i="4"/>
  <c r="K3010" i="4"/>
  <c r="J3010" i="4"/>
  <c r="I3010" i="4"/>
  <c r="H3010" i="4"/>
  <c r="G3010" i="4"/>
  <c r="F3010" i="4"/>
  <c r="E3010" i="4"/>
  <c r="D3010" i="4"/>
  <c r="C3010" i="4"/>
  <c r="B3010" i="4"/>
  <c r="A3010" i="4"/>
  <c r="M3009" i="4"/>
  <c r="L3009" i="4"/>
  <c r="K3009" i="4"/>
  <c r="J3009" i="4"/>
  <c r="I3009" i="4"/>
  <c r="H3009" i="4"/>
  <c r="G3009" i="4"/>
  <c r="F3009" i="4"/>
  <c r="E3009" i="4"/>
  <c r="D3009" i="4"/>
  <c r="C3009" i="4"/>
  <c r="B3009" i="4"/>
  <c r="A3009" i="4"/>
  <c r="M3008" i="4"/>
  <c r="L3008" i="4"/>
  <c r="K3008" i="4"/>
  <c r="J3008" i="4"/>
  <c r="I3008" i="4"/>
  <c r="H3008" i="4"/>
  <c r="G3008" i="4"/>
  <c r="F3008" i="4"/>
  <c r="E3008" i="4"/>
  <c r="D3008" i="4"/>
  <c r="C3008" i="4"/>
  <c r="B3008" i="4"/>
  <c r="A3008" i="4"/>
  <c r="M3007" i="4"/>
  <c r="L3007" i="4"/>
  <c r="K3007" i="4"/>
  <c r="J3007" i="4"/>
  <c r="I3007" i="4"/>
  <c r="H3007" i="4"/>
  <c r="G3007" i="4"/>
  <c r="F3007" i="4"/>
  <c r="E3007" i="4"/>
  <c r="D3007" i="4"/>
  <c r="C3007" i="4"/>
  <c r="B3007" i="4"/>
  <c r="A3007" i="4"/>
  <c r="M3006" i="4"/>
  <c r="L3006" i="4"/>
  <c r="K3006" i="4"/>
  <c r="J3006" i="4"/>
  <c r="I3006" i="4"/>
  <c r="H3006" i="4"/>
  <c r="G3006" i="4"/>
  <c r="F3006" i="4"/>
  <c r="E3006" i="4"/>
  <c r="D3006" i="4"/>
  <c r="C3006" i="4"/>
  <c r="B3006" i="4"/>
  <c r="A3006" i="4"/>
  <c r="M3005" i="4"/>
  <c r="L3005" i="4"/>
  <c r="K3005" i="4"/>
  <c r="J3005" i="4"/>
  <c r="I3005" i="4"/>
  <c r="H3005" i="4"/>
  <c r="G3005" i="4"/>
  <c r="F3005" i="4"/>
  <c r="E3005" i="4"/>
  <c r="D3005" i="4"/>
  <c r="C3005" i="4"/>
  <c r="B3005" i="4"/>
  <c r="A3005" i="4"/>
  <c r="M3004" i="4"/>
  <c r="L3004" i="4"/>
  <c r="K3004" i="4"/>
  <c r="J3004" i="4"/>
  <c r="I3004" i="4"/>
  <c r="H3004" i="4"/>
  <c r="G3004" i="4"/>
  <c r="F3004" i="4"/>
  <c r="E3004" i="4"/>
  <c r="D3004" i="4"/>
  <c r="C3004" i="4"/>
  <c r="B3004" i="4"/>
  <c r="A3004" i="4"/>
  <c r="M3003" i="4"/>
  <c r="L3003" i="4"/>
  <c r="K3003" i="4"/>
  <c r="J3003" i="4"/>
  <c r="I3003" i="4"/>
  <c r="H3003" i="4"/>
  <c r="G3003" i="4"/>
  <c r="F3003" i="4"/>
  <c r="E3003" i="4"/>
  <c r="D3003" i="4"/>
  <c r="C3003" i="4"/>
  <c r="B3003" i="4"/>
  <c r="A3003" i="4"/>
  <c r="M3002" i="4"/>
  <c r="L3002" i="4"/>
  <c r="K3002" i="4"/>
  <c r="J3002" i="4"/>
  <c r="I3002" i="4"/>
  <c r="H3002" i="4"/>
  <c r="G3002" i="4"/>
  <c r="F3002" i="4"/>
  <c r="E3002" i="4"/>
  <c r="D3002" i="4"/>
  <c r="C3002" i="4"/>
  <c r="B3002" i="4"/>
  <c r="A3002" i="4"/>
  <c r="M3001" i="4"/>
  <c r="L3001" i="4"/>
  <c r="K3001" i="4"/>
  <c r="J3001" i="4"/>
  <c r="I3001" i="4"/>
  <c r="H3001" i="4"/>
  <c r="G3001" i="4"/>
  <c r="F3001" i="4"/>
  <c r="E3001" i="4"/>
  <c r="D3001" i="4"/>
  <c r="C3001" i="4"/>
  <c r="B3001" i="4"/>
  <c r="A3001" i="4"/>
  <c r="M3000" i="4"/>
  <c r="L3000" i="4"/>
  <c r="K3000" i="4"/>
  <c r="J3000" i="4"/>
  <c r="I3000" i="4"/>
  <c r="H3000" i="4"/>
  <c r="G3000" i="4"/>
  <c r="F3000" i="4"/>
  <c r="E3000" i="4"/>
  <c r="D3000" i="4"/>
  <c r="C3000" i="4"/>
  <c r="B3000" i="4"/>
  <c r="A3000" i="4"/>
  <c r="M2999" i="4"/>
  <c r="L2999" i="4"/>
  <c r="K2999" i="4"/>
  <c r="J2999" i="4"/>
  <c r="I2999" i="4"/>
  <c r="H2999" i="4"/>
  <c r="G2999" i="4"/>
  <c r="F2999" i="4"/>
  <c r="E2999" i="4"/>
  <c r="D2999" i="4"/>
  <c r="C2999" i="4"/>
  <c r="B2999" i="4"/>
  <c r="A2999" i="4"/>
  <c r="M2998" i="4"/>
  <c r="L2998" i="4"/>
  <c r="K2998" i="4"/>
  <c r="J2998" i="4"/>
  <c r="I2998" i="4"/>
  <c r="H2998" i="4"/>
  <c r="G2998" i="4"/>
  <c r="F2998" i="4"/>
  <c r="E2998" i="4"/>
  <c r="D2998" i="4"/>
  <c r="C2998" i="4"/>
  <c r="B2998" i="4"/>
  <c r="A2998" i="4"/>
  <c r="M2997" i="4"/>
  <c r="L2997" i="4"/>
  <c r="K2997" i="4"/>
  <c r="J2997" i="4"/>
  <c r="I2997" i="4"/>
  <c r="H2997" i="4"/>
  <c r="G2997" i="4"/>
  <c r="F2997" i="4"/>
  <c r="E2997" i="4"/>
  <c r="D2997" i="4"/>
  <c r="C2997" i="4"/>
  <c r="B2997" i="4"/>
  <c r="A2997" i="4"/>
  <c r="M2996" i="4"/>
  <c r="L2996" i="4"/>
  <c r="K2996" i="4"/>
  <c r="J2996" i="4"/>
  <c r="I2996" i="4"/>
  <c r="H2996" i="4"/>
  <c r="G2996" i="4"/>
  <c r="F2996" i="4"/>
  <c r="E2996" i="4"/>
  <c r="D2996" i="4"/>
  <c r="C2996" i="4"/>
  <c r="B2996" i="4"/>
  <c r="A2996" i="4"/>
  <c r="M2995" i="4"/>
  <c r="L2995" i="4"/>
  <c r="K2995" i="4"/>
  <c r="J2995" i="4"/>
  <c r="I2995" i="4"/>
  <c r="H2995" i="4"/>
  <c r="G2995" i="4"/>
  <c r="F2995" i="4"/>
  <c r="E2995" i="4"/>
  <c r="D2995" i="4"/>
  <c r="C2995" i="4"/>
  <c r="B2995" i="4"/>
  <c r="A2995" i="4"/>
  <c r="M2994" i="4"/>
  <c r="L2994" i="4"/>
  <c r="K2994" i="4"/>
  <c r="J2994" i="4"/>
  <c r="I2994" i="4"/>
  <c r="H2994" i="4"/>
  <c r="G2994" i="4"/>
  <c r="F2994" i="4"/>
  <c r="E2994" i="4"/>
  <c r="D2994" i="4"/>
  <c r="C2994" i="4"/>
  <c r="B2994" i="4"/>
  <c r="A2994" i="4"/>
  <c r="M2993" i="4"/>
  <c r="L2993" i="4"/>
  <c r="K2993" i="4"/>
  <c r="J2993" i="4"/>
  <c r="I2993" i="4"/>
  <c r="H2993" i="4"/>
  <c r="G2993" i="4"/>
  <c r="F2993" i="4"/>
  <c r="E2993" i="4"/>
  <c r="D2993" i="4"/>
  <c r="C2993" i="4"/>
  <c r="B2993" i="4"/>
  <c r="A2993" i="4"/>
  <c r="M2992" i="4"/>
  <c r="L2992" i="4"/>
  <c r="K2992" i="4"/>
  <c r="J2992" i="4"/>
  <c r="I2992" i="4"/>
  <c r="H2992" i="4"/>
  <c r="G2992" i="4"/>
  <c r="F2992" i="4"/>
  <c r="E2992" i="4"/>
  <c r="D2992" i="4"/>
  <c r="C2992" i="4"/>
  <c r="B2992" i="4"/>
  <c r="A2992" i="4"/>
  <c r="M2991" i="4"/>
  <c r="L2991" i="4"/>
  <c r="K2991" i="4"/>
  <c r="J2991" i="4"/>
  <c r="I2991" i="4"/>
  <c r="H2991" i="4"/>
  <c r="G2991" i="4"/>
  <c r="F2991" i="4"/>
  <c r="E2991" i="4"/>
  <c r="D2991" i="4"/>
  <c r="C2991" i="4"/>
  <c r="B2991" i="4"/>
  <c r="A2991" i="4"/>
  <c r="M2990" i="4"/>
  <c r="L2990" i="4"/>
  <c r="K2990" i="4"/>
  <c r="J2990" i="4"/>
  <c r="I2990" i="4"/>
  <c r="H2990" i="4"/>
  <c r="G2990" i="4"/>
  <c r="F2990" i="4"/>
  <c r="E2990" i="4"/>
  <c r="D2990" i="4"/>
  <c r="C2990" i="4"/>
  <c r="B2990" i="4"/>
  <c r="A2990" i="4"/>
  <c r="M2989" i="4"/>
  <c r="L2989" i="4"/>
  <c r="K2989" i="4"/>
  <c r="J2989" i="4"/>
  <c r="I2989" i="4"/>
  <c r="H2989" i="4"/>
  <c r="G2989" i="4"/>
  <c r="F2989" i="4"/>
  <c r="E2989" i="4"/>
  <c r="D2989" i="4"/>
  <c r="C2989" i="4"/>
  <c r="B2989" i="4"/>
  <c r="A2989" i="4"/>
  <c r="M2988" i="4"/>
  <c r="L2988" i="4"/>
  <c r="K2988" i="4"/>
  <c r="J2988" i="4"/>
  <c r="I2988" i="4"/>
  <c r="H2988" i="4"/>
  <c r="G2988" i="4"/>
  <c r="F2988" i="4"/>
  <c r="E2988" i="4"/>
  <c r="D2988" i="4"/>
  <c r="C2988" i="4"/>
  <c r="B2988" i="4"/>
  <c r="A2988" i="4"/>
  <c r="M2987" i="4"/>
  <c r="L2987" i="4"/>
  <c r="K2987" i="4"/>
  <c r="J2987" i="4"/>
  <c r="I2987" i="4"/>
  <c r="H2987" i="4"/>
  <c r="G2987" i="4"/>
  <c r="F2987" i="4"/>
  <c r="E2987" i="4"/>
  <c r="D2987" i="4"/>
  <c r="C2987" i="4"/>
  <c r="B2987" i="4"/>
  <c r="A2987" i="4"/>
  <c r="M2986" i="4"/>
  <c r="L2986" i="4"/>
  <c r="K2986" i="4"/>
  <c r="J2986" i="4"/>
  <c r="I2986" i="4"/>
  <c r="H2986" i="4"/>
  <c r="G2986" i="4"/>
  <c r="F2986" i="4"/>
  <c r="E2986" i="4"/>
  <c r="D2986" i="4"/>
  <c r="C2986" i="4"/>
  <c r="B2986" i="4"/>
  <c r="A2986" i="4"/>
  <c r="M2985" i="4"/>
  <c r="L2985" i="4"/>
  <c r="K2985" i="4"/>
  <c r="J2985" i="4"/>
  <c r="I2985" i="4"/>
  <c r="H2985" i="4"/>
  <c r="G2985" i="4"/>
  <c r="F2985" i="4"/>
  <c r="E2985" i="4"/>
  <c r="D2985" i="4"/>
  <c r="C2985" i="4"/>
  <c r="B2985" i="4"/>
  <c r="A2985" i="4"/>
  <c r="M2984" i="4"/>
  <c r="L2984" i="4"/>
  <c r="K2984" i="4"/>
  <c r="J2984" i="4"/>
  <c r="I2984" i="4"/>
  <c r="H2984" i="4"/>
  <c r="G2984" i="4"/>
  <c r="F2984" i="4"/>
  <c r="E2984" i="4"/>
  <c r="D2984" i="4"/>
  <c r="C2984" i="4"/>
  <c r="B2984" i="4"/>
  <c r="A2984" i="4"/>
  <c r="M2983" i="4"/>
  <c r="L2983" i="4"/>
  <c r="K2983" i="4"/>
  <c r="J2983" i="4"/>
  <c r="I2983" i="4"/>
  <c r="H2983" i="4"/>
  <c r="G2983" i="4"/>
  <c r="F2983" i="4"/>
  <c r="E2983" i="4"/>
  <c r="D2983" i="4"/>
  <c r="C2983" i="4"/>
  <c r="B2983" i="4"/>
  <c r="A2983" i="4"/>
  <c r="M2982" i="4"/>
  <c r="L2982" i="4"/>
  <c r="K2982" i="4"/>
  <c r="J2982" i="4"/>
  <c r="I2982" i="4"/>
  <c r="H2982" i="4"/>
  <c r="G2982" i="4"/>
  <c r="F2982" i="4"/>
  <c r="E2982" i="4"/>
  <c r="D2982" i="4"/>
  <c r="C2982" i="4"/>
  <c r="B2982" i="4"/>
  <c r="A2982" i="4"/>
  <c r="M2981" i="4"/>
  <c r="L2981" i="4"/>
  <c r="K2981" i="4"/>
  <c r="J2981" i="4"/>
  <c r="I2981" i="4"/>
  <c r="H2981" i="4"/>
  <c r="G2981" i="4"/>
  <c r="F2981" i="4"/>
  <c r="E2981" i="4"/>
  <c r="D2981" i="4"/>
  <c r="C2981" i="4"/>
  <c r="B2981" i="4"/>
  <c r="A2981" i="4"/>
  <c r="M2980" i="4"/>
  <c r="L2980" i="4"/>
  <c r="K2980" i="4"/>
  <c r="J2980" i="4"/>
  <c r="I2980" i="4"/>
  <c r="H2980" i="4"/>
  <c r="G2980" i="4"/>
  <c r="F2980" i="4"/>
  <c r="E2980" i="4"/>
  <c r="D2980" i="4"/>
  <c r="C2980" i="4"/>
  <c r="B2980" i="4"/>
  <c r="A2980" i="4"/>
  <c r="M2979" i="4"/>
  <c r="L2979" i="4"/>
  <c r="K2979" i="4"/>
  <c r="J2979" i="4"/>
  <c r="I2979" i="4"/>
  <c r="H2979" i="4"/>
  <c r="G2979" i="4"/>
  <c r="F2979" i="4"/>
  <c r="E2979" i="4"/>
  <c r="D2979" i="4"/>
  <c r="C2979" i="4"/>
  <c r="B2979" i="4"/>
  <c r="A2979" i="4"/>
  <c r="M2978" i="4"/>
  <c r="L2978" i="4"/>
  <c r="K2978" i="4"/>
  <c r="J2978" i="4"/>
  <c r="I2978" i="4"/>
  <c r="H2978" i="4"/>
  <c r="G2978" i="4"/>
  <c r="F2978" i="4"/>
  <c r="E2978" i="4"/>
  <c r="D2978" i="4"/>
  <c r="C2978" i="4"/>
  <c r="B2978" i="4"/>
  <c r="A2978" i="4"/>
  <c r="M2977" i="4"/>
  <c r="L2977" i="4"/>
  <c r="K2977" i="4"/>
  <c r="J2977" i="4"/>
  <c r="I2977" i="4"/>
  <c r="H2977" i="4"/>
  <c r="G2977" i="4"/>
  <c r="F2977" i="4"/>
  <c r="E2977" i="4"/>
  <c r="D2977" i="4"/>
  <c r="C2977" i="4"/>
  <c r="B2977" i="4"/>
  <c r="A2977" i="4"/>
  <c r="M2976" i="4"/>
  <c r="L2976" i="4"/>
  <c r="K2976" i="4"/>
  <c r="J2976" i="4"/>
  <c r="I2976" i="4"/>
  <c r="H2976" i="4"/>
  <c r="G2976" i="4"/>
  <c r="F2976" i="4"/>
  <c r="E2976" i="4"/>
  <c r="D2976" i="4"/>
  <c r="C2976" i="4"/>
  <c r="B2976" i="4"/>
  <c r="A2976" i="4"/>
  <c r="M2975" i="4"/>
  <c r="L2975" i="4"/>
  <c r="K2975" i="4"/>
  <c r="J2975" i="4"/>
  <c r="I2975" i="4"/>
  <c r="H2975" i="4"/>
  <c r="G2975" i="4"/>
  <c r="F2975" i="4"/>
  <c r="E2975" i="4"/>
  <c r="D2975" i="4"/>
  <c r="C2975" i="4"/>
  <c r="B2975" i="4"/>
  <c r="A2975" i="4"/>
  <c r="M2974" i="4"/>
  <c r="L2974" i="4"/>
  <c r="K2974" i="4"/>
  <c r="J2974" i="4"/>
  <c r="I2974" i="4"/>
  <c r="H2974" i="4"/>
  <c r="G2974" i="4"/>
  <c r="F2974" i="4"/>
  <c r="E2974" i="4"/>
  <c r="D2974" i="4"/>
  <c r="C2974" i="4"/>
  <c r="B2974" i="4"/>
  <c r="A2974" i="4"/>
  <c r="M2973" i="4"/>
  <c r="L2973" i="4"/>
  <c r="K2973" i="4"/>
  <c r="J2973" i="4"/>
  <c r="I2973" i="4"/>
  <c r="H2973" i="4"/>
  <c r="G2973" i="4"/>
  <c r="F2973" i="4"/>
  <c r="E2973" i="4"/>
  <c r="D2973" i="4"/>
  <c r="C2973" i="4"/>
  <c r="B2973" i="4"/>
  <c r="A2973" i="4"/>
  <c r="M2972" i="4"/>
  <c r="L2972" i="4"/>
  <c r="K2972" i="4"/>
  <c r="J2972" i="4"/>
  <c r="I2972" i="4"/>
  <c r="H2972" i="4"/>
  <c r="G2972" i="4"/>
  <c r="F2972" i="4"/>
  <c r="E2972" i="4"/>
  <c r="D2972" i="4"/>
  <c r="C2972" i="4"/>
  <c r="B2972" i="4"/>
  <c r="A2972" i="4"/>
  <c r="M2971" i="4"/>
  <c r="L2971" i="4"/>
  <c r="K2971" i="4"/>
  <c r="J2971" i="4"/>
  <c r="I2971" i="4"/>
  <c r="H2971" i="4"/>
  <c r="G2971" i="4"/>
  <c r="F2971" i="4"/>
  <c r="E2971" i="4"/>
  <c r="D2971" i="4"/>
  <c r="C2971" i="4"/>
  <c r="B2971" i="4"/>
  <c r="A2971" i="4"/>
  <c r="M2970" i="4"/>
  <c r="L2970" i="4"/>
  <c r="K2970" i="4"/>
  <c r="J2970" i="4"/>
  <c r="I2970" i="4"/>
  <c r="H2970" i="4"/>
  <c r="G2970" i="4"/>
  <c r="F2970" i="4"/>
  <c r="E2970" i="4"/>
  <c r="D2970" i="4"/>
  <c r="C2970" i="4"/>
  <c r="B2970" i="4"/>
  <c r="A2970" i="4"/>
  <c r="M2969" i="4"/>
  <c r="L2969" i="4"/>
  <c r="K2969" i="4"/>
  <c r="J2969" i="4"/>
  <c r="I2969" i="4"/>
  <c r="H2969" i="4"/>
  <c r="G2969" i="4"/>
  <c r="F2969" i="4"/>
  <c r="E2969" i="4"/>
  <c r="D2969" i="4"/>
  <c r="C2969" i="4"/>
  <c r="B2969" i="4"/>
  <c r="A2969" i="4"/>
  <c r="M2968" i="4"/>
  <c r="L2968" i="4"/>
  <c r="K2968" i="4"/>
  <c r="J2968" i="4"/>
  <c r="I2968" i="4"/>
  <c r="H2968" i="4"/>
  <c r="G2968" i="4"/>
  <c r="F2968" i="4"/>
  <c r="E2968" i="4"/>
  <c r="D2968" i="4"/>
  <c r="C2968" i="4"/>
  <c r="B2968" i="4"/>
  <c r="A2968" i="4"/>
  <c r="M2967" i="4"/>
  <c r="L2967" i="4"/>
  <c r="K2967" i="4"/>
  <c r="J2967" i="4"/>
  <c r="I2967" i="4"/>
  <c r="H2967" i="4"/>
  <c r="G2967" i="4"/>
  <c r="F2967" i="4"/>
  <c r="E2967" i="4"/>
  <c r="D2967" i="4"/>
  <c r="C2967" i="4"/>
  <c r="B2967" i="4"/>
  <c r="A2967" i="4"/>
  <c r="M2966" i="4"/>
  <c r="L2966" i="4"/>
  <c r="K2966" i="4"/>
  <c r="J2966" i="4"/>
  <c r="I2966" i="4"/>
  <c r="H2966" i="4"/>
  <c r="G2966" i="4"/>
  <c r="F2966" i="4"/>
  <c r="E2966" i="4"/>
  <c r="D2966" i="4"/>
  <c r="C2966" i="4"/>
  <c r="B2966" i="4"/>
  <c r="A2966" i="4"/>
  <c r="M2965" i="4"/>
  <c r="L2965" i="4"/>
  <c r="K2965" i="4"/>
  <c r="J2965" i="4"/>
  <c r="I2965" i="4"/>
  <c r="H2965" i="4"/>
  <c r="G2965" i="4"/>
  <c r="F2965" i="4"/>
  <c r="E2965" i="4"/>
  <c r="D2965" i="4"/>
  <c r="C2965" i="4"/>
  <c r="B2965" i="4"/>
  <c r="A2965" i="4"/>
  <c r="M2964" i="4"/>
  <c r="L2964" i="4"/>
  <c r="K2964" i="4"/>
  <c r="J2964" i="4"/>
  <c r="I2964" i="4"/>
  <c r="H2964" i="4"/>
  <c r="G2964" i="4"/>
  <c r="F2964" i="4"/>
  <c r="E2964" i="4"/>
  <c r="D2964" i="4"/>
  <c r="C2964" i="4"/>
  <c r="B2964" i="4"/>
  <c r="A2964" i="4"/>
  <c r="M2963" i="4"/>
  <c r="L2963" i="4"/>
  <c r="K2963" i="4"/>
  <c r="J2963" i="4"/>
  <c r="I2963" i="4"/>
  <c r="H2963" i="4"/>
  <c r="G2963" i="4"/>
  <c r="F2963" i="4"/>
  <c r="E2963" i="4"/>
  <c r="D2963" i="4"/>
  <c r="C2963" i="4"/>
  <c r="B2963" i="4"/>
  <c r="A2963" i="4"/>
  <c r="M2962" i="4"/>
  <c r="L2962" i="4"/>
  <c r="K2962" i="4"/>
  <c r="J2962" i="4"/>
  <c r="I2962" i="4"/>
  <c r="H2962" i="4"/>
  <c r="G2962" i="4"/>
  <c r="F2962" i="4"/>
  <c r="E2962" i="4"/>
  <c r="D2962" i="4"/>
  <c r="C2962" i="4"/>
  <c r="B2962" i="4"/>
  <c r="A2962" i="4"/>
  <c r="M2961" i="4"/>
  <c r="L2961" i="4"/>
  <c r="K2961" i="4"/>
  <c r="J2961" i="4"/>
  <c r="I2961" i="4"/>
  <c r="H2961" i="4"/>
  <c r="G2961" i="4"/>
  <c r="F2961" i="4"/>
  <c r="E2961" i="4"/>
  <c r="D2961" i="4"/>
  <c r="C2961" i="4"/>
  <c r="B2961" i="4"/>
  <c r="A2961" i="4"/>
  <c r="M2960" i="4"/>
  <c r="L2960" i="4"/>
  <c r="K2960" i="4"/>
  <c r="J2960" i="4"/>
  <c r="I2960" i="4"/>
  <c r="H2960" i="4"/>
  <c r="G2960" i="4"/>
  <c r="F2960" i="4"/>
  <c r="E2960" i="4"/>
  <c r="D2960" i="4"/>
  <c r="C2960" i="4"/>
  <c r="B2960" i="4"/>
  <c r="A2960" i="4"/>
  <c r="M2959" i="4"/>
  <c r="L2959" i="4"/>
  <c r="K2959" i="4"/>
  <c r="J2959" i="4"/>
  <c r="I2959" i="4"/>
  <c r="H2959" i="4"/>
  <c r="G2959" i="4"/>
  <c r="F2959" i="4"/>
  <c r="E2959" i="4"/>
  <c r="D2959" i="4"/>
  <c r="C2959" i="4"/>
  <c r="B2959" i="4"/>
  <c r="A2959" i="4"/>
  <c r="M2958" i="4"/>
  <c r="L2958" i="4"/>
  <c r="K2958" i="4"/>
  <c r="J2958" i="4"/>
  <c r="I2958" i="4"/>
  <c r="H2958" i="4"/>
  <c r="G2958" i="4"/>
  <c r="F2958" i="4"/>
  <c r="E2958" i="4"/>
  <c r="D2958" i="4"/>
  <c r="C2958" i="4"/>
  <c r="B2958" i="4"/>
  <c r="A2958" i="4"/>
  <c r="M2957" i="4"/>
  <c r="L2957" i="4"/>
  <c r="K2957" i="4"/>
  <c r="J2957" i="4"/>
  <c r="I2957" i="4"/>
  <c r="H2957" i="4"/>
  <c r="G2957" i="4"/>
  <c r="F2957" i="4"/>
  <c r="E2957" i="4"/>
  <c r="D2957" i="4"/>
  <c r="C2957" i="4"/>
  <c r="B2957" i="4"/>
  <c r="A2957" i="4"/>
  <c r="M2956" i="4"/>
  <c r="L2956" i="4"/>
  <c r="K2956" i="4"/>
  <c r="J2956" i="4"/>
  <c r="I2956" i="4"/>
  <c r="H2956" i="4"/>
  <c r="G2956" i="4"/>
  <c r="F2956" i="4"/>
  <c r="E2956" i="4"/>
  <c r="D2956" i="4"/>
  <c r="C2956" i="4"/>
  <c r="B2956" i="4"/>
  <c r="A2956" i="4"/>
  <c r="M2955" i="4"/>
  <c r="L2955" i="4"/>
  <c r="K2955" i="4"/>
  <c r="J2955" i="4"/>
  <c r="I2955" i="4"/>
  <c r="H2955" i="4"/>
  <c r="G2955" i="4"/>
  <c r="F2955" i="4"/>
  <c r="E2955" i="4"/>
  <c r="D2955" i="4"/>
  <c r="C2955" i="4"/>
  <c r="B2955" i="4"/>
  <c r="A2955" i="4"/>
  <c r="M2954" i="4"/>
  <c r="L2954" i="4"/>
  <c r="K2954" i="4"/>
  <c r="J2954" i="4"/>
  <c r="I2954" i="4"/>
  <c r="H2954" i="4"/>
  <c r="G2954" i="4"/>
  <c r="F2954" i="4"/>
  <c r="E2954" i="4"/>
  <c r="D2954" i="4"/>
  <c r="C2954" i="4"/>
  <c r="B2954" i="4"/>
  <c r="A2954" i="4"/>
  <c r="M2953" i="4"/>
  <c r="L2953" i="4"/>
  <c r="K2953" i="4"/>
  <c r="J2953" i="4"/>
  <c r="I2953" i="4"/>
  <c r="H2953" i="4"/>
  <c r="G2953" i="4"/>
  <c r="F2953" i="4"/>
  <c r="E2953" i="4"/>
  <c r="D2953" i="4"/>
  <c r="C2953" i="4"/>
  <c r="B2953" i="4"/>
  <c r="A2953" i="4"/>
  <c r="M2952" i="4"/>
  <c r="L2952" i="4"/>
  <c r="K2952" i="4"/>
  <c r="J2952" i="4"/>
  <c r="I2952" i="4"/>
  <c r="H2952" i="4"/>
  <c r="G2952" i="4"/>
  <c r="F2952" i="4"/>
  <c r="E2952" i="4"/>
  <c r="D2952" i="4"/>
  <c r="C2952" i="4"/>
  <c r="B2952" i="4"/>
  <c r="A2952" i="4"/>
  <c r="M2951" i="4"/>
  <c r="L2951" i="4"/>
  <c r="K2951" i="4"/>
  <c r="J2951" i="4"/>
  <c r="I2951" i="4"/>
  <c r="H2951" i="4"/>
  <c r="G2951" i="4"/>
  <c r="F2951" i="4"/>
  <c r="E2951" i="4"/>
  <c r="D2951" i="4"/>
  <c r="C2951" i="4"/>
  <c r="B2951" i="4"/>
  <c r="A2951" i="4"/>
  <c r="M2950" i="4"/>
  <c r="L2950" i="4"/>
  <c r="K2950" i="4"/>
  <c r="J2950" i="4"/>
  <c r="I2950" i="4"/>
  <c r="H2950" i="4"/>
  <c r="G2950" i="4"/>
  <c r="F2950" i="4"/>
  <c r="E2950" i="4"/>
  <c r="D2950" i="4"/>
  <c r="C2950" i="4"/>
  <c r="B2950" i="4"/>
  <c r="A2950" i="4"/>
  <c r="M2949" i="4"/>
  <c r="L2949" i="4"/>
  <c r="K2949" i="4"/>
  <c r="J2949" i="4"/>
  <c r="I2949" i="4"/>
  <c r="H2949" i="4"/>
  <c r="G2949" i="4"/>
  <c r="F2949" i="4"/>
  <c r="E2949" i="4"/>
  <c r="D2949" i="4"/>
  <c r="C2949" i="4"/>
  <c r="B2949" i="4"/>
  <c r="A2949" i="4"/>
  <c r="M2948" i="4"/>
  <c r="L2948" i="4"/>
  <c r="K2948" i="4"/>
  <c r="J2948" i="4"/>
  <c r="I2948" i="4"/>
  <c r="H2948" i="4"/>
  <c r="G2948" i="4"/>
  <c r="F2948" i="4"/>
  <c r="E2948" i="4"/>
  <c r="D2948" i="4"/>
  <c r="C2948" i="4"/>
  <c r="B2948" i="4"/>
  <c r="A2948" i="4"/>
  <c r="M2947" i="4"/>
  <c r="L2947" i="4"/>
  <c r="K2947" i="4"/>
  <c r="J2947" i="4"/>
  <c r="I2947" i="4"/>
  <c r="H2947" i="4"/>
  <c r="G2947" i="4"/>
  <c r="F2947" i="4"/>
  <c r="E2947" i="4"/>
  <c r="D2947" i="4"/>
  <c r="C2947" i="4"/>
  <c r="B2947" i="4"/>
  <c r="A2947" i="4"/>
  <c r="M2946" i="4"/>
  <c r="L2946" i="4"/>
  <c r="K2946" i="4"/>
  <c r="J2946" i="4"/>
  <c r="I2946" i="4"/>
  <c r="H2946" i="4"/>
  <c r="G2946" i="4"/>
  <c r="F2946" i="4"/>
  <c r="E2946" i="4"/>
  <c r="D2946" i="4"/>
  <c r="C2946" i="4"/>
  <c r="B2946" i="4"/>
  <c r="A2946" i="4"/>
  <c r="M2945" i="4"/>
  <c r="L2945" i="4"/>
  <c r="K2945" i="4"/>
  <c r="J2945" i="4"/>
  <c r="I2945" i="4"/>
  <c r="H2945" i="4"/>
  <c r="G2945" i="4"/>
  <c r="F2945" i="4"/>
  <c r="E2945" i="4"/>
  <c r="D2945" i="4"/>
  <c r="C2945" i="4"/>
  <c r="B2945" i="4"/>
  <c r="A2945" i="4"/>
  <c r="M2944" i="4"/>
  <c r="L2944" i="4"/>
  <c r="K2944" i="4"/>
  <c r="J2944" i="4"/>
  <c r="I2944" i="4"/>
  <c r="H2944" i="4"/>
  <c r="G2944" i="4"/>
  <c r="F2944" i="4"/>
  <c r="E2944" i="4"/>
  <c r="D2944" i="4"/>
  <c r="C2944" i="4"/>
  <c r="B2944" i="4"/>
  <c r="A2944" i="4"/>
  <c r="M2943" i="4"/>
  <c r="L2943" i="4"/>
  <c r="K2943" i="4"/>
  <c r="J2943" i="4"/>
  <c r="I2943" i="4"/>
  <c r="H2943" i="4"/>
  <c r="G2943" i="4"/>
  <c r="F2943" i="4"/>
  <c r="E2943" i="4"/>
  <c r="D2943" i="4"/>
  <c r="C2943" i="4"/>
  <c r="B2943" i="4"/>
  <c r="A2943" i="4"/>
  <c r="M2942" i="4"/>
  <c r="L2942" i="4"/>
  <c r="K2942" i="4"/>
  <c r="J2942" i="4"/>
  <c r="I2942" i="4"/>
  <c r="H2942" i="4"/>
  <c r="G2942" i="4"/>
  <c r="F2942" i="4"/>
  <c r="E2942" i="4"/>
  <c r="D2942" i="4"/>
  <c r="C2942" i="4"/>
  <c r="B2942" i="4"/>
  <c r="A2942" i="4"/>
  <c r="M2941" i="4"/>
  <c r="L2941" i="4"/>
  <c r="K2941" i="4"/>
  <c r="J2941" i="4"/>
  <c r="I2941" i="4"/>
  <c r="H2941" i="4"/>
  <c r="G2941" i="4"/>
  <c r="F2941" i="4"/>
  <c r="E2941" i="4"/>
  <c r="D2941" i="4"/>
  <c r="C2941" i="4"/>
  <c r="B2941" i="4"/>
  <c r="A2941" i="4"/>
  <c r="M2940" i="4"/>
  <c r="L2940" i="4"/>
  <c r="K2940" i="4"/>
  <c r="J2940" i="4"/>
  <c r="I2940" i="4"/>
  <c r="H2940" i="4"/>
  <c r="G2940" i="4"/>
  <c r="F2940" i="4"/>
  <c r="E2940" i="4"/>
  <c r="D2940" i="4"/>
  <c r="C2940" i="4"/>
  <c r="B2940" i="4"/>
  <c r="A2940" i="4"/>
  <c r="M2939" i="4"/>
  <c r="L2939" i="4"/>
  <c r="K2939" i="4"/>
  <c r="J2939" i="4"/>
  <c r="I2939" i="4"/>
  <c r="H2939" i="4"/>
  <c r="G2939" i="4"/>
  <c r="F2939" i="4"/>
  <c r="E2939" i="4"/>
  <c r="D2939" i="4"/>
  <c r="C2939" i="4"/>
  <c r="B2939" i="4"/>
  <c r="A2939" i="4"/>
  <c r="M2938" i="4"/>
  <c r="L2938" i="4"/>
  <c r="K2938" i="4"/>
  <c r="J2938" i="4"/>
  <c r="I2938" i="4"/>
  <c r="H2938" i="4"/>
  <c r="G2938" i="4"/>
  <c r="F2938" i="4"/>
  <c r="E2938" i="4"/>
  <c r="D2938" i="4"/>
  <c r="C2938" i="4"/>
  <c r="B2938" i="4"/>
  <c r="A2938" i="4"/>
  <c r="M2937" i="4"/>
  <c r="L2937" i="4"/>
  <c r="K2937" i="4"/>
  <c r="J2937" i="4"/>
  <c r="I2937" i="4"/>
  <c r="H2937" i="4"/>
  <c r="G2937" i="4"/>
  <c r="F2937" i="4"/>
  <c r="E2937" i="4"/>
  <c r="D2937" i="4"/>
  <c r="C2937" i="4"/>
  <c r="B2937" i="4"/>
  <c r="A2937" i="4"/>
  <c r="M2936" i="4"/>
  <c r="L2936" i="4"/>
  <c r="K2936" i="4"/>
  <c r="J2936" i="4"/>
  <c r="I2936" i="4"/>
  <c r="H2936" i="4"/>
  <c r="G2936" i="4"/>
  <c r="F2936" i="4"/>
  <c r="E2936" i="4"/>
  <c r="D2936" i="4"/>
  <c r="C2936" i="4"/>
  <c r="B2936" i="4"/>
  <c r="A2936" i="4"/>
  <c r="M2935" i="4"/>
  <c r="L2935" i="4"/>
  <c r="K2935" i="4"/>
  <c r="J2935" i="4"/>
  <c r="I2935" i="4"/>
  <c r="H2935" i="4"/>
  <c r="G2935" i="4"/>
  <c r="F2935" i="4"/>
  <c r="E2935" i="4"/>
  <c r="D2935" i="4"/>
  <c r="C2935" i="4"/>
  <c r="B2935" i="4"/>
  <c r="A2935" i="4"/>
  <c r="M2934" i="4"/>
  <c r="L2934" i="4"/>
  <c r="K2934" i="4"/>
  <c r="J2934" i="4"/>
  <c r="I2934" i="4"/>
  <c r="H2934" i="4"/>
  <c r="G2934" i="4"/>
  <c r="F2934" i="4"/>
  <c r="E2934" i="4"/>
  <c r="D2934" i="4"/>
  <c r="C2934" i="4"/>
  <c r="B2934" i="4"/>
  <c r="A2934" i="4"/>
  <c r="M2933" i="4"/>
  <c r="L2933" i="4"/>
  <c r="K2933" i="4"/>
  <c r="J2933" i="4"/>
  <c r="I2933" i="4"/>
  <c r="H2933" i="4"/>
  <c r="G2933" i="4"/>
  <c r="F2933" i="4"/>
  <c r="E2933" i="4"/>
  <c r="D2933" i="4"/>
  <c r="C2933" i="4"/>
  <c r="B2933" i="4"/>
  <c r="A2933" i="4"/>
  <c r="M2932" i="4"/>
  <c r="L2932" i="4"/>
  <c r="K2932" i="4"/>
  <c r="J2932" i="4"/>
  <c r="I2932" i="4"/>
  <c r="H2932" i="4"/>
  <c r="G2932" i="4"/>
  <c r="F2932" i="4"/>
  <c r="E2932" i="4"/>
  <c r="D2932" i="4"/>
  <c r="C2932" i="4"/>
  <c r="B2932" i="4"/>
  <c r="A2932" i="4"/>
  <c r="M2931" i="4"/>
  <c r="L2931" i="4"/>
  <c r="K2931" i="4"/>
  <c r="J2931" i="4"/>
  <c r="I2931" i="4"/>
  <c r="H2931" i="4"/>
  <c r="G2931" i="4"/>
  <c r="F2931" i="4"/>
  <c r="E2931" i="4"/>
  <c r="D2931" i="4"/>
  <c r="C2931" i="4"/>
  <c r="B2931" i="4"/>
  <c r="A2931" i="4"/>
  <c r="M2930" i="4"/>
  <c r="L2930" i="4"/>
  <c r="K2930" i="4"/>
  <c r="J2930" i="4"/>
  <c r="I2930" i="4"/>
  <c r="H2930" i="4"/>
  <c r="G2930" i="4"/>
  <c r="F2930" i="4"/>
  <c r="E2930" i="4"/>
  <c r="D2930" i="4"/>
  <c r="C2930" i="4"/>
  <c r="B2930" i="4"/>
  <c r="A2930" i="4"/>
  <c r="M2929" i="4"/>
  <c r="L2929" i="4"/>
  <c r="K2929" i="4"/>
  <c r="J2929" i="4"/>
  <c r="I2929" i="4"/>
  <c r="H2929" i="4"/>
  <c r="G2929" i="4"/>
  <c r="F2929" i="4"/>
  <c r="E2929" i="4"/>
  <c r="D2929" i="4"/>
  <c r="C2929" i="4"/>
  <c r="B2929" i="4"/>
  <c r="A2929" i="4"/>
  <c r="M2928" i="4"/>
  <c r="L2928" i="4"/>
  <c r="K2928" i="4"/>
  <c r="J2928" i="4"/>
  <c r="I2928" i="4"/>
  <c r="H2928" i="4"/>
  <c r="G2928" i="4"/>
  <c r="F2928" i="4"/>
  <c r="E2928" i="4"/>
  <c r="D2928" i="4"/>
  <c r="C2928" i="4"/>
  <c r="B2928" i="4"/>
  <c r="A2928" i="4"/>
  <c r="M2927" i="4"/>
  <c r="L2927" i="4"/>
  <c r="K2927" i="4"/>
  <c r="J2927" i="4"/>
  <c r="I2927" i="4"/>
  <c r="H2927" i="4"/>
  <c r="G2927" i="4"/>
  <c r="F2927" i="4"/>
  <c r="E2927" i="4"/>
  <c r="D2927" i="4"/>
  <c r="C2927" i="4"/>
  <c r="B2927" i="4"/>
  <c r="A2927" i="4"/>
  <c r="M2926" i="4"/>
  <c r="L2926" i="4"/>
  <c r="K2926" i="4"/>
  <c r="J2926" i="4"/>
  <c r="I2926" i="4"/>
  <c r="H2926" i="4"/>
  <c r="G2926" i="4"/>
  <c r="F2926" i="4"/>
  <c r="E2926" i="4"/>
  <c r="D2926" i="4"/>
  <c r="C2926" i="4"/>
  <c r="B2926" i="4"/>
  <c r="A2926" i="4"/>
  <c r="M2925" i="4"/>
  <c r="L2925" i="4"/>
  <c r="K2925" i="4"/>
  <c r="J2925" i="4"/>
  <c r="I2925" i="4"/>
  <c r="H2925" i="4"/>
  <c r="G2925" i="4"/>
  <c r="F2925" i="4"/>
  <c r="E2925" i="4"/>
  <c r="D2925" i="4"/>
  <c r="C2925" i="4"/>
  <c r="B2925" i="4"/>
  <c r="A2925" i="4"/>
  <c r="M2924" i="4"/>
  <c r="L2924" i="4"/>
  <c r="K2924" i="4"/>
  <c r="J2924" i="4"/>
  <c r="I2924" i="4"/>
  <c r="H2924" i="4"/>
  <c r="G2924" i="4"/>
  <c r="F2924" i="4"/>
  <c r="E2924" i="4"/>
  <c r="D2924" i="4"/>
  <c r="C2924" i="4"/>
  <c r="B2924" i="4"/>
  <c r="A2924" i="4"/>
  <c r="M2923" i="4"/>
  <c r="L2923" i="4"/>
  <c r="K2923" i="4"/>
  <c r="J2923" i="4"/>
  <c r="I2923" i="4"/>
  <c r="H2923" i="4"/>
  <c r="G2923" i="4"/>
  <c r="F2923" i="4"/>
  <c r="E2923" i="4"/>
  <c r="D2923" i="4"/>
  <c r="C2923" i="4"/>
  <c r="B2923" i="4"/>
  <c r="A2923" i="4"/>
  <c r="M2922" i="4"/>
  <c r="L2922" i="4"/>
  <c r="K2922" i="4"/>
  <c r="J2922" i="4"/>
  <c r="I2922" i="4"/>
  <c r="H2922" i="4"/>
  <c r="G2922" i="4"/>
  <c r="F2922" i="4"/>
  <c r="E2922" i="4"/>
  <c r="D2922" i="4"/>
  <c r="C2922" i="4"/>
  <c r="B2922" i="4"/>
  <c r="A2922" i="4"/>
  <c r="M2921" i="4"/>
  <c r="L2921" i="4"/>
  <c r="K2921" i="4"/>
  <c r="J2921" i="4"/>
  <c r="I2921" i="4"/>
  <c r="H2921" i="4"/>
  <c r="G2921" i="4"/>
  <c r="F2921" i="4"/>
  <c r="E2921" i="4"/>
  <c r="D2921" i="4"/>
  <c r="C2921" i="4"/>
  <c r="B2921" i="4"/>
  <c r="A2921" i="4"/>
  <c r="M2920" i="4"/>
  <c r="L2920" i="4"/>
  <c r="K2920" i="4"/>
  <c r="J2920" i="4"/>
  <c r="I2920" i="4"/>
  <c r="H2920" i="4"/>
  <c r="G2920" i="4"/>
  <c r="F2920" i="4"/>
  <c r="E2920" i="4"/>
  <c r="D2920" i="4"/>
  <c r="C2920" i="4"/>
  <c r="B2920" i="4"/>
  <c r="A2920" i="4"/>
  <c r="M2919" i="4"/>
  <c r="L2919" i="4"/>
  <c r="K2919" i="4"/>
  <c r="J2919" i="4"/>
  <c r="I2919" i="4"/>
  <c r="H2919" i="4"/>
  <c r="G2919" i="4"/>
  <c r="F2919" i="4"/>
  <c r="E2919" i="4"/>
  <c r="D2919" i="4"/>
  <c r="C2919" i="4"/>
  <c r="B2919" i="4"/>
  <c r="A2919" i="4"/>
  <c r="M2918" i="4"/>
  <c r="L2918" i="4"/>
  <c r="K2918" i="4"/>
  <c r="J2918" i="4"/>
  <c r="I2918" i="4"/>
  <c r="H2918" i="4"/>
  <c r="G2918" i="4"/>
  <c r="F2918" i="4"/>
  <c r="E2918" i="4"/>
  <c r="D2918" i="4"/>
  <c r="C2918" i="4"/>
  <c r="B2918" i="4"/>
  <c r="A2918" i="4"/>
  <c r="M2917" i="4"/>
  <c r="L2917" i="4"/>
  <c r="K2917" i="4"/>
  <c r="J2917" i="4"/>
  <c r="I2917" i="4"/>
  <c r="H2917" i="4"/>
  <c r="G2917" i="4"/>
  <c r="F2917" i="4"/>
  <c r="E2917" i="4"/>
  <c r="D2917" i="4"/>
  <c r="C2917" i="4"/>
  <c r="B2917" i="4"/>
  <c r="A2917" i="4"/>
  <c r="M2916" i="4"/>
  <c r="L2916" i="4"/>
  <c r="K2916" i="4"/>
  <c r="J2916" i="4"/>
  <c r="I2916" i="4"/>
  <c r="H2916" i="4"/>
  <c r="G2916" i="4"/>
  <c r="F2916" i="4"/>
  <c r="E2916" i="4"/>
  <c r="D2916" i="4"/>
  <c r="C2916" i="4"/>
  <c r="B2916" i="4"/>
  <c r="A2916" i="4"/>
  <c r="M2915" i="4"/>
  <c r="L2915" i="4"/>
  <c r="K2915" i="4"/>
  <c r="J2915" i="4"/>
  <c r="I2915" i="4"/>
  <c r="H2915" i="4"/>
  <c r="G2915" i="4"/>
  <c r="F2915" i="4"/>
  <c r="E2915" i="4"/>
  <c r="D2915" i="4"/>
  <c r="C2915" i="4"/>
  <c r="B2915" i="4"/>
  <c r="A2915" i="4"/>
  <c r="M2914" i="4"/>
  <c r="L2914" i="4"/>
  <c r="K2914" i="4"/>
  <c r="J2914" i="4"/>
  <c r="I2914" i="4"/>
  <c r="H2914" i="4"/>
  <c r="G2914" i="4"/>
  <c r="F2914" i="4"/>
  <c r="E2914" i="4"/>
  <c r="D2914" i="4"/>
  <c r="C2914" i="4"/>
  <c r="B2914" i="4"/>
  <c r="A2914" i="4"/>
  <c r="M2913" i="4"/>
  <c r="L2913" i="4"/>
  <c r="K2913" i="4"/>
  <c r="J2913" i="4"/>
  <c r="I2913" i="4"/>
  <c r="H2913" i="4"/>
  <c r="G2913" i="4"/>
  <c r="F2913" i="4"/>
  <c r="E2913" i="4"/>
  <c r="D2913" i="4"/>
  <c r="C2913" i="4"/>
  <c r="B2913" i="4"/>
  <c r="A2913" i="4"/>
  <c r="M2912" i="4"/>
  <c r="L2912" i="4"/>
  <c r="K2912" i="4"/>
  <c r="J2912" i="4"/>
  <c r="I2912" i="4"/>
  <c r="H2912" i="4"/>
  <c r="G2912" i="4"/>
  <c r="F2912" i="4"/>
  <c r="E2912" i="4"/>
  <c r="D2912" i="4"/>
  <c r="C2912" i="4"/>
  <c r="B2912" i="4"/>
  <c r="A2912" i="4"/>
  <c r="M2911" i="4"/>
  <c r="L2911" i="4"/>
  <c r="K2911" i="4"/>
  <c r="J2911" i="4"/>
  <c r="I2911" i="4"/>
  <c r="H2911" i="4"/>
  <c r="G2911" i="4"/>
  <c r="F2911" i="4"/>
  <c r="E2911" i="4"/>
  <c r="D2911" i="4"/>
  <c r="C2911" i="4"/>
  <c r="B2911" i="4"/>
  <c r="A2911" i="4"/>
  <c r="M2910" i="4"/>
  <c r="L2910" i="4"/>
  <c r="K2910" i="4"/>
  <c r="J2910" i="4"/>
  <c r="I2910" i="4"/>
  <c r="H2910" i="4"/>
  <c r="G2910" i="4"/>
  <c r="F2910" i="4"/>
  <c r="D2910" i="4"/>
  <c r="C2910" i="4"/>
  <c r="B2910" i="4"/>
  <c r="A2910" i="4"/>
  <c r="M2909" i="4"/>
  <c r="L2909" i="4"/>
  <c r="K2909" i="4"/>
  <c r="J2909" i="4"/>
  <c r="I2909" i="4"/>
  <c r="H2909" i="4"/>
  <c r="G2909" i="4"/>
  <c r="F2909" i="4"/>
  <c r="E2909" i="4"/>
  <c r="D2909" i="4"/>
  <c r="C2909" i="4"/>
  <c r="B2909" i="4"/>
  <c r="A2909" i="4"/>
  <c r="M2908" i="4"/>
  <c r="L2908" i="4"/>
  <c r="K2908" i="4"/>
  <c r="J2908" i="4"/>
  <c r="I2908" i="4"/>
  <c r="H2908" i="4"/>
  <c r="G2908" i="4"/>
  <c r="F2908" i="4"/>
  <c r="E2908" i="4"/>
  <c r="D2908" i="4"/>
  <c r="C2908" i="4"/>
  <c r="B2908" i="4"/>
  <c r="A2908" i="4"/>
  <c r="M2907" i="4"/>
  <c r="L2907" i="4"/>
  <c r="K2907" i="4"/>
  <c r="J2907" i="4"/>
  <c r="I2907" i="4"/>
  <c r="H2907" i="4"/>
  <c r="G2907" i="4"/>
  <c r="F2907" i="4"/>
  <c r="E2907" i="4"/>
  <c r="D2907" i="4"/>
  <c r="C2907" i="4"/>
  <c r="B2907" i="4"/>
  <c r="A2907" i="4"/>
  <c r="M2906" i="4"/>
  <c r="L2906" i="4"/>
  <c r="K2906" i="4"/>
  <c r="J2906" i="4"/>
  <c r="I2906" i="4"/>
  <c r="H2906" i="4"/>
  <c r="G2906" i="4"/>
  <c r="F2906" i="4"/>
  <c r="E2906" i="4"/>
  <c r="D2906" i="4"/>
  <c r="C2906" i="4"/>
  <c r="B2906" i="4"/>
  <c r="A2906" i="4"/>
  <c r="M2905" i="4"/>
  <c r="L2905" i="4"/>
  <c r="K2905" i="4"/>
  <c r="J2905" i="4"/>
  <c r="I2905" i="4"/>
  <c r="H2905" i="4"/>
  <c r="G2905" i="4"/>
  <c r="F2905" i="4"/>
  <c r="E2905" i="4"/>
  <c r="D2905" i="4"/>
  <c r="C2905" i="4"/>
  <c r="B2905" i="4"/>
  <c r="A2905" i="4"/>
  <c r="M2904" i="4"/>
  <c r="L2904" i="4"/>
  <c r="K2904" i="4"/>
  <c r="J2904" i="4"/>
  <c r="I2904" i="4"/>
  <c r="H2904" i="4"/>
  <c r="G2904" i="4"/>
  <c r="F2904" i="4"/>
  <c r="E2904" i="4"/>
  <c r="D2904" i="4"/>
  <c r="C2904" i="4"/>
  <c r="B2904" i="4"/>
  <c r="A2904" i="4"/>
  <c r="M2903" i="4"/>
  <c r="L2903" i="4"/>
  <c r="K2903" i="4"/>
  <c r="J2903" i="4"/>
  <c r="I2903" i="4"/>
  <c r="H2903" i="4"/>
  <c r="G2903" i="4"/>
  <c r="F2903" i="4"/>
  <c r="E2903" i="4"/>
  <c r="D2903" i="4"/>
  <c r="C2903" i="4"/>
  <c r="B2903" i="4"/>
  <c r="A2903" i="4"/>
  <c r="M2902" i="4"/>
  <c r="L2902" i="4"/>
  <c r="K2902" i="4"/>
  <c r="J2902" i="4"/>
  <c r="I2902" i="4"/>
  <c r="H2902" i="4"/>
  <c r="G2902" i="4"/>
  <c r="F2902" i="4"/>
  <c r="E2902" i="4"/>
  <c r="D2902" i="4"/>
  <c r="C2902" i="4"/>
  <c r="B2902" i="4"/>
  <c r="A2902" i="4"/>
  <c r="M2901" i="4"/>
  <c r="L2901" i="4"/>
  <c r="K2901" i="4"/>
  <c r="J2901" i="4"/>
  <c r="I2901" i="4"/>
  <c r="H2901" i="4"/>
  <c r="G2901" i="4"/>
  <c r="F2901" i="4"/>
  <c r="E2901" i="4"/>
  <c r="D2901" i="4"/>
  <c r="C2901" i="4"/>
  <c r="B2901" i="4"/>
  <c r="A2901" i="4"/>
  <c r="M2900" i="4"/>
  <c r="L2900" i="4"/>
  <c r="K2900" i="4"/>
  <c r="J2900" i="4"/>
  <c r="I2900" i="4"/>
  <c r="H2900" i="4"/>
  <c r="G2900" i="4"/>
  <c r="F2900" i="4"/>
  <c r="E2900" i="4"/>
  <c r="D2900" i="4"/>
  <c r="C2900" i="4"/>
  <c r="B2900" i="4"/>
  <c r="A2900" i="4"/>
  <c r="M2899" i="4"/>
  <c r="L2899" i="4"/>
  <c r="K2899" i="4"/>
  <c r="J2899" i="4"/>
  <c r="I2899" i="4"/>
  <c r="H2899" i="4"/>
  <c r="G2899" i="4"/>
  <c r="F2899" i="4"/>
  <c r="E2899" i="4"/>
  <c r="D2899" i="4"/>
  <c r="C2899" i="4"/>
  <c r="B2899" i="4"/>
  <c r="A2899" i="4"/>
  <c r="M2898" i="4"/>
  <c r="L2898" i="4"/>
  <c r="K2898" i="4"/>
  <c r="J2898" i="4"/>
  <c r="I2898" i="4"/>
  <c r="H2898" i="4"/>
  <c r="G2898" i="4"/>
  <c r="F2898" i="4"/>
  <c r="E2898" i="4"/>
  <c r="D2898" i="4"/>
  <c r="C2898" i="4"/>
  <c r="B2898" i="4"/>
  <c r="A2898" i="4"/>
  <c r="M2897" i="4"/>
  <c r="L2897" i="4"/>
  <c r="K2897" i="4"/>
  <c r="J2897" i="4"/>
  <c r="I2897" i="4"/>
  <c r="H2897" i="4"/>
  <c r="G2897" i="4"/>
  <c r="F2897" i="4"/>
  <c r="E2897" i="4"/>
  <c r="D2897" i="4"/>
  <c r="C2897" i="4"/>
  <c r="B2897" i="4"/>
  <c r="A2897" i="4"/>
  <c r="M2896" i="4"/>
  <c r="L2896" i="4"/>
  <c r="K2896" i="4"/>
  <c r="J2896" i="4"/>
  <c r="I2896" i="4"/>
  <c r="H2896" i="4"/>
  <c r="G2896" i="4"/>
  <c r="F2896" i="4"/>
  <c r="E2896" i="4"/>
  <c r="D2896" i="4"/>
  <c r="C2896" i="4"/>
  <c r="B2896" i="4"/>
  <c r="A2896" i="4"/>
  <c r="M2895" i="4"/>
  <c r="L2895" i="4"/>
  <c r="K2895" i="4"/>
  <c r="J2895" i="4"/>
  <c r="I2895" i="4"/>
  <c r="H2895" i="4"/>
  <c r="G2895" i="4"/>
  <c r="F2895" i="4"/>
  <c r="E2895" i="4"/>
  <c r="D2895" i="4"/>
  <c r="C2895" i="4"/>
  <c r="B2895" i="4"/>
  <c r="A2895" i="4"/>
  <c r="M2894" i="4"/>
  <c r="L2894" i="4"/>
  <c r="K2894" i="4"/>
  <c r="J2894" i="4"/>
  <c r="I2894" i="4"/>
  <c r="H2894" i="4"/>
  <c r="G2894" i="4"/>
  <c r="F2894" i="4"/>
  <c r="E2894" i="4"/>
  <c r="D2894" i="4"/>
  <c r="C2894" i="4"/>
  <c r="B2894" i="4"/>
  <c r="A2894" i="4"/>
  <c r="M2893" i="4"/>
  <c r="L2893" i="4"/>
  <c r="K2893" i="4"/>
  <c r="J2893" i="4"/>
  <c r="I2893" i="4"/>
  <c r="H2893" i="4"/>
  <c r="G2893" i="4"/>
  <c r="F2893" i="4"/>
  <c r="E2893" i="4"/>
  <c r="D2893" i="4"/>
  <c r="C2893" i="4"/>
  <c r="B2893" i="4"/>
  <c r="A2893" i="4"/>
  <c r="M2892" i="4"/>
  <c r="L2892" i="4"/>
  <c r="K2892" i="4"/>
  <c r="J2892" i="4"/>
  <c r="I2892" i="4"/>
  <c r="H2892" i="4"/>
  <c r="G2892" i="4"/>
  <c r="F2892" i="4"/>
  <c r="E2892" i="4"/>
  <c r="D2892" i="4"/>
  <c r="C2892" i="4"/>
  <c r="B2892" i="4"/>
  <c r="A2892" i="4"/>
  <c r="M2891" i="4"/>
  <c r="L2891" i="4"/>
  <c r="K2891" i="4"/>
  <c r="J2891" i="4"/>
  <c r="I2891" i="4"/>
  <c r="H2891" i="4"/>
  <c r="G2891" i="4"/>
  <c r="F2891" i="4"/>
  <c r="E2891" i="4"/>
  <c r="D2891" i="4"/>
  <c r="C2891" i="4"/>
  <c r="B2891" i="4"/>
  <c r="A2891" i="4"/>
  <c r="M2890" i="4"/>
  <c r="L2890" i="4"/>
  <c r="K2890" i="4"/>
  <c r="J2890" i="4"/>
  <c r="I2890" i="4"/>
  <c r="H2890" i="4"/>
  <c r="G2890" i="4"/>
  <c r="F2890" i="4"/>
  <c r="E2890" i="4"/>
  <c r="D2890" i="4"/>
  <c r="C2890" i="4"/>
  <c r="B2890" i="4"/>
  <c r="A2890" i="4"/>
  <c r="M2889" i="4"/>
  <c r="L2889" i="4"/>
  <c r="K2889" i="4"/>
  <c r="J2889" i="4"/>
  <c r="I2889" i="4"/>
  <c r="H2889" i="4"/>
  <c r="G2889" i="4"/>
  <c r="F2889" i="4"/>
  <c r="D2889" i="4"/>
  <c r="C2889" i="4"/>
  <c r="B2889" i="4"/>
  <c r="A2889" i="4"/>
  <c r="M2888" i="4"/>
  <c r="L2888" i="4"/>
  <c r="K2888" i="4"/>
  <c r="J2888" i="4"/>
  <c r="I2888" i="4"/>
  <c r="H2888" i="4"/>
  <c r="G2888" i="4"/>
  <c r="F2888" i="4"/>
  <c r="E2888" i="4"/>
  <c r="D2888" i="4"/>
  <c r="C2888" i="4"/>
  <c r="B2888" i="4"/>
  <c r="A2888" i="4"/>
  <c r="M2887" i="4"/>
  <c r="L2887" i="4"/>
  <c r="K2887" i="4"/>
  <c r="J2887" i="4"/>
  <c r="I2887" i="4"/>
  <c r="H2887" i="4"/>
  <c r="G2887" i="4"/>
  <c r="F2887" i="4"/>
  <c r="E2887" i="4"/>
  <c r="D2887" i="4"/>
  <c r="C2887" i="4"/>
  <c r="B2887" i="4"/>
  <c r="A2887" i="4"/>
  <c r="M2886" i="4"/>
  <c r="L2886" i="4"/>
  <c r="K2886" i="4"/>
  <c r="J2886" i="4"/>
  <c r="I2886" i="4"/>
  <c r="H2886" i="4"/>
  <c r="G2886" i="4"/>
  <c r="F2886" i="4"/>
  <c r="E2886" i="4"/>
  <c r="D2886" i="4"/>
  <c r="C2886" i="4"/>
  <c r="B2886" i="4"/>
  <c r="A2886" i="4"/>
  <c r="M2885" i="4"/>
  <c r="L2885" i="4"/>
  <c r="K2885" i="4"/>
  <c r="J2885" i="4"/>
  <c r="I2885" i="4"/>
  <c r="H2885" i="4"/>
  <c r="G2885" i="4"/>
  <c r="F2885" i="4"/>
  <c r="E2885" i="4"/>
  <c r="D2885" i="4"/>
  <c r="C2885" i="4"/>
  <c r="B2885" i="4"/>
  <c r="A2885" i="4"/>
  <c r="M2884" i="4"/>
  <c r="L2884" i="4"/>
  <c r="K2884" i="4"/>
  <c r="J2884" i="4"/>
  <c r="I2884" i="4"/>
  <c r="H2884" i="4"/>
  <c r="G2884" i="4"/>
  <c r="F2884" i="4"/>
  <c r="E2884" i="4"/>
  <c r="D2884" i="4"/>
  <c r="C2884" i="4"/>
  <c r="B2884" i="4"/>
  <c r="A2884" i="4"/>
  <c r="M2883" i="4"/>
  <c r="L2883" i="4"/>
  <c r="K2883" i="4"/>
  <c r="J2883" i="4"/>
  <c r="I2883" i="4"/>
  <c r="H2883" i="4"/>
  <c r="G2883" i="4"/>
  <c r="F2883" i="4"/>
  <c r="E2883" i="4"/>
  <c r="D2883" i="4"/>
  <c r="C2883" i="4"/>
  <c r="B2883" i="4"/>
  <c r="A2883" i="4"/>
  <c r="M2882" i="4"/>
  <c r="L2882" i="4"/>
  <c r="K2882" i="4"/>
  <c r="J2882" i="4"/>
  <c r="I2882" i="4"/>
  <c r="H2882" i="4"/>
  <c r="G2882" i="4"/>
  <c r="F2882" i="4"/>
  <c r="E2882" i="4"/>
  <c r="D2882" i="4"/>
  <c r="C2882" i="4"/>
  <c r="B2882" i="4"/>
  <c r="A2882" i="4"/>
  <c r="M2881" i="4"/>
  <c r="L2881" i="4"/>
  <c r="K2881" i="4"/>
  <c r="J2881" i="4"/>
  <c r="I2881" i="4"/>
  <c r="H2881" i="4"/>
  <c r="G2881" i="4"/>
  <c r="F2881" i="4"/>
  <c r="E2881" i="4"/>
  <c r="D2881" i="4"/>
  <c r="C2881" i="4"/>
  <c r="B2881" i="4"/>
  <c r="A2881" i="4"/>
  <c r="M2880" i="4"/>
  <c r="L2880" i="4"/>
  <c r="K2880" i="4"/>
  <c r="J2880" i="4"/>
  <c r="I2880" i="4"/>
  <c r="H2880" i="4"/>
  <c r="G2880" i="4"/>
  <c r="F2880" i="4"/>
  <c r="E2880" i="4"/>
  <c r="D2880" i="4"/>
  <c r="C2880" i="4"/>
  <c r="B2880" i="4"/>
  <c r="A2880" i="4"/>
  <c r="M2879" i="4"/>
  <c r="L2879" i="4"/>
  <c r="K2879" i="4"/>
  <c r="J2879" i="4"/>
  <c r="I2879" i="4"/>
  <c r="H2879" i="4"/>
  <c r="G2879" i="4"/>
  <c r="F2879" i="4"/>
  <c r="E2879" i="4"/>
  <c r="D2879" i="4"/>
  <c r="C2879" i="4"/>
  <c r="B2879" i="4"/>
  <c r="A2879" i="4"/>
  <c r="M2878" i="4"/>
  <c r="L2878" i="4"/>
  <c r="K2878" i="4"/>
  <c r="J2878" i="4"/>
  <c r="I2878" i="4"/>
  <c r="H2878" i="4"/>
  <c r="G2878" i="4"/>
  <c r="F2878" i="4"/>
  <c r="E2878" i="4"/>
  <c r="D2878" i="4"/>
  <c r="C2878" i="4"/>
  <c r="B2878" i="4"/>
  <c r="A2878" i="4"/>
  <c r="M2877" i="4"/>
  <c r="L2877" i="4"/>
  <c r="K2877" i="4"/>
  <c r="J2877" i="4"/>
  <c r="I2877" i="4"/>
  <c r="H2877" i="4"/>
  <c r="G2877" i="4"/>
  <c r="F2877" i="4"/>
  <c r="E2877" i="4"/>
  <c r="D2877" i="4"/>
  <c r="C2877" i="4"/>
  <c r="B2877" i="4"/>
  <c r="A2877" i="4"/>
  <c r="M2876" i="4"/>
  <c r="L2876" i="4"/>
  <c r="K2876" i="4"/>
  <c r="J2876" i="4"/>
  <c r="I2876" i="4"/>
  <c r="H2876" i="4"/>
  <c r="G2876" i="4"/>
  <c r="F2876" i="4"/>
  <c r="E2876" i="4"/>
  <c r="D2876" i="4"/>
  <c r="C2876" i="4"/>
  <c r="B2876" i="4"/>
  <c r="A2876" i="4"/>
  <c r="M2875" i="4"/>
  <c r="L2875" i="4"/>
  <c r="K2875" i="4"/>
  <c r="J2875" i="4"/>
  <c r="I2875" i="4"/>
  <c r="H2875" i="4"/>
  <c r="G2875" i="4"/>
  <c r="F2875" i="4"/>
  <c r="E2875" i="4"/>
  <c r="D2875" i="4"/>
  <c r="C2875" i="4"/>
  <c r="B2875" i="4"/>
  <c r="A2875" i="4"/>
  <c r="M2874" i="4"/>
  <c r="L2874" i="4"/>
  <c r="K2874" i="4"/>
  <c r="J2874" i="4"/>
  <c r="I2874" i="4"/>
  <c r="H2874" i="4"/>
  <c r="G2874" i="4"/>
  <c r="F2874" i="4"/>
  <c r="E2874" i="4"/>
  <c r="D2874" i="4"/>
  <c r="C2874" i="4"/>
  <c r="B2874" i="4"/>
  <c r="A2874" i="4"/>
  <c r="M2873" i="4"/>
  <c r="L2873" i="4"/>
  <c r="K2873" i="4"/>
  <c r="J2873" i="4"/>
  <c r="I2873" i="4"/>
  <c r="H2873" i="4"/>
  <c r="G2873" i="4"/>
  <c r="F2873" i="4"/>
  <c r="E2873" i="4"/>
  <c r="D2873" i="4"/>
  <c r="C2873" i="4"/>
  <c r="B2873" i="4"/>
  <c r="A2873" i="4"/>
  <c r="M2872" i="4"/>
  <c r="L2872" i="4"/>
  <c r="K2872" i="4"/>
  <c r="J2872" i="4"/>
  <c r="I2872" i="4"/>
  <c r="H2872" i="4"/>
  <c r="G2872" i="4"/>
  <c r="F2872" i="4"/>
  <c r="E2872" i="4"/>
  <c r="D2872" i="4"/>
  <c r="C2872" i="4"/>
  <c r="B2872" i="4"/>
  <c r="A2872" i="4"/>
  <c r="M2871" i="4"/>
  <c r="L2871" i="4"/>
  <c r="K2871" i="4"/>
  <c r="J2871" i="4"/>
  <c r="I2871" i="4"/>
  <c r="H2871" i="4"/>
  <c r="G2871" i="4"/>
  <c r="F2871" i="4"/>
  <c r="E2871" i="4"/>
  <c r="D2871" i="4"/>
  <c r="C2871" i="4"/>
  <c r="B2871" i="4"/>
  <c r="A2871" i="4"/>
  <c r="M2870" i="4"/>
  <c r="L2870" i="4"/>
  <c r="K2870" i="4"/>
  <c r="J2870" i="4"/>
  <c r="I2870" i="4"/>
  <c r="H2870" i="4"/>
  <c r="G2870" i="4"/>
  <c r="F2870" i="4"/>
  <c r="E2870" i="4"/>
  <c r="D2870" i="4"/>
  <c r="C2870" i="4"/>
  <c r="B2870" i="4"/>
  <c r="A2870" i="4"/>
  <c r="M2869" i="4"/>
  <c r="L2869" i="4"/>
  <c r="K2869" i="4"/>
  <c r="J2869" i="4"/>
  <c r="I2869" i="4"/>
  <c r="H2869" i="4"/>
  <c r="G2869" i="4"/>
  <c r="F2869" i="4"/>
  <c r="E2869" i="4"/>
  <c r="D2869" i="4"/>
  <c r="C2869" i="4"/>
  <c r="B2869" i="4"/>
  <c r="A2869" i="4"/>
  <c r="M2868" i="4"/>
  <c r="L2868" i="4"/>
  <c r="K2868" i="4"/>
  <c r="J2868" i="4"/>
  <c r="I2868" i="4"/>
  <c r="H2868" i="4"/>
  <c r="G2868" i="4"/>
  <c r="F2868" i="4"/>
  <c r="E2868" i="4"/>
  <c r="D2868" i="4"/>
  <c r="C2868" i="4"/>
  <c r="B2868" i="4"/>
  <c r="A2868" i="4"/>
  <c r="M2867" i="4"/>
  <c r="L2867" i="4"/>
  <c r="K2867" i="4"/>
  <c r="J2867" i="4"/>
  <c r="I2867" i="4"/>
  <c r="H2867" i="4"/>
  <c r="G2867" i="4"/>
  <c r="F2867" i="4"/>
  <c r="E2867" i="4"/>
  <c r="D2867" i="4"/>
  <c r="C2867" i="4"/>
  <c r="B2867" i="4"/>
  <c r="A2867" i="4"/>
  <c r="M2866" i="4"/>
  <c r="L2866" i="4"/>
  <c r="K2866" i="4"/>
  <c r="J2866" i="4"/>
  <c r="I2866" i="4"/>
  <c r="H2866" i="4"/>
  <c r="G2866" i="4"/>
  <c r="F2866" i="4"/>
  <c r="E2866" i="4"/>
  <c r="D2866" i="4"/>
  <c r="C2866" i="4"/>
  <c r="B2866" i="4"/>
  <c r="A2866" i="4"/>
  <c r="M2865" i="4"/>
  <c r="L2865" i="4"/>
  <c r="K2865" i="4"/>
  <c r="J2865" i="4"/>
  <c r="I2865" i="4"/>
  <c r="H2865" i="4"/>
  <c r="G2865" i="4"/>
  <c r="F2865" i="4"/>
  <c r="E2865" i="4"/>
  <c r="D2865" i="4"/>
  <c r="C2865" i="4"/>
  <c r="B2865" i="4"/>
  <c r="A2865" i="4"/>
  <c r="M2864" i="4"/>
  <c r="L2864" i="4"/>
  <c r="K2864" i="4"/>
  <c r="J2864" i="4"/>
  <c r="I2864" i="4"/>
  <c r="H2864" i="4"/>
  <c r="G2864" i="4"/>
  <c r="F2864" i="4"/>
  <c r="E2864" i="4"/>
  <c r="D2864" i="4"/>
  <c r="C2864" i="4"/>
  <c r="B2864" i="4"/>
  <c r="A2864" i="4"/>
  <c r="M2863" i="4"/>
  <c r="L2863" i="4"/>
  <c r="K2863" i="4"/>
  <c r="J2863" i="4"/>
  <c r="I2863" i="4"/>
  <c r="H2863" i="4"/>
  <c r="G2863" i="4"/>
  <c r="F2863" i="4"/>
  <c r="E2863" i="4"/>
  <c r="D2863" i="4"/>
  <c r="C2863" i="4"/>
  <c r="B2863" i="4"/>
  <c r="A2863" i="4"/>
  <c r="M2862" i="4"/>
  <c r="L2862" i="4"/>
  <c r="K2862" i="4"/>
  <c r="J2862" i="4"/>
  <c r="I2862" i="4"/>
  <c r="H2862" i="4"/>
  <c r="G2862" i="4"/>
  <c r="F2862" i="4"/>
  <c r="E2862" i="4"/>
  <c r="D2862" i="4"/>
  <c r="C2862" i="4"/>
  <c r="B2862" i="4"/>
  <c r="A2862" i="4"/>
  <c r="M2861" i="4"/>
  <c r="L2861" i="4"/>
  <c r="K2861" i="4"/>
  <c r="J2861" i="4"/>
  <c r="I2861" i="4"/>
  <c r="H2861" i="4"/>
  <c r="G2861" i="4"/>
  <c r="F2861" i="4"/>
  <c r="E2861" i="4"/>
  <c r="D2861" i="4"/>
  <c r="C2861" i="4"/>
  <c r="B2861" i="4"/>
  <c r="A2861" i="4"/>
  <c r="M2860" i="4"/>
  <c r="L2860" i="4"/>
  <c r="K2860" i="4"/>
  <c r="J2860" i="4"/>
  <c r="I2860" i="4"/>
  <c r="H2860" i="4"/>
  <c r="G2860" i="4"/>
  <c r="F2860" i="4"/>
  <c r="E2860" i="4"/>
  <c r="D2860" i="4"/>
  <c r="C2860" i="4"/>
  <c r="B2860" i="4"/>
  <c r="A2860" i="4"/>
  <c r="M2859" i="4"/>
  <c r="L2859" i="4"/>
  <c r="K2859" i="4"/>
  <c r="J2859" i="4"/>
  <c r="I2859" i="4"/>
  <c r="H2859" i="4"/>
  <c r="G2859" i="4"/>
  <c r="F2859" i="4"/>
  <c r="E2859" i="4"/>
  <c r="D2859" i="4"/>
  <c r="C2859" i="4"/>
  <c r="B2859" i="4"/>
  <c r="A2859" i="4"/>
  <c r="M2858" i="4"/>
  <c r="L2858" i="4"/>
  <c r="K2858" i="4"/>
  <c r="J2858" i="4"/>
  <c r="I2858" i="4"/>
  <c r="H2858" i="4"/>
  <c r="G2858" i="4"/>
  <c r="F2858" i="4"/>
  <c r="E2858" i="4"/>
  <c r="D2858" i="4"/>
  <c r="C2858" i="4"/>
  <c r="B2858" i="4"/>
  <c r="A2858" i="4"/>
  <c r="M2857" i="4"/>
  <c r="L2857" i="4"/>
  <c r="K2857" i="4"/>
  <c r="J2857" i="4"/>
  <c r="I2857" i="4"/>
  <c r="H2857" i="4"/>
  <c r="G2857" i="4"/>
  <c r="F2857" i="4"/>
  <c r="E2857" i="4"/>
  <c r="D2857" i="4"/>
  <c r="C2857" i="4"/>
  <c r="B2857" i="4"/>
  <c r="A2857" i="4"/>
  <c r="M2856" i="4"/>
  <c r="L2856" i="4"/>
  <c r="K2856" i="4"/>
  <c r="J2856" i="4"/>
  <c r="I2856" i="4"/>
  <c r="H2856" i="4"/>
  <c r="G2856" i="4"/>
  <c r="F2856" i="4"/>
  <c r="E2856" i="4"/>
  <c r="D2856" i="4"/>
  <c r="C2856" i="4"/>
  <c r="B2856" i="4"/>
  <c r="A2856" i="4"/>
  <c r="M2855" i="4"/>
  <c r="L2855" i="4"/>
  <c r="K2855" i="4"/>
  <c r="J2855" i="4"/>
  <c r="I2855" i="4"/>
  <c r="H2855" i="4"/>
  <c r="G2855" i="4"/>
  <c r="F2855" i="4"/>
  <c r="E2855" i="4"/>
  <c r="D2855" i="4"/>
  <c r="C2855" i="4"/>
  <c r="B2855" i="4"/>
  <c r="A2855" i="4"/>
  <c r="M2854" i="4"/>
  <c r="L2854" i="4"/>
  <c r="K2854" i="4"/>
  <c r="J2854" i="4"/>
  <c r="I2854" i="4"/>
  <c r="H2854" i="4"/>
  <c r="G2854" i="4"/>
  <c r="F2854" i="4"/>
  <c r="E2854" i="4"/>
  <c r="D2854" i="4"/>
  <c r="C2854" i="4"/>
  <c r="B2854" i="4"/>
  <c r="A2854" i="4"/>
  <c r="M2853" i="4"/>
  <c r="L2853" i="4"/>
  <c r="K2853" i="4"/>
  <c r="J2853" i="4"/>
  <c r="I2853" i="4"/>
  <c r="H2853" i="4"/>
  <c r="G2853" i="4"/>
  <c r="F2853" i="4"/>
  <c r="E2853" i="4"/>
  <c r="D2853" i="4"/>
  <c r="C2853" i="4"/>
  <c r="B2853" i="4"/>
  <c r="A2853" i="4"/>
  <c r="M2852" i="4"/>
  <c r="L2852" i="4"/>
  <c r="K2852" i="4"/>
  <c r="J2852" i="4"/>
  <c r="I2852" i="4"/>
  <c r="H2852" i="4"/>
  <c r="G2852" i="4"/>
  <c r="F2852" i="4"/>
  <c r="D2852" i="4"/>
  <c r="C2852" i="4"/>
  <c r="B2852" i="4"/>
  <c r="A2852" i="4"/>
  <c r="M2851" i="4"/>
  <c r="L2851" i="4"/>
  <c r="K2851" i="4"/>
  <c r="J2851" i="4"/>
  <c r="I2851" i="4"/>
  <c r="H2851" i="4"/>
  <c r="G2851" i="4"/>
  <c r="F2851" i="4"/>
  <c r="E2851" i="4"/>
  <c r="D2851" i="4"/>
  <c r="C2851" i="4"/>
  <c r="B2851" i="4"/>
  <c r="A2851" i="4"/>
  <c r="M2850" i="4"/>
  <c r="L2850" i="4"/>
  <c r="K2850" i="4"/>
  <c r="J2850" i="4"/>
  <c r="I2850" i="4"/>
  <c r="H2850" i="4"/>
  <c r="G2850" i="4"/>
  <c r="F2850" i="4"/>
  <c r="E2850" i="4"/>
  <c r="D2850" i="4"/>
  <c r="C2850" i="4"/>
  <c r="B2850" i="4"/>
  <c r="A2850" i="4"/>
  <c r="M2849" i="4"/>
  <c r="L2849" i="4"/>
  <c r="K2849" i="4"/>
  <c r="J2849" i="4"/>
  <c r="I2849" i="4"/>
  <c r="H2849" i="4"/>
  <c r="G2849" i="4"/>
  <c r="F2849" i="4"/>
  <c r="E2849" i="4"/>
  <c r="D2849" i="4"/>
  <c r="C2849" i="4"/>
  <c r="B2849" i="4"/>
  <c r="A2849" i="4"/>
  <c r="M2848" i="4"/>
  <c r="L2848" i="4"/>
  <c r="K2848" i="4"/>
  <c r="J2848" i="4"/>
  <c r="I2848" i="4"/>
  <c r="H2848" i="4"/>
  <c r="G2848" i="4"/>
  <c r="E2848" i="4"/>
  <c r="D2848" i="4"/>
  <c r="B2848" i="4"/>
  <c r="A2848" i="4"/>
  <c r="M2847" i="4"/>
  <c r="L2847" i="4"/>
  <c r="K2847" i="4"/>
  <c r="J2847" i="4"/>
  <c r="I2847" i="4"/>
  <c r="H2847" i="4"/>
  <c r="G2847" i="4"/>
  <c r="E2847" i="4"/>
  <c r="D2847" i="4"/>
  <c r="C2847" i="4"/>
  <c r="B2847" i="4"/>
  <c r="A2847" i="4"/>
  <c r="M2846" i="4"/>
  <c r="L2846" i="4"/>
  <c r="K2846" i="4"/>
  <c r="J2846" i="4"/>
  <c r="I2846" i="4"/>
  <c r="H2846" i="4"/>
  <c r="G2846" i="4"/>
  <c r="F2846" i="4"/>
  <c r="E2846" i="4"/>
  <c r="D2846" i="4"/>
  <c r="C2846" i="4"/>
  <c r="B2846" i="4"/>
  <c r="A2846" i="4"/>
  <c r="M2845" i="4"/>
  <c r="L2845" i="4"/>
  <c r="K2845" i="4"/>
  <c r="J2845" i="4"/>
  <c r="I2845" i="4"/>
  <c r="H2845" i="4"/>
  <c r="G2845" i="4"/>
  <c r="F2845" i="4"/>
  <c r="E2845" i="4"/>
  <c r="D2845" i="4"/>
  <c r="C2845" i="4"/>
  <c r="B2845" i="4"/>
  <c r="A2845" i="4"/>
  <c r="M2844" i="4"/>
  <c r="L2844" i="4"/>
  <c r="K2844" i="4"/>
  <c r="J2844" i="4"/>
  <c r="I2844" i="4"/>
  <c r="H2844" i="4"/>
  <c r="G2844" i="4"/>
  <c r="F2844" i="4"/>
  <c r="E2844" i="4"/>
  <c r="D2844" i="4"/>
  <c r="C2844" i="4"/>
  <c r="B2844" i="4"/>
  <c r="A2844" i="4"/>
  <c r="M2843" i="4"/>
  <c r="L2843" i="4"/>
  <c r="K2843" i="4"/>
  <c r="J2843" i="4"/>
  <c r="I2843" i="4"/>
  <c r="H2843" i="4"/>
  <c r="G2843" i="4"/>
  <c r="F2843" i="4"/>
  <c r="E2843" i="4"/>
  <c r="D2843" i="4"/>
  <c r="C2843" i="4"/>
  <c r="B2843" i="4"/>
  <c r="A2843" i="4"/>
  <c r="M2842" i="4"/>
  <c r="L2842" i="4"/>
  <c r="K2842" i="4"/>
  <c r="J2842" i="4"/>
  <c r="I2842" i="4"/>
  <c r="H2842" i="4"/>
  <c r="G2842" i="4"/>
  <c r="F2842" i="4"/>
  <c r="E2842" i="4"/>
  <c r="D2842" i="4"/>
  <c r="C2842" i="4"/>
  <c r="B2842" i="4"/>
  <c r="A2842" i="4"/>
  <c r="M2841" i="4"/>
  <c r="L2841" i="4"/>
  <c r="K2841" i="4"/>
  <c r="J2841" i="4"/>
  <c r="I2841" i="4"/>
  <c r="H2841" i="4"/>
  <c r="G2841" i="4"/>
  <c r="F2841" i="4"/>
  <c r="E2841" i="4"/>
  <c r="D2841" i="4"/>
  <c r="C2841" i="4"/>
  <c r="B2841" i="4"/>
  <c r="A2841" i="4"/>
  <c r="M2840" i="4"/>
  <c r="L2840" i="4"/>
  <c r="K2840" i="4"/>
  <c r="J2840" i="4"/>
  <c r="I2840" i="4"/>
  <c r="H2840" i="4"/>
  <c r="G2840" i="4"/>
  <c r="F2840" i="4"/>
  <c r="E2840" i="4"/>
  <c r="D2840" i="4"/>
  <c r="C2840" i="4"/>
  <c r="B2840" i="4"/>
  <c r="A2840" i="4"/>
  <c r="M2839" i="4"/>
  <c r="L2839" i="4"/>
  <c r="K2839" i="4"/>
  <c r="J2839" i="4"/>
  <c r="I2839" i="4"/>
  <c r="H2839" i="4"/>
  <c r="G2839" i="4"/>
  <c r="F2839" i="4"/>
  <c r="D2839" i="4"/>
  <c r="C2839" i="4"/>
  <c r="B2839" i="4"/>
  <c r="A2839" i="4"/>
  <c r="M2838" i="4"/>
  <c r="L2838" i="4"/>
  <c r="K2838" i="4"/>
  <c r="J2838" i="4"/>
  <c r="I2838" i="4"/>
  <c r="H2838" i="4"/>
  <c r="G2838" i="4"/>
  <c r="F2838" i="4"/>
  <c r="E2838" i="4"/>
  <c r="D2838" i="4"/>
  <c r="C2838" i="4"/>
  <c r="B2838" i="4"/>
  <c r="A2838" i="4"/>
  <c r="M2837" i="4"/>
  <c r="L2837" i="4"/>
  <c r="K2837" i="4"/>
  <c r="J2837" i="4"/>
  <c r="I2837" i="4"/>
  <c r="H2837" i="4"/>
  <c r="G2837" i="4"/>
  <c r="F2837" i="4"/>
  <c r="E2837" i="4"/>
  <c r="D2837" i="4"/>
  <c r="C2837" i="4"/>
  <c r="B2837" i="4"/>
  <c r="A2837" i="4"/>
  <c r="M2836" i="4"/>
  <c r="L2836" i="4"/>
  <c r="K2836" i="4"/>
  <c r="J2836" i="4"/>
  <c r="I2836" i="4"/>
  <c r="H2836" i="4"/>
  <c r="G2836" i="4"/>
  <c r="F2836" i="4"/>
  <c r="E2836" i="4"/>
  <c r="D2836" i="4"/>
  <c r="C2836" i="4"/>
  <c r="B2836" i="4"/>
  <c r="A2836" i="4"/>
  <c r="M2835" i="4"/>
  <c r="L2835" i="4"/>
  <c r="K2835" i="4"/>
  <c r="J2835" i="4"/>
  <c r="I2835" i="4"/>
  <c r="H2835" i="4"/>
  <c r="G2835" i="4"/>
  <c r="F2835" i="4"/>
  <c r="E2835" i="4"/>
  <c r="D2835" i="4"/>
  <c r="C2835" i="4"/>
  <c r="B2835" i="4"/>
  <c r="A2835" i="4"/>
  <c r="M2834" i="4"/>
  <c r="L2834" i="4"/>
  <c r="K2834" i="4"/>
  <c r="J2834" i="4"/>
  <c r="I2834" i="4"/>
  <c r="H2834" i="4"/>
  <c r="G2834" i="4"/>
  <c r="F2834" i="4"/>
  <c r="E2834" i="4"/>
  <c r="D2834" i="4"/>
  <c r="C2834" i="4"/>
  <c r="B2834" i="4"/>
  <c r="A2834" i="4"/>
  <c r="M2833" i="4"/>
  <c r="L2833" i="4"/>
  <c r="K2833" i="4"/>
  <c r="J2833" i="4"/>
  <c r="I2833" i="4"/>
  <c r="H2833" i="4"/>
  <c r="G2833" i="4"/>
  <c r="F2833" i="4"/>
  <c r="E2833" i="4"/>
  <c r="D2833" i="4"/>
  <c r="C2833" i="4"/>
  <c r="B2833" i="4"/>
  <c r="A2833" i="4"/>
  <c r="M2832" i="4"/>
  <c r="L2832" i="4"/>
  <c r="K2832" i="4"/>
  <c r="J2832" i="4"/>
  <c r="I2832" i="4"/>
  <c r="H2832" i="4"/>
  <c r="G2832" i="4"/>
  <c r="F2832" i="4"/>
  <c r="E2832" i="4"/>
  <c r="D2832" i="4"/>
  <c r="C2832" i="4"/>
  <c r="B2832" i="4"/>
  <c r="A2832" i="4"/>
  <c r="M2831" i="4"/>
  <c r="L2831" i="4"/>
  <c r="K2831" i="4"/>
  <c r="J2831" i="4"/>
  <c r="I2831" i="4"/>
  <c r="H2831" i="4"/>
  <c r="G2831" i="4"/>
  <c r="F2831" i="4"/>
  <c r="E2831" i="4"/>
  <c r="D2831" i="4"/>
  <c r="C2831" i="4"/>
  <c r="B2831" i="4"/>
  <c r="A2831" i="4"/>
  <c r="M2830" i="4"/>
  <c r="L2830" i="4"/>
  <c r="K2830" i="4"/>
  <c r="J2830" i="4"/>
  <c r="I2830" i="4"/>
  <c r="H2830" i="4"/>
  <c r="G2830" i="4"/>
  <c r="F2830" i="4"/>
  <c r="E2830" i="4"/>
  <c r="D2830" i="4"/>
  <c r="C2830" i="4"/>
  <c r="B2830" i="4"/>
  <c r="A2830" i="4"/>
  <c r="M2829" i="4"/>
  <c r="L2829" i="4"/>
  <c r="K2829" i="4"/>
  <c r="J2829" i="4"/>
  <c r="I2829" i="4"/>
  <c r="H2829" i="4"/>
  <c r="G2829" i="4"/>
  <c r="F2829" i="4"/>
  <c r="E2829" i="4"/>
  <c r="D2829" i="4"/>
  <c r="C2829" i="4"/>
  <c r="B2829" i="4"/>
  <c r="A2829" i="4"/>
  <c r="M2828" i="4"/>
  <c r="L2828" i="4"/>
  <c r="K2828" i="4"/>
  <c r="J2828" i="4"/>
  <c r="I2828" i="4"/>
  <c r="H2828" i="4"/>
  <c r="G2828" i="4"/>
  <c r="F2828" i="4"/>
  <c r="E2828" i="4"/>
  <c r="D2828" i="4"/>
  <c r="C2828" i="4"/>
  <c r="B2828" i="4"/>
  <c r="A2828" i="4"/>
  <c r="M2827" i="4"/>
  <c r="L2827" i="4"/>
  <c r="K2827" i="4"/>
  <c r="J2827" i="4"/>
  <c r="I2827" i="4"/>
  <c r="H2827" i="4"/>
  <c r="G2827" i="4"/>
  <c r="F2827" i="4"/>
  <c r="E2827" i="4"/>
  <c r="D2827" i="4"/>
  <c r="C2827" i="4"/>
  <c r="B2827" i="4"/>
  <c r="A2827" i="4"/>
  <c r="M2826" i="4"/>
  <c r="L2826" i="4"/>
  <c r="K2826" i="4"/>
  <c r="J2826" i="4"/>
  <c r="I2826" i="4"/>
  <c r="H2826" i="4"/>
  <c r="G2826" i="4"/>
  <c r="F2826" i="4"/>
  <c r="E2826" i="4"/>
  <c r="D2826" i="4"/>
  <c r="C2826" i="4"/>
  <c r="B2826" i="4"/>
  <c r="A2826" i="4"/>
  <c r="M2825" i="4"/>
  <c r="L2825" i="4"/>
  <c r="K2825" i="4"/>
  <c r="J2825" i="4"/>
  <c r="I2825" i="4"/>
  <c r="H2825" i="4"/>
  <c r="G2825" i="4"/>
  <c r="F2825" i="4"/>
  <c r="E2825" i="4"/>
  <c r="D2825" i="4"/>
  <c r="C2825" i="4"/>
  <c r="B2825" i="4"/>
  <c r="A2825" i="4"/>
  <c r="M2824" i="4"/>
  <c r="L2824" i="4"/>
  <c r="K2824" i="4"/>
  <c r="J2824" i="4"/>
  <c r="I2824" i="4"/>
  <c r="H2824" i="4"/>
  <c r="G2824" i="4"/>
  <c r="F2824" i="4"/>
  <c r="E2824" i="4"/>
  <c r="D2824" i="4"/>
  <c r="C2824" i="4"/>
  <c r="B2824" i="4"/>
  <c r="A2824" i="4"/>
  <c r="M2823" i="4"/>
  <c r="L2823" i="4"/>
  <c r="K2823" i="4"/>
  <c r="J2823" i="4"/>
  <c r="I2823" i="4"/>
  <c r="H2823" i="4"/>
  <c r="G2823" i="4"/>
  <c r="F2823" i="4"/>
  <c r="E2823" i="4"/>
  <c r="D2823" i="4"/>
  <c r="C2823" i="4"/>
  <c r="B2823" i="4"/>
  <c r="A2823" i="4"/>
  <c r="M2822" i="4"/>
  <c r="L2822" i="4"/>
  <c r="K2822" i="4"/>
  <c r="J2822" i="4"/>
  <c r="I2822" i="4"/>
  <c r="H2822" i="4"/>
  <c r="G2822" i="4"/>
  <c r="F2822" i="4"/>
  <c r="E2822" i="4"/>
  <c r="D2822" i="4"/>
  <c r="C2822" i="4"/>
  <c r="B2822" i="4"/>
  <c r="A2822" i="4"/>
  <c r="M2821" i="4"/>
  <c r="L2821" i="4"/>
  <c r="K2821" i="4"/>
  <c r="J2821" i="4"/>
  <c r="I2821" i="4"/>
  <c r="H2821" i="4"/>
  <c r="G2821" i="4"/>
  <c r="F2821" i="4"/>
  <c r="E2821" i="4"/>
  <c r="D2821" i="4"/>
  <c r="C2821" i="4"/>
  <c r="B2821" i="4"/>
  <c r="A2821" i="4"/>
  <c r="M2820" i="4"/>
  <c r="L2820" i="4"/>
  <c r="K2820" i="4"/>
  <c r="J2820" i="4"/>
  <c r="I2820" i="4"/>
  <c r="H2820" i="4"/>
  <c r="G2820" i="4"/>
  <c r="F2820" i="4"/>
  <c r="E2820" i="4"/>
  <c r="D2820" i="4"/>
  <c r="C2820" i="4"/>
  <c r="B2820" i="4"/>
  <c r="A2820" i="4"/>
  <c r="M2819" i="4"/>
  <c r="L2819" i="4"/>
  <c r="K2819" i="4"/>
  <c r="J2819" i="4"/>
  <c r="I2819" i="4"/>
  <c r="H2819" i="4"/>
  <c r="G2819" i="4"/>
  <c r="F2819" i="4"/>
  <c r="E2819" i="4"/>
  <c r="D2819" i="4"/>
  <c r="C2819" i="4"/>
  <c r="B2819" i="4"/>
  <c r="A2819" i="4"/>
  <c r="M2818" i="4"/>
  <c r="L2818" i="4"/>
  <c r="K2818" i="4"/>
  <c r="J2818" i="4"/>
  <c r="I2818" i="4"/>
  <c r="H2818" i="4"/>
  <c r="G2818" i="4"/>
  <c r="F2818" i="4"/>
  <c r="E2818" i="4"/>
  <c r="D2818" i="4"/>
  <c r="C2818" i="4"/>
  <c r="B2818" i="4"/>
  <c r="A2818" i="4"/>
  <c r="M2817" i="4"/>
  <c r="L2817" i="4"/>
  <c r="K2817" i="4"/>
  <c r="J2817" i="4"/>
  <c r="I2817" i="4"/>
  <c r="H2817" i="4"/>
  <c r="G2817" i="4"/>
  <c r="F2817" i="4"/>
  <c r="E2817" i="4"/>
  <c r="D2817" i="4"/>
  <c r="C2817" i="4"/>
  <c r="B2817" i="4"/>
  <c r="A2817" i="4"/>
  <c r="M2816" i="4"/>
  <c r="L2816" i="4"/>
  <c r="K2816" i="4"/>
  <c r="J2816" i="4"/>
  <c r="I2816" i="4"/>
  <c r="H2816" i="4"/>
  <c r="G2816" i="4"/>
  <c r="F2816" i="4"/>
  <c r="E2816" i="4"/>
  <c r="D2816" i="4"/>
  <c r="C2816" i="4"/>
  <c r="B2816" i="4"/>
  <c r="A2816" i="4"/>
  <c r="M2815" i="4"/>
  <c r="L2815" i="4"/>
  <c r="K2815" i="4"/>
  <c r="J2815" i="4"/>
  <c r="I2815" i="4"/>
  <c r="H2815" i="4"/>
  <c r="G2815" i="4"/>
  <c r="F2815" i="4"/>
  <c r="E2815" i="4"/>
  <c r="D2815" i="4"/>
  <c r="B2815" i="4"/>
  <c r="A2815" i="4"/>
  <c r="M2814" i="4"/>
  <c r="L2814" i="4"/>
  <c r="K2814" i="4"/>
  <c r="J2814" i="4"/>
  <c r="I2814" i="4"/>
  <c r="H2814" i="4"/>
  <c r="G2814" i="4"/>
  <c r="F2814" i="4"/>
  <c r="E2814" i="4"/>
  <c r="D2814" i="4"/>
  <c r="C2814" i="4"/>
  <c r="B2814" i="4"/>
  <c r="A2814" i="4"/>
  <c r="M2813" i="4"/>
  <c r="L2813" i="4"/>
  <c r="K2813" i="4"/>
  <c r="J2813" i="4"/>
  <c r="I2813" i="4"/>
  <c r="H2813" i="4"/>
  <c r="G2813" i="4"/>
  <c r="F2813" i="4"/>
  <c r="E2813" i="4"/>
  <c r="D2813" i="4"/>
  <c r="C2813" i="4"/>
  <c r="B2813" i="4"/>
  <c r="A2813" i="4"/>
  <c r="M2812" i="4"/>
  <c r="L2812" i="4"/>
  <c r="K2812" i="4"/>
  <c r="J2812" i="4"/>
  <c r="I2812" i="4"/>
  <c r="H2812" i="4"/>
  <c r="G2812" i="4"/>
  <c r="F2812" i="4"/>
  <c r="E2812" i="4"/>
  <c r="D2812" i="4"/>
  <c r="C2812" i="4"/>
  <c r="B2812" i="4"/>
  <c r="A2812" i="4"/>
  <c r="M2811" i="4"/>
  <c r="L2811" i="4"/>
  <c r="K2811" i="4"/>
  <c r="J2811" i="4"/>
  <c r="I2811" i="4"/>
  <c r="H2811" i="4"/>
  <c r="G2811" i="4"/>
  <c r="F2811" i="4"/>
  <c r="E2811" i="4"/>
  <c r="D2811" i="4"/>
  <c r="C2811" i="4"/>
  <c r="B2811" i="4"/>
  <c r="A2811" i="4"/>
  <c r="M2810" i="4"/>
  <c r="L2810" i="4"/>
  <c r="K2810" i="4"/>
  <c r="J2810" i="4"/>
  <c r="I2810" i="4"/>
  <c r="H2810" i="4"/>
  <c r="G2810" i="4"/>
  <c r="F2810" i="4"/>
  <c r="E2810" i="4"/>
  <c r="D2810" i="4"/>
  <c r="C2810" i="4"/>
  <c r="B2810" i="4"/>
  <c r="A2810" i="4"/>
  <c r="M2809" i="4"/>
  <c r="L2809" i="4"/>
  <c r="K2809" i="4"/>
  <c r="J2809" i="4"/>
  <c r="I2809" i="4"/>
  <c r="H2809" i="4"/>
  <c r="G2809" i="4"/>
  <c r="F2809" i="4"/>
  <c r="E2809" i="4"/>
  <c r="D2809" i="4"/>
  <c r="C2809" i="4"/>
  <c r="B2809" i="4"/>
  <c r="A2809" i="4"/>
  <c r="M2808" i="4"/>
  <c r="L2808" i="4"/>
  <c r="K2808" i="4"/>
  <c r="J2808" i="4"/>
  <c r="I2808" i="4"/>
  <c r="H2808" i="4"/>
  <c r="G2808" i="4"/>
  <c r="F2808" i="4"/>
  <c r="E2808" i="4"/>
  <c r="D2808" i="4"/>
  <c r="C2808" i="4"/>
  <c r="B2808" i="4"/>
  <c r="A2808" i="4"/>
  <c r="M2807" i="4"/>
  <c r="L2807" i="4"/>
  <c r="K2807" i="4"/>
  <c r="J2807" i="4"/>
  <c r="I2807" i="4"/>
  <c r="H2807" i="4"/>
  <c r="G2807" i="4"/>
  <c r="F2807" i="4"/>
  <c r="E2807" i="4"/>
  <c r="D2807" i="4"/>
  <c r="C2807" i="4"/>
  <c r="B2807" i="4"/>
  <c r="A2807" i="4"/>
  <c r="M2806" i="4"/>
  <c r="L2806" i="4"/>
  <c r="K2806" i="4"/>
  <c r="J2806" i="4"/>
  <c r="I2806" i="4"/>
  <c r="H2806" i="4"/>
  <c r="G2806" i="4"/>
  <c r="F2806" i="4"/>
  <c r="E2806" i="4"/>
  <c r="D2806" i="4"/>
  <c r="C2806" i="4"/>
  <c r="B2806" i="4"/>
  <c r="A2806" i="4"/>
  <c r="M2805" i="4"/>
  <c r="L2805" i="4"/>
  <c r="K2805" i="4"/>
  <c r="J2805" i="4"/>
  <c r="I2805" i="4"/>
  <c r="H2805" i="4"/>
  <c r="G2805" i="4"/>
  <c r="F2805" i="4"/>
  <c r="E2805" i="4"/>
  <c r="D2805" i="4"/>
  <c r="C2805" i="4"/>
  <c r="B2805" i="4"/>
  <c r="A2805" i="4"/>
  <c r="M2804" i="4"/>
  <c r="L2804" i="4"/>
  <c r="K2804" i="4"/>
  <c r="J2804" i="4"/>
  <c r="I2804" i="4"/>
  <c r="H2804" i="4"/>
  <c r="G2804" i="4"/>
  <c r="F2804" i="4"/>
  <c r="E2804" i="4"/>
  <c r="D2804" i="4"/>
  <c r="C2804" i="4"/>
  <c r="B2804" i="4"/>
  <c r="A2804" i="4"/>
  <c r="M2803" i="4"/>
  <c r="L2803" i="4"/>
  <c r="K2803" i="4"/>
  <c r="J2803" i="4"/>
  <c r="I2803" i="4"/>
  <c r="H2803" i="4"/>
  <c r="G2803" i="4"/>
  <c r="F2803" i="4"/>
  <c r="E2803" i="4"/>
  <c r="D2803" i="4"/>
  <c r="C2803" i="4"/>
  <c r="B2803" i="4"/>
  <c r="A2803" i="4"/>
  <c r="M2802" i="4"/>
  <c r="L2802" i="4"/>
  <c r="K2802" i="4"/>
  <c r="J2802" i="4"/>
  <c r="I2802" i="4"/>
  <c r="H2802" i="4"/>
  <c r="G2802" i="4"/>
  <c r="F2802" i="4"/>
  <c r="E2802" i="4"/>
  <c r="D2802" i="4"/>
  <c r="C2802" i="4"/>
  <c r="B2802" i="4"/>
  <c r="A2802" i="4"/>
  <c r="M2801" i="4"/>
  <c r="L2801" i="4"/>
  <c r="K2801" i="4"/>
  <c r="J2801" i="4"/>
  <c r="I2801" i="4"/>
  <c r="H2801" i="4"/>
  <c r="G2801" i="4"/>
  <c r="F2801" i="4"/>
  <c r="E2801" i="4"/>
  <c r="D2801" i="4"/>
  <c r="C2801" i="4"/>
  <c r="B2801" i="4"/>
  <c r="A2801" i="4"/>
  <c r="M2800" i="4"/>
  <c r="L2800" i="4"/>
  <c r="K2800" i="4"/>
  <c r="J2800" i="4"/>
  <c r="I2800" i="4"/>
  <c r="H2800" i="4"/>
  <c r="G2800" i="4"/>
  <c r="F2800" i="4"/>
  <c r="E2800" i="4"/>
  <c r="D2800" i="4"/>
  <c r="C2800" i="4"/>
  <c r="B2800" i="4"/>
  <c r="A2800" i="4"/>
  <c r="M2799" i="4"/>
  <c r="L2799" i="4"/>
  <c r="K2799" i="4"/>
  <c r="J2799" i="4"/>
  <c r="I2799" i="4"/>
  <c r="H2799" i="4"/>
  <c r="G2799" i="4"/>
  <c r="F2799" i="4"/>
  <c r="E2799" i="4"/>
  <c r="D2799" i="4"/>
  <c r="C2799" i="4"/>
  <c r="B2799" i="4"/>
  <c r="A2799" i="4"/>
  <c r="M2798" i="4"/>
  <c r="L2798" i="4"/>
  <c r="K2798" i="4"/>
  <c r="J2798" i="4"/>
  <c r="I2798" i="4"/>
  <c r="H2798" i="4"/>
  <c r="G2798" i="4"/>
  <c r="F2798" i="4"/>
  <c r="E2798" i="4"/>
  <c r="D2798" i="4"/>
  <c r="C2798" i="4"/>
  <c r="B2798" i="4"/>
  <c r="A2798" i="4"/>
  <c r="M2797" i="4"/>
  <c r="L2797" i="4"/>
  <c r="K2797" i="4"/>
  <c r="J2797" i="4"/>
  <c r="I2797" i="4"/>
  <c r="H2797" i="4"/>
  <c r="G2797" i="4"/>
  <c r="F2797" i="4"/>
  <c r="E2797" i="4"/>
  <c r="D2797" i="4"/>
  <c r="C2797" i="4"/>
  <c r="B2797" i="4"/>
  <c r="A2797" i="4"/>
  <c r="M2796" i="4"/>
  <c r="L2796" i="4"/>
  <c r="K2796" i="4"/>
  <c r="J2796" i="4"/>
  <c r="I2796" i="4"/>
  <c r="H2796" i="4"/>
  <c r="G2796" i="4"/>
  <c r="F2796" i="4"/>
  <c r="E2796" i="4"/>
  <c r="D2796" i="4"/>
  <c r="C2796" i="4"/>
  <c r="B2796" i="4"/>
  <c r="A2796" i="4"/>
  <c r="M2795" i="4"/>
  <c r="L2795" i="4"/>
  <c r="K2795" i="4"/>
  <c r="J2795" i="4"/>
  <c r="I2795" i="4"/>
  <c r="H2795" i="4"/>
  <c r="G2795" i="4"/>
  <c r="F2795" i="4"/>
  <c r="E2795" i="4"/>
  <c r="D2795" i="4"/>
  <c r="C2795" i="4"/>
  <c r="B2795" i="4"/>
  <c r="A2795" i="4"/>
  <c r="M2794" i="4"/>
  <c r="L2794" i="4"/>
  <c r="K2794" i="4"/>
  <c r="J2794" i="4"/>
  <c r="I2794" i="4"/>
  <c r="H2794" i="4"/>
  <c r="G2794" i="4"/>
  <c r="F2794" i="4"/>
  <c r="E2794" i="4"/>
  <c r="D2794" i="4"/>
  <c r="C2794" i="4"/>
  <c r="B2794" i="4"/>
  <c r="A2794" i="4"/>
  <c r="M2793" i="4"/>
  <c r="L2793" i="4"/>
  <c r="K2793" i="4"/>
  <c r="J2793" i="4"/>
  <c r="I2793" i="4"/>
  <c r="H2793" i="4"/>
  <c r="G2793" i="4"/>
  <c r="F2793" i="4"/>
  <c r="E2793" i="4"/>
  <c r="D2793" i="4"/>
  <c r="C2793" i="4"/>
  <c r="B2793" i="4"/>
  <c r="A2793" i="4"/>
  <c r="M2792" i="4"/>
  <c r="L2792" i="4"/>
  <c r="K2792" i="4"/>
  <c r="J2792" i="4"/>
  <c r="I2792" i="4"/>
  <c r="H2792" i="4"/>
  <c r="G2792" i="4"/>
  <c r="F2792" i="4"/>
  <c r="E2792" i="4"/>
  <c r="D2792" i="4"/>
  <c r="C2792" i="4"/>
  <c r="B2792" i="4"/>
  <c r="A2792" i="4"/>
  <c r="M2791" i="4"/>
  <c r="L2791" i="4"/>
  <c r="K2791" i="4"/>
  <c r="J2791" i="4"/>
  <c r="I2791" i="4"/>
  <c r="H2791" i="4"/>
  <c r="G2791" i="4"/>
  <c r="F2791" i="4"/>
  <c r="E2791" i="4"/>
  <c r="D2791" i="4"/>
  <c r="C2791" i="4"/>
  <c r="B2791" i="4"/>
  <c r="A2791" i="4"/>
  <c r="M2790" i="4"/>
  <c r="L2790" i="4"/>
  <c r="K2790" i="4"/>
  <c r="J2790" i="4"/>
  <c r="I2790" i="4"/>
  <c r="H2790" i="4"/>
  <c r="G2790" i="4"/>
  <c r="F2790" i="4"/>
  <c r="E2790" i="4"/>
  <c r="D2790" i="4"/>
  <c r="C2790" i="4"/>
  <c r="B2790" i="4"/>
  <c r="A2790" i="4"/>
  <c r="M2789" i="4"/>
  <c r="L2789" i="4"/>
  <c r="K2789" i="4"/>
  <c r="J2789" i="4"/>
  <c r="I2789" i="4"/>
  <c r="H2789" i="4"/>
  <c r="G2789" i="4"/>
  <c r="F2789" i="4"/>
  <c r="E2789" i="4"/>
  <c r="D2789" i="4"/>
  <c r="C2789" i="4"/>
  <c r="B2789" i="4"/>
  <c r="A2789" i="4"/>
  <c r="M2788" i="4"/>
  <c r="L2788" i="4"/>
  <c r="K2788" i="4"/>
  <c r="J2788" i="4"/>
  <c r="I2788" i="4"/>
  <c r="H2788" i="4"/>
  <c r="G2788" i="4"/>
  <c r="F2788" i="4"/>
  <c r="E2788" i="4"/>
  <c r="D2788" i="4"/>
  <c r="C2788" i="4"/>
  <c r="B2788" i="4"/>
  <c r="A2788" i="4"/>
  <c r="M2787" i="4"/>
  <c r="L2787" i="4"/>
  <c r="K2787" i="4"/>
  <c r="J2787" i="4"/>
  <c r="I2787" i="4"/>
  <c r="H2787" i="4"/>
  <c r="G2787" i="4"/>
  <c r="F2787" i="4"/>
  <c r="E2787" i="4"/>
  <c r="D2787" i="4"/>
  <c r="C2787" i="4"/>
  <c r="B2787" i="4"/>
  <c r="A2787" i="4"/>
  <c r="M2786" i="4"/>
  <c r="L2786" i="4"/>
  <c r="K2786" i="4"/>
  <c r="J2786" i="4"/>
  <c r="I2786" i="4"/>
  <c r="H2786" i="4"/>
  <c r="G2786" i="4"/>
  <c r="F2786" i="4"/>
  <c r="E2786" i="4"/>
  <c r="D2786" i="4"/>
  <c r="C2786" i="4"/>
  <c r="B2786" i="4"/>
  <c r="A2786" i="4"/>
  <c r="M2785" i="4"/>
  <c r="L2785" i="4"/>
  <c r="K2785" i="4"/>
  <c r="J2785" i="4"/>
  <c r="I2785" i="4"/>
  <c r="H2785" i="4"/>
  <c r="G2785" i="4"/>
  <c r="F2785" i="4"/>
  <c r="E2785" i="4"/>
  <c r="D2785" i="4"/>
  <c r="C2785" i="4"/>
  <c r="B2785" i="4"/>
  <c r="A2785" i="4"/>
  <c r="M2784" i="4"/>
  <c r="L2784" i="4"/>
  <c r="K2784" i="4"/>
  <c r="J2784" i="4"/>
  <c r="I2784" i="4"/>
  <c r="H2784" i="4"/>
  <c r="G2784" i="4"/>
  <c r="F2784" i="4"/>
  <c r="E2784" i="4"/>
  <c r="D2784" i="4"/>
  <c r="B2784" i="4"/>
  <c r="A2784" i="4"/>
  <c r="M2783" i="4"/>
  <c r="L2783" i="4"/>
  <c r="K2783" i="4"/>
  <c r="J2783" i="4"/>
  <c r="I2783" i="4"/>
  <c r="H2783" i="4"/>
  <c r="G2783" i="4"/>
  <c r="E2783" i="4"/>
  <c r="D2783" i="4"/>
  <c r="C2783" i="4"/>
  <c r="B2783" i="4"/>
  <c r="A2783" i="4"/>
  <c r="M2782" i="4"/>
  <c r="L2782" i="4"/>
  <c r="K2782" i="4"/>
  <c r="J2782" i="4"/>
  <c r="I2782" i="4"/>
  <c r="H2782" i="4"/>
  <c r="G2782" i="4"/>
  <c r="F2782" i="4"/>
  <c r="E2782" i="4"/>
  <c r="D2782" i="4"/>
  <c r="B2782" i="4"/>
  <c r="A2782" i="4"/>
  <c r="M2781" i="4"/>
  <c r="L2781" i="4"/>
  <c r="K2781" i="4"/>
  <c r="J2781" i="4"/>
  <c r="I2781" i="4"/>
  <c r="H2781" i="4"/>
  <c r="G2781" i="4"/>
  <c r="F2781" i="4"/>
  <c r="E2781" i="4"/>
  <c r="D2781" i="4"/>
  <c r="C2781" i="4"/>
  <c r="B2781" i="4"/>
  <c r="A2781" i="4"/>
  <c r="M2780" i="4"/>
  <c r="L2780" i="4"/>
  <c r="K2780" i="4"/>
  <c r="J2780" i="4"/>
  <c r="I2780" i="4"/>
  <c r="H2780" i="4"/>
  <c r="G2780" i="4"/>
  <c r="F2780" i="4"/>
  <c r="E2780" i="4"/>
  <c r="D2780" i="4"/>
  <c r="C2780" i="4"/>
  <c r="B2780" i="4"/>
  <c r="A2780" i="4"/>
  <c r="M2779" i="4"/>
  <c r="L2779" i="4"/>
  <c r="K2779" i="4"/>
  <c r="J2779" i="4"/>
  <c r="I2779" i="4"/>
  <c r="H2779" i="4"/>
  <c r="G2779" i="4"/>
  <c r="F2779" i="4"/>
  <c r="E2779" i="4"/>
  <c r="D2779" i="4"/>
  <c r="C2779" i="4"/>
  <c r="B2779" i="4"/>
  <c r="A2779" i="4"/>
  <c r="M2778" i="4"/>
  <c r="L2778" i="4"/>
  <c r="K2778" i="4"/>
  <c r="J2778" i="4"/>
  <c r="I2778" i="4"/>
  <c r="H2778" i="4"/>
  <c r="G2778" i="4"/>
  <c r="F2778" i="4"/>
  <c r="E2778" i="4"/>
  <c r="D2778" i="4"/>
  <c r="C2778" i="4"/>
  <c r="B2778" i="4"/>
  <c r="A2778" i="4"/>
  <c r="M2777" i="4"/>
  <c r="L2777" i="4"/>
  <c r="K2777" i="4"/>
  <c r="J2777" i="4"/>
  <c r="I2777" i="4"/>
  <c r="H2777" i="4"/>
  <c r="G2777" i="4"/>
  <c r="F2777" i="4"/>
  <c r="E2777" i="4"/>
  <c r="D2777" i="4"/>
  <c r="C2777" i="4"/>
  <c r="B2777" i="4"/>
  <c r="A2777" i="4"/>
  <c r="M2776" i="4"/>
  <c r="L2776" i="4"/>
  <c r="K2776" i="4"/>
  <c r="J2776" i="4"/>
  <c r="I2776" i="4"/>
  <c r="H2776" i="4"/>
  <c r="G2776" i="4"/>
  <c r="F2776" i="4"/>
  <c r="E2776" i="4"/>
  <c r="D2776" i="4"/>
  <c r="C2776" i="4"/>
  <c r="B2776" i="4"/>
  <c r="A2776" i="4"/>
  <c r="M2775" i="4"/>
  <c r="L2775" i="4"/>
  <c r="K2775" i="4"/>
  <c r="J2775" i="4"/>
  <c r="I2775" i="4"/>
  <c r="H2775" i="4"/>
  <c r="G2775" i="4"/>
  <c r="F2775" i="4"/>
  <c r="E2775" i="4"/>
  <c r="D2775" i="4"/>
  <c r="C2775" i="4"/>
  <c r="B2775" i="4"/>
  <c r="A2775" i="4"/>
  <c r="M2774" i="4"/>
  <c r="L2774" i="4"/>
  <c r="K2774" i="4"/>
  <c r="J2774" i="4"/>
  <c r="I2774" i="4"/>
  <c r="H2774" i="4"/>
  <c r="G2774" i="4"/>
  <c r="F2774" i="4"/>
  <c r="E2774" i="4"/>
  <c r="D2774" i="4"/>
  <c r="C2774" i="4"/>
  <c r="B2774" i="4"/>
  <c r="A2774" i="4"/>
  <c r="M2773" i="4"/>
  <c r="L2773" i="4"/>
  <c r="K2773" i="4"/>
  <c r="J2773" i="4"/>
  <c r="I2773" i="4"/>
  <c r="H2773" i="4"/>
  <c r="G2773" i="4"/>
  <c r="F2773" i="4"/>
  <c r="E2773" i="4"/>
  <c r="D2773" i="4"/>
  <c r="C2773" i="4"/>
  <c r="B2773" i="4"/>
  <c r="A2773" i="4"/>
  <c r="M2772" i="4"/>
  <c r="L2772" i="4"/>
  <c r="K2772" i="4"/>
  <c r="J2772" i="4"/>
  <c r="I2772" i="4"/>
  <c r="H2772" i="4"/>
  <c r="G2772" i="4"/>
  <c r="F2772" i="4"/>
  <c r="D2772" i="4"/>
  <c r="C2772" i="4"/>
  <c r="B2772" i="4"/>
  <c r="A2772" i="4"/>
  <c r="M2771" i="4"/>
  <c r="L2771" i="4"/>
  <c r="K2771" i="4"/>
  <c r="J2771" i="4"/>
  <c r="I2771" i="4"/>
  <c r="H2771" i="4"/>
  <c r="G2771" i="4"/>
  <c r="F2771" i="4"/>
  <c r="E2771" i="4"/>
  <c r="D2771" i="4"/>
  <c r="C2771" i="4"/>
  <c r="B2771" i="4"/>
  <c r="A2771" i="4"/>
  <c r="M2770" i="4"/>
  <c r="L2770" i="4"/>
  <c r="K2770" i="4"/>
  <c r="J2770" i="4"/>
  <c r="I2770" i="4"/>
  <c r="H2770" i="4"/>
  <c r="G2770" i="4"/>
  <c r="F2770" i="4"/>
  <c r="E2770" i="4"/>
  <c r="D2770" i="4"/>
  <c r="C2770" i="4"/>
  <c r="B2770" i="4"/>
  <c r="A2770" i="4"/>
  <c r="M2769" i="4"/>
  <c r="L2769" i="4"/>
  <c r="K2769" i="4"/>
  <c r="J2769" i="4"/>
  <c r="I2769" i="4"/>
  <c r="H2769" i="4"/>
  <c r="G2769" i="4"/>
  <c r="F2769" i="4"/>
  <c r="E2769" i="4"/>
  <c r="D2769" i="4"/>
  <c r="C2769" i="4"/>
  <c r="B2769" i="4"/>
  <c r="A2769" i="4"/>
  <c r="M2768" i="4"/>
  <c r="L2768" i="4"/>
  <c r="K2768" i="4"/>
  <c r="J2768" i="4"/>
  <c r="I2768" i="4"/>
  <c r="H2768" i="4"/>
  <c r="G2768" i="4"/>
  <c r="F2768" i="4"/>
  <c r="E2768" i="4"/>
  <c r="D2768" i="4"/>
  <c r="C2768" i="4"/>
  <c r="B2768" i="4"/>
  <c r="A2768" i="4"/>
  <c r="M2767" i="4"/>
  <c r="L2767" i="4"/>
  <c r="K2767" i="4"/>
  <c r="J2767" i="4"/>
  <c r="I2767" i="4"/>
  <c r="H2767" i="4"/>
  <c r="G2767" i="4"/>
  <c r="F2767" i="4"/>
  <c r="E2767" i="4"/>
  <c r="D2767" i="4"/>
  <c r="C2767" i="4"/>
  <c r="B2767" i="4"/>
  <c r="A2767" i="4"/>
  <c r="M2766" i="4"/>
  <c r="L2766" i="4"/>
  <c r="K2766" i="4"/>
  <c r="J2766" i="4"/>
  <c r="I2766" i="4"/>
  <c r="H2766" i="4"/>
  <c r="G2766" i="4"/>
  <c r="F2766" i="4"/>
  <c r="E2766" i="4"/>
  <c r="D2766" i="4"/>
  <c r="C2766" i="4"/>
  <c r="B2766" i="4"/>
  <c r="A2766" i="4"/>
  <c r="M2765" i="4"/>
  <c r="L2765" i="4"/>
  <c r="K2765" i="4"/>
  <c r="J2765" i="4"/>
  <c r="I2765" i="4"/>
  <c r="H2765" i="4"/>
  <c r="G2765" i="4"/>
  <c r="F2765" i="4"/>
  <c r="E2765" i="4"/>
  <c r="D2765" i="4"/>
  <c r="C2765" i="4"/>
  <c r="B2765" i="4"/>
  <c r="A2765" i="4"/>
  <c r="M2764" i="4"/>
  <c r="L2764" i="4"/>
  <c r="K2764" i="4"/>
  <c r="J2764" i="4"/>
  <c r="I2764" i="4"/>
  <c r="H2764" i="4"/>
  <c r="G2764" i="4"/>
  <c r="F2764" i="4"/>
  <c r="E2764" i="4"/>
  <c r="D2764" i="4"/>
  <c r="C2764" i="4"/>
  <c r="B2764" i="4"/>
  <c r="A2764" i="4"/>
  <c r="M2763" i="4"/>
  <c r="L2763" i="4"/>
  <c r="K2763" i="4"/>
  <c r="J2763" i="4"/>
  <c r="I2763" i="4"/>
  <c r="H2763" i="4"/>
  <c r="G2763" i="4"/>
  <c r="F2763" i="4"/>
  <c r="E2763" i="4"/>
  <c r="D2763" i="4"/>
  <c r="C2763" i="4"/>
  <c r="B2763" i="4"/>
  <c r="A2763" i="4"/>
  <c r="M2762" i="4"/>
  <c r="L2762" i="4"/>
  <c r="K2762" i="4"/>
  <c r="J2762" i="4"/>
  <c r="I2762" i="4"/>
  <c r="H2762" i="4"/>
  <c r="G2762" i="4"/>
  <c r="F2762" i="4"/>
  <c r="E2762" i="4"/>
  <c r="D2762" i="4"/>
  <c r="C2762" i="4"/>
  <c r="B2762" i="4"/>
  <c r="A2762" i="4"/>
  <c r="M2761" i="4"/>
  <c r="L2761" i="4"/>
  <c r="K2761" i="4"/>
  <c r="J2761" i="4"/>
  <c r="I2761" i="4"/>
  <c r="H2761" i="4"/>
  <c r="G2761" i="4"/>
  <c r="F2761" i="4"/>
  <c r="E2761" i="4"/>
  <c r="D2761" i="4"/>
  <c r="C2761" i="4"/>
  <c r="B2761" i="4"/>
  <c r="A2761" i="4"/>
  <c r="M2760" i="4"/>
  <c r="L2760" i="4"/>
  <c r="K2760" i="4"/>
  <c r="J2760" i="4"/>
  <c r="I2760" i="4"/>
  <c r="H2760" i="4"/>
  <c r="G2760" i="4"/>
  <c r="F2760" i="4"/>
  <c r="E2760" i="4"/>
  <c r="D2760" i="4"/>
  <c r="C2760" i="4"/>
  <c r="B2760" i="4"/>
  <c r="A2760" i="4"/>
  <c r="M2759" i="4"/>
  <c r="L2759" i="4"/>
  <c r="K2759" i="4"/>
  <c r="J2759" i="4"/>
  <c r="I2759" i="4"/>
  <c r="H2759" i="4"/>
  <c r="G2759" i="4"/>
  <c r="F2759" i="4"/>
  <c r="E2759" i="4"/>
  <c r="D2759" i="4"/>
  <c r="C2759" i="4"/>
  <c r="B2759" i="4"/>
  <c r="A2759" i="4"/>
  <c r="M2758" i="4"/>
  <c r="L2758" i="4"/>
  <c r="K2758" i="4"/>
  <c r="J2758" i="4"/>
  <c r="I2758" i="4"/>
  <c r="H2758" i="4"/>
  <c r="G2758" i="4"/>
  <c r="F2758" i="4"/>
  <c r="E2758" i="4"/>
  <c r="D2758" i="4"/>
  <c r="C2758" i="4"/>
  <c r="B2758" i="4"/>
  <c r="A2758" i="4"/>
  <c r="M2757" i="4"/>
  <c r="L2757" i="4"/>
  <c r="K2757" i="4"/>
  <c r="J2757" i="4"/>
  <c r="I2757" i="4"/>
  <c r="H2757" i="4"/>
  <c r="G2757" i="4"/>
  <c r="F2757" i="4"/>
  <c r="E2757" i="4"/>
  <c r="D2757" i="4"/>
  <c r="C2757" i="4"/>
  <c r="B2757" i="4"/>
  <c r="A2757" i="4"/>
  <c r="M2756" i="4"/>
  <c r="L2756" i="4"/>
  <c r="K2756" i="4"/>
  <c r="J2756" i="4"/>
  <c r="I2756" i="4"/>
  <c r="H2756" i="4"/>
  <c r="G2756" i="4"/>
  <c r="F2756" i="4"/>
  <c r="E2756" i="4"/>
  <c r="D2756" i="4"/>
  <c r="C2756" i="4"/>
  <c r="B2756" i="4"/>
  <c r="A2756" i="4"/>
  <c r="M2755" i="4"/>
  <c r="L2755" i="4"/>
  <c r="K2755" i="4"/>
  <c r="J2755" i="4"/>
  <c r="I2755" i="4"/>
  <c r="H2755" i="4"/>
  <c r="G2755" i="4"/>
  <c r="F2755" i="4"/>
  <c r="E2755" i="4"/>
  <c r="D2755" i="4"/>
  <c r="C2755" i="4"/>
  <c r="B2755" i="4"/>
  <c r="A2755" i="4"/>
  <c r="M2754" i="4"/>
  <c r="L2754" i="4"/>
  <c r="K2754" i="4"/>
  <c r="J2754" i="4"/>
  <c r="I2754" i="4"/>
  <c r="H2754" i="4"/>
  <c r="G2754" i="4"/>
  <c r="F2754" i="4"/>
  <c r="E2754" i="4"/>
  <c r="D2754" i="4"/>
  <c r="C2754" i="4"/>
  <c r="B2754" i="4"/>
  <c r="A2754" i="4"/>
  <c r="M2753" i="4"/>
  <c r="L2753" i="4"/>
  <c r="K2753" i="4"/>
  <c r="J2753" i="4"/>
  <c r="I2753" i="4"/>
  <c r="H2753" i="4"/>
  <c r="G2753" i="4"/>
  <c r="F2753" i="4"/>
  <c r="E2753" i="4"/>
  <c r="D2753" i="4"/>
  <c r="C2753" i="4"/>
  <c r="B2753" i="4"/>
  <c r="A2753" i="4"/>
  <c r="M2752" i="4"/>
  <c r="L2752" i="4"/>
  <c r="K2752" i="4"/>
  <c r="J2752" i="4"/>
  <c r="I2752" i="4"/>
  <c r="H2752" i="4"/>
  <c r="G2752" i="4"/>
  <c r="F2752" i="4"/>
  <c r="E2752" i="4"/>
  <c r="D2752" i="4"/>
  <c r="C2752" i="4"/>
  <c r="B2752" i="4"/>
  <c r="A2752" i="4"/>
  <c r="M2751" i="4"/>
  <c r="L2751" i="4"/>
  <c r="K2751" i="4"/>
  <c r="J2751" i="4"/>
  <c r="I2751" i="4"/>
  <c r="H2751" i="4"/>
  <c r="G2751" i="4"/>
  <c r="F2751" i="4"/>
  <c r="E2751" i="4"/>
  <c r="D2751" i="4"/>
  <c r="C2751" i="4"/>
  <c r="B2751" i="4"/>
  <c r="A2751" i="4"/>
  <c r="M2750" i="4"/>
  <c r="L2750" i="4"/>
  <c r="K2750" i="4"/>
  <c r="J2750" i="4"/>
  <c r="I2750" i="4"/>
  <c r="H2750" i="4"/>
  <c r="G2750" i="4"/>
  <c r="F2750" i="4"/>
  <c r="E2750" i="4"/>
  <c r="D2750" i="4"/>
  <c r="C2750" i="4"/>
  <c r="B2750" i="4"/>
  <c r="A2750" i="4"/>
  <c r="M2749" i="4"/>
  <c r="L2749" i="4"/>
  <c r="K2749" i="4"/>
  <c r="J2749" i="4"/>
  <c r="I2749" i="4"/>
  <c r="H2749" i="4"/>
  <c r="G2749" i="4"/>
  <c r="F2749" i="4"/>
  <c r="E2749" i="4"/>
  <c r="D2749" i="4"/>
  <c r="C2749" i="4"/>
  <c r="B2749" i="4"/>
  <c r="A2749" i="4"/>
  <c r="M2748" i="4"/>
  <c r="L2748" i="4"/>
  <c r="K2748" i="4"/>
  <c r="J2748" i="4"/>
  <c r="I2748" i="4"/>
  <c r="H2748" i="4"/>
  <c r="G2748" i="4"/>
  <c r="F2748" i="4"/>
  <c r="E2748" i="4"/>
  <c r="D2748" i="4"/>
  <c r="C2748" i="4"/>
  <c r="B2748" i="4"/>
  <c r="A2748" i="4"/>
  <c r="M2747" i="4"/>
  <c r="L2747" i="4"/>
  <c r="K2747" i="4"/>
  <c r="J2747" i="4"/>
  <c r="I2747" i="4"/>
  <c r="H2747" i="4"/>
  <c r="G2747" i="4"/>
  <c r="F2747" i="4"/>
  <c r="E2747" i="4"/>
  <c r="D2747" i="4"/>
  <c r="C2747" i="4"/>
  <c r="B2747" i="4"/>
  <c r="A2747" i="4"/>
  <c r="M2746" i="4"/>
  <c r="L2746" i="4"/>
  <c r="K2746" i="4"/>
  <c r="J2746" i="4"/>
  <c r="I2746" i="4"/>
  <c r="H2746" i="4"/>
  <c r="G2746" i="4"/>
  <c r="F2746" i="4"/>
  <c r="E2746" i="4"/>
  <c r="D2746" i="4"/>
  <c r="C2746" i="4"/>
  <c r="B2746" i="4"/>
  <c r="A2746" i="4"/>
  <c r="M2745" i="4"/>
  <c r="L2745" i="4"/>
  <c r="K2745" i="4"/>
  <c r="J2745" i="4"/>
  <c r="I2745" i="4"/>
  <c r="H2745" i="4"/>
  <c r="G2745" i="4"/>
  <c r="F2745" i="4"/>
  <c r="E2745" i="4"/>
  <c r="D2745" i="4"/>
  <c r="C2745" i="4"/>
  <c r="B2745" i="4"/>
  <c r="A2745" i="4"/>
  <c r="M2744" i="4"/>
  <c r="L2744" i="4"/>
  <c r="K2744" i="4"/>
  <c r="J2744" i="4"/>
  <c r="I2744" i="4"/>
  <c r="H2744" i="4"/>
  <c r="G2744" i="4"/>
  <c r="F2744" i="4"/>
  <c r="E2744" i="4"/>
  <c r="D2744" i="4"/>
  <c r="C2744" i="4"/>
  <c r="B2744" i="4"/>
  <c r="A2744" i="4"/>
  <c r="M2743" i="4"/>
  <c r="L2743" i="4"/>
  <c r="K2743" i="4"/>
  <c r="J2743" i="4"/>
  <c r="I2743" i="4"/>
  <c r="H2743" i="4"/>
  <c r="G2743" i="4"/>
  <c r="F2743" i="4"/>
  <c r="E2743" i="4"/>
  <c r="D2743" i="4"/>
  <c r="C2743" i="4"/>
  <c r="B2743" i="4"/>
  <c r="A2743" i="4"/>
  <c r="M2742" i="4"/>
  <c r="L2742" i="4"/>
  <c r="K2742" i="4"/>
  <c r="J2742" i="4"/>
  <c r="I2742" i="4"/>
  <c r="H2742" i="4"/>
  <c r="G2742" i="4"/>
  <c r="F2742" i="4"/>
  <c r="E2742" i="4"/>
  <c r="D2742" i="4"/>
  <c r="C2742" i="4"/>
  <c r="B2742" i="4"/>
  <c r="A2742" i="4"/>
  <c r="M2741" i="4"/>
  <c r="L2741" i="4"/>
  <c r="K2741" i="4"/>
  <c r="J2741" i="4"/>
  <c r="I2741" i="4"/>
  <c r="H2741" i="4"/>
  <c r="G2741" i="4"/>
  <c r="F2741" i="4"/>
  <c r="E2741" i="4"/>
  <c r="D2741" i="4"/>
  <c r="C2741" i="4"/>
  <c r="B2741" i="4"/>
  <c r="A2741" i="4"/>
  <c r="M2740" i="4"/>
  <c r="L2740" i="4"/>
  <c r="K2740" i="4"/>
  <c r="J2740" i="4"/>
  <c r="I2740" i="4"/>
  <c r="H2740" i="4"/>
  <c r="G2740" i="4"/>
  <c r="E2740" i="4"/>
  <c r="D2740" i="4"/>
  <c r="C2740" i="4"/>
  <c r="B2740" i="4"/>
  <c r="A2740" i="4"/>
  <c r="M2739" i="4"/>
  <c r="L2739" i="4"/>
  <c r="K2739" i="4"/>
  <c r="J2739" i="4"/>
  <c r="I2739" i="4"/>
  <c r="H2739" i="4"/>
  <c r="G2739" i="4"/>
  <c r="F2739" i="4"/>
  <c r="E2739" i="4"/>
  <c r="D2739" i="4"/>
  <c r="C2739" i="4"/>
  <c r="B2739" i="4"/>
  <c r="A2739" i="4"/>
  <c r="M2738" i="4"/>
  <c r="L2738" i="4"/>
  <c r="K2738" i="4"/>
  <c r="J2738" i="4"/>
  <c r="I2738" i="4"/>
  <c r="H2738" i="4"/>
  <c r="G2738" i="4"/>
  <c r="F2738" i="4"/>
  <c r="E2738" i="4"/>
  <c r="D2738" i="4"/>
  <c r="C2738" i="4"/>
  <c r="B2738" i="4"/>
  <c r="A2738" i="4"/>
  <c r="M2737" i="4"/>
  <c r="L2737" i="4"/>
  <c r="K2737" i="4"/>
  <c r="J2737" i="4"/>
  <c r="I2737" i="4"/>
  <c r="H2737" i="4"/>
  <c r="G2737" i="4"/>
  <c r="F2737" i="4"/>
  <c r="E2737" i="4"/>
  <c r="D2737" i="4"/>
  <c r="C2737" i="4"/>
  <c r="B2737" i="4"/>
  <c r="A2737" i="4"/>
  <c r="M2736" i="4"/>
  <c r="L2736" i="4"/>
  <c r="K2736" i="4"/>
  <c r="J2736" i="4"/>
  <c r="I2736" i="4"/>
  <c r="H2736" i="4"/>
  <c r="G2736" i="4"/>
  <c r="F2736" i="4"/>
  <c r="E2736" i="4"/>
  <c r="D2736" i="4"/>
  <c r="C2736" i="4"/>
  <c r="B2736" i="4"/>
  <c r="A2736" i="4"/>
  <c r="M2735" i="4"/>
  <c r="L2735" i="4"/>
  <c r="K2735" i="4"/>
  <c r="J2735" i="4"/>
  <c r="I2735" i="4"/>
  <c r="H2735" i="4"/>
  <c r="G2735" i="4"/>
  <c r="F2735" i="4"/>
  <c r="E2735" i="4"/>
  <c r="D2735" i="4"/>
  <c r="C2735" i="4"/>
  <c r="B2735" i="4"/>
  <c r="A2735" i="4"/>
  <c r="M2734" i="4"/>
  <c r="L2734" i="4"/>
  <c r="K2734" i="4"/>
  <c r="J2734" i="4"/>
  <c r="I2734" i="4"/>
  <c r="H2734" i="4"/>
  <c r="G2734" i="4"/>
  <c r="F2734" i="4"/>
  <c r="E2734" i="4"/>
  <c r="D2734" i="4"/>
  <c r="C2734" i="4"/>
  <c r="B2734" i="4"/>
  <c r="A2734" i="4"/>
  <c r="M2733" i="4"/>
  <c r="L2733" i="4"/>
  <c r="K2733" i="4"/>
  <c r="J2733" i="4"/>
  <c r="I2733" i="4"/>
  <c r="H2733" i="4"/>
  <c r="G2733" i="4"/>
  <c r="F2733" i="4"/>
  <c r="E2733" i="4"/>
  <c r="D2733" i="4"/>
  <c r="C2733" i="4"/>
  <c r="B2733" i="4"/>
  <c r="A2733" i="4"/>
  <c r="M2732" i="4"/>
  <c r="L2732" i="4"/>
  <c r="K2732" i="4"/>
  <c r="J2732" i="4"/>
  <c r="I2732" i="4"/>
  <c r="H2732" i="4"/>
  <c r="G2732" i="4"/>
  <c r="F2732" i="4"/>
  <c r="E2732" i="4"/>
  <c r="D2732" i="4"/>
  <c r="C2732" i="4"/>
  <c r="B2732" i="4"/>
  <c r="A2732" i="4"/>
  <c r="M2731" i="4"/>
  <c r="L2731" i="4"/>
  <c r="K2731" i="4"/>
  <c r="J2731" i="4"/>
  <c r="I2731" i="4"/>
  <c r="H2731" i="4"/>
  <c r="G2731" i="4"/>
  <c r="F2731" i="4"/>
  <c r="E2731" i="4"/>
  <c r="D2731" i="4"/>
  <c r="C2731" i="4"/>
  <c r="B2731" i="4"/>
  <c r="A2731" i="4"/>
  <c r="M2730" i="4"/>
  <c r="L2730" i="4"/>
  <c r="K2730" i="4"/>
  <c r="J2730" i="4"/>
  <c r="I2730" i="4"/>
  <c r="H2730" i="4"/>
  <c r="G2730" i="4"/>
  <c r="F2730" i="4"/>
  <c r="E2730" i="4"/>
  <c r="D2730" i="4"/>
  <c r="C2730" i="4"/>
  <c r="B2730" i="4"/>
  <c r="A2730" i="4"/>
  <c r="M2729" i="4"/>
  <c r="L2729" i="4"/>
  <c r="K2729" i="4"/>
  <c r="J2729" i="4"/>
  <c r="I2729" i="4"/>
  <c r="H2729" i="4"/>
  <c r="G2729" i="4"/>
  <c r="F2729" i="4"/>
  <c r="E2729" i="4"/>
  <c r="D2729" i="4"/>
  <c r="C2729" i="4"/>
  <c r="B2729" i="4"/>
  <c r="A2729" i="4"/>
  <c r="M2728" i="4"/>
  <c r="L2728" i="4"/>
  <c r="K2728" i="4"/>
  <c r="J2728" i="4"/>
  <c r="I2728" i="4"/>
  <c r="H2728" i="4"/>
  <c r="G2728" i="4"/>
  <c r="F2728" i="4"/>
  <c r="E2728" i="4"/>
  <c r="D2728" i="4"/>
  <c r="C2728" i="4"/>
  <c r="B2728" i="4"/>
  <c r="A2728" i="4"/>
  <c r="M2727" i="4"/>
  <c r="L2727" i="4"/>
  <c r="K2727" i="4"/>
  <c r="J2727" i="4"/>
  <c r="I2727" i="4"/>
  <c r="H2727" i="4"/>
  <c r="G2727" i="4"/>
  <c r="F2727" i="4"/>
  <c r="E2727" i="4"/>
  <c r="D2727" i="4"/>
  <c r="C2727" i="4"/>
  <c r="B2727" i="4"/>
  <c r="A2727" i="4"/>
  <c r="M2726" i="4"/>
  <c r="L2726" i="4"/>
  <c r="K2726" i="4"/>
  <c r="J2726" i="4"/>
  <c r="I2726" i="4"/>
  <c r="H2726" i="4"/>
  <c r="G2726" i="4"/>
  <c r="F2726" i="4"/>
  <c r="E2726" i="4"/>
  <c r="D2726" i="4"/>
  <c r="C2726" i="4"/>
  <c r="B2726" i="4"/>
  <c r="A2726" i="4"/>
  <c r="M2725" i="4"/>
  <c r="L2725" i="4"/>
  <c r="K2725" i="4"/>
  <c r="J2725" i="4"/>
  <c r="I2725" i="4"/>
  <c r="H2725" i="4"/>
  <c r="G2725" i="4"/>
  <c r="F2725" i="4"/>
  <c r="E2725" i="4"/>
  <c r="D2725" i="4"/>
  <c r="C2725" i="4"/>
  <c r="B2725" i="4"/>
  <c r="A2725" i="4"/>
  <c r="M2724" i="4"/>
  <c r="L2724" i="4"/>
  <c r="K2724" i="4"/>
  <c r="J2724" i="4"/>
  <c r="I2724" i="4"/>
  <c r="H2724" i="4"/>
  <c r="G2724" i="4"/>
  <c r="F2724" i="4"/>
  <c r="E2724" i="4"/>
  <c r="D2724" i="4"/>
  <c r="C2724" i="4"/>
  <c r="B2724" i="4"/>
  <c r="A2724" i="4"/>
  <c r="M2723" i="4"/>
  <c r="L2723" i="4"/>
  <c r="K2723" i="4"/>
  <c r="J2723" i="4"/>
  <c r="I2723" i="4"/>
  <c r="H2723" i="4"/>
  <c r="G2723" i="4"/>
  <c r="F2723" i="4"/>
  <c r="E2723" i="4"/>
  <c r="D2723" i="4"/>
  <c r="C2723" i="4"/>
  <c r="B2723" i="4"/>
  <c r="A2723" i="4"/>
  <c r="M2722" i="4"/>
  <c r="L2722" i="4"/>
  <c r="K2722" i="4"/>
  <c r="J2722" i="4"/>
  <c r="I2722" i="4"/>
  <c r="H2722" i="4"/>
  <c r="G2722" i="4"/>
  <c r="F2722" i="4"/>
  <c r="E2722" i="4"/>
  <c r="D2722" i="4"/>
  <c r="C2722" i="4"/>
  <c r="B2722" i="4"/>
  <c r="A2722" i="4"/>
  <c r="M2721" i="4"/>
  <c r="L2721" i="4"/>
  <c r="K2721" i="4"/>
  <c r="J2721" i="4"/>
  <c r="I2721" i="4"/>
  <c r="H2721" i="4"/>
  <c r="G2721" i="4"/>
  <c r="F2721" i="4"/>
  <c r="E2721" i="4"/>
  <c r="D2721" i="4"/>
  <c r="C2721" i="4"/>
  <c r="B2721" i="4"/>
  <c r="A2721" i="4"/>
  <c r="M2720" i="4"/>
  <c r="L2720" i="4"/>
  <c r="K2720" i="4"/>
  <c r="J2720" i="4"/>
  <c r="I2720" i="4"/>
  <c r="H2720" i="4"/>
  <c r="G2720" i="4"/>
  <c r="F2720" i="4"/>
  <c r="D2720" i="4"/>
  <c r="C2720" i="4"/>
  <c r="B2720" i="4"/>
  <c r="A2720" i="4"/>
  <c r="M2719" i="4"/>
  <c r="L2719" i="4"/>
  <c r="K2719" i="4"/>
  <c r="J2719" i="4"/>
  <c r="I2719" i="4"/>
  <c r="H2719" i="4"/>
  <c r="G2719" i="4"/>
  <c r="F2719" i="4"/>
  <c r="E2719" i="4"/>
  <c r="D2719" i="4"/>
  <c r="C2719" i="4"/>
  <c r="B2719" i="4"/>
  <c r="A2719" i="4"/>
  <c r="M2718" i="4"/>
  <c r="L2718" i="4"/>
  <c r="K2718" i="4"/>
  <c r="J2718" i="4"/>
  <c r="I2718" i="4"/>
  <c r="H2718" i="4"/>
  <c r="G2718" i="4"/>
  <c r="F2718" i="4"/>
  <c r="E2718" i="4"/>
  <c r="D2718" i="4"/>
  <c r="C2718" i="4"/>
  <c r="B2718" i="4"/>
  <c r="A2718" i="4"/>
  <c r="M2717" i="4"/>
  <c r="L2717" i="4"/>
  <c r="K2717" i="4"/>
  <c r="J2717" i="4"/>
  <c r="I2717" i="4"/>
  <c r="H2717" i="4"/>
  <c r="G2717" i="4"/>
  <c r="F2717" i="4"/>
  <c r="E2717" i="4"/>
  <c r="D2717" i="4"/>
  <c r="C2717" i="4"/>
  <c r="B2717" i="4"/>
  <c r="A2717" i="4"/>
  <c r="M2716" i="4"/>
  <c r="L2716" i="4"/>
  <c r="K2716" i="4"/>
  <c r="J2716" i="4"/>
  <c r="I2716" i="4"/>
  <c r="H2716" i="4"/>
  <c r="G2716" i="4"/>
  <c r="F2716" i="4"/>
  <c r="E2716" i="4"/>
  <c r="D2716" i="4"/>
  <c r="C2716" i="4"/>
  <c r="B2716" i="4"/>
  <c r="A2716" i="4"/>
  <c r="M2715" i="4"/>
  <c r="L2715" i="4"/>
  <c r="K2715" i="4"/>
  <c r="J2715" i="4"/>
  <c r="I2715" i="4"/>
  <c r="H2715" i="4"/>
  <c r="G2715" i="4"/>
  <c r="F2715" i="4"/>
  <c r="E2715" i="4"/>
  <c r="D2715" i="4"/>
  <c r="C2715" i="4"/>
  <c r="B2715" i="4"/>
  <c r="A2715" i="4"/>
  <c r="M2714" i="4"/>
  <c r="L2714" i="4"/>
  <c r="K2714" i="4"/>
  <c r="J2714" i="4"/>
  <c r="I2714" i="4"/>
  <c r="H2714" i="4"/>
  <c r="G2714" i="4"/>
  <c r="F2714" i="4"/>
  <c r="E2714" i="4"/>
  <c r="D2714" i="4"/>
  <c r="C2714" i="4"/>
  <c r="B2714" i="4"/>
  <c r="A2714" i="4"/>
  <c r="M2713" i="4"/>
  <c r="L2713" i="4"/>
  <c r="K2713" i="4"/>
  <c r="J2713" i="4"/>
  <c r="I2713" i="4"/>
  <c r="H2713" i="4"/>
  <c r="G2713" i="4"/>
  <c r="F2713" i="4"/>
  <c r="E2713" i="4"/>
  <c r="D2713" i="4"/>
  <c r="C2713" i="4"/>
  <c r="B2713" i="4"/>
  <c r="A2713" i="4"/>
  <c r="M2712" i="4"/>
  <c r="L2712" i="4"/>
  <c r="K2712" i="4"/>
  <c r="J2712" i="4"/>
  <c r="I2712" i="4"/>
  <c r="H2712" i="4"/>
  <c r="G2712" i="4"/>
  <c r="F2712" i="4"/>
  <c r="E2712" i="4"/>
  <c r="D2712" i="4"/>
  <c r="C2712" i="4"/>
  <c r="B2712" i="4"/>
  <c r="A2712" i="4"/>
  <c r="M2711" i="4"/>
  <c r="L2711" i="4"/>
  <c r="K2711" i="4"/>
  <c r="J2711" i="4"/>
  <c r="I2711" i="4"/>
  <c r="H2711" i="4"/>
  <c r="G2711" i="4"/>
  <c r="F2711" i="4"/>
  <c r="E2711" i="4"/>
  <c r="D2711" i="4"/>
  <c r="C2711" i="4"/>
  <c r="B2711" i="4"/>
  <c r="A2711" i="4"/>
  <c r="M2710" i="4"/>
  <c r="L2710" i="4"/>
  <c r="K2710" i="4"/>
  <c r="J2710" i="4"/>
  <c r="I2710" i="4"/>
  <c r="H2710" i="4"/>
  <c r="G2710" i="4"/>
  <c r="F2710" i="4"/>
  <c r="E2710" i="4"/>
  <c r="D2710" i="4"/>
  <c r="C2710" i="4"/>
  <c r="B2710" i="4"/>
  <c r="A2710" i="4"/>
  <c r="M2709" i="4"/>
  <c r="L2709" i="4"/>
  <c r="K2709" i="4"/>
  <c r="J2709" i="4"/>
  <c r="I2709" i="4"/>
  <c r="H2709" i="4"/>
  <c r="G2709" i="4"/>
  <c r="F2709" i="4"/>
  <c r="E2709" i="4"/>
  <c r="D2709" i="4"/>
  <c r="C2709" i="4"/>
  <c r="B2709" i="4"/>
  <c r="A2709" i="4"/>
  <c r="M2708" i="4"/>
  <c r="L2708" i="4"/>
  <c r="K2708" i="4"/>
  <c r="J2708" i="4"/>
  <c r="I2708" i="4"/>
  <c r="H2708" i="4"/>
  <c r="G2708" i="4"/>
  <c r="F2708" i="4"/>
  <c r="E2708" i="4"/>
  <c r="D2708" i="4"/>
  <c r="C2708" i="4"/>
  <c r="B2708" i="4"/>
  <c r="A2708" i="4"/>
  <c r="M2707" i="4"/>
  <c r="L2707" i="4"/>
  <c r="K2707" i="4"/>
  <c r="J2707" i="4"/>
  <c r="I2707" i="4"/>
  <c r="H2707" i="4"/>
  <c r="G2707" i="4"/>
  <c r="F2707" i="4"/>
  <c r="E2707" i="4"/>
  <c r="D2707" i="4"/>
  <c r="C2707" i="4"/>
  <c r="B2707" i="4"/>
  <c r="A2707" i="4"/>
  <c r="M2706" i="4"/>
  <c r="L2706" i="4"/>
  <c r="K2706" i="4"/>
  <c r="J2706" i="4"/>
  <c r="I2706" i="4"/>
  <c r="H2706" i="4"/>
  <c r="G2706" i="4"/>
  <c r="F2706" i="4"/>
  <c r="E2706" i="4"/>
  <c r="D2706" i="4"/>
  <c r="C2706" i="4"/>
  <c r="B2706" i="4"/>
  <c r="A2706" i="4"/>
  <c r="M2705" i="4"/>
  <c r="L2705" i="4"/>
  <c r="K2705" i="4"/>
  <c r="J2705" i="4"/>
  <c r="I2705" i="4"/>
  <c r="H2705" i="4"/>
  <c r="G2705" i="4"/>
  <c r="F2705" i="4"/>
  <c r="E2705" i="4"/>
  <c r="D2705" i="4"/>
  <c r="C2705" i="4"/>
  <c r="B2705" i="4"/>
  <c r="A2705" i="4"/>
  <c r="M2704" i="4"/>
  <c r="L2704" i="4"/>
  <c r="K2704" i="4"/>
  <c r="J2704" i="4"/>
  <c r="I2704" i="4"/>
  <c r="H2704" i="4"/>
  <c r="G2704" i="4"/>
  <c r="F2704" i="4"/>
  <c r="E2704" i="4"/>
  <c r="D2704" i="4"/>
  <c r="C2704" i="4"/>
  <c r="B2704" i="4"/>
  <c r="A2704" i="4"/>
  <c r="M2703" i="4"/>
  <c r="L2703" i="4"/>
  <c r="K2703" i="4"/>
  <c r="J2703" i="4"/>
  <c r="I2703" i="4"/>
  <c r="H2703" i="4"/>
  <c r="G2703" i="4"/>
  <c r="F2703" i="4"/>
  <c r="E2703" i="4"/>
  <c r="D2703" i="4"/>
  <c r="C2703" i="4"/>
  <c r="B2703" i="4"/>
  <c r="A2703" i="4"/>
  <c r="M2702" i="4"/>
  <c r="L2702" i="4"/>
  <c r="K2702" i="4"/>
  <c r="J2702" i="4"/>
  <c r="I2702" i="4"/>
  <c r="H2702" i="4"/>
  <c r="G2702" i="4"/>
  <c r="F2702" i="4"/>
  <c r="E2702" i="4"/>
  <c r="D2702" i="4"/>
  <c r="C2702" i="4"/>
  <c r="B2702" i="4"/>
  <c r="A2702" i="4"/>
  <c r="M2701" i="4"/>
  <c r="L2701" i="4"/>
  <c r="K2701" i="4"/>
  <c r="J2701" i="4"/>
  <c r="I2701" i="4"/>
  <c r="H2701" i="4"/>
  <c r="G2701" i="4"/>
  <c r="F2701" i="4"/>
  <c r="E2701" i="4"/>
  <c r="D2701" i="4"/>
  <c r="C2701" i="4"/>
  <c r="B2701" i="4"/>
  <c r="A2701" i="4"/>
  <c r="M2700" i="4"/>
  <c r="L2700" i="4"/>
  <c r="K2700" i="4"/>
  <c r="J2700" i="4"/>
  <c r="I2700" i="4"/>
  <c r="H2700" i="4"/>
  <c r="G2700" i="4"/>
  <c r="F2700" i="4"/>
  <c r="E2700" i="4"/>
  <c r="D2700" i="4"/>
  <c r="C2700" i="4"/>
  <c r="B2700" i="4"/>
  <c r="A2700" i="4"/>
  <c r="M2699" i="4"/>
  <c r="L2699" i="4"/>
  <c r="K2699" i="4"/>
  <c r="J2699" i="4"/>
  <c r="I2699" i="4"/>
  <c r="H2699" i="4"/>
  <c r="G2699" i="4"/>
  <c r="F2699" i="4"/>
  <c r="E2699" i="4"/>
  <c r="D2699" i="4"/>
  <c r="C2699" i="4"/>
  <c r="B2699" i="4"/>
  <c r="A2699" i="4"/>
  <c r="M2698" i="4"/>
  <c r="L2698" i="4"/>
  <c r="K2698" i="4"/>
  <c r="J2698" i="4"/>
  <c r="I2698" i="4"/>
  <c r="H2698" i="4"/>
  <c r="G2698" i="4"/>
  <c r="F2698" i="4"/>
  <c r="E2698" i="4"/>
  <c r="D2698" i="4"/>
  <c r="C2698" i="4"/>
  <c r="B2698" i="4"/>
  <c r="A2698" i="4"/>
  <c r="M2697" i="4"/>
  <c r="L2697" i="4"/>
  <c r="K2697" i="4"/>
  <c r="J2697" i="4"/>
  <c r="I2697" i="4"/>
  <c r="H2697" i="4"/>
  <c r="G2697" i="4"/>
  <c r="F2697" i="4"/>
  <c r="E2697" i="4"/>
  <c r="D2697" i="4"/>
  <c r="C2697" i="4"/>
  <c r="B2697" i="4"/>
  <c r="A2697" i="4"/>
  <c r="M2696" i="4"/>
  <c r="L2696" i="4"/>
  <c r="K2696" i="4"/>
  <c r="J2696" i="4"/>
  <c r="I2696" i="4"/>
  <c r="H2696" i="4"/>
  <c r="G2696" i="4"/>
  <c r="F2696" i="4"/>
  <c r="E2696" i="4"/>
  <c r="D2696" i="4"/>
  <c r="C2696" i="4"/>
  <c r="B2696" i="4"/>
  <c r="A2696" i="4"/>
  <c r="M2695" i="4"/>
  <c r="L2695" i="4"/>
  <c r="K2695" i="4"/>
  <c r="J2695" i="4"/>
  <c r="I2695" i="4"/>
  <c r="H2695" i="4"/>
  <c r="G2695" i="4"/>
  <c r="F2695" i="4"/>
  <c r="E2695" i="4"/>
  <c r="D2695" i="4"/>
  <c r="C2695" i="4"/>
  <c r="B2695" i="4"/>
  <c r="A2695" i="4"/>
  <c r="M2694" i="4"/>
  <c r="L2694" i="4"/>
  <c r="K2694" i="4"/>
  <c r="J2694" i="4"/>
  <c r="I2694" i="4"/>
  <c r="H2694" i="4"/>
  <c r="G2694" i="4"/>
  <c r="F2694" i="4"/>
  <c r="E2694" i="4"/>
  <c r="D2694" i="4"/>
  <c r="C2694" i="4"/>
  <c r="B2694" i="4"/>
  <c r="A2694" i="4"/>
  <c r="M2693" i="4"/>
  <c r="L2693" i="4"/>
  <c r="K2693" i="4"/>
  <c r="J2693" i="4"/>
  <c r="I2693" i="4"/>
  <c r="H2693" i="4"/>
  <c r="G2693" i="4"/>
  <c r="F2693" i="4"/>
  <c r="E2693" i="4"/>
  <c r="D2693" i="4"/>
  <c r="C2693" i="4"/>
  <c r="B2693" i="4"/>
  <c r="A2693" i="4"/>
  <c r="M2692" i="4"/>
  <c r="L2692" i="4"/>
  <c r="K2692" i="4"/>
  <c r="J2692" i="4"/>
  <c r="I2692" i="4"/>
  <c r="H2692" i="4"/>
  <c r="G2692" i="4"/>
  <c r="F2692" i="4"/>
  <c r="E2692" i="4"/>
  <c r="D2692" i="4"/>
  <c r="C2692" i="4"/>
  <c r="B2692" i="4"/>
  <c r="A2692" i="4"/>
  <c r="M2691" i="4"/>
  <c r="L2691" i="4"/>
  <c r="K2691" i="4"/>
  <c r="J2691" i="4"/>
  <c r="I2691" i="4"/>
  <c r="H2691" i="4"/>
  <c r="G2691" i="4"/>
  <c r="F2691" i="4"/>
  <c r="E2691" i="4"/>
  <c r="D2691" i="4"/>
  <c r="C2691" i="4"/>
  <c r="B2691" i="4"/>
  <c r="A2691" i="4"/>
  <c r="M2690" i="4"/>
  <c r="L2690" i="4"/>
  <c r="K2690" i="4"/>
  <c r="J2690" i="4"/>
  <c r="I2690" i="4"/>
  <c r="H2690" i="4"/>
  <c r="G2690" i="4"/>
  <c r="F2690" i="4"/>
  <c r="E2690" i="4"/>
  <c r="D2690" i="4"/>
  <c r="C2690" i="4"/>
  <c r="B2690" i="4"/>
  <c r="A2690" i="4"/>
  <c r="M2689" i="4"/>
  <c r="L2689" i="4"/>
  <c r="K2689" i="4"/>
  <c r="J2689" i="4"/>
  <c r="I2689" i="4"/>
  <c r="H2689" i="4"/>
  <c r="G2689" i="4"/>
  <c r="F2689" i="4"/>
  <c r="E2689" i="4"/>
  <c r="D2689" i="4"/>
  <c r="C2689" i="4"/>
  <c r="B2689" i="4"/>
  <c r="A2689" i="4"/>
  <c r="M2688" i="4"/>
  <c r="L2688" i="4"/>
  <c r="K2688" i="4"/>
  <c r="J2688" i="4"/>
  <c r="I2688" i="4"/>
  <c r="H2688" i="4"/>
  <c r="G2688" i="4"/>
  <c r="F2688" i="4"/>
  <c r="E2688" i="4"/>
  <c r="D2688" i="4"/>
  <c r="C2688" i="4"/>
  <c r="B2688" i="4"/>
  <c r="A2688" i="4"/>
  <c r="M2687" i="4"/>
  <c r="L2687" i="4"/>
  <c r="K2687" i="4"/>
  <c r="J2687" i="4"/>
  <c r="I2687" i="4"/>
  <c r="H2687" i="4"/>
  <c r="G2687" i="4"/>
  <c r="F2687" i="4"/>
  <c r="E2687" i="4"/>
  <c r="D2687" i="4"/>
  <c r="C2687" i="4"/>
  <c r="B2687" i="4"/>
  <c r="A2687" i="4"/>
  <c r="M2686" i="4"/>
  <c r="L2686" i="4"/>
  <c r="K2686" i="4"/>
  <c r="J2686" i="4"/>
  <c r="I2686" i="4"/>
  <c r="H2686" i="4"/>
  <c r="G2686" i="4"/>
  <c r="F2686" i="4"/>
  <c r="E2686" i="4"/>
  <c r="D2686" i="4"/>
  <c r="C2686" i="4"/>
  <c r="B2686" i="4"/>
  <c r="A2686" i="4"/>
  <c r="M2685" i="4"/>
  <c r="L2685" i="4"/>
  <c r="K2685" i="4"/>
  <c r="J2685" i="4"/>
  <c r="I2685" i="4"/>
  <c r="H2685" i="4"/>
  <c r="G2685" i="4"/>
  <c r="F2685" i="4"/>
  <c r="E2685" i="4"/>
  <c r="D2685" i="4"/>
  <c r="C2685" i="4"/>
  <c r="B2685" i="4"/>
  <c r="A2685" i="4"/>
  <c r="M2684" i="4"/>
  <c r="L2684" i="4"/>
  <c r="K2684" i="4"/>
  <c r="J2684" i="4"/>
  <c r="I2684" i="4"/>
  <c r="H2684" i="4"/>
  <c r="G2684" i="4"/>
  <c r="F2684" i="4"/>
  <c r="E2684" i="4"/>
  <c r="D2684" i="4"/>
  <c r="C2684" i="4"/>
  <c r="B2684" i="4"/>
  <c r="A2684" i="4"/>
  <c r="M2683" i="4"/>
  <c r="L2683" i="4"/>
  <c r="K2683" i="4"/>
  <c r="J2683" i="4"/>
  <c r="I2683" i="4"/>
  <c r="H2683" i="4"/>
  <c r="G2683" i="4"/>
  <c r="F2683" i="4"/>
  <c r="E2683" i="4"/>
  <c r="D2683" i="4"/>
  <c r="C2683" i="4"/>
  <c r="B2683" i="4"/>
  <c r="A2683" i="4"/>
  <c r="M2682" i="4"/>
  <c r="L2682" i="4"/>
  <c r="K2682" i="4"/>
  <c r="J2682" i="4"/>
  <c r="I2682" i="4"/>
  <c r="H2682" i="4"/>
  <c r="G2682" i="4"/>
  <c r="F2682" i="4"/>
  <c r="E2682" i="4"/>
  <c r="D2682" i="4"/>
  <c r="C2682" i="4"/>
  <c r="B2682" i="4"/>
  <c r="A2682" i="4"/>
  <c r="M2681" i="4"/>
  <c r="L2681" i="4"/>
  <c r="K2681" i="4"/>
  <c r="J2681" i="4"/>
  <c r="I2681" i="4"/>
  <c r="H2681" i="4"/>
  <c r="G2681" i="4"/>
  <c r="F2681" i="4"/>
  <c r="E2681" i="4"/>
  <c r="D2681" i="4"/>
  <c r="C2681" i="4"/>
  <c r="B2681" i="4"/>
  <c r="A2681" i="4"/>
  <c r="M2680" i="4"/>
  <c r="L2680" i="4"/>
  <c r="K2680" i="4"/>
  <c r="J2680" i="4"/>
  <c r="I2680" i="4"/>
  <c r="H2680" i="4"/>
  <c r="G2680" i="4"/>
  <c r="F2680" i="4"/>
  <c r="E2680" i="4"/>
  <c r="D2680" i="4"/>
  <c r="C2680" i="4"/>
  <c r="B2680" i="4"/>
  <c r="A2680" i="4"/>
  <c r="M2679" i="4"/>
  <c r="L2679" i="4"/>
  <c r="K2679" i="4"/>
  <c r="J2679" i="4"/>
  <c r="I2679" i="4"/>
  <c r="H2679" i="4"/>
  <c r="G2679" i="4"/>
  <c r="F2679" i="4"/>
  <c r="E2679" i="4"/>
  <c r="D2679" i="4"/>
  <c r="C2679" i="4"/>
  <c r="B2679" i="4"/>
  <c r="A2679" i="4"/>
  <c r="M2678" i="4"/>
  <c r="L2678" i="4"/>
  <c r="K2678" i="4"/>
  <c r="J2678" i="4"/>
  <c r="I2678" i="4"/>
  <c r="H2678" i="4"/>
  <c r="G2678" i="4"/>
  <c r="F2678" i="4"/>
  <c r="E2678" i="4"/>
  <c r="D2678" i="4"/>
  <c r="C2678" i="4"/>
  <c r="B2678" i="4"/>
  <c r="A2678" i="4"/>
  <c r="M2677" i="4"/>
  <c r="L2677" i="4"/>
  <c r="K2677" i="4"/>
  <c r="J2677" i="4"/>
  <c r="I2677" i="4"/>
  <c r="H2677" i="4"/>
  <c r="G2677" i="4"/>
  <c r="F2677" i="4"/>
  <c r="E2677" i="4"/>
  <c r="D2677" i="4"/>
  <c r="C2677" i="4"/>
  <c r="B2677" i="4"/>
  <c r="A2677" i="4"/>
  <c r="M2676" i="4"/>
  <c r="L2676" i="4"/>
  <c r="K2676" i="4"/>
  <c r="J2676" i="4"/>
  <c r="I2676" i="4"/>
  <c r="H2676" i="4"/>
  <c r="G2676" i="4"/>
  <c r="F2676" i="4"/>
  <c r="E2676" i="4"/>
  <c r="D2676" i="4"/>
  <c r="C2676" i="4"/>
  <c r="B2676" i="4"/>
  <c r="A2676" i="4"/>
  <c r="M2675" i="4"/>
  <c r="L2675" i="4"/>
  <c r="K2675" i="4"/>
  <c r="J2675" i="4"/>
  <c r="I2675" i="4"/>
  <c r="H2675" i="4"/>
  <c r="G2675" i="4"/>
  <c r="F2675" i="4"/>
  <c r="E2675" i="4"/>
  <c r="D2675" i="4"/>
  <c r="C2675" i="4"/>
  <c r="B2675" i="4"/>
  <c r="A2675" i="4"/>
  <c r="M2674" i="4"/>
  <c r="L2674" i="4"/>
  <c r="K2674" i="4"/>
  <c r="J2674" i="4"/>
  <c r="I2674" i="4"/>
  <c r="H2674" i="4"/>
  <c r="G2674" i="4"/>
  <c r="F2674" i="4"/>
  <c r="E2674" i="4"/>
  <c r="D2674" i="4"/>
  <c r="C2674" i="4"/>
  <c r="B2674" i="4"/>
  <c r="A2674" i="4"/>
  <c r="M2673" i="4"/>
  <c r="L2673" i="4"/>
  <c r="K2673" i="4"/>
  <c r="J2673" i="4"/>
  <c r="I2673" i="4"/>
  <c r="H2673" i="4"/>
  <c r="G2673" i="4"/>
  <c r="F2673" i="4"/>
  <c r="E2673" i="4"/>
  <c r="D2673" i="4"/>
  <c r="C2673" i="4"/>
  <c r="B2673" i="4"/>
  <c r="A2673" i="4"/>
  <c r="M2672" i="4"/>
  <c r="L2672" i="4"/>
  <c r="K2672" i="4"/>
  <c r="J2672" i="4"/>
  <c r="I2672" i="4"/>
  <c r="H2672" i="4"/>
  <c r="G2672" i="4"/>
  <c r="F2672" i="4"/>
  <c r="E2672" i="4"/>
  <c r="D2672" i="4"/>
  <c r="C2672" i="4"/>
  <c r="B2672" i="4"/>
  <c r="A2672" i="4"/>
  <c r="M2671" i="4"/>
  <c r="L2671" i="4"/>
  <c r="K2671" i="4"/>
  <c r="J2671" i="4"/>
  <c r="I2671" i="4"/>
  <c r="H2671" i="4"/>
  <c r="G2671" i="4"/>
  <c r="F2671" i="4"/>
  <c r="E2671" i="4"/>
  <c r="D2671" i="4"/>
  <c r="C2671" i="4"/>
  <c r="B2671" i="4"/>
  <c r="A2671" i="4"/>
  <c r="M2670" i="4"/>
  <c r="L2670" i="4"/>
  <c r="K2670" i="4"/>
  <c r="J2670" i="4"/>
  <c r="I2670" i="4"/>
  <c r="H2670" i="4"/>
  <c r="G2670" i="4"/>
  <c r="F2670" i="4"/>
  <c r="E2670" i="4"/>
  <c r="D2670" i="4"/>
  <c r="C2670" i="4"/>
  <c r="B2670" i="4"/>
  <c r="A2670" i="4"/>
  <c r="M2669" i="4"/>
  <c r="L2669" i="4"/>
  <c r="K2669" i="4"/>
  <c r="J2669" i="4"/>
  <c r="I2669" i="4"/>
  <c r="H2669" i="4"/>
  <c r="G2669" i="4"/>
  <c r="F2669" i="4"/>
  <c r="E2669" i="4"/>
  <c r="D2669" i="4"/>
  <c r="C2669" i="4"/>
  <c r="B2669" i="4"/>
  <c r="A2669" i="4"/>
  <c r="M2668" i="4"/>
  <c r="L2668" i="4"/>
  <c r="K2668" i="4"/>
  <c r="J2668" i="4"/>
  <c r="I2668" i="4"/>
  <c r="H2668" i="4"/>
  <c r="G2668" i="4"/>
  <c r="F2668" i="4"/>
  <c r="E2668" i="4"/>
  <c r="D2668" i="4"/>
  <c r="C2668" i="4"/>
  <c r="B2668" i="4"/>
  <c r="A2668" i="4"/>
  <c r="M2667" i="4"/>
  <c r="L2667" i="4"/>
  <c r="K2667" i="4"/>
  <c r="J2667" i="4"/>
  <c r="I2667" i="4"/>
  <c r="H2667" i="4"/>
  <c r="G2667" i="4"/>
  <c r="F2667" i="4"/>
  <c r="E2667" i="4"/>
  <c r="D2667" i="4"/>
  <c r="C2667" i="4"/>
  <c r="B2667" i="4"/>
  <c r="A2667" i="4"/>
  <c r="M2666" i="4"/>
  <c r="L2666" i="4"/>
  <c r="K2666" i="4"/>
  <c r="J2666" i="4"/>
  <c r="I2666" i="4"/>
  <c r="H2666" i="4"/>
  <c r="G2666" i="4"/>
  <c r="F2666" i="4"/>
  <c r="E2666" i="4"/>
  <c r="D2666" i="4"/>
  <c r="C2666" i="4"/>
  <c r="B2666" i="4"/>
  <c r="A2666" i="4"/>
  <c r="M2665" i="4"/>
  <c r="L2665" i="4"/>
  <c r="K2665" i="4"/>
  <c r="J2665" i="4"/>
  <c r="I2665" i="4"/>
  <c r="H2665" i="4"/>
  <c r="G2665" i="4"/>
  <c r="F2665" i="4"/>
  <c r="E2665" i="4"/>
  <c r="D2665" i="4"/>
  <c r="C2665" i="4"/>
  <c r="B2665" i="4"/>
  <c r="A2665" i="4"/>
  <c r="M2664" i="4"/>
  <c r="L2664" i="4"/>
  <c r="K2664" i="4"/>
  <c r="J2664" i="4"/>
  <c r="I2664" i="4"/>
  <c r="H2664" i="4"/>
  <c r="G2664" i="4"/>
  <c r="F2664" i="4"/>
  <c r="E2664" i="4"/>
  <c r="D2664" i="4"/>
  <c r="C2664" i="4"/>
  <c r="B2664" i="4"/>
  <c r="A2664" i="4"/>
  <c r="M2663" i="4"/>
  <c r="L2663" i="4"/>
  <c r="K2663" i="4"/>
  <c r="J2663" i="4"/>
  <c r="I2663" i="4"/>
  <c r="H2663" i="4"/>
  <c r="G2663" i="4"/>
  <c r="F2663" i="4"/>
  <c r="E2663" i="4"/>
  <c r="D2663" i="4"/>
  <c r="C2663" i="4"/>
  <c r="B2663" i="4"/>
  <c r="A2663" i="4"/>
  <c r="M2662" i="4"/>
  <c r="L2662" i="4"/>
  <c r="K2662" i="4"/>
  <c r="J2662" i="4"/>
  <c r="I2662" i="4"/>
  <c r="H2662" i="4"/>
  <c r="G2662" i="4"/>
  <c r="F2662" i="4"/>
  <c r="E2662" i="4"/>
  <c r="D2662" i="4"/>
  <c r="C2662" i="4"/>
  <c r="B2662" i="4"/>
  <c r="A2662" i="4"/>
  <c r="M2661" i="4"/>
  <c r="L2661" i="4"/>
  <c r="K2661" i="4"/>
  <c r="J2661" i="4"/>
  <c r="I2661" i="4"/>
  <c r="H2661" i="4"/>
  <c r="G2661" i="4"/>
  <c r="F2661" i="4"/>
  <c r="E2661" i="4"/>
  <c r="D2661" i="4"/>
  <c r="C2661" i="4"/>
  <c r="B2661" i="4"/>
  <c r="A2661" i="4"/>
  <c r="M2660" i="4"/>
  <c r="L2660" i="4"/>
  <c r="K2660" i="4"/>
  <c r="J2660" i="4"/>
  <c r="I2660" i="4"/>
  <c r="H2660" i="4"/>
  <c r="G2660" i="4"/>
  <c r="F2660" i="4"/>
  <c r="E2660" i="4"/>
  <c r="D2660" i="4"/>
  <c r="C2660" i="4"/>
  <c r="B2660" i="4"/>
  <c r="A2660" i="4"/>
  <c r="M2659" i="4"/>
  <c r="L2659" i="4"/>
  <c r="K2659" i="4"/>
  <c r="J2659" i="4"/>
  <c r="I2659" i="4"/>
  <c r="H2659" i="4"/>
  <c r="G2659" i="4"/>
  <c r="F2659" i="4"/>
  <c r="E2659" i="4"/>
  <c r="D2659" i="4"/>
  <c r="C2659" i="4"/>
  <c r="B2659" i="4"/>
  <c r="A2659" i="4"/>
  <c r="M2658" i="4"/>
  <c r="L2658" i="4"/>
  <c r="K2658" i="4"/>
  <c r="J2658" i="4"/>
  <c r="I2658" i="4"/>
  <c r="H2658" i="4"/>
  <c r="G2658" i="4"/>
  <c r="F2658" i="4"/>
  <c r="E2658" i="4"/>
  <c r="D2658" i="4"/>
  <c r="C2658" i="4"/>
  <c r="B2658" i="4"/>
  <c r="A2658" i="4"/>
  <c r="M2657" i="4"/>
  <c r="L2657" i="4"/>
  <c r="K2657" i="4"/>
  <c r="J2657" i="4"/>
  <c r="I2657" i="4"/>
  <c r="H2657" i="4"/>
  <c r="G2657" i="4"/>
  <c r="F2657" i="4"/>
  <c r="E2657" i="4"/>
  <c r="D2657" i="4"/>
  <c r="C2657" i="4"/>
  <c r="B2657" i="4"/>
  <c r="A2657" i="4"/>
  <c r="M2656" i="4"/>
  <c r="L2656" i="4"/>
  <c r="K2656" i="4"/>
  <c r="J2656" i="4"/>
  <c r="I2656" i="4"/>
  <c r="H2656" i="4"/>
  <c r="G2656" i="4"/>
  <c r="F2656" i="4"/>
  <c r="E2656" i="4"/>
  <c r="D2656" i="4"/>
  <c r="C2656" i="4"/>
  <c r="B2656" i="4"/>
  <c r="A2656" i="4"/>
  <c r="M2655" i="4"/>
  <c r="L2655" i="4"/>
  <c r="K2655" i="4"/>
  <c r="J2655" i="4"/>
  <c r="I2655" i="4"/>
  <c r="H2655" i="4"/>
  <c r="G2655" i="4"/>
  <c r="F2655" i="4"/>
  <c r="E2655" i="4"/>
  <c r="D2655" i="4"/>
  <c r="C2655" i="4"/>
  <c r="B2655" i="4"/>
  <c r="A2655" i="4"/>
  <c r="M2654" i="4"/>
  <c r="L2654" i="4"/>
  <c r="K2654" i="4"/>
  <c r="J2654" i="4"/>
  <c r="I2654" i="4"/>
  <c r="H2654" i="4"/>
  <c r="G2654" i="4"/>
  <c r="F2654" i="4"/>
  <c r="E2654" i="4"/>
  <c r="D2654" i="4"/>
  <c r="C2654" i="4"/>
  <c r="B2654" i="4"/>
  <c r="A2654" i="4"/>
  <c r="M2653" i="4"/>
  <c r="L2653" i="4"/>
  <c r="K2653" i="4"/>
  <c r="J2653" i="4"/>
  <c r="I2653" i="4"/>
  <c r="H2653" i="4"/>
  <c r="G2653" i="4"/>
  <c r="F2653" i="4"/>
  <c r="E2653" i="4"/>
  <c r="D2653" i="4"/>
  <c r="C2653" i="4"/>
  <c r="B2653" i="4"/>
  <c r="A2653" i="4"/>
  <c r="M2652" i="4"/>
  <c r="L2652" i="4"/>
  <c r="K2652" i="4"/>
  <c r="J2652" i="4"/>
  <c r="I2652" i="4"/>
  <c r="H2652" i="4"/>
  <c r="G2652" i="4"/>
  <c r="F2652" i="4"/>
  <c r="E2652" i="4"/>
  <c r="D2652" i="4"/>
  <c r="C2652" i="4"/>
  <c r="B2652" i="4"/>
  <c r="A2652" i="4"/>
  <c r="M2651" i="4"/>
  <c r="L2651" i="4"/>
  <c r="K2651" i="4"/>
  <c r="J2651" i="4"/>
  <c r="I2651" i="4"/>
  <c r="H2651" i="4"/>
  <c r="G2651" i="4"/>
  <c r="F2651" i="4"/>
  <c r="E2651" i="4"/>
  <c r="D2651" i="4"/>
  <c r="C2651" i="4"/>
  <c r="B2651" i="4"/>
  <c r="A2651" i="4"/>
  <c r="M2650" i="4"/>
  <c r="L2650" i="4"/>
  <c r="K2650" i="4"/>
  <c r="J2650" i="4"/>
  <c r="I2650" i="4"/>
  <c r="H2650" i="4"/>
  <c r="G2650" i="4"/>
  <c r="F2650" i="4"/>
  <c r="E2650" i="4"/>
  <c r="D2650" i="4"/>
  <c r="C2650" i="4"/>
  <c r="B2650" i="4"/>
  <c r="A2650" i="4"/>
  <c r="M2649" i="4"/>
  <c r="L2649" i="4"/>
  <c r="K2649" i="4"/>
  <c r="J2649" i="4"/>
  <c r="I2649" i="4"/>
  <c r="H2649" i="4"/>
  <c r="G2649" i="4"/>
  <c r="F2649" i="4"/>
  <c r="E2649" i="4"/>
  <c r="D2649" i="4"/>
  <c r="C2649" i="4"/>
  <c r="B2649" i="4"/>
  <c r="A2649" i="4"/>
  <c r="M2648" i="4"/>
  <c r="L2648" i="4"/>
  <c r="K2648" i="4"/>
  <c r="J2648" i="4"/>
  <c r="I2648" i="4"/>
  <c r="H2648" i="4"/>
  <c r="G2648" i="4"/>
  <c r="F2648" i="4"/>
  <c r="E2648" i="4"/>
  <c r="D2648" i="4"/>
  <c r="C2648" i="4"/>
  <c r="B2648" i="4"/>
  <c r="A2648" i="4"/>
  <c r="M2647" i="4"/>
  <c r="L2647" i="4"/>
  <c r="K2647" i="4"/>
  <c r="J2647" i="4"/>
  <c r="I2647" i="4"/>
  <c r="H2647" i="4"/>
  <c r="G2647" i="4"/>
  <c r="F2647" i="4"/>
  <c r="E2647" i="4"/>
  <c r="D2647" i="4"/>
  <c r="C2647" i="4"/>
  <c r="B2647" i="4"/>
  <c r="A2647" i="4"/>
  <c r="M2646" i="4"/>
  <c r="L2646" i="4"/>
  <c r="K2646" i="4"/>
  <c r="J2646" i="4"/>
  <c r="I2646" i="4"/>
  <c r="H2646" i="4"/>
  <c r="G2646" i="4"/>
  <c r="F2646" i="4"/>
  <c r="E2646" i="4"/>
  <c r="D2646" i="4"/>
  <c r="C2646" i="4"/>
  <c r="B2646" i="4"/>
  <c r="A2646" i="4"/>
  <c r="M2645" i="4"/>
  <c r="L2645" i="4"/>
  <c r="K2645" i="4"/>
  <c r="J2645" i="4"/>
  <c r="I2645" i="4"/>
  <c r="H2645" i="4"/>
  <c r="G2645" i="4"/>
  <c r="F2645" i="4"/>
  <c r="E2645" i="4"/>
  <c r="D2645" i="4"/>
  <c r="C2645" i="4"/>
  <c r="B2645" i="4"/>
  <c r="A2645" i="4"/>
  <c r="M2644" i="4"/>
  <c r="L2644" i="4"/>
  <c r="K2644" i="4"/>
  <c r="J2644" i="4"/>
  <c r="I2644" i="4"/>
  <c r="H2644" i="4"/>
  <c r="G2644" i="4"/>
  <c r="F2644" i="4"/>
  <c r="E2644" i="4"/>
  <c r="D2644" i="4"/>
  <c r="C2644" i="4"/>
  <c r="B2644" i="4"/>
  <c r="A2644" i="4"/>
  <c r="M2643" i="4"/>
  <c r="L2643" i="4"/>
  <c r="K2643" i="4"/>
  <c r="J2643" i="4"/>
  <c r="I2643" i="4"/>
  <c r="H2643" i="4"/>
  <c r="G2643" i="4"/>
  <c r="F2643" i="4"/>
  <c r="E2643" i="4"/>
  <c r="D2643" i="4"/>
  <c r="C2643" i="4"/>
  <c r="B2643" i="4"/>
  <c r="A2643" i="4"/>
  <c r="M2642" i="4"/>
  <c r="L2642" i="4"/>
  <c r="K2642" i="4"/>
  <c r="J2642" i="4"/>
  <c r="I2642" i="4"/>
  <c r="H2642" i="4"/>
  <c r="G2642" i="4"/>
  <c r="F2642" i="4"/>
  <c r="E2642" i="4"/>
  <c r="D2642" i="4"/>
  <c r="C2642" i="4"/>
  <c r="B2642" i="4"/>
  <c r="A2642" i="4"/>
  <c r="M2641" i="4"/>
  <c r="L2641" i="4"/>
  <c r="K2641" i="4"/>
  <c r="J2641" i="4"/>
  <c r="I2641" i="4"/>
  <c r="H2641" i="4"/>
  <c r="G2641" i="4"/>
  <c r="F2641" i="4"/>
  <c r="E2641" i="4"/>
  <c r="D2641" i="4"/>
  <c r="C2641" i="4"/>
  <c r="B2641" i="4"/>
  <c r="A2641" i="4"/>
  <c r="M2640" i="4"/>
  <c r="L2640" i="4"/>
  <c r="K2640" i="4"/>
  <c r="J2640" i="4"/>
  <c r="I2640" i="4"/>
  <c r="H2640" i="4"/>
  <c r="G2640" i="4"/>
  <c r="F2640" i="4"/>
  <c r="D2640" i="4"/>
  <c r="C2640" i="4"/>
  <c r="B2640" i="4"/>
  <c r="A2640" i="4"/>
  <c r="M2639" i="4"/>
  <c r="L2639" i="4"/>
  <c r="K2639" i="4"/>
  <c r="J2639" i="4"/>
  <c r="I2639" i="4"/>
  <c r="H2639" i="4"/>
  <c r="G2639" i="4"/>
  <c r="F2639" i="4"/>
  <c r="E2639" i="4"/>
  <c r="D2639" i="4"/>
  <c r="C2639" i="4"/>
  <c r="B2639" i="4"/>
  <c r="A2639" i="4"/>
  <c r="M2638" i="4"/>
  <c r="L2638" i="4"/>
  <c r="K2638" i="4"/>
  <c r="J2638" i="4"/>
  <c r="I2638" i="4"/>
  <c r="H2638" i="4"/>
  <c r="G2638" i="4"/>
  <c r="F2638" i="4"/>
  <c r="E2638" i="4"/>
  <c r="D2638" i="4"/>
  <c r="C2638" i="4"/>
  <c r="B2638" i="4"/>
  <c r="A2638" i="4"/>
  <c r="M2637" i="4"/>
  <c r="L2637" i="4"/>
  <c r="K2637" i="4"/>
  <c r="J2637" i="4"/>
  <c r="I2637" i="4"/>
  <c r="H2637" i="4"/>
  <c r="G2637" i="4"/>
  <c r="F2637" i="4"/>
  <c r="E2637" i="4"/>
  <c r="D2637" i="4"/>
  <c r="C2637" i="4"/>
  <c r="B2637" i="4"/>
  <c r="A2637" i="4"/>
  <c r="M2636" i="4"/>
  <c r="L2636" i="4"/>
  <c r="K2636" i="4"/>
  <c r="J2636" i="4"/>
  <c r="I2636" i="4"/>
  <c r="H2636" i="4"/>
  <c r="G2636" i="4"/>
  <c r="F2636" i="4"/>
  <c r="E2636" i="4"/>
  <c r="D2636" i="4"/>
  <c r="C2636" i="4"/>
  <c r="B2636" i="4"/>
  <c r="A2636" i="4"/>
  <c r="M2635" i="4"/>
  <c r="L2635" i="4"/>
  <c r="K2635" i="4"/>
  <c r="J2635" i="4"/>
  <c r="I2635" i="4"/>
  <c r="H2635" i="4"/>
  <c r="G2635" i="4"/>
  <c r="F2635" i="4"/>
  <c r="E2635" i="4"/>
  <c r="D2635" i="4"/>
  <c r="C2635" i="4"/>
  <c r="B2635" i="4"/>
  <c r="A2635" i="4"/>
  <c r="M2634" i="4"/>
  <c r="L2634" i="4"/>
  <c r="K2634" i="4"/>
  <c r="J2634" i="4"/>
  <c r="I2634" i="4"/>
  <c r="H2634" i="4"/>
  <c r="G2634" i="4"/>
  <c r="F2634" i="4"/>
  <c r="E2634" i="4"/>
  <c r="D2634" i="4"/>
  <c r="C2634" i="4"/>
  <c r="B2634" i="4"/>
  <c r="A2634" i="4"/>
  <c r="M2633" i="4"/>
  <c r="L2633" i="4"/>
  <c r="K2633" i="4"/>
  <c r="J2633" i="4"/>
  <c r="I2633" i="4"/>
  <c r="H2633" i="4"/>
  <c r="G2633" i="4"/>
  <c r="F2633" i="4"/>
  <c r="E2633" i="4"/>
  <c r="D2633" i="4"/>
  <c r="C2633" i="4"/>
  <c r="B2633" i="4"/>
  <c r="A2633" i="4"/>
  <c r="M2632" i="4"/>
  <c r="L2632" i="4"/>
  <c r="K2632" i="4"/>
  <c r="J2632" i="4"/>
  <c r="I2632" i="4"/>
  <c r="H2632" i="4"/>
  <c r="G2632" i="4"/>
  <c r="F2632" i="4"/>
  <c r="E2632" i="4"/>
  <c r="D2632" i="4"/>
  <c r="C2632" i="4"/>
  <c r="B2632" i="4"/>
  <c r="A2632" i="4"/>
  <c r="M2631" i="4"/>
  <c r="L2631" i="4"/>
  <c r="K2631" i="4"/>
  <c r="J2631" i="4"/>
  <c r="I2631" i="4"/>
  <c r="H2631" i="4"/>
  <c r="G2631" i="4"/>
  <c r="F2631" i="4"/>
  <c r="E2631" i="4"/>
  <c r="D2631" i="4"/>
  <c r="C2631" i="4"/>
  <c r="B2631" i="4"/>
  <c r="A2631" i="4"/>
  <c r="M2630" i="4"/>
  <c r="L2630" i="4"/>
  <c r="K2630" i="4"/>
  <c r="J2630" i="4"/>
  <c r="I2630" i="4"/>
  <c r="H2630" i="4"/>
  <c r="G2630" i="4"/>
  <c r="F2630" i="4"/>
  <c r="E2630" i="4"/>
  <c r="D2630" i="4"/>
  <c r="C2630" i="4"/>
  <c r="B2630" i="4"/>
  <c r="A2630" i="4"/>
  <c r="M2629" i="4"/>
  <c r="L2629" i="4"/>
  <c r="K2629" i="4"/>
  <c r="J2629" i="4"/>
  <c r="I2629" i="4"/>
  <c r="H2629" i="4"/>
  <c r="G2629" i="4"/>
  <c r="F2629" i="4"/>
  <c r="E2629" i="4"/>
  <c r="D2629" i="4"/>
  <c r="C2629" i="4"/>
  <c r="B2629" i="4"/>
  <c r="A2629" i="4"/>
  <c r="M2628" i="4"/>
  <c r="L2628" i="4"/>
  <c r="K2628" i="4"/>
  <c r="J2628" i="4"/>
  <c r="I2628" i="4"/>
  <c r="H2628" i="4"/>
  <c r="G2628" i="4"/>
  <c r="F2628" i="4"/>
  <c r="E2628" i="4"/>
  <c r="D2628" i="4"/>
  <c r="C2628" i="4"/>
  <c r="B2628" i="4"/>
  <c r="A2628" i="4"/>
  <c r="M2627" i="4"/>
  <c r="L2627" i="4"/>
  <c r="K2627" i="4"/>
  <c r="J2627" i="4"/>
  <c r="I2627" i="4"/>
  <c r="H2627" i="4"/>
  <c r="G2627" i="4"/>
  <c r="F2627" i="4"/>
  <c r="E2627" i="4"/>
  <c r="D2627" i="4"/>
  <c r="C2627" i="4"/>
  <c r="B2627" i="4"/>
  <c r="A2627" i="4"/>
  <c r="M2626" i="4"/>
  <c r="L2626" i="4"/>
  <c r="K2626" i="4"/>
  <c r="J2626" i="4"/>
  <c r="I2626" i="4"/>
  <c r="H2626" i="4"/>
  <c r="G2626" i="4"/>
  <c r="F2626" i="4"/>
  <c r="E2626" i="4"/>
  <c r="D2626" i="4"/>
  <c r="C2626" i="4"/>
  <c r="B2626" i="4"/>
  <c r="A2626" i="4"/>
  <c r="M2625" i="4"/>
  <c r="L2625" i="4"/>
  <c r="K2625" i="4"/>
  <c r="J2625" i="4"/>
  <c r="I2625" i="4"/>
  <c r="H2625" i="4"/>
  <c r="G2625" i="4"/>
  <c r="F2625" i="4"/>
  <c r="E2625" i="4"/>
  <c r="D2625" i="4"/>
  <c r="C2625" i="4"/>
  <c r="B2625" i="4"/>
  <c r="A2625" i="4"/>
  <c r="M2624" i="4"/>
  <c r="L2624" i="4"/>
  <c r="K2624" i="4"/>
  <c r="J2624" i="4"/>
  <c r="I2624" i="4"/>
  <c r="H2624" i="4"/>
  <c r="G2624" i="4"/>
  <c r="F2624" i="4"/>
  <c r="E2624" i="4"/>
  <c r="D2624" i="4"/>
  <c r="C2624" i="4"/>
  <c r="B2624" i="4"/>
  <c r="A2624" i="4"/>
  <c r="M2623" i="4"/>
  <c r="L2623" i="4"/>
  <c r="K2623" i="4"/>
  <c r="J2623" i="4"/>
  <c r="I2623" i="4"/>
  <c r="H2623" i="4"/>
  <c r="G2623" i="4"/>
  <c r="F2623" i="4"/>
  <c r="E2623" i="4"/>
  <c r="D2623" i="4"/>
  <c r="C2623" i="4"/>
  <c r="B2623" i="4"/>
  <c r="A2623" i="4"/>
  <c r="M2622" i="4"/>
  <c r="L2622" i="4"/>
  <c r="K2622" i="4"/>
  <c r="J2622" i="4"/>
  <c r="I2622" i="4"/>
  <c r="H2622" i="4"/>
  <c r="G2622" i="4"/>
  <c r="F2622" i="4"/>
  <c r="E2622" i="4"/>
  <c r="D2622" i="4"/>
  <c r="C2622" i="4"/>
  <c r="B2622" i="4"/>
  <c r="A2622" i="4"/>
  <c r="M2621" i="4"/>
  <c r="L2621" i="4"/>
  <c r="K2621" i="4"/>
  <c r="J2621" i="4"/>
  <c r="I2621" i="4"/>
  <c r="H2621" i="4"/>
  <c r="G2621" i="4"/>
  <c r="F2621" i="4"/>
  <c r="E2621" i="4"/>
  <c r="D2621" i="4"/>
  <c r="C2621" i="4"/>
  <c r="B2621" i="4"/>
  <c r="A2621" i="4"/>
  <c r="M2620" i="4"/>
  <c r="L2620" i="4"/>
  <c r="K2620" i="4"/>
  <c r="J2620" i="4"/>
  <c r="I2620" i="4"/>
  <c r="H2620" i="4"/>
  <c r="G2620" i="4"/>
  <c r="F2620" i="4"/>
  <c r="E2620" i="4"/>
  <c r="D2620" i="4"/>
  <c r="C2620" i="4"/>
  <c r="B2620" i="4"/>
  <c r="A2620" i="4"/>
  <c r="M2619" i="4"/>
  <c r="L2619" i="4"/>
  <c r="K2619" i="4"/>
  <c r="J2619" i="4"/>
  <c r="I2619" i="4"/>
  <c r="H2619" i="4"/>
  <c r="G2619" i="4"/>
  <c r="F2619" i="4"/>
  <c r="E2619" i="4"/>
  <c r="D2619" i="4"/>
  <c r="C2619" i="4"/>
  <c r="B2619" i="4"/>
  <c r="A2619" i="4"/>
  <c r="M2618" i="4"/>
  <c r="L2618" i="4"/>
  <c r="K2618" i="4"/>
  <c r="J2618" i="4"/>
  <c r="I2618" i="4"/>
  <c r="H2618" i="4"/>
  <c r="G2618" i="4"/>
  <c r="F2618" i="4"/>
  <c r="E2618" i="4"/>
  <c r="D2618" i="4"/>
  <c r="C2618" i="4"/>
  <c r="B2618" i="4"/>
  <c r="A2618" i="4"/>
  <c r="M2617" i="4"/>
  <c r="L2617" i="4"/>
  <c r="K2617" i="4"/>
  <c r="J2617" i="4"/>
  <c r="I2617" i="4"/>
  <c r="H2617" i="4"/>
  <c r="G2617" i="4"/>
  <c r="E2617" i="4"/>
  <c r="D2617" i="4"/>
  <c r="C2617" i="4"/>
  <c r="B2617" i="4"/>
  <c r="A2617" i="4"/>
  <c r="M2616" i="4"/>
  <c r="L2616" i="4"/>
  <c r="K2616" i="4"/>
  <c r="J2616" i="4"/>
  <c r="I2616" i="4"/>
  <c r="H2616" i="4"/>
  <c r="G2616" i="4"/>
  <c r="F2616" i="4"/>
  <c r="E2616" i="4"/>
  <c r="D2616" i="4"/>
  <c r="C2616" i="4"/>
  <c r="B2616" i="4"/>
  <c r="A2616" i="4"/>
  <c r="M2615" i="4"/>
  <c r="L2615" i="4"/>
  <c r="K2615" i="4"/>
  <c r="J2615" i="4"/>
  <c r="I2615" i="4"/>
  <c r="H2615" i="4"/>
  <c r="G2615" i="4"/>
  <c r="F2615" i="4"/>
  <c r="E2615" i="4"/>
  <c r="D2615" i="4"/>
  <c r="C2615" i="4"/>
  <c r="B2615" i="4"/>
  <c r="A2615" i="4"/>
  <c r="M2614" i="4"/>
  <c r="L2614" i="4"/>
  <c r="K2614" i="4"/>
  <c r="J2614" i="4"/>
  <c r="I2614" i="4"/>
  <c r="H2614" i="4"/>
  <c r="G2614" i="4"/>
  <c r="F2614" i="4"/>
  <c r="E2614" i="4"/>
  <c r="D2614" i="4"/>
  <c r="C2614" i="4"/>
  <c r="B2614" i="4"/>
  <c r="A2614" i="4"/>
  <c r="M2613" i="4"/>
  <c r="L2613" i="4"/>
  <c r="K2613" i="4"/>
  <c r="J2613" i="4"/>
  <c r="I2613" i="4"/>
  <c r="H2613" i="4"/>
  <c r="G2613" i="4"/>
  <c r="F2613" i="4"/>
  <c r="E2613" i="4"/>
  <c r="D2613" i="4"/>
  <c r="C2613" i="4"/>
  <c r="B2613" i="4"/>
  <c r="A2613" i="4"/>
  <c r="M2612" i="4"/>
  <c r="L2612" i="4"/>
  <c r="K2612" i="4"/>
  <c r="J2612" i="4"/>
  <c r="I2612" i="4"/>
  <c r="H2612" i="4"/>
  <c r="G2612" i="4"/>
  <c r="F2612" i="4"/>
  <c r="E2612" i="4"/>
  <c r="D2612" i="4"/>
  <c r="C2612" i="4"/>
  <c r="B2612" i="4"/>
  <c r="A2612" i="4"/>
  <c r="M2611" i="4"/>
  <c r="L2611" i="4"/>
  <c r="K2611" i="4"/>
  <c r="J2611" i="4"/>
  <c r="I2611" i="4"/>
  <c r="H2611" i="4"/>
  <c r="G2611" i="4"/>
  <c r="F2611" i="4"/>
  <c r="E2611" i="4"/>
  <c r="D2611" i="4"/>
  <c r="C2611" i="4"/>
  <c r="B2611" i="4"/>
  <c r="A2611" i="4"/>
  <c r="M2610" i="4"/>
  <c r="L2610" i="4"/>
  <c r="K2610" i="4"/>
  <c r="J2610" i="4"/>
  <c r="I2610" i="4"/>
  <c r="H2610" i="4"/>
  <c r="G2610" i="4"/>
  <c r="F2610" i="4"/>
  <c r="E2610" i="4"/>
  <c r="D2610" i="4"/>
  <c r="C2610" i="4"/>
  <c r="B2610" i="4"/>
  <c r="A2610" i="4"/>
  <c r="M2609" i="4"/>
  <c r="L2609" i="4"/>
  <c r="K2609" i="4"/>
  <c r="J2609" i="4"/>
  <c r="I2609" i="4"/>
  <c r="H2609" i="4"/>
  <c r="G2609" i="4"/>
  <c r="F2609" i="4"/>
  <c r="E2609" i="4"/>
  <c r="D2609" i="4"/>
  <c r="C2609" i="4"/>
  <c r="B2609" i="4"/>
  <c r="A2609" i="4"/>
  <c r="M2608" i="4"/>
  <c r="L2608" i="4"/>
  <c r="K2608" i="4"/>
  <c r="J2608" i="4"/>
  <c r="I2608" i="4"/>
  <c r="H2608" i="4"/>
  <c r="G2608" i="4"/>
  <c r="F2608" i="4"/>
  <c r="E2608" i="4"/>
  <c r="D2608" i="4"/>
  <c r="C2608" i="4"/>
  <c r="B2608" i="4"/>
  <c r="A2608" i="4"/>
  <c r="M2607" i="4"/>
  <c r="L2607" i="4"/>
  <c r="K2607" i="4"/>
  <c r="J2607" i="4"/>
  <c r="I2607" i="4"/>
  <c r="H2607" i="4"/>
  <c r="G2607" i="4"/>
  <c r="F2607" i="4"/>
  <c r="E2607" i="4"/>
  <c r="D2607" i="4"/>
  <c r="C2607" i="4"/>
  <c r="B2607" i="4"/>
  <c r="A2607" i="4"/>
  <c r="M2606" i="4"/>
  <c r="L2606" i="4"/>
  <c r="K2606" i="4"/>
  <c r="J2606" i="4"/>
  <c r="I2606" i="4"/>
  <c r="H2606" i="4"/>
  <c r="G2606" i="4"/>
  <c r="F2606" i="4"/>
  <c r="E2606" i="4"/>
  <c r="D2606" i="4"/>
  <c r="C2606" i="4"/>
  <c r="B2606" i="4"/>
  <c r="A2606" i="4"/>
  <c r="M2605" i="4"/>
  <c r="L2605" i="4"/>
  <c r="K2605" i="4"/>
  <c r="J2605" i="4"/>
  <c r="I2605" i="4"/>
  <c r="H2605" i="4"/>
  <c r="G2605" i="4"/>
  <c r="F2605" i="4"/>
  <c r="E2605" i="4"/>
  <c r="D2605" i="4"/>
  <c r="C2605" i="4"/>
  <c r="B2605" i="4"/>
  <c r="A2605" i="4"/>
  <c r="M2604" i="4"/>
  <c r="L2604" i="4"/>
  <c r="K2604" i="4"/>
  <c r="J2604" i="4"/>
  <c r="I2604" i="4"/>
  <c r="H2604" i="4"/>
  <c r="G2604" i="4"/>
  <c r="E2604" i="4"/>
  <c r="D2604" i="4"/>
  <c r="C2604" i="4"/>
  <c r="B2604" i="4"/>
  <c r="A2604" i="4"/>
  <c r="M2603" i="4"/>
  <c r="L2603" i="4"/>
  <c r="K2603" i="4"/>
  <c r="J2603" i="4"/>
  <c r="I2603" i="4"/>
  <c r="H2603" i="4"/>
  <c r="G2603" i="4"/>
  <c r="F2603" i="4"/>
  <c r="E2603" i="4"/>
  <c r="D2603" i="4"/>
  <c r="C2603" i="4"/>
  <c r="B2603" i="4"/>
  <c r="A2603" i="4"/>
  <c r="M2602" i="4"/>
  <c r="L2602" i="4"/>
  <c r="K2602" i="4"/>
  <c r="J2602" i="4"/>
  <c r="I2602" i="4"/>
  <c r="H2602" i="4"/>
  <c r="G2602" i="4"/>
  <c r="F2602" i="4"/>
  <c r="E2602" i="4"/>
  <c r="D2602" i="4"/>
  <c r="C2602" i="4"/>
  <c r="B2602" i="4"/>
  <c r="A2602" i="4"/>
  <c r="M2601" i="4"/>
  <c r="L2601" i="4"/>
  <c r="K2601" i="4"/>
  <c r="J2601" i="4"/>
  <c r="I2601" i="4"/>
  <c r="H2601" i="4"/>
  <c r="G2601" i="4"/>
  <c r="F2601" i="4"/>
  <c r="E2601" i="4"/>
  <c r="D2601" i="4"/>
  <c r="C2601" i="4"/>
  <c r="B2601" i="4"/>
  <c r="A2601" i="4"/>
  <c r="M2600" i="4"/>
  <c r="L2600" i="4"/>
  <c r="K2600" i="4"/>
  <c r="J2600" i="4"/>
  <c r="I2600" i="4"/>
  <c r="H2600" i="4"/>
  <c r="G2600" i="4"/>
  <c r="F2600" i="4"/>
  <c r="E2600" i="4"/>
  <c r="D2600" i="4"/>
  <c r="C2600" i="4"/>
  <c r="B2600" i="4"/>
  <c r="A2600" i="4"/>
  <c r="M2599" i="4"/>
  <c r="L2599" i="4"/>
  <c r="K2599" i="4"/>
  <c r="J2599" i="4"/>
  <c r="I2599" i="4"/>
  <c r="H2599" i="4"/>
  <c r="G2599" i="4"/>
  <c r="F2599" i="4"/>
  <c r="E2599" i="4"/>
  <c r="D2599" i="4"/>
  <c r="C2599" i="4"/>
  <c r="B2599" i="4"/>
  <c r="A2599" i="4"/>
  <c r="M2598" i="4"/>
  <c r="L2598" i="4"/>
  <c r="K2598" i="4"/>
  <c r="J2598" i="4"/>
  <c r="I2598" i="4"/>
  <c r="H2598" i="4"/>
  <c r="G2598" i="4"/>
  <c r="F2598" i="4"/>
  <c r="E2598" i="4"/>
  <c r="D2598" i="4"/>
  <c r="C2598" i="4"/>
  <c r="B2598" i="4"/>
  <c r="A2598" i="4"/>
  <c r="M2597" i="4"/>
  <c r="L2597" i="4"/>
  <c r="K2597" i="4"/>
  <c r="J2597" i="4"/>
  <c r="I2597" i="4"/>
  <c r="H2597" i="4"/>
  <c r="G2597" i="4"/>
  <c r="F2597" i="4"/>
  <c r="D2597" i="4"/>
  <c r="C2597" i="4"/>
  <c r="B2597" i="4"/>
  <c r="A2597" i="4"/>
  <c r="M2596" i="4"/>
  <c r="L2596" i="4"/>
  <c r="K2596" i="4"/>
  <c r="J2596" i="4"/>
  <c r="I2596" i="4"/>
  <c r="H2596" i="4"/>
  <c r="G2596" i="4"/>
  <c r="F2596" i="4"/>
  <c r="E2596" i="4"/>
  <c r="D2596" i="4"/>
  <c r="C2596" i="4"/>
  <c r="B2596" i="4"/>
  <c r="A2596" i="4"/>
  <c r="M2595" i="4"/>
  <c r="L2595" i="4"/>
  <c r="K2595" i="4"/>
  <c r="J2595" i="4"/>
  <c r="I2595" i="4"/>
  <c r="H2595" i="4"/>
  <c r="G2595" i="4"/>
  <c r="F2595" i="4"/>
  <c r="E2595" i="4"/>
  <c r="D2595" i="4"/>
  <c r="C2595" i="4"/>
  <c r="B2595" i="4"/>
  <c r="A2595" i="4"/>
  <c r="M2594" i="4"/>
  <c r="L2594" i="4"/>
  <c r="K2594" i="4"/>
  <c r="J2594" i="4"/>
  <c r="I2594" i="4"/>
  <c r="H2594" i="4"/>
  <c r="G2594" i="4"/>
  <c r="F2594" i="4"/>
  <c r="E2594" i="4"/>
  <c r="D2594" i="4"/>
  <c r="C2594" i="4"/>
  <c r="B2594" i="4"/>
  <c r="A2594" i="4"/>
  <c r="M2593" i="4"/>
  <c r="L2593" i="4"/>
  <c r="K2593" i="4"/>
  <c r="J2593" i="4"/>
  <c r="I2593" i="4"/>
  <c r="H2593" i="4"/>
  <c r="G2593" i="4"/>
  <c r="F2593" i="4"/>
  <c r="E2593" i="4"/>
  <c r="D2593" i="4"/>
  <c r="C2593" i="4"/>
  <c r="B2593" i="4"/>
  <c r="A2593" i="4"/>
  <c r="M2592" i="4"/>
  <c r="L2592" i="4"/>
  <c r="K2592" i="4"/>
  <c r="J2592" i="4"/>
  <c r="I2592" i="4"/>
  <c r="H2592" i="4"/>
  <c r="G2592" i="4"/>
  <c r="F2592" i="4"/>
  <c r="E2592" i="4"/>
  <c r="D2592" i="4"/>
  <c r="C2592" i="4"/>
  <c r="B2592" i="4"/>
  <c r="A2592" i="4"/>
  <c r="M2591" i="4"/>
  <c r="L2591" i="4"/>
  <c r="K2591" i="4"/>
  <c r="J2591" i="4"/>
  <c r="I2591" i="4"/>
  <c r="H2591" i="4"/>
  <c r="G2591" i="4"/>
  <c r="F2591" i="4"/>
  <c r="E2591" i="4"/>
  <c r="D2591" i="4"/>
  <c r="C2591" i="4"/>
  <c r="B2591" i="4"/>
  <c r="A2591" i="4"/>
  <c r="M2590" i="4"/>
  <c r="L2590" i="4"/>
  <c r="K2590" i="4"/>
  <c r="J2590" i="4"/>
  <c r="I2590" i="4"/>
  <c r="H2590" i="4"/>
  <c r="G2590" i="4"/>
  <c r="F2590" i="4"/>
  <c r="E2590" i="4"/>
  <c r="D2590" i="4"/>
  <c r="C2590" i="4"/>
  <c r="B2590" i="4"/>
  <c r="A2590" i="4"/>
  <c r="M2589" i="4"/>
  <c r="L2589" i="4"/>
  <c r="K2589" i="4"/>
  <c r="J2589" i="4"/>
  <c r="I2589" i="4"/>
  <c r="H2589" i="4"/>
  <c r="G2589" i="4"/>
  <c r="F2589" i="4"/>
  <c r="E2589" i="4"/>
  <c r="D2589" i="4"/>
  <c r="C2589" i="4"/>
  <c r="B2589" i="4"/>
  <c r="A2589" i="4"/>
  <c r="M2588" i="4"/>
  <c r="L2588" i="4"/>
  <c r="K2588" i="4"/>
  <c r="J2588" i="4"/>
  <c r="I2588" i="4"/>
  <c r="H2588" i="4"/>
  <c r="G2588" i="4"/>
  <c r="F2588" i="4"/>
  <c r="E2588" i="4"/>
  <c r="D2588" i="4"/>
  <c r="C2588" i="4"/>
  <c r="B2588" i="4"/>
  <c r="A2588" i="4"/>
  <c r="M2587" i="4"/>
  <c r="L2587" i="4"/>
  <c r="K2587" i="4"/>
  <c r="J2587" i="4"/>
  <c r="I2587" i="4"/>
  <c r="H2587" i="4"/>
  <c r="G2587" i="4"/>
  <c r="F2587" i="4"/>
  <c r="E2587" i="4"/>
  <c r="D2587" i="4"/>
  <c r="C2587" i="4"/>
  <c r="B2587" i="4"/>
  <c r="A2587" i="4"/>
  <c r="M2586" i="4"/>
  <c r="L2586" i="4"/>
  <c r="K2586" i="4"/>
  <c r="J2586" i="4"/>
  <c r="I2586" i="4"/>
  <c r="H2586" i="4"/>
  <c r="G2586" i="4"/>
  <c r="F2586" i="4"/>
  <c r="E2586" i="4"/>
  <c r="D2586" i="4"/>
  <c r="C2586" i="4"/>
  <c r="B2586" i="4"/>
  <c r="A2586" i="4"/>
  <c r="M2585" i="4"/>
  <c r="L2585" i="4"/>
  <c r="K2585" i="4"/>
  <c r="J2585" i="4"/>
  <c r="I2585" i="4"/>
  <c r="H2585" i="4"/>
  <c r="G2585" i="4"/>
  <c r="F2585" i="4"/>
  <c r="E2585" i="4"/>
  <c r="D2585" i="4"/>
  <c r="C2585" i="4"/>
  <c r="B2585" i="4"/>
  <c r="A2585" i="4"/>
  <c r="M2584" i="4"/>
  <c r="L2584" i="4"/>
  <c r="K2584" i="4"/>
  <c r="J2584" i="4"/>
  <c r="I2584" i="4"/>
  <c r="H2584" i="4"/>
  <c r="G2584" i="4"/>
  <c r="F2584" i="4"/>
  <c r="E2584" i="4"/>
  <c r="D2584" i="4"/>
  <c r="C2584" i="4"/>
  <c r="B2584" i="4"/>
  <c r="A2584" i="4"/>
  <c r="M2583" i="4"/>
  <c r="L2583" i="4"/>
  <c r="K2583" i="4"/>
  <c r="J2583" i="4"/>
  <c r="I2583" i="4"/>
  <c r="H2583" i="4"/>
  <c r="G2583" i="4"/>
  <c r="F2583" i="4"/>
  <c r="E2583" i="4"/>
  <c r="D2583" i="4"/>
  <c r="C2583" i="4"/>
  <c r="B2583" i="4"/>
  <c r="A2583" i="4"/>
  <c r="M2582" i="4"/>
  <c r="L2582" i="4"/>
  <c r="K2582" i="4"/>
  <c r="J2582" i="4"/>
  <c r="I2582" i="4"/>
  <c r="H2582" i="4"/>
  <c r="G2582" i="4"/>
  <c r="F2582" i="4"/>
  <c r="D2582" i="4"/>
  <c r="C2582" i="4"/>
  <c r="B2582" i="4"/>
  <c r="A2582" i="4"/>
  <c r="M2581" i="4"/>
  <c r="L2581" i="4"/>
  <c r="K2581" i="4"/>
  <c r="J2581" i="4"/>
  <c r="I2581" i="4"/>
  <c r="H2581" i="4"/>
  <c r="G2581" i="4"/>
  <c r="F2581" i="4"/>
  <c r="E2581" i="4"/>
  <c r="D2581" i="4"/>
  <c r="C2581" i="4"/>
  <c r="B2581" i="4"/>
  <c r="A2581" i="4"/>
  <c r="M2580" i="4"/>
  <c r="L2580" i="4"/>
  <c r="K2580" i="4"/>
  <c r="J2580" i="4"/>
  <c r="I2580" i="4"/>
  <c r="H2580" i="4"/>
  <c r="G2580" i="4"/>
  <c r="F2580" i="4"/>
  <c r="E2580" i="4"/>
  <c r="D2580" i="4"/>
  <c r="C2580" i="4"/>
  <c r="B2580" i="4"/>
  <c r="A2580" i="4"/>
  <c r="M2579" i="4"/>
  <c r="L2579" i="4"/>
  <c r="K2579" i="4"/>
  <c r="J2579" i="4"/>
  <c r="I2579" i="4"/>
  <c r="H2579" i="4"/>
  <c r="G2579" i="4"/>
  <c r="F2579" i="4"/>
  <c r="E2579" i="4"/>
  <c r="D2579" i="4"/>
  <c r="C2579" i="4"/>
  <c r="B2579" i="4"/>
  <c r="A2579" i="4"/>
  <c r="M2578" i="4"/>
  <c r="L2578" i="4"/>
  <c r="K2578" i="4"/>
  <c r="J2578" i="4"/>
  <c r="I2578" i="4"/>
  <c r="H2578" i="4"/>
  <c r="G2578" i="4"/>
  <c r="F2578" i="4"/>
  <c r="E2578" i="4"/>
  <c r="D2578" i="4"/>
  <c r="C2578" i="4"/>
  <c r="B2578" i="4"/>
  <c r="A2578" i="4"/>
  <c r="M2577" i="4"/>
  <c r="L2577" i="4"/>
  <c r="K2577" i="4"/>
  <c r="J2577" i="4"/>
  <c r="I2577" i="4"/>
  <c r="H2577" i="4"/>
  <c r="G2577" i="4"/>
  <c r="F2577" i="4"/>
  <c r="E2577" i="4"/>
  <c r="D2577" i="4"/>
  <c r="C2577" i="4"/>
  <c r="B2577" i="4"/>
  <c r="A2577" i="4"/>
  <c r="M2576" i="4"/>
  <c r="L2576" i="4"/>
  <c r="K2576" i="4"/>
  <c r="J2576" i="4"/>
  <c r="I2576" i="4"/>
  <c r="H2576" i="4"/>
  <c r="G2576" i="4"/>
  <c r="F2576" i="4"/>
  <c r="E2576" i="4"/>
  <c r="D2576" i="4"/>
  <c r="C2576" i="4"/>
  <c r="B2576" i="4"/>
  <c r="A2576" i="4"/>
  <c r="M2575" i="4"/>
  <c r="L2575" i="4"/>
  <c r="K2575" i="4"/>
  <c r="J2575" i="4"/>
  <c r="I2575" i="4"/>
  <c r="H2575" i="4"/>
  <c r="G2575" i="4"/>
  <c r="F2575" i="4"/>
  <c r="E2575" i="4"/>
  <c r="D2575" i="4"/>
  <c r="C2575" i="4"/>
  <c r="B2575" i="4"/>
  <c r="A2575" i="4"/>
  <c r="M2574" i="4"/>
  <c r="L2574" i="4"/>
  <c r="K2574" i="4"/>
  <c r="J2574" i="4"/>
  <c r="I2574" i="4"/>
  <c r="H2574" i="4"/>
  <c r="G2574" i="4"/>
  <c r="F2574" i="4"/>
  <c r="E2574" i="4"/>
  <c r="D2574" i="4"/>
  <c r="C2574" i="4"/>
  <c r="B2574" i="4"/>
  <c r="A2574" i="4"/>
  <c r="M2573" i="4"/>
  <c r="L2573" i="4"/>
  <c r="K2573" i="4"/>
  <c r="J2573" i="4"/>
  <c r="I2573" i="4"/>
  <c r="H2573" i="4"/>
  <c r="G2573" i="4"/>
  <c r="F2573" i="4"/>
  <c r="E2573" i="4"/>
  <c r="D2573" i="4"/>
  <c r="C2573" i="4"/>
  <c r="B2573" i="4"/>
  <c r="A2573" i="4"/>
  <c r="M2572" i="4"/>
  <c r="L2572" i="4"/>
  <c r="K2572" i="4"/>
  <c r="J2572" i="4"/>
  <c r="I2572" i="4"/>
  <c r="H2572" i="4"/>
  <c r="G2572" i="4"/>
  <c r="F2572" i="4"/>
  <c r="E2572" i="4"/>
  <c r="D2572" i="4"/>
  <c r="C2572" i="4"/>
  <c r="B2572" i="4"/>
  <c r="A2572" i="4"/>
  <c r="M2571" i="4"/>
  <c r="L2571" i="4"/>
  <c r="K2571" i="4"/>
  <c r="J2571" i="4"/>
  <c r="I2571" i="4"/>
  <c r="H2571" i="4"/>
  <c r="G2571" i="4"/>
  <c r="F2571" i="4"/>
  <c r="E2571" i="4"/>
  <c r="D2571" i="4"/>
  <c r="C2571" i="4"/>
  <c r="B2571" i="4"/>
  <c r="A2571" i="4"/>
  <c r="M2570" i="4"/>
  <c r="L2570" i="4"/>
  <c r="K2570" i="4"/>
  <c r="J2570" i="4"/>
  <c r="I2570" i="4"/>
  <c r="H2570" i="4"/>
  <c r="G2570" i="4"/>
  <c r="F2570" i="4"/>
  <c r="E2570" i="4"/>
  <c r="D2570" i="4"/>
  <c r="C2570" i="4"/>
  <c r="B2570" i="4"/>
  <c r="A2570" i="4"/>
  <c r="M2569" i="4"/>
  <c r="L2569" i="4"/>
  <c r="K2569" i="4"/>
  <c r="J2569" i="4"/>
  <c r="I2569" i="4"/>
  <c r="H2569" i="4"/>
  <c r="G2569" i="4"/>
  <c r="F2569" i="4"/>
  <c r="E2569" i="4"/>
  <c r="D2569" i="4"/>
  <c r="C2569" i="4"/>
  <c r="B2569" i="4"/>
  <c r="A2569" i="4"/>
  <c r="M2568" i="4"/>
  <c r="L2568" i="4"/>
  <c r="K2568" i="4"/>
  <c r="J2568" i="4"/>
  <c r="I2568" i="4"/>
  <c r="H2568" i="4"/>
  <c r="G2568" i="4"/>
  <c r="F2568" i="4"/>
  <c r="E2568" i="4"/>
  <c r="D2568" i="4"/>
  <c r="C2568" i="4"/>
  <c r="B2568" i="4"/>
  <c r="A2568" i="4"/>
  <c r="M2567" i="4"/>
  <c r="L2567" i="4"/>
  <c r="K2567" i="4"/>
  <c r="J2567" i="4"/>
  <c r="I2567" i="4"/>
  <c r="H2567" i="4"/>
  <c r="G2567" i="4"/>
  <c r="F2567" i="4"/>
  <c r="E2567" i="4"/>
  <c r="D2567" i="4"/>
  <c r="C2567" i="4"/>
  <c r="B2567" i="4"/>
  <c r="A2567" i="4"/>
  <c r="M2566" i="4"/>
  <c r="L2566" i="4"/>
  <c r="K2566" i="4"/>
  <c r="J2566" i="4"/>
  <c r="I2566" i="4"/>
  <c r="H2566" i="4"/>
  <c r="G2566" i="4"/>
  <c r="F2566" i="4"/>
  <c r="E2566" i="4"/>
  <c r="D2566" i="4"/>
  <c r="C2566" i="4"/>
  <c r="B2566" i="4"/>
  <c r="A2566" i="4"/>
  <c r="M2565" i="4"/>
  <c r="L2565" i="4"/>
  <c r="K2565" i="4"/>
  <c r="J2565" i="4"/>
  <c r="I2565" i="4"/>
  <c r="H2565" i="4"/>
  <c r="G2565" i="4"/>
  <c r="F2565" i="4"/>
  <c r="E2565" i="4"/>
  <c r="D2565" i="4"/>
  <c r="C2565" i="4"/>
  <c r="B2565" i="4"/>
  <c r="A2565" i="4"/>
  <c r="M2564" i="4"/>
  <c r="L2564" i="4"/>
  <c r="K2564" i="4"/>
  <c r="J2564" i="4"/>
  <c r="I2564" i="4"/>
  <c r="H2564" i="4"/>
  <c r="G2564" i="4"/>
  <c r="F2564" i="4"/>
  <c r="E2564" i="4"/>
  <c r="D2564" i="4"/>
  <c r="C2564" i="4"/>
  <c r="B2564" i="4"/>
  <c r="A2564" i="4"/>
  <c r="M2563" i="4"/>
  <c r="L2563" i="4"/>
  <c r="K2563" i="4"/>
  <c r="J2563" i="4"/>
  <c r="I2563" i="4"/>
  <c r="H2563" i="4"/>
  <c r="G2563" i="4"/>
  <c r="F2563" i="4"/>
  <c r="E2563" i="4"/>
  <c r="D2563" i="4"/>
  <c r="C2563" i="4"/>
  <c r="B2563" i="4"/>
  <c r="A2563" i="4"/>
  <c r="M2562" i="4"/>
  <c r="L2562" i="4"/>
  <c r="K2562" i="4"/>
  <c r="J2562" i="4"/>
  <c r="I2562" i="4"/>
  <c r="H2562" i="4"/>
  <c r="G2562" i="4"/>
  <c r="F2562" i="4"/>
  <c r="E2562" i="4"/>
  <c r="D2562" i="4"/>
  <c r="C2562" i="4"/>
  <c r="B2562" i="4"/>
  <c r="A2562" i="4"/>
  <c r="M2561" i="4"/>
  <c r="L2561" i="4"/>
  <c r="K2561" i="4"/>
  <c r="J2561" i="4"/>
  <c r="I2561" i="4"/>
  <c r="H2561" i="4"/>
  <c r="G2561" i="4"/>
  <c r="F2561" i="4"/>
  <c r="E2561" i="4"/>
  <c r="D2561" i="4"/>
  <c r="C2561" i="4"/>
  <c r="B2561" i="4"/>
  <c r="A2561" i="4"/>
  <c r="M2560" i="4"/>
  <c r="L2560" i="4"/>
  <c r="K2560" i="4"/>
  <c r="J2560" i="4"/>
  <c r="I2560" i="4"/>
  <c r="H2560" i="4"/>
  <c r="G2560" i="4"/>
  <c r="F2560" i="4"/>
  <c r="E2560" i="4"/>
  <c r="D2560" i="4"/>
  <c r="C2560" i="4"/>
  <c r="B2560" i="4"/>
  <c r="A2560" i="4"/>
  <c r="M2559" i="4"/>
  <c r="L2559" i="4"/>
  <c r="K2559" i="4"/>
  <c r="J2559" i="4"/>
  <c r="I2559" i="4"/>
  <c r="H2559" i="4"/>
  <c r="G2559" i="4"/>
  <c r="F2559" i="4"/>
  <c r="E2559" i="4"/>
  <c r="D2559" i="4"/>
  <c r="C2559" i="4"/>
  <c r="B2559" i="4"/>
  <c r="A2559" i="4"/>
  <c r="M2558" i="4"/>
  <c r="L2558" i="4"/>
  <c r="K2558" i="4"/>
  <c r="J2558" i="4"/>
  <c r="I2558" i="4"/>
  <c r="H2558" i="4"/>
  <c r="G2558" i="4"/>
  <c r="F2558" i="4"/>
  <c r="E2558" i="4"/>
  <c r="D2558" i="4"/>
  <c r="C2558" i="4"/>
  <c r="B2558" i="4"/>
  <c r="A2558" i="4"/>
  <c r="M2557" i="4"/>
  <c r="L2557" i="4"/>
  <c r="K2557" i="4"/>
  <c r="J2557" i="4"/>
  <c r="I2557" i="4"/>
  <c r="H2557" i="4"/>
  <c r="G2557" i="4"/>
  <c r="F2557" i="4"/>
  <c r="E2557" i="4"/>
  <c r="D2557" i="4"/>
  <c r="C2557" i="4"/>
  <c r="B2557" i="4"/>
  <c r="A2557" i="4"/>
  <c r="M2556" i="4"/>
  <c r="L2556" i="4"/>
  <c r="K2556" i="4"/>
  <c r="J2556" i="4"/>
  <c r="I2556" i="4"/>
  <c r="H2556" i="4"/>
  <c r="G2556" i="4"/>
  <c r="F2556" i="4"/>
  <c r="E2556" i="4"/>
  <c r="D2556" i="4"/>
  <c r="C2556" i="4"/>
  <c r="B2556" i="4"/>
  <c r="A2556" i="4"/>
  <c r="M2555" i="4"/>
  <c r="L2555" i="4"/>
  <c r="K2555" i="4"/>
  <c r="J2555" i="4"/>
  <c r="I2555" i="4"/>
  <c r="H2555" i="4"/>
  <c r="G2555" i="4"/>
  <c r="F2555" i="4"/>
  <c r="E2555" i="4"/>
  <c r="D2555" i="4"/>
  <c r="C2555" i="4"/>
  <c r="B2555" i="4"/>
  <c r="A2555" i="4"/>
  <c r="M2554" i="4"/>
  <c r="L2554" i="4"/>
  <c r="K2554" i="4"/>
  <c r="J2554" i="4"/>
  <c r="I2554" i="4"/>
  <c r="H2554" i="4"/>
  <c r="G2554" i="4"/>
  <c r="F2554" i="4"/>
  <c r="E2554" i="4"/>
  <c r="D2554" i="4"/>
  <c r="C2554" i="4"/>
  <c r="B2554" i="4"/>
  <c r="A2554" i="4"/>
  <c r="M2553" i="4"/>
  <c r="L2553" i="4"/>
  <c r="K2553" i="4"/>
  <c r="J2553" i="4"/>
  <c r="I2553" i="4"/>
  <c r="H2553" i="4"/>
  <c r="G2553" i="4"/>
  <c r="F2553" i="4"/>
  <c r="E2553" i="4"/>
  <c r="D2553" i="4"/>
  <c r="C2553" i="4"/>
  <c r="B2553" i="4"/>
  <c r="A2553" i="4"/>
  <c r="M2552" i="4"/>
  <c r="L2552" i="4"/>
  <c r="K2552" i="4"/>
  <c r="J2552" i="4"/>
  <c r="I2552" i="4"/>
  <c r="H2552" i="4"/>
  <c r="G2552" i="4"/>
  <c r="F2552" i="4"/>
  <c r="E2552" i="4"/>
  <c r="D2552" i="4"/>
  <c r="C2552" i="4"/>
  <c r="B2552" i="4"/>
  <c r="A2552" i="4"/>
  <c r="M2551" i="4"/>
  <c r="L2551" i="4"/>
  <c r="K2551" i="4"/>
  <c r="J2551" i="4"/>
  <c r="I2551" i="4"/>
  <c r="H2551" i="4"/>
  <c r="G2551" i="4"/>
  <c r="F2551" i="4"/>
  <c r="E2551" i="4"/>
  <c r="D2551" i="4"/>
  <c r="C2551" i="4"/>
  <c r="B2551" i="4"/>
  <c r="A2551" i="4"/>
  <c r="M2550" i="4"/>
  <c r="L2550" i="4"/>
  <c r="K2550" i="4"/>
  <c r="J2550" i="4"/>
  <c r="I2550" i="4"/>
  <c r="H2550" i="4"/>
  <c r="G2550" i="4"/>
  <c r="F2550" i="4"/>
  <c r="E2550" i="4"/>
  <c r="D2550" i="4"/>
  <c r="C2550" i="4"/>
  <c r="B2550" i="4"/>
  <c r="A2550" i="4"/>
  <c r="M2549" i="4"/>
  <c r="L2549" i="4"/>
  <c r="K2549" i="4"/>
  <c r="J2549" i="4"/>
  <c r="I2549" i="4"/>
  <c r="H2549" i="4"/>
  <c r="G2549" i="4"/>
  <c r="F2549" i="4"/>
  <c r="E2549" i="4"/>
  <c r="D2549" i="4"/>
  <c r="C2549" i="4"/>
  <c r="B2549" i="4"/>
  <c r="A2549" i="4"/>
  <c r="M2548" i="4"/>
  <c r="L2548" i="4"/>
  <c r="K2548" i="4"/>
  <c r="J2548" i="4"/>
  <c r="I2548" i="4"/>
  <c r="H2548" i="4"/>
  <c r="G2548" i="4"/>
  <c r="F2548" i="4"/>
  <c r="E2548" i="4"/>
  <c r="D2548" i="4"/>
  <c r="C2548" i="4"/>
  <c r="B2548" i="4"/>
  <c r="A2548" i="4"/>
  <c r="M2547" i="4"/>
  <c r="L2547" i="4"/>
  <c r="K2547" i="4"/>
  <c r="J2547" i="4"/>
  <c r="I2547" i="4"/>
  <c r="H2547" i="4"/>
  <c r="G2547" i="4"/>
  <c r="F2547" i="4"/>
  <c r="E2547" i="4"/>
  <c r="D2547" i="4"/>
  <c r="C2547" i="4"/>
  <c r="B2547" i="4"/>
  <c r="A2547" i="4"/>
  <c r="M2546" i="4"/>
  <c r="L2546" i="4"/>
  <c r="K2546" i="4"/>
  <c r="J2546" i="4"/>
  <c r="I2546" i="4"/>
  <c r="H2546" i="4"/>
  <c r="G2546" i="4"/>
  <c r="F2546" i="4"/>
  <c r="E2546" i="4"/>
  <c r="D2546" i="4"/>
  <c r="C2546" i="4"/>
  <c r="B2546" i="4"/>
  <c r="A2546" i="4"/>
  <c r="M2545" i="4"/>
  <c r="L2545" i="4"/>
  <c r="K2545" i="4"/>
  <c r="J2545" i="4"/>
  <c r="I2545" i="4"/>
  <c r="H2545" i="4"/>
  <c r="G2545" i="4"/>
  <c r="F2545" i="4"/>
  <c r="E2545" i="4"/>
  <c r="D2545" i="4"/>
  <c r="C2545" i="4"/>
  <c r="B2545" i="4"/>
  <c r="A2545" i="4"/>
  <c r="M2544" i="4"/>
  <c r="L2544" i="4"/>
  <c r="K2544" i="4"/>
  <c r="J2544" i="4"/>
  <c r="I2544" i="4"/>
  <c r="H2544" i="4"/>
  <c r="G2544" i="4"/>
  <c r="F2544" i="4"/>
  <c r="E2544" i="4"/>
  <c r="D2544" i="4"/>
  <c r="C2544" i="4"/>
  <c r="B2544" i="4"/>
  <c r="A2544" i="4"/>
  <c r="M2543" i="4"/>
  <c r="L2543" i="4"/>
  <c r="K2543" i="4"/>
  <c r="J2543" i="4"/>
  <c r="I2543" i="4"/>
  <c r="H2543" i="4"/>
  <c r="G2543" i="4"/>
  <c r="F2543" i="4"/>
  <c r="E2543" i="4"/>
  <c r="D2543" i="4"/>
  <c r="C2543" i="4"/>
  <c r="B2543" i="4"/>
  <c r="A2543" i="4"/>
  <c r="M2542" i="4"/>
  <c r="L2542" i="4"/>
  <c r="K2542" i="4"/>
  <c r="J2542" i="4"/>
  <c r="I2542" i="4"/>
  <c r="H2542" i="4"/>
  <c r="G2542" i="4"/>
  <c r="F2542" i="4"/>
  <c r="E2542" i="4"/>
  <c r="D2542" i="4"/>
  <c r="C2542" i="4"/>
  <c r="B2542" i="4"/>
  <c r="A2542" i="4"/>
  <c r="M2541" i="4"/>
  <c r="L2541" i="4"/>
  <c r="K2541" i="4"/>
  <c r="J2541" i="4"/>
  <c r="I2541" i="4"/>
  <c r="H2541" i="4"/>
  <c r="G2541" i="4"/>
  <c r="F2541" i="4"/>
  <c r="E2541" i="4"/>
  <c r="D2541" i="4"/>
  <c r="C2541" i="4"/>
  <c r="B2541" i="4"/>
  <c r="A2541" i="4"/>
  <c r="M2540" i="4"/>
  <c r="L2540" i="4"/>
  <c r="K2540" i="4"/>
  <c r="J2540" i="4"/>
  <c r="I2540" i="4"/>
  <c r="H2540" i="4"/>
  <c r="G2540" i="4"/>
  <c r="F2540" i="4"/>
  <c r="E2540" i="4"/>
  <c r="D2540" i="4"/>
  <c r="C2540" i="4"/>
  <c r="B2540" i="4"/>
  <c r="A2540" i="4"/>
  <c r="M2539" i="4"/>
  <c r="L2539" i="4"/>
  <c r="K2539" i="4"/>
  <c r="J2539" i="4"/>
  <c r="I2539" i="4"/>
  <c r="H2539" i="4"/>
  <c r="G2539" i="4"/>
  <c r="F2539" i="4"/>
  <c r="E2539" i="4"/>
  <c r="D2539" i="4"/>
  <c r="C2539" i="4"/>
  <c r="B2539" i="4"/>
  <c r="A2539" i="4"/>
  <c r="M2538" i="4"/>
  <c r="L2538" i="4"/>
  <c r="K2538" i="4"/>
  <c r="J2538" i="4"/>
  <c r="I2538" i="4"/>
  <c r="H2538" i="4"/>
  <c r="G2538" i="4"/>
  <c r="F2538" i="4"/>
  <c r="E2538" i="4"/>
  <c r="D2538" i="4"/>
  <c r="C2538" i="4"/>
  <c r="B2538" i="4"/>
  <c r="A2538" i="4"/>
  <c r="M2537" i="4"/>
  <c r="L2537" i="4"/>
  <c r="K2537" i="4"/>
  <c r="J2537" i="4"/>
  <c r="I2537" i="4"/>
  <c r="H2537" i="4"/>
  <c r="G2537" i="4"/>
  <c r="F2537" i="4"/>
  <c r="E2537" i="4"/>
  <c r="D2537" i="4"/>
  <c r="C2537" i="4"/>
  <c r="B2537" i="4"/>
  <c r="A2537" i="4"/>
  <c r="M2536" i="4"/>
  <c r="L2536" i="4"/>
  <c r="K2536" i="4"/>
  <c r="J2536" i="4"/>
  <c r="I2536" i="4"/>
  <c r="H2536" i="4"/>
  <c r="G2536" i="4"/>
  <c r="F2536" i="4"/>
  <c r="E2536" i="4"/>
  <c r="D2536" i="4"/>
  <c r="C2536" i="4"/>
  <c r="B2536" i="4"/>
  <c r="A2536" i="4"/>
  <c r="M2535" i="4"/>
  <c r="L2535" i="4"/>
  <c r="K2535" i="4"/>
  <c r="J2535" i="4"/>
  <c r="I2535" i="4"/>
  <c r="H2535" i="4"/>
  <c r="G2535" i="4"/>
  <c r="F2535" i="4"/>
  <c r="E2535" i="4"/>
  <c r="D2535" i="4"/>
  <c r="C2535" i="4"/>
  <c r="B2535" i="4"/>
  <c r="A2535" i="4"/>
  <c r="M2534" i="4"/>
  <c r="L2534" i="4"/>
  <c r="K2534" i="4"/>
  <c r="J2534" i="4"/>
  <c r="I2534" i="4"/>
  <c r="H2534" i="4"/>
  <c r="G2534" i="4"/>
  <c r="F2534" i="4"/>
  <c r="E2534" i="4"/>
  <c r="D2534" i="4"/>
  <c r="C2534" i="4"/>
  <c r="B2534" i="4"/>
  <c r="A2534" i="4"/>
  <c r="M2533" i="4"/>
  <c r="L2533" i="4"/>
  <c r="K2533" i="4"/>
  <c r="J2533" i="4"/>
  <c r="I2533" i="4"/>
  <c r="H2533" i="4"/>
  <c r="G2533" i="4"/>
  <c r="F2533" i="4"/>
  <c r="E2533" i="4"/>
  <c r="D2533" i="4"/>
  <c r="C2533" i="4"/>
  <c r="B2533" i="4"/>
  <c r="A2533" i="4"/>
  <c r="M2532" i="4"/>
  <c r="L2532" i="4"/>
  <c r="K2532" i="4"/>
  <c r="J2532" i="4"/>
  <c r="I2532" i="4"/>
  <c r="H2532" i="4"/>
  <c r="G2532" i="4"/>
  <c r="F2532" i="4"/>
  <c r="E2532" i="4"/>
  <c r="D2532" i="4"/>
  <c r="C2532" i="4"/>
  <c r="B2532" i="4"/>
  <c r="A2532" i="4"/>
  <c r="M2531" i="4"/>
  <c r="L2531" i="4"/>
  <c r="K2531" i="4"/>
  <c r="J2531" i="4"/>
  <c r="I2531" i="4"/>
  <c r="H2531" i="4"/>
  <c r="G2531" i="4"/>
  <c r="F2531" i="4"/>
  <c r="E2531" i="4"/>
  <c r="D2531" i="4"/>
  <c r="C2531" i="4"/>
  <c r="B2531" i="4"/>
  <c r="A2531" i="4"/>
  <c r="M2530" i="4"/>
  <c r="L2530" i="4"/>
  <c r="K2530" i="4"/>
  <c r="J2530" i="4"/>
  <c r="I2530" i="4"/>
  <c r="H2530" i="4"/>
  <c r="G2530" i="4"/>
  <c r="F2530" i="4"/>
  <c r="E2530" i="4"/>
  <c r="D2530" i="4"/>
  <c r="C2530" i="4"/>
  <c r="B2530" i="4"/>
  <c r="A2530" i="4"/>
  <c r="M2529" i="4"/>
  <c r="L2529" i="4"/>
  <c r="K2529" i="4"/>
  <c r="J2529" i="4"/>
  <c r="I2529" i="4"/>
  <c r="H2529" i="4"/>
  <c r="G2529" i="4"/>
  <c r="F2529" i="4"/>
  <c r="E2529" i="4"/>
  <c r="D2529" i="4"/>
  <c r="C2529" i="4"/>
  <c r="B2529" i="4"/>
  <c r="A2529" i="4"/>
  <c r="M2528" i="4"/>
  <c r="L2528" i="4"/>
  <c r="K2528" i="4"/>
  <c r="J2528" i="4"/>
  <c r="I2528" i="4"/>
  <c r="H2528" i="4"/>
  <c r="G2528" i="4"/>
  <c r="F2528" i="4"/>
  <c r="E2528" i="4"/>
  <c r="D2528" i="4"/>
  <c r="C2528" i="4"/>
  <c r="B2528" i="4"/>
  <c r="A2528" i="4"/>
  <c r="M2527" i="4"/>
  <c r="L2527" i="4"/>
  <c r="K2527" i="4"/>
  <c r="J2527" i="4"/>
  <c r="I2527" i="4"/>
  <c r="H2527" i="4"/>
  <c r="G2527" i="4"/>
  <c r="F2527" i="4"/>
  <c r="E2527" i="4"/>
  <c r="D2527" i="4"/>
  <c r="C2527" i="4"/>
  <c r="B2527" i="4"/>
  <c r="A2527" i="4"/>
  <c r="M2526" i="4"/>
  <c r="L2526" i="4"/>
  <c r="K2526" i="4"/>
  <c r="J2526" i="4"/>
  <c r="I2526" i="4"/>
  <c r="H2526" i="4"/>
  <c r="G2526" i="4"/>
  <c r="F2526" i="4"/>
  <c r="E2526" i="4"/>
  <c r="D2526" i="4"/>
  <c r="C2526" i="4"/>
  <c r="B2526" i="4"/>
  <c r="A2526" i="4"/>
  <c r="M2525" i="4"/>
  <c r="L2525" i="4"/>
  <c r="K2525" i="4"/>
  <c r="J2525" i="4"/>
  <c r="I2525" i="4"/>
  <c r="H2525" i="4"/>
  <c r="G2525" i="4"/>
  <c r="F2525" i="4"/>
  <c r="E2525" i="4"/>
  <c r="D2525" i="4"/>
  <c r="C2525" i="4"/>
  <c r="B2525" i="4"/>
  <c r="A2525" i="4"/>
  <c r="M2524" i="4"/>
  <c r="L2524" i="4"/>
  <c r="K2524" i="4"/>
  <c r="J2524" i="4"/>
  <c r="I2524" i="4"/>
  <c r="H2524" i="4"/>
  <c r="G2524" i="4"/>
  <c r="F2524" i="4"/>
  <c r="E2524" i="4"/>
  <c r="D2524" i="4"/>
  <c r="C2524" i="4"/>
  <c r="B2524" i="4"/>
  <c r="A2524" i="4"/>
  <c r="M2523" i="4"/>
  <c r="L2523" i="4"/>
  <c r="K2523" i="4"/>
  <c r="J2523" i="4"/>
  <c r="I2523" i="4"/>
  <c r="H2523" i="4"/>
  <c r="G2523" i="4"/>
  <c r="F2523" i="4"/>
  <c r="E2523" i="4"/>
  <c r="D2523" i="4"/>
  <c r="C2523" i="4"/>
  <c r="B2523" i="4"/>
  <c r="A2523" i="4"/>
  <c r="M2522" i="4"/>
  <c r="L2522" i="4"/>
  <c r="K2522" i="4"/>
  <c r="J2522" i="4"/>
  <c r="I2522" i="4"/>
  <c r="H2522" i="4"/>
  <c r="G2522" i="4"/>
  <c r="F2522" i="4"/>
  <c r="E2522" i="4"/>
  <c r="D2522" i="4"/>
  <c r="C2522" i="4"/>
  <c r="B2522" i="4"/>
  <c r="A2522" i="4"/>
  <c r="M2521" i="4"/>
  <c r="L2521" i="4"/>
  <c r="K2521" i="4"/>
  <c r="J2521" i="4"/>
  <c r="I2521" i="4"/>
  <c r="H2521" i="4"/>
  <c r="G2521" i="4"/>
  <c r="F2521" i="4"/>
  <c r="E2521" i="4"/>
  <c r="D2521" i="4"/>
  <c r="C2521" i="4"/>
  <c r="B2521" i="4"/>
  <c r="A2521" i="4"/>
  <c r="M2520" i="4"/>
  <c r="L2520" i="4"/>
  <c r="K2520" i="4"/>
  <c r="J2520" i="4"/>
  <c r="I2520" i="4"/>
  <c r="H2520" i="4"/>
  <c r="G2520" i="4"/>
  <c r="F2520" i="4"/>
  <c r="E2520" i="4"/>
  <c r="D2520" i="4"/>
  <c r="C2520" i="4"/>
  <c r="B2520" i="4"/>
  <c r="A2520" i="4"/>
  <c r="M2519" i="4"/>
  <c r="L2519" i="4"/>
  <c r="K2519" i="4"/>
  <c r="J2519" i="4"/>
  <c r="I2519" i="4"/>
  <c r="H2519" i="4"/>
  <c r="G2519" i="4"/>
  <c r="F2519" i="4"/>
  <c r="E2519" i="4"/>
  <c r="D2519" i="4"/>
  <c r="C2519" i="4"/>
  <c r="B2519" i="4"/>
  <c r="A2519" i="4"/>
  <c r="M2518" i="4"/>
  <c r="L2518" i="4"/>
  <c r="K2518" i="4"/>
  <c r="J2518" i="4"/>
  <c r="I2518" i="4"/>
  <c r="H2518" i="4"/>
  <c r="G2518" i="4"/>
  <c r="F2518" i="4"/>
  <c r="E2518" i="4"/>
  <c r="D2518" i="4"/>
  <c r="C2518" i="4"/>
  <c r="B2518" i="4"/>
  <c r="A2518" i="4"/>
  <c r="M2517" i="4"/>
  <c r="L2517" i="4"/>
  <c r="K2517" i="4"/>
  <c r="J2517" i="4"/>
  <c r="I2517" i="4"/>
  <c r="H2517" i="4"/>
  <c r="G2517" i="4"/>
  <c r="F2517" i="4"/>
  <c r="E2517" i="4"/>
  <c r="D2517" i="4"/>
  <c r="C2517" i="4"/>
  <c r="B2517" i="4"/>
  <c r="A2517" i="4"/>
  <c r="M2516" i="4"/>
  <c r="L2516" i="4"/>
  <c r="K2516" i="4"/>
  <c r="J2516" i="4"/>
  <c r="I2516" i="4"/>
  <c r="H2516" i="4"/>
  <c r="G2516" i="4"/>
  <c r="F2516" i="4"/>
  <c r="E2516" i="4"/>
  <c r="D2516" i="4"/>
  <c r="C2516" i="4"/>
  <c r="B2516" i="4"/>
  <c r="A2516" i="4"/>
  <c r="M2515" i="4"/>
  <c r="L2515" i="4"/>
  <c r="K2515" i="4"/>
  <c r="J2515" i="4"/>
  <c r="I2515" i="4"/>
  <c r="H2515" i="4"/>
  <c r="G2515" i="4"/>
  <c r="F2515" i="4"/>
  <c r="E2515" i="4"/>
  <c r="D2515" i="4"/>
  <c r="C2515" i="4"/>
  <c r="B2515" i="4"/>
  <c r="A2515" i="4"/>
  <c r="M2514" i="4"/>
  <c r="L2514" i="4"/>
  <c r="K2514" i="4"/>
  <c r="J2514" i="4"/>
  <c r="I2514" i="4"/>
  <c r="H2514" i="4"/>
  <c r="G2514" i="4"/>
  <c r="F2514" i="4"/>
  <c r="E2514" i="4"/>
  <c r="D2514" i="4"/>
  <c r="C2514" i="4"/>
  <c r="B2514" i="4"/>
  <c r="A2514" i="4"/>
  <c r="M2513" i="4"/>
  <c r="L2513" i="4"/>
  <c r="K2513" i="4"/>
  <c r="J2513" i="4"/>
  <c r="I2513" i="4"/>
  <c r="H2513" i="4"/>
  <c r="G2513" i="4"/>
  <c r="F2513" i="4"/>
  <c r="E2513" i="4"/>
  <c r="D2513" i="4"/>
  <c r="C2513" i="4"/>
  <c r="B2513" i="4"/>
  <c r="A2513" i="4"/>
  <c r="M2512" i="4"/>
  <c r="L2512" i="4"/>
  <c r="K2512" i="4"/>
  <c r="J2512" i="4"/>
  <c r="I2512" i="4"/>
  <c r="H2512" i="4"/>
  <c r="G2512" i="4"/>
  <c r="F2512" i="4"/>
  <c r="E2512" i="4"/>
  <c r="D2512" i="4"/>
  <c r="C2512" i="4"/>
  <c r="B2512" i="4"/>
  <c r="A2512" i="4"/>
  <c r="M2511" i="4"/>
  <c r="L2511" i="4"/>
  <c r="K2511" i="4"/>
  <c r="J2511" i="4"/>
  <c r="I2511" i="4"/>
  <c r="H2511" i="4"/>
  <c r="G2511" i="4"/>
  <c r="F2511" i="4"/>
  <c r="E2511" i="4"/>
  <c r="D2511" i="4"/>
  <c r="C2511" i="4"/>
  <c r="B2511" i="4"/>
  <c r="A2511" i="4"/>
  <c r="M2510" i="4"/>
  <c r="L2510" i="4"/>
  <c r="K2510" i="4"/>
  <c r="J2510" i="4"/>
  <c r="I2510" i="4"/>
  <c r="H2510" i="4"/>
  <c r="G2510" i="4"/>
  <c r="F2510" i="4"/>
  <c r="E2510" i="4"/>
  <c r="D2510" i="4"/>
  <c r="C2510" i="4"/>
  <c r="B2510" i="4"/>
  <c r="A2510" i="4"/>
  <c r="M2509" i="4"/>
  <c r="L2509" i="4"/>
  <c r="K2509" i="4"/>
  <c r="J2509" i="4"/>
  <c r="I2509" i="4"/>
  <c r="H2509" i="4"/>
  <c r="G2509" i="4"/>
  <c r="F2509" i="4"/>
  <c r="E2509" i="4"/>
  <c r="D2509" i="4"/>
  <c r="C2509" i="4"/>
  <c r="B2509" i="4"/>
  <c r="A2509" i="4"/>
  <c r="M2508" i="4"/>
  <c r="L2508" i="4"/>
  <c r="K2508" i="4"/>
  <c r="J2508" i="4"/>
  <c r="I2508" i="4"/>
  <c r="H2508" i="4"/>
  <c r="G2508" i="4"/>
  <c r="F2508" i="4"/>
  <c r="E2508" i="4"/>
  <c r="D2508" i="4"/>
  <c r="C2508" i="4"/>
  <c r="B2508" i="4"/>
  <c r="A2508" i="4"/>
  <c r="M2507" i="4"/>
  <c r="L2507" i="4"/>
  <c r="K2507" i="4"/>
  <c r="J2507" i="4"/>
  <c r="I2507" i="4"/>
  <c r="H2507" i="4"/>
  <c r="G2507" i="4"/>
  <c r="F2507" i="4"/>
  <c r="E2507" i="4"/>
  <c r="D2507" i="4"/>
  <c r="C2507" i="4"/>
  <c r="B2507" i="4"/>
  <c r="A2507" i="4"/>
  <c r="M2506" i="4"/>
  <c r="L2506" i="4"/>
  <c r="K2506" i="4"/>
  <c r="J2506" i="4"/>
  <c r="I2506" i="4"/>
  <c r="H2506" i="4"/>
  <c r="G2506" i="4"/>
  <c r="F2506" i="4"/>
  <c r="E2506" i="4"/>
  <c r="D2506" i="4"/>
  <c r="C2506" i="4"/>
  <c r="B2506" i="4"/>
  <c r="A2506" i="4"/>
  <c r="M2505" i="4"/>
  <c r="L2505" i="4"/>
  <c r="K2505" i="4"/>
  <c r="J2505" i="4"/>
  <c r="I2505" i="4"/>
  <c r="H2505" i="4"/>
  <c r="G2505" i="4"/>
  <c r="F2505" i="4"/>
  <c r="E2505" i="4"/>
  <c r="D2505" i="4"/>
  <c r="C2505" i="4"/>
  <c r="B2505" i="4"/>
  <c r="A2505" i="4"/>
  <c r="M2504" i="4"/>
  <c r="L2504" i="4"/>
  <c r="K2504" i="4"/>
  <c r="J2504" i="4"/>
  <c r="I2504" i="4"/>
  <c r="H2504" i="4"/>
  <c r="G2504" i="4"/>
  <c r="F2504" i="4"/>
  <c r="E2504" i="4"/>
  <c r="D2504" i="4"/>
  <c r="C2504" i="4"/>
  <c r="B2504" i="4"/>
  <c r="A2504" i="4"/>
  <c r="M2503" i="4"/>
  <c r="L2503" i="4"/>
  <c r="K2503" i="4"/>
  <c r="J2503" i="4"/>
  <c r="I2503" i="4"/>
  <c r="H2503" i="4"/>
  <c r="G2503" i="4"/>
  <c r="F2503" i="4"/>
  <c r="E2503" i="4"/>
  <c r="D2503" i="4"/>
  <c r="C2503" i="4"/>
  <c r="B2503" i="4"/>
  <c r="A2503" i="4"/>
  <c r="M2502" i="4"/>
  <c r="L2502" i="4"/>
  <c r="K2502" i="4"/>
  <c r="J2502" i="4"/>
  <c r="I2502" i="4"/>
  <c r="H2502" i="4"/>
  <c r="G2502" i="4"/>
  <c r="F2502" i="4"/>
  <c r="E2502" i="4"/>
  <c r="D2502" i="4"/>
  <c r="C2502" i="4"/>
  <c r="B2502" i="4"/>
  <c r="A2502" i="4"/>
  <c r="M2501" i="4"/>
  <c r="L2501" i="4"/>
  <c r="K2501" i="4"/>
  <c r="J2501" i="4"/>
  <c r="I2501" i="4"/>
  <c r="H2501" i="4"/>
  <c r="G2501" i="4"/>
  <c r="F2501" i="4"/>
  <c r="E2501" i="4"/>
  <c r="D2501" i="4"/>
  <c r="C2501" i="4"/>
  <c r="B2501" i="4"/>
  <c r="A2501" i="4"/>
  <c r="M2500" i="4"/>
  <c r="L2500" i="4"/>
  <c r="K2500" i="4"/>
  <c r="J2500" i="4"/>
  <c r="I2500" i="4"/>
  <c r="H2500" i="4"/>
  <c r="G2500" i="4"/>
  <c r="F2500" i="4"/>
  <c r="E2500" i="4"/>
  <c r="D2500" i="4"/>
  <c r="C2500" i="4"/>
  <c r="B2500" i="4"/>
  <c r="A2500" i="4"/>
  <c r="M2499" i="4"/>
  <c r="L2499" i="4"/>
  <c r="K2499" i="4"/>
  <c r="J2499" i="4"/>
  <c r="I2499" i="4"/>
  <c r="H2499" i="4"/>
  <c r="G2499" i="4"/>
  <c r="F2499" i="4"/>
  <c r="E2499" i="4"/>
  <c r="D2499" i="4"/>
  <c r="C2499" i="4"/>
  <c r="B2499" i="4"/>
  <c r="A2499" i="4"/>
  <c r="M2498" i="4"/>
  <c r="L2498" i="4"/>
  <c r="K2498" i="4"/>
  <c r="J2498" i="4"/>
  <c r="I2498" i="4"/>
  <c r="H2498" i="4"/>
  <c r="G2498" i="4"/>
  <c r="F2498" i="4"/>
  <c r="E2498" i="4"/>
  <c r="D2498" i="4"/>
  <c r="C2498" i="4"/>
  <c r="B2498" i="4"/>
  <c r="A2498" i="4"/>
  <c r="M2497" i="4"/>
  <c r="L2497" i="4"/>
  <c r="K2497" i="4"/>
  <c r="J2497" i="4"/>
  <c r="I2497" i="4"/>
  <c r="H2497" i="4"/>
  <c r="G2497" i="4"/>
  <c r="F2497" i="4"/>
  <c r="E2497" i="4"/>
  <c r="D2497" i="4"/>
  <c r="C2497" i="4"/>
  <c r="B2497" i="4"/>
  <c r="A2497" i="4"/>
  <c r="M2496" i="4"/>
  <c r="L2496" i="4"/>
  <c r="K2496" i="4"/>
  <c r="J2496" i="4"/>
  <c r="I2496" i="4"/>
  <c r="H2496" i="4"/>
  <c r="G2496" i="4"/>
  <c r="F2496" i="4"/>
  <c r="E2496" i="4"/>
  <c r="D2496" i="4"/>
  <c r="C2496" i="4"/>
  <c r="B2496" i="4"/>
  <c r="A2496" i="4"/>
  <c r="M2495" i="4"/>
  <c r="L2495" i="4"/>
  <c r="K2495" i="4"/>
  <c r="J2495" i="4"/>
  <c r="I2495" i="4"/>
  <c r="H2495" i="4"/>
  <c r="G2495" i="4"/>
  <c r="F2495" i="4"/>
  <c r="E2495" i="4"/>
  <c r="D2495" i="4"/>
  <c r="C2495" i="4"/>
  <c r="B2495" i="4"/>
  <c r="A2495" i="4"/>
  <c r="M2494" i="4"/>
  <c r="L2494" i="4"/>
  <c r="K2494" i="4"/>
  <c r="J2494" i="4"/>
  <c r="I2494" i="4"/>
  <c r="H2494" i="4"/>
  <c r="G2494" i="4"/>
  <c r="F2494" i="4"/>
  <c r="E2494" i="4"/>
  <c r="D2494" i="4"/>
  <c r="C2494" i="4"/>
  <c r="B2494" i="4"/>
  <c r="A2494" i="4"/>
  <c r="M2493" i="4"/>
  <c r="L2493" i="4"/>
  <c r="K2493" i="4"/>
  <c r="J2493" i="4"/>
  <c r="I2493" i="4"/>
  <c r="H2493" i="4"/>
  <c r="G2493" i="4"/>
  <c r="F2493" i="4"/>
  <c r="E2493" i="4"/>
  <c r="D2493" i="4"/>
  <c r="C2493" i="4"/>
  <c r="B2493" i="4"/>
  <c r="A2493" i="4"/>
  <c r="M2492" i="4"/>
  <c r="L2492" i="4"/>
  <c r="K2492" i="4"/>
  <c r="J2492" i="4"/>
  <c r="I2492" i="4"/>
  <c r="H2492" i="4"/>
  <c r="G2492" i="4"/>
  <c r="F2492" i="4"/>
  <c r="E2492" i="4"/>
  <c r="D2492" i="4"/>
  <c r="C2492" i="4"/>
  <c r="B2492" i="4"/>
  <c r="A2492" i="4"/>
  <c r="M2491" i="4"/>
  <c r="L2491" i="4"/>
  <c r="K2491" i="4"/>
  <c r="J2491" i="4"/>
  <c r="I2491" i="4"/>
  <c r="H2491" i="4"/>
  <c r="G2491" i="4"/>
  <c r="F2491" i="4"/>
  <c r="E2491" i="4"/>
  <c r="D2491" i="4"/>
  <c r="C2491" i="4"/>
  <c r="B2491" i="4"/>
  <c r="A2491" i="4"/>
  <c r="M2490" i="4"/>
  <c r="L2490" i="4"/>
  <c r="K2490" i="4"/>
  <c r="J2490" i="4"/>
  <c r="I2490" i="4"/>
  <c r="H2490" i="4"/>
  <c r="G2490" i="4"/>
  <c r="F2490" i="4"/>
  <c r="E2490" i="4"/>
  <c r="D2490" i="4"/>
  <c r="C2490" i="4"/>
  <c r="B2490" i="4"/>
  <c r="A2490" i="4"/>
  <c r="M2489" i="4"/>
  <c r="L2489" i="4"/>
  <c r="K2489" i="4"/>
  <c r="J2489" i="4"/>
  <c r="I2489" i="4"/>
  <c r="H2489" i="4"/>
  <c r="G2489" i="4"/>
  <c r="F2489" i="4"/>
  <c r="E2489" i="4"/>
  <c r="D2489" i="4"/>
  <c r="C2489" i="4"/>
  <c r="B2489" i="4"/>
  <c r="A2489" i="4"/>
  <c r="M2488" i="4"/>
  <c r="L2488" i="4"/>
  <c r="K2488" i="4"/>
  <c r="J2488" i="4"/>
  <c r="I2488" i="4"/>
  <c r="H2488" i="4"/>
  <c r="G2488" i="4"/>
  <c r="F2488" i="4"/>
  <c r="E2488" i="4"/>
  <c r="D2488" i="4"/>
  <c r="C2488" i="4"/>
  <c r="B2488" i="4"/>
  <c r="A2488" i="4"/>
  <c r="M2487" i="4"/>
  <c r="L2487" i="4"/>
  <c r="K2487" i="4"/>
  <c r="J2487" i="4"/>
  <c r="I2487" i="4"/>
  <c r="H2487" i="4"/>
  <c r="G2487" i="4"/>
  <c r="F2487" i="4"/>
  <c r="E2487" i="4"/>
  <c r="D2487" i="4"/>
  <c r="C2487" i="4"/>
  <c r="B2487" i="4"/>
  <c r="A2487" i="4"/>
  <c r="M2486" i="4"/>
  <c r="L2486" i="4"/>
  <c r="K2486" i="4"/>
  <c r="J2486" i="4"/>
  <c r="I2486" i="4"/>
  <c r="H2486" i="4"/>
  <c r="G2486" i="4"/>
  <c r="F2486" i="4"/>
  <c r="E2486" i="4"/>
  <c r="D2486" i="4"/>
  <c r="C2486" i="4"/>
  <c r="B2486" i="4"/>
  <c r="A2486" i="4"/>
  <c r="M2485" i="4"/>
  <c r="L2485" i="4"/>
  <c r="K2485" i="4"/>
  <c r="J2485" i="4"/>
  <c r="I2485" i="4"/>
  <c r="H2485" i="4"/>
  <c r="G2485" i="4"/>
  <c r="F2485" i="4"/>
  <c r="E2485" i="4"/>
  <c r="D2485" i="4"/>
  <c r="C2485" i="4"/>
  <c r="B2485" i="4"/>
  <c r="A2485" i="4"/>
  <c r="M2484" i="4"/>
  <c r="L2484" i="4"/>
  <c r="K2484" i="4"/>
  <c r="J2484" i="4"/>
  <c r="I2484" i="4"/>
  <c r="H2484" i="4"/>
  <c r="G2484" i="4"/>
  <c r="F2484" i="4"/>
  <c r="E2484" i="4"/>
  <c r="D2484" i="4"/>
  <c r="C2484" i="4"/>
  <c r="B2484" i="4"/>
  <c r="A2484" i="4"/>
  <c r="M2483" i="4"/>
  <c r="L2483" i="4"/>
  <c r="K2483" i="4"/>
  <c r="J2483" i="4"/>
  <c r="I2483" i="4"/>
  <c r="H2483" i="4"/>
  <c r="G2483" i="4"/>
  <c r="F2483" i="4"/>
  <c r="E2483" i="4"/>
  <c r="D2483" i="4"/>
  <c r="C2483" i="4"/>
  <c r="B2483" i="4"/>
  <c r="A2483" i="4"/>
  <c r="M2482" i="4"/>
  <c r="L2482" i="4"/>
  <c r="K2482" i="4"/>
  <c r="J2482" i="4"/>
  <c r="I2482" i="4"/>
  <c r="H2482" i="4"/>
  <c r="G2482" i="4"/>
  <c r="F2482" i="4"/>
  <c r="E2482" i="4"/>
  <c r="D2482" i="4"/>
  <c r="C2482" i="4"/>
  <c r="B2482" i="4"/>
  <c r="A2482" i="4"/>
  <c r="M2481" i="4"/>
  <c r="L2481" i="4"/>
  <c r="K2481" i="4"/>
  <c r="J2481" i="4"/>
  <c r="I2481" i="4"/>
  <c r="H2481" i="4"/>
  <c r="G2481" i="4"/>
  <c r="F2481" i="4"/>
  <c r="E2481" i="4"/>
  <c r="D2481" i="4"/>
  <c r="C2481" i="4"/>
  <c r="B2481" i="4"/>
  <c r="A2481" i="4"/>
  <c r="M2480" i="4"/>
  <c r="L2480" i="4"/>
  <c r="K2480" i="4"/>
  <c r="J2480" i="4"/>
  <c r="I2480" i="4"/>
  <c r="H2480" i="4"/>
  <c r="G2480" i="4"/>
  <c r="F2480" i="4"/>
  <c r="E2480" i="4"/>
  <c r="D2480" i="4"/>
  <c r="C2480" i="4"/>
  <c r="B2480" i="4"/>
  <c r="A2480" i="4"/>
  <c r="M2479" i="4"/>
  <c r="L2479" i="4"/>
  <c r="K2479" i="4"/>
  <c r="J2479" i="4"/>
  <c r="I2479" i="4"/>
  <c r="H2479" i="4"/>
  <c r="G2479" i="4"/>
  <c r="F2479" i="4"/>
  <c r="E2479" i="4"/>
  <c r="D2479" i="4"/>
  <c r="C2479" i="4"/>
  <c r="B2479" i="4"/>
  <c r="A2479" i="4"/>
  <c r="M2478" i="4"/>
  <c r="L2478" i="4"/>
  <c r="K2478" i="4"/>
  <c r="J2478" i="4"/>
  <c r="I2478" i="4"/>
  <c r="H2478" i="4"/>
  <c r="G2478" i="4"/>
  <c r="F2478" i="4"/>
  <c r="E2478" i="4"/>
  <c r="D2478" i="4"/>
  <c r="C2478" i="4"/>
  <c r="B2478" i="4"/>
  <c r="A2478" i="4"/>
  <c r="M2477" i="4"/>
  <c r="L2477" i="4"/>
  <c r="K2477" i="4"/>
  <c r="J2477" i="4"/>
  <c r="I2477" i="4"/>
  <c r="H2477" i="4"/>
  <c r="G2477" i="4"/>
  <c r="F2477" i="4"/>
  <c r="E2477" i="4"/>
  <c r="D2477" i="4"/>
  <c r="C2477" i="4"/>
  <c r="B2477" i="4"/>
  <c r="A2477" i="4"/>
  <c r="M2476" i="4"/>
  <c r="L2476" i="4"/>
  <c r="K2476" i="4"/>
  <c r="J2476" i="4"/>
  <c r="I2476" i="4"/>
  <c r="H2476" i="4"/>
  <c r="G2476" i="4"/>
  <c r="F2476" i="4"/>
  <c r="E2476" i="4"/>
  <c r="D2476" i="4"/>
  <c r="C2476" i="4"/>
  <c r="B2476" i="4"/>
  <c r="A2476" i="4"/>
  <c r="M2475" i="4"/>
  <c r="L2475" i="4"/>
  <c r="K2475" i="4"/>
  <c r="J2475" i="4"/>
  <c r="I2475" i="4"/>
  <c r="H2475" i="4"/>
  <c r="G2475" i="4"/>
  <c r="F2475" i="4"/>
  <c r="E2475" i="4"/>
  <c r="D2475" i="4"/>
  <c r="C2475" i="4"/>
  <c r="B2475" i="4"/>
  <c r="A2475" i="4"/>
  <c r="M2474" i="4"/>
  <c r="L2474" i="4"/>
  <c r="K2474" i="4"/>
  <c r="J2474" i="4"/>
  <c r="I2474" i="4"/>
  <c r="H2474" i="4"/>
  <c r="G2474" i="4"/>
  <c r="F2474" i="4"/>
  <c r="E2474" i="4"/>
  <c r="D2474" i="4"/>
  <c r="C2474" i="4"/>
  <c r="B2474" i="4"/>
  <c r="A2474" i="4"/>
  <c r="M2473" i="4"/>
  <c r="L2473" i="4"/>
  <c r="K2473" i="4"/>
  <c r="J2473" i="4"/>
  <c r="I2473" i="4"/>
  <c r="H2473" i="4"/>
  <c r="G2473" i="4"/>
  <c r="F2473" i="4"/>
  <c r="E2473" i="4"/>
  <c r="D2473" i="4"/>
  <c r="C2473" i="4"/>
  <c r="B2473" i="4"/>
  <c r="A2473" i="4"/>
  <c r="M2472" i="4"/>
  <c r="L2472" i="4"/>
  <c r="K2472" i="4"/>
  <c r="J2472" i="4"/>
  <c r="I2472" i="4"/>
  <c r="H2472" i="4"/>
  <c r="G2472" i="4"/>
  <c r="F2472" i="4"/>
  <c r="E2472" i="4"/>
  <c r="D2472" i="4"/>
  <c r="C2472" i="4"/>
  <c r="B2472" i="4"/>
  <c r="A2472" i="4"/>
  <c r="M2471" i="4"/>
  <c r="L2471" i="4"/>
  <c r="K2471" i="4"/>
  <c r="J2471" i="4"/>
  <c r="I2471" i="4"/>
  <c r="H2471" i="4"/>
  <c r="G2471" i="4"/>
  <c r="F2471" i="4"/>
  <c r="E2471" i="4"/>
  <c r="D2471" i="4"/>
  <c r="C2471" i="4"/>
  <c r="B2471" i="4"/>
  <c r="A2471" i="4"/>
  <c r="M2470" i="4"/>
  <c r="L2470" i="4"/>
  <c r="K2470" i="4"/>
  <c r="J2470" i="4"/>
  <c r="I2470" i="4"/>
  <c r="H2470" i="4"/>
  <c r="G2470" i="4"/>
  <c r="F2470" i="4"/>
  <c r="E2470" i="4"/>
  <c r="D2470" i="4"/>
  <c r="C2470" i="4"/>
  <c r="B2470" i="4"/>
  <c r="A2470" i="4"/>
  <c r="M2469" i="4"/>
  <c r="L2469" i="4"/>
  <c r="K2469" i="4"/>
  <c r="J2469" i="4"/>
  <c r="I2469" i="4"/>
  <c r="H2469" i="4"/>
  <c r="G2469" i="4"/>
  <c r="F2469" i="4"/>
  <c r="E2469" i="4"/>
  <c r="D2469" i="4"/>
  <c r="C2469" i="4"/>
  <c r="B2469" i="4"/>
  <c r="A2469" i="4"/>
  <c r="M2468" i="4"/>
  <c r="L2468" i="4"/>
  <c r="K2468" i="4"/>
  <c r="J2468" i="4"/>
  <c r="I2468" i="4"/>
  <c r="H2468" i="4"/>
  <c r="G2468" i="4"/>
  <c r="F2468" i="4"/>
  <c r="E2468" i="4"/>
  <c r="D2468" i="4"/>
  <c r="C2468" i="4"/>
  <c r="B2468" i="4"/>
  <c r="A2468" i="4"/>
  <c r="M2467" i="4"/>
  <c r="L2467" i="4"/>
  <c r="K2467" i="4"/>
  <c r="J2467" i="4"/>
  <c r="I2467" i="4"/>
  <c r="H2467" i="4"/>
  <c r="G2467" i="4"/>
  <c r="F2467" i="4"/>
  <c r="E2467" i="4"/>
  <c r="D2467" i="4"/>
  <c r="C2467" i="4"/>
  <c r="B2467" i="4"/>
  <c r="A2467" i="4"/>
  <c r="M2466" i="4"/>
  <c r="L2466" i="4"/>
  <c r="K2466" i="4"/>
  <c r="J2466" i="4"/>
  <c r="I2466" i="4"/>
  <c r="H2466" i="4"/>
  <c r="G2466" i="4"/>
  <c r="E2466" i="4"/>
  <c r="D2466" i="4"/>
  <c r="C2466" i="4"/>
  <c r="B2466" i="4"/>
  <c r="A2466" i="4"/>
  <c r="M2465" i="4"/>
  <c r="L2465" i="4"/>
  <c r="K2465" i="4"/>
  <c r="J2465" i="4"/>
  <c r="I2465" i="4"/>
  <c r="H2465" i="4"/>
  <c r="G2465" i="4"/>
  <c r="F2465" i="4"/>
  <c r="E2465" i="4"/>
  <c r="D2465" i="4"/>
  <c r="C2465" i="4"/>
  <c r="B2465" i="4"/>
  <c r="A2465" i="4"/>
  <c r="M2464" i="4"/>
  <c r="L2464" i="4"/>
  <c r="K2464" i="4"/>
  <c r="J2464" i="4"/>
  <c r="I2464" i="4"/>
  <c r="H2464" i="4"/>
  <c r="G2464" i="4"/>
  <c r="F2464" i="4"/>
  <c r="E2464" i="4"/>
  <c r="D2464" i="4"/>
  <c r="C2464" i="4"/>
  <c r="B2464" i="4"/>
  <c r="A2464" i="4"/>
  <c r="M2463" i="4"/>
  <c r="L2463" i="4"/>
  <c r="K2463" i="4"/>
  <c r="J2463" i="4"/>
  <c r="I2463" i="4"/>
  <c r="H2463" i="4"/>
  <c r="G2463" i="4"/>
  <c r="F2463" i="4"/>
  <c r="E2463" i="4"/>
  <c r="D2463" i="4"/>
  <c r="C2463" i="4"/>
  <c r="B2463" i="4"/>
  <c r="A2463" i="4"/>
  <c r="M2462" i="4"/>
  <c r="L2462" i="4"/>
  <c r="K2462" i="4"/>
  <c r="J2462" i="4"/>
  <c r="I2462" i="4"/>
  <c r="H2462" i="4"/>
  <c r="G2462" i="4"/>
  <c r="F2462" i="4"/>
  <c r="E2462" i="4"/>
  <c r="D2462" i="4"/>
  <c r="C2462" i="4"/>
  <c r="B2462" i="4"/>
  <c r="A2462" i="4"/>
  <c r="M2461" i="4"/>
  <c r="L2461" i="4"/>
  <c r="K2461" i="4"/>
  <c r="J2461" i="4"/>
  <c r="I2461" i="4"/>
  <c r="H2461" i="4"/>
  <c r="G2461" i="4"/>
  <c r="F2461" i="4"/>
  <c r="E2461" i="4"/>
  <c r="D2461" i="4"/>
  <c r="C2461" i="4"/>
  <c r="B2461" i="4"/>
  <c r="A2461" i="4"/>
  <c r="M2460" i="4"/>
  <c r="L2460" i="4"/>
  <c r="K2460" i="4"/>
  <c r="J2460" i="4"/>
  <c r="I2460" i="4"/>
  <c r="H2460" i="4"/>
  <c r="G2460" i="4"/>
  <c r="F2460" i="4"/>
  <c r="E2460" i="4"/>
  <c r="D2460" i="4"/>
  <c r="C2460" i="4"/>
  <c r="B2460" i="4"/>
  <c r="A2460" i="4"/>
  <c r="M2459" i="4"/>
  <c r="L2459" i="4"/>
  <c r="K2459" i="4"/>
  <c r="J2459" i="4"/>
  <c r="I2459" i="4"/>
  <c r="H2459" i="4"/>
  <c r="G2459" i="4"/>
  <c r="F2459" i="4"/>
  <c r="E2459" i="4"/>
  <c r="D2459" i="4"/>
  <c r="C2459" i="4"/>
  <c r="B2459" i="4"/>
  <c r="A2459" i="4"/>
  <c r="M2458" i="4"/>
  <c r="L2458" i="4"/>
  <c r="K2458" i="4"/>
  <c r="J2458" i="4"/>
  <c r="I2458" i="4"/>
  <c r="H2458" i="4"/>
  <c r="G2458" i="4"/>
  <c r="F2458" i="4"/>
  <c r="E2458" i="4"/>
  <c r="D2458" i="4"/>
  <c r="C2458" i="4"/>
  <c r="B2458" i="4"/>
  <c r="A2458" i="4"/>
  <c r="M2457" i="4"/>
  <c r="L2457" i="4"/>
  <c r="K2457" i="4"/>
  <c r="J2457" i="4"/>
  <c r="I2457" i="4"/>
  <c r="H2457" i="4"/>
  <c r="G2457" i="4"/>
  <c r="F2457" i="4"/>
  <c r="E2457" i="4"/>
  <c r="D2457" i="4"/>
  <c r="C2457" i="4"/>
  <c r="B2457" i="4"/>
  <c r="A2457" i="4"/>
  <c r="M2456" i="4"/>
  <c r="L2456" i="4"/>
  <c r="K2456" i="4"/>
  <c r="J2456" i="4"/>
  <c r="I2456" i="4"/>
  <c r="H2456" i="4"/>
  <c r="G2456" i="4"/>
  <c r="F2456" i="4"/>
  <c r="E2456" i="4"/>
  <c r="D2456" i="4"/>
  <c r="C2456" i="4"/>
  <c r="B2456" i="4"/>
  <c r="A2456" i="4"/>
  <c r="M2455" i="4"/>
  <c r="L2455" i="4"/>
  <c r="K2455" i="4"/>
  <c r="J2455" i="4"/>
  <c r="I2455" i="4"/>
  <c r="H2455" i="4"/>
  <c r="G2455" i="4"/>
  <c r="F2455" i="4"/>
  <c r="E2455" i="4"/>
  <c r="D2455" i="4"/>
  <c r="C2455" i="4"/>
  <c r="B2455" i="4"/>
  <c r="A2455" i="4"/>
  <c r="M2454" i="4"/>
  <c r="L2454" i="4"/>
  <c r="K2454" i="4"/>
  <c r="J2454" i="4"/>
  <c r="I2454" i="4"/>
  <c r="H2454" i="4"/>
  <c r="G2454" i="4"/>
  <c r="F2454" i="4"/>
  <c r="D2454" i="4"/>
  <c r="C2454" i="4"/>
  <c r="B2454" i="4"/>
  <c r="A2454" i="4"/>
  <c r="M2453" i="4"/>
  <c r="L2453" i="4"/>
  <c r="K2453" i="4"/>
  <c r="J2453" i="4"/>
  <c r="I2453" i="4"/>
  <c r="H2453" i="4"/>
  <c r="G2453" i="4"/>
  <c r="F2453" i="4"/>
  <c r="E2453" i="4"/>
  <c r="D2453" i="4"/>
  <c r="C2453" i="4"/>
  <c r="B2453" i="4"/>
  <c r="A2453" i="4"/>
  <c r="M2452" i="4"/>
  <c r="L2452" i="4"/>
  <c r="K2452" i="4"/>
  <c r="J2452" i="4"/>
  <c r="I2452" i="4"/>
  <c r="H2452" i="4"/>
  <c r="G2452" i="4"/>
  <c r="F2452" i="4"/>
  <c r="E2452" i="4"/>
  <c r="D2452" i="4"/>
  <c r="C2452" i="4"/>
  <c r="B2452" i="4"/>
  <c r="A2452" i="4"/>
  <c r="M2451" i="4"/>
  <c r="L2451" i="4"/>
  <c r="K2451" i="4"/>
  <c r="J2451" i="4"/>
  <c r="I2451" i="4"/>
  <c r="H2451" i="4"/>
  <c r="G2451" i="4"/>
  <c r="F2451" i="4"/>
  <c r="E2451" i="4"/>
  <c r="D2451" i="4"/>
  <c r="C2451" i="4"/>
  <c r="B2451" i="4"/>
  <c r="A2451" i="4"/>
  <c r="M2450" i="4"/>
  <c r="L2450" i="4"/>
  <c r="K2450" i="4"/>
  <c r="J2450" i="4"/>
  <c r="I2450" i="4"/>
  <c r="H2450" i="4"/>
  <c r="G2450" i="4"/>
  <c r="F2450" i="4"/>
  <c r="E2450" i="4"/>
  <c r="D2450" i="4"/>
  <c r="C2450" i="4"/>
  <c r="B2450" i="4"/>
  <c r="A2450" i="4"/>
  <c r="M2449" i="4"/>
  <c r="L2449" i="4"/>
  <c r="K2449" i="4"/>
  <c r="J2449" i="4"/>
  <c r="I2449" i="4"/>
  <c r="H2449" i="4"/>
  <c r="G2449" i="4"/>
  <c r="F2449" i="4"/>
  <c r="D2449" i="4"/>
  <c r="C2449" i="4"/>
  <c r="B2449" i="4"/>
  <c r="A2449" i="4"/>
  <c r="M2448" i="4"/>
  <c r="L2448" i="4"/>
  <c r="K2448" i="4"/>
  <c r="J2448" i="4"/>
  <c r="I2448" i="4"/>
  <c r="H2448" i="4"/>
  <c r="G2448" i="4"/>
  <c r="F2448" i="4"/>
  <c r="E2448" i="4"/>
  <c r="D2448" i="4"/>
  <c r="C2448" i="4"/>
  <c r="B2448" i="4"/>
  <c r="A2448" i="4"/>
  <c r="M2447" i="4"/>
  <c r="L2447" i="4"/>
  <c r="K2447" i="4"/>
  <c r="J2447" i="4"/>
  <c r="I2447" i="4"/>
  <c r="H2447" i="4"/>
  <c r="G2447" i="4"/>
  <c r="F2447" i="4"/>
  <c r="E2447" i="4"/>
  <c r="D2447" i="4"/>
  <c r="C2447" i="4"/>
  <c r="B2447" i="4"/>
  <c r="A2447" i="4"/>
  <c r="M2446" i="4"/>
  <c r="L2446" i="4"/>
  <c r="K2446" i="4"/>
  <c r="J2446" i="4"/>
  <c r="I2446" i="4"/>
  <c r="H2446" i="4"/>
  <c r="G2446" i="4"/>
  <c r="F2446" i="4"/>
  <c r="E2446" i="4"/>
  <c r="D2446" i="4"/>
  <c r="C2446" i="4"/>
  <c r="B2446" i="4"/>
  <c r="A2446" i="4"/>
  <c r="M2445" i="4"/>
  <c r="L2445" i="4"/>
  <c r="K2445" i="4"/>
  <c r="J2445" i="4"/>
  <c r="I2445" i="4"/>
  <c r="H2445" i="4"/>
  <c r="G2445" i="4"/>
  <c r="F2445" i="4"/>
  <c r="E2445" i="4"/>
  <c r="D2445" i="4"/>
  <c r="C2445" i="4"/>
  <c r="B2445" i="4"/>
  <c r="A2445" i="4"/>
  <c r="M2444" i="4"/>
  <c r="L2444" i="4"/>
  <c r="K2444" i="4"/>
  <c r="J2444" i="4"/>
  <c r="I2444" i="4"/>
  <c r="H2444" i="4"/>
  <c r="G2444" i="4"/>
  <c r="F2444" i="4"/>
  <c r="E2444" i="4"/>
  <c r="D2444" i="4"/>
  <c r="C2444" i="4"/>
  <c r="B2444" i="4"/>
  <c r="A2444" i="4"/>
  <c r="M2443" i="4"/>
  <c r="L2443" i="4"/>
  <c r="K2443" i="4"/>
  <c r="J2443" i="4"/>
  <c r="I2443" i="4"/>
  <c r="H2443" i="4"/>
  <c r="G2443" i="4"/>
  <c r="F2443" i="4"/>
  <c r="E2443" i="4"/>
  <c r="D2443" i="4"/>
  <c r="C2443" i="4"/>
  <c r="B2443" i="4"/>
  <c r="A2443" i="4"/>
  <c r="M2442" i="4"/>
  <c r="L2442" i="4"/>
  <c r="K2442" i="4"/>
  <c r="J2442" i="4"/>
  <c r="I2442" i="4"/>
  <c r="H2442" i="4"/>
  <c r="G2442" i="4"/>
  <c r="F2442" i="4"/>
  <c r="E2442" i="4"/>
  <c r="D2442" i="4"/>
  <c r="C2442" i="4"/>
  <c r="B2442" i="4"/>
  <c r="A2442" i="4"/>
  <c r="M2441" i="4"/>
  <c r="L2441" i="4"/>
  <c r="K2441" i="4"/>
  <c r="J2441" i="4"/>
  <c r="I2441" i="4"/>
  <c r="H2441" i="4"/>
  <c r="G2441" i="4"/>
  <c r="F2441" i="4"/>
  <c r="E2441" i="4"/>
  <c r="D2441" i="4"/>
  <c r="C2441" i="4"/>
  <c r="B2441" i="4"/>
  <c r="A2441" i="4"/>
  <c r="M2440" i="4"/>
  <c r="L2440" i="4"/>
  <c r="K2440" i="4"/>
  <c r="J2440" i="4"/>
  <c r="I2440" i="4"/>
  <c r="H2440" i="4"/>
  <c r="G2440" i="4"/>
  <c r="F2440" i="4"/>
  <c r="E2440" i="4"/>
  <c r="D2440" i="4"/>
  <c r="C2440" i="4"/>
  <c r="B2440" i="4"/>
  <c r="A2440" i="4"/>
  <c r="M2439" i="4"/>
  <c r="L2439" i="4"/>
  <c r="K2439" i="4"/>
  <c r="J2439" i="4"/>
  <c r="I2439" i="4"/>
  <c r="H2439" i="4"/>
  <c r="G2439" i="4"/>
  <c r="F2439" i="4"/>
  <c r="E2439" i="4"/>
  <c r="D2439" i="4"/>
  <c r="C2439" i="4"/>
  <c r="B2439" i="4"/>
  <c r="A2439" i="4"/>
  <c r="M2438" i="4"/>
  <c r="L2438" i="4"/>
  <c r="K2438" i="4"/>
  <c r="J2438" i="4"/>
  <c r="I2438" i="4"/>
  <c r="H2438" i="4"/>
  <c r="G2438" i="4"/>
  <c r="F2438" i="4"/>
  <c r="E2438" i="4"/>
  <c r="D2438" i="4"/>
  <c r="C2438" i="4"/>
  <c r="B2438" i="4"/>
  <c r="A2438" i="4"/>
  <c r="M2437" i="4"/>
  <c r="L2437" i="4"/>
  <c r="K2437" i="4"/>
  <c r="J2437" i="4"/>
  <c r="I2437" i="4"/>
  <c r="H2437" i="4"/>
  <c r="G2437" i="4"/>
  <c r="F2437" i="4"/>
  <c r="E2437" i="4"/>
  <c r="D2437" i="4"/>
  <c r="C2437" i="4"/>
  <c r="B2437" i="4"/>
  <c r="A2437" i="4"/>
  <c r="M2436" i="4"/>
  <c r="L2436" i="4"/>
  <c r="K2436" i="4"/>
  <c r="J2436" i="4"/>
  <c r="I2436" i="4"/>
  <c r="H2436" i="4"/>
  <c r="G2436" i="4"/>
  <c r="F2436" i="4"/>
  <c r="E2436" i="4"/>
  <c r="D2436" i="4"/>
  <c r="C2436" i="4"/>
  <c r="B2436" i="4"/>
  <c r="A2436" i="4"/>
  <c r="M2435" i="4"/>
  <c r="L2435" i="4"/>
  <c r="K2435" i="4"/>
  <c r="J2435" i="4"/>
  <c r="I2435" i="4"/>
  <c r="H2435" i="4"/>
  <c r="G2435" i="4"/>
  <c r="F2435" i="4"/>
  <c r="E2435" i="4"/>
  <c r="D2435" i="4"/>
  <c r="C2435" i="4"/>
  <c r="B2435" i="4"/>
  <c r="A2435" i="4"/>
  <c r="M2434" i="4"/>
  <c r="L2434" i="4"/>
  <c r="K2434" i="4"/>
  <c r="J2434" i="4"/>
  <c r="I2434" i="4"/>
  <c r="H2434" i="4"/>
  <c r="G2434" i="4"/>
  <c r="F2434" i="4"/>
  <c r="E2434" i="4"/>
  <c r="D2434" i="4"/>
  <c r="C2434" i="4"/>
  <c r="B2434" i="4"/>
  <c r="A2434" i="4"/>
  <c r="M2433" i="4"/>
  <c r="L2433" i="4"/>
  <c r="K2433" i="4"/>
  <c r="J2433" i="4"/>
  <c r="I2433" i="4"/>
  <c r="H2433" i="4"/>
  <c r="G2433" i="4"/>
  <c r="F2433" i="4"/>
  <c r="E2433" i="4"/>
  <c r="D2433" i="4"/>
  <c r="C2433" i="4"/>
  <c r="B2433" i="4"/>
  <c r="A2433" i="4"/>
  <c r="M2432" i="4"/>
  <c r="L2432" i="4"/>
  <c r="K2432" i="4"/>
  <c r="J2432" i="4"/>
  <c r="I2432" i="4"/>
  <c r="H2432" i="4"/>
  <c r="G2432" i="4"/>
  <c r="F2432" i="4"/>
  <c r="E2432" i="4"/>
  <c r="D2432" i="4"/>
  <c r="C2432" i="4"/>
  <c r="B2432" i="4"/>
  <c r="A2432" i="4"/>
  <c r="M2431" i="4"/>
  <c r="L2431" i="4"/>
  <c r="K2431" i="4"/>
  <c r="J2431" i="4"/>
  <c r="I2431" i="4"/>
  <c r="H2431" i="4"/>
  <c r="G2431" i="4"/>
  <c r="F2431" i="4"/>
  <c r="E2431" i="4"/>
  <c r="D2431" i="4"/>
  <c r="C2431" i="4"/>
  <c r="B2431" i="4"/>
  <c r="A2431" i="4"/>
  <c r="M2430" i="4"/>
  <c r="L2430" i="4"/>
  <c r="K2430" i="4"/>
  <c r="J2430" i="4"/>
  <c r="I2430" i="4"/>
  <c r="H2430" i="4"/>
  <c r="G2430" i="4"/>
  <c r="F2430" i="4"/>
  <c r="E2430" i="4"/>
  <c r="D2430" i="4"/>
  <c r="C2430" i="4"/>
  <c r="B2430" i="4"/>
  <c r="A2430" i="4"/>
  <c r="M2429" i="4"/>
  <c r="L2429" i="4"/>
  <c r="K2429" i="4"/>
  <c r="J2429" i="4"/>
  <c r="I2429" i="4"/>
  <c r="H2429" i="4"/>
  <c r="G2429" i="4"/>
  <c r="F2429" i="4"/>
  <c r="E2429" i="4"/>
  <c r="D2429" i="4"/>
  <c r="C2429" i="4"/>
  <c r="B2429" i="4"/>
  <c r="A2429" i="4"/>
  <c r="M2428" i="4"/>
  <c r="L2428" i="4"/>
  <c r="K2428" i="4"/>
  <c r="J2428" i="4"/>
  <c r="I2428" i="4"/>
  <c r="H2428" i="4"/>
  <c r="G2428" i="4"/>
  <c r="F2428" i="4"/>
  <c r="E2428" i="4"/>
  <c r="D2428" i="4"/>
  <c r="C2428" i="4"/>
  <c r="B2428" i="4"/>
  <c r="A2428" i="4"/>
  <c r="M2427" i="4"/>
  <c r="L2427" i="4"/>
  <c r="K2427" i="4"/>
  <c r="J2427" i="4"/>
  <c r="I2427" i="4"/>
  <c r="H2427" i="4"/>
  <c r="G2427" i="4"/>
  <c r="F2427" i="4"/>
  <c r="E2427" i="4"/>
  <c r="D2427" i="4"/>
  <c r="C2427" i="4"/>
  <c r="B2427" i="4"/>
  <c r="A2427" i="4"/>
  <c r="M2426" i="4"/>
  <c r="L2426" i="4"/>
  <c r="K2426" i="4"/>
  <c r="J2426" i="4"/>
  <c r="I2426" i="4"/>
  <c r="H2426" i="4"/>
  <c r="G2426" i="4"/>
  <c r="F2426" i="4"/>
  <c r="E2426" i="4"/>
  <c r="D2426" i="4"/>
  <c r="C2426" i="4"/>
  <c r="B2426" i="4"/>
  <c r="A2426" i="4"/>
  <c r="M2425" i="4"/>
  <c r="L2425" i="4"/>
  <c r="K2425" i="4"/>
  <c r="J2425" i="4"/>
  <c r="I2425" i="4"/>
  <c r="H2425" i="4"/>
  <c r="G2425" i="4"/>
  <c r="F2425" i="4"/>
  <c r="E2425" i="4"/>
  <c r="D2425" i="4"/>
  <c r="C2425" i="4"/>
  <c r="B2425" i="4"/>
  <c r="A2425" i="4"/>
  <c r="M2424" i="4"/>
  <c r="L2424" i="4"/>
  <c r="K2424" i="4"/>
  <c r="J2424" i="4"/>
  <c r="I2424" i="4"/>
  <c r="H2424" i="4"/>
  <c r="G2424" i="4"/>
  <c r="F2424" i="4"/>
  <c r="E2424" i="4"/>
  <c r="D2424" i="4"/>
  <c r="C2424" i="4"/>
  <c r="B2424" i="4"/>
  <c r="A2424" i="4"/>
  <c r="M2423" i="4"/>
  <c r="L2423" i="4"/>
  <c r="K2423" i="4"/>
  <c r="J2423" i="4"/>
  <c r="I2423" i="4"/>
  <c r="H2423" i="4"/>
  <c r="G2423" i="4"/>
  <c r="F2423" i="4"/>
  <c r="E2423" i="4"/>
  <c r="D2423" i="4"/>
  <c r="C2423" i="4"/>
  <c r="B2423" i="4"/>
  <c r="A2423" i="4"/>
  <c r="M2422" i="4"/>
  <c r="L2422" i="4"/>
  <c r="K2422" i="4"/>
  <c r="J2422" i="4"/>
  <c r="I2422" i="4"/>
  <c r="H2422" i="4"/>
  <c r="G2422" i="4"/>
  <c r="F2422" i="4"/>
  <c r="E2422" i="4"/>
  <c r="D2422" i="4"/>
  <c r="C2422" i="4"/>
  <c r="B2422" i="4"/>
  <c r="A2422" i="4"/>
  <c r="M2421" i="4"/>
  <c r="L2421" i="4"/>
  <c r="K2421" i="4"/>
  <c r="J2421" i="4"/>
  <c r="I2421" i="4"/>
  <c r="H2421" i="4"/>
  <c r="G2421" i="4"/>
  <c r="F2421" i="4"/>
  <c r="E2421" i="4"/>
  <c r="D2421" i="4"/>
  <c r="C2421" i="4"/>
  <c r="B2421" i="4"/>
  <c r="A2421" i="4"/>
  <c r="M2420" i="4"/>
  <c r="L2420" i="4"/>
  <c r="K2420" i="4"/>
  <c r="J2420" i="4"/>
  <c r="I2420" i="4"/>
  <c r="H2420" i="4"/>
  <c r="G2420" i="4"/>
  <c r="F2420" i="4"/>
  <c r="E2420" i="4"/>
  <c r="D2420" i="4"/>
  <c r="C2420" i="4"/>
  <c r="B2420" i="4"/>
  <c r="A2420" i="4"/>
  <c r="M2419" i="4"/>
  <c r="L2419" i="4"/>
  <c r="K2419" i="4"/>
  <c r="J2419" i="4"/>
  <c r="I2419" i="4"/>
  <c r="H2419" i="4"/>
  <c r="G2419" i="4"/>
  <c r="F2419" i="4"/>
  <c r="E2419" i="4"/>
  <c r="D2419" i="4"/>
  <c r="C2419" i="4"/>
  <c r="B2419" i="4"/>
  <c r="A2419" i="4"/>
  <c r="M2418" i="4"/>
  <c r="L2418" i="4"/>
  <c r="K2418" i="4"/>
  <c r="J2418" i="4"/>
  <c r="I2418" i="4"/>
  <c r="H2418" i="4"/>
  <c r="G2418" i="4"/>
  <c r="F2418" i="4"/>
  <c r="E2418" i="4"/>
  <c r="D2418" i="4"/>
  <c r="C2418" i="4"/>
  <c r="B2418" i="4"/>
  <c r="A2418" i="4"/>
  <c r="M2417" i="4"/>
  <c r="L2417" i="4"/>
  <c r="K2417" i="4"/>
  <c r="J2417" i="4"/>
  <c r="I2417" i="4"/>
  <c r="H2417" i="4"/>
  <c r="G2417" i="4"/>
  <c r="F2417" i="4"/>
  <c r="E2417" i="4"/>
  <c r="D2417" i="4"/>
  <c r="C2417" i="4"/>
  <c r="B2417" i="4"/>
  <c r="A2417" i="4"/>
  <c r="M2416" i="4"/>
  <c r="L2416" i="4"/>
  <c r="K2416" i="4"/>
  <c r="J2416" i="4"/>
  <c r="I2416" i="4"/>
  <c r="H2416" i="4"/>
  <c r="G2416" i="4"/>
  <c r="F2416" i="4"/>
  <c r="E2416" i="4"/>
  <c r="D2416" i="4"/>
  <c r="C2416" i="4"/>
  <c r="B2416" i="4"/>
  <c r="A2416" i="4"/>
  <c r="M2415" i="4"/>
  <c r="L2415" i="4"/>
  <c r="K2415" i="4"/>
  <c r="J2415" i="4"/>
  <c r="I2415" i="4"/>
  <c r="H2415" i="4"/>
  <c r="G2415" i="4"/>
  <c r="E2415" i="4"/>
  <c r="D2415" i="4"/>
  <c r="C2415" i="4"/>
  <c r="B2415" i="4"/>
  <c r="A2415" i="4"/>
  <c r="M2414" i="4"/>
  <c r="L2414" i="4"/>
  <c r="K2414" i="4"/>
  <c r="J2414" i="4"/>
  <c r="I2414" i="4"/>
  <c r="H2414" i="4"/>
  <c r="G2414" i="4"/>
  <c r="F2414" i="4"/>
  <c r="E2414" i="4"/>
  <c r="D2414" i="4"/>
  <c r="C2414" i="4"/>
  <c r="B2414" i="4"/>
  <c r="A2414" i="4"/>
  <c r="M2413" i="4"/>
  <c r="L2413" i="4"/>
  <c r="K2413" i="4"/>
  <c r="J2413" i="4"/>
  <c r="I2413" i="4"/>
  <c r="H2413" i="4"/>
  <c r="G2413" i="4"/>
  <c r="F2413" i="4"/>
  <c r="E2413" i="4"/>
  <c r="D2413" i="4"/>
  <c r="C2413" i="4"/>
  <c r="B2413" i="4"/>
  <c r="A2413" i="4"/>
  <c r="M2412" i="4"/>
  <c r="L2412" i="4"/>
  <c r="K2412" i="4"/>
  <c r="J2412" i="4"/>
  <c r="I2412" i="4"/>
  <c r="H2412" i="4"/>
  <c r="G2412" i="4"/>
  <c r="F2412" i="4"/>
  <c r="E2412" i="4"/>
  <c r="D2412" i="4"/>
  <c r="C2412" i="4"/>
  <c r="B2412" i="4"/>
  <c r="A2412" i="4"/>
  <c r="M2411" i="4"/>
  <c r="L2411" i="4"/>
  <c r="K2411" i="4"/>
  <c r="J2411" i="4"/>
  <c r="I2411" i="4"/>
  <c r="H2411" i="4"/>
  <c r="G2411" i="4"/>
  <c r="F2411" i="4"/>
  <c r="E2411" i="4"/>
  <c r="D2411" i="4"/>
  <c r="C2411" i="4"/>
  <c r="B2411" i="4"/>
  <c r="A2411" i="4"/>
  <c r="M2410" i="4"/>
  <c r="L2410" i="4"/>
  <c r="K2410" i="4"/>
  <c r="J2410" i="4"/>
  <c r="I2410" i="4"/>
  <c r="H2410" i="4"/>
  <c r="G2410" i="4"/>
  <c r="F2410" i="4"/>
  <c r="E2410" i="4"/>
  <c r="D2410" i="4"/>
  <c r="C2410" i="4"/>
  <c r="B2410" i="4"/>
  <c r="A2410" i="4"/>
  <c r="M2409" i="4"/>
  <c r="L2409" i="4"/>
  <c r="K2409" i="4"/>
  <c r="J2409" i="4"/>
  <c r="I2409" i="4"/>
  <c r="H2409" i="4"/>
  <c r="G2409" i="4"/>
  <c r="F2409" i="4"/>
  <c r="E2409" i="4"/>
  <c r="D2409" i="4"/>
  <c r="C2409" i="4"/>
  <c r="B2409" i="4"/>
  <c r="A2409" i="4"/>
  <c r="M2408" i="4"/>
  <c r="L2408" i="4"/>
  <c r="K2408" i="4"/>
  <c r="J2408" i="4"/>
  <c r="I2408" i="4"/>
  <c r="H2408" i="4"/>
  <c r="G2408" i="4"/>
  <c r="F2408" i="4"/>
  <c r="E2408" i="4"/>
  <c r="D2408" i="4"/>
  <c r="C2408" i="4"/>
  <c r="B2408" i="4"/>
  <c r="A2408" i="4"/>
  <c r="M2407" i="4"/>
  <c r="L2407" i="4"/>
  <c r="K2407" i="4"/>
  <c r="J2407" i="4"/>
  <c r="I2407" i="4"/>
  <c r="H2407" i="4"/>
  <c r="G2407" i="4"/>
  <c r="F2407" i="4"/>
  <c r="E2407" i="4"/>
  <c r="D2407" i="4"/>
  <c r="C2407" i="4"/>
  <c r="B2407" i="4"/>
  <c r="A2407" i="4"/>
  <c r="M2406" i="4"/>
  <c r="L2406" i="4"/>
  <c r="K2406" i="4"/>
  <c r="J2406" i="4"/>
  <c r="I2406" i="4"/>
  <c r="H2406" i="4"/>
  <c r="G2406" i="4"/>
  <c r="F2406" i="4"/>
  <c r="E2406" i="4"/>
  <c r="D2406" i="4"/>
  <c r="C2406" i="4"/>
  <c r="B2406" i="4"/>
  <c r="A2406" i="4"/>
  <c r="M2405" i="4"/>
  <c r="L2405" i="4"/>
  <c r="K2405" i="4"/>
  <c r="J2405" i="4"/>
  <c r="I2405" i="4"/>
  <c r="H2405" i="4"/>
  <c r="G2405" i="4"/>
  <c r="F2405" i="4"/>
  <c r="E2405" i="4"/>
  <c r="D2405" i="4"/>
  <c r="C2405" i="4"/>
  <c r="B2405" i="4"/>
  <c r="A2405" i="4"/>
  <c r="M2404" i="4"/>
  <c r="L2404" i="4"/>
  <c r="K2404" i="4"/>
  <c r="J2404" i="4"/>
  <c r="I2404" i="4"/>
  <c r="H2404" i="4"/>
  <c r="G2404" i="4"/>
  <c r="F2404" i="4"/>
  <c r="E2404" i="4"/>
  <c r="D2404" i="4"/>
  <c r="C2404" i="4"/>
  <c r="B2404" i="4"/>
  <c r="A2404" i="4"/>
  <c r="M2403" i="4"/>
  <c r="L2403" i="4"/>
  <c r="K2403" i="4"/>
  <c r="J2403" i="4"/>
  <c r="I2403" i="4"/>
  <c r="H2403" i="4"/>
  <c r="G2403" i="4"/>
  <c r="F2403" i="4"/>
  <c r="E2403" i="4"/>
  <c r="D2403" i="4"/>
  <c r="C2403" i="4"/>
  <c r="B2403" i="4"/>
  <c r="A2403" i="4"/>
  <c r="M2402" i="4"/>
  <c r="L2402" i="4"/>
  <c r="K2402" i="4"/>
  <c r="J2402" i="4"/>
  <c r="I2402" i="4"/>
  <c r="H2402" i="4"/>
  <c r="G2402" i="4"/>
  <c r="F2402" i="4"/>
  <c r="E2402" i="4"/>
  <c r="D2402" i="4"/>
  <c r="C2402" i="4"/>
  <c r="B2402" i="4"/>
  <c r="A2402" i="4"/>
  <c r="M2401" i="4"/>
  <c r="L2401" i="4"/>
  <c r="K2401" i="4"/>
  <c r="J2401" i="4"/>
  <c r="I2401" i="4"/>
  <c r="H2401" i="4"/>
  <c r="G2401" i="4"/>
  <c r="F2401" i="4"/>
  <c r="E2401" i="4"/>
  <c r="D2401" i="4"/>
  <c r="C2401" i="4"/>
  <c r="B2401" i="4"/>
  <c r="A2401" i="4"/>
  <c r="M2400" i="4"/>
  <c r="L2400" i="4"/>
  <c r="K2400" i="4"/>
  <c r="J2400" i="4"/>
  <c r="I2400" i="4"/>
  <c r="H2400" i="4"/>
  <c r="G2400" i="4"/>
  <c r="F2400" i="4"/>
  <c r="E2400" i="4"/>
  <c r="D2400" i="4"/>
  <c r="C2400" i="4"/>
  <c r="B2400" i="4"/>
  <c r="A2400" i="4"/>
  <c r="M2399" i="4"/>
  <c r="L2399" i="4"/>
  <c r="K2399" i="4"/>
  <c r="J2399" i="4"/>
  <c r="I2399" i="4"/>
  <c r="H2399" i="4"/>
  <c r="G2399" i="4"/>
  <c r="F2399" i="4"/>
  <c r="E2399" i="4"/>
  <c r="D2399" i="4"/>
  <c r="C2399" i="4"/>
  <c r="B2399" i="4"/>
  <c r="A2399" i="4"/>
  <c r="M2398" i="4"/>
  <c r="L2398" i="4"/>
  <c r="K2398" i="4"/>
  <c r="J2398" i="4"/>
  <c r="I2398" i="4"/>
  <c r="H2398" i="4"/>
  <c r="G2398" i="4"/>
  <c r="F2398" i="4"/>
  <c r="E2398" i="4"/>
  <c r="D2398" i="4"/>
  <c r="C2398" i="4"/>
  <c r="B2398" i="4"/>
  <c r="A2398" i="4"/>
  <c r="M2397" i="4"/>
  <c r="L2397" i="4"/>
  <c r="K2397" i="4"/>
  <c r="J2397" i="4"/>
  <c r="I2397" i="4"/>
  <c r="H2397" i="4"/>
  <c r="G2397" i="4"/>
  <c r="F2397" i="4"/>
  <c r="E2397" i="4"/>
  <c r="D2397" i="4"/>
  <c r="C2397" i="4"/>
  <c r="B2397" i="4"/>
  <c r="A2397" i="4"/>
  <c r="M2396" i="4"/>
  <c r="L2396" i="4"/>
  <c r="K2396" i="4"/>
  <c r="J2396" i="4"/>
  <c r="I2396" i="4"/>
  <c r="H2396" i="4"/>
  <c r="G2396" i="4"/>
  <c r="F2396" i="4"/>
  <c r="E2396" i="4"/>
  <c r="D2396" i="4"/>
  <c r="C2396" i="4"/>
  <c r="B2396" i="4"/>
  <c r="A2396" i="4"/>
  <c r="M2395" i="4"/>
  <c r="L2395" i="4"/>
  <c r="K2395" i="4"/>
  <c r="J2395" i="4"/>
  <c r="I2395" i="4"/>
  <c r="H2395" i="4"/>
  <c r="G2395" i="4"/>
  <c r="F2395" i="4"/>
  <c r="D2395" i="4"/>
  <c r="C2395" i="4"/>
  <c r="B2395" i="4"/>
  <c r="A2395" i="4"/>
  <c r="M2394" i="4"/>
  <c r="L2394" i="4"/>
  <c r="K2394" i="4"/>
  <c r="J2394" i="4"/>
  <c r="I2394" i="4"/>
  <c r="H2394" i="4"/>
  <c r="G2394" i="4"/>
  <c r="F2394" i="4"/>
  <c r="E2394" i="4"/>
  <c r="D2394" i="4"/>
  <c r="C2394" i="4"/>
  <c r="B2394" i="4"/>
  <c r="A2394" i="4"/>
  <c r="M2393" i="4"/>
  <c r="L2393" i="4"/>
  <c r="K2393" i="4"/>
  <c r="J2393" i="4"/>
  <c r="I2393" i="4"/>
  <c r="H2393" i="4"/>
  <c r="G2393" i="4"/>
  <c r="F2393" i="4"/>
  <c r="E2393" i="4"/>
  <c r="D2393" i="4"/>
  <c r="C2393" i="4"/>
  <c r="B2393" i="4"/>
  <c r="A2393" i="4"/>
  <c r="M2392" i="4"/>
  <c r="L2392" i="4"/>
  <c r="K2392" i="4"/>
  <c r="J2392" i="4"/>
  <c r="I2392" i="4"/>
  <c r="H2392" i="4"/>
  <c r="G2392" i="4"/>
  <c r="F2392" i="4"/>
  <c r="E2392" i="4"/>
  <c r="D2392" i="4"/>
  <c r="C2392" i="4"/>
  <c r="B2392" i="4"/>
  <c r="A2392" i="4"/>
  <c r="M2391" i="4"/>
  <c r="L2391" i="4"/>
  <c r="K2391" i="4"/>
  <c r="J2391" i="4"/>
  <c r="I2391" i="4"/>
  <c r="H2391" i="4"/>
  <c r="G2391" i="4"/>
  <c r="F2391" i="4"/>
  <c r="E2391" i="4"/>
  <c r="D2391" i="4"/>
  <c r="C2391" i="4"/>
  <c r="B2391" i="4"/>
  <c r="A2391" i="4"/>
  <c r="M2390" i="4"/>
  <c r="L2390" i="4"/>
  <c r="K2390" i="4"/>
  <c r="J2390" i="4"/>
  <c r="I2390" i="4"/>
  <c r="H2390" i="4"/>
  <c r="G2390" i="4"/>
  <c r="F2390" i="4"/>
  <c r="E2390" i="4"/>
  <c r="D2390" i="4"/>
  <c r="C2390" i="4"/>
  <c r="B2390" i="4"/>
  <c r="A2390" i="4"/>
  <c r="M2389" i="4"/>
  <c r="L2389" i="4"/>
  <c r="K2389" i="4"/>
  <c r="J2389" i="4"/>
  <c r="I2389" i="4"/>
  <c r="H2389" i="4"/>
  <c r="G2389" i="4"/>
  <c r="F2389" i="4"/>
  <c r="E2389" i="4"/>
  <c r="D2389" i="4"/>
  <c r="C2389" i="4"/>
  <c r="B2389" i="4"/>
  <c r="A2389" i="4"/>
  <c r="M2388" i="4"/>
  <c r="L2388" i="4"/>
  <c r="K2388" i="4"/>
  <c r="J2388" i="4"/>
  <c r="I2388" i="4"/>
  <c r="H2388" i="4"/>
  <c r="G2388" i="4"/>
  <c r="F2388" i="4"/>
  <c r="E2388" i="4"/>
  <c r="D2388" i="4"/>
  <c r="C2388" i="4"/>
  <c r="B2388" i="4"/>
  <c r="A2388" i="4"/>
  <c r="M2387" i="4"/>
  <c r="L2387" i="4"/>
  <c r="K2387" i="4"/>
  <c r="J2387" i="4"/>
  <c r="I2387" i="4"/>
  <c r="H2387" i="4"/>
  <c r="G2387" i="4"/>
  <c r="F2387" i="4"/>
  <c r="E2387" i="4"/>
  <c r="D2387" i="4"/>
  <c r="C2387" i="4"/>
  <c r="B2387" i="4"/>
  <c r="A2387" i="4"/>
  <c r="M2386" i="4"/>
  <c r="L2386" i="4"/>
  <c r="K2386" i="4"/>
  <c r="J2386" i="4"/>
  <c r="I2386" i="4"/>
  <c r="H2386" i="4"/>
  <c r="G2386" i="4"/>
  <c r="F2386" i="4"/>
  <c r="E2386" i="4"/>
  <c r="D2386" i="4"/>
  <c r="C2386" i="4"/>
  <c r="B2386" i="4"/>
  <c r="A2386" i="4"/>
  <c r="M2385" i="4"/>
  <c r="L2385" i="4"/>
  <c r="K2385" i="4"/>
  <c r="J2385" i="4"/>
  <c r="I2385" i="4"/>
  <c r="H2385" i="4"/>
  <c r="G2385" i="4"/>
  <c r="F2385" i="4"/>
  <c r="E2385" i="4"/>
  <c r="D2385" i="4"/>
  <c r="C2385" i="4"/>
  <c r="B2385" i="4"/>
  <c r="A2385" i="4"/>
  <c r="M2384" i="4"/>
  <c r="L2384" i="4"/>
  <c r="K2384" i="4"/>
  <c r="J2384" i="4"/>
  <c r="I2384" i="4"/>
  <c r="H2384" i="4"/>
  <c r="G2384" i="4"/>
  <c r="F2384" i="4"/>
  <c r="E2384" i="4"/>
  <c r="D2384" i="4"/>
  <c r="C2384" i="4"/>
  <c r="B2384" i="4"/>
  <c r="A2384" i="4"/>
  <c r="M2383" i="4"/>
  <c r="L2383" i="4"/>
  <c r="K2383" i="4"/>
  <c r="J2383" i="4"/>
  <c r="I2383" i="4"/>
  <c r="H2383" i="4"/>
  <c r="G2383" i="4"/>
  <c r="F2383" i="4"/>
  <c r="E2383" i="4"/>
  <c r="D2383" i="4"/>
  <c r="C2383" i="4"/>
  <c r="B2383" i="4"/>
  <c r="A2383" i="4"/>
  <c r="M2382" i="4"/>
  <c r="L2382" i="4"/>
  <c r="K2382" i="4"/>
  <c r="J2382" i="4"/>
  <c r="I2382" i="4"/>
  <c r="H2382" i="4"/>
  <c r="G2382" i="4"/>
  <c r="F2382" i="4"/>
  <c r="E2382" i="4"/>
  <c r="D2382" i="4"/>
  <c r="C2382" i="4"/>
  <c r="B2382" i="4"/>
  <c r="A2382" i="4"/>
  <c r="M2381" i="4"/>
  <c r="L2381" i="4"/>
  <c r="K2381" i="4"/>
  <c r="J2381" i="4"/>
  <c r="I2381" i="4"/>
  <c r="H2381" i="4"/>
  <c r="G2381" i="4"/>
  <c r="F2381" i="4"/>
  <c r="E2381" i="4"/>
  <c r="D2381" i="4"/>
  <c r="C2381" i="4"/>
  <c r="B2381" i="4"/>
  <c r="A2381" i="4"/>
  <c r="M2380" i="4"/>
  <c r="L2380" i="4"/>
  <c r="K2380" i="4"/>
  <c r="J2380" i="4"/>
  <c r="I2380" i="4"/>
  <c r="H2380" i="4"/>
  <c r="G2380" i="4"/>
  <c r="F2380" i="4"/>
  <c r="E2380" i="4"/>
  <c r="D2380" i="4"/>
  <c r="C2380" i="4"/>
  <c r="B2380" i="4"/>
  <c r="A2380" i="4"/>
  <c r="M2379" i="4"/>
  <c r="L2379" i="4"/>
  <c r="K2379" i="4"/>
  <c r="J2379" i="4"/>
  <c r="I2379" i="4"/>
  <c r="H2379" i="4"/>
  <c r="G2379" i="4"/>
  <c r="F2379" i="4"/>
  <c r="E2379" i="4"/>
  <c r="D2379" i="4"/>
  <c r="C2379" i="4"/>
  <c r="B2379" i="4"/>
  <c r="A2379" i="4"/>
  <c r="M2378" i="4"/>
  <c r="L2378" i="4"/>
  <c r="K2378" i="4"/>
  <c r="J2378" i="4"/>
  <c r="I2378" i="4"/>
  <c r="H2378" i="4"/>
  <c r="G2378" i="4"/>
  <c r="F2378" i="4"/>
  <c r="E2378" i="4"/>
  <c r="D2378" i="4"/>
  <c r="C2378" i="4"/>
  <c r="B2378" i="4"/>
  <c r="A2378" i="4"/>
  <c r="M2377" i="4"/>
  <c r="L2377" i="4"/>
  <c r="K2377" i="4"/>
  <c r="J2377" i="4"/>
  <c r="I2377" i="4"/>
  <c r="H2377" i="4"/>
  <c r="G2377" i="4"/>
  <c r="F2377" i="4"/>
  <c r="E2377" i="4"/>
  <c r="D2377" i="4"/>
  <c r="C2377" i="4"/>
  <c r="B2377" i="4"/>
  <c r="A2377" i="4"/>
  <c r="M2376" i="4"/>
  <c r="L2376" i="4"/>
  <c r="K2376" i="4"/>
  <c r="J2376" i="4"/>
  <c r="I2376" i="4"/>
  <c r="H2376" i="4"/>
  <c r="G2376" i="4"/>
  <c r="F2376" i="4"/>
  <c r="E2376" i="4"/>
  <c r="D2376" i="4"/>
  <c r="C2376" i="4"/>
  <c r="B2376" i="4"/>
  <c r="A2376" i="4"/>
  <c r="M2375" i="4"/>
  <c r="L2375" i="4"/>
  <c r="K2375" i="4"/>
  <c r="J2375" i="4"/>
  <c r="I2375" i="4"/>
  <c r="H2375" i="4"/>
  <c r="G2375" i="4"/>
  <c r="F2375" i="4"/>
  <c r="E2375" i="4"/>
  <c r="D2375" i="4"/>
  <c r="C2375" i="4"/>
  <c r="B2375" i="4"/>
  <c r="A2375" i="4"/>
  <c r="M2374" i="4"/>
  <c r="L2374" i="4"/>
  <c r="K2374" i="4"/>
  <c r="J2374" i="4"/>
  <c r="I2374" i="4"/>
  <c r="H2374" i="4"/>
  <c r="G2374" i="4"/>
  <c r="F2374" i="4"/>
  <c r="E2374" i="4"/>
  <c r="D2374" i="4"/>
  <c r="C2374" i="4"/>
  <c r="B2374" i="4"/>
  <c r="A2374" i="4"/>
  <c r="M2373" i="4"/>
  <c r="L2373" i="4"/>
  <c r="K2373" i="4"/>
  <c r="J2373" i="4"/>
  <c r="I2373" i="4"/>
  <c r="H2373" i="4"/>
  <c r="G2373" i="4"/>
  <c r="F2373" i="4"/>
  <c r="E2373" i="4"/>
  <c r="D2373" i="4"/>
  <c r="C2373" i="4"/>
  <c r="B2373" i="4"/>
  <c r="A2373" i="4"/>
  <c r="M2372" i="4"/>
  <c r="L2372" i="4"/>
  <c r="K2372" i="4"/>
  <c r="J2372" i="4"/>
  <c r="I2372" i="4"/>
  <c r="H2372" i="4"/>
  <c r="G2372" i="4"/>
  <c r="F2372" i="4"/>
  <c r="E2372" i="4"/>
  <c r="D2372" i="4"/>
  <c r="C2372" i="4"/>
  <c r="B2372" i="4"/>
  <c r="A2372" i="4"/>
  <c r="M2371" i="4"/>
  <c r="L2371" i="4"/>
  <c r="K2371" i="4"/>
  <c r="J2371" i="4"/>
  <c r="I2371" i="4"/>
  <c r="H2371" i="4"/>
  <c r="G2371" i="4"/>
  <c r="F2371" i="4"/>
  <c r="E2371" i="4"/>
  <c r="D2371" i="4"/>
  <c r="C2371" i="4"/>
  <c r="B2371" i="4"/>
  <c r="A2371" i="4"/>
  <c r="M2370" i="4"/>
  <c r="L2370" i="4"/>
  <c r="K2370" i="4"/>
  <c r="J2370" i="4"/>
  <c r="I2370" i="4"/>
  <c r="H2370" i="4"/>
  <c r="G2370" i="4"/>
  <c r="F2370" i="4"/>
  <c r="E2370" i="4"/>
  <c r="D2370" i="4"/>
  <c r="C2370" i="4"/>
  <c r="B2370" i="4"/>
  <c r="A2370" i="4"/>
  <c r="M2369" i="4"/>
  <c r="L2369" i="4"/>
  <c r="K2369" i="4"/>
  <c r="J2369" i="4"/>
  <c r="I2369" i="4"/>
  <c r="H2369" i="4"/>
  <c r="G2369" i="4"/>
  <c r="F2369" i="4"/>
  <c r="E2369" i="4"/>
  <c r="D2369" i="4"/>
  <c r="C2369" i="4"/>
  <c r="B2369" i="4"/>
  <c r="A2369" i="4"/>
  <c r="M2368" i="4"/>
  <c r="L2368" i="4"/>
  <c r="K2368" i="4"/>
  <c r="J2368" i="4"/>
  <c r="I2368" i="4"/>
  <c r="H2368" i="4"/>
  <c r="G2368" i="4"/>
  <c r="F2368" i="4"/>
  <c r="E2368" i="4"/>
  <c r="D2368" i="4"/>
  <c r="C2368" i="4"/>
  <c r="B2368" i="4"/>
  <c r="A2368" i="4"/>
  <c r="M2367" i="4"/>
  <c r="L2367" i="4"/>
  <c r="K2367" i="4"/>
  <c r="J2367" i="4"/>
  <c r="I2367" i="4"/>
  <c r="H2367" i="4"/>
  <c r="G2367" i="4"/>
  <c r="F2367" i="4"/>
  <c r="E2367" i="4"/>
  <c r="D2367" i="4"/>
  <c r="C2367" i="4"/>
  <c r="B2367" i="4"/>
  <c r="A2367" i="4"/>
  <c r="M2366" i="4"/>
  <c r="L2366" i="4"/>
  <c r="K2366" i="4"/>
  <c r="J2366" i="4"/>
  <c r="I2366" i="4"/>
  <c r="H2366" i="4"/>
  <c r="G2366" i="4"/>
  <c r="F2366" i="4"/>
  <c r="E2366" i="4"/>
  <c r="D2366" i="4"/>
  <c r="C2366" i="4"/>
  <c r="B2366" i="4"/>
  <c r="A2366" i="4"/>
  <c r="M2365" i="4"/>
  <c r="L2365" i="4"/>
  <c r="K2365" i="4"/>
  <c r="J2365" i="4"/>
  <c r="I2365" i="4"/>
  <c r="H2365" i="4"/>
  <c r="G2365" i="4"/>
  <c r="F2365" i="4"/>
  <c r="E2365" i="4"/>
  <c r="D2365" i="4"/>
  <c r="C2365" i="4"/>
  <c r="B2365" i="4"/>
  <c r="A2365" i="4"/>
  <c r="M2364" i="4"/>
  <c r="L2364" i="4"/>
  <c r="K2364" i="4"/>
  <c r="J2364" i="4"/>
  <c r="I2364" i="4"/>
  <c r="H2364" i="4"/>
  <c r="G2364" i="4"/>
  <c r="F2364" i="4"/>
  <c r="E2364" i="4"/>
  <c r="D2364" i="4"/>
  <c r="C2364" i="4"/>
  <c r="B2364" i="4"/>
  <c r="A2364" i="4"/>
  <c r="M2363" i="4"/>
  <c r="L2363" i="4"/>
  <c r="K2363" i="4"/>
  <c r="J2363" i="4"/>
  <c r="I2363" i="4"/>
  <c r="H2363" i="4"/>
  <c r="G2363" i="4"/>
  <c r="F2363" i="4"/>
  <c r="E2363" i="4"/>
  <c r="D2363" i="4"/>
  <c r="C2363" i="4"/>
  <c r="B2363" i="4"/>
  <c r="A2363" i="4"/>
  <c r="M2362" i="4"/>
  <c r="L2362" i="4"/>
  <c r="K2362" i="4"/>
  <c r="J2362" i="4"/>
  <c r="I2362" i="4"/>
  <c r="H2362" i="4"/>
  <c r="G2362" i="4"/>
  <c r="F2362" i="4"/>
  <c r="E2362" i="4"/>
  <c r="D2362" i="4"/>
  <c r="C2362" i="4"/>
  <c r="B2362" i="4"/>
  <c r="A2362" i="4"/>
  <c r="M2361" i="4"/>
  <c r="L2361" i="4"/>
  <c r="K2361" i="4"/>
  <c r="J2361" i="4"/>
  <c r="I2361" i="4"/>
  <c r="H2361" i="4"/>
  <c r="G2361" i="4"/>
  <c r="F2361" i="4"/>
  <c r="E2361" i="4"/>
  <c r="D2361" i="4"/>
  <c r="C2361" i="4"/>
  <c r="B2361" i="4"/>
  <c r="A2361" i="4"/>
  <c r="M2360" i="4"/>
  <c r="L2360" i="4"/>
  <c r="K2360" i="4"/>
  <c r="J2360" i="4"/>
  <c r="I2360" i="4"/>
  <c r="H2360" i="4"/>
  <c r="G2360" i="4"/>
  <c r="F2360" i="4"/>
  <c r="E2360" i="4"/>
  <c r="D2360" i="4"/>
  <c r="C2360" i="4"/>
  <c r="B2360" i="4"/>
  <c r="A2360" i="4"/>
  <c r="M2359" i="4"/>
  <c r="L2359" i="4"/>
  <c r="K2359" i="4"/>
  <c r="J2359" i="4"/>
  <c r="I2359" i="4"/>
  <c r="H2359" i="4"/>
  <c r="G2359" i="4"/>
  <c r="F2359" i="4"/>
  <c r="E2359" i="4"/>
  <c r="D2359" i="4"/>
  <c r="C2359" i="4"/>
  <c r="B2359" i="4"/>
  <c r="A2359" i="4"/>
  <c r="M2358" i="4"/>
  <c r="L2358" i="4"/>
  <c r="K2358" i="4"/>
  <c r="J2358" i="4"/>
  <c r="I2358" i="4"/>
  <c r="H2358" i="4"/>
  <c r="G2358" i="4"/>
  <c r="F2358" i="4"/>
  <c r="E2358" i="4"/>
  <c r="D2358" i="4"/>
  <c r="C2358" i="4"/>
  <c r="B2358" i="4"/>
  <c r="A2358" i="4"/>
  <c r="M2357" i="4"/>
  <c r="L2357" i="4"/>
  <c r="K2357" i="4"/>
  <c r="J2357" i="4"/>
  <c r="I2357" i="4"/>
  <c r="H2357" i="4"/>
  <c r="G2357" i="4"/>
  <c r="F2357" i="4"/>
  <c r="E2357" i="4"/>
  <c r="D2357" i="4"/>
  <c r="C2357" i="4"/>
  <c r="B2357" i="4"/>
  <c r="A2357" i="4"/>
  <c r="M2356" i="4"/>
  <c r="L2356" i="4"/>
  <c r="K2356" i="4"/>
  <c r="J2356" i="4"/>
  <c r="I2356" i="4"/>
  <c r="H2356" i="4"/>
  <c r="G2356" i="4"/>
  <c r="F2356" i="4"/>
  <c r="D2356" i="4"/>
  <c r="C2356" i="4"/>
  <c r="B2356" i="4"/>
  <c r="A2356" i="4"/>
  <c r="M2355" i="4"/>
  <c r="L2355" i="4"/>
  <c r="K2355" i="4"/>
  <c r="J2355" i="4"/>
  <c r="I2355" i="4"/>
  <c r="H2355" i="4"/>
  <c r="G2355" i="4"/>
  <c r="F2355" i="4"/>
  <c r="E2355" i="4"/>
  <c r="D2355" i="4"/>
  <c r="C2355" i="4"/>
  <c r="B2355" i="4"/>
  <c r="A2355" i="4"/>
  <c r="M2354" i="4"/>
  <c r="L2354" i="4"/>
  <c r="K2354" i="4"/>
  <c r="J2354" i="4"/>
  <c r="I2354" i="4"/>
  <c r="H2354" i="4"/>
  <c r="G2354" i="4"/>
  <c r="F2354" i="4"/>
  <c r="E2354" i="4"/>
  <c r="D2354" i="4"/>
  <c r="C2354" i="4"/>
  <c r="B2354" i="4"/>
  <c r="A2354" i="4"/>
  <c r="M2353" i="4"/>
  <c r="L2353" i="4"/>
  <c r="K2353" i="4"/>
  <c r="J2353" i="4"/>
  <c r="I2353" i="4"/>
  <c r="H2353" i="4"/>
  <c r="G2353" i="4"/>
  <c r="F2353" i="4"/>
  <c r="E2353" i="4"/>
  <c r="D2353" i="4"/>
  <c r="C2353" i="4"/>
  <c r="B2353" i="4"/>
  <c r="A2353" i="4"/>
  <c r="M2352" i="4"/>
  <c r="L2352" i="4"/>
  <c r="K2352" i="4"/>
  <c r="J2352" i="4"/>
  <c r="I2352" i="4"/>
  <c r="H2352" i="4"/>
  <c r="G2352" i="4"/>
  <c r="F2352" i="4"/>
  <c r="E2352" i="4"/>
  <c r="D2352" i="4"/>
  <c r="C2352" i="4"/>
  <c r="B2352" i="4"/>
  <c r="A2352" i="4"/>
  <c r="M2351" i="4"/>
  <c r="L2351" i="4"/>
  <c r="K2351" i="4"/>
  <c r="J2351" i="4"/>
  <c r="I2351" i="4"/>
  <c r="H2351" i="4"/>
  <c r="G2351" i="4"/>
  <c r="F2351" i="4"/>
  <c r="E2351" i="4"/>
  <c r="D2351" i="4"/>
  <c r="C2351" i="4"/>
  <c r="B2351" i="4"/>
  <c r="A2351" i="4"/>
  <c r="M2350" i="4"/>
  <c r="L2350" i="4"/>
  <c r="K2350" i="4"/>
  <c r="J2350" i="4"/>
  <c r="I2350" i="4"/>
  <c r="H2350" i="4"/>
  <c r="G2350" i="4"/>
  <c r="F2350" i="4"/>
  <c r="E2350" i="4"/>
  <c r="D2350" i="4"/>
  <c r="C2350" i="4"/>
  <c r="B2350" i="4"/>
  <c r="A2350" i="4"/>
  <c r="M2349" i="4"/>
  <c r="L2349" i="4"/>
  <c r="K2349" i="4"/>
  <c r="J2349" i="4"/>
  <c r="I2349" i="4"/>
  <c r="H2349" i="4"/>
  <c r="G2349" i="4"/>
  <c r="F2349" i="4"/>
  <c r="E2349" i="4"/>
  <c r="D2349" i="4"/>
  <c r="C2349" i="4"/>
  <c r="B2349" i="4"/>
  <c r="A2349" i="4"/>
  <c r="M2348" i="4"/>
  <c r="L2348" i="4"/>
  <c r="K2348" i="4"/>
  <c r="J2348" i="4"/>
  <c r="I2348" i="4"/>
  <c r="H2348" i="4"/>
  <c r="G2348" i="4"/>
  <c r="F2348" i="4"/>
  <c r="E2348" i="4"/>
  <c r="D2348" i="4"/>
  <c r="C2348" i="4"/>
  <c r="B2348" i="4"/>
  <c r="A2348" i="4"/>
  <c r="M2347" i="4"/>
  <c r="L2347" i="4"/>
  <c r="K2347" i="4"/>
  <c r="J2347" i="4"/>
  <c r="I2347" i="4"/>
  <c r="H2347" i="4"/>
  <c r="G2347" i="4"/>
  <c r="F2347" i="4"/>
  <c r="E2347" i="4"/>
  <c r="D2347" i="4"/>
  <c r="C2347" i="4"/>
  <c r="B2347" i="4"/>
  <c r="A2347" i="4"/>
  <c r="M2346" i="4"/>
  <c r="L2346" i="4"/>
  <c r="K2346" i="4"/>
  <c r="J2346" i="4"/>
  <c r="I2346" i="4"/>
  <c r="H2346" i="4"/>
  <c r="G2346" i="4"/>
  <c r="F2346" i="4"/>
  <c r="E2346" i="4"/>
  <c r="D2346" i="4"/>
  <c r="C2346" i="4"/>
  <c r="B2346" i="4"/>
  <c r="A2346" i="4"/>
  <c r="M2345" i="4"/>
  <c r="L2345" i="4"/>
  <c r="K2345" i="4"/>
  <c r="J2345" i="4"/>
  <c r="I2345" i="4"/>
  <c r="H2345" i="4"/>
  <c r="G2345" i="4"/>
  <c r="F2345" i="4"/>
  <c r="E2345" i="4"/>
  <c r="D2345" i="4"/>
  <c r="C2345" i="4"/>
  <c r="B2345" i="4"/>
  <c r="A2345" i="4"/>
  <c r="M2344" i="4"/>
  <c r="L2344" i="4"/>
  <c r="K2344" i="4"/>
  <c r="J2344" i="4"/>
  <c r="I2344" i="4"/>
  <c r="H2344" i="4"/>
  <c r="G2344" i="4"/>
  <c r="F2344" i="4"/>
  <c r="E2344" i="4"/>
  <c r="D2344" i="4"/>
  <c r="C2344" i="4"/>
  <c r="B2344" i="4"/>
  <c r="A2344" i="4"/>
  <c r="M2343" i="4"/>
  <c r="L2343" i="4"/>
  <c r="K2343" i="4"/>
  <c r="J2343" i="4"/>
  <c r="I2343" i="4"/>
  <c r="H2343" i="4"/>
  <c r="G2343" i="4"/>
  <c r="F2343" i="4"/>
  <c r="E2343" i="4"/>
  <c r="D2343" i="4"/>
  <c r="C2343" i="4"/>
  <c r="B2343" i="4"/>
  <c r="A2343" i="4"/>
  <c r="M2342" i="4"/>
  <c r="L2342" i="4"/>
  <c r="K2342" i="4"/>
  <c r="J2342" i="4"/>
  <c r="I2342" i="4"/>
  <c r="H2342" i="4"/>
  <c r="G2342" i="4"/>
  <c r="F2342" i="4"/>
  <c r="E2342" i="4"/>
  <c r="D2342" i="4"/>
  <c r="C2342" i="4"/>
  <c r="B2342" i="4"/>
  <c r="A2342" i="4"/>
  <c r="M2341" i="4"/>
  <c r="L2341" i="4"/>
  <c r="K2341" i="4"/>
  <c r="J2341" i="4"/>
  <c r="I2341" i="4"/>
  <c r="H2341" i="4"/>
  <c r="G2341" i="4"/>
  <c r="F2341" i="4"/>
  <c r="E2341" i="4"/>
  <c r="D2341" i="4"/>
  <c r="C2341" i="4"/>
  <c r="B2341" i="4"/>
  <c r="A2341" i="4"/>
  <c r="M2340" i="4"/>
  <c r="L2340" i="4"/>
  <c r="K2340" i="4"/>
  <c r="J2340" i="4"/>
  <c r="I2340" i="4"/>
  <c r="H2340" i="4"/>
  <c r="G2340" i="4"/>
  <c r="F2340" i="4"/>
  <c r="E2340" i="4"/>
  <c r="D2340" i="4"/>
  <c r="C2340" i="4"/>
  <c r="B2340" i="4"/>
  <c r="A2340" i="4"/>
  <c r="M2339" i="4"/>
  <c r="L2339" i="4"/>
  <c r="K2339" i="4"/>
  <c r="J2339" i="4"/>
  <c r="I2339" i="4"/>
  <c r="H2339" i="4"/>
  <c r="G2339" i="4"/>
  <c r="F2339" i="4"/>
  <c r="E2339" i="4"/>
  <c r="D2339" i="4"/>
  <c r="C2339" i="4"/>
  <c r="B2339" i="4"/>
  <c r="A2339" i="4"/>
  <c r="M2338" i="4"/>
  <c r="L2338" i="4"/>
  <c r="K2338" i="4"/>
  <c r="J2338" i="4"/>
  <c r="I2338" i="4"/>
  <c r="H2338" i="4"/>
  <c r="G2338" i="4"/>
  <c r="F2338" i="4"/>
  <c r="E2338" i="4"/>
  <c r="D2338" i="4"/>
  <c r="C2338" i="4"/>
  <c r="B2338" i="4"/>
  <c r="A2338" i="4"/>
  <c r="M2337" i="4"/>
  <c r="L2337" i="4"/>
  <c r="K2337" i="4"/>
  <c r="J2337" i="4"/>
  <c r="I2337" i="4"/>
  <c r="H2337" i="4"/>
  <c r="G2337" i="4"/>
  <c r="F2337" i="4"/>
  <c r="E2337" i="4"/>
  <c r="D2337" i="4"/>
  <c r="C2337" i="4"/>
  <c r="B2337" i="4"/>
  <c r="A2337" i="4"/>
  <c r="M2336" i="4"/>
  <c r="L2336" i="4"/>
  <c r="K2336" i="4"/>
  <c r="J2336" i="4"/>
  <c r="I2336" i="4"/>
  <c r="H2336" i="4"/>
  <c r="G2336" i="4"/>
  <c r="F2336" i="4"/>
  <c r="D2336" i="4"/>
  <c r="C2336" i="4"/>
  <c r="B2336" i="4"/>
  <c r="A2336" i="4"/>
  <c r="M2335" i="4"/>
  <c r="L2335" i="4"/>
  <c r="K2335" i="4"/>
  <c r="J2335" i="4"/>
  <c r="I2335" i="4"/>
  <c r="H2335" i="4"/>
  <c r="G2335" i="4"/>
  <c r="F2335" i="4"/>
  <c r="E2335" i="4"/>
  <c r="D2335" i="4"/>
  <c r="C2335" i="4"/>
  <c r="B2335" i="4"/>
  <c r="A2335" i="4"/>
  <c r="M2334" i="4"/>
  <c r="L2334" i="4"/>
  <c r="K2334" i="4"/>
  <c r="J2334" i="4"/>
  <c r="I2334" i="4"/>
  <c r="H2334" i="4"/>
  <c r="G2334" i="4"/>
  <c r="F2334" i="4"/>
  <c r="E2334" i="4"/>
  <c r="D2334" i="4"/>
  <c r="C2334" i="4"/>
  <c r="B2334" i="4"/>
  <c r="A2334" i="4"/>
  <c r="M2333" i="4"/>
  <c r="L2333" i="4"/>
  <c r="K2333" i="4"/>
  <c r="J2333" i="4"/>
  <c r="I2333" i="4"/>
  <c r="H2333" i="4"/>
  <c r="G2333" i="4"/>
  <c r="F2333" i="4"/>
  <c r="E2333" i="4"/>
  <c r="D2333" i="4"/>
  <c r="C2333" i="4"/>
  <c r="B2333" i="4"/>
  <c r="A2333" i="4"/>
  <c r="M2332" i="4"/>
  <c r="L2332" i="4"/>
  <c r="K2332" i="4"/>
  <c r="J2332" i="4"/>
  <c r="I2332" i="4"/>
  <c r="H2332" i="4"/>
  <c r="G2332" i="4"/>
  <c r="F2332" i="4"/>
  <c r="E2332" i="4"/>
  <c r="D2332" i="4"/>
  <c r="C2332" i="4"/>
  <c r="B2332" i="4"/>
  <c r="A2332" i="4"/>
  <c r="M2331" i="4"/>
  <c r="L2331" i="4"/>
  <c r="K2331" i="4"/>
  <c r="J2331" i="4"/>
  <c r="I2331" i="4"/>
  <c r="H2331" i="4"/>
  <c r="G2331" i="4"/>
  <c r="F2331" i="4"/>
  <c r="E2331" i="4"/>
  <c r="D2331" i="4"/>
  <c r="C2331" i="4"/>
  <c r="B2331" i="4"/>
  <c r="A2331" i="4"/>
  <c r="M2330" i="4"/>
  <c r="L2330" i="4"/>
  <c r="K2330" i="4"/>
  <c r="J2330" i="4"/>
  <c r="I2330" i="4"/>
  <c r="H2330" i="4"/>
  <c r="G2330" i="4"/>
  <c r="F2330" i="4"/>
  <c r="E2330" i="4"/>
  <c r="D2330" i="4"/>
  <c r="C2330" i="4"/>
  <c r="B2330" i="4"/>
  <c r="A2330" i="4"/>
  <c r="M2329" i="4"/>
  <c r="L2329" i="4"/>
  <c r="K2329" i="4"/>
  <c r="J2329" i="4"/>
  <c r="I2329" i="4"/>
  <c r="H2329" i="4"/>
  <c r="G2329" i="4"/>
  <c r="F2329" i="4"/>
  <c r="E2329" i="4"/>
  <c r="D2329" i="4"/>
  <c r="C2329" i="4"/>
  <c r="B2329" i="4"/>
  <c r="A2329" i="4"/>
  <c r="M2328" i="4"/>
  <c r="L2328" i="4"/>
  <c r="K2328" i="4"/>
  <c r="J2328" i="4"/>
  <c r="I2328" i="4"/>
  <c r="H2328" i="4"/>
  <c r="G2328" i="4"/>
  <c r="F2328" i="4"/>
  <c r="E2328" i="4"/>
  <c r="D2328" i="4"/>
  <c r="C2328" i="4"/>
  <c r="B2328" i="4"/>
  <c r="A2328" i="4"/>
  <c r="M2327" i="4"/>
  <c r="L2327" i="4"/>
  <c r="K2327" i="4"/>
  <c r="J2327" i="4"/>
  <c r="I2327" i="4"/>
  <c r="H2327" i="4"/>
  <c r="G2327" i="4"/>
  <c r="F2327" i="4"/>
  <c r="E2327" i="4"/>
  <c r="D2327" i="4"/>
  <c r="C2327" i="4"/>
  <c r="B2327" i="4"/>
  <c r="A2327" i="4"/>
  <c r="M2326" i="4"/>
  <c r="L2326" i="4"/>
  <c r="K2326" i="4"/>
  <c r="J2326" i="4"/>
  <c r="I2326" i="4"/>
  <c r="H2326" i="4"/>
  <c r="G2326" i="4"/>
  <c r="F2326" i="4"/>
  <c r="E2326" i="4"/>
  <c r="D2326" i="4"/>
  <c r="C2326" i="4"/>
  <c r="B2326" i="4"/>
  <c r="A2326" i="4"/>
  <c r="M2325" i="4"/>
  <c r="L2325" i="4"/>
  <c r="K2325" i="4"/>
  <c r="J2325" i="4"/>
  <c r="I2325" i="4"/>
  <c r="H2325" i="4"/>
  <c r="G2325" i="4"/>
  <c r="F2325" i="4"/>
  <c r="E2325" i="4"/>
  <c r="D2325" i="4"/>
  <c r="C2325" i="4"/>
  <c r="B2325" i="4"/>
  <c r="A2325" i="4"/>
  <c r="M2324" i="4"/>
  <c r="L2324" i="4"/>
  <c r="K2324" i="4"/>
  <c r="J2324" i="4"/>
  <c r="I2324" i="4"/>
  <c r="H2324" i="4"/>
  <c r="G2324" i="4"/>
  <c r="F2324" i="4"/>
  <c r="E2324" i="4"/>
  <c r="D2324" i="4"/>
  <c r="C2324" i="4"/>
  <c r="B2324" i="4"/>
  <c r="A2324" i="4"/>
  <c r="M2323" i="4"/>
  <c r="L2323" i="4"/>
  <c r="K2323" i="4"/>
  <c r="J2323" i="4"/>
  <c r="I2323" i="4"/>
  <c r="H2323" i="4"/>
  <c r="G2323" i="4"/>
  <c r="F2323" i="4"/>
  <c r="E2323" i="4"/>
  <c r="D2323" i="4"/>
  <c r="C2323" i="4"/>
  <c r="B2323" i="4"/>
  <c r="A2323" i="4"/>
  <c r="M2322" i="4"/>
  <c r="L2322" i="4"/>
  <c r="K2322" i="4"/>
  <c r="J2322" i="4"/>
  <c r="I2322" i="4"/>
  <c r="H2322" i="4"/>
  <c r="G2322" i="4"/>
  <c r="F2322" i="4"/>
  <c r="E2322" i="4"/>
  <c r="D2322" i="4"/>
  <c r="C2322" i="4"/>
  <c r="B2322" i="4"/>
  <c r="A2322" i="4"/>
  <c r="M2321" i="4"/>
  <c r="L2321" i="4"/>
  <c r="K2321" i="4"/>
  <c r="J2321" i="4"/>
  <c r="I2321" i="4"/>
  <c r="H2321" i="4"/>
  <c r="G2321" i="4"/>
  <c r="F2321" i="4"/>
  <c r="E2321" i="4"/>
  <c r="D2321" i="4"/>
  <c r="C2321" i="4"/>
  <c r="B2321" i="4"/>
  <c r="A2321" i="4"/>
  <c r="M2320" i="4"/>
  <c r="L2320" i="4"/>
  <c r="K2320" i="4"/>
  <c r="J2320" i="4"/>
  <c r="I2320" i="4"/>
  <c r="H2320" i="4"/>
  <c r="G2320" i="4"/>
  <c r="F2320" i="4"/>
  <c r="E2320" i="4"/>
  <c r="D2320" i="4"/>
  <c r="C2320" i="4"/>
  <c r="B2320" i="4"/>
  <c r="A2320" i="4"/>
  <c r="M2319" i="4"/>
  <c r="L2319" i="4"/>
  <c r="K2319" i="4"/>
  <c r="J2319" i="4"/>
  <c r="I2319" i="4"/>
  <c r="H2319" i="4"/>
  <c r="G2319" i="4"/>
  <c r="F2319" i="4"/>
  <c r="E2319" i="4"/>
  <c r="D2319" i="4"/>
  <c r="C2319" i="4"/>
  <c r="B2319" i="4"/>
  <c r="A2319" i="4"/>
  <c r="M2318" i="4"/>
  <c r="L2318" i="4"/>
  <c r="K2318" i="4"/>
  <c r="J2318" i="4"/>
  <c r="I2318" i="4"/>
  <c r="H2318" i="4"/>
  <c r="G2318" i="4"/>
  <c r="F2318" i="4"/>
  <c r="E2318" i="4"/>
  <c r="D2318" i="4"/>
  <c r="C2318" i="4"/>
  <c r="B2318" i="4"/>
  <c r="A2318" i="4"/>
  <c r="M2317" i="4"/>
  <c r="L2317" i="4"/>
  <c r="K2317" i="4"/>
  <c r="J2317" i="4"/>
  <c r="I2317" i="4"/>
  <c r="H2317" i="4"/>
  <c r="G2317" i="4"/>
  <c r="F2317" i="4"/>
  <c r="E2317" i="4"/>
  <c r="D2317" i="4"/>
  <c r="C2317" i="4"/>
  <c r="B2317" i="4"/>
  <c r="A2317" i="4"/>
  <c r="M2316" i="4"/>
  <c r="L2316" i="4"/>
  <c r="K2316" i="4"/>
  <c r="J2316" i="4"/>
  <c r="I2316" i="4"/>
  <c r="H2316" i="4"/>
  <c r="G2316" i="4"/>
  <c r="F2316" i="4"/>
  <c r="E2316" i="4"/>
  <c r="D2316" i="4"/>
  <c r="C2316" i="4"/>
  <c r="B2316" i="4"/>
  <c r="A2316" i="4"/>
  <c r="M2315" i="4"/>
  <c r="L2315" i="4"/>
  <c r="K2315" i="4"/>
  <c r="J2315" i="4"/>
  <c r="I2315" i="4"/>
  <c r="H2315" i="4"/>
  <c r="G2315" i="4"/>
  <c r="F2315" i="4"/>
  <c r="E2315" i="4"/>
  <c r="D2315" i="4"/>
  <c r="C2315" i="4"/>
  <c r="B2315" i="4"/>
  <c r="A2315" i="4"/>
  <c r="M2314" i="4"/>
  <c r="L2314" i="4"/>
  <c r="K2314" i="4"/>
  <c r="J2314" i="4"/>
  <c r="I2314" i="4"/>
  <c r="H2314" i="4"/>
  <c r="G2314" i="4"/>
  <c r="F2314" i="4"/>
  <c r="E2314" i="4"/>
  <c r="D2314" i="4"/>
  <c r="C2314" i="4"/>
  <c r="B2314" i="4"/>
  <c r="A2314" i="4"/>
  <c r="M2313" i="4"/>
  <c r="L2313" i="4"/>
  <c r="K2313" i="4"/>
  <c r="J2313" i="4"/>
  <c r="I2313" i="4"/>
  <c r="H2313" i="4"/>
  <c r="G2313" i="4"/>
  <c r="F2313" i="4"/>
  <c r="E2313" i="4"/>
  <c r="D2313" i="4"/>
  <c r="C2313" i="4"/>
  <c r="B2313" i="4"/>
  <c r="A2313" i="4"/>
  <c r="M2312" i="4"/>
  <c r="L2312" i="4"/>
  <c r="K2312" i="4"/>
  <c r="J2312" i="4"/>
  <c r="I2312" i="4"/>
  <c r="H2312" i="4"/>
  <c r="G2312" i="4"/>
  <c r="F2312" i="4"/>
  <c r="E2312" i="4"/>
  <c r="D2312" i="4"/>
  <c r="C2312" i="4"/>
  <c r="B2312" i="4"/>
  <c r="A2312" i="4"/>
  <c r="M2311" i="4"/>
  <c r="L2311" i="4"/>
  <c r="K2311" i="4"/>
  <c r="J2311" i="4"/>
  <c r="I2311" i="4"/>
  <c r="H2311" i="4"/>
  <c r="G2311" i="4"/>
  <c r="F2311" i="4"/>
  <c r="E2311" i="4"/>
  <c r="D2311" i="4"/>
  <c r="C2311" i="4"/>
  <c r="B2311" i="4"/>
  <c r="A2311" i="4"/>
  <c r="M2310" i="4"/>
  <c r="L2310" i="4"/>
  <c r="K2310" i="4"/>
  <c r="J2310" i="4"/>
  <c r="I2310" i="4"/>
  <c r="H2310" i="4"/>
  <c r="G2310" i="4"/>
  <c r="F2310" i="4"/>
  <c r="E2310" i="4"/>
  <c r="D2310" i="4"/>
  <c r="C2310" i="4"/>
  <c r="B2310" i="4"/>
  <c r="A2310" i="4"/>
  <c r="M2309" i="4"/>
  <c r="L2309" i="4"/>
  <c r="K2309" i="4"/>
  <c r="J2309" i="4"/>
  <c r="I2309" i="4"/>
  <c r="H2309" i="4"/>
  <c r="G2309" i="4"/>
  <c r="F2309" i="4"/>
  <c r="E2309" i="4"/>
  <c r="D2309" i="4"/>
  <c r="C2309" i="4"/>
  <c r="B2309" i="4"/>
  <c r="A2309" i="4"/>
  <c r="M2308" i="4"/>
  <c r="L2308" i="4"/>
  <c r="K2308" i="4"/>
  <c r="J2308" i="4"/>
  <c r="I2308" i="4"/>
  <c r="H2308" i="4"/>
  <c r="G2308" i="4"/>
  <c r="F2308" i="4"/>
  <c r="E2308" i="4"/>
  <c r="D2308" i="4"/>
  <c r="C2308" i="4"/>
  <c r="B2308" i="4"/>
  <c r="A2308" i="4"/>
  <c r="M2307" i="4"/>
  <c r="L2307" i="4"/>
  <c r="K2307" i="4"/>
  <c r="J2307" i="4"/>
  <c r="I2307" i="4"/>
  <c r="H2307" i="4"/>
  <c r="G2307" i="4"/>
  <c r="F2307" i="4"/>
  <c r="E2307" i="4"/>
  <c r="D2307" i="4"/>
  <c r="C2307" i="4"/>
  <c r="B2307" i="4"/>
  <c r="A2307" i="4"/>
  <c r="M2306" i="4"/>
  <c r="L2306" i="4"/>
  <c r="K2306" i="4"/>
  <c r="J2306" i="4"/>
  <c r="I2306" i="4"/>
  <c r="H2306" i="4"/>
  <c r="G2306" i="4"/>
  <c r="F2306" i="4"/>
  <c r="E2306" i="4"/>
  <c r="D2306" i="4"/>
  <c r="C2306" i="4"/>
  <c r="B2306" i="4"/>
  <c r="A2306" i="4"/>
  <c r="M2305" i="4"/>
  <c r="L2305" i="4"/>
  <c r="K2305" i="4"/>
  <c r="J2305" i="4"/>
  <c r="I2305" i="4"/>
  <c r="H2305" i="4"/>
  <c r="G2305" i="4"/>
  <c r="F2305" i="4"/>
  <c r="E2305" i="4"/>
  <c r="D2305" i="4"/>
  <c r="C2305" i="4"/>
  <c r="B2305" i="4"/>
  <c r="A2305" i="4"/>
  <c r="M2304" i="4"/>
  <c r="L2304" i="4"/>
  <c r="K2304" i="4"/>
  <c r="J2304" i="4"/>
  <c r="I2304" i="4"/>
  <c r="H2304" i="4"/>
  <c r="G2304" i="4"/>
  <c r="F2304" i="4"/>
  <c r="E2304" i="4"/>
  <c r="D2304" i="4"/>
  <c r="C2304" i="4"/>
  <c r="B2304" i="4"/>
  <c r="A2304" i="4"/>
  <c r="M2303" i="4"/>
  <c r="L2303" i="4"/>
  <c r="K2303" i="4"/>
  <c r="J2303" i="4"/>
  <c r="I2303" i="4"/>
  <c r="H2303" i="4"/>
  <c r="G2303" i="4"/>
  <c r="F2303" i="4"/>
  <c r="E2303" i="4"/>
  <c r="D2303" i="4"/>
  <c r="C2303" i="4"/>
  <c r="B2303" i="4"/>
  <c r="A2303" i="4"/>
  <c r="M2302" i="4"/>
  <c r="L2302" i="4"/>
  <c r="K2302" i="4"/>
  <c r="J2302" i="4"/>
  <c r="I2302" i="4"/>
  <c r="H2302" i="4"/>
  <c r="G2302" i="4"/>
  <c r="F2302" i="4"/>
  <c r="E2302" i="4"/>
  <c r="D2302" i="4"/>
  <c r="C2302" i="4"/>
  <c r="B2302" i="4"/>
  <c r="A2302" i="4"/>
  <c r="M2301" i="4"/>
  <c r="L2301" i="4"/>
  <c r="K2301" i="4"/>
  <c r="J2301" i="4"/>
  <c r="I2301" i="4"/>
  <c r="H2301" i="4"/>
  <c r="G2301" i="4"/>
  <c r="F2301" i="4"/>
  <c r="E2301" i="4"/>
  <c r="D2301" i="4"/>
  <c r="C2301" i="4"/>
  <c r="B2301" i="4"/>
  <c r="A2301" i="4"/>
  <c r="M2300" i="4"/>
  <c r="L2300" i="4"/>
  <c r="K2300" i="4"/>
  <c r="J2300" i="4"/>
  <c r="I2300" i="4"/>
  <c r="H2300" i="4"/>
  <c r="G2300" i="4"/>
  <c r="F2300" i="4"/>
  <c r="E2300" i="4"/>
  <c r="D2300" i="4"/>
  <c r="C2300" i="4"/>
  <c r="B2300" i="4"/>
  <c r="A2300" i="4"/>
  <c r="M2299" i="4"/>
  <c r="L2299" i="4"/>
  <c r="K2299" i="4"/>
  <c r="J2299" i="4"/>
  <c r="I2299" i="4"/>
  <c r="H2299" i="4"/>
  <c r="G2299" i="4"/>
  <c r="F2299" i="4"/>
  <c r="E2299" i="4"/>
  <c r="D2299" i="4"/>
  <c r="C2299" i="4"/>
  <c r="B2299" i="4"/>
  <c r="A2299" i="4"/>
  <c r="M2298" i="4"/>
  <c r="L2298" i="4"/>
  <c r="K2298" i="4"/>
  <c r="J2298" i="4"/>
  <c r="I2298" i="4"/>
  <c r="H2298" i="4"/>
  <c r="G2298" i="4"/>
  <c r="F2298" i="4"/>
  <c r="E2298" i="4"/>
  <c r="D2298" i="4"/>
  <c r="C2298" i="4"/>
  <c r="B2298" i="4"/>
  <c r="A2298" i="4"/>
  <c r="M2297" i="4"/>
  <c r="L2297" i="4"/>
  <c r="K2297" i="4"/>
  <c r="J2297" i="4"/>
  <c r="I2297" i="4"/>
  <c r="H2297" i="4"/>
  <c r="G2297" i="4"/>
  <c r="F2297" i="4"/>
  <c r="E2297" i="4"/>
  <c r="D2297" i="4"/>
  <c r="C2297" i="4"/>
  <c r="B2297" i="4"/>
  <c r="A2297" i="4"/>
  <c r="M2296" i="4"/>
  <c r="L2296" i="4"/>
  <c r="K2296" i="4"/>
  <c r="J2296" i="4"/>
  <c r="I2296" i="4"/>
  <c r="H2296" i="4"/>
  <c r="G2296" i="4"/>
  <c r="F2296" i="4"/>
  <c r="E2296" i="4"/>
  <c r="D2296" i="4"/>
  <c r="C2296" i="4"/>
  <c r="B2296" i="4"/>
  <c r="A2296" i="4"/>
  <c r="M2295" i="4"/>
  <c r="L2295" i="4"/>
  <c r="K2295" i="4"/>
  <c r="J2295" i="4"/>
  <c r="I2295" i="4"/>
  <c r="H2295" i="4"/>
  <c r="G2295" i="4"/>
  <c r="F2295" i="4"/>
  <c r="E2295" i="4"/>
  <c r="D2295" i="4"/>
  <c r="C2295" i="4"/>
  <c r="B2295" i="4"/>
  <c r="A2295" i="4"/>
  <c r="M2294" i="4"/>
  <c r="L2294" i="4"/>
  <c r="K2294" i="4"/>
  <c r="J2294" i="4"/>
  <c r="I2294" i="4"/>
  <c r="H2294" i="4"/>
  <c r="G2294" i="4"/>
  <c r="F2294" i="4"/>
  <c r="E2294" i="4"/>
  <c r="D2294" i="4"/>
  <c r="C2294" i="4"/>
  <c r="B2294" i="4"/>
  <c r="A2294" i="4"/>
  <c r="M2293" i="4"/>
  <c r="L2293" i="4"/>
  <c r="K2293" i="4"/>
  <c r="J2293" i="4"/>
  <c r="I2293" i="4"/>
  <c r="H2293" i="4"/>
  <c r="G2293" i="4"/>
  <c r="F2293" i="4"/>
  <c r="E2293" i="4"/>
  <c r="D2293" i="4"/>
  <c r="C2293" i="4"/>
  <c r="B2293" i="4"/>
  <c r="A2293" i="4"/>
  <c r="M2292" i="4"/>
  <c r="L2292" i="4"/>
  <c r="K2292" i="4"/>
  <c r="J2292" i="4"/>
  <c r="I2292" i="4"/>
  <c r="H2292" i="4"/>
  <c r="G2292" i="4"/>
  <c r="F2292" i="4"/>
  <c r="D2292" i="4"/>
  <c r="C2292" i="4"/>
  <c r="B2292" i="4"/>
  <c r="A2292" i="4"/>
  <c r="M2291" i="4"/>
  <c r="L2291" i="4"/>
  <c r="K2291" i="4"/>
  <c r="J2291" i="4"/>
  <c r="I2291" i="4"/>
  <c r="H2291" i="4"/>
  <c r="G2291" i="4"/>
  <c r="F2291" i="4"/>
  <c r="E2291" i="4"/>
  <c r="D2291" i="4"/>
  <c r="C2291" i="4"/>
  <c r="B2291" i="4"/>
  <c r="A2291" i="4"/>
  <c r="M2290" i="4"/>
  <c r="L2290" i="4"/>
  <c r="K2290" i="4"/>
  <c r="J2290" i="4"/>
  <c r="I2290" i="4"/>
  <c r="H2290" i="4"/>
  <c r="G2290" i="4"/>
  <c r="F2290" i="4"/>
  <c r="E2290" i="4"/>
  <c r="D2290" i="4"/>
  <c r="C2290" i="4"/>
  <c r="B2290" i="4"/>
  <c r="A2290" i="4"/>
  <c r="M2289" i="4"/>
  <c r="L2289" i="4"/>
  <c r="K2289" i="4"/>
  <c r="J2289" i="4"/>
  <c r="I2289" i="4"/>
  <c r="H2289" i="4"/>
  <c r="G2289" i="4"/>
  <c r="F2289" i="4"/>
  <c r="E2289" i="4"/>
  <c r="D2289" i="4"/>
  <c r="C2289" i="4"/>
  <c r="B2289" i="4"/>
  <c r="A2289" i="4"/>
  <c r="M2288" i="4"/>
  <c r="L2288" i="4"/>
  <c r="K2288" i="4"/>
  <c r="J2288" i="4"/>
  <c r="I2288" i="4"/>
  <c r="H2288" i="4"/>
  <c r="G2288" i="4"/>
  <c r="F2288" i="4"/>
  <c r="E2288" i="4"/>
  <c r="D2288" i="4"/>
  <c r="C2288" i="4"/>
  <c r="B2288" i="4"/>
  <c r="A2288" i="4"/>
  <c r="M2287" i="4"/>
  <c r="L2287" i="4"/>
  <c r="K2287" i="4"/>
  <c r="J2287" i="4"/>
  <c r="I2287" i="4"/>
  <c r="H2287" i="4"/>
  <c r="G2287" i="4"/>
  <c r="F2287" i="4"/>
  <c r="E2287" i="4"/>
  <c r="D2287" i="4"/>
  <c r="C2287" i="4"/>
  <c r="B2287" i="4"/>
  <c r="A2287" i="4"/>
  <c r="M2286" i="4"/>
  <c r="L2286" i="4"/>
  <c r="K2286" i="4"/>
  <c r="J2286" i="4"/>
  <c r="I2286" i="4"/>
  <c r="H2286" i="4"/>
  <c r="G2286" i="4"/>
  <c r="F2286" i="4"/>
  <c r="E2286" i="4"/>
  <c r="D2286" i="4"/>
  <c r="C2286" i="4"/>
  <c r="B2286" i="4"/>
  <c r="A2286" i="4"/>
  <c r="M2285" i="4"/>
  <c r="L2285" i="4"/>
  <c r="K2285" i="4"/>
  <c r="J2285" i="4"/>
  <c r="I2285" i="4"/>
  <c r="H2285" i="4"/>
  <c r="G2285" i="4"/>
  <c r="F2285" i="4"/>
  <c r="E2285" i="4"/>
  <c r="D2285" i="4"/>
  <c r="C2285" i="4"/>
  <c r="B2285" i="4"/>
  <c r="A2285" i="4"/>
  <c r="M2284" i="4"/>
  <c r="L2284" i="4"/>
  <c r="K2284" i="4"/>
  <c r="J2284" i="4"/>
  <c r="I2284" i="4"/>
  <c r="H2284" i="4"/>
  <c r="G2284" i="4"/>
  <c r="F2284" i="4"/>
  <c r="E2284" i="4"/>
  <c r="D2284" i="4"/>
  <c r="C2284" i="4"/>
  <c r="B2284" i="4"/>
  <c r="A2284" i="4"/>
  <c r="M2283" i="4"/>
  <c r="L2283" i="4"/>
  <c r="K2283" i="4"/>
  <c r="J2283" i="4"/>
  <c r="I2283" i="4"/>
  <c r="H2283" i="4"/>
  <c r="G2283" i="4"/>
  <c r="F2283" i="4"/>
  <c r="E2283" i="4"/>
  <c r="D2283" i="4"/>
  <c r="C2283" i="4"/>
  <c r="B2283" i="4"/>
  <c r="A2283" i="4"/>
  <c r="M2282" i="4"/>
  <c r="L2282" i="4"/>
  <c r="K2282" i="4"/>
  <c r="J2282" i="4"/>
  <c r="I2282" i="4"/>
  <c r="H2282" i="4"/>
  <c r="G2282" i="4"/>
  <c r="F2282" i="4"/>
  <c r="E2282" i="4"/>
  <c r="D2282" i="4"/>
  <c r="C2282" i="4"/>
  <c r="B2282" i="4"/>
  <c r="A2282" i="4"/>
  <c r="M2281" i="4"/>
  <c r="L2281" i="4"/>
  <c r="K2281" i="4"/>
  <c r="J2281" i="4"/>
  <c r="I2281" i="4"/>
  <c r="H2281" i="4"/>
  <c r="G2281" i="4"/>
  <c r="F2281" i="4"/>
  <c r="E2281" i="4"/>
  <c r="D2281" i="4"/>
  <c r="C2281" i="4"/>
  <c r="B2281" i="4"/>
  <c r="A2281" i="4"/>
  <c r="M2280" i="4"/>
  <c r="L2280" i="4"/>
  <c r="K2280" i="4"/>
  <c r="J2280" i="4"/>
  <c r="I2280" i="4"/>
  <c r="H2280" i="4"/>
  <c r="G2280" i="4"/>
  <c r="F2280" i="4"/>
  <c r="E2280" i="4"/>
  <c r="D2280" i="4"/>
  <c r="C2280" i="4"/>
  <c r="B2280" i="4"/>
  <c r="A2280" i="4"/>
  <c r="M2279" i="4"/>
  <c r="L2279" i="4"/>
  <c r="K2279" i="4"/>
  <c r="J2279" i="4"/>
  <c r="I2279" i="4"/>
  <c r="H2279" i="4"/>
  <c r="G2279" i="4"/>
  <c r="F2279" i="4"/>
  <c r="E2279" i="4"/>
  <c r="D2279" i="4"/>
  <c r="C2279" i="4"/>
  <c r="B2279" i="4"/>
  <c r="A2279" i="4"/>
  <c r="M2278" i="4"/>
  <c r="L2278" i="4"/>
  <c r="K2278" i="4"/>
  <c r="J2278" i="4"/>
  <c r="I2278" i="4"/>
  <c r="H2278" i="4"/>
  <c r="G2278" i="4"/>
  <c r="F2278" i="4"/>
  <c r="E2278" i="4"/>
  <c r="D2278" i="4"/>
  <c r="C2278" i="4"/>
  <c r="B2278" i="4"/>
  <c r="A2278" i="4"/>
  <c r="M2277" i="4"/>
  <c r="L2277" i="4"/>
  <c r="K2277" i="4"/>
  <c r="J2277" i="4"/>
  <c r="I2277" i="4"/>
  <c r="H2277" i="4"/>
  <c r="G2277" i="4"/>
  <c r="F2277" i="4"/>
  <c r="E2277" i="4"/>
  <c r="D2277" i="4"/>
  <c r="C2277" i="4"/>
  <c r="B2277" i="4"/>
  <c r="A2277" i="4"/>
  <c r="M2276" i="4"/>
  <c r="L2276" i="4"/>
  <c r="K2276" i="4"/>
  <c r="J2276" i="4"/>
  <c r="I2276" i="4"/>
  <c r="H2276" i="4"/>
  <c r="G2276" i="4"/>
  <c r="F2276" i="4"/>
  <c r="E2276" i="4"/>
  <c r="D2276" i="4"/>
  <c r="C2276" i="4"/>
  <c r="B2276" i="4"/>
  <c r="A2276" i="4"/>
  <c r="M2275" i="4"/>
  <c r="L2275" i="4"/>
  <c r="K2275" i="4"/>
  <c r="J2275" i="4"/>
  <c r="I2275" i="4"/>
  <c r="H2275" i="4"/>
  <c r="G2275" i="4"/>
  <c r="F2275" i="4"/>
  <c r="E2275" i="4"/>
  <c r="D2275" i="4"/>
  <c r="C2275" i="4"/>
  <c r="B2275" i="4"/>
  <c r="A2275" i="4"/>
  <c r="M2274" i="4"/>
  <c r="L2274" i="4"/>
  <c r="K2274" i="4"/>
  <c r="J2274" i="4"/>
  <c r="I2274" i="4"/>
  <c r="H2274" i="4"/>
  <c r="G2274" i="4"/>
  <c r="F2274" i="4"/>
  <c r="E2274" i="4"/>
  <c r="D2274" i="4"/>
  <c r="C2274" i="4"/>
  <c r="B2274" i="4"/>
  <c r="A2274" i="4"/>
  <c r="M2273" i="4"/>
  <c r="L2273" i="4"/>
  <c r="K2273" i="4"/>
  <c r="J2273" i="4"/>
  <c r="I2273" i="4"/>
  <c r="H2273" i="4"/>
  <c r="G2273" i="4"/>
  <c r="F2273" i="4"/>
  <c r="E2273" i="4"/>
  <c r="D2273" i="4"/>
  <c r="C2273" i="4"/>
  <c r="B2273" i="4"/>
  <c r="A2273" i="4"/>
  <c r="M2272" i="4"/>
  <c r="L2272" i="4"/>
  <c r="K2272" i="4"/>
  <c r="J2272" i="4"/>
  <c r="I2272" i="4"/>
  <c r="H2272" i="4"/>
  <c r="G2272" i="4"/>
  <c r="F2272" i="4"/>
  <c r="E2272" i="4"/>
  <c r="D2272" i="4"/>
  <c r="C2272" i="4"/>
  <c r="B2272" i="4"/>
  <c r="A2272" i="4"/>
  <c r="M2271" i="4"/>
  <c r="L2271" i="4"/>
  <c r="K2271" i="4"/>
  <c r="J2271" i="4"/>
  <c r="I2271" i="4"/>
  <c r="H2271" i="4"/>
  <c r="G2271" i="4"/>
  <c r="F2271" i="4"/>
  <c r="E2271" i="4"/>
  <c r="D2271" i="4"/>
  <c r="C2271" i="4"/>
  <c r="B2271" i="4"/>
  <c r="A2271" i="4"/>
  <c r="M2270" i="4"/>
  <c r="L2270" i="4"/>
  <c r="K2270" i="4"/>
  <c r="J2270" i="4"/>
  <c r="I2270" i="4"/>
  <c r="H2270" i="4"/>
  <c r="G2270" i="4"/>
  <c r="F2270" i="4"/>
  <c r="E2270" i="4"/>
  <c r="D2270" i="4"/>
  <c r="B2270" i="4"/>
  <c r="A2270" i="4"/>
  <c r="M2269" i="4"/>
  <c r="L2269" i="4"/>
  <c r="K2269" i="4"/>
  <c r="J2269" i="4"/>
  <c r="I2269" i="4"/>
  <c r="H2269" i="4"/>
  <c r="G2269" i="4"/>
  <c r="F2269" i="4"/>
  <c r="E2269" i="4"/>
  <c r="D2269" i="4"/>
  <c r="C2269" i="4"/>
  <c r="B2269" i="4"/>
  <c r="A2269" i="4"/>
  <c r="M2268" i="4"/>
  <c r="L2268" i="4"/>
  <c r="K2268" i="4"/>
  <c r="J2268" i="4"/>
  <c r="I2268" i="4"/>
  <c r="H2268" i="4"/>
  <c r="G2268" i="4"/>
  <c r="F2268" i="4"/>
  <c r="E2268" i="4"/>
  <c r="D2268" i="4"/>
  <c r="C2268" i="4"/>
  <c r="B2268" i="4"/>
  <c r="A2268" i="4"/>
  <c r="M2267" i="4"/>
  <c r="L2267" i="4"/>
  <c r="K2267" i="4"/>
  <c r="J2267" i="4"/>
  <c r="I2267" i="4"/>
  <c r="H2267" i="4"/>
  <c r="G2267" i="4"/>
  <c r="F2267" i="4"/>
  <c r="E2267" i="4"/>
  <c r="D2267" i="4"/>
  <c r="C2267" i="4"/>
  <c r="B2267" i="4"/>
  <c r="A2267" i="4"/>
  <c r="M2266" i="4"/>
  <c r="L2266" i="4"/>
  <c r="K2266" i="4"/>
  <c r="J2266" i="4"/>
  <c r="I2266" i="4"/>
  <c r="H2266" i="4"/>
  <c r="G2266" i="4"/>
  <c r="F2266" i="4"/>
  <c r="E2266" i="4"/>
  <c r="D2266" i="4"/>
  <c r="C2266" i="4"/>
  <c r="B2266" i="4"/>
  <c r="A2266" i="4"/>
  <c r="M2265" i="4"/>
  <c r="L2265" i="4"/>
  <c r="K2265" i="4"/>
  <c r="J2265" i="4"/>
  <c r="I2265" i="4"/>
  <c r="H2265" i="4"/>
  <c r="G2265" i="4"/>
  <c r="F2265" i="4"/>
  <c r="E2265" i="4"/>
  <c r="D2265" i="4"/>
  <c r="C2265" i="4"/>
  <c r="B2265" i="4"/>
  <c r="A2265" i="4"/>
  <c r="M2264" i="4"/>
  <c r="L2264" i="4"/>
  <c r="K2264" i="4"/>
  <c r="J2264" i="4"/>
  <c r="I2264" i="4"/>
  <c r="H2264" i="4"/>
  <c r="G2264" i="4"/>
  <c r="F2264" i="4"/>
  <c r="E2264" i="4"/>
  <c r="D2264" i="4"/>
  <c r="C2264" i="4"/>
  <c r="B2264" i="4"/>
  <c r="A2264" i="4"/>
  <c r="M2263" i="4"/>
  <c r="L2263" i="4"/>
  <c r="K2263" i="4"/>
  <c r="J2263" i="4"/>
  <c r="I2263" i="4"/>
  <c r="H2263" i="4"/>
  <c r="G2263" i="4"/>
  <c r="F2263" i="4"/>
  <c r="E2263" i="4"/>
  <c r="D2263" i="4"/>
  <c r="C2263" i="4"/>
  <c r="B2263" i="4"/>
  <c r="A2263" i="4"/>
  <c r="M2262" i="4"/>
  <c r="L2262" i="4"/>
  <c r="K2262" i="4"/>
  <c r="J2262" i="4"/>
  <c r="I2262" i="4"/>
  <c r="H2262" i="4"/>
  <c r="G2262" i="4"/>
  <c r="F2262" i="4"/>
  <c r="E2262" i="4"/>
  <c r="D2262" i="4"/>
  <c r="C2262" i="4"/>
  <c r="B2262" i="4"/>
  <c r="A2262" i="4"/>
  <c r="M2261" i="4"/>
  <c r="L2261" i="4"/>
  <c r="K2261" i="4"/>
  <c r="J2261" i="4"/>
  <c r="I2261" i="4"/>
  <c r="H2261" i="4"/>
  <c r="G2261" i="4"/>
  <c r="F2261" i="4"/>
  <c r="E2261" i="4"/>
  <c r="D2261" i="4"/>
  <c r="C2261" i="4"/>
  <c r="B2261" i="4"/>
  <c r="A2261" i="4"/>
  <c r="M2260" i="4"/>
  <c r="L2260" i="4"/>
  <c r="K2260" i="4"/>
  <c r="J2260" i="4"/>
  <c r="I2260" i="4"/>
  <c r="H2260" i="4"/>
  <c r="G2260" i="4"/>
  <c r="F2260" i="4"/>
  <c r="E2260" i="4"/>
  <c r="D2260" i="4"/>
  <c r="C2260" i="4"/>
  <c r="B2260" i="4"/>
  <c r="A2260" i="4"/>
  <c r="M2259" i="4"/>
  <c r="L2259" i="4"/>
  <c r="K2259" i="4"/>
  <c r="J2259" i="4"/>
  <c r="I2259" i="4"/>
  <c r="H2259" i="4"/>
  <c r="G2259" i="4"/>
  <c r="F2259" i="4"/>
  <c r="E2259" i="4"/>
  <c r="D2259" i="4"/>
  <c r="C2259" i="4"/>
  <c r="B2259" i="4"/>
  <c r="A2259" i="4"/>
  <c r="M2258" i="4"/>
  <c r="L2258" i="4"/>
  <c r="K2258" i="4"/>
  <c r="J2258" i="4"/>
  <c r="I2258" i="4"/>
  <c r="H2258" i="4"/>
  <c r="G2258" i="4"/>
  <c r="F2258" i="4"/>
  <c r="E2258" i="4"/>
  <c r="D2258" i="4"/>
  <c r="C2258" i="4"/>
  <c r="B2258" i="4"/>
  <c r="A2258" i="4"/>
  <c r="M2257" i="4"/>
  <c r="L2257" i="4"/>
  <c r="K2257" i="4"/>
  <c r="J2257" i="4"/>
  <c r="I2257" i="4"/>
  <c r="H2257" i="4"/>
  <c r="G2257" i="4"/>
  <c r="F2257" i="4"/>
  <c r="E2257" i="4"/>
  <c r="D2257" i="4"/>
  <c r="C2257" i="4"/>
  <c r="B2257" i="4"/>
  <c r="A2257" i="4"/>
  <c r="M2256" i="4"/>
  <c r="L2256" i="4"/>
  <c r="K2256" i="4"/>
  <c r="J2256" i="4"/>
  <c r="I2256" i="4"/>
  <c r="H2256" i="4"/>
  <c r="G2256" i="4"/>
  <c r="F2256" i="4"/>
  <c r="E2256" i="4"/>
  <c r="D2256" i="4"/>
  <c r="C2256" i="4"/>
  <c r="B2256" i="4"/>
  <c r="A2256" i="4"/>
  <c r="M2255" i="4"/>
  <c r="L2255" i="4"/>
  <c r="K2255" i="4"/>
  <c r="J2255" i="4"/>
  <c r="I2255" i="4"/>
  <c r="H2255" i="4"/>
  <c r="G2255" i="4"/>
  <c r="F2255" i="4"/>
  <c r="E2255" i="4"/>
  <c r="D2255" i="4"/>
  <c r="C2255" i="4"/>
  <c r="B2255" i="4"/>
  <c r="A2255" i="4"/>
  <c r="M2254" i="4"/>
  <c r="L2254" i="4"/>
  <c r="K2254" i="4"/>
  <c r="J2254" i="4"/>
  <c r="I2254" i="4"/>
  <c r="H2254" i="4"/>
  <c r="G2254" i="4"/>
  <c r="F2254" i="4"/>
  <c r="E2254" i="4"/>
  <c r="D2254" i="4"/>
  <c r="C2254" i="4"/>
  <c r="B2254" i="4"/>
  <c r="A2254" i="4"/>
  <c r="M2253" i="4"/>
  <c r="L2253" i="4"/>
  <c r="K2253" i="4"/>
  <c r="J2253" i="4"/>
  <c r="I2253" i="4"/>
  <c r="H2253" i="4"/>
  <c r="G2253" i="4"/>
  <c r="F2253" i="4"/>
  <c r="E2253" i="4"/>
  <c r="D2253" i="4"/>
  <c r="C2253" i="4"/>
  <c r="B2253" i="4"/>
  <c r="A2253" i="4"/>
  <c r="M2252" i="4"/>
  <c r="L2252" i="4"/>
  <c r="K2252" i="4"/>
  <c r="J2252" i="4"/>
  <c r="I2252" i="4"/>
  <c r="H2252" i="4"/>
  <c r="G2252" i="4"/>
  <c r="F2252" i="4"/>
  <c r="E2252" i="4"/>
  <c r="D2252" i="4"/>
  <c r="C2252" i="4"/>
  <c r="B2252" i="4"/>
  <c r="A2252" i="4"/>
  <c r="M2251" i="4"/>
  <c r="L2251" i="4"/>
  <c r="K2251" i="4"/>
  <c r="J2251" i="4"/>
  <c r="I2251" i="4"/>
  <c r="H2251" i="4"/>
  <c r="G2251" i="4"/>
  <c r="F2251" i="4"/>
  <c r="E2251" i="4"/>
  <c r="D2251" i="4"/>
  <c r="C2251" i="4"/>
  <c r="B2251" i="4"/>
  <c r="A2251" i="4"/>
  <c r="M2250" i="4"/>
  <c r="L2250" i="4"/>
  <c r="K2250" i="4"/>
  <c r="J2250" i="4"/>
  <c r="I2250" i="4"/>
  <c r="H2250" i="4"/>
  <c r="G2250" i="4"/>
  <c r="F2250" i="4"/>
  <c r="E2250" i="4"/>
  <c r="D2250" i="4"/>
  <c r="C2250" i="4"/>
  <c r="B2250" i="4"/>
  <c r="A2250" i="4"/>
  <c r="M2249" i="4"/>
  <c r="L2249" i="4"/>
  <c r="K2249" i="4"/>
  <c r="J2249" i="4"/>
  <c r="I2249" i="4"/>
  <c r="H2249" i="4"/>
  <c r="G2249" i="4"/>
  <c r="F2249" i="4"/>
  <c r="E2249" i="4"/>
  <c r="D2249" i="4"/>
  <c r="C2249" i="4"/>
  <c r="B2249" i="4"/>
  <c r="A2249" i="4"/>
  <c r="M2248" i="4"/>
  <c r="L2248" i="4"/>
  <c r="K2248" i="4"/>
  <c r="J2248" i="4"/>
  <c r="I2248" i="4"/>
  <c r="H2248" i="4"/>
  <c r="G2248" i="4"/>
  <c r="F2248" i="4"/>
  <c r="E2248" i="4"/>
  <c r="D2248" i="4"/>
  <c r="C2248" i="4"/>
  <c r="B2248" i="4"/>
  <c r="A2248" i="4"/>
  <c r="M2247" i="4"/>
  <c r="L2247" i="4"/>
  <c r="K2247" i="4"/>
  <c r="J2247" i="4"/>
  <c r="I2247" i="4"/>
  <c r="H2247" i="4"/>
  <c r="G2247" i="4"/>
  <c r="F2247" i="4"/>
  <c r="E2247" i="4"/>
  <c r="D2247" i="4"/>
  <c r="C2247" i="4"/>
  <c r="B2247" i="4"/>
  <c r="A2247" i="4"/>
  <c r="M2246" i="4"/>
  <c r="L2246" i="4"/>
  <c r="K2246" i="4"/>
  <c r="J2246" i="4"/>
  <c r="I2246" i="4"/>
  <c r="H2246" i="4"/>
  <c r="G2246" i="4"/>
  <c r="F2246" i="4"/>
  <c r="E2246" i="4"/>
  <c r="D2246" i="4"/>
  <c r="C2246" i="4"/>
  <c r="B2246" i="4"/>
  <c r="A2246" i="4"/>
  <c r="M2245" i="4"/>
  <c r="L2245" i="4"/>
  <c r="K2245" i="4"/>
  <c r="J2245" i="4"/>
  <c r="I2245" i="4"/>
  <c r="H2245" i="4"/>
  <c r="G2245" i="4"/>
  <c r="F2245" i="4"/>
  <c r="E2245" i="4"/>
  <c r="D2245" i="4"/>
  <c r="C2245" i="4"/>
  <c r="B2245" i="4"/>
  <c r="A2245" i="4"/>
  <c r="M2244" i="4"/>
  <c r="L2244" i="4"/>
  <c r="K2244" i="4"/>
  <c r="J2244" i="4"/>
  <c r="I2244" i="4"/>
  <c r="H2244" i="4"/>
  <c r="G2244" i="4"/>
  <c r="F2244" i="4"/>
  <c r="E2244" i="4"/>
  <c r="D2244" i="4"/>
  <c r="C2244" i="4"/>
  <c r="B2244" i="4"/>
  <c r="A2244" i="4"/>
  <c r="M2243" i="4"/>
  <c r="L2243" i="4"/>
  <c r="K2243" i="4"/>
  <c r="J2243" i="4"/>
  <c r="I2243" i="4"/>
  <c r="H2243" i="4"/>
  <c r="G2243" i="4"/>
  <c r="F2243" i="4"/>
  <c r="E2243" i="4"/>
  <c r="D2243" i="4"/>
  <c r="C2243" i="4"/>
  <c r="B2243" i="4"/>
  <c r="A2243" i="4"/>
  <c r="M2242" i="4"/>
  <c r="L2242" i="4"/>
  <c r="K2242" i="4"/>
  <c r="J2242" i="4"/>
  <c r="I2242" i="4"/>
  <c r="H2242" i="4"/>
  <c r="G2242" i="4"/>
  <c r="F2242" i="4"/>
  <c r="E2242" i="4"/>
  <c r="D2242" i="4"/>
  <c r="C2242" i="4"/>
  <c r="B2242" i="4"/>
  <c r="A2242" i="4"/>
  <c r="M2241" i="4"/>
  <c r="L2241" i="4"/>
  <c r="K2241" i="4"/>
  <c r="J2241" i="4"/>
  <c r="I2241" i="4"/>
  <c r="H2241" i="4"/>
  <c r="G2241" i="4"/>
  <c r="F2241" i="4"/>
  <c r="E2241" i="4"/>
  <c r="D2241" i="4"/>
  <c r="C2241" i="4"/>
  <c r="B2241" i="4"/>
  <c r="A2241" i="4"/>
  <c r="M2240" i="4"/>
  <c r="L2240" i="4"/>
  <c r="K2240" i="4"/>
  <c r="J2240" i="4"/>
  <c r="I2240" i="4"/>
  <c r="H2240" i="4"/>
  <c r="G2240" i="4"/>
  <c r="F2240" i="4"/>
  <c r="E2240" i="4"/>
  <c r="D2240" i="4"/>
  <c r="C2240" i="4"/>
  <c r="B2240" i="4"/>
  <c r="A2240" i="4"/>
  <c r="M2239" i="4"/>
  <c r="L2239" i="4"/>
  <c r="K2239" i="4"/>
  <c r="J2239" i="4"/>
  <c r="I2239" i="4"/>
  <c r="H2239" i="4"/>
  <c r="G2239" i="4"/>
  <c r="F2239" i="4"/>
  <c r="E2239" i="4"/>
  <c r="D2239" i="4"/>
  <c r="C2239" i="4"/>
  <c r="B2239" i="4"/>
  <c r="A2239" i="4"/>
  <c r="M2238" i="4"/>
  <c r="L2238" i="4"/>
  <c r="K2238" i="4"/>
  <c r="J2238" i="4"/>
  <c r="I2238" i="4"/>
  <c r="H2238" i="4"/>
  <c r="G2238" i="4"/>
  <c r="F2238" i="4"/>
  <c r="E2238" i="4"/>
  <c r="D2238" i="4"/>
  <c r="C2238" i="4"/>
  <c r="B2238" i="4"/>
  <c r="A2238" i="4"/>
  <c r="M2237" i="4"/>
  <c r="L2237" i="4"/>
  <c r="K2237" i="4"/>
  <c r="J2237" i="4"/>
  <c r="I2237" i="4"/>
  <c r="H2237" i="4"/>
  <c r="G2237" i="4"/>
  <c r="F2237" i="4"/>
  <c r="E2237" i="4"/>
  <c r="D2237" i="4"/>
  <c r="C2237" i="4"/>
  <c r="B2237" i="4"/>
  <c r="A2237" i="4"/>
  <c r="M2236" i="4"/>
  <c r="L2236" i="4"/>
  <c r="K2236" i="4"/>
  <c r="J2236" i="4"/>
  <c r="I2236" i="4"/>
  <c r="H2236" i="4"/>
  <c r="G2236" i="4"/>
  <c r="F2236" i="4"/>
  <c r="D2236" i="4"/>
  <c r="C2236" i="4"/>
  <c r="B2236" i="4"/>
  <c r="A2236" i="4"/>
  <c r="M2235" i="4"/>
  <c r="L2235" i="4"/>
  <c r="K2235" i="4"/>
  <c r="J2235" i="4"/>
  <c r="I2235" i="4"/>
  <c r="H2235" i="4"/>
  <c r="G2235" i="4"/>
  <c r="F2235" i="4"/>
  <c r="E2235" i="4"/>
  <c r="D2235" i="4"/>
  <c r="C2235" i="4"/>
  <c r="B2235" i="4"/>
  <c r="A2235" i="4"/>
  <c r="M2234" i="4"/>
  <c r="L2234" i="4"/>
  <c r="K2234" i="4"/>
  <c r="J2234" i="4"/>
  <c r="I2234" i="4"/>
  <c r="H2234" i="4"/>
  <c r="G2234" i="4"/>
  <c r="F2234" i="4"/>
  <c r="E2234" i="4"/>
  <c r="D2234" i="4"/>
  <c r="C2234" i="4"/>
  <c r="B2234" i="4"/>
  <c r="A2234" i="4"/>
  <c r="M2233" i="4"/>
  <c r="L2233" i="4"/>
  <c r="K2233" i="4"/>
  <c r="J2233" i="4"/>
  <c r="I2233" i="4"/>
  <c r="H2233" i="4"/>
  <c r="G2233" i="4"/>
  <c r="F2233" i="4"/>
  <c r="E2233" i="4"/>
  <c r="D2233" i="4"/>
  <c r="C2233" i="4"/>
  <c r="B2233" i="4"/>
  <c r="A2233" i="4"/>
  <c r="M2232" i="4"/>
  <c r="L2232" i="4"/>
  <c r="K2232" i="4"/>
  <c r="J2232" i="4"/>
  <c r="I2232" i="4"/>
  <c r="H2232" i="4"/>
  <c r="G2232" i="4"/>
  <c r="F2232" i="4"/>
  <c r="E2232" i="4"/>
  <c r="D2232" i="4"/>
  <c r="C2232" i="4"/>
  <c r="B2232" i="4"/>
  <c r="A2232" i="4"/>
  <c r="M2231" i="4"/>
  <c r="L2231" i="4"/>
  <c r="K2231" i="4"/>
  <c r="J2231" i="4"/>
  <c r="I2231" i="4"/>
  <c r="H2231" i="4"/>
  <c r="G2231" i="4"/>
  <c r="F2231" i="4"/>
  <c r="E2231" i="4"/>
  <c r="D2231" i="4"/>
  <c r="C2231" i="4"/>
  <c r="B2231" i="4"/>
  <c r="A2231" i="4"/>
  <c r="M2230" i="4"/>
  <c r="L2230" i="4"/>
  <c r="K2230" i="4"/>
  <c r="J2230" i="4"/>
  <c r="I2230" i="4"/>
  <c r="H2230" i="4"/>
  <c r="G2230" i="4"/>
  <c r="F2230" i="4"/>
  <c r="E2230" i="4"/>
  <c r="D2230" i="4"/>
  <c r="C2230" i="4"/>
  <c r="B2230" i="4"/>
  <c r="A2230" i="4"/>
  <c r="M2229" i="4"/>
  <c r="L2229" i="4"/>
  <c r="K2229" i="4"/>
  <c r="J2229" i="4"/>
  <c r="I2229" i="4"/>
  <c r="H2229" i="4"/>
  <c r="G2229" i="4"/>
  <c r="F2229" i="4"/>
  <c r="E2229" i="4"/>
  <c r="D2229" i="4"/>
  <c r="C2229" i="4"/>
  <c r="B2229" i="4"/>
  <c r="A2229" i="4"/>
  <c r="M2228" i="4"/>
  <c r="L2228" i="4"/>
  <c r="K2228" i="4"/>
  <c r="J2228" i="4"/>
  <c r="I2228" i="4"/>
  <c r="H2228" i="4"/>
  <c r="G2228" i="4"/>
  <c r="F2228" i="4"/>
  <c r="E2228" i="4"/>
  <c r="D2228" i="4"/>
  <c r="C2228" i="4"/>
  <c r="B2228" i="4"/>
  <c r="A2228" i="4"/>
  <c r="M2227" i="4"/>
  <c r="L2227" i="4"/>
  <c r="K2227" i="4"/>
  <c r="J2227" i="4"/>
  <c r="I2227" i="4"/>
  <c r="H2227" i="4"/>
  <c r="G2227" i="4"/>
  <c r="F2227" i="4"/>
  <c r="E2227" i="4"/>
  <c r="D2227" i="4"/>
  <c r="C2227" i="4"/>
  <c r="B2227" i="4"/>
  <c r="A2227" i="4"/>
  <c r="M2226" i="4"/>
  <c r="L2226" i="4"/>
  <c r="K2226" i="4"/>
  <c r="J2226" i="4"/>
  <c r="I2226" i="4"/>
  <c r="H2226" i="4"/>
  <c r="G2226" i="4"/>
  <c r="F2226" i="4"/>
  <c r="E2226" i="4"/>
  <c r="D2226" i="4"/>
  <c r="C2226" i="4"/>
  <c r="B2226" i="4"/>
  <c r="A2226" i="4"/>
  <c r="M2225" i="4"/>
  <c r="L2225" i="4"/>
  <c r="K2225" i="4"/>
  <c r="J2225" i="4"/>
  <c r="I2225" i="4"/>
  <c r="H2225" i="4"/>
  <c r="G2225" i="4"/>
  <c r="F2225" i="4"/>
  <c r="E2225" i="4"/>
  <c r="D2225" i="4"/>
  <c r="C2225" i="4"/>
  <c r="B2225" i="4"/>
  <c r="A2225" i="4"/>
  <c r="M2224" i="4"/>
  <c r="L2224" i="4"/>
  <c r="K2224" i="4"/>
  <c r="J2224" i="4"/>
  <c r="I2224" i="4"/>
  <c r="H2224" i="4"/>
  <c r="G2224" i="4"/>
  <c r="F2224" i="4"/>
  <c r="E2224" i="4"/>
  <c r="D2224" i="4"/>
  <c r="C2224" i="4"/>
  <c r="B2224" i="4"/>
  <c r="A2224" i="4"/>
  <c r="M2223" i="4"/>
  <c r="L2223" i="4"/>
  <c r="K2223" i="4"/>
  <c r="J2223" i="4"/>
  <c r="I2223" i="4"/>
  <c r="H2223" i="4"/>
  <c r="G2223" i="4"/>
  <c r="F2223" i="4"/>
  <c r="E2223" i="4"/>
  <c r="D2223" i="4"/>
  <c r="C2223" i="4"/>
  <c r="B2223" i="4"/>
  <c r="A2223" i="4"/>
  <c r="M2222" i="4"/>
  <c r="L2222" i="4"/>
  <c r="K2222" i="4"/>
  <c r="J2222" i="4"/>
  <c r="I2222" i="4"/>
  <c r="H2222" i="4"/>
  <c r="G2222" i="4"/>
  <c r="F2222" i="4"/>
  <c r="E2222" i="4"/>
  <c r="D2222" i="4"/>
  <c r="C2222" i="4"/>
  <c r="B2222" i="4"/>
  <c r="A2222" i="4"/>
  <c r="M2221" i="4"/>
  <c r="L2221" i="4"/>
  <c r="K2221" i="4"/>
  <c r="J2221" i="4"/>
  <c r="I2221" i="4"/>
  <c r="H2221" i="4"/>
  <c r="G2221" i="4"/>
  <c r="F2221" i="4"/>
  <c r="E2221" i="4"/>
  <c r="D2221" i="4"/>
  <c r="C2221" i="4"/>
  <c r="B2221" i="4"/>
  <c r="A2221" i="4"/>
  <c r="M2220" i="4"/>
  <c r="L2220" i="4"/>
  <c r="K2220" i="4"/>
  <c r="J2220" i="4"/>
  <c r="I2220" i="4"/>
  <c r="H2220" i="4"/>
  <c r="G2220" i="4"/>
  <c r="F2220" i="4"/>
  <c r="E2220" i="4"/>
  <c r="D2220" i="4"/>
  <c r="C2220" i="4"/>
  <c r="B2220" i="4"/>
  <c r="A2220" i="4"/>
  <c r="M2219" i="4"/>
  <c r="L2219" i="4"/>
  <c r="K2219" i="4"/>
  <c r="J2219" i="4"/>
  <c r="I2219" i="4"/>
  <c r="H2219" i="4"/>
  <c r="G2219" i="4"/>
  <c r="F2219" i="4"/>
  <c r="E2219" i="4"/>
  <c r="D2219" i="4"/>
  <c r="C2219" i="4"/>
  <c r="B2219" i="4"/>
  <c r="A2219" i="4"/>
  <c r="M2218" i="4"/>
  <c r="L2218" i="4"/>
  <c r="K2218" i="4"/>
  <c r="J2218" i="4"/>
  <c r="I2218" i="4"/>
  <c r="H2218" i="4"/>
  <c r="G2218" i="4"/>
  <c r="F2218" i="4"/>
  <c r="E2218" i="4"/>
  <c r="D2218" i="4"/>
  <c r="C2218" i="4"/>
  <c r="B2218" i="4"/>
  <c r="A2218" i="4"/>
  <c r="M2217" i="4"/>
  <c r="L2217" i="4"/>
  <c r="K2217" i="4"/>
  <c r="J2217" i="4"/>
  <c r="I2217" i="4"/>
  <c r="H2217" i="4"/>
  <c r="G2217" i="4"/>
  <c r="F2217" i="4"/>
  <c r="E2217" i="4"/>
  <c r="D2217" i="4"/>
  <c r="C2217" i="4"/>
  <c r="B2217" i="4"/>
  <c r="A2217" i="4"/>
  <c r="M2216" i="4"/>
  <c r="L2216" i="4"/>
  <c r="K2216" i="4"/>
  <c r="J2216" i="4"/>
  <c r="I2216" i="4"/>
  <c r="H2216" i="4"/>
  <c r="G2216" i="4"/>
  <c r="F2216" i="4"/>
  <c r="E2216" i="4"/>
  <c r="D2216" i="4"/>
  <c r="C2216" i="4"/>
  <c r="B2216" i="4"/>
  <c r="A2216" i="4"/>
  <c r="M2215" i="4"/>
  <c r="L2215" i="4"/>
  <c r="K2215" i="4"/>
  <c r="J2215" i="4"/>
  <c r="I2215" i="4"/>
  <c r="H2215" i="4"/>
  <c r="G2215" i="4"/>
  <c r="F2215" i="4"/>
  <c r="E2215" i="4"/>
  <c r="D2215" i="4"/>
  <c r="C2215" i="4"/>
  <c r="B2215" i="4"/>
  <c r="A2215" i="4"/>
  <c r="M2214" i="4"/>
  <c r="L2214" i="4"/>
  <c r="K2214" i="4"/>
  <c r="J2214" i="4"/>
  <c r="I2214" i="4"/>
  <c r="H2214" i="4"/>
  <c r="G2214" i="4"/>
  <c r="F2214" i="4"/>
  <c r="E2214" i="4"/>
  <c r="D2214" i="4"/>
  <c r="C2214" i="4"/>
  <c r="B2214" i="4"/>
  <c r="A2214" i="4"/>
  <c r="M2213" i="4"/>
  <c r="L2213" i="4"/>
  <c r="K2213" i="4"/>
  <c r="J2213" i="4"/>
  <c r="I2213" i="4"/>
  <c r="H2213" i="4"/>
  <c r="G2213" i="4"/>
  <c r="F2213" i="4"/>
  <c r="E2213" i="4"/>
  <c r="D2213" i="4"/>
  <c r="C2213" i="4"/>
  <c r="B2213" i="4"/>
  <c r="A2213" i="4"/>
  <c r="M2212" i="4"/>
  <c r="L2212" i="4"/>
  <c r="K2212" i="4"/>
  <c r="J2212" i="4"/>
  <c r="I2212" i="4"/>
  <c r="H2212" i="4"/>
  <c r="G2212" i="4"/>
  <c r="F2212" i="4"/>
  <c r="E2212" i="4"/>
  <c r="D2212" i="4"/>
  <c r="C2212" i="4"/>
  <c r="B2212" i="4"/>
  <c r="A2212" i="4"/>
  <c r="M2211" i="4"/>
  <c r="L2211" i="4"/>
  <c r="K2211" i="4"/>
  <c r="J2211" i="4"/>
  <c r="I2211" i="4"/>
  <c r="H2211" i="4"/>
  <c r="G2211" i="4"/>
  <c r="F2211" i="4"/>
  <c r="E2211" i="4"/>
  <c r="D2211" i="4"/>
  <c r="C2211" i="4"/>
  <c r="B2211" i="4"/>
  <c r="A2211" i="4"/>
  <c r="M2210" i="4"/>
  <c r="L2210" i="4"/>
  <c r="K2210" i="4"/>
  <c r="J2210" i="4"/>
  <c r="I2210" i="4"/>
  <c r="H2210" i="4"/>
  <c r="G2210" i="4"/>
  <c r="F2210" i="4"/>
  <c r="D2210" i="4"/>
  <c r="C2210" i="4"/>
  <c r="B2210" i="4"/>
  <c r="A2210" i="4"/>
  <c r="M2209" i="4"/>
  <c r="L2209" i="4"/>
  <c r="K2209" i="4"/>
  <c r="J2209" i="4"/>
  <c r="I2209" i="4"/>
  <c r="H2209" i="4"/>
  <c r="G2209" i="4"/>
  <c r="F2209" i="4"/>
  <c r="E2209" i="4"/>
  <c r="D2209" i="4"/>
  <c r="C2209" i="4"/>
  <c r="B2209" i="4"/>
  <c r="A2209" i="4"/>
  <c r="M2208" i="4"/>
  <c r="L2208" i="4"/>
  <c r="K2208" i="4"/>
  <c r="J2208" i="4"/>
  <c r="I2208" i="4"/>
  <c r="H2208" i="4"/>
  <c r="G2208" i="4"/>
  <c r="F2208" i="4"/>
  <c r="E2208" i="4"/>
  <c r="D2208" i="4"/>
  <c r="C2208" i="4"/>
  <c r="B2208" i="4"/>
  <c r="A2208" i="4"/>
  <c r="M2207" i="4"/>
  <c r="L2207" i="4"/>
  <c r="K2207" i="4"/>
  <c r="J2207" i="4"/>
  <c r="I2207" i="4"/>
  <c r="H2207" i="4"/>
  <c r="G2207" i="4"/>
  <c r="F2207" i="4"/>
  <c r="E2207" i="4"/>
  <c r="D2207" i="4"/>
  <c r="C2207" i="4"/>
  <c r="B2207" i="4"/>
  <c r="A2207" i="4"/>
  <c r="M2206" i="4"/>
  <c r="L2206" i="4"/>
  <c r="K2206" i="4"/>
  <c r="J2206" i="4"/>
  <c r="I2206" i="4"/>
  <c r="H2206" i="4"/>
  <c r="G2206" i="4"/>
  <c r="F2206" i="4"/>
  <c r="E2206" i="4"/>
  <c r="D2206" i="4"/>
  <c r="C2206" i="4"/>
  <c r="B2206" i="4"/>
  <c r="A2206" i="4"/>
  <c r="M2205" i="4"/>
  <c r="L2205" i="4"/>
  <c r="K2205" i="4"/>
  <c r="J2205" i="4"/>
  <c r="I2205" i="4"/>
  <c r="H2205" i="4"/>
  <c r="G2205" i="4"/>
  <c r="F2205" i="4"/>
  <c r="E2205" i="4"/>
  <c r="D2205" i="4"/>
  <c r="C2205" i="4"/>
  <c r="B2205" i="4"/>
  <c r="A2205" i="4"/>
  <c r="M2204" i="4"/>
  <c r="L2204" i="4"/>
  <c r="K2204" i="4"/>
  <c r="J2204" i="4"/>
  <c r="I2204" i="4"/>
  <c r="H2204" i="4"/>
  <c r="G2204" i="4"/>
  <c r="F2204" i="4"/>
  <c r="E2204" i="4"/>
  <c r="D2204" i="4"/>
  <c r="C2204" i="4"/>
  <c r="B2204" i="4"/>
  <c r="A2204" i="4"/>
  <c r="M2203" i="4"/>
  <c r="L2203" i="4"/>
  <c r="K2203" i="4"/>
  <c r="J2203" i="4"/>
  <c r="I2203" i="4"/>
  <c r="H2203" i="4"/>
  <c r="G2203" i="4"/>
  <c r="F2203" i="4"/>
  <c r="E2203" i="4"/>
  <c r="D2203" i="4"/>
  <c r="C2203" i="4"/>
  <c r="B2203" i="4"/>
  <c r="A2203" i="4"/>
  <c r="M2202" i="4"/>
  <c r="L2202" i="4"/>
  <c r="K2202" i="4"/>
  <c r="J2202" i="4"/>
  <c r="I2202" i="4"/>
  <c r="H2202" i="4"/>
  <c r="G2202" i="4"/>
  <c r="F2202" i="4"/>
  <c r="E2202" i="4"/>
  <c r="D2202" i="4"/>
  <c r="C2202" i="4"/>
  <c r="B2202" i="4"/>
  <c r="A2202" i="4"/>
  <c r="M2201" i="4"/>
  <c r="L2201" i="4"/>
  <c r="K2201" i="4"/>
  <c r="J2201" i="4"/>
  <c r="I2201" i="4"/>
  <c r="H2201" i="4"/>
  <c r="G2201" i="4"/>
  <c r="F2201" i="4"/>
  <c r="D2201" i="4"/>
  <c r="C2201" i="4"/>
  <c r="B2201" i="4"/>
  <c r="A2201" i="4"/>
  <c r="M2200" i="4"/>
  <c r="L2200" i="4"/>
  <c r="K2200" i="4"/>
  <c r="J2200" i="4"/>
  <c r="I2200" i="4"/>
  <c r="H2200" i="4"/>
  <c r="G2200" i="4"/>
  <c r="F2200" i="4"/>
  <c r="E2200" i="4"/>
  <c r="D2200" i="4"/>
  <c r="C2200" i="4"/>
  <c r="B2200" i="4"/>
  <c r="A2200" i="4"/>
  <c r="M2199" i="4"/>
  <c r="L2199" i="4"/>
  <c r="K2199" i="4"/>
  <c r="J2199" i="4"/>
  <c r="I2199" i="4"/>
  <c r="H2199" i="4"/>
  <c r="G2199" i="4"/>
  <c r="F2199" i="4"/>
  <c r="E2199" i="4"/>
  <c r="D2199" i="4"/>
  <c r="C2199" i="4"/>
  <c r="B2199" i="4"/>
  <c r="A2199" i="4"/>
  <c r="M2198" i="4"/>
  <c r="L2198" i="4"/>
  <c r="K2198" i="4"/>
  <c r="J2198" i="4"/>
  <c r="I2198" i="4"/>
  <c r="H2198" i="4"/>
  <c r="G2198" i="4"/>
  <c r="F2198" i="4"/>
  <c r="E2198" i="4"/>
  <c r="D2198" i="4"/>
  <c r="C2198" i="4"/>
  <c r="B2198" i="4"/>
  <c r="A2198" i="4"/>
  <c r="M2197" i="4"/>
  <c r="L2197" i="4"/>
  <c r="K2197" i="4"/>
  <c r="J2197" i="4"/>
  <c r="I2197" i="4"/>
  <c r="H2197" i="4"/>
  <c r="G2197" i="4"/>
  <c r="F2197" i="4"/>
  <c r="E2197" i="4"/>
  <c r="D2197" i="4"/>
  <c r="C2197" i="4"/>
  <c r="B2197" i="4"/>
  <c r="A2197" i="4"/>
  <c r="M2196" i="4"/>
  <c r="L2196" i="4"/>
  <c r="K2196" i="4"/>
  <c r="J2196" i="4"/>
  <c r="I2196" i="4"/>
  <c r="H2196" i="4"/>
  <c r="G2196" i="4"/>
  <c r="F2196" i="4"/>
  <c r="E2196" i="4"/>
  <c r="D2196" i="4"/>
  <c r="C2196" i="4"/>
  <c r="B2196" i="4"/>
  <c r="A2196" i="4"/>
  <c r="M2195" i="4"/>
  <c r="L2195" i="4"/>
  <c r="K2195" i="4"/>
  <c r="J2195" i="4"/>
  <c r="I2195" i="4"/>
  <c r="H2195" i="4"/>
  <c r="G2195" i="4"/>
  <c r="F2195" i="4"/>
  <c r="E2195" i="4"/>
  <c r="D2195" i="4"/>
  <c r="C2195" i="4"/>
  <c r="B2195" i="4"/>
  <c r="A2195" i="4"/>
  <c r="M2194" i="4"/>
  <c r="L2194" i="4"/>
  <c r="K2194" i="4"/>
  <c r="J2194" i="4"/>
  <c r="I2194" i="4"/>
  <c r="H2194" i="4"/>
  <c r="G2194" i="4"/>
  <c r="F2194" i="4"/>
  <c r="E2194" i="4"/>
  <c r="D2194" i="4"/>
  <c r="C2194" i="4"/>
  <c r="B2194" i="4"/>
  <c r="A2194" i="4"/>
  <c r="M2193" i="4"/>
  <c r="L2193" i="4"/>
  <c r="K2193" i="4"/>
  <c r="J2193" i="4"/>
  <c r="I2193" i="4"/>
  <c r="H2193" i="4"/>
  <c r="G2193" i="4"/>
  <c r="F2193" i="4"/>
  <c r="E2193" i="4"/>
  <c r="D2193" i="4"/>
  <c r="C2193" i="4"/>
  <c r="B2193" i="4"/>
  <c r="A2193" i="4"/>
  <c r="M2192" i="4"/>
  <c r="L2192" i="4"/>
  <c r="K2192" i="4"/>
  <c r="J2192" i="4"/>
  <c r="I2192" i="4"/>
  <c r="H2192" i="4"/>
  <c r="G2192" i="4"/>
  <c r="F2192" i="4"/>
  <c r="E2192" i="4"/>
  <c r="D2192" i="4"/>
  <c r="C2192" i="4"/>
  <c r="B2192" i="4"/>
  <c r="A2192" i="4"/>
  <c r="M2191" i="4"/>
  <c r="L2191" i="4"/>
  <c r="K2191" i="4"/>
  <c r="J2191" i="4"/>
  <c r="I2191" i="4"/>
  <c r="H2191" i="4"/>
  <c r="G2191" i="4"/>
  <c r="F2191" i="4"/>
  <c r="E2191" i="4"/>
  <c r="D2191" i="4"/>
  <c r="C2191" i="4"/>
  <c r="B2191" i="4"/>
  <c r="A2191" i="4"/>
  <c r="M2190" i="4"/>
  <c r="L2190" i="4"/>
  <c r="K2190" i="4"/>
  <c r="J2190" i="4"/>
  <c r="I2190" i="4"/>
  <c r="H2190" i="4"/>
  <c r="G2190" i="4"/>
  <c r="F2190" i="4"/>
  <c r="E2190" i="4"/>
  <c r="D2190" i="4"/>
  <c r="C2190" i="4"/>
  <c r="B2190" i="4"/>
  <c r="A2190" i="4"/>
  <c r="M2189" i="4"/>
  <c r="L2189" i="4"/>
  <c r="K2189" i="4"/>
  <c r="J2189" i="4"/>
  <c r="I2189" i="4"/>
  <c r="H2189" i="4"/>
  <c r="G2189" i="4"/>
  <c r="F2189" i="4"/>
  <c r="E2189" i="4"/>
  <c r="D2189" i="4"/>
  <c r="C2189" i="4"/>
  <c r="B2189" i="4"/>
  <c r="A2189" i="4"/>
  <c r="M2188" i="4"/>
  <c r="L2188" i="4"/>
  <c r="K2188" i="4"/>
  <c r="J2188" i="4"/>
  <c r="I2188" i="4"/>
  <c r="H2188" i="4"/>
  <c r="G2188" i="4"/>
  <c r="F2188" i="4"/>
  <c r="E2188" i="4"/>
  <c r="D2188" i="4"/>
  <c r="C2188" i="4"/>
  <c r="B2188" i="4"/>
  <c r="A2188" i="4"/>
  <c r="M2187" i="4"/>
  <c r="L2187" i="4"/>
  <c r="K2187" i="4"/>
  <c r="J2187" i="4"/>
  <c r="I2187" i="4"/>
  <c r="H2187" i="4"/>
  <c r="G2187" i="4"/>
  <c r="F2187" i="4"/>
  <c r="E2187" i="4"/>
  <c r="D2187" i="4"/>
  <c r="C2187" i="4"/>
  <c r="B2187" i="4"/>
  <c r="A2187" i="4"/>
  <c r="M2186" i="4"/>
  <c r="L2186" i="4"/>
  <c r="K2186" i="4"/>
  <c r="J2186" i="4"/>
  <c r="I2186" i="4"/>
  <c r="H2186" i="4"/>
  <c r="G2186" i="4"/>
  <c r="F2186" i="4"/>
  <c r="E2186" i="4"/>
  <c r="D2186" i="4"/>
  <c r="C2186" i="4"/>
  <c r="B2186" i="4"/>
  <c r="A2186" i="4"/>
  <c r="M2185" i="4"/>
  <c r="L2185" i="4"/>
  <c r="K2185" i="4"/>
  <c r="J2185" i="4"/>
  <c r="I2185" i="4"/>
  <c r="H2185" i="4"/>
  <c r="G2185" i="4"/>
  <c r="F2185" i="4"/>
  <c r="E2185" i="4"/>
  <c r="D2185" i="4"/>
  <c r="C2185" i="4"/>
  <c r="B2185" i="4"/>
  <c r="A2185" i="4"/>
  <c r="M2184" i="4"/>
  <c r="L2184" i="4"/>
  <c r="K2184" i="4"/>
  <c r="J2184" i="4"/>
  <c r="I2184" i="4"/>
  <c r="H2184" i="4"/>
  <c r="G2184" i="4"/>
  <c r="F2184" i="4"/>
  <c r="E2184" i="4"/>
  <c r="D2184" i="4"/>
  <c r="C2184" i="4"/>
  <c r="B2184" i="4"/>
  <c r="A2184" i="4"/>
  <c r="M2183" i="4"/>
  <c r="L2183" i="4"/>
  <c r="K2183" i="4"/>
  <c r="J2183" i="4"/>
  <c r="I2183" i="4"/>
  <c r="H2183" i="4"/>
  <c r="G2183" i="4"/>
  <c r="F2183" i="4"/>
  <c r="E2183" i="4"/>
  <c r="D2183" i="4"/>
  <c r="C2183" i="4"/>
  <c r="B2183" i="4"/>
  <c r="A2183" i="4"/>
  <c r="M2182" i="4"/>
  <c r="L2182" i="4"/>
  <c r="K2182" i="4"/>
  <c r="J2182" i="4"/>
  <c r="I2182" i="4"/>
  <c r="H2182" i="4"/>
  <c r="G2182" i="4"/>
  <c r="F2182" i="4"/>
  <c r="E2182" i="4"/>
  <c r="D2182" i="4"/>
  <c r="C2182" i="4"/>
  <c r="B2182" i="4"/>
  <c r="A2182" i="4"/>
  <c r="M2181" i="4"/>
  <c r="L2181" i="4"/>
  <c r="K2181" i="4"/>
  <c r="J2181" i="4"/>
  <c r="I2181" i="4"/>
  <c r="H2181" i="4"/>
  <c r="G2181" i="4"/>
  <c r="F2181" i="4"/>
  <c r="E2181" i="4"/>
  <c r="D2181" i="4"/>
  <c r="C2181" i="4"/>
  <c r="B2181" i="4"/>
  <c r="A2181" i="4"/>
  <c r="M2180" i="4"/>
  <c r="L2180" i="4"/>
  <c r="K2180" i="4"/>
  <c r="J2180" i="4"/>
  <c r="I2180" i="4"/>
  <c r="H2180" i="4"/>
  <c r="G2180" i="4"/>
  <c r="F2180" i="4"/>
  <c r="D2180" i="4"/>
  <c r="C2180" i="4"/>
  <c r="B2180" i="4"/>
  <c r="A2180" i="4"/>
  <c r="M2179" i="4"/>
  <c r="L2179" i="4"/>
  <c r="K2179" i="4"/>
  <c r="J2179" i="4"/>
  <c r="I2179" i="4"/>
  <c r="H2179" i="4"/>
  <c r="G2179" i="4"/>
  <c r="F2179" i="4"/>
  <c r="E2179" i="4"/>
  <c r="D2179" i="4"/>
  <c r="C2179" i="4"/>
  <c r="B2179" i="4"/>
  <c r="A2179" i="4"/>
  <c r="M2178" i="4"/>
  <c r="L2178" i="4"/>
  <c r="K2178" i="4"/>
  <c r="J2178" i="4"/>
  <c r="I2178" i="4"/>
  <c r="H2178" i="4"/>
  <c r="G2178" i="4"/>
  <c r="F2178" i="4"/>
  <c r="E2178" i="4"/>
  <c r="D2178" i="4"/>
  <c r="C2178" i="4"/>
  <c r="B2178" i="4"/>
  <c r="A2178" i="4"/>
  <c r="M2177" i="4"/>
  <c r="L2177" i="4"/>
  <c r="K2177" i="4"/>
  <c r="J2177" i="4"/>
  <c r="I2177" i="4"/>
  <c r="H2177" i="4"/>
  <c r="G2177" i="4"/>
  <c r="F2177" i="4"/>
  <c r="E2177" i="4"/>
  <c r="D2177" i="4"/>
  <c r="C2177" i="4"/>
  <c r="B2177" i="4"/>
  <c r="A2177" i="4"/>
  <c r="M2176" i="4"/>
  <c r="L2176" i="4"/>
  <c r="K2176" i="4"/>
  <c r="J2176" i="4"/>
  <c r="I2176" i="4"/>
  <c r="H2176" i="4"/>
  <c r="G2176" i="4"/>
  <c r="F2176" i="4"/>
  <c r="E2176" i="4"/>
  <c r="D2176" i="4"/>
  <c r="C2176" i="4"/>
  <c r="B2176" i="4"/>
  <c r="A2176" i="4"/>
  <c r="M2175" i="4"/>
  <c r="L2175" i="4"/>
  <c r="K2175" i="4"/>
  <c r="J2175" i="4"/>
  <c r="I2175" i="4"/>
  <c r="H2175" i="4"/>
  <c r="G2175" i="4"/>
  <c r="F2175" i="4"/>
  <c r="E2175" i="4"/>
  <c r="D2175" i="4"/>
  <c r="C2175" i="4"/>
  <c r="B2175" i="4"/>
  <c r="A2175" i="4"/>
  <c r="M2174" i="4"/>
  <c r="L2174" i="4"/>
  <c r="K2174" i="4"/>
  <c r="J2174" i="4"/>
  <c r="I2174" i="4"/>
  <c r="H2174" i="4"/>
  <c r="G2174" i="4"/>
  <c r="F2174" i="4"/>
  <c r="E2174" i="4"/>
  <c r="D2174" i="4"/>
  <c r="C2174" i="4"/>
  <c r="B2174" i="4"/>
  <c r="A2174" i="4"/>
  <c r="M2173" i="4"/>
  <c r="L2173" i="4"/>
  <c r="K2173" i="4"/>
  <c r="J2173" i="4"/>
  <c r="I2173" i="4"/>
  <c r="H2173" i="4"/>
  <c r="G2173" i="4"/>
  <c r="F2173" i="4"/>
  <c r="E2173" i="4"/>
  <c r="D2173" i="4"/>
  <c r="C2173" i="4"/>
  <c r="B2173" i="4"/>
  <c r="A2173" i="4"/>
  <c r="M2172" i="4"/>
  <c r="L2172" i="4"/>
  <c r="K2172" i="4"/>
  <c r="J2172" i="4"/>
  <c r="I2172" i="4"/>
  <c r="H2172" i="4"/>
  <c r="G2172" i="4"/>
  <c r="F2172" i="4"/>
  <c r="E2172" i="4"/>
  <c r="D2172" i="4"/>
  <c r="C2172" i="4"/>
  <c r="B2172" i="4"/>
  <c r="A2172" i="4"/>
  <c r="M2171" i="4"/>
  <c r="L2171" i="4"/>
  <c r="K2171" i="4"/>
  <c r="J2171" i="4"/>
  <c r="I2171" i="4"/>
  <c r="H2171" i="4"/>
  <c r="G2171" i="4"/>
  <c r="F2171" i="4"/>
  <c r="E2171" i="4"/>
  <c r="D2171" i="4"/>
  <c r="C2171" i="4"/>
  <c r="B2171" i="4"/>
  <c r="A2171" i="4"/>
  <c r="M2170" i="4"/>
  <c r="L2170" i="4"/>
  <c r="K2170" i="4"/>
  <c r="J2170" i="4"/>
  <c r="I2170" i="4"/>
  <c r="H2170" i="4"/>
  <c r="G2170" i="4"/>
  <c r="F2170" i="4"/>
  <c r="E2170" i="4"/>
  <c r="D2170" i="4"/>
  <c r="C2170" i="4"/>
  <c r="B2170" i="4"/>
  <c r="A2170" i="4"/>
  <c r="M2169" i="4"/>
  <c r="L2169" i="4"/>
  <c r="K2169" i="4"/>
  <c r="J2169" i="4"/>
  <c r="I2169" i="4"/>
  <c r="H2169" i="4"/>
  <c r="G2169" i="4"/>
  <c r="F2169" i="4"/>
  <c r="E2169" i="4"/>
  <c r="D2169" i="4"/>
  <c r="C2169" i="4"/>
  <c r="B2169" i="4"/>
  <c r="A2169" i="4"/>
  <c r="M2168" i="4"/>
  <c r="L2168" i="4"/>
  <c r="K2168" i="4"/>
  <c r="J2168" i="4"/>
  <c r="I2168" i="4"/>
  <c r="H2168" i="4"/>
  <c r="G2168" i="4"/>
  <c r="F2168" i="4"/>
  <c r="E2168" i="4"/>
  <c r="D2168" i="4"/>
  <c r="C2168" i="4"/>
  <c r="B2168" i="4"/>
  <c r="A2168" i="4"/>
  <c r="M2167" i="4"/>
  <c r="L2167" i="4"/>
  <c r="K2167" i="4"/>
  <c r="J2167" i="4"/>
  <c r="I2167" i="4"/>
  <c r="H2167" i="4"/>
  <c r="G2167" i="4"/>
  <c r="F2167" i="4"/>
  <c r="E2167" i="4"/>
  <c r="D2167" i="4"/>
  <c r="C2167" i="4"/>
  <c r="B2167" i="4"/>
  <c r="A2167" i="4"/>
  <c r="M2166" i="4"/>
  <c r="L2166" i="4"/>
  <c r="K2166" i="4"/>
  <c r="J2166" i="4"/>
  <c r="I2166" i="4"/>
  <c r="H2166" i="4"/>
  <c r="G2166" i="4"/>
  <c r="F2166" i="4"/>
  <c r="E2166" i="4"/>
  <c r="D2166" i="4"/>
  <c r="C2166" i="4"/>
  <c r="B2166" i="4"/>
  <c r="A2166" i="4"/>
  <c r="M2165" i="4"/>
  <c r="L2165" i="4"/>
  <c r="K2165" i="4"/>
  <c r="J2165" i="4"/>
  <c r="I2165" i="4"/>
  <c r="H2165" i="4"/>
  <c r="G2165" i="4"/>
  <c r="F2165" i="4"/>
  <c r="E2165" i="4"/>
  <c r="D2165" i="4"/>
  <c r="C2165" i="4"/>
  <c r="B2165" i="4"/>
  <c r="A2165" i="4"/>
  <c r="M2164" i="4"/>
  <c r="L2164" i="4"/>
  <c r="K2164" i="4"/>
  <c r="J2164" i="4"/>
  <c r="I2164" i="4"/>
  <c r="H2164" i="4"/>
  <c r="G2164" i="4"/>
  <c r="F2164" i="4"/>
  <c r="E2164" i="4"/>
  <c r="D2164" i="4"/>
  <c r="C2164" i="4"/>
  <c r="B2164" i="4"/>
  <c r="A2164" i="4"/>
  <c r="M2163" i="4"/>
  <c r="L2163" i="4"/>
  <c r="K2163" i="4"/>
  <c r="J2163" i="4"/>
  <c r="I2163" i="4"/>
  <c r="H2163" i="4"/>
  <c r="G2163" i="4"/>
  <c r="F2163" i="4"/>
  <c r="E2163" i="4"/>
  <c r="D2163" i="4"/>
  <c r="C2163" i="4"/>
  <c r="B2163" i="4"/>
  <c r="A2163" i="4"/>
  <c r="M2162" i="4"/>
  <c r="L2162" i="4"/>
  <c r="K2162" i="4"/>
  <c r="J2162" i="4"/>
  <c r="I2162" i="4"/>
  <c r="H2162" i="4"/>
  <c r="G2162" i="4"/>
  <c r="F2162" i="4"/>
  <c r="E2162" i="4"/>
  <c r="D2162" i="4"/>
  <c r="C2162" i="4"/>
  <c r="B2162" i="4"/>
  <c r="A2162" i="4"/>
  <c r="M2161" i="4"/>
  <c r="L2161" i="4"/>
  <c r="K2161" i="4"/>
  <c r="J2161" i="4"/>
  <c r="I2161" i="4"/>
  <c r="H2161" i="4"/>
  <c r="G2161" i="4"/>
  <c r="F2161" i="4"/>
  <c r="E2161" i="4"/>
  <c r="D2161" i="4"/>
  <c r="C2161" i="4"/>
  <c r="B2161" i="4"/>
  <c r="A2161" i="4"/>
  <c r="M2160" i="4"/>
  <c r="L2160" i="4"/>
  <c r="K2160" i="4"/>
  <c r="J2160" i="4"/>
  <c r="I2160" i="4"/>
  <c r="H2160" i="4"/>
  <c r="G2160" i="4"/>
  <c r="F2160" i="4"/>
  <c r="E2160" i="4"/>
  <c r="D2160" i="4"/>
  <c r="C2160" i="4"/>
  <c r="B2160" i="4"/>
  <c r="A2160" i="4"/>
  <c r="M2159" i="4"/>
  <c r="L2159" i="4"/>
  <c r="K2159" i="4"/>
  <c r="J2159" i="4"/>
  <c r="I2159" i="4"/>
  <c r="H2159" i="4"/>
  <c r="G2159" i="4"/>
  <c r="F2159" i="4"/>
  <c r="E2159" i="4"/>
  <c r="D2159" i="4"/>
  <c r="C2159" i="4"/>
  <c r="B2159" i="4"/>
  <c r="A2159" i="4"/>
  <c r="M2158" i="4"/>
  <c r="L2158" i="4"/>
  <c r="K2158" i="4"/>
  <c r="J2158" i="4"/>
  <c r="I2158" i="4"/>
  <c r="H2158" i="4"/>
  <c r="G2158" i="4"/>
  <c r="F2158" i="4"/>
  <c r="E2158" i="4"/>
  <c r="D2158" i="4"/>
  <c r="C2158" i="4"/>
  <c r="B2158" i="4"/>
  <c r="A2158" i="4"/>
  <c r="M2157" i="4"/>
  <c r="L2157" i="4"/>
  <c r="K2157" i="4"/>
  <c r="J2157" i="4"/>
  <c r="I2157" i="4"/>
  <c r="H2157" i="4"/>
  <c r="G2157" i="4"/>
  <c r="F2157" i="4"/>
  <c r="E2157" i="4"/>
  <c r="D2157" i="4"/>
  <c r="C2157" i="4"/>
  <c r="B2157" i="4"/>
  <c r="A2157" i="4"/>
  <c r="M2156" i="4"/>
  <c r="L2156" i="4"/>
  <c r="K2156" i="4"/>
  <c r="J2156" i="4"/>
  <c r="I2156" i="4"/>
  <c r="H2156" i="4"/>
  <c r="G2156" i="4"/>
  <c r="E2156" i="4"/>
  <c r="D2156" i="4"/>
  <c r="C2156" i="4"/>
  <c r="B2156" i="4"/>
  <c r="A2156" i="4"/>
  <c r="M2155" i="4"/>
  <c r="L2155" i="4"/>
  <c r="K2155" i="4"/>
  <c r="J2155" i="4"/>
  <c r="I2155" i="4"/>
  <c r="H2155" i="4"/>
  <c r="G2155" i="4"/>
  <c r="F2155" i="4"/>
  <c r="E2155" i="4"/>
  <c r="D2155" i="4"/>
  <c r="C2155" i="4"/>
  <c r="B2155" i="4"/>
  <c r="A2155" i="4"/>
  <c r="M2154" i="4"/>
  <c r="L2154" i="4"/>
  <c r="K2154" i="4"/>
  <c r="J2154" i="4"/>
  <c r="I2154" i="4"/>
  <c r="H2154" i="4"/>
  <c r="G2154" i="4"/>
  <c r="F2154" i="4"/>
  <c r="E2154" i="4"/>
  <c r="D2154" i="4"/>
  <c r="C2154" i="4"/>
  <c r="B2154" i="4"/>
  <c r="A2154" i="4"/>
  <c r="M2153" i="4"/>
  <c r="L2153" i="4"/>
  <c r="K2153" i="4"/>
  <c r="J2153" i="4"/>
  <c r="I2153" i="4"/>
  <c r="H2153" i="4"/>
  <c r="G2153" i="4"/>
  <c r="F2153" i="4"/>
  <c r="E2153" i="4"/>
  <c r="D2153" i="4"/>
  <c r="C2153" i="4"/>
  <c r="B2153" i="4"/>
  <c r="A2153" i="4"/>
  <c r="M2152" i="4"/>
  <c r="L2152" i="4"/>
  <c r="K2152" i="4"/>
  <c r="J2152" i="4"/>
  <c r="I2152" i="4"/>
  <c r="H2152" i="4"/>
  <c r="G2152" i="4"/>
  <c r="F2152" i="4"/>
  <c r="E2152" i="4"/>
  <c r="D2152" i="4"/>
  <c r="C2152" i="4"/>
  <c r="B2152" i="4"/>
  <c r="A2152" i="4"/>
  <c r="M2151" i="4"/>
  <c r="L2151" i="4"/>
  <c r="K2151" i="4"/>
  <c r="J2151" i="4"/>
  <c r="I2151" i="4"/>
  <c r="H2151" i="4"/>
  <c r="G2151" i="4"/>
  <c r="F2151" i="4"/>
  <c r="E2151" i="4"/>
  <c r="D2151" i="4"/>
  <c r="C2151" i="4"/>
  <c r="B2151" i="4"/>
  <c r="A2151" i="4"/>
  <c r="M2150" i="4"/>
  <c r="L2150" i="4"/>
  <c r="K2150" i="4"/>
  <c r="J2150" i="4"/>
  <c r="I2150" i="4"/>
  <c r="H2150" i="4"/>
  <c r="G2150" i="4"/>
  <c r="F2150" i="4"/>
  <c r="E2150" i="4"/>
  <c r="D2150" i="4"/>
  <c r="C2150" i="4"/>
  <c r="B2150" i="4"/>
  <c r="A2150" i="4"/>
  <c r="M2149" i="4"/>
  <c r="L2149" i="4"/>
  <c r="K2149" i="4"/>
  <c r="J2149" i="4"/>
  <c r="I2149" i="4"/>
  <c r="H2149" i="4"/>
  <c r="G2149" i="4"/>
  <c r="F2149" i="4"/>
  <c r="E2149" i="4"/>
  <c r="D2149" i="4"/>
  <c r="C2149" i="4"/>
  <c r="B2149" i="4"/>
  <c r="A2149" i="4"/>
  <c r="M2148" i="4"/>
  <c r="L2148" i="4"/>
  <c r="K2148" i="4"/>
  <c r="J2148" i="4"/>
  <c r="I2148" i="4"/>
  <c r="H2148" i="4"/>
  <c r="G2148" i="4"/>
  <c r="F2148" i="4"/>
  <c r="E2148" i="4"/>
  <c r="D2148" i="4"/>
  <c r="C2148" i="4"/>
  <c r="B2148" i="4"/>
  <c r="A2148" i="4"/>
  <c r="M2147" i="4"/>
  <c r="L2147" i="4"/>
  <c r="K2147" i="4"/>
  <c r="J2147" i="4"/>
  <c r="I2147" i="4"/>
  <c r="H2147" i="4"/>
  <c r="G2147" i="4"/>
  <c r="F2147" i="4"/>
  <c r="E2147" i="4"/>
  <c r="D2147" i="4"/>
  <c r="C2147" i="4"/>
  <c r="B2147" i="4"/>
  <c r="A2147" i="4"/>
  <c r="M2146" i="4"/>
  <c r="L2146" i="4"/>
  <c r="K2146" i="4"/>
  <c r="J2146" i="4"/>
  <c r="I2146" i="4"/>
  <c r="H2146" i="4"/>
  <c r="G2146" i="4"/>
  <c r="F2146" i="4"/>
  <c r="E2146" i="4"/>
  <c r="D2146" i="4"/>
  <c r="C2146" i="4"/>
  <c r="B2146" i="4"/>
  <c r="A2146" i="4"/>
  <c r="M2145" i="4"/>
  <c r="L2145" i="4"/>
  <c r="K2145" i="4"/>
  <c r="J2145" i="4"/>
  <c r="I2145" i="4"/>
  <c r="H2145" i="4"/>
  <c r="G2145" i="4"/>
  <c r="F2145" i="4"/>
  <c r="E2145" i="4"/>
  <c r="D2145" i="4"/>
  <c r="C2145" i="4"/>
  <c r="B2145" i="4"/>
  <c r="A2145" i="4"/>
  <c r="M2144" i="4"/>
  <c r="L2144" i="4"/>
  <c r="K2144" i="4"/>
  <c r="J2144" i="4"/>
  <c r="I2144" i="4"/>
  <c r="H2144" i="4"/>
  <c r="G2144" i="4"/>
  <c r="F2144" i="4"/>
  <c r="E2144" i="4"/>
  <c r="D2144" i="4"/>
  <c r="C2144" i="4"/>
  <c r="B2144" i="4"/>
  <c r="A2144" i="4"/>
  <c r="M2143" i="4"/>
  <c r="L2143" i="4"/>
  <c r="K2143" i="4"/>
  <c r="J2143" i="4"/>
  <c r="I2143" i="4"/>
  <c r="H2143" i="4"/>
  <c r="G2143" i="4"/>
  <c r="F2143" i="4"/>
  <c r="E2143" i="4"/>
  <c r="D2143" i="4"/>
  <c r="C2143" i="4"/>
  <c r="B2143" i="4"/>
  <c r="A2143" i="4"/>
  <c r="M2142" i="4"/>
  <c r="L2142" i="4"/>
  <c r="K2142" i="4"/>
  <c r="J2142" i="4"/>
  <c r="I2142" i="4"/>
  <c r="H2142" i="4"/>
  <c r="G2142" i="4"/>
  <c r="F2142" i="4"/>
  <c r="E2142" i="4"/>
  <c r="D2142" i="4"/>
  <c r="C2142" i="4"/>
  <c r="B2142" i="4"/>
  <c r="A2142" i="4"/>
  <c r="M2141" i="4"/>
  <c r="L2141" i="4"/>
  <c r="K2141" i="4"/>
  <c r="J2141" i="4"/>
  <c r="I2141" i="4"/>
  <c r="H2141" i="4"/>
  <c r="G2141" i="4"/>
  <c r="F2141" i="4"/>
  <c r="E2141" i="4"/>
  <c r="D2141" i="4"/>
  <c r="C2141" i="4"/>
  <c r="B2141" i="4"/>
  <c r="A2141" i="4"/>
  <c r="M2140" i="4"/>
  <c r="L2140" i="4"/>
  <c r="K2140" i="4"/>
  <c r="J2140" i="4"/>
  <c r="I2140" i="4"/>
  <c r="H2140" i="4"/>
  <c r="G2140" i="4"/>
  <c r="F2140" i="4"/>
  <c r="E2140" i="4"/>
  <c r="D2140" i="4"/>
  <c r="C2140" i="4"/>
  <c r="B2140" i="4"/>
  <c r="A2140" i="4"/>
  <c r="M2139" i="4"/>
  <c r="L2139" i="4"/>
  <c r="K2139" i="4"/>
  <c r="J2139" i="4"/>
  <c r="I2139" i="4"/>
  <c r="H2139" i="4"/>
  <c r="G2139" i="4"/>
  <c r="F2139" i="4"/>
  <c r="E2139" i="4"/>
  <c r="D2139" i="4"/>
  <c r="C2139" i="4"/>
  <c r="B2139" i="4"/>
  <c r="A2139" i="4"/>
  <c r="M2138" i="4"/>
  <c r="L2138" i="4"/>
  <c r="K2138" i="4"/>
  <c r="J2138" i="4"/>
  <c r="I2138" i="4"/>
  <c r="H2138" i="4"/>
  <c r="G2138" i="4"/>
  <c r="F2138" i="4"/>
  <c r="E2138" i="4"/>
  <c r="D2138" i="4"/>
  <c r="C2138" i="4"/>
  <c r="B2138" i="4"/>
  <c r="A2138" i="4"/>
  <c r="M2137" i="4"/>
  <c r="L2137" i="4"/>
  <c r="K2137" i="4"/>
  <c r="J2137" i="4"/>
  <c r="I2137" i="4"/>
  <c r="H2137" i="4"/>
  <c r="G2137" i="4"/>
  <c r="F2137" i="4"/>
  <c r="E2137" i="4"/>
  <c r="D2137" i="4"/>
  <c r="C2137" i="4"/>
  <c r="B2137" i="4"/>
  <c r="A2137" i="4"/>
  <c r="M2136" i="4"/>
  <c r="L2136" i="4"/>
  <c r="K2136" i="4"/>
  <c r="J2136" i="4"/>
  <c r="I2136" i="4"/>
  <c r="H2136" i="4"/>
  <c r="G2136" i="4"/>
  <c r="F2136" i="4"/>
  <c r="E2136" i="4"/>
  <c r="D2136" i="4"/>
  <c r="C2136" i="4"/>
  <c r="B2136" i="4"/>
  <c r="A2136" i="4"/>
  <c r="M2135" i="4"/>
  <c r="L2135" i="4"/>
  <c r="K2135" i="4"/>
  <c r="J2135" i="4"/>
  <c r="I2135" i="4"/>
  <c r="H2135" i="4"/>
  <c r="G2135" i="4"/>
  <c r="F2135" i="4"/>
  <c r="E2135" i="4"/>
  <c r="D2135" i="4"/>
  <c r="C2135" i="4"/>
  <c r="B2135" i="4"/>
  <c r="A2135" i="4"/>
  <c r="M2134" i="4"/>
  <c r="L2134" i="4"/>
  <c r="K2134" i="4"/>
  <c r="J2134" i="4"/>
  <c r="I2134" i="4"/>
  <c r="H2134" i="4"/>
  <c r="G2134" i="4"/>
  <c r="F2134" i="4"/>
  <c r="E2134" i="4"/>
  <c r="D2134" i="4"/>
  <c r="C2134" i="4"/>
  <c r="B2134" i="4"/>
  <c r="A2134" i="4"/>
  <c r="M2133" i="4"/>
  <c r="L2133" i="4"/>
  <c r="K2133" i="4"/>
  <c r="J2133" i="4"/>
  <c r="I2133" i="4"/>
  <c r="H2133" i="4"/>
  <c r="G2133" i="4"/>
  <c r="F2133" i="4"/>
  <c r="E2133" i="4"/>
  <c r="D2133" i="4"/>
  <c r="C2133" i="4"/>
  <c r="B2133" i="4"/>
  <c r="A2133" i="4"/>
  <c r="M2132" i="4"/>
  <c r="L2132" i="4"/>
  <c r="K2132" i="4"/>
  <c r="J2132" i="4"/>
  <c r="I2132" i="4"/>
  <c r="H2132" i="4"/>
  <c r="G2132" i="4"/>
  <c r="F2132" i="4"/>
  <c r="E2132" i="4"/>
  <c r="D2132" i="4"/>
  <c r="C2132" i="4"/>
  <c r="B2132" i="4"/>
  <c r="A2132" i="4"/>
  <c r="M2131" i="4"/>
  <c r="L2131" i="4"/>
  <c r="K2131" i="4"/>
  <c r="J2131" i="4"/>
  <c r="I2131" i="4"/>
  <c r="H2131" i="4"/>
  <c r="G2131" i="4"/>
  <c r="F2131" i="4"/>
  <c r="E2131" i="4"/>
  <c r="D2131" i="4"/>
  <c r="C2131" i="4"/>
  <c r="B2131" i="4"/>
  <c r="A2131" i="4"/>
  <c r="M2130" i="4"/>
  <c r="L2130" i="4"/>
  <c r="K2130" i="4"/>
  <c r="J2130" i="4"/>
  <c r="I2130" i="4"/>
  <c r="H2130" i="4"/>
  <c r="G2130" i="4"/>
  <c r="F2130" i="4"/>
  <c r="E2130" i="4"/>
  <c r="D2130" i="4"/>
  <c r="C2130" i="4"/>
  <c r="B2130" i="4"/>
  <c r="A2130" i="4"/>
  <c r="M2129" i="4"/>
  <c r="L2129" i="4"/>
  <c r="K2129" i="4"/>
  <c r="J2129" i="4"/>
  <c r="I2129" i="4"/>
  <c r="H2129" i="4"/>
  <c r="G2129" i="4"/>
  <c r="F2129" i="4"/>
  <c r="E2129" i="4"/>
  <c r="D2129" i="4"/>
  <c r="C2129" i="4"/>
  <c r="B2129" i="4"/>
  <c r="A2129" i="4"/>
  <c r="M2128" i="4"/>
  <c r="L2128" i="4"/>
  <c r="K2128" i="4"/>
  <c r="J2128" i="4"/>
  <c r="I2128" i="4"/>
  <c r="H2128" i="4"/>
  <c r="G2128" i="4"/>
  <c r="F2128" i="4"/>
  <c r="E2128" i="4"/>
  <c r="D2128" i="4"/>
  <c r="C2128" i="4"/>
  <c r="B2128" i="4"/>
  <c r="A2128" i="4"/>
  <c r="M2127" i="4"/>
  <c r="L2127" i="4"/>
  <c r="K2127" i="4"/>
  <c r="J2127" i="4"/>
  <c r="I2127" i="4"/>
  <c r="H2127" i="4"/>
  <c r="G2127" i="4"/>
  <c r="F2127" i="4"/>
  <c r="E2127" i="4"/>
  <c r="D2127" i="4"/>
  <c r="C2127" i="4"/>
  <c r="B2127" i="4"/>
  <c r="A2127" i="4"/>
  <c r="M2126" i="4"/>
  <c r="L2126" i="4"/>
  <c r="K2126" i="4"/>
  <c r="J2126" i="4"/>
  <c r="I2126" i="4"/>
  <c r="H2126" i="4"/>
  <c r="G2126" i="4"/>
  <c r="F2126" i="4"/>
  <c r="E2126" i="4"/>
  <c r="D2126" i="4"/>
  <c r="C2126" i="4"/>
  <c r="B2126" i="4"/>
  <c r="A2126" i="4"/>
  <c r="M2125" i="4"/>
  <c r="L2125" i="4"/>
  <c r="K2125" i="4"/>
  <c r="J2125" i="4"/>
  <c r="I2125" i="4"/>
  <c r="H2125" i="4"/>
  <c r="G2125" i="4"/>
  <c r="F2125" i="4"/>
  <c r="E2125" i="4"/>
  <c r="D2125" i="4"/>
  <c r="C2125" i="4"/>
  <c r="B2125" i="4"/>
  <c r="A2125" i="4"/>
  <c r="M2124" i="4"/>
  <c r="L2124" i="4"/>
  <c r="K2124" i="4"/>
  <c r="J2124" i="4"/>
  <c r="I2124" i="4"/>
  <c r="H2124" i="4"/>
  <c r="G2124" i="4"/>
  <c r="F2124" i="4"/>
  <c r="D2124" i="4"/>
  <c r="C2124" i="4"/>
  <c r="B2124" i="4"/>
  <c r="A2124" i="4"/>
  <c r="M2123" i="4"/>
  <c r="L2123" i="4"/>
  <c r="K2123" i="4"/>
  <c r="J2123" i="4"/>
  <c r="I2123" i="4"/>
  <c r="H2123" i="4"/>
  <c r="G2123" i="4"/>
  <c r="F2123" i="4"/>
  <c r="E2123" i="4"/>
  <c r="D2123" i="4"/>
  <c r="C2123" i="4"/>
  <c r="B2123" i="4"/>
  <c r="A2123" i="4"/>
  <c r="M2122" i="4"/>
  <c r="L2122" i="4"/>
  <c r="K2122" i="4"/>
  <c r="J2122" i="4"/>
  <c r="I2122" i="4"/>
  <c r="H2122" i="4"/>
  <c r="G2122" i="4"/>
  <c r="F2122" i="4"/>
  <c r="E2122" i="4"/>
  <c r="D2122" i="4"/>
  <c r="C2122" i="4"/>
  <c r="B2122" i="4"/>
  <c r="A2122" i="4"/>
  <c r="M2121" i="4"/>
  <c r="L2121" i="4"/>
  <c r="K2121" i="4"/>
  <c r="J2121" i="4"/>
  <c r="I2121" i="4"/>
  <c r="H2121" i="4"/>
  <c r="G2121" i="4"/>
  <c r="F2121" i="4"/>
  <c r="E2121" i="4"/>
  <c r="D2121" i="4"/>
  <c r="C2121" i="4"/>
  <c r="B2121" i="4"/>
  <c r="A2121" i="4"/>
  <c r="M2120" i="4"/>
  <c r="L2120" i="4"/>
  <c r="K2120" i="4"/>
  <c r="J2120" i="4"/>
  <c r="I2120" i="4"/>
  <c r="H2120" i="4"/>
  <c r="G2120" i="4"/>
  <c r="F2120" i="4"/>
  <c r="E2120" i="4"/>
  <c r="D2120" i="4"/>
  <c r="C2120" i="4"/>
  <c r="B2120" i="4"/>
  <c r="A2120" i="4"/>
  <c r="M2119" i="4"/>
  <c r="L2119" i="4"/>
  <c r="K2119" i="4"/>
  <c r="J2119" i="4"/>
  <c r="I2119" i="4"/>
  <c r="H2119" i="4"/>
  <c r="G2119" i="4"/>
  <c r="F2119" i="4"/>
  <c r="E2119" i="4"/>
  <c r="D2119" i="4"/>
  <c r="C2119" i="4"/>
  <c r="B2119" i="4"/>
  <c r="A2119" i="4"/>
  <c r="M2118" i="4"/>
  <c r="L2118" i="4"/>
  <c r="K2118" i="4"/>
  <c r="J2118" i="4"/>
  <c r="I2118" i="4"/>
  <c r="H2118" i="4"/>
  <c r="G2118" i="4"/>
  <c r="F2118" i="4"/>
  <c r="E2118" i="4"/>
  <c r="D2118" i="4"/>
  <c r="C2118" i="4"/>
  <c r="B2118" i="4"/>
  <c r="A2118" i="4"/>
  <c r="M2117" i="4"/>
  <c r="L2117" i="4"/>
  <c r="K2117" i="4"/>
  <c r="J2117" i="4"/>
  <c r="I2117" i="4"/>
  <c r="H2117" i="4"/>
  <c r="G2117" i="4"/>
  <c r="F2117" i="4"/>
  <c r="D2117" i="4"/>
  <c r="B2117" i="4"/>
  <c r="A2117" i="4"/>
  <c r="M2116" i="4"/>
  <c r="L2116" i="4"/>
  <c r="K2116" i="4"/>
  <c r="J2116" i="4"/>
  <c r="I2116" i="4"/>
  <c r="H2116" i="4"/>
  <c r="G2116" i="4"/>
  <c r="F2116" i="4"/>
  <c r="E2116" i="4"/>
  <c r="D2116" i="4"/>
  <c r="C2116" i="4"/>
  <c r="B2116" i="4"/>
  <c r="A2116" i="4"/>
  <c r="M2115" i="4"/>
  <c r="L2115" i="4"/>
  <c r="K2115" i="4"/>
  <c r="J2115" i="4"/>
  <c r="I2115" i="4"/>
  <c r="H2115" i="4"/>
  <c r="G2115" i="4"/>
  <c r="F2115" i="4"/>
  <c r="E2115" i="4"/>
  <c r="D2115" i="4"/>
  <c r="C2115" i="4"/>
  <c r="B2115" i="4"/>
  <c r="A2115" i="4"/>
  <c r="M2114" i="4"/>
  <c r="L2114" i="4"/>
  <c r="K2114" i="4"/>
  <c r="J2114" i="4"/>
  <c r="I2114" i="4"/>
  <c r="H2114" i="4"/>
  <c r="G2114" i="4"/>
  <c r="F2114" i="4"/>
  <c r="E2114" i="4"/>
  <c r="D2114" i="4"/>
  <c r="C2114" i="4"/>
  <c r="B2114" i="4"/>
  <c r="A2114" i="4"/>
  <c r="M2113" i="4"/>
  <c r="L2113" i="4"/>
  <c r="K2113" i="4"/>
  <c r="J2113" i="4"/>
  <c r="I2113" i="4"/>
  <c r="H2113" i="4"/>
  <c r="G2113" i="4"/>
  <c r="F2113" i="4"/>
  <c r="E2113" i="4"/>
  <c r="D2113" i="4"/>
  <c r="C2113" i="4"/>
  <c r="B2113" i="4"/>
  <c r="A2113" i="4"/>
  <c r="M2112" i="4"/>
  <c r="L2112" i="4"/>
  <c r="K2112" i="4"/>
  <c r="J2112" i="4"/>
  <c r="I2112" i="4"/>
  <c r="H2112" i="4"/>
  <c r="G2112" i="4"/>
  <c r="F2112" i="4"/>
  <c r="E2112" i="4"/>
  <c r="D2112" i="4"/>
  <c r="C2112" i="4"/>
  <c r="B2112" i="4"/>
  <c r="A2112" i="4"/>
  <c r="M2111" i="4"/>
  <c r="L2111" i="4"/>
  <c r="K2111" i="4"/>
  <c r="J2111" i="4"/>
  <c r="I2111" i="4"/>
  <c r="H2111" i="4"/>
  <c r="G2111" i="4"/>
  <c r="F2111" i="4"/>
  <c r="E2111" i="4"/>
  <c r="D2111" i="4"/>
  <c r="C2111" i="4"/>
  <c r="B2111" i="4"/>
  <c r="A2111" i="4"/>
  <c r="M2110" i="4"/>
  <c r="L2110" i="4"/>
  <c r="K2110" i="4"/>
  <c r="J2110" i="4"/>
  <c r="I2110" i="4"/>
  <c r="H2110" i="4"/>
  <c r="G2110" i="4"/>
  <c r="F2110" i="4"/>
  <c r="E2110" i="4"/>
  <c r="D2110" i="4"/>
  <c r="C2110" i="4"/>
  <c r="B2110" i="4"/>
  <c r="A2110" i="4"/>
  <c r="M2109" i="4"/>
  <c r="L2109" i="4"/>
  <c r="K2109" i="4"/>
  <c r="J2109" i="4"/>
  <c r="I2109" i="4"/>
  <c r="H2109" i="4"/>
  <c r="G2109" i="4"/>
  <c r="E2109" i="4"/>
  <c r="D2109" i="4"/>
  <c r="C2109" i="4"/>
  <c r="B2109" i="4"/>
  <c r="A2109" i="4"/>
  <c r="M2108" i="4"/>
  <c r="L2108" i="4"/>
  <c r="K2108" i="4"/>
  <c r="J2108" i="4"/>
  <c r="I2108" i="4"/>
  <c r="H2108" i="4"/>
  <c r="G2108" i="4"/>
  <c r="F2108" i="4"/>
  <c r="E2108" i="4"/>
  <c r="D2108" i="4"/>
  <c r="C2108" i="4"/>
  <c r="B2108" i="4"/>
  <c r="A2108" i="4"/>
  <c r="M2107" i="4"/>
  <c r="L2107" i="4"/>
  <c r="K2107" i="4"/>
  <c r="J2107" i="4"/>
  <c r="I2107" i="4"/>
  <c r="H2107" i="4"/>
  <c r="G2107" i="4"/>
  <c r="F2107" i="4"/>
  <c r="E2107" i="4"/>
  <c r="D2107" i="4"/>
  <c r="C2107" i="4"/>
  <c r="B2107" i="4"/>
  <c r="A2107" i="4"/>
  <c r="M2106" i="4"/>
  <c r="L2106" i="4"/>
  <c r="K2106" i="4"/>
  <c r="J2106" i="4"/>
  <c r="I2106" i="4"/>
  <c r="H2106" i="4"/>
  <c r="G2106" i="4"/>
  <c r="F2106" i="4"/>
  <c r="E2106" i="4"/>
  <c r="D2106" i="4"/>
  <c r="C2106" i="4"/>
  <c r="B2106" i="4"/>
  <c r="A2106" i="4"/>
  <c r="M2105" i="4"/>
  <c r="L2105" i="4"/>
  <c r="K2105" i="4"/>
  <c r="J2105" i="4"/>
  <c r="I2105" i="4"/>
  <c r="H2105" i="4"/>
  <c r="G2105" i="4"/>
  <c r="F2105" i="4"/>
  <c r="E2105" i="4"/>
  <c r="D2105" i="4"/>
  <c r="C2105" i="4"/>
  <c r="B2105" i="4"/>
  <c r="A2105" i="4"/>
  <c r="M2104" i="4"/>
  <c r="L2104" i="4"/>
  <c r="K2104" i="4"/>
  <c r="J2104" i="4"/>
  <c r="I2104" i="4"/>
  <c r="H2104" i="4"/>
  <c r="G2104" i="4"/>
  <c r="F2104" i="4"/>
  <c r="E2104" i="4"/>
  <c r="D2104" i="4"/>
  <c r="C2104" i="4"/>
  <c r="B2104" i="4"/>
  <c r="A2104" i="4"/>
  <c r="M2103" i="4"/>
  <c r="L2103" i="4"/>
  <c r="K2103" i="4"/>
  <c r="J2103" i="4"/>
  <c r="I2103" i="4"/>
  <c r="H2103" i="4"/>
  <c r="G2103" i="4"/>
  <c r="F2103" i="4"/>
  <c r="E2103" i="4"/>
  <c r="D2103" i="4"/>
  <c r="C2103" i="4"/>
  <c r="B2103" i="4"/>
  <c r="A2103" i="4"/>
  <c r="M2102" i="4"/>
  <c r="L2102" i="4"/>
  <c r="K2102" i="4"/>
  <c r="J2102" i="4"/>
  <c r="I2102" i="4"/>
  <c r="H2102" i="4"/>
  <c r="G2102" i="4"/>
  <c r="F2102" i="4"/>
  <c r="E2102" i="4"/>
  <c r="D2102" i="4"/>
  <c r="C2102" i="4"/>
  <c r="B2102" i="4"/>
  <c r="A2102" i="4"/>
  <c r="M2101" i="4"/>
  <c r="L2101" i="4"/>
  <c r="K2101" i="4"/>
  <c r="J2101" i="4"/>
  <c r="I2101" i="4"/>
  <c r="H2101" i="4"/>
  <c r="G2101" i="4"/>
  <c r="F2101" i="4"/>
  <c r="E2101" i="4"/>
  <c r="D2101" i="4"/>
  <c r="C2101" i="4"/>
  <c r="B2101" i="4"/>
  <c r="A2101" i="4"/>
  <c r="M2100" i="4"/>
  <c r="L2100" i="4"/>
  <c r="K2100" i="4"/>
  <c r="J2100" i="4"/>
  <c r="I2100" i="4"/>
  <c r="H2100" i="4"/>
  <c r="G2100" i="4"/>
  <c r="F2100" i="4"/>
  <c r="E2100" i="4"/>
  <c r="D2100" i="4"/>
  <c r="C2100" i="4"/>
  <c r="B2100" i="4"/>
  <c r="A2100" i="4"/>
  <c r="M2099" i="4"/>
  <c r="L2099" i="4"/>
  <c r="K2099" i="4"/>
  <c r="J2099" i="4"/>
  <c r="I2099" i="4"/>
  <c r="H2099" i="4"/>
  <c r="G2099" i="4"/>
  <c r="F2099" i="4"/>
  <c r="E2099" i="4"/>
  <c r="D2099" i="4"/>
  <c r="C2099" i="4"/>
  <c r="B2099" i="4"/>
  <c r="A2099" i="4"/>
  <c r="M2098" i="4"/>
  <c r="L2098" i="4"/>
  <c r="K2098" i="4"/>
  <c r="J2098" i="4"/>
  <c r="I2098" i="4"/>
  <c r="H2098" i="4"/>
  <c r="G2098" i="4"/>
  <c r="F2098" i="4"/>
  <c r="E2098" i="4"/>
  <c r="D2098" i="4"/>
  <c r="C2098" i="4"/>
  <c r="B2098" i="4"/>
  <c r="A2098" i="4"/>
  <c r="M2097" i="4"/>
  <c r="L2097" i="4"/>
  <c r="K2097" i="4"/>
  <c r="J2097" i="4"/>
  <c r="I2097" i="4"/>
  <c r="H2097" i="4"/>
  <c r="G2097" i="4"/>
  <c r="F2097" i="4"/>
  <c r="E2097" i="4"/>
  <c r="D2097" i="4"/>
  <c r="C2097" i="4"/>
  <c r="B2097" i="4"/>
  <c r="A2097" i="4"/>
  <c r="M2096" i="4"/>
  <c r="L2096" i="4"/>
  <c r="K2096" i="4"/>
  <c r="J2096" i="4"/>
  <c r="I2096" i="4"/>
  <c r="H2096" i="4"/>
  <c r="G2096" i="4"/>
  <c r="F2096" i="4"/>
  <c r="E2096" i="4"/>
  <c r="D2096" i="4"/>
  <c r="C2096" i="4"/>
  <c r="B2096" i="4"/>
  <c r="A2096" i="4"/>
  <c r="M2095" i="4"/>
  <c r="L2095" i="4"/>
  <c r="K2095" i="4"/>
  <c r="J2095" i="4"/>
  <c r="I2095" i="4"/>
  <c r="H2095" i="4"/>
  <c r="G2095" i="4"/>
  <c r="F2095" i="4"/>
  <c r="E2095" i="4"/>
  <c r="D2095" i="4"/>
  <c r="C2095" i="4"/>
  <c r="B2095" i="4"/>
  <c r="A2095" i="4"/>
  <c r="M2094" i="4"/>
  <c r="L2094" i="4"/>
  <c r="K2094" i="4"/>
  <c r="J2094" i="4"/>
  <c r="I2094" i="4"/>
  <c r="H2094" i="4"/>
  <c r="G2094" i="4"/>
  <c r="F2094" i="4"/>
  <c r="E2094" i="4"/>
  <c r="D2094" i="4"/>
  <c r="C2094" i="4"/>
  <c r="B2094" i="4"/>
  <c r="A2094" i="4"/>
  <c r="M2093" i="4"/>
  <c r="L2093" i="4"/>
  <c r="K2093" i="4"/>
  <c r="J2093" i="4"/>
  <c r="I2093" i="4"/>
  <c r="H2093" i="4"/>
  <c r="G2093" i="4"/>
  <c r="F2093" i="4"/>
  <c r="E2093" i="4"/>
  <c r="D2093" i="4"/>
  <c r="C2093" i="4"/>
  <c r="B2093" i="4"/>
  <c r="A2093" i="4"/>
  <c r="M2092" i="4"/>
  <c r="L2092" i="4"/>
  <c r="K2092" i="4"/>
  <c r="J2092" i="4"/>
  <c r="I2092" i="4"/>
  <c r="H2092" i="4"/>
  <c r="G2092" i="4"/>
  <c r="F2092" i="4"/>
  <c r="E2092" i="4"/>
  <c r="D2092" i="4"/>
  <c r="C2092" i="4"/>
  <c r="B2092" i="4"/>
  <c r="A2092" i="4"/>
  <c r="M2091" i="4"/>
  <c r="L2091" i="4"/>
  <c r="K2091" i="4"/>
  <c r="J2091" i="4"/>
  <c r="I2091" i="4"/>
  <c r="H2091" i="4"/>
  <c r="G2091" i="4"/>
  <c r="F2091" i="4"/>
  <c r="E2091" i="4"/>
  <c r="D2091" i="4"/>
  <c r="C2091" i="4"/>
  <c r="B2091" i="4"/>
  <c r="A2091" i="4"/>
  <c r="M2090" i="4"/>
  <c r="L2090" i="4"/>
  <c r="K2090" i="4"/>
  <c r="J2090" i="4"/>
  <c r="I2090" i="4"/>
  <c r="H2090" i="4"/>
  <c r="G2090" i="4"/>
  <c r="F2090" i="4"/>
  <c r="E2090" i="4"/>
  <c r="D2090" i="4"/>
  <c r="C2090" i="4"/>
  <c r="B2090" i="4"/>
  <c r="A2090" i="4"/>
  <c r="M2089" i="4"/>
  <c r="L2089" i="4"/>
  <c r="K2089" i="4"/>
  <c r="J2089" i="4"/>
  <c r="I2089" i="4"/>
  <c r="H2089" i="4"/>
  <c r="G2089" i="4"/>
  <c r="F2089" i="4"/>
  <c r="E2089" i="4"/>
  <c r="D2089" i="4"/>
  <c r="C2089" i="4"/>
  <c r="B2089" i="4"/>
  <c r="A2089" i="4"/>
  <c r="M2088" i="4"/>
  <c r="L2088" i="4"/>
  <c r="K2088" i="4"/>
  <c r="J2088" i="4"/>
  <c r="I2088" i="4"/>
  <c r="H2088" i="4"/>
  <c r="G2088" i="4"/>
  <c r="F2088" i="4"/>
  <c r="E2088" i="4"/>
  <c r="D2088" i="4"/>
  <c r="C2088" i="4"/>
  <c r="B2088" i="4"/>
  <c r="A2088" i="4"/>
  <c r="M2087" i="4"/>
  <c r="L2087" i="4"/>
  <c r="K2087" i="4"/>
  <c r="J2087" i="4"/>
  <c r="I2087" i="4"/>
  <c r="H2087" i="4"/>
  <c r="G2087" i="4"/>
  <c r="F2087" i="4"/>
  <c r="E2087" i="4"/>
  <c r="D2087" i="4"/>
  <c r="C2087" i="4"/>
  <c r="B2087" i="4"/>
  <c r="A2087" i="4"/>
  <c r="M2086" i="4"/>
  <c r="L2086" i="4"/>
  <c r="K2086" i="4"/>
  <c r="J2086" i="4"/>
  <c r="I2086" i="4"/>
  <c r="H2086" i="4"/>
  <c r="G2086" i="4"/>
  <c r="F2086" i="4"/>
  <c r="E2086" i="4"/>
  <c r="D2086" i="4"/>
  <c r="C2086" i="4"/>
  <c r="B2086" i="4"/>
  <c r="A2086" i="4"/>
  <c r="M2085" i="4"/>
  <c r="L2085" i="4"/>
  <c r="K2085" i="4"/>
  <c r="J2085" i="4"/>
  <c r="I2085" i="4"/>
  <c r="H2085" i="4"/>
  <c r="G2085" i="4"/>
  <c r="F2085" i="4"/>
  <c r="E2085" i="4"/>
  <c r="D2085" i="4"/>
  <c r="C2085" i="4"/>
  <c r="B2085" i="4"/>
  <c r="A2085" i="4"/>
  <c r="M2084" i="4"/>
  <c r="L2084" i="4"/>
  <c r="K2084" i="4"/>
  <c r="J2084" i="4"/>
  <c r="I2084" i="4"/>
  <c r="H2084" i="4"/>
  <c r="G2084" i="4"/>
  <c r="F2084" i="4"/>
  <c r="E2084" i="4"/>
  <c r="D2084" i="4"/>
  <c r="C2084" i="4"/>
  <c r="B2084" i="4"/>
  <c r="A2084" i="4"/>
  <c r="M2083" i="4"/>
  <c r="L2083" i="4"/>
  <c r="K2083" i="4"/>
  <c r="J2083" i="4"/>
  <c r="I2083" i="4"/>
  <c r="H2083" i="4"/>
  <c r="G2083" i="4"/>
  <c r="F2083" i="4"/>
  <c r="E2083" i="4"/>
  <c r="D2083" i="4"/>
  <c r="C2083" i="4"/>
  <c r="B2083" i="4"/>
  <c r="A2083" i="4"/>
  <c r="M2082" i="4"/>
  <c r="L2082" i="4"/>
  <c r="K2082" i="4"/>
  <c r="J2082" i="4"/>
  <c r="I2082" i="4"/>
  <c r="H2082" i="4"/>
  <c r="G2082" i="4"/>
  <c r="F2082" i="4"/>
  <c r="E2082" i="4"/>
  <c r="D2082" i="4"/>
  <c r="C2082" i="4"/>
  <c r="B2082" i="4"/>
  <c r="A2082" i="4"/>
  <c r="M2081" i="4"/>
  <c r="L2081" i="4"/>
  <c r="K2081" i="4"/>
  <c r="J2081" i="4"/>
  <c r="I2081" i="4"/>
  <c r="H2081" i="4"/>
  <c r="G2081" i="4"/>
  <c r="F2081" i="4"/>
  <c r="E2081" i="4"/>
  <c r="D2081" i="4"/>
  <c r="C2081" i="4"/>
  <c r="B2081" i="4"/>
  <c r="A2081" i="4"/>
  <c r="M2080" i="4"/>
  <c r="L2080" i="4"/>
  <c r="K2080" i="4"/>
  <c r="J2080" i="4"/>
  <c r="I2080" i="4"/>
  <c r="H2080" i="4"/>
  <c r="G2080" i="4"/>
  <c r="F2080" i="4"/>
  <c r="E2080" i="4"/>
  <c r="D2080" i="4"/>
  <c r="C2080" i="4"/>
  <c r="B2080" i="4"/>
  <c r="A2080" i="4"/>
  <c r="M2079" i="4"/>
  <c r="L2079" i="4"/>
  <c r="K2079" i="4"/>
  <c r="J2079" i="4"/>
  <c r="I2079" i="4"/>
  <c r="H2079" i="4"/>
  <c r="G2079" i="4"/>
  <c r="F2079" i="4"/>
  <c r="E2079" i="4"/>
  <c r="D2079" i="4"/>
  <c r="C2079" i="4"/>
  <c r="B2079" i="4"/>
  <c r="A2079" i="4"/>
  <c r="M2078" i="4"/>
  <c r="L2078" i="4"/>
  <c r="K2078" i="4"/>
  <c r="J2078" i="4"/>
  <c r="I2078" i="4"/>
  <c r="H2078" i="4"/>
  <c r="G2078" i="4"/>
  <c r="F2078" i="4"/>
  <c r="E2078" i="4"/>
  <c r="D2078" i="4"/>
  <c r="C2078" i="4"/>
  <c r="B2078" i="4"/>
  <c r="A2078" i="4"/>
  <c r="M2077" i="4"/>
  <c r="L2077" i="4"/>
  <c r="K2077" i="4"/>
  <c r="J2077" i="4"/>
  <c r="I2077" i="4"/>
  <c r="H2077" i="4"/>
  <c r="G2077" i="4"/>
  <c r="F2077" i="4"/>
  <c r="E2077" i="4"/>
  <c r="D2077" i="4"/>
  <c r="C2077" i="4"/>
  <c r="B2077" i="4"/>
  <c r="A2077" i="4"/>
  <c r="M2076" i="4"/>
  <c r="L2076" i="4"/>
  <c r="K2076" i="4"/>
  <c r="J2076" i="4"/>
  <c r="I2076" i="4"/>
  <c r="H2076" i="4"/>
  <c r="G2076" i="4"/>
  <c r="F2076" i="4"/>
  <c r="E2076" i="4"/>
  <c r="D2076" i="4"/>
  <c r="C2076" i="4"/>
  <c r="B2076" i="4"/>
  <c r="A2076" i="4"/>
  <c r="M2075" i="4"/>
  <c r="L2075" i="4"/>
  <c r="K2075" i="4"/>
  <c r="J2075" i="4"/>
  <c r="I2075" i="4"/>
  <c r="H2075" i="4"/>
  <c r="G2075" i="4"/>
  <c r="F2075" i="4"/>
  <c r="E2075" i="4"/>
  <c r="D2075" i="4"/>
  <c r="C2075" i="4"/>
  <c r="B2075" i="4"/>
  <c r="A2075" i="4"/>
  <c r="M2074" i="4"/>
  <c r="L2074" i="4"/>
  <c r="K2074" i="4"/>
  <c r="J2074" i="4"/>
  <c r="I2074" i="4"/>
  <c r="H2074" i="4"/>
  <c r="G2074" i="4"/>
  <c r="F2074" i="4"/>
  <c r="E2074" i="4"/>
  <c r="D2074" i="4"/>
  <c r="C2074" i="4"/>
  <c r="B2074" i="4"/>
  <c r="A2074" i="4"/>
  <c r="M2073" i="4"/>
  <c r="L2073" i="4"/>
  <c r="K2073" i="4"/>
  <c r="J2073" i="4"/>
  <c r="I2073" i="4"/>
  <c r="H2073" i="4"/>
  <c r="G2073" i="4"/>
  <c r="F2073" i="4"/>
  <c r="E2073" i="4"/>
  <c r="D2073" i="4"/>
  <c r="C2073" i="4"/>
  <c r="B2073" i="4"/>
  <c r="A2073" i="4"/>
  <c r="M2072" i="4"/>
  <c r="L2072" i="4"/>
  <c r="K2072" i="4"/>
  <c r="J2072" i="4"/>
  <c r="I2072" i="4"/>
  <c r="H2072" i="4"/>
  <c r="G2072" i="4"/>
  <c r="F2072" i="4"/>
  <c r="E2072" i="4"/>
  <c r="D2072" i="4"/>
  <c r="C2072" i="4"/>
  <c r="B2072" i="4"/>
  <c r="A2072" i="4"/>
  <c r="M2071" i="4"/>
  <c r="L2071" i="4"/>
  <c r="K2071" i="4"/>
  <c r="J2071" i="4"/>
  <c r="I2071" i="4"/>
  <c r="H2071" i="4"/>
  <c r="G2071" i="4"/>
  <c r="F2071" i="4"/>
  <c r="E2071" i="4"/>
  <c r="D2071" i="4"/>
  <c r="C2071" i="4"/>
  <c r="B2071" i="4"/>
  <c r="A2071" i="4"/>
  <c r="M2070" i="4"/>
  <c r="L2070" i="4"/>
  <c r="K2070" i="4"/>
  <c r="J2070" i="4"/>
  <c r="I2070" i="4"/>
  <c r="H2070" i="4"/>
  <c r="G2070" i="4"/>
  <c r="F2070" i="4"/>
  <c r="E2070" i="4"/>
  <c r="D2070" i="4"/>
  <c r="C2070" i="4"/>
  <c r="B2070" i="4"/>
  <c r="A2070" i="4"/>
  <c r="M2069" i="4"/>
  <c r="L2069" i="4"/>
  <c r="K2069" i="4"/>
  <c r="J2069" i="4"/>
  <c r="I2069" i="4"/>
  <c r="H2069" i="4"/>
  <c r="G2069" i="4"/>
  <c r="F2069" i="4"/>
  <c r="E2069" i="4"/>
  <c r="D2069" i="4"/>
  <c r="C2069" i="4"/>
  <c r="B2069" i="4"/>
  <c r="A2069" i="4"/>
  <c r="M2068" i="4"/>
  <c r="L2068" i="4"/>
  <c r="K2068" i="4"/>
  <c r="J2068" i="4"/>
  <c r="I2068" i="4"/>
  <c r="H2068" i="4"/>
  <c r="G2068" i="4"/>
  <c r="F2068" i="4"/>
  <c r="E2068" i="4"/>
  <c r="D2068" i="4"/>
  <c r="C2068" i="4"/>
  <c r="B2068" i="4"/>
  <c r="A2068" i="4"/>
  <c r="M2067" i="4"/>
  <c r="L2067" i="4"/>
  <c r="K2067" i="4"/>
  <c r="J2067" i="4"/>
  <c r="I2067" i="4"/>
  <c r="H2067" i="4"/>
  <c r="G2067" i="4"/>
  <c r="F2067" i="4"/>
  <c r="E2067" i="4"/>
  <c r="D2067" i="4"/>
  <c r="C2067" i="4"/>
  <c r="B2067" i="4"/>
  <c r="A2067" i="4"/>
  <c r="M2066" i="4"/>
  <c r="L2066" i="4"/>
  <c r="K2066" i="4"/>
  <c r="J2066" i="4"/>
  <c r="I2066" i="4"/>
  <c r="H2066" i="4"/>
  <c r="G2066" i="4"/>
  <c r="F2066" i="4"/>
  <c r="E2066" i="4"/>
  <c r="D2066" i="4"/>
  <c r="C2066" i="4"/>
  <c r="B2066" i="4"/>
  <c r="A2066" i="4"/>
  <c r="M2065" i="4"/>
  <c r="L2065" i="4"/>
  <c r="K2065" i="4"/>
  <c r="J2065" i="4"/>
  <c r="I2065" i="4"/>
  <c r="H2065" i="4"/>
  <c r="G2065" i="4"/>
  <c r="F2065" i="4"/>
  <c r="E2065" i="4"/>
  <c r="D2065" i="4"/>
  <c r="C2065" i="4"/>
  <c r="B2065" i="4"/>
  <c r="A2065" i="4"/>
  <c r="M2064" i="4"/>
  <c r="L2064" i="4"/>
  <c r="K2064" i="4"/>
  <c r="J2064" i="4"/>
  <c r="I2064" i="4"/>
  <c r="H2064" i="4"/>
  <c r="G2064" i="4"/>
  <c r="F2064" i="4"/>
  <c r="E2064" i="4"/>
  <c r="D2064" i="4"/>
  <c r="C2064" i="4"/>
  <c r="B2064" i="4"/>
  <c r="A2064" i="4"/>
  <c r="M2063" i="4"/>
  <c r="L2063" i="4"/>
  <c r="K2063" i="4"/>
  <c r="J2063" i="4"/>
  <c r="I2063" i="4"/>
  <c r="H2063" i="4"/>
  <c r="G2063" i="4"/>
  <c r="F2063" i="4"/>
  <c r="E2063" i="4"/>
  <c r="D2063" i="4"/>
  <c r="C2063" i="4"/>
  <c r="B2063" i="4"/>
  <c r="A2063" i="4"/>
  <c r="M2062" i="4"/>
  <c r="L2062" i="4"/>
  <c r="K2062" i="4"/>
  <c r="J2062" i="4"/>
  <c r="I2062" i="4"/>
  <c r="H2062" i="4"/>
  <c r="G2062" i="4"/>
  <c r="F2062" i="4"/>
  <c r="D2062" i="4"/>
  <c r="C2062" i="4"/>
  <c r="B2062" i="4"/>
  <c r="A2062" i="4"/>
  <c r="M2061" i="4"/>
  <c r="L2061" i="4"/>
  <c r="K2061" i="4"/>
  <c r="J2061" i="4"/>
  <c r="I2061" i="4"/>
  <c r="H2061" i="4"/>
  <c r="G2061" i="4"/>
  <c r="F2061" i="4"/>
  <c r="E2061" i="4"/>
  <c r="D2061" i="4"/>
  <c r="C2061" i="4"/>
  <c r="B2061" i="4"/>
  <c r="A2061" i="4"/>
  <c r="M2060" i="4"/>
  <c r="L2060" i="4"/>
  <c r="K2060" i="4"/>
  <c r="J2060" i="4"/>
  <c r="I2060" i="4"/>
  <c r="H2060" i="4"/>
  <c r="G2060" i="4"/>
  <c r="F2060" i="4"/>
  <c r="E2060" i="4"/>
  <c r="D2060" i="4"/>
  <c r="C2060" i="4"/>
  <c r="B2060" i="4"/>
  <c r="A2060" i="4"/>
  <c r="M2059" i="4"/>
  <c r="L2059" i="4"/>
  <c r="K2059" i="4"/>
  <c r="J2059" i="4"/>
  <c r="I2059" i="4"/>
  <c r="H2059" i="4"/>
  <c r="G2059" i="4"/>
  <c r="F2059" i="4"/>
  <c r="E2059" i="4"/>
  <c r="D2059" i="4"/>
  <c r="C2059" i="4"/>
  <c r="B2059" i="4"/>
  <c r="A2059" i="4"/>
  <c r="M2058" i="4"/>
  <c r="L2058" i="4"/>
  <c r="K2058" i="4"/>
  <c r="J2058" i="4"/>
  <c r="I2058" i="4"/>
  <c r="H2058" i="4"/>
  <c r="G2058" i="4"/>
  <c r="F2058" i="4"/>
  <c r="E2058" i="4"/>
  <c r="D2058" i="4"/>
  <c r="C2058" i="4"/>
  <c r="B2058" i="4"/>
  <c r="A2058" i="4"/>
  <c r="M2057" i="4"/>
  <c r="L2057" i="4"/>
  <c r="K2057" i="4"/>
  <c r="J2057" i="4"/>
  <c r="I2057" i="4"/>
  <c r="H2057" i="4"/>
  <c r="G2057" i="4"/>
  <c r="F2057" i="4"/>
  <c r="E2057" i="4"/>
  <c r="D2057" i="4"/>
  <c r="C2057" i="4"/>
  <c r="B2057" i="4"/>
  <c r="A2057" i="4"/>
  <c r="M2056" i="4"/>
  <c r="L2056" i="4"/>
  <c r="K2056" i="4"/>
  <c r="J2056" i="4"/>
  <c r="I2056" i="4"/>
  <c r="H2056" i="4"/>
  <c r="G2056" i="4"/>
  <c r="F2056" i="4"/>
  <c r="E2056" i="4"/>
  <c r="D2056" i="4"/>
  <c r="C2056" i="4"/>
  <c r="B2056" i="4"/>
  <c r="A2056" i="4"/>
  <c r="M2055" i="4"/>
  <c r="L2055" i="4"/>
  <c r="K2055" i="4"/>
  <c r="J2055" i="4"/>
  <c r="I2055" i="4"/>
  <c r="H2055" i="4"/>
  <c r="G2055" i="4"/>
  <c r="F2055" i="4"/>
  <c r="D2055" i="4"/>
  <c r="C2055" i="4"/>
  <c r="B2055" i="4"/>
  <c r="A2055" i="4"/>
  <c r="M2054" i="4"/>
  <c r="L2054" i="4"/>
  <c r="K2054" i="4"/>
  <c r="J2054" i="4"/>
  <c r="I2054" i="4"/>
  <c r="H2054" i="4"/>
  <c r="G2054" i="4"/>
  <c r="F2054" i="4"/>
  <c r="E2054" i="4"/>
  <c r="D2054" i="4"/>
  <c r="C2054" i="4"/>
  <c r="B2054" i="4"/>
  <c r="A2054" i="4"/>
  <c r="M2053" i="4"/>
  <c r="L2053" i="4"/>
  <c r="K2053" i="4"/>
  <c r="J2053" i="4"/>
  <c r="I2053" i="4"/>
  <c r="H2053" i="4"/>
  <c r="G2053" i="4"/>
  <c r="F2053" i="4"/>
  <c r="E2053" i="4"/>
  <c r="D2053" i="4"/>
  <c r="C2053" i="4"/>
  <c r="B2053" i="4"/>
  <c r="A2053" i="4"/>
  <c r="M2052" i="4"/>
  <c r="L2052" i="4"/>
  <c r="K2052" i="4"/>
  <c r="J2052" i="4"/>
  <c r="I2052" i="4"/>
  <c r="H2052" i="4"/>
  <c r="G2052" i="4"/>
  <c r="F2052" i="4"/>
  <c r="E2052" i="4"/>
  <c r="D2052" i="4"/>
  <c r="C2052" i="4"/>
  <c r="B2052" i="4"/>
  <c r="A2052" i="4"/>
  <c r="M2051" i="4"/>
  <c r="L2051" i="4"/>
  <c r="K2051" i="4"/>
  <c r="J2051" i="4"/>
  <c r="I2051" i="4"/>
  <c r="H2051" i="4"/>
  <c r="G2051" i="4"/>
  <c r="F2051" i="4"/>
  <c r="E2051" i="4"/>
  <c r="D2051" i="4"/>
  <c r="C2051" i="4"/>
  <c r="B2051" i="4"/>
  <c r="A2051" i="4"/>
  <c r="M2050" i="4"/>
  <c r="L2050" i="4"/>
  <c r="K2050" i="4"/>
  <c r="J2050" i="4"/>
  <c r="I2050" i="4"/>
  <c r="H2050" i="4"/>
  <c r="G2050" i="4"/>
  <c r="F2050" i="4"/>
  <c r="E2050" i="4"/>
  <c r="D2050" i="4"/>
  <c r="C2050" i="4"/>
  <c r="B2050" i="4"/>
  <c r="A2050" i="4"/>
  <c r="M2049" i="4"/>
  <c r="L2049" i="4"/>
  <c r="K2049" i="4"/>
  <c r="J2049" i="4"/>
  <c r="I2049" i="4"/>
  <c r="H2049" i="4"/>
  <c r="G2049" i="4"/>
  <c r="F2049" i="4"/>
  <c r="E2049" i="4"/>
  <c r="D2049" i="4"/>
  <c r="C2049" i="4"/>
  <c r="B2049" i="4"/>
  <c r="A2049" i="4"/>
  <c r="M2048" i="4"/>
  <c r="L2048" i="4"/>
  <c r="K2048" i="4"/>
  <c r="J2048" i="4"/>
  <c r="I2048" i="4"/>
  <c r="H2048" i="4"/>
  <c r="G2048" i="4"/>
  <c r="F2048" i="4"/>
  <c r="E2048" i="4"/>
  <c r="D2048" i="4"/>
  <c r="C2048" i="4"/>
  <c r="B2048" i="4"/>
  <c r="A2048" i="4"/>
  <c r="M2047" i="4"/>
  <c r="L2047" i="4"/>
  <c r="K2047" i="4"/>
  <c r="J2047" i="4"/>
  <c r="I2047" i="4"/>
  <c r="H2047" i="4"/>
  <c r="G2047" i="4"/>
  <c r="F2047" i="4"/>
  <c r="E2047" i="4"/>
  <c r="D2047" i="4"/>
  <c r="C2047" i="4"/>
  <c r="B2047" i="4"/>
  <c r="A2047" i="4"/>
  <c r="M2046" i="4"/>
  <c r="L2046" i="4"/>
  <c r="K2046" i="4"/>
  <c r="J2046" i="4"/>
  <c r="I2046" i="4"/>
  <c r="H2046" i="4"/>
  <c r="G2046" i="4"/>
  <c r="F2046" i="4"/>
  <c r="E2046" i="4"/>
  <c r="D2046" i="4"/>
  <c r="C2046" i="4"/>
  <c r="B2046" i="4"/>
  <c r="A2046" i="4"/>
  <c r="M2045" i="4"/>
  <c r="L2045" i="4"/>
  <c r="K2045" i="4"/>
  <c r="J2045" i="4"/>
  <c r="I2045" i="4"/>
  <c r="H2045" i="4"/>
  <c r="G2045" i="4"/>
  <c r="F2045" i="4"/>
  <c r="E2045" i="4"/>
  <c r="D2045" i="4"/>
  <c r="C2045" i="4"/>
  <c r="B2045" i="4"/>
  <c r="A2045" i="4"/>
  <c r="M2044" i="4"/>
  <c r="L2044" i="4"/>
  <c r="K2044" i="4"/>
  <c r="J2044" i="4"/>
  <c r="I2044" i="4"/>
  <c r="H2044" i="4"/>
  <c r="G2044" i="4"/>
  <c r="F2044" i="4"/>
  <c r="E2044" i="4"/>
  <c r="D2044" i="4"/>
  <c r="C2044" i="4"/>
  <c r="B2044" i="4"/>
  <c r="A2044" i="4"/>
  <c r="M2043" i="4"/>
  <c r="L2043" i="4"/>
  <c r="K2043" i="4"/>
  <c r="J2043" i="4"/>
  <c r="I2043" i="4"/>
  <c r="H2043" i="4"/>
  <c r="G2043" i="4"/>
  <c r="F2043" i="4"/>
  <c r="E2043" i="4"/>
  <c r="D2043" i="4"/>
  <c r="C2043" i="4"/>
  <c r="B2043" i="4"/>
  <c r="A2043" i="4"/>
  <c r="M2042" i="4"/>
  <c r="L2042" i="4"/>
  <c r="K2042" i="4"/>
  <c r="J2042" i="4"/>
  <c r="I2042" i="4"/>
  <c r="H2042" i="4"/>
  <c r="G2042" i="4"/>
  <c r="F2042" i="4"/>
  <c r="E2042" i="4"/>
  <c r="D2042" i="4"/>
  <c r="C2042" i="4"/>
  <c r="B2042" i="4"/>
  <c r="A2042" i="4"/>
  <c r="M2041" i="4"/>
  <c r="L2041" i="4"/>
  <c r="K2041" i="4"/>
  <c r="J2041" i="4"/>
  <c r="I2041" i="4"/>
  <c r="H2041" i="4"/>
  <c r="G2041" i="4"/>
  <c r="F2041" i="4"/>
  <c r="D2041" i="4"/>
  <c r="C2041" i="4"/>
  <c r="B2041" i="4"/>
  <c r="A2041" i="4"/>
  <c r="M2040" i="4"/>
  <c r="L2040" i="4"/>
  <c r="K2040" i="4"/>
  <c r="J2040" i="4"/>
  <c r="I2040" i="4"/>
  <c r="H2040" i="4"/>
  <c r="G2040" i="4"/>
  <c r="F2040" i="4"/>
  <c r="E2040" i="4"/>
  <c r="D2040" i="4"/>
  <c r="C2040" i="4"/>
  <c r="B2040" i="4"/>
  <c r="A2040" i="4"/>
  <c r="M2039" i="4"/>
  <c r="L2039" i="4"/>
  <c r="K2039" i="4"/>
  <c r="J2039" i="4"/>
  <c r="I2039" i="4"/>
  <c r="H2039" i="4"/>
  <c r="G2039" i="4"/>
  <c r="F2039" i="4"/>
  <c r="E2039" i="4"/>
  <c r="D2039" i="4"/>
  <c r="C2039" i="4"/>
  <c r="B2039" i="4"/>
  <c r="A2039" i="4"/>
  <c r="M2038" i="4"/>
  <c r="L2038" i="4"/>
  <c r="K2038" i="4"/>
  <c r="J2038" i="4"/>
  <c r="I2038" i="4"/>
  <c r="H2038" i="4"/>
  <c r="G2038" i="4"/>
  <c r="F2038" i="4"/>
  <c r="E2038" i="4"/>
  <c r="D2038" i="4"/>
  <c r="C2038" i="4"/>
  <c r="B2038" i="4"/>
  <c r="A2038" i="4"/>
  <c r="M2037" i="4"/>
  <c r="L2037" i="4"/>
  <c r="K2037" i="4"/>
  <c r="J2037" i="4"/>
  <c r="I2037" i="4"/>
  <c r="H2037" i="4"/>
  <c r="G2037" i="4"/>
  <c r="F2037" i="4"/>
  <c r="E2037" i="4"/>
  <c r="D2037" i="4"/>
  <c r="C2037" i="4"/>
  <c r="B2037" i="4"/>
  <c r="A2037" i="4"/>
  <c r="M2036" i="4"/>
  <c r="L2036" i="4"/>
  <c r="K2036" i="4"/>
  <c r="J2036" i="4"/>
  <c r="I2036" i="4"/>
  <c r="H2036" i="4"/>
  <c r="G2036" i="4"/>
  <c r="F2036" i="4"/>
  <c r="E2036" i="4"/>
  <c r="D2036" i="4"/>
  <c r="C2036" i="4"/>
  <c r="B2036" i="4"/>
  <c r="A2036" i="4"/>
  <c r="M2035" i="4"/>
  <c r="L2035" i="4"/>
  <c r="K2035" i="4"/>
  <c r="J2035" i="4"/>
  <c r="I2035" i="4"/>
  <c r="H2035" i="4"/>
  <c r="G2035" i="4"/>
  <c r="F2035" i="4"/>
  <c r="E2035" i="4"/>
  <c r="D2035" i="4"/>
  <c r="C2035" i="4"/>
  <c r="B2035" i="4"/>
  <c r="A2035" i="4"/>
  <c r="M2034" i="4"/>
  <c r="L2034" i="4"/>
  <c r="K2034" i="4"/>
  <c r="J2034" i="4"/>
  <c r="I2034" i="4"/>
  <c r="H2034" i="4"/>
  <c r="G2034" i="4"/>
  <c r="F2034" i="4"/>
  <c r="E2034" i="4"/>
  <c r="D2034" i="4"/>
  <c r="C2034" i="4"/>
  <c r="B2034" i="4"/>
  <c r="A2034" i="4"/>
  <c r="M2033" i="4"/>
  <c r="L2033" i="4"/>
  <c r="K2033" i="4"/>
  <c r="J2033" i="4"/>
  <c r="I2033" i="4"/>
  <c r="H2033" i="4"/>
  <c r="G2033" i="4"/>
  <c r="F2033" i="4"/>
  <c r="E2033" i="4"/>
  <c r="D2033" i="4"/>
  <c r="C2033" i="4"/>
  <c r="B2033" i="4"/>
  <c r="A2033" i="4"/>
  <c r="M2032" i="4"/>
  <c r="L2032" i="4"/>
  <c r="K2032" i="4"/>
  <c r="J2032" i="4"/>
  <c r="I2032" i="4"/>
  <c r="H2032" i="4"/>
  <c r="G2032" i="4"/>
  <c r="F2032" i="4"/>
  <c r="E2032" i="4"/>
  <c r="D2032" i="4"/>
  <c r="C2032" i="4"/>
  <c r="B2032" i="4"/>
  <c r="A2032" i="4"/>
  <c r="M2031" i="4"/>
  <c r="L2031" i="4"/>
  <c r="K2031" i="4"/>
  <c r="J2031" i="4"/>
  <c r="I2031" i="4"/>
  <c r="H2031" i="4"/>
  <c r="G2031" i="4"/>
  <c r="F2031" i="4"/>
  <c r="E2031" i="4"/>
  <c r="D2031" i="4"/>
  <c r="C2031" i="4"/>
  <c r="B2031" i="4"/>
  <c r="A2031" i="4"/>
  <c r="M2030" i="4"/>
  <c r="L2030" i="4"/>
  <c r="K2030" i="4"/>
  <c r="J2030" i="4"/>
  <c r="I2030" i="4"/>
  <c r="H2030" i="4"/>
  <c r="G2030" i="4"/>
  <c r="F2030" i="4"/>
  <c r="E2030" i="4"/>
  <c r="D2030" i="4"/>
  <c r="C2030" i="4"/>
  <c r="B2030" i="4"/>
  <c r="A2030" i="4"/>
  <c r="M2029" i="4"/>
  <c r="L2029" i="4"/>
  <c r="K2029" i="4"/>
  <c r="J2029" i="4"/>
  <c r="I2029" i="4"/>
  <c r="H2029" i="4"/>
  <c r="G2029" i="4"/>
  <c r="F2029" i="4"/>
  <c r="E2029" i="4"/>
  <c r="D2029" i="4"/>
  <c r="C2029" i="4"/>
  <c r="B2029" i="4"/>
  <c r="A2029" i="4"/>
  <c r="M2028" i="4"/>
  <c r="L2028" i="4"/>
  <c r="K2028" i="4"/>
  <c r="J2028" i="4"/>
  <c r="I2028" i="4"/>
  <c r="H2028" i="4"/>
  <c r="G2028" i="4"/>
  <c r="F2028" i="4"/>
  <c r="E2028" i="4"/>
  <c r="D2028" i="4"/>
  <c r="C2028" i="4"/>
  <c r="B2028" i="4"/>
  <c r="A2028" i="4"/>
  <c r="M2027" i="4"/>
  <c r="L2027" i="4"/>
  <c r="K2027" i="4"/>
  <c r="J2027" i="4"/>
  <c r="I2027" i="4"/>
  <c r="H2027" i="4"/>
  <c r="G2027" i="4"/>
  <c r="F2027" i="4"/>
  <c r="E2027" i="4"/>
  <c r="D2027" i="4"/>
  <c r="C2027" i="4"/>
  <c r="B2027" i="4"/>
  <c r="A2027" i="4"/>
  <c r="M2026" i="4"/>
  <c r="L2026" i="4"/>
  <c r="K2026" i="4"/>
  <c r="J2026" i="4"/>
  <c r="I2026" i="4"/>
  <c r="H2026" i="4"/>
  <c r="G2026" i="4"/>
  <c r="F2026" i="4"/>
  <c r="E2026" i="4"/>
  <c r="D2026" i="4"/>
  <c r="C2026" i="4"/>
  <c r="B2026" i="4"/>
  <c r="A2026" i="4"/>
  <c r="M2025" i="4"/>
  <c r="L2025" i="4"/>
  <c r="K2025" i="4"/>
  <c r="J2025" i="4"/>
  <c r="I2025" i="4"/>
  <c r="H2025" i="4"/>
  <c r="G2025" i="4"/>
  <c r="F2025" i="4"/>
  <c r="E2025" i="4"/>
  <c r="D2025" i="4"/>
  <c r="C2025" i="4"/>
  <c r="B2025" i="4"/>
  <c r="A2025" i="4"/>
  <c r="M2024" i="4"/>
  <c r="L2024" i="4"/>
  <c r="K2024" i="4"/>
  <c r="J2024" i="4"/>
  <c r="I2024" i="4"/>
  <c r="H2024" i="4"/>
  <c r="G2024" i="4"/>
  <c r="F2024" i="4"/>
  <c r="E2024" i="4"/>
  <c r="D2024" i="4"/>
  <c r="C2024" i="4"/>
  <c r="B2024" i="4"/>
  <c r="A2024" i="4"/>
  <c r="M2023" i="4"/>
  <c r="L2023" i="4"/>
  <c r="K2023" i="4"/>
  <c r="J2023" i="4"/>
  <c r="I2023" i="4"/>
  <c r="H2023" i="4"/>
  <c r="G2023" i="4"/>
  <c r="F2023" i="4"/>
  <c r="E2023" i="4"/>
  <c r="D2023" i="4"/>
  <c r="C2023" i="4"/>
  <c r="B2023" i="4"/>
  <c r="A2023" i="4"/>
  <c r="M2022" i="4"/>
  <c r="L2022" i="4"/>
  <c r="K2022" i="4"/>
  <c r="J2022" i="4"/>
  <c r="I2022" i="4"/>
  <c r="H2022" i="4"/>
  <c r="G2022" i="4"/>
  <c r="F2022" i="4"/>
  <c r="E2022" i="4"/>
  <c r="D2022" i="4"/>
  <c r="C2022" i="4"/>
  <c r="B2022" i="4"/>
  <c r="A2022" i="4"/>
  <c r="M2021" i="4"/>
  <c r="L2021" i="4"/>
  <c r="K2021" i="4"/>
  <c r="J2021" i="4"/>
  <c r="I2021" i="4"/>
  <c r="H2021" i="4"/>
  <c r="G2021" i="4"/>
  <c r="F2021" i="4"/>
  <c r="E2021" i="4"/>
  <c r="D2021" i="4"/>
  <c r="C2021" i="4"/>
  <c r="B2021" i="4"/>
  <c r="A2021" i="4"/>
  <c r="M2020" i="4"/>
  <c r="L2020" i="4"/>
  <c r="K2020" i="4"/>
  <c r="J2020" i="4"/>
  <c r="I2020" i="4"/>
  <c r="H2020" i="4"/>
  <c r="G2020" i="4"/>
  <c r="F2020" i="4"/>
  <c r="E2020" i="4"/>
  <c r="D2020" i="4"/>
  <c r="C2020" i="4"/>
  <c r="B2020" i="4"/>
  <c r="A2020" i="4"/>
  <c r="M2019" i="4"/>
  <c r="L2019" i="4"/>
  <c r="K2019" i="4"/>
  <c r="J2019" i="4"/>
  <c r="I2019" i="4"/>
  <c r="H2019" i="4"/>
  <c r="G2019" i="4"/>
  <c r="F2019" i="4"/>
  <c r="E2019" i="4"/>
  <c r="D2019" i="4"/>
  <c r="C2019" i="4"/>
  <c r="B2019" i="4"/>
  <c r="A2019" i="4"/>
  <c r="M2018" i="4"/>
  <c r="L2018" i="4"/>
  <c r="K2018" i="4"/>
  <c r="J2018" i="4"/>
  <c r="I2018" i="4"/>
  <c r="H2018" i="4"/>
  <c r="G2018" i="4"/>
  <c r="F2018" i="4"/>
  <c r="E2018" i="4"/>
  <c r="D2018" i="4"/>
  <c r="C2018" i="4"/>
  <c r="B2018" i="4"/>
  <c r="A2018" i="4"/>
  <c r="M2017" i="4"/>
  <c r="L2017" i="4"/>
  <c r="K2017" i="4"/>
  <c r="J2017" i="4"/>
  <c r="I2017" i="4"/>
  <c r="H2017" i="4"/>
  <c r="G2017" i="4"/>
  <c r="F2017" i="4"/>
  <c r="E2017" i="4"/>
  <c r="D2017" i="4"/>
  <c r="C2017" i="4"/>
  <c r="B2017" i="4"/>
  <c r="A2017" i="4"/>
  <c r="M2016" i="4"/>
  <c r="L2016" i="4"/>
  <c r="K2016" i="4"/>
  <c r="J2016" i="4"/>
  <c r="I2016" i="4"/>
  <c r="H2016" i="4"/>
  <c r="G2016" i="4"/>
  <c r="F2016" i="4"/>
  <c r="E2016" i="4"/>
  <c r="D2016" i="4"/>
  <c r="C2016" i="4"/>
  <c r="B2016" i="4"/>
  <c r="A2016" i="4"/>
  <c r="M2015" i="4"/>
  <c r="L2015" i="4"/>
  <c r="K2015" i="4"/>
  <c r="J2015" i="4"/>
  <c r="I2015" i="4"/>
  <c r="H2015" i="4"/>
  <c r="G2015" i="4"/>
  <c r="F2015" i="4"/>
  <c r="D2015" i="4"/>
  <c r="C2015" i="4"/>
  <c r="B2015" i="4"/>
  <c r="A2015" i="4"/>
  <c r="M2014" i="4"/>
  <c r="L2014" i="4"/>
  <c r="K2014" i="4"/>
  <c r="J2014" i="4"/>
  <c r="I2014" i="4"/>
  <c r="H2014" i="4"/>
  <c r="G2014" i="4"/>
  <c r="F2014" i="4"/>
  <c r="E2014" i="4"/>
  <c r="D2014" i="4"/>
  <c r="C2014" i="4"/>
  <c r="B2014" i="4"/>
  <c r="A2014" i="4"/>
  <c r="M2013" i="4"/>
  <c r="L2013" i="4"/>
  <c r="K2013" i="4"/>
  <c r="J2013" i="4"/>
  <c r="I2013" i="4"/>
  <c r="H2013" i="4"/>
  <c r="G2013" i="4"/>
  <c r="F2013" i="4"/>
  <c r="E2013" i="4"/>
  <c r="D2013" i="4"/>
  <c r="C2013" i="4"/>
  <c r="B2013" i="4"/>
  <c r="A2013" i="4"/>
  <c r="M2012" i="4"/>
  <c r="L2012" i="4"/>
  <c r="K2012" i="4"/>
  <c r="J2012" i="4"/>
  <c r="I2012" i="4"/>
  <c r="H2012" i="4"/>
  <c r="G2012" i="4"/>
  <c r="F2012" i="4"/>
  <c r="E2012" i="4"/>
  <c r="D2012" i="4"/>
  <c r="C2012" i="4"/>
  <c r="B2012" i="4"/>
  <c r="A2012" i="4"/>
  <c r="M2011" i="4"/>
  <c r="L2011" i="4"/>
  <c r="K2011" i="4"/>
  <c r="J2011" i="4"/>
  <c r="I2011" i="4"/>
  <c r="H2011" i="4"/>
  <c r="G2011" i="4"/>
  <c r="F2011" i="4"/>
  <c r="E2011" i="4"/>
  <c r="D2011" i="4"/>
  <c r="C2011" i="4"/>
  <c r="B2011" i="4"/>
  <c r="A2011" i="4"/>
  <c r="M2010" i="4"/>
  <c r="L2010" i="4"/>
  <c r="K2010" i="4"/>
  <c r="J2010" i="4"/>
  <c r="I2010" i="4"/>
  <c r="H2010" i="4"/>
  <c r="G2010" i="4"/>
  <c r="F2010" i="4"/>
  <c r="E2010" i="4"/>
  <c r="D2010" i="4"/>
  <c r="C2010" i="4"/>
  <c r="B2010" i="4"/>
  <c r="A2010" i="4"/>
  <c r="M2009" i="4"/>
  <c r="L2009" i="4"/>
  <c r="K2009" i="4"/>
  <c r="J2009" i="4"/>
  <c r="I2009" i="4"/>
  <c r="H2009" i="4"/>
  <c r="G2009" i="4"/>
  <c r="F2009" i="4"/>
  <c r="E2009" i="4"/>
  <c r="D2009" i="4"/>
  <c r="C2009" i="4"/>
  <c r="B2009" i="4"/>
  <c r="A2009" i="4"/>
  <c r="M2008" i="4"/>
  <c r="L2008" i="4"/>
  <c r="K2008" i="4"/>
  <c r="J2008" i="4"/>
  <c r="I2008" i="4"/>
  <c r="H2008" i="4"/>
  <c r="G2008" i="4"/>
  <c r="F2008" i="4"/>
  <c r="E2008" i="4"/>
  <c r="D2008" i="4"/>
  <c r="C2008" i="4"/>
  <c r="B2008" i="4"/>
  <c r="A2008" i="4"/>
  <c r="M2007" i="4"/>
  <c r="L2007" i="4"/>
  <c r="K2007" i="4"/>
  <c r="J2007" i="4"/>
  <c r="I2007" i="4"/>
  <c r="H2007" i="4"/>
  <c r="G2007" i="4"/>
  <c r="F2007" i="4"/>
  <c r="E2007" i="4"/>
  <c r="D2007" i="4"/>
  <c r="C2007" i="4"/>
  <c r="B2007" i="4"/>
  <c r="A2007" i="4"/>
  <c r="M2006" i="4"/>
  <c r="L2006" i="4"/>
  <c r="K2006" i="4"/>
  <c r="J2006" i="4"/>
  <c r="I2006" i="4"/>
  <c r="H2006" i="4"/>
  <c r="G2006" i="4"/>
  <c r="F2006" i="4"/>
  <c r="E2006" i="4"/>
  <c r="D2006" i="4"/>
  <c r="C2006" i="4"/>
  <c r="B2006" i="4"/>
  <c r="A2006" i="4"/>
  <c r="M2005" i="4"/>
  <c r="L2005" i="4"/>
  <c r="K2005" i="4"/>
  <c r="J2005" i="4"/>
  <c r="I2005" i="4"/>
  <c r="H2005" i="4"/>
  <c r="G2005" i="4"/>
  <c r="F2005" i="4"/>
  <c r="E2005" i="4"/>
  <c r="D2005" i="4"/>
  <c r="C2005" i="4"/>
  <c r="B2005" i="4"/>
  <c r="A2005" i="4"/>
  <c r="M2004" i="4"/>
  <c r="L2004" i="4"/>
  <c r="K2004" i="4"/>
  <c r="J2004" i="4"/>
  <c r="I2004" i="4"/>
  <c r="H2004" i="4"/>
  <c r="G2004" i="4"/>
  <c r="F2004" i="4"/>
  <c r="E2004" i="4"/>
  <c r="D2004" i="4"/>
  <c r="C2004" i="4"/>
  <c r="B2004" i="4"/>
  <c r="A2004" i="4"/>
  <c r="M2003" i="4"/>
  <c r="L2003" i="4"/>
  <c r="K2003" i="4"/>
  <c r="J2003" i="4"/>
  <c r="I2003" i="4"/>
  <c r="H2003" i="4"/>
  <c r="G2003" i="4"/>
  <c r="F2003" i="4"/>
  <c r="E2003" i="4"/>
  <c r="D2003" i="4"/>
  <c r="C2003" i="4"/>
  <c r="B2003" i="4"/>
  <c r="A2003" i="4"/>
  <c r="M2002" i="4"/>
  <c r="L2002" i="4"/>
  <c r="K2002" i="4"/>
  <c r="J2002" i="4"/>
  <c r="I2002" i="4"/>
  <c r="H2002" i="4"/>
  <c r="G2002" i="4"/>
  <c r="F2002" i="4"/>
  <c r="E2002" i="4"/>
  <c r="D2002" i="4"/>
  <c r="C2002" i="4"/>
  <c r="B2002" i="4"/>
  <c r="A2002" i="4"/>
  <c r="M2001" i="4"/>
  <c r="L2001" i="4"/>
  <c r="K2001" i="4"/>
  <c r="J2001" i="4"/>
  <c r="I2001" i="4"/>
  <c r="H2001" i="4"/>
  <c r="G2001" i="4"/>
  <c r="F2001" i="4"/>
  <c r="E2001" i="4"/>
  <c r="D2001" i="4"/>
  <c r="C2001" i="4"/>
  <c r="B2001" i="4"/>
  <c r="A2001" i="4"/>
  <c r="M2000" i="4"/>
  <c r="L2000" i="4"/>
  <c r="K2000" i="4"/>
  <c r="J2000" i="4"/>
  <c r="I2000" i="4"/>
  <c r="H2000" i="4"/>
  <c r="G2000" i="4"/>
  <c r="F2000" i="4"/>
  <c r="E2000" i="4"/>
  <c r="D2000" i="4"/>
  <c r="C2000" i="4"/>
  <c r="B2000" i="4"/>
  <c r="A2000" i="4"/>
  <c r="M1999" i="4"/>
  <c r="L1999" i="4"/>
  <c r="K1999" i="4"/>
  <c r="J1999" i="4"/>
  <c r="I1999" i="4"/>
  <c r="H1999" i="4"/>
  <c r="G1999" i="4"/>
  <c r="F1999" i="4"/>
  <c r="E1999" i="4"/>
  <c r="D1999" i="4"/>
  <c r="C1999" i="4"/>
  <c r="B1999" i="4"/>
  <c r="A1999" i="4"/>
  <c r="M1998" i="4"/>
  <c r="L1998" i="4"/>
  <c r="K1998" i="4"/>
  <c r="J1998" i="4"/>
  <c r="I1998" i="4"/>
  <c r="H1998" i="4"/>
  <c r="G1998" i="4"/>
  <c r="F1998" i="4"/>
  <c r="E1998" i="4"/>
  <c r="D1998" i="4"/>
  <c r="C1998" i="4"/>
  <c r="B1998" i="4"/>
  <c r="A1998" i="4"/>
  <c r="M1997" i="4"/>
  <c r="L1997" i="4"/>
  <c r="K1997" i="4"/>
  <c r="J1997" i="4"/>
  <c r="I1997" i="4"/>
  <c r="H1997" i="4"/>
  <c r="G1997" i="4"/>
  <c r="F1997" i="4"/>
  <c r="E1997" i="4"/>
  <c r="D1997" i="4"/>
  <c r="C1997" i="4"/>
  <c r="B1997" i="4"/>
  <c r="A1997" i="4"/>
  <c r="M1996" i="4"/>
  <c r="L1996" i="4"/>
  <c r="K1996" i="4"/>
  <c r="J1996" i="4"/>
  <c r="I1996" i="4"/>
  <c r="H1996" i="4"/>
  <c r="G1996" i="4"/>
  <c r="F1996" i="4"/>
  <c r="E1996" i="4"/>
  <c r="D1996" i="4"/>
  <c r="C1996" i="4"/>
  <c r="B1996" i="4"/>
  <c r="A1996" i="4"/>
  <c r="M1995" i="4"/>
  <c r="L1995" i="4"/>
  <c r="K1995" i="4"/>
  <c r="J1995" i="4"/>
  <c r="I1995" i="4"/>
  <c r="H1995" i="4"/>
  <c r="G1995" i="4"/>
  <c r="F1995" i="4"/>
  <c r="E1995" i="4"/>
  <c r="D1995" i="4"/>
  <c r="C1995" i="4"/>
  <c r="B1995" i="4"/>
  <c r="A1995" i="4"/>
  <c r="M1994" i="4"/>
  <c r="L1994" i="4"/>
  <c r="K1994" i="4"/>
  <c r="J1994" i="4"/>
  <c r="I1994" i="4"/>
  <c r="H1994" i="4"/>
  <c r="G1994" i="4"/>
  <c r="F1994" i="4"/>
  <c r="E1994" i="4"/>
  <c r="D1994" i="4"/>
  <c r="C1994" i="4"/>
  <c r="B1994" i="4"/>
  <c r="A1994" i="4"/>
  <c r="M1993" i="4"/>
  <c r="L1993" i="4"/>
  <c r="K1993" i="4"/>
  <c r="J1993" i="4"/>
  <c r="I1993" i="4"/>
  <c r="H1993" i="4"/>
  <c r="G1993" i="4"/>
  <c r="F1993" i="4"/>
  <c r="E1993" i="4"/>
  <c r="D1993" i="4"/>
  <c r="C1993" i="4"/>
  <c r="B1993" i="4"/>
  <c r="A1993" i="4"/>
  <c r="M1992" i="4"/>
  <c r="L1992" i="4"/>
  <c r="K1992" i="4"/>
  <c r="J1992" i="4"/>
  <c r="I1992" i="4"/>
  <c r="H1992" i="4"/>
  <c r="G1992" i="4"/>
  <c r="F1992" i="4"/>
  <c r="E1992" i="4"/>
  <c r="D1992" i="4"/>
  <c r="C1992" i="4"/>
  <c r="B1992" i="4"/>
  <c r="A1992" i="4"/>
  <c r="M1991" i="4"/>
  <c r="L1991" i="4"/>
  <c r="K1991" i="4"/>
  <c r="J1991" i="4"/>
  <c r="I1991" i="4"/>
  <c r="H1991" i="4"/>
  <c r="G1991" i="4"/>
  <c r="F1991" i="4"/>
  <c r="E1991" i="4"/>
  <c r="D1991" i="4"/>
  <c r="C1991" i="4"/>
  <c r="B1991" i="4"/>
  <c r="A1991" i="4"/>
  <c r="M1990" i="4"/>
  <c r="L1990" i="4"/>
  <c r="K1990" i="4"/>
  <c r="J1990" i="4"/>
  <c r="I1990" i="4"/>
  <c r="H1990" i="4"/>
  <c r="G1990" i="4"/>
  <c r="F1990" i="4"/>
  <c r="E1990" i="4"/>
  <c r="D1990" i="4"/>
  <c r="C1990" i="4"/>
  <c r="B1990" i="4"/>
  <c r="A1990" i="4"/>
  <c r="M1989" i="4"/>
  <c r="L1989" i="4"/>
  <c r="K1989" i="4"/>
  <c r="J1989" i="4"/>
  <c r="I1989" i="4"/>
  <c r="H1989" i="4"/>
  <c r="G1989" i="4"/>
  <c r="F1989" i="4"/>
  <c r="D1989" i="4"/>
  <c r="C1989" i="4"/>
  <c r="B1989" i="4"/>
  <c r="A1989" i="4"/>
  <c r="M1988" i="4"/>
  <c r="L1988" i="4"/>
  <c r="K1988" i="4"/>
  <c r="J1988" i="4"/>
  <c r="I1988" i="4"/>
  <c r="H1988" i="4"/>
  <c r="G1988" i="4"/>
  <c r="F1988" i="4"/>
  <c r="E1988" i="4"/>
  <c r="D1988" i="4"/>
  <c r="C1988" i="4"/>
  <c r="B1988" i="4"/>
  <c r="A1988" i="4"/>
  <c r="M1987" i="4"/>
  <c r="L1987" i="4"/>
  <c r="K1987" i="4"/>
  <c r="J1987" i="4"/>
  <c r="I1987" i="4"/>
  <c r="H1987" i="4"/>
  <c r="G1987" i="4"/>
  <c r="F1987" i="4"/>
  <c r="E1987" i="4"/>
  <c r="D1987" i="4"/>
  <c r="C1987" i="4"/>
  <c r="B1987" i="4"/>
  <c r="A1987" i="4"/>
  <c r="M1986" i="4"/>
  <c r="L1986" i="4"/>
  <c r="K1986" i="4"/>
  <c r="J1986" i="4"/>
  <c r="I1986" i="4"/>
  <c r="H1986" i="4"/>
  <c r="G1986" i="4"/>
  <c r="F1986" i="4"/>
  <c r="E1986" i="4"/>
  <c r="D1986" i="4"/>
  <c r="C1986" i="4"/>
  <c r="B1986" i="4"/>
  <c r="A1986" i="4"/>
  <c r="M1985" i="4"/>
  <c r="L1985" i="4"/>
  <c r="K1985" i="4"/>
  <c r="J1985" i="4"/>
  <c r="I1985" i="4"/>
  <c r="H1985" i="4"/>
  <c r="G1985" i="4"/>
  <c r="F1985" i="4"/>
  <c r="E1985" i="4"/>
  <c r="D1985" i="4"/>
  <c r="C1985" i="4"/>
  <c r="B1985" i="4"/>
  <c r="A1985" i="4"/>
  <c r="M1984" i="4"/>
  <c r="L1984" i="4"/>
  <c r="K1984" i="4"/>
  <c r="J1984" i="4"/>
  <c r="I1984" i="4"/>
  <c r="H1984" i="4"/>
  <c r="G1984" i="4"/>
  <c r="F1984" i="4"/>
  <c r="E1984" i="4"/>
  <c r="D1984" i="4"/>
  <c r="C1984" i="4"/>
  <c r="B1984" i="4"/>
  <c r="A1984" i="4"/>
  <c r="M1983" i="4"/>
  <c r="L1983" i="4"/>
  <c r="K1983" i="4"/>
  <c r="J1983" i="4"/>
  <c r="I1983" i="4"/>
  <c r="H1983" i="4"/>
  <c r="G1983" i="4"/>
  <c r="F1983" i="4"/>
  <c r="E1983" i="4"/>
  <c r="D1983" i="4"/>
  <c r="C1983" i="4"/>
  <c r="B1983" i="4"/>
  <c r="A1983" i="4"/>
  <c r="M1982" i="4"/>
  <c r="L1982" i="4"/>
  <c r="K1982" i="4"/>
  <c r="J1982" i="4"/>
  <c r="I1982" i="4"/>
  <c r="H1982" i="4"/>
  <c r="G1982" i="4"/>
  <c r="F1982" i="4"/>
  <c r="E1982" i="4"/>
  <c r="D1982" i="4"/>
  <c r="C1982" i="4"/>
  <c r="B1982" i="4"/>
  <c r="A1982" i="4"/>
  <c r="M1981" i="4"/>
  <c r="L1981" i="4"/>
  <c r="K1981" i="4"/>
  <c r="J1981" i="4"/>
  <c r="I1981" i="4"/>
  <c r="H1981" i="4"/>
  <c r="G1981" i="4"/>
  <c r="F1981" i="4"/>
  <c r="E1981" i="4"/>
  <c r="D1981" i="4"/>
  <c r="C1981" i="4"/>
  <c r="B1981" i="4"/>
  <c r="A1981" i="4"/>
  <c r="M1980" i="4"/>
  <c r="L1980" i="4"/>
  <c r="K1980" i="4"/>
  <c r="J1980" i="4"/>
  <c r="I1980" i="4"/>
  <c r="H1980" i="4"/>
  <c r="G1980" i="4"/>
  <c r="F1980" i="4"/>
  <c r="E1980" i="4"/>
  <c r="D1980" i="4"/>
  <c r="C1980" i="4"/>
  <c r="B1980" i="4"/>
  <c r="A1980" i="4"/>
  <c r="M1979" i="4"/>
  <c r="L1979" i="4"/>
  <c r="K1979" i="4"/>
  <c r="J1979" i="4"/>
  <c r="I1979" i="4"/>
  <c r="H1979" i="4"/>
  <c r="G1979" i="4"/>
  <c r="F1979" i="4"/>
  <c r="E1979" i="4"/>
  <c r="D1979" i="4"/>
  <c r="C1979" i="4"/>
  <c r="B1979" i="4"/>
  <c r="A1979" i="4"/>
  <c r="M1978" i="4"/>
  <c r="L1978" i="4"/>
  <c r="K1978" i="4"/>
  <c r="J1978" i="4"/>
  <c r="I1978" i="4"/>
  <c r="H1978" i="4"/>
  <c r="G1978" i="4"/>
  <c r="F1978" i="4"/>
  <c r="E1978" i="4"/>
  <c r="D1978" i="4"/>
  <c r="C1978" i="4"/>
  <c r="B1978" i="4"/>
  <c r="A1978" i="4"/>
  <c r="M1977" i="4"/>
  <c r="L1977" i="4"/>
  <c r="K1977" i="4"/>
  <c r="J1977" i="4"/>
  <c r="I1977" i="4"/>
  <c r="H1977" i="4"/>
  <c r="G1977" i="4"/>
  <c r="F1977" i="4"/>
  <c r="E1977" i="4"/>
  <c r="D1977" i="4"/>
  <c r="C1977" i="4"/>
  <c r="B1977" i="4"/>
  <c r="A1977" i="4"/>
  <c r="M1976" i="4"/>
  <c r="L1976" i="4"/>
  <c r="K1976" i="4"/>
  <c r="J1976" i="4"/>
  <c r="I1976" i="4"/>
  <c r="H1976" i="4"/>
  <c r="G1976" i="4"/>
  <c r="F1976" i="4"/>
  <c r="E1976" i="4"/>
  <c r="D1976" i="4"/>
  <c r="C1976" i="4"/>
  <c r="B1976" i="4"/>
  <c r="A1976" i="4"/>
  <c r="M1975" i="4"/>
  <c r="L1975" i="4"/>
  <c r="K1975" i="4"/>
  <c r="J1975" i="4"/>
  <c r="I1975" i="4"/>
  <c r="H1975" i="4"/>
  <c r="G1975" i="4"/>
  <c r="F1975" i="4"/>
  <c r="E1975" i="4"/>
  <c r="D1975" i="4"/>
  <c r="C1975" i="4"/>
  <c r="B1975" i="4"/>
  <c r="A1975" i="4"/>
  <c r="M1974" i="4"/>
  <c r="L1974" i="4"/>
  <c r="K1974" i="4"/>
  <c r="J1974" i="4"/>
  <c r="I1974" i="4"/>
  <c r="H1974" i="4"/>
  <c r="G1974" i="4"/>
  <c r="F1974" i="4"/>
  <c r="E1974" i="4"/>
  <c r="D1974" i="4"/>
  <c r="C1974" i="4"/>
  <c r="B1974" i="4"/>
  <c r="A1974" i="4"/>
  <c r="M1973" i="4"/>
  <c r="L1973" i="4"/>
  <c r="K1973" i="4"/>
  <c r="J1973" i="4"/>
  <c r="I1973" i="4"/>
  <c r="H1973" i="4"/>
  <c r="G1973" i="4"/>
  <c r="F1973" i="4"/>
  <c r="E1973" i="4"/>
  <c r="D1973" i="4"/>
  <c r="C1973" i="4"/>
  <c r="B1973" i="4"/>
  <c r="A1973" i="4"/>
  <c r="M1972" i="4"/>
  <c r="L1972" i="4"/>
  <c r="K1972" i="4"/>
  <c r="J1972" i="4"/>
  <c r="I1972" i="4"/>
  <c r="H1972" i="4"/>
  <c r="G1972" i="4"/>
  <c r="F1972" i="4"/>
  <c r="E1972" i="4"/>
  <c r="D1972" i="4"/>
  <c r="C1972" i="4"/>
  <c r="B1972" i="4"/>
  <c r="A1972" i="4"/>
  <c r="M1971" i="4"/>
  <c r="L1971" i="4"/>
  <c r="K1971" i="4"/>
  <c r="J1971" i="4"/>
  <c r="I1971" i="4"/>
  <c r="H1971" i="4"/>
  <c r="G1971" i="4"/>
  <c r="F1971" i="4"/>
  <c r="E1971" i="4"/>
  <c r="D1971" i="4"/>
  <c r="C1971" i="4"/>
  <c r="B1971" i="4"/>
  <c r="A1971" i="4"/>
  <c r="M1970" i="4"/>
  <c r="L1970" i="4"/>
  <c r="K1970" i="4"/>
  <c r="J1970" i="4"/>
  <c r="I1970" i="4"/>
  <c r="H1970" i="4"/>
  <c r="G1970" i="4"/>
  <c r="F1970" i="4"/>
  <c r="E1970" i="4"/>
  <c r="D1970" i="4"/>
  <c r="C1970" i="4"/>
  <c r="B1970" i="4"/>
  <c r="A1970" i="4"/>
  <c r="M1969" i="4"/>
  <c r="L1969" i="4"/>
  <c r="K1969" i="4"/>
  <c r="J1969" i="4"/>
  <c r="I1969" i="4"/>
  <c r="H1969" i="4"/>
  <c r="G1969" i="4"/>
  <c r="F1969" i="4"/>
  <c r="E1969" i="4"/>
  <c r="D1969" i="4"/>
  <c r="C1969" i="4"/>
  <c r="B1969" i="4"/>
  <c r="A1969" i="4"/>
  <c r="M1968" i="4"/>
  <c r="L1968" i="4"/>
  <c r="K1968" i="4"/>
  <c r="J1968" i="4"/>
  <c r="I1968" i="4"/>
  <c r="H1968" i="4"/>
  <c r="G1968" i="4"/>
  <c r="F1968" i="4"/>
  <c r="E1968" i="4"/>
  <c r="D1968" i="4"/>
  <c r="C1968" i="4"/>
  <c r="B1968" i="4"/>
  <c r="A1968" i="4"/>
  <c r="M1967" i="4"/>
  <c r="L1967" i="4"/>
  <c r="K1967" i="4"/>
  <c r="J1967" i="4"/>
  <c r="I1967" i="4"/>
  <c r="H1967" i="4"/>
  <c r="G1967" i="4"/>
  <c r="F1967" i="4"/>
  <c r="E1967" i="4"/>
  <c r="D1967" i="4"/>
  <c r="C1967" i="4"/>
  <c r="B1967" i="4"/>
  <c r="A1967" i="4"/>
  <c r="M1966" i="4"/>
  <c r="L1966" i="4"/>
  <c r="K1966" i="4"/>
  <c r="J1966" i="4"/>
  <c r="I1966" i="4"/>
  <c r="H1966" i="4"/>
  <c r="G1966" i="4"/>
  <c r="F1966" i="4"/>
  <c r="E1966" i="4"/>
  <c r="D1966" i="4"/>
  <c r="C1966" i="4"/>
  <c r="B1966" i="4"/>
  <c r="A1966" i="4"/>
  <c r="M1965" i="4"/>
  <c r="L1965" i="4"/>
  <c r="K1965" i="4"/>
  <c r="J1965" i="4"/>
  <c r="I1965" i="4"/>
  <c r="H1965" i="4"/>
  <c r="G1965" i="4"/>
  <c r="F1965" i="4"/>
  <c r="E1965" i="4"/>
  <c r="D1965" i="4"/>
  <c r="C1965" i="4"/>
  <c r="B1965" i="4"/>
  <c r="A1965" i="4"/>
  <c r="M1964" i="4"/>
  <c r="L1964" i="4"/>
  <c r="K1964" i="4"/>
  <c r="J1964" i="4"/>
  <c r="I1964" i="4"/>
  <c r="H1964" i="4"/>
  <c r="G1964" i="4"/>
  <c r="F1964" i="4"/>
  <c r="E1964" i="4"/>
  <c r="D1964" i="4"/>
  <c r="C1964" i="4"/>
  <c r="B1964" i="4"/>
  <c r="A1964" i="4"/>
  <c r="M1963" i="4"/>
  <c r="L1963" i="4"/>
  <c r="K1963" i="4"/>
  <c r="J1963" i="4"/>
  <c r="I1963" i="4"/>
  <c r="H1963" i="4"/>
  <c r="G1963" i="4"/>
  <c r="F1963" i="4"/>
  <c r="E1963" i="4"/>
  <c r="D1963" i="4"/>
  <c r="C1963" i="4"/>
  <c r="B1963" i="4"/>
  <c r="A1963" i="4"/>
  <c r="M1962" i="4"/>
  <c r="L1962" i="4"/>
  <c r="K1962" i="4"/>
  <c r="J1962" i="4"/>
  <c r="I1962" i="4"/>
  <c r="H1962" i="4"/>
  <c r="G1962" i="4"/>
  <c r="F1962" i="4"/>
  <c r="E1962" i="4"/>
  <c r="D1962" i="4"/>
  <c r="C1962" i="4"/>
  <c r="B1962" i="4"/>
  <c r="A1962" i="4"/>
  <c r="M1961" i="4"/>
  <c r="L1961" i="4"/>
  <c r="K1961" i="4"/>
  <c r="J1961" i="4"/>
  <c r="I1961" i="4"/>
  <c r="H1961" i="4"/>
  <c r="G1961" i="4"/>
  <c r="F1961" i="4"/>
  <c r="E1961" i="4"/>
  <c r="D1961" i="4"/>
  <c r="C1961" i="4"/>
  <c r="B1961" i="4"/>
  <c r="A1961" i="4"/>
  <c r="M1960" i="4"/>
  <c r="L1960" i="4"/>
  <c r="K1960" i="4"/>
  <c r="J1960" i="4"/>
  <c r="I1960" i="4"/>
  <c r="H1960" i="4"/>
  <c r="G1960" i="4"/>
  <c r="F1960" i="4"/>
  <c r="E1960" i="4"/>
  <c r="D1960" i="4"/>
  <c r="C1960" i="4"/>
  <c r="B1960" i="4"/>
  <c r="A1960" i="4"/>
  <c r="M1959" i="4"/>
  <c r="L1959" i="4"/>
  <c r="K1959" i="4"/>
  <c r="J1959" i="4"/>
  <c r="I1959" i="4"/>
  <c r="H1959" i="4"/>
  <c r="G1959" i="4"/>
  <c r="F1959" i="4"/>
  <c r="E1959" i="4"/>
  <c r="D1959" i="4"/>
  <c r="C1959" i="4"/>
  <c r="B1959" i="4"/>
  <c r="A1959" i="4"/>
  <c r="M1958" i="4"/>
  <c r="L1958" i="4"/>
  <c r="K1958" i="4"/>
  <c r="J1958" i="4"/>
  <c r="I1958" i="4"/>
  <c r="H1958" i="4"/>
  <c r="G1958" i="4"/>
  <c r="F1958" i="4"/>
  <c r="E1958" i="4"/>
  <c r="D1958" i="4"/>
  <c r="C1958" i="4"/>
  <c r="B1958" i="4"/>
  <c r="A1958" i="4"/>
  <c r="M1957" i="4"/>
  <c r="L1957" i="4"/>
  <c r="K1957" i="4"/>
  <c r="J1957" i="4"/>
  <c r="I1957" i="4"/>
  <c r="H1957" i="4"/>
  <c r="G1957" i="4"/>
  <c r="F1957" i="4"/>
  <c r="E1957" i="4"/>
  <c r="D1957" i="4"/>
  <c r="C1957" i="4"/>
  <c r="B1957" i="4"/>
  <c r="A1957" i="4"/>
  <c r="M1956" i="4"/>
  <c r="L1956" i="4"/>
  <c r="K1956" i="4"/>
  <c r="J1956" i="4"/>
  <c r="I1956" i="4"/>
  <c r="H1956" i="4"/>
  <c r="G1956" i="4"/>
  <c r="F1956" i="4"/>
  <c r="E1956" i="4"/>
  <c r="D1956" i="4"/>
  <c r="C1956" i="4"/>
  <c r="B1956" i="4"/>
  <c r="A1956" i="4"/>
  <c r="M1955" i="4"/>
  <c r="L1955" i="4"/>
  <c r="K1955" i="4"/>
  <c r="J1955" i="4"/>
  <c r="I1955" i="4"/>
  <c r="H1955" i="4"/>
  <c r="G1955" i="4"/>
  <c r="F1955" i="4"/>
  <c r="E1955" i="4"/>
  <c r="D1955" i="4"/>
  <c r="C1955" i="4"/>
  <c r="B1955" i="4"/>
  <c r="A1955" i="4"/>
  <c r="M1954" i="4"/>
  <c r="L1954" i="4"/>
  <c r="K1954" i="4"/>
  <c r="J1954" i="4"/>
  <c r="I1954" i="4"/>
  <c r="H1954" i="4"/>
  <c r="G1954" i="4"/>
  <c r="F1954" i="4"/>
  <c r="E1954" i="4"/>
  <c r="D1954" i="4"/>
  <c r="C1954" i="4"/>
  <c r="B1954" i="4"/>
  <c r="A1954" i="4"/>
  <c r="M1953" i="4"/>
  <c r="L1953" i="4"/>
  <c r="K1953" i="4"/>
  <c r="J1953" i="4"/>
  <c r="I1953" i="4"/>
  <c r="H1953" i="4"/>
  <c r="G1953" i="4"/>
  <c r="F1953" i="4"/>
  <c r="E1953" i="4"/>
  <c r="D1953" i="4"/>
  <c r="C1953" i="4"/>
  <c r="B1953" i="4"/>
  <c r="A1953" i="4"/>
  <c r="M1952" i="4"/>
  <c r="L1952" i="4"/>
  <c r="K1952" i="4"/>
  <c r="J1952" i="4"/>
  <c r="I1952" i="4"/>
  <c r="H1952" i="4"/>
  <c r="G1952" i="4"/>
  <c r="F1952" i="4"/>
  <c r="E1952" i="4"/>
  <c r="D1952" i="4"/>
  <c r="C1952" i="4"/>
  <c r="B1952" i="4"/>
  <c r="A1952" i="4"/>
  <c r="M1951" i="4"/>
  <c r="L1951" i="4"/>
  <c r="K1951" i="4"/>
  <c r="J1951" i="4"/>
  <c r="I1951" i="4"/>
  <c r="H1951" i="4"/>
  <c r="G1951" i="4"/>
  <c r="F1951" i="4"/>
  <c r="E1951" i="4"/>
  <c r="D1951" i="4"/>
  <c r="C1951" i="4"/>
  <c r="B1951" i="4"/>
  <c r="A1951" i="4"/>
  <c r="M1950" i="4"/>
  <c r="L1950" i="4"/>
  <c r="K1950" i="4"/>
  <c r="J1950" i="4"/>
  <c r="I1950" i="4"/>
  <c r="H1950" i="4"/>
  <c r="G1950" i="4"/>
  <c r="F1950" i="4"/>
  <c r="E1950" i="4"/>
  <c r="D1950" i="4"/>
  <c r="C1950" i="4"/>
  <c r="B1950" i="4"/>
  <c r="A1950" i="4"/>
  <c r="M1949" i="4"/>
  <c r="L1949" i="4"/>
  <c r="K1949" i="4"/>
  <c r="J1949" i="4"/>
  <c r="I1949" i="4"/>
  <c r="H1949" i="4"/>
  <c r="G1949" i="4"/>
  <c r="F1949" i="4"/>
  <c r="E1949" i="4"/>
  <c r="D1949" i="4"/>
  <c r="C1949" i="4"/>
  <c r="B1949" i="4"/>
  <c r="A1949" i="4"/>
  <c r="M1948" i="4"/>
  <c r="L1948" i="4"/>
  <c r="K1948" i="4"/>
  <c r="J1948" i="4"/>
  <c r="I1948" i="4"/>
  <c r="H1948" i="4"/>
  <c r="G1948" i="4"/>
  <c r="F1948" i="4"/>
  <c r="E1948" i="4"/>
  <c r="D1948" i="4"/>
  <c r="C1948" i="4"/>
  <c r="B1948" i="4"/>
  <c r="A1948" i="4"/>
  <c r="M1947" i="4"/>
  <c r="L1947" i="4"/>
  <c r="K1947" i="4"/>
  <c r="J1947" i="4"/>
  <c r="I1947" i="4"/>
  <c r="H1947" i="4"/>
  <c r="G1947" i="4"/>
  <c r="F1947" i="4"/>
  <c r="E1947" i="4"/>
  <c r="D1947" i="4"/>
  <c r="C1947" i="4"/>
  <c r="B1947" i="4"/>
  <c r="A1947" i="4"/>
  <c r="M1946" i="4"/>
  <c r="L1946" i="4"/>
  <c r="K1946" i="4"/>
  <c r="J1946" i="4"/>
  <c r="I1946" i="4"/>
  <c r="H1946" i="4"/>
  <c r="G1946" i="4"/>
  <c r="F1946" i="4"/>
  <c r="E1946" i="4"/>
  <c r="D1946" i="4"/>
  <c r="C1946" i="4"/>
  <c r="B1946" i="4"/>
  <c r="A1946" i="4"/>
  <c r="M1945" i="4"/>
  <c r="L1945" i="4"/>
  <c r="K1945" i="4"/>
  <c r="J1945" i="4"/>
  <c r="I1945" i="4"/>
  <c r="H1945" i="4"/>
  <c r="G1945" i="4"/>
  <c r="F1945" i="4"/>
  <c r="E1945" i="4"/>
  <c r="D1945" i="4"/>
  <c r="C1945" i="4"/>
  <c r="B1945" i="4"/>
  <c r="A1945" i="4"/>
  <c r="M1944" i="4"/>
  <c r="L1944" i="4"/>
  <c r="K1944" i="4"/>
  <c r="J1944" i="4"/>
  <c r="I1944" i="4"/>
  <c r="H1944" i="4"/>
  <c r="G1944" i="4"/>
  <c r="F1944" i="4"/>
  <c r="E1944" i="4"/>
  <c r="D1944" i="4"/>
  <c r="C1944" i="4"/>
  <c r="B1944" i="4"/>
  <c r="A1944" i="4"/>
  <c r="M1943" i="4"/>
  <c r="L1943" i="4"/>
  <c r="K1943" i="4"/>
  <c r="J1943" i="4"/>
  <c r="I1943" i="4"/>
  <c r="H1943" i="4"/>
  <c r="G1943" i="4"/>
  <c r="F1943" i="4"/>
  <c r="E1943" i="4"/>
  <c r="D1943" i="4"/>
  <c r="C1943" i="4"/>
  <c r="B1943" i="4"/>
  <c r="A1943" i="4"/>
  <c r="M1942" i="4"/>
  <c r="L1942" i="4"/>
  <c r="K1942" i="4"/>
  <c r="J1942" i="4"/>
  <c r="I1942" i="4"/>
  <c r="H1942" i="4"/>
  <c r="G1942" i="4"/>
  <c r="F1942" i="4"/>
  <c r="E1942" i="4"/>
  <c r="D1942" i="4"/>
  <c r="C1942" i="4"/>
  <c r="B1942" i="4"/>
  <c r="A1942" i="4"/>
  <c r="M1941" i="4"/>
  <c r="L1941" i="4"/>
  <c r="K1941" i="4"/>
  <c r="J1941" i="4"/>
  <c r="I1941" i="4"/>
  <c r="H1941" i="4"/>
  <c r="G1941" i="4"/>
  <c r="F1941" i="4"/>
  <c r="E1941" i="4"/>
  <c r="D1941" i="4"/>
  <c r="C1941" i="4"/>
  <c r="B1941" i="4"/>
  <c r="A1941" i="4"/>
  <c r="M1940" i="4"/>
  <c r="L1940" i="4"/>
  <c r="K1940" i="4"/>
  <c r="J1940" i="4"/>
  <c r="I1940" i="4"/>
  <c r="H1940" i="4"/>
  <c r="G1940" i="4"/>
  <c r="F1940" i="4"/>
  <c r="E1940" i="4"/>
  <c r="D1940" i="4"/>
  <c r="C1940" i="4"/>
  <c r="B1940" i="4"/>
  <c r="A1940" i="4"/>
  <c r="M1939" i="4"/>
  <c r="L1939" i="4"/>
  <c r="K1939" i="4"/>
  <c r="J1939" i="4"/>
  <c r="I1939" i="4"/>
  <c r="H1939" i="4"/>
  <c r="G1939" i="4"/>
  <c r="F1939" i="4"/>
  <c r="E1939" i="4"/>
  <c r="D1939" i="4"/>
  <c r="C1939" i="4"/>
  <c r="B1939" i="4"/>
  <c r="A1939" i="4"/>
  <c r="M1938" i="4"/>
  <c r="L1938" i="4"/>
  <c r="K1938" i="4"/>
  <c r="J1938" i="4"/>
  <c r="I1938" i="4"/>
  <c r="H1938" i="4"/>
  <c r="G1938" i="4"/>
  <c r="F1938" i="4"/>
  <c r="E1938" i="4"/>
  <c r="D1938" i="4"/>
  <c r="C1938" i="4"/>
  <c r="B1938" i="4"/>
  <c r="A1938" i="4"/>
  <c r="M1937" i="4"/>
  <c r="L1937" i="4"/>
  <c r="K1937" i="4"/>
  <c r="J1937" i="4"/>
  <c r="I1937" i="4"/>
  <c r="H1937" i="4"/>
  <c r="G1937" i="4"/>
  <c r="F1937" i="4"/>
  <c r="E1937" i="4"/>
  <c r="D1937" i="4"/>
  <c r="C1937" i="4"/>
  <c r="B1937" i="4"/>
  <c r="A1937" i="4"/>
  <c r="M1936" i="4"/>
  <c r="L1936" i="4"/>
  <c r="K1936" i="4"/>
  <c r="J1936" i="4"/>
  <c r="I1936" i="4"/>
  <c r="H1936" i="4"/>
  <c r="G1936" i="4"/>
  <c r="F1936" i="4"/>
  <c r="E1936" i="4"/>
  <c r="D1936" i="4"/>
  <c r="C1936" i="4"/>
  <c r="B1936" i="4"/>
  <c r="A1936" i="4"/>
  <c r="M1935" i="4"/>
  <c r="L1935" i="4"/>
  <c r="K1935" i="4"/>
  <c r="J1935" i="4"/>
  <c r="I1935" i="4"/>
  <c r="H1935" i="4"/>
  <c r="G1935" i="4"/>
  <c r="F1935" i="4"/>
  <c r="E1935" i="4"/>
  <c r="D1935" i="4"/>
  <c r="C1935" i="4"/>
  <c r="B1935" i="4"/>
  <c r="A1935" i="4"/>
  <c r="M1934" i="4"/>
  <c r="L1934" i="4"/>
  <c r="K1934" i="4"/>
  <c r="J1934" i="4"/>
  <c r="I1934" i="4"/>
  <c r="H1934" i="4"/>
  <c r="G1934" i="4"/>
  <c r="F1934" i="4"/>
  <c r="E1934" i="4"/>
  <c r="D1934" i="4"/>
  <c r="C1934" i="4"/>
  <c r="B1934" i="4"/>
  <c r="A1934" i="4"/>
  <c r="M1933" i="4"/>
  <c r="L1933" i="4"/>
  <c r="K1933" i="4"/>
  <c r="J1933" i="4"/>
  <c r="I1933" i="4"/>
  <c r="H1933" i="4"/>
  <c r="G1933" i="4"/>
  <c r="F1933" i="4"/>
  <c r="E1933" i="4"/>
  <c r="D1933" i="4"/>
  <c r="C1933" i="4"/>
  <c r="B1933" i="4"/>
  <c r="A1933" i="4"/>
  <c r="M1932" i="4"/>
  <c r="L1932" i="4"/>
  <c r="K1932" i="4"/>
  <c r="J1932" i="4"/>
  <c r="I1932" i="4"/>
  <c r="H1932" i="4"/>
  <c r="G1932" i="4"/>
  <c r="F1932" i="4"/>
  <c r="E1932" i="4"/>
  <c r="D1932" i="4"/>
  <c r="C1932" i="4"/>
  <c r="B1932" i="4"/>
  <c r="A1932" i="4"/>
  <c r="M1931" i="4"/>
  <c r="L1931" i="4"/>
  <c r="K1931" i="4"/>
  <c r="J1931" i="4"/>
  <c r="I1931" i="4"/>
  <c r="H1931" i="4"/>
  <c r="G1931" i="4"/>
  <c r="F1931" i="4"/>
  <c r="E1931" i="4"/>
  <c r="D1931" i="4"/>
  <c r="C1931" i="4"/>
  <c r="B1931" i="4"/>
  <c r="A1931" i="4"/>
  <c r="M1930" i="4"/>
  <c r="L1930" i="4"/>
  <c r="K1930" i="4"/>
  <c r="J1930" i="4"/>
  <c r="I1930" i="4"/>
  <c r="H1930" i="4"/>
  <c r="G1930" i="4"/>
  <c r="F1930" i="4"/>
  <c r="E1930" i="4"/>
  <c r="D1930" i="4"/>
  <c r="C1930" i="4"/>
  <c r="B1930" i="4"/>
  <c r="A1930" i="4"/>
  <c r="M1929" i="4"/>
  <c r="L1929" i="4"/>
  <c r="K1929" i="4"/>
  <c r="J1929" i="4"/>
  <c r="I1929" i="4"/>
  <c r="H1929" i="4"/>
  <c r="G1929" i="4"/>
  <c r="F1929" i="4"/>
  <c r="E1929" i="4"/>
  <c r="D1929" i="4"/>
  <c r="C1929" i="4"/>
  <c r="B1929" i="4"/>
  <c r="A1929" i="4"/>
  <c r="M1928" i="4"/>
  <c r="L1928" i="4"/>
  <c r="K1928" i="4"/>
  <c r="J1928" i="4"/>
  <c r="I1928" i="4"/>
  <c r="H1928" i="4"/>
  <c r="G1928" i="4"/>
  <c r="F1928" i="4"/>
  <c r="E1928" i="4"/>
  <c r="D1928" i="4"/>
  <c r="C1928" i="4"/>
  <c r="B1928" i="4"/>
  <c r="A1928" i="4"/>
  <c r="M1927" i="4"/>
  <c r="L1927" i="4"/>
  <c r="K1927" i="4"/>
  <c r="J1927" i="4"/>
  <c r="I1927" i="4"/>
  <c r="H1927" i="4"/>
  <c r="G1927" i="4"/>
  <c r="F1927" i="4"/>
  <c r="E1927" i="4"/>
  <c r="D1927" i="4"/>
  <c r="C1927" i="4"/>
  <c r="B1927" i="4"/>
  <c r="A1927" i="4"/>
  <c r="M1926" i="4"/>
  <c r="L1926" i="4"/>
  <c r="K1926" i="4"/>
  <c r="J1926" i="4"/>
  <c r="I1926" i="4"/>
  <c r="H1926" i="4"/>
  <c r="G1926" i="4"/>
  <c r="F1926" i="4"/>
  <c r="E1926" i="4"/>
  <c r="D1926" i="4"/>
  <c r="C1926" i="4"/>
  <c r="B1926" i="4"/>
  <c r="A1926" i="4"/>
  <c r="M1925" i="4"/>
  <c r="L1925" i="4"/>
  <c r="K1925" i="4"/>
  <c r="J1925" i="4"/>
  <c r="I1925" i="4"/>
  <c r="H1925" i="4"/>
  <c r="G1925" i="4"/>
  <c r="F1925" i="4"/>
  <c r="E1925" i="4"/>
  <c r="D1925" i="4"/>
  <c r="C1925" i="4"/>
  <c r="B1925" i="4"/>
  <c r="A1925" i="4"/>
  <c r="M1924" i="4"/>
  <c r="L1924" i="4"/>
  <c r="K1924" i="4"/>
  <c r="J1924" i="4"/>
  <c r="I1924" i="4"/>
  <c r="H1924" i="4"/>
  <c r="G1924" i="4"/>
  <c r="F1924" i="4"/>
  <c r="E1924" i="4"/>
  <c r="D1924" i="4"/>
  <c r="C1924" i="4"/>
  <c r="B1924" i="4"/>
  <c r="A1924" i="4"/>
  <c r="M1923" i="4"/>
  <c r="L1923" i="4"/>
  <c r="K1923" i="4"/>
  <c r="J1923" i="4"/>
  <c r="I1923" i="4"/>
  <c r="H1923" i="4"/>
  <c r="G1923" i="4"/>
  <c r="F1923" i="4"/>
  <c r="E1923" i="4"/>
  <c r="D1923" i="4"/>
  <c r="C1923" i="4"/>
  <c r="B1923" i="4"/>
  <c r="A1923" i="4"/>
  <c r="M1922" i="4"/>
  <c r="L1922" i="4"/>
  <c r="K1922" i="4"/>
  <c r="J1922" i="4"/>
  <c r="I1922" i="4"/>
  <c r="H1922" i="4"/>
  <c r="G1922" i="4"/>
  <c r="F1922" i="4"/>
  <c r="E1922" i="4"/>
  <c r="D1922" i="4"/>
  <c r="C1922" i="4"/>
  <c r="B1922" i="4"/>
  <c r="A1922" i="4"/>
  <c r="M1921" i="4"/>
  <c r="L1921" i="4"/>
  <c r="K1921" i="4"/>
  <c r="J1921" i="4"/>
  <c r="I1921" i="4"/>
  <c r="H1921" i="4"/>
  <c r="G1921" i="4"/>
  <c r="F1921" i="4"/>
  <c r="D1921" i="4"/>
  <c r="C1921" i="4"/>
  <c r="B1921" i="4"/>
  <c r="A1921" i="4"/>
  <c r="M1920" i="4"/>
  <c r="L1920" i="4"/>
  <c r="K1920" i="4"/>
  <c r="J1920" i="4"/>
  <c r="I1920" i="4"/>
  <c r="H1920" i="4"/>
  <c r="G1920" i="4"/>
  <c r="F1920" i="4"/>
  <c r="E1920" i="4"/>
  <c r="D1920" i="4"/>
  <c r="C1920" i="4"/>
  <c r="B1920" i="4"/>
  <c r="A1920" i="4"/>
  <c r="M1919" i="4"/>
  <c r="L1919" i="4"/>
  <c r="K1919" i="4"/>
  <c r="J1919" i="4"/>
  <c r="I1919" i="4"/>
  <c r="H1919" i="4"/>
  <c r="G1919" i="4"/>
  <c r="F1919" i="4"/>
  <c r="E1919" i="4"/>
  <c r="D1919" i="4"/>
  <c r="C1919" i="4"/>
  <c r="B1919" i="4"/>
  <c r="A1919" i="4"/>
  <c r="M1918" i="4"/>
  <c r="L1918" i="4"/>
  <c r="K1918" i="4"/>
  <c r="J1918" i="4"/>
  <c r="I1918" i="4"/>
  <c r="H1918" i="4"/>
  <c r="G1918" i="4"/>
  <c r="F1918" i="4"/>
  <c r="E1918" i="4"/>
  <c r="D1918" i="4"/>
  <c r="C1918" i="4"/>
  <c r="B1918" i="4"/>
  <c r="A1918" i="4"/>
  <c r="M1917" i="4"/>
  <c r="L1917" i="4"/>
  <c r="K1917" i="4"/>
  <c r="J1917" i="4"/>
  <c r="I1917" i="4"/>
  <c r="H1917" i="4"/>
  <c r="G1917" i="4"/>
  <c r="F1917" i="4"/>
  <c r="E1917" i="4"/>
  <c r="D1917" i="4"/>
  <c r="C1917" i="4"/>
  <c r="B1917" i="4"/>
  <c r="A1917" i="4"/>
  <c r="M1916" i="4"/>
  <c r="L1916" i="4"/>
  <c r="K1916" i="4"/>
  <c r="J1916" i="4"/>
  <c r="I1916" i="4"/>
  <c r="H1916" i="4"/>
  <c r="G1916" i="4"/>
  <c r="F1916" i="4"/>
  <c r="E1916" i="4"/>
  <c r="D1916" i="4"/>
  <c r="C1916" i="4"/>
  <c r="B1916" i="4"/>
  <c r="A1916" i="4"/>
  <c r="M1915" i="4"/>
  <c r="L1915" i="4"/>
  <c r="K1915" i="4"/>
  <c r="J1915" i="4"/>
  <c r="I1915" i="4"/>
  <c r="H1915" i="4"/>
  <c r="G1915" i="4"/>
  <c r="F1915" i="4"/>
  <c r="E1915" i="4"/>
  <c r="D1915" i="4"/>
  <c r="C1915" i="4"/>
  <c r="B1915" i="4"/>
  <c r="A1915" i="4"/>
  <c r="M1914" i="4"/>
  <c r="L1914" i="4"/>
  <c r="K1914" i="4"/>
  <c r="J1914" i="4"/>
  <c r="I1914" i="4"/>
  <c r="H1914" i="4"/>
  <c r="G1914" i="4"/>
  <c r="F1914" i="4"/>
  <c r="E1914" i="4"/>
  <c r="D1914" i="4"/>
  <c r="C1914" i="4"/>
  <c r="B1914" i="4"/>
  <c r="A1914" i="4"/>
  <c r="M1913" i="4"/>
  <c r="L1913" i="4"/>
  <c r="K1913" i="4"/>
  <c r="J1913" i="4"/>
  <c r="I1913" i="4"/>
  <c r="H1913" i="4"/>
  <c r="G1913" i="4"/>
  <c r="F1913" i="4"/>
  <c r="E1913" i="4"/>
  <c r="D1913" i="4"/>
  <c r="C1913" i="4"/>
  <c r="B1913" i="4"/>
  <c r="A1913" i="4"/>
  <c r="M1912" i="4"/>
  <c r="L1912" i="4"/>
  <c r="K1912" i="4"/>
  <c r="J1912" i="4"/>
  <c r="I1912" i="4"/>
  <c r="H1912" i="4"/>
  <c r="G1912" i="4"/>
  <c r="F1912" i="4"/>
  <c r="E1912" i="4"/>
  <c r="D1912" i="4"/>
  <c r="C1912" i="4"/>
  <c r="B1912" i="4"/>
  <c r="A1912" i="4"/>
  <c r="M1911" i="4"/>
  <c r="L1911" i="4"/>
  <c r="K1911" i="4"/>
  <c r="J1911" i="4"/>
  <c r="I1911" i="4"/>
  <c r="H1911" i="4"/>
  <c r="G1911" i="4"/>
  <c r="F1911" i="4"/>
  <c r="E1911" i="4"/>
  <c r="D1911" i="4"/>
  <c r="C1911" i="4"/>
  <c r="B1911" i="4"/>
  <c r="A1911" i="4"/>
  <c r="M1910" i="4"/>
  <c r="L1910" i="4"/>
  <c r="K1910" i="4"/>
  <c r="J1910" i="4"/>
  <c r="I1910" i="4"/>
  <c r="H1910" i="4"/>
  <c r="G1910" i="4"/>
  <c r="F1910" i="4"/>
  <c r="E1910" i="4"/>
  <c r="D1910" i="4"/>
  <c r="C1910" i="4"/>
  <c r="B1910" i="4"/>
  <c r="A1910" i="4"/>
  <c r="M1909" i="4"/>
  <c r="L1909" i="4"/>
  <c r="K1909" i="4"/>
  <c r="J1909" i="4"/>
  <c r="I1909" i="4"/>
  <c r="H1909" i="4"/>
  <c r="G1909" i="4"/>
  <c r="F1909" i="4"/>
  <c r="E1909" i="4"/>
  <c r="D1909" i="4"/>
  <c r="C1909" i="4"/>
  <c r="B1909" i="4"/>
  <c r="A1909" i="4"/>
  <c r="M1908" i="4"/>
  <c r="L1908" i="4"/>
  <c r="K1908" i="4"/>
  <c r="J1908" i="4"/>
  <c r="I1908" i="4"/>
  <c r="H1908" i="4"/>
  <c r="G1908" i="4"/>
  <c r="F1908" i="4"/>
  <c r="E1908" i="4"/>
  <c r="D1908" i="4"/>
  <c r="C1908" i="4"/>
  <c r="B1908" i="4"/>
  <c r="A1908" i="4"/>
  <c r="M1907" i="4"/>
  <c r="L1907" i="4"/>
  <c r="K1907" i="4"/>
  <c r="J1907" i="4"/>
  <c r="I1907" i="4"/>
  <c r="H1907" i="4"/>
  <c r="G1907" i="4"/>
  <c r="F1907" i="4"/>
  <c r="E1907" i="4"/>
  <c r="D1907" i="4"/>
  <c r="C1907" i="4"/>
  <c r="B1907" i="4"/>
  <c r="A1907" i="4"/>
  <c r="M1906" i="4"/>
  <c r="L1906" i="4"/>
  <c r="K1906" i="4"/>
  <c r="J1906" i="4"/>
  <c r="I1906" i="4"/>
  <c r="H1906" i="4"/>
  <c r="G1906" i="4"/>
  <c r="F1906" i="4"/>
  <c r="E1906" i="4"/>
  <c r="D1906" i="4"/>
  <c r="C1906" i="4"/>
  <c r="B1906" i="4"/>
  <c r="A1906" i="4"/>
  <c r="M1905" i="4"/>
  <c r="L1905" i="4"/>
  <c r="K1905" i="4"/>
  <c r="J1905" i="4"/>
  <c r="I1905" i="4"/>
  <c r="H1905" i="4"/>
  <c r="G1905" i="4"/>
  <c r="F1905" i="4"/>
  <c r="E1905" i="4"/>
  <c r="D1905" i="4"/>
  <c r="C1905" i="4"/>
  <c r="B1905" i="4"/>
  <c r="A1905" i="4"/>
  <c r="M1904" i="4"/>
  <c r="L1904" i="4"/>
  <c r="K1904" i="4"/>
  <c r="J1904" i="4"/>
  <c r="I1904" i="4"/>
  <c r="H1904" i="4"/>
  <c r="G1904" i="4"/>
  <c r="F1904" i="4"/>
  <c r="E1904" i="4"/>
  <c r="D1904" i="4"/>
  <c r="C1904" i="4"/>
  <c r="B1904" i="4"/>
  <c r="A1904" i="4"/>
  <c r="M1903" i="4"/>
  <c r="L1903" i="4"/>
  <c r="K1903" i="4"/>
  <c r="J1903" i="4"/>
  <c r="I1903" i="4"/>
  <c r="H1903" i="4"/>
  <c r="G1903" i="4"/>
  <c r="F1903" i="4"/>
  <c r="E1903" i="4"/>
  <c r="D1903" i="4"/>
  <c r="C1903" i="4"/>
  <c r="B1903" i="4"/>
  <c r="A1903" i="4"/>
  <c r="M1902" i="4"/>
  <c r="L1902" i="4"/>
  <c r="K1902" i="4"/>
  <c r="J1902" i="4"/>
  <c r="I1902" i="4"/>
  <c r="H1902" i="4"/>
  <c r="G1902" i="4"/>
  <c r="F1902" i="4"/>
  <c r="E1902" i="4"/>
  <c r="D1902" i="4"/>
  <c r="C1902" i="4"/>
  <c r="B1902" i="4"/>
  <c r="A1902" i="4"/>
  <c r="M1901" i="4"/>
  <c r="L1901" i="4"/>
  <c r="K1901" i="4"/>
  <c r="J1901" i="4"/>
  <c r="I1901" i="4"/>
  <c r="H1901" i="4"/>
  <c r="G1901" i="4"/>
  <c r="F1901" i="4"/>
  <c r="E1901" i="4"/>
  <c r="D1901" i="4"/>
  <c r="C1901" i="4"/>
  <c r="B1901" i="4"/>
  <c r="A1901" i="4"/>
  <c r="M1900" i="4"/>
  <c r="L1900" i="4"/>
  <c r="K1900" i="4"/>
  <c r="J1900" i="4"/>
  <c r="I1900" i="4"/>
  <c r="H1900" i="4"/>
  <c r="G1900" i="4"/>
  <c r="F1900" i="4"/>
  <c r="E1900" i="4"/>
  <c r="D1900" i="4"/>
  <c r="C1900" i="4"/>
  <c r="B1900" i="4"/>
  <c r="A1900" i="4"/>
  <c r="M1899" i="4"/>
  <c r="L1899" i="4"/>
  <c r="K1899" i="4"/>
  <c r="J1899" i="4"/>
  <c r="I1899" i="4"/>
  <c r="H1899" i="4"/>
  <c r="G1899" i="4"/>
  <c r="F1899" i="4"/>
  <c r="E1899" i="4"/>
  <c r="D1899" i="4"/>
  <c r="C1899" i="4"/>
  <c r="B1899" i="4"/>
  <c r="A1899" i="4"/>
  <c r="M1898" i="4"/>
  <c r="L1898" i="4"/>
  <c r="K1898" i="4"/>
  <c r="J1898" i="4"/>
  <c r="I1898" i="4"/>
  <c r="H1898" i="4"/>
  <c r="G1898" i="4"/>
  <c r="F1898" i="4"/>
  <c r="D1898" i="4"/>
  <c r="C1898" i="4"/>
  <c r="B1898" i="4"/>
  <c r="A1898" i="4"/>
  <c r="M1897" i="4"/>
  <c r="L1897" i="4"/>
  <c r="K1897" i="4"/>
  <c r="J1897" i="4"/>
  <c r="I1897" i="4"/>
  <c r="H1897" i="4"/>
  <c r="G1897" i="4"/>
  <c r="F1897" i="4"/>
  <c r="E1897" i="4"/>
  <c r="D1897" i="4"/>
  <c r="C1897" i="4"/>
  <c r="B1897" i="4"/>
  <c r="A1897" i="4"/>
  <c r="M1896" i="4"/>
  <c r="L1896" i="4"/>
  <c r="K1896" i="4"/>
  <c r="J1896" i="4"/>
  <c r="I1896" i="4"/>
  <c r="H1896" i="4"/>
  <c r="G1896" i="4"/>
  <c r="F1896" i="4"/>
  <c r="E1896" i="4"/>
  <c r="D1896" i="4"/>
  <c r="C1896" i="4"/>
  <c r="B1896" i="4"/>
  <c r="A1896" i="4"/>
  <c r="M1895" i="4"/>
  <c r="L1895" i="4"/>
  <c r="K1895" i="4"/>
  <c r="J1895" i="4"/>
  <c r="I1895" i="4"/>
  <c r="H1895" i="4"/>
  <c r="G1895" i="4"/>
  <c r="F1895" i="4"/>
  <c r="E1895" i="4"/>
  <c r="D1895" i="4"/>
  <c r="C1895" i="4"/>
  <c r="B1895" i="4"/>
  <c r="A1895" i="4"/>
  <c r="M1894" i="4"/>
  <c r="L1894" i="4"/>
  <c r="K1894" i="4"/>
  <c r="J1894" i="4"/>
  <c r="I1894" i="4"/>
  <c r="H1894" i="4"/>
  <c r="G1894" i="4"/>
  <c r="F1894" i="4"/>
  <c r="E1894" i="4"/>
  <c r="D1894" i="4"/>
  <c r="C1894" i="4"/>
  <c r="B1894" i="4"/>
  <c r="A1894" i="4"/>
  <c r="M1893" i="4"/>
  <c r="L1893" i="4"/>
  <c r="K1893" i="4"/>
  <c r="J1893" i="4"/>
  <c r="I1893" i="4"/>
  <c r="H1893" i="4"/>
  <c r="G1893" i="4"/>
  <c r="F1893" i="4"/>
  <c r="E1893" i="4"/>
  <c r="D1893" i="4"/>
  <c r="C1893" i="4"/>
  <c r="B1893" i="4"/>
  <c r="A1893" i="4"/>
  <c r="M1892" i="4"/>
  <c r="L1892" i="4"/>
  <c r="K1892" i="4"/>
  <c r="J1892" i="4"/>
  <c r="I1892" i="4"/>
  <c r="H1892" i="4"/>
  <c r="G1892" i="4"/>
  <c r="F1892" i="4"/>
  <c r="E1892" i="4"/>
  <c r="D1892" i="4"/>
  <c r="C1892" i="4"/>
  <c r="B1892" i="4"/>
  <c r="A1892" i="4"/>
  <c r="M1891" i="4"/>
  <c r="L1891" i="4"/>
  <c r="K1891" i="4"/>
  <c r="J1891" i="4"/>
  <c r="I1891" i="4"/>
  <c r="H1891" i="4"/>
  <c r="G1891" i="4"/>
  <c r="F1891" i="4"/>
  <c r="E1891" i="4"/>
  <c r="D1891" i="4"/>
  <c r="C1891" i="4"/>
  <c r="B1891" i="4"/>
  <c r="A1891" i="4"/>
  <c r="M1890" i="4"/>
  <c r="L1890" i="4"/>
  <c r="K1890" i="4"/>
  <c r="J1890" i="4"/>
  <c r="I1890" i="4"/>
  <c r="H1890" i="4"/>
  <c r="G1890" i="4"/>
  <c r="F1890" i="4"/>
  <c r="E1890" i="4"/>
  <c r="D1890" i="4"/>
  <c r="C1890" i="4"/>
  <c r="B1890" i="4"/>
  <c r="A1890" i="4"/>
  <c r="M1889" i="4"/>
  <c r="L1889" i="4"/>
  <c r="K1889" i="4"/>
  <c r="J1889" i="4"/>
  <c r="I1889" i="4"/>
  <c r="H1889" i="4"/>
  <c r="G1889" i="4"/>
  <c r="F1889" i="4"/>
  <c r="E1889" i="4"/>
  <c r="D1889" i="4"/>
  <c r="C1889" i="4"/>
  <c r="B1889" i="4"/>
  <c r="A1889" i="4"/>
  <c r="M1888" i="4"/>
  <c r="L1888" i="4"/>
  <c r="K1888" i="4"/>
  <c r="J1888" i="4"/>
  <c r="I1888" i="4"/>
  <c r="H1888" i="4"/>
  <c r="G1888" i="4"/>
  <c r="F1888" i="4"/>
  <c r="E1888" i="4"/>
  <c r="D1888" i="4"/>
  <c r="C1888" i="4"/>
  <c r="B1888" i="4"/>
  <c r="A1888" i="4"/>
  <c r="M1887" i="4"/>
  <c r="L1887" i="4"/>
  <c r="K1887" i="4"/>
  <c r="J1887" i="4"/>
  <c r="I1887" i="4"/>
  <c r="H1887" i="4"/>
  <c r="G1887" i="4"/>
  <c r="F1887" i="4"/>
  <c r="E1887" i="4"/>
  <c r="D1887" i="4"/>
  <c r="C1887" i="4"/>
  <c r="B1887" i="4"/>
  <c r="A1887" i="4"/>
  <c r="M1886" i="4"/>
  <c r="L1886" i="4"/>
  <c r="K1886" i="4"/>
  <c r="J1886" i="4"/>
  <c r="I1886" i="4"/>
  <c r="H1886" i="4"/>
  <c r="G1886" i="4"/>
  <c r="F1886" i="4"/>
  <c r="E1886" i="4"/>
  <c r="D1886" i="4"/>
  <c r="C1886" i="4"/>
  <c r="B1886" i="4"/>
  <c r="A1886" i="4"/>
  <c r="M1885" i="4"/>
  <c r="L1885" i="4"/>
  <c r="K1885" i="4"/>
  <c r="J1885" i="4"/>
  <c r="I1885" i="4"/>
  <c r="H1885" i="4"/>
  <c r="G1885" i="4"/>
  <c r="F1885" i="4"/>
  <c r="E1885" i="4"/>
  <c r="D1885" i="4"/>
  <c r="C1885" i="4"/>
  <c r="B1885" i="4"/>
  <c r="A1885" i="4"/>
  <c r="M1884" i="4"/>
  <c r="L1884" i="4"/>
  <c r="K1884" i="4"/>
  <c r="J1884" i="4"/>
  <c r="I1884" i="4"/>
  <c r="H1884" i="4"/>
  <c r="G1884" i="4"/>
  <c r="F1884" i="4"/>
  <c r="E1884" i="4"/>
  <c r="D1884" i="4"/>
  <c r="C1884" i="4"/>
  <c r="B1884" i="4"/>
  <c r="A1884" i="4"/>
  <c r="M1883" i="4"/>
  <c r="L1883" i="4"/>
  <c r="K1883" i="4"/>
  <c r="J1883" i="4"/>
  <c r="I1883" i="4"/>
  <c r="H1883" i="4"/>
  <c r="G1883" i="4"/>
  <c r="F1883" i="4"/>
  <c r="E1883" i="4"/>
  <c r="D1883" i="4"/>
  <c r="C1883" i="4"/>
  <c r="B1883" i="4"/>
  <c r="A1883" i="4"/>
  <c r="M1882" i="4"/>
  <c r="L1882" i="4"/>
  <c r="K1882" i="4"/>
  <c r="J1882" i="4"/>
  <c r="I1882" i="4"/>
  <c r="H1882" i="4"/>
  <c r="G1882" i="4"/>
  <c r="F1882" i="4"/>
  <c r="E1882" i="4"/>
  <c r="D1882" i="4"/>
  <c r="C1882" i="4"/>
  <c r="B1882" i="4"/>
  <c r="A1882" i="4"/>
  <c r="M1881" i="4"/>
  <c r="L1881" i="4"/>
  <c r="K1881" i="4"/>
  <c r="J1881" i="4"/>
  <c r="I1881" i="4"/>
  <c r="H1881" i="4"/>
  <c r="G1881" i="4"/>
  <c r="F1881" i="4"/>
  <c r="E1881" i="4"/>
  <c r="D1881" i="4"/>
  <c r="C1881" i="4"/>
  <c r="B1881" i="4"/>
  <c r="A1881" i="4"/>
  <c r="M1880" i="4"/>
  <c r="L1880" i="4"/>
  <c r="K1880" i="4"/>
  <c r="J1880" i="4"/>
  <c r="I1880" i="4"/>
  <c r="H1880" i="4"/>
  <c r="G1880" i="4"/>
  <c r="F1880" i="4"/>
  <c r="E1880" i="4"/>
  <c r="D1880" i="4"/>
  <c r="C1880" i="4"/>
  <c r="B1880" i="4"/>
  <c r="A1880" i="4"/>
  <c r="M1879" i="4"/>
  <c r="L1879" i="4"/>
  <c r="K1879" i="4"/>
  <c r="J1879" i="4"/>
  <c r="I1879" i="4"/>
  <c r="H1879" i="4"/>
  <c r="G1879" i="4"/>
  <c r="F1879" i="4"/>
  <c r="E1879" i="4"/>
  <c r="D1879" i="4"/>
  <c r="C1879" i="4"/>
  <c r="B1879" i="4"/>
  <c r="A1879" i="4"/>
  <c r="M1878" i="4"/>
  <c r="L1878" i="4"/>
  <c r="K1878" i="4"/>
  <c r="J1878" i="4"/>
  <c r="I1878" i="4"/>
  <c r="H1878" i="4"/>
  <c r="G1878" i="4"/>
  <c r="F1878" i="4"/>
  <c r="E1878" i="4"/>
  <c r="D1878" i="4"/>
  <c r="C1878" i="4"/>
  <c r="B1878" i="4"/>
  <c r="A1878" i="4"/>
  <c r="M1877" i="4"/>
  <c r="L1877" i="4"/>
  <c r="K1877" i="4"/>
  <c r="J1877" i="4"/>
  <c r="I1877" i="4"/>
  <c r="H1877" i="4"/>
  <c r="G1877" i="4"/>
  <c r="F1877" i="4"/>
  <c r="E1877" i="4"/>
  <c r="D1877" i="4"/>
  <c r="C1877" i="4"/>
  <c r="B1877" i="4"/>
  <c r="A1877" i="4"/>
  <c r="M1876" i="4"/>
  <c r="L1876" i="4"/>
  <c r="K1876" i="4"/>
  <c r="J1876" i="4"/>
  <c r="I1876" i="4"/>
  <c r="H1876" i="4"/>
  <c r="G1876" i="4"/>
  <c r="F1876" i="4"/>
  <c r="E1876" i="4"/>
  <c r="D1876" i="4"/>
  <c r="C1876" i="4"/>
  <c r="B1876" i="4"/>
  <c r="A1876" i="4"/>
  <c r="M1875" i="4"/>
  <c r="L1875" i="4"/>
  <c r="K1875" i="4"/>
  <c r="J1875" i="4"/>
  <c r="I1875" i="4"/>
  <c r="H1875" i="4"/>
  <c r="G1875" i="4"/>
  <c r="F1875" i="4"/>
  <c r="E1875" i="4"/>
  <c r="D1875" i="4"/>
  <c r="C1875" i="4"/>
  <c r="B1875" i="4"/>
  <c r="A1875" i="4"/>
  <c r="M1874" i="4"/>
  <c r="L1874" i="4"/>
  <c r="K1874" i="4"/>
  <c r="J1874" i="4"/>
  <c r="I1874" i="4"/>
  <c r="H1874" i="4"/>
  <c r="G1874" i="4"/>
  <c r="F1874" i="4"/>
  <c r="E1874" i="4"/>
  <c r="D1874" i="4"/>
  <c r="C1874" i="4"/>
  <c r="B1874" i="4"/>
  <c r="A1874" i="4"/>
  <c r="M1873" i="4"/>
  <c r="L1873" i="4"/>
  <c r="K1873" i="4"/>
  <c r="J1873" i="4"/>
  <c r="I1873" i="4"/>
  <c r="H1873" i="4"/>
  <c r="G1873" i="4"/>
  <c r="F1873" i="4"/>
  <c r="E1873" i="4"/>
  <c r="D1873" i="4"/>
  <c r="C1873" i="4"/>
  <c r="B1873" i="4"/>
  <c r="A1873" i="4"/>
  <c r="M1872" i="4"/>
  <c r="L1872" i="4"/>
  <c r="K1872" i="4"/>
  <c r="J1872" i="4"/>
  <c r="I1872" i="4"/>
  <c r="H1872" i="4"/>
  <c r="G1872" i="4"/>
  <c r="F1872" i="4"/>
  <c r="E1872" i="4"/>
  <c r="D1872" i="4"/>
  <c r="C1872" i="4"/>
  <c r="B1872" i="4"/>
  <c r="A1872" i="4"/>
  <c r="M1871" i="4"/>
  <c r="L1871" i="4"/>
  <c r="K1871" i="4"/>
  <c r="J1871" i="4"/>
  <c r="I1871" i="4"/>
  <c r="H1871" i="4"/>
  <c r="G1871" i="4"/>
  <c r="F1871" i="4"/>
  <c r="E1871" i="4"/>
  <c r="D1871" i="4"/>
  <c r="C1871" i="4"/>
  <c r="B1871" i="4"/>
  <c r="A1871" i="4"/>
  <c r="M1870" i="4"/>
  <c r="L1870" i="4"/>
  <c r="K1870" i="4"/>
  <c r="J1870" i="4"/>
  <c r="I1870" i="4"/>
  <c r="H1870" i="4"/>
  <c r="G1870" i="4"/>
  <c r="F1870" i="4"/>
  <c r="E1870" i="4"/>
  <c r="D1870" i="4"/>
  <c r="C1870" i="4"/>
  <c r="B1870" i="4"/>
  <c r="A1870" i="4"/>
  <c r="M1869" i="4"/>
  <c r="L1869" i="4"/>
  <c r="K1869" i="4"/>
  <c r="J1869" i="4"/>
  <c r="I1869" i="4"/>
  <c r="H1869" i="4"/>
  <c r="G1869" i="4"/>
  <c r="F1869" i="4"/>
  <c r="E1869" i="4"/>
  <c r="D1869" i="4"/>
  <c r="C1869" i="4"/>
  <c r="B1869" i="4"/>
  <c r="A1869" i="4"/>
  <c r="M1868" i="4"/>
  <c r="L1868" i="4"/>
  <c r="K1868" i="4"/>
  <c r="J1868" i="4"/>
  <c r="I1868" i="4"/>
  <c r="H1868" i="4"/>
  <c r="G1868" i="4"/>
  <c r="F1868" i="4"/>
  <c r="E1868" i="4"/>
  <c r="D1868" i="4"/>
  <c r="C1868" i="4"/>
  <c r="B1868" i="4"/>
  <c r="A1868" i="4"/>
  <c r="M1867" i="4"/>
  <c r="L1867" i="4"/>
  <c r="K1867" i="4"/>
  <c r="J1867" i="4"/>
  <c r="I1867" i="4"/>
  <c r="H1867" i="4"/>
  <c r="G1867" i="4"/>
  <c r="F1867" i="4"/>
  <c r="E1867" i="4"/>
  <c r="D1867" i="4"/>
  <c r="C1867" i="4"/>
  <c r="B1867" i="4"/>
  <c r="A1867" i="4"/>
  <c r="M1866" i="4"/>
  <c r="L1866" i="4"/>
  <c r="K1866" i="4"/>
  <c r="J1866" i="4"/>
  <c r="I1866" i="4"/>
  <c r="H1866" i="4"/>
  <c r="G1866" i="4"/>
  <c r="F1866" i="4"/>
  <c r="E1866" i="4"/>
  <c r="D1866" i="4"/>
  <c r="C1866" i="4"/>
  <c r="B1866" i="4"/>
  <c r="A1866" i="4"/>
  <c r="M1865" i="4"/>
  <c r="L1865" i="4"/>
  <c r="K1865" i="4"/>
  <c r="J1865" i="4"/>
  <c r="I1865" i="4"/>
  <c r="H1865" i="4"/>
  <c r="G1865" i="4"/>
  <c r="F1865" i="4"/>
  <c r="E1865" i="4"/>
  <c r="D1865" i="4"/>
  <c r="C1865" i="4"/>
  <c r="B1865" i="4"/>
  <c r="A1865" i="4"/>
  <c r="M1864" i="4"/>
  <c r="L1864" i="4"/>
  <c r="K1864" i="4"/>
  <c r="J1864" i="4"/>
  <c r="I1864" i="4"/>
  <c r="H1864" i="4"/>
  <c r="G1864" i="4"/>
  <c r="F1864" i="4"/>
  <c r="E1864" i="4"/>
  <c r="D1864" i="4"/>
  <c r="C1864" i="4"/>
  <c r="B1864" i="4"/>
  <c r="A1864" i="4"/>
  <c r="M1863" i="4"/>
  <c r="L1863" i="4"/>
  <c r="K1863" i="4"/>
  <c r="J1863" i="4"/>
  <c r="I1863" i="4"/>
  <c r="H1863" i="4"/>
  <c r="G1863" i="4"/>
  <c r="F1863" i="4"/>
  <c r="E1863" i="4"/>
  <c r="D1863" i="4"/>
  <c r="C1863" i="4"/>
  <c r="B1863" i="4"/>
  <c r="A1863" i="4"/>
  <c r="M1862" i="4"/>
  <c r="L1862" i="4"/>
  <c r="K1862" i="4"/>
  <c r="J1862" i="4"/>
  <c r="I1862" i="4"/>
  <c r="H1862" i="4"/>
  <c r="G1862" i="4"/>
  <c r="F1862" i="4"/>
  <c r="E1862" i="4"/>
  <c r="D1862" i="4"/>
  <c r="C1862" i="4"/>
  <c r="B1862" i="4"/>
  <c r="A1862" i="4"/>
  <c r="M1861" i="4"/>
  <c r="L1861" i="4"/>
  <c r="K1861" i="4"/>
  <c r="J1861" i="4"/>
  <c r="I1861" i="4"/>
  <c r="H1861" i="4"/>
  <c r="G1861" i="4"/>
  <c r="F1861" i="4"/>
  <c r="E1861" i="4"/>
  <c r="D1861" i="4"/>
  <c r="C1861" i="4"/>
  <c r="B1861" i="4"/>
  <c r="A1861" i="4"/>
  <c r="M1860" i="4"/>
  <c r="L1860" i="4"/>
  <c r="K1860" i="4"/>
  <c r="J1860" i="4"/>
  <c r="I1860" i="4"/>
  <c r="H1860" i="4"/>
  <c r="G1860" i="4"/>
  <c r="F1860" i="4"/>
  <c r="E1860" i="4"/>
  <c r="D1860" i="4"/>
  <c r="C1860" i="4"/>
  <c r="B1860" i="4"/>
  <c r="A1860" i="4"/>
  <c r="M1859" i="4"/>
  <c r="L1859" i="4"/>
  <c r="K1859" i="4"/>
  <c r="J1859" i="4"/>
  <c r="I1859" i="4"/>
  <c r="H1859" i="4"/>
  <c r="G1859" i="4"/>
  <c r="F1859" i="4"/>
  <c r="E1859" i="4"/>
  <c r="D1859" i="4"/>
  <c r="C1859" i="4"/>
  <c r="B1859" i="4"/>
  <c r="A1859" i="4"/>
  <c r="M1858" i="4"/>
  <c r="L1858" i="4"/>
  <c r="K1858" i="4"/>
  <c r="J1858" i="4"/>
  <c r="I1858" i="4"/>
  <c r="H1858" i="4"/>
  <c r="G1858" i="4"/>
  <c r="F1858" i="4"/>
  <c r="E1858" i="4"/>
  <c r="D1858" i="4"/>
  <c r="C1858" i="4"/>
  <c r="B1858" i="4"/>
  <c r="A1858" i="4"/>
  <c r="M1857" i="4"/>
  <c r="L1857" i="4"/>
  <c r="K1857" i="4"/>
  <c r="J1857" i="4"/>
  <c r="I1857" i="4"/>
  <c r="H1857" i="4"/>
  <c r="G1857" i="4"/>
  <c r="F1857" i="4"/>
  <c r="E1857" i="4"/>
  <c r="D1857" i="4"/>
  <c r="C1857" i="4"/>
  <c r="B1857" i="4"/>
  <c r="A1857" i="4"/>
  <c r="M1856" i="4"/>
  <c r="L1856" i="4"/>
  <c r="K1856" i="4"/>
  <c r="J1856" i="4"/>
  <c r="I1856" i="4"/>
  <c r="H1856" i="4"/>
  <c r="G1856" i="4"/>
  <c r="F1856" i="4"/>
  <c r="E1856" i="4"/>
  <c r="D1856" i="4"/>
  <c r="C1856" i="4"/>
  <c r="B1856" i="4"/>
  <c r="A1856" i="4"/>
  <c r="M1855" i="4"/>
  <c r="L1855" i="4"/>
  <c r="K1855" i="4"/>
  <c r="J1855" i="4"/>
  <c r="I1855" i="4"/>
  <c r="H1855" i="4"/>
  <c r="G1855" i="4"/>
  <c r="F1855" i="4"/>
  <c r="E1855" i="4"/>
  <c r="D1855" i="4"/>
  <c r="C1855" i="4"/>
  <c r="B1855" i="4"/>
  <c r="A1855" i="4"/>
  <c r="M1854" i="4"/>
  <c r="L1854" i="4"/>
  <c r="K1854" i="4"/>
  <c r="J1854" i="4"/>
  <c r="I1854" i="4"/>
  <c r="H1854" i="4"/>
  <c r="G1854" i="4"/>
  <c r="F1854" i="4"/>
  <c r="E1854" i="4"/>
  <c r="D1854" i="4"/>
  <c r="C1854" i="4"/>
  <c r="B1854" i="4"/>
  <c r="A1854" i="4"/>
  <c r="M1853" i="4"/>
  <c r="L1853" i="4"/>
  <c r="K1853" i="4"/>
  <c r="J1853" i="4"/>
  <c r="I1853" i="4"/>
  <c r="H1853" i="4"/>
  <c r="G1853" i="4"/>
  <c r="F1853" i="4"/>
  <c r="E1853" i="4"/>
  <c r="D1853" i="4"/>
  <c r="C1853" i="4"/>
  <c r="B1853" i="4"/>
  <c r="A1853" i="4"/>
  <c r="M1852" i="4"/>
  <c r="L1852" i="4"/>
  <c r="K1852" i="4"/>
  <c r="J1852" i="4"/>
  <c r="I1852" i="4"/>
  <c r="H1852" i="4"/>
  <c r="G1852" i="4"/>
  <c r="F1852" i="4"/>
  <c r="E1852" i="4"/>
  <c r="D1852" i="4"/>
  <c r="C1852" i="4"/>
  <c r="B1852" i="4"/>
  <c r="A1852" i="4"/>
  <c r="M1851" i="4"/>
  <c r="L1851" i="4"/>
  <c r="K1851" i="4"/>
  <c r="J1851" i="4"/>
  <c r="I1851" i="4"/>
  <c r="H1851" i="4"/>
  <c r="G1851" i="4"/>
  <c r="F1851" i="4"/>
  <c r="E1851" i="4"/>
  <c r="D1851" i="4"/>
  <c r="C1851" i="4"/>
  <c r="B1851" i="4"/>
  <c r="A1851" i="4"/>
  <c r="M1850" i="4"/>
  <c r="L1850" i="4"/>
  <c r="K1850" i="4"/>
  <c r="J1850" i="4"/>
  <c r="I1850" i="4"/>
  <c r="H1850" i="4"/>
  <c r="G1850" i="4"/>
  <c r="F1850" i="4"/>
  <c r="E1850" i="4"/>
  <c r="D1850" i="4"/>
  <c r="C1850" i="4"/>
  <c r="B1850" i="4"/>
  <c r="A1850" i="4"/>
  <c r="M1849" i="4"/>
  <c r="L1849" i="4"/>
  <c r="K1849" i="4"/>
  <c r="J1849" i="4"/>
  <c r="I1849" i="4"/>
  <c r="H1849" i="4"/>
  <c r="G1849" i="4"/>
  <c r="F1849" i="4"/>
  <c r="E1849" i="4"/>
  <c r="D1849" i="4"/>
  <c r="C1849" i="4"/>
  <c r="B1849" i="4"/>
  <c r="A1849" i="4"/>
  <c r="M1848" i="4"/>
  <c r="L1848" i="4"/>
  <c r="K1848" i="4"/>
  <c r="J1848" i="4"/>
  <c r="I1848" i="4"/>
  <c r="H1848" i="4"/>
  <c r="G1848" i="4"/>
  <c r="F1848" i="4"/>
  <c r="E1848" i="4"/>
  <c r="D1848" i="4"/>
  <c r="C1848" i="4"/>
  <c r="B1848" i="4"/>
  <c r="A1848" i="4"/>
  <c r="M1847" i="4"/>
  <c r="L1847" i="4"/>
  <c r="K1847" i="4"/>
  <c r="J1847" i="4"/>
  <c r="I1847" i="4"/>
  <c r="H1847" i="4"/>
  <c r="G1847" i="4"/>
  <c r="F1847" i="4"/>
  <c r="E1847" i="4"/>
  <c r="D1847" i="4"/>
  <c r="C1847" i="4"/>
  <c r="B1847" i="4"/>
  <c r="A1847" i="4"/>
  <c r="M1846" i="4"/>
  <c r="L1846" i="4"/>
  <c r="K1846" i="4"/>
  <c r="J1846" i="4"/>
  <c r="I1846" i="4"/>
  <c r="H1846" i="4"/>
  <c r="G1846" i="4"/>
  <c r="F1846" i="4"/>
  <c r="E1846" i="4"/>
  <c r="D1846" i="4"/>
  <c r="C1846" i="4"/>
  <c r="B1846" i="4"/>
  <c r="A1846" i="4"/>
  <c r="M1845" i="4"/>
  <c r="L1845" i="4"/>
  <c r="K1845" i="4"/>
  <c r="J1845" i="4"/>
  <c r="I1845" i="4"/>
  <c r="H1845" i="4"/>
  <c r="G1845" i="4"/>
  <c r="F1845" i="4"/>
  <c r="E1845" i="4"/>
  <c r="D1845" i="4"/>
  <c r="C1845" i="4"/>
  <c r="B1845" i="4"/>
  <c r="A1845" i="4"/>
  <c r="M1844" i="4"/>
  <c r="L1844" i="4"/>
  <c r="K1844" i="4"/>
  <c r="J1844" i="4"/>
  <c r="I1844" i="4"/>
  <c r="H1844" i="4"/>
  <c r="G1844" i="4"/>
  <c r="F1844" i="4"/>
  <c r="E1844" i="4"/>
  <c r="D1844" i="4"/>
  <c r="C1844" i="4"/>
  <c r="B1844" i="4"/>
  <c r="A1844" i="4"/>
  <c r="M1843" i="4"/>
  <c r="L1843" i="4"/>
  <c r="K1843" i="4"/>
  <c r="J1843" i="4"/>
  <c r="I1843" i="4"/>
  <c r="H1843" i="4"/>
  <c r="G1843" i="4"/>
  <c r="F1843" i="4"/>
  <c r="E1843" i="4"/>
  <c r="D1843" i="4"/>
  <c r="C1843" i="4"/>
  <c r="B1843" i="4"/>
  <c r="A1843" i="4"/>
  <c r="M1842" i="4"/>
  <c r="L1842" i="4"/>
  <c r="K1842" i="4"/>
  <c r="J1842" i="4"/>
  <c r="I1842" i="4"/>
  <c r="H1842" i="4"/>
  <c r="G1842" i="4"/>
  <c r="F1842" i="4"/>
  <c r="E1842" i="4"/>
  <c r="D1842" i="4"/>
  <c r="C1842" i="4"/>
  <c r="B1842" i="4"/>
  <c r="A1842" i="4"/>
  <c r="M1841" i="4"/>
  <c r="L1841" i="4"/>
  <c r="K1841" i="4"/>
  <c r="J1841" i="4"/>
  <c r="I1841" i="4"/>
  <c r="H1841" i="4"/>
  <c r="G1841" i="4"/>
  <c r="F1841" i="4"/>
  <c r="E1841" i="4"/>
  <c r="D1841" i="4"/>
  <c r="C1841" i="4"/>
  <c r="B1841" i="4"/>
  <c r="A1841" i="4"/>
  <c r="M1840" i="4"/>
  <c r="L1840" i="4"/>
  <c r="K1840" i="4"/>
  <c r="J1840" i="4"/>
  <c r="I1840" i="4"/>
  <c r="H1840" i="4"/>
  <c r="G1840" i="4"/>
  <c r="F1840" i="4"/>
  <c r="E1840" i="4"/>
  <c r="D1840" i="4"/>
  <c r="C1840" i="4"/>
  <c r="B1840" i="4"/>
  <c r="A1840" i="4"/>
  <c r="M1839" i="4"/>
  <c r="L1839" i="4"/>
  <c r="K1839" i="4"/>
  <c r="J1839" i="4"/>
  <c r="I1839" i="4"/>
  <c r="H1839" i="4"/>
  <c r="G1839" i="4"/>
  <c r="F1839" i="4"/>
  <c r="E1839" i="4"/>
  <c r="D1839" i="4"/>
  <c r="C1839" i="4"/>
  <c r="B1839" i="4"/>
  <c r="A1839" i="4"/>
  <c r="M1838" i="4"/>
  <c r="L1838" i="4"/>
  <c r="K1838" i="4"/>
  <c r="J1838" i="4"/>
  <c r="I1838" i="4"/>
  <c r="H1838" i="4"/>
  <c r="G1838" i="4"/>
  <c r="F1838" i="4"/>
  <c r="E1838" i="4"/>
  <c r="D1838" i="4"/>
  <c r="C1838" i="4"/>
  <c r="B1838" i="4"/>
  <c r="A1838" i="4"/>
  <c r="M1837" i="4"/>
  <c r="L1837" i="4"/>
  <c r="K1837" i="4"/>
  <c r="J1837" i="4"/>
  <c r="I1837" i="4"/>
  <c r="H1837" i="4"/>
  <c r="G1837" i="4"/>
  <c r="F1837" i="4"/>
  <c r="E1837" i="4"/>
  <c r="D1837" i="4"/>
  <c r="C1837" i="4"/>
  <c r="B1837" i="4"/>
  <c r="A1837" i="4"/>
  <c r="M1836" i="4"/>
  <c r="L1836" i="4"/>
  <c r="K1836" i="4"/>
  <c r="J1836" i="4"/>
  <c r="I1836" i="4"/>
  <c r="H1836" i="4"/>
  <c r="G1836" i="4"/>
  <c r="F1836" i="4"/>
  <c r="E1836" i="4"/>
  <c r="D1836" i="4"/>
  <c r="C1836" i="4"/>
  <c r="B1836" i="4"/>
  <c r="A1836" i="4"/>
  <c r="M1835" i="4"/>
  <c r="L1835" i="4"/>
  <c r="K1835" i="4"/>
  <c r="J1835" i="4"/>
  <c r="I1835" i="4"/>
  <c r="H1835" i="4"/>
  <c r="G1835" i="4"/>
  <c r="F1835" i="4"/>
  <c r="E1835" i="4"/>
  <c r="D1835" i="4"/>
  <c r="C1835" i="4"/>
  <c r="B1835" i="4"/>
  <c r="A1835" i="4"/>
  <c r="M1834" i="4"/>
  <c r="L1834" i="4"/>
  <c r="K1834" i="4"/>
  <c r="J1834" i="4"/>
  <c r="I1834" i="4"/>
  <c r="H1834" i="4"/>
  <c r="G1834" i="4"/>
  <c r="F1834" i="4"/>
  <c r="E1834" i="4"/>
  <c r="D1834" i="4"/>
  <c r="C1834" i="4"/>
  <c r="B1834" i="4"/>
  <c r="A1834" i="4"/>
  <c r="M1833" i="4"/>
  <c r="L1833" i="4"/>
  <c r="K1833" i="4"/>
  <c r="J1833" i="4"/>
  <c r="I1833" i="4"/>
  <c r="H1833" i="4"/>
  <c r="G1833" i="4"/>
  <c r="F1833" i="4"/>
  <c r="E1833" i="4"/>
  <c r="D1833" i="4"/>
  <c r="C1833" i="4"/>
  <c r="B1833" i="4"/>
  <c r="A1833" i="4"/>
  <c r="M1832" i="4"/>
  <c r="L1832" i="4"/>
  <c r="K1832" i="4"/>
  <c r="J1832" i="4"/>
  <c r="I1832" i="4"/>
  <c r="H1832" i="4"/>
  <c r="G1832" i="4"/>
  <c r="F1832" i="4"/>
  <c r="E1832" i="4"/>
  <c r="D1832" i="4"/>
  <c r="C1832" i="4"/>
  <c r="B1832" i="4"/>
  <c r="A1832" i="4"/>
  <c r="M1831" i="4"/>
  <c r="L1831" i="4"/>
  <c r="K1831" i="4"/>
  <c r="J1831" i="4"/>
  <c r="I1831" i="4"/>
  <c r="H1831" i="4"/>
  <c r="G1831" i="4"/>
  <c r="F1831" i="4"/>
  <c r="E1831" i="4"/>
  <c r="D1831" i="4"/>
  <c r="C1831" i="4"/>
  <c r="B1831" i="4"/>
  <c r="A1831" i="4"/>
  <c r="M1830" i="4"/>
  <c r="L1830" i="4"/>
  <c r="K1830" i="4"/>
  <c r="J1830" i="4"/>
  <c r="I1830" i="4"/>
  <c r="H1830" i="4"/>
  <c r="G1830" i="4"/>
  <c r="F1830" i="4"/>
  <c r="E1830" i="4"/>
  <c r="D1830" i="4"/>
  <c r="C1830" i="4"/>
  <c r="B1830" i="4"/>
  <c r="A1830" i="4"/>
  <c r="M1829" i="4"/>
  <c r="L1829" i="4"/>
  <c r="K1829" i="4"/>
  <c r="J1829" i="4"/>
  <c r="I1829" i="4"/>
  <c r="H1829" i="4"/>
  <c r="G1829" i="4"/>
  <c r="F1829" i="4"/>
  <c r="E1829" i="4"/>
  <c r="D1829" i="4"/>
  <c r="C1829" i="4"/>
  <c r="B1829" i="4"/>
  <c r="A1829" i="4"/>
  <c r="M1828" i="4"/>
  <c r="L1828" i="4"/>
  <c r="K1828" i="4"/>
  <c r="J1828" i="4"/>
  <c r="I1828" i="4"/>
  <c r="H1828" i="4"/>
  <c r="G1828" i="4"/>
  <c r="F1828" i="4"/>
  <c r="E1828" i="4"/>
  <c r="D1828" i="4"/>
  <c r="C1828" i="4"/>
  <c r="B1828" i="4"/>
  <c r="A1828" i="4"/>
  <c r="M1827" i="4"/>
  <c r="L1827" i="4"/>
  <c r="K1827" i="4"/>
  <c r="J1827" i="4"/>
  <c r="I1827" i="4"/>
  <c r="H1827" i="4"/>
  <c r="G1827" i="4"/>
  <c r="F1827" i="4"/>
  <c r="E1827" i="4"/>
  <c r="D1827" i="4"/>
  <c r="C1827" i="4"/>
  <c r="B1827" i="4"/>
  <c r="A1827" i="4"/>
  <c r="M1826" i="4"/>
  <c r="L1826" i="4"/>
  <c r="K1826" i="4"/>
  <c r="J1826" i="4"/>
  <c r="I1826" i="4"/>
  <c r="H1826" i="4"/>
  <c r="G1826" i="4"/>
  <c r="F1826" i="4"/>
  <c r="E1826" i="4"/>
  <c r="D1826" i="4"/>
  <c r="C1826" i="4"/>
  <c r="B1826" i="4"/>
  <c r="A1826" i="4"/>
  <c r="M1825" i="4"/>
  <c r="L1825" i="4"/>
  <c r="K1825" i="4"/>
  <c r="J1825" i="4"/>
  <c r="I1825" i="4"/>
  <c r="H1825" i="4"/>
  <c r="G1825" i="4"/>
  <c r="F1825" i="4"/>
  <c r="E1825" i="4"/>
  <c r="D1825" i="4"/>
  <c r="C1825" i="4"/>
  <c r="B1825" i="4"/>
  <c r="A1825" i="4"/>
  <c r="M1824" i="4"/>
  <c r="L1824" i="4"/>
  <c r="K1824" i="4"/>
  <c r="J1824" i="4"/>
  <c r="I1824" i="4"/>
  <c r="H1824" i="4"/>
  <c r="G1824" i="4"/>
  <c r="F1824" i="4"/>
  <c r="E1824" i="4"/>
  <c r="D1824" i="4"/>
  <c r="C1824" i="4"/>
  <c r="B1824" i="4"/>
  <c r="A1824" i="4"/>
  <c r="M1823" i="4"/>
  <c r="L1823" i="4"/>
  <c r="K1823" i="4"/>
  <c r="J1823" i="4"/>
  <c r="I1823" i="4"/>
  <c r="H1823" i="4"/>
  <c r="G1823" i="4"/>
  <c r="F1823" i="4"/>
  <c r="E1823" i="4"/>
  <c r="D1823" i="4"/>
  <c r="C1823" i="4"/>
  <c r="B1823" i="4"/>
  <c r="A1823" i="4"/>
  <c r="M1822" i="4"/>
  <c r="L1822" i="4"/>
  <c r="K1822" i="4"/>
  <c r="J1822" i="4"/>
  <c r="I1822" i="4"/>
  <c r="H1822" i="4"/>
  <c r="G1822" i="4"/>
  <c r="F1822" i="4"/>
  <c r="E1822" i="4"/>
  <c r="D1822" i="4"/>
  <c r="C1822" i="4"/>
  <c r="B1822" i="4"/>
  <c r="A1822" i="4"/>
  <c r="M1821" i="4"/>
  <c r="L1821" i="4"/>
  <c r="K1821" i="4"/>
  <c r="J1821" i="4"/>
  <c r="I1821" i="4"/>
  <c r="H1821" i="4"/>
  <c r="G1821" i="4"/>
  <c r="F1821" i="4"/>
  <c r="E1821" i="4"/>
  <c r="D1821" i="4"/>
  <c r="C1821" i="4"/>
  <c r="B1821" i="4"/>
  <c r="A1821" i="4"/>
  <c r="M1820" i="4"/>
  <c r="L1820" i="4"/>
  <c r="K1820" i="4"/>
  <c r="J1820" i="4"/>
  <c r="I1820" i="4"/>
  <c r="H1820" i="4"/>
  <c r="G1820" i="4"/>
  <c r="F1820" i="4"/>
  <c r="E1820" i="4"/>
  <c r="D1820" i="4"/>
  <c r="C1820" i="4"/>
  <c r="B1820" i="4"/>
  <c r="A1820" i="4"/>
  <c r="M1819" i="4"/>
  <c r="L1819" i="4"/>
  <c r="K1819" i="4"/>
  <c r="J1819" i="4"/>
  <c r="I1819" i="4"/>
  <c r="H1819" i="4"/>
  <c r="G1819" i="4"/>
  <c r="F1819" i="4"/>
  <c r="E1819" i="4"/>
  <c r="D1819" i="4"/>
  <c r="C1819" i="4"/>
  <c r="B1819" i="4"/>
  <c r="A1819" i="4"/>
  <c r="M1818" i="4"/>
  <c r="L1818" i="4"/>
  <c r="K1818" i="4"/>
  <c r="J1818" i="4"/>
  <c r="I1818" i="4"/>
  <c r="H1818" i="4"/>
  <c r="G1818" i="4"/>
  <c r="F1818" i="4"/>
  <c r="E1818" i="4"/>
  <c r="D1818" i="4"/>
  <c r="C1818" i="4"/>
  <c r="B1818" i="4"/>
  <c r="A1818" i="4"/>
  <c r="M1817" i="4"/>
  <c r="L1817" i="4"/>
  <c r="K1817" i="4"/>
  <c r="J1817" i="4"/>
  <c r="I1817" i="4"/>
  <c r="H1817" i="4"/>
  <c r="G1817" i="4"/>
  <c r="F1817" i="4"/>
  <c r="E1817" i="4"/>
  <c r="D1817" i="4"/>
  <c r="C1817" i="4"/>
  <c r="B1817" i="4"/>
  <c r="A1817" i="4"/>
  <c r="M1816" i="4"/>
  <c r="L1816" i="4"/>
  <c r="K1816" i="4"/>
  <c r="J1816" i="4"/>
  <c r="I1816" i="4"/>
  <c r="H1816" i="4"/>
  <c r="G1816" i="4"/>
  <c r="F1816" i="4"/>
  <c r="E1816" i="4"/>
  <c r="D1816" i="4"/>
  <c r="C1816" i="4"/>
  <c r="B1816" i="4"/>
  <c r="A1816" i="4"/>
  <c r="M1815" i="4"/>
  <c r="L1815" i="4"/>
  <c r="K1815" i="4"/>
  <c r="J1815" i="4"/>
  <c r="I1815" i="4"/>
  <c r="H1815" i="4"/>
  <c r="G1815" i="4"/>
  <c r="F1815" i="4"/>
  <c r="E1815" i="4"/>
  <c r="D1815" i="4"/>
  <c r="C1815" i="4"/>
  <c r="B1815" i="4"/>
  <c r="A1815" i="4"/>
  <c r="M1814" i="4"/>
  <c r="L1814" i="4"/>
  <c r="K1814" i="4"/>
  <c r="J1814" i="4"/>
  <c r="I1814" i="4"/>
  <c r="H1814" i="4"/>
  <c r="G1814" i="4"/>
  <c r="F1814" i="4"/>
  <c r="E1814" i="4"/>
  <c r="D1814" i="4"/>
  <c r="C1814" i="4"/>
  <c r="B1814" i="4"/>
  <c r="A1814" i="4"/>
  <c r="M1813" i="4"/>
  <c r="L1813" i="4"/>
  <c r="K1813" i="4"/>
  <c r="J1813" i="4"/>
  <c r="I1813" i="4"/>
  <c r="H1813" i="4"/>
  <c r="G1813" i="4"/>
  <c r="F1813" i="4"/>
  <c r="E1813" i="4"/>
  <c r="D1813" i="4"/>
  <c r="C1813" i="4"/>
  <c r="B1813" i="4"/>
  <c r="A1813" i="4"/>
  <c r="M1812" i="4"/>
  <c r="L1812" i="4"/>
  <c r="K1812" i="4"/>
  <c r="J1812" i="4"/>
  <c r="I1812" i="4"/>
  <c r="H1812" i="4"/>
  <c r="G1812" i="4"/>
  <c r="F1812" i="4"/>
  <c r="E1812" i="4"/>
  <c r="D1812" i="4"/>
  <c r="C1812" i="4"/>
  <c r="B1812" i="4"/>
  <c r="A1812" i="4"/>
  <c r="M1811" i="4"/>
  <c r="L1811" i="4"/>
  <c r="K1811" i="4"/>
  <c r="J1811" i="4"/>
  <c r="I1811" i="4"/>
  <c r="H1811" i="4"/>
  <c r="G1811" i="4"/>
  <c r="F1811" i="4"/>
  <c r="E1811" i="4"/>
  <c r="D1811" i="4"/>
  <c r="C1811" i="4"/>
  <c r="B1811" i="4"/>
  <c r="A1811" i="4"/>
  <c r="M1810" i="4"/>
  <c r="L1810" i="4"/>
  <c r="K1810" i="4"/>
  <c r="J1810" i="4"/>
  <c r="I1810" i="4"/>
  <c r="H1810" i="4"/>
  <c r="G1810" i="4"/>
  <c r="F1810" i="4"/>
  <c r="E1810" i="4"/>
  <c r="D1810" i="4"/>
  <c r="C1810" i="4"/>
  <c r="B1810" i="4"/>
  <c r="A1810" i="4"/>
  <c r="M1809" i="4"/>
  <c r="L1809" i="4"/>
  <c r="K1809" i="4"/>
  <c r="J1809" i="4"/>
  <c r="I1809" i="4"/>
  <c r="H1809" i="4"/>
  <c r="G1809" i="4"/>
  <c r="F1809" i="4"/>
  <c r="E1809" i="4"/>
  <c r="D1809" i="4"/>
  <c r="C1809" i="4"/>
  <c r="B1809" i="4"/>
  <c r="A1809" i="4"/>
  <c r="M1808" i="4"/>
  <c r="L1808" i="4"/>
  <c r="K1808" i="4"/>
  <c r="J1808" i="4"/>
  <c r="I1808" i="4"/>
  <c r="H1808" i="4"/>
  <c r="G1808" i="4"/>
  <c r="F1808" i="4"/>
  <c r="E1808" i="4"/>
  <c r="D1808" i="4"/>
  <c r="C1808" i="4"/>
  <c r="B1808" i="4"/>
  <c r="A1808" i="4"/>
  <c r="M1807" i="4"/>
  <c r="L1807" i="4"/>
  <c r="K1807" i="4"/>
  <c r="J1807" i="4"/>
  <c r="I1807" i="4"/>
  <c r="H1807" i="4"/>
  <c r="G1807" i="4"/>
  <c r="F1807" i="4"/>
  <c r="E1807" i="4"/>
  <c r="D1807" i="4"/>
  <c r="C1807" i="4"/>
  <c r="B1807" i="4"/>
  <c r="A1807" i="4"/>
  <c r="M1806" i="4"/>
  <c r="L1806" i="4"/>
  <c r="K1806" i="4"/>
  <c r="J1806" i="4"/>
  <c r="I1806" i="4"/>
  <c r="H1806" i="4"/>
  <c r="G1806" i="4"/>
  <c r="F1806" i="4"/>
  <c r="E1806" i="4"/>
  <c r="D1806" i="4"/>
  <c r="C1806" i="4"/>
  <c r="B1806" i="4"/>
  <c r="A1806" i="4"/>
  <c r="M1805" i="4"/>
  <c r="L1805" i="4"/>
  <c r="K1805" i="4"/>
  <c r="J1805" i="4"/>
  <c r="I1805" i="4"/>
  <c r="H1805" i="4"/>
  <c r="G1805" i="4"/>
  <c r="F1805" i="4"/>
  <c r="E1805" i="4"/>
  <c r="D1805" i="4"/>
  <c r="C1805" i="4"/>
  <c r="B1805" i="4"/>
  <c r="A1805" i="4"/>
  <c r="M1804" i="4"/>
  <c r="L1804" i="4"/>
  <c r="K1804" i="4"/>
  <c r="J1804" i="4"/>
  <c r="I1804" i="4"/>
  <c r="H1804" i="4"/>
  <c r="G1804" i="4"/>
  <c r="F1804" i="4"/>
  <c r="E1804" i="4"/>
  <c r="D1804" i="4"/>
  <c r="C1804" i="4"/>
  <c r="B1804" i="4"/>
  <c r="A1804" i="4"/>
  <c r="M1803" i="4"/>
  <c r="L1803" i="4"/>
  <c r="K1803" i="4"/>
  <c r="J1803" i="4"/>
  <c r="I1803" i="4"/>
  <c r="H1803" i="4"/>
  <c r="G1803" i="4"/>
  <c r="F1803" i="4"/>
  <c r="E1803" i="4"/>
  <c r="D1803" i="4"/>
  <c r="C1803" i="4"/>
  <c r="B1803" i="4"/>
  <c r="A1803" i="4"/>
  <c r="M1802" i="4"/>
  <c r="L1802" i="4"/>
  <c r="K1802" i="4"/>
  <c r="J1802" i="4"/>
  <c r="I1802" i="4"/>
  <c r="H1802" i="4"/>
  <c r="G1802" i="4"/>
  <c r="F1802" i="4"/>
  <c r="E1802" i="4"/>
  <c r="D1802" i="4"/>
  <c r="C1802" i="4"/>
  <c r="B1802" i="4"/>
  <c r="A1802" i="4"/>
  <c r="M1801" i="4"/>
  <c r="L1801" i="4"/>
  <c r="K1801" i="4"/>
  <c r="J1801" i="4"/>
  <c r="I1801" i="4"/>
  <c r="H1801" i="4"/>
  <c r="G1801" i="4"/>
  <c r="F1801" i="4"/>
  <c r="E1801" i="4"/>
  <c r="D1801" i="4"/>
  <c r="C1801" i="4"/>
  <c r="B1801" i="4"/>
  <c r="A1801" i="4"/>
  <c r="M1800" i="4"/>
  <c r="L1800" i="4"/>
  <c r="K1800" i="4"/>
  <c r="J1800" i="4"/>
  <c r="I1800" i="4"/>
  <c r="H1800" i="4"/>
  <c r="G1800" i="4"/>
  <c r="F1800" i="4"/>
  <c r="E1800" i="4"/>
  <c r="D1800" i="4"/>
  <c r="C1800" i="4"/>
  <c r="B1800" i="4"/>
  <c r="A1800" i="4"/>
  <c r="M1799" i="4"/>
  <c r="L1799" i="4"/>
  <c r="K1799" i="4"/>
  <c r="J1799" i="4"/>
  <c r="I1799" i="4"/>
  <c r="H1799" i="4"/>
  <c r="G1799" i="4"/>
  <c r="F1799" i="4"/>
  <c r="E1799" i="4"/>
  <c r="D1799" i="4"/>
  <c r="C1799" i="4"/>
  <c r="B1799" i="4"/>
  <c r="A1799" i="4"/>
  <c r="M1798" i="4"/>
  <c r="L1798" i="4"/>
  <c r="K1798" i="4"/>
  <c r="J1798" i="4"/>
  <c r="I1798" i="4"/>
  <c r="H1798" i="4"/>
  <c r="G1798" i="4"/>
  <c r="F1798" i="4"/>
  <c r="E1798" i="4"/>
  <c r="D1798" i="4"/>
  <c r="C1798" i="4"/>
  <c r="B1798" i="4"/>
  <c r="A1798" i="4"/>
  <c r="M1797" i="4"/>
  <c r="L1797" i="4"/>
  <c r="K1797" i="4"/>
  <c r="J1797" i="4"/>
  <c r="I1797" i="4"/>
  <c r="H1797" i="4"/>
  <c r="G1797" i="4"/>
  <c r="F1797" i="4"/>
  <c r="E1797" i="4"/>
  <c r="D1797" i="4"/>
  <c r="C1797" i="4"/>
  <c r="B1797" i="4"/>
  <c r="A1797" i="4"/>
  <c r="M1796" i="4"/>
  <c r="L1796" i="4"/>
  <c r="K1796" i="4"/>
  <c r="J1796" i="4"/>
  <c r="I1796" i="4"/>
  <c r="H1796" i="4"/>
  <c r="G1796" i="4"/>
  <c r="F1796" i="4"/>
  <c r="E1796" i="4"/>
  <c r="D1796" i="4"/>
  <c r="C1796" i="4"/>
  <c r="B1796" i="4"/>
  <c r="A1796" i="4"/>
  <c r="M1795" i="4"/>
  <c r="L1795" i="4"/>
  <c r="K1795" i="4"/>
  <c r="J1795" i="4"/>
  <c r="I1795" i="4"/>
  <c r="H1795" i="4"/>
  <c r="G1795" i="4"/>
  <c r="F1795" i="4"/>
  <c r="E1795" i="4"/>
  <c r="D1795" i="4"/>
  <c r="C1795" i="4"/>
  <c r="B1795" i="4"/>
  <c r="A1795" i="4"/>
  <c r="M1794" i="4"/>
  <c r="L1794" i="4"/>
  <c r="K1794" i="4"/>
  <c r="J1794" i="4"/>
  <c r="I1794" i="4"/>
  <c r="H1794" i="4"/>
  <c r="G1794" i="4"/>
  <c r="F1794" i="4"/>
  <c r="E1794" i="4"/>
  <c r="D1794" i="4"/>
  <c r="C1794" i="4"/>
  <c r="B1794" i="4"/>
  <c r="A1794" i="4"/>
  <c r="M1793" i="4"/>
  <c r="L1793" i="4"/>
  <c r="K1793" i="4"/>
  <c r="J1793" i="4"/>
  <c r="I1793" i="4"/>
  <c r="H1793" i="4"/>
  <c r="G1793" i="4"/>
  <c r="F1793" i="4"/>
  <c r="E1793" i="4"/>
  <c r="D1793" i="4"/>
  <c r="C1793" i="4"/>
  <c r="B1793" i="4"/>
  <c r="A1793" i="4"/>
  <c r="M1792" i="4"/>
  <c r="L1792" i="4"/>
  <c r="K1792" i="4"/>
  <c r="J1792" i="4"/>
  <c r="I1792" i="4"/>
  <c r="H1792" i="4"/>
  <c r="G1792" i="4"/>
  <c r="F1792" i="4"/>
  <c r="E1792" i="4"/>
  <c r="D1792" i="4"/>
  <c r="C1792" i="4"/>
  <c r="B1792" i="4"/>
  <c r="A1792" i="4"/>
  <c r="M1791" i="4"/>
  <c r="L1791" i="4"/>
  <c r="K1791" i="4"/>
  <c r="J1791" i="4"/>
  <c r="I1791" i="4"/>
  <c r="H1791" i="4"/>
  <c r="G1791" i="4"/>
  <c r="E1791" i="4"/>
  <c r="D1791" i="4"/>
  <c r="C1791" i="4"/>
  <c r="B1791" i="4"/>
  <c r="A1791" i="4"/>
  <c r="M1790" i="4"/>
  <c r="L1790" i="4"/>
  <c r="K1790" i="4"/>
  <c r="J1790" i="4"/>
  <c r="I1790" i="4"/>
  <c r="H1790" i="4"/>
  <c r="G1790" i="4"/>
  <c r="F1790" i="4"/>
  <c r="E1790" i="4"/>
  <c r="D1790" i="4"/>
  <c r="C1790" i="4"/>
  <c r="B1790" i="4"/>
  <c r="A1790" i="4"/>
  <c r="M1789" i="4"/>
  <c r="L1789" i="4"/>
  <c r="K1789" i="4"/>
  <c r="J1789" i="4"/>
  <c r="I1789" i="4"/>
  <c r="H1789" i="4"/>
  <c r="G1789" i="4"/>
  <c r="F1789" i="4"/>
  <c r="E1789" i="4"/>
  <c r="D1789" i="4"/>
  <c r="C1789" i="4"/>
  <c r="B1789" i="4"/>
  <c r="A1789" i="4"/>
  <c r="M1788" i="4"/>
  <c r="L1788" i="4"/>
  <c r="K1788" i="4"/>
  <c r="J1788" i="4"/>
  <c r="I1788" i="4"/>
  <c r="H1788" i="4"/>
  <c r="G1788" i="4"/>
  <c r="F1788" i="4"/>
  <c r="E1788" i="4"/>
  <c r="D1788" i="4"/>
  <c r="C1788" i="4"/>
  <c r="B1788" i="4"/>
  <c r="A1788" i="4"/>
  <c r="M1787" i="4"/>
  <c r="L1787" i="4"/>
  <c r="K1787" i="4"/>
  <c r="J1787" i="4"/>
  <c r="I1787" i="4"/>
  <c r="H1787" i="4"/>
  <c r="G1787" i="4"/>
  <c r="F1787" i="4"/>
  <c r="E1787" i="4"/>
  <c r="D1787" i="4"/>
  <c r="C1787" i="4"/>
  <c r="B1787" i="4"/>
  <c r="A1787" i="4"/>
  <c r="M1786" i="4"/>
  <c r="L1786" i="4"/>
  <c r="K1786" i="4"/>
  <c r="J1786" i="4"/>
  <c r="I1786" i="4"/>
  <c r="H1786" i="4"/>
  <c r="G1786" i="4"/>
  <c r="F1786" i="4"/>
  <c r="E1786" i="4"/>
  <c r="D1786" i="4"/>
  <c r="C1786" i="4"/>
  <c r="B1786" i="4"/>
  <c r="A1786" i="4"/>
  <c r="M1785" i="4"/>
  <c r="L1785" i="4"/>
  <c r="K1785" i="4"/>
  <c r="J1785" i="4"/>
  <c r="I1785" i="4"/>
  <c r="H1785" i="4"/>
  <c r="G1785" i="4"/>
  <c r="F1785" i="4"/>
  <c r="E1785" i="4"/>
  <c r="D1785" i="4"/>
  <c r="C1785" i="4"/>
  <c r="B1785" i="4"/>
  <c r="A1785" i="4"/>
  <c r="M1784" i="4"/>
  <c r="L1784" i="4"/>
  <c r="K1784" i="4"/>
  <c r="J1784" i="4"/>
  <c r="I1784" i="4"/>
  <c r="H1784" i="4"/>
  <c r="G1784" i="4"/>
  <c r="F1784" i="4"/>
  <c r="E1784" i="4"/>
  <c r="D1784" i="4"/>
  <c r="C1784" i="4"/>
  <c r="B1784" i="4"/>
  <c r="A1784" i="4"/>
  <c r="M1783" i="4"/>
  <c r="L1783" i="4"/>
  <c r="K1783" i="4"/>
  <c r="J1783" i="4"/>
  <c r="I1783" i="4"/>
  <c r="H1783" i="4"/>
  <c r="G1783" i="4"/>
  <c r="F1783" i="4"/>
  <c r="E1783" i="4"/>
  <c r="D1783" i="4"/>
  <c r="C1783" i="4"/>
  <c r="B1783" i="4"/>
  <c r="A1783" i="4"/>
  <c r="M1782" i="4"/>
  <c r="L1782" i="4"/>
  <c r="K1782" i="4"/>
  <c r="J1782" i="4"/>
  <c r="I1782" i="4"/>
  <c r="H1782" i="4"/>
  <c r="G1782" i="4"/>
  <c r="F1782" i="4"/>
  <c r="E1782" i="4"/>
  <c r="D1782" i="4"/>
  <c r="C1782" i="4"/>
  <c r="B1782" i="4"/>
  <c r="A1782" i="4"/>
  <c r="M1781" i="4"/>
  <c r="L1781" i="4"/>
  <c r="K1781" i="4"/>
  <c r="J1781" i="4"/>
  <c r="I1781" i="4"/>
  <c r="H1781" i="4"/>
  <c r="G1781" i="4"/>
  <c r="F1781" i="4"/>
  <c r="E1781" i="4"/>
  <c r="D1781" i="4"/>
  <c r="C1781" i="4"/>
  <c r="B1781" i="4"/>
  <c r="A1781" i="4"/>
  <c r="M1780" i="4"/>
  <c r="L1780" i="4"/>
  <c r="K1780" i="4"/>
  <c r="J1780" i="4"/>
  <c r="I1780" i="4"/>
  <c r="H1780" i="4"/>
  <c r="G1780" i="4"/>
  <c r="F1780" i="4"/>
  <c r="E1780" i="4"/>
  <c r="D1780" i="4"/>
  <c r="C1780" i="4"/>
  <c r="B1780" i="4"/>
  <c r="A1780" i="4"/>
  <c r="M1779" i="4"/>
  <c r="L1779" i="4"/>
  <c r="K1779" i="4"/>
  <c r="J1779" i="4"/>
  <c r="I1779" i="4"/>
  <c r="H1779" i="4"/>
  <c r="G1779" i="4"/>
  <c r="F1779" i="4"/>
  <c r="E1779" i="4"/>
  <c r="D1779" i="4"/>
  <c r="C1779" i="4"/>
  <c r="B1779" i="4"/>
  <c r="A1779" i="4"/>
  <c r="M1778" i="4"/>
  <c r="L1778" i="4"/>
  <c r="K1778" i="4"/>
  <c r="J1778" i="4"/>
  <c r="I1778" i="4"/>
  <c r="H1778" i="4"/>
  <c r="G1778" i="4"/>
  <c r="F1778" i="4"/>
  <c r="D1778" i="4"/>
  <c r="C1778" i="4"/>
  <c r="B1778" i="4"/>
  <c r="A1778" i="4"/>
  <c r="M1777" i="4"/>
  <c r="L1777" i="4"/>
  <c r="K1777" i="4"/>
  <c r="J1777" i="4"/>
  <c r="I1777" i="4"/>
  <c r="H1777" i="4"/>
  <c r="G1777" i="4"/>
  <c r="F1777" i="4"/>
  <c r="D1777" i="4"/>
  <c r="C1777" i="4"/>
  <c r="B1777" i="4"/>
  <c r="A1777" i="4"/>
  <c r="M1776" i="4"/>
  <c r="L1776" i="4"/>
  <c r="K1776" i="4"/>
  <c r="J1776" i="4"/>
  <c r="I1776" i="4"/>
  <c r="H1776" i="4"/>
  <c r="G1776" i="4"/>
  <c r="F1776" i="4"/>
  <c r="E1776" i="4"/>
  <c r="D1776" i="4"/>
  <c r="C1776" i="4"/>
  <c r="B1776" i="4"/>
  <c r="A1776" i="4"/>
  <c r="M1775" i="4"/>
  <c r="L1775" i="4"/>
  <c r="K1775" i="4"/>
  <c r="J1775" i="4"/>
  <c r="I1775" i="4"/>
  <c r="H1775" i="4"/>
  <c r="G1775" i="4"/>
  <c r="F1775" i="4"/>
  <c r="E1775" i="4"/>
  <c r="D1775" i="4"/>
  <c r="C1775" i="4"/>
  <c r="B1775" i="4"/>
  <c r="A1775" i="4"/>
  <c r="M1774" i="4"/>
  <c r="L1774" i="4"/>
  <c r="K1774" i="4"/>
  <c r="J1774" i="4"/>
  <c r="I1774" i="4"/>
  <c r="H1774" i="4"/>
  <c r="G1774" i="4"/>
  <c r="F1774" i="4"/>
  <c r="E1774" i="4"/>
  <c r="D1774" i="4"/>
  <c r="C1774" i="4"/>
  <c r="B1774" i="4"/>
  <c r="A1774" i="4"/>
  <c r="M1773" i="4"/>
  <c r="L1773" i="4"/>
  <c r="K1773" i="4"/>
  <c r="J1773" i="4"/>
  <c r="I1773" i="4"/>
  <c r="H1773" i="4"/>
  <c r="G1773" i="4"/>
  <c r="F1773" i="4"/>
  <c r="E1773" i="4"/>
  <c r="D1773" i="4"/>
  <c r="C1773" i="4"/>
  <c r="B1773" i="4"/>
  <c r="A1773" i="4"/>
  <c r="M1772" i="4"/>
  <c r="L1772" i="4"/>
  <c r="K1772" i="4"/>
  <c r="J1772" i="4"/>
  <c r="I1772" i="4"/>
  <c r="H1772" i="4"/>
  <c r="G1772" i="4"/>
  <c r="F1772" i="4"/>
  <c r="E1772" i="4"/>
  <c r="D1772" i="4"/>
  <c r="C1772" i="4"/>
  <c r="B1772" i="4"/>
  <c r="A1772" i="4"/>
  <c r="M1771" i="4"/>
  <c r="L1771" i="4"/>
  <c r="K1771" i="4"/>
  <c r="J1771" i="4"/>
  <c r="I1771" i="4"/>
  <c r="H1771" i="4"/>
  <c r="G1771" i="4"/>
  <c r="F1771" i="4"/>
  <c r="E1771" i="4"/>
  <c r="D1771" i="4"/>
  <c r="C1771" i="4"/>
  <c r="B1771" i="4"/>
  <c r="A1771" i="4"/>
  <c r="M1770" i="4"/>
  <c r="L1770" i="4"/>
  <c r="K1770" i="4"/>
  <c r="J1770" i="4"/>
  <c r="I1770" i="4"/>
  <c r="H1770" i="4"/>
  <c r="G1770" i="4"/>
  <c r="F1770" i="4"/>
  <c r="D1770" i="4"/>
  <c r="C1770" i="4"/>
  <c r="B1770" i="4"/>
  <c r="A1770" i="4"/>
  <c r="M1769" i="4"/>
  <c r="L1769" i="4"/>
  <c r="K1769" i="4"/>
  <c r="J1769" i="4"/>
  <c r="I1769" i="4"/>
  <c r="H1769" i="4"/>
  <c r="G1769" i="4"/>
  <c r="F1769" i="4"/>
  <c r="E1769" i="4"/>
  <c r="D1769" i="4"/>
  <c r="C1769" i="4"/>
  <c r="B1769" i="4"/>
  <c r="A1769" i="4"/>
  <c r="M1768" i="4"/>
  <c r="L1768" i="4"/>
  <c r="K1768" i="4"/>
  <c r="J1768" i="4"/>
  <c r="I1768" i="4"/>
  <c r="H1768" i="4"/>
  <c r="G1768" i="4"/>
  <c r="F1768" i="4"/>
  <c r="E1768" i="4"/>
  <c r="D1768" i="4"/>
  <c r="C1768" i="4"/>
  <c r="B1768" i="4"/>
  <c r="A1768" i="4"/>
  <c r="M1767" i="4"/>
  <c r="L1767" i="4"/>
  <c r="K1767" i="4"/>
  <c r="J1767" i="4"/>
  <c r="I1767" i="4"/>
  <c r="H1767" i="4"/>
  <c r="G1767" i="4"/>
  <c r="F1767" i="4"/>
  <c r="E1767" i="4"/>
  <c r="D1767" i="4"/>
  <c r="C1767" i="4"/>
  <c r="B1767" i="4"/>
  <c r="A1767" i="4"/>
  <c r="M1766" i="4"/>
  <c r="L1766" i="4"/>
  <c r="K1766" i="4"/>
  <c r="J1766" i="4"/>
  <c r="I1766" i="4"/>
  <c r="H1766" i="4"/>
  <c r="G1766" i="4"/>
  <c r="F1766" i="4"/>
  <c r="E1766" i="4"/>
  <c r="D1766" i="4"/>
  <c r="C1766" i="4"/>
  <c r="B1766" i="4"/>
  <c r="A1766" i="4"/>
  <c r="M1765" i="4"/>
  <c r="L1765" i="4"/>
  <c r="K1765" i="4"/>
  <c r="J1765" i="4"/>
  <c r="I1765" i="4"/>
  <c r="H1765" i="4"/>
  <c r="G1765" i="4"/>
  <c r="F1765" i="4"/>
  <c r="E1765" i="4"/>
  <c r="D1765" i="4"/>
  <c r="C1765" i="4"/>
  <c r="B1765" i="4"/>
  <c r="A1765" i="4"/>
  <c r="M1764" i="4"/>
  <c r="L1764" i="4"/>
  <c r="K1764" i="4"/>
  <c r="J1764" i="4"/>
  <c r="I1764" i="4"/>
  <c r="H1764" i="4"/>
  <c r="G1764" i="4"/>
  <c r="F1764" i="4"/>
  <c r="E1764" i="4"/>
  <c r="D1764" i="4"/>
  <c r="C1764" i="4"/>
  <c r="B1764" i="4"/>
  <c r="A1764" i="4"/>
  <c r="M1763" i="4"/>
  <c r="L1763" i="4"/>
  <c r="K1763" i="4"/>
  <c r="J1763" i="4"/>
  <c r="I1763" i="4"/>
  <c r="H1763" i="4"/>
  <c r="G1763" i="4"/>
  <c r="D1763" i="4"/>
  <c r="C1763" i="4"/>
  <c r="B1763" i="4"/>
  <c r="A1763" i="4"/>
  <c r="M1762" i="4"/>
  <c r="L1762" i="4"/>
  <c r="K1762" i="4"/>
  <c r="J1762" i="4"/>
  <c r="I1762" i="4"/>
  <c r="H1762" i="4"/>
  <c r="G1762" i="4"/>
  <c r="F1762" i="4"/>
  <c r="E1762" i="4"/>
  <c r="D1762" i="4"/>
  <c r="C1762" i="4"/>
  <c r="B1762" i="4"/>
  <c r="A1762" i="4"/>
  <c r="M1761" i="4"/>
  <c r="L1761" i="4"/>
  <c r="K1761" i="4"/>
  <c r="J1761" i="4"/>
  <c r="I1761" i="4"/>
  <c r="H1761" i="4"/>
  <c r="G1761" i="4"/>
  <c r="F1761" i="4"/>
  <c r="E1761" i="4"/>
  <c r="D1761" i="4"/>
  <c r="C1761" i="4"/>
  <c r="B1761" i="4"/>
  <c r="A1761" i="4"/>
  <c r="M1760" i="4"/>
  <c r="L1760" i="4"/>
  <c r="K1760" i="4"/>
  <c r="J1760" i="4"/>
  <c r="I1760" i="4"/>
  <c r="H1760" i="4"/>
  <c r="G1760" i="4"/>
  <c r="F1760" i="4"/>
  <c r="E1760" i="4"/>
  <c r="D1760" i="4"/>
  <c r="C1760" i="4"/>
  <c r="B1760" i="4"/>
  <c r="A1760" i="4"/>
  <c r="M1759" i="4"/>
  <c r="L1759" i="4"/>
  <c r="K1759" i="4"/>
  <c r="J1759" i="4"/>
  <c r="I1759" i="4"/>
  <c r="H1759" i="4"/>
  <c r="G1759" i="4"/>
  <c r="F1759" i="4"/>
  <c r="E1759" i="4"/>
  <c r="D1759" i="4"/>
  <c r="C1759" i="4"/>
  <c r="B1759" i="4"/>
  <c r="A1759" i="4"/>
  <c r="M1758" i="4"/>
  <c r="L1758" i="4"/>
  <c r="K1758" i="4"/>
  <c r="J1758" i="4"/>
  <c r="I1758" i="4"/>
  <c r="H1758" i="4"/>
  <c r="G1758" i="4"/>
  <c r="F1758" i="4"/>
  <c r="E1758" i="4"/>
  <c r="D1758" i="4"/>
  <c r="C1758" i="4"/>
  <c r="B1758" i="4"/>
  <c r="A1758" i="4"/>
  <c r="M1757" i="4"/>
  <c r="L1757" i="4"/>
  <c r="K1757" i="4"/>
  <c r="J1757" i="4"/>
  <c r="I1757" i="4"/>
  <c r="H1757" i="4"/>
  <c r="G1757" i="4"/>
  <c r="F1757" i="4"/>
  <c r="E1757" i="4"/>
  <c r="D1757" i="4"/>
  <c r="C1757" i="4"/>
  <c r="B1757" i="4"/>
  <c r="A1757" i="4"/>
  <c r="M1756" i="4"/>
  <c r="L1756" i="4"/>
  <c r="K1756" i="4"/>
  <c r="J1756" i="4"/>
  <c r="I1756" i="4"/>
  <c r="H1756" i="4"/>
  <c r="G1756" i="4"/>
  <c r="F1756" i="4"/>
  <c r="E1756" i="4"/>
  <c r="D1756" i="4"/>
  <c r="C1756" i="4"/>
  <c r="B1756" i="4"/>
  <c r="A1756" i="4"/>
  <c r="M1755" i="4"/>
  <c r="L1755" i="4"/>
  <c r="K1755" i="4"/>
  <c r="J1755" i="4"/>
  <c r="I1755" i="4"/>
  <c r="H1755" i="4"/>
  <c r="G1755" i="4"/>
  <c r="F1755" i="4"/>
  <c r="E1755" i="4"/>
  <c r="D1755" i="4"/>
  <c r="C1755" i="4"/>
  <c r="B1755" i="4"/>
  <c r="A1755" i="4"/>
  <c r="M1754" i="4"/>
  <c r="L1754" i="4"/>
  <c r="K1754" i="4"/>
  <c r="J1754" i="4"/>
  <c r="I1754" i="4"/>
  <c r="H1754" i="4"/>
  <c r="G1754" i="4"/>
  <c r="F1754" i="4"/>
  <c r="E1754" i="4"/>
  <c r="D1754" i="4"/>
  <c r="C1754" i="4"/>
  <c r="B1754" i="4"/>
  <c r="A1754" i="4"/>
  <c r="M1753" i="4"/>
  <c r="L1753" i="4"/>
  <c r="K1753" i="4"/>
  <c r="J1753" i="4"/>
  <c r="I1753" i="4"/>
  <c r="H1753" i="4"/>
  <c r="G1753" i="4"/>
  <c r="F1753" i="4"/>
  <c r="E1753" i="4"/>
  <c r="D1753" i="4"/>
  <c r="C1753" i="4"/>
  <c r="B1753" i="4"/>
  <c r="A1753" i="4"/>
  <c r="M1752" i="4"/>
  <c r="L1752" i="4"/>
  <c r="K1752" i="4"/>
  <c r="J1752" i="4"/>
  <c r="I1752" i="4"/>
  <c r="H1752" i="4"/>
  <c r="G1752" i="4"/>
  <c r="F1752" i="4"/>
  <c r="E1752" i="4"/>
  <c r="D1752" i="4"/>
  <c r="C1752" i="4"/>
  <c r="B1752" i="4"/>
  <c r="A1752" i="4"/>
  <c r="M1751" i="4"/>
  <c r="L1751" i="4"/>
  <c r="K1751" i="4"/>
  <c r="J1751" i="4"/>
  <c r="I1751" i="4"/>
  <c r="H1751" i="4"/>
  <c r="G1751" i="4"/>
  <c r="F1751" i="4"/>
  <c r="E1751" i="4"/>
  <c r="D1751" i="4"/>
  <c r="C1751" i="4"/>
  <c r="B1751" i="4"/>
  <c r="A1751" i="4"/>
  <c r="M1750" i="4"/>
  <c r="L1750" i="4"/>
  <c r="K1750" i="4"/>
  <c r="J1750" i="4"/>
  <c r="I1750" i="4"/>
  <c r="H1750" i="4"/>
  <c r="G1750" i="4"/>
  <c r="F1750" i="4"/>
  <c r="E1750" i="4"/>
  <c r="D1750" i="4"/>
  <c r="C1750" i="4"/>
  <c r="B1750" i="4"/>
  <c r="A1750" i="4"/>
  <c r="M1749" i="4"/>
  <c r="L1749" i="4"/>
  <c r="K1749" i="4"/>
  <c r="J1749" i="4"/>
  <c r="I1749" i="4"/>
  <c r="H1749" i="4"/>
  <c r="G1749" i="4"/>
  <c r="F1749" i="4"/>
  <c r="E1749" i="4"/>
  <c r="D1749" i="4"/>
  <c r="C1749" i="4"/>
  <c r="B1749" i="4"/>
  <c r="A1749" i="4"/>
  <c r="M1748" i="4"/>
  <c r="L1748" i="4"/>
  <c r="K1748" i="4"/>
  <c r="J1748" i="4"/>
  <c r="I1748" i="4"/>
  <c r="H1748" i="4"/>
  <c r="G1748" i="4"/>
  <c r="F1748" i="4"/>
  <c r="E1748" i="4"/>
  <c r="D1748" i="4"/>
  <c r="C1748" i="4"/>
  <c r="B1748" i="4"/>
  <c r="A1748" i="4"/>
  <c r="M1747" i="4"/>
  <c r="L1747" i="4"/>
  <c r="K1747" i="4"/>
  <c r="J1747" i="4"/>
  <c r="I1747" i="4"/>
  <c r="H1747" i="4"/>
  <c r="G1747" i="4"/>
  <c r="F1747" i="4"/>
  <c r="E1747" i="4"/>
  <c r="D1747" i="4"/>
  <c r="C1747" i="4"/>
  <c r="B1747" i="4"/>
  <c r="A1747" i="4"/>
  <c r="M1746" i="4"/>
  <c r="L1746" i="4"/>
  <c r="K1746" i="4"/>
  <c r="J1746" i="4"/>
  <c r="I1746" i="4"/>
  <c r="H1746" i="4"/>
  <c r="G1746" i="4"/>
  <c r="F1746" i="4"/>
  <c r="E1746" i="4"/>
  <c r="D1746" i="4"/>
  <c r="C1746" i="4"/>
  <c r="B1746" i="4"/>
  <c r="A1746" i="4"/>
  <c r="M1745" i="4"/>
  <c r="L1745" i="4"/>
  <c r="K1745" i="4"/>
  <c r="J1745" i="4"/>
  <c r="I1745" i="4"/>
  <c r="H1745" i="4"/>
  <c r="G1745" i="4"/>
  <c r="F1745" i="4"/>
  <c r="E1745" i="4"/>
  <c r="D1745" i="4"/>
  <c r="C1745" i="4"/>
  <c r="B1745" i="4"/>
  <c r="A1745" i="4"/>
  <c r="M1744" i="4"/>
  <c r="L1744" i="4"/>
  <c r="K1744" i="4"/>
  <c r="J1744" i="4"/>
  <c r="I1744" i="4"/>
  <c r="H1744" i="4"/>
  <c r="G1744" i="4"/>
  <c r="F1744" i="4"/>
  <c r="E1744" i="4"/>
  <c r="D1744" i="4"/>
  <c r="C1744" i="4"/>
  <c r="B1744" i="4"/>
  <c r="A1744" i="4"/>
  <c r="M1743" i="4"/>
  <c r="L1743" i="4"/>
  <c r="K1743" i="4"/>
  <c r="J1743" i="4"/>
  <c r="I1743" i="4"/>
  <c r="H1743" i="4"/>
  <c r="G1743" i="4"/>
  <c r="F1743" i="4"/>
  <c r="E1743" i="4"/>
  <c r="D1743" i="4"/>
  <c r="C1743" i="4"/>
  <c r="B1743" i="4"/>
  <c r="A1743" i="4"/>
  <c r="M1742" i="4"/>
  <c r="L1742" i="4"/>
  <c r="K1742" i="4"/>
  <c r="J1742" i="4"/>
  <c r="I1742" i="4"/>
  <c r="H1742" i="4"/>
  <c r="G1742" i="4"/>
  <c r="F1742" i="4"/>
  <c r="E1742" i="4"/>
  <c r="D1742" i="4"/>
  <c r="C1742" i="4"/>
  <c r="B1742" i="4"/>
  <c r="A1742" i="4"/>
  <c r="M1741" i="4"/>
  <c r="L1741" i="4"/>
  <c r="K1741" i="4"/>
  <c r="J1741" i="4"/>
  <c r="I1741" i="4"/>
  <c r="H1741" i="4"/>
  <c r="G1741" i="4"/>
  <c r="F1741" i="4"/>
  <c r="E1741" i="4"/>
  <c r="D1741" i="4"/>
  <c r="C1741" i="4"/>
  <c r="B1741" i="4"/>
  <c r="A1741" i="4"/>
  <c r="M1740" i="4"/>
  <c r="L1740" i="4"/>
  <c r="K1740" i="4"/>
  <c r="J1740" i="4"/>
  <c r="I1740" i="4"/>
  <c r="H1740" i="4"/>
  <c r="G1740" i="4"/>
  <c r="E1740" i="4"/>
  <c r="D1740" i="4"/>
  <c r="C1740" i="4"/>
  <c r="B1740" i="4"/>
  <c r="A1740" i="4"/>
  <c r="M1739" i="4"/>
  <c r="L1739" i="4"/>
  <c r="K1739" i="4"/>
  <c r="J1739" i="4"/>
  <c r="I1739" i="4"/>
  <c r="H1739" i="4"/>
  <c r="G1739" i="4"/>
  <c r="F1739" i="4"/>
  <c r="E1739" i="4"/>
  <c r="D1739" i="4"/>
  <c r="C1739" i="4"/>
  <c r="B1739" i="4"/>
  <c r="A1739" i="4"/>
  <c r="M1738" i="4"/>
  <c r="L1738" i="4"/>
  <c r="K1738" i="4"/>
  <c r="J1738" i="4"/>
  <c r="I1738" i="4"/>
  <c r="H1738" i="4"/>
  <c r="G1738" i="4"/>
  <c r="F1738" i="4"/>
  <c r="E1738" i="4"/>
  <c r="D1738" i="4"/>
  <c r="C1738" i="4"/>
  <c r="B1738" i="4"/>
  <c r="A1738" i="4"/>
  <c r="M1737" i="4"/>
  <c r="L1737" i="4"/>
  <c r="K1737" i="4"/>
  <c r="J1737" i="4"/>
  <c r="I1737" i="4"/>
  <c r="H1737" i="4"/>
  <c r="G1737" i="4"/>
  <c r="F1737" i="4"/>
  <c r="E1737" i="4"/>
  <c r="D1737" i="4"/>
  <c r="C1737" i="4"/>
  <c r="B1737" i="4"/>
  <c r="A1737" i="4"/>
  <c r="M1736" i="4"/>
  <c r="L1736" i="4"/>
  <c r="K1736" i="4"/>
  <c r="J1736" i="4"/>
  <c r="I1736" i="4"/>
  <c r="H1736" i="4"/>
  <c r="G1736" i="4"/>
  <c r="F1736" i="4"/>
  <c r="E1736" i="4"/>
  <c r="D1736" i="4"/>
  <c r="C1736" i="4"/>
  <c r="B1736" i="4"/>
  <c r="A1736" i="4"/>
  <c r="M1735" i="4"/>
  <c r="L1735" i="4"/>
  <c r="K1735" i="4"/>
  <c r="J1735" i="4"/>
  <c r="I1735" i="4"/>
  <c r="H1735" i="4"/>
  <c r="G1735" i="4"/>
  <c r="F1735" i="4"/>
  <c r="D1735" i="4"/>
  <c r="C1735" i="4"/>
  <c r="B1735" i="4"/>
  <c r="A1735" i="4"/>
  <c r="M1734" i="4"/>
  <c r="L1734" i="4"/>
  <c r="K1734" i="4"/>
  <c r="J1734" i="4"/>
  <c r="I1734" i="4"/>
  <c r="H1734" i="4"/>
  <c r="G1734" i="4"/>
  <c r="F1734" i="4"/>
  <c r="E1734" i="4"/>
  <c r="D1734" i="4"/>
  <c r="C1734" i="4"/>
  <c r="B1734" i="4"/>
  <c r="A1734" i="4"/>
  <c r="M1733" i="4"/>
  <c r="L1733" i="4"/>
  <c r="K1733" i="4"/>
  <c r="J1733" i="4"/>
  <c r="I1733" i="4"/>
  <c r="H1733" i="4"/>
  <c r="G1733" i="4"/>
  <c r="F1733" i="4"/>
  <c r="E1733" i="4"/>
  <c r="D1733" i="4"/>
  <c r="C1733" i="4"/>
  <c r="B1733" i="4"/>
  <c r="A1733" i="4"/>
  <c r="M1732" i="4"/>
  <c r="L1732" i="4"/>
  <c r="K1732" i="4"/>
  <c r="J1732" i="4"/>
  <c r="I1732" i="4"/>
  <c r="H1732" i="4"/>
  <c r="G1732" i="4"/>
  <c r="F1732" i="4"/>
  <c r="E1732" i="4"/>
  <c r="D1732" i="4"/>
  <c r="C1732" i="4"/>
  <c r="B1732" i="4"/>
  <c r="A1732" i="4"/>
  <c r="M1731" i="4"/>
  <c r="L1731" i="4"/>
  <c r="K1731" i="4"/>
  <c r="J1731" i="4"/>
  <c r="I1731" i="4"/>
  <c r="H1731" i="4"/>
  <c r="G1731" i="4"/>
  <c r="F1731" i="4"/>
  <c r="E1731" i="4"/>
  <c r="D1731" i="4"/>
  <c r="C1731" i="4"/>
  <c r="B1731" i="4"/>
  <c r="A1731" i="4"/>
  <c r="M1730" i="4"/>
  <c r="L1730" i="4"/>
  <c r="K1730" i="4"/>
  <c r="J1730" i="4"/>
  <c r="I1730" i="4"/>
  <c r="H1730" i="4"/>
  <c r="G1730" i="4"/>
  <c r="F1730" i="4"/>
  <c r="E1730" i="4"/>
  <c r="D1730" i="4"/>
  <c r="C1730" i="4"/>
  <c r="B1730" i="4"/>
  <c r="A1730" i="4"/>
  <c r="M1729" i="4"/>
  <c r="L1729" i="4"/>
  <c r="K1729" i="4"/>
  <c r="J1729" i="4"/>
  <c r="I1729" i="4"/>
  <c r="H1729" i="4"/>
  <c r="G1729" i="4"/>
  <c r="F1729" i="4"/>
  <c r="E1729" i="4"/>
  <c r="D1729" i="4"/>
  <c r="C1729" i="4"/>
  <c r="B1729" i="4"/>
  <c r="A1729" i="4"/>
  <c r="M1728" i="4"/>
  <c r="L1728" i="4"/>
  <c r="K1728" i="4"/>
  <c r="J1728" i="4"/>
  <c r="I1728" i="4"/>
  <c r="H1728" i="4"/>
  <c r="G1728" i="4"/>
  <c r="F1728" i="4"/>
  <c r="E1728" i="4"/>
  <c r="D1728" i="4"/>
  <c r="C1728" i="4"/>
  <c r="B1728" i="4"/>
  <c r="A1728" i="4"/>
  <c r="M1727" i="4"/>
  <c r="L1727" i="4"/>
  <c r="K1727" i="4"/>
  <c r="J1727" i="4"/>
  <c r="I1727" i="4"/>
  <c r="H1727" i="4"/>
  <c r="G1727" i="4"/>
  <c r="F1727" i="4"/>
  <c r="E1727" i="4"/>
  <c r="D1727" i="4"/>
  <c r="C1727" i="4"/>
  <c r="B1727" i="4"/>
  <c r="A1727" i="4"/>
  <c r="M1726" i="4"/>
  <c r="L1726" i="4"/>
  <c r="K1726" i="4"/>
  <c r="J1726" i="4"/>
  <c r="I1726" i="4"/>
  <c r="H1726" i="4"/>
  <c r="G1726" i="4"/>
  <c r="F1726" i="4"/>
  <c r="E1726" i="4"/>
  <c r="D1726" i="4"/>
  <c r="C1726" i="4"/>
  <c r="B1726" i="4"/>
  <c r="A1726" i="4"/>
  <c r="M1725" i="4"/>
  <c r="L1725" i="4"/>
  <c r="K1725" i="4"/>
  <c r="J1725" i="4"/>
  <c r="I1725" i="4"/>
  <c r="H1725" i="4"/>
  <c r="G1725" i="4"/>
  <c r="F1725" i="4"/>
  <c r="E1725" i="4"/>
  <c r="D1725" i="4"/>
  <c r="C1725" i="4"/>
  <c r="B1725" i="4"/>
  <c r="A1725" i="4"/>
  <c r="M1724" i="4"/>
  <c r="L1724" i="4"/>
  <c r="K1724" i="4"/>
  <c r="J1724" i="4"/>
  <c r="I1724" i="4"/>
  <c r="H1724" i="4"/>
  <c r="G1724" i="4"/>
  <c r="F1724" i="4"/>
  <c r="E1724" i="4"/>
  <c r="D1724" i="4"/>
  <c r="C1724" i="4"/>
  <c r="B1724" i="4"/>
  <c r="A1724" i="4"/>
  <c r="M1723" i="4"/>
  <c r="L1723" i="4"/>
  <c r="K1723" i="4"/>
  <c r="J1723" i="4"/>
  <c r="I1723" i="4"/>
  <c r="H1723" i="4"/>
  <c r="G1723" i="4"/>
  <c r="F1723" i="4"/>
  <c r="E1723" i="4"/>
  <c r="D1723" i="4"/>
  <c r="C1723" i="4"/>
  <c r="B1723" i="4"/>
  <c r="A1723" i="4"/>
  <c r="M1722" i="4"/>
  <c r="L1722" i="4"/>
  <c r="K1722" i="4"/>
  <c r="J1722" i="4"/>
  <c r="I1722" i="4"/>
  <c r="H1722" i="4"/>
  <c r="G1722" i="4"/>
  <c r="F1722" i="4"/>
  <c r="E1722" i="4"/>
  <c r="D1722" i="4"/>
  <c r="C1722" i="4"/>
  <c r="B1722" i="4"/>
  <c r="A1722" i="4"/>
  <c r="M1721" i="4"/>
  <c r="L1721" i="4"/>
  <c r="K1721" i="4"/>
  <c r="J1721" i="4"/>
  <c r="I1721" i="4"/>
  <c r="H1721" i="4"/>
  <c r="G1721" i="4"/>
  <c r="F1721" i="4"/>
  <c r="E1721" i="4"/>
  <c r="D1721" i="4"/>
  <c r="C1721" i="4"/>
  <c r="B1721" i="4"/>
  <c r="A1721" i="4"/>
  <c r="M1720" i="4"/>
  <c r="L1720" i="4"/>
  <c r="K1720" i="4"/>
  <c r="J1720" i="4"/>
  <c r="I1720" i="4"/>
  <c r="H1720" i="4"/>
  <c r="G1720" i="4"/>
  <c r="F1720" i="4"/>
  <c r="E1720" i="4"/>
  <c r="D1720" i="4"/>
  <c r="C1720" i="4"/>
  <c r="B1720" i="4"/>
  <c r="A1720" i="4"/>
  <c r="M1719" i="4"/>
  <c r="L1719" i="4"/>
  <c r="K1719" i="4"/>
  <c r="J1719" i="4"/>
  <c r="I1719" i="4"/>
  <c r="H1719" i="4"/>
  <c r="G1719" i="4"/>
  <c r="F1719" i="4"/>
  <c r="E1719" i="4"/>
  <c r="D1719" i="4"/>
  <c r="C1719" i="4"/>
  <c r="B1719" i="4"/>
  <c r="A1719" i="4"/>
  <c r="M1718" i="4"/>
  <c r="L1718" i="4"/>
  <c r="K1718" i="4"/>
  <c r="J1718" i="4"/>
  <c r="I1718" i="4"/>
  <c r="H1718" i="4"/>
  <c r="G1718" i="4"/>
  <c r="F1718" i="4"/>
  <c r="E1718" i="4"/>
  <c r="D1718" i="4"/>
  <c r="C1718" i="4"/>
  <c r="B1718" i="4"/>
  <c r="A1718" i="4"/>
  <c r="M1717" i="4"/>
  <c r="L1717" i="4"/>
  <c r="K1717" i="4"/>
  <c r="J1717" i="4"/>
  <c r="I1717" i="4"/>
  <c r="H1717" i="4"/>
  <c r="G1717" i="4"/>
  <c r="F1717" i="4"/>
  <c r="E1717" i="4"/>
  <c r="D1717" i="4"/>
  <c r="C1717" i="4"/>
  <c r="B1717" i="4"/>
  <c r="A1717" i="4"/>
  <c r="M1716" i="4"/>
  <c r="L1716" i="4"/>
  <c r="K1716" i="4"/>
  <c r="J1716" i="4"/>
  <c r="I1716" i="4"/>
  <c r="H1716" i="4"/>
  <c r="G1716" i="4"/>
  <c r="F1716" i="4"/>
  <c r="E1716" i="4"/>
  <c r="D1716" i="4"/>
  <c r="C1716" i="4"/>
  <c r="B1716" i="4"/>
  <c r="A1716" i="4"/>
  <c r="M1715" i="4"/>
  <c r="L1715" i="4"/>
  <c r="K1715" i="4"/>
  <c r="J1715" i="4"/>
  <c r="I1715" i="4"/>
  <c r="H1715" i="4"/>
  <c r="G1715" i="4"/>
  <c r="F1715" i="4"/>
  <c r="E1715" i="4"/>
  <c r="D1715" i="4"/>
  <c r="C1715" i="4"/>
  <c r="B1715" i="4"/>
  <c r="A1715" i="4"/>
  <c r="M1714" i="4"/>
  <c r="L1714" i="4"/>
  <c r="K1714" i="4"/>
  <c r="J1714" i="4"/>
  <c r="I1714" i="4"/>
  <c r="H1714" i="4"/>
  <c r="G1714" i="4"/>
  <c r="F1714" i="4"/>
  <c r="E1714" i="4"/>
  <c r="D1714" i="4"/>
  <c r="C1714" i="4"/>
  <c r="B1714" i="4"/>
  <c r="A1714" i="4"/>
  <c r="M1713" i="4"/>
  <c r="L1713" i="4"/>
  <c r="K1713" i="4"/>
  <c r="J1713" i="4"/>
  <c r="I1713" i="4"/>
  <c r="H1713" i="4"/>
  <c r="G1713" i="4"/>
  <c r="F1713" i="4"/>
  <c r="E1713" i="4"/>
  <c r="D1713" i="4"/>
  <c r="C1713" i="4"/>
  <c r="B1713" i="4"/>
  <c r="A1713" i="4"/>
  <c r="M1712" i="4"/>
  <c r="L1712" i="4"/>
  <c r="K1712" i="4"/>
  <c r="J1712" i="4"/>
  <c r="I1712" i="4"/>
  <c r="H1712" i="4"/>
  <c r="G1712" i="4"/>
  <c r="F1712" i="4"/>
  <c r="E1712" i="4"/>
  <c r="D1712" i="4"/>
  <c r="C1712" i="4"/>
  <c r="B1712" i="4"/>
  <c r="A1712" i="4"/>
  <c r="M1711" i="4"/>
  <c r="L1711" i="4"/>
  <c r="K1711" i="4"/>
  <c r="J1711" i="4"/>
  <c r="I1711" i="4"/>
  <c r="H1711" i="4"/>
  <c r="G1711" i="4"/>
  <c r="F1711" i="4"/>
  <c r="E1711" i="4"/>
  <c r="D1711" i="4"/>
  <c r="C1711" i="4"/>
  <c r="B1711" i="4"/>
  <c r="A1711" i="4"/>
  <c r="M1710" i="4"/>
  <c r="L1710" i="4"/>
  <c r="K1710" i="4"/>
  <c r="J1710" i="4"/>
  <c r="I1710" i="4"/>
  <c r="H1710" i="4"/>
  <c r="G1710" i="4"/>
  <c r="F1710" i="4"/>
  <c r="E1710" i="4"/>
  <c r="D1710" i="4"/>
  <c r="C1710" i="4"/>
  <c r="B1710" i="4"/>
  <c r="A1710" i="4"/>
  <c r="M1709" i="4"/>
  <c r="L1709" i="4"/>
  <c r="K1709" i="4"/>
  <c r="J1709" i="4"/>
  <c r="I1709" i="4"/>
  <c r="H1709" i="4"/>
  <c r="G1709" i="4"/>
  <c r="F1709" i="4"/>
  <c r="E1709" i="4"/>
  <c r="D1709" i="4"/>
  <c r="C1709" i="4"/>
  <c r="B1709" i="4"/>
  <c r="A1709" i="4"/>
  <c r="M1708" i="4"/>
  <c r="L1708" i="4"/>
  <c r="K1708" i="4"/>
  <c r="J1708" i="4"/>
  <c r="I1708" i="4"/>
  <c r="H1708" i="4"/>
  <c r="G1708" i="4"/>
  <c r="F1708" i="4"/>
  <c r="E1708" i="4"/>
  <c r="D1708" i="4"/>
  <c r="C1708" i="4"/>
  <c r="B1708" i="4"/>
  <c r="A1708" i="4"/>
  <c r="M1707" i="4"/>
  <c r="L1707" i="4"/>
  <c r="K1707" i="4"/>
  <c r="J1707" i="4"/>
  <c r="I1707" i="4"/>
  <c r="H1707" i="4"/>
  <c r="G1707" i="4"/>
  <c r="F1707" i="4"/>
  <c r="E1707" i="4"/>
  <c r="D1707" i="4"/>
  <c r="C1707" i="4"/>
  <c r="B1707" i="4"/>
  <c r="A1707" i="4"/>
  <c r="M1706" i="4"/>
  <c r="L1706" i="4"/>
  <c r="K1706" i="4"/>
  <c r="J1706" i="4"/>
  <c r="I1706" i="4"/>
  <c r="H1706" i="4"/>
  <c r="G1706" i="4"/>
  <c r="F1706" i="4"/>
  <c r="E1706" i="4"/>
  <c r="D1706" i="4"/>
  <c r="C1706" i="4"/>
  <c r="B1706" i="4"/>
  <c r="A1706" i="4"/>
  <c r="M1705" i="4"/>
  <c r="L1705" i="4"/>
  <c r="K1705" i="4"/>
  <c r="J1705" i="4"/>
  <c r="I1705" i="4"/>
  <c r="H1705" i="4"/>
  <c r="G1705" i="4"/>
  <c r="F1705" i="4"/>
  <c r="E1705" i="4"/>
  <c r="D1705" i="4"/>
  <c r="C1705" i="4"/>
  <c r="B1705" i="4"/>
  <c r="A1705" i="4"/>
  <c r="M1704" i="4"/>
  <c r="L1704" i="4"/>
  <c r="K1704" i="4"/>
  <c r="J1704" i="4"/>
  <c r="I1704" i="4"/>
  <c r="H1704" i="4"/>
  <c r="G1704" i="4"/>
  <c r="F1704" i="4"/>
  <c r="E1704" i="4"/>
  <c r="D1704" i="4"/>
  <c r="C1704" i="4"/>
  <c r="B1704" i="4"/>
  <c r="A1704" i="4"/>
  <c r="M1703" i="4"/>
  <c r="L1703" i="4"/>
  <c r="K1703" i="4"/>
  <c r="J1703" i="4"/>
  <c r="I1703" i="4"/>
  <c r="H1703" i="4"/>
  <c r="G1703" i="4"/>
  <c r="F1703" i="4"/>
  <c r="E1703" i="4"/>
  <c r="D1703" i="4"/>
  <c r="C1703" i="4"/>
  <c r="B1703" i="4"/>
  <c r="A1703" i="4"/>
  <c r="M1702" i="4"/>
  <c r="L1702" i="4"/>
  <c r="K1702" i="4"/>
  <c r="J1702" i="4"/>
  <c r="I1702" i="4"/>
  <c r="H1702" i="4"/>
  <c r="G1702" i="4"/>
  <c r="F1702" i="4"/>
  <c r="E1702" i="4"/>
  <c r="D1702" i="4"/>
  <c r="C1702" i="4"/>
  <c r="B1702" i="4"/>
  <c r="A1702" i="4"/>
  <c r="M1701" i="4"/>
  <c r="L1701" i="4"/>
  <c r="K1701" i="4"/>
  <c r="J1701" i="4"/>
  <c r="I1701" i="4"/>
  <c r="H1701" i="4"/>
  <c r="G1701" i="4"/>
  <c r="F1701" i="4"/>
  <c r="E1701" i="4"/>
  <c r="D1701" i="4"/>
  <c r="C1701" i="4"/>
  <c r="B1701" i="4"/>
  <c r="A1701" i="4"/>
  <c r="M1700" i="4"/>
  <c r="L1700" i="4"/>
  <c r="K1700" i="4"/>
  <c r="J1700" i="4"/>
  <c r="I1700" i="4"/>
  <c r="H1700" i="4"/>
  <c r="G1700" i="4"/>
  <c r="F1700" i="4"/>
  <c r="E1700" i="4"/>
  <c r="D1700" i="4"/>
  <c r="C1700" i="4"/>
  <c r="B1700" i="4"/>
  <c r="A1700" i="4"/>
  <c r="M1699" i="4"/>
  <c r="L1699" i="4"/>
  <c r="K1699" i="4"/>
  <c r="J1699" i="4"/>
  <c r="I1699" i="4"/>
  <c r="H1699" i="4"/>
  <c r="G1699" i="4"/>
  <c r="F1699" i="4"/>
  <c r="E1699" i="4"/>
  <c r="D1699" i="4"/>
  <c r="C1699" i="4"/>
  <c r="B1699" i="4"/>
  <c r="A1699" i="4"/>
  <c r="M1698" i="4"/>
  <c r="L1698" i="4"/>
  <c r="K1698" i="4"/>
  <c r="J1698" i="4"/>
  <c r="I1698" i="4"/>
  <c r="H1698" i="4"/>
  <c r="G1698" i="4"/>
  <c r="F1698" i="4"/>
  <c r="E1698" i="4"/>
  <c r="D1698" i="4"/>
  <c r="C1698" i="4"/>
  <c r="B1698" i="4"/>
  <c r="A1698" i="4"/>
  <c r="M1697" i="4"/>
  <c r="L1697" i="4"/>
  <c r="K1697" i="4"/>
  <c r="J1697" i="4"/>
  <c r="I1697" i="4"/>
  <c r="H1697" i="4"/>
  <c r="G1697" i="4"/>
  <c r="F1697" i="4"/>
  <c r="E1697" i="4"/>
  <c r="D1697" i="4"/>
  <c r="C1697" i="4"/>
  <c r="B1697" i="4"/>
  <c r="A1697" i="4"/>
  <c r="M1696" i="4"/>
  <c r="L1696" i="4"/>
  <c r="K1696" i="4"/>
  <c r="J1696" i="4"/>
  <c r="I1696" i="4"/>
  <c r="H1696" i="4"/>
  <c r="G1696" i="4"/>
  <c r="F1696" i="4"/>
  <c r="E1696" i="4"/>
  <c r="D1696" i="4"/>
  <c r="C1696" i="4"/>
  <c r="B1696" i="4"/>
  <c r="A1696" i="4"/>
  <c r="M1695" i="4"/>
  <c r="L1695" i="4"/>
  <c r="K1695" i="4"/>
  <c r="J1695" i="4"/>
  <c r="I1695" i="4"/>
  <c r="H1695" i="4"/>
  <c r="G1695" i="4"/>
  <c r="F1695" i="4"/>
  <c r="E1695" i="4"/>
  <c r="D1695" i="4"/>
  <c r="C1695" i="4"/>
  <c r="B1695" i="4"/>
  <c r="A1695" i="4"/>
  <c r="M1694" i="4"/>
  <c r="L1694" i="4"/>
  <c r="K1694" i="4"/>
  <c r="J1694" i="4"/>
  <c r="I1694" i="4"/>
  <c r="H1694" i="4"/>
  <c r="G1694" i="4"/>
  <c r="F1694" i="4"/>
  <c r="E1694" i="4"/>
  <c r="D1694" i="4"/>
  <c r="C1694" i="4"/>
  <c r="B1694" i="4"/>
  <c r="A1694" i="4"/>
  <c r="M1693" i="4"/>
  <c r="L1693" i="4"/>
  <c r="K1693" i="4"/>
  <c r="J1693" i="4"/>
  <c r="I1693" i="4"/>
  <c r="H1693" i="4"/>
  <c r="G1693" i="4"/>
  <c r="F1693" i="4"/>
  <c r="E1693" i="4"/>
  <c r="D1693" i="4"/>
  <c r="C1693" i="4"/>
  <c r="B1693" i="4"/>
  <c r="A1693" i="4"/>
  <c r="M1692" i="4"/>
  <c r="L1692" i="4"/>
  <c r="K1692" i="4"/>
  <c r="J1692" i="4"/>
  <c r="I1692" i="4"/>
  <c r="H1692" i="4"/>
  <c r="G1692" i="4"/>
  <c r="F1692" i="4"/>
  <c r="E1692" i="4"/>
  <c r="D1692" i="4"/>
  <c r="C1692" i="4"/>
  <c r="B1692" i="4"/>
  <c r="A1692" i="4"/>
  <c r="M1691" i="4"/>
  <c r="L1691" i="4"/>
  <c r="K1691" i="4"/>
  <c r="J1691" i="4"/>
  <c r="I1691" i="4"/>
  <c r="H1691" i="4"/>
  <c r="G1691" i="4"/>
  <c r="F1691" i="4"/>
  <c r="E1691" i="4"/>
  <c r="D1691" i="4"/>
  <c r="C1691" i="4"/>
  <c r="B1691" i="4"/>
  <c r="A1691" i="4"/>
  <c r="M1690" i="4"/>
  <c r="L1690" i="4"/>
  <c r="K1690" i="4"/>
  <c r="J1690" i="4"/>
  <c r="I1690" i="4"/>
  <c r="H1690" i="4"/>
  <c r="G1690" i="4"/>
  <c r="F1690" i="4"/>
  <c r="E1690" i="4"/>
  <c r="D1690" i="4"/>
  <c r="C1690" i="4"/>
  <c r="B1690" i="4"/>
  <c r="A1690" i="4"/>
  <c r="M1689" i="4"/>
  <c r="L1689" i="4"/>
  <c r="K1689" i="4"/>
  <c r="J1689" i="4"/>
  <c r="I1689" i="4"/>
  <c r="H1689" i="4"/>
  <c r="G1689" i="4"/>
  <c r="F1689" i="4"/>
  <c r="E1689" i="4"/>
  <c r="D1689" i="4"/>
  <c r="C1689" i="4"/>
  <c r="B1689" i="4"/>
  <c r="A1689" i="4"/>
  <c r="M1688" i="4"/>
  <c r="L1688" i="4"/>
  <c r="K1688" i="4"/>
  <c r="J1688" i="4"/>
  <c r="I1688" i="4"/>
  <c r="H1688" i="4"/>
  <c r="G1688" i="4"/>
  <c r="F1688" i="4"/>
  <c r="E1688" i="4"/>
  <c r="D1688" i="4"/>
  <c r="C1688" i="4"/>
  <c r="B1688" i="4"/>
  <c r="A1688" i="4"/>
  <c r="M1687" i="4"/>
  <c r="L1687" i="4"/>
  <c r="K1687" i="4"/>
  <c r="J1687" i="4"/>
  <c r="I1687" i="4"/>
  <c r="H1687" i="4"/>
  <c r="G1687" i="4"/>
  <c r="F1687" i="4"/>
  <c r="E1687" i="4"/>
  <c r="D1687" i="4"/>
  <c r="C1687" i="4"/>
  <c r="B1687" i="4"/>
  <c r="A1687" i="4"/>
  <c r="M1686" i="4"/>
  <c r="L1686" i="4"/>
  <c r="K1686" i="4"/>
  <c r="J1686" i="4"/>
  <c r="I1686" i="4"/>
  <c r="H1686" i="4"/>
  <c r="G1686" i="4"/>
  <c r="F1686" i="4"/>
  <c r="E1686" i="4"/>
  <c r="D1686" i="4"/>
  <c r="C1686" i="4"/>
  <c r="B1686" i="4"/>
  <c r="A1686" i="4"/>
  <c r="M1685" i="4"/>
  <c r="L1685" i="4"/>
  <c r="K1685" i="4"/>
  <c r="J1685" i="4"/>
  <c r="I1685" i="4"/>
  <c r="H1685" i="4"/>
  <c r="G1685" i="4"/>
  <c r="F1685" i="4"/>
  <c r="E1685" i="4"/>
  <c r="D1685" i="4"/>
  <c r="C1685" i="4"/>
  <c r="B1685" i="4"/>
  <c r="A1685" i="4"/>
  <c r="M1684" i="4"/>
  <c r="L1684" i="4"/>
  <c r="K1684" i="4"/>
  <c r="J1684" i="4"/>
  <c r="I1684" i="4"/>
  <c r="H1684" i="4"/>
  <c r="G1684" i="4"/>
  <c r="F1684" i="4"/>
  <c r="E1684" i="4"/>
  <c r="D1684" i="4"/>
  <c r="C1684" i="4"/>
  <c r="B1684" i="4"/>
  <c r="A1684" i="4"/>
  <c r="M1683" i="4"/>
  <c r="L1683" i="4"/>
  <c r="K1683" i="4"/>
  <c r="J1683" i="4"/>
  <c r="I1683" i="4"/>
  <c r="H1683" i="4"/>
  <c r="G1683" i="4"/>
  <c r="F1683" i="4"/>
  <c r="E1683" i="4"/>
  <c r="D1683" i="4"/>
  <c r="C1683" i="4"/>
  <c r="B1683" i="4"/>
  <c r="A1683" i="4"/>
  <c r="M1682" i="4"/>
  <c r="L1682" i="4"/>
  <c r="K1682" i="4"/>
  <c r="J1682" i="4"/>
  <c r="I1682" i="4"/>
  <c r="H1682" i="4"/>
  <c r="G1682" i="4"/>
  <c r="F1682" i="4"/>
  <c r="E1682" i="4"/>
  <c r="D1682" i="4"/>
  <c r="C1682" i="4"/>
  <c r="B1682" i="4"/>
  <c r="A1682" i="4"/>
  <c r="M1681" i="4"/>
  <c r="L1681" i="4"/>
  <c r="K1681" i="4"/>
  <c r="J1681" i="4"/>
  <c r="I1681" i="4"/>
  <c r="H1681" i="4"/>
  <c r="G1681" i="4"/>
  <c r="F1681" i="4"/>
  <c r="E1681" i="4"/>
  <c r="D1681" i="4"/>
  <c r="C1681" i="4"/>
  <c r="B1681" i="4"/>
  <c r="A1681" i="4"/>
  <c r="M1680" i="4"/>
  <c r="L1680" i="4"/>
  <c r="K1680" i="4"/>
  <c r="J1680" i="4"/>
  <c r="I1680" i="4"/>
  <c r="H1680" i="4"/>
  <c r="G1680" i="4"/>
  <c r="F1680" i="4"/>
  <c r="E1680" i="4"/>
  <c r="D1680" i="4"/>
  <c r="C1680" i="4"/>
  <c r="B1680" i="4"/>
  <c r="A1680" i="4"/>
  <c r="M1679" i="4"/>
  <c r="L1679" i="4"/>
  <c r="K1679" i="4"/>
  <c r="J1679" i="4"/>
  <c r="I1679" i="4"/>
  <c r="H1679" i="4"/>
  <c r="G1679" i="4"/>
  <c r="F1679" i="4"/>
  <c r="E1679" i="4"/>
  <c r="D1679" i="4"/>
  <c r="C1679" i="4"/>
  <c r="B1679" i="4"/>
  <c r="A1679" i="4"/>
  <c r="M1678" i="4"/>
  <c r="L1678" i="4"/>
  <c r="K1678" i="4"/>
  <c r="J1678" i="4"/>
  <c r="I1678" i="4"/>
  <c r="H1678" i="4"/>
  <c r="G1678" i="4"/>
  <c r="F1678" i="4"/>
  <c r="E1678" i="4"/>
  <c r="D1678" i="4"/>
  <c r="C1678" i="4"/>
  <c r="B1678" i="4"/>
  <c r="A1678" i="4"/>
  <c r="M1677" i="4"/>
  <c r="L1677" i="4"/>
  <c r="K1677" i="4"/>
  <c r="J1677" i="4"/>
  <c r="I1677" i="4"/>
  <c r="H1677" i="4"/>
  <c r="G1677" i="4"/>
  <c r="F1677" i="4"/>
  <c r="E1677" i="4"/>
  <c r="D1677" i="4"/>
  <c r="C1677" i="4"/>
  <c r="B1677" i="4"/>
  <c r="A1677" i="4"/>
  <c r="M1676" i="4"/>
  <c r="L1676" i="4"/>
  <c r="K1676" i="4"/>
  <c r="J1676" i="4"/>
  <c r="I1676" i="4"/>
  <c r="H1676" i="4"/>
  <c r="G1676" i="4"/>
  <c r="F1676" i="4"/>
  <c r="E1676" i="4"/>
  <c r="D1676" i="4"/>
  <c r="C1676" i="4"/>
  <c r="B1676" i="4"/>
  <c r="A1676" i="4"/>
  <c r="M1675" i="4"/>
  <c r="L1675" i="4"/>
  <c r="K1675" i="4"/>
  <c r="J1675" i="4"/>
  <c r="I1675" i="4"/>
  <c r="H1675" i="4"/>
  <c r="G1675" i="4"/>
  <c r="F1675" i="4"/>
  <c r="E1675" i="4"/>
  <c r="D1675" i="4"/>
  <c r="C1675" i="4"/>
  <c r="B1675" i="4"/>
  <c r="A1675" i="4"/>
  <c r="M1674" i="4"/>
  <c r="L1674" i="4"/>
  <c r="K1674" i="4"/>
  <c r="J1674" i="4"/>
  <c r="I1674" i="4"/>
  <c r="H1674" i="4"/>
  <c r="G1674" i="4"/>
  <c r="F1674" i="4"/>
  <c r="E1674" i="4"/>
  <c r="D1674" i="4"/>
  <c r="C1674" i="4"/>
  <c r="B1674" i="4"/>
  <c r="A1674" i="4"/>
  <c r="M1673" i="4"/>
  <c r="L1673" i="4"/>
  <c r="K1673" i="4"/>
  <c r="J1673" i="4"/>
  <c r="I1673" i="4"/>
  <c r="H1673" i="4"/>
  <c r="G1673" i="4"/>
  <c r="F1673" i="4"/>
  <c r="E1673" i="4"/>
  <c r="D1673" i="4"/>
  <c r="C1673" i="4"/>
  <c r="B1673" i="4"/>
  <c r="A1673" i="4"/>
  <c r="M1672" i="4"/>
  <c r="L1672" i="4"/>
  <c r="K1672" i="4"/>
  <c r="J1672" i="4"/>
  <c r="I1672" i="4"/>
  <c r="H1672" i="4"/>
  <c r="G1672" i="4"/>
  <c r="F1672" i="4"/>
  <c r="E1672" i="4"/>
  <c r="D1672" i="4"/>
  <c r="C1672" i="4"/>
  <c r="B1672" i="4"/>
  <c r="A1672" i="4"/>
  <c r="M1671" i="4"/>
  <c r="L1671" i="4"/>
  <c r="K1671" i="4"/>
  <c r="J1671" i="4"/>
  <c r="I1671" i="4"/>
  <c r="H1671" i="4"/>
  <c r="G1671" i="4"/>
  <c r="F1671" i="4"/>
  <c r="E1671" i="4"/>
  <c r="D1671" i="4"/>
  <c r="C1671" i="4"/>
  <c r="B1671" i="4"/>
  <c r="A1671" i="4"/>
  <c r="M1670" i="4"/>
  <c r="L1670" i="4"/>
  <c r="K1670" i="4"/>
  <c r="J1670" i="4"/>
  <c r="I1670" i="4"/>
  <c r="H1670" i="4"/>
  <c r="G1670" i="4"/>
  <c r="F1670" i="4"/>
  <c r="E1670" i="4"/>
  <c r="D1670" i="4"/>
  <c r="C1670" i="4"/>
  <c r="B1670" i="4"/>
  <c r="A1670" i="4"/>
  <c r="M1669" i="4"/>
  <c r="L1669" i="4"/>
  <c r="K1669" i="4"/>
  <c r="J1669" i="4"/>
  <c r="I1669" i="4"/>
  <c r="H1669" i="4"/>
  <c r="G1669" i="4"/>
  <c r="F1669" i="4"/>
  <c r="E1669" i="4"/>
  <c r="D1669" i="4"/>
  <c r="C1669" i="4"/>
  <c r="B1669" i="4"/>
  <c r="A1669" i="4"/>
  <c r="M1668" i="4"/>
  <c r="L1668" i="4"/>
  <c r="K1668" i="4"/>
  <c r="J1668" i="4"/>
  <c r="I1668" i="4"/>
  <c r="H1668" i="4"/>
  <c r="G1668" i="4"/>
  <c r="F1668" i="4"/>
  <c r="E1668" i="4"/>
  <c r="D1668" i="4"/>
  <c r="C1668" i="4"/>
  <c r="B1668" i="4"/>
  <c r="A1668" i="4"/>
  <c r="M1667" i="4"/>
  <c r="L1667" i="4"/>
  <c r="K1667" i="4"/>
  <c r="J1667" i="4"/>
  <c r="I1667" i="4"/>
  <c r="H1667" i="4"/>
  <c r="G1667" i="4"/>
  <c r="F1667" i="4"/>
  <c r="E1667" i="4"/>
  <c r="D1667" i="4"/>
  <c r="C1667" i="4"/>
  <c r="B1667" i="4"/>
  <c r="A1667" i="4"/>
  <c r="M1666" i="4"/>
  <c r="L1666" i="4"/>
  <c r="K1666" i="4"/>
  <c r="J1666" i="4"/>
  <c r="I1666" i="4"/>
  <c r="H1666" i="4"/>
  <c r="G1666" i="4"/>
  <c r="F1666" i="4"/>
  <c r="E1666" i="4"/>
  <c r="D1666" i="4"/>
  <c r="C1666" i="4"/>
  <c r="B1666" i="4"/>
  <c r="A1666" i="4"/>
  <c r="M1665" i="4"/>
  <c r="L1665" i="4"/>
  <c r="K1665" i="4"/>
  <c r="J1665" i="4"/>
  <c r="I1665" i="4"/>
  <c r="H1665" i="4"/>
  <c r="G1665" i="4"/>
  <c r="F1665" i="4"/>
  <c r="E1665" i="4"/>
  <c r="D1665" i="4"/>
  <c r="C1665" i="4"/>
  <c r="B1665" i="4"/>
  <c r="A1665" i="4"/>
  <c r="M1664" i="4"/>
  <c r="L1664" i="4"/>
  <c r="K1664" i="4"/>
  <c r="J1664" i="4"/>
  <c r="I1664" i="4"/>
  <c r="H1664" i="4"/>
  <c r="G1664" i="4"/>
  <c r="F1664" i="4"/>
  <c r="E1664" i="4"/>
  <c r="D1664" i="4"/>
  <c r="C1664" i="4"/>
  <c r="B1664" i="4"/>
  <c r="A1664" i="4"/>
  <c r="M1663" i="4"/>
  <c r="L1663" i="4"/>
  <c r="K1663" i="4"/>
  <c r="J1663" i="4"/>
  <c r="I1663" i="4"/>
  <c r="H1663" i="4"/>
  <c r="G1663" i="4"/>
  <c r="F1663" i="4"/>
  <c r="E1663" i="4"/>
  <c r="D1663" i="4"/>
  <c r="C1663" i="4"/>
  <c r="B1663" i="4"/>
  <c r="A1663" i="4"/>
  <c r="M1662" i="4"/>
  <c r="L1662" i="4"/>
  <c r="K1662" i="4"/>
  <c r="J1662" i="4"/>
  <c r="I1662" i="4"/>
  <c r="H1662" i="4"/>
  <c r="G1662" i="4"/>
  <c r="F1662" i="4"/>
  <c r="E1662" i="4"/>
  <c r="D1662" i="4"/>
  <c r="C1662" i="4"/>
  <c r="B1662" i="4"/>
  <c r="A1662" i="4"/>
  <c r="M1661" i="4"/>
  <c r="L1661" i="4"/>
  <c r="K1661" i="4"/>
  <c r="J1661" i="4"/>
  <c r="I1661" i="4"/>
  <c r="H1661" i="4"/>
  <c r="G1661" i="4"/>
  <c r="F1661" i="4"/>
  <c r="E1661" i="4"/>
  <c r="D1661" i="4"/>
  <c r="C1661" i="4"/>
  <c r="B1661" i="4"/>
  <c r="A1661" i="4"/>
  <c r="M1660" i="4"/>
  <c r="L1660" i="4"/>
  <c r="K1660" i="4"/>
  <c r="J1660" i="4"/>
  <c r="I1660" i="4"/>
  <c r="H1660" i="4"/>
  <c r="G1660" i="4"/>
  <c r="F1660" i="4"/>
  <c r="E1660" i="4"/>
  <c r="D1660" i="4"/>
  <c r="C1660" i="4"/>
  <c r="B1660" i="4"/>
  <c r="A1660" i="4"/>
  <c r="M1659" i="4"/>
  <c r="L1659" i="4"/>
  <c r="K1659" i="4"/>
  <c r="J1659" i="4"/>
  <c r="I1659" i="4"/>
  <c r="H1659" i="4"/>
  <c r="G1659" i="4"/>
  <c r="F1659" i="4"/>
  <c r="E1659" i="4"/>
  <c r="D1659" i="4"/>
  <c r="C1659" i="4"/>
  <c r="B1659" i="4"/>
  <c r="A1659" i="4"/>
  <c r="M1658" i="4"/>
  <c r="L1658" i="4"/>
  <c r="K1658" i="4"/>
  <c r="J1658" i="4"/>
  <c r="I1658" i="4"/>
  <c r="H1658" i="4"/>
  <c r="G1658" i="4"/>
  <c r="F1658" i="4"/>
  <c r="E1658" i="4"/>
  <c r="D1658" i="4"/>
  <c r="C1658" i="4"/>
  <c r="B1658" i="4"/>
  <c r="A1658" i="4"/>
  <c r="M1657" i="4"/>
  <c r="L1657" i="4"/>
  <c r="K1657" i="4"/>
  <c r="J1657" i="4"/>
  <c r="I1657" i="4"/>
  <c r="H1657" i="4"/>
  <c r="G1657" i="4"/>
  <c r="F1657" i="4"/>
  <c r="E1657" i="4"/>
  <c r="D1657" i="4"/>
  <c r="C1657" i="4"/>
  <c r="B1657" i="4"/>
  <c r="A1657" i="4"/>
  <c r="M1656" i="4"/>
  <c r="L1656" i="4"/>
  <c r="K1656" i="4"/>
  <c r="J1656" i="4"/>
  <c r="I1656" i="4"/>
  <c r="H1656" i="4"/>
  <c r="G1656" i="4"/>
  <c r="F1656" i="4"/>
  <c r="E1656" i="4"/>
  <c r="D1656" i="4"/>
  <c r="C1656" i="4"/>
  <c r="B1656" i="4"/>
  <c r="A1656" i="4"/>
  <c r="M1655" i="4"/>
  <c r="L1655" i="4"/>
  <c r="K1655" i="4"/>
  <c r="J1655" i="4"/>
  <c r="I1655" i="4"/>
  <c r="H1655" i="4"/>
  <c r="G1655" i="4"/>
  <c r="F1655" i="4"/>
  <c r="E1655" i="4"/>
  <c r="D1655" i="4"/>
  <c r="C1655" i="4"/>
  <c r="B1655" i="4"/>
  <c r="A1655" i="4"/>
  <c r="M1654" i="4"/>
  <c r="L1654" i="4"/>
  <c r="K1654" i="4"/>
  <c r="J1654" i="4"/>
  <c r="I1654" i="4"/>
  <c r="H1654" i="4"/>
  <c r="G1654" i="4"/>
  <c r="F1654" i="4"/>
  <c r="E1654" i="4"/>
  <c r="D1654" i="4"/>
  <c r="C1654" i="4"/>
  <c r="B1654" i="4"/>
  <c r="A1654" i="4"/>
  <c r="M1653" i="4"/>
  <c r="L1653" i="4"/>
  <c r="K1653" i="4"/>
  <c r="J1653" i="4"/>
  <c r="I1653" i="4"/>
  <c r="H1653" i="4"/>
  <c r="G1653" i="4"/>
  <c r="F1653" i="4"/>
  <c r="E1653" i="4"/>
  <c r="D1653" i="4"/>
  <c r="C1653" i="4"/>
  <c r="B1653" i="4"/>
  <c r="A1653" i="4"/>
  <c r="M1652" i="4"/>
  <c r="L1652" i="4"/>
  <c r="K1652" i="4"/>
  <c r="J1652" i="4"/>
  <c r="I1652" i="4"/>
  <c r="H1652" i="4"/>
  <c r="G1652" i="4"/>
  <c r="F1652" i="4"/>
  <c r="E1652" i="4"/>
  <c r="D1652" i="4"/>
  <c r="C1652" i="4"/>
  <c r="B1652" i="4"/>
  <c r="A1652" i="4"/>
  <c r="M1651" i="4"/>
  <c r="L1651" i="4"/>
  <c r="K1651" i="4"/>
  <c r="J1651" i="4"/>
  <c r="I1651" i="4"/>
  <c r="H1651" i="4"/>
  <c r="G1651" i="4"/>
  <c r="F1651" i="4"/>
  <c r="E1651" i="4"/>
  <c r="D1651" i="4"/>
  <c r="C1651" i="4"/>
  <c r="B1651" i="4"/>
  <c r="A1651" i="4"/>
  <c r="M1650" i="4"/>
  <c r="L1650" i="4"/>
  <c r="K1650" i="4"/>
  <c r="J1650" i="4"/>
  <c r="I1650" i="4"/>
  <c r="H1650" i="4"/>
  <c r="G1650" i="4"/>
  <c r="F1650" i="4"/>
  <c r="E1650" i="4"/>
  <c r="D1650" i="4"/>
  <c r="C1650" i="4"/>
  <c r="B1650" i="4"/>
  <c r="A1650" i="4"/>
  <c r="M1649" i="4"/>
  <c r="L1649" i="4"/>
  <c r="K1649" i="4"/>
  <c r="J1649" i="4"/>
  <c r="I1649" i="4"/>
  <c r="H1649" i="4"/>
  <c r="G1649" i="4"/>
  <c r="F1649" i="4"/>
  <c r="E1649" i="4"/>
  <c r="D1649" i="4"/>
  <c r="C1649" i="4"/>
  <c r="B1649" i="4"/>
  <c r="A1649" i="4"/>
  <c r="M1648" i="4"/>
  <c r="L1648" i="4"/>
  <c r="K1648" i="4"/>
  <c r="J1648" i="4"/>
  <c r="I1648" i="4"/>
  <c r="H1648" i="4"/>
  <c r="G1648" i="4"/>
  <c r="F1648" i="4"/>
  <c r="E1648" i="4"/>
  <c r="D1648" i="4"/>
  <c r="C1648" i="4"/>
  <c r="B1648" i="4"/>
  <c r="A1648" i="4"/>
  <c r="M1647" i="4"/>
  <c r="L1647" i="4"/>
  <c r="K1647" i="4"/>
  <c r="J1647" i="4"/>
  <c r="I1647" i="4"/>
  <c r="H1647" i="4"/>
  <c r="G1647" i="4"/>
  <c r="F1647" i="4"/>
  <c r="E1647" i="4"/>
  <c r="D1647" i="4"/>
  <c r="C1647" i="4"/>
  <c r="B1647" i="4"/>
  <c r="A1647" i="4"/>
  <c r="M1646" i="4"/>
  <c r="L1646" i="4"/>
  <c r="K1646" i="4"/>
  <c r="J1646" i="4"/>
  <c r="I1646" i="4"/>
  <c r="H1646" i="4"/>
  <c r="G1646" i="4"/>
  <c r="F1646" i="4"/>
  <c r="E1646" i="4"/>
  <c r="D1646" i="4"/>
  <c r="C1646" i="4"/>
  <c r="B1646" i="4"/>
  <c r="A1646" i="4"/>
  <c r="M1645" i="4"/>
  <c r="L1645" i="4"/>
  <c r="K1645" i="4"/>
  <c r="J1645" i="4"/>
  <c r="I1645" i="4"/>
  <c r="H1645" i="4"/>
  <c r="G1645" i="4"/>
  <c r="F1645" i="4"/>
  <c r="E1645" i="4"/>
  <c r="D1645" i="4"/>
  <c r="C1645" i="4"/>
  <c r="B1645" i="4"/>
  <c r="A1645" i="4"/>
  <c r="M1644" i="4"/>
  <c r="L1644" i="4"/>
  <c r="K1644" i="4"/>
  <c r="J1644" i="4"/>
  <c r="I1644" i="4"/>
  <c r="H1644" i="4"/>
  <c r="G1644" i="4"/>
  <c r="F1644" i="4"/>
  <c r="E1644" i="4"/>
  <c r="D1644" i="4"/>
  <c r="C1644" i="4"/>
  <c r="B1644" i="4"/>
  <c r="A1644" i="4"/>
  <c r="M1643" i="4"/>
  <c r="L1643" i="4"/>
  <c r="K1643" i="4"/>
  <c r="J1643" i="4"/>
  <c r="I1643" i="4"/>
  <c r="H1643" i="4"/>
  <c r="G1643" i="4"/>
  <c r="F1643" i="4"/>
  <c r="E1643" i="4"/>
  <c r="D1643" i="4"/>
  <c r="C1643" i="4"/>
  <c r="B1643" i="4"/>
  <c r="A1643" i="4"/>
  <c r="M1642" i="4"/>
  <c r="L1642" i="4"/>
  <c r="K1642" i="4"/>
  <c r="J1642" i="4"/>
  <c r="I1642" i="4"/>
  <c r="H1642" i="4"/>
  <c r="G1642" i="4"/>
  <c r="F1642" i="4"/>
  <c r="E1642" i="4"/>
  <c r="D1642" i="4"/>
  <c r="C1642" i="4"/>
  <c r="B1642" i="4"/>
  <c r="A1642" i="4"/>
  <c r="M1641" i="4"/>
  <c r="L1641" i="4"/>
  <c r="K1641" i="4"/>
  <c r="J1641" i="4"/>
  <c r="I1641" i="4"/>
  <c r="H1641" i="4"/>
  <c r="G1641" i="4"/>
  <c r="F1641" i="4"/>
  <c r="D1641" i="4"/>
  <c r="C1641" i="4"/>
  <c r="B1641" i="4"/>
  <c r="A1641" i="4"/>
  <c r="M1640" i="4"/>
  <c r="L1640" i="4"/>
  <c r="K1640" i="4"/>
  <c r="J1640" i="4"/>
  <c r="I1640" i="4"/>
  <c r="H1640" i="4"/>
  <c r="G1640" i="4"/>
  <c r="F1640" i="4"/>
  <c r="E1640" i="4"/>
  <c r="D1640" i="4"/>
  <c r="C1640" i="4"/>
  <c r="B1640" i="4"/>
  <c r="A1640" i="4"/>
  <c r="M1639" i="4"/>
  <c r="L1639" i="4"/>
  <c r="K1639" i="4"/>
  <c r="J1639" i="4"/>
  <c r="I1639" i="4"/>
  <c r="H1639" i="4"/>
  <c r="G1639" i="4"/>
  <c r="F1639" i="4"/>
  <c r="E1639" i="4"/>
  <c r="D1639" i="4"/>
  <c r="C1639" i="4"/>
  <c r="B1639" i="4"/>
  <c r="A1639" i="4"/>
  <c r="M1638" i="4"/>
  <c r="L1638" i="4"/>
  <c r="K1638" i="4"/>
  <c r="J1638" i="4"/>
  <c r="I1638" i="4"/>
  <c r="H1638" i="4"/>
  <c r="G1638" i="4"/>
  <c r="F1638" i="4"/>
  <c r="E1638" i="4"/>
  <c r="D1638" i="4"/>
  <c r="C1638" i="4"/>
  <c r="B1638" i="4"/>
  <c r="A1638" i="4"/>
  <c r="M1637" i="4"/>
  <c r="L1637" i="4"/>
  <c r="K1637" i="4"/>
  <c r="J1637" i="4"/>
  <c r="I1637" i="4"/>
  <c r="H1637" i="4"/>
  <c r="G1637" i="4"/>
  <c r="F1637" i="4"/>
  <c r="E1637" i="4"/>
  <c r="D1637" i="4"/>
  <c r="C1637" i="4"/>
  <c r="B1637" i="4"/>
  <c r="A1637" i="4"/>
  <c r="M1636" i="4"/>
  <c r="L1636" i="4"/>
  <c r="K1636" i="4"/>
  <c r="J1636" i="4"/>
  <c r="I1636" i="4"/>
  <c r="H1636" i="4"/>
  <c r="G1636" i="4"/>
  <c r="F1636" i="4"/>
  <c r="E1636" i="4"/>
  <c r="D1636" i="4"/>
  <c r="C1636" i="4"/>
  <c r="B1636" i="4"/>
  <c r="A1636" i="4"/>
  <c r="M1635" i="4"/>
  <c r="L1635" i="4"/>
  <c r="K1635" i="4"/>
  <c r="J1635" i="4"/>
  <c r="I1635" i="4"/>
  <c r="H1635" i="4"/>
  <c r="G1635" i="4"/>
  <c r="F1635" i="4"/>
  <c r="E1635" i="4"/>
  <c r="D1635" i="4"/>
  <c r="C1635" i="4"/>
  <c r="B1635" i="4"/>
  <c r="A1635" i="4"/>
  <c r="M1634" i="4"/>
  <c r="L1634" i="4"/>
  <c r="K1634" i="4"/>
  <c r="J1634" i="4"/>
  <c r="I1634" i="4"/>
  <c r="H1634" i="4"/>
  <c r="G1634" i="4"/>
  <c r="F1634" i="4"/>
  <c r="E1634" i="4"/>
  <c r="D1634" i="4"/>
  <c r="C1634" i="4"/>
  <c r="B1634" i="4"/>
  <c r="A1634" i="4"/>
  <c r="M1633" i="4"/>
  <c r="L1633" i="4"/>
  <c r="K1633" i="4"/>
  <c r="J1633" i="4"/>
  <c r="I1633" i="4"/>
  <c r="H1633" i="4"/>
  <c r="G1633" i="4"/>
  <c r="F1633" i="4"/>
  <c r="E1633" i="4"/>
  <c r="D1633" i="4"/>
  <c r="C1633" i="4"/>
  <c r="B1633" i="4"/>
  <c r="A1633" i="4"/>
  <c r="M1632" i="4"/>
  <c r="L1632" i="4"/>
  <c r="K1632" i="4"/>
  <c r="J1632" i="4"/>
  <c r="I1632" i="4"/>
  <c r="H1632" i="4"/>
  <c r="G1632" i="4"/>
  <c r="F1632" i="4"/>
  <c r="E1632" i="4"/>
  <c r="D1632" i="4"/>
  <c r="C1632" i="4"/>
  <c r="B1632" i="4"/>
  <c r="A1632" i="4"/>
  <c r="M1631" i="4"/>
  <c r="L1631" i="4"/>
  <c r="K1631" i="4"/>
  <c r="J1631" i="4"/>
  <c r="I1631" i="4"/>
  <c r="H1631" i="4"/>
  <c r="G1631" i="4"/>
  <c r="F1631" i="4"/>
  <c r="E1631" i="4"/>
  <c r="D1631" i="4"/>
  <c r="C1631" i="4"/>
  <c r="B1631" i="4"/>
  <c r="A1631" i="4"/>
  <c r="M1630" i="4"/>
  <c r="L1630" i="4"/>
  <c r="K1630" i="4"/>
  <c r="J1630" i="4"/>
  <c r="I1630" i="4"/>
  <c r="H1630" i="4"/>
  <c r="G1630" i="4"/>
  <c r="F1630" i="4"/>
  <c r="E1630" i="4"/>
  <c r="D1630" i="4"/>
  <c r="C1630" i="4"/>
  <c r="B1630" i="4"/>
  <c r="A1630" i="4"/>
  <c r="M1629" i="4"/>
  <c r="L1629" i="4"/>
  <c r="K1629" i="4"/>
  <c r="J1629" i="4"/>
  <c r="I1629" i="4"/>
  <c r="H1629" i="4"/>
  <c r="G1629" i="4"/>
  <c r="F1629" i="4"/>
  <c r="E1629" i="4"/>
  <c r="D1629" i="4"/>
  <c r="C1629" i="4"/>
  <c r="B1629" i="4"/>
  <c r="A1629" i="4"/>
  <c r="M1628" i="4"/>
  <c r="L1628" i="4"/>
  <c r="K1628" i="4"/>
  <c r="J1628" i="4"/>
  <c r="I1628" i="4"/>
  <c r="H1628" i="4"/>
  <c r="G1628" i="4"/>
  <c r="F1628" i="4"/>
  <c r="E1628" i="4"/>
  <c r="D1628" i="4"/>
  <c r="C1628" i="4"/>
  <c r="B1628" i="4"/>
  <c r="A1628" i="4"/>
  <c r="M1627" i="4"/>
  <c r="L1627" i="4"/>
  <c r="K1627" i="4"/>
  <c r="J1627" i="4"/>
  <c r="I1627" i="4"/>
  <c r="H1627" i="4"/>
  <c r="G1627" i="4"/>
  <c r="F1627" i="4"/>
  <c r="E1627" i="4"/>
  <c r="D1627" i="4"/>
  <c r="C1627" i="4"/>
  <c r="B1627" i="4"/>
  <c r="A1627" i="4"/>
  <c r="M1626" i="4"/>
  <c r="L1626" i="4"/>
  <c r="K1626" i="4"/>
  <c r="J1626" i="4"/>
  <c r="I1626" i="4"/>
  <c r="H1626" i="4"/>
  <c r="G1626" i="4"/>
  <c r="F1626" i="4"/>
  <c r="E1626" i="4"/>
  <c r="D1626" i="4"/>
  <c r="C1626" i="4"/>
  <c r="B1626" i="4"/>
  <c r="A1626" i="4"/>
  <c r="M1625" i="4"/>
  <c r="L1625" i="4"/>
  <c r="K1625" i="4"/>
  <c r="J1625" i="4"/>
  <c r="I1625" i="4"/>
  <c r="H1625" i="4"/>
  <c r="G1625" i="4"/>
  <c r="F1625" i="4"/>
  <c r="E1625" i="4"/>
  <c r="D1625" i="4"/>
  <c r="C1625" i="4"/>
  <c r="B1625" i="4"/>
  <c r="A1625" i="4"/>
  <c r="M1624" i="4"/>
  <c r="L1624" i="4"/>
  <c r="K1624" i="4"/>
  <c r="J1624" i="4"/>
  <c r="I1624" i="4"/>
  <c r="H1624" i="4"/>
  <c r="G1624" i="4"/>
  <c r="F1624" i="4"/>
  <c r="E1624" i="4"/>
  <c r="D1624" i="4"/>
  <c r="C1624" i="4"/>
  <c r="B1624" i="4"/>
  <c r="A1624" i="4"/>
  <c r="M1623" i="4"/>
  <c r="L1623" i="4"/>
  <c r="K1623" i="4"/>
  <c r="J1623" i="4"/>
  <c r="I1623" i="4"/>
  <c r="H1623" i="4"/>
  <c r="G1623" i="4"/>
  <c r="F1623" i="4"/>
  <c r="E1623" i="4"/>
  <c r="D1623" i="4"/>
  <c r="C1623" i="4"/>
  <c r="B1623" i="4"/>
  <c r="A1623" i="4"/>
  <c r="M1622" i="4"/>
  <c r="L1622" i="4"/>
  <c r="K1622" i="4"/>
  <c r="J1622" i="4"/>
  <c r="I1622" i="4"/>
  <c r="H1622" i="4"/>
  <c r="G1622" i="4"/>
  <c r="F1622" i="4"/>
  <c r="E1622" i="4"/>
  <c r="D1622" i="4"/>
  <c r="C1622" i="4"/>
  <c r="B1622" i="4"/>
  <c r="A1622" i="4"/>
  <c r="M1621" i="4"/>
  <c r="L1621" i="4"/>
  <c r="K1621" i="4"/>
  <c r="J1621" i="4"/>
  <c r="I1621" i="4"/>
  <c r="H1621" i="4"/>
  <c r="G1621" i="4"/>
  <c r="F1621" i="4"/>
  <c r="E1621" i="4"/>
  <c r="D1621" i="4"/>
  <c r="C1621" i="4"/>
  <c r="B1621" i="4"/>
  <c r="A1621" i="4"/>
  <c r="M1620" i="4"/>
  <c r="L1620" i="4"/>
  <c r="K1620" i="4"/>
  <c r="J1620" i="4"/>
  <c r="I1620" i="4"/>
  <c r="H1620" i="4"/>
  <c r="G1620" i="4"/>
  <c r="F1620" i="4"/>
  <c r="E1620" i="4"/>
  <c r="D1620" i="4"/>
  <c r="C1620" i="4"/>
  <c r="B1620" i="4"/>
  <c r="A1620" i="4"/>
  <c r="M1619" i="4"/>
  <c r="L1619" i="4"/>
  <c r="K1619" i="4"/>
  <c r="J1619" i="4"/>
  <c r="I1619" i="4"/>
  <c r="H1619" i="4"/>
  <c r="G1619" i="4"/>
  <c r="F1619" i="4"/>
  <c r="E1619" i="4"/>
  <c r="D1619" i="4"/>
  <c r="C1619" i="4"/>
  <c r="B1619" i="4"/>
  <c r="A1619" i="4"/>
  <c r="M1618" i="4"/>
  <c r="L1618" i="4"/>
  <c r="K1618" i="4"/>
  <c r="J1618" i="4"/>
  <c r="I1618" i="4"/>
  <c r="H1618" i="4"/>
  <c r="G1618" i="4"/>
  <c r="F1618" i="4"/>
  <c r="E1618" i="4"/>
  <c r="D1618" i="4"/>
  <c r="C1618" i="4"/>
  <c r="B1618" i="4"/>
  <c r="A1618" i="4"/>
  <c r="M1617" i="4"/>
  <c r="L1617" i="4"/>
  <c r="K1617" i="4"/>
  <c r="J1617" i="4"/>
  <c r="I1617" i="4"/>
  <c r="H1617" i="4"/>
  <c r="G1617" i="4"/>
  <c r="F1617" i="4"/>
  <c r="E1617" i="4"/>
  <c r="D1617" i="4"/>
  <c r="C1617" i="4"/>
  <c r="B1617" i="4"/>
  <c r="A1617" i="4"/>
  <c r="M1616" i="4"/>
  <c r="L1616" i="4"/>
  <c r="K1616" i="4"/>
  <c r="J1616" i="4"/>
  <c r="I1616" i="4"/>
  <c r="H1616" i="4"/>
  <c r="G1616" i="4"/>
  <c r="F1616" i="4"/>
  <c r="E1616" i="4"/>
  <c r="D1616" i="4"/>
  <c r="C1616" i="4"/>
  <c r="B1616" i="4"/>
  <c r="A1616" i="4"/>
  <c r="M1615" i="4"/>
  <c r="L1615" i="4"/>
  <c r="K1615" i="4"/>
  <c r="J1615" i="4"/>
  <c r="I1615" i="4"/>
  <c r="H1615" i="4"/>
  <c r="G1615" i="4"/>
  <c r="F1615" i="4"/>
  <c r="E1615" i="4"/>
  <c r="D1615" i="4"/>
  <c r="C1615" i="4"/>
  <c r="B1615" i="4"/>
  <c r="A1615" i="4"/>
  <c r="M1614" i="4"/>
  <c r="L1614" i="4"/>
  <c r="K1614" i="4"/>
  <c r="J1614" i="4"/>
  <c r="I1614" i="4"/>
  <c r="H1614" i="4"/>
  <c r="G1614" i="4"/>
  <c r="F1614" i="4"/>
  <c r="E1614" i="4"/>
  <c r="D1614" i="4"/>
  <c r="C1614" i="4"/>
  <c r="B1614" i="4"/>
  <c r="A1614" i="4"/>
  <c r="M1613" i="4"/>
  <c r="L1613" i="4"/>
  <c r="K1613" i="4"/>
  <c r="J1613" i="4"/>
  <c r="I1613" i="4"/>
  <c r="H1613" i="4"/>
  <c r="G1613" i="4"/>
  <c r="F1613" i="4"/>
  <c r="E1613" i="4"/>
  <c r="D1613" i="4"/>
  <c r="C1613" i="4"/>
  <c r="B1613" i="4"/>
  <c r="A1613" i="4"/>
  <c r="M1612" i="4"/>
  <c r="L1612" i="4"/>
  <c r="K1612" i="4"/>
  <c r="J1612" i="4"/>
  <c r="I1612" i="4"/>
  <c r="H1612" i="4"/>
  <c r="G1612" i="4"/>
  <c r="F1612" i="4"/>
  <c r="E1612" i="4"/>
  <c r="D1612" i="4"/>
  <c r="C1612" i="4"/>
  <c r="B1612" i="4"/>
  <c r="A1612" i="4"/>
  <c r="M1611" i="4"/>
  <c r="L1611" i="4"/>
  <c r="K1611" i="4"/>
  <c r="J1611" i="4"/>
  <c r="I1611" i="4"/>
  <c r="H1611" i="4"/>
  <c r="G1611" i="4"/>
  <c r="F1611" i="4"/>
  <c r="E1611" i="4"/>
  <c r="D1611" i="4"/>
  <c r="C1611" i="4"/>
  <c r="B1611" i="4"/>
  <c r="A1611" i="4"/>
  <c r="M1610" i="4"/>
  <c r="L1610" i="4"/>
  <c r="K1610" i="4"/>
  <c r="J1610" i="4"/>
  <c r="I1610" i="4"/>
  <c r="H1610" i="4"/>
  <c r="G1610" i="4"/>
  <c r="F1610" i="4"/>
  <c r="E1610" i="4"/>
  <c r="D1610" i="4"/>
  <c r="C1610" i="4"/>
  <c r="B1610" i="4"/>
  <c r="A1610" i="4"/>
  <c r="M1609" i="4"/>
  <c r="L1609" i="4"/>
  <c r="K1609" i="4"/>
  <c r="J1609" i="4"/>
  <c r="I1609" i="4"/>
  <c r="H1609" i="4"/>
  <c r="G1609" i="4"/>
  <c r="F1609" i="4"/>
  <c r="E1609" i="4"/>
  <c r="D1609" i="4"/>
  <c r="C1609" i="4"/>
  <c r="B1609" i="4"/>
  <c r="A1609" i="4"/>
  <c r="M1608" i="4"/>
  <c r="L1608" i="4"/>
  <c r="K1608" i="4"/>
  <c r="J1608" i="4"/>
  <c r="I1608" i="4"/>
  <c r="H1608" i="4"/>
  <c r="G1608" i="4"/>
  <c r="F1608" i="4"/>
  <c r="D1608" i="4"/>
  <c r="C1608" i="4"/>
  <c r="B1608" i="4"/>
  <c r="A1608" i="4"/>
  <c r="M1607" i="4"/>
  <c r="L1607" i="4"/>
  <c r="K1607" i="4"/>
  <c r="J1607" i="4"/>
  <c r="I1607" i="4"/>
  <c r="H1607" i="4"/>
  <c r="G1607" i="4"/>
  <c r="F1607" i="4"/>
  <c r="E1607" i="4"/>
  <c r="D1607" i="4"/>
  <c r="C1607" i="4"/>
  <c r="B1607" i="4"/>
  <c r="A1607" i="4"/>
  <c r="M1606" i="4"/>
  <c r="L1606" i="4"/>
  <c r="K1606" i="4"/>
  <c r="J1606" i="4"/>
  <c r="I1606" i="4"/>
  <c r="H1606" i="4"/>
  <c r="G1606" i="4"/>
  <c r="F1606" i="4"/>
  <c r="E1606" i="4"/>
  <c r="D1606" i="4"/>
  <c r="C1606" i="4"/>
  <c r="B1606" i="4"/>
  <c r="A1606" i="4"/>
  <c r="M1605" i="4"/>
  <c r="L1605" i="4"/>
  <c r="K1605" i="4"/>
  <c r="J1605" i="4"/>
  <c r="I1605" i="4"/>
  <c r="H1605" i="4"/>
  <c r="G1605" i="4"/>
  <c r="F1605" i="4"/>
  <c r="E1605" i="4"/>
  <c r="D1605" i="4"/>
  <c r="C1605" i="4"/>
  <c r="B1605" i="4"/>
  <c r="A1605" i="4"/>
  <c r="M1604" i="4"/>
  <c r="L1604" i="4"/>
  <c r="K1604" i="4"/>
  <c r="J1604" i="4"/>
  <c r="I1604" i="4"/>
  <c r="H1604" i="4"/>
  <c r="G1604" i="4"/>
  <c r="F1604" i="4"/>
  <c r="E1604" i="4"/>
  <c r="D1604" i="4"/>
  <c r="C1604" i="4"/>
  <c r="B1604" i="4"/>
  <c r="A1604" i="4"/>
  <c r="M1603" i="4"/>
  <c r="L1603" i="4"/>
  <c r="K1603" i="4"/>
  <c r="J1603" i="4"/>
  <c r="I1603" i="4"/>
  <c r="H1603" i="4"/>
  <c r="G1603" i="4"/>
  <c r="F1603" i="4"/>
  <c r="E1603" i="4"/>
  <c r="D1603" i="4"/>
  <c r="C1603" i="4"/>
  <c r="B1603" i="4"/>
  <c r="A1603" i="4"/>
  <c r="M1602" i="4"/>
  <c r="L1602" i="4"/>
  <c r="K1602" i="4"/>
  <c r="J1602" i="4"/>
  <c r="I1602" i="4"/>
  <c r="H1602" i="4"/>
  <c r="G1602" i="4"/>
  <c r="F1602" i="4"/>
  <c r="E1602" i="4"/>
  <c r="D1602" i="4"/>
  <c r="C1602" i="4"/>
  <c r="B1602" i="4"/>
  <c r="A1602" i="4"/>
  <c r="M1601" i="4"/>
  <c r="L1601" i="4"/>
  <c r="K1601" i="4"/>
  <c r="J1601" i="4"/>
  <c r="I1601" i="4"/>
  <c r="H1601" i="4"/>
  <c r="G1601" i="4"/>
  <c r="F1601" i="4"/>
  <c r="E1601" i="4"/>
  <c r="D1601" i="4"/>
  <c r="C1601" i="4"/>
  <c r="B1601" i="4"/>
  <c r="A1601" i="4"/>
  <c r="M1600" i="4"/>
  <c r="L1600" i="4"/>
  <c r="K1600" i="4"/>
  <c r="J1600" i="4"/>
  <c r="I1600" i="4"/>
  <c r="H1600" i="4"/>
  <c r="G1600" i="4"/>
  <c r="F1600" i="4"/>
  <c r="E1600" i="4"/>
  <c r="D1600" i="4"/>
  <c r="C1600" i="4"/>
  <c r="B1600" i="4"/>
  <c r="A1600" i="4"/>
  <c r="M1599" i="4"/>
  <c r="L1599" i="4"/>
  <c r="K1599" i="4"/>
  <c r="J1599" i="4"/>
  <c r="I1599" i="4"/>
  <c r="H1599" i="4"/>
  <c r="G1599" i="4"/>
  <c r="F1599" i="4"/>
  <c r="E1599" i="4"/>
  <c r="D1599" i="4"/>
  <c r="C1599" i="4"/>
  <c r="B1599" i="4"/>
  <c r="A1599" i="4"/>
  <c r="M1598" i="4"/>
  <c r="L1598" i="4"/>
  <c r="K1598" i="4"/>
  <c r="J1598" i="4"/>
  <c r="I1598" i="4"/>
  <c r="H1598" i="4"/>
  <c r="G1598" i="4"/>
  <c r="F1598" i="4"/>
  <c r="E1598" i="4"/>
  <c r="D1598" i="4"/>
  <c r="C1598" i="4"/>
  <c r="B1598" i="4"/>
  <c r="A1598" i="4"/>
  <c r="M1597" i="4"/>
  <c r="L1597" i="4"/>
  <c r="K1597" i="4"/>
  <c r="J1597" i="4"/>
  <c r="I1597" i="4"/>
  <c r="H1597" i="4"/>
  <c r="G1597" i="4"/>
  <c r="F1597" i="4"/>
  <c r="E1597" i="4"/>
  <c r="D1597" i="4"/>
  <c r="C1597" i="4"/>
  <c r="B1597" i="4"/>
  <c r="A1597" i="4"/>
  <c r="M1596" i="4"/>
  <c r="L1596" i="4"/>
  <c r="K1596" i="4"/>
  <c r="J1596" i="4"/>
  <c r="I1596" i="4"/>
  <c r="H1596" i="4"/>
  <c r="G1596" i="4"/>
  <c r="F1596" i="4"/>
  <c r="E1596" i="4"/>
  <c r="D1596" i="4"/>
  <c r="C1596" i="4"/>
  <c r="B1596" i="4"/>
  <c r="A1596" i="4"/>
  <c r="M1595" i="4"/>
  <c r="L1595" i="4"/>
  <c r="K1595" i="4"/>
  <c r="J1595" i="4"/>
  <c r="I1595" i="4"/>
  <c r="H1595" i="4"/>
  <c r="G1595" i="4"/>
  <c r="F1595" i="4"/>
  <c r="E1595" i="4"/>
  <c r="D1595" i="4"/>
  <c r="C1595" i="4"/>
  <c r="B1595" i="4"/>
  <c r="A1595" i="4"/>
  <c r="M1594" i="4"/>
  <c r="L1594" i="4"/>
  <c r="K1594" i="4"/>
  <c r="J1594" i="4"/>
  <c r="I1594" i="4"/>
  <c r="H1594" i="4"/>
  <c r="G1594" i="4"/>
  <c r="F1594" i="4"/>
  <c r="E1594" i="4"/>
  <c r="D1594" i="4"/>
  <c r="C1594" i="4"/>
  <c r="B1594" i="4"/>
  <c r="A1594" i="4"/>
  <c r="M1593" i="4"/>
  <c r="L1593" i="4"/>
  <c r="K1593" i="4"/>
  <c r="J1593" i="4"/>
  <c r="I1593" i="4"/>
  <c r="H1593" i="4"/>
  <c r="G1593" i="4"/>
  <c r="F1593" i="4"/>
  <c r="E1593" i="4"/>
  <c r="D1593" i="4"/>
  <c r="C1593" i="4"/>
  <c r="B1593" i="4"/>
  <c r="A1593" i="4"/>
  <c r="M1592" i="4"/>
  <c r="L1592" i="4"/>
  <c r="K1592" i="4"/>
  <c r="J1592" i="4"/>
  <c r="I1592" i="4"/>
  <c r="H1592" i="4"/>
  <c r="G1592" i="4"/>
  <c r="F1592" i="4"/>
  <c r="E1592" i="4"/>
  <c r="D1592" i="4"/>
  <c r="C1592" i="4"/>
  <c r="B1592" i="4"/>
  <c r="A1592" i="4"/>
  <c r="M1591" i="4"/>
  <c r="L1591" i="4"/>
  <c r="K1591" i="4"/>
  <c r="J1591" i="4"/>
  <c r="I1591" i="4"/>
  <c r="H1591" i="4"/>
  <c r="G1591" i="4"/>
  <c r="F1591" i="4"/>
  <c r="E1591" i="4"/>
  <c r="D1591" i="4"/>
  <c r="C1591" i="4"/>
  <c r="B1591" i="4"/>
  <c r="A1591" i="4"/>
  <c r="M1590" i="4"/>
  <c r="L1590" i="4"/>
  <c r="K1590" i="4"/>
  <c r="J1590" i="4"/>
  <c r="I1590" i="4"/>
  <c r="H1590" i="4"/>
  <c r="G1590" i="4"/>
  <c r="F1590" i="4"/>
  <c r="E1590" i="4"/>
  <c r="D1590" i="4"/>
  <c r="C1590" i="4"/>
  <c r="B1590" i="4"/>
  <c r="A1590" i="4"/>
  <c r="M1589" i="4"/>
  <c r="L1589" i="4"/>
  <c r="K1589" i="4"/>
  <c r="J1589" i="4"/>
  <c r="I1589" i="4"/>
  <c r="H1589" i="4"/>
  <c r="G1589" i="4"/>
  <c r="F1589" i="4"/>
  <c r="E1589" i="4"/>
  <c r="D1589" i="4"/>
  <c r="C1589" i="4"/>
  <c r="B1589" i="4"/>
  <c r="A1589" i="4"/>
  <c r="M1588" i="4"/>
  <c r="L1588" i="4"/>
  <c r="K1588" i="4"/>
  <c r="J1588" i="4"/>
  <c r="I1588" i="4"/>
  <c r="H1588" i="4"/>
  <c r="G1588" i="4"/>
  <c r="F1588" i="4"/>
  <c r="E1588" i="4"/>
  <c r="D1588" i="4"/>
  <c r="C1588" i="4"/>
  <c r="B1588" i="4"/>
  <c r="A1588" i="4"/>
  <c r="M1587" i="4"/>
  <c r="L1587" i="4"/>
  <c r="K1587" i="4"/>
  <c r="J1587" i="4"/>
  <c r="I1587" i="4"/>
  <c r="H1587" i="4"/>
  <c r="G1587" i="4"/>
  <c r="F1587" i="4"/>
  <c r="E1587" i="4"/>
  <c r="D1587" i="4"/>
  <c r="C1587" i="4"/>
  <c r="B1587" i="4"/>
  <c r="A1587" i="4"/>
  <c r="M1586" i="4"/>
  <c r="L1586" i="4"/>
  <c r="K1586" i="4"/>
  <c r="J1586" i="4"/>
  <c r="I1586" i="4"/>
  <c r="H1586" i="4"/>
  <c r="G1586" i="4"/>
  <c r="F1586" i="4"/>
  <c r="E1586" i="4"/>
  <c r="D1586" i="4"/>
  <c r="C1586" i="4"/>
  <c r="B1586" i="4"/>
  <c r="A1586" i="4"/>
  <c r="M1585" i="4"/>
  <c r="L1585" i="4"/>
  <c r="K1585" i="4"/>
  <c r="J1585" i="4"/>
  <c r="I1585" i="4"/>
  <c r="H1585" i="4"/>
  <c r="G1585" i="4"/>
  <c r="F1585" i="4"/>
  <c r="E1585" i="4"/>
  <c r="D1585" i="4"/>
  <c r="C1585" i="4"/>
  <c r="B1585" i="4"/>
  <c r="A1585" i="4"/>
  <c r="M1584" i="4"/>
  <c r="L1584" i="4"/>
  <c r="K1584" i="4"/>
  <c r="J1584" i="4"/>
  <c r="I1584" i="4"/>
  <c r="H1584" i="4"/>
  <c r="G1584" i="4"/>
  <c r="F1584" i="4"/>
  <c r="E1584" i="4"/>
  <c r="D1584" i="4"/>
  <c r="C1584" i="4"/>
  <c r="B1584" i="4"/>
  <c r="A1584" i="4"/>
  <c r="M1583" i="4"/>
  <c r="L1583" i="4"/>
  <c r="K1583" i="4"/>
  <c r="J1583" i="4"/>
  <c r="I1583" i="4"/>
  <c r="H1583" i="4"/>
  <c r="G1583" i="4"/>
  <c r="F1583" i="4"/>
  <c r="E1583" i="4"/>
  <c r="D1583" i="4"/>
  <c r="C1583" i="4"/>
  <c r="B1583" i="4"/>
  <c r="A1583" i="4"/>
  <c r="M1582" i="4"/>
  <c r="L1582" i="4"/>
  <c r="K1582" i="4"/>
  <c r="J1582" i="4"/>
  <c r="I1582" i="4"/>
  <c r="H1582" i="4"/>
  <c r="G1582" i="4"/>
  <c r="F1582" i="4"/>
  <c r="E1582" i="4"/>
  <c r="D1582" i="4"/>
  <c r="C1582" i="4"/>
  <c r="B1582" i="4"/>
  <c r="A1582" i="4"/>
  <c r="M1581" i="4"/>
  <c r="L1581" i="4"/>
  <c r="K1581" i="4"/>
  <c r="J1581" i="4"/>
  <c r="I1581" i="4"/>
  <c r="H1581" i="4"/>
  <c r="G1581" i="4"/>
  <c r="F1581" i="4"/>
  <c r="E1581" i="4"/>
  <c r="D1581" i="4"/>
  <c r="C1581" i="4"/>
  <c r="B1581" i="4"/>
  <c r="A1581" i="4"/>
  <c r="M1580" i="4"/>
  <c r="L1580" i="4"/>
  <c r="K1580" i="4"/>
  <c r="J1580" i="4"/>
  <c r="I1580" i="4"/>
  <c r="H1580" i="4"/>
  <c r="G1580" i="4"/>
  <c r="F1580" i="4"/>
  <c r="E1580" i="4"/>
  <c r="D1580" i="4"/>
  <c r="C1580" i="4"/>
  <c r="B1580" i="4"/>
  <c r="A1580" i="4"/>
  <c r="M1579" i="4"/>
  <c r="L1579" i="4"/>
  <c r="K1579" i="4"/>
  <c r="J1579" i="4"/>
  <c r="I1579" i="4"/>
  <c r="H1579" i="4"/>
  <c r="G1579" i="4"/>
  <c r="F1579" i="4"/>
  <c r="E1579" i="4"/>
  <c r="D1579" i="4"/>
  <c r="C1579" i="4"/>
  <c r="B1579" i="4"/>
  <c r="A1579" i="4"/>
  <c r="M1578" i="4"/>
  <c r="L1578" i="4"/>
  <c r="K1578" i="4"/>
  <c r="J1578" i="4"/>
  <c r="I1578" i="4"/>
  <c r="H1578" i="4"/>
  <c r="G1578" i="4"/>
  <c r="F1578" i="4"/>
  <c r="E1578" i="4"/>
  <c r="D1578" i="4"/>
  <c r="C1578" i="4"/>
  <c r="B1578" i="4"/>
  <c r="A1578" i="4"/>
  <c r="M1577" i="4"/>
  <c r="L1577" i="4"/>
  <c r="K1577" i="4"/>
  <c r="J1577" i="4"/>
  <c r="I1577" i="4"/>
  <c r="H1577" i="4"/>
  <c r="G1577" i="4"/>
  <c r="F1577" i="4"/>
  <c r="D1577" i="4"/>
  <c r="C1577" i="4"/>
  <c r="B1577" i="4"/>
  <c r="A1577" i="4"/>
  <c r="M1576" i="4"/>
  <c r="L1576" i="4"/>
  <c r="K1576" i="4"/>
  <c r="J1576" i="4"/>
  <c r="I1576" i="4"/>
  <c r="H1576" i="4"/>
  <c r="G1576" i="4"/>
  <c r="F1576" i="4"/>
  <c r="E1576" i="4"/>
  <c r="D1576" i="4"/>
  <c r="C1576" i="4"/>
  <c r="B1576" i="4"/>
  <c r="A1576" i="4"/>
  <c r="M1575" i="4"/>
  <c r="L1575" i="4"/>
  <c r="K1575" i="4"/>
  <c r="J1575" i="4"/>
  <c r="I1575" i="4"/>
  <c r="H1575" i="4"/>
  <c r="G1575" i="4"/>
  <c r="F1575" i="4"/>
  <c r="E1575" i="4"/>
  <c r="D1575" i="4"/>
  <c r="C1575" i="4"/>
  <c r="B1575" i="4"/>
  <c r="A1575" i="4"/>
  <c r="M1574" i="4"/>
  <c r="L1574" i="4"/>
  <c r="K1574" i="4"/>
  <c r="J1574" i="4"/>
  <c r="I1574" i="4"/>
  <c r="H1574" i="4"/>
  <c r="G1574" i="4"/>
  <c r="F1574" i="4"/>
  <c r="E1574" i="4"/>
  <c r="D1574" i="4"/>
  <c r="C1574" i="4"/>
  <c r="B1574" i="4"/>
  <c r="A1574" i="4"/>
  <c r="M1573" i="4"/>
  <c r="L1573" i="4"/>
  <c r="K1573" i="4"/>
  <c r="J1573" i="4"/>
  <c r="I1573" i="4"/>
  <c r="H1573" i="4"/>
  <c r="G1573" i="4"/>
  <c r="F1573" i="4"/>
  <c r="E1573" i="4"/>
  <c r="D1573" i="4"/>
  <c r="C1573" i="4"/>
  <c r="B1573" i="4"/>
  <c r="A1573" i="4"/>
  <c r="M1572" i="4"/>
  <c r="L1572" i="4"/>
  <c r="K1572" i="4"/>
  <c r="J1572" i="4"/>
  <c r="I1572" i="4"/>
  <c r="H1572" i="4"/>
  <c r="G1572" i="4"/>
  <c r="F1572" i="4"/>
  <c r="E1572" i="4"/>
  <c r="D1572" i="4"/>
  <c r="C1572" i="4"/>
  <c r="B1572" i="4"/>
  <c r="A1572" i="4"/>
  <c r="M1571" i="4"/>
  <c r="L1571" i="4"/>
  <c r="K1571" i="4"/>
  <c r="J1571" i="4"/>
  <c r="I1571" i="4"/>
  <c r="H1571" i="4"/>
  <c r="G1571" i="4"/>
  <c r="F1571" i="4"/>
  <c r="E1571" i="4"/>
  <c r="D1571" i="4"/>
  <c r="C1571" i="4"/>
  <c r="B1571" i="4"/>
  <c r="A1571" i="4"/>
  <c r="M1570" i="4"/>
  <c r="L1570" i="4"/>
  <c r="K1570" i="4"/>
  <c r="J1570" i="4"/>
  <c r="I1570" i="4"/>
  <c r="H1570" i="4"/>
  <c r="G1570" i="4"/>
  <c r="F1570" i="4"/>
  <c r="E1570" i="4"/>
  <c r="D1570" i="4"/>
  <c r="C1570" i="4"/>
  <c r="B1570" i="4"/>
  <c r="A1570" i="4"/>
  <c r="M1569" i="4"/>
  <c r="L1569" i="4"/>
  <c r="K1569" i="4"/>
  <c r="J1569" i="4"/>
  <c r="I1569" i="4"/>
  <c r="H1569" i="4"/>
  <c r="G1569" i="4"/>
  <c r="F1569" i="4"/>
  <c r="E1569" i="4"/>
  <c r="D1569" i="4"/>
  <c r="C1569" i="4"/>
  <c r="B1569" i="4"/>
  <c r="A1569" i="4"/>
  <c r="M1568" i="4"/>
  <c r="L1568" i="4"/>
  <c r="K1568" i="4"/>
  <c r="J1568" i="4"/>
  <c r="I1568" i="4"/>
  <c r="H1568" i="4"/>
  <c r="G1568" i="4"/>
  <c r="F1568" i="4"/>
  <c r="E1568" i="4"/>
  <c r="D1568" i="4"/>
  <c r="C1568" i="4"/>
  <c r="B1568" i="4"/>
  <c r="A1568" i="4"/>
  <c r="M1567" i="4"/>
  <c r="L1567" i="4"/>
  <c r="K1567" i="4"/>
  <c r="J1567" i="4"/>
  <c r="I1567" i="4"/>
  <c r="H1567" i="4"/>
  <c r="G1567" i="4"/>
  <c r="F1567" i="4"/>
  <c r="E1567" i="4"/>
  <c r="D1567" i="4"/>
  <c r="C1567" i="4"/>
  <c r="B1567" i="4"/>
  <c r="A1567" i="4"/>
  <c r="M1566" i="4"/>
  <c r="L1566" i="4"/>
  <c r="K1566" i="4"/>
  <c r="J1566" i="4"/>
  <c r="I1566" i="4"/>
  <c r="H1566" i="4"/>
  <c r="G1566" i="4"/>
  <c r="F1566" i="4"/>
  <c r="E1566" i="4"/>
  <c r="D1566" i="4"/>
  <c r="C1566" i="4"/>
  <c r="B1566" i="4"/>
  <c r="A1566" i="4"/>
  <c r="M1565" i="4"/>
  <c r="L1565" i="4"/>
  <c r="K1565" i="4"/>
  <c r="J1565" i="4"/>
  <c r="I1565" i="4"/>
  <c r="H1565" i="4"/>
  <c r="G1565" i="4"/>
  <c r="F1565" i="4"/>
  <c r="E1565" i="4"/>
  <c r="D1565" i="4"/>
  <c r="C1565" i="4"/>
  <c r="B1565" i="4"/>
  <c r="A1565" i="4"/>
  <c r="M1564" i="4"/>
  <c r="L1564" i="4"/>
  <c r="K1564" i="4"/>
  <c r="J1564" i="4"/>
  <c r="I1564" i="4"/>
  <c r="H1564" i="4"/>
  <c r="G1564" i="4"/>
  <c r="F1564" i="4"/>
  <c r="E1564" i="4"/>
  <c r="D1564" i="4"/>
  <c r="C1564" i="4"/>
  <c r="B1564" i="4"/>
  <c r="A1564" i="4"/>
  <c r="M1563" i="4"/>
  <c r="L1563" i="4"/>
  <c r="K1563" i="4"/>
  <c r="J1563" i="4"/>
  <c r="I1563" i="4"/>
  <c r="H1563" i="4"/>
  <c r="G1563" i="4"/>
  <c r="F1563" i="4"/>
  <c r="E1563" i="4"/>
  <c r="D1563" i="4"/>
  <c r="C1563" i="4"/>
  <c r="B1563" i="4"/>
  <c r="A1563" i="4"/>
  <c r="M1562" i="4"/>
  <c r="L1562" i="4"/>
  <c r="K1562" i="4"/>
  <c r="J1562" i="4"/>
  <c r="I1562" i="4"/>
  <c r="H1562" i="4"/>
  <c r="G1562" i="4"/>
  <c r="F1562" i="4"/>
  <c r="E1562" i="4"/>
  <c r="D1562" i="4"/>
  <c r="C1562" i="4"/>
  <c r="B1562" i="4"/>
  <c r="A1562" i="4"/>
  <c r="M1561" i="4"/>
  <c r="L1561" i="4"/>
  <c r="K1561" i="4"/>
  <c r="J1561" i="4"/>
  <c r="I1561" i="4"/>
  <c r="H1561" i="4"/>
  <c r="G1561" i="4"/>
  <c r="F1561" i="4"/>
  <c r="E1561" i="4"/>
  <c r="D1561" i="4"/>
  <c r="C1561" i="4"/>
  <c r="B1561" i="4"/>
  <c r="A1561" i="4"/>
  <c r="M1560" i="4"/>
  <c r="L1560" i="4"/>
  <c r="K1560" i="4"/>
  <c r="J1560" i="4"/>
  <c r="I1560" i="4"/>
  <c r="H1560" i="4"/>
  <c r="G1560" i="4"/>
  <c r="F1560" i="4"/>
  <c r="E1560" i="4"/>
  <c r="D1560" i="4"/>
  <c r="C1560" i="4"/>
  <c r="B1560" i="4"/>
  <c r="A1560" i="4"/>
  <c r="M1559" i="4"/>
  <c r="L1559" i="4"/>
  <c r="K1559" i="4"/>
  <c r="J1559" i="4"/>
  <c r="I1559" i="4"/>
  <c r="H1559" i="4"/>
  <c r="G1559" i="4"/>
  <c r="F1559" i="4"/>
  <c r="E1559" i="4"/>
  <c r="D1559" i="4"/>
  <c r="C1559" i="4"/>
  <c r="B1559" i="4"/>
  <c r="A1559" i="4"/>
  <c r="M1558" i="4"/>
  <c r="L1558" i="4"/>
  <c r="K1558" i="4"/>
  <c r="J1558" i="4"/>
  <c r="I1558" i="4"/>
  <c r="H1558" i="4"/>
  <c r="G1558" i="4"/>
  <c r="F1558" i="4"/>
  <c r="E1558" i="4"/>
  <c r="D1558" i="4"/>
  <c r="C1558" i="4"/>
  <c r="B1558" i="4"/>
  <c r="A1558" i="4"/>
  <c r="M1557" i="4"/>
  <c r="L1557" i="4"/>
  <c r="K1557" i="4"/>
  <c r="J1557" i="4"/>
  <c r="I1557" i="4"/>
  <c r="H1557" i="4"/>
  <c r="G1557" i="4"/>
  <c r="F1557" i="4"/>
  <c r="E1557" i="4"/>
  <c r="D1557" i="4"/>
  <c r="C1557" i="4"/>
  <c r="B1557" i="4"/>
  <c r="A1557" i="4"/>
  <c r="M1556" i="4"/>
  <c r="L1556" i="4"/>
  <c r="K1556" i="4"/>
  <c r="J1556" i="4"/>
  <c r="I1556" i="4"/>
  <c r="H1556" i="4"/>
  <c r="G1556" i="4"/>
  <c r="F1556" i="4"/>
  <c r="E1556" i="4"/>
  <c r="D1556" i="4"/>
  <c r="C1556" i="4"/>
  <c r="B1556" i="4"/>
  <c r="A1556" i="4"/>
  <c r="M1555" i="4"/>
  <c r="L1555" i="4"/>
  <c r="K1555" i="4"/>
  <c r="J1555" i="4"/>
  <c r="I1555" i="4"/>
  <c r="H1555" i="4"/>
  <c r="G1555" i="4"/>
  <c r="F1555" i="4"/>
  <c r="E1555" i="4"/>
  <c r="D1555" i="4"/>
  <c r="C1555" i="4"/>
  <c r="B1555" i="4"/>
  <c r="A1555" i="4"/>
  <c r="M1554" i="4"/>
  <c r="L1554" i="4"/>
  <c r="K1554" i="4"/>
  <c r="J1554" i="4"/>
  <c r="I1554" i="4"/>
  <c r="H1554" i="4"/>
  <c r="G1554" i="4"/>
  <c r="F1554" i="4"/>
  <c r="E1554" i="4"/>
  <c r="D1554" i="4"/>
  <c r="C1554" i="4"/>
  <c r="B1554" i="4"/>
  <c r="A1554" i="4"/>
  <c r="M1553" i="4"/>
  <c r="L1553" i="4"/>
  <c r="K1553" i="4"/>
  <c r="J1553" i="4"/>
  <c r="I1553" i="4"/>
  <c r="H1553" i="4"/>
  <c r="G1553" i="4"/>
  <c r="F1553" i="4"/>
  <c r="E1553" i="4"/>
  <c r="D1553" i="4"/>
  <c r="C1553" i="4"/>
  <c r="B1553" i="4"/>
  <c r="A1553" i="4"/>
  <c r="M1552" i="4"/>
  <c r="L1552" i="4"/>
  <c r="K1552" i="4"/>
  <c r="J1552" i="4"/>
  <c r="I1552" i="4"/>
  <c r="H1552" i="4"/>
  <c r="G1552" i="4"/>
  <c r="F1552" i="4"/>
  <c r="E1552" i="4"/>
  <c r="D1552" i="4"/>
  <c r="C1552" i="4"/>
  <c r="B1552" i="4"/>
  <c r="A1552" i="4"/>
  <c r="M1551" i="4"/>
  <c r="L1551" i="4"/>
  <c r="K1551" i="4"/>
  <c r="J1551" i="4"/>
  <c r="I1551" i="4"/>
  <c r="H1551" i="4"/>
  <c r="G1551" i="4"/>
  <c r="F1551" i="4"/>
  <c r="E1551" i="4"/>
  <c r="D1551" i="4"/>
  <c r="C1551" i="4"/>
  <c r="B1551" i="4"/>
  <c r="A1551" i="4"/>
  <c r="M1550" i="4"/>
  <c r="L1550" i="4"/>
  <c r="K1550" i="4"/>
  <c r="J1550" i="4"/>
  <c r="I1550" i="4"/>
  <c r="H1550" i="4"/>
  <c r="G1550" i="4"/>
  <c r="F1550" i="4"/>
  <c r="E1550" i="4"/>
  <c r="D1550" i="4"/>
  <c r="C1550" i="4"/>
  <c r="B1550" i="4"/>
  <c r="A1550" i="4"/>
  <c r="M1549" i="4"/>
  <c r="L1549" i="4"/>
  <c r="K1549" i="4"/>
  <c r="J1549" i="4"/>
  <c r="I1549" i="4"/>
  <c r="H1549" i="4"/>
  <c r="G1549" i="4"/>
  <c r="F1549" i="4"/>
  <c r="E1549" i="4"/>
  <c r="D1549" i="4"/>
  <c r="C1549" i="4"/>
  <c r="B1549" i="4"/>
  <c r="A1549" i="4"/>
  <c r="M1548" i="4"/>
  <c r="L1548" i="4"/>
  <c r="K1548" i="4"/>
  <c r="J1548" i="4"/>
  <c r="I1548" i="4"/>
  <c r="H1548" i="4"/>
  <c r="G1548" i="4"/>
  <c r="F1548" i="4"/>
  <c r="E1548" i="4"/>
  <c r="D1548" i="4"/>
  <c r="C1548" i="4"/>
  <c r="B1548" i="4"/>
  <c r="A1548" i="4"/>
  <c r="M1547" i="4"/>
  <c r="L1547" i="4"/>
  <c r="K1547" i="4"/>
  <c r="J1547" i="4"/>
  <c r="I1547" i="4"/>
  <c r="H1547" i="4"/>
  <c r="G1547" i="4"/>
  <c r="F1547" i="4"/>
  <c r="E1547" i="4"/>
  <c r="D1547" i="4"/>
  <c r="C1547" i="4"/>
  <c r="B1547" i="4"/>
  <c r="A1547" i="4"/>
  <c r="M1546" i="4"/>
  <c r="L1546" i="4"/>
  <c r="K1546" i="4"/>
  <c r="J1546" i="4"/>
  <c r="I1546" i="4"/>
  <c r="H1546" i="4"/>
  <c r="G1546" i="4"/>
  <c r="F1546" i="4"/>
  <c r="E1546" i="4"/>
  <c r="D1546" i="4"/>
  <c r="C1546" i="4"/>
  <c r="B1546" i="4"/>
  <c r="A1546" i="4"/>
  <c r="M1545" i="4"/>
  <c r="L1545" i="4"/>
  <c r="K1545" i="4"/>
  <c r="J1545" i="4"/>
  <c r="I1545" i="4"/>
  <c r="H1545" i="4"/>
  <c r="G1545" i="4"/>
  <c r="F1545" i="4"/>
  <c r="E1545" i="4"/>
  <c r="D1545" i="4"/>
  <c r="C1545" i="4"/>
  <c r="B1545" i="4"/>
  <c r="A1545" i="4"/>
  <c r="M1544" i="4"/>
  <c r="L1544" i="4"/>
  <c r="K1544" i="4"/>
  <c r="J1544" i="4"/>
  <c r="I1544" i="4"/>
  <c r="H1544" i="4"/>
  <c r="G1544" i="4"/>
  <c r="F1544" i="4"/>
  <c r="E1544" i="4"/>
  <c r="D1544" i="4"/>
  <c r="C1544" i="4"/>
  <c r="B1544" i="4"/>
  <c r="A1544" i="4"/>
  <c r="M1543" i="4"/>
  <c r="L1543" i="4"/>
  <c r="K1543" i="4"/>
  <c r="J1543" i="4"/>
  <c r="I1543" i="4"/>
  <c r="H1543" i="4"/>
  <c r="G1543" i="4"/>
  <c r="F1543" i="4"/>
  <c r="E1543" i="4"/>
  <c r="D1543" i="4"/>
  <c r="C1543" i="4"/>
  <c r="B1543" i="4"/>
  <c r="A1543" i="4"/>
  <c r="M1542" i="4"/>
  <c r="L1542" i="4"/>
  <c r="K1542" i="4"/>
  <c r="J1542" i="4"/>
  <c r="I1542" i="4"/>
  <c r="H1542" i="4"/>
  <c r="G1542" i="4"/>
  <c r="F1542" i="4"/>
  <c r="E1542" i="4"/>
  <c r="D1542" i="4"/>
  <c r="C1542" i="4"/>
  <c r="B1542" i="4"/>
  <c r="A1542" i="4"/>
  <c r="M1541" i="4"/>
  <c r="L1541" i="4"/>
  <c r="K1541" i="4"/>
  <c r="J1541" i="4"/>
  <c r="I1541" i="4"/>
  <c r="H1541" i="4"/>
  <c r="G1541" i="4"/>
  <c r="F1541" i="4"/>
  <c r="E1541" i="4"/>
  <c r="D1541" i="4"/>
  <c r="C1541" i="4"/>
  <c r="B1541" i="4"/>
  <c r="A1541" i="4"/>
  <c r="M1540" i="4"/>
  <c r="L1540" i="4"/>
  <c r="K1540" i="4"/>
  <c r="J1540" i="4"/>
  <c r="I1540" i="4"/>
  <c r="H1540" i="4"/>
  <c r="G1540" i="4"/>
  <c r="F1540" i="4"/>
  <c r="E1540" i="4"/>
  <c r="D1540" i="4"/>
  <c r="C1540" i="4"/>
  <c r="B1540" i="4"/>
  <c r="A1540" i="4"/>
  <c r="M1539" i="4"/>
  <c r="L1539" i="4"/>
  <c r="K1539" i="4"/>
  <c r="J1539" i="4"/>
  <c r="I1539" i="4"/>
  <c r="H1539" i="4"/>
  <c r="G1539" i="4"/>
  <c r="F1539" i="4"/>
  <c r="E1539" i="4"/>
  <c r="D1539" i="4"/>
  <c r="C1539" i="4"/>
  <c r="B1539" i="4"/>
  <c r="A1539" i="4"/>
  <c r="M1538" i="4"/>
  <c r="L1538" i="4"/>
  <c r="K1538" i="4"/>
  <c r="J1538" i="4"/>
  <c r="I1538" i="4"/>
  <c r="H1538" i="4"/>
  <c r="G1538" i="4"/>
  <c r="F1538" i="4"/>
  <c r="D1538" i="4"/>
  <c r="C1538" i="4"/>
  <c r="B1538" i="4"/>
  <c r="A1538" i="4"/>
  <c r="M1537" i="4"/>
  <c r="L1537" i="4"/>
  <c r="K1537" i="4"/>
  <c r="J1537" i="4"/>
  <c r="I1537" i="4"/>
  <c r="H1537" i="4"/>
  <c r="G1537" i="4"/>
  <c r="F1537" i="4"/>
  <c r="E1537" i="4"/>
  <c r="D1537" i="4"/>
  <c r="C1537" i="4"/>
  <c r="B1537" i="4"/>
  <c r="A1537" i="4"/>
  <c r="M1536" i="4"/>
  <c r="L1536" i="4"/>
  <c r="K1536" i="4"/>
  <c r="J1536" i="4"/>
  <c r="I1536" i="4"/>
  <c r="H1536" i="4"/>
  <c r="G1536" i="4"/>
  <c r="F1536" i="4"/>
  <c r="E1536" i="4"/>
  <c r="D1536" i="4"/>
  <c r="C1536" i="4"/>
  <c r="B1536" i="4"/>
  <c r="A1536" i="4"/>
  <c r="M1535" i="4"/>
  <c r="L1535" i="4"/>
  <c r="K1535" i="4"/>
  <c r="J1535" i="4"/>
  <c r="I1535" i="4"/>
  <c r="H1535" i="4"/>
  <c r="G1535" i="4"/>
  <c r="F1535" i="4"/>
  <c r="E1535" i="4"/>
  <c r="D1535" i="4"/>
  <c r="C1535" i="4"/>
  <c r="B1535" i="4"/>
  <c r="A1535" i="4"/>
  <c r="M1534" i="4"/>
  <c r="L1534" i="4"/>
  <c r="K1534" i="4"/>
  <c r="J1534" i="4"/>
  <c r="I1534" i="4"/>
  <c r="H1534" i="4"/>
  <c r="G1534" i="4"/>
  <c r="F1534" i="4"/>
  <c r="E1534" i="4"/>
  <c r="D1534" i="4"/>
  <c r="C1534" i="4"/>
  <c r="B1534" i="4"/>
  <c r="A1534" i="4"/>
  <c r="M1533" i="4"/>
  <c r="L1533" i="4"/>
  <c r="K1533" i="4"/>
  <c r="J1533" i="4"/>
  <c r="I1533" i="4"/>
  <c r="H1533" i="4"/>
  <c r="G1533" i="4"/>
  <c r="F1533" i="4"/>
  <c r="E1533" i="4"/>
  <c r="D1533" i="4"/>
  <c r="C1533" i="4"/>
  <c r="B1533" i="4"/>
  <c r="A1533" i="4"/>
  <c r="M1532" i="4"/>
  <c r="L1532" i="4"/>
  <c r="K1532" i="4"/>
  <c r="J1532" i="4"/>
  <c r="I1532" i="4"/>
  <c r="H1532" i="4"/>
  <c r="G1532" i="4"/>
  <c r="F1532" i="4"/>
  <c r="E1532" i="4"/>
  <c r="D1532" i="4"/>
  <c r="C1532" i="4"/>
  <c r="B1532" i="4"/>
  <c r="A1532" i="4"/>
  <c r="M1531" i="4"/>
  <c r="L1531" i="4"/>
  <c r="K1531" i="4"/>
  <c r="J1531" i="4"/>
  <c r="I1531" i="4"/>
  <c r="H1531" i="4"/>
  <c r="G1531" i="4"/>
  <c r="F1531" i="4"/>
  <c r="E1531" i="4"/>
  <c r="D1531" i="4"/>
  <c r="C1531" i="4"/>
  <c r="B1531" i="4"/>
  <c r="A1531" i="4"/>
  <c r="M1530" i="4"/>
  <c r="L1530" i="4"/>
  <c r="K1530" i="4"/>
  <c r="J1530" i="4"/>
  <c r="I1530" i="4"/>
  <c r="H1530" i="4"/>
  <c r="G1530" i="4"/>
  <c r="F1530" i="4"/>
  <c r="E1530" i="4"/>
  <c r="D1530" i="4"/>
  <c r="C1530" i="4"/>
  <c r="B1530" i="4"/>
  <c r="A1530" i="4"/>
  <c r="M1529" i="4"/>
  <c r="L1529" i="4"/>
  <c r="K1529" i="4"/>
  <c r="J1529" i="4"/>
  <c r="I1529" i="4"/>
  <c r="H1529" i="4"/>
  <c r="G1529" i="4"/>
  <c r="F1529" i="4"/>
  <c r="E1529" i="4"/>
  <c r="D1529" i="4"/>
  <c r="C1529" i="4"/>
  <c r="B1529" i="4"/>
  <c r="A1529" i="4"/>
  <c r="M1528" i="4"/>
  <c r="L1528" i="4"/>
  <c r="K1528" i="4"/>
  <c r="J1528" i="4"/>
  <c r="I1528" i="4"/>
  <c r="H1528" i="4"/>
  <c r="G1528" i="4"/>
  <c r="F1528" i="4"/>
  <c r="E1528" i="4"/>
  <c r="D1528" i="4"/>
  <c r="C1528" i="4"/>
  <c r="B1528" i="4"/>
  <c r="A1528" i="4"/>
  <c r="M1527" i="4"/>
  <c r="L1527" i="4"/>
  <c r="K1527" i="4"/>
  <c r="J1527" i="4"/>
  <c r="I1527" i="4"/>
  <c r="H1527" i="4"/>
  <c r="G1527" i="4"/>
  <c r="F1527" i="4"/>
  <c r="E1527" i="4"/>
  <c r="D1527" i="4"/>
  <c r="C1527" i="4"/>
  <c r="B1527" i="4"/>
  <c r="A1527" i="4"/>
  <c r="M1526" i="4"/>
  <c r="L1526" i="4"/>
  <c r="K1526" i="4"/>
  <c r="J1526" i="4"/>
  <c r="I1526" i="4"/>
  <c r="H1526" i="4"/>
  <c r="G1526" i="4"/>
  <c r="F1526" i="4"/>
  <c r="E1526" i="4"/>
  <c r="D1526" i="4"/>
  <c r="C1526" i="4"/>
  <c r="B1526" i="4"/>
  <c r="A1526" i="4"/>
  <c r="M1525" i="4"/>
  <c r="L1525" i="4"/>
  <c r="K1525" i="4"/>
  <c r="J1525" i="4"/>
  <c r="I1525" i="4"/>
  <c r="H1525" i="4"/>
  <c r="G1525" i="4"/>
  <c r="F1525" i="4"/>
  <c r="E1525" i="4"/>
  <c r="D1525" i="4"/>
  <c r="C1525" i="4"/>
  <c r="B1525" i="4"/>
  <c r="A1525" i="4"/>
  <c r="M1524" i="4"/>
  <c r="L1524" i="4"/>
  <c r="K1524" i="4"/>
  <c r="J1524" i="4"/>
  <c r="I1524" i="4"/>
  <c r="H1524" i="4"/>
  <c r="G1524" i="4"/>
  <c r="F1524" i="4"/>
  <c r="E1524" i="4"/>
  <c r="D1524" i="4"/>
  <c r="C1524" i="4"/>
  <c r="B1524" i="4"/>
  <c r="A1524" i="4"/>
  <c r="M1523" i="4"/>
  <c r="L1523" i="4"/>
  <c r="K1523" i="4"/>
  <c r="J1523" i="4"/>
  <c r="I1523" i="4"/>
  <c r="H1523" i="4"/>
  <c r="G1523" i="4"/>
  <c r="F1523" i="4"/>
  <c r="E1523" i="4"/>
  <c r="D1523" i="4"/>
  <c r="C1523" i="4"/>
  <c r="B1523" i="4"/>
  <c r="A1523" i="4"/>
  <c r="M1522" i="4"/>
  <c r="L1522" i="4"/>
  <c r="K1522" i="4"/>
  <c r="J1522" i="4"/>
  <c r="I1522" i="4"/>
  <c r="H1522" i="4"/>
  <c r="G1522" i="4"/>
  <c r="F1522" i="4"/>
  <c r="E1522" i="4"/>
  <c r="D1522" i="4"/>
  <c r="C1522" i="4"/>
  <c r="B1522" i="4"/>
  <c r="A1522" i="4"/>
  <c r="M1521" i="4"/>
  <c r="L1521" i="4"/>
  <c r="K1521" i="4"/>
  <c r="J1521" i="4"/>
  <c r="I1521" i="4"/>
  <c r="H1521" i="4"/>
  <c r="G1521" i="4"/>
  <c r="F1521" i="4"/>
  <c r="E1521" i="4"/>
  <c r="D1521" i="4"/>
  <c r="C1521" i="4"/>
  <c r="B1521" i="4"/>
  <c r="A1521" i="4"/>
  <c r="M1520" i="4"/>
  <c r="L1520" i="4"/>
  <c r="K1520" i="4"/>
  <c r="J1520" i="4"/>
  <c r="I1520" i="4"/>
  <c r="H1520" i="4"/>
  <c r="G1520" i="4"/>
  <c r="F1520" i="4"/>
  <c r="D1520" i="4"/>
  <c r="C1520" i="4"/>
  <c r="B1520" i="4"/>
  <c r="A1520" i="4"/>
  <c r="M1519" i="4"/>
  <c r="L1519" i="4"/>
  <c r="K1519" i="4"/>
  <c r="J1519" i="4"/>
  <c r="I1519" i="4"/>
  <c r="H1519" i="4"/>
  <c r="G1519" i="4"/>
  <c r="F1519" i="4"/>
  <c r="E1519" i="4"/>
  <c r="D1519" i="4"/>
  <c r="C1519" i="4"/>
  <c r="B1519" i="4"/>
  <c r="A1519" i="4"/>
  <c r="M1518" i="4"/>
  <c r="L1518" i="4"/>
  <c r="K1518" i="4"/>
  <c r="J1518" i="4"/>
  <c r="I1518" i="4"/>
  <c r="H1518" i="4"/>
  <c r="G1518" i="4"/>
  <c r="F1518" i="4"/>
  <c r="E1518" i="4"/>
  <c r="D1518" i="4"/>
  <c r="C1518" i="4"/>
  <c r="B1518" i="4"/>
  <c r="A1518" i="4"/>
  <c r="M1517" i="4"/>
  <c r="L1517" i="4"/>
  <c r="K1517" i="4"/>
  <c r="J1517" i="4"/>
  <c r="I1517" i="4"/>
  <c r="H1517" i="4"/>
  <c r="G1517" i="4"/>
  <c r="F1517" i="4"/>
  <c r="E1517" i="4"/>
  <c r="D1517" i="4"/>
  <c r="C1517" i="4"/>
  <c r="B1517" i="4"/>
  <c r="A1517" i="4"/>
  <c r="M1516" i="4"/>
  <c r="L1516" i="4"/>
  <c r="K1516" i="4"/>
  <c r="J1516" i="4"/>
  <c r="I1516" i="4"/>
  <c r="H1516" i="4"/>
  <c r="G1516" i="4"/>
  <c r="F1516" i="4"/>
  <c r="E1516" i="4"/>
  <c r="D1516" i="4"/>
  <c r="C1516" i="4"/>
  <c r="B1516" i="4"/>
  <c r="A1516" i="4"/>
  <c r="M1515" i="4"/>
  <c r="L1515" i="4"/>
  <c r="K1515" i="4"/>
  <c r="J1515" i="4"/>
  <c r="I1515" i="4"/>
  <c r="H1515" i="4"/>
  <c r="G1515" i="4"/>
  <c r="F1515" i="4"/>
  <c r="E1515" i="4"/>
  <c r="D1515" i="4"/>
  <c r="C1515" i="4"/>
  <c r="B1515" i="4"/>
  <c r="A1515" i="4"/>
  <c r="M1514" i="4"/>
  <c r="L1514" i="4"/>
  <c r="K1514" i="4"/>
  <c r="J1514" i="4"/>
  <c r="I1514" i="4"/>
  <c r="H1514" i="4"/>
  <c r="G1514" i="4"/>
  <c r="F1514" i="4"/>
  <c r="E1514" i="4"/>
  <c r="D1514" i="4"/>
  <c r="C1514" i="4"/>
  <c r="B1514" i="4"/>
  <c r="A1514" i="4"/>
  <c r="M1513" i="4"/>
  <c r="L1513" i="4"/>
  <c r="K1513" i="4"/>
  <c r="J1513" i="4"/>
  <c r="I1513" i="4"/>
  <c r="H1513" i="4"/>
  <c r="G1513" i="4"/>
  <c r="F1513" i="4"/>
  <c r="E1513" i="4"/>
  <c r="D1513" i="4"/>
  <c r="C1513" i="4"/>
  <c r="B1513" i="4"/>
  <c r="A1513" i="4"/>
  <c r="M1512" i="4"/>
  <c r="L1512" i="4"/>
  <c r="K1512" i="4"/>
  <c r="J1512" i="4"/>
  <c r="I1512" i="4"/>
  <c r="H1512" i="4"/>
  <c r="G1512" i="4"/>
  <c r="F1512" i="4"/>
  <c r="E1512" i="4"/>
  <c r="D1512" i="4"/>
  <c r="C1512" i="4"/>
  <c r="B1512" i="4"/>
  <c r="A1512" i="4"/>
  <c r="M1511" i="4"/>
  <c r="L1511" i="4"/>
  <c r="K1511" i="4"/>
  <c r="J1511" i="4"/>
  <c r="I1511" i="4"/>
  <c r="H1511" i="4"/>
  <c r="G1511" i="4"/>
  <c r="F1511" i="4"/>
  <c r="E1511" i="4"/>
  <c r="D1511" i="4"/>
  <c r="C1511" i="4"/>
  <c r="B1511" i="4"/>
  <c r="A1511" i="4"/>
  <c r="M1510" i="4"/>
  <c r="L1510" i="4"/>
  <c r="K1510" i="4"/>
  <c r="J1510" i="4"/>
  <c r="I1510" i="4"/>
  <c r="H1510" i="4"/>
  <c r="G1510" i="4"/>
  <c r="F1510" i="4"/>
  <c r="E1510" i="4"/>
  <c r="D1510" i="4"/>
  <c r="C1510" i="4"/>
  <c r="B1510" i="4"/>
  <c r="A1510" i="4"/>
  <c r="M1509" i="4"/>
  <c r="L1509" i="4"/>
  <c r="K1509" i="4"/>
  <c r="J1509" i="4"/>
  <c r="I1509" i="4"/>
  <c r="H1509" i="4"/>
  <c r="G1509" i="4"/>
  <c r="F1509" i="4"/>
  <c r="E1509" i="4"/>
  <c r="D1509" i="4"/>
  <c r="C1509" i="4"/>
  <c r="B1509" i="4"/>
  <c r="A1509" i="4"/>
  <c r="M1508" i="4"/>
  <c r="L1508" i="4"/>
  <c r="K1508" i="4"/>
  <c r="J1508" i="4"/>
  <c r="I1508" i="4"/>
  <c r="H1508" i="4"/>
  <c r="G1508" i="4"/>
  <c r="F1508" i="4"/>
  <c r="D1508" i="4"/>
  <c r="C1508" i="4"/>
  <c r="B1508" i="4"/>
  <c r="A1508" i="4"/>
  <c r="M1507" i="4"/>
  <c r="L1507" i="4"/>
  <c r="K1507" i="4"/>
  <c r="J1507" i="4"/>
  <c r="I1507" i="4"/>
  <c r="H1507" i="4"/>
  <c r="G1507" i="4"/>
  <c r="F1507" i="4"/>
  <c r="E1507" i="4"/>
  <c r="D1507" i="4"/>
  <c r="C1507" i="4"/>
  <c r="B1507" i="4"/>
  <c r="A1507" i="4"/>
  <c r="M1506" i="4"/>
  <c r="L1506" i="4"/>
  <c r="K1506" i="4"/>
  <c r="J1506" i="4"/>
  <c r="I1506" i="4"/>
  <c r="H1506" i="4"/>
  <c r="G1506" i="4"/>
  <c r="F1506" i="4"/>
  <c r="E1506" i="4"/>
  <c r="D1506" i="4"/>
  <c r="C1506" i="4"/>
  <c r="B1506" i="4"/>
  <c r="A1506" i="4"/>
  <c r="M1505" i="4"/>
  <c r="L1505" i="4"/>
  <c r="K1505" i="4"/>
  <c r="J1505" i="4"/>
  <c r="I1505" i="4"/>
  <c r="H1505" i="4"/>
  <c r="G1505" i="4"/>
  <c r="F1505" i="4"/>
  <c r="E1505" i="4"/>
  <c r="D1505" i="4"/>
  <c r="C1505" i="4"/>
  <c r="B1505" i="4"/>
  <c r="A1505" i="4"/>
  <c r="M1504" i="4"/>
  <c r="L1504" i="4"/>
  <c r="K1504" i="4"/>
  <c r="J1504" i="4"/>
  <c r="I1504" i="4"/>
  <c r="H1504" i="4"/>
  <c r="G1504" i="4"/>
  <c r="F1504" i="4"/>
  <c r="E1504" i="4"/>
  <c r="D1504" i="4"/>
  <c r="C1504" i="4"/>
  <c r="B1504" i="4"/>
  <c r="A1504" i="4"/>
  <c r="M1503" i="4"/>
  <c r="L1503" i="4"/>
  <c r="K1503" i="4"/>
  <c r="J1503" i="4"/>
  <c r="I1503" i="4"/>
  <c r="H1503" i="4"/>
  <c r="G1503" i="4"/>
  <c r="F1503" i="4"/>
  <c r="E1503" i="4"/>
  <c r="D1503" i="4"/>
  <c r="C1503" i="4"/>
  <c r="B1503" i="4"/>
  <c r="A1503" i="4"/>
  <c r="M1502" i="4"/>
  <c r="L1502" i="4"/>
  <c r="K1502" i="4"/>
  <c r="J1502" i="4"/>
  <c r="I1502" i="4"/>
  <c r="H1502" i="4"/>
  <c r="G1502" i="4"/>
  <c r="F1502" i="4"/>
  <c r="E1502" i="4"/>
  <c r="D1502" i="4"/>
  <c r="C1502" i="4"/>
  <c r="B1502" i="4"/>
  <c r="A1502" i="4"/>
  <c r="M1501" i="4"/>
  <c r="L1501" i="4"/>
  <c r="K1501" i="4"/>
  <c r="J1501" i="4"/>
  <c r="I1501" i="4"/>
  <c r="H1501" i="4"/>
  <c r="G1501" i="4"/>
  <c r="F1501" i="4"/>
  <c r="E1501" i="4"/>
  <c r="D1501" i="4"/>
  <c r="C1501" i="4"/>
  <c r="B1501" i="4"/>
  <c r="A1501" i="4"/>
  <c r="M1500" i="4"/>
  <c r="L1500" i="4"/>
  <c r="K1500" i="4"/>
  <c r="J1500" i="4"/>
  <c r="I1500" i="4"/>
  <c r="H1500" i="4"/>
  <c r="G1500" i="4"/>
  <c r="F1500" i="4"/>
  <c r="E1500" i="4"/>
  <c r="D1500" i="4"/>
  <c r="C1500" i="4"/>
  <c r="B1500" i="4"/>
  <c r="A1500" i="4"/>
  <c r="M1499" i="4"/>
  <c r="L1499" i="4"/>
  <c r="K1499" i="4"/>
  <c r="J1499" i="4"/>
  <c r="I1499" i="4"/>
  <c r="H1499" i="4"/>
  <c r="G1499" i="4"/>
  <c r="F1499" i="4"/>
  <c r="E1499" i="4"/>
  <c r="D1499" i="4"/>
  <c r="C1499" i="4"/>
  <c r="B1499" i="4"/>
  <c r="A1499" i="4"/>
  <c r="M1498" i="4"/>
  <c r="L1498" i="4"/>
  <c r="K1498" i="4"/>
  <c r="J1498" i="4"/>
  <c r="I1498" i="4"/>
  <c r="H1498" i="4"/>
  <c r="G1498" i="4"/>
  <c r="F1498" i="4"/>
  <c r="E1498" i="4"/>
  <c r="D1498" i="4"/>
  <c r="C1498" i="4"/>
  <c r="B1498" i="4"/>
  <c r="A1498" i="4"/>
  <c r="M1497" i="4"/>
  <c r="L1497" i="4"/>
  <c r="K1497" i="4"/>
  <c r="J1497" i="4"/>
  <c r="I1497" i="4"/>
  <c r="H1497" i="4"/>
  <c r="G1497" i="4"/>
  <c r="F1497" i="4"/>
  <c r="E1497" i="4"/>
  <c r="D1497" i="4"/>
  <c r="C1497" i="4"/>
  <c r="B1497" i="4"/>
  <c r="A1497" i="4"/>
  <c r="M1496" i="4"/>
  <c r="L1496" i="4"/>
  <c r="K1496" i="4"/>
  <c r="J1496" i="4"/>
  <c r="I1496" i="4"/>
  <c r="H1496" i="4"/>
  <c r="G1496" i="4"/>
  <c r="F1496" i="4"/>
  <c r="E1496" i="4"/>
  <c r="D1496" i="4"/>
  <c r="C1496" i="4"/>
  <c r="B1496" i="4"/>
  <c r="A1496" i="4"/>
  <c r="M1495" i="4"/>
  <c r="L1495" i="4"/>
  <c r="K1495" i="4"/>
  <c r="J1495" i="4"/>
  <c r="I1495" i="4"/>
  <c r="H1495" i="4"/>
  <c r="G1495" i="4"/>
  <c r="F1495" i="4"/>
  <c r="E1495" i="4"/>
  <c r="D1495" i="4"/>
  <c r="C1495" i="4"/>
  <c r="B1495" i="4"/>
  <c r="A1495" i="4"/>
  <c r="M1494" i="4"/>
  <c r="L1494" i="4"/>
  <c r="K1494" i="4"/>
  <c r="J1494" i="4"/>
  <c r="I1494" i="4"/>
  <c r="H1494" i="4"/>
  <c r="G1494" i="4"/>
  <c r="F1494" i="4"/>
  <c r="E1494" i="4"/>
  <c r="D1494" i="4"/>
  <c r="C1494" i="4"/>
  <c r="B1494" i="4"/>
  <c r="A1494" i="4"/>
  <c r="M1493" i="4"/>
  <c r="L1493" i="4"/>
  <c r="K1493" i="4"/>
  <c r="J1493" i="4"/>
  <c r="I1493" i="4"/>
  <c r="H1493" i="4"/>
  <c r="G1493" i="4"/>
  <c r="F1493" i="4"/>
  <c r="E1493" i="4"/>
  <c r="D1493" i="4"/>
  <c r="C1493" i="4"/>
  <c r="B1493" i="4"/>
  <c r="A1493" i="4"/>
  <c r="M1492" i="4"/>
  <c r="L1492" i="4"/>
  <c r="K1492" i="4"/>
  <c r="J1492" i="4"/>
  <c r="I1492" i="4"/>
  <c r="H1492" i="4"/>
  <c r="G1492" i="4"/>
  <c r="F1492" i="4"/>
  <c r="E1492" i="4"/>
  <c r="D1492" i="4"/>
  <c r="C1492" i="4"/>
  <c r="B1492" i="4"/>
  <c r="A1492" i="4"/>
  <c r="M1491" i="4"/>
  <c r="L1491" i="4"/>
  <c r="K1491" i="4"/>
  <c r="J1491" i="4"/>
  <c r="I1491" i="4"/>
  <c r="H1491" i="4"/>
  <c r="G1491" i="4"/>
  <c r="F1491" i="4"/>
  <c r="E1491" i="4"/>
  <c r="D1491" i="4"/>
  <c r="C1491" i="4"/>
  <c r="B1491" i="4"/>
  <c r="A1491" i="4"/>
  <c r="M1490" i="4"/>
  <c r="L1490" i="4"/>
  <c r="K1490" i="4"/>
  <c r="J1490" i="4"/>
  <c r="I1490" i="4"/>
  <c r="H1490" i="4"/>
  <c r="G1490" i="4"/>
  <c r="F1490" i="4"/>
  <c r="E1490" i="4"/>
  <c r="D1490" i="4"/>
  <c r="C1490" i="4"/>
  <c r="B1490" i="4"/>
  <c r="A1490" i="4"/>
  <c r="M1489" i="4"/>
  <c r="L1489" i="4"/>
  <c r="K1489" i="4"/>
  <c r="J1489" i="4"/>
  <c r="I1489" i="4"/>
  <c r="H1489" i="4"/>
  <c r="G1489" i="4"/>
  <c r="F1489" i="4"/>
  <c r="E1489" i="4"/>
  <c r="D1489" i="4"/>
  <c r="C1489" i="4"/>
  <c r="B1489" i="4"/>
  <c r="A1489" i="4"/>
  <c r="M1488" i="4"/>
  <c r="L1488" i="4"/>
  <c r="K1488" i="4"/>
  <c r="J1488" i="4"/>
  <c r="I1488" i="4"/>
  <c r="H1488" i="4"/>
  <c r="G1488" i="4"/>
  <c r="F1488" i="4"/>
  <c r="E1488" i="4"/>
  <c r="D1488" i="4"/>
  <c r="C1488" i="4"/>
  <c r="B1488" i="4"/>
  <c r="A1488" i="4"/>
  <c r="M1487" i="4"/>
  <c r="L1487" i="4"/>
  <c r="K1487" i="4"/>
  <c r="J1487" i="4"/>
  <c r="I1487" i="4"/>
  <c r="H1487" i="4"/>
  <c r="G1487" i="4"/>
  <c r="F1487" i="4"/>
  <c r="E1487" i="4"/>
  <c r="D1487" i="4"/>
  <c r="C1487" i="4"/>
  <c r="B1487" i="4"/>
  <c r="A1487" i="4"/>
  <c r="M1486" i="4"/>
  <c r="L1486" i="4"/>
  <c r="K1486" i="4"/>
  <c r="J1486" i="4"/>
  <c r="I1486" i="4"/>
  <c r="H1486" i="4"/>
  <c r="G1486" i="4"/>
  <c r="F1486" i="4"/>
  <c r="E1486" i="4"/>
  <c r="D1486" i="4"/>
  <c r="C1486" i="4"/>
  <c r="B1486" i="4"/>
  <c r="A1486" i="4"/>
  <c r="M1485" i="4"/>
  <c r="L1485" i="4"/>
  <c r="K1485" i="4"/>
  <c r="J1485" i="4"/>
  <c r="I1485" i="4"/>
  <c r="H1485" i="4"/>
  <c r="G1485" i="4"/>
  <c r="F1485" i="4"/>
  <c r="E1485" i="4"/>
  <c r="D1485" i="4"/>
  <c r="C1485" i="4"/>
  <c r="B1485" i="4"/>
  <c r="A1485" i="4"/>
  <c r="M1484" i="4"/>
  <c r="L1484" i="4"/>
  <c r="K1484" i="4"/>
  <c r="J1484" i="4"/>
  <c r="I1484" i="4"/>
  <c r="H1484" i="4"/>
  <c r="G1484" i="4"/>
  <c r="F1484" i="4"/>
  <c r="E1484" i="4"/>
  <c r="D1484" i="4"/>
  <c r="C1484" i="4"/>
  <c r="B1484" i="4"/>
  <c r="A1484" i="4"/>
  <c r="M1483" i="4"/>
  <c r="L1483" i="4"/>
  <c r="K1483" i="4"/>
  <c r="J1483" i="4"/>
  <c r="I1483" i="4"/>
  <c r="H1483" i="4"/>
  <c r="G1483" i="4"/>
  <c r="F1483" i="4"/>
  <c r="E1483" i="4"/>
  <c r="D1483" i="4"/>
  <c r="C1483" i="4"/>
  <c r="B1483" i="4"/>
  <c r="A1483" i="4"/>
  <c r="M1482" i="4"/>
  <c r="L1482" i="4"/>
  <c r="K1482" i="4"/>
  <c r="J1482" i="4"/>
  <c r="I1482" i="4"/>
  <c r="H1482" i="4"/>
  <c r="G1482" i="4"/>
  <c r="F1482" i="4"/>
  <c r="E1482" i="4"/>
  <c r="D1482" i="4"/>
  <c r="C1482" i="4"/>
  <c r="B1482" i="4"/>
  <c r="A1482" i="4"/>
  <c r="M1481" i="4"/>
  <c r="L1481" i="4"/>
  <c r="K1481" i="4"/>
  <c r="J1481" i="4"/>
  <c r="I1481" i="4"/>
  <c r="H1481" i="4"/>
  <c r="G1481" i="4"/>
  <c r="F1481" i="4"/>
  <c r="E1481" i="4"/>
  <c r="D1481" i="4"/>
  <c r="C1481" i="4"/>
  <c r="B1481" i="4"/>
  <c r="A1481" i="4"/>
  <c r="M1480" i="4"/>
  <c r="L1480" i="4"/>
  <c r="K1480" i="4"/>
  <c r="J1480" i="4"/>
  <c r="I1480" i="4"/>
  <c r="H1480" i="4"/>
  <c r="G1480" i="4"/>
  <c r="F1480" i="4"/>
  <c r="E1480" i="4"/>
  <c r="D1480" i="4"/>
  <c r="C1480" i="4"/>
  <c r="B1480" i="4"/>
  <c r="A1480" i="4"/>
  <c r="M1479" i="4"/>
  <c r="L1479" i="4"/>
  <c r="K1479" i="4"/>
  <c r="J1479" i="4"/>
  <c r="I1479" i="4"/>
  <c r="H1479" i="4"/>
  <c r="G1479" i="4"/>
  <c r="F1479" i="4"/>
  <c r="E1479" i="4"/>
  <c r="D1479" i="4"/>
  <c r="C1479" i="4"/>
  <c r="B1479" i="4"/>
  <c r="A1479" i="4"/>
  <c r="M1478" i="4"/>
  <c r="L1478" i="4"/>
  <c r="K1478" i="4"/>
  <c r="J1478" i="4"/>
  <c r="I1478" i="4"/>
  <c r="H1478" i="4"/>
  <c r="G1478" i="4"/>
  <c r="F1478" i="4"/>
  <c r="E1478" i="4"/>
  <c r="D1478" i="4"/>
  <c r="C1478" i="4"/>
  <c r="B1478" i="4"/>
  <c r="A1478" i="4"/>
  <c r="M1477" i="4"/>
  <c r="L1477" i="4"/>
  <c r="K1477" i="4"/>
  <c r="J1477" i="4"/>
  <c r="I1477" i="4"/>
  <c r="H1477" i="4"/>
  <c r="G1477" i="4"/>
  <c r="F1477" i="4"/>
  <c r="E1477" i="4"/>
  <c r="D1477" i="4"/>
  <c r="C1477" i="4"/>
  <c r="B1477" i="4"/>
  <c r="A1477" i="4"/>
  <c r="M1476" i="4"/>
  <c r="L1476" i="4"/>
  <c r="K1476" i="4"/>
  <c r="J1476" i="4"/>
  <c r="I1476" i="4"/>
  <c r="H1476" i="4"/>
  <c r="G1476" i="4"/>
  <c r="F1476" i="4"/>
  <c r="E1476" i="4"/>
  <c r="D1476" i="4"/>
  <c r="C1476" i="4"/>
  <c r="B1476" i="4"/>
  <c r="A1476" i="4"/>
  <c r="M1475" i="4"/>
  <c r="L1475" i="4"/>
  <c r="K1475" i="4"/>
  <c r="J1475" i="4"/>
  <c r="I1475" i="4"/>
  <c r="H1475" i="4"/>
  <c r="G1475" i="4"/>
  <c r="F1475" i="4"/>
  <c r="E1475" i="4"/>
  <c r="D1475" i="4"/>
  <c r="C1475" i="4"/>
  <c r="B1475" i="4"/>
  <c r="A1475" i="4"/>
  <c r="M1474" i="4"/>
  <c r="L1474" i="4"/>
  <c r="K1474" i="4"/>
  <c r="J1474" i="4"/>
  <c r="I1474" i="4"/>
  <c r="H1474" i="4"/>
  <c r="G1474" i="4"/>
  <c r="F1474" i="4"/>
  <c r="E1474" i="4"/>
  <c r="D1474" i="4"/>
  <c r="C1474" i="4"/>
  <c r="B1474" i="4"/>
  <c r="A1474" i="4"/>
  <c r="M1473" i="4"/>
  <c r="L1473" i="4"/>
  <c r="K1473" i="4"/>
  <c r="J1473" i="4"/>
  <c r="I1473" i="4"/>
  <c r="H1473" i="4"/>
  <c r="G1473" i="4"/>
  <c r="F1473" i="4"/>
  <c r="E1473" i="4"/>
  <c r="D1473" i="4"/>
  <c r="C1473" i="4"/>
  <c r="B1473" i="4"/>
  <c r="A1473" i="4"/>
  <c r="M1472" i="4"/>
  <c r="L1472" i="4"/>
  <c r="K1472" i="4"/>
  <c r="J1472" i="4"/>
  <c r="I1472" i="4"/>
  <c r="H1472" i="4"/>
  <c r="G1472" i="4"/>
  <c r="F1472" i="4"/>
  <c r="E1472" i="4"/>
  <c r="D1472" i="4"/>
  <c r="C1472" i="4"/>
  <c r="B1472" i="4"/>
  <c r="A1472" i="4"/>
  <c r="M1471" i="4"/>
  <c r="L1471" i="4"/>
  <c r="K1471" i="4"/>
  <c r="J1471" i="4"/>
  <c r="I1471" i="4"/>
  <c r="H1471" i="4"/>
  <c r="G1471" i="4"/>
  <c r="F1471" i="4"/>
  <c r="E1471" i="4"/>
  <c r="D1471" i="4"/>
  <c r="C1471" i="4"/>
  <c r="B1471" i="4"/>
  <c r="A1471" i="4"/>
  <c r="M1470" i="4"/>
  <c r="L1470" i="4"/>
  <c r="K1470" i="4"/>
  <c r="J1470" i="4"/>
  <c r="I1470" i="4"/>
  <c r="H1470" i="4"/>
  <c r="G1470" i="4"/>
  <c r="F1470" i="4"/>
  <c r="E1470" i="4"/>
  <c r="D1470" i="4"/>
  <c r="C1470" i="4"/>
  <c r="B1470" i="4"/>
  <c r="A1470" i="4"/>
  <c r="M1469" i="4"/>
  <c r="L1469" i="4"/>
  <c r="K1469" i="4"/>
  <c r="J1469" i="4"/>
  <c r="I1469" i="4"/>
  <c r="H1469" i="4"/>
  <c r="G1469" i="4"/>
  <c r="F1469" i="4"/>
  <c r="E1469" i="4"/>
  <c r="D1469" i="4"/>
  <c r="C1469" i="4"/>
  <c r="B1469" i="4"/>
  <c r="A1469" i="4"/>
  <c r="M1468" i="4"/>
  <c r="L1468" i="4"/>
  <c r="K1468" i="4"/>
  <c r="J1468" i="4"/>
  <c r="I1468" i="4"/>
  <c r="H1468" i="4"/>
  <c r="G1468" i="4"/>
  <c r="F1468" i="4"/>
  <c r="E1468" i="4"/>
  <c r="D1468" i="4"/>
  <c r="C1468" i="4"/>
  <c r="B1468" i="4"/>
  <c r="A1468" i="4"/>
  <c r="M1467" i="4"/>
  <c r="L1467" i="4"/>
  <c r="K1467" i="4"/>
  <c r="J1467" i="4"/>
  <c r="I1467" i="4"/>
  <c r="H1467" i="4"/>
  <c r="G1467" i="4"/>
  <c r="F1467" i="4"/>
  <c r="E1467" i="4"/>
  <c r="D1467" i="4"/>
  <c r="C1467" i="4"/>
  <c r="B1467" i="4"/>
  <c r="A1467" i="4"/>
  <c r="M1466" i="4"/>
  <c r="L1466" i="4"/>
  <c r="K1466" i="4"/>
  <c r="J1466" i="4"/>
  <c r="I1466" i="4"/>
  <c r="H1466" i="4"/>
  <c r="G1466" i="4"/>
  <c r="F1466" i="4"/>
  <c r="E1466" i="4"/>
  <c r="D1466" i="4"/>
  <c r="C1466" i="4"/>
  <c r="B1466" i="4"/>
  <c r="A1466" i="4"/>
  <c r="M1465" i="4"/>
  <c r="L1465" i="4"/>
  <c r="K1465" i="4"/>
  <c r="J1465" i="4"/>
  <c r="I1465" i="4"/>
  <c r="H1465" i="4"/>
  <c r="G1465" i="4"/>
  <c r="F1465" i="4"/>
  <c r="E1465" i="4"/>
  <c r="D1465" i="4"/>
  <c r="C1465" i="4"/>
  <c r="B1465" i="4"/>
  <c r="A1465" i="4"/>
  <c r="M1464" i="4"/>
  <c r="L1464" i="4"/>
  <c r="K1464" i="4"/>
  <c r="J1464" i="4"/>
  <c r="I1464" i="4"/>
  <c r="H1464" i="4"/>
  <c r="G1464" i="4"/>
  <c r="F1464" i="4"/>
  <c r="E1464" i="4"/>
  <c r="D1464" i="4"/>
  <c r="C1464" i="4"/>
  <c r="B1464" i="4"/>
  <c r="A1464" i="4"/>
  <c r="M1463" i="4"/>
  <c r="L1463" i="4"/>
  <c r="K1463" i="4"/>
  <c r="J1463" i="4"/>
  <c r="I1463" i="4"/>
  <c r="H1463" i="4"/>
  <c r="G1463" i="4"/>
  <c r="F1463" i="4"/>
  <c r="E1463" i="4"/>
  <c r="D1463" i="4"/>
  <c r="C1463" i="4"/>
  <c r="B1463" i="4"/>
  <c r="A1463" i="4"/>
  <c r="M1462" i="4"/>
  <c r="L1462" i="4"/>
  <c r="K1462" i="4"/>
  <c r="J1462" i="4"/>
  <c r="I1462" i="4"/>
  <c r="H1462" i="4"/>
  <c r="G1462" i="4"/>
  <c r="F1462" i="4"/>
  <c r="E1462" i="4"/>
  <c r="D1462" i="4"/>
  <c r="C1462" i="4"/>
  <c r="B1462" i="4"/>
  <c r="A1462" i="4"/>
  <c r="M1461" i="4"/>
  <c r="L1461" i="4"/>
  <c r="K1461" i="4"/>
  <c r="J1461" i="4"/>
  <c r="I1461" i="4"/>
  <c r="H1461" i="4"/>
  <c r="G1461" i="4"/>
  <c r="F1461" i="4"/>
  <c r="E1461" i="4"/>
  <c r="D1461" i="4"/>
  <c r="C1461" i="4"/>
  <c r="B1461" i="4"/>
  <c r="A1461" i="4"/>
  <c r="M1460" i="4"/>
  <c r="L1460" i="4"/>
  <c r="K1460" i="4"/>
  <c r="J1460" i="4"/>
  <c r="I1460" i="4"/>
  <c r="H1460" i="4"/>
  <c r="G1460" i="4"/>
  <c r="F1460" i="4"/>
  <c r="E1460" i="4"/>
  <c r="D1460" i="4"/>
  <c r="C1460" i="4"/>
  <c r="B1460" i="4"/>
  <c r="A1460" i="4"/>
  <c r="M1459" i="4"/>
  <c r="L1459" i="4"/>
  <c r="K1459" i="4"/>
  <c r="J1459" i="4"/>
  <c r="I1459" i="4"/>
  <c r="H1459" i="4"/>
  <c r="G1459" i="4"/>
  <c r="F1459" i="4"/>
  <c r="E1459" i="4"/>
  <c r="D1459" i="4"/>
  <c r="C1459" i="4"/>
  <c r="B1459" i="4"/>
  <c r="A1459" i="4"/>
  <c r="M1458" i="4"/>
  <c r="L1458" i="4"/>
  <c r="K1458" i="4"/>
  <c r="J1458" i="4"/>
  <c r="I1458" i="4"/>
  <c r="H1458" i="4"/>
  <c r="G1458" i="4"/>
  <c r="F1458" i="4"/>
  <c r="E1458" i="4"/>
  <c r="D1458" i="4"/>
  <c r="C1458" i="4"/>
  <c r="B1458" i="4"/>
  <c r="A1458" i="4"/>
  <c r="M1457" i="4"/>
  <c r="L1457" i="4"/>
  <c r="K1457" i="4"/>
  <c r="J1457" i="4"/>
  <c r="I1457" i="4"/>
  <c r="H1457" i="4"/>
  <c r="G1457" i="4"/>
  <c r="F1457" i="4"/>
  <c r="E1457" i="4"/>
  <c r="D1457" i="4"/>
  <c r="C1457" i="4"/>
  <c r="B1457" i="4"/>
  <c r="A1457" i="4"/>
  <c r="M1456" i="4"/>
  <c r="L1456" i="4"/>
  <c r="K1456" i="4"/>
  <c r="J1456" i="4"/>
  <c r="I1456" i="4"/>
  <c r="H1456" i="4"/>
  <c r="G1456" i="4"/>
  <c r="F1456" i="4"/>
  <c r="E1456" i="4"/>
  <c r="D1456" i="4"/>
  <c r="C1456" i="4"/>
  <c r="B1456" i="4"/>
  <c r="A1456" i="4"/>
  <c r="M1455" i="4"/>
  <c r="L1455" i="4"/>
  <c r="K1455" i="4"/>
  <c r="J1455" i="4"/>
  <c r="I1455" i="4"/>
  <c r="H1455" i="4"/>
  <c r="G1455" i="4"/>
  <c r="F1455" i="4"/>
  <c r="E1455" i="4"/>
  <c r="D1455" i="4"/>
  <c r="C1455" i="4"/>
  <c r="B1455" i="4"/>
  <c r="A1455" i="4"/>
  <c r="M1454" i="4"/>
  <c r="L1454" i="4"/>
  <c r="K1454" i="4"/>
  <c r="J1454" i="4"/>
  <c r="I1454" i="4"/>
  <c r="H1454" i="4"/>
  <c r="G1454" i="4"/>
  <c r="F1454" i="4"/>
  <c r="E1454" i="4"/>
  <c r="D1454" i="4"/>
  <c r="C1454" i="4"/>
  <c r="B1454" i="4"/>
  <c r="A1454" i="4"/>
  <c r="M1453" i="4"/>
  <c r="L1453" i="4"/>
  <c r="K1453" i="4"/>
  <c r="J1453" i="4"/>
  <c r="I1453" i="4"/>
  <c r="H1453" i="4"/>
  <c r="G1453" i="4"/>
  <c r="F1453" i="4"/>
  <c r="E1453" i="4"/>
  <c r="D1453" i="4"/>
  <c r="C1453" i="4"/>
  <c r="B1453" i="4"/>
  <c r="A1453" i="4"/>
  <c r="M1452" i="4"/>
  <c r="L1452" i="4"/>
  <c r="K1452" i="4"/>
  <c r="J1452" i="4"/>
  <c r="I1452" i="4"/>
  <c r="H1452" i="4"/>
  <c r="G1452" i="4"/>
  <c r="F1452" i="4"/>
  <c r="E1452" i="4"/>
  <c r="D1452" i="4"/>
  <c r="C1452" i="4"/>
  <c r="B1452" i="4"/>
  <c r="A1452" i="4"/>
  <c r="M1451" i="4"/>
  <c r="L1451" i="4"/>
  <c r="K1451" i="4"/>
  <c r="J1451" i="4"/>
  <c r="I1451" i="4"/>
  <c r="H1451" i="4"/>
  <c r="G1451" i="4"/>
  <c r="F1451" i="4"/>
  <c r="E1451" i="4"/>
  <c r="D1451" i="4"/>
  <c r="C1451" i="4"/>
  <c r="B1451" i="4"/>
  <c r="A1451" i="4"/>
  <c r="M1450" i="4"/>
  <c r="L1450" i="4"/>
  <c r="K1450" i="4"/>
  <c r="J1450" i="4"/>
  <c r="I1450" i="4"/>
  <c r="H1450" i="4"/>
  <c r="G1450" i="4"/>
  <c r="F1450" i="4"/>
  <c r="E1450" i="4"/>
  <c r="D1450" i="4"/>
  <c r="C1450" i="4"/>
  <c r="B1450" i="4"/>
  <c r="A1450" i="4"/>
  <c r="M1449" i="4"/>
  <c r="L1449" i="4"/>
  <c r="K1449" i="4"/>
  <c r="J1449" i="4"/>
  <c r="I1449" i="4"/>
  <c r="H1449" i="4"/>
  <c r="G1449" i="4"/>
  <c r="F1449" i="4"/>
  <c r="E1449" i="4"/>
  <c r="D1449" i="4"/>
  <c r="C1449" i="4"/>
  <c r="B1449" i="4"/>
  <c r="A1449" i="4"/>
  <c r="M1448" i="4"/>
  <c r="L1448" i="4"/>
  <c r="K1448" i="4"/>
  <c r="J1448" i="4"/>
  <c r="I1448" i="4"/>
  <c r="H1448" i="4"/>
  <c r="G1448" i="4"/>
  <c r="F1448" i="4"/>
  <c r="E1448" i="4"/>
  <c r="D1448" i="4"/>
  <c r="C1448" i="4"/>
  <c r="B1448" i="4"/>
  <c r="A1448" i="4"/>
  <c r="M1447" i="4"/>
  <c r="L1447" i="4"/>
  <c r="K1447" i="4"/>
  <c r="J1447" i="4"/>
  <c r="I1447" i="4"/>
  <c r="H1447" i="4"/>
  <c r="G1447" i="4"/>
  <c r="F1447" i="4"/>
  <c r="E1447" i="4"/>
  <c r="D1447" i="4"/>
  <c r="C1447" i="4"/>
  <c r="B1447" i="4"/>
  <c r="A1447" i="4"/>
  <c r="M1446" i="4"/>
  <c r="L1446" i="4"/>
  <c r="K1446" i="4"/>
  <c r="J1446" i="4"/>
  <c r="I1446" i="4"/>
  <c r="H1446" i="4"/>
  <c r="G1446" i="4"/>
  <c r="F1446" i="4"/>
  <c r="E1446" i="4"/>
  <c r="D1446" i="4"/>
  <c r="C1446" i="4"/>
  <c r="B1446" i="4"/>
  <c r="A1446" i="4"/>
  <c r="M1445" i="4"/>
  <c r="L1445" i="4"/>
  <c r="K1445" i="4"/>
  <c r="J1445" i="4"/>
  <c r="I1445" i="4"/>
  <c r="H1445" i="4"/>
  <c r="G1445" i="4"/>
  <c r="F1445" i="4"/>
  <c r="E1445" i="4"/>
  <c r="D1445" i="4"/>
  <c r="C1445" i="4"/>
  <c r="B1445" i="4"/>
  <c r="A1445" i="4"/>
  <c r="M1444" i="4"/>
  <c r="L1444" i="4"/>
  <c r="K1444" i="4"/>
  <c r="J1444" i="4"/>
  <c r="I1444" i="4"/>
  <c r="H1444" i="4"/>
  <c r="G1444" i="4"/>
  <c r="F1444" i="4"/>
  <c r="E1444" i="4"/>
  <c r="D1444" i="4"/>
  <c r="C1444" i="4"/>
  <c r="B1444" i="4"/>
  <c r="A1444" i="4"/>
  <c r="M1443" i="4"/>
  <c r="L1443" i="4"/>
  <c r="K1443" i="4"/>
  <c r="J1443" i="4"/>
  <c r="I1443" i="4"/>
  <c r="H1443" i="4"/>
  <c r="G1443" i="4"/>
  <c r="F1443" i="4"/>
  <c r="E1443" i="4"/>
  <c r="D1443" i="4"/>
  <c r="C1443" i="4"/>
  <c r="B1443" i="4"/>
  <c r="A1443" i="4"/>
  <c r="M1442" i="4"/>
  <c r="L1442" i="4"/>
  <c r="K1442" i="4"/>
  <c r="J1442" i="4"/>
  <c r="I1442" i="4"/>
  <c r="H1442" i="4"/>
  <c r="G1442" i="4"/>
  <c r="F1442" i="4"/>
  <c r="E1442" i="4"/>
  <c r="D1442" i="4"/>
  <c r="C1442" i="4"/>
  <c r="B1442" i="4"/>
  <c r="A1442" i="4"/>
  <c r="M1441" i="4"/>
  <c r="L1441" i="4"/>
  <c r="K1441" i="4"/>
  <c r="J1441" i="4"/>
  <c r="I1441" i="4"/>
  <c r="H1441" i="4"/>
  <c r="G1441" i="4"/>
  <c r="F1441" i="4"/>
  <c r="E1441" i="4"/>
  <c r="D1441" i="4"/>
  <c r="C1441" i="4"/>
  <c r="B1441" i="4"/>
  <c r="A1441" i="4"/>
  <c r="M1440" i="4"/>
  <c r="L1440" i="4"/>
  <c r="K1440" i="4"/>
  <c r="J1440" i="4"/>
  <c r="I1440" i="4"/>
  <c r="H1440" i="4"/>
  <c r="G1440" i="4"/>
  <c r="F1440" i="4"/>
  <c r="E1440" i="4"/>
  <c r="D1440" i="4"/>
  <c r="C1440" i="4"/>
  <c r="B1440" i="4"/>
  <c r="A1440" i="4"/>
  <c r="M1439" i="4"/>
  <c r="L1439" i="4"/>
  <c r="K1439" i="4"/>
  <c r="J1439" i="4"/>
  <c r="I1439" i="4"/>
  <c r="H1439" i="4"/>
  <c r="G1439" i="4"/>
  <c r="F1439" i="4"/>
  <c r="E1439" i="4"/>
  <c r="D1439" i="4"/>
  <c r="C1439" i="4"/>
  <c r="B1439" i="4"/>
  <c r="A1439" i="4"/>
  <c r="M1438" i="4"/>
  <c r="L1438" i="4"/>
  <c r="K1438" i="4"/>
  <c r="J1438" i="4"/>
  <c r="I1438" i="4"/>
  <c r="H1438" i="4"/>
  <c r="G1438" i="4"/>
  <c r="F1438" i="4"/>
  <c r="E1438" i="4"/>
  <c r="D1438" i="4"/>
  <c r="C1438" i="4"/>
  <c r="B1438" i="4"/>
  <c r="A1438" i="4"/>
  <c r="M1437" i="4"/>
  <c r="L1437" i="4"/>
  <c r="K1437" i="4"/>
  <c r="J1437" i="4"/>
  <c r="I1437" i="4"/>
  <c r="H1437" i="4"/>
  <c r="G1437" i="4"/>
  <c r="F1437" i="4"/>
  <c r="E1437" i="4"/>
  <c r="D1437" i="4"/>
  <c r="C1437" i="4"/>
  <c r="B1437" i="4"/>
  <c r="A1437" i="4"/>
  <c r="M1436" i="4"/>
  <c r="L1436" i="4"/>
  <c r="K1436" i="4"/>
  <c r="J1436" i="4"/>
  <c r="I1436" i="4"/>
  <c r="H1436" i="4"/>
  <c r="G1436" i="4"/>
  <c r="F1436" i="4"/>
  <c r="E1436" i="4"/>
  <c r="D1436" i="4"/>
  <c r="C1436" i="4"/>
  <c r="B1436" i="4"/>
  <c r="A1436" i="4"/>
  <c r="M1435" i="4"/>
  <c r="L1435" i="4"/>
  <c r="K1435" i="4"/>
  <c r="J1435" i="4"/>
  <c r="I1435" i="4"/>
  <c r="H1435" i="4"/>
  <c r="G1435" i="4"/>
  <c r="F1435" i="4"/>
  <c r="E1435" i="4"/>
  <c r="D1435" i="4"/>
  <c r="C1435" i="4"/>
  <c r="B1435" i="4"/>
  <c r="A1435" i="4"/>
  <c r="M1434" i="4"/>
  <c r="L1434" i="4"/>
  <c r="K1434" i="4"/>
  <c r="J1434" i="4"/>
  <c r="I1434" i="4"/>
  <c r="H1434" i="4"/>
  <c r="G1434" i="4"/>
  <c r="F1434" i="4"/>
  <c r="E1434" i="4"/>
  <c r="D1434" i="4"/>
  <c r="C1434" i="4"/>
  <c r="B1434" i="4"/>
  <c r="A1434" i="4"/>
  <c r="M1433" i="4"/>
  <c r="L1433" i="4"/>
  <c r="K1433" i="4"/>
  <c r="J1433" i="4"/>
  <c r="I1433" i="4"/>
  <c r="H1433" i="4"/>
  <c r="G1433" i="4"/>
  <c r="F1433" i="4"/>
  <c r="E1433" i="4"/>
  <c r="D1433" i="4"/>
  <c r="C1433" i="4"/>
  <c r="B1433" i="4"/>
  <c r="A1433" i="4"/>
  <c r="M1432" i="4"/>
  <c r="L1432" i="4"/>
  <c r="K1432" i="4"/>
  <c r="J1432" i="4"/>
  <c r="I1432" i="4"/>
  <c r="H1432" i="4"/>
  <c r="G1432" i="4"/>
  <c r="F1432" i="4"/>
  <c r="E1432" i="4"/>
  <c r="D1432" i="4"/>
  <c r="C1432" i="4"/>
  <c r="B1432" i="4"/>
  <c r="A1432" i="4"/>
  <c r="M1431" i="4"/>
  <c r="L1431" i="4"/>
  <c r="K1431" i="4"/>
  <c r="J1431" i="4"/>
  <c r="I1431" i="4"/>
  <c r="H1431" i="4"/>
  <c r="G1431" i="4"/>
  <c r="F1431" i="4"/>
  <c r="E1431" i="4"/>
  <c r="D1431" i="4"/>
  <c r="C1431" i="4"/>
  <c r="B1431" i="4"/>
  <c r="A1431" i="4"/>
  <c r="M1430" i="4"/>
  <c r="L1430" i="4"/>
  <c r="K1430" i="4"/>
  <c r="J1430" i="4"/>
  <c r="I1430" i="4"/>
  <c r="H1430" i="4"/>
  <c r="G1430" i="4"/>
  <c r="F1430" i="4"/>
  <c r="E1430" i="4"/>
  <c r="D1430" i="4"/>
  <c r="C1430" i="4"/>
  <c r="B1430" i="4"/>
  <c r="A1430" i="4"/>
  <c r="M1429" i="4"/>
  <c r="L1429" i="4"/>
  <c r="K1429" i="4"/>
  <c r="J1429" i="4"/>
  <c r="I1429" i="4"/>
  <c r="H1429" i="4"/>
  <c r="G1429" i="4"/>
  <c r="F1429" i="4"/>
  <c r="E1429" i="4"/>
  <c r="D1429" i="4"/>
  <c r="C1429" i="4"/>
  <c r="B1429" i="4"/>
  <c r="A1429" i="4"/>
  <c r="M1428" i="4"/>
  <c r="L1428" i="4"/>
  <c r="K1428" i="4"/>
  <c r="J1428" i="4"/>
  <c r="I1428" i="4"/>
  <c r="H1428" i="4"/>
  <c r="G1428" i="4"/>
  <c r="F1428" i="4"/>
  <c r="E1428" i="4"/>
  <c r="D1428" i="4"/>
  <c r="C1428" i="4"/>
  <c r="B1428" i="4"/>
  <c r="A1428" i="4"/>
  <c r="M1427" i="4"/>
  <c r="L1427" i="4"/>
  <c r="K1427" i="4"/>
  <c r="J1427" i="4"/>
  <c r="I1427" i="4"/>
  <c r="H1427" i="4"/>
  <c r="G1427" i="4"/>
  <c r="F1427" i="4"/>
  <c r="E1427" i="4"/>
  <c r="D1427" i="4"/>
  <c r="C1427" i="4"/>
  <c r="B1427" i="4"/>
  <c r="A1427" i="4"/>
  <c r="M1426" i="4"/>
  <c r="L1426" i="4"/>
  <c r="K1426" i="4"/>
  <c r="J1426" i="4"/>
  <c r="I1426" i="4"/>
  <c r="H1426" i="4"/>
  <c r="G1426" i="4"/>
  <c r="F1426" i="4"/>
  <c r="E1426" i="4"/>
  <c r="D1426" i="4"/>
  <c r="C1426" i="4"/>
  <c r="B1426" i="4"/>
  <c r="A1426" i="4"/>
  <c r="M1425" i="4"/>
  <c r="L1425" i="4"/>
  <c r="K1425" i="4"/>
  <c r="J1425" i="4"/>
  <c r="I1425" i="4"/>
  <c r="H1425" i="4"/>
  <c r="G1425" i="4"/>
  <c r="F1425" i="4"/>
  <c r="E1425" i="4"/>
  <c r="D1425" i="4"/>
  <c r="C1425" i="4"/>
  <c r="B1425" i="4"/>
  <c r="A1425" i="4"/>
  <c r="M1424" i="4"/>
  <c r="L1424" i="4"/>
  <c r="K1424" i="4"/>
  <c r="J1424" i="4"/>
  <c r="I1424" i="4"/>
  <c r="H1424" i="4"/>
  <c r="G1424" i="4"/>
  <c r="F1424" i="4"/>
  <c r="E1424" i="4"/>
  <c r="D1424" i="4"/>
  <c r="C1424" i="4"/>
  <c r="B1424" i="4"/>
  <c r="A1424" i="4"/>
  <c r="M1423" i="4"/>
  <c r="L1423" i="4"/>
  <c r="K1423" i="4"/>
  <c r="J1423" i="4"/>
  <c r="I1423" i="4"/>
  <c r="H1423" i="4"/>
  <c r="G1423" i="4"/>
  <c r="F1423" i="4"/>
  <c r="E1423" i="4"/>
  <c r="D1423" i="4"/>
  <c r="C1423" i="4"/>
  <c r="B1423" i="4"/>
  <c r="A1423" i="4"/>
  <c r="M1422" i="4"/>
  <c r="L1422" i="4"/>
  <c r="K1422" i="4"/>
  <c r="J1422" i="4"/>
  <c r="I1422" i="4"/>
  <c r="H1422" i="4"/>
  <c r="G1422" i="4"/>
  <c r="F1422" i="4"/>
  <c r="E1422" i="4"/>
  <c r="D1422" i="4"/>
  <c r="C1422" i="4"/>
  <c r="B1422" i="4"/>
  <c r="A1422" i="4"/>
  <c r="M1421" i="4"/>
  <c r="L1421" i="4"/>
  <c r="K1421" i="4"/>
  <c r="J1421" i="4"/>
  <c r="I1421" i="4"/>
  <c r="H1421" i="4"/>
  <c r="G1421" i="4"/>
  <c r="F1421" i="4"/>
  <c r="E1421" i="4"/>
  <c r="D1421" i="4"/>
  <c r="C1421" i="4"/>
  <c r="B1421" i="4"/>
  <c r="A1421" i="4"/>
  <c r="M1420" i="4"/>
  <c r="L1420" i="4"/>
  <c r="K1420" i="4"/>
  <c r="J1420" i="4"/>
  <c r="I1420" i="4"/>
  <c r="H1420" i="4"/>
  <c r="G1420" i="4"/>
  <c r="F1420" i="4"/>
  <c r="E1420" i="4"/>
  <c r="D1420" i="4"/>
  <c r="C1420" i="4"/>
  <c r="B1420" i="4"/>
  <c r="A1420" i="4"/>
  <c r="M1419" i="4"/>
  <c r="L1419" i="4"/>
  <c r="K1419" i="4"/>
  <c r="J1419" i="4"/>
  <c r="I1419" i="4"/>
  <c r="H1419" i="4"/>
  <c r="G1419" i="4"/>
  <c r="F1419" i="4"/>
  <c r="E1419" i="4"/>
  <c r="D1419" i="4"/>
  <c r="C1419" i="4"/>
  <c r="B1419" i="4"/>
  <c r="A1419" i="4"/>
  <c r="M1418" i="4"/>
  <c r="L1418" i="4"/>
  <c r="K1418" i="4"/>
  <c r="J1418" i="4"/>
  <c r="I1418" i="4"/>
  <c r="H1418" i="4"/>
  <c r="G1418" i="4"/>
  <c r="F1418" i="4"/>
  <c r="E1418" i="4"/>
  <c r="D1418" i="4"/>
  <c r="C1418" i="4"/>
  <c r="B1418" i="4"/>
  <c r="A1418" i="4"/>
  <c r="M1417" i="4"/>
  <c r="L1417" i="4"/>
  <c r="K1417" i="4"/>
  <c r="J1417" i="4"/>
  <c r="I1417" i="4"/>
  <c r="H1417" i="4"/>
  <c r="G1417" i="4"/>
  <c r="F1417" i="4"/>
  <c r="E1417" i="4"/>
  <c r="D1417" i="4"/>
  <c r="C1417" i="4"/>
  <c r="B1417" i="4"/>
  <c r="A1417" i="4"/>
  <c r="M1416" i="4"/>
  <c r="L1416" i="4"/>
  <c r="K1416" i="4"/>
  <c r="J1416" i="4"/>
  <c r="I1416" i="4"/>
  <c r="H1416" i="4"/>
  <c r="G1416" i="4"/>
  <c r="F1416" i="4"/>
  <c r="E1416" i="4"/>
  <c r="D1416" i="4"/>
  <c r="C1416" i="4"/>
  <c r="B1416" i="4"/>
  <c r="A1416" i="4"/>
  <c r="M1415" i="4"/>
  <c r="L1415" i="4"/>
  <c r="K1415" i="4"/>
  <c r="J1415" i="4"/>
  <c r="I1415" i="4"/>
  <c r="H1415" i="4"/>
  <c r="G1415" i="4"/>
  <c r="F1415" i="4"/>
  <c r="E1415" i="4"/>
  <c r="D1415" i="4"/>
  <c r="C1415" i="4"/>
  <c r="B1415" i="4"/>
  <c r="A1415" i="4"/>
  <c r="M1414" i="4"/>
  <c r="L1414" i="4"/>
  <c r="K1414" i="4"/>
  <c r="J1414" i="4"/>
  <c r="I1414" i="4"/>
  <c r="H1414" i="4"/>
  <c r="G1414" i="4"/>
  <c r="F1414" i="4"/>
  <c r="E1414" i="4"/>
  <c r="D1414" i="4"/>
  <c r="C1414" i="4"/>
  <c r="B1414" i="4"/>
  <c r="A1414" i="4"/>
  <c r="M1413" i="4"/>
  <c r="L1413" i="4"/>
  <c r="K1413" i="4"/>
  <c r="J1413" i="4"/>
  <c r="I1413" i="4"/>
  <c r="H1413" i="4"/>
  <c r="G1413" i="4"/>
  <c r="F1413" i="4"/>
  <c r="E1413" i="4"/>
  <c r="D1413" i="4"/>
  <c r="C1413" i="4"/>
  <c r="B1413" i="4"/>
  <c r="A1413" i="4"/>
  <c r="M1412" i="4"/>
  <c r="L1412" i="4"/>
  <c r="K1412" i="4"/>
  <c r="J1412" i="4"/>
  <c r="I1412" i="4"/>
  <c r="H1412" i="4"/>
  <c r="G1412" i="4"/>
  <c r="F1412" i="4"/>
  <c r="E1412" i="4"/>
  <c r="D1412" i="4"/>
  <c r="C1412" i="4"/>
  <c r="B1412" i="4"/>
  <c r="A1412" i="4"/>
  <c r="M1411" i="4"/>
  <c r="L1411" i="4"/>
  <c r="K1411" i="4"/>
  <c r="J1411" i="4"/>
  <c r="I1411" i="4"/>
  <c r="H1411" i="4"/>
  <c r="G1411" i="4"/>
  <c r="F1411" i="4"/>
  <c r="E1411" i="4"/>
  <c r="D1411" i="4"/>
  <c r="C1411" i="4"/>
  <c r="B1411" i="4"/>
  <c r="A1411" i="4"/>
  <c r="M1410" i="4"/>
  <c r="L1410" i="4"/>
  <c r="K1410" i="4"/>
  <c r="J1410" i="4"/>
  <c r="I1410" i="4"/>
  <c r="H1410" i="4"/>
  <c r="G1410" i="4"/>
  <c r="F1410" i="4"/>
  <c r="E1410" i="4"/>
  <c r="D1410" i="4"/>
  <c r="C1410" i="4"/>
  <c r="B1410" i="4"/>
  <c r="A1410" i="4"/>
  <c r="M1409" i="4"/>
  <c r="L1409" i="4"/>
  <c r="K1409" i="4"/>
  <c r="J1409" i="4"/>
  <c r="I1409" i="4"/>
  <c r="H1409" i="4"/>
  <c r="G1409" i="4"/>
  <c r="F1409" i="4"/>
  <c r="E1409" i="4"/>
  <c r="D1409" i="4"/>
  <c r="C1409" i="4"/>
  <c r="B1409" i="4"/>
  <c r="A1409" i="4"/>
  <c r="M1408" i="4"/>
  <c r="L1408" i="4"/>
  <c r="K1408" i="4"/>
  <c r="J1408" i="4"/>
  <c r="I1408" i="4"/>
  <c r="H1408" i="4"/>
  <c r="G1408" i="4"/>
  <c r="F1408" i="4"/>
  <c r="E1408" i="4"/>
  <c r="D1408" i="4"/>
  <c r="C1408" i="4"/>
  <c r="B1408" i="4"/>
  <c r="A1408" i="4"/>
  <c r="M1407" i="4"/>
  <c r="L1407" i="4"/>
  <c r="K1407" i="4"/>
  <c r="J1407" i="4"/>
  <c r="I1407" i="4"/>
  <c r="H1407" i="4"/>
  <c r="G1407" i="4"/>
  <c r="F1407" i="4"/>
  <c r="E1407" i="4"/>
  <c r="D1407" i="4"/>
  <c r="C1407" i="4"/>
  <c r="B1407" i="4"/>
  <c r="A1407" i="4"/>
  <c r="M1406" i="4"/>
  <c r="L1406" i="4"/>
  <c r="K1406" i="4"/>
  <c r="J1406" i="4"/>
  <c r="I1406" i="4"/>
  <c r="H1406" i="4"/>
  <c r="G1406" i="4"/>
  <c r="F1406" i="4"/>
  <c r="E1406" i="4"/>
  <c r="D1406" i="4"/>
  <c r="C1406" i="4"/>
  <c r="B1406" i="4"/>
  <c r="A1406" i="4"/>
  <c r="M1405" i="4"/>
  <c r="L1405" i="4"/>
  <c r="K1405" i="4"/>
  <c r="J1405" i="4"/>
  <c r="I1405" i="4"/>
  <c r="H1405" i="4"/>
  <c r="G1405" i="4"/>
  <c r="F1405" i="4"/>
  <c r="E1405" i="4"/>
  <c r="D1405" i="4"/>
  <c r="C1405" i="4"/>
  <c r="B1405" i="4"/>
  <c r="A1405" i="4"/>
  <c r="M1404" i="4"/>
  <c r="L1404" i="4"/>
  <c r="K1404" i="4"/>
  <c r="J1404" i="4"/>
  <c r="I1404" i="4"/>
  <c r="H1404" i="4"/>
  <c r="G1404" i="4"/>
  <c r="F1404" i="4"/>
  <c r="E1404" i="4"/>
  <c r="D1404" i="4"/>
  <c r="C1404" i="4"/>
  <c r="B1404" i="4"/>
  <c r="A1404" i="4"/>
  <c r="M1403" i="4"/>
  <c r="L1403" i="4"/>
  <c r="K1403" i="4"/>
  <c r="J1403" i="4"/>
  <c r="I1403" i="4"/>
  <c r="H1403" i="4"/>
  <c r="G1403" i="4"/>
  <c r="F1403" i="4"/>
  <c r="E1403" i="4"/>
  <c r="D1403" i="4"/>
  <c r="C1403" i="4"/>
  <c r="B1403" i="4"/>
  <c r="A1403" i="4"/>
  <c r="M1402" i="4"/>
  <c r="L1402" i="4"/>
  <c r="K1402" i="4"/>
  <c r="J1402" i="4"/>
  <c r="I1402" i="4"/>
  <c r="H1402" i="4"/>
  <c r="G1402" i="4"/>
  <c r="F1402" i="4"/>
  <c r="E1402" i="4"/>
  <c r="D1402" i="4"/>
  <c r="C1402" i="4"/>
  <c r="B1402" i="4"/>
  <c r="A1402" i="4"/>
  <c r="M1401" i="4"/>
  <c r="L1401" i="4"/>
  <c r="K1401" i="4"/>
  <c r="J1401" i="4"/>
  <c r="I1401" i="4"/>
  <c r="H1401" i="4"/>
  <c r="G1401" i="4"/>
  <c r="F1401" i="4"/>
  <c r="E1401" i="4"/>
  <c r="D1401" i="4"/>
  <c r="C1401" i="4"/>
  <c r="B1401" i="4"/>
  <c r="A1401" i="4"/>
  <c r="M1400" i="4"/>
  <c r="L1400" i="4"/>
  <c r="K1400" i="4"/>
  <c r="J1400" i="4"/>
  <c r="I1400" i="4"/>
  <c r="H1400" i="4"/>
  <c r="G1400" i="4"/>
  <c r="F1400" i="4"/>
  <c r="E1400" i="4"/>
  <c r="D1400" i="4"/>
  <c r="C1400" i="4"/>
  <c r="B1400" i="4"/>
  <c r="A1400" i="4"/>
  <c r="M1399" i="4"/>
  <c r="L1399" i="4"/>
  <c r="K1399" i="4"/>
  <c r="J1399" i="4"/>
  <c r="I1399" i="4"/>
  <c r="H1399" i="4"/>
  <c r="G1399" i="4"/>
  <c r="F1399" i="4"/>
  <c r="E1399" i="4"/>
  <c r="D1399" i="4"/>
  <c r="C1399" i="4"/>
  <c r="B1399" i="4"/>
  <c r="A1399" i="4"/>
  <c r="M1398" i="4"/>
  <c r="L1398" i="4"/>
  <c r="K1398" i="4"/>
  <c r="J1398" i="4"/>
  <c r="I1398" i="4"/>
  <c r="H1398" i="4"/>
  <c r="G1398" i="4"/>
  <c r="F1398" i="4"/>
  <c r="E1398" i="4"/>
  <c r="D1398" i="4"/>
  <c r="C1398" i="4"/>
  <c r="B1398" i="4"/>
  <c r="A1398" i="4"/>
  <c r="M1397" i="4"/>
  <c r="L1397" i="4"/>
  <c r="K1397" i="4"/>
  <c r="J1397" i="4"/>
  <c r="I1397" i="4"/>
  <c r="H1397" i="4"/>
  <c r="G1397" i="4"/>
  <c r="F1397" i="4"/>
  <c r="E1397" i="4"/>
  <c r="D1397" i="4"/>
  <c r="C1397" i="4"/>
  <c r="B1397" i="4"/>
  <c r="A1397" i="4"/>
  <c r="M1396" i="4"/>
  <c r="L1396" i="4"/>
  <c r="K1396" i="4"/>
  <c r="J1396" i="4"/>
  <c r="I1396" i="4"/>
  <c r="H1396" i="4"/>
  <c r="G1396" i="4"/>
  <c r="F1396" i="4"/>
  <c r="E1396" i="4"/>
  <c r="D1396" i="4"/>
  <c r="C1396" i="4"/>
  <c r="B1396" i="4"/>
  <c r="A1396" i="4"/>
  <c r="M1395" i="4"/>
  <c r="L1395" i="4"/>
  <c r="K1395" i="4"/>
  <c r="J1395" i="4"/>
  <c r="I1395" i="4"/>
  <c r="H1395" i="4"/>
  <c r="G1395" i="4"/>
  <c r="F1395" i="4"/>
  <c r="E1395" i="4"/>
  <c r="D1395" i="4"/>
  <c r="C1395" i="4"/>
  <c r="B1395" i="4"/>
  <c r="A1395" i="4"/>
  <c r="M1394" i="4"/>
  <c r="L1394" i="4"/>
  <c r="K1394" i="4"/>
  <c r="J1394" i="4"/>
  <c r="I1394" i="4"/>
  <c r="H1394" i="4"/>
  <c r="G1394" i="4"/>
  <c r="F1394" i="4"/>
  <c r="E1394" i="4"/>
  <c r="D1394" i="4"/>
  <c r="C1394" i="4"/>
  <c r="B1394" i="4"/>
  <c r="A1394" i="4"/>
  <c r="M1393" i="4"/>
  <c r="L1393" i="4"/>
  <c r="K1393" i="4"/>
  <c r="J1393" i="4"/>
  <c r="I1393" i="4"/>
  <c r="H1393" i="4"/>
  <c r="G1393" i="4"/>
  <c r="F1393" i="4"/>
  <c r="E1393" i="4"/>
  <c r="D1393" i="4"/>
  <c r="C1393" i="4"/>
  <c r="B1393" i="4"/>
  <c r="A1393" i="4"/>
  <c r="M1392" i="4"/>
  <c r="L1392" i="4"/>
  <c r="K1392" i="4"/>
  <c r="J1392" i="4"/>
  <c r="I1392" i="4"/>
  <c r="H1392" i="4"/>
  <c r="G1392" i="4"/>
  <c r="F1392" i="4"/>
  <c r="E1392" i="4"/>
  <c r="D1392" i="4"/>
  <c r="C1392" i="4"/>
  <c r="B1392" i="4"/>
  <c r="A1392" i="4"/>
  <c r="M1391" i="4"/>
  <c r="L1391" i="4"/>
  <c r="K1391" i="4"/>
  <c r="J1391" i="4"/>
  <c r="I1391" i="4"/>
  <c r="H1391" i="4"/>
  <c r="G1391" i="4"/>
  <c r="F1391" i="4"/>
  <c r="E1391" i="4"/>
  <c r="D1391" i="4"/>
  <c r="C1391" i="4"/>
  <c r="B1391" i="4"/>
  <c r="A1391" i="4"/>
  <c r="M1390" i="4"/>
  <c r="L1390" i="4"/>
  <c r="K1390" i="4"/>
  <c r="J1390" i="4"/>
  <c r="I1390" i="4"/>
  <c r="H1390" i="4"/>
  <c r="G1390" i="4"/>
  <c r="F1390" i="4"/>
  <c r="E1390" i="4"/>
  <c r="D1390" i="4"/>
  <c r="C1390" i="4"/>
  <c r="B1390" i="4"/>
  <c r="A1390" i="4"/>
  <c r="M1389" i="4"/>
  <c r="L1389" i="4"/>
  <c r="K1389" i="4"/>
  <c r="J1389" i="4"/>
  <c r="I1389" i="4"/>
  <c r="H1389" i="4"/>
  <c r="G1389" i="4"/>
  <c r="F1389" i="4"/>
  <c r="E1389" i="4"/>
  <c r="D1389" i="4"/>
  <c r="C1389" i="4"/>
  <c r="B1389" i="4"/>
  <c r="A1389" i="4"/>
  <c r="M1388" i="4"/>
  <c r="L1388" i="4"/>
  <c r="K1388" i="4"/>
  <c r="J1388" i="4"/>
  <c r="I1388" i="4"/>
  <c r="H1388" i="4"/>
  <c r="G1388" i="4"/>
  <c r="F1388" i="4"/>
  <c r="E1388" i="4"/>
  <c r="D1388" i="4"/>
  <c r="C1388" i="4"/>
  <c r="B1388" i="4"/>
  <c r="A1388" i="4"/>
  <c r="M1387" i="4"/>
  <c r="L1387" i="4"/>
  <c r="K1387" i="4"/>
  <c r="J1387" i="4"/>
  <c r="I1387" i="4"/>
  <c r="H1387" i="4"/>
  <c r="G1387" i="4"/>
  <c r="F1387" i="4"/>
  <c r="E1387" i="4"/>
  <c r="D1387" i="4"/>
  <c r="C1387" i="4"/>
  <c r="B1387" i="4"/>
  <c r="A1387" i="4"/>
  <c r="M1386" i="4"/>
  <c r="L1386" i="4"/>
  <c r="K1386" i="4"/>
  <c r="J1386" i="4"/>
  <c r="I1386" i="4"/>
  <c r="H1386" i="4"/>
  <c r="G1386" i="4"/>
  <c r="F1386" i="4"/>
  <c r="E1386" i="4"/>
  <c r="D1386" i="4"/>
  <c r="C1386" i="4"/>
  <c r="B1386" i="4"/>
  <c r="A1386" i="4"/>
  <c r="M1385" i="4"/>
  <c r="L1385" i="4"/>
  <c r="K1385" i="4"/>
  <c r="J1385" i="4"/>
  <c r="I1385" i="4"/>
  <c r="H1385" i="4"/>
  <c r="G1385" i="4"/>
  <c r="F1385" i="4"/>
  <c r="E1385" i="4"/>
  <c r="D1385" i="4"/>
  <c r="C1385" i="4"/>
  <c r="B1385" i="4"/>
  <c r="A1385" i="4"/>
  <c r="M1384" i="4"/>
  <c r="L1384" i="4"/>
  <c r="K1384" i="4"/>
  <c r="J1384" i="4"/>
  <c r="I1384" i="4"/>
  <c r="H1384" i="4"/>
  <c r="G1384" i="4"/>
  <c r="F1384" i="4"/>
  <c r="E1384" i="4"/>
  <c r="D1384" i="4"/>
  <c r="C1384" i="4"/>
  <c r="B1384" i="4"/>
  <c r="A1384" i="4"/>
  <c r="M1383" i="4"/>
  <c r="L1383" i="4"/>
  <c r="K1383" i="4"/>
  <c r="J1383" i="4"/>
  <c r="I1383" i="4"/>
  <c r="H1383" i="4"/>
  <c r="G1383" i="4"/>
  <c r="F1383" i="4"/>
  <c r="E1383" i="4"/>
  <c r="D1383" i="4"/>
  <c r="C1383" i="4"/>
  <c r="B1383" i="4"/>
  <c r="A1383" i="4"/>
  <c r="M1382" i="4"/>
  <c r="L1382" i="4"/>
  <c r="K1382" i="4"/>
  <c r="J1382" i="4"/>
  <c r="I1382" i="4"/>
  <c r="H1382" i="4"/>
  <c r="G1382" i="4"/>
  <c r="F1382" i="4"/>
  <c r="E1382" i="4"/>
  <c r="D1382" i="4"/>
  <c r="C1382" i="4"/>
  <c r="B1382" i="4"/>
  <c r="A1382" i="4"/>
  <c r="M1381" i="4"/>
  <c r="L1381" i="4"/>
  <c r="K1381" i="4"/>
  <c r="J1381" i="4"/>
  <c r="I1381" i="4"/>
  <c r="H1381" i="4"/>
  <c r="G1381" i="4"/>
  <c r="F1381" i="4"/>
  <c r="E1381" i="4"/>
  <c r="D1381" i="4"/>
  <c r="C1381" i="4"/>
  <c r="B1381" i="4"/>
  <c r="A1381" i="4"/>
  <c r="M1380" i="4"/>
  <c r="L1380" i="4"/>
  <c r="K1380" i="4"/>
  <c r="J1380" i="4"/>
  <c r="I1380" i="4"/>
  <c r="H1380" i="4"/>
  <c r="G1380" i="4"/>
  <c r="F1380" i="4"/>
  <c r="E1380" i="4"/>
  <c r="D1380" i="4"/>
  <c r="C1380" i="4"/>
  <c r="B1380" i="4"/>
  <c r="A1380" i="4"/>
  <c r="M1379" i="4"/>
  <c r="L1379" i="4"/>
  <c r="K1379" i="4"/>
  <c r="J1379" i="4"/>
  <c r="I1379" i="4"/>
  <c r="H1379" i="4"/>
  <c r="G1379" i="4"/>
  <c r="F1379" i="4"/>
  <c r="E1379" i="4"/>
  <c r="D1379" i="4"/>
  <c r="C1379" i="4"/>
  <c r="B1379" i="4"/>
  <c r="A1379" i="4"/>
  <c r="M1378" i="4"/>
  <c r="L1378" i="4"/>
  <c r="K1378" i="4"/>
  <c r="J1378" i="4"/>
  <c r="I1378" i="4"/>
  <c r="H1378" i="4"/>
  <c r="G1378" i="4"/>
  <c r="F1378" i="4"/>
  <c r="E1378" i="4"/>
  <c r="D1378" i="4"/>
  <c r="C1378" i="4"/>
  <c r="B1378" i="4"/>
  <c r="A1378" i="4"/>
  <c r="M1377" i="4"/>
  <c r="L1377" i="4"/>
  <c r="K1377" i="4"/>
  <c r="J1377" i="4"/>
  <c r="I1377" i="4"/>
  <c r="H1377" i="4"/>
  <c r="G1377" i="4"/>
  <c r="F1377" i="4"/>
  <c r="E1377" i="4"/>
  <c r="D1377" i="4"/>
  <c r="C1377" i="4"/>
  <c r="B1377" i="4"/>
  <c r="A1377" i="4"/>
  <c r="M1376" i="4"/>
  <c r="L1376" i="4"/>
  <c r="K1376" i="4"/>
  <c r="J1376" i="4"/>
  <c r="I1376" i="4"/>
  <c r="H1376" i="4"/>
  <c r="G1376" i="4"/>
  <c r="F1376" i="4"/>
  <c r="E1376" i="4"/>
  <c r="D1376" i="4"/>
  <c r="C1376" i="4"/>
  <c r="B1376" i="4"/>
  <c r="A1376" i="4"/>
  <c r="M1375" i="4"/>
  <c r="L1375" i="4"/>
  <c r="K1375" i="4"/>
  <c r="J1375" i="4"/>
  <c r="I1375" i="4"/>
  <c r="H1375" i="4"/>
  <c r="G1375" i="4"/>
  <c r="F1375" i="4"/>
  <c r="E1375" i="4"/>
  <c r="D1375" i="4"/>
  <c r="C1375" i="4"/>
  <c r="B1375" i="4"/>
  <c r="A1375" i="4"/>
  <c r="M1374" i="4"/>
  <c r="L1374" i="4"/>
  <c r="K1374" i="4"/>
  <c r="J1374" i="4"/>
  <c r="I1374" i="4"/>
  <c r="H1374" i="4"/>
  <c r="G1374" i="4"/>
  <c r="F1374" i="4"/>
  <c r="E1374" i="4"/>
  <c r="D1374" i="4"/>
  <c r="C1374" i="4"/>
  <c r="B1374" i="4"/>
  <c r="A1374" i="4"/>
  <c r="M1373" i="4"/>
  <c r="L1373" i="4"/>
  <c r="K1373" i="4"/>
  <c r="J1373" i="4"/>
  <c r="I1373" i="4"/>
  <c r="H1373" i="4"/>
  <c r="G1373" i="4"/>
  <c r="F1373" i="4"/>
  <c r="E1373" i="4"/>
  <c r="D1373" i="4"/>
  <c r="C1373" i="4"/>
  <c r="B1373" i="4"/>
  <c r="A1373" i="4"/>
  <c r="M1372" i="4"/>
  <c r="L1372" i="4"/>
  <c r="K1372" i="4"/>
  <c r="J1372" i="4"/>
  <c r="I1372" i="4"/>
  <c r="H1372" i="4"/>
  <c r="G1372" i="4"/>
  <c r="F1372" i="4"/>
  <c r="E1372" i="4"/>
  <c r="D1372" i="4"/>
  <c r="C1372" i="4"/>
  <c r="B1372" i="4"/>
  <c r="A1372" i="4"/>
  <c r="M1371" i="4"/>
  <c r="L1371" i="4"/>
  <c r="K1371" i="4"/>
  <c r="J1371" i="4"/>
  <c r="I1371" i="4"/>
  <c r="H1371" i="4"/>
  <c r="G1371" i="4"/>
  <c r="F1371" i="4"/>
  <c r="E1371" i="4"/>
  <c r="D1371" i="4"/>
  <c r="C1371" i="4"/>
  <c r="B1371" i="4"/>
  <c r="A1371" i="4"/>
  <c r="M1370" i="4"/>
  <c r="L1370" i="4"/>
  <c r="K1370" i="4"/>
  <c r="J1370" i="4"/>
  <c r="I1370" i="4"/>
  <c r="H1370" i="4"/>
  <c r="G1370" i="4"/>
  <c r="F1370" i="4"/>
  <c r="E1370" i="4"/>
  <c r="D1370" i="4"/>
  <c r="C1370" i="4"/>
  <c r="B1370" i="4"/>
  <c r="A1370" i="4"/>
  <c r="M1369" i="4"/>
  <c r="L1369" i="4"/>
  <c r="K1369" i="4"/>
  <c r="J1369" i="4"/>
  <c r="I1369" i="4"/>
  <c r="H1369" i="4"/>
  <c r="G1369" i="4"/>
  <c r="F1369" i="4"/>
  <c r="E1369" i="4"/>
  <c r="D1369" i="4"/>
  <c r="C1369" i="4"/>
  <c r="B1369" i="4"/>
  <c r="A1369" i="4"/>
  <c r="M1368" i="4"/>
  <c r="L1368" i="4"/>
  <c r="K1368" i="4"/>
  <c r="J1368" i="4"/>
  <c r="I1368" i="4"/>
  <c r="H1368" i="4"/>
  <c r="G1368" i="4"/>
  <c r="F1368" i="4"/>
  <c r="E1368" i="4"/>
  <c r="D1368" i="4"/>
  <c r="C1368" i="4"/>
  <c r="B1368" i="4"/>
  <c r="A1368" i="4"/>
  <c r="M1367" i="4"/>
  <c r="L1367" i="4"/>
  <c r="K1367" i="4"/>
  <c r="J1367" i="4"/>
  <c r="I1367" i="4"/>
  <c r="H1367" i="4"/>
  <c r="G1367" i="4"/>
  <c r="F1367" i="4"/>
  <c r="E1367" i="4"/>
  <c r="D1367" i="4"/>
  <c r="C1367" i="4"/>
  <c r="B1367" i="4"/>
  <c r="A1367" i="4"/>
  <c r="M1366" i="4"/>
  <c r="L1366" i="4"/>
  <c r="K1366" i="4"/>
  <c r="J1366" i="4"/>
  <c r="I1366" i="4"/>
  <c r="H1366" i="4"/>
  <c r="G1366" i="4"/>
  <c r="F1366" i="4"/>
  <c r="E1366" i="4"/>
  <c r="D1366" i="4"/>
  <c r="C1366" i="4"/>
  <c r="B1366" i="4"/>
  <c r="A1366" i="4"/>
  <c r="M1365" i="4"/>
  <c r="L1365" i="4"/>
  <c r="K1365" i="4"/>
  <c r="J1365" i="4"/>
  <c r="I1365" i="4"/>
  <c r="H1365" i="4"/>
  <c r="G1365" i="4"/>
  <c r="F1365" i="4"/>
  <c r="E1365" i="4"/>
  <c r="D1365" i="4"/>
  <c r="C1365" i="4"/>
  <c r="B1365" i="4"/>
  <c r="A1365" i="4"/>
  <c r="M1364" i="4"/>
  <c r="L1364" i="4"/>
  <c r="K1364" i="4"/>
  <c r="J1364" i="4"/>
  <c r="I1364" i="4"/>
  <c r="H1364" i="4"/>
  <c r="G1364" i="4"/>
  <c r="F1364" i="4"/>
  <c r="E1364" i="4"/>
  <c r="D1364" i="4"/>
  <c r="C1364" i="4"/>
  <c r="B1364" i="4"/>
  <c r="A1364" i="4"/>
  <c r="M1363" i="4"/>
  <c r="L1363" i="4"/>
  <c r="K1363" i="4"/>
  <c r="J1363" i="4"/>
  <c r="I1363" i="4"/>
  <c r="H1363" i="4"/>
  <c r="G1363" i="4"/>
  <c r="F1363" i="4"/>
  <c r="E1363" i="4"/>
  <c r="D1363" i="4"/>
  <c r="C1363" i="4"/>
  <c r="B1363" i="4"/>
  <c r="A1363" i="4"/>
  <c r="M1362" i="4"/>
  <c r="L1362" i="4"/>
  <c r="K1362" i="4"/>
  <c r="J1362" i="4"/>
  <c r="I1362" i="4"/>
  <c r="H1362" i="4"/>
  <c r="G1362" i="4"/>
  <c r="F1362" i="4"/>
  <c r="E1362" i="4"/>
  <c r="D1362" i="4"/>
  <c r="C1362" i="4"/>
  <c r="B1362" i="4"/>
  <c r="A1362" i="4"/>
  <c r="M1361" i="4"/>
  <c r="L1361" i="4"/>
  <c r="K1361" i="4"/>
  <c r="J1361" i="4"/>
  <c r="I1361" i="4"/>
  <c r="H1361" i="4"/>
  <c r="G1361" i="4"/>
  <c r="F1361" i="4"/>
  <c r="E1361" i="4"/>
  <c r="D1361" i="4"/>
  <c r="C1361" i="4"/>
  <c r="B1361" i="4"/>
  <c r="A1361" i="4"/>
  <c r="M1360" i="4"/>
  <c r="L1360" i="4"/>
  <c r="K1360" i="4"/>
  <c r="J1360" i="4"/>
  <c r="I1360" i="4"/>
  <c r="H1360" i="4"/>
  <c r="G1360" i="4"/>
  <c r="F1360" i="4"/>
  <c r="E1360" i="4"/>
  <c r="D1360" i="4"/>
  <c r="C1360" i="4"/>
  <c r="B1360" i="4"/>
  <c r="A1360" i="4"/>
  <c r="M1359" i="4"/>
  <c r="L1359" i="4"/>
  <c r="K1359" i="4"/>
  <c r="J1359" i="4"/>
  <c r="I1359" i="4"/>
  <c r="H1359" i="4"/>
  <c r="G1359" i="4"/>
  <c r="F1359" i="4"/>
  <c r="E1359" i="4"/>
  <c r="D1359" i="4"/>
  <c r="C1359" i="4"/>
  <c r="B1359" i="4"/>
  <c r="A1359" i="4"/>
  <c r="M1358" i="4"/>
  <c r="L1358" i="4"/>
  <c r="K1358" i="4"/>
  <c r="J1358" i="4"/>
  <c r="I1358" i="4"/>
  <c r="H1358" i="4"/>
  <c r="G1358" i="4"/>
  <c r="F1358" i="4"/>
  <c r="E1358" i="4"/>
  <c r="D1358" i="4"/>
  <c r="C1358" i="4"/>
  <c r="B1358" i="4"/>
  <c r="A1358" i="4"/>
  <c r="M1357" i="4"/>
  <c r="L1357" i="4"/>
  <c r="K1357" i="4"/>
  <c r="J1357" i="4"/>
  <c r="I1357" i="4"/>
  <c r="H1357" i="4"/>
  <c r="G1357" i="4"/>
  <c r="F1357" i="4"/>
  <c r="E1357" i="4"/>
  <c r="D1357" i="4"/>
  <c r="C1357" i="4"/>
  <c r="B1357" i="4"/>
  <c r="A1357" i="4"/>
  <c r="M1356" i="4"/>
  <c r="L1356" i="4"/>
  <c r="K1356" i="4"/>
  <c r="J1356" i="4"/>
  <c r="I1356" i="4"/>
  <c r="H1356" i="4"/>
  <c r="G1356" i="4"/>
  <c r="F1356" i="4"/>
  <c r="E1356" i="4"/>
  <c r="D1356" i="4"/>
  <c r="C1356" i="4"/>
  <c r="B1356" i="4"/>
  <c r="A1356" i="4"/>
  <c r="M1355" i="4"/>
  <c r="L1355" i="4"/>
  <c r="K1355" i="4"/>
  <c r="J1355" i="4"/>
  <c r="I1355" i="4"/>
  <c r="H1355" i="4"/>
  <c r="G1355" i="4"/>
  <c r="F1355" i="4"/>
  <c r="E1355" i="4"/>
  <c r="D1355" i="4"/>
  <c r="C1355" i="4"/>
  <c r="B1355" i="4"/>
  <c r="A1355" i="4"/>
  <c r="M1354" i="4"/>
  <c r="L1354" i="4"/>
  <c r="K1354" i="4"/>
  <c r="J1354" i="4"/>
  <c r="I1354" i="4"/>
  <c r="H1354" i="4"/>
  <c r="G1354" i="4"/>
  <c r="F1354" i="4"/>
  <c r="E1354" i="4"/>
  <c r="D1354" i="4"/>
  <c r="C1354" i="4"/>
  <c r="B1354" i="4"/>
  <c r="A1354" i="4"/>
  <c r="M1353" i="4"/>
  <c r="L1353" i="4"/>
  <c r="K1353" i="4"/>
  <c r="J1353" i="4"/>
  <c r="I1353" i="4"/>
  <c r="H1353" i="4"/>
  <c r="G1353" i="4"/>
  <c r="F1353" i="4"/>
  <c r="E1353" i="4"/>
  <c r="D1353" i="4"/>
  <c r="C1353" i="4"/>
  <c r="B1353" i="4"/>
  <c r="A1353" i="4"/>
  <c r="M1352" i="4"/>
  <c r="L1352" i="4"/>
  <c r="K1352" i="4"/>
  <c r="J1352" i="4"/>
  <c r="I1352" i="4"/>
  <c r="H1352" i="4"/>
  <c r="G1352" i="4"/>
  <c r="F1352" i="4"/>
  <c r="E1352" i="4"/>
  <c r="D1352" i="4"/>
  <c r="C1352" i="4"/>
  <c r="B1352" i="4"/>
  <c r="A1352" i="4"/>
  <c r="M1351" i="4"/>
  <c r="L1351" i="4"/>
  <c r="K1351" i="4"/>
  <c r="J1351" i="4"/>
  <c r="I1351" i="4"/>
  <c r="H1351" i="4"/>
  <c r="G1351" i="4"/>
  <c r="F1351" i="4"/>
  <c r="E1351" i="4"/>
  <c r="D1351" i="4"/>
  <c r="C1351" i="4"/>
  <c r="B1351" i="4"/>
  <c r="A1351" i="4"/>
  <c r="M1350" i="4"/>
  <c r="L1350" i="4"/>
  <c r="K1350" i="4"/>
  <c r="J1350" i="4"/>
  <c r="I1350" i="4"/>
  <c r="H1350" i="4"/>
  <c r="G1350" i="4"/>
  <c r="F1350" i="4"/>
  <c r="E1350" i="4"/>
  <c r="D1350" i="4"/>
  <c r="C1350" i="4"/>
  <c r="B1350" i="4"/>
  <c r="A1350" i="4"/>
  <c r="M1349" i="4"/>
  <c r="L1349" i="4"/>
  <c r="K1349" i="4"/>
  <c r="J1349" i="4"/>
  <c r="I1349" i="4"/>
  <c r="H1349" i="4"/>
  <c r="G1349" i="4"/>
  <c r="F1349" i="4"/>
  <c r="E1349" i="4"/>
  <c r="D1349" i="4"/>
  <c r="C1349" i="4"/>
  <c r="B1349" i="4"/>
  <c r="A1349" i="4"/>
  <c r="M1348" i="4"/>
  <c r="L1348" i="4"/>
  <c r="K1348" i="4"/>
  <c r="J1348" i="4"/>
  <c r="I1348" i="4"/>
  <c r="H1348" i="4"/>
  <c r="G1348" i="4"/>
  <c r="F1348" i="4"/>
  <c r="E1348" i="4"/>
  <c r="D1348" i="4"/>
  <c r="C1348" i="4"/>
  <c r="B1348" i="4"/>
  <c r="A1348" i="4"/>
  <c r="M1347" i="4"/>
  <c r="L1347" i="4"/>
  <c r="K1347" i="4"/>
  <c r="J1347" i="4"/>
  <c r="I1347" i="4"/>
  <c r="H1347" i="4"/>
  <c r="G1347" i="4"/>
  <c r="F1347" i="4"/>
  <c r="E1347" i="4"/>
  <c r="D1347" i="4"/>
  <c r="C1347" i="4"/>
  <c r="B1347" i="4"/>
  <c r="A1347" i="4"/>
  <c r="M1346" i="4"/>
  <c r="L1346" i="4"/>
  <c r="K1346" i="4"/>
  <c r="J1346" i="4"/>
  <c r="I1346" i="4"/>
  <c r="H1346" i="4"/>
  <c r="G1346" i="4"/>
  <c r="F1346" i="4"/>
  <c r="E1346" i="4"/>
  <c r="D1346" i="4"/>
  <c r="C1346" i="4"/>
  <c r="B1346" i="4"/>
  <c r="A1346" i="4"/>
  <c r="M1345" i="4"/>
  <c r="L1345" i="4"/>
  <c r="K1345" i="4"/>
  <c r="J1345" i="4"/>
  <c r="I1345" i="4"/>
  <c r="H1345" i="4"/>
  <c r="G1345" i="4"/>
  <c r="F1345" i="4"/>
  <c r="E1345" i="4"/>
  <c r="D1345" i="4"/>
  <c r="C1345" i="4"/>
  <c r="B1345" i="4"/>
  <c r="A1345" i="4"/>
  <c r="M1344" i="4"/>
  <c r="L1344" i="4"/>
  <c r="K1344" i="4"/>
  <c r="J1344" i="4"/>
  <c r="I1344" i="4"/>
  <c r="H1344" i="4"/>
  <c r="G1344" i="4"/>
  <c r="F1344" i="4"/>
  <c r="E1344" i="4"/>
  <c r="D1344" i="4"/>
  <c r="C1344" i="4"/>
  <c r="B1344" i="4"/>
  <c r="A1344" i="4"/>
  <c r="M1343" i="4"/>
  <c r="L1343" i="4"/>
  <c r="K1343" i="4"/>
  <c r="J1343" i="4"/>
  <c r="I1343" i="4"/>
  <c r="H1343" i="4"/>
  <c r="G1343" i="4"/>
  <c r="F1343" i="4"/>
  <c r="E1343" i="4"/>
  <c r="D1343" i="4"/>
  <c r="C1343" i="4"/>
  <c r="B1343" i="4"/>
  <c r="A1343" i="4"/>
  <c r="M1342" i="4"/>
  <c r="L1342" i="4"/>
  <c r="K1342" i="4"/>
  <c r="J1342" i="4"/>
  <c r="I1342" i="4"/>
  <c r="H1342" i="4"/>
  <c r="G1342" i="4"/>
  <c r="F1342" i="4"/>
  <c r="E1342" i="4"/>
  <c r="D1342" i="4"/>
  <c r="C1342" i="4"/>
  <c r="B1342" i="4"/>
  <c r="A1342" i="4"/>
  <c r="M1341" i="4"/>
  <c r="L1341" i="4"/>
  <c r="K1341" i="4"/>
  <c r="J1341" i="4"/>
  <c r="I1341" i="4"/>
  <c r="H1341" i="4"/>
  <c r="G1341" i="4"/>
  <c r="F1341" i="4"/>
  <c r="E1341" i="4"/>
  <c r="D1341" i="4"/>
  <c r="C1341" i="4"/>
  <c r="B1341" i="4"/>
  <c r="A1341" i="4"/>
  <c r="M1340" i="4"/>
  <c r="L1340" i="4"/>
  <c r="K1340" i="4"/>
  <c r="J1340" i="4"/>
  <c r="I1340" i="4"/>
  <c r="H1340" i="4"/>
  <c r="G1340" i="4"/>
  <c r="F1340" i="4"/>
  <c r="E1340" i="4"/>
  <c r="D1340" i="4"/>
  <c r="C1340" i="4"/>
  <c r="B1340" i="4"/>
  <c r="A1340" i="4"/>
  <c r="M1339" i="4"/>
  <c r="L1339" i="4"/>
  <c r="K1339" i="4"/>
  <c r="J1339" i="4"/>
  <c r="I1339" i="4"/>
  <c r="H1339" i="4"/>
  <c r="G1339" i="4"/>
  <c r="F1339" i="4"/>
  <c r="E1339" i="4"/>
  <c r="D1339" i="4"/>
  <c r="C1339" i="4"/>
  <c r="B1339" i="4"/>
  <c r="A1339" i="4"/>
  <c r="M1338" i="4"/>
  <c r="L1338" i="4"/>
  <c r="K1338" i="4"/>
  <c r="J1338" i="4"/>
  <c r="I1338" i="4"/>
  <c r="H1338" i="4"/>
  <c r="G1338" i="4"/>
  <c r="F1338" i="4"/>
  <c r="E1338" i="4"/>
  <c r="D1338" i="4"/>
  <c r="C1338" i="4"/>
  <c r="B1338" i="4"/>
  <c r="A1338" i="4"/>
  <c r="M1337" i="4"/>
  <c r="L1337" i="4"/>
  <c r="K1337" i="4"/>
  <c r="J1337" i="4"/>
  <c r="I1337" i="4"/>
  <c r="H1337" i="4"/>
  <c r="G1337" i="4"/>
  <c r="F1337" i="4"/>
  <c r="E1337" i="4"/>
  <c r="D1337" i="4"/>
  <c r="C1337" i="4"/>
  <c r="B1337" i="4"/>
  <c r="A1337" i="4"/>
  <c r="M1336" i="4"/>
  <c r="L1336" i="4"/>
  <c r="K1336" i="4"/>
  <c r="J1336" i="4"/>
  <c r="I1336" i="4"/>
  <c r="H1336" i="4"/>
  <c r="G1336" i="4"/>
  <c r="F1336" i="4"/>
  <c r="E1336" i="4"/>
  <c r="D1336" i="4"/>
  <c r="C1336" i="4"/>
  <c r="B1336" i="4"/>
  <c r="A1336" i="4"/>
  <c r="M1335" i="4"/>
  <c r="L1335" i="4"/>
  <c r="K1335" i="4"/>
  <c r="J1335" i="4"/>
  <c r="I1335" i="4"/>
  <c r="H1335" i="4"/>
  <c r="G1335" i="4"/>
  <c r="F1335" i="4"/>
  <c r="E1335" i="4"/>
  <c r="D1335" i="4"/>
  <c r="C1335" i="4"/>
  <c r="B1335" i="4"/>
  <c r="A1335" i="4"/>
  <c r="M1334" i="4"/>
  <c r="L1334" i="4"/>
  <c r="K1334" i="4"/>
  <c r="J1334" i="4"/>
  <c r="I1334" i="4"/>
  <c r="H1334" i="4"/>
  <c r="G1334" i="4"/>
  <c r="F1334" i="4"/>
  <c r="E1334" i="4"/>
  <c r="D1334" i="4"/>
  <c r="C1334" i="4"/>
  <c r="B1334" i="4"/>
  <c r="A1334" i="4"/>
  <c r="M1333" i="4"/>
  <c r="L1333" i="4"/>
  <c r="K1333" i="4"/>
  <c r="J1333" i="4"/>
  <c r="I1333" i="4"/>
  <c r="H1333" i="4"/>
  <c r="G1333" i="4"/>
  <c r="F1333" i="4"/>
  <c r="E1333" i="4"/>
  <c r="D1333" i="4"/>
  <c r="C1333" i="4"/>
  <c r="B1333" i="4"/>
  <c r="A1333" i="4"/>
  <c r="M1332" i="4"/>
  <c r="L1332" i="4"/>
  <c r="K1332" i="4"/>
  <c r="J1332" i="4"/>
  <c r="I1332" i="4"/>
  <c r="H1332" i="4"/>
  <c r="G1332" i="4"/>
  <c r="F1332" i="4"/>
  <c r="E1332" i="4"/>
  <c r="D1332" i="4"/>
  <c r="C1332" i="4"/>
  <c r="B1332" i="4"/>
  <c r="A1332" i="4"/>
  <c r="M1331" i="4"/>
  <c r="L1331" i="4"/>
  <c r="K1331" i="4"/>
  <c r="J1331" i="4"/>
  <c r="I1331" i="4"/>
  <c r="H1331" i="4"/>
  <c r="G1331" i="4"/>
  <c r="F1331" i="4"/>
  <c r="E1331" i="4"/>
  <c r="D1331" i="4"/>
  <c r="C1331" i="4"/>
  <c r="B1331" i="4"/>
  <c r="A1331" i="4"/>
  <c r="M1330" i="4"/>
  <c r="L1330" i="4"/>
  <c r="K1330" i="4"/>
  <c r="J1330" i="4"/>
  <c r="I1330" i="4"/>
  <c r="H1330" i="4"/>
  <c r="G1330" i="4"/>
  <c r="F1330" i="4"/>
  <c r="E1330" i="4"/>
  <c r="D1330" i="4"/>
  <c r="C1330" i="4"/>
  <c r="B1330" i="4"/>
  <c r="A1330" i="4"/>
  <c r="M1329" i="4"/>
  <c r="L1329" i="4"/>
  <c r="K1329" i="4"/>
  <c r="J1329" i="4"/>
  <c r="I1329" i="4"/>
  <c r="H1329" i="4"/>
  <c r="G1329" i="4"/>
  <c r="F1329" i="4"/>
  <c r="E1329" i="4"/>
  <c r="D1329" i="4"/>
  <c r="C1329" i="4"/>
  <c r="B1329" i="4"/>
  <c r="A1329" i="4"/>
  <c r="M1328" i="4"/>
  <c r="L1328" i="4"/>
  <c r="K1328" i="4"/>
  <c r="J1328" i="4"/>
  <c r="I1328" i="4"/>
  <c r="H1328" i="4"/>
  <c r="G1328" i="4"/>
  <c r="F1328" i="4"/>
  <c r="E1328" i="4"/>
  <c r="D1328" i="4"/>
  <c r="C1328" i="4"/>
  <c r="B1328" i="4"/>
  <c r="A1328" i="4"/>
  <c r="M1327" i="4"/>
  <c r="L1327" i="4"/>
  <c r="K1327" i="4"/>
  <c r="J1327" i="4"/>
  <c r="I1327" i="4"/>
  <c r="H1327" i="4"/>
  <c r="G1327" i="4"/>
  <c r="F1327" i="4"/>
  <c r="E1327" i="4"/>
  <c r="D1327" i="4"/>
  <c r="C1327" i="4"/>
  <c r="B1327" i="4"/>
  <c r="A1327" i="4"/>
  <c r="M1326" i="4"/>
  <c r="L1326" i="4"/>
  <c r="K1326" i="4"/>
  <c r="J1326" i="4"/>
  <c r="I1326" i="4"/>
  <c r="H1326" i="4"/>
  <c r="G1326" i="4"/>
  <c r="F1326" i="4"/>
  <c r="E1326" i="4"/>
  <c r="D1326" i="4"/>
  <c r="C1326" i="4"/>
  <c r="B1326" i="4"/>
  <c r="A1326" i="4"/>
  <c r="M1325" i="4"/>
  <c r="L1325" i="4"/>
  <c r="K1325" i="4"/>
  <c r="J1325" i="4"/>
  <c r="I1325" i="4"/>
  <c r="H1325" i="4"/>
  <c r="G1325" i="4"/>
  <c r="F1325" i="4"/>
  <c r="E1325" i="4"/>
  <c r="D1325" i="4"/>
  <c r="C1325" i="4"/>
  <c r="B1325" i="4"/>
  <c r="A1325" i="4"/>
  <c r="M1324" i="4"/>
  <c r="L1324" i="4"/>
  <c r="K1324" i="4"/>
  <c r="J1324" i="4"/>
  <c r="I1324" i="4"/>
  <c r="H1324" i="4"/>
  <c r="G1324" i="4"/>
  <c r="F1324" i="4"/>
  <c r="E1324" i="4"/>
  <c r="D1324" i="4"/>
  <c r="C1324" i="4"/>
  <c r="B1324" i="4"/>
  <c r="A1324" i="4"/>
  <c r="M1323" i="4"/>
  <c r="L1323" i="4"/>
  <c r="K1323" i="4"/>
  <c r="J1323" i="4"/>
  <c r="I1323" i="4"/>
  <c r="H1323" i="4"/>
  <c r="G1323" i="4"/>
  <c r="F1323" i="4"/>
  <c r="E1323" i="4"/>
  <c r="D1323" i="4"/>
  <c r="C1323" i="4"/>
  <c r="B1323" i="4"/>
  <c r="A1323" i="4"/>
  <c r="M1322" i="4"/>
  <c r="L1322" i="4"/>
  <c r="K1322" i="4"/>
  <c r="J1322" i="4"/>
  <c r="I1322" i="4"/>
  <c r="H1322" i="4"/>
  <c r="G1322" i="4"/>
  <c r="F1322" i="4"/>
  <c r="E1322" i="4"/>
  <c r="D1322" i="4"/>
  <c r="C1322" i="4"/>
  <c r="B1322" i="4"/>
  <c r="A1322" i="4"/>
  <c r="M1321" i="4"/>
  <c r="L1321" i="4"/>
  <c r="K1321" i="4"/>
  <c r="J1321" i="4"/>
  <c r="I1321" i="4"/>
  <c r="H1321" i="4"/>
  <c r="G1321" i="4"/>
  <c r="F1321" i="4"/>
  <c r="E1321" i="4"/>
  <c r="D1321" i="4"/>
  <c r="C1321" i="4"/>
  <c r="B1321" i="4"/>
  <c r="A1321" i="4"/>
  <c r="M1320" i="4"/>
  <c r="L1320" i="4"/>
  <c r="K1320" i="4"/>
  <c r="J1320" i="4"/>
  <c r="I1320" i="4"/>
  <c r="H1320" i="4"/>
  <c r="G1320" i="4"/>
  <c r="F1320" i="4"/>
  <c r="E1320" i="4"/>
  <c r="D1320" i="4"/>
  <c r="C1320" i="4"/>
  <c r="B1320" i="4"/>
  <c r="A1320" i="4"/>
  <c r="M1319" i="4"/>
  <c r="L1319" i="4"/>
  <c r="K1319" i="4"/>
  <c r="J1319" i="4"/>
  <c r="I1319" i="4"/>
  <c r="H1319" i="4"/>
  <c r="G1319" i="4"/>
  <c r="F1319" i="4"/>
  <c r="E1319" i="4"/>
  <c r="D1319" i="4"/>
  <c r="C1319" i="4"/>
  <c r="B1319" i="4"/>
  <c r="A1319" i="4"/>
  <c r="M1318" i="4"/>
  <c r="L1318" i="4"/>
  <c r="K1318" i="4"/>
  <c r="J1318" i="4"/>
  <c r="I1318" i="4"/>
  <c r="H1318" i="4"/>
  <c r="G1318" i="4"/>
  <c r="F1318" i="4"/>
  <c r="E1318" i="4"/>
  <c r="D1318" i="4"/>
  <c r="C1318" i="4"/>
  <c r="B1318" i="4"/>
  <c r="A1318" i="4"/>
  <c r="M1317" i="4"/>
  <c r="L1317" i="4"/>
  <c r="K1317" i="4"/>
  <c r="J1317" i="4"/>
  <c r="I1317" i="4"/>
  <c r="H1317" i="4"/>
  <c r="G1317" i="4"/>
  <c r="F1317" i="4"/>
  <c r="E1317" i="4"/>
  <c r="D1317" i="4"/>
  <c r="C1317" i="4"/>
  <c r="B1317" i="4"/>
  <c r="A1317" i="4"/>
  <c r="M1316" i="4"/>
  <c r="L1316" i="4"/>
  <c r="K1316" i="4"/>
  <c r="J1316" i="4"/>
  <c r="I1316" i="4"/>
  <c r="H1316" i="4"/>
  <c r="G1316" i="4"/>
  <c r="F1316" i="4"/>
  <c r="E1316" i="4"/>
  <c r="D1316" i="4"/>
  <c r="C1316" i="4"/>
  <c r="B1316" i="4"/>
  <c r="A1316" i="4"/>
  <c r="M1315" i="4"/>
  <c r="L1315" i="4"/>
  <c r="K1315" i="4"/>
  <c r="J1315" i="4"/>
  <c r="I1315" i="4"/>
  <c r="H1315" i="4"/>
  <c r="G1315" i="4"/>
  <c r="F1315" i="4"/>
  <c r="E1315" i="4"/>
  <c r="D1315" i="4"/>
  <c r="C1315" i="4"/>
  <c r="B1315" i="4"/>
  <c r="A1315" i="4"/>
  <c r="M1314" i="4"/>
  <c r="L1314" i="4"/>
  <c r="K1314" i="4"/>
  <c r="J1314" i="4"/>
  <c r="I1314" i="4"/>
  <c r="H1314" i="4"/>
  <c r="G1314" i="4"/>
  <c r="F1314" i="4"/>
  <c r="E1314" i="4"/>
  <c r="D1314" i="4"/>
  <c r="C1314" i="4"/>
  <c r="B1314" i="4"/>
  <c r="A1314" i="4"/>
  <c r="M1313" i="4"/>
  <c r="L1313" i="4"/>
  <c r="K1313" i="4"/>
  <c r="J1313" i="4"/>
  <c r="I1313" i="4"/>
  <c r="H1313" i="4"/>
  <c r="G1313" i="4"/>
  <c r="F1313" i="4"/>
  <c r="E1313" i="4"/>
  <c r="D1313" i="4"/>
  <c r="C1313" i="4"/>
  <c r="B1313" i="4"/>
  <c r="A1313" i="4"/>
  <c r="M1312" i="4"/>
  <c r="L1312" i="4"/>
  <c r="K1312" i="4"/>
  <c r="J1312" i="4"/>
  <c r="I1312" i="4"/>
  <c r="H1312" i="4"/>
  <c r="G1312" i="4"/>
  <c r="F1312" i="4"/>
  <c r="E1312" i="4"/>
  <c r="D1312" i="4"/>
  <c r="C1312" i="4"/>
  <c r="B1312" i="4"/>
  <c r="A1312" i="4"/>
  <c r="M1311" i="4"/>
  <c r="L1311" i="4"/>
  <c r="K1311" i="4"/>
  <c r="J1311" i="4"/>
  <c r="I1311" i="4"/>
  <c r="H1311" i="4"/>
  <c r="G1311" i="4"/>
  <c r="F1311" i="4"/>
  <c r="E1311" i="4"/>
  <c r="D1311" i="4"/>
  <c r="C1311" i="4"/>
  <c r="B1311" i="4"/>
  <c r="A1311" i="4"/>
  <c r="M1310" i="4"/>
  <c r="L1310" i="4"/>
  <c r="K1310" i="4"/>
  <c r="J1310" i="4"/>
  <c r="I1310" i="4"/>
  <c r="H1310" i="4"/>
  <c r="G1310" i="4"/>
  <c r="F1310" i="4"/>
  <c r="E1310" i="4"/>
  <c r="D1310" i="4"/>
  <c r="C1310" i="4"/>
  <c r="B1310" i="4"/>
  <c r="A1310" i="4"/>
  <c r="M1309" i="4"/>
  <c r="L1309" i="4"/>
  <c r="K1309" i="4"/>
  <c r="J1309" i="4"/>
  <c r="I1309" i="4"/>
  <c r="H1309" i="4"/>
  <c r="G1309" i="4"/>
  <c r="F1309" i="4"/>
  <c r="E1309" i="4"/>
  <c r="D1309" i="4"/>
  <c r="C1309" i="4"/>
  <c r="B1309" i="4"/>
  <c r="A1309" i="4"/>
  <c r="M1308" i="4"/>
  <c r="L1308" i="4"/>
  <c r="K1308" i="4"/>
  <c r="J1308" i="4"/>
  <c r="I1308" i="4"/>
  <c r="H1308" i="4"/>
  <c r="G1308" i="4"/>
  <c r="F1308" i="4"/>
  <c r="E1308" i="4"/>
  <c r="D1308" i="4"/>
  <c r="C1308" i="4"/>
  <c r="B1308" i="4"/>
  <c r="A1308" i="4"/>
  <c r="M1307" i="4"/>
  <c r="L1307" i="4"/>
  <c r="K1307" i="4"/>
  <c r="J1307" i="4"/>
  <c r="I1307" i="4"/>
  <c r="H1307" i="4"/>
  <c r="G1307" i="4"/>
  <c r="F1307" i="4"/>
  <c r="E1307" i="4"/>
  <c r="D1307" i="4"/>
  <c r="C1307" i="4"/>
  <c r="B1307" i="4"/>
  <c r="A1307" i="4"/>
  <c r="M1306" i="4"/>
  <c r="L1306" i="4"/>
  <c r="K1306" i="4"/>
  <c r="J1306" i="4"/>
  <c r="I1306" i="4"/>
  <c r="H1306" i="4"/>
  <c r="G1306" i="4"/>
  <c r="F1306" i="4"/>
  <c r="E1306" i="4"/>
  <c r="D1306" i="4"/>
  <c r="C1306" i="4"/>
  <c r="B1306" i="4"/>
  <c r="A1306" i="4"/>
  <c r="M1305" i="4"/>
  <c r="L1305" i="4"/>
  <c r="K1305" i="4"/>
  <c r="J1305" i="4"/>
  <c r="I1305" i="4"/>
  <c r="H1305" i="4"/>
  <c r="G1305" i="4"/>
  <c r="F1305" i="4"/>
  <c r="E1305" i="4"/>
  <c r="D1305" i="4"/>
  <c r="C1305" i="4"/>
  <c r="B1305" i="4"/>
  <c r="A1305" i="4"/>
  <c r="M1304" i="4"/>
  <c r="L1304" i="4"/>
  <c r="K1304" i="4"/>
  <c r="J1304" i="4"/>
  <c r="I1304" i="4"/>
  <c r="H1304" i="4"/>
  <c r="G1304" i="4"/>
  <c r="F1304" i="4"/>
  <c r="E1304" i="4"/>
  <c r="D1304" i="4"/>
  <c r="C1304" i="4"/>
  <c r="B1304" i="4"/>
  <c r="A1304" i="4"/>
  <c r="M1303" i="4"/>
  <c r="L1303" i="4"/>
  <c r="K1303" i="4"/>
  <c r="J1303" i="4"/>
  <c r="I1303" i="4"/>
  <c r="H1303" i="4"/>
  <c r="G1303" i="4"/>
  <c r="F1303" i="4"/>
  <c r="E1303" i="4"/>
  <c r="D1303" i="4"/>
  <c r="C1303" i="4"/>
  <c r="B1303" i="4"/>
  <c r="A1303" i="4"/>
  <c r="M1302" i="4"/>
  <c r="L1302" i="4"/>
  <c r="K1302" i="4"/>
  <c r="J1302" i="4"/>
  <c r="I1302" i="4"/>
  <c r="H1302" i="4"/>
  <c r="G1302" i="4"/>
  <c r="F1302" i="4"/>
  <c r="E1302" i="4"/>
  <c r="D1302" i="4"/>
  <c r="C1302" i="4"/>
  <c r="B1302" i="4"/>
  <c r="A1302" i="4"/>
  <c r="M1301" i="4"/>
  <c r="L1301" i="4"/>
  <c r="K1301" i="4"/>
  <c r="J1301" i="4"/>
  <c r="I1301" i="4"/>
  <c r="H1301" i="4"/>
  <c r="G1301" i="4"/>
  <c r="F1301" i="4"/>
  <c r="E1301" i="4"/>
  <c r="D1301" i="4"/>
  <c r="C1301" i="4"/>
  <c r="B1301" i="4"/>
  <c r="A1301" i="4"/>
  <c r="M1300" i="4"/>
  <c r="L1300" i="4"/>
  <c r="K1300" i="4"/>
  <c r="J1300" i="4"/>
  <c r="I1300" i="4"/>
  <c r="H1300" i="4"/>
  <c r="G1300" i="4"/>
  <c r="F1300" i="4"/>
  <c r="E1300" i="4"/>
  <c r="D1300" i="4"/>
  <c r="C1300" i="4"/>
  <c r="B1300" i="4"/>
  <c r="A1300" i="4"/>
  <c r="M1299" i="4"/>
  <c r="L1299" i="4"/>
  <c r="K1299" i="4"/>
  <c r="J1299" i="4"/>
  <c r="I1299" i="4"/>
  <c r="H1299" i="4"/>
  <c r="G1299" i="4"/>
  <c r="F1299" i="4"/>
  <c r="E1299" i="4"/>
  <c r="D1299" i="4"/>
  <c r="C1299" i="4"/>
  <c r="B1299" i="4"/>
  <c r="A1299" i="4"/>
  <c r="M1298" i="4"/>
  <c r="L1298" i="4"/>
  <c r="K1298" i="4"/>
  <c r="J1298" i="4"/>
  <c r="I1298" i="4"/>
  <c r="H1298" i="4"/>
  <c r="G1298" i="4"/>
  <c r="F1298" i="4"/>
  <c r="E1298" i="4"/>
  <c r="D1298" i="4"/>
  <c r="C1298" i="4"/>
  <c r="B1298" i="4"/>
  <c r="A1298" i="4"/>
  <c r="M1297" i="4"/>
  <c r="L1297" i="4"/>
  <c r="K1297" i="4"/>
  <c r="J1297" i="4"/>
  <c r="I1297" i="4"/>
  <c r="H1297" i="4"/>
  <c r="G1297" i="4"/>
  <c r="F1297" i="4"/>
  <c r="E1297" i="4"/>
  <c r="D1297" i="4"/>
  <c r="C1297" i="4"/>
  <c r="B1297" i="4"/>
  <c r="A1297" i="4"/>
  <c r="M1296" i="4"/>
  <c r="L1296" i="4"/>
  <c r="K1296" i="4"/>
  <c r="J1296" i="4"/>
  <c r="I1296" i="4"/>
  <c r="H1296" i="4"/>
  <c r="G1296" i="4"/>
  <c r="F1296" i="4"/>
  <c r="E1296" i="4"/>
  <c r="D1296" i="4"/>
  <c r="C1296" i="4"/>
  <c r="B1296" i="4"/>
  <c r="A1296" i="4"/>
  <c r="M1295" i="4"/>
  <c r="L1295" i="4"/>
  <c r="K1295" i="4"/>
  <c r="J1295" i="4"/>
  <c r="I1295" i="4"/>
  <c r="H1295" i="4"/>
  <c r="G1295" i="4"/>
  <c r="F1295" i="4"/>
  <c r="E1295" i="4"/>
  <c r="D1295" i="4"/>
  <c r="C1295" i="4"/>
  <c r="B1295" i="4"/>
  <c r="A1295" i="4"/>
  <c r="M1294" i="4"/>
  <c r="L1294" i="4"/>
  <c r="K1294" i="4"/>
  <c r="J1294" i="4"/>
  <c r="I1294" i="4"/>
  <c r="H1294" i="4"/>
  <c r="G1294" i="4"/>
  <c r="F1294" i="4"/>
  <c r="E1294" i="4"/>
  <c r="D1294" i="4"/>
  <c r="C1294" i="4"/>
  <c r="B1294" i="4"/>
  <c r="A1294" i="4"/>
  <c r="M1293" i="4"/>
  <c r="L1293" i="4"/>
  <c r="K1293" i="4"/>
  <c r="J1293" i="4"/>
  <c r="I1293" i="4"/>
  <c r="H1293" i="4"/>
  <c r="G1293" i="4"/>
  <c r="F1293" i="4"/>
  <c r="E1293" i="4"/>
  <c r="D1293" i="4"/>
  <c r="C1293" i="4"/>
  <c r="B1293" i="4"/>
  <c r="A1293" i="4"/>
  <c r="M1292" i="4"/>
  <c r="L1292" i="4"/>
  <c r="K1292" i="4"/>
  <c r="J1292" i="4"/>
  <c r="I1292" i="4"/>
  <c r="H1292" i="4"/>
  <c r="G1292" i="4"/>
  <c r="F1292" i="4"/>
  <c r="E1292" i="4"/>
  <c r="D1292" i="4"/>
  <c r="C1292" i="4"/>
  <c r="B1292" i="4"/>
  <c r="A1292" i="4"/>
  <c r="M1291" i="4"/>
  <c r="L1291" i="4"/>
  <c r="K1291" i="4"/>
  <c r="J1291" i="4"/>
  <c r="I1291" i="4"/>
  <c r="H1291" i="4"/>
  <c r="G1291" i="4"/>
  <c r="F1291" i="4"/>
  <c r="E1291" i="4"/>
  <c r="D1291" i="4"/>
  <c r="C1291" i="4"/>
  <c r="B1291" i="4"/>
  <c r="A1291" i="4"/>
  <c r="M1290" i="4"/>
  <c r="L1290" i="4"/>
  <c r="K1290" i="4"/>
  <c r="J1290" i="4"/>
  <c r="I1290" i="4"/>
  <c r="H1290" i="4"/>
  <c r="G1290" i="4"/>
  <c r="F1290" i="4"/>
  <c r="E1290" i="4"/>
  <c r="D1290" i="4"/>
  <c r="C1290" i="4"/>
  <c r="B1290" i="4"/>
  <c r="A1290" i="4"/>
  <c r="M1289" i="4"/>
  <c r="L1289" i="4"/>
  <c r="K1289" i="4"/>
  <c r="J1289" i="4"/>
  <c r="I1289" i="4"/>
  <c r="H1289" i="4"/>
  <c r="G1289" i="4"/>
  <c r="F1289" i="4"/>
  <c r="E1289" i="4"/>
  <c r="D1289" i="4"/>
  <c r="C1289" i="4"/>
  <c r="B1289" i="4"/>
  <c r="A1289" i="4"/>
  <c r="M1288" i="4"/>
  <c r="L1288" i="4"/>
  <c r="K1288" i="4"/>
  <c r="J1288" i="4"/>
  <c r="I1288" i="4"/>
  <c r="H1288" i="4"/>
  <c r="G1288" i="4"/>
  <c r="F1288" i="4"/>
  <c r="E1288" i="4"/>
  <c r="D1288" i="4"/>
  <c r="C1288" i="4"/>
  <c r="B1288" i="4"/>
  <c r="A1288" i="4"/>
  <c r="M1287" i="4"/>
  <c r="L1287" i="4"/>
  <c r="K1287" i="4"/>
  <c r="J1287" i="4"/>
  <c r="I1287" i="4"/>
  <c r="H1287" i="4"/>
  <c r="G1287" i="4"/>
  <c r="F1287" i="4"/>
  <c r="E1287" i="4"/>
  <c r="D1287" i="4"/>
  <c r="C1287" i="4"/>
  <c r="B1287" i="4"/>
  <c r="A1287" i="4"/>
  <c r="M1286" i="4"/>
  <c r="L1286" i="4"/>
  <c r="K1286" i="4"/>
  <c r="J1286" i="4"/>
  <c r="I1286" i="4"/>
  <c r="H1286" i="4"/>
  <c r="G1286" i="4"/>
  <c r="F1286" i="4"/>
  <c r="E1286" i="4"/>
  <c r="D1286" i="4"/>
  <c r="C1286" i="4"/>
  <c r="B1286" i="4"/>
  <c r="A1286" i="4"/>
  <c r="M1285" i="4"/>
  <c r="L1285" i="4"/>
  <c r="K1285" i="4"/>
  <c r="J1285" i="4"/>
  <c r="I1285" i="4"/>
  <c r="H1285" i="4"/>
  <c r="G1285" i="4"/>
  <c r="F1285" i="4"/>
  <c r="E1285" i="4"/>
  <c r="D1285" i="4"/>
  <c r="C1285" i="4"/>
  <c r="B1285" i="4"/>
  <c r="A1285" i="4"/>
  <c r="M1284" i="4"/>
  <c r="L1284" i="4"/>
  <c r="K1284" i="4"/>
  <c r="J1284" i="4"/>
  <c r="I1284" i="4"/>
  <c r="H1284" i="4"/>
  <c r="G1284" i="4"/>
  <c r="F1284" i="4"/>
  <c r="E1284" i="4"/>
  <c r="D1284" i="4"/>
  <c r="C1284" i="4"/>
  <c r="B1284" i="4"/>
  <c r="A1284" i="4"/>
  <c r="M1283" i="4"/>
  <c r="L1283" i="4"/>
  <c r="K1283" i="4"/>
  <c r="J1283" i="4"/>
  <c r="I1283" i="4"/>
  <c r="H1283" i="4"/>
  <c r="G1283" i="4"/>
  <c r="F1283" i="4"/>
  <c r="E1283" i="4"/>
  <c r="D1283" i="4"/>
  <c r="C1283" i="4"/>
  <c r="B1283" i="4"/>
  <c r="A1283" i="4"/>
  <c r="M1282" i="4"/>
  <c r="L1282" i="4"/>
  <c r="K1282" i="4"/>
  <c r="J1282" i="4"/>
  <c r="I1282" i="4"/>
  <c r="H1282" i="4"/>
  <c r="G1282" i="4"/>
  <c r="F1282" i="4"/>
  <c r="E1282" i="4"/>
  <c r="D1282" i="4"/>
  <c r="C1282" i="4"/>
  <c r="B1282" i="4"/>
  <c r="A1282" i="4"/>
  <c r="M1281" i="4"/>
  <c r="L1281" i="4"/>
  <c r="K1281" i="4"/>
  <c r="J1281" i="4"/>
  <c r="I1281" i="4"/>
  <c r="H1281" i="4"/>
  <c r="G1281" i="4"/>
  <c r="F1281" i="4"/>
  <c r="E1281" i="4"/>
  <c r="D1281" i="4"/>
  <c r="C1281" i="4"/>
  <c r="B1281" i="4"/>
  <c r="A1281" i="4"/>
  <c r="M1280" i="4"/>
  <c r="L1280" i="4"/>
  <c r="K1280" i="4"/>
  <c r="J1280" i="4"/>
  <c r="I1280" i="4"/>
  <c r="H1280" i="4"/>
  <c r="G1280" i="4"/>
  <c r="F1280" i="4"/>
  <c r="E1280" i="4"/>
  <c r="D1280" i="4"/>
  <c r="C1280" i="4"/>
  <c r="B1280" i="4"/>
  <c r="A1280" i="4"/>
  <c r="M1279" i="4"/>
  <c r="L1279" i="4"/>
  <c r="K1279" i="4"/>
  <c r="J1279" i="4"/>
  <c r="I1279" i="4"/>
  <c r="H1279" i="4"/>
  <c r="G1279" i="4"/>
  <c r="F1279" i="4"/>
  <c r="E1279" i="4"/>
  <c r="D1279" i="4"/>
  <c r="C1279" i="4"/>
  <c r="B1279" i="4"/>
  <c r="A1279" i="4"/>
  <c r="M1278" i="4"/>
  <c r="L1278" i="4"/>
  <c r="K1278" i="4"/>
  <c r="J1278" i="4"/>
  <c r="I1278" i="4"/>
  <c r="H1278" i="4"/>
  <c r="G1278" i="4"/>
  <c r="F1278" i="4"/>
  <c r="E1278" i="4"/>
  <c r="D1278" i="4"/>
  <c r="C1278" i="4"/>
  <c r="B1278" i="4"/>
  <c r="A1278" i="4"/>
  <c r="M1277" i="4"/>
  <c r="L1277" i="4"/>
  <c r="K1277" i="4"/>
  <c r="J1277" i="4"/>
  <c r="I1277" i="4"/>
  <c r="H1277" i="4"/>
  <c r="G1277" i="4"/>
  <c r="F1277" i="4"/>
  <c r="E1277" i="4"/>
  <c r="D1277" i="4"/>
  <c r="C1277" i="4"/>
  <c r="B1277" i="4"/>
  <c r="A1277" i="4"/>
  <c r="M1276" i="4"/>
  <c r="L1276" i="4"/>
  <c r="K1276" i="4"/>
  <c r="J1276" i="4"/>
  <c r="I1276" i="4"/>
  <c r="H1276" i="4"/>
  <c r="G1276" i="4"/>
  <c r="F1276" i="4"/>
  <c r="E1276" i="4"/>
  <c r="D1276" i="4"/>
  <c r="C1276" i="4"/>
  <c r="B1276" i="4"/>
  <c r="A1276" i="4"/>
  <c r="M1275" i="4"/>
  <c r="L1275" i="4"/>
  <c r="K1275" i="4"/>
  <c r="J1275" i="4"/>
  <c r="I1275" i="4"/>
  <c r="H1275" i="4"/>
  <c r="G1275" i="4"/>
  <c r="F1275" i="4"/>
  <c r="E1275" i="4"/>
  <c r="D1275" i="4"/>
  <c r="C1275" i="4"/>
  <c r="B1275" i="4"/>
  <c r="A1275" i="4"/>
  <c r="M1274" i="4"/>
  <c r="L1274" i="4"/>
  <c r="K1274" i="4"/>
  <c r="J1274" i="4"/>
  <c r="I1274" i="4"/>
  <c r="H1274" i="4"/>
  <c r="G1274" i="4"/>
  <c r="F1274" i="4"/>
  <c r="E1274" i="4"/>
  <c r="D1274" i="4"/>
  <c r="C1274" i="4"/>
  <c r="B1274" i="4"/>
  <c r="A1274" i="4"/>
  <c r="M1273" i="4"/>
  <c r="L1273" i="4"/>
  <c r="K1273" i="4"/>
  <c r="J1273" i="4"/>
  <c r="I1273" i="4"/>
  <c r="H1273" i="4"/>
  <c r="G1273" i="4"/>
  <c r="F1273" i="4"/>
  <c r="E1273" i="4"/>
  <c r="D1273" i="4"/>
  <c r="C1273" i="4"/>
  <c r="B1273" i="4"/>
  <c r="A1273" i="4"/>
  <c r="M1272" i="4"/>
  <c r="L1272" i="4"/>
  <c r="K1272" i="4"/>
  <c r="J1272" i="4"/>
  <c r="I1272" i="4"/>
  <c r="H1272" i="4"/>
  <c r="G1272" i="4"/>
  <c r="F1272" i="4"/>
  <c r="E1272" i="4"/>
  <c r="D1272" i="4"/>
  <c r="C1272" i="4"/>
  <c r="B1272" i="4"/>
  <c r="A1272" i="4"/>
  <c r="M1271" i="4"/>
  <c r="L1271" i="4"/>
  <c r="K1271" i="4"/>
  <c r="J1271" i="4"/>
  <c r="I1271" i="4"/>
  <c r="H1271" i="4"/>
  <c r="G1271" i="4"/>
  <c r="F1271" i="4"/>
  <c r="D1271" i="4"/>
  <c r="C1271" i="4"/>
  <c r="B1271" i="4"/>
  <c r="A1271" i="4"/>
  <c r="M1270" i="4"/>
  <c r="L1270" i="4"/>
  <c r="K1270" i="4"/>
  <c r="J1270" i="4"/>
  <c r="I1270" i="4"/>
  <c r="H1270" i="4"/>
  <c r="G1270" i="4"/>
  <c r="F1270" i="4"/>
  <c r="E1270" i="4"/>
  <c r="D1270" i="4"/>
  <c r="C1270" i="4"/>
  <c r="B1270" i="4"/>
  <c r="A1270" i="4"/>
  <c r="M1269" i="4"/>
  <c r="L1269" i="4"/>
  <c r="K1269" i="4"/>
  <c r="J1269" i="4"/>
  <c r="I1269" i="4"/>
  <c r="H1269" i="4"/>
  <c r="G1269" i="4"/>
  <c r="F1269" i="4"/>
  <c r="E1269" i="4"/>
  <c r="D1269" i="4"/>
  <c r="C1269" i="4"/>
  <c r="B1269" i="4"/>
  <c r="A1269" i="4"/>
  <c r="M1268" i="4"/>
  <c r="L1268" i="4"/>
  <c r="K1268" i="4"/>
  <c r="J1268" i="4"/>
  <c r="I1268" i="4"/>
  <c r="H1268" i="4"/>
  <c r="G1268" i="4"/>
  <c r="F1268" i="4"/>
  <c r="E1268" i="4"/>
  <c r="D1268" i="4"/>
  <c r="C1268" i="4"/>
  <c r="B1268" i="4"/>
  <c r="A1268" i="4"/>
  <c r="M1267" i="4"/>
  <c r="L1267" i="4"/>
  <c r="K1267" i="4"/>
  <c r="J1267" i="4"/>
  <c r="I1267" i="4"/>
  <c r="H1267" i="4"/>
  <c r="G1267" i="4"/>
  <c r="F1267" i="4"/>
  <c r="E1267" i="4"/>
  <c r="D1267" i="4"/>
  <c r="C1267" i="4"/>
  <c r="B1267" i="4"/>
  <c r="A1267" i="4"/>
  <c r="M1266" i="4"/>
  <c r="L1266" i="4"/>
  <c r="K1266" i="4"/>
  <c r="J1266" i="4"/>
  <c r="I1266" i="4"/>
  <c r="H1266" i="4"/>
  <c r="G1266" i="4"/>
  <c r="F1266" i="4"/>
  <c r="E1266" i="4"/>
  <c r="D1266" i="4"/>
  <c r="C1266" i="4"/>
  <c r="B1266" i="4"/>
  <c r="A1266" i="4"/>
  <c r="M1265" i="4"/>
  <c r="L1265" i="4"/>
  <c r="K1265" i="4"/>
  <c r="J1265" i="4"/>
  <c r="I1265" i="4"/>
  <c r="H1265" i="4"/>
  <c r="G1265" i="4"/>
  <c r="F1265" i="4"/>
  <c r="E1265" i="4"/>
  <c r="D1265" i="4"/>
  <c r="C1265" i="4"/>
  <c r="B1265" i="4"/>
  <c r="A1265" i="4"/>
  <c r="M1264" i="4"/>
  <c r="L1264" i="4"/>
  <c r="K1264" i="4"/>
  <c r="J1264" i="4"/>
  <c r="I1264" i="4"/>
  <c r="H1264" i="4"/>
  <c r="G1264" i="4"/>
  <c r="F1264" i="4"/>
  <c r="E1264" i="4"/>
  <c r="D1264" i="4"/>
  <c r="C1264" i="4"/>
  <c r="B1264" i="4"/>
  <c r="A1264" i="4"/>
  <c r="M1263" i="4"/>
  <c r="L1263" i="4"/>
  <c r="K1263" i="4"/>
  <c r="J1263" i="4"/>
  <c r="I1263" i="4"/>
  <c r="H1263" i="4"/>
  <c r="G1263" i="4"/>
  <c r="F1263" i="4"/>
  <c r="E1263" i="4"/>
  <c r="D1263" i="4"/>
  <c r="C1263" i="4"/>
  <c r="B1263" i="4"/>
  <c r="A1263" i="4"/>
  <c r="M1262" i="4"/>
  <c r="L1262" i="4"/>
  <c r="K1262" i="4"/>
  <c r="J1262" i="4"/>
  <c r="I1262" i="4"/>
  <c r="H1262" i="4"/>
  <c r="G1262" i="4"/>
  <c r="F1262" i="4"/>
  <c r="E1262" i="4"/>
  <c r="D1262" i="4"/>
  <c r="C1262" i="4"/>
  <c r="B1262" i="4"/>
  <c r="A1262" i="4"/>
  <c r="M1261" i="4"/>
  <c r="L1261" i="4"/>
  <c r="K1261" i="4"/>
  <c r="J1261" i="4"/>
  <c r="I1261" i="4"/>
  <c r="H1261" i="4"/>
  <c r="G1261" i="4"/>
  <c r="F1261" i="4"/>
  <c r="E1261" i="4"/>
  <c r="D1261" i="4"/>
  <c r="C1261" i="4"/>
  <c r="B1261" i="4"/>
  <c r="A1261" i="4"/>
  <c r="M1260" i="4"/>
  <c r="L1260" i="4"/>
  <c r="K1260" i="4"/>
  <c r="J1260" i="4"/>
  <c r="I1260" i="4"/>
  <c r="H1260" i="4"/>
  <c r="G1260" i="4"/>
  <c r="F1260" i="4"/>
  <c r="E1260" i="4"/>
  <c r="D1260" i="4"/>
  <c r="C1260" i="4"/>
  <c r="B1260" i="4"/>
  <c r="A1260" i="4"/>
  <c r="M1259" i="4"/>
  <c r="L1259" i="4"/>
  <c r="K1259" i="4"/>
  <c r="J1259" i="4"/>
  <c r="I1259" i="4"/>
  <c r="H1259" i="4"/>
  <c r="G1259" i="4"/>
  <c r="F1259" i="4"/>
  <c r="E1259" i="4"/>
  <c r="D1259" i="4"/>
  <c r="C1259" i="4"/>
  <c r="B1259" i="4"/>
  <c r="A1259" i="4"/>
  <c r="M1258" i="4"/>
  <c r="L1258" i="4"/>
  <c r="K1258" i="4"/>
  <c r="J1258" i="4"/>
  <c r="I1258" i="4"/>
  <c r="H1258" i="4"/>
  <c r="G1258" i="4"/>
  <c r="F1258" i="4"/>
  <c r="E1258" i="4"/>
  <c r="D1258" i="4"/>
  <c r="C1258" i="4"/>
  <c r="B1258" i="4"/>
  <c r="A1258" i="4"/>
  <c r="M1257" i="4"/>
  <c r="L1257" i="4"/>
  <c r="K1257" i="4"/>
  <c r="J1257" i="4"/>
  <c r="I1257" i="4"/>
  <c r="H1257" i="4"/>
  <c r="G1257" i="4"/>
  <c r="F1257" i="4"/>
  <c r="E1257" i="4"/>
  <c r="D1257" i="4"/>
  <c r="C1257" i="4"/>
  <c r="B1257" i="4"/>
  <c r="A1257" i="4"/>
  <c r="M1256" i="4"/>
  <c r="L1256" i="4"/>
  <c r="K1256" i="4"/>
  <c r="J1256" i="4"/>
  <c r="I1256" i="4"/>
  <c r="H1256" i="4"/>
  <c r="G1256" i="4"/>
  <c r="F1256" i="4"/>
  <c r="E1256" i="4"/>
  <c r="D1256" i="4"/>
  <c r="C1256" i="4"/>
  <c r="B1256" i="4"/>
  <c r="A1256" i="4"/>
  <c r="M1255" i="4"/>
  <c r="L1255" i="4"/>
  <c r="K1255" i="4"/>
  <c r="J1255" i="4"/>
  <c r="I1255" i="4"/>
  <c r="H1255" i="4"/>
  <c r="G1255" i="4"/>
  <c r="F1255" i="4"/>
  <c r="E1255" i="4"/>
  <c r="D1255" i="4"/>
  <c r="C1255" i="4"/>
  <c r="B1255" i="4"/>
  <c r="A1255" i="4"/>
  <c r="M1254" i="4"/>
  <c r="L1254" i="4"/>
  <c r="K1254" i="4"/>
  <c r="J1254" i="4"/>
  <c r="I1254" i="4"/>
  <c r="H1254" i="4"/>
  <c r="G1254" i="4"/>
  <c r="F1254" i="4"/>
  <c r="E1254" i="4"/>
  <c r="D1254" i="4"/>
  <c r="C1254" i="4"/>
  <c r="B1254" i="4"/>
  <c r="A1254" i="4"/>
  <c r="M1253" i="4"/>
  <c r="L1253" i="4"/>
  <c r="K1253" i="4"/>
  <c r="J1253" i="4"/>
  <c r="I1253" i="4"/>
  <c r="H1253" i="4"/>
  <c r="G1253" i="4"/>
  <c r="F1253" i="4"/>
  <c r="E1253" i="4"/>
  <c r="D1253" i="4"/>
  <c r="C1253" i="4"/>
  <c r="B1253" i="4"/>
  <c r="A1253" i="4"/>
  <c r="M1252" i="4"/>
  <c r="L1252" i="4"/>
  <c r="K1252" i="4"/>
  <c r="J1252" i="4"/>
  <c r="I1252" i="4"/>
  <c r="H1252" i="4"/>
  <c r="G1252" i="4"/>
  <c r="F1252" i="4"/>
  <c r="E1252" i="4"/>
  <c r="D1252" i="4"/>
  <c r="C1252" i="4"/>
  <c r="B1252" i="4"/>
  <c r="A1252" i="4"/>
  <c r="M1251" i="4"/>
  <c r="L1251" i="4"/>
  <c r="K1251" i="4"/>
  <c r="J1251" i="4"/>
  <c r="I1251" i="4"/>
  <c r="H1251" i="4"/>
  <c r="G1251" i="4"/>
  <c r="F1251" i="4"/>
  <c r="E1251" i="4"/>
  <c r="D1251" i="4"/>
  <c r="C1251" i="4"/>
  <c r="B1251" i="4"/>
  <c r="A1251" i="4"/>
  <c r="M1250" i="4"/>
  <c r="L1250" i="4"/>
  <c r="K1250" i="4"/>
  <c r="J1250" i="4"/>
  <c r="I1250" i="4"/>
  <c r="H1250" i="4"/>
  <c r="G1250" i="4"/>
  <c r="F1250" i="4"/>
  <c r="E1250" i="4"/>
  <c r="D1250" i="4"/>
  <c r="C1250" i="4"/>
  <c r="B1250" i="4"/>
  <c r="A1250" i="4"/>
  <c r="M1249" i="4"/>
  <c r="L1249" i="4"/>
  <c r="K1249" i="4"/>
  <c r="J1249" i="4"/>
  <c r="I1249" i="4"/>
  <c r="H1249" i="4"/>
  <c r="G1249" i="4"/>
  <c r="F1249" i="4"/>
  <c r="D1249" i="4"/>
  <c r="C1249" i="4"/>
  <c r="B1249" i="4"/>
  <c r="A1249" i="4"/>
  <c r="M1248" i="4"/>
  <c r="L1248" i="4"/>
  <c r="K1248" i="4"/>
  <c r="J1248" i="4"/>
  <c r="I1248" i="4"/>
  <c r="H1248" i="4"/>
  <c r="G1248" i="4"/>
  <c r="F1248" i="4"/>
  <c r="E1248" i="4"/>
  <c r="D1248" i="4"/>
  <c r="C1248" i="4"/>
  <c r="B1248" i="4"/>
  <c r="A1248" i="4"/>
  <c r="M1247" i="4"/>
  <c r="L1247" i="4"/>
  <c r="K1247" i="4"/>
  <c r="J1247" i="4"/>
  <c r="I1247" i="4"/>
  <c r="H1247" i="4"/>
  <c r="G1247" i="4"/>
  <c r="F1247" i="4"/>
  <c r="E1247" i="4"/>
  <c r="D1247" i="4"/>
  <c r="C1247" i="4"/>
  <c r="B1247" i="4"/>
  <c r="A1247" i="4"/>
  <c r="M1246" i="4"/>
  <c r="L1246" i="4"/>
  <c r="K1246" i="4"/>
  <c r="J1246" i="4"/>
  <c r="I1246" i="4"/>
  <c r="H1246" i="4"/>
  <c r="G1246" i="4"/>
  <c r="F1246" i="4"/>
  <c r="E1246" i="4"/>
  <c r="D1246" i="4"/>
  <c r="C1246" i="4"/>
  <c r="B1246" i="4"/>
  <c r="A1246" i="4"/>
  <c r="M1245" i="4"/>
  <c r="L1245" i="4"/>
  <c r="K1245" i="4"/>
  <c r="J1245" i="4"/>
  <c r="I1245" i="4"/>
  <c r="H1245" i="4"/>
  <c r="G1245" i="4"/>
  <c r="F1245" i="4"/>
  <c r="E1245" i="4"/>
  <c r="D1245" i="4"/>
  <c r="C1245" i="4"/>
  <c r="B1245" i="4"/>
  <c r="A1245" i="4"/>
  <c r="M1244" i="4"/>
  <c r="L1244" i="4"/>
  <c r="K1244" i="4"/>
  <c r="J1244" i="4"/>
  <c r="I1244" i="4"/>
  <c r="H1244" i="4"/>
  <c r="G1244" i="4"/>
  <c r="F1244" i="4"/>
  <c r="E1244" i="4"/>
  <c r="D1244" i="4"/>
  <c r="C1244" i="4"/>
  <c r="B1244" i="4"/>
  <c r="A1244" i="4"/>
  <c r="M1243" i="4"/>
  <c r="L1243" i="4"/>
  <c r="K1243" i="4"/>
  <c r="J1243" i="4"/>
  <c r="I1243" i="4"/>
  <c r="H1243" i="4"/>
  <c r="G1243" i="4"/>
  <c r="F1243" i="4"/>
  <c r="E1243" i="4"/>
  <c r="D1243" i="4"/>
  <c r="C1243" i="4"/>
  <c r="B1243" i="4"/>
  <c r="A1243" i="4"/>
  <c r="M1242" i="4"/>
  <c r="L1242" i="4"/>
  <c r="K1242" i="4"/>
  <c r="J1242" i="4"/>
  <c r="I1242" i="4"/>
  <c r="H1242" i="4"/>
  <c r="G1242" i="4"/>
  <c r="F1242" i="4"/>
  <c r="E1242" i="4"/>
  <c r="D1242" i="4"/>
  <c r="C1242" i="4"/>
  <c r="B1242" i="4"/>
  <c r="A1242" i="4"/>
  <c r="M1241" i="4"/>
  <c r="L1241" i="4"/>
  <c r="K1241" i="4"/>
  <c r="J1241" i="4"/>
  <c r="I1241" i="4"/>
  <c r="H1241" i="4"/>
  <c r="G1241" i="4"/>
  <c r="F1241" i="4"/>
  <c r="E1241" i="4"/>
  <c r="D1241" i="4"/>
  <c r="C1241" i="4"/>
  <c r="B1241" i="4"/>
  <c r="A1241" i="4"/>
  <c r="M1240" i="4"/>
  <c r="L1240" i="4"/>
  <c r="K1240" i="4"/>
  <c r="J1240" i="4"/>
  <c r="I1240" i="4"/>
  <c r="H1240" i="4"/>
  <c r="G1240" i="4"/>
  <c r="F1240" i="4"/>
  <c r="E1240" i="4"/>
  <c r="D1240" i="4"/>
  <c r="C1240" i="4"/>
  <c r="B1240" i="4"/>
  <c r="A1240" i="4"/>
  <c r="M1239" i="4"/>
  <c r="L1239" i="4"/>
  <c r="K1239" i="4"/>
  <c r="J1239" i="4"/>
  <c r="I1239" i="4"/>
  <c r="H1239" i="4"/>
  <c r="G1239" i="4"/>
  <c r="F1239" i="4"/>
  <c r="E1239" i="4"/>
  <c r="D1239" i="4"/>
  <c r="C1239" i="4"/>
  <c r="B1239" i="4"/>
  <c r="A1239" i="4"/>
  <c r="M1238" i="4"/>
  <c r="L1238" i="4"/>
  <c r="K1238" i="4"/>
  <c r="J1238" i="4"/>
  <c r="I1238" i="4"/>
  <c r="H1238" i="4"/>
  <c r="G1238" i="4"/>
  <c r="F1238" i="4"/>
  <c r="E1238" i="4"/>
  <c r="D1238" i="4"/>
  <c r="C1238" i="4"/>
  <c r="B1238" i="4"/>
  <c r="A1238" i="4"/>
  <c r="M1237" i="4"/>
  <c r="L1237" i="4"/>
  <c r="K1237" i="4"/>
  <c r="J1237" i="4"/>
  <c r="I1237" i="4"/>
  <c r="H1237" i="4"/>
  <c r="G1237" i="4"/>
  <c r="F1237" i="4"/>
  <c r="E1237" i="4"/>
  <c r="D1237" i="4"/>
  <c r="C1237" i="4"/>
  <c r="B1237" i="4"/>
  <c r="A1237" i="4"/>
  <c r="M1236" i="4"/>
  <c r="L1236" i="4"/>
  <c r="K1236" i="4"/>
  <c r="J1236" i="4"/>
  <c r="I1236" i="4"/>
  <c r="H1236" i="4"/>
  <c r="G1236" i="4"/>
  <c r="F1236" i="4"/>
  <c r="E1236" i="4"/>
  <c r="D1236" i="4"/>
  <c r="C1236" i="4"/>
  <c r="B1236" i="4"/>
  <c r="A1236" i="4"/>
  <c r="M1235" i="4"/>
  <c r="L1235" i="4"/>
  <c r="K1235" i="4"/>
  <c r="J1235" i="4"/>
  <c r="I1235" i="4"/>
  <c r="H1235" i="4"/>
  <c r="G1235" i="4"/>
  <c r="F1235" i="4"/>
  <c r="E1235" i="4"/>
  <c r="D1235" i="4"/>
  <c r="C1235" i="4"/>
  <c r="B1235" i="4"/>
  <c r="A1235" i="4"/>
  <c r="M1234" i="4"/>
  <c r="L1234" i="4"/>
  <c r="K1234" i="4"/>
  <c r="J1234" i="4"/>
  <c r="I1234" i="4"/>
  <c r="H1234" i="4"/>
  <c r="G1234" i="4"/>
  <c r="F1234" i="4"/>
  <c r="E1234" i="4"/>
  <c r="D1234" i="4"/>
  <c r="C1234" i="4"/>
  <c r="B1234" i="4"/>
  <c r="A1234" i="4"/>
  <c r="M1233" i="4"/>
  <c r="L1233" i="4"/>
  <c r="K1233" i="4"/>
  <c r="J1233" i="4"/>
  <c r="I1233" i="4"/>
  <c r="H1233" i="4"/>
  <c r="G1233" i="4"/>
  <c r="F1233" i="4"/>
  <c r="E1233" i="4"/>
  <c r="D1233" i="4"/>
  <c r="C1233" i="4"/>
  <c r="B1233" i="4"/>
  <c r="A1233" i="4"/>
  <c r="M1232" i="4"/>
  <c r="L1232" i="4"/>
  <c r="K1232" i="4"/>
  <c r="J1232" i="4"/>
  <c r="I1232" i="4"/>
  <c r="H1232" i="4"/>
  <c r="G1232" i="4"/>
  <c r="F1232" i="4"/>
  <c r="E1232" i="4"/>
  <c r="D1232" i="4"/>
  <c r="C1232" i="4"/>
  <c r="B1232" i="4"/>
  <c r="A1232" i="4"/>
  <c r="M1231" i="4"/>
  <c r="L1231" i="4"/>
  <c r="K1231" i="4"/>
  <c r="J1231" i="4"/>
  <c r="I1231" i="4"/>
  <c r="H1231" i="4"/>
  <c r="G1231" i="4"/>
  <c r="F1231" i="4"/>
  <c r="E1231" i="4"/>
  <c r="D1231" i="4"/>
  <c r="C1231" i="4"/>
  <c r="B1231" i="4"/>
  <c r="A1231" i="4"/>
  <c r="M1230" i="4"/>
  <c r="L1230" i="4"/>
  <c r="K1230" i="4"/>
  <c r="J1230" i="4"/>
  <c r="I1230" i="4"/>
  <c r="H1230" i="4"/>
  <c r="G1230" i="4"/>
  <c r="F1230" i="4"/>
  <c r="E1230" i="4"/>
  <c r="D1230" i="4"/>
  <c r="C1230" i="4"/>
  <c r="B1230" i="4"/>
  <c r="A1230" i="4"/>
  <c r="M1229" i="4"/>
  <c r="L1229" i="4"/>
  <c r="K1229" i="4"/>
  <c r="J1229" i="4"/>
  <c r="I1229" i="4"/>
  <c r="H1229" i="4"/>
  <c r="G1229" i="4"/>
  <c r="F1229" i="4"/>
  <c r="E1229" i="4"/>
  <c r="D1229" i="4"/>
  <c r="C1229" i="4"/>
  <c r="B1229" i="4"/>
  <c r="A1229" i="4"/>
  <c r="M1228" i="4"/>
  <c r="L1228" i="4"/>
  <c r="K1228" i="4"/>
  <c r="J1228" i="4"/>
  <c r="I1228" i="4"/>
  <c r="H1228" i="4"/>
  <c r="G1228" i="4"/>
  <c r="F1228" i="4"/>
  <c r="E1228" i="4"/>
  <c r="D1228" i="4"/>
  <c r="C1228" i="4"/>
  <c r="B1228" i="4"/>
  <c r="A1228" i="4"/>
  <c r="M1227" i="4"/>
  <c r="L1227" i="4"/>
  <c r="K1227" i="4"/>
  <c r="J1227" i="4"/>
  <c r="I1227" i="4"/>
  <c r="H1227" i="4"/>
  <c r="G1227" i="4"/>
  <c r="F1227" i="4"/>
  <c r="E1227" i="4"/>
  <c r="D1227" i="4"/>
  <c r="C1227" i="4"/>
  <c r="B1227" i="4"/>
  <c r="A1227" i="4"/>
  <c r="M1226" i="4"/>
  <c r="L1226" i="4"/>
  <c r="K1226" i="4"/>
  <c r="J1226" i="4"/>
  <c r="I1226" i="4"/>
  <c r="H1226" i="4"/>
  <c r="G1226" i="4"/>
  <c r="F1226" i="4"/>
  <c r="E1226" i="4"/>
  <c r="D1226" i="4"/>
  <c r="C1226" i="4"/>
  <c r="B1226" i="4"/>
  <c r="A1226" i="4"/>
  <c r="M1225" i="4"/>
  <c r="L1225" i="4"/>
  <c r="K1225" i="4"/>
  <c r="J1225" i="4"/>
  <c r="I1225" i="4"/>
  <c r="H1225" i="4"/>
  <c r="G1225" i="4"/>
  <c r="F1225" i="4"/>
  <c r="E1225" i="4"/>
  <c r="D1225" i="4"/>
  <c r="C1225" i="4"/>
  <c r="B1225" i="4"/>
  <c r="A1225" i="4"/>
  <c r="M1224" i="4"/>
  <c r="L1224" i="4"/>
  <c r="K1224" i="4"/>
  <c r="J1224" i="4"/>
  <c r="I1224" i="4"/>
  <c r="H1224" i="4"/>
  <c r="G1224" i="4"/>
  <c r="F1224" i="4"/>
  <c r="E1224" i="4"/>
  <c r="D1224" i="4"/>
  <c r="C1224" i="4"/>
  <c r="B1224" i="4"/>
  <c r="A1224" i="4"/>
  <c r="M1223" i="4"/>
  <c r="L1223" i="4"/>
  <c r="K1223" i="4"/>
  <c r="J1223" i="4"/>
  <c r="I1223" i="4"/>
  <c r="H1223" i="4"/>
  <c r="G1223" i="4"/>
  <c r="F1223" i="4"/>
  <c r="E1223" i="4"/>
  <c r="D1223" i="4"/>
  <c r="C1223" i="4"/>
  <c r="B1223" i="4"/>
  <c r="A1223" i="4"/>
  <c r="M1222" i="4"/>
  <c r="L1222" i="4"/>
  <c r="K1222" i="4"/>
  <c r="J1222" i="4"/>
  <c r="I1222" i="4"/>
  <c r="H1222" i="4"/>
  <c r="G1222" i="4"/>
  <c r="F1222" i="4"/>
  <c r="E1222" i="4"/>
  <c r="D1222" i="4"/>
  <c r="C1222" i="4"/>
  <c r="B1222" i="4"/>
  <c r="A1222" i="4"/>
  <c r="M1221" i="4"/>
  <c r="L1221" i="4"/>
  <c r="K1221" i="4"/>
  <c r="J1221" i="4"/>
  <c r="I1221" i="4"/>
  <c r="H1221" i="4"/>
  <c r="G1221" i="4"/>
  <c r="F1221" i="4"/>
  <c r="E1221" i="4"/>
  <c r="D1221" i="4"/>
  <c r="C1221" i="4"/>
  <c r="B1221" i="4"/>
  <c r="A1221" i="4"/>
  <c r="M1220" i="4"/>
  <c r="L1220" i="4"/>
  <c r="K1220" i="4"/>
  <c r="J1220" i="4"/>
  <c r="I1220" i="4"/>
  <c r="H1220" i="4"/>
  <c r="G1220" i="4"/>
  <c r="F1220" i="4"/>
  <c r="E1220" i="4"/>
  <c r="D1220" i="4"/>
  <c r="C1220" i="4"/>
  <c r="B1220" i="4"/>
  <c r="A1220" i="4"/>
  <c r="M1219" i="4"/>
  <c r="L1219" i="4"/>
  <c r="K1219" i="4"/>
  <c r="J1219" i="4"/>
  <c r="I1219" i="4"/>
  <c r="H1219" i="4"/>
  <c r="G1219" i="4"/>
  <c r="F1219" i="4"/>
  <c r="E1219" i="4"/>
  <c r="D1219" i="4"/>
  <c r="C1219" i="4"/>
  <c r="B1219" i="4"/>
  <c r="A1219" i="4"/>
  <c r="M1218" i="4"/>
  <c r="L1218" i="4"/>
  <c r="K1218" i="4"/>
  <c r="J1218" i="4"/>
  <c r="I1218" i="4"/>
  <c r="H1218" i="4"/>
  <c r="G1218" i="4"/>
  <c r="F1218" i="4"/>
  <c r="E1218" i="4"/>
  <c r="D1218" i="4"/>
  <c r="C1218" i="4"/>
  <c r="B1218" i="4"/>
  <c r="A1218" i="4"/>
  <c r="M1217" i="4"/>
  <c r="L1217" i="4"/>
  <c r="K1217" i="4"/>
  <c r="J1217" i="4"/>
  <c r="I1217" i="4"/>
  <c r="H1217" i="4"/>
  <c r="G1217" i="4"/>
  <c r="F1217" i="4"/>
  <c r="E1217" i="4"/>
  <c r="D1217" i="4"/>
  <c r="C1217" i="4"/>
  <c r="B1217" i="4"/>
  <c r="A1217" i="4"/>
  <c r="M1216" i="4"/>
  <c r="L1216" i="4"/>
  <c r="K1216" i="4"/>
  <c r="J1216" i="4"/>
  <c r="I1216" i="4"/>
  <c r="H1216" i="4"/>
  <c r="G1216" i="4"/>
  <c r="F1216" i="4"/>
  <c r="E1216" i="4"/>
  <c r="D1216" i="4"/>
  <c r="C1216" i="4"/>
  <c r="B1216" i="4"/>
  <c r="A1216" i="4"/>
  <c r="M1215" i="4"/>
  <c r="L1215" i="4"/>
  <c r="K1215" i="4"/>
  <c r="J1215" i="4"/>
  <c r="I1215" i="4"/>
  <c r="H1215" i="4"/>
  <c r="G1215" i="4"/>
  <c r="F1215" i="4"/>
  <c r="E1215" i="4"/>
  <c r="D1215" i="4"/>
  <c r="C1215" i="4"/>
  <c r="B1215" i="4"/>
  <c r="A1215" i="4"/>
  <c r="M1214" i="4"/>
  <c r="L1214" i="4"/>
  <c r="K1214" i="4"/>
  <c r="J1214" i="4"/>
  <c r="I1214" i="4"/>
  <c r="H1214" i="4"/>
  <c r="G1214" i="4"/>
  <c r="F1214" i="4"/>
  <c r="E1214" i="4"/>
  <c r="D1214" i="4"/>
  <c r="C1214" i="4"/>
  <c r="B1214" i="4"/>
  <c r="A1214" i="4"/>
  <c r="M1213" i="4"/>
  <c r="L1213" i="4"/>
  <c r="K1213" i="4"/>
  <c r="J1213" i="4"/>
  <c r="I1213" i="4"/>
  <c r="H1213" i="4"/>
  <c r="G1213" i="4"/>
  <c r="F1213" i="4"/>
  <c r="E1213" i="4"/>
  <c r="D1213" i="4"/>
  <c r="C1213" i="4"/>
  <c r="B1213" i="4"/>
  <c r="A1213" i="4"/>
  <c r="M1212" i="4"/>
  <c r="L1212" i="4"/>
  <c r="K1212" i="4"/>
  <c r="J1212" i="4"/>
  <c r="I1212" i="4"/>
  <c r="H1212" i="4"/>
  <c r="G1212" i="4"/>
  <c r="F1212" i="4"/>
  <c r="E1212" i="4"/>
  <c r="D1212" i="4"/>
  <c r="C1212" i="4"/>
  <c r="B1212" i="4"/>
  <c r="A1212" i="4"/>
  <c r="M1211" i="4"/>
  <c r="L1211" i="4"/>
  <c r="K1211" i="4"/>
  <c r="J1211" i="4"/>
  <c r="I1211" i="4"/>
  <c r="H1211" i="4"/>
  <c r="G1211" i="4"/>
  <c r="F1211" i="4"/>
  <c r="E1211" i="4"/>
  <c r="D1211" i="4"/>
  <c r="C1211" i="4"/>
  <c r="B1211" i="4"/>
  <c r="A1211" i="4"/>
  <c r="M1210" i="4"/>
  <c r="L1210" i="4"/>
  <c r="K1210" i="4"/>
  <c r="J1210" i="4"/>
  <c r="I1210" i="4"/>
  <c r="H1210" i="4"/>
  <c r="G1210" i="4"/>
  <c r="F1210" i="4"/>
  <c r="E1210" i="4"/>
  <c r="D1210" i="4"/>
  <c r="C1210" i="4"/>
  <c r="B1210" i="4"/>
  <c r="A1210" i="4"/>
  <c r="M1209" i="4"/>
  <c r="L1209" i="4"/>
  <c r="K1209" i="4"/>
  <c r="J1209" i="4"/>
  <c r="I1209" i="4"/>
  <c r="H1209" i="4"/>
  <c r="G1209" i="4"/>
  <c r="F1209" i="4"/>
  <c r="E1209" i="4"/>
  <c r="D1209" i="4"/>
  <c r="C1209" i="4"/>
  <c r="B1209" i="4"/>
  <c r="A1209" i="4"/>
  <c r="M1208" i="4"/>
  <c r="L1208" i="4"/>
  <c r="K1208" i="4"/>
  <c r="J1208" i="4"/>
  <c r="I1208" i="4"/>
  <c r="H1208" i="4"/>
  <c r="G1208" i="4"/>
  <c r="F1208" i="4"/>
  <c r="E1208" i="4"/>
  <c r="D1208" i="4"/>
  <c r="C1208" i="4"/>
  <c r="B1208" i="4"/>
  <c r="A1208" i="4"/>
  <c r="M1207" i="4"/>
  <c r="L1207" i="4"/>
  <c r="K1207" i="4"/>
  <c r="J1207" i="4"/>
  <c r="I1207" i="4"/>
  <c r="H1207" i="4"/>
  <c r="G1207" i="4"/>
  <c r="F1207" i="4"/>
  <c r="E1207" i="4"/>
  <c r="D1207" i="4"/>
  <c r="C1207" i="4"/>
  <c r="B1207" i="4"/>
  <c r="A1207" i="4"/>
  <c r="M1206" i="4"/>
  <c r="L1206" i="4"/>
  <c r="K1206" i="4"/>
  <c r="J1206" i="4"/>
  <c r="I1206" i="4"/>
  <c r="H1206" i="4"/>
  <c r="G1206" i="4"/>
  <c r="F1206" i="4"/>
  <c r="E1206" i="4"/>
  <c r="D1206" i="4"/>
  <c r="C1206" i="4"/>
  <c r="B1206" i="4"/>
  <c r="A1206" i="4"/>
  <c r="M1205" i="4"/>
  <c r="L1205" i="4"/>
  <c r="K1205" i="4"/>
  <c r="J1205" i="4"/>
  <c r="I1205" i="4"/>
  <c r="H1205" i="4"/>
  <c r="G1205" i="4"/>
  <c r="F1205" i="4"/>
  <c r="E1205" i="4"/>
  <c r="D1205" i="4"/>
  <c r="C1205" i="4"/>
  <c r="B1205" i="4"/>
  <c r="A1205" i="4"/>
  <c r="M1204" i="4"/>
  <c r="L1204" i="4"/>
  <c r="K1204" i="4"/>
  <c r="J1204" i="4"/>
  <c r="I1204" i="4"/>
  <c r="H1204" i="4"/>
  <c r="G1204" i="4"/>
  <c r="F1204" i="4"/>
  <c r="E1204" i="4"/>
  <c r="D1204" i="4"/>
  <c r="C1204" i="4"/>
  <c r="B1204" i="4"/>
  <c r="A1204" i="4"/>
  <c r="M1203" i="4"/>
  <c r="L1203" i="4"/>
  <c r="K1203" i="4"/>
  <c r="J1203" i="4"/>
  <c r="I1203" i="4"/>
  <c r="H1203" i="4"/>
  <c r="G1203" i="4"/>
  <c r="F1203" i="4"/>
  <c r="E1203" i="4"/>
  <c r="D1203" i="4"/>
  <c r="C1203" i="4"/>
  <c r="B1203" i="4"/>
  <c r="A1203" i="4"/>
  <c r="M1202" i="4"/>
  <c r="L1202" i="4"/>
  <c r="K1202" i="4"/>
  <c r="J1202" i="4"/>
  <c r="I1202" i="4"/>
  <c r="H1202" i="4"/>
  <c r="G1202" i="4"/>
  <c r="F1202" i="4"/>
  <c r="E1202" i="4"/>
  <c r="D1202" i="4"/>
  <c r="C1202" i="4"/>
  <c r="B1202" i="4"/>
  <c r="A1202" i="4"/>
  <c r="M1201" i="4"/>
  <c r="L1201" i="4"/>
  <c r="K1201" i="4"/>
  <c r="J1201" i="4"/>
  <c r="I1201" i="4"/>
  <c r="H1201" i="4"/>
  <c r="G1201" i="4"/>
  <c r="F1201" i="4"/>
  <c r="E1201" i="4"/>
  <c r="D1201" i="4"/>
  <c r="C1201" i="4"/>
  <c r="B1201" i="4"/>
  <c r="A1201" i="4"/>
  <c r="M1200" i="4"/>
  <c r="L1200" i="4"/>
  <c r="K1200" i="4"/>
  <c r="J1200" i="4"/>
  <c r="I1200" i="4"/>
  <c r="H1200" i="4"/>
  <c r="G1200" i="4"/>
  <c r="F1200" i="4"/>
  <c r="E1200" i="4"/>
  <c r="D1200" i="4"/>
  <c r="C1200" i="4"/>
  <c r="B1200" i="4"/>
  <c r="A1200" i="4"/>
  <c r="M1199" i="4"/>
  <c r="L1199" i="4"/>
  <c r="K1199" i="4"/>
  <c r="J1199" i="4"/>
  <c r="I1199" i="4"/>
  <c r="H1199" i="4"/>
  <c r="G1199" i="4"/>
  <c r="F1199" i="4"/>
  <c r="E1199" i="4"/>
  <c r="D1199" i="4"/>
  <c r="C1199" i="4"/>
  <c r="B1199" i="4"/>
  <c r="A1199" i="4"/>
  <c r="M1198" i="4"/>
  <c r="L1198" i="4"/>
  <c r="K1198" i="4"/>
  <c r="J1198" i="4"/>
  <c r="I1198" i="4"/>
  <c r="H1198" i="4"/>
  <c r="G1198" i="4"/>
  <c r="F1198" i="4"/>
  <c r="E1198" i="4"/>
  <c r="D1198" i="4"/>
  <c r="C1198" i="4"/>
  <c r="B1198" i="4"/>
  <c r="A1198" i="4"/>
  <c r="M1197" i="4"/>
  <c r="L1197" i="4"/>
  <c r="K1197" i="4"/>
  <c r="J1197" i="4"/>
  <c r="I1197" i="4"/>
  <c r="H1197" i="4"/>
  <c r="G1197" i="4"/>
  <c r="F1197" i="4"/>
  <c r="E1197" i="4"/>
  <c r="D1197" i="4"/>
  <c r="C1197" i="4"/>
  <c r="B1197" i="4"/>
  <c r="A1197" i="4"/>
  <c r="M1196" i="4"/>
  <c r="L1196" i="4"/>
  <c r="K1196" i="4"/>
  <c r="J1196" i="4"/>
  <c r="I1196" i="4"/>
  <c r="H1196" i="4"/>
  <c r="G1196" i="4"/>
  <c r="F1196" i="4"/>
  <c r="E1196" i="4"/>
  <c r="D1196" i="4"/>
  <c r="C1196" i="4"/>
  <c r="B1196" i="4"/>
  <c r="A1196" i="4"/>
  <c r="M1195" i="4"/>
  <c r="L1195" i="4"/>
  <c r="K1195" i="4"/>
  <c r="J1195" i="4"/>
  <c r="I1195" i="4"/>
  <c r="H1195" i="4"/>
  <c r="G1195" i="4"/>
  <c r="F1195" i="4"/>
  <c r="E1195" i="4"/>
  <c r="D1195" i="4"/>
  <c r="C1195" i="4"/>
  <c r="B1195" i="4"/>
  <c r="A1195" i="4"/>
  <c r="M1194" i="4"/>
  <c r="L1194" i="4"/>
  <c r="K1194" i="4"/>
  <c r="J1194" i="4"/>
  <c r="I1194" i="4"/>
  <c r="H1194" i="4"/>
  <c r="G1194" i="4"/>
  <c r="F1194" i="4"/>
  <c r="D1194" i="4"/>
  <c r="C1194" i="4"/>
  <c r="B1194" i="4"/>
  <c r="A1194" i="4"/>
  <c r="M1193" i="4"/>
  <c r="L1193" i="4"/>
  <c r="K1193" i="4"/>
  <c r="J1193" i="4"/>
  <c r="I1193" i="4"/>
  <c r="H1193" i="4"/>
  <c r="G1193" i="4"/>
  <c r="F1193" i="4"/>
  <c r="E1193" i="4"/>
  <c r="D1193" i="4"/>
  <c r="C1193" i="4"/>
  <c r="B1193" i="4"/>
  <c r="A1193" i="4"/>
  <c r="M1192" i="4"/>
  <c r="L1192" i="4"/>
  <c r="K1192" i="4"/>
  <c r="J1192" i="4"/>
  <c r="I1192" i="4"/>
  <c r="H1192" i="4"/>
  <c r="G1192" i="4"/>
  <c r="F1192" i="4"/>
  <c r="E1192" i="4"/>
  <c r="D1192" i="4"/>
  <c r="C1192" i="4"/>
  <c r="B1192" i="4"/>
  <c r="A1192" i="4"/>
  <c r="M1191" i="4"/>
  <c r="L1191" i="4"/>
  <c r="K1191" i="4"/>
  <c r="J1191" i="4"/>
  <c r="I1191" i="4"/>
  <c r="H1191" i="4"/>
  <c r="G1191" i="4"/>
  <c r="F1191" i="4"/>
  <c r="E1191" i="4"/>
  <c r="D1191" i="4"/>
  <c r="C1191" i="4"/>
  <c r="B1191" i="4"/>
  <c r="A1191" i="4"/>
  <c r="M1190" i="4"/>
  <c r="L1190" i="4"/>
  <c r="K1190" i="4"/>
  <c r="J1190" i="4"/>
  <c r="I1190" i="4"/>
  <c r="H1190" i="4"/>
  <c r="G1190" i="4"/>
  <c r="F1190" i="4"/>
  <c r="E1190" i="4"/>
  <c r="D1190" i="4"/>
  <c r="C1190" i="4"/>
  <c r="B1190" i="4"/>
  <c r="A1190" i="4"/>
  <c r="M1189" i="4"/>
  <c r="L1189" i="4"/>
  <c r="K1189" i="4"/>
  <c r="J1189" i="4"/>
  <c r="I1189" i="4"/>
  <c r="H1189" i="4"/>
  <c r="G1189" i="4"/>
  <c r="F1189" i="4"/>
  <c r="E1189" i="4"/>
  <c r="D1189" i="4"/>
  <c r="C1189" i="4"/>
  <c r="B1189" i="4"/>
  <c r="A1189" i="4"/>
  <c r="M1188" i="4"/>
  <c r="L1188" i="4"/>
  <c r="K1188" i="4"/>
  <c r="J1188" i="4"/>
  <c r="I1188" i="4"/>
  <c r="H1188" i="4"/>
  <c r="G1188" i="4"/>
  <c r="F1188" i="4"/>
  <c r="E1188" i="4"/>
  <c r="D1188" i="4"/>
  <c r="C1188" i="4"/>
  <c r="B1188" i="4"/>
  <c r="A1188" i="4"/>
  <c r="M1187" i="4"/>
  <c r="L1187" i="4"/>
  <c r="K1187" i="4"/>
  <c r="J1187" i="4"/>
  <c r="I1187" i="4"/>
  <c r="H1187" i="4"/>
  <c r="G1187" i="4"/>
  <c r="F1187" i="4"/>
  <c r="E1187" i="4"/>
  <c r="D1187" i="4"/>
  <c r="C1187" i="4"/>
  <c r="B1187" i="4"/>
  <c r="A1187" i="4"/>
  <c r="M1186" i="4"/>
  <c r="L1186" i="4"/>
  <c r="K1186" i="4"/>
  <c r="J1186" i="4"/>
  <c r="I1186" i="4"/>
  <c r="H1186" i="4"/>
  <c r="G1186" i="4"/>
  <c r="F1186" i="4"/>
  <c r="E1186" i="4"/>
  <c r="D1186" i="4"/>
  <c r="C1186" i="4"/>
  <c r="B1186" i="4"/>
  <c r="A1186" i="4"/>
  <c r="M1185" i="4"/>
  <c r="L1185" i="4"/>
  <c r="K1185" i="4"/>
  <c r="J1185" i="4"/>
  <c r="I1185" i="4"/>
  <c r="H1185" i="4"/>
  <c r="G1185" i="4"/>
  <c r="F1185" i="4"/>
  <c r="E1185" i="4"/>
  <c r="D1185" i="4"/>
  <c r="C1185" i="4"/>
  <c r="B1185" i="4"/>
  <c r="A1185" i="4"/>
  <c r="M1184" i="4"/>
  <c r="L1184" i="4"/>
  <c r="K1184" i="4"/>
  <c r="J1184" i="4"/>
  <c r="I1184" i="4"/>
  <c r="H1184" i="4"/>
  <c r="G1184" i="4"/>
  <c r="F1184" i="4"/>
  <c r="E1184" i="4"/>
  <c r="D1184" i="4"/>
  <c r="C1184" i="4"/>
  <c r="B1184" i="4"/>
  <c r="A1184" i="4"/>
  <c r="M1183" i="4"/>
  <c r="L1183" i="4"/>
  <c r="K1183" i="4"/>
  <c r="J1183" i="4"/>
  <c r="I1183" i="4"/>
  <c r="H1183" i="4"/>
  <c r="G1183" i="4"/>
  <c r="F1183" i="4"/>
  <c r="E1183" i="4"/>
  <c r="D1183" i="4"/>
  <c r="C1183" i="4"/>
  <c r="B1183" i="4"/>
  <c r="A1183" i="4"/>
  <c r="M1182" i="4"/>
  <c r="L1182" i="4"/>
  <c r="K1182" i="4"/>
  <c r="J1182" i="4"/>
  <c r="I1182" i="4"/>
  <c r="H1182" i="4"/>
  <c r="G1182" i="4"/>
  <c r="F1182" i="4"/>
  <c r="E1182" i="4"/>
  <c r="D1182" i="4"/>
  <c r="C1182" i="4"/>
  <c r="B1182" i="4"/>
  <c r="A1182" i="4"/>
  <c r="M1181" i="4"/>
  <c r="L1181" i="4"/>
  <c r="K1181" i="4"/>
  <c r="J1181" i="4"/>
  <c r="I1181" i="4"/>
  <c r="H1181" i="4"/>
  <c r="G1181" i="4"/>
  <c r="F1181" i="4"/>
  <c r="E1181" i="4"/>
  <c r="D1181" i="4"/>
  <c r="C1181" i="4"/>
  <c r="B1181" i="4"/>
  <c r="A1181" i="4"/>
  <c r="M1180" i="4"/>
  <c r="L1180" i="4"/>
  <c r="K1180" i="4"/>
  <c r="J1180" i="4"/>
  <c r="I1180" i="4"/>
  <c r="H1180" i="4"/>
  <c r="G1180" i="4"/>
  <c r="F1180" i="4"/>
  <c r="E1180" i="4"/>
  <c r="D1180" i="4"/>
  <c r="C1180" i="4"/>
  <c r="B1180" i="4"/>
  <c r="A1180" i="4"/>
  <c r="M1179" i="4"/>
  <c r="L1179" i="4"/>
  <c r="K1179" i="4"/>
  <c r="J1179" i="4"/>
  <c r="I1179" i="4"/>
  <c r="H1179" i="4"/>
  <c r="G1179" i="4"/>
  <c r="F1179" i="4"/>
  <c r="E1179" i="4"/>
  <c r="D1179" i="4"/>
  <c r="C1179" i="4"/>
  <c r="B1179" i="4"/>
  <c r="A1179" i="4"/>
  <c r="M1178" i="4"/>
  <c r="L1178" i="4"/>
  <c r="K1178" i="4"/>
  <c r="J1178" i="4"/>
  <c r="I1178" i="4"/>
  <c r="H1178" i="4"/>
  <c r="G1178" i="4"/>
  <c r="F1178" i="4"/>
  <c r="E1178" i="4"/>
  <c r="D1178" i="4"/>
  <c r="C1178" i="4"/>
  <c r="B1178" i="4"/>
  <c r="A1178" i="4"/>
  <c r="M1177" i="4"/>
  <c r="L1177" i="4"/>
  <c r="K1177" i="4"/>
  <c r="J1177" i="4"/>
  <c r="I1177" i="4"/>
  <c r="H1177" i="4"/>
  <c r="G1177" i="4"/>
  <c r="F1177" i="4"/>
  <c r="E1177" i="4"/>
  <c r="D1177" i="4"/>
  <c r="C1177" i="4"/>
  <c r="B1177" i="4"/>
  <c r="A1177" i="4"/>
  <c r="M1176" i="4"/>
  <c r="L1176" i="4"/>
  <c r="K1176" i="4"/>
  <c r="J1176" i="4"/>
  <c r="I1176" i="4"/>
  <c r="H1176" i="4"/>
  <c r="G1176" i="4"/>
  <c r="F1176" i="4"/>
  <c r="E1176" i="4"/>
  <c r="D1176" i="4"/>
  <c r="C1176" i="4"/>
  <c r="B1176" i="4"/>
  <c r="A1176" i="4"/>
  <c r="M1175" i="4"/>
  <c r="L1175" i="4"/>
  <c r="K1175" i="4"/>
  <c r="J1175" i="4"/>
  <c r="I1175" i="4"/>
  <c r="H1175" i="4"/>
  <c r="G1175" i="4"/>
  <c r="F1175" i="4"/>
  <c r="E1175" i="4"/>
  <c r="D1175" i="4"/>
  <c r="C1175" i="4"/>
  <c r="B1175" i="4"/>
  <c r="A1175" i="4"/>
  <c r="M1174" i="4"/>
  <c r="L1174" i="4"/>
  <c r="K1174" i="4"/>
  <c r="J1174" i="4"/>
  <c r="I1174" i="4"/>
  <c r="H1174" i="4"/>
  <c r="G1174" i="4"/>
  <c r="F1174" i="4"/>
  <c r="E1174" i="4"/>
  <c r="D1174" i="4"/>
  <c r="C1174" i="4"/>
  <c r="B1174" i="4"/>
  <c r="A1174" i="4"/>
  <c r="M1173" i="4"/>
  <c r="L1173" i="4"/>
  <c r="K1173" i="4"/>
  <c r="J1173" i="4"/>
  <c r="I1173" i="4"/>
  <c r="H1173" i="4"/>
  <c r="G1173" i="4"/>
  <c r="F1173" i="4"/>
  <c r="E1173" i="4"/>
  <c r="D1173" i="4"/>
  <c r="C1173" i="4"/>
  <c r="B1173" i="4"/>
  <c r="A1173" i="4"/>
  <c r="M1172" i="4"/>
  <c r="L1172" i="4"/>
  <c r="K1172" i="4"/>
  <c r="J1172" i="4"/>
  <c r="I1172" i="4"/>
  <c r="H1172" i="4"/>
  <c r="G1172" i="4"/>
  <c r="F1172" i="4"/>
  <c r="E1172" i="4"/>
  <c r="D1172" i="4"/>
  <c r="C1172" i="4"/>
  <c r="B1172" i="4"/>
  <c r="A1172" i="4"/>
  <c r="M1171" i="4"/>
  <c r="L1171" i="4"/>
  <c r="K1171" i="4"/>
  <c r="J1171" i="4"/>
  <c r="I1171" i="4"/>
  <c r="H1171" i="4"/>
  <c r="G1171" i="4"/>
  <c r="F1171" i="4"/>
  <c r="E1171" i="4"/>
  <c r="D1171" i="4"/>
  <c r="C1171" i="4"/>
  <c r="B1171" i="4"/>
  <c r="A1171" i="4"/>
  <c r="M1170" i="4"/>
  <c r="L1170" i="4"/>
  <c r="K1170" i="4"/>
  <c r="J1170" i="4"/>
  <c r="I1170" i="4"/>
  <c r="H1170" i="4"/>
  <c r="G1170" i="4"/>
  <c r="F1170" i="4"/>
  <c r="E1170" i="4"/>
  <c r="D1170" i="4"/>
  <c r="C1170" i="4"/>
  <c r="B1170" i="4"/>
  <c r="A1170" i="4"/>
  <c r="M1169" i="4"/>
  <c r="L1169" i="4"/>
  <c r="K1169" i="4"/>
  <c r="J1169" i="4"/>
  <c r="I1169" i="4"/>
  <c r="H1169" i="4"/>
  <c r="G1169" i="4"/>
  <c r="F1169" i="4"/>
  <c r="E1169" i="4"/>
  <c r="D1169" i="4"/>
  <c r="C1169" i="4"/>
  <c r="B1169" i="4"/>
  <c r="A1169" i="4"/>
  <c r="M1168" i="4"/>
  <c r="L1168" i="4"/>
  <c r="K1168" i="4"/>
  <c r="J1168" i="4"/>
  <c r="I1168" i="4"/>
  <c r="H1168" i="4"/>
  <c r="G1168" i="4"/>
  <c r="F1168" i="4"/>
  <c r="E1168" i="4"/>
  <c r="D1168" i="4"/>
  <c r="C1168" i="4"/>
  <c r="B1168" i="4"/>
  <c r="A1168" i="4"/>
  <c r="M1167" i="4"/>
  <c r="L1167" i="4"/>
  <c r="K1167" i="4"/>
  <c r="J1167" i="4"/>
  <c r="I1167" i="4"/>
  <c r="H1167" i="4"/>
  <c r="G1167" i="4"/>
  <c r="F1167" i="4"/>
  <c r="E1167" i="4"/>
  <c r="D1167" i="4"/>
  <c r="C1167" i="4"/>
  <c r="B1167" i="4"/>
  <c r="A1167" i="4"/>
  <c r="M1166" i="4"/>
  <c r="L1166" i="4"/>
  <c r="K1166" i="4"/>
  <c r="J1166" i="4"/>
  <c r="I1166" i="4"/>
  <c r="H1166" i="4"/>
  <c r="G1166" i="4"/>
  <c r="F1166" i="4"/>
  <c r="E1166" i="4"/>
  <c r="D1166" i="4"/>
  <c r="C1166" i="4"/>
  <c r="B1166" i="4"/>
  <c r="A1166" i="4"/>
  <c r="M1165" i="4"/>
  <c r="L1165" i="4"/>
  <c r="K1165" i="4"/>
  <c r="J1165" i="4"/>
  <c r="I1165" i="4"/>
  <c r="H1165" i="4"/>
  <c r="G1165" i="4"/>
  <c r="F1165" i="4"/>
  <c r="E1165" i="4"/>
  <c r="D1165" i="4"/>
  <c r="C1165" i="4"/>
  <c r="B1165" i="4"/>
  <c r="A1165" i="4"/>
  <c r="M1164" i="4"/>
  <c r="L1164" i="4"/>
  <c r="K1164" i="4"/>
  <c r="J1164" i="4"/>
  <c r="I1164" i="4"/>
  <c r="H1164" i="4"/>
  <c r="G1164" i="4"/>
  <c r="F1164" i="4"/>
  <c r="E1164" i="4"/>
  <c r="D1164" i="4"/>
  <c r="C1164" i="4"/>
  <c r="B1164" i="4"/>
  <c r="A1164" i="4"/>
  <c r="M1163" i="4"/>
  <c r="L1163" i="4"/>
  <c r="K1163" i="4"/>
  <c r="J1163" i="4"/>
  <c r="I1163" i="4"/>
  <c r="H1163" i="4"/>
  <c r="G1163" i="4"/>
  <c r="F1163" i="4"/>
  <c r="E1163" i="4"/>
  <c r="D1163" i="4"/>
  <c r="C1163" i="4"/>
  <c r="B1163" i="4"/>
  <c r="A1163" i="4"/>
  <c r="M1162" i="4"/>
  <c r="L1162" i="4"/>
  <c r="K1162" i="4"/>
  <c r="J1162" i="4"/>
  <c r="I1162" i="4"/>
  <c r="H1162" i="4"/>
  <c r="G1162" i="4"/>
  <c r="F1162" i="4"/>
  <c r="E1162" i="4"/>
  <c r="D1162" i="4"/>
  <c r="C1162" i="4"/>
  <c r="B1162" i="4"/>
  <c r="A1162" i="4"/>
  <c r="M1161" i="4"/>
  <c r="L1161" i="4"/>
  <c r="K1161" i="4"/>
  <c r="J1161" i="4"/>
  <c r="I1161" i="4"/>
  <c r="H1161" i="4"/>
  <c r="G1161" i="4"/>
  <c r="F1161" i="4"/>
  <c r="E1161" i="4"/>
  <c r="D1161" i="4"/>
  <c r="C1161" i="4"/>
  <c r="B1161" i="4"/>
  <c r="A1161" i="4"/>
  <c r="M1160" i="4"/>
  <c r="L1160" i="4"/>
  <c r="K1160" i="4"/>
  <c r="J1160" i="4"/>
  <c r="I1160" i="4"/>
  <c r="H1160" i="4"/>
  <c r="G1160" i="4"/>
  <c r="F1160" i="4"/>
  <c r="E1160" i="4"/>
  <c r="D1160" i="4"/>
  <c r="C1160" i="4"/>
  <c r="B1160" i="4"/>
  <c r="A1160" i="4"/>
  <c r="M1159" i="4"/>
  <c r="L1159" i="4"/>
  <c r="K1159" i="4"/>
  <c r="J1159" i="4"/>
  <c r="I1159" i="4"/>
  <c r="H1159" i="4"/>
  <c r="G1159" i="4"/>
  <c r="F1159" i="4"/>
  <c r="E1159" i="4"/>
  <c r="D1159" i="4"/>
  <c r="C1159" i="4"/>
  <c r="B1159" i="4"/>
  <c r="A1159" i="4"/>
  <c r="M1158" i="4"/>
  <c r="L1158" i="4"/>
  <c r="K1158" i="4"/>
  <c r="J1158" i="4"/>
  <c r="I1158" i="4"/>
  <c r="H1158" i="4"/>
  <c r="G1158" i="4"/>
  <c r="F1158" i="4"/>
  <c r="E1158" i="4"/>
  <c r="D1158" i="4"/>
  <c r="C1158" i="4"/>
  <c r="B1158" i="4"/>
  <c r="A1158" i="4"/>
  <c r="M1157" i="4"/>
  <c r="L1157" i="4"/>
  <c r="K1157" i="4"/>
  <c r="J1157" i="4"/>
  <c r="I1157" i="4"/>
  <c r="H1157" i="4"/>
  <c r="G1157" i="4"/>
  <c r="F1157" i="4"/>
  <c r="E1157" i="4"/>
  <c r="D1157" i="4"/>
  <c r="C1157" i="4"/>
  <c r="B1157" i="4"/>
  <c r="A1157" i="4"/>
  <c r="M1156" i="4"/>
  <c r="L1156" i="4"/>
  <c r="K1156" i="4"/>
  <c r="J1156" i="4"/>
  <c r="I1156" i="4"/>
  <c r="H1156" i="4"/>
  <c r="G1156" i="4"/>
  <c r="F1156" i="4"/>
  <c r="E1156" i="4"/>
  <c r="D1156" i="4"/>
  <c r="C1156" i="4"/>
  <c r="B1156" i="4"/>
  <c r="A1156" i="4"/>
  <c r="M1155" i="4"/>
  <c r="L1155" i="4"/>
  <c r="K1155" i="4"/>
  <c r="J1155" i="4"/>
  <c r="I1155" i="4"/>
  <c r="H1155" i="4"/>
  <c r="G1155" i="4"/>
  <c r="F1155" i="4"/>
  <c r="E1155" i="4"/>
  <c r="D1155" i="4"/>
  <c r="C1155" i="4"/>
  <c r="B1155" i="4"/>
  <c r="A1155" i="4"/>
  <c r="M1154" i="4"/>
  <c r="L1154" i="4"/>
  <c r="K1154" i="4"/>
  <c r="J1154" i="4"/>
  <c r="I1154" i="4"/>
  <c r="H1154" i="4"/>
  <c r="G1154" i="4"/>
  <c r="F1154" i="4"/>
  <c r="E1154" i="4"/>
  <c r="D1154" i="4"/>
  <c r="C1154" i="4"/>
  <c r="B1154" i="4"/>
  <c r="A1154" i="4"/>
  <c r="M1153" i="4"/>
  <c r="L1153" i="4"/>
  <c r="K1153" i="4"/>
  <c r="J1153" i="4"/>
  <c r="I1153" i="4"/>
  <c r="H1153" i="4"/>
  <c r="G1153" i="4"/>
  <c r="F1153" i="4"/>
  <c r="E1153" i="4"/>
  <c r="D1153" i="4"/>
  <c r="C1153" i="4"/>
  <c r="B1153" i="4"/>
  <c r="A1153" i="4"/>
  <c r="M1152" i="4"/>
  <c r="L1152" i="4"/>
  <c r="K1152" i="4"/>
  <c r="J1152" i="4"/>
  <c r="I1152" i="4"/>
  <c r="H1152" i="4"/>
  <c r="G1152" i="4"/>
  <c r="F1152" i="4"/>
  <c r="E1152" i="4"/>
  <c r="D1152" i="4"/>
  <c r="C1152" i="4"/>
  <c r="B1152" i="4"/>
  <c r="A1152" i="4"/>
  <c r="M1151" i="4"/>
  <c r="L1151" i="4"/>
  <c r="K1151" i="4"/>
  <c r="J1151" i="4"/>
  <c r="I1151" i="4"/>
  <c r="H1151" i="4"/>
  <c r="G1151" i="4"/>
  <c r="F1151" i="4"/>
  <c r="E1151" i="4"/>
  <c r="D1151" i="4"/>
  <c r="C1151" i="4"/>
  <c r="B1151" i="4"/>
  <c r="A1151" i="4"/>
  <c r="M1150" i="4"/>
  <c r="L1150" i="4"/>
  <c r="K1150" i="4"/>
  <c r="J1150" i="4"/>
  <c r="I1150" i="4"/>
  <c r="H1150" i="4"/>
  <c r="G1150" i="4"/>
  <c r="F1150" i="4"/>
  <c r="E1150" i="4"/>
  <c r="D1150" i="4"/>
  <c r="C1150" i="4"/>
  <c r="B1150" i="4"/>
  <c r="A1150" i="4"/>
  <c r="M1149" i="4"/>
  <c r="L1149" i="4"/>
  <c r="K1149" i="4"/>
  <c r="J1149" i="4"/>
  <c r="I1149" i="4"/>
  <c r="H1149" i="4"/>
  <c r="G1149" i="4"/>
  <c r="F1149" i="4"/>
  <c r="E1149" i="4"/>
  <c r="D1149" i="4"/>
  <c r="C1149" i="4"/>
  <c r="B1149" i="4"/>
  <c r="A1149" i="4"/>
  <c r="M1148" i="4"/>
  <c r="L1148" i="4"/>
  <c r="K1148" i="4"/>
  <c r="J1148" i="4"/>
  <c r="I1148" i="4"/>
  <c r="H1148" i="4"/>
  <c r="G1148" i="4"/>
  <c r="F1148" i="4"/>
  <c r="E1148" i="4"/>
  <c r="D1148" i="4"/>
  <c r="C1148" i="4"/>
  <c r="B1148" i="4"/>
  <c r="A1148" i="4"/>
  <c r="M1147" i="4"/>
  <c r="L1147" i="4"/>
  <c r="K1147" i="4"/>
  <c r="J1147" i="4"/>
  <c r="I1147" i="4"/>
  <c r="H1147" i="4"/>
  <c r="G1147" i="4"/>
  <c r="F1147" i="4"/>
  <c r="E1147" i="4"/>
  <c r="D1147" i="4"/>
  <c r="C1147" i="4"/>
  <c r="B1147" i="4"/>
  <c r="A1147" i="4"/>
  <c r="M1146" i="4"/>
  <c r="L1146" i="4"/>
  <c r="K1146" i="4"/>
  <c r="J1146" i="4"/>
  <c r="I1146" i="4"/>
  <c r="H1146" i="4"/>
  <c r="G1146" i="4"/>
  <c r="F1146" i="4"/>
  <c r="E1146" i="4"/>
  <c r="D1146" i="4"/>
  <c r="C1146" i="4"/>
  <c r="B1146" i="4"/>
  <c r="A1146" i="4"/>
  <c r="M1145" i="4"/>
  <c r="L1145" i="4"/>
  <c r="K1145" i="4"/>
  <c r="J1145" i="4"/>
  <c r="I1145" i="4"/>
  <c r="H1145" i="4"/>
  <c r="G1145" i="4"/>
  <c r="F1145" i="4"/>
  <c r="E1145" i="4"/>
  <c r="D1145" i="4"/>
  <c r="C1145" i="4"/>
  <c r="B1145" i="4"/>
  <c r="A1145" i="4"/>
  <c r="M1144" i="4"/>
  <c r="L1144" i="4"/>
  <c r="K1144" i="4"/>
  <c r="J1144" i="4"/>
  <c r="I1144" i="4"/>
  <c r="H1144" i="4"/>
  <c r="G1144" i="4"/>
  <c r="F1144" i="4"/>
  <c r="E1144" i="4"/>
  <c r="D1144" i="4"/>
  <c r="C1144" i="4"/>
  <c r="B1144" i="4"/>
  <c r="A1144" i="4"/>
  <c r="M1143" i="4"/>
  <c r="L1143" i="4"/>
  <c r="K1143" i="4"/>
  <c r="J1143" i="4"/>
  <c r="I1143" i="4"/>
  <c r="H1143" i="4"/>
  <c r="G1143" i="4"/>
  <c r="F1143" i="4"/>
  <c r="E1143" i="4"/>
  <c r="D1143" i="4"/>
  <c r="C1143" i="4"/>
  <c r="B1143" i="4"/>
  <c r="A1143" i="4"/>
  <c r="M1142" i="4"/>
  <c r="L1142" i="4"/>
  <c r="K1142" i="4"/>
  <c r="J1142" i="4"/>
  <c r="I1142" i="4"/>
  <c r="H1142" i="4"/>
  <c r="G1142" i="4"/>
  <c r="F1142" i="4"/>
  <c r="E1142" i="4"/>
  <c r="D1142" i="4"/>
  <c r="C1142" i="4"/>
  <c r="B1142" i="4"/>
  <c r="A1142" i="4"/>
  <c r="M1141" i="4"/>
  <c r="L1141" i="4"/>
  <c r="K1141" i="4"/>
  <c r="J1141" i="4"/>
  <c r="I1141" i="4"/>
  <c r="H1141" i="4"/>
  <c r="G1141" i="4"/>
  <c r="F1141" i="4"/>
  <c r="E1141" i="4"/>
  <c r="D1141" i="4"/>
  <c r="C1141" i="4"/>
  <c r="B1141" i="4"/>
  <c r="A1141" i="4"/>
  <c r="M1140" i="4"/>
  <c r="L1140" i="4"/>
  <c r="K1140" i="4"/>
  <c r="J1140" i="4"/>
  <c r="I1140" i="4"/>
  <c r="H1140" i="4"/>
  <c r="G1140" i="4"/>
  <c r="F1140" i="4"/>
  <c r="E1140" i="4"/>
  <c r="D1140" i="4"/>
  <c r="C1140" i="4"/>
  <c r="B1140" i="4"/>
  <c r="A1140" i="4"/>
  <c r="M1139" i="4"/>
  <c r="L1139" i="4"/>
  <c r="K1139" i="4"/>
  <c r="J1139" i="4"/>
  <c r="I1139" i="4"/>
  <c r="H1139" i="4"/>
  <c r="G1139" i="4"/>
  <c r="F1139" i="4"/>
  <c r="E1139" i="4"/>
  <c r="D1139" i="4"/>
  <c r="C1139" i="4"/>
  <c r="B1139" i="4"/>
  <c r="A1139" i="4"/>
  <c r="M1138" i="4"/>
  <c r="L1138" i="4"/>
  <c r="K1138" i="4"/>
  <c r="J1138" i="4"/>
  <c r="I1138" i="4"/>
  <c r="H1138" i="4"/>
  <c r="G1138" i="4"/>
  <c r="F1138" i="4"/>
  <c r="E1138" i="4"/>
  <c r="D1138" i="4"/>
  <c r="C1138" i="4"/>
  <c r="B1138" i="4"/>
  <c r="A1138" i="4"/>
  <c r="M1137" i="4"/>
  <c r="L1137" i="4"/>
  <c r="K1137" i="4"/>
  <c r="J1137" i="4"/>
  <c r="I1137" i="4"/>
  <c r="H1137" i="4"/>
  <c r="G1137" i="4"/>
  <c r="F1137" i="4"/>
  <c r="E1137" i="4"/>
  <c r="D1137" i="4"/>
  <c r="C1137" i="4"/>
  <c r="B1137" i="4"/>
  <c r="A1137" i="4"/>
  <c r="M1136" i="4"/>
  <c r="L1136" i="4"/>
  <c r="K1136" i="4"/>
  <c r="J1136" i="4"/>
  <c r="I1136" i="4"/>
  <c r="H1136" i="4"/>
  <c r="G1136" i="4"/>
  <c r="F1136" i="4"/>
  <c r="E1136" i="4"/>
  <c r="D1136" i="4"/>
  <c r="C1136" i="4"/>
  <c r="B1136" i="4"/>
  <c r="A1136" i="4"/>
  <c r="M1135" i="4"/>
  <c r="L1135" i="4"/>
  <c r="K1135" i="4"/>
  <c r="J1135" i="4"/>
  <c r="I1135" i="4"/>
  <c r="H1135" i="4"/>
  <c r="G1135" i="4"/>
  <c r="F1135" i="4"/>
  <c r="E1135" i="4"/>
  <c r="D1135" i="4"/>
  <c r="C1135" i="4"/>
  <c r="B1135" i="4"/>
  <c r="A1135" i="4"/>
  <c r="M1134" i="4"/>
  <c r="L1134" i="4"/>
  <c r="K1134" i="4"/>
  <c r="J1134" i="4"/>
  <c r="I1134" i="4"/>
  <c r="H1134" i="4"/>
  <c r="G1134" i="4"/>
  <c r="F1134" i="4"/>
  <c r="E1134" i="4"/>
  <c r="D1134" i="4"/>
  <c r="C1134" i="4"/>
  <c r="B1134" i="4"/>
  <c r="A1134" i="4"/>
  <c r="M1133" i="4"/>
  <c r="L1133" i="4"/>
  <c r="K1133" i="4"/>
  <c r="J1133" i="4"/>
  <c r="I1133" i="4"/>
  <c r="H1133" i="4"/>
  <c r="G1133" i="4"/>
  <c r="F1133" i="4"/>
  <c r="E1133" i="4"/>
  <c r="D1133" i="4"/>
  <c r="C1133" i="4"/>
  <c r="B1133" i="4"/>
  <c r="A1133" i="4"/>
  <c r="M1132" i="4"/>
  <c r="L1132" i="4"/>
  <c r="K1132" i="4"/>
  <c r="J1132" i="4"/>
  <c r="I1132" i="4"/>
  <c r="H1132" i="4"/>
  <c r="G1132" i="4"/>
  <c r="F1132" i="4"/>
  <c r="E1132" i="4"/>
  <c r="D1132" i="4"/>
  <c r="C1132" i="4"/>
  <c r="B1132" i="4"/>
  <c r="A1132" i="4"/>
  <c r="M1131" i="4"/>
  <c r="L1131" i="4"/>
  <c r="K1131" i="4"/>
  <c r="J1131" i="4"/>
  <c r="I1131" i="4"/>
  <c r="H1131" i="4"/>
  <c r="G1131" i="4"/>
  <c r="F1131" i="4"/>
  <c r="E1131" i="4"/>
  <c r="D1131" i="4"/>
  <c r="C1131" i="4"/>
  <c r="B1131" i="4"/>
  <c r="A1131" i="4"/>
  <c r="M1130" i="4"/>
  <c r="L1130" i="4"/>
  <c r="K1130" i="4"/>
  <c r="J1130" i="4"/>
  <c r="I1130" i="4"/>
  <c r="H1130" i="4"/>
  <c r="G1130" i="4"/>
  <c r="F1130" i="4"/>
  <c r="E1130" i="4"/>
  <c r="D1130" i="4"/>
  <c r="C1130" i="4"/>
  <c r="B1130" i="4"/>
  <c r="A1130" i="4"/>
  <c r="M1129" i="4"/>
  <c r="L1129" i="4"/>
  <c r="K1129" i="4"/>
  <c r="J1129" i="4"/>
  <c r="I1129" i="4"/>
  <c r="H1129" i="4"/>
  <c r="G1129" i="4"/>
  <c r="F1129" i="4"/>
  <c r="E1129" i="4"/>
  <c r="D1129" i="4"/>
  <c r="C1129" i="4"/>
  <c r="B1129" i="4"/>
  <c r="A1129" i="4"/>
  <c r="M1128" i="4"/>
  <c r="L1128" i="4"/>
  <c r="K1128" i="4"/>
  <c r="J1128" i="4"/>
  <c r="I1128" i="4"/>
  <c r="H1128" i="4"/>
  <c r="G1128" i="4"/>
  <c r="F1128" i="4"/>
  <c r="E1128" i="4"/>
  <c r="D1128" i="4"/>
  <c r="C1128" i="4"/>
  <c r="B1128" i="4"/>
  <c r="A1128" i="4"/>
  <c r="M1127" i="4"/>
  <c r="L1127" i="4"/>
  <c r="K1127" i="4"/>
  <c r="J1127" i="4"/>
  <c r="I1127" i="4"/>
  <c r="H1127" i="4"/>
  <c r="G1127" i="4"/>
  <c r="F1127" i="4"/>
  <c r="E1127" i="4"/>
  <c r="D1127" i="4"/>
  <c r="C1127" i="4"/>
  <c r="B1127" i="4"/>
  <c r="A1127" i="4"/>
  <c r="M1126" i="4"/>
  <c r="L1126" i="4"/>
  <c r="K1126" i="4"/>
  <c r="J1126" i="4"/>
  <c r="I1126" i="4"/>
  <c r="H1126" i="4"/>
  <c r="G1126" i="4"/>
  <c r="F1126" i="4"/>
  <c r="E1126" i="4"/>
  <c r="D1126" i="4"/>
  <c r="C1126" i="4"/>
  <c r="B1126" i="4"/>
  <c r="A1126" i="4"/>
  <c r="M1125" i="4"/>
  <c r="L1125" i="4"/>
  <c r="K1125" i="4"/>
  <c r="J1125" i="4"/>
  <c r="I1125" i="4"/>
  <c r="H1125" i="4"/>
  <c r="G1125" i="4"/>
  <c r="F1125" i="4"/>
  <c r="E1125" i="4"/>
  <c r="D1125" i="4"/>
  <c r="C1125" i="4"/>
  <c r="B1125" i="4"/>
  <c r="A1125" i="4"/>
  <c r="M1124" i="4"/>
  <c r="L1124" i="4"/>
  <c r="K1124" i="4"/>
  <c r="J1124" i="4"/>
  <c r="I1124" i="4"/>
  <c r="H1124" i="4"/>
  <c r="G1124" i="4"/>
  <c r="F1124" i="4"/>
  <c r="E1124" i="4"/>
  <c r="D1124" i="4"/>
  <c r="C1124" i="4"/>
  <c r="B1124" i="4"/>
  <c r="A1124" i="4"/>
  <c r="M1123" i="4"/>
  <c r="L1123" i="4"/>
  <c r="K1123" i="4"/>
  <c r="J1123" i="4"/>
  <c r="I1123" i="4"/>
  <c r="H1123" i="4"/>
  <c r="G1123" i="4"/>
  <c r="F1123" i="4"/>
  <c r="E1123" i="4"/>
  <c r="D1123" i="4"/>
  <c r="C1123" i="4"/>
  <c r="B1123" i="4"/>
  <c r="A1123" i="4"/>
  <c r="M1122" i="4"/>
  <c r="L1122" i="4"/>
  <c r="K1122" i="4"/>
  <c r="J1122" i="4"/>
  <c r="I1122" i="4"/>
  <c r="H1122" i="4"/>
  <c r="G1122" i="4"/>
  <c r="F1122" i="4"/>
  <c r="E1122" i="4"/>
  <c r="D1122" i="4"/>
  <c r="C1122" i="4"/>
  <c r="B1122" i="4"/>
  <c r="A1122" i="4"/>
  <c r="M1121" i="4"/>
  <c r="L1121" i="4"/>
  <c r="K1121" i="4"/>
  <c r="J1121" i="4"/>
  <c r="I1121" i="4"/>
  <c r="H1121" i="4"/>
  <c r="G1121" i="4"/>
  <c r="F1121" i="4"/>
  <c r="E1121" i="4"/>
  <c r="D1121" i="4"/>
  <c r="C1121" i="4"/>
  <c r="B1121" i="4"/>
  <c r="A1121" i="4"/>
  <c r="M1120" i="4"/>
  <c r="L1120" i="4"/>
  <c r="K1120" i="4"/>
  <c r="J1120" i="4"/>
  <c r="I1120" i="4"/>
  <c r="H1120" i="4"/>
  <c r="G1120" i="4"/>
  <c r="F1120" i="4"/>
  <c r="E1120" i="4"/>
  <c r="D1120" i="4"/>
  <c r="C1120" i="4"/>
  <c r="B1120" i="4"/>
  <c r="A1120" i="4"/>
  <c r="M1119" i="4"/>
  <c r="L1119" i="4"/>
  <c r="K1119" i="4"/>
  <c r="J1119" i="4"/>
  <c r="I1119" i="4"/>
  <c r="H1119" i="4"/>
  <c r="G1119" i="4"/>
  <c r="F1119" i="4"/>
  <c r="E1119" i="4"/>
  <c r="D1119" i="4"/>
  <c r="C1119" i="4"/>
  <c r="B1119" i="4"/>
  <c r="A1119" i="4"/>
  <c r="M1118" i="4"/>
  <c r="L1118" i="4"/>
  <c r="K1118" i="4"/>
  <c r="J1118" i="4"/>
  <c r="I1118" i="4"/>
  <c r="H1118" i="4"/>
  <c r="G1118" i="4"/>
  <c r="F1118" i="4"/>
  <c r="E1118" i="4"/>
  <c r="D1118" i="4"/>
  <c r="C1118" i="4"/>
  <c r="B1118" i="4"/>
  <c r="A1118" i="4"/>
  <c r="M1117" i="4"/>
  <c r="L1117" i="4"/>
  <c r="K1117" i="4"/>
  <c r="J1117" i="4"/>
  <c r="I1117" i="4"/>
  <c r="H1117" i="4"/>
  <c r="G1117" i="4"/>
  <c r="F1117" i="4"/>
  <c r="E1117" i="4"/>
  <c r="D1117" i="4"/>
  <c r="C1117" i="4"/>
  <c r="B1117" i="4"/>
  <c r="A1117" i="4"/>
  <c r="M1116" i="4"/>
  <c r="L1116" i="4"/>
  <c r="K1116" i="4"/>
  <c r="J1116" i="4"/>
  <c r="I1116" i="4"/>
  <c r="H1116" i="4"/>
  <c r="G1116" i="4"/>
  <c r="F1116" i="4"/>
  <c r="E1116" i="4"/>
  <c r="D1116" i="4"/>
  <c r="C1116" i="4"/>
  <c r="B1116" i="4"/>
  <c r="A1116" i="4"/>
  <c r="M1115" i="4"/>
  <c r="L1115" i="4"/>
  <c r="K1115" i="4"/>
  <c r="J1115" i="4"/>
  <c r="I1115" i="4"/>
  <c r="H1115" i="4"/>
  <c r="G1115" i="4"/>
  <c r="F1115" i="4"/>
  <c r="E1115" i="4"/>
  <c r="D1115" i="4"/>
  <c r="C1115" i="4"/>
  <c r="B1115" i="4"/>
  <c r="A1115" i="4"/>
  <c r="M1114" i="4"/>
  <c r="L1114" i="4"/>
  <c r="K1114" i="4"/>
  <c r="J1114" i="4"/>
  <c r="I1114" i="4"/>
  <c r="H1114" i="4"/>
  <c r="G1114" i="4"/>
  <c r="F1114" i="4"/>
  <c r="E1114" i="4"/>
  <c r="D1114" i="4"/>
  <c r="C1114" i="4"/>
  <c r="B1114" i="4"/>
  <c r="A1114" i="4"/>
  <c r="M1113" i="4"/>
  <c r="L1113" i="4"/>
  <c r="K1113" i="4"/>
  <c r="J1113" i="4"/>
  <c r="I1113" i="4"/>
  <c r="H1113" i="4"/>
  <c r="G1113" i="4"/>
  <c r="F1113" i="4"/>
  <c r="E1113" i="4"/>
  <c r="D1113" i="4"/>
  <c r="C1113" i="4"/>
  <c r="B1113" i="4"/>
  <c r="A1113" i="4"/>
  <c r="M1112" i="4"/>
  <c r="L1112" i="4"/>
  <c r="K1112" i="4"/>
  <c r="J1112" i="4"/>
  <c r="I1112" i="4"/>
  <c r="H1112" i="4"/>
  <c r="G1112" i="4"/>
  <c r="F1112" i="4"/>
  <c r="E1112" i="4"/>
  <c r="D1112" i="4"/>
  <c r="C1112" i="4"/>
  <c r="B1112" i="4"/>
  <c r="A1112" i="4"/>
  <c r="M1111" i="4"/>
  <c r="L1111" i="4"/>
  <c r="K1111" i="4"/>
  <c r="J1111" i="4"/>
  <c r="I1111" i="4"/>
  <c r="H1111" i="4"/>
  <c r="G1111" i="4"/>
  <c r="F1111" i="4"/>
  <c r="E1111" i="4"/>
  <c r="D1111" i="4"/>
  <c r="C1111" i="4"/>
  <c r="B1111" i="4"/>
  <c r="A1111" i="4"/>
  <c r="M1110" i="4"/>
  <c r="L1110" i="4"/>
  <c r="K1110" i="4"/>
  <c r="J1110" i="4"/>
  <c r="I1110" i="4"/>
  <c r="H1110" i="4"/>
  <c r="G1110" i="4"/>
  <c r="F1110" i="4"/>
  <c r="E1110" i="4"/>
  <c r="D1110" i="4"/>
  <c r="C1110" i="4"/>
  <c r="B1110" i="4"/>
  <c r="A1110" i="4"/>
  <c r="M1109" i="4"/>
  <c r="L1109" i="4"/>
  <c r="K1109" i="4"/>
  <c r="J1109" i="4"/>
  <c r="I1109" i="4"/>
  <c r="H1109" i="4"/>
  <c r="G1109" i="4"/>
  <c r="F1109" i="4"/>
  <c r="E1109" i="4"/>
  <c r="D1109" i="4"/>
  <c r="C1109" i="4"/>
  <c r="B1109" i="4"/>
  <c r="A1109" i="4"/>
  <c r="M1108" i="4"/>
  <c r="L1108" i="4"/>
  <c r="K1108" i="4"/>
  <c r="J1108" i="4"/>
  <c r="I1108" i="4"/>
  <c r="H1108" i="4"/>
  <c r="G1108" i="4"/>
  <c r="E1108" i="4"/>
  <c r="D1108" i="4"/>
  <c r="C1108" i="4"/>
  <c r="B1108" i="4"/>
  <c r="A1108" i="4"/>
  <c r="M1107" i="4"/>
  <c r="L1107" i="4"/>
  <c r="K1107" i="4"/>
  <c r="J1107" i="4"/>
  <c r="I1107" i="4"/>
  <c r="H1107" i="4"/>
  <c r="G1107" i="4"/>
  <c r="F1107" i="4"/>
  <c r="E1107" i="4"/>
  <c r="D1107" i="4"/>
  <c r="C1107" i="4"/>
  <c r="B1107" i="4"/>
  <c r="A1107" i="4"/>
  <c r="M1106" i="4"/>
  <c r="L1106" i="4"/>
  <c r="K1106" i="4"/>
  <c r="J1106" i="4"/>
  <c r="I1106" i="4"/>
  <c r="H1106" i="4"/>
  <c r="G1106" i="4"/>
  <c r="F1106" i="4"/>
  <c r="E1106" i="4"/>
  <c r="D1106" i="4"/>
  <c r="C1106" i="4"/>
  <c r="B1106" i="4"/>
  <c r="A1106" i="4"/>
  <c r="M1105" i="4"/>
  <c r="L1105" i="4"/>
  <c r="K1105" i="4"/>
  <c r="J1105" i="4"/>
  <c r="I1105" i="4"/>
  <c r="H1105" i="4"/>
  <c r="G1105" i="4"/>
  <c r="F1105" i="4"/>
  <c r="E1105" i="4"/>
  <c r="D1105" i="4"/>
  <c r="C1105" i="4"/>
  <c r="B1105" i="4"/>
  <c r="A1105" i="4"/>
  <c r="M1104" i="4"/>
  <c r="L1104" i="4"/>
  <c r="K1104" i="4"/>
  <c r="J1104" i="4"/>
  <c r="I1104" i="4"/>
  <c r="H1104" i="4"/>
  <c r="G1104" i="4"/>
  <c r="F1104" i="4"/>
  <c r="E1104" i="4"/>
  <c r="D1104" i="4"/>
  <c r="C1104" i="4"/>
  <c r="B1104" i="4"/>
  <c r="A1104" i="4"/>
  <c r="M1103" i="4"/>
  <c r="L1103" i="4"/>
  <c r="K1103" i="4"/>
  <c r="J1103" i="4"/>
  <c r="I1103" i="4"/>
  <c r="H1103" i="4"/>
  <c r="G1103" i="4"/>
  <c r="F1103" i="4"/>
  <c r="E1103" i="4"/>
  <c r="D1103" i="4"/>
  <c r="C1103" i="4"/>
  <c r="B1103" i="4"/>
  <c r="A1103" i="4"/>
  <c r="M1102" i="4"/>
  <c r="L1102" i="4"/>
  <c r="K1102" i="4"/>
  <c r="J1102" i="4"/>
  <c r="I1102" i="4"/>
  <c r="H1102" i="4"/>
  <c r="G1102" i="4"/>
  <c r="F1102" i="4"/>
  <c r="E1102" i="4"/>
  <c r="D1102" i="4"/>
  <c r="C1102" i="4"/>
  <c r="B1102" i="4"/>
  <c r="A1102" i="4"/>
  <c r="M1101" i="4"/>
  <c r="L1101" i="4"/>
  <c r="K1101" i="4"/>
  <c r="J1101" i="4"/>
  <c r="I1101" i="4"/>
  <c r="H1101" i="4"/>
  <c r="G1101" i="4"/>
  <c r="F1101" i="4"/>
  <c r="E1101" i="4"/>
  <c r="D1101" i="4"/>
  <c r="C1101" i="4"/>
  <c r="B1101" i="4"/>
  <c r="A1101" i="4"/>
  <c r="M1100" i="4"/>
  <c r="L1100" i="4"/>
  <c r="K1100" i="4"/>
  <c r="J1100" i="4"/>
  <c r="I1100" i="4"/>
  <c r="H1100" i="4"/>
  <c r="G1100" i="4"/>
  <c r="F1100" i="4"/>
  <c r="E1100" i="4"/>
  <c r="D1100" i="4"/>
  <c r="C1100" i="4"/>
  <c r="B1100" i="4"/>
  <c r="A1100" i="4"/>
  <c r="M1099" i="4"/>
  <c r="L1099" i="4"/>
  <c r="K1099" i="4"/>
  <c r="J1099" i="4"/>
  <c r="I1099" i="4"/>
  <c r="H1099" i="4"/>
  <c r="G1099" i="4"/>
  <c r="F1099" i="4"/>
  <c r="E1099" i="4"/>
  <c r="D1099" i="4"/>
  <c r="C1099" i="4"/>
  <c r="B1099" i="4"/>
  <c r="A1099" i="4"/>
  <c r="M1098" i="4"/>
  <c r="L1098" i="4"/>
  <c r="K1098" i="4"/>
  <c r="J1098" i="4"/>
  <c r="I1098" i="4"/>
  <c r="H1098" i="4"/>
  <c r="G1098" i="4"/>
  <c r="F1098" i="4"/>
  <c r="E1098" i="4"/>
  <c r="D1098" i="4"/>
  <c r="C1098" i="4"/>
  <c r="B1098" i="4"/>
  <c r="A1098" i="4"/>
  <c r="M1097" i="4"/>
  <c r="L1097" i="4"/>
  <c r="K1097" i="4"/>
  <c r="J1097" i="4"/>
  <c r="I1097" i="4"/>
  <c r="H1097" i="4"/>
  <c r="G1097" i="4"/>
  <c r="F1097" i="4"/>
  <c r="E1097" i="4"/>
  <c r="D1097" i="4"/>
  <c r="C1097" i="4"/>
  <c r="B1097" i="4"/>
  <c r="A1097" i="4"/>
  <c r="M1096" i="4"/>
  <c r="L1096" i="4"/>
  <c r="K1096" i="4"/>
  <c r="J1096" i="4"/>
  <c r="I1096" i="4"/>
  <c r="H1096" i="4"/>
  <c r="G1096" i="4"/>
  <c r="F1096" i="4"/>
  <c r="E1096" i="4"/>
  <c r="D1096" i="4"/>
  <c r="C1096" i="4"/>
  <c r="B1096" i="4"/>
  <c r="A1096" i="4"/>
  <c r="M1095" i="4"/>
  <c r="L1095" i="4"/>
  <c r="K1095" i="4"/>
  <c r="J1095" i="4"/>
  <c r="I1095" i="4"/>
  <c r="H1095" i="4"/>
  <c r="G1095" i="4"/>
  <c r="F1095" i="4"/>
  <c r="E1095" i="4"/>
  <c r="D1095" i="4"/>
  <c r="C1095" i="4"/>
  <c r="B1095" i="4"/>
  <c r="A1095" i="4"/>
  <c r="M1094" i="4"/>
  <c r="L1094" i="4"/>
  <c r="K1094" i="4"/>
  <c r="J1094" i="4"/>
  <c r="I1094" i="4"/>
  <c r="H1094" i="4"/>
  <c r="G1094" i="4"/>
  <c r="F1094" i="4"/>
  <c r="E1094" i="4"/>
  <c r="D1094" i="4"/>
  <c r="C1094" i="4"/>
  <c r="B1094" i="4"/>
  <c r="A1094" i="4"/>
  <c r="M1093" i="4"/>
  <c r="L1093" i="4"/>
  <c r="K1093" i="4"/>
  <c r="J1093" i="4"/>
  <c r="I1093" i="4"/>
  <c r="H1093" i="4"/>
  <c r="G1093" i="4"/>
  <c r="F1093" i="4"/>
  <c r="E1093" i="4"/>
  <c r="D1093" i="4"/>
  <c r="C1093" i="4"/>
  <c r="B1093" i="4"/>
  <c r="A1093" i="4"/>
  <c r="M1092" i="4"/>
  <c r="L1092" i="4"/>
  <c r="K1092" i="4"/>
  <c r="J1092" i="4"/>
  <c r="I1092" i="4"/>
  <c r="H1092" i="4"/>
  <c r="G1092" i="4"/>
  <c r="F1092" i="4"/>
  <c r="E1092" i="4"/>
  <c r="D1092" i="4"/>
  <c r="C1092" i="4"/>
  <c r="B1092" i="4"/>
  <c r="A1092" i="4"/>
  <c r="M1091" i="4"/>
  <c r="L1091" i="4"/>
  <c r="K1091" i="4"/>
  <c r="J1091" i="4"/>
  <c r="I1091" i="4"/>
  <c r="H1091" i="4"/>
  <c r="G1091" i="4"/>
  <c r="F1091" i="4"/>
  <c r="E1091" i="4"/>
  <c r="D1091" i="4"/>
  <c r="C1091" i="4"/>
  <c r="B1091" i="4"/>
  <c r="A1091" i="4"/>
  <c r="M1090" i="4"/>
  <c r="L1090" i="4"/>
  <c r="K1090" i="4"/>
  <c r="J1090" i="4"/>
  <c r="I1090" i="4"/>
  <c r="H1090" i="4"/>
  <c r="G1090" i="4"/>
  <c r="F1090" i="4"/>
  <c r="E1090" i="4"/>
  <c r="D1090" i="4"/>
  <c r="C1090" i="4"/>
  <c r="B1090" i="4"/>
  <c r="A1090" i="4"/>
  <c r="M1089" i="4"/>
  <c r="L1089" i="4"/>
  <c r="K1089" i="4"/>
  <c r="J1089" i="4"/>
  <c r="I1089" i="4"/>
  <c r="H1089" i="4"/>
  <c r="G1089" i="4"/>
  <c r="F1089" i="4"/>
  <c r="E1089" i="4"/>
  <c r="D1089" i="4"/>
  <c r="C1089" i="4"/>
  <c r="B1089" i="4"/>
  <c r="A1089" i="4"/>
  <c r="M1088" i="4"/>
  <c r="L1088" i="4"/>
  <c r="K1088" i="4"/>
  <c r="J1088" i="4"/>
  <c r="I1088" i="4"/>
  <c r="H1088" i="4"/>
  <c r="G1088" i="4"/>
  <c r="F1088" i="4"/>
  <c r="E1088" i="4"/>
  <c r="D1088" i="4"/>
  <c r="C1088" i="4"/>
  <c r="B1088" i="4"/>
  <c r="A1088" i="4"/>
  <c r="M1087" i="4"/>
  <c r="L1087" i="4"/>
  <c r="K1087" i="4"/>
  <c r="J1087" i="4"/>
  <c r="I1087" i="4"/>
  <c r="H1087" i="4"/>
  <c r="G1087" i="4"/>
  <c r="F1087" i="4"/>
  <c r="E1087" i="4"/>
  <c r="D1087" i="4"/>
  <c r="C1087" i="4"/>
  <c r="B1087" i="4"/>
  <c r="A1087" i="4"/>
  <c r="M1086" i="4"/>
  <c r="L1086" i="4"/>
  <c r="K1086" i="4"/>
  <c r="J1086" i="4"/>
  <c r="I1086" i="4"/>
  <c r="H1086" i="4"/>
  <c r="G1086" i="4"/>
  <c r="F1086" i="4"/>
  <c r="E1086" i="4"/>
  <c r="D1086" i="4"/>
  <c r="C1086" i="4"/>
  <c r="B1086" i="4"/>
  <c r="A1086" i="4"/>
  <c r="M1085" i="4"/>
  <c r="L1085" i="4"/>
  <c r="K1085" i="4"/>
  <c r="J1085" i="4"/>
  <c r="I1085" i="4"/>
  <c r="H1085" i="4"/>
  <c r="G1085" i="4"/>
  <c r="F1085" i="4"/>
  <c r="E1085" i="4"/>
  <c r="D1085" i="4"/>
  <c r="C1085" i="4"/>
  <c r="B1085" i="4"/>
  <c r="A1085" i="4"/>
  <c r="M1084" i="4"/>
  <c r="L1084" i="4"/>
  <c r="K1084" i="4"/>
  <c r="J1084" i="4"/>
  <c r="I1084" i="4"/>
  <c r="H1084" i="4"/>
  <c r="G1084" i="4"/>
  <c r="F1084" i="4"/>
  <c r="E1084" i="4"/>
  <c r="D1084" i="4"/>
  <c r="C1084" i="4"/>
  <c r="B1084" i="4"/>
  <c r="A1084" i="4"/>
  <c r="M1083" i="4"/>
  <c r="L1083" i="4"/>
  <c r="K1083" i="4"/>
  <c r="J1083" i="4"/>
  <c r="I1083" i="4"/>
  <c r="H1083" i="4"/>
  <c r="G1083" i="4"/>
  <c r="F1083" i="4"/>
  <c r="E1083" i="4"/>
  <c r="D1083" i="4"/>
  <c r="C1083" i="4"/>
  <c r="B1083" i="4"/>
  <c r="A1083" i="4"/>
  <c r="M1082" i="4"/>
  <c r="L1082" i="4"/>
  <c r="K1082" i="4"/>
  <c r="J1082" i="4"/>
  <c r="I1082" i="4"/>
  <c r="H1082" i="4"/>
  <c r="G1082" i="4"/>
  <c r="F1082" i="4"/>
  <c r="E1082" i="4"/>
  <c r="D1082" i="4"/>
  <c r="C1082" i="4"/>
  <c r="B1082" i="4"/>
  <c r="A1082" i="4"/>
  <c r="M1081" i="4"/>
  <c r="L1081" i="4"/>
  <c r="K1081" i="4"/>
  <c r="J1081" i="4"/>
  <c r="I1081" i="4"/>
  <c r="H1081" i="4"/>
  <c r="G1081" i="4"/>
  <c r="F1081" i="4"/>
  <c r="E1081" i="4"/>
  <c r="D1081" i="4"/>
  <c r="C1081" i="4"/>
  <c r="B1081" i="4"/>
  <c r="A1081" i="4"/>
  <c r="M1080" i="4"/>
  <c r="L1080" i="4"/>
  <c r="K1080" i="4"/>
  <c r="J1080" i="4"/>
  <c r="I1080" i="4"/>
  <c r="H1080" i="4"/>
  <c r="G1080" i="4"/>
  <c r="F1080" i="4"/>
  <c r="E1080" i="4"/>
  <c r="D1080" i="4"/>
  <c r="C1080" i="4"/>
  <c r="B1080" i="4"/>
  <c r="A1080" i="4"/>
  <c r="M1079" i="4"/>
  <c r="L1079" i="4"/>
  <c r="K1079" i="4"/>
  <c r="J1079" i="4"/>
  <c r="I1079" i="4"/>
  <c r="H1079" i="4"/>
  <c r="G1079" i="4"/>
  <c r="F1079" i="4"/>
  <c r="E1079" i="4"/>
  <c r="D1079" i="4"/>
  <c r="C1079" i="4"/>
  <c r="B1079" i="4"/>
  <c r="A1079" i="4"/>
  <c r="M1078" i="4"/>
  <c r="L1078" i="4"/>
  <c r="K1078" i="4"/>
  <c r="J1078" i="4"/>
  <c r="I1078" i="4"/>
  <c r="H1078" i="4"/>
  <c r="G1078" i="4"/>
  <c r="F1078" i="4"/>
  <c r="E1078" i="4"/>
  <c r="D1078" i="4"/>
  <c r="C1078" i="4"/>
  <c r="B1078" i="4"/>
  <c r="A1078" i="4"/>
  <c r="M1077" i="4"/>
  <c r="L1077" i="4"/>
  <c r="K1077" i="4"/>
  <c r="J1077" i="4"/>
  <c r="I1077" i="4"/>
  <c r="H1077" i="4"/>
  <c r="G1077" i="4"/>
  <c r="F1077" i="4"/>
  <c r="E1077" i="4"/>
  <c r="D1077" i="4"/>
  <c r="C1077" i="4"/>
  <c r="B1077" i="4"/>
  <c r="A1077" i="4"/>
  <c r="M1076" i="4"/>
  <c r="L1076" i="4"/>
  <c r="K1076" i="4"/>
  <c r="J1076" i="4"/>
  <c r="I1076" i="4"/>
  <c r="H1076" i="4"/>
  <c r="G1076" i="4"/>
  <c r="F1076" i="4"/>
  <c r="E1076" i="4"/>
  <c r="D1076" i="4"/>
  <c r="C1076" i="4"/>
  <c r="B1076" i="4"/>
  <c r="A1076" i="4"/>
  <c r="M1075" i="4"/>
  <c r="L1075" i="4"/>
  <c r="K1075" i="4"/>
  <c r="J1075" i="4"/>
  <c r="I1075" i="4"/>
  <c r="H1075" i="4"/>
  <c r="G1075" i="4"/>
  <c r="F1075" i="4"/>
  <c r="E1075" i="4"/>
  <c r="D1075" i="4"/>
  <c r="C1075" i="4"/>
  <c r="B1075" i="4"/>
  <c r="A1075" i="4"/>
  <c r="M1074" i="4"/>
  <c r="L1074" i="4"/>
  <c r="K1074" i="4"/>
  <c r="J1074" i="4"/>
  <c r="I1074" i="4"/>
  <c r="H1074" i="4"/>
  <c r="G1074" i="4"/>
  <c r="F1074" i="4"/>
  <c r="E1074" i="4"/>
  <c r="D1074" i="4"/>
  <c r="C1074" i="4"/>
  <c r="B1074" i="4"/>
  <c r="A1074" i="4"/>
  <c r="M1073" i="4"/>
  <c r="L1073" i="4"/>
  <c r="K1073" i="4"/>
  <c r="J1073" i="4"/>
  <c r="I1073" i="4"/>
  <c r="H1073" i="4"/>
  <c r="G1073" i="4"/>
  <c r="F1073" i="4"/>
  <c r="E1073" i="4"/>
  <c r="D1073" i="4"/>
  <c r="C1073" i="4"/>
  <c r="B1073" i="4"/>
  <c r="A1073" i="4"/>
  <c r="M1072" i="4"/>
  <c r="L1072" i="4"/>
  <c r="K1072" i="4"/>
  <c r="J1072" i="4"/>
  <c r="I1072" i="4"/>
  <c r="H1072" i="4"/>
  <c r="G1072" i="4"/>
  <c r="F1072" i="4"/>
  <c r="E1072" i="4"/>
  <c r="D1072" i="4"/>
  <c r="C1072" i="4"/>
  <c r="B1072" i="4"/>
  <c r="A1072" i="4"/>
  <c r="M1071" i="4"/>
  <c r="L1071" i="4"/>
  <c r="K1071" i="4"/>
  <c r="J1071" i="4"/>
  <c r="I1071" i="4"/>
  <c r="H1071" i="4"/>
  <c r="G1071" i="4"/>
  <c r="F1071" i="4"/>
  <c r="E1071" i="4"/>
  <c r="D1071" i="4"/>
  <c r="C1071" i="4"/>
  <c r="B1071" i="4"/>
  <c r="A1071" i="4"/>
  <c r="M1070" i="4"/>
  <c r="L1070" i="4"/>
  <c r="K1070" i="4"/>
  <c r="J1070" i="4"/>
  <c r="I1070" i="4"/>
  <c r="H1070" i="4"/>
  <c r="G1070" i="4"/>
  <c r="F1070" i="4"/>
  <c r="E1070" i="4"/>
  <c r="D1070" i="4"/>
  <c r="C1070" i="4"/>
  <c r="B1070" i="4"/>
  <c r="A1070" i="4"/>
  <c r="M1069" i="4"/>
  <c r="L1069" i="4"/>
  <c r="K1069" i="4"/>
  <c r="J1069" i="4"/>
  <c r="I1069" i="4"/>
  <c r="H1069" i="4"/>
  <c r="G1069" i="4"/>
  <c r="F1069" i="4"/>
  <c r="E1069" i="4"/>
  <c r="D1069" i="4"/>
  <c r="C1069" i="4"/>
  <c r="B1069" i="4"/>
  <c r="A1069" i="4"/>
  <c r="M1068" i="4"/>
  <c r="L1068" i="4"/>
  <c r="K1068" i="4"/>
  <c r="J1068" i="4"/>
  <c r="I1068" i="4"/>
  <c r="H1068" i="4"/>
  <c r="G1068" i="4"/>
  <c r="F1068" i="4"/>
  <c r="E1068" i="4"/>
  <c r="D1068" i="4"/>
  <c r="C1068" i="4"/>
  <c r="B1068" i="4"/>
  <c r="A1068" i="4"/>
  <c r="M1067" i="4"/>
  <c r="L1067" i="4"/>
  <c r="K1067" i="4"/>
  <c r="J1067" i="4"/>
  <c r="I1067" i="4"/>
  <c r="H1067" i="4"/>
  <c r="G1067" i="4"/>
  <c r="F1067" i="4"/>
  <c r="E1067" i="4"/>
  <c r="D1067" i="4"/>
  <c r="C1067" i="4"/>
  <c r="B1067" i="4"/>
  <c r="A1067" i="4"/>
  <c r="M1066" i="4"/>
  <c r="L1066" i="4"/>
  <c r="K1066" i="4"/>
  <c r="J1066" i="4"/>
  <c r="I1066" i="4"/>
  <c r="H1066" i="4"/>
  <c r="G1066" i="4"/>
  <c r="F1066" i="4"/>
  <c r="E1066" i="4"/>
  <c r="D1066" i="4"/>
  <c r="C1066" i="4"/>
  <c r="B1066" i="4"/>
  <c r="A1066" i="4"/>
  <c r="M1065" i="4"/>
  <c r="L1065" i="4"/>
  <c r="K1065" i="4"/>
  <c r="J1065" i="4"/>
  <c r="I1065" i="4"/>
  <c r="H1065" i="4"/>
  <c r="G1065" i="4"/>
  <c r="F1065" i="4"/>
  <c r="E1065" i="4"/>
  <c r="D1065" i="4"/>
  <c r="C1065" i="4"/>
  <c r="B1065" i="4"/>
  <c r="A1065" i="4"/>
  <c r="M1064" i="4"/>
  <c r="L1064" i="4"/>
  <c r="K1064" i="4"/>
  <c r="J1064" i="4"/>
  <c r="I1064" i="4"/>
  <c r="H1064" i="4"/>
  <c r="G1064" i="4"/>
  <c r="F1064" i="4"/>
  <c r="E1064" i="4"/>
  <c r="D1064" i="4"/>
  <c r="C1064" i="4"/>
  <c r="B1064" i="4"/>
  <c r="A1064" i="4"/>
  <c r="M1063" i="4"/>
  <c r="L1063" i="4"/>
  <c r="K1063" i="4"/>
  <c r="J1063" i="4"/>
  <c r="I1063" i="4"/>
  <c r="H1063" i="4"/>
  <c r="G1063" i="4"/>
  <c r="F1063" i="4"/>
  <c r="E1063" i="4"/>
  <c r="D1063" i="4"/>
  <c r="C1063" i="4"/>
  <c r="B1063" i="4"/>
  <c r="A1063" i="4"/>
  <c r="M1062" i="4"/>
  <c r="L1062" i="4"/>
  <c r="K1062" i="4"/>
  <c r="J1062" i="4"/>
  <c r="I1062" i="4"/>
  <c r="H1062" i="4"/>
  <c r="G1062" i="4"/>
  <c r="F1062" i="4"/>
  <c r="E1062" i="4"/>
  <c r="D1062" i="4"/>
  <c r="C1062" i="4"/>
  <c r="B1062" i="4"/>
  <c r="A1062" i="4"/>
  <c r="M1061" i="4"/>
  <c r="L1061" i="4"/>
  <c r="K1061" i="4"/>
  <c r="J1061" i="4"/>
  <c r="I1061" i="4"/>
  <c r="H1061" i="4"/>
  <c r="G1061" i="4"/>
  <c r="F1061" i="4"/>
  <c r="E1061" i="4"/>
  <c r="D1061" i="4"/>
  <c r="C1061" i="4"/>
  <c r="B1061" i="4"/>
  <c r="A1061" i="4"/>
  <c r="M1060" i="4"/>
  <c r="L1060" i="4"/>
  <c r="K1060" i="4"/>
  <c r="J1060" i="4"/>
  <c r="I1060" i="4"/>
  <c r="H1060" i="4"/>
  <c r="G1060" i="4"/>
  <c r="F1060" i="4"/>
  <c r="E1060" i="4"/>
  <c r="D1060" i="4"/>
  <c r="C1060" i="4"/>
  <c r="B1060" i="4"/>
  <c r="A1060" i="4"/>
  <c r="M1059" i="4"/>
  <c r="L1059" i="4"/>
  <c r="K1059" i="4"/>
  <c r="J1059" i="4"/>
  <c r="I1059" i="4"/>
  <c r="H1059" i="4"/>
  <c r="G1059" i="4"/>
  <c r="F1059" i="4"/>
  <c r="E1059" i="4"/>
  <c r="D1059" i="4"/>
  <c r="C1059" i="4"/>
  <c r="B1059" i="4"/>
  <c r="A1059" i="4"/>
  <c r="M1058" i="4"/>
  <c r="L1058" i="4"/>
  <c r="K1058" i="4"/>
  <c r="J1058" i="4"/>
  <c r="I1058" i="4"/>
  <c r="H1058" i="4"/>
  <c r="G1058" i="4"/>
  <c r="F1058" i="4"/>
  <c r="E1058" i="4"/>
  <c r="D1058" i="4"/>
  <c r="C1058" i="4"/>
  <c r="B1058" i="4"/>
  <c r="A1058" i="4"/>
  <c r="M1057" i="4"/>
  <c r="L1057" i="4"/>
  <c r="K1057" i="4"/>
  <c r="J1057" i="4"/>
  <c r="I1057" i="4"/>
  <c r="H1057" i="4"/>
  <c r="G1057" i="4"/>
  <c r="F1057" i="4"/>
  <c r="E1057" i="4"/>
  <c r="D1057" i="4"/>
  <c r="C1057" i="4"/>
  <c r="B1057" i="4"/>
  <c r="A1057" i="4"/>
  <c r="M1056" i="4"/>
  <c r="L1056" i="4"/>
  <c r="K1056" i="4"/>
  <c r="J1056" i="4"/>
  <c r="I1056" i="4"/>
  <c r="H1056" i="4"/>
  <c r="G1056" i="4"/>
  <c r="F1056" i="4"/>
  <c r="E1056" i="4"/>
  <c r="D1056" i="4"/>
  <c r="C1056" i="4"/>
  <c r="B1056" i="4"/>
  <c r="A1056" i="4"/>
  <c r="M1055" i="4"/>
  <c r="L1055" i="4"/>
  <c r="K1055" i="4"/>
  <c r="J1055" i="4"/>
  <c r="I1055" i="4"/>
  <c r="H1055" i="4"/>
  <c r="G1055" i="4"/>
  <c r="F1055" i="4"/>
  <c r="E1055" i="4"/>
  <c r="D1055" i="4"/>
  <c r="C1055" i="4"/>
  <c r="B1055" i="4"/>
  <c r="A1055" i="4"/>
  <c r="M1054" i="4"/>
  <c r="L1054" i="4"/>
  <c r="K1054" i="4"/>
  <c r="J1054" i="4"/>
  <c r="I1054" i="4"/>
  <c r="H1054" i="4"/>
  <c r="G1054" i="4"/>
  <c r="F1054" i="4"/>
  <c r="E1054" i="4"/>
  <c r="D1054" i="4"/>
  <c r="C1054" i="4"/>
  <c r="B1054" i="4"/>
  <c r="A1054" i="4"/>
  <c r="M1053" i="4"/>
  <c r="L1053" i="4"/>
  <c r="K1053" i="4"/>
  <c r="J1053" i="4"/>
  <c r="I1053" i="4"/>
  <c r="H1053" i="4"/>
  <c r="G1053" i="4"/>
  <c r="F1053" i="4"/>
  <c r="E1053" i="4"/>
  <c r="D1053" i="4"/>
  <c r="C1053" i="4"/>
  <c r="B1053" i="4"/>
  <c r="A1053" i="4"/>
  <c r="M1052" i="4"/>
  <c r="L1052" i="4"/>
  <c r="K1052" i="4"/>
  <c r="J1052" i="4"/>
  <c r="I1052" i="4"/>
  <c r="H1052" i="4"/>
  <c r="G1052" i="4"/>
  <c r="F1052" i="4"/>
  <c r="E1052" i="4"/>
  <c r="D1052" i="4"/>
  <c r="C1052" i="4"/>
  <c r="B1052" i="4"/>
  <c r="A1052" i="4"/>
  <c r="M1051" i="4"/>
  <c r="L1051" i="4"/>
  <c r="K1051" i="4"/>
  <c r="J1051" i="4"/>
  <c r="I1051" i="4"/>
  <c r="H1051" i="4"/>
  <c r="G1051" i="4"/>
  <c r="F1051" i="4"/>
  <c r="E1051" i="4"/>
  <c r="D1051" i="4"/>
  <c r="C1051" i="4"/>
  <c r="B1051" i="4"/>
  <c r="A1051" i="4"/>
  <c r="M1050" i="4"/>
  <c r="L1050" i="4"/>
  <c r="K1050" i="4"/>
  <c r="J1050" i="4"/>
  <c r="I1050" i="4"/>
  <c r="H1050" i="4"/>
  <c r="G1050" i="4"/>
  <c r="F1050" i="4"/>
  <c r="E1050" i="4"/>
  <c r="D1050" i="4"/>
  <c r="C1050" i="4"/>
  <c r="B1050" i="4"/>
  <c r="A1050" i="4"/>
  <c r="M1049" i="4"/>
  <c r="L1049" i="4"/>
  <c r="K1049" i="4"/>
  <c r="J1049" i="4"/>
  <c r="I1049" i="4"/>
  <c r="H1049" i="4"/>
  <c r="G1049" i="4"/>
  <c r="F1049" i="4"/>
  <c r="E1049" i="4"/>
  <c r="D1049" i="4"/>
  <c r="C1049" i="4"/>
  <c r="B1049" i="4"/>
  <c r="A1049" i="4"/>
  <c r="M1048" i="4"/>
  <c r="L1048" i="4"/>
  <c r="K1048" i="4"/>
  <c r="J1048" i="4"/>
  <c r="I1048" i="4"/>
  <c r="H1048" i="4"/>
  <c r="G1048" i="4"/>
  <c r="F1048" i="4"/>
  <c r="E1048" i="4"/>
  <c r="D1048" i="4"/>
  <c r="C1048" i="4"/>
  <c r="B1048" i="4"/>
  <c r="A1048" i="4"/>
  <c r="M1047" i="4"/>
  <c r="L1047" i="4"/>
  <c r="K1047" i="4"/>
  <c r="J1047" i="4"/>
  <c r="I1047" i="4"/>
  <c r="H1047" i="4"/>
  <c r="G1047" i="4"/>
  <c r="F1047" i="4"/>
  <c r="E1047" i="4"/>
  <c r="D1047" i="4"/>
  <c r="C1047" i="4"/>
  <c r="B1047" i="4"/>
  <c r="A1047" i="4"/>
  <c r="M1046" i="4"/>
  <c r="L1046" i="4"/>
  <c r="K1046" i="4"/>
  <c r="J1046" i="4"/>
  <c r="I1046" i="4"/>
  <c r="H1046" i="4"/>
  <c r="G1046" i="4"/>
  <c r="F1046" i="4"/>
  <c r="E1046" i="4"/>
  <c r="D1046" i="4"/>
  <c r="C1046" i="4"/>
  <c r="B1046" i="4"/>
  <c r="A1046" i="4"/>
  <c r="M1045" i="4"/>
  <c r="L1045" i="4"/>
  <c r="K1045" i="4"/>
  <c r="J1045" i="4"/>
  <c r="I1045" i="4"/>
  <c r="H1045" i="4"/>
  <c r="G1045" i="4"/>
  <c r="F1045" i="4"/>
  <c r="E1045" i="4"/>
  <c r="D1045" i="4"/>
  <c r="C1045" i="4"/>
  <c r="B1045" i="4"/>
  <c r="A1045" i="4"/>
  <c r="M1044" i="4"/>
  <c r="L1044" i="4"/>
  <c r="K1044" i="4"/>
  <c r="J1044" i="4"/>
  <c r="I1044" i="4"/>
  <c r="H1044" i="4"/>
  <c r="G1044" i="4"/>
  <c r="F1044" i="4"/>
  <c r="E1044" i="4"/>
  <c r="D1044" i="4"/>
  <c r="C1044" i="4"/>
  <c r="B1044" i="4"/>
  <c r="A1044" i="4"/>
  <c r="M1043" i="4"/>
  <c r="L1043" i="4"/>
  <c r="K1043" i="4"/>
  <c r="J1043" i="4"/>
  <c r="I1043" i="4"/>
  <c r="H1043" i="4"/>
  <c r="G1043" i="4"/>
  <c r="F1043" i="4"/>
  <c r="E1043" i="4"/>
  <c r="D1043" i="4"/>
  <c r="C1043" i="4"/>
  <c r="B1043" i="4"/>
  <c r="A1043" i="4"/>
  <c r="M1042" i="4"/>
  <c r="L1042" i="4"/>
  <c r="K1042" i="4"/>
  <c r="J1042" i="4"/>
  <c r="I1042" i="4"/>
  <c r="H1042" i="4"/>
  <c r="G1042" i="4"/>
  <c r="F1042" i="4"/>
  <c r="E1042" i="4"/>
  <c r="D1042" i="4"/>
  <c r="C1042" i="4"/>
  <c r="B1042" i="4"/>
  <c r="A1042" i="4"/>
  <c r="M1041" i="4"/>
  <c r="L1041" i="4"/>
  <c r="K1041" i="4"/>
  <c r="J1041" i="4"/>
  <c r="I1041" i="4"/>
  <c r="H1041" i="4"/>
  <c r="G1041" i="4"/>
  <c r="F1041" i="4"/>
  <c r="E1041" i="4"/>
  <c r="D1041" i="4"/>
  <c r="C1041" i="4"/>
  <c r="B1041" i="4"/>
  <c r="A1041" i="4"/>
  <c r="M1040" i="4"/>
  <c r="L1040" i="4"/>
  <c r="K1040" i="4"/>
  <c r="J1040" i="4"/>
  <c r="I1040" i="4"/>
  <c r="H1040" i="4"/>
  <c r="G1040" i="4"/>
  <c r="F1040" i="4"/>
  <c r="E1040" i="4"/>
  <c r="D1040" i="4"/>
  <c r="C1040" i="4"/>
  <c r="B1040" i="4"/>
  <c r="A1040" i="4"/>
  <c r="M1039" i="4"/>
  <c r="L1039" i="4"/>
  <c r="K1039" i="4"/>
  <c r="J1039" i="4"/>
  <c r="I1039" i="4"/>
  <c r="H1039" i="4"/>
  <c r="G1039" i="4"/>
  <c r="F1039" i="4"/>
  <c r="E1039" i="4"/>
  <c r="D1039" i="4"/>
  <c r="C1039" i="4"/>
  <c r="B1039" i="4"/>
  <c r="A1039" i="4"/>
  <c r="M1038" i="4"/>
  <c r="L1038" i="4"/>
  <c r="K1038" i="4"/>
  <c r="J1038" i="4"/>
  <c r="I1038" i="4"/>
  <c r="H1038" i="4"/>
  <c r="G1038" i="4"/>
  <c r="F1038" i="4"/>
  <c r="E1038" i="4"/>
  <c r="D1038" i="4"/>
  <c r="C1038" i="4"/>
  <c r="B1038" i="4"/>
  <c r="A1038" i="4"/>
  <c r="M1037" i="4"/>
  <c r="L1037" i="4"/>
  <c r="K1037" i="4"/>
  <c r="J1037" i="4"/>
  <c r="I1037" i="4"/>
  <c r="H1037" i="4"/>
  <c r="G1037" i="4"/>
  <c r="F1037" i="4"/>
  <c r="E1037" i="4"/>
  <c r="D1037" i="4"/>
  <c r="C1037" i="4"/>
  <c r="B1037" i="4"/>
  <c r="A1037" i="4"/>
  <c r="M1036" i="4"/>
  <c r="L1036" i="4"/>
  <c r="K1036" i="4"/>
  <c r="J1036" i="4"/>
  <c r="I1036" i="4"/>
  <c r="H1036" i="4"/>
  <c r="G1036" i="4"/>
  <c r="F1036" i="4"/>
  <c r="E1036" i="4"/>
  <c r="D1036" i="4"/>
  <c r="C1036" i="4"/>
  <c r="B1036" i="4"/>
  <c r="A1036" i="4"/>
  <c r="M1035" i="4"/>
  <c r="L1035" i="4"/>
  <c r="K1035" i="4"/>
  <c r="J1035" i="4"/>
  <c r="I1035" i="4"/>
  <c r="H1035" i="4"/>
  <c r="G1035" i="4"/>
  <c r="F1035" i="4"/>
  <c r="E1035" i="4"/>
  <c r="D1035" i="4"/>
  <c r="C1035" i="4"/>
  <c r="B1035" i="4"/>
  <c r="A1035" i="4"/>
  <c r="M1034" i="4"/>
  <c r="L1034" i="4"/>
  <c r="K1034" i="4"/>
  <c r="J1034" i="4"/>
  <c r="I1034" i="4"/>
  <c r="H1034" i="4"/>
  <c r="G1034" i="4"/>
  <c r="F1034" i="4"/>
  <c r="E1034" i="4"/>
  <c r="D1034" i="4"/>
  <c r="C1034" i="4"/>
  <c r="B1034" i="4"/>
  <c r="A1034" i="4"/>
  <c r="M1033" i="4"/>
  <c r="L1033" i="4"/>
  <c r="K1033" i="4"/>
  <c r="J1033" i="4"/>
  <c r="I1033" i="4"/>
  <c r="H1033" i="4"/>
  <c r="G1033" i="4"/>
  <c r="F1033" i="4"/>
  <c r="E1033" i="4"/>
  <c r="D1033" i="4"/>
  <c r="C1033" i="4"/>
  <c r="B1033" i="4"/>
  <c r="A1033" i="4"/>
  <c r="M1032" i="4"/>
  <c r="L1032" i="4"/>
  <c r="K1032" i="4"/>
  <c r="J1032" i="4"/>
  <c r="I1032" i="4"/>
  <c r="H1032" i="4"/>
  <c r="G1032" i="4"/>
  <c r="F1032" i="4"/>
  <c r="E1032" i="4"/>
  <c r="D1032" i="4"/>
  <c r="C1032" i="4"/>
  <c r="B1032" i="4"/>
  <c r="A1032" i="4"/>
  <c r="M1031" i="4"/>
  <c r="L1031" i="4"/>
  <c r="K1031" i="4"/>
  <c r="J1031" i="4"/>
  <c r="I1031" i="4"/>
  <c r="H1031" i="4"/>
  <c r="G1031" i="4"/>
  <c r="F1031" i="4"/>
  <c r="D1031" i="4"/>
  <c r="C1031" i="4"/>
  <c r="B1031" i="4"/>
  <c r="A1031" i="4"/>
  <c r="M1030" i="4"/>
  <c r="L1030" i="4"/>
  <c r="K1030" i="4"/>
  <c r="J1030" i="4"/>
  <c r="I1030" i="4"/>
  <c r="H1030" i="4"/>
  <c r="G1030" i="4"/>
  <c r="F1030" i="4"/>
  <c r="E1030" i="4"/>
  <c r="D1030" i="4"/>
  <c r="C1030" i="4"/>
  <c r="B1030" i="4"/>
  <c r="A1030" i="4"/>
  <c r="M1029" i="4"/>
  <c r="L1029" i="4"/>
  <c r="K1029" i="4"/>
  <c r="J1029" i="4"/>
  <c r="I1029" i="4"/>
  <c r="H1029" i="4"/>
  <c r="G1029" i="4"/>
  <c r="F1029" i="4"/>
  <c r="E1029" i="4"/>
  <c r="D1029" i="4"/>
  <c r="C1029" i="4"/>
  <c r="B1029" i="4"/>
  <c r="A1029" i="4"/>
  <c r="M1028" i="4"/>
  <c r="L1028" i="4"/>
  <c r="K1028" i="4"/>
  <c r="J1028" i="4"/>
  <c r="I1028" i="4"/>
  <c r="H1028" i="4"/>
  <c r="G1028" i="4"/>
  <c r="F1028" i="4"/>
  <c r="E1028" i="4"/>
  <c r="D1028" i="4"/>
  <c r="C1028" i="4"/>
  <c r="B1028" i="4"/>
  <c r="A1028" i="4"/>
  <c r="M1027" i="4"/>
  <c r="L1027" i="4"/>
  <c r="K1027" i="4"/>
  <c r="J1027" i="4"/>
  <c r="I1027" i="4"/>
  <c r="H1027" i="4"/>
  <c r="G1027" i="4"/>
  <c r="F1027" i="4"/>
  <c r="E1027" i="4"/>
  <c r="D1027" i="4"/>
  <c r="C1027" i="4"/>
  <c r="B1027" i="4"/>
  <c r="A1027" i="4"/>
  <c r="M1026" i="4"/>
  <c r="L1026" i="4"/>
  <c r="K1026" i="4"/>
  <c r="J1026" i="4"/>
  <c r="I1026" i="4"/>
  <c r="H1026" i="4"/>
  <c r="G1026" i="4"/>
  <c r="F1026" i="4"/>
  <c r="E1026" i="4"/>
  <c r="D1026" i="4"/>
  <c r="C1026" i="4"/>
  <c r="B1026" i="4"/>
  <c r="A1026" i="4"/>
  <c r="M1025" i="4"/>
  <c r="L1025" i="4"/>
  <c r="K1025" i="4"/>
  <c r="J1025" i="4"/>
  <c r="I1025" i="4"/>
  <c r="H1025" i="4"/>
  <c r="G1025" i="4"/>
  <c r="F1025" i="4"/>
  <c r="E1025" i="4"/>
  <c r="D1025" i="4"/>
  <c r="C1025" i="4"/>
  <c r="B1025" i="4"/>
  <c r="A1025" i="4"/>
  <c r="M1024" i="4"/>
  <c r="L1024" i="4"/>
  <c r="K1024" i="4"/>
  <c r="J1024" i="4"/>
  <c r="I1024" i="4"/>
  <c r="H1024" i="4"/>
  <c r="G1024" i="4"/>
  <c r="F1024" i="4"/>
  <c r="E1024" i="4"/>
  <c r="D1024" i="4"/>
  <c r="C1024" i="4"/>
  <c r="B1024" i="4"/>
  <c r="A1024" i="4"/>
  <c r="M1023" i="4"/>
  <c r="L1023" i="4"/>
  <c r="K1023" i="4"/>
  <c r="J1023" i="4"/>
  <c r="I1023" i="4"/>
  <c r="H1023" i="4"/>
  <c r="G1023" i="4"/>
  <c r="F1023" i="4"/>
  <c r="E1023" i="4"/>
  <c r="D1023" i="4"/>
  <c r="C1023" i="4"/>
  <c r="B1023" i="4"/>
  <c r="A1023" i="4"/>
  <c r="M1022" i="4"/>
  <c r="L1022" i="4"/>
  <c r="K1022" i="4"/>
  <c r="J1022" i="4"/>
  <c r="I1022" i="4"/>
  <c r="H1022" i="4"/>
  <c r="G1022" i="4"/>
  <c r="F1022" i="4"/>
  <c r="E1022" i="4"/>
  <c r="D1022" i="4"/>
  <c r="C1022" i="4"/>
  <c r="B1022" i="4"/>
  <c r="A1022" i="4"/>
  <c r="M1021" i="4"/>
  <c r="L1021" i="4"/>
  <c r="K1021" i="4"/>
  <c r="J1021" i="4"/>
  <c r="I1021" i="4"/>
  <c r="H1021" i="4"/>
  <c r="G1021" i="4"/>
  <c r="F1021" i="4"/>
  <c r="E1021" i="4"/>
  <c r="D1021" i="4"/>
  <c r="C1021" i="4"/>
  <c r="B1021" i="4"/>
  <c r="A1021" i="4"/>
  <c r="M1020" i="4"/>
  <c r="L1020" i="4"/>
  <c r="K1020" i="4"/>
  <c r="J1020" i="4"/>
  <c r="I1020" i="4"/>
  <c r="H1020" i="4"/>
  <c r="G1020" i="4"/>
  <c r="F1020" i="4"/>
  <c r="E1020" i="4"/>
  <c r="D1020" i="4"/>
  <c r="B1020" i="4"/>
  <c r="A1020" i="4"/>
  <c r="M1019" i="4"/>
  <c r="L1019" i="4"/>
  <c r="K1019" i="4"/>
  <c r="J1019" i="4"/>
  <c r="I1019" i="4"/>
  <c r="H1019" i="4"/>
  <c r="G1019" i="4"/>
  <c r="F1019" i="4"/>
  <c r="E1019" i="4"/>
  <c r="D1019" i="4"/>
  <c r="B1019" i="4"/>
  <c r="A1019" i="4"/>
  <c r="M1018" i="4"/>
  <c r="L1018" i="4"/>
  <c r="K1018" i="4"/>
  <c r="J1018" i="4"/>
  <c r="I1018" i="4"/>
  <c r="H1018" i="4"/>
  <c r="G1018" i="4"/>
  <c r="F1018" i="4"/>
  <c r="E1018" i="4"/>
  <c r="D1018" i="4"/>
  <c r="C1018" i="4"/>
  <c r="B1018" i="4"/>
  <c r="A1018" i="4"/>
  <c r="M1017" i="4"/>
  <c r="L1017" i="4"/>
  <c r="K1017" i="4"/>
  <c r="J1017" i="4"/>
  <c r="I1017" i="4"/>
  <c r="H1017" i="4"/>
  <c r="G1017" i="4"/>
  <c r="F1017" i="4"/>
  <c r="E1017" i="4"/>
  <c r="D1017" i="4"/>
  <c r="C1017" i="4"/>
  <c r="B1017" i="4"/>
  <c r="A1017" i="4"/>
  <c r="M1016" i="4"/>
  <c r="L1016" i="4"/>
  <c r="K1016" i="4"/>
  <c r="J1016" i="4"/>
  <c r="I1016" i="4"/>
  <c r="H1016" i="4"/>
  <c r="G1016" i="4"/>
  <c r="F1016" i="4"/>
  <c r="E1016" i="4"/>
  <c r="D1016" i="4"/>
  <c r="C1016" i="4"/>
  <c r="B1016" i="4"/>
  <c r="A1016" i="4"/>
  <c r="M1015" i="4"/>
  <c r="L1015" i="4"/>
  <c r="K1015" i="4"/>
  <c r="J1015" i="4"/>
  <c r="I1015" i="4"/>
  <c r="H1015" i="4"/>
  <c r="G1015" i="4"/>
  <c r="F1015" i="4"/>
  <c r="E1015" i="4"/>
  <c r="D1015" i="4"/>
  <c r="C1015" i="4"/>
  <c r="B1015" i="4"/>
  <c r="A1015" i="4"/>
  <c r="M1014" i="4"/>
  <c r="L1014" i="4"/>
  <c r="K1014" i="4"/>
  <c r="J1014" i="4"/>
  <c r="I1014" i="4"/>
  <c r="H1014" i="4"/>
  <c r="G1014" i="4"/>
  <c r="F1014" i="4"/>
  <c r="E1014" i="4"/>
  <c r="D1014" i="4"/>
  <c r="C1014" i="4"/>
  <c r="B1014" i="4"/>
  <c r="A1014" i="4"/>
  <c r="M1013" i="4"/>
  <c r="L1013" i="4"/>
  <c r="K1013" i="4"/>
  <c r="J1013" i="4"/>
  <c r="I1013" i="4"/>
  <c r="H1013" i="4"/>
  <c r="G1013" i="4"/>
  <c r="F1013" i="4"/>
  <c r="E1013" i="4"/>
  <c r="D1013" i="4"/>
  <c r="C1013" i="4"/>
  <c r="B1013" i="4"/>
  <c r="A1013" i="4"/>
  <c r="M1012" i="4"/>
  <c r="L1012" i="4"/>
  <c r="K1012" i="4"/>
  <c r="J1012" i="4"/>
  <c r="I1012" i="4"/>
  <c r="H1012" i="4"/>
  <c r="G1012" i="4"/>
  <c r="F1012" i="4"/>
  <c r="E1012" i="4"/>
  <c r="D1012" i="4"/>
  <c r="C1012" i="4"/>
  <c r="B1012" i="4"/>
  <c r="A1012" i="4"/>
  <c r="M1011" i="4"/>
  <c r="L1011" i="4"/>
  <c r="K1011" i="4"/>
  <c r="J1011" i="4"/>
  <c r="I1011" i="4"/>
  <c r="H1011" i="4"/>
  <c r="G1011" i="4"/>
  <c r="F1011" i="4"/>
  <c r="E1011" i="4"/>
  <c r="D1011" i="4"/>
  <c r="C1011" i="4"/>
  <c r="B1011" i="4"/>
  <c r="A1011" i="4"/>
  <c r="M1010" i="4"/>
  <c r="L1010" i="4"/>
  <c r="K1010" i="4"/>
  <c r="J1010" i="4"/>
  <c r="I1010" i="4"/>
  <c r="H1010" i="4"/>
  <c r="G1010" i="4"/>
  <c r="F1010" i="4"/>
  <c r="E1010" i="4"/>
  <c r="D1010" i="4"/>
  <c r="C1010" i="4"/>
  <c r="B1010" i="4"/>
  <c r="A1010" i="4"/>
  <c r="M1009" i="4"/>
  <c r="L1009" i="4"/>
  <c r="K1009" i="4"/>
  <c r="J1009" i="4"/>
  <c r="I1009" i="4"/>
  <c r="H1009" i="4"/>
  <c r="G1009" i="4"/>
  <c r="F1009" i="4"/>
  <c r="E1009" i="4"/>
  <c r="D1009" i="4"/>
  <c r="C1009" i="4"/>
  <c r="B1009" i="4"/>
  <c r="A1009" i="4"/>
  <c r="M1008" i="4"/>
  <c r="L1008" i="4"/>
  <c r="K1008" i="4"/>
  <c r="J1008" i="4"/>
  <c r="I1008" i="4"/>
  <c r="H1008" i="4"/>
  <c r="G1008" i="4"/>
  <c r="F1008" i="4"/>
  <c r="E1008" i="4"/>
  <c r="D1008" i="4"/>
  <c r="C1008" i="4"/>
  <c r="B1008" i="4"/>
  <c r="A1008" i="4"/>
  <c r="M1007" i="4"/>
  <c r="L1007" i="4"/>
  <c r="K1007" i="4"/>
  <c r="J1007" i="4"/>
  <c r="I1007" i="4"/>
  <c r="H1007" i="4"/>
  <c r="G1007" i="4"/>
  <c r="F1007" i="4"/>
  <c r="E1007" i="4"/>
  <c r="D1007" i="4"/>
  <c r="C1007" i="4"/>
  <c r="B1007" i="4"/>
  <c r="A1007" i="4"/>
  <c r="M1006" i="4"/>
  <c r="L1006" i="4"/>
  <c r="K1006" i="4"/>
  <c r="J1006" i="4"/>
  <c r="I1006" i="4"/>
  <c r="H1006" i="4"/>
  <c r="G1006" i="4"/>
  <c r="F1006" i="4"/>
  <c r="E1006" i="4"/>
  <c r="D1006" i="4"/>
  <c r="C1006" i="4"/>
  <c r="B1006" i="4"/>
  <c r="A1006" i="4"/>
  <c r="M1005" i="4"/>
  <c r="L1005" i="4"/>
  <c r="K1005" i="4"/>
  <c r="J1005" i="4"/>
  <c r="I1005" i="4"/>
  <c r="H1005" i="4"/>
  <c r="G1005" i="4"/>
  <c r="F1005" i="4"/>
  <c r="E1005" i="4"/>
  <c r="D1005" i="4"/>
  <c r="C1005" i="4"/>
  <c r="B1005" i="4"/>
  <c r="A1005" i="4"/>
  <c r="M1004" i="4"/>
  <c r="L1004" i="4"/>
  <c r="K1004" i="4"/>
  <c r="J1004" i="4"/>
  <c r="I1004" i="4"/>
  <c r="H1004" i="4"/>
  <c r="G1004" i="4"/>
  <c r="F1004" i="4"/>
  <c r="E1004" i="4"/>
  <c r="D1004" i="4"/>
  <c r="C1004" i="4"/>
  <c r="B1004" i="4"/>
  <c r="A1004" i="4"/>
  <c r="M1003" i="4"/>
  <c r="L1003" i="4"/>
  <c r="K1003" i="4"/>
  <c r="J1003" i="4"/>
  <c r="I1003" i="4"/>
  <c r="H1003" i="4"/>
  <c r="G1003" i="4"/>
  <c r="F1003" i="4"/>
  <c r="E1003" i="4"/>
  <c r="D1003" i="4"/>
  <c r="C1003" i="4"/>
  <c r="B1003" i="4"/>
  <c r="A1003" i="4"/>
  <c r="M1002" i="4"/>
  <c r="L1002" i="4"/>
  <c r="K1002" i="4"/>
  <c r="J1002" i="4"/>
  <c r="I1002" i="4"/>
  <c r="H1002" i="4"/>
  <c r="G1002" i="4"/>
  <c r="F1002" i="4"/>
  <c r="E1002" i="4"/>
  <c r="D1002" i="4"/>
  <c r="C1002" i="4"/>
  <c r="B1002" i="4"/>
  <c r="A1002" i="4"/>
  <c r="M1001" i="4"/>
  <c r="L1001" i="4"/>
  <c r="K1001" i="4"/>
  <c r="J1001" i="4"/>
  <c r="I1001" i="4"/>
  <c r="H1001" i="4"/>
  <c r="G1001" i="4"/>
  <c r="F1001" i="4"/>
  <c r="E1001" i="4"/>
  <c r="D1001" i="4"/>
  <c r="C1001" i="4"/>
  <c r="B1001" i="4"/>
  <c r="A1001" i="4"/>
  <c r="M1000" i="4"/>
  <c r="L1000" i="4"/>
  <c r="K1000" i="4"/>
  <c r="J1000" i="4"/>
  <c r="I1000" i="4"/>
  <c r="H1000" i="4"/>
  <c r="G1000" i="4"/>
  <c r="F1000" i="4"/>
  <c r="E1000" i="4"/>
  <c r="D1000" i="4"/>
  <c r="C1000" i="4"/>
  <c r="B1000" i="4"/>
  <c r="A1000" i="4"/>
  <c r="M999" i="4"/>
  <c r="L999" i="4"/>
  <c r="K999" i="4"/>
  <c r="J999" i="4"/>
  <c r="I999" i="4"/>
  <c r="H999" i="4"/>
  <c r="G999" i="4"/>
  <c r="F999" i="4"/>
  <c r="E999" i="4"/>
  <c r="D999" i="4"/>
  <c r="C999" i="4"/>
  <c r="B999" i="4"/>
  <c r="A999" i="4"/>
  <c r="M998" i="4"/>
  <c r="L998" i="4"/>
  <c r="K998" i="4"/>
  <c r="J998" i="4"/>
  <c r="I998" i="4"/>
  <c r="H998" i="4"/>
  <c r="G998" i="4"/>
  <c r="F998" i="4"/>
  <c r="E998" i="4"/>
  <c r="D998" i="4"/>
  <c r="C998" i="4"/>
  <c r="B998" i="4"/>
  <c r="A998" i="4"/>
  <c r="M997" i="4"/>
  <c r="L997" i="4"/>
  <c r="K997" i="4"/>
  <c r="J997" i="4"/>
  <c r="I997" i="4"/>
  <c r="H997" i="4"/>
  <c r="G997" i="4"/>
  <c r="F997" i="4"/>
  <c r="E997" i="4"/>
  <c r="D997" i="4"/>
  <c r="C997" i="4"/>
  <c r="B997" i="4"/>
  <c r="A997" i="4"/>
  <c r="M996" i="4"/>
  <c r="L996" i="4"/>
  <c r="K996" i="4"/>
  <c r="J996" i="4"/>
  <c r="I996" i="4"/>
  <c r="H996" i="4"/>
  <c r="G996" i="4"/>
  <c r="F996" i="4"/>
  <c r="E996" i="4"/>
  <c r="D996" i="4"/>
  <c r="C996" i="4"/>
  <c r="B996" i="4"/>
  <c r="A996" i="4"/>
  <c r="M995" i="4"/>
  <c r="L995" i="4"/>
  <c r="K995" i="4"/>
  <c r="J995" i="4"/>
  <c r="I995" i="4"/>
  <c r="H995" i="4"/>
  <c r="G995" i="4"/>
  <c r="F995" i="4"/>
  <c r="D995" i="4"/>
  <c r="C995" i="4"/>
  <c r="B995" i="4"/>
  <c r="A995" i="4"/>
  <c r="M994" i="4"/>
  <c r="L994" i="4"/>
  <c r="K994" i="4"/>
  <c r="J994" i="4"/>
  <c r="I994" i="4"/>
  <c r="H994" i="4"/>
  <c r="G994" i="4"/>
  <c r="F994" i="4"/>
  <c r="E994" i="4"/>
  <c r="D994" i="4"/>
  <c r="C994" i="4"/>
  <c r="B994" i="4"/>
  <c r="A994" i="4"/>
  <c r="M993" i="4"/>
  <c r="L993" i="4"/>
  <c r="K993" i="4"/>
  <c r="J993" i="4"/>
  <c r="I993" i="4"/>
  <c r="H993" i="4"/>
  <c r="G993" i="4"/>
  <c r="F993" i="4"/>
  <c r="E993" i="4"/>
  <c r="D993" i="4"/>
  <c r="C993" i="4"/>
  <c r="B993" i="4"/>
  <c r="A993" i="4"/>
  <c r="M992" i="4"/>
  <c r="L992" i="4"/>
  <c r="K992" i="4"/>
  <c r="J992" i="4"/>
  <c r="I992" i="4"/>
  <c r="H992" i="4"/>
  <c r="G992" i="4"/>
  <c r="F992" i="4"/>
  <c r="E992" i="4"/>
  <c r="D992" i="4"/>
  <c r="C992" i="4"/>
  <c r="B992" i="4"/>
  <c r="A992" i="4"/>
  <c r="M991" i="4"/>
  <c r="L991" i="4"/>
  <c r="K991" i="4"/>
  <c r="J991" i="4"/>
  <c r="I991" i="4"/>
  <c r="H991" i="4"/>
  <c r="G991" i="4"/>
  <c r="F991" i="4"/>
  <c r="E991" i="4"/>
  <c r="D991" i="4"/>
  <c r="C991" i="4"/>
  <c r="B991" i="4"/>
  <c r="A991" i="4"/>
  <c r="M990" i="4"/>
  <c r="L990" i="4"/>
  <c r="K990" i="4"/>
  <c r="J990" i="4"/>
  <c r="I990" i="4"/>
  <c r="H990" i="4"/>
  <c r="G990" i="4"/>
  <c r="F990" i="4"/>
  <c r="E990" i="4"/>
  <c r="D990" i="4"/>
  <c r="C990" i="4"/>
  <c r="B990" i="4"/>
  <c r="A990" i="4"/>
  <c r="M989" i="4"/>
  <c r="L989" i="4"/>
  <c r="K989" i="4"/>
  <c r="J989" i="4"/>
  <c r="I989" i="4"/>
  <c r="H989" i="4"/>
  <c r="G989" i="4"/>
  <c r="F989" i="4"/>
  <c r="E989" i="4"/>
  <c r="D989" i="4"/>
  <c r="C989" i="4"/>
  <c r="B989" i="4"/>
  <c r="A989" i="4"/>
  <c r="M988" i="4"/>
  <c r="L988" i="4"/>
  <c r="K988" i="4"/>
  <c r="J988" i="4"/>
  <c r="I988" i="4"/>
  <c r="H988" i="4"/>
  <c r="G988" i="4"/>
  <c r="F988" i="4"/>
  <c r="E988" i="4"/>
  <c r="D988" i="4"/>
  <c r="C988" i="4"/>
  <c r="B988" i="4"/>
  <c r="A988" i="4"/>
  <c r="M987" i="4"/>
  <c r="L987" i="4"/>
  <c r="K987" i="4"/>
  <c r="J987" i="4"/>
  <c r="I987" i="4"/>
  <c r="H987" i="4"/>
  <c r="G987" i="4"/>
  <c r="F987" i="4"/>
  <c r="E987" i="4"/>
  <c r="D987" i="4"/>
  <c r="C987" i="4"/>
  <c r="B987" i="4"/>
  <c r="A987" i="4"/>
  <c r="M986" i="4"/>
  <c r="L986" i="4"/>
  <c r="K986" i="4"/>
  <c r="J986" i="4"/>
  <c r="I986" i="4"/>
  <c r="H986" i="4"/>
  <c r="G986" i="4"/>
  <c r="F986" i="4"/>
  <c r="E986" i="4"/>
  <c r="D986" i="4"/>
  <c r="C986" i="4"/>
  <c r="B986" i="4"/>
  <c r="A986" i="4"/>
  <c r="M985" i="4"/>
  <c r="L985" i="4"/>
  <c r="K985" i="4"/>
  <c r="J985" i="4"/>
  <c r="I985" i="4"/>
  <c r="H985" i="4"/>
  <c r="G985" i="4"/>
  <c r="F985" i="4"/>
  <c r="E985" i="4"/>
  <c r="D985" i="4"/>
  <c r="C985" i="4"/>
  <c r="B985" i="4"/>
  <c r="A985" i="4"/>
  <c r="M984" i="4"/>
  <c r="L984" i="4"/>
  <c r="K984" i="4"/>
  <c r="J984" i="4"/>
  <c r="I984" i="4"/>
  <c r="H984" i="4"/>
  <c r="G984" i="4"/>
  <c r="F984" i="4"/>
  <c r="E984" i="4"/>
  <c r="D984" i="4"/>
  <c r="C984" i="4"/>
  <c r="B984" i="4"/>
  <c r="A984" i="4"/>
  <c r="M983" i="4"/>
  <c r="L983" i="4"/>
  <c r="K983" i="4"/>
  <c r="J983" i="4"/>
  <c r="I983" i="4"/>
  <c r="H983" i="4"/>
  <c r="G983" i="4"/>
  <c r="F983" i="4"/>
  <c r="E983" i="4"/>
  <c r="D983" i="4"/>
  <c r="C983" i="4"/>
  <c r="B983" i="4"/>
  <c r="A983" i="4"/>
  <c r="M982" i="4"/>
  <c r="L982" i="4"/>
  <c r="K982" i="4"/>
  <c r="J982" i="4"/>
  <c r="I982" i="4"/>
  <c r="H982" i="4"/>
  <c r="G982" i="4"/>
  <c r="F982" i="4"/>
  <c r="E982" i="4"/>
  <c r="D982" i="4"/>
  <c r="C982" i="4"/>
  <c r="B982" i="4"/>
  <c r="A982" i="4"/>
  <c r="M981" i="4"/>
  <c r="L981" i="4"/>
  <c r="K981" i="4"/>
  <c r="J981" i="4"/>
  <c r="I981" i="4"/>
  <c r="H981" i="4"/>
  <c r="G981" i="4"/>
  <c r="F981" i="4"/>
  <c r="E981" i="4"/>
  <c r="D981" i="4"/>
  <c r="C981" i="4"/>
  <c r="B981" i="4"/>
  <c r="A981" i="4"/>
  <c r="M980" i="4"/>
  <c r="L980" i="4"/>
  <c r="K980" i="4"/>
  <c r="J980" i="4"/>
  <c r="I980" i="4"/>
  <c r="H980" i="4"/>
  <c r="G980" i="4"/>
  <c r="F980" i="4"/>
  <c r="E980" i="4"/>
  <c r="D980" i="4"/>
  <c r="C980" i="4"/>
  <c r="B980" i="4"/>
  <c r="A980" i="4"/>
  <c r="M979" i="4"/>
  <c r="L979" i="4"/>
  <c r="K979" i="4"/>
  <c r="J979" i="4"/>
  <c r="I979" i="4"/>
  <c r="H979" i="4"/>
  <c r="G979" i="4"/>
  <c r="F979" i="4"/>
  <c r="E979" i="4"/>
  <c r="D979" i="4"/>
  <c r="C979" i="4"/>
  <c r="B979" i="4"/>
  <c r="A979" i="4"/>
  <c r="M978" i="4"/>
  <c r="L978" i="4"/>
  <c r="K978" i="4"/>
  <c r="J978" i="4"/>
  <c r="I978" i="4"/>
  <c r="H978" i="4"/>
  <c r="G978" i="4"/>
  <c r="F978" i="4"/>
  <c r="E978" i="4"/>
  <c r="D978" i="4"/>
  <c r="C978" i="4"/>
  <c r="B978" i="4"/>
  <c r="A978" i="4"/>
  <c r="M977" i="4"/>
  <c r="L977" i="4"/>
  <c r="K977" i="4"/>
  <c r="J977" i="4"/>
  <c r="I977" i="4"/>
  <c r="H977" i="4"/>
  <c r="G977" i="4"/>
  <c r="F977" i="4"/>
  <c r="E977" i="4"/>
  <c r="D977" i="4"/>
  <c r="C977" i="4"/>
  <c r="B977" i="4"/>
  <c r="A977" i="4"/>
  <c r="M976" i="4"/>
  <c r="L976" i="4"/>
  <c r="K976" i="4"/>
  <c r="J976" i="4"/>
  <c r="I976" i="4"/>
  <c r="H976" i="4"/>
  <c r="G976" i="4"/>
  <c r="F976" i="4"/>
  <c r="E976" i="4"/>
  <c r="D976" i="4"/>
  <c r="C976" i="4"/>
  <c r="B976" i="4"/>
  <c r="A976" i="4"/>
  <c r="M975" i="4"/>
  <c r="L975" i="4"/>
  <c r="K975" i="4"/>
  <c r="J975" i="4"/>
  <c r="I975" i="4"/>
  <c r="H975" i="4"/>
  <c r="G975" i="4"/>
  <c r="F975" i="4"/>
  <c r="E975" i="4"/>
  <c r="D975" i="4"/>
  <c r="C975" i="4"/>
  <c r="B975" i="4"/>
  <c r="A975" i="4"/>
  <c r="M974" i="4"/>
  <c r="L974" i="4"/>
  <c r="K974" i="4"/>
  <c r="J974" i="4"/>
  <c r="I974" i="4"/>
  <c r="H974" i="4"/>
  <c r="G974" i="4"/>
  <c r="F974" i="4"/>
  <c r="E974" i="4"/>
  <c r="D974" i="4"/>
  <c r="C974" i="4"/>
  <c r="B974" i="4"/>
  <c r="A974" i="4"/>
  <c r="M973" i="4"/>
  <c r="L973" i="4"/>
  <c r="K973" i="4"/>
  <c r="J973" i="4"/>
  <c r="I973" i="4"/>
  <c r="H973" i="4"/>
  <c r="G973" i="4"/>
  <c r="F973" i="4"/>
  <c r="E973" i="4"/>
  <c r="D973" i="4"/>
  <c r="C973" i="4"/>
  <c r="B973" i="4"/>
  <c r="A973" i="4"/>
  <c r="M972" i="4"/>
  <c r="L972" i="4"/>
  <c r="K972" i="4"/>
  <c r="J972" i="4"/>
  <c r="I972" i="4"/>
  <c r="H972" i="4"/>
  <c r="G972" i="4"/>
  <c r="F972" i="4"/>
  <c r="E972" i="4"/>
  <c r="D972" i="4"/>
  <c r="C972" i="4"/>
  <c r="B972" i="4"/>
  <c r="A972" i="4"/>
  <c r="M971" i="4"/>
  <c r="L971" i="4"/>
  <c r="K971" i="4"/>
  <c r="J971" i="4"/>
  <c r="I971" i="4"/>
  <c r="H971" i="4"/>
  <c r="G971" i="4"/>
  <c r="F971" i="4"/>
  <c r="E971" i="4"/>
  <c r="D971" i="4"/>
  <c r="C971" i="4"/>
  <c r="B971" i="4"/>
  <c r="A971" i="4"/>
  <c r="M970" i="4"/>
  <c r="L970" i="4"/>
  <c r="K970" i="4"/>
  <c r="J970" i="4"/>
  <c r="I970" i="4"/>
  <c r="H970" i="4"/>
  <c r="G970" i="4"/>
  <c r="F970" i="4"/>
  <c r="E970" i="4"/>
  <c r="D970" i="4"/>
  <c r="C970" i="4"/>
  <c r="B970" i="4"/>
  <c r="A970" i="4"/>
  <c r="M969" i="4"/>
  <c r="L969" i="4"/>
  <c r="K969" i="4"/>
  <c r="J969" i="4"/>
  <c r="I969" i="4"/>
  <c r="H969" i="4"/>
  <c r="G969" i="4"/>
  <c r="F969" i="4"/>
  <c r="E969" i="4"/>
  <c r="D969" i="4"/>
  <c r="C969" i="4"/>
  <c r="B969" i="4"/>
  <c r="A969" i="4"/>
  <c r="M968" i="4"/>
  <c r="L968" i="4"/>
  <c r="K968" i="4"/>
  <c r="J968" i="4"/>
  <c r="I968" i="4"/>
  <c r="H968" i="4"/>
  <c r="G968" i="4"/>
  <c r="F968" i="4"/>
  <c r="E968" i="4"/>
  <c r="D968" i="4"/>
  <c r="C968" i="4"/>
  <c r="B968" i="4"/>
  <c r="A968" i="4"/>
  <c r="M967" i="4"/>
  <c r="L967" i="4"/>
  <c r="K967" i="4"/>
  <c r="J967" i="4"/>
  <c r="I967" i="4"/>
  <c r="H967" i="4"/>
  <c r="G967" i="4"/>
  <c r="F967" i="4"/>
  <c r="E967" i="4"/>
  <c r="D967" i="4"/>
  <c r="C967" i="4"/>
  <c r="B967" i="4"/>
  <c r="A967" i="4"/>
  <c r="M966" i="4"/>
  <c r="L966" i="4"/>
  <c r="K966" i="4"/>
  <c r="J966" i="4"/>
  <c r="I966" i="4"/>
  <c r="H966" i="4"/>
  <c r="G966" i="4"/>
  <c r="F966" i="4"/>
  <c r="E966" i="4"/>
  <c r="D966" i="4"/>
  <c r="C966" i="4"/>
  <c r="B966" i="4"/>
  <c r="A966" i="4"/>
  <c r="M965" i="4"/>
  <c r="L965" i="4"/>
  <c r="K965" i="4"/>
  <c r="J965" i="4"/>
  <c r="I965" i="4"/>
  <c r="H965" i="4"/>
  <c r="G965" i="4"/>
  <c r="F965" i="4"/>
  <c r="E965" i="4"/>
  <c r="D965" i="4"/>
  <c r="C965" i="4"/>
  <c r="B965" i="4"/>
  <c r="A965" i="4"/>
  <c r="M964" i="4"/>
  <c r="L964" i="4"/>
  <c r="K964" i="4"/>
  <c r="J964" i="4"/>
  <c r="I964" i="4"/>
  <c r="H964" i="4"/>
  <c r="G964" i="4"/>
  <c r="F964" i="4"/>
  <c r="E964" i="4"/>
  <c r="D964" i="4"/>
  <c r="C964" i="4"/>
  <c r="B964" i="4"/>
  <c r="A964" i="4"/>
  <c r="M963" i="4"/>
  <c r="L963" i="4"/>
  <c r="K963" i="4"/>
  <c r="J963" i="4"/>
  <c r="I963" i="4"/>
  <c r="H963" i="4"/>
  <c r="G963" i="4"/>
  <c r="F963" i="4"/>
  <c r="E963" i="4"/>
  <c r="D963" i="4"/>
  <c r="C963" i="4"/>
  <c r="B963" i="4"/>
  <c r="A963" i="4"/>
  <c r="M962" i="4"/>
  <c r="L962" i="4"/>
  <c r="K962" i="4"/>
  <c r="J962" i="4"/>
  <c r="I962" i="4"/>
  <c r="H962" i="4"/>
  <c r="G962" i="4"/>
  <c r="F962" i="4"/>
  <c r="E962" i="4"/>
  <c r="D962" i="4"/>
  <c r="C962" i="4"/>
  <c r="B962" i="4"/>
  <c r="A962" i="4"/>
  <c r="M961" i="4"/>
  <c r="L961" i="4"/>
  <c r="K961" i="4"/>
  <c r="J961" i="4"/>
  <c r="I961" i="4"/>
  <c r="H961" i="4"/>
  <c r="G961" i="4"/>
  <c r="F961" i="4"/>
  <c r="E961" i="4"/>
  <c r="D961" i="4"/>
  <c r="C961" i="4"/>
  <c r="B961" i="4"/>
  <c r="A961" i="4"/>
  <c r="M960" i="4"/>
  <c r="L960" i="4"/>
  <c r="K960" i="4"/>
  <c r="J960" i="4"/>
  <c r="I960" i="4"/>
  <c r="H960" i="4"/>
  <c r="G960" i="4"/>
  <c r="F960" i="4"/>
  <c r="E960" i="4"/>
  <c r="D960" i="4"/>
  <c r="C960" i="4"/>
  <c r="B960" i="4"/>
  <c r="A960" i="4"/>
  <c r="M959" i="4"/>
  <c r="L959" i="4"/>
  <c r="K959" i="4"/>
  <c r="J959" i="4"/>
  <c r="I959" i="4"/>
  <c r="H959" i="4"/>
  <c r="G959" i="4"/>
  <c r="F959" i="4"/>
  <c r="E959" i="4"/>
  <c r="D959" i="4"/>
  <c r="C959" i="4"/>
  <c r="B959" i="4"/>
  <c r="A959" i="4"/>
  <c r="M958" i="4"/>
  <c r="L958" i="4"/>
  <c r="K958" i="4"/>
  <c r="J958" i="4"/>
  <c r="I958" i="4"/>
  <c r="H958" i="4"/>
  <c r="G958" i="4"/>
  <c r="F958" i="4"/>
  <c r="E958" i="4"/>
  <c r="D958" i="4"/>
  <c r="C958" i="4"/>
  <c r="B958" i="4"/>
  <c r="A958" i="4"/>
  <c r="M957" i="4"/>
  <c r="L957" i="4"/>
  <c r="K957" i="4"/>
  <c r="J957" i="4"/>
  <c r="I957" i="4"/>
  <c r="H957" i="4"/>
  <c r="G957" i="4"/>
  <c r="F957" i="4"/>
  <c r="E957" i="4"/>
  <c r="D957" i="4"/>
  <c r="C957" i="4"/>
  <c r="B957" i="4"/>
  <c r="A957" i="4"/>
  <c r="M956" i="4"/>
  <c r="L956" i="4"/>
  <c r="K956" i="4"/>
  <c r="J956" i="4"/>
  <c r="I956" i="4"/>
  <c r="H956" i="4"/>
  <c r="G956" i="4"/>
  <c r="F956" i="4"/>
  <c r="E956" i="4"/>
  <c r="D956" i="4"/>
  <c r="C956" i="4"/>
  <c r="B956" i="4"/>
  <c r="A956" i="4"/>
  <c r="M955" i="4"/>
  <c r="L955" i="4"/>
  <c r="K955" i="4"/>
  <c r="J955" i="4"/>
  <c r="I955" i="4"/>
  <c r="H955" i="4"/>
  <c r="G955" i="4"/>
  <c r="F955" i="4"/>
  <c r="E955" i="4"/>
  <c r="D955" i="4"/>
  <c r="C955" i="4"/>
  <c r="B955" i="4"/>
  <c r="A955" i="4"/>
  <c r="M954" i="4"/>
  <c r="L954" i="4"/>
  <c r="K954" i="4"/>
  <c r="J954" i="4"/>
  <c r="I954" i="4"/>
  <c r="H954" i="4"/>
  <c r="G954" i="4"/>
  <c r="F954" i="4"/>
  <c r="E954" i="4"/>
  <c r="D954" i="4"/>
  <c r="C954" i="4"/>
  <c r="B954" i="4"/>
  <c r="A954" i="4"/>
  <c r="M953" i="4"/>
  <c r="L953" i="4"/>
  <c r="K953" i="4"/>
  <c r="J953" i="4"/>
  <c r="I953" i="4"/>
  <c r="H953" i="4"/>
  <c r="G953" i="4"/>
  <c r="F953" i="4"/>
  <c r="E953" i="4"/>
  <c r="D953" i="4"/>
  <c r="C953" i="4"/>
  <c r="B953" i="4"/>
  <c r="A953" i="4"/>
  <c r="M952" i="4"/>
  <c r="L952" i="4"/>
  <c r="K952" i="4"/>
  <c r="J952" i="4"/>
  <c r="I952" i="4"/>
  <c r="H952" i="4"/>
  <c r="G952" i="4"/>
  <c r="F952" i="4"/>
  <c r="E952" i="4"/>
  <c r="D952" i="4"/>
  <c r="C952" i="4"/>
  <c r="B952" i="4"/>
  <c r="A952" i="4"/>
  <c r="M951" i="4"/>
  <c r="L951" i="4"/>
  <c r="K951" i="4"/>
  <c r="J951" i="4"/>
  <c r="I951" i="4"/>
  <c r="H951" i="4"/>
  <c r="G951" i="4"/>
  <c r="F951" i="4"/>
  <c r="D951" i="4"/>
  <c r="C951" i="4"/>
  <c r="B951" i="4"/>
  <c r="A951" i="4"/>
  <c r="M950" i="4"/>
  <c r="L950" i="4"/>
  <c r="K950" i="4"/>
  <c r="J950" i="4"/>
  <c r="I950" i="4"/>
  <c r="H950" i="4"/>
  <c r="G950" i="4"/>
  <c r="F950" i="4"/>
  <c r="E950" i="4"/>
  <c r="D950" i="4"/>
  <c r="C950" i="4"/>
  <c r="B950" i="4"/>
  <c r="A950" i="4"/>
  <c r="M949" i="4"/>
  <c r="L949" i="4"/>
  <c r="K949" i="4"/>
  <c r="J949" i="4"/>
  <c r="I949" i="4"/>
  <c r="H949" i="4"/>
  <c r="G949" i="4"/>
  <c r="F949" i="4"/>
  <c r="D949" i="4"/>
  <c r="C949" i="4"/>
  <c r="B949" i="4"/>
  <c r="A949" i="4"/>
  <c r="M948" i="4"/>
  <c r="L948" i="4"/>
  <c r="K948" i="4"/>
  <c r="J948" i="4"/>
  <c r="I948" i="4"/>
  <c r="H948" i="4"/>
  <c r="G948" i="4"/>
  <c r="F948" i="4"/>
  <c r="E948" i="4"/>
  <c r="D948" i="4"/>
  <c r="C948" i="4"/>
  <c r="B948" i="4"/>
  <c r="A948" i="4"/>
  <c r="M947" i="4"/>
  <c r="L947" i="4"/>
  <c r="K947" i="4"/>
  <c r="J947" i="4"/>
  <c r="I947" i="4"/>
  <c r="H947" i="4"/>
  <c r="G947" i="4"/>
  <c r="F947" i="4"/>
  <c r="E947" i="4"/>
  <c r="D947" i="4"/>
  <c r="C947" i="4"/>
  <c r="B947" i="4"/>
  <c r="A947" i="4"/>
  <c r="M946" i="4"/>
  <c r="L946" i="4"/>
  <c r="K946" i="4"/>
  <c r="J946" i="4"/>
  <c r="I946" i="4"/>
  <c r="H946" i="4"/>
  <c r="G946" i="4"/>
  <c r="F946" i="4"/>
  <c r="D946" i="4"/>
  <c r="C946" i="4"/>
  <c r="B946" i="4"/>
  <c r="A946" i="4"/>
  <c r="M945" i="4"/>
  <c r="L945" i="4"/>
  <c r="K945" i="4"/>
  <c r="J945" i="4"/>
  <c r="I945" i="4"/>
  <c r="H945" i="4"/>
  <c r="G945" i="4"/>
  <c r="F945" i="4"/>
  <c r="E945" i="4"/>
  <c r="D945" i="4"/>
  <c r="C945" i="4"/>
  <c r="B945" i="4"/>
  <c r="A945" i="4"/>
  <c r="M944" i="4"/>
  <c r="L944" i="4"/>
  <c r="K944" i="4"/>
  <c r="J944" i="4"/>
  <c r="I944" i="4"/>
  <c r="H944" i="4"/>
  <c r="G944" i="4"/>
  <c r="F944" i="4"/>
  <c r="E944" i="4"/>
  <c r="D944" i="4"/>
  <c r="C944" i="4"/>
  <c r="B944" i="4"/>
  <c r="A944" i="4"/>
  <c r="M943" i="4"/>
  <c r="L943" i="4"/>
  <c r="K943" i="4"/>
  <c r="J943" i="4"/>
  <c r="I943" i="4"/>
  <c r="H943" i="4"/>
  <c r="G943" i="4"/>
  <c r="F943" i="4"/>
  <c r="E943" i="4"/>
  <c r="D943" i="4"/>
  <c r="C943" i="4"/>
  <c r="B943" i="4"/>
  <c r="A943" i="4"/>
  <c r="M942" i="4"/>
  <c r="L942" i="4"/>
  <c r="K942" i="4"/>
  <c r="J942" i="4"/>
  <c r="I942" i="4"/>
  <c r="H942" i="4"/>
  <c r="G942" i="4"/>
  <c r="F942" i="4"/>
  <c r="E942" i="4"/>
  <c r="D942" i="4"/>
  <c r="C942" i="4"/>
  <c r="B942" i="4"/>
  <c r="A942" i="4"/>
  <c r="M941" i="4"/>
  <c r="L941" i="4"/>
  <c r="K941" i="4"/>
  <c r="J941" i="4"/>
  <c r="I941" i="4"/>
  <c r="H941" i="4"/>
  <c r="G941" i="4"/>
  <c r="F941" i="4"/>
  <c r="E941" i="4"/>
  <c r="D941" i="4"/>
  <c r="C941" i="4"/>
  <c r="B941" i="4"/>
  <c r="A941" i="4"/>
  <c r="M940" i="4"/>
  <c r="L940" i="4"/>
  <c r="K940" i="4"/>
  <c r="J940" i="4"/>
  <c r="I940" i="4"/>
  <c r="H940" i="4"/>
  <c r="G940" i="4"/>
  <c r="F940" i="4"/>
  <c r="E940" i="4"/>
  <c r="D940" i="4"/>
  <c r="C940" i="4"/>
  <c r="B940" i="4"/>
  <c r="A940" i="4"/>
  <c r="M939" i="4"/>
  <c r="L939" i="4"/>
  <c r="K939" i="4"/>
  <c r="J939" i="4"/>
  <c r="I939" i="4"/>
  <c r="H939" i="4"/>
  <c r="G939" i="4"/>
  <c r="F939" i="4"/>
  <c r="E939" i="4"/>
  <c r="D939" i="4"/>
  <c r="C939" i="4"/>
  <c r="B939" i="4"/>
  <c r="A939" i="4"/>
  <c r="M938" i="4"/>
  <c r="L938" i="4"/>
  <c r="K938" i="4"/>
  <c r="J938" i="4"/>
  <c r="I938" i="4"/>
  <c r="H938" i="4"/>
  <c r="G938" i="4"/>
  <c r="F938" i="4"/>
  <c r="E938" i="4"/>
  <c r="D938" i="4"/>
  <c r="C938" i="4"/>
  <c r="B938" i="4"/>
  <c r="A938" i="4"/>
  <c r="M937" i="4"/>
  <c r="L937" i="4"/>
  <c r="K937" i="4"/>
  <c r="J937" i="4"/>
  <c r="I937" i="4"/>
  <c r="H937" i="4"/>
  <c r="G937" i="4"/>
  <c r="F937" i="4"/>
  <c r="E937" i="4"/>
  <c r="D937" i="4"/>
  <c r="C937" i="4"/>
  <c r="B937" i="4"/>
  <c r="A937" i="4"/>
  <c r="M936" i="4"/>
  <c r="L936" i="4"/>
  <c r="K936" i="4"/>
  <c r="J936" i="4"/>
  <c r="I936" i="4"/>
  <c r="H936" i="4"/>
  <c r="G936" i="4"/>
  <c r="F936" i="4"/>
  <c r="E936" i="4"/>
  <c r="D936" i="4"/>
  <c r="C936" i="4"/>
  <c r="B936" i="4"/>
  <c r="A936" i="4"/>
  <c r="M935" i="4"/>
  <c r="L935" i="4"/>
  <c r="K935" i="4"/>
  <c r="J935" i="4"/>
  <c r="I935" i="4"/>
  <c r="H935" i="4"/>
  <c r="G935" i="4"/>
  <c r="F935" i="4"/>
  <c r="E935" i="4"/>
  <c r="D935" i="4"/>
  <c r="C935" i="4"/>
  <c r="B935" i="4"/>
  <c r="A935" i="4"/>
  <c r="M934" i="4"/>
  <c r="L934" i="4"/>
  <c r="K934" i="4"/>
  <c r="J934" i="4"/>
  <c r="I934" i="4"/>
  <c r="H934" i="4"/>
  <c r="G934" i="4"/>
  <c r="F934" i="4"/>
  <c r="E934" i="4"/>
  <c r="D934" i="4"/>
  <c r="C934" i="4"/>
  <c r="B934" i="4"/>
  <c r="A934" i="4"/>
  <c r="M933" i="4"/>
  <c r="L933" i="4"/>
  <c r="K933" i="4"/>
  <c r="J933" i="4"/>
  <c r="I933" i="4"/>
  <c r="H933" i="4"/>
  <c r="G933" i="4"/>
  <c r="F933" i="4"/>
  <c r="E933" i="4"/>
  <c r="D933" i="4"/>
  <c r="C933" i="4"/>
  <c r="B933" i="4"/>
  <c r="A933" i="4"/>
  <c r="M932" i="4"/>
  <c r="L932" i="4"/>
  <c r="K932" i="4"/>
  <c r="J932" i="4"/>
  <c r="I932" i="4"/>
  <c r="H932" i="4"/>
  <c r="G932" i="4"/>
  <c r="F932" i="4"/>
  <c r="E932" i="4"/>
  <c r="D932" i="4"/>
  <c r="C932" i="4"/>
  <c r="B932" i="4"/>
  <c r="A932" i="4"/>
  <c r="M931" i="4"/>
  <c r="L931" i="4"/>
  <c r="K931" i="4"/>
  <c r="J931" i="4"/>
  <c r="I931" i="4"/>
  <c r="H931" i="4"/>
  <c r="G931" i="4"/>
  <c r="F931" i="4"/>
  <c r="E931" i="4"/>
  <c r="D931" i="4"/>
  <c r="C931" i="4"/>
  <c r="B931" i="4"/>
  <c r="A931" i="4"/>
  <c r="M930" i="4"/>
  <c r="L930" i="4"/>
  <c r="K930" i="4"/>
  <c r="J930" i="4"/>
  <c r="I930" i="4"/>
  <c r="H930" i="4"/>
  <c r="G930" i="4"/>
  <c r="F930" i="4"/>
  <c r="E930" i="4"/>
  <c r="D930" i="4"/>
  <c r="C930" i="4"/>
  <c r="B930" i="4"/>
  <c r="A930" i="4"/>
  <c r="M929" i="4"/>
  <c r="L929" i="4"/>
  <c r="K929" i="4"/>
  <c r="J929" i="4"/>
  <c r="I929" i="4"/>
  <c r="H929" i="4"/>
  <c r="G929" i="4"/>
  <c r="F929" i="4"/>
  <c r="E929" i="4"/>
  <c r="D929" i="4"/>
  <c r="C929" i="4"/>
  <c r="B929" i="4"/>
  <c r="A929" i="4"/>
  <c r="M928" i="4"/>
  <c r="L928" i="4"/>
  <c r="K928" i="4"/>
  <c r="J928" i="4"/>
  <c r="I928" i="4"/>
  <c r="H928" i="4"/>
  <c r="G928" i="4"/>
  <c r="F928" i="4"/>
  <c r="E928" i="4"/>
  <c r="D928" i="4"/>
  <c r="C928" i="4"/>
  <c r="B928" i="4"/>
  <c r="A928" i="4"/>
  <c r="M927" i="4"/>
  <c r="L927" i="4"/>
  <c r="K927" i="4"/>
  <c r="J927" i="4"/>
  <c r="I927" i="4"/>
  <c r="H927" i="4"/>
  <c r="G927" i="4"/>
  <c r="F927" i="4"/>
  <c r="E927" i="4"/>
  <c r="D927" i="4"/>
  <c r="C927" i="4"/>
  <c r="B927" i="4"/>
  <c r="A927" i="4"/>
  <c r="M926" i="4"/>
  <c r="L926" i="4"/>
  <c r="K926" i="4"/>
  <c r="J926" i="4"/>
  <c r="I926" i="4"/>
  <c r="H926" i="4"/>
  <c r="G926" i="4"/>
  <c r="F926" i="4"/>
  <c r="E926" i="4"/>
  <c r="D926" i="4"/>
  <c r="C926" i="4"/>
  <c r="B926" i="4"/>
  <c r="A926" i="4"/>
  <c r="M925" i="4"/>
  <c r="L925" i="4"/>
  <c r="K925" i="4"/>
  <c r="J925" i="4"/>
  <c r="I925" i="4"/>
  <c r="H925" i="4"/>
  <c r="G925" i="4"/>
  <c r="F925" i="4"/>
  <c r="E925" i="4"/>
  <c r="D925" i="4"/>
  <c r="C925" i="4"/>
  <c r="B925" i="4"/>
  <c r="A925" i="4"/>
  <c r="M924" i="4"/>
  <c r="L924" i="4"/>
  <c r="K924" i="4"/>
  <c r="J924" i="4"/>
  <c r="I924" i="4"/>
  <c r="H924" i="4"/>
  <c r="G924" i="4"/>
  <c r="F924" i="4"/>
  <c r="E924" i="4"/>
  <c r="D924" i="4"/>
  <c r="C924" i="4"/>
  <c r="B924" i="4"/>
  <c r="A924" i="4"/>
  <c r="M923" i="4"/>
  <c r="L923" i="4"/>
  <c r="K923" i="4"/>
  <c r="J923" i="4"/>
  <c r="I923" i="4"/>
  <c r="H923" i="4"/>
  <c r="G923" i="4"/>
  <c r="F923" i="4"/>
  <c r="E923" i="4"/>
  <c r="D923" i="4"/>
  <c r="C923" i="4"/>
  <c r="B923" i="4"/>
  <c r="A923" i="4"/>
  <c r="M922" i="4"/>
  <c r="L922" i="4"/>
  <c r="K922" i="4"/>
  <c r="J922" i="4"/>
  <c r="I922" i="4"/>
  <c r="H922" i="4"/>
  <c r="G922" i="4"/>
  <c r="F922" i="4"/>
  <c r="E922" i="4"/>
  <c r="D922" i="4"/>
  <c r="C922" i="4"/>
  <c r="B922" i="4"/>
  <c r="A922" i="4"/>
  <c r="M921" i="4"/>
  <c r="L921" i="4"/>
  <c r="K921" i="4"/>
  <c r="J921" i="4"/>
  <c r="I921" i="4"/>
  <c r="H921" i="4"/>
  <c r="G921" i="4"/>
  <c r="F921" i="4"/>
  <c r="E921" i="4"/>
  <c r="D921" i="4"/>
  <c r="C921" i="4"/>
  <c r="B921" i="4"/>
  <c r="A921" i="4"/>
  <c r="M920" i="4"/>
  <c r="L920" i="4"/>
  <c r="K920" i="4"/>
  <c r="J920" i="4"/>
  <c r="I920" i="4"/>
  <c r="H920" i="4"/>
  <c r="G920" i="4"/>
  <c r="F920" i="4"/>
  <c r="E920" i="4"/>
  <c r="D920" i="4"/>
  <c r="C920" i="4"/>
  <c r="B920" i="4"/>
  <c r="A920" i="4"/>
  <c r="M919" i="4"/>
  <c r="L919" i="4"/>
  <c r="K919" i="4"/>
  <c r="J919" i="4"/>
  <c r="I919" i="4"/>
  <c r="H919" i="4"/>
  <c r="G919" i="4"/>
  <c r="F919" i="4"/>
  <c r="E919" i="4"/>
  <c r="D919" i="4"/>
  <c r="C919" i="4"/>
  <c r="B919" i="4"/>
  <c r="A919" i="4"/>
  <c r="M918" i="4"/>
  <c r="L918" i="4"/>
  <c r="K918" i="4"/>
  <c r="J918" i="4"/>
  <c r="I918" i="4"/>
  <c r="H918" i="4"/>
  <c r="G918" i="4"/>
  <c r="F918" i="4"/>
  <c r="E918" i="4"/>
  <c r="D918" i="4"/>
  <c r="C918" i="4"/>
  <c r="B918" i="4"/>
  <c r="A918" i="4"/>
  <c r="M917" i="4"/>
  <c r="L917" i="4"/>
  <c r="K917" i="4"/>
  <c r="J917" i="4"/>
  <c r="I917" i="4"/>
  <c r="H917" i="4"/>
  <c r="G917" i="4"/>
  <c r="F917" i="4"/>
  <c r="E917" i="4"/>
  <c r="D917" i="4"/>
  <c r="C917" i="4"/>
  <c r="B917" i="4"/>
  <c r="A917" i="4"/>
  <c r="M916" i="4"/>
  <c r="L916" i="4"/>
  <c r="K916" i="4"/>
  <c r="J916" i="4"/>
  <c r="I916" i="4"/>
  <c r="H916" i="4"/>
  <c r="G916" i="4"/>
  <c r="F916" i="4"/>
  <c r="E916" i="4"/>
  <c r="D916" i="4"/>
  <c r="C916" i="4"/>
  <c r="B916" i="4"/>
  <c r="A916" i="4"/>
  <c r="M915" i="4"/>
  <c r="L915" i="4"/>
  <c r="K915" i="4"/>
  <c r="J915" i="4"/>
  <c r="I915" i="4"/>
  <c r="H915" i="4"/>
  <c r="G915" i="4"/>
  <c r="F915" i="4"/>
  <c r="E915" i="4"/>
  <c r="D915" i="4"/>
  <c r="C915" i="4"/>
  <c r="B915" i="4"/>
  <c r="A915" i="4"/>
  <c r="M914" i="4"/>
  <c r="L914" i="4"/>
  <c r="K914" i="4"/>
  <c r="J914" i="4"/>
  <c r="I914" i="4"/>
  <c r="H914" i="4"/>
  <c r="G914" i="4"/>
  <c r="F914" i="4"/>
  <c r="E914" i="4"/>
  <c r="D914" i="4"/>
  <c r="C914" i="4"/>
  <c r="B914" i="4"/>
  <c r="A914" i="4"/>
  <c r="M913" i="4"/>
  <c r="L913" i="4"/>
  <c r="K913" i="4"/>
  <c r="J913" i="4"/>
  <c r="I913" i="4"/>
  <c r="H913" i="4"/>
  <c r="G913" i="4"/>
  <c r="F913" i="4"/>
  <c r="E913" i="4"/>
  <c r="D913" i="4"/>
  <c r="C913" i="4"/>
  <c r="B913" i="4"/>
  <c r="A913" i="4"/>
  <c r="M912" i="4"/>
  <c r="L912" i="4"/>
  <c r="K912" i="4"/>
  <c r="J912" i="4"/>
  <c r="I912" i="4"/>
  <c r="H912" i="4"/>
  <c r="G912" i="4"/>
  <c r="F912" i="4"/>
  <c r="E912" i="4"/>
  <c r="D912" i="4"/>
  <c r="C912" i="4"/>
  <c r="B912" i="4"/>
  <c r="A912" i="4"/>
  <c r="M911" i="4"/>
  <c r="L911" i="4"/>
  <c r="K911" i="4"/>
  <c r="J911" i="4"/>
  <c r="I911" i="4"/>
  <c r="H911" i="4"/>
  <c r="G911" i="4"/>
  <c r="F911" i="4"/>
  <c r="E911" i="4"/>
  <c r="D911" i="4"/>
  <c r="C911" i="4"/>
  <c r="B911" i="4"/>
  <c r="A911" i="4"/>
  <c r="M910" i="4"/>
  <c r="L910" i="4"/>
  <c r="K910" i="4"/>
  <c r="J910" i="4"/>
  <c r="I910" i="4"/>
  <c r="H910" i="4"/>
  <c r="G910" i="4"/>
  <c r="F910" i="4"/>
  <c r="E910" i="4"/>
  <c r="D910" i="4"/>
  <c r="C910" i="4"/>
  <c r="B910" i="4"/>
  <c r="A910" i="4"/>
  <c r="M909" i="4"/>
  <c r="L909" i="4"/>
  <c r="K909" i="4"/>
  <c r="J909" i="4"/>
  <c r="I909" i="4"/>
  <c r="H909" i="4"/>
  <c r="G909" i="4"/>
  <c r="F909" i="4"/>
  <c r="E909" i="4"/>
  <c r="D909" i="4"/>
  <c r="C909" i="4"/>
  <c r="B909" i="4"/>
  <c r="A909" i="4"/>
  <c r="M908" i="4"/>
  <c r="L908" i="4"/>
  <c r="K908" i="4"/>
  <c r="J908" i="4"/>
  <c r="I908" i="4"/>
  <c r="H908" i="4"/>
  <c r="G908" i="4"/>
  <c r="F908" i="4"/>
  <c r="E908" i="4"/>
  <c r="D908" i="4"/>
  <c r="C908" i="4"/>
  <c r="B908" i="4"/>
  <c r="A908" i="4"/>
  <c r="M907" i="4"/>
  <c r="L907" i="4"/>
  <c r="K907" i="4"/>
  <c r="J907" i="4"/>
  <c r="I907" i="4"/>
  <c r="H907" i="4"/>
  <c r="G907" i="4"/>
  <c r="F907" i="4"/>
  <c r="E907" i="4"/>
  <c r="D907" i="4"/>
  <c r="C907" i="4"/>
  <c r="B907" i="4"/>
  <c r="A907" i="4"/>
  <c r="M906" i="4"/>
  <c r="L906" i="4"/>
  <c r="K906" i="4"/>
  <c r="J906" i="4"/>
  <c r="I906" i="4"/>
  <c r="H906" i="4"/>
  <c r="G906" i="4"/>
  <c r="F906" i="4"/>
  <c r="E906" i="4"/>
  <c r="D906" i="4"/>
  <c r="C906" i="4"/>
  <c r="B906" i="4"/>
  <c r="A906" i="4"/>
  <c r="M905" i="4"/>
  <c r="L905" i="4"/>
  <c r="K905" i="4"/>
  <c r="J905" i="4"/>
  <c r="I905" i="4"/>
  <c r="H905" i="4"/>
  <c r="G905" i="4"/>
  <c r="F905" i="4"/>
  <c r="E905" i="4"/>
  <c r="D905" i="4"/>
  <c r="C905" i="4"/>
  <c r="B905" i="4"/>
  <c r="A905" i="4"/>
  <c r="M904" i="4"/>
  <c r="L904" i="4"/>
  <c r="K904" i="4"/>
  <c r="J904" i="4"/>
  <c r="I904" i="4"/>
  <c r="H904" i="4"/>
  <c r="G904" i="4"/>
  <c r="F904" i="4"/>
  <c r="E904" i="4"/>
  <c r="D904" i="4"/>
  <c r="C904" i="4"/>
  <c r="B904" i="4"/>
  <c r="A904" i="4"/>
  <c r="M903" i="4"/>
  <c r="L903" i="4"/>
  <c r="K903" i="4"/>
  <c r="J903" i="4"/>
  <c r="I903" i="4"/>
  <c r="H903" i="4"/>
  <c r="G903" i="4"/>
  <c r="F903" i="4"/>
  <c r="E903" i="4"/>
  <c r="D903" i="4"/>
  <c r="C903" i="4"/>
  <c r="B903" i="4"/>
  <c r="A903" i="4"/>
  <c r="M902" i="4"/>
  <c r="L902" i="4"/>
  <c r="K902" i="4"/>
  <c r="J902" i="4"/>
  <c r="I902" i="4"/>
  <c r="H902" i="4"/>
  <c r="G902" i="4"/>
  <c r="F902" i="4"/>
  <c r="E902" i="4"/>
  <c r="D902" i="4"/>
  <c r="C902" i="4"/>
  <c r="B902" i="4"/>
  <c r="A902" i="4"/>
  <c r="M901" i="4"/>
  <c r="L901" i="4"/>
  <c r="K901" i="4"/>
  <c r="J901" i="4"/>
  <c r="I901" i="4"/>
  <c r="H901" i="4"/>
  <c r="G901" i="4"/>
  <c r="F901" i="4"/>
  <c r="D901" i="4"/>
  <c r="C901" i="4"/>
  <c r="B901" i="4"/>
  <c r="A901" i="4"/>
  <c r="M900" i="4"/>
  <c r="L900" i="4"/>
  <c r="K900" i="4"/>
  <c r="J900" i="4"/>
  <c r="I900" i="4"/>
  <c r="H900" i="4"/>
  <c r="G900" i="4"/>
  <c r="F900" i="4"/>
  <c r="E900" i="4"/>
  <c r="D900" i="4"/>
  <c r="C900" i="4"/>
  <c r="B900" i="4"/>
  <c r="A900" i="4"/>
  <c r="M899" i="4"/>
  <c r="L899" i="4"/>
  <c r="K899" i="4"/>
  <c r="J899" i="4"/>
  <c r="I899" i="4"/>
  <c r="H899" i="4"/>
  <c r="G899" i="4"/>
  <c r="F899" i="4"/>
  <c r="E899" i="4"/>
  <c r="D899" i="4"/>
  <c r="C899" i="4"/>
  <c r="B899" i="4"/>
  <c r="A899" i="4"/>
  <c r="M898" i="4"/>
  <c r="L898" i="4"/>
  <c r="K898" i="4"/>
  <c r="J898" i="4"/>
  <c r="I898" i="4"/>
  <c r="H898" i="4"/>
  <c r="G898" i="4"/>
  <c r="F898" i="4"/>
  <c r="E898" i="4"/>
  <c r="D898" i="4"/>
  <c r="C898" i="4"/>
  <c r="B898" i="4"/>
  <c r="A898" i="4"/>
  <c r="M897" i="4"/>
  <c r="L897" i="4"/>
  <c r="K897" i="4"/>
  <c r="J897" i="4"/>
  <c r="I897" i="4"/>
  <c r="H897" i="4"/>
  <c r="G897" i="4"/>
  <c r="F897" i="4"/>
  <c r="E897" i="4"/>
  <c r="D897" i="4"/>
  <c r="C897" i="4"/>
  <c r="B897" i="4"/>
  <c r="A897" i="4"/>
  <c r="M896" i="4"/>
  <c r="L896" i="4"/>
  <c r="K896" i="4"/>
  <c r="J896" i="4"/>
  <c r="I896" i="4"/>
  <c r="H896" i="4"/>
  <c r="G896" i="4"/>
  <c r="F896" i="4"/>
  <c r="D896" i="4"/>
  <c r="C896" i="4"/>
  <c r="B896" i="4"/>
  <c r="A896" i="4"/>
  <c r="M895" i="4"/>
  <c r="L895" i="4"/>
  <c r="K895" i="4"/>
  <c r="J895" i="4"/>
  <c r="I895" i="4"/>
  <c r="H895" i="4"/>
  <c r="G895" i="4"/>
  <c r="F895" i="4"/>
  <c r="E895" i="4"/>
  <c r="D895" i="4"/>
  <c r="C895" i="4"/>
  <c r="B895" i="4"/>
  <c r="A895" i="4"/>
  <c r="M894" i="4"/>
  <c r="L894" i="4"/>
  <c r="K894" i="4"/>
  <c r="J894" i="4"/>
  <c r="I894" i="4"/>
  <c r="H894" i="4"/>
  <c r="G894" i="4"/>
  <c r="F894" i="4"/>
  <c r="E894" i="4"/>
  <c r="D894" i="4"/>
  <c r="C894" i="4"/>
  <c r="B894" i="4"/>
  <c r="A894" i="4"/>
  <c r="M893" i="4"/>
  <c r="L893" i="4"/>
  <c r="K893" i="4"/>
  <c r="J893" i="4"/>
  <c r="I893" i="4"/>
  <c r="H893" i="4"/>
  <c r="G893" i="4"/>
  <c r="F893" i="4"/>
  <c r="E893" i="4"/>
  <c r="D893" i="4"/>
  <c r="C893" i="4"/>
  <c r="B893" i="4"/>
  <c r="A893" i="4"/>
  <c r="M892" i="4"/>
  <c r="L892" i="4"/>
  <c r="K892" i="4"/>
  <c r="J892" i="4"/>
  <c r="I892" i="4"/>
  <c r="H892" i="4"/>
  <c r="G892" i="4"/>
  <c r="F892" i="4"/>
  <c r="E892" i="4"/>
  <c r="D892" i="4"/>
  <c r="C892" i="4"/>
  <c r="B892" i="4"/>
  <c r="A892" i="4"/>
  <c r="M891" i="4"/>
  <c r="L891" i="4"/>
  <c r="K891" i="4"/>
  <c r="J891" i="4"/>
  <c r="I891" i="4"/>
  <c r="H891" i="4"/>
  <c r="G891" i="4"/>
  <c r="F891" i="4"/>
  <c r="E891" i="4"/>
  <c r="D891" i="4"/>
  <c r="C891" i="4"/>
  <c r="B891" i="4"/>
  <c r="A891" i="4"/>
  <c r="M890" i="4"/>
  <c r="L890" i="4"/>
  <c r="K890" i="4"/>
  <c r="J890" i="4"/>
  <c r="I890" i="4"/>
  <c r="H890" i="4"/>
  <c r="G890" i="4"/>
  <c r="F890" i="4"/>
  <c r="E890" i="4"/>
  <c r="D890" i="4"/>
  <c r="C890" i="4"/>
  <c r="B890" i="4"/>
  <c r="A890" i="4"/>
  <c r="M889" i="4"/>
  <c r="L889" i="4"/>
  <c r="K889" i="4"/>
  <c r="J889" i="4"/>
  <c r="I889" i="4"/>
  <c r="H889" i="4"/>
  <c r="G889" i="4"/>
  <c r="F889" i="4"/>
  <c r="E889" i="4"/>
  <c r="D889" i="4"/>
  <c r="C889" i="4"/>
  <c r="B889" i="4"/>
  <c r="A889" i="4"/>
  <c r="M888" i="4"/>
  <c r="L888" i="4"/>
  <c r="K888" i="4"/>
  <c r="J888" i="4"/>
  <c r="I888" i="4"/>
  <c r="H888" i="4"/>
  <c r="G888" i="4"/>
  <c r="F888" i="4"/>
  <c r="E888" i="4"/>
  <c r="D888" i="4"/>
  <c r="C888" i="4"/>
  <c r="B888" i="4"/>
  <c r="A888" i="4"/>
  <c r="M887" i="4"/>
  <c r="L887" i="4"/>
  <c r="K887" i="4"/>
  <c r="J887" i="4"/>
  <c r="I887" i="4"/>
  <c r="H887" i="4"/>
  <c r="G887" i="4"/>
  <c r="F887" i="4"/>
  <c r="E887" i="4"/>
  <c r="D887" i="4"/>
  <c r="C887" i="4"/>
  <c r="B887" i="4"/>
  <c r="A887" i="4"/>
  <c r="M886" i="4"/>
  <c r="L886" i="4"/>
  <c r="K886" i="4"/>
  <c r="J886" i="4"/>
  <c r="I886" i="4"/>
  <c r="H886" i="4"/>
  <c r="G886" i="4"/>
  <c r="F886" i="4"/>
  <c r="E886" i="4"/>
  <c r="D886" i="4"/>
  <c r="C886" i="4"/>
  <c r="B886" i="4"/>
  <c r="A886" i="4"/>
  <c r="M885" i="4"/>
  <c r="L885" i="4"/>
  <c r="K885" i="4"/>
  <c r="J885" i="4"/>
  <c r="I885" i="4"/>
  <c r="H885" i="4"/>
  <c r="G885" i="4"/>
  <c r="F885" i="4"/>
  <c r="E885" i="4"/>
  <c r="D885" i="4"/>
  <c r="C885" i="4"/>
  <c r="B885" i="4"/>
  <c r="A885" i="4"/>
  <c r="M884" i="4"/>
  <c r="L884" i="4"/>
  <c r="K884" i="4"/>
  <c r="J884" i="4"/>
  <c r="I884" i="4"/>
  <c r="H884" i="4"/>
  <c r="G884" i="4"/>
  <c r="F884" i="4"/>
  <c r="E884" i="4"/>
  <c r="D884" i="4"/>
  <c r="C884" i="4"/>
  <c r="B884" i="4"/>
  <c r="A884" i="4"/>
  <c r="M883" i="4"/>
  <c r="L883" i="4"/>
  <c r="K883" i="4"/>
  <c r="J883" i="4"/>
  <c r="I883" i="4"/>
  <c r="H883" i="4"/>
  <c r="G883" i="4"/>
  <c r="F883" i="4"/>
  <c r="E883" i="4"/>
  <c r="D883" i="4"/>
  <c r="C883" i="4"/>
  <c r="B883" i="4"/>
  <c r="A883" i="4"/>
  <c r="M882" i="4"/>
  <c r="L882" i="4"/>
  <c r="K882" i="4"/>
  <c r="J882" i="4"/>
  <c r="I882" i="4"/>
  <c r="H882" i="4"/>
  <c r="G882" i="4"/>
  <c r="F882" i="4"/>
  <c r="E882" i="4"/>
  <c r="D882" i="4"/>
  <c r="C882" i="4"/>
  <c r="B882" i="4"/>
  <c r="A882" i="4"/>
  <c r="M881" i="4"/>
  <c r="L881" i="4"/>
  <c r="K881" i="4"/>
  <c r="J881" i="4"/>
  <c r="I881" i="4"/>
  <c r="H881" i="4"/>
  <c r="G881" i="4"/>
  <c r="F881" i="4"/>
  <c r="E881" i="4"/>
  <c r="D881" i="4"/>
  <c r="C881" i="4"/>
  <c r="B881" i="4"/>
  <c r="A881" i="4"/>
  <c r="M880" i="4"/>
  <c r="L880" i="4"/>
  <c r="K880" i="4"/>
  <c r="J880" i="4"/>
  <c r="I880" i="4"/>
  <c r="H880" i="4"/>
  <c r="G880" i="4"/>
  <c r="F880" i="4"/>
  <c r="E880" i="4"/>
  <c r="D880" i="4"/>
  <c r="C880" i="4"/>
  <c r="B880" i="4"/>
  <c r="A880" i="4"/>
  <c r="M879" i="4"/>
  <c r="L879" i="4"/>
  <c r="K879" i="4"/>
  <c r="J879" i="4"/>
  <c r="I879" i="4"/>
  <c r="H879" i="4"/>
  <c r="G879" i="4"/>
  <c r="F879" i="4"/>
  <c r="E879" i="4"/>
  <c r="D879" i="4"/>
  <c r="C879" i="4"/>
  <c r="B879" i="4"/>
  <c r="A879" i="4"/>
  <c r="M878" i="4"/>
  <c r="L878" i="4"/>
  <c r="K878" i="4"/>
  <c r="J878" i="4"/>
  <c r="I878" i="4"/>
  <c r="H878" i="4"/>
  <c r="G878" i="4"/>
  <c r="F878" i="4"/>
  <c r="E878" i="4"/>
  <c r="D878" i="4"/>
  <c r="C878" i="4"/>
  <c r="B878" i="4"/>
  <c r="A878" i="4"/>
  <c r="M877" i="4"/>
  <c r="L877" i="4"/>
  <c r="K877" i="4"/>
  <c r="J877" i="4"/>
  <c r="I877" i="4"/>
  <c r="H877" i="4"/>
  <c r="G877" i="4"/>
  <c r="F877" i="4"/>
  <c r="E877" i="4"/>
  <c r="D877" i="4"/>
  <c r="C877" i="4"/>
  <c r="B877" i="4"/>
  <c r="A877" i="4"/>
  <c r="M876" i="4"/>
  <c r="L876" i="4"/>
  <c r="K876" i="4"/>
  <c r="J876" i="4"/>
  <c r="I876" i="4"/>
  <c r="H876" i="4"/>
  <c r="G876" i="4"/>
  <c r="F876" i="4"/>
  <c r="E876" i="4"/>
  <c r="D876" i="4"/>
  <c r="C876" i="4"/>
  <c r="B876" i="4"/>
  <c r="A876" i="4"/>
  <c r="M875" i="4"/>
  <c r="L875" i="4"/>
  <c r="K875" i="4"/>
  <c r="J875" i="4"/>
  <c r="I875" i="4"/>
  <c r="H875" i="4"/>
  <c r="G875" i="4"/>
  <c r="F875" i="4"/>
  <c r="E875" i="4"/>
  <c r="D875" i="4"/>
  <c r="C875" i="4"/>
  <c r="B875" i="4"/>
  <c r="A875" i="4"/>
  <c r="M874" i="4"/>
  <c r="L874" i="4"/>
  <c r="K874" i="4"/>
  <c r="J874" i="4"/>
  <c r="I874" i="4"/>
  <c r="H874" i="4"/>
  <c r="G874" i="4"/>
  <c r="F874" i="4"/>
  <c r="E874" i="4"/>
  <c r="D874" i="4"/>
  <c r="C874" i="4"/>
  <c r="B874" i="4"/>
  <c r="A874" i="4"/>
  <c r="M873" i="4"/>
  <c r="L873" i="4"/>
  <c r="K873" i="4"/>
  <c r="J873" i="4"/>
  <c r="I873" i="4"/>
  <c r="H873" i="4"/>
  <c r="G873" i="4"/>
  <c r="F873" i="4"/>
  <c r="E873" i="4"/>
  <c r="D873" i="4"/>
  <c r="C873" i="4"/>
  <c r="B873" i="4"/>
  <c r="A873" i="4"/>
  <c r="M872" i="4"/>
  <c r="L872" i="4"/>
  <c r="K872" i="4"/>
  <c r="J872" i="4"/>
  <c r="I872" i="4"/>
  <c r="H872" i="4"/>
  <c r="G872" i="4"/>
  <c r="F872" i="4"/>
  <c r="E872" i="4"/>
  <c r="D872" i="4"/>
  <c r="C872" i="4"/>
  <c r="B872" i="4"/>
  <c r="A872" i="4"/>
  <c r="M871" i="4"/>
  <c r="L871" i="4"/>
  <c r="K871" i="4"/>
  <c r="J871" i="4"/>
  <c r="I871" i="4"/>
  <c r="H871" i="4"/>
  <c r="G871" i="4"/>
  <c r="F871" i="4"/>
  <c r="E871" i="4"/>
  <c r="D871" i="4"/>
  <c r="C871" i="4"/>
  <c r="B871" i="4"/>
  <c r="A871" i="4"/>
  <c r="M870" i="4"/>
  <c r="L870" i="4"/>
  <c r="K870" i="4"/>
  <c r="J870" i="4"/>
  <c r="I870" i="4"/>
  <c r="H870" i="4"/>
  <c r="G870" i="4"/>
  <c r="F870" i="4"/>
  <c r="E870" i="4"/>
  <c r="D870" i="4"/>
  <c r="C870" i="4"/>
  <c r="B870" i="4"/>
  <c r="A870" i="4"/>
  <c r="M869" i="4"/>
  <c r="L869" i="4"/>
  <c r="K869" i="4"/>
  <c r="J869" i="4"/>
  <c r="I869" i="4"/>
  <c r="H869" i="4"/>
  <c r="G869" i="4"/>
  <c r="F869" i="4"/>
  <c r="E869" i="4"/>
  <c r="D869" i="4"/>
  <c r="C869" i="4"/>
  <c r="B869" i="4"/>
  <c r="A869" i="4"/>
  <c r="M868" i="4"/>
  <c r="L868" i="4"/>
  <c r="K868" i="4"/>
  <c r="J868" i="4"/>
  <c r="I868" i="4"/>
  <c r="H868" i="4"/>
  <c r="G868" i="4"/>
  <c r="F868" i="4"/>
  <c r="E868" i="4"/>
  <c r="D868" i="4"/>
  <c r="C868" i="4"/>
  <c r="B868" i="4"/>
  <c r="A868" i="4"/>
  <c r="M867" i="4"/>
  <c r="L867" i="4"/>
  <c r="K867" i="4"/>
  <c r="J867" i="4"/>
  <c r="I867" i="4"/>
  <c r="H867" i="4"/>
  <c r="G867" i="4"/>
  <c r="F867" i="4"/>
  <c r="E867" i="4"/>
  <c r="D867" i="4"/>
  <c r="C867" i="4"/>
  <c r="B867" i="4"/>
  <c r="A867" i="4"/>
  <c r="M866" i="4"/>
  <c r="L866" i="4"/>
  <c r="K866" i="4"/>
  <c r="J866" i="4"/>
  <c r="I866" i="4"/>
  <c r="H866" i="4"/>
  <c r="G866" i="4"/>
  <c r="F866" i="4"/>
  <c r="E866" i="4"/>
  <c r="D866" i="4"/>
  <c r="C866" i="4"/>
  <c r="B866" i="4"/>
  <c r="A866" i="4"/>
  <c r="M865" i="4"/>
  <c r="L865" i="4"/>
  <c r="K865" i="4"/>
  <c r="J865" i="4"/>
  <c r="I865" i="4"/>
  <c r="H865" i="4"/>
  <c r="G865" i="4"/>
  <c r="F865" i="4"/>
  <c r="E865" i="4"/>
  <c r="D865" i="4"/>
  <c r="C865" i="4"/>
  <c r="B865" i="4"/>
  <c r="A865" i="4"/>
  <c r="M864" i="4"/>
  <c r="L864" i="4"/>
  <c r="K864" i="4"/>
  <c r="J864" i="4"/>
  <c r="I864" i="4"/>
  <c r="H864" i="4"/>
  <c r="G864" i="4"/>
  <c r="F864" i="4"/>
  <c r="E864" i="4"/>
  <c r="D864" i="4"/>
  <c r="C864" i="4"/>
  <c r="B864" i="4"/>
  <c r="A864" i="4"/>
  <c r="M863" i="4"/>
  <c r="L863" i="4"/>
  <c r="K863" i="4"/>
  <c r="J863" i="4"/>
  <c r="I863" i="4"/>
  <c r="H863" i="4"/>
  <c r="G863" i="4"/>
  <c r="F863" i="4"/>
  <c r="E863" i="4"/>
  <c r="D863" i="4"/>
  <c r="C863" i="4"/>
  <c r="B863" i="4"/>
  <c r="A863" i="4"/>
  <c r="M862" i="4"/>
  <c r="L862" i="4"/>
  <c r="K862" i="4"/>
  <c r="J862" i="4"/>
  <c r="I862" i="4"/>
  <c r="H862" i="4"/>
  <c r="G862" i="4"/>
  <c r="F862" i="4"/>
  <c r="E862" i="4"/>
  <c r="D862" i="4"/>
  <c r="C862" i="4"/>
  <c r="B862" i="4"/>
  <c r="A862" i="4"/>
  <c r="M861" i="4"/>
  <c r="L861" i="4"/>
  <c r="K861" i="4"/>
  <c r="J861" i="4"/>
  <c r="I861" i="4"/>
  <c r="H861" i="4"/>
  <c r="G861" i="4"/>
  <c r="F861" i="4"/>
  <c r="E861" i="4"/>
  <c r="D861" i="4"/>
  <c r="C861" i="4"/>
  <c r="B861" i="4"/>
  <c r="A861" i="4"/>
  <c r="M860" i="4"/>
  <c r="L860" i="4"/>
  <c r="K860" i="4"/>
  <c r="J860" i="4"/>
  <c r="I860" i="4"/>
  <c r="H860" i="4"/>
  <c r="G860" i="4"/>
  <c r="F860" i="4"/>
  <c r="E860" i="4"/>
  <c r="D860" i="4"/>
  <c r="C860" i="4"/>
  <c r="B860" i="4"/>
  <c r="A860" i="4"/>
  <c r="M859" i="4"/>
  <c r="L859" i="4"/>
  <c r="K859" i="4"/>
  <c r="J859" i="4"/>
  <c r="I859" i="4"/>
  <c r="H859" i="4"/>
  <c r="G859" i="4"/>
  <c r="F859" i="4"/>
  <c r="E859" i="4"/>
  <c r="D859" i="4"/>
  <c r="C859" i="4"/>
  <c r="B859" i="4"/>
  <c r="A859" i="4"/>
  <c r="M858" i="4"/>
  <c r="L858" i="4"/>
  <c r="K858" i="4"/>
  <c r="J858" i="4"/>
  <c r="I858" i="4"/>
  <c r="H858" i="4"/>
  <c r="G858" i="4"/>
  <c r="F858" i="4"/>
  <c r="E858" i="4"/>
  <c r="D858" i="4"/>
  <c r="C858" i="4"/>
  <c r="B858" i="4"/>
  <c r="A858" i="4"/>
  <c r="M857" i="4"/>
  <c r="L857" i="4"/>
  <c r="K857" i="4"/>
  <c r="J857" i="4"/>
  <c r="I857" i="4"/>
  <c r="H857" i="4"/>
  <c r="G857" i="4"/>
  <c r="F857" i="4"/>
  <c r="E857" i="4"/>
  <c r="D857" i="4"/>
  <c r="C857" i="4"/>
  <c r="B857" i="4"/>
  <c r="A857" i="4"/>
  <c r="M856" i="4"/>
  <c r="L856" i="4"/>
  <c r="K856" i="4"/>
  <c r="J856" i="4"/>
  <c r="I856" i="4"/>
  <c r="H856" i="4"/>
  <c r="G856" i="4"/>
  <c r="F856" i="4"/>
  <c r="E856" i="4"/>
  <c r="D856" i="4"/>
  <c r="C856" i="4"/>
  <c r="B856" i="4"/>
  <c r="A856" i="4"/>
  <c r="M855" i="4"/>
  <c r="L855" i="4"/>
  <c r="K855" i="4"/>
  <c r="J855" i="4"/>
  <c r="I855" i="4"/>
  <c r="H855" i="4"/>
  <c r="G855" i="4"/>
  <c r="F855" i="4"/>
  <c r="E855" i="4"/>
  <c r="D855" i="4"/>
  <c r="C855" i="4"/>
  <c r="B855" i="4"/>
  <c r="A855" i="4"/>
  <c r="M854" i="4"/>
  <c r="L854" i="4"/>
  <c r="K854" i="4"/>
  <c r="J854" i="4"/>
  <c r="I854" i="4"/>
  <c r="H854" i="4"/>
  <c r="G854" i="4"/>
  <c r="F854" i="4"/>
  <c r="E854" i="4"/>
  <c r="D854" i="4"/>
  <c r="C854" i="4"/>
  <c r="B854" i="4"/>
  <c r="A854" i="4"/>
  <c r="M853" i="4"/>
  <c r="L853" i="4"/>
  <c r="K853" i="4"/>
  <c r="J853" i="4"/>
  <c r="I853" i="4"/>
  <c r="H853" i="4"/>
  <c r="G853" i="4"/>
  <c r="F853" i="4"/>
  <c r="E853" i="4"/>
  <c r="D853" i="4"/>
  <c r="C853" i="4"/>
  <c r="B853" i="4"/>
  <c r="A853" i="4"/>
  <c r="M852" i="4"/>
  <c r="L852" i="4"/>
  <c r="K852" i="4"/>
  <c r="J852" i="4"/>
  <c r="I852" i="4"/>
  <c r="H852" i="4"/>
  <c r="G852" i="4"/>
  <c r="F852" i="4"/>
  <c r="E852" i="4"/>
  <c r="D852" i="4"/>
  <c r="C852" i="4"/>
  <c r="B852" i="4"/>
  <c r="A852" i="4"/>
  <c r="M851" i="4"/>
  <c r="L851" i="4"/>
  <c r="K851" i="4"/>
  <c r="J851" i="4"/>
  <c r="I851" i="4"/>
  <c r="H851" i="4"/>
  <c r="G851" i="4"/>
  <c r="F851" i="4"/>
  <c r="E851" i="4"/>
  <c r="D851" i="4"/>
  <c r="C851" i="4"/>
  <c r="B851" i="4"/>
  <c r="A851" i="4"/>
  <c r="M850" i="4"/>
  <c r="L850" i="4"/>
  <c r="K850" i="4"/>
  <c r="J850" i="4"/>
  <c r="I850" i="4"/>
  <c r="H850" i="4"/>
  <c r="G850" i="4"/>
  <c r="F850" i="4"/>
  <c r="E850" i="4"/>
  <c r="D850" i="4"/>
  <c r="C850" i="4"/>
  <c r="B850" i="4"/>
  <c r="A850" i="4"/>
  <c r="M849" i="4"/>
  <c r="L849" i="4"/>
  <c r="K849" i="4"/>
  <c r="J849" i="4"/>
  <c r="I849" i="4"/>
  <c r="H849" i="4"/>
  <c r="G849" i="4"/>
  <c r="F849" i="4"/>
  <c r="E849" i="4"/>
  <c r="D849" i="4"/>
  <c r="C849" i="4"/>
  <c r="B849" i="4"/>
  <c r="A849" i="4"/>
  <c r="M848" i="4"/>
  <c r="L848" i="4"/>
  <c r="K848" i="4"/>
  <c r="J848" i="4"/>
  <c r="I848" i="4"/>
  <c r="H848" i="4"/>
  <c r="G848" i="4"/>
  <c r="F848" i="4"/>
  <c r="E848" i="4"/>
  <c r="D848" i="4"/>
  <c r="C848" i="4"/>
  <c r="B848" i="4"/>
  <c r="A848" i="4"/>
  <c r="M847" i="4"/>
  <c r="L847" i="4"/>
  <c r="K847" i="4"/>
  <c r="J847" i="4"/>
  <c r="I847" i="4"/>
  <c r="H847" i="4"/>
  <c r="G847" i="4"/>
  <c r="F847" i="4"/>
  <c r="E847" i="4"/>
  <c r="D847" i="4"/>
  <c r="C847" i="4"/>
  <c r="B847" i="4"/>
  <c r="A847" i="4"/>
  <c r="M846" i="4"/>
  <c r="L846" i="4"/>
  <c r="K846" i="4"/>
  <c r="J846" i="4"/>
  <c r="I846" i="4"/>
  <c r="H846" i="4"/>
  <c r="G846" i="4"/>
  <c r="F846" i="4"/>
  <c r="E846" i="4"/>
  <c r="D846" i="4"/>
  <c r="C846" i="4"/>
  <c r="B846" i="4"/>
  <c r="A846" i="4"/>
  <c r="M845" i="4"/>
  <c r="L845" i="4"/>
  <c r="K845" i="4"/>
  <c r="J845" i="4"/>
  <c r="I845" i="4"/>
  <c r="H845" i="4"/>
  <c r="G845" i="4"/>
  <c r="F845" i="4"/>
  <c r="E845" i="4"/>
  <c r="D845" i="4"/>
  <c r="C845" i="4"/>
  <c r="B845" i="4"/>
  <c r="A845" i="4"/>
  <c r="M844" i="4"/>
  <c r="L844" i="4"/>
  <c r="K844" i="4"/>
  <c r="J844" i="4"/>
  <c r="I844" i="4"/>
  <c r="H844" i="4"/>
  <c r="G844" i="4"/>
  <c r="F844" i="4"/>
  <c r="E844" i="4"/>
  <c r="D844" i="4"/>
  <c r="C844" i="4"/>
  <c r="B844" i="4"/>
  <c r="A844" i="4"/>
  <c r="M843" i="4"/>
  <c r="L843" i="4"/>
  <c r="K843" i="4"/>
  <c r="J843" i="4"/>
  <c r="I843" i="4"/>
  <c r="H843" i="4"/>
  <c r="G843" i="4"/>
  <c r="F843" i="4"/>
  <c r="E843" i="4"/>
  <c r="D843" i="4"/>
  <c r="C843" i="4"/>
  <c r="B843" i="4"/>
  <c r="A843" i="4"/>
  <c r="M842" i="4"/>
  <c r="L842" i="4"/>
  <c r="K842" i="4"/>
  <c r="J842" i="4"/>
  <c r="I842" i="4"/>
  <c r="H842" i="4"/>
  <c r="G842" i="4"/>
  <c r="F842" i="4"/>
  <c r="E842" i="4"/>
  <c r="D842" i="4"/>
  <c r="C842" i="4"/>
  <c r="B842" i="4"/>
  <c r="A842" i="4"/>
  <c r="M841" i="4"/>
  <c r="L841" i="4"/>
  <c r="K841" i="4"/>
  <c r="J841" i="4"/>
  <c r="I841" i="4"/>
  <c r="H841" i="4"/>
  <c r="G841" i="4"/>
  <c r="F841" i="4"/>
  <c r="E841" i="4"/>
  <c r="D841" i="4"/>
  <c r="C841" i="4"/>
  <c r="B841" i="4"/>
  <c r="A841" i="4"/>
  <c r="M840" i="4"/>
  <c r="L840" i="4"/>
  <c r="K840" i="4"/>
  <c r="J840" i="4"/>
  <c r="I840" i="4"/>
  <c r="H840" i="4"/>
  <c r="G840" i="4"/>
  <c r="F840" i="4"/>
  <c r="E840" i="4"/>
  <c r="D840" i="4"/>
  <c r="C840" i="4"/>
  <c r="B840" i="4"/>
  <c r="A840" i="4"/>
  <c r="M839" i="4"/>
  <c r="L839" i="4"/>
  <c r="K839" i="4"/>
  <c r="J839" i="4"/>
  <c r="I839" i="4"/>
  <c r="H839" i="4"/>
  <c r="G839" i="4"/>
  <c r="F839" i="4"/>
  <c r="E839" i="4"/>
  <c r="D839" i="4"/>
  <c r="C839" i="4"/>
  <c r="B839" i="4"/>
  <c r="A839" i="4"/>
  <c r="M838" i="4"/>
  <c r="L838" i="4"/>
  <c r="K838" i="4"/>
  <c r="J838" i="4"/>
  <c r="I838" i="4"/>
  <c r="H838" i="4"/>
  <c r="G838" i="4"/>
  <c r="F838" i="4"/>
  <c r="E838" i="4"/>
  <c r="D838" i="4"/>
  <c r="C838" i="4"/>
  <c r="B838" i="4"/>
  <c r="A838" i="4"/>
  <c r="M837" i="4"/>
  <c r="L837" i="4"/>
  <c r="K837" i="4"/>
  <c r="J837" i="4"/>
  <c r="I837" i="4"/>
  <c r="H837" i="4"/>
  <c r="G837" i="4"/>
  <c r="F837" i="4"/>
  <c r="E837" i="4"/>
  <c r="D837" i="4"/>
  <c r="C837" i="4"/>
  <c r="B837" i="4"/>
  <c r="A837" i="4"/>
  <c r="M836" i="4"/>
  <c r="L836" i="4"/>
  <c r="K836" i="4"/>
  <c r="J836" i="4"/>
  <c r="I836" i="4"/>
  <c r="H836" i="4"/>
  <c r="G836" i="4"/>
  <c r="F836" i="4"/>
  <c r="E836" i="4"/>
  <c r="D836" i="4"/>
  <c r="C836" i="4"/>
  <c r="B836" i="4"/>
  <c r="A836" i="4"/>
  <c r="M835" i="4"/>
  <c r="L835" i="4"/>
  <c r="K835" i="4"/>
  <c r="J835" i="4"/>
  <c r="I835" i="4"/>
  <c r="H835" i="4"/>
  <c r="G835" i="4"/>
  <c r="F835" i="4"/>
  <c r="E835" i="4"/>
  <c r="D835" i="4"/>
  <c r="C835" i="4"/>
  <c r="B835" i="4"/>
  <c r="A835" i="4"/>
  <c r="M834" i="4"/>
  <c r="L834" i="4"/>
  <c r="K834" i="4"/>
  <c r="J834" i="4"/>
  <c r="I834" i="4"/>
  <c r="H834" i="4"/>
  <c r="G834" i="4"/>
  <c r="F834" i="4"/>
  <c r="E834" i="4"/>
  <c r="D834" i="4"/>
  <c r="C834" i="4"/>
  <c r="B834" i="4"/>
  <c r="A834" i="4"/>
  <c r="M833" i="4"/>
  <c r="L833" i="4"/>
  <c r="K833" i="4"/>
  <c r="J833" i="4"/>
  <c r="I833" i="4"/>
  <c r="H833" i="4"/>
  <c r="G833" i="4"/>
  <c r="F833" i="4"/>
  <c r="E833" i="4"/>
  <c r="D833" i="4"/>
  <c r="C833" i="4"/>
  <c r="B833" i="4"/>
  <c r="A833" i="4"/>
  <c r="M832" i="4"/>
  <c r="L832" i="4"/>
  <c r="K832" i="4"/>
  <c r="J832" i="4"/>
  <c r="I832" i="4"/>
  <c r="H832" i="4"/>
  <c r="G832" i="4"/>
  <c r="F832" i="4"/>
  <c r="E832" i="4"/>
  <c r="D832" i="4"/>
  <c r="C832" i="4"/>
  <c r="B832" i="4"/>
  <c r="A832" i="4"/>
  <c r="M831" i="4"/>
  <c r="L831" i="4"/>
  <c r="K831" i="4"/>
  <c r="J831" i="4"/>
  <c r="I831" i="4"/>
  <c r="H831" i="4"/>
  <c r="G831" i="4"/>
  <c r="F831" i="4"/>
  <c r="E831" i="4"/>
  <c r="D831" i="4"/>
  <c r="C831" i="4"/>
  <c r="B831" i="4"/>
  <c r="A831" i="4"/>
  <c r="M830" i="4"/>
  <c r="L830" i="4"/>
  <c r="K830" i="4"/>
  <c r="J830" i="4"/>
  <c r="I830" i="4"/>
  <c r="H830" i="4"/>
  <c r="G830" i="4"/>
  <c r="F830" i="4"/>
  <c r="E830" i="4"/>
  <c r="D830" i="4"/>
  <c r="C830" i="4"/>
  <c r="B830" i="4"/>
  <c r="A830" i="4"/>
  <c r="M829" i="4"/>
  <c r="L829" i="4"/>
  <c r="K829" i="4"/>
  <c r="J829" i="4"/>
  <c r="I829" i="4"/>
  <c r="H829" i="4"/>
  <c r="G829" i="4"/>
  <c r="F829" i="4"/>
  <c r="E829" i="4"/>
  <c r="D829" i="4"/>
  <c r="C829" i="4"/>
  <c r="B829" i="4"/>
  <c r="A829" i="4"/>
  <c r="M828" i="4"/>
  <c r="L828" i="4"/>
  <c r="K828" i="4"/>
  <c r="J828" i="4"/>
  <c r="I828" i="4"/>
  <c r="H828" i="4"/>
  <c r="G828" i="4"/>
  <c r="F828" i="4"/>
  <c r="E828" i="4"/>
  <c r="D828" i="4"/>
  <c r="C828" i="4"/>
  <c r="B828" i="4"/>
  <c r="A828" i="4"/>
  <c r="M827" i="4"/>
  <c r="L827" i="4"/>
  <c r="K827" i="4"/>
  <c r="J827" i="4"/>
  <c r="I827" i="4"/>
  <c r="H827" i="4"/>
  <c r="G827" i="4"/>
  <c r="F827" i="4"/>
  <c r="E827" i="4"/>
  <c r="D827" i="4"/>
  <c r="C827" i="4"/>
  <c r="B827" i="4"/>
  <c r="A827" i="4"/>
  <c r="M826" i="4"/>
  <c r="L826" i="4"/>
  <c r="K826" i="4"/>
  <c r="J826" i="4"/>
  <c r="I826" i="4"/>
  <c r="H826" i="4"/>
  <c r="G826" i="4"/>
  <c r="F826" i="4"/>
  <c r="E826" i="4"/>
  <c r="D826" i="4"/>
  <c r="C826" i="4"/>
  <c r="B826" i="4"/>
  <c r="A826" i="4"/>
  <c r="M825" i="4"/>
  <c r="L825" i="4"/>
  <c r="K825" i="4"/>
  <c r="J825" i="4"/>
  <c r="I825" i="4"/>
  <c r="H825" i="4"/>
  <c r="G825" i="4"/>
  <c r="F825" i="4"/>
  <c r="E825" i="4"/>
  <c r="D825" i="4"/>
  <c r="C825" i="4"/>
  <c r="B825" i="4"/>
  <c r="A825" i="4"/>
  <c r="M824" i="4"/>
  <c r="L824" i="4"/>
  <c r="K824" i="4"/>
  <c r="J824" i="4"/>
  <c r="I824" i="4"/>
  <c r="H824" i="4"/>
  <c r="G824" i="4"/>
  <c r="F824" i="4"/>
  <c r="E824" i="4"/>
  <c r="D824" i="4"/>
  <c r="C824" i="4"/>
  <c r="B824" i="4"/>
  <c r="A824" i="4"/>
  <c r="M823" i="4"/>
  <c r="L823" i="4"/>
  <c r="K823" i="4"/>
  <c r="J823" i="4"/>
  <c r="I823" i="4"/>
  <c r="H823" i="4"/>
  <c r="G823" i="4"/>
  <c r="F823" i="4"/>
  <c r="E823" i="4"/>
  <c r="D823" i="4"/>
  <c r="C823" i="4"/>
  <c r="B823" i="4"/>
  <c r="A823" i="4"/>
  <c r="M822" i="4"/>
  <c r="L822" i="4"/>
  <c r="K822" i="4"/>
  <c r="J822" i="4"/>
  <c r="I822" i="4"/>
  <c r="H822" i="4"/>
  <c r="G822" i="4"/>
  <c r="F822" i="4"/>
  <c r="E822" i="4"/>
  <c r="D822" i="4"/>
  <c r="C822" i="4"/>
  <c r="B822" i="4"/>
  <c r="A822" i="4"/>
  <c r="M821" i="4"/>
  <c r="L821" i="4"/>
  <c r="K821" i="4"/>
  <c r="J821" i="4"/>
  <c r="I821" i="4"/>
  <c r="H821" i="4"/>
  <c r="G821" i="4"/>
  <c r="F821" i="4"/>
  <c r="E821" i="4"/>
  <c r="D821" i="4"/>
  <c r="C821" i="4"/>
  <c r="B821" i="4"/>
  <c r="A821" i="4"/>
  <c r="M820" i="4"/>
  <c r="L820" i="4"/>
  <c r="K820" i="4"/>
  <c r="J820" i="4"/>
  <c r="I820" i="4"/>
  <c r="H820" i="4"/>
  <c r="G820" i="4"/>
  <c r="F820" i="4"/>
  <c r="E820" i="4"/>
  <c r="D820" i="4"/>
  <c r="C820" i="4"/>
  <c r="B820" i="4"/>
  <c r="A820" i="4"/>
  <c r="M819" i="4"/>
  <c r="L819" i="4"/>
  <c r="K819" i="4"/>
  <c r="J819" i="4"/>
  <c r="I819" i="4"/>
  <c r="H819" i="4"/>
  <c r="G819" i="4"/>
  <c r="F819" i="4"/>
  <c r="E819" i="4"/>
  <c r="D819" i="4"/>
  <c r="C819" i="4"/>
  <c r="B819" i="4"/>
  <c r="A819" i="4"/>
  <c r="M818" i="4"/>
  <c r="L818" i="4"/>
  <c r="K818" i="4"/>
  <c r="J818" i="4"/>
  <c r="I818" i="4"/>
  <c r="H818" i="4"/>
  <c r="G818" i="4"/>
  <c r="F818" i="4"/>
  <c r="E818" i="4"/>
  <c r="D818" i="4"/>
  <c r="C818" i="4"/>
  <c r="B818" i="4"/>
  <c r="A818" i="4"/>
  <c r="M817" i="4"/>
  <c r="L817" i="4"/>
  <c r="K817" i="4"/>
  <c r="J817" i="4"/>
  <c r="I817" i="4"/>
  <c r="H817" i="4"/>
  <c r="G817" i="4"/>
  <c r="F817" i="4"/>
  <c r="E817" i="4"/>
  <c r="D817" i="4"/>
  <c r="C817" i="4"/>
  <c r="B817" i="4"/>
  <c r="A817" i="4"/>
  <c r="M816" i="4"/>
  <c r="L816" i="4"/>
  <c r="K816" i="4"/>
  <c r="J816" i="4"/>
  <c r="I816" i="4"/>
  <c r="H816" i="4"/>
  <c r="G816" i="4"/>
  <c r="F816" i="4"/>
  <c r="E816" i="4"/>
  <c r="D816" i="4"/>
  <c r="C816" i="4"/>
  <c r="B816" i="4"/>
  <c r="A816" i="4"/>
  <c r="M815" i="4"/>
  <c r="L815" i="4"/>
  <c r="K815" i="4"/>
  <c r="J815" i="4"/>
  <c r="I815" i="4"/>
  <c r="H815" i="4"/>
  <c r="G815" i="4"/>
  <c r="F815" i="4"/>
  <c r="E815" i="4"/>
  <c r="D815" i="4"/>
  <c r="C815" i="4"/>
  <c r="B815" i="4"/>
  <c r="A815" i="4"/>
  <c r="M814" i="4"/>
  <c r="L814" i="4"/>
  <c r="K814" i="4"/>
  <c r="J814" i="4"/>
  <c r="I814" i="4"/>
  <c r="H814" i="4"/>
  <c r="G814" i="4"/>
  <c r="F814" i="4"/>
  <c r="E814" i="4"/>
  <c r="D814" i="4"/>
  <c r="C814" i="4"/>
  <c r="B814" i="4"/>
  <c r="A814" i="4"/>
  <c r="M813" i="4"/>
  <c r="L813" i="4"/>
  <c r="K813" i="4"/>
  <c r="J813" i="4"/>
  <c r="I813" i="4"/>
  <c r="H813" i="4"/>
  <c r="G813" i="4"/>
  <c r="F813" i="4"/>
  <c r="E813" i="4"/>
  <c r="D813" i="4"/>
  <c r="C813" i="4"/>
  <c r="B813" i="4"/>
  <c r="A813" i="4"/>
  <c r="M812" i="4"/>
  <c r="L812" i="4"/>
  <c r="K812" i="4"/>
  <c r="J812" i="4"/>
  <c r="I812" i="4"/>
  <c r="H812" i="4"/>
  <c r="G812" i="4"/>
  <c r="F812" i="4"/>
  <c r="E812" i="4"/>
  <c r="D812" i="4"/>
  <c r="C812" i="4"/>
  <c r="B812" i="4"/>
  <c r="A812" i="4"/>
  <c r="M811" i="4"/>
  <c r="L811" i="4"/>
  <c r="K811" i="4"/>
  <c r="J811" i="4"/>
  <c r="I811" i="4"/>
  <c r="H811" i="4"/>
  <c r="G811" i="4"/>
  <c r="F811" i="4"/>
  <c r="E811" i="4"/>
  <c r="D811" i="4"/>
  <c r="C811" i="4"/>
  <c r="B811" i="4"/>
  <c r="A811" i="4"/>
  <c r="M810" i="4"/>
  <c r="L810" i="4"/>
  <c r="K810" i="4"/>
  <c r="J810" i="4"/>
  <c r="I810" i="4"/>
  <c r="H810" i="4"/>
  <c r="G810" i="4"/>
  <c r="F810" i="4"/>
  <c r="E810" i="4"/>
  <c r="D810" i="4"/>
  <c r="C810" i="4"/>
  <c r="B810" i="4"/>
  <c r="A810" i="4"/>
  <c r="M809" i="4"/>
  <c r="L809" i="4"/>
  <c r="K809" i="4"/>
  <c r="J809" i="4"/>
  <c r="I809" i="4"/>
  <c r="H809" i="4"/>
  <c r="G809" i="4"/>
  <c r="F809" i="4"/>
  <c r="E809" i="4"/>
  <c r="D809" i="4"/>
  <c r="C809" i="4"/>
  <c r="B809" i="4"/>
  <c r="A809" i="4"/>
  <c r="M808" i="4"/>
  <c r="L808" i="4"/>
  <c r="K808" i="4"/>
  <c r="J808" i="4"/>
  <c r="I808" i="4"/>
  <c r="H808" i="4"/>
  <c r="G808" i="4"/>
  <c r="F808" i="4"/>
  <c r="E808" i="4"/>
  <c r="D808" i="4"/>
  <c r="C808" i="4"/>
  <c r="B808" i="4"/>
  <c r="A808" i="4"/>
  <c r="M807" i="4"/>
  <c r="L807" i="4"/>
  <c r="K807" i="4"/>
  <c r="J807" i="4"/>
  <c r="I807" i="4"/>
  <c r="H807" i="4"/>
  <c r="G807" i="4"/>
  <c r="F807" i="4"/>
  <c r="E807" i="4"/>
  <c r="D807" i="4"/>
  <c r="C807" i="4"/>
  <c r="B807" i="4"/>
  <c r="A807" i="4"/>
  <c r="M806" i="4"/>
  <c r="L806" i="4"/>
  <c r="K806" i="4"/>
  <c r="J806" i="4"/>
  <c r="I806" i="4"/>
  <c r="H806" i="4"/>
  <c r="G806" i="4"/>
  <c r="F806" i="4"/>
  <c r="E806" i="4"/>
  <c r="D806" i="4"/>
  <c r="C806" i="4"/>
  <c r="B806" i="4"/>
  <c r="A806" i="4"/>
  <c r="M805" i="4"/>
  <c r="L805" i="4"/>
  <c r="K805" i="4"/>
  <c r="J805" i="4"/>
  <c r="I805" i="4"/>
  <c r="H805" i="4"/>
  <c r="G805" i="4"/>
  <c r="F805" i="4"/>
  <c r="E805" i="4"/>
  <c r="D805" i="4"/>
  <c r="C805" i="4"/>
  <c r="B805" i="4"/>
  <c r="A805" i="4"/>
  <c r="M804" i="4"/>
  <c r="L804" i="4"/>
  <c r="K804" i="4"/>
  <c r="J804" i="4"/>
  <c r="I804" i="4"/>
  <c r="H804" i="4"/>
  <c r="G804" i="4"/>
  <c r="F804" i="4"/>
  <c r="E804" i="4"/>
  <c r="D804" i="4"/>
  <c r="C804" i="4"/>
  <c r="B804" i="4"/>
  <c r="A804" i="4"/>
  <c r="M803" i="4"/>
  <c r="L803" i="4"/>
  <c r="K803" i="4"/>
  <c r="J803" i="4"/>
  <c r="I803" i="4"/>
  <c r="H803" i="4"/>
  <c r="G803" i="4"/>
  <c r="F803" i="4"/>
  <c r="E803" i="4"/>
  <c r="D803" i="4"/>
  <c r="C803" i="4"/>
  <c r="B803" i="4"/>
  <c r="A803" i="4"/>
  <c r="M802" i="4"/>
  <c r="L802" i="4"/>
  <c r="K802" i="4"/>
  <c r="J802" i="4"/>
  <c r="I802" i="4"/>
  <c r="H802" i="4"/>
  <c r="G802" i="4"/>
  <c r="F802" i="4"/>
  <c r="E802" i="4"/>
  <c r="D802" i="4"/>
  <c r="C802" i="4"/>
  <c r="B802" i="4"/>
  <c r="A802" i="4"/>
  <c r="M801" i="4"/>
  <c r="L801" i="4"/>
  <c r="K801" i="4"/>
  <c r="J801" i="4"/>
  <c r="I801" i="4"/>
  <c r="H801" i="4"/>
  <c r="G801" i="4"/>
  <c r="F801" i="4"/>
  <c r="E801" i="4"/>
  <c r="D801" i="4"/>
  <c r="C801" i="4"/>
  <c r="B801" i="4"/>
  <c r="A801" i="4"/>
  <c r="M800" i="4"/>
  <c r="L800" i="4"/>
  <c r="K800" i="4"/>
  <c r="J800" i="4"/>
  <c r="I800" i="4"/>
  <c r="H800" i="4"/>
  <c r="G800" i="4"/>
  <c r="F800" i="4"/>
  <c r="E800" i="4"/>
  <c r="D800" i="4"/>
  <c r="C800" i="4"/>
  <c r="B800" i="4"/>
  <c r="A800" i="4"/>
  <c r="M799" i="4"/>
  <c r="L799" i="4"/>
  <c r="K799" i="4"/>
  <c r="J799" i="4"/>
  <c r="I799" i="4"/>
  <c r="H799" i="4"/>
  <c r="G799" i="4"/>
  <c r="F799" i="4"/>
  <c r="E799" i="4"/>
  <c r="D799" i="4"/>
  <c r="C799" i="4"/>
  <c r="B799" i="4"/>
  <c r="A799" i="4"/>
  <c r="M798" i="4"/>
  <c r="L798" i="4"/>
  <c r="K798" i="4"/>
  <c r="J798" i="4"/>
  <c r="I798" i="4"/>
  <c r="H798" i="4"/>
  <c r="G798" i="4"/>
  <c r="F798" i="4"/>
  <c r="E798" i="4"/>
  <c r="D798" i="4"/>
  <c r="C798" i="4"/>
  <c r="B798" i="4"/>
  <c r="A798" i="4"/>
  <c r="M797" i="4"/>
  <c r="L797" i="4"/>
  <c r="K797" i="4"/>
  <c r="J797" i="4"/>
  <c r="I797" i="4"/>
  <c r="H797" i="4"/>
  <c r="G797" i="4"/>
  <c r="F797" i="4"/>
  <c r="E797" i="4"/>
  <c r="D797" i="4"/>
  <c r="C797" i="4"/>
  <c r="B797" i="4"/>
  <c r="A797" i="4"/>
  <c r="M796" i="4"/>
  <c r="L796" i="4"/>
  <c r="K796" i="4"/>
  <c r="J796" i="4"/>
  <c r="I796" i="4"/>
  <c r="H796" i="4"/>
  <c r="G796" i="4"/>
  <c r="F796" i="4"/>
  <c r="E796" i="4"/>
  <c r="D796" i="4"/>
  <c r="C796" i="4"/>
  <c r="B796" i="4"/>
  <c r="A796" i="4"/>
  <c r="M795" i="4"/>
  <c r="L795" i="4"/>
  <c r="K795" i="4"/>
  <c r="J795" i="4"/>
  <c r="I795" i="4"/>
  <c r="H795" i="4"/>
  <c r="G795" i="4"/>
  <c r="F795" i="4"/>
  <c r="E795" i="4"/>
  <c r="D795" i="4"/>
  <c r="C795" i="4"/>
  <c r="B795" i="4"/>
  <c r="A795" i="4"/>
  <c r="M794" i="4"/>
  <c r="L794" i="4"/>
  <c r="K794" i="4"/>
  <c r="J794" i="4"/>
  <c r="I794" i="4"/>
  <c r="H794" i="4"/>
  <c r="G794" i="4"/>
  <c r="F794" i="4"/>
  <c r="E794" i="4"/>
  <c r="D794" i="4"/>
  <c r="C794" i="4"/>
  <c r="B794" i="4"/>
  <c r="A794" i="4"/>
  <c r="M793" i="4"/>
  <c r="L793" i="4"/>
  <c r="K793" i="4"/>
  <c r="J793" i="4"/>
  <c r="I793" i="4"/>
  <c r="H793" i="4"/>
  <c r="G793" i="4"/>
  <c r="F793" i="4"/>
  <c r="E793" i="4"/>
  <c r="D793" i="4"/>
  <c r="C793" i="4"/>
  <c r="B793" i="4"/>
  <c r="A793" i="4"/>
  <c r="M792" i="4"/>
  <c r="L792" i="4"/>
  <c r="K792" i="4"/>
  <c r="J792" i="4"/>
  <c r="I792" i="4"/>
  <c r="H792" i="4"/>
  <c r="G792" i="4"/>
  <c r="F792" i="4"/>
  <c r="E792" i="4"/>
  <c r="D792" i="4"/>
  <c r="C792" i="4"/>
  <c r="B792" i="4"/>
  <c r="A792" i="4"/>
  <c r="M791" i="4"/>
  <c r="L791" i="4"/>
  <c r="K791" i="4"/>
  <c r="J791" i="4"/>
  <c r="I791" i="4"/>
  <c r="H791" i="4"/>
  <c r="G791" i="4"/>
  <c r="F791" i="4"/>
  <c r="E791" i="4"/>
  <c r="D791" i="4"/>
  <c r="C791" i="4"/>
  <c r="B791" i="4"/>
  <c r="A791" i="4"/>
  <c r="M790" i="4"/>
  <c r="L790" i="4"/>
  <c r="K790" i="4"/>
  <c r="J790" i="4"/>
  <c r="I790" i="4"/>
  <c r="H790" i="4"/>
  <c r="G790" i="4"/>
  <c r="F790" i="4"/>
  <c r="E790" i="4"/>
  <c r="D790" i="4"/>
  <c r="C790" i="4"/>
  <c r="B790" i="4"/>
  <c r="A790" i="4"/>
  <c r="M789" i="4"/>
  <c r="L789" i="4"/>
  <c r="K789" i="4"/>
  <c r="J789" i="4"/>
  <c r="I789" i="4"/>
  <c r="H789" i="4"/>
  <c r="G789" i="4"/>
  <c r="F789" i="4"/>
  <c r="E789" i="4"/>
  <c r="D789" i="4"/>
  <c r="C789" i="4"/>
  <c r="B789" i="4"/>
  <c r="A789" i="4"/>
  <c r="M788" i="4"/>
  <c r="L788" i="4"/>
  <c r="K788" i="4"/>
  <c r="J788" i="4"/>
  <c r="I788" i="4"/>
  <c r="H788" i="4"/>
  <c r="G788" i="4"/>
  <c r="F788" i="4"/>
  <c r="E788" i="4"/>
  <c r="D788" i="4"/>
  <c r="C788" i="4"/>
  <c r="B788" i="4"/>
  <c r="A788" i="4"/>
  <c r="M787" i="4"/>
  <c r="L787" i="4"/>
  <c r="K787" i="4"/>
  <c r="J787" i="4"/>
  <c r="I787" i="4"/>
  <c r="H787" i="4"/>
  <c r="G787" i="4"/>
  <c r="F787" i="4"/>
  <c r="E787" i="4"/>
  <c r="D787" i="4"/>
  <c r="C787" i="4"/>
  <c r="B787" i="4"/>
  <c r="A787" i="4"/>
  <c r="M786" i="4"/>
  <c r="L786" i="4"/>
  <c r="K786" i="4"/>
  <c r="J786" i="4"/>
  <c r="I786" i="4"/>
  <c r="H786" i="4"/>
  <c r="G786" i="4"/>
  <c r="F786" i="4"/>
  <c r="E786" i="4"/>
  <c r="D786" i="4"/>
  <c r="C786" i="4"/>
  <c r="B786" i="4"/>
  <c r="A786" i="4"/>
  <c r="M785" i="4"/>
  <c r="L785" i="4"/>
  <c r="K785" i="4"/>
  <c r="J785" i="4"/>
  <c r="I785" i="4"/>
  <c r="H785" i="4"/>
  <c r="G785" i="4"/>
  <c r="F785" i="4"/>
  <c r="E785" i="4"/>
  <c r="D785" i="4"/>
  <c r="C785" i="4"/>
  <c r="B785" i="4"/>
  <c r="A785" i="4"/>
  <c r="M784" i="4"/>
  <c r="L784" i="4"/>
  <c r="K784" i="4"/>
  <c r="J784" i="4"/>
  <c r="I784" i="4"/>
  <c r="H784" i="4"/>
  <c r="G784" i="4"/>
  <c r="F784" i="4"/>
  <c r="E784" i="4"/>
  <c r="D784" i="4"/>
  <c r="C784" i="4"/>
  <c r="B784" i="4"/>
  <c r="A784" i="4"/>
  <c r="M783" i="4"/>
  <c r="L783" i="4"/>
  <c r="K783" i="4"/>
  <c r="J783" i="4"/>
  <c r="I783" i="4"/>
  <c r="H783" i="4"/>
  <c r="G783" i="4"/>
  <c r="F783" i="4"/>
  <c r="E783" i="4"/>
  <c r="D783" i="4"/>
  <c r="C783" i="4"/>
  <c r="B783" i="4"/>
  <c r="A783" i="4"/>
  <c r="M782" i="4"/>
  <c r="L782" i="4"/>
  <c r="K782" i="4"/>
  <c r="J782" i="4"/>
  <c r="I782" i="4"/>
  <c r="H782" i="4"/>
  <c r="G782" i="4"/>
  <c r="F782" i="4"/>
  <c r="E782" i="4"/>
  <c r="D782" i="4"/>
  <c r="C782" i="4"/>
  <c r="B782" i="4"/>
  <c r="A782" i="4"/>
  <c r="M781" i="4"/>
  <c r="L781" i="4"/>
  <c r="K781" i="4"/>
  <c r="J781" i="4"/>
  <c r="I781" i="4"/>
  <c r="H781" i="4"/>
  <c r="G781" i="4"/>
  <c r="F781" i="4"/>
  <c r="E781" i="4"/>
  <c r="D781" i="4"/>
  <c r="C781" i="4"/>
  <c r="B781" i="4"/>
  <c r="A781" i="4"/>
  <c r="M780" i="4"/>
  <c r="L780" i="4"/>
  <c r="K780" i="4"/>
  <c r="J780" i="4"/>
  <c r="I780" i="4"/>
  <c r="H780" i="4"/>
  <c r="G780" i="4"/>
  <c r="F780" i="4"/>
  <c r="E780" i="4"/>
  <c r="D780" i="4"/>
  <c r="C780" i="4"/>
  <c r="B780" i="4"/>
  <c r="A780" i="4"/>
  <c r="M779" i="4"/>
  <c r="L779" i="4"/>
  <c r="K779" i="4"/>
  <c r="J779" i="4"/>
  <c r="I779" i="4"/>
  <c r="H779" i="4"/>
  <c r="G779" i="4"/>
  <c r="F779" i="4"/>
  <c r="E779" i="4"/>
  <c r="D779" i="4"/>
  <c r="C779" i="4"/>
  <c r="B779" i="4"/>
  <c r="A779" i="4"/>
  <c r="M778" i="4"/>
  <c r="L778" i="4"/>
  <c r="K778" i="4"/>
  <c r="J778" i="4"/>
  <c r="I778" i="4"/>
  <c r="H778" i="4"/>
  <c r="G778" i="4"/>
  <c r="F778" i="4"/>
  <c r="E778" i="4"/>
  <c r="D778" i="4"/>
  <c r="C778" i="4"/>
  <c r="B778" i="4"/>
  <c r="A778" i="4"/>
  <c r="M777" i="4"/>
  <c r="L777" i="4"/>
  <c r="K777" i="4"/>
  <c r="J777" i="4"/>
  <c r="I777" i="4"/>
  <c r="H777" i="4"/>
  <c r="G777" i="4"/>
  <c r="F777" i="4"/>
  <c r="E777" i="4"/>
  <c r="D777" i="4"/>
  <c r="C777" i="4"/>
  <c r="B777" i="4"/>
  <c r="A777" i="4"/>
  <c r="M776" i="4"/>
  <c r="L776" i="4"/>
  <c r="K776" i="4"/>
  <c r="J776" i="4"/>
  <c r="I776" i="4"/>
  <c r="H776" i="4"/>
  <c r="G776" i="4"/>
  <c r="F776" i="4"/>
  <c r="E776" i="4"/>
  <c r="D776" i="4"/>
  <c r="C776" i="4"/>
  <c r="B776" i="4"/>
  <c r="A776" i="4"/>
  <c r="M775" i="4"/>
  <c r="L775" i="4"/>
  <c r="K775" i="4"/>
  <c r="J775" i="4"/>
  <c r="I775" i="4"/>
  <c r="H775" i="4"/>
  <c r="G775" i="4"/>
  <c r="F775" i="4"/>
  <c r="E775" i="4"/>
  <c r="D775" i="4"/>
  <c r="C775" i="4"/>
  <c r="B775" i="4"/>
  <c r="A775" i="4"/>
  <c r="M774" i="4"/>
  <c r="L774" i="4"/>
  <c r="K774" i="4"/>
  <c r="J774" i="4"/>
  <c r="I774" i="4"/>
  <c r="H774" i="4"/>
  <c r="G774" i="4"/>
  <c r="F774" i="4"/>
  <c r="E774" i="4"/>
  <c r="D774" i="4"/>
  <c r="C774" i="4"/>
  <c r="B774" i="4"/>
  <c r="A774" i="4"/>
  <c r="M773" i="4"/>
  <c r="L773" i="4"/>
  <c r="K773" i="4"/>
  <c r="J773" i="4"/>
  <c r="I773" i="4"/>
  <c r="H773" i="4"/>
  <c r="G773" i="4"/>
  <c r="F773" i="4"/>
  <c r="E773" i="4"/>
  <c r="D773" i="4"/>
  <c r="C773" i="4"/>
  <c r="B773" i="4"/>
  <c r="A773" i="4"/>
  <c r="M772" i="4"/>
  <c r="L772" i="4"/>
  <c r="K772" i="4"/>
  <c r="J772" i="4"/>
  <c r="I772" i="4"/>
  <c r="H772" i="4"/>
  <c r="G772" i="4"/>
  <c r="F772" i="4"/>
  <c r="E772" i="4"/>
  <c r="D772" i="4"/>
  <c r="C772" i="4"/>
  <c r="B772" i="4"/>
  <c r="A772" i="4"/>
  <c r="M771" i="4"/>
  <c r="L771" i="4"/>
  <c r="K771" i="4"/>
  <c r="J771" i="4"/>
  <c r="I771" i="4"/>
  <c r="H771" i="4"/>
  <c r="G771" i="4"/>
  <c r="F771" i="4"/>
  <c r="E771" i="4"/>
  <c r="D771" i="4"/>
  <c r="C771" i="4"/>
  <c r="B771" i="4"/>
  <c r="A771" i="4"/>
  <c r="M770" i="4"/>
  <c r="L770" i="4"/>
  <c r="K770" i="4"/>
  <c r="J770" i="4"/>
  <c r="I770" i="4"/>
  <c r="H770" i="4"/>
  <c r="G770" i="4"/>
  <c r="F770" i="4"/>
  <c r="E770" i="4"/>
  <c r="D770" i="4"/>
  <c r="C770" i="4"/>
  <c r="B770" i="4"/>
  <c r="A770" i="4"/>
  <c r="M769" i="4"/>
  <c r="L769" i="4"/>
  <c r="K769" i="4"/>
  <c r="J769" i="4"/>
  <c r="I769" i="4"/>
  <c r="H769" i="4"/>
  <c r="G769" i="4"/>
  <c r="F769" i="4"/>
  <c r="E769" i="4"/>
  <c r="D769" i="4"/>
  <c r="C769" i="4"/>
  <c r="B769" i="4"/>
  <c r="A769" i="4"/>
  <c r="M768" i="4"/>
  <c r="L768" i="4"/>
  <c r="K768" i="4"/>
  <c r="J768" i="4"/>
  <c r="I768" i="4"/>
  <c r="H768" i="4"/>
  <c r="G768" i="4"/>
  <c r="F768" i="4"/>
  <c r="E768" i="4"/>
  <c r="D768" i="4"/>
  <c r="C768" i="4"/>
  <c r="B768" i="4"/>
  <c r="A768" i="4"/>
  <c r="M767" i="4"/>
  <c r="L767" i="4"/>
  <c r="K767" i="4"/>
  <c r="J767" i="4"/>
  <c r="I767" i="4"/>
  <c r="H767" i="4"/>
  <c r="G767" i="4"/>
  <c r="F767" i="4"/>
  <c r="E767" i="4"/>
  <c r="D767" i="4"/>
  <c r="C767" i="4"/>
  <c r="B767" i="4"/>
  <c r="A767" i="4"/>
  <c r="M766" i="4"/>
  <c r="L766" i="4"/>
  <c r="K766" i="4"/>
  <c r="J766" i="4"/>
  <c r="I766" i="4"/>
  <c r="H766" i="4"/>
  <c r="G766" i="4"/>
  <c r="F766" i="4"/>
  <c r="E766" i="4"/>
  <c r="D766" i="4"/>
  <c r="C766" i="4"/>
  <c r="B766" i="4"/>
  <c r="A766" i="4"/>
  <c r="M765" i="4"/>
  <c r="L765" i="4"/>
  <c r="K765" i="4"/>
  <c r="J765" i="4"/>
  <c r="I765" i="4"/>
  <c r="H765" i="4"/>
  <c r="G765" i="4"/>
  <c r="F765" i="4"/>
  <c r="E765" i="4"/>
  <c r="D765" i="4"/>
  <c r="C765" i="4"/>
  <c r="B765" i="4"/>
  <c r="A765" i="4"/>
  <c r="M764" i="4"/>
  <c r="L764" i="4"/>
  <c r="K764" i="4"/>
  <c r="J764" i="4"/>
  <c r="I764" i="4"/>
  <c r="H764" i="4"/>
  <c r="G764" i="4"/>
  <c r="F764" i="4"/>
  <c r="E764" i="4"/>
  <c r="D764" i="4"/>
  <c r="C764" i="4"/>
  <c r="B764" i="4"/>
  <c r="A764" i="4"/>
  <c r="M763" i="4"/>
  <c r="L763" i="4"/>
  <c r="K763" i="4"/>
  <c r="J763" i="4"/>
  <c r="I763" i="4"/>
  <c r="H763" i="4"/>
  <c r="G763" i="4"/>
  <c r="F763" i="4"/>
  <c r="E763" i="4"/>
  <c r="D763" i="4"/>
  <c r="C763" i="4"/>
  <c r="B763" i="4"/>
  <c r="A763" i="4"/>
  <c r="M762" i="4"/>
  <c r="L762" i="4"/>
  <c r="K762" i="4"/>
  <c r="J762" i="4"/>
  <c r="I762" i="4"/>
  <c r="H762" i="4"/>
  <c r="G762" i="4"/>
  <c r="F762" i="4"/>
  <c r="E762" i="4"/>
  <c r="D762" i="4"/>
  <c r="C762" i="4"/>
  <c r="B762" i="4"/>
  <c r="A762" i="4"/>
  <c r="M761" i="4"/>
  <c r="L761" i="4"/>
  <c r="K761" i="4"/>
  <c r="J761" i="4"/>
  <c r="I761" i="4"/>
  <c r="H761" i="4"/>
  <c r="G761" i="4"/>
  <c r="F761" i="4"/>
  <c r="E761" i="4"/>
  <c r="D761" i="4"/>
  <c r="C761" i="4"/>
  <c r="B761" i="4"/>
  <c r="A761" i="4"/>
  <c r="M760" i="4"/>
  <c r="L760" i="4"/>
  <c r="K760" i="4"/>
  <c r="J760" i="4"/>
  <c r="I760" i="4"/>
  <c r="H760" i="4"/>
  <c r="G760" i="4"/>
  <c r="F760" i="4"/>
  <c r="E760" i="4"/>
  <c r="D760" i="4"/>
  <c r="C760" i="4"/>
  <c r="B760" i="4"/>
  <c r="A760" i="4"/>
  <c r="M759" i="4"/>
  <c r="L759" i="4"/>
  <c r="K759" i="4"/>
  <c r="J759" i="4"/>
  <c r="I759" i="4"/>
  <c r="H759" i="4"/>
  <c r="G759" i="4"/>
  <c r="F759" i="4"/>
  <c r="E759" i="4"/>
  <c r="D759" i="4"/>
  <c r="C759" i="4"/>
  <c r="B759" i="4"/>
  <c r="A759" i="4"/>
  <c r="M758" i="4"/>
  <c r="L758" i="4"/>
  <c r="K758" i="4"/>
  <c r="J758" i="4"/>
  <c r="I758" i="4"/>
  <c r="H758" i="4"/>
  <c r="G758" i="4"/>
  <c r="F758" i="4"/>
  <c r="E758" i="4"/>
  <c r="D758" i="4"/>
  <c r="C758" i="4"/>
  <c r="B758" i="4"/>
  <c r="A758" i="4"/>
  <c r="M757" i="4"/>
  <c r="L757" i="4"/>
  <c r="K757" i="4"/>
  <c r="J757" i="4"/>
  <c r="I757" i="4"/>
  <c r="H757" i="4"/>
  <c r="G757" i="4"/>
  <c r="F757" i="4"/>
  <c r="E757" i="4"/>
  <c r="D757" i="4"/>
  <c r="C757" i="4"/>
  <c r="B757" i="4"/>
  <c r="A757" i="4"/>
  <c r="M756" i="4"/>
  <c r="L756" i="4"/>
  <c r="K756" i="4"/>
  <c r="J756" i="4"/>
  <c r="I756" i="4"/>
  <c r="H756" i="4"/>
  <c r="G756" i="4"/>
  <c r="F756" i="4"/>
  <c r="E756" i="4"/>
  <c r="D756" i="4"/>
  <c r="C756" i="4"/>
  <c r="B756" i="4"/>
  <c r="A756" i="4"/>
  <c r="M755" i="4"/>
  <c r="L755" i="4"/>
  <c r="K755" i="4"/>
  <c r="J755" i="4"/>
  <c r="I755" i="4"/>
  <c r="H755" i="4"/>
  <c r="G755" i="4"/>
  <c r="F755" i="4"/>
  <c r="E755" i="4"/>
  <c r="D755" i="4"/>
  <c r="C755" i="4"/>
  <c r="B755" i="4"/>
  <c r="A755" i="4"/>
  <c r="M754" i="4"/>
  <c r="L754" i="4"/>
  <c r="K754" i="4"/>
  <c r="J754" i="4"/>
  <c r="I754" i="4"/>
  <c r="H754" i="4"/>
  <c r="G754" i="4"/>
  <c r="F754" i="4"/>
  <c r="E754" i="4"/>
  <c r="D754" i="4"/>
  <c r="C754" i="4"/>
  <c r="B754" i="4"/>
  <c r="A754" i="4"/>
  <c r="M753" i="4"/>
  <c r="L753" i="4"/>
  <c r="K753" i="4"/>
  <c r="J753" i="4"/>
  <c r="I753" i="4"/>
  <c r="H753" i="4"/>
  <c r="G753" i="4"/>
  <c r="F753" i="4"/>
  <c r="E753" i="4"/>
  <c r="D753" i="4"/>
  <c r="C753" i="4"/>
  <c r="B753" i="4"/>
  <c r="A753" i="4"/>
  <c r="M752" i="4"/>
  <c r="L752" i="4"/>
  <c r="K752" i="4"/>
  <c r="J752" i="4"/>
  <c r="I752" i="4"/>
  <c r="H752" i="4"/>
  <c r="G752" i="4"/>
  <c r="F752" i="4"/>
  <c r="E752" i="4"/>
  <c r="D752" i="4"/>
  <c r="C752" i="4"/>
  <c r="B752" i="4"/>
  <c r="A752" i="4"/>
  <c r="M751" i="4"/>
  <c r="L751" i="4"/>
  <c r="K751" i="4"/>
  <c r="J751" i="4"/>
  <c r="I751" i="4"/>
  <c r="H751" i="4"/>
  <c r="G751" i="4"/>
  <c r="F751" i="4"/>
  <c r="E751" i="4"/>
  <c r="D751" i="4"/>
  <c r="C751" i="4"/>
  <c r="B751" i="4"/>
  <c r="A751" i="4"/>
  <c r="M750" i="4"/>
  <c r="L750" i="4"/>
  <c r="K750" i="4"/>
  <c r="J750" i="4"/>
  <c r="I750" i="4"/>
  <c r="H750" i="4"/>
  <c r="G750" i="4"/>
  <c r="F750" i="4"/>
  <c r="E750" i="4"/>
  <c r="D750" i="4"/>
  <c r="C750" i="4"/>
  <c r="B750" i="4"/>
  <c r="A750" i="4"/>
  <c r="M749" i="4"/>
  <c r="L749" i="4"/>
  <c r="K749" i="4"/>
  <c r="J749" i="4"/>
  <c r="I749" i="4"/>
  <c r="H749" i="4"/>
  <c r="G749" i="4"/>
  <c r="F749" i="4"/>
  <c r="E749" i="4"/>
  <c r="D749" i="4"/>
  <c r="C749" i="4"/>
  <c r="B749" i="4"/>
  <c r="A749" i="4"/>
  <c r="M748" i="4"/>
  <c r="L748" i="4"/>
  <c r="K748" i="4"/>
  <c r="J748" i="4"/>
  <c r="I748" i="4"/>
  <c r="H748" i="4"/>
  <c r="G748" i="4"/>
  <c r="F748" i="4"/>
  <c r="E748" i="4"/>
  <c r="D748" i="4"/>
  <c r="C748" i="4"/>
  <c r="B748" i="4"/>
  <c r="A748" i="4"/>
  <c r="M747" i="4"/>
  <c r="L747" i="4"/>
  <c r="K747" i="4"/>
  <c r="J747" i="4"/>
  <c r="I747" i="4"/>
  <c r="H747" i="4"/>
  <c r="G747" i="4"/>
  <c r="F747" i="4"/>
  <c r="E747" i="4"/>
  <c r="D747" i="4"/>
  <c r="C747" i="4"/>
  <c r="B747" i="4"/>
  <c r="A747" i="4"/>
  <c r="M746" i="4"/>
  <c r="L746" i="4"/>
  <c r="K746" i="4"/>
  <c r="J746" i="4"/>
  <c r="I746" i="4"/>
  <c r="H746" i="4"/>
  <c r="G746" i="4"/>
  <c r="F746" i="4"/>
  <c r="E746" i="4"/>
  <c r="D746" i="4"/>
  <c r="C746" i="4"/>
  <c r="B746" i="4"/>
  <c r="A746" i="4"/>
  <c r="M745" i="4"/>
  <c r="L745" i="4"/>
  <c r="K745" i="4"/>
  <c r="J745" i="4"/>
  <c r="I745" i="4"/>
  <c r="H745" i="4"/>
  <c r="G745" i="4"/>
  <c r="F745" i="4"/>
  <c r="E745" i="4"/>
  <c r="D745" i="4"/>
  <c r="C745" i="4"/>
  <c r="B745" i="4"/>
  <c r="A745" i="4"/>
  <c r="M744" i="4"/>
  <c r="L744" i="4"/>
  <c r="K744" i="4"/>
  <c r="J744" i="4"/>
  <c r="I744" i="4"/>
  <c r="H744" i="4"/>
  <c r="G744" i="4"/>
  <c r="F744" i="4"/>
  <c r="E744" i="4"/>
  <c r="D744" i="4"/>
  <c r="C744" i="4"/>
  <c r="B744" i="4"/>
  <c r="A744" i="4"/>
  <c r="M743" i="4"/>
  <c r="L743" i="4"/>
  <c r="K743" i="4"/>
  <c r="J743" i="4"/>
  <c r="I743" i="4"/>
  <c r="H743" i="4"/>
  <c r="G743" i="4"/>
  <c r="F743" i="4"/>
  <c r="E743" i="4"/>
  <c r="D743" i="4"/>
  <c r="C743" i="4"/>
  <c r="B743" i="4"/>
  <c r="A743" i="4"/>
  <c r="M742" i="4"/>
  <c r="L742" i="4"/>
  <c r="K742" i="4"/>
  <c r="J742" i="4"/>
  <c r="I742" i="4"/>
  <c r="H742" i="4"/>
  <c r="G742" i="4"/>
  <c r="F742" i="4"/>
  <c r="E742" i="4"/>
  <c r="D742" i="4"/>
  <c r="C742" i="4"/>
  <c r="B742" i="4"/>
  <c r="A742" i="4"/>
  <c r="M741" i="4"/>
  <c r="L741" i="4"/>
  <c r="K741" i="4"/>
  <c r="J741" i="4"/>
  <c r="I741" i="4"/>
  <c r="H741" i="4"/>
  <c r="G741" i="4"/>
  <c r="F741" i="4"/>
  <c r="E741" i="4"/>
  <c r="D741" i="4"/>
  <c r="C741" i="4"/>
  <c r="B741" i="4"/>
  <c r="A741" i="4"/>
  <c r="M740" i="4"/>
  <c r="L740" i="4"/>
  <c r="K740" i="4"/>
  <c r="J740" i="4"/>
  <c r="I740" i="4"/>
  <c r="H740" i="4"/>
  <c r="G740" i="4"/>
  <c r="F740" i="4"/>
  <c r="E740" i="4"/>
  <c r="D740" i="4"/>
  <c r="C740" i="4"/>
  <c r="B740" i="4"/>
  <c r="A740" i="4"/>
  <c r="M739" i="4"/>
  <c r="L739" i="4"/>
  <c r="K739" i="4"/>
  <c r="J739" i="4"/>
  <c r="I739" i="4"/>
  <c r="H739" i="4"/>
  <c r="G739" i="4"/>
  <c r="F739" i="4"/>
  <c r="E739" i="4"/>
  <c r="D739" i="4"/>
  <c r="C739" i="4"/>
  <c r="B739" i="4"/>
  <c r="A739" i="4"/>
  <c r="M738" i="4"/>
  <c r="L738" i="4"/>
  <c r="K738" i="4"/>
  <c r="J738" i="4"/>
  <c r="I738" i="4"/>
  <c r="H738" i="4"/>
  <c r="G738" i="4"/>
  <c r="F738" i="4"/>
  <c r="E738" i="4"/>
  <c r="D738" i="4"/>
  <c r="C738" i="4"/>
  <c r="B738" i="4"/>
  <c r="A738" i="4"/>
  <c r="M737" i="4"/>
  <c r="L737" i="4"/>
  <c r="K737" i="4"/>
  <c r="J737" i="4"/>
  <c r="I737" i="4"/>
  <c r="H737" i="4"/>
  <c r="G737" i="4"/>
  <c r="F737" i="4"/>
  <c r="E737" i="4"/>
  <c r="D737" i="4"/>
  <c r="C737" i="4"/>
  <c r="B737" i="4"/>
  <c r="A737" i="4"/>
  <c r="M736" i="4"/>
  <c r="L736" i="4"/>
  <c r="K736" i="4"/>
  <c r="J736" i="4"/>
  <c r="I736" i="4"/>
  <c r="H736" i="4"/>
  <c r="G736" i="4"/>
  <c r="F736" i="4"/>
  <c r="E736" i="4"/>
  <c r="D736" i="4"/>
  <c r="C736" i="4"/>
  <c r="B736" i="4"/>
  <c r="A736" i="4"/>
  <c r="M735" i="4"/>
  <c r="L735" i="4"/>
  <c r="K735" i="4"/>
  <c r="J735" i="4"/>
  <c r="I735" i="4"/>
  <c r="H735" i="4"/>
  <c r="G735" i="4"/>
  <c r="F735" i="4"/>
  <c r="E735" i="4"/>
  <c r="D735" i="4"/>
  <c r="C735" i="4"/>
  <c r="B735" i="4"/>
  <c r="A735" i="4"/>
  <c r="M734" i="4"/>
  <c r="L734" i="4"/>
  <c r="K734" i="4"/>
  <c r="J734" i="4"/>
  <c r="I734" i="4"/>
  <c r="H734" i="4"/>
  <c r="G734" i="4"/>
  <c r="F734" i="4"/>
  <c r="E734" i="4"/>
  <c r="D734" i="4"/>
  <c r="C734" i="4"/>
  <c r="B734" i="4"/>
  <c r="A734" i="4"/>
  <c r="M733" i="4"/>
  <c r="L733" i="4"/>
  <c r="K733" i="4"/>
  <c r="J733" i="4"/>
  <c r="I733" i="4"/>
  <c r="H733" i="4"/>
  <c r="G733" i="4"/>
  <c r="F733" i="4"/>
  <c r="E733" i="4"/>
  <c r="D733" i="4"/>
  <c r="C733" i="4"/>
  <c r="B733" i="4"/>
  <c r="A733" i="4"/>
  <c r="M732" i="4"/>
  <c r="L732" i="4"/>
  <c r="K732" i="4"/>
  <c r="J732" i="4"/>
  <c r="I732" i="4"/>
  <c r="H732" i="4"/>
  <c r="G732" i="4"/>
  <c r="F732" i="4"/>
  <c r="E732" i="4"/>
  <c r="D732" i="4"/>
  <c r="C732" i="4"/>
  <c r="B732" i="4"/>
  <c r="A732" i="4"/>
  <c r="M731" i="4"/>
  <c r="L731" i="4"/>
  <c r="K731" i="4"/>
  <c r="J731" i="4"/>
  <c r="I731" i="4"/>
  <c r="H731" i="4"/>
  <c r="G731" i="4"/>
  <c r="F731" i="4"/>
  <c r="E731" i="4"/>
  <c r="D731" i="4"/>
  <c r="C731" i="4"/>
  <c r="B731" i="4"/>
  <c r="A731" i="4"/>
  <c r="M730" i="4"/>
  <c r="L730" i="4"/>
  <c r="K730" i="4"/>
  <c r="J730" i="4"/>
  <c r="I730" i="4"/>
  <c r="H730" i="4"/>
  <c r="G730" i="4"/>
  <c r="F730" i="4"/>
  <c r="E730" i="4"/>
  <c r="D730" i="4"/>
  <c r="C730" i="4"/>
  <c r="B730" i="4"/>
  <c r="A730" i="4"/>
  <c r="M729" i="4"/>
  <c r="L729" i="4"/>
  <c r="K729" i="4"/>
  <c r="J729" i="4"/>
  <c r="I729" i="4"/>
  <c r="H729" i="4"/>
  <c r="G729" i="4"/>
  <c r="F729" i="4"/>
  <c r="E729" i="4"/>
  <c r="D729" i="4"/>
  <c r="C729" i="4"/>
  <c r="B729" i="4"/>
  <c r="A729" i="4"/>
  <c r="M728" i="4"/>
  <c r="L728" i="4"/>
  <c r="K728" i="4"/>
  <c r="J728" i="4"/>
  <c r="I728" i="4"/>
  <c r="H728" i="4"/>
  <c r="G728" i="4"/>
  <c r="F728" i="4"/>
  <c r="E728" i="4"/>
  <c r="D728" i="4"/>
  <c r="C728" i="4"/>
  <c r="B728" i="4"/>
  <c r="A728" i="4"/>
  <c r="M727" i="4"/>
  <c r="L727" i="4"/>
  <c r="K727" i="4"/>
  <c r="J727" i="4"/>
  <c r="I727" i="4"/>
  <c r="H727" i="4"/>
  <c r="G727" i="4"/>
  <c r="F727" i="4"/>
  <c r="E727" i="4"/>
  <c r="D727" i="4"/>
  <c r="C727" i="4"/>
  <c r="B727" i="4"/>
  <c r="A727" i="4"/>
  <c r="M726" i="4"/>
  <c r="L726" i="4"/>
  <c r="K726" i="4"/>
  <c r="J726" i="4"/>
  <c r="I726" i="4"/>
  <c r="H726" i="4"/>
  <c r="G726" i="4"/>
  <c r="F726" i="4"/>
  <c r="E726" i="4"/>
  <c r="D726" i="4"/>
  <c r="C726" i="4"/>
  <c r="B726" i="4"/>
  <c r="A726" i="4"/>
  <c r="M725" i="4"/>
  <c r="L725" i="4"/>
  <c r="K725" i="4"/>
  <c r="J725" i="4"/>
  <c r="I725" i="4"/>
  <c r="H725" i="4"/>
  <c r="G725" i="4"/>
  <c r="F725" i="4"/>
  <c r="E725" i="4"/>
  <c r="D725" i="4"/>
  <c r="C725" i="4"/>
  <c r="B725" i="4"/>
  <c r="A725" i="4"/>
  <c r="M724" i="4"/>
  <c r="L724" i="4"/>
  <c r="K724" i="4"/>
  <c r="J724" i="4"/>
  <c r="I724" i="4"/>
  <c r="H724" i="4"/>
  <c r="G724" i="4"/>
  <c r="F724" i="4"/>
  <c r="E724" i="4"/>
  <c r="D724" i="4"/>
  <c r="C724" i="4"/>
  <c r="B724" i="4"/>
  <c r="A724" i="4"/>
  <c r="M723" i="4"/>
  <c r="L723" i="4"/>
  <c r="K723" i="4"/>
  <c r="J723" i="4"/>
  <c r="I723" i="4"/>
  <c r="H723" i="4"/>
  <c r="G723" i="4"/>
  <c r="F723" i="4"/>
  <c r="E723" i="4"/>
  <c r="D723" i="4"/>
  <c r="C723" i="4"/>
  <c r="B723" i="4"/>
  <c r="A723" i="4"/>
  <c r="M722" i="4"/>
  <c r="L722" i="4"/>
  <c r="K722" i="4"/>
  <c r="J722" i="4"/>
  <c r="I722" i="4"/>
  <c r="H722" i="4"/>
  <c r="G722" i="4"/>
  <c r="F722" i="4"/>
  <c r="E722" i="4"/>
  <c r="D722" i="4"/>
  <c r="C722" i="4"/>
  <c r="B722" i="4"/>
  <c r="A722" i="4"/>
  <c r="M721" i="4"/>
  <c r="L721" i="4"/>
  <c r="K721" i="4"/>
  <c r="J721" i="4"/>
  <c r="I721" i="4"/>
  <c r="H721" i="4"/>
  <c r="G721" i="4"/>
  <c r="F721" i="4"/>
  <c r="E721" i="4"/>
  <c r="D721" i="4"/>
  <c r="C721" i="4"/>
  <c r="B721" i="4"/>
  <c r="A721" i="4"/>
  <c r="M720" i="4"/>
  <c r="L720" i="4"/>
  <c r="K720" i="4"/>
  <c r="J720" i="4"/>
  <c r="I720" i="4"/>
  <c r="H720" i="4"/>
  <c r="G720" i="4"/>
  <c r="F720" i="4"/>
  <c r="E720" i="4"/>
  <c r="D720" i="4"/>
  <c r="C720" i="4"/>
  <c r="B720" i="4"/>
  <c r="A720" i="4"/>
  <c r="M719" i="4"/>
  <c r="L719" i="4"/>
  <c r="K719" i="4"/>
  <c r="J719" i="4"/>
  <c r="I719" i="4"/>
  <c r="H719" i="4"/>
  <c r="G719" i="4"/>
  <c r="F719" i="4"/>
  <c r="E719" i="4"/>
  <c r="D719" i="4"/>
  <c r="C719" i="4"/>
  <c r="B719" i="4"/>
  <c r="A719" i="4"/>
  <c r="M718" i="4"/>
  <c r="L718" i="4"/>
  <c r="K718" i="4"/>
  <c r="J718" i="4"/>
  <c r="I718" i="4"/>
  <c r="H718" i="4"/>
  <c r="G718" i="4"/>
  <c r="F718" i="4"/>
  <c r="E718" i="4"/>
  <c r="D718" i="4"/>
  <c r="C718" i="4"/>
  <c r="B718" i="4"/>
  <c r="A718" i="4"/>
  <c r="M717" i="4"/>
  <c r="L717" i="4"/>
  <c r="K717" i="4"/>
  <c r="J717" i="4"/>
  <c r="I717" i="4"/>
  <c r="H717" i="4"/>
  <c r="G717" i="4"/>
  <c r="F717" i="4"/>
  <c r="E717" i="4"/>
  <c r="D717" i="4"/>
  <c r="C717" i="4"/>
  <c r="B717" i="4"/>
  <c r="A717" i="4"/>
  <c r="M716" i="4"/>
  <c r="L716" i="4"/>
  <c r="K716" i="4"/>
  <c r="J716" i="4"/>
  <c r="I716" i="4"/>
  <c r="H716" i="4"/>
  <c r="G716" i="4"/>
  <c r="F716" i="4"/>
  <c r="E716" i="4"/>
  <c r="D716" i="4"/>
  <c r="C716" i="4"/>
  <c r="B716" i="4"/>
  <c r="A716" i="4"/>
  <c r="M715" i="4"/>
  <c r="L715" i="4"/>
  <c r="K715" i="4"/>
  <c r="J715" i="4"/>
  <c r="I715" i="4"/>
  <c r="H715" i="4"/>
  <c r="G715" i="4"/>
  <c r="F715" i="4"/>
  <c r="E715" i="4"/>
  <c r="D715" i="4"/>
  <c r="C715" i="4"/>
  <c r="B715" i="4"/>
  <c r="A715" i="4"/>
  <c r="M714" i="4"/>
  <c r="L714" i="4"/>
  <c r="K714" i="4"/>
  <c r="J714" i="4"/>
  <c r="I714" i="4"/>
  <c r="H714" i="4"/>
  <c r="G714" i="4"/>
  <c r="F714" i="4"/>
  <c r="E714" i="4"/>
  <c r="D714" i="4"/>
  <c r="C714" i="4"/>
  <c r="B714" i="4"/>
  <c r="A714" i="4"/>
  <c r="M713" i="4"/>
  <c r="L713" i="4"/>
  <c r="K713" i="4"/>
  <c r="J713" i="4"/>
  <c r="I713" i="4"/>
  <c r="H713" i="4"/>
  <c r="G713" i="4"/>
  <c r="F713" i="4"/>
  <c r="E713" i="4"/>
  <c r="D713" i="4"/>
  <c r="C713" i="4"/>
  <c r="B713" i="4"/>
  <c r="A713" i="4"/>
  <c r="M712" i="4"/>
  <c r="L712" i="4"/>
  <c r="K712" i="4"/>
  <c r="J712" i="4"/>
  <c r="I712" i="4"/>
  <c r="H712" i="4"/>
  <c r="G712" i="4"/>
  <c r="F712" i="4"/>
  <c r="E712" i="4"/>
  <c r="D712" i="4"/>
  <c r="C712" i="4"/>
  <c r="B712" i="4"/>
  <c r="A712" i="4"/>
  <c r="M711" i="4"/>
  <c r="L711" i="4"/>
  <c r="K711" i="4"/>
  <c r="J711" i="4"/>
  <c r="I711" i="4"/>
  <c r="H711" i="4"/>
  <c r="G711" i="4"/>
  <c r="F711" i="4"/>
  <c r="E711" i="4"/>
  <c r="D711" i="4"/>
  <c r="C711" i="4"/>
  <c r="B711" i="4"/>
  <c r="A711" i="4"/>
  <c r="M710" i="4"/>
  <c r="L710" i="4"/>
  <c r="K710" i="4"/>
  <c r="J710" i="4"/>
  <c r="I710" i="4"/>
  <c r="H710" i="4"/>
  <c r="G710" i="4"/>
  <c r="F710" i="4"/>
  <c r="E710" i="4"/>
  <c r="D710" i="4"/>
  <c r="C710" i="4"/>
  <c r="B710" i="4"/>
  <c r="A710" i="4"/>
  <c r="M709" i="4"/>
  <c r="L709" i="4"/>
  <c r="K709" i="4"/>
  <c r="J709" i="4"/>
  <c r="I709" i="4"/>
  <c r="H709" i="4"/>
  <c r="G709" i="4"/>
  <c r="F709" i="4"/>
  <c r="E709" i="4"/>
  <c r="D709" i="4"/>
  <c r="C709" i="4"/>
  <c r="B709" i="4"/>
  <c r="A709" i="4"/>
  <c r="M708" i="4"/>
  <c r="L708" i="4"/>
  <c r="K708" i="4"/>
  <c r="J708" i="4"/>
  <c r="I708" i="4"/>
  <c r="H708" i="4"/>
  <c r="G708" i="4"/>
  <c r="F708" i="4"/>
  <c r="E708" i="4"/>
  <c r="D708" i="4"/>
  <c r="C708" i="4"/>
  <c r="B708" i="4"/>
  <c r="A708" i="4"/>
  <c r="M707" i="4"/>
  <c r="L707" i="4"/>
  <c r="K707" i="4"/>
  <c r="J707" i="4"/>
  <c r="I707" i="4"/>
  <c r="H707" i="4"/>
  <c r="G707" i="4"/>
  <c r="F707" i="4"/>
  <c r="E707" i="4"/>
  <c r="D707" i="4"/>
  <c r="C707" i="4"/>
  <c r="B707" i="4"/>
  <c r="A707" i="4"/>
  <c r="M706" i="4"/>
  <c r="L706" i="4"/>
  <c r="K706" i="4"/>
  <c r="J706" i="4"/>
  <c r="I706" i="4"/>
  <c r="H706" i="4"/>
  <c r="G706" i="4"/>
  <c r="F706" i="4"/>
  <c r="E706" i="4"/>
  <c r="D706" i="4"/>
  <c r="C706" i="4"/>
  <c r="B706" i="4"/>
  <c r="A706" i="4"/>
  <c r="M705" i="4"/>
  <c r="L705" i="4"/>
  <c r="K705" i="4"/>
  <c r="J705" i="4"/>
  <c r="I705" i="4"/>
  <c r="H705" i="4"/>
  <c r="G705" i="4"/>
  <c r="F705" i="4"/>
  <c r="E705" i="4"/>
  <c r="D705" i="4"/>
  <c r="C705" i="4"/>
  <c r="B705" i="4"/>
  <c r="A705" i="4"/>
  <c r="M704" i="4"/>
  <c r="L704" i="4"/>
  <c r="K704" i="4"/>
  <c r="J704" i="4"/>
  <c r="I704" i="4"/>
  <c r="H704" i="4"/>
  <c r="G704" i="4"/>
  <c r="F704" i="4"/>
  <c r="E704" i="4"/>
  <c r="D704" i="4"/>
  <c r="C704" i="4"/>
  <c r="B704" i="4"/>
  <c r="A704" i="4"/>
  <c r="M703" i="4"/>
  <c r="L703" i="4"/>
  <c r="K703" i="4"/>
  <c r="J703" i="4"/>
  <c r="I703" i="4"/>
  <c r="H703" i="4"/>
  <c r="G703" i="4"/>
  <c r="F703" i="4"/>
  <c r="E703" i="4"/>
  <c r="D703" i="4"/>
  <c r="C703" i="4"/>
  <c r="B703" i="4"/>
  <c r="A703" i="4"/>
  <c r="M702" i="4"/>
  <c r="L702" i="4"/>
  <c r="K702" i="4"/>
  <c r="J702" i="4"/>
  <c r="I702" i="4"/>
  <c r="H702" i="4"/>
  <c r="G702" i="4"/>
  <c r="F702" i="4"/>
  <c r="E702" i="4"/>
  <c r="D702" i="4"/>
  <c r="C702" i="4"/>
  <c r="B702" i="4"/>
  <c r="A702" i="4"/>
  <c r="M701" i="4"/>
  <c r="L701" i="4"/>
  <c r="K701" i="4"/>
  <c r="J701" i="4"/>
  <c r="I701" i="4"/>
  <c r="H701" i="4"/>
  <c r="G701" i="4"/>
  <c r="F701" i="4"/>
  <c r="E701" i="4"/>
  <c r="D701" i="4"/>
  <c r="C701" i="4"/>
  <c r="B701" i="4"/>
  <c r="A701" i="4"/>
  <c r="M700" i="4"/>
  <c r="L700" i="4"/>
  <c r="K700" i="4"/>
  <c r="J700" i="4"/>
  <c r="I700" i="4"/>
  <c r="H700" i="4"/>
  <c r="G700" i="4"/>
  <c r="F700" i="4"/>
  <c r="E700" i="4"/>
  <c r="D700" i="4"/>
  <c r="C700" i="4"/>
  <c r="B700" i="4"/>
  <c r="A700" i="4"/>
  <c r="M699" i="4"/>
  <c r="L699" i="4"/>
  <c r="K699" i="4"/>
  <c r="J699" i="4"/>
  <c r="I699" i="4"/>
  <c r="H699" i="4"/>
  <c r="G699" i="4"/>
  <c r="F699" i="4"/>
  <c r="E699" i="4"/>
  <c r="D699" i="4"/>
  <c r="C699" i="4"/>
  <c r="B699" i="4"/>
  <c r="A699" i="4"/>
  <c r="M698" i="4"/>
  <c r="L698" i="4"/>
  <c r="K698" i="4"/>
  <c r="J698" i="4"/>
  <c r="I698" i="4"/>
  <c r="H698" i="4"/>
  <c r="G698" i="4"/>
  <c r="F698" i="4"/>
  <c r="E698" i="4"/>
  <c r="D698" i="4"/>
  <c r="C698" i="4"/>
  <c r="B698" i="4"/>
  <c r="A698" i="4"/>
  <c r="M697" i="4"/>
  <c r="L697" i="4"/>
  <c r="K697" i="4"/>
  <c r="J697" i="4"/>
  <c r="I697" i="4"/>
  <c r="H697" i="4"/>
  <c r="G697" i="4"/>
  <c r="F697" i="4"/>
  <c r="E697" i="4"/>
  <c r="D697" i="4"/>
  <c r="C697" i="4"/>
  <c r="B697" i="4"/>
  <c r="A697" i="4"/>
  <c r="M696" i="4"/>
  <c r="L696" i="4"/>
  <c r="K696" i="4"/>
  <c r="J696" i="4"/>
  <c r="I696" i="4"/>
  <c r="H696" i="4"/>
  <c r="G696" i="4"/>
  <c r="F696" i="4"/>
  <c r="D696" i="4"/>
  <c r="C696" i="4"/>
  <c r="B696" i="4"/>
  <c r="A696" i="4"/>
  <c r="M695" i="4"/>
  <c r="L695" i="4"/>
  <c r="K695" i="4"/>
  <c r="J695" i="4"/>
  <c r="I695" i="4"/>
  <c r="H695" i="4"/>
  <c r="G695" i="4"/>
  <c r="F695" i="4"/>
  <c r="E695" i="4"/>
  <c r="D695" i="4"/>
  <c r="C695" i="4"/>
  <c r="B695" i="4"/>
  <c r="A695" i="4"/>
  <c r="M694" i="4"/>
  <c r="L694" i="4"/>
  <c r="K694" i="4"/>
  <c r="J694" i="4"/>
  <c r="I694" i="4"/>
  <c r="H694" i="4"/>
  <c r="G694" i="4"/>
  <c r="F694" i="4"/>
  <c r="E694" i="4"/>
  <c r="D694" i="4"/>
  <c r="C694" i="4"/>
  <c r="B694" i="4"/>
  <c r="A694" i="4"/>
  <c r="M693" i="4"/>
  <c r="L693" i="4"/>
  <c r="K693" i="4"/>
  <c r="J693" i="4"/>
  <c r="I693" i="4"/>
  <c r="H693" i="4"/>
  <c r="G693" i="4"/>
  <c r="F693" i="4"/>
  <c r="E693" i="4"/>
  <c r="D693" i="4"/>
  <c r="C693" i="4"/>
  <c r="B693" i="4"/>
  <c r="A693" i="4"/>
  <c r="M692" i="4"/>
  <c r="L692" i="4"/>
  <c r="K692" i="4"/>
  <c r="J692" i="4"/>
  <c r="I692" i="4"/>
  <c r="H692" i="4"/>
  <c r="G692" i="4"/>
  <c r="F692" i="4"/>
  <c r="E692" i="4"/>
  <c r="D692" i="4"/>
  <c r="C692" i="4"/>
  <c r="B692" i="4"/>
  <c r="A692" i="4"/>
  <c r="M691" i="4"/>
  <c r="L691" i="4"/>
  <c r="K691" i="4"/>
  <c r="J691" i="4"/>
  <c r="I691" i="4"/>
  <c r="H691" i="4"/>
  <c r="G691" i="4"/>
  <c r="F691" i="4"/>
  <c r="E691" i="4"/>
  <c r="D691" i="4"/>
  <c r="C691" i="4"/>
  <c r="B691" i="4"/>
  <c r="A691" i="4"/>
  <c r="M690" i="4"/>
  <c r="L690" i="4"/>
  <c r="K690" i="4"/>
  <c r="J690" i="4"/>
  <c r="I690" i="4"/>
  <c r="H690" i="4"/>
  <c r="G690" i="4"/>
  <c r="F690" i="4"/>
  <c r="E690" i="4"/>
  <c r="D690" i="4"/>
  <c r="C690" i="4"/>
  <c r="B690" i="4"/>
  <c r="A690" i="4"/>
  <c r="M689" i="4"/>
  <c r="L689" i="4"/>
  <c r="K689" i="4"/>
  <c r="J689" i="4"/>
  <c r="I689" i="4"/>
  <c r="H689" i="4"/>
  <c r="G689" i="4"/>
  <c r="F689" i="4"/>
  <c r="E689" i="4"/>
  <c r="D689" i="4"/>
  <c r="C689" i="4"/>
  <c r="B689" i="4"/>
  <c r="A689" i="4"/>
  <c r="M688" i="4"/>
  <c r="L688" i="4"/>
  <c r="K688" i="4"/>
  <c r="J688" i="4"/>
  <c r="I688" i="4"/>
  <c r="H688" i="4"/>
  <c r="G688" i="4"/>
  <c r="F688" i="4"/>
  <c r="E688" i="4"/>
  <c r="D688" i="4"/>
  <c r="C688" i="4"/>
  <c r="B688" i="4"/>
  <c r="A688" i="4"/>
  <c r="M687" i="4"/>
  <c r="L687" i="4"/>
  <c r="K687" i="4"/>
  <c r="J687" i="4"/>
  <c r="I687" i="4"/>
  <c r="H687" i="4"/>
  <c r="G687" i="4"/>
  <c r="F687" i="4"/>
  <c r="E687" i="4"/>
  <c r="D687" i="4"/>
  <c r="C687" i="4"/>
  <c r="B687" i="4"/>
  <c r="A687" i="4"/>
  <c r="M686" i="4"/>
  <c r="L686" i="4"/>
  <c r="K686" i="4"/>
  <c r="J686" i="4"/>
  <c r="I686" i="4"/>
  <c r="H686" i="4"/>
  <c r="G686" i="4"/>
  <c r="F686" i="4"/>
  <c r="E686" i="4"/>
  <c r="D686" i="4"/>
  <c r="C686" i="4"/>
  <c r="B686" i="4"/>
  <c r="A686" i="4"/>
  <c r="M685" i="4"/>
  <c r="L685" i="4"/>
  <c r="K685" i="4"/>
  <c r="J685" i="4"/>
  <c r="I685" i="4"/>
  <c r="H685" i="4"/>
  <c r="G685" i="4"/>
  <c r="F685" i="4"/>
  <c r="E685" i="4"/>
  <c r="D685" i="4"/>
  <c r="C685" i="4"/>
  <c r="B685" i="4"/>
  <c r="A685" i="4"/>
  <c r="M684" i="4"/>
  <c r="L684" i="4"/>
  <c r="K684" i="4"/>
  <c r="J684" i="4"/>
  <c r="I684" i="4"/>
  <c r="H684" i="4"/>
  <c r="G684" i="4"/>
  <c r="F684" i="4"/>
  <c r="E684" i="4"/>
  <c r="D684" i="4"/>
  <c r="C684" i="4"/>
  <c r="B684" i="4"/>
  <c r="A684" i="4"/>
  <c r="M683" i="4"/>
  <c r="L683" i="4"/>
  <c r="K683" i="4"/>
  <c r="J683" i="4"/>
  <c r="I683" i="4"/>
  <c r="H683" i="4"/>
  <c r="G683" i="4"/>
  <c r="F683" i="4"/>
  <c r="E683" i="4"/>
  <c r="D683" i="4"/>
  <c r="C683" i="4"/>
  <c r="B683" i="4"/>
  <c r="A683" i="4"/>
  <c r="M682" i="4"/>
  <c r="L682" i="4"/>
  <c r="K682" i="4"/>
  <c r="J682" i="4"/>
  <c r="I682" i="4"/>
  <c r="H682" i="4"/>
  <c r="G682" i="4"/>
  <c r="F682" i="4"/>
  <c r="E682" i="4"/>
  <c r="D682" i="4"/>
  <c r="C682" i="4"/>
  <c r="B682" i="4"/>
  <c r="A682" i="4"/>
  <c r="M681" i="4"/>
  <c r="L681" i="4"/>
  <c r="K681" i="4"/>
  <c r="J681" i="4"/>
  <c r="I681" i="4"/>
  <c r="H681" i="4"/>
  <c r="G681" i="4"/>
  <c r="F681" i="4"/>
  <c r="E681" i="4"/>
  <c r="D681" i="4"/>
  <c r="C681" i="4"/>
  <c r="B681" i="4"/>
  <c r="A681" i="4"/>
  <c r="M680" i="4"/>
  <c r="L680" i="4"/>
  <c r="K680" i="4"/>
  <c r="J680" i="4"/>
  <c r="I680" i="4"/>
  <c r="H680" i="4"/>
  <c r="G680" i="4"/>
  <c r="F680" i="4"/>
  <c r="E680" i="4"/>
  <c r="D680" i="4"/>
  <c r="C680" i="4"/>
  <c r="B680" i="4"/>
  <c r="A680" i="4"/>
  <c r="M679" i="4"/>
  <c r="L679" i="4"/>
  <c r="K679" i="4"/>
  <c r="J679" i="4"/>
  <c r="I679" i="4"/>
  <c r="H679" i="4"/>
  <c r="G679" i="4"/>
  <c r="F679" i="4"/>
  <c r="E679" i="4"/>
  <c r="D679" i="4"/>
  <c r="C679" i="4"/>
  <c r="B679" i="4"/>
  <c r="A679" i="4"/>
  <c r="M678" i="4"/>
  <c r="L678" i="4"/>
  <c r="K678" i="4"/>
  <c r="J678" i="4"/>
  <c r="I678" i="4"/>
  <c r="H678" i="4"/>
  <c r="G678" i="4"/>
  <c r="F678" i="4"/>
  <c r="E678" i="4"/>
  <c r="D678" i="4"/>
  <c r="C678" i="4"/>
  <c r="B678" i="4"/>
  <c r="A678" i="4"/>
  <c r="M677" i="4"/>
  <c r="L677" i="4"/>
  <c r="K677" i="4"/>
  <c r="J677" i="4"/>
  <c r="I677" i="4"/>
  <c r="H677" i="4"/>
  <c r="G677" i="4"/>
  <c r="F677" i="4"/>
  <c r="E677" i="4"/>
  <c r="D677" i="4"/>
  <c r="C677" i="4"/>
  <c r="B677" i="4"/>
  <c r="A677" i="4"/>
  <c r="M676" i="4"/>
  <c r="L676" i="4"/>
  <c r="K676" i="4"/>
  <c r="J676" i="4"/>
  <c r="I676" i="4"/>
  <c r="H676" i="4"/>
  <c r="G676" i="4"/>
  <c r="F676" i="4"/>
  <c r="E676" i="4"/>
  <c r="D676" i="4"/>
  <c r="C676" i="4"/>
  <c r="B676" i="4"/>
  <c r="A676" i="4"/>
  <c r="M675" i="4"/>
  <c r="L675" i="4"/>
  <c r="K675" i="4"/>
  <c r="J675" i="4"/>
  <c r="I675" i="4"/>
  <c r="H675" i="4"/>
  <c r="G675" i="4"/>
  <c r="F675" i="4"/>
  <c r="E675" i="4"/>
  <c r="D675" i="4"/>
  <c r="C675" i="4"/>
  <c r="B675" i="4"/>
  <c r="A675" i="4"/>
  <c r="M674" i="4"/>
  <c r="L674" i="4"/>
  <c r="K674" i="4"/>
  <c r="J674" i="4"/>
  <c r="I674" i="4"/>
  <c r="H674" i="4"/>
  <c r="G674" i="4"/>
  <c r="F674" i="4"/>
  <c r="E674" i="4"/>
  <c r="D674" i="4"/>
  <c r="C674" i="4"/>
  <c r="B674" i="4"/>
  <c r="A674" i="4"/>
  <c r="M673" i="4"/>
  <c r="L673" i="4"/>
  <c r="K673" i="4"/>
  <c r="J673" i="4"/>
  <c r="I673" i="4"/>
  <c r="H673" i="4"/>
  <c r="G673" i="4"/>
  <c r="F673" i="4"/>
  <c r="E673" i="4"/>
  <c r="D673" i="4"/>
  <c r="C673" i="4"/>
  <c r="B673" i="4"/>
  <c r="A673" i="4"/>
  <c r="M672" i="4"/>
  <c r="L672" i="4"/>
  <c r="K672" i="4"/>
  <c r="J672" i="4"/>
  <c r="I672" i="4"/>
  <c r="H672" i="4"/>
  <c r="G672" i="4"/>
  <c r="F672" i="4"/>
  <c r="E672" i="4"/>
  <c r="D672" i="4"/>
  <c r="C672" i="4"/>
  <c r="B672" i="4"/>
  <c r="A672" i="4"/>
  <c r="M671" i="4"/>
  <c r="L671" i="4"/>
  <c r="K671" i="4"/>
  <c r="J671" i="4"/>
  <c r="I671" i="4"/>
  <c r="H671" i="4"/>
  <c r="G671" i="4"/>
  <c r="F671" i="4"/>
  <c r="E671" i="4"/>
  <c r="D671" i="4"/>
  <c r="C671" i="4"/>
  <c r="B671" i="4"/>
  <c r="A671" i="4"/>
  <c r="M670" i="4"/>
  <c r="L670" i="4"/>
  <c r="K670" i="4"/>
  <c r="J670" i="4"/>
  <c r="I670" i="4"/>
  <c r="H670" i="4"/>
  <c r="G670" i="4"/>
  <c r="F670" i="4"/>
  <c r="E670" i="4"/>
  <c r="D670" i="4"/>
  <c r="C670" i="4"/>
  <c r="B670" i="4"/>
  <c r="A670" i="4"/>
  <c r="M669" i="4"/>
  <c r="L669" i="4"/>
  <c r="K669" i="4"/>
  <c r="J669" i="4"/>
  <c r="I669" i="4"/>
  <c r="H669" i="4"/>
  <c r="G669" i="4"/>
  <c r="F669" i="4"/>
  <c r="E669" i="4"/>
  <c r="D669" i="4"/>
  <c r="C669" i="4"/>
  <c r="B669" i="4"/>
  <c r="A669" i="4"/>
  <c r="M668" i="4"/>
  <c r="L668" i="4"/>
  <c r="K668" i="4"/>
  <c r="J668" i="4"/>
  <c r="I668" i="4"/>
  <c r="H668" i="4"/>
  <c r="G668" i="4"/>
  <c r="F668" i="4"/>
  <c r="E668" i="4"/>
  <c r="D668" i="4"/>
  <c r="C668" i="4"/>
  <c r="B668" i="4"/>
  <c r="A668" i="4"/>
  <c r="M667" i="4"/>
  <c r="L667" i="4"/>
  <c r="K667" i="4"/>
  <c r="J667" i="4"/>
  <c r="I667" i="4"/>
  <c r="H667" i="4"/>
  <c r="G667" i="4"/>
  <c r="F667" i="4"/>
  <c r="E667" i="4"/>
  <c r="D667" i="4"/>
  <c r="C667" i="4"/>
  <c r="B667" i="4"/>
  <c r="A667" i="4"/>
  <c r="M666" i="4"/>
  <c r="L666" i="4"/>
  <c r="K666" i="4"/>
  <c r="J666" i="4"/>
  <c r="I666" i="4"/>
  <c r="H666" i="4"/>
  <c r="G666" i="4"/>
  <c r="F666" i="4"/>
  <c r="E666" i="4"/>
  <c r="D666" i="4"/>
  <c r="C666" i="4"/>
  <c r="B666" i="4"/>
  <c r="A666" i="4"/>
  <c r="M665" i="4"/>
  <c r="L665" i="4"/>
  <c r="K665" i="4"/>
  <c r="J665" i="4"/>
  <c r="I665" i="4"/>
  <c r="H665" i="4"/>
  <c r="G665" i="4"/>
  <c r="F665" i="4"/>
  <c r="E665" i="4"/>
  <c r="D665" i="4"/>
  <c r="C665" i="4"/>
  <c r="B665" i="4"/>
  <c r="A665" i="4"/>
  <c r="M664" i="4"/>
  <c r="L664" i="4"/>
  <c r="K664" i="4"/>
  <c r="J664" i="4"/>
  <c r="I664" i="4"/>
  <c r="H664" i="4"/>
  <c r="G664" i="4"/>
  <c r="F664" i="4"/>
  <c r="E664" i="4"/>
  <c r="D664" i="4"/>
  <c r="C664" i="4"/>
  <c r="B664" i="4"/>
  <c r="A664" i="4"/>
  <c r="M663" i="4"/>
  <c r="L663" i="4"/>
  <c r="K663" i="4"/>
  <c r="J663" i="4"/>
  <c r="I663" i="4"/>
  <c r="H663" i="4"/>
  <c r="G663" i="4"/>
  <c r="F663" i="4"/>
  <c r="E663" i="4"/>
  <c r="D663" i="4"/>
  <c r="C663" i="4"/>
  <c r="B663" i="4"/>
  <c r="A663" i="4"/>
  <c r="M662" i="4"/>
  <c r="L662" i="4"/>
  <c r="K662" i="4"/>
  <c r="J662" i="4"/>
  <c r="I662" i="4"/>
  <c r="H662" i="4"/>
  <c r="G662" i="4"/>
  <c r="F662" i="4"/>
  <c r="E662" i="4"/>
  <c r="D662" i="4"/>
  <c r="C662" i="4"/>
  <c r="B662" i="4"/>
  <c r="A662" i="4"/>
  <c r="M661" i="4"/>
  <c r="L661" i="4"/>
  <c r="K661" i="4"/>
  <c r="J661" i="4"/>
  <c r="I661" i="4"/>
  <c r="H661" i="4"/>
  <c r="G661" i="4"/>
  <c r="F661" i="4"/>
  <c r="E661" i="4"/>
  <c r="D661" i="4"/>
  <c r="C661" i="4"/>
  <c r="B661" i="4"/>
  <c r="A661" i="4"/>
  <c r="M660" i="4"/>
  <c r="L660" i="4"/>
  <c r="K660" i="4"/>
  <c r="J660" i="4"/>
  <c r="I660" i="4"/>
  <c r="H660" i="4"/>
  <c r="G660" i="4"/>
  <c r="F660" i="4"/>
  <c r="E660" i="4"/>
  <c r="D660" i="4"/>
  <c r="C660" i="4"/>
  <c r="B660" i="4"/>
  <c r="A660" i="4"/>
  <c r="M659" i="4"/>
  <c r="L659" i="4"/>
  <c r="K659" i="4"/>
  <c r="J659" i="4"/>
  <c r="I659" i="4"/>
  <c r="H659" i="4"/>
  <c r="G659" i="4"/>
  <c r="F659" i="4"/>
  <c r="E659" i="4"/>
  <c r="D659" i="4"/>
  <c r="C659" i="4"/>
  <c r="B659" i="4"/>
  <c r="A659" i="4"/>
  <c r="M658" i="4"/>
  <c r="L658" i="4"/>
  <c r="K658" i="4"/>
  <c r="J658" i="4"/>
  <c r="I658" i="4"/>
  <c r="H658" i="4"/>
  <c r="G658" i="4"/>
  <c r="F658" i="4"/>
  <c r="E658" i="4"/>
  <c r="D658" i="4"/>
  <c r="C658" i="4"/>
  <c r="B658" i="4"/>
  <c r="A658" i="4"/>
  <c r="M657" i="4"/>
  <c r="L657" i="4"/>
  <c r="K657" i="4"/>
  <c r="J657" i="4"/>
  <c r="I657" i="4"/>
  <c r="H657" i="4"/>
  <c r="G657" i="4"/>
  <c r="F657" i="4"/>
  <c r="E657" i="4"/>
  <c r="D657" i="4"/>
  <c r="C657" i="4"/>
  <c r="B657" i="4"/>
  <c r="A657" i="4"/>
  <c r="M656" i="4"/>
  <c r="L656" i="4"/>
  <c r="K656" i="4"/>
  <c r="J656" i="4"/>
  <c r="I656" i="4"/>
  <c r="H656" i="4"/>
  <c r="G656" i="4"/>
  <c r="F656" i="4"/>
  <c r="E656" i="4"/>
  <c r="D656" i="4"/>
  <c r="C656" i="4"/>
  <c r="B656" i="4"/>
  <c r="A656" i="4"/>
  <c r="M655" i="4"/>
  <c r="L655" i="4"/>
  <c r="K655" i="4"/>
  <c r="J655" i="4"/>
  <c r="I655" i="4"/>
  <c r="H655" i="4"/>
  <c r="G655" i="4"/>
  <c r="F655" i="4"/>
  <c r="E655" i="4"/>
  <c r="D655" i="4"/>
  <c r="C655" i="4"/>
  <c r="B655" i="4"/>
  <c r="A655" i="4"/>
  <c r="M654" i="4"/>
  <c r="L654" i="4"/>
  <c r="K654" i="4"/>
  <c r="J654" i="4"/>
  <c r="I654" i="4"/>
  <c r="H654" i="4"/>
  <c r="G654" i="4"/>
  <c r="F654" i="4"/>
  <c r="E654" i="4"/>
  <c r="D654" i="4"/>
  <c r="C654" i="4"/>
  <c r="B654" i="4"/>
  <c r="A654" i="4"/>
  <c r="M653" i="4"/>
  <c r="L653" i="4"/>
  <c r="K653" i="4"/>
  <c r="J653" i="4"/>
  <c r="I653" i="4"/>
  <c r="H653" i="4"/>
  <c r="G653" i="4"/>
  <c r="F653" i="4"/>
  <c r="E653" i="4"/>
  <c r="D653" i="4"/>
  <c r="C653" i="4"/>
  <c r="B653" i="4"/>
  <c r="A653" i="4"/>
  <c r="M652" i="4"/>
  <c r="L652" i="4"/>
  <c r="K652" i="4"/>
  <c r="J652" i="4"/>
  <c r="I652" i="4"/>
  <c r="H652" i="4"/>
  <c r="G652" i="4"/>
  <c r="F652" i="4"/>
  <c r="E652" i="4"/>
  <c r="D652" i="4"/>
  <c r="C652" i="4"/>
  <c r="B652" i="4"/>
  <c r="A652" i="4"/>
  <c r="M651" i="4"/>
  <c r="L651" i="4"/>
  <c r="K651" i="4"/>
  <c r="J651" i="4"/>
  <c r="I651" i="4"/>
  <c r="H651" i="4"/>
  <c r="G651" i="4"/>
  <c r="F651" i="4"/>
  <c r="E651" i="4"/>
  <c r="D651" i="4"/>
  <c r="C651" i="4"/>
  <c r="B651" i="4"/>
  <c r="A651" i="4"/>
  <c r="M650" i="4"/>
  <c r="L650" i="4"/>
  <c r="K650" i="4"/>
  <c r="J650" i="4"/>
  <c r="I650" i="4"/>
  <c r="H650" i="4"/>
  <c r="G650" i="4"/>
  <c r="F650" i="4"/>
  <c r="E650" i="4"/>
  <c r="D650" i="4"/>
  <c r="C650" i="4"/>
  <c r="B650" i="4"/>
  <c r="A650" i="4"/>
  <c r="M649" i="4"/>
  <c r="L649" i="4"/>
  <c r="K649" i="4"/>
  <c r="J649" i="4"/>
  <c r="I649" i="4"/>
  <c r="H649" i="4"/>
  <c r="G649" i="4"/>
  <c r="F649" i="4"/>
  <c r="E649" i="4"/>
  <c r="D649" i="4"/>
  <c r="C649" i="4"/>
  <c r="B649" i="4"/>
  <c r="A649" i="4"/>
  <c r="M648" i="4"/>
  <c r="L648" i="4"/>
  <c r="K648" i="4"/>
  <c r="J648" i="4"/>
  <c r="I648" i="4"/>
  <c r="H648" i="4"/>
  <c r="G648" i="4"/>
  <c r="F648" i="4"/>
  <c r="E648" i="4"/>
  <c r="D648" i="4"/>
  <c r="C648" i="4"/>
  <c r="B648" i="4"/>
  <c r="A648" i="4"/>
  <c r="M647" i="4"/>
  <c r="L647" i="4"/>
  <c r="K647" i="4"/>
  <c r="J647" i="4"/>
  <c r="I647" i="4"/>
  <c r="H647" i="4"/>
  <c r="G647" i="4"/>
  <c r="F647" i="4"/>
  <c r="E647" i="4"/>
  <c r="D647" i="4"/>
  <c r="C647" i="4"/>
  <c r="B647" i="4"/>
  <c r="A647" i="4"/>
  <c r="M646" i="4"/>
  <c r="L646" i="4"/>
  <c r="K646" i="4"/>
  <c r="J646" i="4"/>
  <c r="I646" i="4"/>
  <c r="H646" i="4"/>
  <c r="G646" i="4"/>
  <c r="F646" i="4"/>
  <c r="E646" i="4"/>
  <c r="D646" i="4"/>
  <c r="C646" i="4"/>
  <c r="B646" i="4"/>
  <c r="A646" i="4"/>
  <c r="M645" i="4"/>
  <c r="L645" i="4"/>
  <c r="K645" i="4"/>
  <c r="J645" i="4"/>
  <c r="I645" i="4"/>
  <c r="H645" i="4"/>
  <c r="G645" i="4"/>
  <c r="F645" i="4"/>
  <c r="E645" i="4"/>
  <c r="D645" i="4"/>
  <c r="C645" i="4"/>
  <c r="B645" i="4"/>
  <c r="A645" i="4"/>
  <c r="M644" i="4"/>
  <c r="L644" i="4"/>
  <c r="K644" i="4"/>
  <c r="J644" i="4"/>
  <c r="I644" i="4"/>
  <c r="H644" i="4"/>
  <c r="G644" i="4"/>
  <c r="F644" i="4"/>
  <c r="E644" i="4"/>
  <c r="D644" i="4"/>
  <c r="C644" i="4"/>
  <c r="B644" i="4"/>
  <c r="A644" i="4"/>
  <c r="M643" i="4"/>
  <c r="L643" i="4"/>
  <c r="K643" i="4"/>
  <c r="J643" i="4"/>
  <c r="I643" i="4"/>
  <c r="H643" i="4"/>
  <c r="G643" i="4"/>
  <c r="F643" i="4"/>
  <c r="E643" i="4"/>
  <c r="D643" i="4"/>
  <c r="C643" i="4"/>
  <c r="B643" i="4"/>
  <c r="A643" i="4"/>
  <c r="M642" i="4"/>
  <c r="L642" i="4"/>
  <c r="K642" i="4"/>
  <c r="J642" i="4"/>
  <c r="I642" i="4"/>
  <c r="H642" i="4"/>
  <c r="G642" i="4"/>
  <c r="F642" i="4"/>
  <c r="E642" i="4"/>
  <c r="D642" i="4"/>
  <c r="C642" i="4"/>
  <c r="B642" i="4"/>
  <c r="A642" i="4"/>
  <c r="M641" i="4"/>
  <c r="L641" i="4"/>
  <c r="K641" i="4"/>
  <c r="J641" i="4"/>
  <c r="I641" i="4"/>
  <c r="H641" i="4"/>
  <c r="G641" i="4"/>
  <c r="F641" i="4"/>
  <c r="E641" i="4"/>
  <c r="D641" i="4"/>
  <c r="C641" i="4"/>
  <c r="B641" i="4"/>
  <c r="A641" i="4"/>
  <c r="M640" i="4"/>
  <c r="L640" i="4"/>
  <c r="K640" i="4"/>
  <c r="J640" i="4"/>
  <c r="I640" i="4"/>
  <c r="H640" i="4"/>
  <c r="G640" i="4"/>
  <c r="F640" i="4"/>
  <c r="E640" i="4"/>
  <c r="D640" i="4"/>
  <c r="C640" i="4"/>
  <c r="B640" i="4"/>
  <c r="A640" i="4"/>
  <c r="M639" i="4"/>
  <c r="L639" i="4"/>
  <c r="K639" i="4"/>
  <c r="J639" i="4"/>
  <c r="I639" i="4"/>
  <c r="H639" i="4"/>
  <c r="G639" i="4"/>
  <c r="F639" i="4"/>
  <c r="E639" i="4"/>
  <c r="D639" i="4"/>
  <c r="C639" i="4"/>
  <c r="B639" i="4"/>
  <c r="A639" i="4"/>
  <c r="M638" i="4"/>
  <c r="L638" i="4"/>
  <c r="K638" i="4"/>
  <c r="J638" i="4"/>
  <c r="I638" i="4"/>
  <c r="H638" i="4"/>
  <c r="G638" i="4"/>
  <c r="F638" i="4"/>
  <c r="E638" i="4"/>
  <c r="D638" i="4"/>
  <c r="C638" i="4"/>
  <c r="B638" i="4"/>
  <c r="A638" i="4"/>
  <c r="M637" i="4"/>
  <c r="L637" i="4"/>
  <c r="K637" i="4"/>
  <c r="J637" i="4"/>
  <c r="I637" i="4"/>
  <c r="H637" i="4"/>
  <c r="G637" i="4"/>
  <c r="F637" i="4"/>
  <c r="E637" i="4"/>
  <c r="D637" i="4"/>
  <c r="C637" i="4"/>
  <c r="B637" i="4"/>
  <c r="A637" i="4"/>
  <c r="M636" i="4"/>
  <c r="L636" i="4"/>
  <c r="K636" i="4"/>
  <c r="J636" i="4"/>
  <c r="I636" i="4"/>
  <c r="H636" i="4"/>
  <c r="G636" i="4"/>
  <c r="F636" i="4"/>
  <c r="E636" i="4"/>
  <c r="D636" i="4"/>
  <c r="C636" i="4"/>
  <c r="B636" i="4"/>
  <c r="A636" i="4"/>
  <c r="M635" i="4"/>
  <c r="L635" i="4"/>
  <c r="K635" i="4"/>
  <c r="J635" i="4"/>
  <c r="I635" i="4"/>
  <c r="H635" i="4"/>
  <c r="G635" i="4"/>
  <c r="F635" i="4"/>
  <c r="E635" i="4"/>
  <c r="D635" i="4"/>
  <c r="C635" i="4"/>
  <c r="B635" i="4"/>
  <c r="A635" i="4"/>
  <c r="M634" i="4"/>
  <c r="L634" i="4"/>
  <c r="K634" i="4"/>
  <c r="J634" i="4"/>
  <c r="I634" i="4"/>
  <c r="H634" i="4"/>
  <c r="G634" i="4"/>
  <c r="F634" i="4"/>
  <c r="E634" i="4"/>
  <c r="D634" i="4"/>
  <c r="C634" i="4"/>
  <c r="B634" i="4"/>
  <c r="A634" i="4"/>
  <c r="M633" i="4"/>
  <c r="L633" i="4"/>
  <c r="K633" i="4"/>
  <c r="J633" i="4"/>
  <c r="I633" i="4"/>
  <c r="H633" i="4"/>
  <c r="G633" i="4"/>
  <c r="F633" i="4"/>
  <c r="E633" i="4"/>
  <c r="D633" i="4"/>
  <c r="C633" i="4"/>
  <c r="B633" i="4"/>
  <c r="A633" i="4"/>
  <c r="M632" i="4"/>
  <c r="L632" i="4"/>
  <c r="K632" i="4"/>
  <c r="J632" i="4"/>
  <c r="I632" i="4"/>
  <c r="H632" i="4"/>
  <c r="G632" i="4"/>
  <c r="F632" i="4"/>
  <c r="E632" i="4"/>
  <c r="D632" i="4"/>
  <c r="C632" i="4"/>
  <c r="B632" i="4"/>
  <c r="A632" i="4"/>
  <c r="M631" i="4"/>
  <c r="L631" i="4"/>
  <c r="K631" i="4"/>
  <c r="J631" i="4"/>
  <c r="I631" i="4"/>
  <c r="H631" i="4"/>
  <c r="G631" i="4"/>
  <c r="F631" i="4"/>
  <c r="E631" i="4"/>
  <c r="D631" i="4"/>
  <c r="C631" i="4"/>
  <c r="B631" i="4"/>
  <c r="A631" i="4"/>
  <c r="M630" i="4"/>
  <c r="L630" i="4"/>
  <c r="K630" i="4"/>
  <c r="J630" i="4"/>
  <c r="I630" i="4"/>
  <c r="H630" i="4"/>
  <c r="G630" i="4"/>
  <c r="F630" i="4"/>
  <c r="E630" i="4"/>
  <c r="D630" i="4"/>
  <c r="C630" i="4"/>
  <c r="B630" i="4"/>
  <c r="A630" i="4"/>
  <c r="M629" i="4"/>
  <c r="L629" i="4"/>
  <c r="K629" i="4"/>
  <c r="J629" i="4"/>
  <c r="I629" i="4"/>
  <c r="H629" i="4"/>
  <c r="G629" i="4"/>
  <c r="F629" i="4"/>
  <c r="E629" i="4"/>
  <c r="D629" i="4"/>
  <c r="C629" i="4"/>
  <c r="B629" i="4"/>
  <c r="A629" i="4"/>
  <c r="M628" i="4"/>
  <c r="L628" i="4"/>
  <c r="K628" i="4"/>
  <c r="J628" i="4"/>
  <c r="I628" i="4"/>
  <c r="H628" i="4"/>
  <c r="G628" i="4"/>
  <c r="F628" i="4"/>
  <c r="E628" i="4"/>
  <c r="D628" i="4"/>
  <c r="C628" i="4"/>
  <c r="B628" i="4"/>
  <c r="A628" i="4"/>
  <c r="M627" i="4"/>
  <c r="L627" i="4"/>
  <c r="K627" i="4"/>
  <c r="J627" i="4"/>
  <c r="I627" i="4"/>
  <c r="H627" i="4"/>
  <c r="G627" i="4"/>
  <c r="F627" i="4"/>
  <c r="E627" i="4"/>
  <c r="D627" i="4"/>
  <c r="C627" i="4"/>
  <c r="B627" i="4"/>
  <c r="A627" i="4"/>
  <c r="M626" i="4"/>
  <c r="L626" i="4"/>
  <c r="K626" i="4"/>
  <c r="J626" i="4"/>
  <c r="I626" i="4"/>
  <c r="H626" i="4"/>
  <c r="G626" i="4"/>
  <c r="F626" i="4"/>
  <c r="E626" i="4"/>
  <c r="D626" i="4"/>
  <c r="C626" i="4"/>
  <c r="B626" i="4"/>
  <c r="A626" i="4"/>
  <c r="M625" i="4"/>
  <c r="L625" i="4"/>
  <c r="K625" i="4"/>
  <c r="J625" i="4"/>
  <c r="I625" i="4"/>
  <c r="H625" i="4"/>
  <c r="G625" i="4"/>
  <c r="F625" i="4"/>
  <c r="E625" i="4"/>
  <c r="D625" i="4"/>
  <c r="C625" i="4"/>
  <c r="B625" i="4"/>
  <c r="A625" i="4"/>
  <c r="M624" i="4"/>
  <c r="L624" i="4"/>
  <c r="K624" i="4"/>
  <c r="J624" i="4"/>
  <c r="I624" i="4"/>
  <c r="H624" i="4"/>
  <c r="G624" i="4"/>
  <c r="F624" i="4"/>
  <c r="E624" i="4"/>
  <c r="D624" i="4"/>
  <c r="C624" i="4"/>
  <c r="B624" i="4"/>
  <c r="A624" i="4"/>
  <c r="M623" i="4"/>
  <c r="L623" i="4"/>
  <c r="K623" i="4"/>
  <c r="J623" i="4"/>
  <c r="I623" i="4"/>
  <c r="H623" i="4"/>
  <c r="G623" i="4"/>
  <c r="F623" i="4"/>
  <c r="E623" i="4"/>
  <c r="D623" i="4"/>
  <c r="C623" i="4"/>
  <c r="B623" i="4"/>
  <c r="A623" i="4"/>
  <c r="M622" i="4"/>
  <c r="L622" i="4"/>
  <c r="K622" i="4"/>
  <c r="J622" i="4"/>
  <c r="I622" i="4"/>
  <c r="H622" i="4"/>
  <c r="G622" i="4"/>
  <c r="F622" i="4"/>
  <c r="E622" i="4"/>
  <c r="D622" i="4"/>
  <c r="C622" i="4"/>
  <c r="B622" i="4"/>
  <c r="A622" i="4"/>
  <c r="M621" i="4"/>
  <c r="L621" i="4"/>
  <c r="K621" i="4"/>
  <c r="J621" i="4"/>
  <c r="I621" i="4"/>
  <c r="H621" i="4"/>
  <c r="G621" i="4"/>
  <c r="F621" i="4"/>
  <c r="E621" i="4"/>
  <c r="D621" i="4"/>
  <c r="C621" i="4"/>
  <c r="B621" i="4"/>
  <c r="A621" i="4"/>
  <c r="M620" i="4"/>
  <c r="L620" i="4"/>
  <c r="K620" i="4"/>
  <c r="J620" i="4"/>
  <c r="I620" i="4"/>
  <c r="H620" i="4"/>
  <c r="G620" i="4"/>
  <c r="F620" i="4"/>
  <c r="E620" i="4"/>
  <c r="D620" i="4"/>
  <c r="C620" i="4"/>
  <c r="B620" i="4"/>
  <c r="A620" i="4"/>
  <c r="M619" i="4"/>
  <c r="L619" i="4"/>
  <c r="K619" i="4"/>
  <c r="J619" i="4"/>
  <c r="I619" i="4"/>
  <c r="H619" i="4"/>
  <c r="G619" i="4"/>
  <c r="F619" i="4"/>
  <c r="E619" i="4"/>
  <c r="D619" i="4"/>
  <c r="C619" i="4"/>
  <c r="B619" i="4"/>
  <c r="A619" i="4"/>
  <c r="M618" i="4"/>
  <c r="L618" i="4"/>
  <c r="K618" i="4"/>
  <c r="J618" i="4"/>
  <c r="I618" i="4"/>
  <c r="H618" i="4"/>
  <c r="G618" i="4"/>
  <c r="F618" i="4"/>
  <c r="E618" i="4"/>
  <c r="D618" i="4"/>
  <c r="C618" i="4"/>
  <c r="B618" i="4"/>
  <c r="A618" i="4"/>
  <c r="M617" i="4"/>
  <c r="L617" i="4"/>
  <c r="K617" i="4"/>
  <c r="J617" i="4"/>
  <c r="I617" i="4"/>
  <c r="H617" i="4"/>
  <c r="G617" i="4"/>
  <c r="F617" i="4"/>
  <c r="E617" i="4"/>
  <c r="D617" i="4"/>
  <c r="C617" i="4"/>
  <c r="B617" i="4"/>
  <c r="A617" i="4"/>
  <c r="M616" i="4"/>
  <c r="L616" i="4"/>
  <c r="K616" i="4"/>
  <c r="J616" i="4"/>
  <c r="I616" i="4"/>
  <c r="H616" i="4"/>
  <c r="G616" i="4"/>
  <c r="F616" i="4"/>
  <c r="E616" i="4"/>
  <c r="D616" i="4"/>
  <c r="C616" i="4"/>
  <c r="B616" i="4"/>
  <c r="A616" i="4"/>
  <c r="M615" i="4"/>
  <c r="L615" i="4"/>
  <c r="K615" i="4"/>
  <c r="J615" i="4"/>
  <c r="I615" i="4"/>
  <c r="H615" i="4"/>
  <c r="G615" i="4"/>
  <c r="F615" i="4"/>
  <c r="E615" i="4"/>
  <c r="D615" i="4"/>
  <c r="C615" i="4"/>
  <c r="B615" i="4"/>
  <c r="A615" i="4"/>
  <c r="M614" i="4"/>
  <c r="L614" i="4"/>
  <c r="K614" i="4"/>
  <c r="J614" i="4"/>
  <c r="I614" i="4"/>
  <c r="H614" i="4"/>
  <c r="G614" i="4"/>
  <c r="F614" i="4"/>
  <c r="E614" i="4"/>
  <c r="D614" i="4"/>
  <c r="C614" i="4"/>
  <c r="B614" i="4"/>
  <c r="A614" i="4"/>
  <c r="M613" i="4"/>
  <c r="L613" i="4"/>
  <c r="K613" i="4"/>
  <c r="J613" i="4"/>
  <c r="I613" i="4"/>
  <c r="H613" i="4"/>
  <c r="G613" i="4"/>
  <c r="F613" i="4"/>
  <c r="E613" i="4"/>
  <c r="D613" i="4"/>
  <c r="C613" i="4"/>
  <c r="B613" i="4"/>
  <c r="A613" i="4"/>
  <c r="M612" i="4"/>
  <c r="L612" i="4"/>
  <c r="K612" i="4"/>
  <c r="J612" i="4"/>
  <c r="I612" i="4"/>
  <c r="H612" i="4"/>
  <c r="G612" i="4"/>
  <c r="F612" i="4"/>
  <c r="E612" i="4"/>
  <c r="D612" i="4"/>
  <c r="C612" i="4"/>
  <c r="B612" i="4"/>
  <c r="A612" i="4"/>
  <c r="M611" i="4"/>
  <c r="L611" i="4"/>
  <c r="K611" i="4"/>
  <c r="J611" i="4"/>
  <c r="I611" i="4"/>
  <c r="H611" i="4"/>
  <c r="G611" i="4"/>
  <c r="F611" i="4"/>
  <c r="E611" i="4"/>
  <c r="D611" i="4"/>
  <c r="C611" i="4"/>
  <c r="B611" i="4"/>
  <c r="A611" i="4"/>
  <c r="M610" i="4"/>
  <c r="L610" i="4"/>
  <c r="K610" i="4"/>
  <c r="J610" i="4"/>
  <c r="I610" i="4"/>
  <c r="H610" i="4"/>
  <c r="G610" i="4"/>
  <c r="F610" i="4"/>
  <c r="E610" i="4"/>
  <c r="D610" i="4"/>
  <c r="C610" i="4"/>
  <c r="B610" i="4"/>
  <c r="A610" i="4"/>
  <c r="M609" i="4"/>
  <c r="L609" i="4"/>
  <c r="K609" i="4"/>
  <c r="J609" i="4"/>
  <c r="I609" i="4"/>
  <c r="H609" i="4"/>
  <c r="G609" i="4"/>
  <c r="F609" i="4"/>
  <c r="E609" i="4"/>
  <c r="D609" i="4"/>
  <c r="C609" i="4"/>
  <c r="B609" i="4"/>
  <c r="A609" i="4"/>
  <c r="M608" i="4"/>
  <c r="L608" i="4"/>
  <c r="K608" i="4"/>
  <c r="J608" i="4"/>
  <c r="I608" i="4"/>
  <c r="H608" i="4"/>
  <c r="G608" i="4"/>
  <c r="F608" i="4"/>
  <c r="E608" i="4"/>
  <c r="D608" i="4"/>
  <c r="C608" i="4"/>
  <c r="B608" i="4"/>
  <c r="A608" i="4"/>
  <c r="M607" i="4"/>
  <c r="L607" i="4"/>
  <c r="K607" i="4"/>
  <c r="J607" i="4"/>
  <c r="I607" i="4"/>
  <c r="H607" i="4"/>
  <c r="G607" i="4"/>
  <c r="F607" i="4"/>
  <c r="E607" i="4"/>
  <c r="D607" i="4"/>
  <c r="C607" i="4"/>
  <c r="B607" i="4"/>
  <c r="A607" i="4"/>
  <c r="M606" i="4"/>
  <c r="L606" i="4"/>
  <c r="K606" i="4"/>
  <c r="J606" i="4"/>
  <c r="I606" i="4"/>
  <c r="H606" i="4"/>
  <c r="G606" i="4"/>
  <c r="F606" i="4"/>
  <c r="E606" i="4"/>
  <c r="D606" i="4"/>
  <c r="C606" i="4"/>
  <c r="B606" i="4"/>
  <c r="A606" i="4"/>
  <c r="M605" i="4"/>
  <c r="L605" i="4"/>
  <c r="K605" i="4"/>
  <c r="J605" i="4"/>
  <c r="I605" i="4"/>
  <c r="H605" i="4"/>
  <c r="G605" i="4"/>
  <c r="F605" i="4"/>
  <c r="E605" i="4"/>
  <c r="D605" i="4"/>
  <c r="C605" i="4"/>
  <c r="B605" i="4"/>
  <c r="A605" i="4"/>
  <c r="M604" i="4"/>
  <c r="L604" i="4"/>
  <c r="K604" i="4"/>
  <c r="J604" i="4"/>
  <c r="I604" i="4"/>
  <c r="H604" i="4"/>
  <c r="G604" i="4"/>
  <c r="F604" i="4"/>
  <c r="E604" i="4"/>
  <c r="D604" i="4"/>
  <c r="C604" i="4"/>
  <c r="B604" i="4"/>
  <c r="A604" i="4"/>
  <c r="M603" i="4"/>
  <c r="L603" i="4"/>
  <c r="K603" i="4"/>
  <c r="J603" i="4"/>
  <c r="I603" i="4"/>
  <c r="H603" i="4"/>
  <c r="G603" i="4"/>
  <c r="F603" i="4"/>
  <c r="E603" i="4"/>
  <c r="D603" i="4"/>
  <c r="C603" i="4"/>
  <c r="B603" i="4"/>
  <c r="A603" i="4"/>
  <c r="M602" i="4"/>
  <c r="L602" i="4"/>
  <c r="K602" i="4"/>
  <c r="J602" i="4"/>
  <c r="I602" i="4"/>
  <c r="H602" i="4"/>
  <c r="G602" i="4"/>
  <c r="F602" i="4"/>
  <c r="E602" i="4"/>
  <c r="D602" i="4"/>
  <c r="C602" i="4"/>
  <c r="B602" i="4"/>
  <c r="A602" i="4"/>
  <c r="M601" i="4"/>
  <c r="L601" i="4"/>
  <c r="K601" i="4"/>
  <c r="J601" i="4"/>
  <c r="I601" i="4"/>
  <c r="H601" i="4"/>
  <c r="G601" i="4"/>
  <c r="F601" i="4"/>
  <c r="E601" i="4"/>
  <c r="D601" i="4"/>
  <c r="C601" i="4"/>
  <c r="B601" i="4"/>
  <c r="A601" i="4"/>
  <c r="M600" i="4"/>
  <c r="L600" i="4"/>
  <c r="K600" i="4"/>
  <c r="J600" i="4"/>
  <c r="I600" i="4"/>
  <c r="H600" i="4"/>
  <c r="G600" i="4"/>
  <c r="F600" i="4"/>
  <c r="E600" i="4"/>
  <c r="D600" i="4"/>
  <c r="C600" i="4"/>
  <c r="B600" i="4"/>
  <c r="A600" i="4"/>
  <c r="M599" i="4"/>
  <c r="L599" i="4"/>
  <c r="K599" i="4"/>
  <c r="J599" i="4"/>
  <c r="I599" i="4"/>
  <c r="H599" i="4"/>
  <c r="G599" i="4"/>
  <c r="F599" i="4"/>
  <c r="E599" i="4"/>
  <c r="D599" i="4"/>
  <c r="C599" i="4"/>
  <c r="B599" i="4"/>
  <c r="A599" i="4"/>
  <c r="M598" i="4"/>
  <c r="L598" i="4"/>
  <c r="K598" i="4"/>
  <c r="J598" i="4"/>
  <c r="I598" i="4"/>
  <c r="H598" i="4"/>
  <c r="G598" i="4"/>
  <c r="F598" i="4"/>
  <c r="E598" i="4"/>
  <c r="D598" i="4"/>
  <c r="C598" i="4"/>
  <c r="B598" i="4"/>
  <c r="A598" i="4"/>
  <c r="M597" i="4"/>
  <c r="L597" i="4"/>
  <c r="K597" i="4"/>
  <c r="J597" i="4"/>
  <c r="I597" i="4"/>
  <c r="H597" i="4"/>
  <c r="G597" i="4"/>
  <c r="F597" i="4"/>
  <c r="E597" i="4"/>
  <c r="D597" i="4"/>
  <c r="C597" i="4"/>
  <c r="B597" i="4"/>
  <c r="A597" i="4"/>
  <c r="M596" i="4"/>
  <c r="L596" i="4"/>
  <c r="K596" i="4"/>
  <c r="J596" i="4"/>
  <c r="I596" i="4"/>
  <c r="H596" i="4"/>
  <c r="G596" i="4"/>
  <c r="F596" i="4"/>
  <c r="E596" i="4"/>
  <c r="D596" i="4"/>
  <c r="C596" i="4"/>
  <c r="B596" i="4"/>
  <c r="A596" i="4"/>
  <c r="M595" i="4"/>
  <c r="L595" i="4"/>
  <c r="K595" i="4"/>
  <c r="J595" i="4"/>
  <c r="I595" i="4"/>
  <c r="H595" i="4"/>
  <c r="G595" i="4"/>
  <c r="F595" i="4"/>
  <c r="E595" i="4"/>
  <c r="D595" i="4"/>
  <c r="C595" i="4"/>
  <c r="B595" i="4"/>
  <c r="A595" i="4"/>
  <c r="M594" i="4"/>
  <c r="L594" i="4"/>
  <c r="K594" i="4"/>
  <c r="J594" i="4"/>
  <c r="I594" i="4"/>
  <c r="H594" i="4"/>
  <c r="G594" i="4"/>
  <c r="F594" i="4"/>
  <c r="E594" i="4"/>
  <c r="D594" i="4"/>
  <c r="C594" i="4"/>
  <c r="B594" i="4"/>
  <c r="A594" i="4"/>
  <c r="M593" i="4"/>
  <c r="L593" i="4"/>
  <c r="K593" i="4"/>
  <c r="J593" i="4"/>
  <c r="I593" i="4"/>
  <c r="H593" i="4"/>
  <c r="G593" i="4"/>
  <c r="F593" i="4"/>
  <c r="E593" i="4"/>
  <c r="D593" i="4"/>
  <c r="C593" i="4"/>
  <c r="B593" i="4"/>
  <c r="A593" i="4"/>
  <c r="M592" i="4"/>
  <c r="L592" i="4"/>
  <c r="K592" i="4"/>
  <c r="J592" i="4"/>
  <c r="I592" i="4"/>
  <c r="H592" i="4"/>
  <c r="G592" i="4"/>
  <c r="F592" i="4"/>
  <c r="E592" i="4"/>
  <c r="D592" i="4"/>
  <c r="C592" i="4"/>
  <c r="B592" i="4"/>
  <c r="A592" i="4"/>
  <c r="M591" i="4"/>
  <c r="L591" i="4"/>
  <c r="K591" i="4"/>
  <c r="J591" i="4"/>
  <c r="I591" i="4"/>
  <c r="H591" i="4"/>
  <c r="G591" i="4"/>
  <c r="F591" i="4"/>
  <c r="E591" i="4"/>
  <c r="D591" i="4"/>
  <c r="C591" i="4"/>
  <c r="B591" i="4"/>
  <c r="A591" i="4"/>
  <c r="M590" i="4"/>
  <c r="L590" i="4"/>
  <c r="K590" i="4"/>
  <c r="J590" i="4"/>
  <c r="I590" i="4"/>
  <c r="H590" i="4"/>
  <c r="G590" i="4"/>
  <c r="F590" i="4"/>
  <c r="E590" i="4"/>
  <c r="D590" i="4"/>
  <c r="C590" i="4"/>
  <c r="B590" i="4"/>
  <c r="A590" i="4"/>
  <c r="M589" i="4"/>
  <c r="L589" i="4"/>
  <c r="K589" i="4"/>
  <c r="J589" i="4"/>
  <c r="I589" i="4"/>
  <c r="H589" i="4"/>
  <c r="G589" i="4"/>
  <c r="F589" i="4"/>
  <c r="E589" i="4"/>
  <c r="D589" i="4"/>
  <c r="C589" i="4"/>
  <c r="B589" i="4"/>
  <c r="A589" i="4"/>
  <c r="M588" i="4"/>
  <c r="L588" i="4"/>
  <c r="K588" i="4"/>
  <c r="J588" i="4"/>
  <c r="I588" i="4"/>
  <c r="H588" i="4"/>
  <c r="G588" i="4"/>
  <c r="F588" i="4"/>
  <c r="E588" i="4"/>
  <c r="D588" i="4"/>
  <c r="C588" i="4"/>
  <c r="B588" i="4"/>
  <c r="A588" i="4"/>
  <c r="M587" i="4"/>
  <c r="L587" i="4"/>
  <c r="K587" i="4"/>
  <c r="J587" i="4"/>
  <c r="I587" i="4"/>
  <c r="H587" i="4"/>
  <c r="G587" i="4"/>
  <c r="F587" i="4"/>
  <c r="E587" i="4"/>
  <c r="D587" i="4"/>
  <c r="C587" i="4"/>
  <c r="B587" i="4"/>
  <c r="A587" i="4"/>
  <c r="M586" i="4"/>
  <c r="L586" i="4"/>
  <c r="K586" i="4"/>
  <c r="J586" i="4"/>
  <c r="I586" i="4"/>
  <c r="H586" i="4"/>
  <c r="G586" i="4"/>
  <c r="F586" i="4"/>
  <c r="E586" i="4"/>
  <c r="D586" i="4"/>
  <c r="C586" i="4"/>
  <c r="B586" i="4"/>
  <c r="A586" i="4"/>
  <c r="M585" i="4"/>
  <c r="L585" i="4"/>
  <c r="K585" i="4"/>
  <c r="J585" i="4"/>
  <c r="I585" i="4"/>
  <c r="H585" i="4"/>
  <c r="G585" i="4"/>
  <c r="F585" i="4"/>
  <c r="E585" i="4"/>
  <c r="D585" i="4"/>
  <c r="C585" i="4"/>
  <c r="B585" i="4"/>
  <c r="A585" i="4"/>
  <c r="M584" i="4"/>
  <c r="L584" i="4"/>
  <c r="K584" i="4"/>
  <c r="J584" i="4"/>
  <c r="I584" i="4"/>
  <c r="H584" i="4"/>
  <c r="G584" i="4"/>
  <c r="F584" i="4"/>
  <c r="E584" i="4"/>
  <c r="D584" i="4"/>
  <c r="C584" i="4"/>
  <c r="B584" i="4"/>
  <c r="A584" i="4"/>
  <c r="M583" i="4"/>
  <c r="L583" i="4"/>
  <c r="K583" i="4"/>
  <c r="J583" i="4"/>
  <c r="I583" i="4"/>
  <c r="H583" i="4"/>
  <c r="G583" i="4"/>
  <c r="F583" i="4"/>
  <c r="E583" i="4"/>
  <c r="D583" i="4"/>
  <c r="C583" i="4"/>
  <c r="B583" i="4"/>
  <c r="A583" i="4"/>
  <c r="M582" i="4"/>
  <c r="L582" i="4"/>
  <c r="K582" i="4"/>
  <c r="J582" i="4"/>
  <c r="I582" i="4"/>
  <c r="H582" i="4"/>
  <c r="G582" i="4"/>
  <c r="F582" i="4"/>
  <c r="E582" i="4"/>
  <c r="D582" i="4"/>
  <c r="C582" i="4"/>
  <c r="B582" i="4"/>
  <c r="A582" i="4"/>
  <c r="M581" i="4"/>
  <c r="L581" i="4"/>
  <c r="K581" i="4"/>
  <c r="J581" i="4"/>
  <c r="I581" i="4"/>
  <c r="H581" i="4"/>
  <c r="G581" i="4"/>
  <c r="F581" i="4"/>
  <c r="E581" i="4"/>
  <c r="D581" i="4"/>
  <c r="C581" i="4"/>
  <c r="B581" i="4"/>
  <c r="A581" i="4"/>
  <c r="M580" i="4"/>
  <c r="L580" i="4"/>
  <c r="K580" i="4"/>
  <c r="J580" i="4"/>
  <c r="I580" i="4"/>
  <c r="H580" i="4"/>
  <c r="G580" i="4"/>
  <c r="F580" i="4"/>
  <c r="E580" i="4"/>
  <c r="D580" i="4"/>
  <c r="C580" i="4"/>
  <c r="B580" i="4"/>
  <c r="A580" i="4"/>
  <c r="M579" i="4"/>
  <c r="L579" i="4"/>
  <c r="K579" i="4"/>
  <c r="J579" i="4"/>
  <c r="I579" i="4"/>
  <c r="H579" i="4"/>
  <c r="G579" i="4"/>
  <c r="F579" i="4"/>
  <c r="E579" i="4"/>
  <c r="D579" i="4"/>
  <c r="C579" i="4"/>
  <c r="B579" i="4"/>
  <c r="A579" i="4"/>
  <c r="M578" i="4"/>
  <c r="L578" i="4"/>
  <c r="K578" i="4"/>
  <c r="J578" i="4"/>
  <c r="I578" i="4"/>
  <c r="H578" i="4"/>
  <c r="G578" i="4"/>
  <c r="F578" i="4"/>
  <c r="E578" i="4"/>
  <c r="D578" i="4"/>
  <c r="C578" i="4"/>
  <c r="B578" i="4"/>
  <c r="A578" i="4"/>
  <c r="M577" i="4"/>
  <c r="L577" i="4"/>
  <c r="K577" i="4"/>
  <c r="J577" i="4"/>
  <c r="I577" i="4"/>
  <c r="H577" i="4"/>
  <c r="G577" i="4"/>
  <c r="F577" i="4"/>
  <c r="E577" i="4"/>
  <c r="D577" i="4"/>
  <c r="C577" i="4"/>
  <c r="B577" i="4"/>
  <c r="A577" i="4"/>
  <c r="M576" i="4"/>
  <c r="L576" i="4"/>
  <c r="K576" i="4"/>
  <c r="J576" i="4"/>
  <c r="I576" i="4"/>
  <c r="H576" i="4"/>
  <c r="G576" i="4"/>
  <c r="F576" i="4"/>
  <c r="E576" i="4"/>
  <c r="D576" i="4"/>
  <c r="C576" i="4"/>
  <c r="B576" i="4"/>
  <c r="A576" i="4"/>
  <c r="M575" i="4"/>
  <c r="L575" i="4"/>
  <c r="K575" i="4"/>
  <c r="J575" i="4"/>
  <c r="I575" i="4"/>
  <c r="H575" i="4"/>
  <c r="G575" i="4"/>
  <c r="F575" i="4"/>
  <c r="E575" i="4"/>
  <c r="D575" i="4"/>
  <c r="C575" i="4"/>
  <c r="B575" i="4"/>
  <c r="A575" i="4"/>
  <c r="M574" i="4"/>
  <c r="L574" i="4"/>
  <c r="K574" i="4"/>
  <c r="J574" i="4"/>
  <c r="I574" i="4"/>
  <c r="H574" i="4"/>
  <c r="G574" i="4"/>
  <c r="F574" i="4"/>
  <c r="E574" i="4"/>
  <c r="D574" i="4"/>
  <c r="C574" i="4"/>
  <c r="B574" i="4"/>
  <c r="A574" i="4"/>
  <c r="M573" i="4"/>
  <c r="L573" i="4"/>
  <c r="K573" i="4"/>
  <c r="J573" i="4"/>
  <c r="I573" i="4"/>
  <c r="H573" i="4"/>
  <c r="G573" i="4"/>
  <c r="F573" i="4"/>
  <c r="E573" i="4"/>
  <c r="D573" i="4"/>
  <c r="C573" i="4"/>
  <c r="B573" i="4"/>
  <c r="A573" i="4"/>
  <c r="M572" i="4"/>
  <c r="L572" i="4"/>
  <c r="K572" i="4"/>
  <c r="J572" i="4"/>
  <c r="I572" i="4"/>
  <c r="H572" i="4"/>
  <c r="G572" i="4"/>
  <c r="F572" i="4"/>
  <c r="E572" i="4"/>
  <c r="D572" i="4"/>
  <c r="C572" i="4"/>
  <c r="B572" i="4"/>
  <c r="A572" i="4"/>
  <c r="M571" i="4"/>
  <c r="L571" i="4"/>
  <c r="K571" i="4"/>
  <c r="J571" i="4"/>
  <c r="I571" i="4"/>
  <c r="H571" i="4"/>
  <c r="G571" i="4"/>
  <c r="F571" i="4"/>
  <c r="E571" i="4"/>
  <c r="D571" i="4"/>
  <c r="C571" i="4"/>
  <c r="B571" i="4"/>
  <c r="A571" i="4"/>
  <c r="M570" i="4"/>
  <c r="L570" i="4"/>
  <c r="K570" i="4"/>
  <c r="J570" i="4"/>
  <c r="I570" i="4"/>
  <c r="H570" i="4"/>
  <c r="G570" i="4"/>
  <c r="F570" i="4"/>
  <c r="E570" i="4"/>
  <c r="D570" i="4"/>
  <c r="C570" i="4"/>
  <c r="B570" i="4"/>
  <c r="A570" i="4"/>
  <c r="M569" i="4"/>
  <c r="L569" i="4"/>
  <c r="K569" i="4"/>
  <c r="J569" i="4"/>
  <c r="I569" i="4"/>
  <c r="H569" i="4"/>
  <c r="G569" i="4"/>
  <c r="F569" i="4"/>
  <c r="E569" i="4"/>
  <c r="D569" i="4"/>
  <c r="C569" i="4"/>
  <c r="B569" i="4"/>
  <c r="A569" i="4"/>
  <c r="M568" i="4"/>
  <c r="L568" i="4"/>
  <c r="K568" i="4"/>
  <c r="J568" i="4"/>
  <c r="I568" i="4"/>
  <c r="H568" i="4"/>
  <c r="G568" i="4"/>
  <c r="F568" i="4"/>
  <c r="E568" i="4"/>
  <c r="D568" i="4"/>
  <c r="C568" i="4"/>
  <c r="B568" i="4"/>
  <c r="A568" i="4"/>
  <c r="M567" i="4"/>
  <c r="L567" i="4"/>
  <c r="K567" i="4"/>
  <c r="J567" i="4"/>
  <c r="I567" i="4"/>
  <c r="H567" i="4"/>
  <c r="G567" i="4"/>
  <c r="F567" i="4"/>
  <c r="E567" i="4"/>
  <c r="D567" i="4"/>
  <c r="C567" i="4"/>
  <c r="B567" i="4"/>
  <c r="A567" i="4"/>
  <c r="M566" i="4"/>
  <c r="L566" i="4"/>
  <c r="K566" i="4"/>
  <c r="J566" i="4"/>
  <c r="I566" i="4"/>
  <c r="H566" i="4"/>
  <c r="G566" i="4"/>
  <c r="F566" i="4"/>
  <c r="E566" i="4"/>
  <c r="D566" i="4"/>
  <c r="C566" i="4"/>
  <c r="B566" i="4"/>
  <c r="A566" i="4"/>
  <c r="M565" i="4"/>
  <c r="L565" i="4"/>
  <c r="K565" i="4"/>
  <c r="J565" i="4"/>
  <c r="I565" i="4"/>
  <c r="H565" i="4"/>
  <c r="G565" i="4"/>
  <c r="F565" i="4"/>
  <c r="E565" i="4"/>
  <c r="D565" i="4"/>
  <c r="C565" i="4"/>
  <c r="B565" i="4"/>
  <c r="A565" i="4"/>
  <c r="M564" i="4"/>
  <c r="L564" i="4"/>
  <c r="K564" i="4"/>
  <c r="J564" i="4"/>
  <c r="I564" i="4"/>
  <c r="H564" i="4"/>
  <c r="G564" i="4"/>
  <c r="F564" i="4"/>
  <c r="E564" i="4"/>
  <c r="D564" i="4"/>
  <c r="C564" i="4"/>
  <c r="B564" i="4"/>
  <c r="A564" i="4"/>
  <c r="M563" i="4"/>
  <c r="L563" i="4"/>
  <c r="K563" i="4"/>
  <c r="J563" i="4"/>
  <c r="I563" i="4"/>
  <c r="H563" i="4"/>
  <c r="G563" i="4"/>
  <c r="F563" i="4"/>
  <c r="E563" i="4"/>
  <c r="D563" i="4"/>
  <c r="C563" i="4"/>
  <c r="B563" i="4"/>
  <c r="A563" i="4"/>
  <c r="M562" i="4"/>
  <c r="L562" i="4"/>
  <c r="K562" i="4"/>
  <c r="J562" i="4"/>
  <c r="I562" i="4"/>
  <c r="H562" i="4"/>
  <c r="G562" i="4"/>
  <c r="F562" i="4"/>
  <c r="E562" i="4"/>
  <c r="D562" i="4"/>
  <c r="C562" i="4"/>
  <c r="B562" i="4"/>
  <c r="A562" i="4"/>
  <c r="M561" i="4"/>
  <c r="L561" i="4"/>
  <c r="K561" i="4"/>
  <c r="J561" i="4"/>
  <c r="I561" i="4"/>
  <c r="H561" i="4"/>
  <c r="G561" i="4"/>
  <c r="F561" i="4"/>
  <c r="E561" i="4"/>
  <c r="D561" i="4"/>
  <c r="C561" i="4"/>
  <c r="B561" i="4"/>
  <c r="A561" i="4"/>
  <c r="M560" i="4"/>
  <c r="L560" i="4"/>
  <c r="K560" i="4"/>
  <c r="J560" i="4"/>
  <c r="I560" i="4"/>
  <c r="H560" i="4"/>
  <c r="G560" i="4"/>
  <c r="F560" i="4"/>
  <c r="E560" i="4"/>
  <c r="D560" i="4"/>
  <c r="C560" i="4"/>
  <c r="B560" i="4"/>
  <c r="A560" i="4"/>
  <c r="M559" i="4"/>
  <c r="L559" i="4"/>
  <c r="K559" i="4"/>
  <c r="J559" i="4"/>
  <c r="I559" i="4"/>
  <c r="H559" i="4"/>
  <c r="G559" i="4"/>
  <c r="F559" i="4"/>
  <c r="E559" i="4"/>
  <c r="D559" i="4"/>
  <c r="C559" i="4"/>
  <c r="B559" i="4"/>
  <c r="A559" i="4"/>
  <c r="M558" i="4"/>
  <c r="L558" i="4"/>
  <c r="K558" i="4"/>
  <c r="J558" i="4"/>
  <c r="I558" i="4"/>
  <c r="H558" i="4"/>
  <c r="G558" i="4"/>
  <c r="F558" i="4"/>
  <c r="E558" i="4"/>
  <c r="D558" i="4"/>
  <c r="C558" i="4"/>
  <c r="B558" i="4"/>
  <c r="A558" i="4"/>
  <c r="M557" i="4"/>
  <c r="L557" i="4"/>
  <c r="K557" i="4"/>
  <c r="J557" i="4"/>
  <c r="I557" i="4"/>
  <c r="H557" i="4"/>
  <c r="G557" i="4"/>
  <c r="F557" i="4"/>
  <c r="E557" i="4"/>
  <c r="D557" i="4"/>
  <c r="C557" i="4"/>
  <c r="B557" i="4"/>
  <c r="A557" i="4"/>
  <c r="M556" i="4"/>
  <c r="L556" i="4"/>
  <c r="K556" i="4"/>
  <c r="J556" i="4"/>
  <c r="I556" i="4"/>
  <c r="H556" i="4"/>
  <c r="G556" i="4"/>
  <c r="F556" i="4"/>
  <c r="E556" i="4"/>
  <c r="D556" i="4"/>
  <c r="C556" i="4"/>
  <c r="B556" i="4"/>
  <c r="A556" i="4"/>
  <c r="M555" i="4"/>
  <c r="L555" i="4"/>
  <c r="K555" i="4"/>
  <c r="J555" i="4"/>
  <c r="I555" i="4"/>
  <c r="H555" i="4"/>
  <c r="G555" i="4"/>
  <c r="F555" i="4"/>
  <c r="E555" i="4"/>
  <c r="D555" i="4"/>
  <c r="C555" i="4"/>
  <c r="B555" i="4"/>
  <c r="A555" i="4"/>
  <c r="M554" i="4"/>
  <c r="L554" i="4"/>
  <c r="K554" i="4"/>
  <c r="J554" i="4"/>
  <c r="I554" i="4"/>
  <c r="H554" i="4"/>
  <c r="G554" i="4"/>
  <c r="F554" i="4"/>
  <c r="E554" i="4"/>
  <c r="D554" i="4"/>
  <c r="C554" i="4"/>
  <c r="B554" i="4"/>
  <c r="A554" i="4"/>
  <c r="M553" i="4"/>
  <c r="L553" i="4"/>
  <c r="K553" i="4"/>
  <c r="J553" i="4"/>
  <c r="I553" i="4"/>
  <c r="H553" i="4"/>
  <c r="G553" i="4"/>
  <c r="F553" i="4"/>
  <c r="E553" i="4"/>
  <c r="D553" i="4"/>
  <c r="C553" i="4"/>
  <c r="B553" i="4"/>
  <c r="A553" i="4"/>
  <c r="M552" i="4"/>
  <c r="L552" i="4"/>
  <c r="K552" i="4"/>
  <c r="J552" i="4"/>
  <c r="I552" i="4"/>
  <c r="H552" i="4"/>
  <c r="G552" i="4"/>
  <c r="F552" i="4"/>
  <c r="E552" i="4"/>
  <c r="D552" i="4"/>
  <c r="C552" i="4"/>
  <c r="B552" i="4"/>
  <c r="A552" i="4"/>
  <c r="M551" i="4"/>
  <c r="L551" i="4"/>
  <c r="K551" i="4"/>
  <c r="J551" i="4"/>
  <c r="I551" i="4"/>
  <c r="H551" i="4"/>
  <c r="G551" i="4"/>
  <c r="F551" i="4"/>
  <c r="E551" i="4"/>
  <c r="D551" i="4"/>
  <c r="C551" i="4"/>
  <c r="B551" i="4"/>
  <c r="A551" i="4"/>
  <c r="M550" i="4"/>
  <c r="L550" i="4"/>
  <c r="K550" i="4"/>
  <c r="J550" i="4"/>
  <c r="I550" i="4"/>
  <c r="H550" i="4"/>
  <c r="G550" i="4"/>
  <c r="F550" i="4"/>
  <c r="E550" i="4"/>
  <c r="D550" i="4"/>
  <c r="C550" i="4"/>
  <c r="B550" i="4"/>
  <c r="A550" i="4"/>
  <c r="M549" i="4"/>
  <c r="L549" i="4"/>
  <c r="K549" i="4"/>
  <c r="J549" i="4"/>
  <c r="I549" i="4"/>
  <c r="H549" i="4"/>
  <c r="G549" i="4"/>
  <c r="F549" i="4"/>
  <c r="E549" i="4"/>
  <c r="D549" i="4"/>
  <c r="C549" i="4"/>
  <c r="B549" i="4"/>
  <c r="A549" i="4"/>
  <c r="M548" i="4"/>
  <c r="L548" i="4"/>
  <c r="K548" i="4"/>
  <c r="J548" i="4"/>
  <c r="I548" i="4"/>
  <c r="H548" i="4"/>
  <c r="G548" i="4"/>
  <c r="F548" i="4"/>
  <c r="E548" i="4"/>
  <c r="D548" i="4"/>
  <c r="C548" i="4"/>
  <c r="B548" i="4"/>
  <c r="A548" i="4"/>
  <c r="M547" i="4"/>
  <c r="L547" i="4"/>
  <c r="K547" i="4"/>
  <c r="J547" i="4"/>
  <c r="I547" i="4"/>
  <c r="H547" i="4"/>
  <c r="G547" i="4"/>
  <c r="F547" i="4"/>
  <c r="E547" i="4"/>
  <c r="D547" i="4"/>
  <c r="C547" i="4"/>
  <c r="B547" i="4"/>
  <c r="A547" i="4"/>
  <c r="M546" i="4"/>
  <c r="L546" i="4"/>
  <c r="K546" i="4"/>
  <c r="J546" i="4"/>
  <c r="I546" i="4"/>
  <c r="H546" i="4"/>
  <c r="G546" i="4"/>
  <c r="F546" i="4"/>
  <c r="E546" i="4"/>
  <c r="D546" i="4"/>
  <c r="C546" i="4"/>
  <c r="B546" i="4"/>
  <c r="A546" i="4"/>
  <c r="M545" i="4"/>
  <c r="L545" i="4"/>
  <c r="K545" i="4"/>
  <c r="J545" i="4"/>
  <c r="I545" i="4"/>
  <c r="H545" i="4"/>
  <c r="G545" i="4"/>
  <c r="F545" i="4"/>
  <c r="D545" i="4"/>
  <c r="C545" i="4"/>
  <c r="B545" i="4"/>
  <c r="A545" i="4"/>
  <c r="M544" i="4"/>
  <c r="L544" i="4"/>
  <c r="K544" i="4"/>
  <c r="J544" i="4"/>
  <c r="I544" i="4"/>
  <c r="H544" i="4"/>
  <c r="G544" i="4"/>
  <c r="F544" i="4"/>
  <c r="E544" i="4"/>
  <c r="D544" i="4"/>
  <c r="C544" i="4"/>
  <c r="B544" i="4"/>
  <c r="A544" i="4"/>
  <c r="M543" i="4"/>
  <c r="L543" i="4"/>
  <c r="K543" i="4"/>
  <c r="J543" i="4"/>
  <c r="I543" i="4"/>
  <c r="H543" i="4"/>
  <c r="G543" i="4"/>
  <c r="F543" i="4"/>
  <c r="E543" i="4"/>
  <c r="D543" i="4"/>
  <c r="C543" i="4"/>
  <c r="B543" i="4"/>
  <c r="A543" i="4"/>
  <c r="M542" i="4"/>
  <c r="L542" i="4"/>
  <c r="K542" i="4"/>
  <c r="J542" i="4"/>
  <c r="I542" i="4"/>
  <c r="H542" i="4"/>
  <c r="G542" i="4"/>
  <c r="F542" i="4"/>
  <c r="E542" i="4"/>
  <c r="D542" i="4"/>
  <c r="C542" i="4"/>
  <c r="B542" i="4"/>
  <c r="A542" i="4"/>
  <c r="M541" i="4"/>
  <c r="L541" i="4"/>
  <c r="K541" i="4"/>
  <c r="J541" i="4"/>
  <c r="I541" i="4"/>
  <c r="H541" i="4"/>
  <c r="G541" i="4"/>
  <c r="F541" i="4"/>
  <c r="E541" i="4"/>
  <c r="D541" i="4"/>
  <c r="C541" i="4"/>
  <c r="B541" i="4"/>
  <c r="A541" i="4"/>
  <c r="M540" i="4"/>
  <c r="L540" i="4"/>
  <c r="K540" i="4"/>
  <c r="J540" i="4"/>
  <c r="I540" i="4"/>
  <c r="H540" i="4"/>
  <c r="G540" i="4"/>
  <c r="F540" i="4"/>
  <c r="E540" i="4"/>
  <c r="D540" i="4"/>
  <c r="C540" i="4"/>
  <c r="B540" i="4"/>
  <c r="A540" i="4"/>
  <c r="M539" i="4"/>
  <c r="L539" i="4"/>
  <c r="K539" i="4"/>
  <c r="J539" i="4"/>
  <c r="I539" i="4"/>
  <c r="H539" i="4"/>
  <c r="G539" i="4"/>
  <c r="F539" i="4"/>
  <c r="E539" i="4"/>
  <c r="D539" i="4"/>
  <c r="C539" i="4"/>
  <c r="B539" i="4"/>
  <c r="A539" i="4"/>
  <c r="M538" i="4"/>
  <c r="L538" i="4"/>
  <c r="K538" i="4"/>
  <c r="J538" i="4"/>
  <c r="I538" i="4"/>
  <c r="H538" i="4"/>
  <c r="G538" i="4"/>
  <c r="F538" i="4"/>
  <c r="E538" i="4"/>
  <c r="D538" i="4"/>
  <c r="C538" i="4"/>
  <c r="B538" i="4"/>
  <c r="A538" i="4"/>
  <c r="M537" i="4"/>
  <c r="L537" i="4"/>
  <c r="K537" i="4"/>
  <c r="J537" i="4"/>
  <c r="I537" i="4"/>
  <c r="H537" i="4"/>
  <c r="G537" i="4"/>
  <c r="F537" i="4"/>
  <c r="E537" i="4"/>
  <c r="D537" i="4"/>
  <c r="C537" i="4"/>
  <c r="B537" i="4"/>
  <c r="A537" i="4"/>
  <c r="M536" i="4"/>
  <c r="L536" i="4"/>
  <c r="K536" i="4"/>
  <c r="J536" i="4"/>
  <c r="I536" i="4"/>
  <c r="H536" i="4"/>
  <c r="G536" i="4"/>
  <c r="F536" i="4"/>
  <c r="E536" i="4"/>
  <c r="D536" i="4"/>
  <c r="C536" i="4"/>
  <c r="B536" i="4"/>
  <c r="A536" i="4"/>
  <c r="M535" i="4"/>
  <c r="L535" i="4"/>
  <c r="K535" i="4"/>
  <c r="J535" i="4"/>
  <c r="I535" i="4"/>
  <c r="H535" i="4"/>
  <c r="G535" i="4"/>
  <c r="F535" i="4"/>
  <c r="E535" i="4"/>
  <c r="D535" i="4"/>
  <c r="C535" i="4"/>
  <c r="B535" i="4"/>
  <c r="A535" i="4"/>
  <c r="M534" i="4"/>
  <c r="L534" i="4"/>
  <c r="K534" i="4"/>
  <c r="J534" i="4"/>
  <c r="I534" i="4"/>
  <c r="H534" i="4"/>
  <c r="G534" i="4"/>
  <c r="F534" i="4"/>
  <c r="E534" i="4"/>
  <c r="D534" i="4"/>
  <c r="C534" i="4"/>
  <c r="B534" i="4"/>
  <c r="A534" i="4"/>
  <c r="M533" i="4"/>
  <c r="L533" i="4"/>
  <c r="K533" i="4"/>
  <c r="J533" i="4"/>
  <c r="I533" i="4"/>
  <c r="H533" i="4"/>
  <c r="G533" i="4"/>
  <c r="F533" i="4"/>
  <c r="E533" i="4"/>
  <c r="D533" i="4"/>
  <c r="C533" i="4"/>
  <c r="B533" i="4"/>
  <c r="A533" i="4"/>
  <c r="M532" i="4"/>
  <c r="L532" i="4"/>
  <c r="K532" i="4"/>
  <c r="J532" i="4"/>
  <c r="I532" i="4"/>
  <c r="H532" i="4"/>
  <c r="G532" i="4"/>
  <c r="F532" i="4"/>
  <c r="E532" i="4"/>
  <c r="D532" i="4"/>
  <c r="C532" i="4"/>
  <c r="B532" i="4"/>
  <c r="A532" i="4"/>
  <c r="M531" i="4"/>
  <c r="L531" i="4"/>
  <c r="K531" i="4"/>
  <c r="J531" i="4"/>
  <c r="I531" i="4"/>
  <c r="H531" i="4"/>
  <c r="G531" i="4"/>
  <c r="F531" i="4"/>
  <c r="E531" i="4"/>
  <c r="D531" i="4"/>
  <c r="C531" i="4"/>
  <c r="B531" i="4"/>
  <c r="A531" i="4"/>
  <c r="M530" i="4"/>
  <c r="L530" i="4"/>
  <c r="K530" i="4"/>
  <c r="J530" i="4"/>
  <c r="I530" i="4"/>
  <c r="H530" i="4"/>
  <c r="G530" i="4"/>
  <c r="F530" i="4"/>
  <c r="E530" i="4"/>
  <c r="D530" i="4"/>
  <c r="C530" i="4"/>
  <c r="B530" i="4"/>
  <c r="A530" i="4"/>
  <c r="M529" i="4"/>
  <c r="L529" i="4"/>
  <c r="K529" i="4"/>
  <c r="J529" i="4"/>
  <c r="I529" i="4"/>
  <c r="H529" i="4"/>
  <c r="G529" i="4"/>
  <c r="F529" i="4"/>
  <c r="E529" i="4"/>
  <c r="D529" i="4"/>
  <c r="C529" i="4"/>
  <c r="B529" i="4"/>
  <c r="A529" i="4"/>
  <c r="M528" i="4"/>
  <c r="L528" i="4"/>
  <c r="K528" i="4"/>
  <c r="J528" i="4"/>
  <c r="I528" i="4"/>
  <c r="H528" i="4"/>
  <c r="G528" i="4"/>
  <c r="F528" i="4"/>
  <c r="E528" i="4"/>
  <c r="D528" i="4"/>
  <c r="C528" i="4"/>
  <c r="B528" i="4"/>
  <c r="A528" i="4"/>
  <c r="M527" i="4"/>
  <c r="L527" i="4"/>
  <c r="K527" i="4"/>
  <c r="J527" i="4"/>
  <c r="I527" i="4"/>
  <c r="H527" i="4"/>
  <c r="G527" i="4"/>
  <c r="F527" i="4"/>
  <c r="E527" i="4"/>
  <c r="D527" i="4"/>
  <c r="C527" i="4"/>
  <c r="B527" i="4"/>
  <c r="A527" i="4"/>
  <c r="M526" i="4"/>
  <c r="L526" i="4"/>
  <c r="K526" i="4"/>
  <c r="J526" i="4"/>
  <c r="I526" i="4"/>
  <c r="H526" i="4"/>
  <c r="G526" i="4"/>
  <c r="F526" i="4"/>
  <c r="E526" i="4"/>
  <c r="D526" i="4"/>
  <c r="C526" i="4"/>
  <c r="B526" i="4"/>
  <c r="A526" i="4"/>
  <c r="M525" i="4"/>
  <c r="L525" i="4"/>
  <c r="K525" i="4"/>
  <c r="J525" i="4"/>
  <c r="I525" i="4"/>
  <c r="H525" i="4"/>
  <c r="G525" i="4"/>
  <c r="F525" i="4"/>
  <c r="E525" i="4"/>
  <c r="D525" i="4"/>
  <c r="C525" i="4"/>
  <c r="B525" i="4"/>
  <c r="A525" i="4"/>
  <c r="M524" i="4"/>
  <c r="L524" i="4"/>
  <c r="K524" i="4"/>
  <c r="J524" i="4"/>
  <c r="I524" i="4"/>
  <c r="H524" i="4"/>
  <c r="G524" i="4"/>
  <c r="F524" i="4"/>
  <c r="E524" i="4"/>
  <c r="D524" i="4"/>
  <c r="C524" i="4"/>
  <c r="B524" i="4"/>
  <c r="A524" i="4"/>
  <c r="M523" i="4"/>
  <c r="L523" i="4"/>
  <c r="K523" i="4"/>
  <c r="J523" i="4"/>
  <c r="I523" i="4"/>
  <c r="H523" i="4"/>
  <c r="G523" i="4"/>
  <c r="F523" i="4"/>
  <c r="E523" i="4"/>
  <c r="D523" i="4"/>
  <c r="C523" i="4"/>
  <c r="B523" i="4"/>
  <c r="A523" i="4"/>
  <c r="M522" i="4"/>
  <c r="L522" i="4"/>
  <c r="K522" i="4"/>
  <c r="J522" i="4"/>
  <c r="I522" i="4"/>
  <c r="H522" i="4"/>
  <c r="G522" i="4"/>
  <c r="F522" i="4"/>
  <c r="E522" i="4"/>
  <c r="D522" i="4"/>
  <c r="C522" i="4"/>
  <c r="B522" i="4"/>
  <c r="A522" i="4"/>
  <c r="M521" i="4"/>
  <c r="L521" i="4"/>
  <c r="K521" i="4"/>
  <c r="J521" i="4"/>
  <c r="I521" i="4"/>
  <c r="H521" i="4"/>
  <c r="G521" i="4"/>
  <c r="F521" i="4"/>
  <c r="E521" i="4"/>
  <c r="D521" i="4"/>
  <c r="C521" i="4"/>
  <c r="B521" i="4"/>
  <c r="A521" i="4"/>
  <c r="M520" i="4"/>
  <c r="L520" i="4"/>
  <c r="K520" i="4"/>
  <c r="J520" i="4"/>
  <c r="I520" i="4"/>
  <c r="H520" i="4"/>
  <c r="G520" i="4"/>
  <c r="F520" i="4"/>
  <c r="E520" i="4"/>
  <c r="D520" i="4"/>
  <c r="C520" i="4"/>
  <c r="B520" i="4"/>
  <c r="A520" i="4"/>
  <c r="M519" i="4"/>
  <c r="L519" i="4"/>
  <c r="K519" i="4"/>
  <c r="J519" i="4"/>
  <c r="I519" i="4"/>
  <c r="H519" i="4"/>
  <c r="G519" i="4"/>
  <c r="F519" i="4"/>
  <c r="E519" i="4"/>
  <c r="D519" i="4"/>
  <c r="C519" i="4"/>
  <c r="B519" i="4"/>
  <c r="A519" i="4"/>
  <c r="M518" i="4"/>
  <c r="L518" i="4"/>
  <c r="K518" i="4"/>
  <c r="J518" i="4"/>
  <c r="I518" i="4"/>
  <c r="H518" i="4"/>
  <c r="G518" i="4"/>
  <c r="F518" i="4"/>
  <c r="E518" i="4"/>
  <c r="D518" i="4"/>
  <c r="C518" i="4"/>
  <c r="B518" i="4"/>
  <c r="A518" i="4"/>
  <c r="M517" i="4"/>
  <c r="L517" i="4"/>
  <c r="K517" i="4"/>
  <c r="J517" i="4"/>
  <c r="I517" i="4"/>
  <c r="H517" i="4"/>
  <c r="G517" i="4"/>
  <c r="F517" i="4"/>
  <c r="E517" i="4"/>
  <c r="D517" i="4"/>
  <c r="C517" i="4"/>
  <c r="B517" i="4"/>
  <c r="A517" i="4"/>
  <c r="M516" i="4"/>
  <c r="L516" i="4"/>
  <c r="K516" i="4"/>
  <c r="J516" i="4"/>
  <c r="I516" i="4"/>
  <c r="H516" i="4"/>
  <c r="G516" i="4"/>
  <c r="F516" i="4"/>
  <c r="E516" i="4"/>
  <c r="D516" i="4"/>
  <c r="C516" i="4"/>
  <c r="B516" i="4"/>
  <c r="A516" i="4"/>
  <c r="M515" i="4"/>
  <c r="L515" i="4"/>
  <c r="K515" i="4"/>
  <c r="J515" i="4"/>
  <c r="I515" i="4"/>
  <c r="H515" i="4"/>
  <c r="G515" i="4"/>
  <c r="F515" i="4"/>
  <c r="E515" i="4"/>
  <c r="D515" i="4"/>
  <c r="C515" i="4"/>
  <c r="B515" i="4"/>
  <c r="A515" i="4"/>
  <c r="M514" i="4"/>
  <c r="L514" i="4"/>
  <c r="K514" i="4"/>
  <c r="J514" i="4"/>
  <c r="I514" i="4"/>
  <c r="H514" i="4"/>
  <c r="G514" i="4"/>
  <c r="F514" i="4"/>
  <c r="E514" i="4"/>
  <c r="D514" i="4"/>
  <c r="C514" i="4"/>
  <c r="B514" i="4"/>
  <c r="A514" i="4"/>
  <c r="M513" i="4"/>
  <c r="L513" i="4"/>
  <c r="K513" i="4"/>
  <c r="J513" i="4"/>
  <c r="I513" i="4"/>
  <c r="H513" i="4"/>
  <c r="G513" i="4"/>
  <c r="F513" i="4"/>
  <c r="E513" i="4"/>
  <c r="D513" i="4"/>
  <c r="C513" i="4"/>
  <c r="B513" i="4"/>
  <c r="A513" i="4"/>
  <c r="M512" i="4"/>
  <c r="L512" i="4"/>
  <c r="K512" i="4"/>
  <c r="J512" i="4"/>
  <c r="I512" i="4"/>
  <c r="H512" i="4"/>
  <c r="G512" i="4"/>
  <c r="F512" i="4"/>
  <c r="E512" i="4"/>
  <c r="D512" i="4"/>
  <c r="C512" i="4"/>
  <c r="B512" i="4"/>
  <c r="A512" i="4"/>
  <c r="M511" i="4"/>
  <c r="L511" i="4"/>
  <c r="K511" i="4"/>
  <c r="J511" i="4"/>
  <c r="I511" i="4"/>
  <c r="H511" i="4"/>
  <c r="G511" i="4"/>
  <c r="F511" i="4"/>
  <c r="E511" i="4"/>
  <c r="D511" i="4"/>
  <c r="C511" i="4"/>
  <c r="B511" i="4"/>
  <c r="A511" i="4"/>
  <c r="M510" i="4"/>
  <c r="L510" i="4"/>
  <c r="K510" i="4"/>
  <c r="J510" i="4"/>
  <c r="I510" i="4"/>
  <c r="H510" i="4"/>
  <c r="G510" i="4"/>
  <c r="F510" i="4"/>
  <c r="E510" i="4"/>
  <c r="D510" i="4"/>
  <c r="C510" i="4"/>
  <c r="B510" i="4"/>
  <c r="A510" i="4"/>
  <c r="M509" i="4"/>
  <c r="L509" i="4"/>
  <c r="K509" i="4"/>
  <c r="J509" i="4"/>
  <c r="I509" i="4"/>
  <c r="H509" i="4"/>
  <c r="G509" i="4"/>
  <c r="F509" i="4"/>
  <c r="E509" i="4"/>
  <c r="D509" i="4"/>
  <c r="C509" i="4"/>
  <c r="B509" i="4"/>
  <c r="A509" i="4"/>
  <c r="M508" i="4"/>
  <c r="L508" i="4"/>
  <c r="K508" i="4"/>
  <c r="J508" i="4"/>
  <c r="I508" i="4"/>
  <c r="H508" i="4"/>
  <c r="G508" i="4"/>
  <c r="F508" i="4"/>
  <c r="E508" i="4"/>
  <c r="D508" i="4"/>
  <c r="C508" i="4"/>
  <c r="B508" i="4"/>
  <c r="A508" i="4"/>
  <c r="M507" i="4"/>
  <c r="L507" i="4"/>
  <c r="K507" i="4"/>
  <c r="J507" i="4"/>
  <c r="I507" i="4"/>
  <c r="H507" i="4"/>
  <c r="G507" i="4"/>
  <c r="F507" i="4"/>
  <c r="E507" i="4"/>
  <c r="D507" i="4"/>
  <c r="C507" i="4"/>
  <c r="B507" i="4"/>
  <c r="A507" i="4"/>
  <c r="M506" i="4"/>
  <c r="L506" i="4"/>
  <c r="K506" i="4"/>
  <c r="J506" i="4"/>
  <c r="I506" i="4"/>
  <c r="H506" i="4"/>
  <c r="G506" i="4"/>
  <c r="F506" i="4"/>
  <c r="E506" i="4"/>
  <c r="D506" i="4"/>
  <c r="C506" i="4"/>
  <c r="B506" i="4"/>
  <c r="A506" i="4"/>
  <c r="M505" i="4"/>
  <c r="L505" i="4"/>
  <c r="K505" i="4"/>
  <c r="J505" i="4"/>
  <c r="I505" i="4"/>
  <c r="H505" i="4"/>
  <c r="G505" i="4"/>
  <c r="F505" i="4"/>
  <c r="E505" i="4"/>
  <c r="D505" i="4"/>
  <c r="C505" i="4"/>
  <c r="B505" i="4"/>
  <c r="A505" i="4"/>
  <c r="M504" i="4"/>
  <c r="L504" i="4"/>
  <c r="K504" i="4"/>
  <c r="J504" i="4"/>
  <c r="I504" i="4"/>
  <c r="H504" i="4"/>
  <c r="G504" i="4"/>
  <c r="F504" i="4"/>
  <c r="E504" i="4"/>
  <c r="D504" i="4"/>
  <c r="C504" i="4"/>
  <c r="B504" i="4"/>
  <c r="A504" i="4"/>
  <c r="M503" i="4"/>
  <c r="L503" i="4"/>
  <c r="K503" i="4"/>
  <c r="J503" i="4"/>
  <c r="I503" i="4"/>
  <c r="H503" i="4"/>
  <c r="G503" i="4"/>
  <c r="F503" i="4"/>
  <c r="E503" i="4"/>
  <c r="D503" i="4"/>
  <c r="C503" i="4"/>
  <c r="B503" i="4"/>
  <c r="A503" i="4"/>
  <c r="M502" i="4"/>
  <c r="L502" i="4"/>
  <c r="K502" i="4"/>
  <c r="J502" i="4"/>
  <c r="I502" i="4"/>
  <c r="H502" i="4"/>
  <c r="G502" i="4"/>
  <c r="F502" i="4"/>
  <c r="E502" i="4"/>
  <c r="D502" i="4"/>
  <c r="C502" i="4"/>
  <c r="B502" i="4"/>
  <c r="A502" i="4"/>
  <c r="M501" i="4"/>
  <c r="L501" i="4"/>
  <c r="K501" i="4"/>
  <c r="J501" i="4"/>
  <c r="I501" i="4"/>
  <c r="H501" i="4"/>
  <c r="G501" i="4"/>
  <c r="F501" i="4"/>
  <c r="E501" i="4"/>
  <c r="D501" i="4"/>
  <c r="C501" i="4"/>
  <c r="B501" i="4"/>
  <c r="A501" i="4"/>
  <c r="M500" i="4"/>
  <c r="L500" i="4"/>
  <c r="K500" i="4"/>
  <c r="J500" i="4"/>
  <c r="I500" i="4"/>
  <c r="H500" i="4"/>
  <c r="G500" i="4"/>
  <c r="F500" i="4"/>
  <c r="E500" i="4"/>
  <c r="D500" i="4"/>
  <c r="C500" i="4"/>
  <c r="B500" i="4"/>
  <c r="A500" i="4"/>
  <c r="M499" i="4"/>
  <c r="L499" i="4"/>
  <c r="K499" i="4"/>
  <c r="J499" i="4"/>
  <c r="I499" i="4"/>
  <c r="H499" i="4"/>
  <c r="G499" i="4"/>
  <c r="F499" i="4"/>
  <c r="E499" i="4"/>
  <c r="D499" i="4"/>
  <c r="C499" i="4"/>
  <c r="B499" i="4"/>
  <c r="A499" i="4"/>
  <c r="M498" i="4"/>
  <c r="L498" i="4"/>
  <c r="K498" i="4"/>
  <c r="J498" i="4"/>
  <c r="I498" i="4"/>
  <c r="H498" i="4"/>
  <c r="G498" i="4"/>
  <c r="F498" i="4"/>
  <c r="E498" i="4"/>
  <c r="D498" i="4"/>
  <c r="C498" i="4"/>
  <c r="B498" i="4"/>
  <c r="A498" i="4"/>
  <c r="M497" i="4"/>
  <c r="L497" i="4"/>
  <c r="K497" i="4"/>
  <c r="J497" i="4"/>
  <c r="I497" i="4"/>
  <c r="H497" i="4"/>
  <c r="G497" i="4"/>
  <c r="F497" i="4"/>
  <c r="E497" i="4"/>
  <c r="D497" i="4"/>
  <c r="C497" i="4"/>
  <c r="B497" i="4"/>
  <c r="A497" i="4"/>
  <c r="M496" i="4"/>
  <c r="L496" i="4"/>
  <c r="K496" i="4"/>
  <c r="J496" i="4"/>
  <c r="I496" i="4"/>
  <c r="H496" i="4"/>
  <c r="G496" i="4"/>
  <c r="F496" i="4"/>
  <c r="E496" i="4"/>
  <c r="D496" i="4"/>
  <c r="C496" i="4"/>
  <c r="B496" i="4"/>
  <c r="A496" i="4"/>
  <c r="M495" i="4"/>
  <c r="L495" i="4"/>
  <c r="K495" i="4"/>
  <c r="J495" i="4"/>
  <c r="I495" i="4"/>
  <c r="H495" i="4"/>
  <c r="G495" i="4"/>
  <c r="F495" i="4"/>
  <c r="E495" i="4"/>
  <c r="D495" i="4"/>
  <c r="C495" i="4"/>
  <c r="B495" i="4"/>
  <c r="A495" i="4"/>
  <c r="M494" i="4"/>
  <c r="L494" i="4"/>
  <c r="K494" i="4"/>
  <c r="J494" i="4"/>
  <c r="I494" i="4"/>
  <c r="H494" i="4"/>
  <c r="G494" i="4"/>
  <c r="F494" i="4"/>
  <c r="E494" i="4"/>
  <c r="D494" i="4"/>
  <c r="C494" i="4"/>
  <c r="B494" i="4"/>
  <c r="A494" i="4"/>
  <c r="M493" i="4"/>
  <c r="L493" i="4"/>
  <c r="K493" i="4"/>
  <c r="J493" i="4"/>
  <c r="I493" i="4"/>
  <c r="H493" i="4"/>
  <c r="G493" i="4"/>
  <c r="F493" i="4"/>
  <c r="E493" i="4"/>
  <c r="D493" i="4"/>
  <c r="C493" i="4"/>
  <c r="B493" i="4"/>
  <c r="A493" i="4"/>
  <c r="M492" i="4"/>
  <c r="L492" i="4"/>
  <c r="K492" i="4"/>
  <c r="J492" i="4"/>
  <c r="I492" i="4"/>
  <c r="H492" i="4"/>
  <c r="G492" i="4"/>
  <c r="F492" i="4"/>
  <c r="E492" i="4"/>
  <c r="D492" i="4"/>
  <c r="C492" i="4"/>
  <c r="B492" i="4"/>
  <c r="A492" i="4"/>
  <c r="M491" i="4"/>
  <c r="L491" i="4"/>
  <c r="K491" i="4"/>
  <c r="J491" i="4"/>
  <c r="I491" i="4"/>
  <c r="H491" i="4"/>
  <c r="G491" i="4"/>
  <c r="F491" i="4"/>
  <c r="E491" i="4"/>
  <c r="D491" i="4"/>
  <c r="C491" i="4"/>
  <c r="B491" i="4"/>
  <c r="A491" i="4"/>
  <c r="M490" i="4"/>
  <c r="L490" i="4"/>
  <c r="K490" i="4"/>
  <c r="J490" i="4"/>
  <c r="I490" i="4"/>
  <c r="H490" i="4"/>
  <c r="G490" i="4"/>
  <c r="F490" i="4"/>
  <c r="E490" i="4"/>
  <c r="D490" i="4"/>
  <c r="C490" i="4"/>
  <c r="B490" i="4"/>
  <c r="A490" i="4"/>
  <c r="M489" i="4"/>
  <c r="L489" i="4"/>
  <c r="K489" i="4"/>
  <c r="J489" i="4"/>
  <c r="I489" i="4"/>
  <c r="H489" i="4"/>
  <c r="G489" i="4"/>
  <c r="F489" i="4"/>
  <c r="E489" i="4"/>
  <c r="D489" i="4"/>
  <c r="C489" i="4"/>
  <c r="B489" i="4"/>
  <c r="A489" i="4"/>
  <c r="M488" i="4"/>
  <c r="L488" i="4"/>
  <c r="K488" i="4"/>
  <c r="J488" i="4"/>
  <c r="I488" i="4"/>
  <c r="H488" i="4"/>
  <c r="G488" i="4"/>
  <c r="F488" i="4"/>
  <c r="E488" i="4"/>
  <c r="D488" i="4"/>
  <c r="C488" i="4"/>
  <c r="B488" i="4"/>
  <c r="A488" i="4"/>
  <c r="M487" i="4"/>
  <c r="L487" i="4"/>
  <c r="K487" i="4"/>
  <c r="J487" i="4"/>
  <c r="I487" i="4"/>
  <c r="H487" i="4"/>
  <c r="G487" i="4"/>
  <c r="F487" i="4"/>
  <c r="E487" i="4"/>
  <c r="D487" i="4"/>
  <c r="C487" i="4"/>
  <c r="B487" i="4"/>
  <c r="A487" i="4"/>
  <c r="M486" i="4"/>
  <c r="L486" i="4"/>
  <c r="K486" i="4"/>
  <c r="J486" i="4"/>
  <c r="I486" i="4"/>
  <c r="H486" i="4"/>
  <c r="G486" i="4"/>
  <c r="F486" i="4"/>
  <c r="E486" i="4"/>
  <c r="D486" i="4"/>
  <c r="C486" i="4"/>
  <c r="B486" i="4"/>
  <c r="A486" i="4"/>
  <c r="M485" i="4"/>
  <c r="L485" i="4"/>
  <c r="K485" i="4"/>
  <c r="J485" i="4"/>
  <c r="I485" i="4"/>
  <c r="H485" i="4"/>
  <c r="G485" i="4"/>
  <c r="F485" i="4"/>
  <c r="E485" i="4"/>
  <c r="D485" i="4"/>
  <c r="C485" i="4"/>
  <c r="B485" i="4"/>
  <c r="A485" i="4"/>
  <c r="M484" i="4"/>
  <c r="L484" i="4"/>
  <c r="K484" i="4"/>
  <c r="J484" i="4"/>
  <c r="I484" i="4"/>
  <c r="H484" i="4"/>
  <c r="G484" i="4"/>
  <c r="F484" i="4"/>
  <c r="E484" i="4"/>
  <c r="D484" i="4"/>
  <c r="C484" i="4"/>
  <c r="B484" i="4"/>
  <c r="A484" i="4"/>
  <c r="M483" i="4"/>
  <c r="L483" i="4"/>
  <c r="K483" i="4"/>
  <c r="J483" i="4"/>
  <c r="I483" i="4"/>
  <c r="H483" i="4"/>
  <c r="G483" i="4"/>
  <c r="F483" i="4"/>
  <c r="E483" i="4"/>
  <c r="D483" i="4"/>
  <c r="C483" i="4"/>
  <c r="B483" i="4"/>
  <c r="A483" i="4"/>
  <c r="M482" i="4"/>
  <c r="L482" i="4"/>
  <c r="K482" i="4"/>
  <c r="J482" i="4"/>
  <c r="I482" i="4"/>
  <c r="H482" i="4"/>
  <c r="G482" i="4"/>
  <c r="F482" i="4"/>
  <c r="E482" i="4"/>
  <c r="D482" i="4"/>
  <c r="C482" i="4"/>
  <c r="B482" i="4"/>
  <c r="A482" i="4"/>
  <c r="M481" i="4"/>
  <c r="L481" i="4"/>
  <c r="K481" i="4"/>
  <c r="J481" i="4"/>
  <c r="I481" i="4"/>
  <c r="H481" i="4"/>
  <c r="G481" i="4"/>
  <c r="F481" i="4"/>
  <c r="E481" i="4"/>
  <c r="D481" i="4"/>
  <c r="C481" i="4"/>
  <c r="B481" i="4"/>
  <c r="A481" i="4"/>
  <c r="M480" i="4"/>
  <c r="L480" i="4"/>
  <c r="K480" i="4"/>
  <c r="J480" i="4"/>
  <c r="I480" i="4"/>
  <c r="H480" i="4"/>
  <c r="G480" i="4"/>
  <c r="F480" i="4"/>
  <c r="E480" i="4"/>
  <c r="D480" i="4"/>
  <c r="C480" i="4"/>
  <c r="B480" i="4"/>
  <c r="A480" i="4"/>
  <c r="M479" i="4"/>
  <c r="L479" i="4"/>
  <c r="K479" i="4"/>
  <c r="J479" i="4"/>
  <c r="I479" i="4"/>
  <c r="H479" i="4"/>
  <c r="G479" i="4"/>
  <c r="F479" i="4"/>
  <c r="E479" i="4"/>
  <c r="D479" i="4"/>
  <c r="C479" i="4"/>
  <c r="B479" i="4"/>
  <c r="A479" i="4"/>
  <c r="M478" i="4"/>
  <c r="L478" i="4"/>
  <c r="K478" i="4"/>
  <c r="J478" i="4"/>
  <c r="I478" i="4"/>
  <c r="H478" i="4"/>
  <c r="G478" i="4"/>
  <c r="F478" i="4"/>
  <c r="E478" i="4"/>
  <c r="D478" i="4"/>
  <c r="C478" i="4"/>
  <c r="B478" i="4"/>
  <c r="A478" i="4"/>
  <c r="M477" i="4"/>
  <c r="L477" i="4"/>
  <c r="K477" i="4"/>
  <c r="J477" i="4"/>
  <c r="I477" i="4"/>
  <c r="H477" i="4"/>
  <c r="G477" i="4"/>
  <c r="F477" i="4"/>
  <c r="E477" i="4"/>
  <c r="D477" i="4"/>
  <c r="C477" i="4"/>
  <c r="B477" i="4"/>
  <c r="A477" i="4"/>
  <c r="M476" i="4"/>
  <c r="L476" i="4"/>
  <c r="K476" i="4"/>
  <c r="J476" i="4"/>
  <c r="I476" i="4"/>
  <c r="H476" i="4"/>
  <c r="G476" i="4"/>
  <c r="F476" i="4"/>
  <c r="E476" i="4"/>
  <c r="D476" i="4"/>
  <c r="C476" i="4"/>
  <c r="B476" i="4"/>
  <c r="A476" i="4"/>
  <c r="M475" i="4"/>
  <c r="L475" i="4"/>
  <c r="K475" i="4"/>
  <c r="J475" i="4"/>
  <c r="I475" i="4"/>
  <c r="H475" i="4"/>
  <c r="G475" i="4"/>
  <c r="F475" i="4"/>
  <c r="E475" i="4"/>
  <c r="D475" i="4"/>
  <c r="C475" i="4"/>
  <c r="B475" i="4"/>
  <c r="A475" i="4"/>
  <c r="M474" i="4"/>
  <c r="L474" i="4"/>
  <c r="K474" i="4"/>
  <c r="J474" i="4"/>
  <c r="I474" i="4"/>
  <c r="H474" i="4"/>
  <c r="G474" i="4"/>
  <c r="F474" i="4"/>
  <c r="E474" i="4"/>
  <c r="D474" i="4"/>
  <c r="C474" i="4"/>
  <c r="B474" i="4"/>
  <c r="A474" i="4"/>
  <c r="M473" i="4"/>
  <c r="L473" i="4"/>
  <c r="K473" i="4"/>
  <c r="J473" i="4"/>
  <c r="I473" i="4"/>
  <c r="H473" i="4"/>
  <c r="G473" i="4"/>
  <c r="F473" i="4"/>
  <c r="E473" i="4"/>
  <c r="D473" i="4"/>
  <c r="C473" i="4"/>
  <c r="B473" i="4"/>
  <c r="A473" i="4"/>
  <c r="M472" i="4"/>
  <c r="L472" i="4"/>
  <c r="K472" i="4"/>
  <c r="J472" i="4"/>
  <c r="I472" i="4"/>
  <c r="H472" i="4"/>
  <c r="G472" i="4"/>
  <c r="F472" i="4"/>
  <c r="E472" i="4"/>
  <c r="D472" i="4"/>
  <c r="C472" i="4"/>
  <c r="B472" i="4"/>
  <c r="A472" i="4"/>
  <c r="M471" i="4"/>
  <c r="L471" i="4"/>
  <c r="K471" i="4"/>
  <c r="J471" i="4"/>
  <c r="I471" i="4"/>
  <c r="H471" i="4"/>
  <c r="G471" i="4"/>
  <c r="F471" i="4"/>
  <c r="E471" i="4"/>
  <c r="D471" i="4"/>
  <c r="C471" i="4"/>
  <c r="B471" i="4"/>
  <c r="A471" i="4"/>
  <c r="M470" i="4"/>
  <c r="L470" i="4"/>
  <c r="K470" i="4"/>
  <c r="J470" i="4"/>
  <c r="I470" i="4"/>
  <c r="H470" i="4"/>
  <c r="G470" i="4"/>
  <c r="F470" i="4"/>
  <c r="E470" i="4"/>
  <c r="D470" i="4"/>
  <c r="C470" i="4"/>
  <c r="B470" i="4"/>
  <c r="A470" i="4"/>
  <c r="M469" i="4"/>
  <c r="L469" i="4"/>
  <c r="K469" i="4"/>
  <c r="J469" i="4"/>
  <c r="I469" i="4"/>
  <c r="H469" i="4"/>
  <c r="G469" i="4"/>
  <c r="F469" i="4"/>
  <c r="E469" i="4"/>
  <c r="D469" i="4"/>
  <c r="C469" i="4"/>
  <c r="B469" i="4"/>
  <c r="A469" i="4"/>
  <c r="M468" i="4"/>
  <c r="L468" i="4"/>
  <c r="K468" i="4"/>
  <c r="J468" i="4"/>
  <c r="I468" i="4"/>
  <c r="H468" i="4"/>
  <c r="G468" i="4"/>
  <c r="F468" i="4"/>
  <c r="E468" i="4"/>
  <c r="D468" i="4"/>
  <c r="C468" i="4"/>
  <c r="B468" i="4"/>
  <c r="A468" i="4"/>
  <c r="M467" i="4"/>
  <c r="L467" i="4"/>
  <c r="K467" i="4"/>
  <c r="J467" i="4"/>
  <c r="I467" i="4"/>
  <c r="H467" i="4"/>
  <c r="G467" i="4"/>
  <c r="F467" i="4"/>
  <c r="E467" i="4"/>
  <c r="D467" i="4"/>
  <c r="C467" i="4"/>
  <c r="B467" i="4"/>
  <c r="A467" i="4"/>
  <c r="M466" i="4"/>
  <c r="L466" i="4"/>
  <c r="K466" i="4"/>
  <c r="J466" i="4"/>
  <c r="I466" i="4"/>
  <c r="H466" i="4"/>
  <c r="G466" i="4"/>
  <c r="F466" i="4"/>
  <c r="E466" i="4"/>
  <c r="D466" i="4"/>
  <c r="C466" i="4"/>
  <c r="B466" i="4"/>
  <c r="A466" i="4"/>
  <c r="M465" i="4"/>
  <c r="L465" i="4"/>
  <c r="K465" i="4"/>
  <c r="J465" i="4"/>
  <c r="I465" i="4"/>
  <c r="H465" i="4"/>
  <c r="G465" i="4"/>
  <c r="F465" i="4"/>
  <c r="E465" i="4"/>
  <c r="D465" i="4"/>
  <c r="C465" i="4"/>
  <c r="B465" i="4"/>
  <c r="A465" i="4"/>
  <c r="M464" i="4"/>
  <c r="L464" i="4"/>
  <c r="K464" i="4"/>
  <c r="J464" i="4"/>
  <c r="I464" i="4"/>
  <c r="H464" i="4"/>
  <c r="G464" i="4"/>
  <c r="F464" i="4"/>
  <c r="E464" i="4"/>
  <c r="D464" i="4"/>
  <c r="C464" i="4"/>
  <c r="B464" i="4"/>
  <c r="A464" i="4"/>
  <c r="M463" i="4"/>
  <c r="L463" i="4"/>
  <c r="K463" i="4"/>
  <c r="J463" i="4"/>
  <c r="I463" i="4"/>
  <c r="H463" i="4"/>
  <c r="G463" i="4"/>
  <c r="F463" i="4"/>
  <c r="E463" i="4"/>
  <c r="D463" i="4"/>
  <c r="C463" i="4"/>
  <c r="B463" i="4"/>
  <c r="A463" i="4"/>
  <c r="M462" i="4"/>
  <c r="L462" i="4"/>
  <c r="K462" i="4"/>
  <c r="J462" i="4"/>
  <c r="I462" i="4"/>
  <c r="H462" i="4"/>
  <c r="G462" i="4"/>
  <c r="F462" i="4"/>
  <c r="E462" i="4"/>
  <c r="D462" i="4"/>
  <c r="C462" i="4"/>
  <c r="B462" i="4"/>
  <c r="A462" i="4"/>
  <c r="M461" i="4"/>
  <c r="L461" i="4"/>
  <c r="K461" i="4"/>
  <c r="J461" i="4"/>
  <c r="I461" i="4"/>
  <c r="H461" i="4"/>
  <c r="G461" i="4"/>
  <c r="F461" i="4"/>
  <c r="E461" i="4"/>
  <c r="D461" i="4"/>
  <c r="C461" i="4"/>
  <c r="B461" i="4"/>
  <c r="A461" i="4"/>
  <c r="M460" i="4"/>
  <c r="L460" i="4"/>
  <c r="K460" i="4"/>
  <c r="J460" i="4"/>
  <c r="I460" i="4"/>
  <c r="H460" i="4"/>
  <c r="G460" i="4"/>
  <c r="F460" i="4"/>
  <c r="E460" i="4"/>
  <c r="D460" i="4"/>
  <c r="C460" i="4"/>
  <c r="B460" i="4"/>
  <c r="A460" i="4"/>
  <c r="M459" i="4"/>
  <c r="L459" i="4"/>
  <c r="K459" i="4"/>
  <c r="J459" i="4"/>
  <c r="I459" i="4"/>
  <c r="H459" i="4"/>
  <c r="G459" i="4"/>
  <c r="F459" i="4"/>
  <c r="E459" i="4"/>
  <c r="D459" i="4"/>
  <c r="C459" i="4"/>
  <c r="B459" i="4"/>
  <c r="A459" i="4"/>
  <c r="M458" i="4"/>
  <c r="L458" i="4"/>
  <c r="K458" i="4"/>
  <c r="J458" i="4"/>
  <c r="I458" i="4"/>
  <c r="H458" i="4"/>
  <c r="G458" i="4"/>
  <c r="F458" i="4"/>
  <c r="E458" i="4"/>
  <c r="D458" i="4"/>
  <c r="C458" i="4"/>
  <c r="B458" i="4"/>
  <c r="A458" i="4"/>
  <c r="M457" i="4"/>
  <c r="L457" i="4"/>
  <c r="K457" i="4"/>
  <c r="J457" i="4"/>
  <c r="I457" i="4"/>
  <c r="H457" i="4"/>
  <c r="G457" i="4"/>
  <c r="F457" i="4"/>
  <c r="E457" i="4"/>
  <c r="D457" i="4"/>
  <c r="C457" i="4"/>
  <c r="B457" i="4"/>
  <c r="A457" i="4"/>
  <c r="M456" i="4"/>
  <c r="L456" i="4"/>
  <c r="K456" i="4"/>
  <c r="J456" i="4"/>
  <c r="I456" i="4"/>
  <c r="H456" i="4"/>
  <c r="G456" i="4"/>
  <c r="F456" i="4"/>
  <c r="E456" i="4"/>
  <c r="D456" i="4"/>
  <c r="C456" i="4"/>
  <c r="B456" i="4"/>
  <c r="A456" i="4"/>
  <c r="M455" i="4"/>
  <c r="L455" i="4"/>
  <c r="K455" i="4"/>
  <c r="J455" i="4"/>
  <c r="I455" i="4"/>
  <c r="H455" i="4"/>
  <c r="G455" i="4"/>
  <c r="F455" i="4"/>
  <c r="E455" i="4"/>
  <c r="D455" i="4"/>
  <c r="C455" i="4"/>
  <c r="B455" i="4"/>
  <c r="A455" i="4"/>
  <c r="M454" i="4"/>
  <c r="L454" i="4"/>
  <c r="K454" i="4"/>
  <c r="J454" i="4"/>
  <c r="I454" i="4"/>
  <c r="H454" i="4"/>
  <c r="G454" i="4"/>
  <c r="F454" i="4"/>
  <c r="E454" i="4"/>
  <c r="D454" i="4"/>
  <c r="C454" i="4"/>
  <c r="B454" i="4"/>
  <c r="A454" i="4"/>
  <c r="M453" i="4"/>
  <c r="L453" i="4"/>
  <c r="K453" i="4"/>
  <c r="J453" i="4"/>
  <c r="I453" i="4"/>
  <c r="H453" i="4"/>
  <c r="G453" i="4"/>
  <c r="F453" i="4"/>
  <c r="E453" i="4"/>
  <c r="D453" i="4"/>
  <c r="C453" i="4"/>
  <c r="B453" i="4"/>
  <c r="A453" i="4"/>
  <c r="M452" i="4"/>
  <c r="L452" i="4"/>
  <c r="K452" i="4"/>
  <c r="J452" i="4"/>
  <c r="I452" i="4"/>
  <c r="H452" i="4"/>
  <c r="G452" i="4"/>
  <c r="F452" i="4"/>
  <c r="E452" i="4"/>
  <c r="D452" i="4"/>
  <c r="C452" i="4"/>
  <c r="B452" i="4"/>
  <c r="A452" i="4"/>
  <c r="M451" i="4"/>
  <c r="L451" i="4"/>
  <c r="K451" i="4"/>
  <c r="J451" i="4"/>
  <c r="I451" i="4"/>
  <c r="H451" i="4"/>
  <c r="G451" i="4"/>
  <c r="F451" i="4"/>
  <c r="E451" i="4"/>
  <c r="D451" i="4"/>
  <c r="C451" i="4"/>
  <c r="B451" i="4"/>
  <c r="A451" i="4"/>
  <c r="M450" i="4"/>
  <c r="L450" i="4"/>
  <c r="K450" i="4"/>
  <c r="J450" i="4"/>
  <c r="I450" i="4"/>
  <c r="H450" i="4"/>
  <c r="G450" i="4"/>
  <c r="F450" i="4"/>
  <c r="E450" i="4"/>
  <c r="D450" i="4"/>
  <c r="C450" i="4"/>
  <c r="B450" i="4"/>
  <c r="A450" i="4"/>
  <c r="M449" i="4"/>
  <c r="L449" i="4"/>
  <c r="K449" i="4"/>
  <c r="J449" i="4"/>
  <c r="I449" i="4"/>
  <c r="H449" i="4"/>
  <c r="G449" i="4"/>
  <c r="F449" i="4"/>
  <c r="E449" i="4"/>
  <c r="D449" i="4"/>
  <c r="C449" i="4"/>
  <c r="B449" i="4"/>
  <c r="A449" i="4"/>
  <c r="M448" i="4"/>
  <c r="L448" i="4"/>
  <c r="K448" i="4"/>
  <c r="J448" i="4"/>
  <c r="I448" i="4"/>
  <c r="H448" i="4"/>
  <c r="G448" i="4"/>
  <c r="F448" i="4"/>
  <c r="E448" i="4"/>
  <c r="D448" i="4"/>
  <c r="C448" i="4"/>
  <c r="B448" i="4"/>
  <c r="A448" i="4"/>
  <c r="M447" i="4"/>
  <c r="L447" i="4"/>
  <c r="K447" i="4"/>
  <c r="J447" i="4"/>
  <c r="I447" i="4"/>
  <c r="H447" i="4"/>
  <c r="G447" i="4"/>
  <c r="F447" i="4"/>
  <c r="E447" i="4"/>
  <c r="D447" i="4"/>
  <c r="C447" i="4"/>
  <c r="B447" i="4"/>
  <c r="A447" i="4"/>
  <c r="M446" i="4"/>
  <c r="L446" i="4"/>
  <c r="K446" i="4"/>
  <c r="J446" i="4"/>
  <c r="I446" i="4"/>
  <c r="H446" i="4"/>
  <c r="G446" i="4"/>
  <c r="F446" i="4"/>
  <c r="E446" i="4"/>
  <c r="D446" i="4"/>
  <c r="C446" i="4"/>
  <c r="B446" i="4"/>
  <c r="A446" i="4"/>
  <c r="M445" i="4"/>
  <c r="L445" i="4"/>
  <c r="K445" i="4"/>
  <c r="J445" i="4"/>
  <c r="I445" i="4"/>
  <c r="H445" i="4"/>
  <c r="G445" i="4"/>
  <c r="F445" i="4"/>
  <c r="D445" i="4"/>
  <c r="C445" i="4"/>
  <c r="B445" i="4"/>
  <c r="A445" i="4"/>
  <c r="M444" i="4"/>
  <c r="L444" i="4"/>
  <c r="K444" i="4"/>
  <c r="J444" i="4"/>
  <c r="I444" i="4"/>
  <c r="H444" i="4"/>
  <c r="G444" i="4"/>
  <c r="F444" i="4"/>
  <c r="E444" i="4"/>
  <c r="D444" i="4"/>
  <c r="C444" i="4"/>
  <c r="B444" i="4"/>
  <c r="A444" i="4"/>
  <c r="M443" i="4"/>
  <c r="L443" i="4"/>
  <c r="K443" i="4"/>
  <c r="J443" i="4"/>
  <c r="I443" i="4"/>
  <c r="H443" i="4"/>
  <c r="G443" i="4"/>
  <c r="F443" i="4"/>
  <c r="E443" i="4"/>
  <c r="D443" i="4"/>
  <c r="C443" i="4"/>
  <c r="B443" i="4"/>
  <c r="A443" i="4"/>
  <c r="M442" i="4"/>
  <c r="L442" i="4"/>
  <c r="K442" i="4"/>
  <c r="J442" i="4"/>
  <c r="I442" i="4"/>
  <c r="H442" i="4"/>
  <c r="G442" i="4"/>
  <c r="F442" i="4"/>
  <c r="E442" i="4"/>
  <c r="D442" i="4"/>
  <c r="C442" i="4"/>
  <c r="B442" i="4"/>
  <c r="A442" i="4"/>
  <c r="M441" i="4"/>
  <c r="L441" i="4"/>
  <c r="K441" i="4"/>
  <c r="J441" i="4"/>
  <c r="I441" i="4"/>
  <c r="H441" i="4"/>
  <c r="G441" i="4"/>
  <c r="F441" i="4"/>
  <c r="E441" i="4"/>
  <c r="D441" i="4"/>
  <c r="C441" i="4"/>
  <c r="B441" i="4"/>
  <c r="A441" i="4"/>
  <c r="M440" i="4"/>
  <c r="L440" i="4"/>
  <c r="K440" i="4"/>
  <c r="J440" i="4"/>
  <c r="I440" i="4"/>
  <c r="H440" i="4"/>
  <c r="G440" i="4"/>
  <c r="F440" i="4"/>
  <c r="E440" i="4"/>
  <c r="D440" i="4"/>
  <c r="C440" i="4"/>
  <c r="B440" i="4"/>
  <c r="A440" i="4"/>
  <c r="M439" i="4"/>
  <c r="L439" i="4"/>
  <c r="K439" i="4"/>
  <c r="J439" i="4"/>
  <c r="I439" i="4"/>
  <c r="H439" i="4"/>
  <c r="G439" i="4"/>
  <c r="F439" i="4"/>
  <c r="E439" i="4"/>
  <c r="D439" i="4"/>
  <c r="C439" i="4"/>
  <c r="B439" i="4"/>
  <c r="A439" i="4"/>
  <c r="M438" i="4"/>
  <c r="L438" i="4"/>
  <c r="K438" i="4"/>
  <c r="J438" i="4"/>
  <c r="I438" i="4"/>
  <c r="H438" i="4"/>
  <c r="G438" i="4"/>
  <c r="F438" i="4"/>
  <c r="E438" i="4"/>
  <c r="D438" i="4"/>
  <c r="C438" i="4"/>
  <c r="B438" i="4"/>
  <c r="A438" i="4"/>
  <c r="M437" i="4"/>
  <c r="L437" i="4"/>
  <c r="K437" i="4"/>
  <c r="J437" i="4"/>
  <c r="I437" i="4"/>
  <c r="H437" i="4"/>
  <c r="G437" i="4"/>
  <c r="F437" i="4"/>
  <c r="E437" i="4"/>
  <c r="D437" i="4"/>
  <c r="C437" i="4"/>
  <c r="B437" i="4"/>
  <c r="A437" i="4"/>
  <c r="M436" i="4"/>
  <c r="L436" i="4"/>
  <c r="K436" i="4"/>
  <c r="J436" i="4"/>
  <c r="I436" i="4"/>
  <c r="H436" i="4"/>
  <c r="G436" i="4"/>
  <c r="F436" i="4"/>
  <c r="E436" i="4"/>
  <c r="D436" i="4"/>
  <c r="C436" i="4"/>
  <c r="B436" i="4"/>
  <c r="A436" i="4"/>
  <c r="M435" i="4"/>
  <c r="L435" i="4"/>
  <c r="K435" i="4"/>
  <c r="J435" i="4"/>
  <c r="I435" i="4"/>
  <c r="H435" i="4"/>
  <c r="G435" i="4"/>
  <c r="F435" i="4"/>
  <c r="E435" i="4"/>
  <c r="D435" i="4"/>
  <c r="C435" i="4"/>
  <c r="B435" i="4"/>
  <c r="A435" i="4"/>
  <c r="M434" i="4"/>
  <c r="L434" i="4"/>
  <c r="K434" i="4"/>
  <c r="J434" i="4"/>
  <c r="I434" i="4"/>
  <c r="H434" i="4"/>
  <c r="G434" i="4"/>
  <c r="F434" i="4"/>
  <c r="E434" i="4"/>
  <c r="D434" i="4"/>
  <c r="C434" i="4"/>
  <c r="B434" i="4"/>
  <c r="A434" i="4"/>
  <c r="M433" i="4"/>
  <c r="L433" i="4"/>
  <c r="K433" i="4"/>
  <c r="J433" i="4"/>
  <c r="I433" i="4"/>
  <c r="H433" i="4"/>
  <c r="G433" i="4"/>
  <c r="F433" i="4"/>
  <c r="E433" i="4"/>
  <c r="D433" i="4"/>
  <c r="C433" i="4"/>
  <c r="B433" i="4"/>
  <c r="A433" i="4"/>
  <c r="M432" i="4"/>
  <c r="L432" i="4"/>
  <c r="K432" i="4"/>
  <c r="J432" i="4"/>
  <c r="I432" i="4"/>
  <c r="H432" i="4"/>
  <c r="G432" i="4"/>
  <c r="F432" i="4"/>
  <c r="E432" i="4"/>
  <c r="D432" i="4"/>
  <c r="C432" i="4"/>
  <c r="B432" i="4"/>
  <c r="A432" i="4"/>
  <c r="M431" i="4"/>
  <c r="L431" i="4"/>
  <c r="K431" i="4"/>
  <c r="J431" i="4"/>
  <c r="I431" i="4"/>
  <c r="H431" i="4"/>
  <c r="G431" i="4"/>
  <c r="F431" i="4"/>
  <c r="E431" i="4"/>
  <c r="D431" i="4"/>
  <c r="C431" i="4"/>
  <c r="B431" i="4"/>
  <c r="A431" i="4"/>
  <c r="M430" i="4"/>
  <c r="L430" i="4"/>
  <c r="K430" i="4"/>
  <c r="J430" i="4"/>
  <c r="I430" i="4"/>
  <c r="H430" i="4"/>
  <c r="G430" i="4"/>
  <c r="F430" i="4"/>
  <c r="E430" i="4"/>
  <c r="D430" i="4"/>
  <c r="C430" i="4"/>
  <c r="B430" i="4"/>
  <c r="A430" i="4"/>
  <c r="M429" i="4"/>
  <c r="L429" i="4"/>
  <c r="K429" i="4"/>
  <c r="J429" i="4"/>
  <c r="I429" i="4"/>
  <c r="H429" i="4"/>
  <c r="G429" i="4"/>
  <c r="F429" i="4"/>
  <c r="E429" i="4"/>
  <c r="D429" i="4"/>
  <c r="C429" i="4"/>
  <c r="B429" i="4"/>
  <c r="A429" i="4"/>
  <c r="M428" i="4"/>
  <c r="L428" i="4"/>
  <c r="K428" i="4"/>
  <c r="J428" i="4"/>
  <c r="I428" i="4"/>
  <c r="H428" i="4"/>
  <c r="G428" i="4"/>
  <c r="F428" i="4"/>
  <c r="E428" i="4"/>
  <c r="D428" i="4"/>
  <c r="C428" i="4"/>
  <c r="B428" i="4"/>
  <c r="A428" i="4"/>
  <c r="M427" i="4"/>
  <c r="L427" i="4"/>
  <c r="K427" i="4"/>
  <c r="J427" i="4"/>
  <c r="I427" i="4"/>
  <c r="H427" i="4"/>
  <c r="G427" i="4"/>
  <c r="F427" i="4"/>
  <c r="E427" i="4"/>
  <c r="D427" i="4"/>
  <c r="C427" i="4"/>
  <c r="B427" i="4"/>
  <c r="A427" i="4"/>
  <c r="M426" i="4"/>
  <c r="L426" i="4"/>
  <c r="K426" i="4"/>
  <c r="J426" i="4"/>
  <c r="I426" i="4"/>
  <c r="H426" i="4"/>
  <c r="G426" i="4"/>
  <c r="F426" i="4"/>
  <c r="E426" i="4"/>
  <c r="D426" i="4"/>
  <c r="C426" i="4"/>
  <c r="B426" i="4"/>
  <c r="A426" i="4"/>
  <c r="M425" i="4"/>
  <c r="L425" i="4"/>
  <c r="K425" i="4"/>
  <c r="J425" i="4"/>
  <c r="I425" i="4"/>
  <c r="H425" i="4"/>
  <c r="G425" i="4"/>
  <c r="F425" i="4"/>
  <c r="E425" i="4"/>
  <c r="D425" i="4"/>
  <c r="C425" i="4"/>
  <c r="B425" i="4"/>
  <c r="A425" i="4"/>
  <c r="M424" i="4"/>
  <c r="L424" i="4"/>
  <c r="K424" i="4"/>
  <c r="J424" i="4"/>
  <c r="I424" i="4"/>
  <c r="H424" i="4"/>
  <c r="G424" i="4"/>
  <c r="F424" i="4"/>
  <c r="E424" i="4"/>
  <c r="D424" i="4"/>
  <c r="C424" i="4"/>
  <c r="B424" i="4"/>
  <c r="A424" i="4"/>
  <c r="M423" i="4"/>
  <c r="L423" i="4"/>
  <c r="K423" i="4"/>
  <c r="J423" i="4"/>
  <c r="I423" i="4"/>
  <c r="H423" i="4"/>
  <c r="G423" i="4"/>
  <c r="F423" i="4"/>
  <c r="E423" i="4"/>
  <c r="D423" i="4"/>
  <c r="C423" i="4"/>
  <c r="B423" i="4"/>
  <c r="A423" i="4"/>
  <c r="M422" i="4"/>
  <c r="L422" i="4"/>
  <c r="K422" i="4"/>
  <c r="J422" i="4"/>
  <c r="I422" i="4"/>
  <c r="H422" i="4"/>
  <c r="G422" i="4"/>
  <c r="F422" i="4"/>
  <c r="E422" i="4"/>
  <c r="D422" i="4"/>
  <c r="C422" i="4"/>
  <c r="B422" i="4"/>
  <c r="A422" i="4"/>
  <c r="M421" i="4"/>
  <c r="L421" i="4"/>
  <c r="K421" i="4"/>
  <c r="J421" i="4"/>
  <c r="I421" i="4"/>
  <c r="H421" i="4"/>
  <c r="G421" i="4"/>
  <c r="F421" i="4"/>
  <c r="E421" i="4"/>
  <c r="D421" i="4"/>
  <c r="C421" i="4"/>
  <c r="B421" i="4"/>
  <c r="A421" i="4"/>
  <c r="M420" i="4"/>
  <c r="L420" i="4"/>
  <c r="K420" i="4"/>
  <c r="J420" i="4"/>
  <c r="I420" i="4"/>
  <c r="H420" i="4"/>
  <c r="G420" i="4"/>
  <c r="F420" i="4"/>
  <c r="E420" i="4"/>
  <c r="D420" i="4"/>
  <c r="C420" i="4"/>
  <c r="B420" i="4"/>
  <c r="A420" i="4"/>
  <c r="M419" i="4"/>
  <c r="L419" i="4"/>
  <c r="K419" i="4"/>
  <c r="J419" i="4"/>
  <c r="I419" i="4"/>
  <c r="H419" i="4"/>
  <c r="G419" i="4"/>
  <c r="F419" i="4"/>
  <c r="E419" i="4"/>
  <c r="D419" i="4"/>
  <c r="C419" i="4"/>
  <c r="B419" i="4"/>
  <c r="A419" i="4"/>
  <c r="M418" i="4"/>
  <c r="L418" i="4"/>
  <c r="K418" i="4"/>
  <c r="J418" i="4"/>
  <c r="I418" i="4"/>
  <c r="H418" i="4"/>
  <c r="G418" i="4"/>
  <c r="F418" i="4"/>
  <c r="E418" i="4"/>
  <c r="D418" i="4"/>
  <c r="C418" i="4"/>
  <c r="B418" i="4"/>
  <c r="A418" i="4"/>
  <c r="M417" i="4"/>
  <c r="L417" i="4"/>
  <c r="K417" i="4"/>
  <c r="J417" i="4"/>
  <c r="I417" i="4"/>
  <c r="H417" i="4"/>
  <c r="G417" i="4"/>
  <c r="F417" i="4"/>
  <c r="E417" i="4"/>
  <c r="D417" i="4"/>
  <c r="C417" i="4"/>
  <c r="B417" i="4"/>
  <c r="A417" i="4"/>
  <c r="M416" i="4"/>
  <c r="L416" i="4"/>
  <c r="K416" i="4"/>
  <c r="J416" i="4"/>
  <c r="I416" i="4"/>
  <c r="H416" i="4"/>
  <c r="G416" i="4"/>
  <c r="F416" i="4"/>
  <c r="E416" i="4"/>
  <c r="D416" i="4"/>
  <c r="C416" i="4"/>
  <c r="B416" i="4"/>
  <c r="A416" i="4"/>
  <c r="M415" i="4"/>
  <c r="L415" i="4"/>
  <c r="K415" i="4"/>
  <c r="J415" i="4"/>
  <c r="I415" i="4"/>
  <c r="H415" i="4"/>
  <c r="G415" i="4"/>
  <c r="F415" i="4"/>
  <c r="E415" i="4"/>
  <c r="D415" i="4"/>
  <c r="C415" i="4"/>
  <c r="B415" i="4"/>
  <c r="A415" i="4"/>
  <c r="M414" i="4"/>
  <c r="L414" i="4"/>
  <c r="K414" i="4"/>
  <c r="J414" i="4"/>
  <c r="I414" i="4"/>
  <c r="H414" i="4"/>
  <c r="G414" i="4"/>
  <c r="F414" i="4"/>
  <c r="E414" i="4"/>
  <c r="D414" i="4"/>
  <c r="C414" i="4"/>
  <c r="B414" i="4"/>
  <c r="A414" i="4"/>
  <c r="M413" i="4"/>
  <c r="L413" i="4"/>
  <c r="K413" i="4"/>
  <c r="J413" i="4"/>
  <c r="I413" i="4"/>
  <c r="H413" i="4"/>
  <c r="G413" i="4"/>
  <c r="F413" i="4"/>
  <c r="D413" i="4"/>
  <c r="C413" i="4"/>
  <c r="B413" i="4"/>
  <c r="A413" i="4"/>
  <c r="M412" i="4"/>
  <c r="L412" i="4"/>
  <c r="K412" i="4"/>
  <c r="J412" i="4"/>
  <c r="I412" i="4"/>
  <c r="H412" i="4"/>
  <c r="G412" i="4"/>
  <c r="F412" i="4"/>
  <c r="D412" i="4"/>
  <c r="C412" i="4"/>
  <c r="B412" i="4"/>
  <c r="A412" i="4"/>
  <c r="M411" i="4"/>
  <c r="L411" i="4"/>
  <c r="K411" i="4"/>
  <c r="J411" i="4"/>
  <c r="I411" i="4"/>
  <c r="H411" i="4"/>
  <c r="G411" i="4"/>
  <c r="F411" i="4"/>
  <c r="E411" i="4"/>
  <c r="D411" i="4"/>
  <c r="C411" i="4"/>
  <c r="B411" i="4"/>
  <c r="A411" i="4"/>
  <c r="M410" i="4"/>
  <c r="L410" i="4"/>
  <c r="K410" i="4"/>
  <c r="J410" i="4"/>
  <c r="I410" i="4"/>
  <c r="H410" i="4"/>
  <c r="G410" i="4"/>
  <c r="F410" i="4"/>
  <c r="E410" i="4"/>
  <c r="D410" i="4"/>
  <c r="C410" i="4"/>
  <c r="B410" i="4"/>
  <c r="A410" i="4"/>
  <c r="M409" i="4"/>
  <c r="L409" i="4"/>
  <c r="K409" i="4"/>
  <c r="J409" i="4"/>
  <c r="I409" i="4"/>
  <c r="H409" i="4"/>
  <c r="G409" i="4"/>
  <c r="F409" i="4"/>
  <c r="E409" i="4"/>
  <c r="D409" i="4"/>
  <c r="C409" i="4"/>
  <c r="B409" i="4"/>
  <c r="A409" i="4"/>
  <c r="M408" i="4"/>
  <c r="L408" i="4"/>
  <c r="K408" i="4"/>
  <c r="J408" i="4"/>
  <c r="I408" i="4"/>
  <c r="H408" i="4"/>
  <c r="G408" i="4"/>
  <c r="F408" i="4"/>
  <c r="E408" i="4"/>
  <c r="D408" i="4"/>
  <c r="C408" i="4"/>
  <c r="B408" i="4"/>
  <c r="A408" i="4"/>
  <c r="M407" i="4"/>
  <c r="L407" i="4"/>
  <c r="K407" i="4"/>
  <c r="J407" i="4"/>
  <c r="I407" i="4"/>
  <c r="H407" i="4"/>
  <c r="G407" i="4"/>
  <c r="F407" i="4"/>
  <c r="E407" i="4"/>
  <c r="D407" i="4"/>
  <c r="C407" i="4"/>
  <c r="B407" i="4"/>
  <c r="A407" i="4"/>
  <c r="M406" i="4"/>
  <c r="L406" i="4"/>
  <c r="K406" i="4"/>
  <c r="J406" i="4"/>
  <c r="I406" i="4"/>
  <c r="H406" i="4"/>
  <c r="G406" i="4"/>
  <c r="F406" i="4"/>
  <c r="E406" i="4"/>
  <c r="D406" i="4"/>
  <c r="C406" i="4"/>
  <c r="B406" i="4"/>
  <c r="A406" i="4"/>
  <c r="M405" i="4"/>
  <c r="L405" i="4"/>
  <c r="K405" i="4"/>
  <c r="J405" i="4"/>
  <c r="I405" i="4"/>
  <c r="H405" i="4"/>
  <c r="G405" i="4"/>
  <c r="F405" i="4"/>
  <c r="E405" i="4"/>
  <c r="D405" i="4"/>
  <c r="C405" i="4"/>
  <c r="B405" i="4"/>
  <c r="A405" i="4"/>
  <c r="M404" i="4"/>
  <c r="L404" i="4"/>
  <c r="K404" i="4"/>
  <c r="J404" i="4"/>
  <c r="I404" i="4"/>
  <c r="H404" i="4"/>
  <c r="G404" i="4"/>
  <c r="F404" i="4"/>
  <c r="E404" i="4"/>
  <c r="D404" i="4"/>
  <c r="C404" i="4"/>
  <c r="B404" i="4"/>
  <c r="A404" i="4"/>
  <c r="M403" i="4"/>
  <c r="L403" i="4"/>
  <c r="K403" i="4"/>
  <c r="J403" i="4"/>
  <c r="I403" i="4"/>
  <c r="H403" i="4"/>
  <c r="G403" i="4"/>
  <c r="F403" i="4"/>
  <c r="E403" i="4"/>
  <c r="D403" i="4"/>
  <c r="C403" i="4"/>
  <c r="B403" i="4"/>
  <c r="A403" i="4"/>
  <c r="M402" i="4"/>
  <c r="L402" i="4"/>
  <c r="K402" i="4"/>
  <c r="J402" i="4"/>
  <c r="I402" i="4"/>
  <c r="H402" i="4"/>
  <c r="G402" i="4"/>
  <c r="F402" i="4"/>
  <c r="E402" i="4"/>
  <c r="D402" i="4"/>
  <c r="C402" i="4"/>
  <c r="B402" i="4"/>
  <c r="A402" i="4"/>
  <c r="M401" i="4"/>
  <c r="L401" i="4"/>
  <c r="K401" i="4"/>
  <c r="J401" i="4"/>
  <c r="I401" i="4"/>
  <c r="H401" i="4"/>
  <c r="G401" i="4"/>
  <c r="F401" i="4"/>
  <c r="E401" i="4"/>
  <c r="D401" i="4"/>
  <c r="C401" i="4"/>
  <c r="B401" i="4"/>
  <c r="A401" i="4"/>
  <c r="M400" i="4"/>
  <c r="L400" i="4"/>
  <c r="K400" i="4"/>
  <c r="J400" i="4"/>
  <c r="I400" i="4"/>
  <c r="H400" i="4"/>
  <c r="G400" i="4"/>
  <c r="F400" i="4"/>
  <c r="E400" i="4"/>
  <c r="D400" i="4"/>
  <c r="C400" i="4"/>
  <c r="B400" i="4"/>
  <c r="A400" i="4"/>
  <c r="M399" i="4"/>
  <c r="L399" i="4"/>
  <c r="K399" i="4"/>
  <c r="J399" i="4"/>
  <c r="I399" i="4"/>
  <c r="H399" i="4"/>
  <c r="G399" i="4"/>
  <c r="D399" i="4"/>
  <c r="C399" i="4"/>
  <c r="B399" i="4"/>
  <c r="A399" i="4"/>
  <c r="M398" i="4"/>
  <c r="L398" i="4"/>
  <c r="K398" i="4"/>
  <c r="J398" i="4"/>
  <c r="I398" i="4"/>
  <c r="H398" i="4"/>
  <c r="G398" i="4"/>
  <c r="F398" i="4"/>
  <c r="E398" i="4"/>
  <c r="D398" i="4"/>
  <c r="C398" i="4"/>
  <c r="B398" i="4"/>
  <c r="A398" i="4"/>
  <c r="M397" i="4"/>
  <c r="L397" i="4"/>
  <c r="K397" i="4"/>
  <c r="J397" i="4"/>
  <c r="I397" i="4"/>
  <c r="H397" i="4"/>
  <c r="G397" i="4"/>
  <c r="F397" i="4"/>
  <c r="E397" i="4"/>
  <c r="D397" i="4"/>
  <c r="C397" i="4"/>
  <c r="B397" i="4"/>
  <c r="A397" i="4"/>
  <c r="M396" i="4"/>
  <c r="L396" i="4"/>
  <c r="K396" i="4"/>
  <c r="J396" i="4"/>
  <c r="I396" i="4"/>
  <c r="H396" i="4"/>
  <c r="G396" i="4"/>
  <c r="F396" i="4"/>
  <c r="E396" i="4"/>
  <c r="D396" i="4"/>
  <c r="C396" i="4"/>
  <c r="B396" i="4"/>
  <c r="A396" i="4"/>
  <c r="M395" i="4"/>
  <c r="L395" i="4"/>
  <c r="K395" i="4"/>
  <c r="J395" i="4"/>
  <c r="I395" i="4"/>
  <c r="H395" i="4"/>
  <c r="G395" i="4"/>
  <c r="F395" i="4"/>
  <c r="E395" i="4"/>
  <c r="D395" i="4"/>
  <c r="C395" i="4"/>
  <c r="B395" i="4"/>
  <c r="A395" i="4"/>
  <c r="M394" i="4"/>
  <c r="L394" i="4"/>
  <c r="K394" i="4"/>
  <c r="J394" i="4"/>
  <c r="I394" i="4"/>
  <c r="H394" i="4"/>
  <c r="G394" i="4"/>
  <c r="F394" i="4"/>
  <c r="E394" i="4"/>
  <c r="D394" i="4"/>
  <c r="C394" i="4"/>
  <c r="B394" i="4"/>
  <c r="A394" i="4"/>
  <c r="M393" i="4"/>
  <c r="L393" i="4"/>
  <c r="K393" i="4"/>
  <c r="J393" i="4"/>
  <c r="I393" i="4"/>
  <c r="H393" i="4"/>
  <c r="G393" i="4"/>
  <c r="F393" i="4"/>
  <c r="E393" i="4"/>
  <c r="D393" i="4"/>
  <c r="C393" i="4"/>
  <c r="B393" i="4"/>
  <c r="A393" i="4"/>
  <c r="M392" i="4"/>
  <c r="L392" i="4"/>
  <c r="K392" i="4"/>
  <c r="J392" i="4"/>
  <c r="I392" i="4"/>
  <c r="H392" i="4"/>
  <c r="G392" i="4"/>
  <c r="F392" i="4"/>
  <c r="E392" i="4"/>
  <c r="D392" i="4"/>
  <c r="C392" i="4"/>
  <c r="B392" i="4"/>
  <c r="A392" i="4"/>
  <c r="M391" i="4"/>
  <c r="L391" i="4"/>
  <c r="K391" i="4"/>
  <c r="J391" i="4"/>
  <c r="I391" i="4"/>
  <c r="H391" i="4"/>
  <c r="G391" i="4"/>
  <c r="F391" i="4"/>
  <c r="E391" i="4"/>
  <c r="D391" i="4"/>
  <c r="C391" i="4"/>
  <c r="B391" i="4"/>
  <c r="A391" i="4"/>
  <c r="M390" i="4"/>
  <c r="L390" i="4"/>
  <c r="K390" i="4"/>
  <c r="J390" i="4"/>
  <c r="I390" i="4"/>
  <c r="H390" i="4"/>
  <c r="G390" i="4"/>
  <c r="F390" i="4"/>
  <c r="E390" i="4"/>
  <c r="D390" i="4"/>
  <c r="C390" i="4"/>
  <c r="B390" i="4"/>
  <c r="A390" i="4"/>
  <c r="M389" i="4"/>
  <c r="L389" i="4"/>
  <c r="K389" i="4"/>
  <c r="J389" i="4"/>
  <c r="I389" i="4"/>
  <c r="H389" i="4"/>
  <c r="G389" i="4"/>
  <c r="F389" i="4"/>
  <c r="D389" i="4"/>
  <c r="C389" i="4"/>
  <c r="B389" i="4"/>
  <c r="A389" i="4"/>
  <c r="M388" i="4"/>
  <c r="L388" i="4"/>
  <c r="K388" i="4"/>
  <c r="J388" i="4"/>
  <c r="I388" i="4"/>
  <c r="H388" i="4"/>
  <c r="G388" i="4"/>
  <c r="F388" i="4"/>
  <c r="D388" i="4"/>
  <c r="C388" i="4"/>
  <c r="B388" i="4"/>
  <c r="A388" i="4"/>
  <c r="M387" i="4"/>
  <c r="L387" i="4"/>
  <c r="K387" i="4"/>
  <c r="J387" i="4"/>
  <c r="I387" i="4"/>
  <c r="H387" i="4"/>
  <c r="G387" i="4"/>
  <c r="F387" i="4"/>
  <c r="D387" i="4"/>
  <c r="C387" i="4"/>
  <c r="B387" i="4"/>
  <c r="A387" i="4"/>
  <c r="M386" i="4"/>
  <c r="L386" i="4"/>
  <c r="K386" i="4"/>
  <c r="J386" i="4"/>
  <c r="I386" i="4"/>
  <c r="H386" i="4"/>
  <c r="G386" i="4"/>
  <c r="F386" i="4"/>
  <c r="D386" i="4"/>
  <c r="C386" i="4"/>
  <c r="B386" i="4"/>
  <c r="A386" i="4"/>
  <c r="M385" i="4"/>
  <c r="L385" i="4"/>
  <c r="K385" i="4"/>
  <c r="J385" i="4"/>
  <c r="I385" i="4"/>
  <c r="H385" i="4"/>
  <c r="G385" i="4"/>
  <c r="F385" i="4"/>
  <c r="E385" i="4"/>
  <c r="D385" i="4"/>
  <c r="C385" i="4"/>
  <c r="B385" i="4"/>
  <c r="A385" i="4"/>
  <c r="M384" i="4"/>
  <c r="L384" i="4"/>
  <c r="K384" i="4"/>
  <c r="J384" i="4"/>
  <c r="I384" i="4"/>
  <c r="H384" i="4"/>
  <c r="G384" i="4"/>
  <c r="F384" i="4"/>
  <c r="E384" i="4"/>
  <c r="D384" i="4"/>
  <c r="C384" i="4"/>
  <c r="B384" i="4"/>
  <c r="A384" i="4"/>
  <c r="M383" i="4"/>
  <c r="L383" i="4"/>
  <c r="K383" i="4"/>
  <c r="J383" i="4"/>
  <c r="I383" i="4"/>
  <c r="H383" i="4"/>
  <c r="G383" i="4"/>
  <c r="F383" i="4"/>
  <c r="E383" i="4"/>
  <c r="D383" i="4"/>
  <c r="C383" i="4"/>
  <c r="B383" i="4"/>
  <c r="A383" i="4"/>
  <c r="M382" i="4"/>
  <c r="L382" i="4"/>
  <c r="K382" i="4"/>
  <c r="J382" i="4"/>
  <c r="I382" i="4"/>
  <c r="H382" i="4"/>
  <c r="G382" i="4"/>
  <c r="F382" i="4"/>
  <c r="E382" i="4"/>
  <c r="D382" i="4"/>
  <c r="C382" i="4"/>
  <c r="B382" i="4"/>
  <c r="A382" i="4"/>
  <c r="M381" i="4"/>
  <c r="L381" i="4"/>
  <c r="K381" i="4"/>
  <c r="J381" i="4"/>
  <c r="I381" i="4"/>
  <c r="H381" i="4"/>
  <c r="G381" i="4"/>
  <c r="F381" i="4"/>
  <c r="D381" i="4"/>
  <c r="C381" i="4"/>
  <c r="B381" i="4"/>
  <c r="A381" i="4"/>
  <c r="M380" i="4"/>
  <c r="L380" i="4"/>
  <c r="K380" i="4"/>
  <c r="J380" i="4"/>
  <c r="I380" i="4"/>
  <c r="H380" i="4"/>
  <c r="G380" i="4"/>
  <c r="F380" i="4"/>
  <c r="E380" i="4"/>
  <c r="D380" i="4"/>
  <c r="C380" i="4"/>
  <c r="B380" i="4"/>
  <c r="A380" i="4"/>
  <c r="M379" i="4"/>
  <c r="L379" i="4"/>
  <c r="K379" i="4"/>
  <c r="J379" i="4"/>
  <c r="I379" i="4"/>
  <c r="H379" i="4"/>
  <c r="G379" i="4"/>
  <c r="F379" i="4"/>
  <c r="E379" i="4"/>
  <c r="D379" i="4"/>
  <c r="C379" i="4"/>
  <c r="B379" i="4"/>
  <c r="A379" i="4"/>
  <c r="M378" i="4"/>
  <c r="L378" i="4"/>
  <c r="K378" i="4"/>
  <c r="J378" i="4"/>
  <c r="I378" i="4"/>
  <c r="H378" i="4"/>
  <c r="G378" i="4"/>
  <c r="F378" i="4"/>
  <c r="E378" i="4"/>
  <c r="D378" i="4"/>
  <c r="C378" i="4"/>
  <c r="B378" i="4"/>
  <c r="A378" i="4"/>
  <c r="M377" i="4"/>
  <c r="L377" i="4"/>
  <c r="K377" i="4"/>
  <c r="J377" i="4"/>
  <c r="I377" i="4"/>
  <c r="H377" i="4"/>
  <c r="G377" i="4"/>
  <c r="F377" i="4"/>
  <c r="E377" i="4"/>
  <c r="D377" i="4"/>
  <c r="C377" i="4"/>
  <c r="B377" i="4"/>
  <c r="A377" i="4"/>
  <c r="M376" i="4"/>
  <c r="L376" i="4"/>
  <c r="K376" i="4"/>
  <c r="J376" i="4"/>
  <c r="I376" i="4"/>
  <c r="H376" i="4"/>
  <c r="G376" i="4"/>
  <c r="F376" i="4"/>
  <c r="E376" i="4"/>
  <c r="D376" i="4"/>
  <c r="C376" i="4"/>
  <c r="B376" i="4"/>
  <c r="A376" i="4"/>
  <c r="M375" i="4"/>
  <c r="L375" i="4"/>
  <c r="K375" i="4"/>
  <c r="J375" i="4"/>
  <c r="I375" i="4"/>
  <c r="H375" i="4"/>
  <c r="G375" i="4"/>
  <c r="F375" i="4"/>
  <c r="E375" i="4"/>
  <c r="D375" i="4"/>
  <c r="C375" i="4"/>
  <c r="B375" i="4"/>
  <c r="A375" i="4"/>
  <c r="M374" i="4"/>
  <c r="L374" i="4"/>
  <c r="K374" i="4"/>
  <c r="J374" i="4"/>
  <c r="I374" i="4"/>
  <c r="H374" i="4"/>
  <c r="G374" i="4"/>
  <c r="F374" i="4"/>
  <c r="E374" i="4"/>
  <c r="D374" i="4"/>
  <c r="C374" i="4"/>
  <c r="B374" i="4"/>
  <c r="A374" i="4"/>
  <c r="M373" i="4"/>
  <c r="L373" i="4"/>
  <c r="K373" i="4"/>
  <c r="J373" i="4"/>
  <c r="I373" i="4"/>
  <c r="H373" i="4"/>
  <c r="G373" i="4"/>
  <c r="F373" i="4"/>
  <c r="E373" i="4"/>
  <c r="D373" i="4"/>
  <c r="C373" i="4"/>
  <c r="B373" i="4"/>
  <c r="A373" i="4"/>
  <c r="M372" i="4"/>
  <c r="L372" i="4"/>
  <c r="K372" i="4"/>
  <c r="J372" i="4"/>
  <c r="I372" i="4"/>
  <c r="H372" i="4"/>
  <c r="G372" i="4"/>
  <c r="F372" i="4"/>
  <c r="E372" i="4"/>
  <c r="D372" i="4"/>
  <c r="C372" i="4"/>
  <c r="B372" i="4"/>
  <c r="A372" i="4"/>
  <c r="M371" i="4"/>
  <c r="L371" i="4"/>
  <c r="K371" i="4"/>
  <c r="J371" i="4"/>
  <c r="I371" i="4"/>
  <c r="H371" i="4"/>
  <c r="G371" i="4"/>
  <c r="F371" i="4"/>
  <c r="E371" i="4"/>
  <c r="D371" i="4"/>
  <c r="C371" i="4"/>
  <c r="B371" i="4"/>
  <c r="A371" i="4"/>
  <c r="M370" i="4"/>
  <c r="L370" i="4"/>
  <c r="K370" i="4"/>
  <c r="J370" i="4"/>
  <c r="I370" i="4"/>
  <c r="H370" i="4"/>
  <c r="G370" i="4"/>
  <c r="F370" i="4"/>
  <c r="E370" i="4"/>
  <c r="D370" i="4"/>
  <c r="C370" i="4"/>
  <c r="B370" i="4"/>
  <c r="A370" i="4"/>
  <c r="M369" i="4"/>
  <c r="L369" i="4"/>
  <c r="K369" i="4"/>
  <c r="J369" i="4"/>
  <c r="I369" i="4"/>
  <c r="H369" i="4"/>
  <c r="G369" i="4"/>
  <c r="F369" i="4"/>
  <c r="E369" i="4"/>
  <c r="D369" i="4"/>
  <c r="C369" i="4"/>
  <c r="B369" i="4"/>
  <c r="A369" i="4"/>
  <c r="M368" i="4"/>
  <c r="L368" i="4"/>
  <c r="K368" i="4"/>
  <c r="J368" i="4"/>
  <c r="I368" i="4"/>
  <c r="H368" i="4"/>
  <c r="G368" i="4"/>
  <c r="F368" i="4"/>
  <c r="D368" i="4"/>
  <c r="C368" i="4"/>
  <c r="B368" i="4"/>
  <c r="A368" i="4"/>
  <c r="M367" i="4"/>
  <c r="L367" i="4"/>
  <c r="K367" i="4"/>
  <c r="J367" i="4"/>
  <c r="I367" i="4"/>
  <c r="H367" i="4"/>
  <c r="G367" i="4"/>
  <c r="F367" i="4"/>
  <c r="E367" i="4"/>
  <c r="D367" i="4"/>
  <c r="C367" i="4"/>
  <c r="B367" i="4"/>
  <c r="A367" i="4"/>
  <c r="M366" i="4"/>
  <c r="L366" i="4"/>
  <c r="K366" i="4"/>
  <c r="J366" i="4"/>
  <c r="I366" i="4"/>
  <c r="H366" i="4"/>
  <c r="G366" i="4"/>
  <c r="F366" i="4"/>
  <c r="E366" i="4"/>
  <c r="D366" i="4"/>
  <c r="C366" i="4"/>
  <c r="B366" i="4"/>
  <c r="A366" i="4"/>
  <c r="M365" i="4"/>
  <c r="L365" i="4"/>
  <c r="K365" i="4"/>
  <c r="J365" i="4"/>
  <c r="I365" i="4"/>
  <c r="H365" i="4"/>
  <c r="G365" i="4"/>
  <c r="F365" i="4"/>
  <c r="E365" i="4"/>
  <c r="D365" i="4"/>
  <c r="C365" i="4"/>
  <c r="B365" i="4"/>
  <c r="A365" i="4"/>
  <c r="M364" i="4"/>
  <c r="L364" i="4"/>
  <c r="K364" i="4"/>
  <c r="J364" i="4"/>
  <c r="I364" i="4"/>
  <c r="H364" i="4"/>
  <c r="G364" i="4"/>
  <c r="F364" i="4"/>
  <c r="E364" i="4"/>
  <c r="D364" i="4"/>
  <c r="C364" i="4"/>
  <c r="B364" i="4"/>
  <c r="A364" i="4"/>
  <c r="M363" i="4"/>
  <c r="L363" i="4"/>
  <c r="K363" i="4"/>
  <c r="J363" i="4"/>
  <c r="I363" i="4"/>
  <c r="H363" i="4"/>
  <c r="G363" i="4"/>
  <c r="F363" i="4"/>
  <c r="E363" i="4"/>
  <c r="D363" i="4"/>
  <c r="C363" i="4"/>
  <c r="B363" i="4"/>
  <c r="A363" i="4"/>
  <c r="M362" i="4"/>
  <c r="L362" i="4"/>
  <c r="K362" i="4"/>
  <c r="J362" i="4"/>
  <c r="I362" i="4"/>
  <c r="H362" i="4"/>
  <c r="G362" i="4"/>
  <c r="F362" i="4"/>
  <c r="E362" i="4"/>
  <c r="D362" i="4"/>
  <c r="C362" i="4"/>
  <c r="B362" i="4"/>
  <c r="A362" i="4"/>
  <c r="M361" i="4"/>
  <c r="L361" i="4"/>
  <c r="K361" i="4"/>
  <c r="J361" i="4"/>
  <c r="I361" i="4"/>
  <c r="H361" i="4"/>
  <c r="G361" i="4"/>
  <c r="F361" i="4"/>
  <c r="E361" i="4"/>
  <c r="D361" i="4"/>
  <c r="C361" i="4"/>
  <c r="B361" i="4"/>
  <c r="A361" i="4"/>
  <c r="M360" i="4"/>
  <c r="L360" i="4"/>
  <c r="K360" i="4"/>
  <c r="J360" i="4"/>
  <c r="I360" i="4"/>
  <c r="H360" i="4"/>
  <c r="G360" i="4"/>
  <c r="F360" i="4"/>
  <c r="E360" i="4"/>
  <c r="D360" i="4"/>
  <c r="C360" i="4"/>
  <c r="B360" i="4"/>
  <c r="A360" i="4"/>
  <c r="M359" i="4"/>
  <c r="L359" i="4"/>
  <c r="K359" i="4"/>
  <c r="J359" i="4"/>
  <c r="I359" i="4"/>
  <c r="H359" i="4"/>
  <c r="G359" i="4"/>
  <c r="F359" i="4"/>
  <c r="E359" i="4"/>
  <c r="D359" i="4"/>
  <c r="C359" i="4"/>
  <c r="B359" i="4"/>
  <c r="A359" i="4"/>
  <c r="M358" i="4"/>
  <c r="L358" i="4"/>
  <c r="K358" i="4"/>
  <c r="J358" i="4"/>
  <c r="I358" i="4"/>
  <c r="H358" i="4"/>
  <c r="G358" i="4"/>
  <c r="F358" i="4"/>
  <c r="E358" i="4"/>
  <c r="D358" i="4"/>
  <c r="C358" i="4"/>
  <c r="B358" i="4"/>
  <c r="A358" i="4"/>
  <c r="M357" i="4"/>
  <c r="L357" i="4"/>
  <c r="K357" i="4"/>
  <c r="J357" i="4"/>
  <c r="I357" i="4"/>
  <c r="H357" i="4"/>
  <c r="G357" i="4"/>
  <c r="F357" i="4"/>
  <c r="E357" i="4"/>
  <c r="D357" i="4"/>
  <c r="C357" i="4"/>
  <c r="B357" i="4"/>
  <c r="A357" i="4"/>
  <c r="M356" i="4"/>
  <c r="L356" i="4"/>
  <c r="K356" i="4"/>
  <c r="J356" i="4"/>
  <c r="I356" i="4"/>
  <c r="H356" i="4"/>
  <c r="G356" i="4"/>
  <c r="F356" i="4"/>
  <c r="E356" i="4"/>
  <c r="D356" i="4"/>
  <c r="C356" i="4"/>
  <c r="B356" i="4"/>
  <c r="A356" i="4"/>
  <c r="M355" i="4"/>
  <c r="L355" i="4"/>
  <c r="K355" i="4"/>
  <c r="J355" i="4"/>
  <c r="I355" i="4"/>
  <c r="H355" i="4"/>
  <c r="G355" i="4"/>
  <c r="F355" i="4"/>
  <c r="E355" i="4"/>
  <c r="D355" i="4"/>
  <c r="C355" i="4"/>
  <c r="B355" i="4"/>
  <c r="A355" i="4"/>
  <c r="M354" i="4"/>
  <c r="L354" i="4"/>
  <c r="K354" i="4"/>
  <c r="J354" i="4"/>
  <c r="I354" i="4"/>
  <c r="H354" i="4"/>
  <c r="G354" i="4"/>
  <c r="F354" i="4"/>
  <c r="E354" i="4"/>
  <c r="D354" i="4"/>
  <c r="C354" i="4"/>
  <c r="B354" i="4"/>
  <c r="A354" i="4"/>
  <c r="M353" i="4"/>
  <c r="L353" i="4"/>
  <c r="K353" i="4"/>
  <c r="J353" i="4"/>
  <c r="I353" i="4"/>
  <c r="H353" i="4"/>
  <c r="G353" i="4"/>
  <c r="F353" i="4"/>
  <c r="E353" i="4"/>
  <c r="D353" i="4"/>
  <c r="C353" i="4"/>
  <c r="B353" i="4"/>
  <c r="A353" i="4"/>
  <c r="M352" i="4"/>
  <c r="L352" i="4"/>
  <c r="K352" i="4"/>
  <c r="J352" i="4"/>
  <c r="I352" i="4"/>
  <c r="H352" i="4"/>
  <c r="G352" i="4"/>
  <c r="F352" i="4"/>
  <c r="E352" i="4"/>
  <c r="D352" i="4"/>
  <c r="C352" i="4"/>
  <c r="B352" i="4"/>
  <c r="A352" i="4"/>
  <c r="M351" i="4"/>
  <c r="L351" i="4"/>
  <c r="K351" i="4"/>
  <c r="J351" i="4"/>
  <c r="I351" i="4"/>
  <c r="H351" i="4"/>
  <c r="G351" i="4"/>
  <c r="F351" i="4"/>
  <c r="E351" i="4"/>
  <c r="D351" i="4"/>
  <c r="C351" i="4"/>
  <c r="B351" i="4"/>
  <c r="A351" i="4"/>
  <c r="M350" i="4"/>
  <c r="L350" i="4"/>
  <c r="K350" i="4"/>
  <c r="J350" i="4"/>
  <c r="I350" i="4"/>
  <c r="H350" i="4"/>
  <c r="G350" i="4"/>
  <c r="F350" i="4"/>
  <c r="E350" i="4"/>
  <c r="D350" i="4"/>
  <c r="C350" i="4"/>
  <c r="B350" i="4"/>
  <c r="A350" i="4"/>
  <c r="M349" i="4"/>
  <c r="L349" i="4"/>
  <c r="K349" i="4"/>
  <c r="J349" i="4"/>
  <c r="I349" i="4"/>
  <c r="H349" i="4"/>
  <c r="G349" i="4"/>
  <c r="F349" i="4"/>
  <c r="E349" i="4"/>
  <c r="D349" i="4"/>
  <c r="C349" i="4"/>
  <c r="B349" i="4"/>
  <c r="A349" i="4"/>
  <c r="M348" i="4"/>
  <c r="L348" i="4"/>
  <c r="K348" i="4"/>
  <c r="J348" i="4"/>
  <c r="I348" i="4"/>
  <c r="H348" i="4"/>
  <c r="G348" i="4"/>
  <c r="F348" i="4"/>
  <c r="E348" i="4"/>
  <c r="D348" i="4"/>
  <c r="C348" i="4"/>
  <c r="B348" i="4"/>
  <c r="A348" i="4"/>
  <c r="M347" i="4"/>
  <c r="L347" i="4"/>
  <c r="K347" i="4"/>
  <c r="J347" i="4"/>
  <c r="I347" i="4"/>
  <c r="H347" i="4"/>
  <c r="G347" i="4"/>
  <c r="F347" i="4"/>
  <c r="E347" i="4"/>
  <c r="D347" i="4"/>
  <c r="C347" i="4"/>
  <c r="B347" i="4"/>
  <c r="A347" i="4"/>
  <c r="M346" i="4"/>
  <c r="L346" i="4"/>
  <c r="K346" i="4"/>
  <c r="J346" i="4"/>
  <c r="I346" i="4"/>
  <c r="H346" i="4"/>
  <c r="G346" i="4"/>
  <c r="F346" i="4"/>
  <c r="E346" i="4"/>
  <c r="D346" i="4"/>
  <c r="C346" i="4"/>
  <c r="B346" i="4"/>
  <c r="A346" i="4"/>
  <c r="M345" i="4"/>
  <c r="L345" i="4"/>
  <c r="K345" i="4"/>
  <c r="J345" i="4"/>
  <c r="I345" i="4"/>
  <c r="H345" i="4"/>
  <c r="G345" i="4"/>
  <c r="F345" i="4"/>
  <c r="E345" i="4"/>
  <c r="D345" i="4"/>
  <c r="C345" i="4"/>
  <c r="B345" i="4"/>
  <c r="A345" i="4"/>
  <c r="M344" i="4"/>
  <c r="L344" i="4"/>
  <c r="K344" i="4"/>
  <c r="J344" i="4"/>
  <c r="I344" i="4"/>
  <c r="H344" i="4"/>
  <c r="G344" i="4"/>
  <c r="F344" i="4"/>
  <c r="E344" i="4"/>
  <c r="D344" i="4"/>
  <c r="C344" i="4"/>
  <c r="B344" i="4"/>
  <c r="A344" i="4"/>
  <c r="M343" i="4"/>
  <c r="L343" i="4"/>
  <c r="K343" i="4"/>
  <c r="J343" i="4"/>
  <c r="I343" i="4"/>
  <c r="H343" i="4"/>
  <c r="G343" i="4"/>
  <c r="F343" i="4"/>
  <c r="E343" i="4"/>
  <c r="D343" i="4"/>
  <c r="C343" i="4"/>
  <c r="B343" i="4"/>
  <c r="A343" i="4"/>
  <c r="M342" i="4"/>
  <c r="L342" i="4"/>
  <c r="K342" i="4"/>
  <c r="J342" i="4"/>
  <c r="I342" i="4"/>
  <c r="H342" i="4"/>
  <c r="G342" i="4"/>
  <c r="F342" i="4"/>
  <c r="E342" i="4"/>
  <c r="D342" i="4"/>
  <c r="C342" i="4"/>
  <c r="B342" i="4"/>
  <c r="A342" i="4"/>
  <c r="M341" i="4"/>
  <c r="L341" i="4"/>
  <c r="K341" i="4"/>
  <c r="J341" i="4"/>
  <c r="I341" i="4"/>
  <c r="H341" i="4"/>
  <c r="G341" i="4"/>
  <c r="F341" i="4"/>
  <c r="E341" i="4"/>
  <c r="D341" i="4"/>
  <c r="C341" i="4"/>
  <c r="B341" i="4"/>
  <c r="A341" i="4"/>
  <c r="M340" i="4"/>
  <c r="L340" i="4"/>
  <c r="K340" i="4"/>
  <c r="J340" i="4"/>
  <c r="I340" i="4"/>
  <c r="H340" i="4"/>
  <c r="G340" i="4"/>
  <c r="F340" i="4"/>
  <c r="E340" i="4"/>
  <c r="D340" i="4"/>
  <c r="C340" i="4"/>
  <c r="B340" i="4"/>
  <c r="A340" i="4"/>
  <c r="M339" i="4"/>
  <c r="L339" i="4"/>
  <c r="K339" i="4"/>
  <c r="J339" i="4"/>
  <c r="I339" i="4"/>
  <c r="H339" i="4"/>
  <c r="G339" i="4"/>
  <c r="F339" i="4"/>
  <c r="E339" i="4"/>
  <c r="D339" i="4"/>
  <c r="C339" i="4"/>
  <c r="B339" i="4"/>
  <c r="A339" i="4"/>
  <c r="M338" i="4"/>
  <c r="L338" i="4"/>
  <c r="K338" i="4"/>
  <c r="J338" i="4"/>
  <c r="I338" i="4"/>
  <c r="H338" i="4"/>
  <c r="G338" i="4"/>
  <c r="F338" i="4"/>
  <c r="E338" i="4"/>
  <c r="D338" i="4"/>
  <c r="C338" i="4"/>
  <c r="B338" i="4"/>
  <c r="A338" i="4"/>
  <c r="M337" i="4"/>
  <c r="L337" i="4"/>
  <c r="K337" i="4"/>
  <c r="J337" i="4"/>
  <c r="I337" i="4"/>
  <c r="H337" i="4"/>
  <c r="G337" i="4"/>
  <c r="F337" i="4"/>
  <c r="E337" i="4"/>
  <c r="D337" i="4"/>
  <c r="C337" i="4"/>
  <c r="B337" i="4"/>
  <c r="A337" i="4"/>
  <c r="M336" i="4"/>
  <c r="L336" i="4"/>
  <c r="K336" i="4"/>
  <c r="J336" i="4"/>
  <c r="I336" i="4"/>
  <c r="H336" i="4"/>
  <c r="G336" i="4"/>
  <c r="F336" i="4"/>
  <c r="E336" i="4"/>
  <c r="D336" i="4"/>
  <c r="C336" i="4"/>
  <c r="B336" i="4"/>
  <c r="A336" i="4"/>
  <c r="M335" i="4"/>
  <c r="L335" i="4"/>
  <c r="K335" i="4"/>
  <c r="J335" i="4"/>
  <c r="I335" i="4"/>
  <c r="H335" i="4"/>
  <c r="G335" i="4"/>
  <c r="F335" i="4"/>
  <c r="E335" i="4"/>
  <c r="D335" i="4"/>
  <c r="C335" i="4"/>
  <c r="B335" i="4"/>
  <c r="A335" i="4"/>
  <c r="M334" i="4"/>
  <c r="L334" i="4"/>
  <c r="K334" i="4"/>
  <c r="J334" i="4"/>
  <c r="I334" i="4"/>
  <c r="H334" i="4"/>
  <c r="G334" i="4"/>
  <c r="F334" i="4"/>
  <c r="E334" i="4"/>
  <c r="D334" i="4"/>
  <c r="C334" i="4"/>
  <c r="B334" i="4"/>
  <c r="A334" i="4"/>
  <c r="M333" i="4"/>
  <c r="L333" i="4"/>
  <c r="K333" i="4"/>
  <c r="J333" i="4"/>
  <c r="I333" i="4"/>
  <c r="H333" i="4"/>
  <c r="G333" i="4"/>
  <c r="F333" i="4"/>
  <c r="E333" i="4"/>
  <c r="D333" i="4"/>
  <c r="C333" i="4"/>
  <c r="B333" i="4"/>
  <c r="A333" i="4"/>
  <c r="M332" i="4"/>
  <c r="L332" i="4"/>
  <c r="K332" i="4"/>
  <c r="J332" i="4"/>
  <c r="I332" i="4"/>
  <c r="H332" i="4"/>
  <c r="G332" i="4"/>
  <c r="F332" i="4"/>
  <c r="E332" i="4"/>
  <c r="D332" i="4"/>
  <c r="C332" i="4"/>
  <c r="B332" i="4"/>
  <c r="A332" i="4"/>
  <c r="M331" i="4"/>
  <c r="L331" i="4"/>
  <c r="K331" i="4"/>
  <c r="J331" i="4"/>
  <c r="I331" i="4"/>
  <c r="H331" i="4"/>
  <c r="G331" i="4"/>
  <c r="F331" i="4"/>
  <c r="E331" i="4"/>
  <c r="D331" i="4"/>
  <c r="C331" i="4"/>
  <c r="B331" i="4"/>
  <c r="A331" i="4"/>
  <c r="M330" i="4"/>
  <c r="L330" i="4"/>
  <c r="K330" i="4"/>
  <c r="J330" i="4"/>
  <c r="I330" i="4"/>
  <c r="H330" i="4"/>
  <c r="G330" i="4"/>
  <c r="F330" i="4"/>
  <c r="E330" i="4"/>
  <c r="D330" i="4"/>
  <c r="C330" i="4"/>
  <c r="B330" i="4"/>
  <c r="A330" i="4"/>
  <c r="M329" i="4"/>
  <c r="L329" i="4"/>
  <c r="K329" i="4"/>
  <c r="J329" i="4"/>
  <c r="I329" i="4"/>
  <c r="H329" i="4"/>
  <c r="G329" i="4"/>
  <c r="F329" i="4"/>
  <c r="E329" i="4"/>
  <c r="D329" i="4"/>
  <c r="C329" i="4"/>
  <c r="B329" i="4"/>
  <c r="A329" i="4"/>
  <c r="M328" i="4"/>
  <c r="L328" i="4"/>
  <c r="K328" i="4"/>
  <c r="J328" i="4"/>
  <c r="I328" i="4"/>
  <c r="H328" i="4"/>
  <c r="G328" i="4"/>
  <c r="F328" i="4"/>
  <c r="E328" i="4"/>
  <c r="D328" i="4"/>
  <c r="C328" i="4"/>
  <c r="B328" i="4"/>
  <c r="A328" i="4"/>
  <c r="M327" i="4"/>
  <c r="L327" i="4"/>
  <c r="K327" i="4"/>
  <c r="J327" i="4"/>
  <c r="I327" i="4"/>
  <c r="H327" i="4"/>
  <c r="G327" i="4"/>
  <c r="F327" i="4"/>
  <c r="E327" i="4"/>
  <c r="D327" i="4"/>
  <c r="C327" i="4"/>
  <c r="B327" i="4"/>
  <c r="A327" i="4"/>
  <c r="M326" i="4"/>
  <c r="L326" i="4"/>
  <c r="K326" i="4"/>
  <c r="J326" i="4"/>
  <c r="I326" i="4"/>
  <c r="H326" i="4"/>
  <c r="G326" i="4"/>
  <c r="E326" i="4"/>
  <c r="D326" i="4"/>
  <c r="C326" i="4"/>
  <c r="B326" i="4"/>
  <c r="A326" i="4"/>
  <c r="M325" i="4"/>
  <c r="L325" i="4"/>
  <c r="K325" i="4"/>
  <c r="J325" i="4"/>
  <c r="I325" i="4"/>
  <c r="H325" i="4"/>
  <c r="G325" i="4"/>
  <c r="F325" i="4"/>
  <c r="E325" i="4"/>
  <c r="D325" i="4"/>
  <c r="C325" i="4"/>
  <c r="B325" i="4"/>
  <c r="A325" i="4"/>
  <c r="M324" i="4"/>
  <c r="L324" i="4"/>
  <c r="K324" i="4"/>
  <c r="J324" i="4"/>
  <c r="I324" i="4"/>
  <c r="H324" i="4"/>
  <c r="G324" i="4"/>
  <c r="F324" i="4"/>
  <c r="E324" i="4"/>
  <c r="D324" i="4"/>
  <c r="C324" i="4"/>
  <c r="B324" i="4"/>
  <c r="A324" i="4"/>
  <c r="M323" i="4"/>
  <c r="L323" i="4"/>
  <c r="K323" i="4"/>
  <c r="J323" i="4"/>
  <c r="I323" i="4"/>
  <c r="H323" i="4"/>
  <c r="G323" i="4"/>
  <c r="F323" i="4"/>
  <c r="E323" i="4"/>
  <c r="D323" i="4"/>
  <c r="C323" i="4"/>
  <c r="B323" i="4"/>
  <c r="A323" i="4"/>
  <c r="M322" i="4"/>
  <c r="L322" i="4"/>
  <c r="K322" i="4"/>
  <c r="J322" i="4"/>
  <c r="I322" i="4"/>
  <c r="H322" i="4"/>
  <c r="G322" i="4"/>
  <c r="F322" i="4"/>
  <c r="E322" i="4"/>
  <c r="D322" i="4"/>
  <c r="C322" i="4"/>
  <c r="B322" i="4"/>
  <c r="A322" i="4"/>
  <c r="M321" i="4"/>
  <c r="L321" i="4"/>
  <c r="K321" i="4"/>
  <c r="J321" i="4"/>
  <c r="I321" i="4"/>
  <c r="H321" i="4"/>
  <c r="G321" i="4"/>
  <c r="F321" i="4"/>
  <c r="E321" i="4"/>
  <c r="D321" i="4"/>
  <c r="C321" i="4"/>
  <c r="B321" i="4"/>
  <c r="A321" i="4"/>
  <c r="M320" i="4"/>
  <c r="L320" i="4"/>
  <c r="K320" i="4"/>
  <c r="J320" i="4"/>
  <c r="I320" i="4"/>
  <c r="H320" i="4"/>
  <c r="G320" i="4"/>
  <c r="F320" i="4"/>
  <c r="D320" i="4"/>
  <c r="C320" i="4"/>
  <c r="B320" i="4"/>
  <c r="A320" i="4"/>
  <c r="M319" i="4"/>
  <c r="L319" i="4"/>
  <c r="K319" i="4"/>
  <c r="J319" i="4"/>
  <c r="I319" i="4"/>
  <c r="H319" i="4"/>
  <c r="G319" i="4"/>
  <c r="F319" i="4"/>
  <c r="E319" i="4"/>
  <c r="D319" i="4"/>
  <c r="C319" i="4"/>
  <c r="B319" i="4"/>
  <c r="A319" i="4"/>
  <c r="M318" i="4"/>
  <c r="L318" i="4"/>
  <c r="K318" i="4"/>
  <c r="J318" i="4"/>
  <c r="I318" i="4"/>
  <c r="H318" i="4"/>
  <c r="G318" i="4"/>
  <c r="F318" i="4"/>
  <c r="E318" i="4"/>
  <c r="D318" i="4"/>
  <c r="C318" i="4"/>
  <c r="B318" i="4"/>
  <c r="A318" i="4"/>
  <c r="M317" i="4"/>
  <c r="L317" i="4"/>
  <c r="K317" i="4"/>
  <c r="J317" i="4"/>
  <c r="I317" i="4"/>
  <c r="H317" i="4"/>
  <c r="G317" i="4"/>
  <c r="F317" i="4"/>
  <c r="E317" i="4"/>
  <c r="D317" i="4"/>
  <c r="C317" i="4"/>
  <c r="B317" i="4"/>
  <c r="A317" i="4"/>
  <c r="M316" i="4"/>
  <c r="L316" i="4"/>
  <c r="K316" i="4"/>
  <c r="J316" i="4"/>
  <c r="I316" i="4"/>
  <c r="H316" i="4"/>
  <c r="G316" i="4"/>
  <c r="F316" i="4"/>
  <c r="E316" i="4"/>
  <c r="D316" i="4"/>
  <c r="C316" i="4"/>
  <c r="B316" i="4"/>
  <c r="A316" i="4"/>
  <c r="M315" i="4"/>
  <c r="L315" i="4"/>
  <c r="K315" i="4"/>
  <c r="J315" i="4"/>
  <c r="I315" i="4"/>
  <c r="H315" i="4"/>
  <c r="G315" i="4"/>
  <c r="F315" i="4"/>
  <c r="E315" i="4"/>
  <c r="D315" i="4"/>
  <c r="C315" i="4"/>
  <c r="B315" i="4"/>
  <c r="A315" i="4"/>
  <c r="M314" i="4"/>
  <c r="L314" i="4"/>
  <c r="K314" i="4"/>
  <c r="J314" i="4"/>
  <c r="I314" i="4"/>
  <c r="H314" i="4"/>
  <c r="G314" i="4"/>
  <c r="F314" i="4"/>
  <c r="E314" i="4"/>
  <c r="D314" i="4"/>
  <c r="C314" i="4"/>
  <c r="B314" i="4"/>
  <c r="A314" i="4"/>
  <c r="M313" i="4"/>
  <c r="L313" i="4"/>
  <c r="K313" i="4"/>
  <c r="J313" i="4"/>
  <c r="I313" i="4"/>
  <c r="H313" i="4"/>
  <c r="G313" i="4"/>
  <c r="F313" i="4"/>
  <c r="E313" i="4"/>
  <c r="D313" i="4"/>
  <c r="C313" i="4"/>
  <c r="B313" i="4"/>
  <c r="A313" i="4"/>
  <c r="M312" i="4"/>
  <c r="L312" i="4"/>
  <c r="K312" i="4"/>
  <c r="J312" i="4"/>
  <c r="I312" i="4"/>
  <c r="H312" i="4"/>
  <c r="G312" i="4"/>
  <c r="F312" i="4"/>
  <c r="E312" i="4"/>
  <c r="D312" i="4"/>
  <c r="C312" i="4"/>
  <c r="B312" i="4"/>
  <c r="A312" i="4"/>
  <c r="M311" i="4"/>
  <c r="L311" i="4"/>
  <c r="K311" i="4"/>
  <c r="J311" i="4"/>
  <c r="I311" i="4"/>
  <c r="H311" i="4"/>
  <c r="G311" i="4"/>
  <c r="F311" i="4"/>
  <c r="E311" i="4"/>
  <c r="D311" i="4"/>
  <c r="C311" i="4"/>
  <c r="B311" i="4"/>
  <c r="A311" i="4"/>
  <c r="M310" i="4"/>
  <c r="L310" i="4"/>
  <c r="K310" i="4"/>
  <c r="J310" i="4"/>
  <c r="I310" i="4"/>
  <c r="H310" i="4"/>
  <c r="G310" i="4"/>
  <c r="F310" i="4"/>
  <c r="E310" i="4"/>
  <c r="D310" i="4"/>
  <c r="C310" i="4"/>
  <c r="B310" i="4"/>
  <c r="A310" i="4"/>
  <c r="M309" i="4"/>
  <c r="L309" i="4"/>
  <c r="K309" i="4"/>
  <c r="J309" i="4"/>
  <c r="I309" i="4"/>
  <c r="H309" i="4"/>
  <c r="G309" i="4"/>
  <c r="F309" i="4"/>
  <c r="E309" i="4"/>
  <c r="D309" i="4"/>
  <c r="C309" i="4"/>
  <c r="B309" i="4"/>
  <c r="A309" i="4"/>
  <c r="M308" i="4"/>
  <c r="L308" i="4"/>
  <c r="K308" i="4"/>
  <c r="J308" i="4"/>
  <c r="I308" i="4"/>
  <c r="H308" i="4"/>
  <c r="G308" i="4"/>
  <c r="E308" i="4"/>
  <c r="D308" i="4"/>
  <c r="C308" i="4"/>
  <c r="B308" i="4"/>
  <c r="A308" i="4"/>
  <c r="M307" i="4"/>
  <c r="L307" i="4"/>
  <c r="K307" i="4"/>
  <c r="J307" i="4"/>
  <c r="I307" i="4"/>
  <c r="H307" i="4"/>
  <c r="G307" i="4"/>
  <c r="F307" i="4"/>
  <c r="E307" i="4"/>
  <c r="D307" i="4"/>
  <c r="C307" i="4"/>
  <c r="B307" i="4"/>
  <c r="A307" i="4"/>
  <c r="M306" i="4"/>
  <c r="L306" i="4"/>
  <c r="K306" i="4"/>
  <c r="J306" i="4"/>
  <c r="I306" i="4"/>
  <c r="H306" i="4"/>
  <c r="G306" i="4"/>
  <c r="F306" i="4"/>
  <c r="D306" i="4"/>
  <c r="C306" i="4"/>
  <c r="B306" i="4"/>
  <c r="A306" i="4"/>
  <c r="M305" i="4"/>
  <c r="L305" i="4"/>
  <c r="K305" i="4"/>
  <c r="J305" i="4"/>
  <c r="I305" i="4"/>
  <c r="H305" i="4"/>
  <c r="G305" i="4"/>
  <c r="F305" i="4"/>
  <c r="D305" i="4"/>
  <c r="C305" i="4"/>
  <c r="B305" i="4"/>
  <c r="A305" i="4"/>
  <c r="M304" i="4"/>
  <c r="L304" i="4"/>
  <c r="K304" i="4"/>
  <c r="J304" i="4"/>
  <c r="I304" i="4"/>
  <c r="H304" i="4"/>
  <c r="G304" i="4"/>
  <c r="F304" i="4"/>
  <c r="E304" i="4"/>
  <c r="D304" i="4"/>
  <c r="C304" i="4"/>
  <c r="B304" i="4"/>
  <c r="A304" i="4"/>
  <c r="M303" i="4"/>
  <c r="L303" i="4"/>
  <c r="K303" i="4"/>
  <c r="J303" i="4"/>
  <c r="I303" i="4"/>
  <c r="H303" i="4"/>
  <c r="G303" i="4"/>
  <c r="F303" i="4"/>
  <c r="E303" i="4"/>
  <c r="D303" i="4"/>
  <c r="C303" i="4"/>
  <c r="B303" i="4"/>
  <c r="A303" i="4"/>
  <c r="M302" i="4"/>
  <c r="L302" i="4"/>
  <c r="K302" i="4"/>
  <c r="J302" i="4"/>
  <c r="I302" i="4"/>
  <c r="H302" i="4"/>
  <c r="G302" i="4"/>
  <c r="F302" i="4"/>
  <c r="E302" i="4"/>
  <c r="D302" i="4"/>
  <c r="C302" i="4"/>
  <c r="B302" i="4"/>
  <c r="A302" i="4"/>
  <c r="M301" i="4"/>
  <c r="L301" i="4"/>
  <c r="K301" i="4"/>
  <c r="J301" i="4"/>
  <c r="I301" i="4"/>
  <c r="H301" i="4"/>
  <c r="G301" i="4"/>
  <c r="F301" i="4"/>
  <c r="E301" i="4"/>
  <c r="D301" i="4"/>
  <c r="C301" i="4"/>
  <c r="B301" i="4"/>
  <c r="A301" i="4"/>
  <c r="M300" i="4"/>
  <c r="L300" i="4"/>
  <c r="K300" i="4"/>
  <c r="J300" i="4"/>
  <c r="I300" i="4"/>
  <c r="H300" i="4"/>
  <c r="G300" i="4"/>
  <c r="F300" i="4"/>
  <c r="E300" i="4"/>
  <c r="D300" i="4"/>
  <c r="C300" i="4"/>
  <c r="B300" i="4"/>
  <c r="A300" i="4"/>
  <c r="M299" i="4"/>
  <c r="L299" i="4"/>
  <c r="K299" i="4"/>
  <c r="J299" i="4"/>
  <c r="I299" i="4"/>
  <c r="H299" i="4"/>
  <c r="G299" i="4"/>
  <c r="F299" i="4"/>
  <c r="E299" i="4"/>
  <c r="D299" i="4"/>
  <c r="C299" i="4"/>
  <c r="B299" i="4"/>
  <c r="A299" i="4"/>
  <c r="M298" i="4"/>
  <c r="L298" i="4"/>
  <c r="K298" i="4"/>
  <c r="J298" i="4"/>
  <c r="I298" i="4"/>
  <c r="H298" i="4"/>
  <c r="G298" i="4"/>
  <c r="F298" i="4"/>
  <c r="E298" i="4"/>
  <c r="D298" i="4"/>
  <c r="C298" i="4"/>
  <c r="B298" i="4"/>
  <c r="A298" i="4"/>
  <c r="M297" i="4"/>
  <c r="L297" i="4"/>
  <c r="K297" i="4"/>
  <c r="J297" i="4"/>
  <c r="I297" i="4"/>
  <c r="H297" i="4"/>
  <c r="G297" i="4"/>
  <c r="F297" i="4"/>
  <c r="E297" i="4"/>
  <c r="D297" i="4"/>
  <c r="C297" i="4"/>
  <c r="B297" i="4"/>
  <c r="A297" i="4"/>
  <c r="M296" i="4"/>
  <c r="L296" i="4"/>
  <c r="K296" i="4"/>
  <c r="J296" i="4"/>
  <c r="I296" i="4"/>
  <c r="H296" i="4"/>
  <c r="G296" i="4"/>
  <c r="F296" i="4"/>
  <c r="E296" i="4"/>
  <c r="D296" i="4"/>
  <c r="C296" i="4"/>
  <c r="B296" i="4"/>
  <c r="A296" i="4"/>
  <c r="M295" i="4"/>
  <c r="L295" i="4"/>
  <c r="K295" i="4"/>
  <c r="J295" i="4"/>
  <c r="I295" i="4"/>
  <c r="H295" i="4"/>
  <c r="G295" i="4"/>
  <c r="F295" i="4"/>
  <c r="E295" i="4"/>
  <c r="D295" i="4"/>
  <c r="C295" i="4"/>
  <c r="B295" i="4"/>
  <c r="A295" i="4"/>
  <c r="M294" i="4"/>
  <c r="L294" i="4"/>
  <c r="K294" i="4"/>
  <c r="J294" i="4"/>
  <c r="I294" i="4"/>
  <c r="H294" i="4"/>
  <c r="G294" i="4"/>
  <c r="F294" i="4"/>
  <c r="E294" i="4"/>
  <c r="D294" i="4"/>
  <c r="C294" i="4"/>
  <c r="B294" i="4"/>
  <c r="A294" i="4"/>
  <c r="M293" i="4"/>
  <c r="L293" i="4"/>
  <c r="K293" i="4"/>
  <c r="J293" i="4"/>
  <c r="I293" i="4"/>
  <c r="H293" i="4"/>
  <c r="G293" i="4"/>
  <c r="F293" i="4"/>
  <c r="E293" i="4"/>
  <c r="D293" i="4"/>
  <c r="C293" i="4"/>
  <c r="B293" i="4"/>
  <c r="A293" i="4"/>
  <c r="M292" i="4"/>
  <c r="L292" i="4"/>
  <c r="K292" i="4"/>
  <c r="J292" i="4"/>
  <c r="I292" i="4"/>
  <c r="H292" i="4"/>
  <c r="G292" i="4"/>
  <c r="F292" i="4"/>
  <c r="E292" i="4"/>
  <c r="D292" i="4"/>
  <c r="C292" i="4"/>
  <c r="B292" i="4"/>
  <c r="A292" i="4"/>
  <c r="M291" i="4"/>
  <c r="L291" i="4"/>
  <c r="K291" i="4"/>
  <c r="J291" i="4"/>
  <c r="I291" i="4"/>
  <c r="H291" i="4"/>
  <c r="G291" i="4"/>
  <c r="F291" i="4"/>
  <c r="E291" i="4"/>
  <c r="D291" i="4"/>
  <c r="C291" i="4"/>
  <c r="B291" i="4"/>
  <c r="A291" i="4"/>
  <c r="M290" i="4"/>
  <c r="L290" i="4"/>
  <c r="K290" i="4"/>
  <c r="J290" i="4"/>
  <c r="I290" i="4"/>
  <c r="H290" i="4"/>
  <c r="G290" i="4"/>
  <c r="F290" i="4"/>
  <c r="E290" i="4"/>
  <c r="D290" i="4"/>
  <c r="C290" i="4"/>
  <c r="B290" i="4"/>
  <c r="A290" i="4"/>
  <c r="M289" i="4"/>
  <c r="L289" i="4"/>
  <c r="K289" i="4"/>
  <c r="J289" i="4"/>
  <c r="I289" i="4"/>
  <c r="H289" i="4"/>
  <c r="G289" i="4"/>
  <c r="F289" i="4"/>
  <c r="E289" i="4"/>
  <c r="D289" i="4"/>
  <c r="C289" i="4"/>
  <c r="B289" i="4"/>
  <c r="A289" i="4"/>
  <c r="M288" i="4"/>
  <c r="L288" i="4"/>
  <c r="K288" i="4"/>
  <c r="J288" i="4"/>
  <c r="I288" i="4"/>
  <c r="H288" i="4"/>
  <c r="G288" i="4"/>
  <c r="F288" i="4"/>
  <c r="E288" i="4"/>
  <c r="D288" i="4"/>
  <c r="C288" i="4"/>
  <c r="B288" i="4"/>
  <c r="A288" i="4"/>
  <c r="M287" i="4"/>
  <c r="L287" i="4"/>
  <c r="K287" i="4"/>
  <c r="J287" i="4"/>
  <c r="I287" i="4"/>
  <c r="H287" i="4"/>
  <c r="G287" i="4"/>
  <c r="F287" i="4"/>
  <c r="E287" i="4"/>
  <c r="D287" i="4"/>
  <c r="C287" i="4"/>
  <c r="B287" i="4"/>
  <c r="A287" i="4"/>
  <c r="M286" i="4"/>
  <c r="L286" i="4"/>
  <c r="K286" i="4"/>
  <c r="J286" i="4"/>
  <c r="I286" i="4"/>
  <c r="H286" i="4"/>
  <c r="G286" i="4"/>
  <c r="F286" i="4"/>
  <c r="E286" i="4"/>
  <c r="D286" i="4"/>
  <c r="C286" i="4"/>
  <c r="B286" i="4"/>
  <c r="A286" i="4"/>
  <c r="M285" i="4"/>
  <c r="L285" i="4"/>
  <c r="K285" i="4"/>
  <c r="J285" i="4"/>
  <c r="I285" i="4"/>
  <c r="H285" i="4"/>
  <c r="G285" i="4"/>
  <c r="F285" i="4"/>
  <c r="D285" i="4"/>
  <c r="C285" i="4"/>
  <c r="B285" i="4"/>
  <c r="A285" i="4"/>
  <c r="M284" i="4"/>
  <c r="L284" i="4"/>
  <c r="K284" i="4"/>
  <c r="J284" i="4"/>
  <c r="I284" i="4"/>
  <c r="H284" i="4"/>
  <c r="G284" i="4"/>
  <c r="F284" i="4"/>
  <c r="E284" i="4"/>
  <c r="D284" i="4"/>
  <c r="C284" i="4"/>
  <c r="B284" i="4"/>
  <c r="A284" i="4"/>
  <c r="M283" i="4"/>
  <c r="L283" i="4"/>
  <c r="K283" i="4"/>
  <c r="J283" i="4"/>
  <c r="I283" i="4"/>
  <c r="H283" i="4"/>
  <c r="G283" i="4"/>
  <c r="F283" i="4"/>
  <c r="E283" i="4"/>
  <c r="D283" i="4"/>
  <c r="C283" i="4"/>
  <c r="B283" i="4"/>
  <c r="A283" i="4"/>
  <c r="M282" i="4"/>
  <c r="L282" i="4"/>
  <c r="K282" i="4"/>
  <c r="J282" i="4"/>
  <c r="I282" i="4"/>
  <c r="H282" i="4"/>
  <c r="G282" i="4"/>
  <c r="F282" i="4"/>
  <c r="E282" i="4"/>
  <c r="D282" i="4"/>
  <c r="C282" i="4"/>
  <c r="B282" i="4"/>
  <c r="A282" i="4"/>
  <c r="M281" i="4"/>
  <c r="L281" i="4"/>
  <c r="K281" i="4"/>
  <c r="J281" i="4"/>
  <c r="I281" i="4"/>
  <c r="H281" i="4"/>
  <c r="G281" i="4"/>
  <c r="F281" i="4"/>
  <c r="E281" i="4"/>
  <c r="D281" i="4"/>
  <c r="C281" i="4"/>
  <c r="B281" i="4"/>
  <c r="A281" i="4"/>
  <c r="M280" i="4"/>
  <c r="L280" i="4"/>
  <c r="K280" i="4"/>
  <c r="J280" i="4"/>
  <c r="I280" i="4"/>
  <c r="H280" i="4"/>
  <c r="G280" i="4"/>
  <c r="F280" i="4"/>
  <c r="E280" i="4"/>
  <c r="D280" i="4"/>
  <c r="C280" i="4"/>
  <c r="B280" i="4"/>
  <c r="A280" i="4"/>
  <c r="M279" i="4"/>
  <c r="L279" i="4"/>
  <c r="K279" i="4"/>
  <c r="J279" i="4"/>
  <c r="I279" i="4"/>
  <c r="H279" i="4"/>
  <c r="G279" i="4"/>
  <c r="F279" i="4"/>
  <c r="E279" i="4"/>
  <c r="D279" i="4"/>
  <c r="C279" i="4"/>
  <c r="B279" i="4"/>
  <c r="A279" i="4"/>
  <c r="M278" i="4"/>
  <c r="L278" i="4"/>
  <c r="K278" i="4"/>
  <c r="J278" i="4"/>
  <c r="I278" i="4"/>
  <c r="H278" i="4"/>
  <c r="G278" i="4"/>
  <c r="F278" i="4"/>
  <c r="E278" i="4"/>
  <c r="D278" i="4"/>
  <c r="C278" i="4"/>
  <c r="B278" i="4"/>
  <c r="A278" i="4"/>
  <c r="M277" i="4"/>
  <c r="L277" i="4"/>
  <c r="K277" i="4"/>
  <c r="J277" i="4"/>
  <c r="I277" i="4"/>
  <c r="H277" i="4"/>
  <c r="G277" i="4"/>
  <c r="F277" i="4"/>
  <c r="E277" i="4"/>
  <c r="D277" i="4"/>
  <c r="C277" i="4"/>
  <c r="B277" i="4"/>
  <c r="A277" i="4"/>
  <c r="M276" i="4"/>
  <c r="L276" i="4"/>
  <c r="K276" i="4"/>
  <c r="J276" i="4"/>
  <c r="I276" i="4"/>
  <c r="H276" i="4"/>
  <c r="G276" i="4"/>
  <c r="F276" i="4"/>
  <c r="E276" i="4"/>
  <c r="D276" i="4"/>
  <c r="C276" i="4"/>
  <c r="B276" i="4"/>
  <c r="A276" i="4"/>
  <c r="M275" i="4"/>
  <c r="L275" i="4"/>
  <c r="K275" i="4"/>
  <c r="J275" i="4"/>
  <c r="I275" i="4"/>
  <c r="H275" i="4"/>
  <c r="G275" i="4"/>
  <c r="F275" i="4"/>
  <c r="E275" i="4"/>
  <c r="D275" i="4"/>
  <c r="C275" i="4"/>
  <c r="B275" i="4"/>
  <c r="A275" i="4"/>
  <c r="M274" i="4"/>
  <c r="L274" i="4"/>
  <c r="K274" i="4"/>
  <c r="J274" i="4"/>
  <c r="I274" i="4"/>
  <c r="H274" i="4"/>
  <c r="G274" i="4"/>
  <c r="F274" i="4"/>
  <c r="E274" i="4"/>
  <c r="D274" i="4"/>
  <c r="C274" i="4"/>
  <c r="B274" i="4"/>
  <c r="A274" i="4"/>
  <c r="M273" i="4"/>
  <c r="L273" i="4"/>
  <c r="K273" i="4"/>
  <c r="J273" i="4"/>
  <c r="I273" i="4"/>
  <c r="H273" i="4"/>
  <c r="G273" i="4"/>
  <c r="F273" i="4"/>
  <c r="E273" i="4"/>
  <c r="D273" i="4"/>
  <c r="C273" i="4"/>
  <c r="B273" i="4"/>
  <c r="A273" i="4"/>
  <c r="M272" i="4"/>
  <c r="L272" i="4"/>
  <c r="K272" i="4"/>
  <c r="J272" i="4"/>
  <c r="I272" i="4"/>
  <c r="H272" i="4"/>
  <c r="G272" i="4"/>
  <c r="F272" i="4"/>
  <c r="E272" i="4"/>
  <c r="D272" i="4"/>
  <c r="C272" i="4"/>
  <c r="B272" i="4"/>
  <c r="A272" i="4"/>
  <c r="M271" i="4"/>
  <c r="L271" i="4"/>
  <c r="K271" i="4"/>
  <c r="J271" i="4"/>
  <c r="I271" i="4"/>
  <c r="H271" i="4"/>
  <c r="G271" i="4"/>
  <c r="F271" i="4"/>
  <c r="E271" i="4"/>
  <c r="D271" i="4"/>
  <c r="C271" i="4"/>
  <c r="B271" i="4"/>
  <c r="A271" i="4"/>
  <c r="M270" i="4"/>
  <c r="L270" i="4"/>
  <c r="K270" i="4"/>
  <c r="J270" i="4"/>
  <c r="I270" i="4"/>
  <c r="H270" i="4"/>
  <c r="G270" i="4"/>
  <c r="F270" i="4"/>
  <c r="E270" i="4"/>
  <c r="D270" i="4"/>
  <c r="C270" i="4"/>
  <c r="B270" i="4"/>
  <c r="A270" i="4"/>
  <c r="M269" i="4"/>
  <c r="L269" i="4"/>
  <c r="K269" i="4"/>
  <c r="J269" i="4"/>
  <c r="I269" i="4"/>
  <c r="H269" i="4"/>
  <c r="G269" i="4"/>
  <c r="F269" i="4"/>
  <c r="E269" i="4"/>
  <c r="D269" i="4"/>
  <c r="C269" i="4"/>
  <c r="B269" i="4"/>
  <c r="A269" i="4"/>
  <c r="M268" i="4"/>
  <c r="L268" i="4"/>
  <c r="K268" i="4"/>
  <c r="J268" i="4"/>
  <c r="I268" i="4"/>
  <c r="H268" i="4"/>
  <c r="G268" i="4"/>
  <c r="F268" i="4"/>
  <c r="E268" i="4"/>
  <c r="D268" i="4"/>
  <c r="C268" i="4"/>
  <c r="B268" i="4"/>
  <c r="A268" i="4"/>
  <c r="M267" i="4"/>
  <c r="L267" i="4"/>
  <c r="K267" i="4"/>
  <c r="J267" i="4"/>
  <c r="I267" i="4"/>
  <c r="H267" i="4"/>
  <c r="G267" i="4"/>
  <c r="F267" i="4"/>
  <c r="E267" i="4"/>
  <c r="D267" i="4"/>
  <c r="C267" i="4"/>
  <c r="B267" i="4"/>
  <c r="A267" i="4"/>
  <c r="M266" i="4"/>
  <c r="L266" i="4"/>
  <c r="K266" i="4"/>
  <c r="J266" i="4"/>
  <c r="I266" i="4"/>
  <c r="H266" i="4"/>
  <c r="G266" i="4"/>
  <c r="F266" i="4"/>
  <c r="E266" i="4"/>
  <c r="D266" i="4"/>
  <c r="C266" i="4"/>
  <c r="B266" i="4"/>
  <c r="A266" i="4"/>
  <c r="M265" i="4"/>
  <c r="L265" i="4"/>
  <c r="K265" i="4"/>
  <c r="J265" i="4"/>
  <c r="I265" i="4"/>
  <c r="H265" i="4"/>
  <c r="G265" i="4"/>
  <c r="F265" i="4"/>
  <c r="E265" i="4"/>
  <c r="D265" i="4"/>
  <c r="C265" i="4"/>
  <c r="B265" i="4"/>
  <c r="A265" i="4"/>
  <c r="M264" i="4"/>
  <c r="L264" i="4"/>
  <c r="K264" i="4"/>
  <c r="J264" i="4"/>
  <c r="I264" i="4"/>
  <c r="H264" i="4"/>
  <c r="G264" i="4"/>
  <c r="F264" i="4"/>
  <c r="E264" i="4"/>
  <c r="D264" i="4"/>
  <c r="C264" i="4"/>
  <c r="B264" i="4"/>
  <c r="A264" i="4"/>
  <c r="M263" i="4"/>
  <c r="L263" i="4"/>
  <c r="K263" i="4"/>
  <c r="J263" i="4"/>
  <c r="I263" i="4"/>
  <c r="H263" i="4"/>
  <c r="G263" i="4"/>
  <c r="F263" i="4"/>
  <c r="E263" i="4"/>
  <c r="D263" i="4"/>
  <c r="C263" i="4"/>
  <c r="B263" i="4"/>
  <c r="A263" i="4"/>
  <c r="M262" i="4"/>
  <c r="L262" i="4"/>
  <c r="K262" i="4"/>
  <c r="J262" i="4"/>
  <c r="I262" i="4"/>
  <c r="H262" i="4"/>
  <c r="G262" i="4"/>
  <c r="F262" i="4"/>
  <c r="E262" i="4"/>
  <c r="D262" i="4"/>
  <c r="C262" i="4"/>
  <c r="B262" i="4"/>
  <c r="A262" i="4"/>
  <c r="M261" i="4"/>
  <c r="L261" i="4"/>
  <c r="K261" i="4"/>
  <c r="J261" i="4"/>
  <c r="I261" i="4"/>
  <c r="H261" i="4"/>
  <c r="G261" i="4"/>
  <c r="F261" i="4"/>
  <c r="E261" i="4"/>
  <c r="D261" i="4"/>
  <c r="C261" i="4"/>
  <c r="B261" i="4"/>
  <c r="A261" i="4"/>
  <c r="M260" i="4"/>
  <c r="L260" i="4"/>
  <c r="K260" i="4"/>
  <c r="J260" i="4"/>
  <c r="I260" i="4"/>
  <c r="H260" i="4"/>
  <c r="G260" i="4"/>
  <c r="F260" i="4"/>
  <c r="E260" i="4"/>
  <c r="D260" i="4"/>
  <c r="C260" i="4"/>
  <c r="B260" i="4"/>
  <c r="A260" i="4"/>
  <c r="M259" i="4"/>
  <c r="L259" i="4"/>
  <c r="K259" i="4"/>
  <c r="J259" i="4"/>
  <c r="I259" i="4"/>
  <c r="H259" i="4"/>
  <c r="G259" i="4"/>
  <c r="F259" i="4"/>
  <c r="E259" i="4"/>
  <c r="D259" i="4"/>
  <c r="C259" i="4"/>
  <c r="B259" i="4"/>
  <c r="A259" i="4"/>
  <c r="M258" i="4"/>
  <c r="L258" i="4"/>
  <c r="K258" i="4"/>
  <c r="J258" i="4"/>
  <c r="I258" i="4"/>
  <c r="H258" i="4"/>
  <c r="G258" i="4"/>
  <c r="F258" i="4"/>
  <c r="E258" i="4"/>
  <c r="D258" i="4"/>
  <c r="C258" i="4"/>
  <c r="B258" i="4"/>
  <c r="A258" i="4"/>
  <c r="M257" i="4"/>
  <c r="L257" i="4"/>
  <c r="K257" i="4"/>
  <c r="J257" i="4"/>
  <c r="I257" i="4"/>
  <c r="H257" i="4"/>
  <c r="G257" i="4"/>
  <c r="F257" i="4"/>
  <c r="E257" i="4"/>
  <c r="D257" i="4"/>
  <c r="C257" i="4"/>
  <c r="B257" i="4"/>
  <c r="A257" i="4"/>
  <c r="M256" i="4"/>
  <c r="L256" i="4"/>
  <c r="K256" i="4"/>
  <c r="J256" i="4"/>
  <c r="I256" i="4"/>
  <c r="H256" i="4"/>
  <c r="G256" i="4"/>
  <c r="F256" i="4"/>
  <c r="E256" i="4"/>
  <c r="D256" i="4"/>
  <c r="C256" i="4"/>
  <c r="B256" i="4"/>
  <c r="A256" i="4"/>
  <c r="M255" i="4"/>
  <c r="L255" i="4"/>
  <c r="K255" i="4"/>
  <c r="J255" i="4"/>
  <c r="I255" i="4"/>
  <c r="H255" i="4"/>
  <c r="G255" i="4"/>
  <c r="F255" i="4"/>
  <c r="E255" i="4"/>
  <c r="D255" i="4"/>
  <c r="C255" i="4"/>
  <c r="B255" i="4"/>
  <c r="A255" i="4"/>
  <c r="M254" i="4"/>
  <c r="L254" i="4"/>
  <c r="K254" i="4"/>
  <c r="J254" i="4"/>
  <c r="I254" i="4"/>
  <c r="H254" i="4"/>
  <c r="G254" i="4"/>
  <c r="F254" i="4"/>
  <c r="E254" i="4"/>
  <c r="D254" i="4"/>
  <c r="C254" i="4"/>
  <c r="B254" i="4"/>
  <c r="A254" i="4"/>
  <c r="M253" i="4"/>
  <c r="L253" i="4"/>
  <c r="K253" i="4"/>
  <c r="J253" i="4"/>
  <c r="I253" i="4"/>
  <c r="H253" i="4"/>
  <c r="G253" i="4"/>
  <c r="F253" i="4"/>
  <c r="E253" i="4"/>
  <c r="D253" i="4"/>
  <c r="C253" i="4"/>
  <c r="B253" i="4"/>
  <c r="A253" i="4"/>
  <c r="M252" i="4"/>
  <c r="L252" i="4"/>
  <c r="K252" i="4"/>
  <c r="J252" i="4"/>
  <c r="I252" i="4"/>
  <c r="H252" i="4"/>
  <c r="G252" i="4"/>
  <c r="F252" i="4"/>
  <c r="E252" i="4"/>
  <c r="D252" i="4"/>
  <c r="C252" i="4"/>
  <c r="B252" i="4"/>
  <c r="A252" i="4"/>
  <c r="M251" i="4"/>
  <c r="L251" i="4"/>
  <c r="K251" i="4"/>
  <c r="J251" i="4"/>
  <c r="I251" i="4"/>
  <c r="H251" i="4"/>
  <c r="G251" i="4"/>
  <c r="F251" i="4"/>
  <c r="E251" i="4"/>
  <c r="D251" i="4"/>
  <c r="C251" i="4"/>
  <c r="B251" i="4"/>
  <c r="A251" i="4"/>
  <c r="M250" i="4"/>
  <c r="L250" i="4"/>
  <c r="K250" i="4"/>
  <c r="J250" i="4"/>
  <c r="I250" i="4"/>
  <c r="H250" i="4"/>
  <c r="G250" i="4"/>
  <c r="F250" i="4"/>
  <c r="E250" i="4"/>
  <c r="D250" i="4"/>
  <c r="C250" i="4"/>
  <c r="B250" i="4"/>
  <c r="A250" i="4"/>
  <c r="M249" i="4"/>
  <c r="L249" i="4"/>
  <c r="K249" i="4"/>
  <c r="J249" i="4"/>
  <c r="I249" i="4"/>
  <c r="H249" i="4"/>
  <c r="G249" i="4"/>
  <c r="F249" i="4"/>
  <c r="E249" i="4"/>
  <c r="D249" i="4"/>
  <c r="C249" i="4"/>
  <c r="B249" i="4"/>
  <c r="A249" i="4"/>
  <c r="M248" i="4"/>
  <c r="L248" i="4"/>
  <c r="K248" i="4"/>
  <c r="J248" i="4"/>
  <c r="I248" i="4"/>
  <c r="H248" i="4"/>
  <c r="G248" i="4"/>
  <c r="F248" i="4"/>
  <c r="E248" i="4"/>
  <c r="D248" i="4"/>
  <c r="C248" i="4"/>
  <c r="B248" i="4"/>
  <c r="A248" i="4"/>
  <c r="M247" i="4"/>
  <c r="L247" i="4"/>
  <c r="K247" i="4"/>
  <c r="J247" i="4"/>
  <c r="I247" i="4"/>
  <c r="H247" i="4"/>
  <c r="G247" i="4"/>
  <c r="F247" i="4"/>
  <c r="E247" i="4"/>
  <c r="D247" i="4"/>
  <c r="C247" i="4"/>
  <c r="B247" i="4"/>
  <c r="A247" i="4"/>
  <c r="M246" i="4"/>
  <c r="L246" i="4"/>
  <c r="K246" i="4"/>
  <c r="J246" i="4"/>
  <c r="I246" i="4"/>
  <c r="H246" i="4"/>
  <c r="G246" i="4"/>
  <c r="F246" i="4"/>
  <c r="E246" i="4"/>
  <c r="D246" i="4"/>
  <c r="C246" i="4"/>
  <c r="B246" i="4"/>
  <c r="A246" i="4"/>
  <c r="M245" i="4"/>
  <c r="L245" i="4"/>
  <c r="K245" i="4"/>
  <c r="J245" i="4"/>
  <c r="I245" i="4"/>
  <c r="H245" i="4"/>
  <c r="G245" i="4"/>
  <c r="F245" i="4"/>
  <c r="E245" i="4"/>
  <c r="D245" i="4"/>
  <c r="C245" i="4"/>
  <c r="B245" i="4"/>
  <c r="A245" i="4"/>
  <c r="M244" i="4"/>
  <c r="L244" i="4"/>
  <c r="K244" i="4"/>
  <c r="J244" i="4"/>
  <c r="I244" i="4"/>
  <c r="H244" i="4"/>
  <c r="G244" i="4"/>
  <c r="F244" i="4"/>
  <c r="E244" i="4"/>
  <c r="D244" i="4"/>
  <c r="C244" i="4"/>
  <c r="B244" i="4"/>
  <c r="A244" i="4"/>
  <c r="M243" i="4"/>
  <c r="L243" i="4"/>
  <c r="K243" i="4"/>
  <c r="J243" i="4"/>
  <c r="I243" i="4"/>
  <c r="H243" i="4"/>
  <c r="G243" i="4"/>
  <c r="F243" i="4"/>
  <c r="E243" i="4"/>
  <c r="D243" i="4"/>
  <c r="C243" i="4"/>
  <c r="B243" i="4"/>
  <c r="A243" i="4"/>
  <c r="M242" i="4"/>
  <c r="L242" i="4"/>
  <c r="K242" i="4"/>
  <c r="J242" i="4"/>
  <c r="I242" i="4"/>
  <c r="H242" i="4"/>
  <c r="G242" i="4"/>
  <c r="F242" i="4"/>
  <c r="E242" i="4"/>
  <c r="D242" i="4"/>
  <c r="C242" i="4"/>
  <c r="B242" i="4"/>
  <c r="A242" i="4"/>
  <c r="M241" i="4"/>
  <c r="L241" i="4"/>
  <c r="K241" i="4"/>
  <c r="J241" i="4"/>
  <c r="I241" i="4"/>
  <c r="H241" i="4"/>
  <c r="G241" i="4"/>
  <c r="F241" i="4"/>
  <c r="E241" i="4"/>
  <c r="D241" i="4"/>
  <c r="C241" i="4"/>
  <c r="B241" i="4"/>
  <c r="A241" i="4"/>
  <c r="M240" i="4"/>
  <c r="L240" i="4"/>
  <c r="K240" i="4"/>
  <c r="J240" i="4"/>
  <c r="I240" i="4"/>
  <c r="H240" i="4"/>
  <c r="G240" i="4"/>
  <c r="F240" i="4"/>
  <c r="E240" i="4"/>
  <c r="D240" i="4"/>
  <c r="C240" i="4"/>
  <c r="B240" i="4"/>
  <c r="A240" i="4"/>
  <c r="M239" i="4"/>
  <c r="L239" i="4"/>
  <c r="K239" i="4"/>
  <c r="J239" i="4"/>
  <c r="I239" i="4"/>
  <c r="H239" i="4"/>
  <c r="G239" i="4"/>
  <c r="F239" i="4"/>
  <c r="E239" i="4"/>
  <c r="D239" i="4"/>
  <c r="C239" i="4"/>
  <c r="B239" i="4"/>
  <c r="A239" i="4"/>
  <c r="M238" i="4"/>
  <c r="L238" i="4"/>
  <c r="K238" i="4"/>
  <c r="J238" i="4"/>
  <c r="I238" i="4"/>
  <c r="H238" i="4"/>
  <c r="G238" i="4"/>
  <c r="F238" i="4"/>
  <c r="E238" i="4"/>
  <c r="D238" i="4"/>
  <c r="C238" i="4"/>
  <c r="B238" i="4"/>
  <c r="A238" i="4"/>
  <c r="M237" i="4"/>
  <c r="L237" i="4"/>
  <c r="K237" i="4"/>
  <c r="J237" i="4"/>
  <c r="I237" i="4"/>
  <c r="H237" i="4"/>
  <c r="G237" i="4"/>
  <c r="F237" i="4"/>
  <c r="E237" i="4"/>
  <c r="D237" i="4"/>
  <c r="C237" i="4"/>
  <c r="B237" i="4"/>
  <c r="A237" i="4"/>
  <c r="M236" i="4"/>
  <c r="L236" i="4"/>
  <c r="K236" i="4"/>
  <c r="J236" i="4"/>
  <c r="I236" i="4"/>
  <c r="H236" i="4"/>
  <c r="G236" i="4"/>
  <c r="F236" i="4"/>
  <c r="E236" i="4"/>
  <c r="D236" i="4"/>
  <c r="C236" i="4"/>
  <c r="B236" i="4"/>
  <c r="A236" i="4"/>
  <c r="M235" i="4"/>
  <c r="L235" i="4"/>
  <c r="K235" i="4"/>
  <c r="J235" i="4"/>
  <c r="I235" i="4"/>
  <c r="H235" i="4"/>
  <c r="G235" i="4"/>
  <c r="F235" i="4"/>
  <c r="E235" i="4"/>
  <c r="D235" i="4"/>
  <c r="C235" i="4"/>
  <c r="B235" i="4"/>
  <c r="A235" i="4"/>
  <c r="M234" i="4"/>
  <c r="L234" i="4"/>
  <c r="K234" i="4"/>
  <c r="J234" i="4"/>
  <c r="I234" i="4"/>
  <c r="H234" i="4"/>
  <c r="G234" i="4"/>
  <c r="F234" i="4"/>
  <c r="E234" i="4"/>
  <c r="D234" i="4"/>
  <c r="C234" i="4"/>
  <c r="B234" i="4"/>
  <c r="A234" i="4"/>
  <c r="M233" i="4"/>
  <c r="L233" i="4"/>
  <c r="K233" i="4"/>
  <c r="J233" i="4"/>
  <c r="I233" i="4"/>
  <c r="H233" i="4"/>
  <c r="G233" i="4"/>
  <c r="F233" i="4"/>
  <c r="E233" i="4"/>
  <c r="D233" i="4"/>
  <c r="C233" i="4"/>
  <c r="B233" i="4"/>
  <c r="A233" i="4"/>
  <c r="M232" i="4"/>
  <c r="L232" i="4"/>
  <c r="K232" i="4"/>
  <c r="J232" i="4"/>
  <c r="I232" i="4"/>
  <c r="H232" i="4"/>
  <c r="G232" i="4"/>
  <c r="F232" i="4"/>
  <c r="E232" i="4"/>
  <c r="D232" i="4"/>
  <c r="C232" i="4"/>
  <c r="B232" i="4"/>
  <c r="A232" i="4"/>
  <c r="M231" i="4"/>
  <c r="L231" i="4"/>
  <c r="K231" i="4"/>
  <c r="J231" i="4"/>
  <c r="I231" i="4"/>
  <c r="H231" i="4"/>
  <c r="G231" i="4"/>
  <c r="F231" i="4"/>
  <c r="E231" i="4"/>
  <c r="D231" i="4"/>
  <c r="C231" i="4"/>
  <c r="B231" i="4"/>
  <c r="A231" i="4"/>
  <c r="M230" i="4"/>
  <c r="L230" i="4"/>
  <c r="K230" i="4"/>
  <c r="J230" i="4"/>
  <c r="I230" i="4"/>
  <c r="H230" i="4"/>
  <c r="G230" i="4"/>
  <c r="F230" i="4"/>
  <c r="E230" i="4"/>
  <c r="D230" i="4"/>
  <c r="C230" i="4"/>
  <c r="B230" i="4"/>
  <c r="A230" i="4"/>
  <c r="M229" i="4"/>
  <c r="L229" i="4"/>
  <c r="K229" i="4"/>
  <c r="J229" i="4"/>
  <c r="I229" i="4"/>
  <c r="H229" i="4"/>
  <c r="G229" i="4"/>
  <c r="F229" i="4"/>
  <c r="E229" i="4"/>
  <c r="D229" i="4"/>
  <c r="C229" i="4"/>
  <c r="B229" i="4"/>
  <c r="A229" i="4"/>
  <c r="M228" i="4"/>
  <c r="L228" i="4"/>
  <c r="K228" i="4"/>
  <c r="J228" i="4"/>
  <c r="I228" i="4"/>
  <c r="H228" i="4"/>
  <c r="G228" i="4"/>
  <c r="F228" i="4"/>
  <c r="E228" i="4"/>
  <c r="D228" i="4"/>
  <c r="C228" i="4"/>
  <c r="B228" i="4"/>
  <c r="A228" i="4"/>
  <c r="M227" i="4"/>
  <c r="L227" i="4"/>
  <c r="K227" i="4"/>
  <c r="J227" i="4"/>
  <c r="I227" i="4"/>
  <c r="H227" i="4"/>
  <c r="G227" i="4"/>
  <c r="F227" i="4"/>
  <c r="E227" i="4"/>
  <c r="D227" i="4"/>
  <c r="C227" i="4"/>
  <c r="B227" i="4"/>
  <c r="A227" i="4"/>
  <c r="M226" i="4"/>
  <c r="L226" i="4"/>
  <c r="K226" i="4"/>
  <c r="J226" i="4"/>
  <c r="I226" i="4"/>
  <c r="H226" i="4"/>
  <c r="G226" i="4"/>
  <c r="F226" i="4"/>
  <c r="E226" i="4"/>
  <c r="D226" i="4"/>
  <c r="C226" i="4"/>
  <c r="B226" i="4"/>
  <c r="A226" i="4"/>
  <c r="M225" i="4"/>
  <c r="L225" i="4"/>
  <c r="K225" i="4"/>
  <c r="J225" i="4"/>
  <c r="I225" i="4"/>
  <c r="H225" i="4"/>
  <c r="G225" i="4"/>
  <c r="F225" i="4"/>
  <c r="E225" i="4"/>
  <c r="D225" i="4"/>
  <c r="C225" i="4"/>
  <c r="B225" i="4"/>
  <c r="A225" i="4"/>
  <c r="M224" i="4"/>
  <c r="L224" i="4"/>
  <c r="K224" i="4"/>
  <c r="J224" i="4"/>
  <c r="I224" i="4"/>
  <c r="H224" i="4"/>
  <c r="G224" i="4"/>
  <c r="F224" i="4"/>
  <c r="E224" i="4"/>
  <c r="D224" i="4"/>
  <c r="C224" i="4"/>
  <c r="B224" i="4"/>
  <c r="A224" i="4"/>
  <c r="M223" i="4"/>
  <c r="L223" i="4"/>
  <c r="K223" i="4"/>
  <c r="J223" i="4"/>
  <c r="I223" i="4"/>
  <c r="H223" i="4"/>
  <c r="G223" i="4"/>
  <c r="F223" i="4"/>
  <c r="E223" i="4"/>
  <c r="D223" i="4"/>
  <c r="C223" i="4"/>
  <c r="B223" i="4"/>
  <c r="A223" i="4"/>
  <c r="M222" i="4"/>
  <c r="L222" i="4"/>
  <c r="K222" i="4"/>
  <c r="J222" i="4"/>
  <c r="I222" i="4"/>
  <c r="H222" i="4"/>
  <c r="G222" i="4"/>
  <c r="F222" i="4"/>
  <c r="E222" i="4"/>
  <c r="D222" i="4"/>
  <c r="C222" i="4"/>
  <c r="B222" i="4"/>
  <c r="A222" i="4"/>
  <c r="M221" i="4"/>
  <c r="L221" i="4"/>
  <c r="K221" i="4"/>
  <c r="J221" i="4"/>
  <c r="I221" i="4"/>
  <c r="H221" i="4"/>
  <c r="G221" i="4"/>
  <c r="F221" i="4"/>
  <c r="E221" i="4"/>
  <c r="D221" i="4"/>
  <c r="C221" i="4"/>
  <c r="B221" i="4"/>
  <c r="A221" i="4"/>
  <c r="M220" i="4"/>
  <c r="L220" i="4"/>
  <c r="K220" i="4"/>
  <c r="J220" i="4"/>
  <c r="I220" i="4"/>
  <c r="H220" i="4"/>
  <c r="G220" i="4"/>
  <c r="F220" i="4"/>
  <c r="E220" i="4"/>
  <c r="D220" i="4"/>
  <c r="C220" i="4"/>
  <c r="B220" i="4"/>
  <c r="A220" i="4"/>
  <c r="M219" i="4"/>
  <c r="L219" i="4"/>
  <c r="K219" i="4"/>
  <c r="J219" i="4"/>
  <c r="I219" i="4"/>
  <c r="H219" i="4"/>
  <c r="G219" i="4"/>
  <c r="F219" i="4"/>
  <c r="E219" i="4"/>
  <c r="D219" i="4"/>
  <c r="C219" i="4"/>
  <c r="B219" i="4"/>
  <c r="A219" i="4"/>
  <c r="M218" i="4"/>
  <c r="L218" i="4"/>
  <c r="K218" i="4"/>
  <c r="J218" i="4"/>
  <c r="I218" i="4"/>
  <c r="H218" i="4"/>
  <c r="G218" i="4"/>
  <c r="F218" i="4"/>
  <c r="E218" i="4"/>
  <c r="D218" i="4"/>
  <c r="C218" i="4"/>
  <c r="B218" i="4"/>
  <c r="A218" i="4"/>
  <c r="M217" i="4"/>
  <c r="L217" i="4"/>
  <c r="K217" i="4"/>
  <c r="J217" i="4"/>
  <c r="I217" i="4"/>
  <c r="H217" i="4"/>
  <c r="G217" i="4"/>
  <c r="F217" i="4"/>
  <c r="D217" i="4"/>
  <c r="C217" i="4"/>
  <c r="B217" i="4"/>
  <c r="A217" i="4"/>
  <c r="M216" i="4"/>
  <c r="L216" i="4"/>
  <c r="K216" i="4"/>
  <c r="J216" i="4"/>
  <c r="I216" i="4"/>
  <c r="H216" i="4"/>
  <c r="G216" i="4"/>
  <c r="F216" i="4"/>
  <c r="E216" i="4"/>
  <c r="D216" i="4"/>
  <c r="C216" i="4"/>
  <c r="B216" i="4"/>
  <c r="A216" i="4"/>
  <c r="M215" i="4"/>
  <c r="L215" i="4"/>
  <c r="K215" i="4"/>
  <c r="J215" i="4"/>
  <c r="I215" i="4"/>
  <c r="H215" i="4"/>
  <c r="G215" i="4"/>
  <c r="F215" i="4"/>
  <c r="E215" i="4"/>
  <c r="D215" i="4"/>
  <c r="C215" i="4"/>
  <c r="B215" i="4"/>
  <c r="A215" i="4"/>
  <c r="M214" i="4"/>
  <c r="L214" i="4"/>
  <c r="K214" i="4"/>
  <c r="J214" i="4"/>
  <c r="I214" i="4"/>
  <c r="H214" i="4"/>
  <c r="G214" i="4"/>
  <c r="F214" i="4"/>
  <c r="E214" i="4"/>
  <c r="D214" i="4"/>
  <c r="C214" i="4"/>
  <c r="B214" i="4"/>
  <c r="A214" i="4"/>
  <c r="M213" i="4"/>
  <c r="L213" i="4"/>
  <c r="K213" i="4"/>
  <c r="J213" i="4"/>
  <c r="I213" i="4"/>
  <c r="H213" i="4"/>
  <c r="G213" i="4"/>
  <c r="F213" i="4"/>
  <c r="E213" i="4"/>
  <c r="D213" i="4"/>
  <c r="C213" i="4"/>
  <c r="B213" i="4"/>
  <c r="A213" i="4"/>
  <c r="M212" i="4"/>
  <c r="L212" i="4"/>
  <c r="K212" i="4"/>
  <c r="J212" i="4"/>
  <c r="I212" i="4"/>
  <c r="H212" i="4"/>
  <c r="G212" i="4"/>
  <c r="F212" i="4"/>
  <c r="E212" i="4"/>
  <c r="D212" i="4"/>
  <c r="C212" i="4"/>
  <c r="B212" i="4"/>
  <c r="A212" i="4"/>
  <c r="M211" i="4"/>
  <c r="L211" i="4"/>
  <c r="K211" i="4"/>
  <c r="J211" i="4"/>
  <c r="I211" i="4"/>
  <c r="H211" i="4"/>
  <c r="G211" i="4"/>
  <c r="F211" i="4"/>
  <c r="E211" i="4"/>
  <c r="D211" i="4"/>
  <c r="C211" i="4"/>
  <c r="B211" i="4"/>
  <c r="A211" i="4"/>
  <c r="M210" i="4"/>
  <c r="L210" i="4"/>
  <c r="K210" i="4"/>
  <c r="J210" i="4"/>
  <c r="I210" i="4"/>
  <c r="H210" i="4"/>
  <c r="G210" i="4"/>
  <c r="F210" i="4"/>
  <c r="E210" i="4"/>
  <c r="D210" i="4"/>
  <c r="C210" i="4"/>
  <c r="B210" i="4"/>
  <c r="A210" i="4"/>
  <c r="M209" i="4"/>
  <c r="L209" i="4"/>
  <c r="K209" i="4"/>
  <c r="J209" i="4"/>
  <c r="I209" i="4"/>
  <c r="H209" i="4"/>
  <c r="G209" i="4"/>
  <c r="F209" i="4"/>
  <c r="E209" i="4"/>
  <c r="D209" i="4"/>
  <c r="C209" i="4"/>
  <c r="B209" i="4"/>
  <c r="A209" i="4"/>
  <c r="M208" i="4"/>
  <c r="L208" i="4"/>
  <c r="K208" i="4"/>
  <c r="J208" i="4"/>
  <c r="I208" i="4"/>
  <c r="H208" i="4"/>
  <c r="G208" i="4"/>
  <c r="F208" i="4"/>
  <c r="E208" i="4"/>
  <c r="D208" i="4"/>
  <c r="C208" i="4"/>
  <c r="B208" i="4"/>
  <c r="A208" i="4"/>
  <c r="M207" i="4"/>
  <c r="L207" i="4"/>
  <c r="K207" i="4"/>
  <c r="J207" i="4"/>
  <c r="I207" i="4"/>
  <c r="H207" i="4"/>
  <c r="G207" i="4"/>
  <c r="F207" i="4"/>
  <c r="E207" i="4"/>
  <c r="D207" i="4"/>
  <c r="C207" i="4"/>
  <c r="B207" i="4"/>
  <c r="A207" i="4"/>
  <c r="M206" i="4"/>
  <c r="L206" i="4"/>
  <c r="K206" i="4"/>
  <c r="J206" i="4"/>
  <c r="I206" i="4"/>
  <c r="H206" i="4"/>
  <c r="G206" i="4"/>
  <c r="F206" i="4"/>
  <c r="E206" i="4"/>
  <c r="D206" i="4"/>
  <c r="C206" i="4"/>
  <c r="B206" i="4"/>
  <c r="A206" i="4"/>
  <c r="M205" i="4"/>
  <c r="L205" i="4"/>
  <c r="K205" i="4"/>
  <c r="J205" i="4"/>
  <c r="I205" i="4"/>
  <c r="H205" i="4"/>
  <c r="G205" i="4"/>
  <c r="F205" i="4"/>
  <c r="E205" i="4"/>
  <c r="D205" i="4"/>
  <c r="C205" i="4"/>
  <c r="B205" i="4"/>
  <c r="A205" i="4"/>
  <c r="M204" i="4"/>
  <c r="L204" i="4"/>
  <c r="K204" i="4"/>
  <c r="J204" i="4"/>
  <c r="I204" i="4"/>
  <c r="H204" i="4"/>
  <c r="G204" i="4"/>
  <c r="F204" i="4"/>
  <c r="E204" i="4"/>
  <c r="D204" i="4"/>
  <c r="C204" i="4"/>
  <c r="B204" i="4"/>
  <c r="A204" i="4"/>
  <c r="M203" i="4"/>
  <c r="L203" i="4"/>
  <c r="K203" i="4"/>
  <c r="J203" i="4"/>
  <c r="I203" i="4"/>
  <c r="H203" i="4"/>
  <c r="G203" i="4"/>
  <c r="F203" i="4"/>
  <c r="E203" i="4"/>
  <c r="D203" i="4"/>
  <c r="C203" i="4"/>
  <c r="B203" i="4"/>
  <c r="A203" i="4"/>
  <c r="M202" i="4"/>
  <c r="L202" i="4"/>
  <c r="K202" i="4"/>
  <c r="J202" i="4"/>
  <c r="I202" i="4"/>
  <c r="H202" i="4"/>
  <c r="G202" i="4"/>
  <c r="F202" i="4"/>
  <c r="E202" i="4"/>
  <c r="D202" i="4"/>
  <c r="C202" i="4"/>
  <c r="B202" i="4"/>
  <c r="A202" i="4"/>
  <c r="M201" i="4"/>
  <c r="L201" i="4"/>
  <c r="K201" i="4"/>
  <c r="J201" i="4"/>
  <c r="I201" i="4"/>
  <c r="H201" i="4"/>
  <c r="G201" i="4"/>
  <c r="F201" i="4"/>
  <c r="E201" i="4"/>
  <c r="D201" i="4"/>
  <c r="C201" i="4"/>
  <c r="B201" i="4"/>
  <c r="A201" i="4"/>
  <c r="M200" i="4"/>
  <c r="L200" i="4"/>
  <c r="K200" i="4"/>
  <c r="J200" i="4"/>
  <c r="I200" i="4"/>
  <c r="H200" i="4"/>
  <c r="G200" i="4"/>
  <c r="F200" i="4"/>
  <c r="E200" i="4"/>
  <c r="D200" i="4"/>
  <c r="C200" i="4"/>
  <c r="B200" i="4"/>
  <c r="A200" i="4"/>
  <c r="M199" i="4"/>
  <c r="L199" i="4"/>
  <c r="K199" i="4"/>
  <c r="J199" i="4"/>
  <c r="I199" i="4"/>
  <c r="H199" i="4"/>
  <c r="G199" i="4"/>
  <c r="F199" i="4"/>
  <c r="E199" i="4"/>
  <c r="D199" i="4"/>
  <c r="C199" i="4"/>
  <c r="B199" i="4"/>
  <c r="A199" i="4"/>
  <c r="M198" i="4"/>
  <c r="L198" i="4"/>
  <c r="K198" i="4"/>
  <c r="J198" i="4"/>
  <c r="I198" i="4"/>
  <c r="H198" i="4"/>
  <c r="G198" i="4"/>
  <c r="F198" i="4"/>
  <c r="E198" i="4"/>
  <c r="D198" i="4"/>
  <c r="C198" i="4"/>
  <c r="B198" i="4"/>
  <c r="A198" i="4"/>
  <c r="M197" i="4"/>
  <c r="L197" i="4"/>
  <c r="K197" i="4"/>
  <c r="J197" i="4"/>
  <c r="I197" i="4"/>
  <c r="H197" i="4"/>
  <c r="G197" i="4"/>
  <c r="F197" i="4"/>
  <c r="E197" i="4"/>
  <c r="D197" i="4"/>
  <c r="C197" i="4"/>
  <c r="B197" i="4"/>
  <c r="A197" i="4"/>
  <c r="M196" i="4"/>
  <c r="L196" i="4"/>
  <c r="K196" i="4"/>
  <c r="J196" i="4"/>
  <c r="I196" i="4"/>
  <c r="H196" i="4"/>
  <c r="G196" i="4"/>
  <c r="F196" i="4"/>
  <c r="E196" i="4"/>
  <c r="D196" i="4"/>
  <c r="C196" i="4"/>
  <c r="B196" i="4"/>
  <c r="A196" i="4"/>
  <c r="M195" i="4"/>
  <c r="L195" i="4"/>
  <c r="K195" i="4"/>
  <c r="J195" i="4"/>
  <c r="I195" i="4"/>
  <c r="H195" i="4"/>
  <c r="G195" i="4"/>
  <c r="F195" i="4"/>
  <c r="E195" i="4"/>
  <c r="D195" i="4"/>
  <c r="C195" i="4"/>
  <c r="B195" i="4"/>
  <c r="A195" i="4"/>
  <c r="M194" i="4"/>
  <c r="L194" i="4"/>
  <c r="K194" i="4"/>
  <c r="J194" i="4"/>
  <c r="I194" i="4"/>
  <c r="H194" i="4"/>
  <c r="G194" i="4"/>
  <c r="F194" i="4"/>
  <c r="E194" i="4"/>
  <c r="D194" i="4"/>
  <c r="C194" i="4"/>
  <c r="B194" i="4"/>
  <c r="A194" i="4"/>
  <c r="M193" i="4"/>
  <c r="L193" i="4"/>
  <c r="K193" i="4"/>
  <c r="J193" i="4"/>
  <c r="I193" i="4"/>
  <c r="H193" i="4"/>
  <c r="G193" i="4"/>
  <c r="F193" i="4"/>
  <c r="E193" i="4"/>
  <c r="D193" i="4"/>
  <c r="C193" i="4"/>
  <c r="B193" i="4"/>
  <c r="A193" i="4"/>
  <c r="M192" i="4"/>
  <c r="L192" i="4"/>
  <c r="K192" i="4"/>
  <c r="J192" i="4"/>
  <c r="I192" i="4"/>
  <c r="H192" i="4"/>
  <c r="G192" i="4"/>
  <c r="F192" i="4"/>
  <c r="E192" i="4"/>
  <c r="D192" i="4"/>
  <c r="C192" i="4"/>
  <c r="B192" i="4"/>
  <c r="A192" i="4"/>
  <c r="M191" i="4"/>
  <c r="L191" i="4"/>
  <c r="K191" i="4"/>
  <c r="J191" i="4"/>
  <c r="I191" i="4"/>
  <c r="H191" i="4"/>
  <c r="G191" i="4"/>
  <c r="F191" i="4"/>
  <c r="E191" i="4"/>
  <c r="D191" i="4"/>
  <c r="C191" i="4"/>
  <c r="B191" i="4"/>
  <c r="A191" i="4"/>
  <c r="M190" i="4"/>
  <c r="L190" i="4"/>
  <c r="K190" i="4"/>
  <c r="J190" i="4"/>
  <c r="I190" i="4"/>
  <c r="H190" i="4"/>
  <c r="G190" i="4"/>
  <c r="F190" i="4"/>
  <c r="E190" i="4"/>
  <c r="D190" i="4"/>
  <c r="C190" i="4"/>
  <c r="B190" i="4"/>
  <c r="A190" i="4"/>
  <c r="M189" i="4"/>
  <c r="L189" i="4"/>
  <c r="K189" i="4"/>
  <c r="J189" i="4"/>
  <c r="I189" i="4"/>
  <c r="H189" i="4"/>
  <c r="G189" i="4"/>
  <c r="F189" i="4"/>
  <c r="E189" i="4"/>
  <c r="D189" i="4"/>
  <c r="C189" i="4"/>
  <c r="B189" i="4"/>
  <c r="A189" i="4"/>
  <c r="M188" i="4"/>
  <c r="L188" i="4"/>
  <c r="K188" i="4"/>
  <c r="J188" i="4"/>
  <c r="I188" i="4"/>
  <c r="H188" i="4"/>
  <c r="G188" i="4"/>
  <c r="F188" i="4"/>
  <c r="E188" i="4"/>
  <c r="D188" i="4"/>
  <c r="C188" i="4"/>
  <c r="B188" i="4"/>
  <c r="A188" i="4"/>
  <c r="M187" i="4"/>
  <c r="L187" i="4"/>
  <c r="K187" i="4"/>
  <c r="J187" i="4"/>
  <c r="I187" i="4"/>
  <c r="H187" i="4"/>
  <c r="G187" i="4"/>
  <c r="F187" i="4"/>
  <c r="E187" i="4"/>
  <c r="D187" i="4"/>
  <c r="C187" i="4"/>
  <c r="B187" i="4"/>
  <c r="A187" i="4"/>
  <c r="M186" i="4"/>
  <c r="L186" i="4"/>
  <c r="K186" i="4"/>
  <c r="J186" i="4"/>
  <c r="I186" i="4"/>
  <c r="H186" i="4"/>
  <c r="G186" i="4"/>
  <c r="F186" i="4"/>
  <c r="E186" i="4"/>
  <c r="D186" i="4"/>
  <c r="C186" i="4"/>
  <c r="B186" i="4"/>
  <c r="A186" i="4"/>
  <c r="M185" i="4"/>
  <c r="L185" i="4"/>
  <c r="K185" i="4"/>
  <c r="J185" i="4"/>
  <c r="I185" i="4"/>
  <c r="H185" i="4"/>
  <c r="G185" i="4"/>
  <c r="F185" i="4"/>
  <c r="E185" i="4"/>
  <c r="D185" i="4"/>
  <c r="C185" i="4"/>
  <c r="B185" i="4"/>
  <c r="A185" i="4"/>
  <c r="M184" i="4"/>
  <c r="L184" i="4"/>
  <c r="K184" i="4"/>
  <c r="J184" i="4"/>
  <c r="I184" i="4"/>
  <c r="H184" i="4"/>
  <c r="G184" i="4"/>
  <c r="F184" i="4"/>
  <c r="E184" i="4"/>
  <c r="D184" i="4"/>
  <c r="C184" i="4"/>
  <c r="B184" i="4"/>
  <c r="A184" i="4"/>
  <c r="M183" i="4"/>
  <c r="L183" i="4"/>
  <c r="K183" i="4"/>
  <c r="J183" i="4"/>
  <c r="I183" i="4"/>
  <c r="H183" i="4"/>
  <c r="G183" i="4"/>
  <c r="F183" i="4"/>
  <c r="E183" i="4"/>
  <c r="D183" i="4"/>
  <c r="C183" i="4"/>
  <c r="B183" i="4"/>
  <c r="A183" i="4"/>
  <c r="M182" i="4"/>
  <c r="L182" i="4"/>
  <c r="K182" i="4"/>
  <c r="J182" i="4"/>
  <c r="I182" i="4"/>
  <c r="H182" i="4"/>
  <c r="G182" i="4"/>
  <c r="F182" i="4"/>
  <c r="E182" i="4"/>
  <c r="D182" i="4"/>
  <c r="C182" i="4"/>
  <c r="B182" i="4"/>
  <c r="A182" i="4"/>
  <c r="M181" i="4"/>
  <c r="L181" i="4"/>
  <c r="K181" i="4"/>
  <c r="J181" i="4"/>
  <c r="I181" i="4"/>
  <c r="H181" i="4"/>
  <c r="G181" i="4"/>
  <c r="F181" i="4"/>
  <c r="E181" i="4"/>
  <c r="D181" i="4"/>
  <c r="C181" i="4"/>
  <c r="B181" i="4"/>
  <c r="A181" i="4"/>
  <c r="M180" i="4"/>
  <c r="L180" i="4"/>
  <c r="K180" i="4"/>
  <c r="J180" i="4"/>
  <c r="I180" i="4"/>
  <c r="H180" i="4"/>
  <c r="G180" i="4"/>
  <c r="F180" i="4"/>
  <c r="E180" i="4"/>
  <c r="D180" i="4"/>
  <c r="C180" i="4"/>
  <c r="B180" i="4"/>
  <c r="A180" i="4"/>
  <c r="M179" i="4"/>
  <c r="L179" i="4"/>
  <c r="K179" i="4"/>
  <c r="J179" i="4"/>
  <c r="I179" i="4"/>
  <c r="H179" i="4"/>
  <c r="G179" i="4"/>
  <c r="F179" i="4"/>
  <c r="E179" i="4"/>
  <c r="D179" i="4"/>
  <c r="C179" i="4"/>
  <c r="B179" i="4"/>
  <c r="A179" i="4"/>
  <c r="M178" i="4"/>
  <c r="L178" i="4"/>
  <c r="K178" i="4"/>
  <c r="J178" i="4"/>
  <c r="I178" i="4"/>
  <c r="H178" i="4"/>
  <c r="G178" i="4"/>
  <c r="F178" i="4"/>
  <c r="D178" i="4"/>
  <c r="C178" i="4"/>
  <c r="B178" i="4"/>
  <c r="A178" i="4"/>
  <c r="M177" i="4"/>
  <c r="L177" i="4"/>
  <c r="K177" i="4"/>
  <c r="J177" i="4"/>
  <c r="I177" i="4"/>
  <c r="H177" i="4"/>
  <c r="G177" i="4"/>
  <c r="F177" i="4"/>
  <c r="E177" i="4"/>
  <c r="D177" i="4"/>
  <c r="C177" i="4"/>
  <c r="B177" i="4"/>
  <c r="A177" i="4"/>
  <c r="M176" i="4"/>
  <c r="L176" i="4"/>
  <c r="K176" i="4"/>
  <c r="J176" i="4"/>
  <c r="I176" i="4"/>
  <c r="H176" i="4"/>
  <c r="G176" i="4"/>
  <c r="F176" i="4"/>
  <c r="E176" i="4"/>
  <c r="D176" i="4"/>
  <c r="C176" i="4"/>
  <c r="B176" i="4"/>
  <c r="A176" i="4"/>
  <c r="M175" i="4"/>
  <c r="L175" i="4"/>
  <c r="K175" i="4"/>
  <c r="J175" i="4"/>
  <c r="I175" i="4"/>
  <c r="H175" i="4"/>
  <c r="G175" i="4"/>
  <c r="F175" i="4"/>
  <c r="E175" i="4"/>
  <c r="D175" i="4"/>
  <c r="C175" i="4"/>
  <c r="B175" i="4"/>
  <c r="A175" i="4"/>
  <c r="M174" i="4"/>
  <c r="L174" i="4"/>
  <c r="K174" i="4"/>
  <c r="J174" i="4"/>
  <c r="I174" i="4"/>
  <c r="H174" i="4"/>
  <c r="G174" i="4"/>
  <c r="F174" i="4"/>
  <c r="D174" i="4"/>
  <c r="C174" i="4"/>
  <c r="B174" i="4"/>
  <c r="A174" i="4"/>
  <c r="M173" i="4"/>
  <c r="L173" i="4"/>
  <c r="K173" i="4"/>
  <c r="J173" i="4"/>
  <c r="I173" i="4"/>
  <c r="H173" i="4"/>
  <c r="G173" i="4"/>
  <c r="F173" i="4"/>
  <c r="E173" i="4"/>
  <c r="D173" i="4"/>
  <c r="C173" i="4"/>
  <c r="B173" i="4"/>
  <c r="A173" i="4"/>
  <c r="M172" i="4"/>
  <c r="L172" i="4"/>
  <c r="K172" i="4"/>
  <c r="J172" i="4"/>
  <c r="I172" i="4"/>
  <c r="H172" i="4"/>
  <c r="G172" i="4"/>
  <c r="F172" i="4"/>
  <c r="E172" i="4"/>
  <c r="D172" i="4"/>
  <c r="C172" i="4"/>
  <c r="B172" i="4"/>
  <c r="A172" i="4"/>
  <c r="M171" i="4"/>
  <c r="L171" i="4"/>
  <c r="K171" i="4"/>
  <c r="J171" i="4"/>
  <c r="I171" i="4"/>
  <c r="H171" i="4"/>
  <c r="G171" i="4"/>
  <c r="F171" i="4"/>
  <c r="E171" i="4"/>
  <c r="D171" i="4"/>
  <c r="C171" i="4"/>
  <c r="B171" i="4"/>
  <c r="A171" i="4"/>
  <c r="M170" i="4"/>
  <c r="L170" i="4"/>
  <c r="K170" i="4"/>
  <c r="J170" i="4"/>
  <c r="I170" i="4"/>
  <c r="H170" i="4"/>
  <c r="G170" i="4"/>
  <c r="F170" i="4"/>
  <c r="E170" i="4"/>
  <c r="D170" i="4"/>
  <c r="C170" i="4"/>
  <c r="B170" i="4"/>
  <c r="A170" i="4"/>
  <c r="M169" i="4"/>
  <c r="L169" i="4"/>
  <c r="K169" i="4"/>
  <c r="J169" i="4"/>
  <c r="I169" i="4"/>
  <c r="H169" i="4"/>
  <c r="G169" i="4"/>
  <c r="F169" i="4"/>
  <c r="D169" i="4"/>
  <c r="C169" i="4"/>
  <c r="B169" i="4"/>
  <c r="A169" i="4"/>
  <c r="M168" i="4"/>
  <c r="L168" i="4"/>
  <c r="K168" i="4"/>
  <c r="J168" i="4"/>
  <c r="I168" i="4"/>
  <c r="H168" i="4"/>
  <c r="G168" i="4"/>
  <c r="F168" i="4"/>
  <c r="E168" i="4"/>
  <c r="D168" i="4"/>
  <c r="C168" i="4"/>
  <c r="B168" i="4"/>
  <c r="A168" i="4"/>
  <c r="M167" i="4"/>
  <c r="L167" i="4"/>
  <c r="K167" i="4"/>
  <c r="J167" i="4"/>
  <c r="I167" i="4"/>
  <c r="H167" i="4"/>
  <c r="G167" i="4"/>
  <c r="F167" i="4"/>
  <c r="E167" i="4"/>
  <c r="D167" i="4"/>
  <c r="C167" i="4"/>
  <c r="B167" i="4"/>
  <c r="A167" i="4"/>
  <c r="M166" i="4"/>
  <c r="L166" i="4"/>
  <c r="K166" i="4"/>
  <c r="J166" i="4"/>
  <c r="I166" i="4"/>
  <c r="H166" i="4"/>
  <c r="G166" i="4"/>
  <c r="F166" i="4"/>
  <c r="E166" i="4"/>
  <c r="D166" i="4"/>
  <c r="C166" i="4"/>
  <c r="B166" i="4"/>
  <c r="A166" i="4"/>
  <c r="M165" i="4"/>
  <c r="L165" i="4"/>
  <c r="K165" i="4"/>
  <c r="J165" i="4"/>
  <c r="I165" i="4"/>
  <c r="H165" i="4"/>
  <c r="G165" i="4"/>
  <c r="F165" i="4"/>
  <c r="E165" i="4"/>
  <c r="D165" i="4"/>
  <c r="C165" i="4"/>
  <c r="B165" i="4"/>
  <c r="A165" i="4"/>
  <c r="M164" i="4"/>
  <c r="L164" i="4"/>
  <c r="K164" i="4"/>
  <c r="J164" i="4"/>
  <c r="I164" i="4"/>
  <c r="H164" i="4"/>
  <c r="G164" i="4"/>
  <c r="F164" i="4"/>
  <c r="E164" i="4"/>
  <c r="D164" i="4"/>
  <c r="C164" i="4"/>
  <c r="B164" i="4"/>
  <c r="A164" i="4"/>
  <c r="M163" i="4"/>
  <c r="L163" i="4"/>
  <c r="K163" i="4"/>
  <c r="J163" i="4"/>
  <c r="I163" i="4"/>
  <c r="H163" i="4"/>
  <c r="G163" i="4"/>
  <c r="F163" i="4"/>
  <c r="E163" i="4"/>
  <c r="D163" i="4"/>
  <c r="C163" i="4"/>
  <c r="B163" i="4"/>
  <c r="A163" i="4"/>
  <c r="M162" i="4"/>
  <c r="L162" i="4"/>
  <c r="K162" i="4"/>
  <c r="J162" i="4"/>
  <c r="I162" i="4"/>
  <c r="H162" i="4"/>
  <c r="G162" i="4"/>
  <c r="F162" i="4"/>
  <c r="E162" i="4"/>
  <c r="D162" i="4"/>
  <c r="C162" i="4"/>
  <c r="B162" i="4"/>
  <c r="A162" i="4"/>
  <c r="M161" i="4"/>
  <c r="L161" i="4"/>
  <c r="K161" i="4"/>
  <c r="J161" i="4"/>
  <c r="I161" i="4"/>
  <c r="H161" i="4"/>
  <c r="G161" i="4"/>
  <c r="F161" i="4"/>
  <c r="E161" i="4"/>
  <c r="D161" i="4"/>
  <c r="C161" i="4"/>
  <c r="B161" i="4"/>
  <c r="A161" i="4"/>
  <c r="M160" i="4"/>
  <c r="L160" i="4"/>
  <c r="K160" i="4"/>
  <c r="J160" i="4"/>
  <c r="I160" i="4"/>
  <c r="H160" i="4"/>
  <c r="G160" i="4"/>
  <c r="F160" i="4"/>
  <c r="E160" i="4"/>
  <c r="D160" i="4"/>
  <c r="C160" i="4"/>
  <c r="B160" i="4"/>
  <c r="A160" i="4"/>
  <c r="M159" i="4"/>
  <c r="L159" i="4"/>
  <c r="K159" i="4"/>
  <c r="J159" i="4"/>
  <c r="I159" i="4"/>
  <c r="H159" i="4"/>
  <c r="G159" i="4"/>
  <c r="F159" i="4"/>
  <c r="E159" i="4"/>
  <c r="D159" i="4"/>
  <c r="C159" i="4"/>
  <c r="B159" i="4"/>
  <c r="A159" i="4"/>
  <c r="M158" i="4"/>
  <c r="L158" i="4"/>
  <c r="K158" i="4"/>
  <c r="J158" i="4"/>
  <c r="I158" i="4"/>
  <c r="H158" i="4"/>
  <c r="G158" i="4"/>
  <c r="F158" i="4"/>
  <c r="E158" i="4"/>
  <c r="D158" i="4"/>
  <c r="C158" i="4"/>
  <c r="B158" i="4"/>
  <c r="A158" i="4"/>
  <c r="M157" i="4"/>
  <c r="L157" i="4"/>
  <c r="K157" i="4"/>
  <c r="J157" i="4"/>
  <c r="I157" i="4"/>
  <c r="H157" i="4"/>
  <c r="G157" i="4"/>
  <c r="F157" i="4"/>
  <c r="E157" i="4"/>
  <c r="D157" i="4"/>
  <c r="C157" i="4"/>
  <c r="B157" i="4"/>
  <c r="A157" i="4"/>
  <c r="M156" i="4"/>
  <c r="L156" i="4"/>
  <c r="K156" i="4"/>
  <c r="J156" i="4"/>
  <c r="I156" i="4"/>
  <c r="H156" i="4"/>
  <c r="G156" i="4"/>
  <c r="F156" i="4"/>
  <c r="E156" i="4"/>
  <c r="D156" i="4"/>
  <c r="C156" i="4"/>
  <c r="B156" i="4"/>
  <c r="A156" i="4"/>
  <c r="M155" i="4"/>
  <c r="L155" i="4"/>
  <c r="K155" i="4"/>
  <c r="J155" i="4"/>
  <c r="I155" i="4"/>
  <c r="H155" i="4"/>
  <c r="G155" i="4"/>
  <c r="F155" i="4"/>
  <c r="E155" i="4"/>
  <c r="D155" i="4"/>
  <c r="C155" i="4"/>
  <c r="B155" i="4"/>
  <c r="A155" i="4"/>
  <c r="M154" i="4"/>
  <c r="L154" i="4"/>
  <c r="K154" i="4"/>
  <c r="J154" i="4"/>
  <c r="I154" i="4"/>
  <c r="H154" i="4"/>
  <c r="G154" i="4"/>
  <c r="F154" i="4"/>
  <c r="E154" i="4"/>
  <c r="D154" i="4"/>
  <c r="C154" i="4"/>
  <c r="B154" i="4"/>
  <c r="A154" i="4"/>
  <c r="M153" i="4"/>
  <c r="L153" i="4"/>
  <c r="K153" i="4"/>
  <c r="J153" i="4"/>
  <c r="I153" i="4"/>
  <c r="H153" i="4"/>
  <c r="G153" i="4"/>
  <c r="F153" i="4"/>
  <c r="E153" i="4"/>
  <c r="D153" i="4"/>
  <c r="C153" i="4"/>
  <c r="B153" i="4"/>
  <c r="A153" i="4"/>
  <c r="M152" i="4"/>
  <c r="L152" i="4"/>
  <c r="K152" i="4"/>
  <c r="J152" i="4"/>
  <c r="I152" i="4"/>
  <c r="H152" i="4"/>
  <c r="G152" i="4"/>
  <c r="F152" i="4"/>
  <c r="E152" i="4"/>
  <c r="D152" i="4"/>
  <c r="C152" i="4"/>
  <c r="B152" i="4"/>
  <c r="A152" i="4"/>
  <c r="M151" i="4"/>
  <c r="L151" i="4"/>
  <c r="K151" i="4"/>
  <c r="J151" i="4"/>
  <c r="I151" i="4"/>
  <c r="H151" i="4"/>
  <c r="G151" i="4"/>
  <c r="F151" i="4"/>
  <c r="E151" i="4"/>
  <c r="D151" i="4"/>
  <c r="C151" i="4"/>
  <c r="B151" i="4"/>
  <c r="A151" i="4"/>
  <c r="M150" i="4"/>
  <c r="L150" i="4"/>
  <c r="K150" i="4"/>
  <c r="J150" i="4"/>
  <c r="I150" i="4"/>
  <c r="H150" i="4"/>
  <c r="G150" i="4"/>
  <c r="F150" i="4"/>
  <c r="E150" i="4"/>
  <c r="D150" i="4"/>
  <c r="C150" i="4"/>
  <c r="B150" i="4"/>
  <c r="A150" i="4"/>
  <c r="M149" i="4"/>
  <c r="L149" i="4"/>
  <c r="K149" i="4"/>
  <c r="J149" i="4"/>
  <c r="I149" i="4"/>
  <c r="H149" i="4"/>
  <c r="G149" i="4"/>
  <c r="F149" i="4"/>
  <c r="E149" i="4"/>
  <c r="D149" i="4"/>
  <c r="C149" i="4"/>
  <c r="B149" i="4"/>
  <c r="A149" i="4"/>
  <c r="M148" i="4"/>
  <c r="L148" i="4"/>
  <c r="K148" i="4"/>
  <c r="J148" i="4"/>
  <c r="I148" i="4"/>
  <c r="H148" i="4"/>
  <c r="G148" i="4"/>
  <c r="F148" i="4"/>
  <c r="E148" i="4"/>
  <c r="D148" i="4"/>
  <c r="C148" i="4"/>
  <c r="B148" i="4"/>
  <c r="A148" i="4"/>
  <c r="M147" i="4"/>
  <c r="L147" i="4"/>
  <c r="K147" i="4"/>
  <c r="J147" i="4"/>
  <c r="I147" i="4"/>
  <c r="H147" i="4"/>
  <c r="G147" i="4"/>
  <c r="F147" i="4"/>
  <c r="E147" i="4"/>
  <c r="D147" i="4"/>
  <c r="C147" i="4"/>
  <c r="B147" i="4"/>
  <c r="A147" i="4"/>
  <c r="M146" i="4"/>
  <c r="L146" i="4"/>
  <c r="K146" i="4"/>
  <c r="J146" i="4"/>
  <c r="I146" i="4"/>
  <c r="H146" i="4"/>
  <c r="G146" i="4"/>
  <c r="F146" i="4"/>
  <c r="E146" i="4"/>
  <c r="D146" i="4"/>
  <c r="C146" i="4"/>
  <c r="B146" i="4"/>
  <c r="A146" i="4"/>
  <c r="M145" i="4"/>
  <c r="L145" i="4"/>
  <c r="K145" i="4"/>
  <c r="J145" i="4"/>
  <c r="I145" i="4"/>
  <c r="H145" i="4"/>
  <c r="G145" i="4"/>
  <c r="F145" i="4"/>
  <c r="E145" i="4"/>
  <c r="D145" i="4"/>
  <c r="C145" i="4"/>
  <c r="B145" i="4"/>
  <c r="A145" i="4"/>
  <c r="M144" i="4"/>
  <c r="L144" i="4"/>
  <c r="K144" i="4"/>
  <c r="J144" i="4"/>
  <c r="I144" i="4"/>
  <c r="H144" i="4"/>
  <c r="G144" i="4"/>
  <c r="F144" i="4"/>
  <c r="E144" i="4"/>
  <c r="D144" i="4"/>
  <c r="C144" i="4"/>
  <c r="B144" i="4"/>
  <c r="A144" i="4"/>
  <c r="M143" i="4"/>
  <c r="L143" i="4"/>
  <c r="K143" i="4"/>
  <c r="J143" i="4"/>
  <c r="I143" i="4"/>
  <c r="H143" i="4"/>
  <c r="G143" i="4"/>
  <c r="F143" i="4"/>
  <c r="E143" i="4"/>
  <c r="D143" i="4"/>
  <c r="C143" i="4"/>
  <c r="B143" i="4"/>
  <c r="A143" i="4"/>
  <c r="M142" i="4"/>
  <c r="L142" i="4"/>
  <c r="K142" i="4"/>
  <c r="J142" i="4"/>
  <c r="I142" i="4"/>
  <c r="H142" i="4"/>
  <c r="G142" i="4"/>
  <c r="F142" i="4"/>
  <c r="E142" i="4"/>
  <c r="D142" i="4"/>
  <c r="C142" i="4"/>
  <c r="B142" i="4"/>
  <c r="A142" i="4"/>
  <c r="M141" i="4"/>
  <c r="L141" i="4"/>
  <c r="K141" i="4"/>
  <c r="J141" i="4"/>
  <c r="I141" i="4"/>
  <c r="H141" i="4"/>
  <c r="G141" i="4"/>
  <c r="F141" i="4"/>
  <c r="E141" i="4"/>
  <c r="D141" i="4"/>
  <c r="C141" i="4"/>
  <c r="B141" i="4"/>
  <c r="A141" i="4"/>
  <c r="M140" i="4"/>
  <c r="L140" i="4"/>
  <c r="K140" i="4"/>
  <c r="J140" i="4"/>
  <c r="I140" i="4"/>
  <c r="H140" i="4"/>
  <c r="G140" i="4"/>
  <c r="F140" i="4"/>
  <c r="E140" i="4"/>
  <c r="D140" i="4"/>
  <c r="C140" i="4"/>
  <c r="B140" i="4"/>
  <c r="A140" i="4"/>
  <c r="M139" i="4"/>
  <c r="L139" i="4"/>
  <c r="K139" i="4"/>
  <c r="J139" i="4"/>
  <c r="I139" i="4"/>
  <c r="H139" i="4"/>
  <c r="G139" i="4"/>
  <c r="F139" i="4"/>
  <c r="E139" i="4"/>
  <c r="D139" i="4"/>
  <c r="C139" i="4"/>
  <c r="B139" i="4"/>
  <c r="A139" i="4"/>
  <c r="M138" i="4"/>
  <c r="L138" i="4"/>
  <c r="K138" i="4"/>
  <c r="J138" i="4"/>
  <c r="I138" i="4"/>
  <c r="H138" i="4"/>
  <c r="G138" i="4"/>
  <c r="F138" i="4"/>
  <c r="D138" i="4"/>
  <c r="C138" i="4"/>
  <c r="B138" i="4"/>
  <c r="A138" i="4"/>
  <c r="M137" i="4"/>
  <c r="L137" i="4"/>
  <c r="K137" i="4"/>
  <c r="J137" i="4"/>
  <c r="I137" i="4"/>
  <c r="H137" i="4"/>
  <c r="G137" i="4"/>
  <c r="F137" i="4"/>
  <c r="E137" i="4"/>
  <c r="D137" i="4"/>
  <c r="C137" i="4"/>
  <c r="B137" i="4"/>
  <c r="A137" i="4"/>
  <c r="M136" i="4"/>
  <c r="L136" i="4"/>
  <c r="K136" i="4"/>
  <c r="J136" i="4"/>
  <c r="I136" i="4"/>
  <c r="H136" i="4"/>
  <c r="G136" i="4"/>
  <c r="F136" i="4"/>
  <c r="E136" i="4"/>
  <c r="D136" i="4"/>
  <c r="C136" i="4"/>
  <c r="B136" i="4"/>
  <c r="A136" i="4"/>
  <c r="M135" i="4"/>
  <c r="L135" i="4"/>
  <c r="K135" i="4"/>
  <c r="J135" i="4"/>
  <c r="I135" i="4"/>
  <c r="H135" i="4"/>
  <c r="G135" i="4"/>
  <c r="F135" i="4"/>
  <c r="E135" i="4"/>
  <c r="D135" i="4"/>
  <c r="C135" i="4"/>
  <c r="B135" i="4"/>
  <c r="A135" i="4"/>
  <c r="M134" i="4"/>
  <c r="L134" i="4"/>
  <c r="K134" i="4"/>
  <c r="J134" i="4"/>
  <c r="I134" i="4"/>
  <c r="H134" i="4"/>
  <c r="G134" i="4"/>
  <c r="F134" i="4"/>
  <c r="E134" i="4"/>
  <c r="D134" i="4"/>
  <c r="C134" i="4"/>
  <c r="B134" i="4"/>
  <c r="A134" i="4"/>
  <c r="M133" i="4"/>
  <c r="L133" i="4"/>
  <c r="K133" i="4"/>
  <c r="J133" i="4"/>
  <c r="I133" i="4"/>
  <c r="H133" i="4"/>
  <c r="G133" i="4"/>
  <c r="F133" i="4"/>
  <c r="E133" i="4"/>
  <c r="D133" i="4"/>
  <c r="C133" i="4"/>
  <c r="B133" i="4"/>
  <c r="A133" i="4"/>
  <c r="M132" i="4"/>
  <c r="L132" i="4"/>
  <c r="K132" i="4"/>
  <c r="J132" i="4"/>
  <c r="I132" i="4"/>
  <c r="H132" i="4"/>
  <c r="G132" i="4"/>
  <c r="F132" i="4"/>
  <c r="E132" i="4"/>
  <c r="D132" i="4"/>
  <c r="C132" i="4"/>
  <c r="B132" i="4"/>
  <c r="A132" i="4"/>
  <c r="M131" i="4"/>
  <c r="L131" i="4"/>
  <c r="K131" i="4"/>
  <c r="J131" i="4"/>
  <c r="I131" i="4"/>
  <c r="H131" i="4"/>
  <c r="G131" i="4"/>
  <c r="F131" i="4"/>
  <c r="E131" i="4"/>
  <c r="D131" i="4"/>
  <c r="C131" i="4"/>
  <c r="B131" i="4"/>
  <c r="A131" i="4"/>
  <c r="M130" i="4"/>
  <c r="L130" i="4"/>
  <c r="K130" i="4"/>
  <c r="J130" i="4"/>
  <c r="I130" i="4"/>
  <c r="H130" i="4"/>
  <c r="G130" i="4"/>
  <c r="F130" i="4"/>
  <c r="E130" i="4"/>
  <c r="D130" i="4"/>
  <c r="C130" i="4"/>
  <c r="B130" i="4"/>
  <c r="A130" i="4"/>
  <c r="M129" i="4"/>
  <c r="L129" i="4"/>
  <c r="K129" i="4"/>
  <c r="J129" i="4"/>
  <c r="I129" i="4"/>
  <c r="H129" i="4"/>
  <c r="G129" i="4"/>
  <c r="F129" i="4"/>
  <c r="E129" i="4"/>
  <c r="D129" i="4"/>
  <c r="C129" i="4"/>
  <c r="B129" i="4"/>
  <c r="A129" i="4"/>
  <c r="M128" i="4"/>
  <c r="L128" i="4"/>
  <c r="K128" i="4"/>
  <c r="J128" i="4"/>
  <c r="I128" i="4"/>
  <c r="H128" i="4"/>
  <c r="G128" i="4"/>
  <c r="F128" i="4"/>
  <c r="E128" i="4"/>
  <c r="D128" i="4"/>
  <c r="C128" i="4"/>
  <c r="B128" i="4"/>
  <c r="A128" i="4"/>
  <c r="M127" i="4"/>
  <c r="L127" i="4"/>
  <c r="K127" i="4"/>
  <c r="J127" i="4"/>
  <c r="I127" i="4"/>
  <c r="H127" i="4"/>
  <c r="G127" i="4"/>
  <c r="F127" i="4"/>
  <c r="E127" i="4"/>
  <c r="D127" i="4"/>
  <c r="C127" i="4"/>
  <c r="B127" i="4"/>
  <c r="A127" i="4"/>
  <c r="M126" i="4"/>
  <c r="L126" i="4"/>
  <c r="K126" i="4"/>
  <c r="J126" i="4"/>
  <c r="I126" i="4"/>
  <c r="H126" i="4"/>
  <c r="G126" i="4"/>
  <c r="F126" i="4"/>
  <c r="E126" i="4"/>
  <c r="D126" i="4"/>
  <c r="C126" i="4"/>
  <c r="B126" i="4"/>
  <c r="A126" i="4"/>
  <c r="M125" i="4"/>
  <c r="L125" i="4"/>
  <c r="K125" i="4"/>
  <c r="J125" i="4"/>
  <c r="I125" i="4"/>
  <c r="H125" i="4"/>
  <c r="G125" i="4"/>
  <c r="F125" i="4"/>
  <c r="E125" i="4"/>
  <c r="D125" i="4"/>
  <c r="C125" i="4"/>
  <c r="B125" i="4"/>
  <c r="A125" i="4"/>
  <c r="M124" i="4"/>
  <c r="L124" i="4"/>
  <c r="K124" i="4"/>
  <c r="J124" i="4"/>
  <c r="I124" i="4"/>
  <c r="H124" i="4"/>
  <c r="G124" i="4"/>
  <c r="F124" i="4"/>
  <c r="E124" i="4"/>
  <c r="D124" i="4"/>
  <c r="C124" i="4"/>
  <c r="B124" i="4"/>
  <c r="A124" i="4"/>
  <c r="M123" i="4"/>
  <c r="L123" i="4"/>
  <c r="K123" i="4"/>
  <c r="J123" i="4"/>
  <c r="I123" i="4"/>
  <c r="H123" i="4"/>
  <c r="G123" i="4"/>
  <c r="F123" i="4"/>
  <c r="E123" i="4"/>
  <c r="D123" i="4"/>
  <c r="C123" i="4"/>
  <c r="B123" i="4"/>
  <c r="A123" i="4"/>
  <c r="M122" i="4"/>
  <c r="L122" i="4"/>
  <c r="K122" i="4"/>
  <c r="J122" i="4"/>
  <c r="I122" i="4"/>
  <c r="H122" i="4"/>
  <c r="G122" i="4"/>
  <c r="F122" i="4"/>
  <c r="E122" i="4"/>
  <c r="D122" i="4"/>
  <c r="C122" i="4"/>
  <c r="B122" i="4"/>
  <c r="A122" i="4"/>
  <c r="M121" i="4"/>
  <c r="L121" i="4"/>
  <c r="K121" i="4"/>
  <c r="J121" i="4"/>
  <c r="I121" i="4"/>
  <c r="H121" i="4"/>
  <c r="G121" i="4"/>
  <c r="F121" i="4"/>
  <c r="E121" i="4"/>
  <c r="D121" i="4"/>
  <c r="C121" i="4"/>
  <c r="B121" i="4"/>
  <c r="A121" i="4"/>
  <c r="M120" i="4"/>
  <c r="L120" i="4"/>
  <c r="K120" i="4"/>
  <c r="J120" i="4"/>
  <c r="I120" i="4"/>
  <c r="H120" i="4"/>
  <c r="G120" i="4"/>
  <c r="F120" i="4"/>
  <c r="E120" i="4"/>
  <c r="D120" i="4"/>
  <c r="C120" i="4"/>
  <c r="B120" i="4"/>
  <c r="A120" i="4"/>
  <c r="M119" i="4"/>
  <c r="L119" i="4"/>
  <c r="K119" i="4"/>
  <c r="J119" i="4"/>
  <c r="I119" i="4"/>
  <c r="H119" i="4"/>
  <c r="G119" i="4"/>
  <c r="F119" i="4"/>
  <c r="E119" i="4"/>
  <c r="D119" i="4"/>
  <c r="C119" i="4"/>
  <c r="B119" i="4"/>
  <c r="A119" i="4"/>
  <c r="M118" i="4"/>
  <c r="L118" i="4"/>
  <c r="K118" i="4"/>
  <c r="J118" i="4"/>
  <c r="I118" i="4"/>
  <c r="H118" i="4"/>
  <c r="G118" i="4"/>
  <c r="F118" i="4"/>
  <c r="E118" i="4"/>
  <c r="D118" i="4"/>
  <c r="C118" i="4"/>
  <c r="B118" i="4"/>
  <c r="A118" i="4"/>
  <c r="M117" i="4"/>
  <c r="L117" i="4"/>
  <c r="K117" i="4"/>
  <c r="J117" i="4"/>
  <c r="I117" i="4"/>
  <c r="H117" i="4"/>
  <c r="G117" i="4"/>
  <c r="F117" i="4"/>
  <c r="E117" i="4"/>
  <c r="D117" i="4"/>
  <c r="C117" i="4"/>
  <c r="B117" i="4"/>
  <c r="A117" i="4"/>
  <c r="M116" i="4"/>
  <c r="L116" i="4"/>
  <c r="K116" i="4"/>
  <c r="J116" i="4"/>
  <c r="I116" i="4"/>
  <c r="H116" i="4"/>
  <c r="G116" i="4"/>
  <c r="F116" i="4"/>
  <c r="E116" i="4"/>
  <c r="D116" i="4"/>
  <c r="C116" i="4"/>
  <c r="B116" i="4"/>
  <c r="A116" i="4"/>
  <c r="M115" i="4"/>
  <c r="L115" i="4"/>
  <c r="K115" i="4"/>
  <c r="J115" i="4"/>
  <c r="I115" i="4"/>
  <c r="H115" i="4"/>
  <c r="G115" i="4"/>
  <c r="F115" i="4"/>
  <c r="E115" i="4"/>
  <c r="D115" i="4"/>
  <c r="C115" i="4"/>
  <c r="B115" i="4"/>
  <c r="A115" i="4"/>
  <c r="M114" i="4"/>
  <c r="L114" i="4"/>
  <c r="K114" i="4"/>
  <c r="J114" i="4"/>
  <c r="I114" i="4"/>
  <c r="H114" i="4"/>
  <c r="G114" i="4"/>
  <c r="F114" i="4"/>
  <c r="E114" i="4"/>
  <c r="D114" i="4"/>
  <c r="C114" i="4"/>
  <c r="B114" i="4"/>
  <c r="A114" i="4"/>
  <c r="M113" i="4"/>
  <c r="L113" i="4"/>
  <c r="K113" i="4"/>
  <c r="J113" i="4"/>
  <c r="I113" i="4"/>
  <c r="H113" i="4"/>
  <c r="G113" i="4"/>
  <c r="F113" i="4"/>
  <c r="E113" i="4"/>
  <c r="D113" i="4"/>
  <c r="C113" i="4"/>
  <c r="B113" i="4"/>
  <c r="A113" i="4"/>
  <c r="M112" i="4"/>
  <c r="L112" i="4"/>
  <c r="K112" i="4"/>
  <c r="J112" i="4"/>
  <c r="I112" i="4"/>
  <c r="H112" i="4"/>
  <c r="G112" i="4"/>
  <c r="F112" i="4"/>
  <c r="E112" i="4"/>
  <c r="D112" i="4"/>
  <c r="C112" i="4"/>
  <c r="B112" i="4"/>
  <c r="A112" i="4"/>
  <c r="M111" i="4"/>
  <c r="L111" i="4"/>
  <c r="K111" i="4"/>
  <c r="J111" i="4"/>
  <c r="I111" i="4"/>
  <c r="H111" i="4"/>
  <c r="G111" i="4"/>
  <c r="F111" i="4"/>
  <c r="E111" i="4"/>
  <c r="D111" i="4"/>
  <c r="C111" i="4"/>
  <c r="B111" i="4"/>
  <c r="A111" i="4"/>
  <c r="M110" i="4"/>
  <c r="L110" i="4"/>
  <c r="K110" i="4"/>
  <c r="J110" i="4"/>
  <c r="I110" i="4"/>
  <c r="H110" i="4"/>
  <c r="G110" i="4"/>
  <c r="F110" i="4"/>
  <c r="E110" i="4"/>
  <c r="D110" i="4"/>
  <c r="C110" i="4"/>
  <c r="B110" i="4"/>
  <c r="A110" i="4"/>
  <c r="M109" i="4"/>
  <c r="L109" i="4"/>
  <c r="K109" i="4"/>
  <c r="J109" i="4"/>
  <c r="I109" i="4"/>
  <c r="H109" i="4"/>
  <c r="G109" i="4"/>
  <c r="F109" i="4"/>
  <c r="E109" i="4"/>
  <c r="D109" i="4"/>
  <c r="C109" i="4"/>
  <c r="B109" i="4"/>
  <c r="A109" i="4"/>
  <c r="M108" i="4"/>
  <c r="L108" i="4"/>
  <c r="K108" i="4"/>
  <c r="J108" i="4"/>
  <c r="I108" i="4"/>
  <c r="H108" i="4"/>
  <c r="G108" i="4"/>
  <c r="E108" i="4"/>
  <c r="D108" i="4"/>
  <c r="C108" i="4"/>
  <c r="B108" i="4"/>
  <c r="A108" i="4"/>
  <c r="M107" i="4"/>
  <c r="L107" i="4"/>
  <c r="K107" i="4"/>
  <c r="J107" i="4"/>
  <c r="I107" i="4"/>
  <c r="H107" i="4"/>
  <c r="G107" i="4"/>
  <c r="F107" i="4"/>
  <c r="E107" i="4"/>
  <c r="D107" i="4"/>
  <c r="C107" i="4"/>
  <c r="B107" i="4"/>
  <c r="A107" i="4"/>
  <c r="M106" i="4"/>
  <c r="L106" i="4"/>
  <c r="K106" i="4"/>
  <c r="J106" i="4"/>
  <c r="I106" i="4"/>
  <c r="H106" i="4"/>
  <c r="G106" i="4"/>
  <c r="F106" i="4"/>
  <c r="E106" i="4"/>
  <c r="D106" i="4"/>
  <c r="C106" i="4"/>
  <c r="B106" i="4"/>
  <c r="A106" i="4"/>
  <c r="M105" i="4"/>
  <c r="L105" i="4"/>
  <c r="K105" i="4"/>
  <c r="J105" i="4"/>
  <c r="I105" i="4"/>
  <c r="H105" i="4"/>
  <c r="G105" i="4"/>
  <c r="F105" i="4"/>
  <c r="E105" i="4"/>
  <c r="D105" i="4"/>
  <c r="C105" i="4"/>
  <c r="B105" i="4"/>
  <c r="A105" i="4"/>
  <c r="M104" i="4"/>
  <c r="L104" i="4"/>
  <c r="K104" i="4"/>
  <c r="J104" i="4"/>
  <c r="I104" i="4"/>
  <c r="H104" i="4"/>
  <c r="G104" i="4"/>
  <c r="F104" i="4"/>
  <c r="E104" i="4"/>
  <c r="D104" i="4"/>
  <c r="C104" i="4"/>
  <c r="B104" i="4"/>
  <c r="A104" i="4"/>
  <c r="M103" i="4"/>
  <c r="L103" i="4"/>
  <c r="K103" i="4"/>
  <c r="J103" i="4"/>
  <c r="I103" i="4"/>
  <c r="H103" i="4"/>
  <c r="G103" i="4"/>
  <c r="F103" i="4"/>
  <c r="E103" i="4"/>
  <c r="D103" i="4"/>
  <c r="C103" i="4"/>
  <c r="B103" i="4"/>
  <c r="A103" i="4"/>
  <c r="M102" i="4"/>
  <c r="L102" i="4"/>
  <c r="K102" i="4"/>
  <c r="J102" i="4"/>
  <c r="I102" i="4"/>
  <c r="H102" i="4"/>
  <c r="G102" i="4"/>
  <c r="F102" i="4"/>
  <c r="E102" i="4"/>
  <c r="D102" i="4"/>
  <c r="C102" i="4"/>
  <c r="B102" i="4"/>
  <c r="A102" i="4"/>
  <c r="M101" i="4"/>
  <c r="L101" i="4"/>
  <c r="K101" i="4"/>
  <c r="J101" i="4"/>
  <c r="I101" i="4"/>
  <c r="H101" i="4"/>
  <c r="G101" i="4"/>
  <c r="F101" i="4"/>
  <c r="E101" i="4"/>
  <c r="D101" i="4"/>
  <c r="C101" i="4"/>
  <c r="B101" i="4"/>
  <c r="A101" i="4"/>
  <c r="M100" i="4"/>
  <c r="L100" i="4"/>
  <c r="K100" i="4"/>
  <c r="J100" i="4"/>
  <c r="I100" i="4"/>
  <c r="H100" i="4"/>
  <c r="G100" i="4"/>
  <c r="F100" i="4"/>
  <c r="E100" i="4"/>
  <c r="D100" i="4"/>
  <c r="C100" i="4"/>
  <c r="B100" i="4"/>
  <c r="A100" i="4"/>
  <c r="M99" i="4"/>
  <c r="L99" i="4"/>
  <c r="K99" i="4"/>
  <c r="J99" i="4"/>
  <c r="I99" i="4"/>
  <c r="H99" i="4"/>
  <c r="G99" i="4"/>
  <c r="F99" i="4"/>
  <c r="E99" i="4"/>
  <c r="D99" i="4"/>
  <c r="C99" i="4"/>
  <c r="B99" i="4"/>
  <c r="A99" i="4"/>
  <c r="M98" i="4"/>
  <c r="L98" i="4"/>
  <c r="K98" i="4"/>
  <c r="J98" i="4"/>
  <c r="I98" i="4"/>
  <c r="H98" i="4"/>
  <c r="G98" i="4"/>
  <c r="F98" i="4"/>
  <c r="E98" i="4"/>
  <c r="D98" i="4"/>
  <c r="C98" i="4"/>
  <c r="B98" i="4"/>
  <c r="A98" i="4"/>
  <c r="M97" i="4"/>
  <c r="L97" i="4"/>
  <c r="K97" i="4"/>
  <c r="J97" i="4"/>
  <c r="I97" i="4"/>
  <c r="H97" i="4"/>
  <c r="G97" i="4"/>
  <c r="F97" i="4"/>
  <c r="E97" i="4"/>
  <c r="D97" i="4"/>
  <c r="C97" i="4"/>
  <c r="B97" i="4"/>
  <c r="A97" i="4"/>
  <c r="M96" i="4"/>
  <c r="L96" i="4"/>
  <c r="K96" i="4"/>
  <c r="J96" i="4"/>
  <c r="I96" i="4"/>
  <c r="H96" i="4"/>
  <c r="G96" i="4"/>
  <c r="F96" i="4"/>
  <c r="E96" i="4"/>
  <c r="D96" i="4"/>
  <c r="C96" i="4"/>
  <c r="B96" i="4"/>
  <c r="A96" i="4"/>
  <c r="M95" i="4"/>
  <c r="L95" i="4"/>
  <c r="K95" i="4"/>
  <c r="J95" i="4"/>
  <c r="I95" i="4"/>
  <c r="H95" i="4"/>
  <c r="G95" i="4"/>
  <c r="F95" i="4"/>
  <c r="E95" i="4"/>
  <c r="D95" i="4"/>
  <c r="C95" i="4"/>
  <c r="B95" i="4"/>
  <c r="A95" i="4"/>
  <c r="M94" i="4"/>
  <c r="L94" i="4"/>
  <c r="K94" i="4"/>
  <c r="J94" i="4"/>
  <c r="I94" i="4"/>
  <c r="H94" i="4"/>
  <c r="G94" i="4"/>
  <c r="F94" i="4"/>
  <c r="E94" i="4"/>
  <c r="D94" i="4"/>
  <c r="C94" i="4"/>
  <c r="B94" i="4"/>
  <c r="A94" i="4"/>
  <c r="M93" i="4"/>
  <c r="L93" i="4"/>
  <c r="K93" i="4"/>
  <c r="J93" i="4"/>
  <c r="I93" i="4"/>
  <c r="H93" i="4"/>
  <c r="G93" i="4"/>
  <c r="F93" i="4"/>
  <c r="E93" i="4"/>
  <c r="D93" i="4"/>
  <c r="C93" i="4"/>
  <c r="B93" i="4"/>
  <c r="A93" i="4"/>
  <c r="M92" i="4"/>
  <c r="L92" i="4"/>
  <c r="K92" i="4"/>
  <c r="J92" i="4"/>
  <c r="I92" i="4"/>
  <c r="H92" i="4"/>
  <c r="G92" i="4"/>
  <c r="F92" i="4"/>
  <c r="E92" i="4"/>
  <c r="D92" i="4"/>
  <c r="C92" i="4"/>
  <c r="B92" i="4"/>
  <c r="A92" i="4"/>
  <c r="M91" i="4"/>
  <c r="L91" i="4"/>
  <c r="K91" i="4"/>
  <c r="J91" i="4"/>
  <c r="I91" i="4"/>
  <c r="H91" i="4"/>
  <c r="G91" i="4"/>
  <c r="F91" i="4"/>
  <c r="E91" i="4"/>
  <c r="D91" i="4"/>
  <c r="C91" i="4"/>
  <c r="B91" i="4"/>
  <c r="A91" i="4"/>
  <c r="M90" i="4"/>
  <c r="L90" i="4"/>
  <c r="K90" i="4"/>
  <c r="J90" i="4"/>
  <c r="I90" i="4"/>
  <c r="H90" i="4"/>
  <c r="G90" i="4"/>
  <c r="F90" i="4"/>
  <c r="E90" i="4"/>
  <c r="D90" i="4"/>
  <c r="C90" i="4"/>
  <c r="B90" i="4"/>
  <c r="A90" i="4"/>
  <c r="M89" i="4"/>
  <c r="L89" i="4"/>
  <c r="K89" i="4"/>
  <c r="J89" i="4"/>
  <c r="I89" i="4"/>
  <c r="H89" i="4"/>
  <c r="G89" i="4"/>
  <c r="F89" i="4"/>
  <c r="E89" i="4"/>
  <c r="D89" i="4"/>
  <c r="C89" i="4"/>
  <c r="B89" i="4"/>
  <c r="A89" i="4"/>
  <c r="M88" i="4"/>
  <c r="L88" i="4"/>
  <c r="K88" i="4"/>
  <c r="J88" i="4"/>
  <c r="I88" i="4"/>
  <c r="H88" i="4"/>
  <c r="G88" i="4"/>
  <c r="F88" i="4"/>
  <c r="E88" i="4"/>
  <c r="D88" i="4"/>
  <c r="C88" i="4"/>
  <c r="B88" i="4"/>
  <c r="A88" i="4"/>
  <c r="M87" i="4"/>
  <c r="L87" i="4"/>
  <c r="K87" i="4"/>
  <c r="J87" i="4"/>
  <c r="I87" i="4"/>
  <c r="H87" i="4"/>
  <c r="G87" i="4"/>
  <c r="F87" i="4"/>
  <c r="E87" i="4"/>
  <c r="D87" i="4"/>
  <c r="C87" i="4"/>
  <c r="B87" i="4"/>
  <c r="A87" i="4"/>
  <c r="M86" i="4"/>
  <c r="L86" i="4"/>
  <c r="K86" i="4"/>
  <c r="J86" i="4"/>
  <c r="I86" i="4"/>
  <c r="H86" i="4"/>
  <c r="G86" i="4"/>
  <c r="F86" i="4"/>
  <c r="E86" i="4"/>
  <c r="D86" i="4"/>
  <c r="C86" i="4"/>
  <c r="B86" i="4"/>
  <c r="A86" i="4"/>
  <c r="M85" i="4"/>
  <c r="L85" i="4"/>
  <c r="K85" i="4"/>
  <c r="J85" i="4"/>
  <c r="I85" i="4"/>
  <c r="H85" i="4"/>
  <c r="G85" i="4"/>
  <c r="F85" i="4"/>
  <c r="E85" i="4"/>
  <c r="D85" i="4"/>
  <c r="C85" i="4"/>
  <c r="B85" i="4"/>
  <c r="A85" i="4"/>
  <c r="M84" i="4"/>
  <c r="L84" i="4"/>
  <c r="K84" i="4"/>
  <c r="J84" i="4"/>
  <c r="I84" i="4"/>
  <c r="H84" i="4"/>
  <c r="G84" i="4"/>
  <c r="F84" i="4"/>
  <c r="E84" i="4"/>
  <c r="D84" i="4"/>
  <c r="C84" i="4"/>
  <c r="B84" i="4"/>
  <c r="A84" i="4"/>
  <c r="M83" i="4"/>
  <c r="L83" i="4"/>
  <c r="K83" i="4"/>
  <c r="J83" i="4"/>
  <c r="I83" i="4"/>
  <c r="H83" i="4"/>
  <c r="G83" i="4"/>
  <c r="F83" i="4"/>
  <c r="E83" i="4"/>
  <c r="D83" i="4"/>
  <c r="C83" i="4"/>
  <c r="B83" i="4"/>
  <c r="A83" i="4"/>
  <c r="M82" i="4"/>
  <c r="L82" i="4"/>
  <c r="K82" i="4"/>
  <c r="J82" i="4"/>
  <c r="I82" i="4"/>
  <c r="H82" i="4"/>
  <c r="G82" i="4"/>
  <c r="F82" i="4"/>
  <c r="E82" i="4"/>
  <c r="D82" i="4"/>
  <c r="C82" i="4"/>
  <c r="B82" i="4"/>
  <c r="A82" i="4"/>
  <c r="M81" i="4"/>
  <c r="L81" i="4"/>
  <c r="K81" i="4"/>
  <c r="J81" i="4"/>
  <c r="I81" i="4"/>
  <c r="H81" i="4"/>
  <c r="G81" i="4"/>
  <c r="F81" i="4"/>
  <c r="E81" i="4"/>
  <c r="D81" i="4"/>
  <c r="C81" i="4"/>
  <c r="B81" i="4"/>
  <c r="A81" i="4"/>
  <c r="M80" i="4"/>
  <c r="L80" i="4"/>
  <c r="K80" i="4"/>
  <c r="J80" i="4"/>
  <c r="I80" i="4"/>
  <c r="H80" i="4"/>
  <c r="G80" i="4"/>
  <c r="F80" i="4"/>
  <c r="E80" i="4"/>
  <c r="D80" i="4"/>
  <c r="C80" i="4"/>
  <c r="B80" i="4"/>
  <c r="A80" i="4"/>
  <c r="M79" i="4"/>
  <c r="L79" i="4"/>
  <c r="K79" i="4"/>
  <c r="J79" i="4"/>
  <c r="I79" i="4"/>
  <c r="H79" i="4"/>
  <c r="G79" i="4"/>
  <c r="F79" i="4"/>
  <c r="E79" i="4"/>
  <c r="D79" i="4"/>
  <c r="C79" i="4"/>
  <c r="B79" i="4"/>
  <c r="A79" i="4"/>
  <c r="M78" i="4"/>
  <c r="L78" i="4"/>
  <c r="K78" i="4"/>
  <c r="J78" i="4"/>
  <c r="I78" i="4"/>
  <c r="H78" i="4"/>
  <c r="G78" i="4"/>
  <c r="F78" i="4"/>
  <c r="E78" i="4"/>
  <c r="D78" i="4"/>
  <c r="C78" i="4"/>
  <c r="B78" i="4"/>
  <c r="A78" i="4"/>
  <c r="M77" i="4"/>
  <c r="L77" i="4"/>
  <c r="K77" i="4"/>
  <c r="J77" i="4"/>
  <c r="I77" i="4"/>
  <c r="H77" i="4"/>
  <c r="G77" i="4"/>
  <c r="F77" i="4"/>
  <c r="E77" i="4"/>
  <c r="D77" i="4"/>
  <c r="C77" i="4"/>
  <c r="B77" i="4"/>
  <c r="A77" i="4"/>
  <c r="M76" i="4"/>
  <c r="L76" i="4"/>
  <c r="K76" i="4"/>
  <c r="J76" i="4"/>
  <c r="I76" i="4"/>
  <c r="H76" i="4"/>
  <c r="G76" i="4"/>
  <c r="F76" i="4"/>
  <c r="E76" i="4"/>
  <c r="D76" i="4"/>
  <c r="C76" i="4"/>
  <c r="B76" i="4"/>
  <c r="A76" i="4"/>
  <c r="M75" i="4"/>
  <c r="L75" i="4"/>
  <c r="K75" i="4"/>
  <c r="J75" i="4"/>
  <c r="I75" i="4"/>
  <c r="H75" i="4"/>
  <c r="G75" i="4"/>
  <c r="F75" i="4"/>
  <c r="E75" i="4"/>
  <c r="D75" i="4"/>
  <c r="C75" i="4"/>
  <c r="B75" i="4"/>
  <c r="A75" i="4"/>
  <c r="M74" i="4"/>
  <c r="L74" i="4"/>
  <c r="K74" i="4"/>
  <c r="J74" i="4"/>
  <c r="I74" i="4"/>
  <c r="H74" i="4"/>
  <c r="G74" i="4"/>
  <c r="F74" i="4"/>
  <c r="E74" i="4"/>
  <c r="D74" i="4"/>
  <c r="C74" i="4"/>
  <c r="B74" i="4"/>
  <c r="A74" i="4"/>
  <c r="M73" i="4"/>
  <c r="L73" i="4"/>
  <c r="K73" i="4"/>
  <c r="J73" i="4"/>
  <c r="I73" i="4"/>
  <c r="H73" i="4"/>
  <c r="G73" i="4"/>
  <c r="F73" i="4"/>
  <c r="E73" i="4"/>
  <c r="D73" i="4"/>
  <c r="C73" i="4"/>
  <c r="B73" i="4"/>
  <c r="A73" i="4"/>
  <c r="M72" i="4"/>
  <c r="L72" i="4"/>
  <c r="K72" i="4"/>
  <c r="J72" i="4"/>
  <c r="I72" i="4"/>
  <c r="H72" i="4"/>
  <c r="G72" i="4"/>
  <c r="F72" i="4"/>
  <c r="E72" i="4"/>
  <c r="D72" i="4"/>
  <c r="C72" i="4"/>
  <c r="B72" i="4"/>
  <c r="A72" i="4"/>
  <c r="M71" i="4"/>
  <c r="L71" i="4"/>
  <c r="K71" i="4"/>
  <c r="J71" i="4"/>
  <c r="I71" i="4"/>
  <c r="H71" i="4"/>
  <c r="G71" i="4"/>
  <c r="F71" i="4"/>
  <c r="E71" i="4"/>
  <c r="D71" i="4"/>
  <c r="C71" i="4"/>
  <c r="B71" i="4"/>
  <c r="A71" i="4"/>
  <c r="M70" i="4"/>
  <c r="L70" i="4"/>
  <c r="K70" i="4"/>
  <c r="J70" i="4"/>
  <c r="I70" i="4"/>
  <c r="H70" i="4"/>
  <c r="G70" i="4"/>
  <c r="F70" i="4"/>
  <c r="E70" i="4"/>
  <c r="D70" i="4"/>
  <c r="C70" i="4"/>
  <c r="B70" i="4"/>
  <c r="A70" i="4"/>
  <c r="M69" i="4"/>
  <c r="L69" i="4"/>
  <c r="K69" i="4"/>
  <c r="J69" i="4"/>
  <c r="I69" i="4"/>
  <c r="H69" i="4"/>
  <c r="G69" i="4"/>
  <c r="F69" i="4"/>
  <c r="E69" i="4"/>
  <c r="D69" i="4"/>
  <c r="C69" i="4"/>
  <c r="B69" i="4"/>
  <c r="A69" i="4"/>
  <c r="M68" i="4"/>
  <c r="L68" i="4"/>
  <c r="K68" i="4"/>
  <c r="J68" i="4"/>
  <c r="I68" i="4"/>
  <c r="H68" i="4"/>
  <c r="G68" i="4"/>
  <c r="F68" i="4"/>
  <c r="D68" i="4"/>
  <c r="C68" i="4"/>
  <c r="B68" i="4"/>
  <c r="A68" i="4"/>
  <c r="M67" i="4"/>
  <c r="L67" i="4"/>
  <c r="K67" i="4"/>
  <c r="J67" i="4"/>
  <c r="I67" i="4"/>
  <c r="H67" i="4"/>
  <c r="G67" i="4"/>
  <c r="F67" i="4"/>
  <c r="E67" i="4"/>
  <c r="D67" i="4"/>
  <c r="C67" i="4"/>
  <c r="B67" i="4"/>
  <c r="A67" i="4"/>
  <c r="M66" i="4"/>
  <c r="L66" i="4"/>
  <c r="K66" i="4"/>
  <c r="J66" i="4"/>
  <c r="I66" i="4"/>
  <c r="H66" i="4"/>
  <c r="G66" i="4"/>
  <c r="F66" i="4"/>
  <c r="E66" i="4"/>
  <c r="D66" i="4"/>
  <c r="C66" i="4"/>
  <c r="B66" i="4"/>
  <c r="A66" i="4"/>
  <c r="M65" i="4"/>
  <c r="L65" i="4"/>
  <c r="K65" i="4"/>
  <c r="J65" i="4"/>
  <c r="I65" i="4"/>
  <c r="H65" i="4"/>
  <c r="G65" i="4"/>
  <c r="F65" i="4"/>
  <c r="E65" i="4"/>
  <c r="D65" i="4"/>
  <c r="C65" i="4"/>
  <c r="B65" i="4"/>
  <c r="A65" i="4"/>
  <c r="M64" i="4"/>
  <c r="L64" i="4"/>
  <c r="K64" i="4"/>
  <c r="J64" i="4"/>
  <c r="I64" i="4"/>
  <c r="H64" i="4"/>
  <c r="G64" i="4"/>
  <c r="F64" i="4"/>
  <c r="E64" i="4"/>
  <c r="D64" i="4"/>
  <c r="C64" i="4"/>
  <c r="B64" i="4"/>
  <c r="A64" i="4"/>
  <c r="M63" i="4"/>
  <c r="L63" i="4"/>
  <c r="K63" i="4"/>
  <c r="J63" i="4"/>
  <c r="I63" i="4"/>
  <c r="H63" i="4"/>
  <c r="G63" i="4"/>
  <c r="F63" i="4"/>
  <c r="E63" i="4"/>
  <c r="D63" i="4"/>
  <c r="C63" i="4"/>
  <c r="B63" i="4"/>
  <c r="A63" i="4"/>
  <c r="M62" i="4"/>
  <c r="L62" i="4"/>
  <c r="K62" i="4"/>
  <c r="J62" i="4"/>
  <c r="I62" i="4"/>
  <c r="H62" i="4"/>
  <c r="G62" i="4"/>
  <c r="F62" i="4"/>
  <c r="E62" i="4"/>
  <c r="D62" i="4"/>
  <c r="C62" i="4"/>
  <c r="B62" i="4"/>
  <c r="A62" i="4"/>
  <c r="M61" i="4"/>
  <c r="L61" i="4"/>
  <c r="K61" i="4"/>
  <c r="J61" i="4"/>
  <c r="I61" i="4"/>
  <c r="H61" i="4"/>
  <c r="G61" i="4"/>
  <c r="F61" i="4"/>
  <c r="E61" i="4"/>
  <c r="D61" i="4"/>
  <c r="C61" i="4"/>
  <c r="B61" i="4"/>
  <c r="A61" i="4"/>
  <c r="M60" i="4"/>
  <c r="L60" i="4"/>
  <c r="K60" i="4"/>
  <c r="J60" i="4"/>
  <c r="I60" i="4"/>
  <c r="H60" i="4"/>
  <c r="G60" i="4"/>
  <c r="F60" i="4"/>
  <c r="D60" i="4"/>
  <c r="C60" i="4"/>
  <c r="B60" i="4"/>
  <c r="A60" i="4"/>
  <c r="M59" i="4"/>
  <c r="L59" i="4"/>
  <c r="K59" i="4"/>
  <c r="J59" i="4"/>
  <c r="I59" i="4"/>
  <c r="H59" i="4"/>
  <c r="G59" i="4"/>
  <c r="F59" i="4"/>
  <c r="E59" i="4"/>
  <c r="D59" i="4"/>
  <c r="C59" i="4"/>
  <c r="B59" i="4"/>
  <c r="A59" i="4"/>
  <c r="M58" i="4"/>
  <c r="L58" i="4"/>
  <c r="K58" i="4"/>
  <c r="J58" i="4"/>
  <c r="I58" i="4"/>
  <c r="H58" i="4"/>
  <c r="G58" i="4"/>
  <c r="F58" i="4"/>
  <c r="E58" i="4"/>
  <c r="D58" i="4"/>
  <c r="C58" i="4"/>
  <c r="B58" i="4"/>
  <c r="A58" i="4"/>
  <c r="M57" i="4"/>
  <c r="L57" i="4"/>
  <c r="K57" i="4"/>
  <c r="J57" i="4"/>
  <c r="I57" i="4"/>
  <c r="H57" i="4"/>
  <c r="G57" i="4"/>
  <c r="F57" i="4"/>
  <c r="E57" i="4"/>
  <c r="D57" i="4"/>
  <c r="C57" i="4"/>
  <c r="B57" i="4"/>
  <c r="A57" i="4"/>
  <c r="M56" i="4"/>
  <c r="L56" i="4"/>
  <c r="K56" i="4"/>
  <c r="J56" i="4"/>
  <c r="I56" i="4"/>
  <c r="H56" i="4"/>
  <c r="G56" i="4"/>
  <c r="F56" i="4"/>
  <c r="E56" i="4"/>
  <c r="D56" i="4"/>
  <c r="C56" i="4"/>
  <c r="B56" i="4"/>
  <c r="A56" i="4"/>
  <c r="M55" i="4"/>
  <c r="L55" i="4"/>
  <c r="K55" i="4"/>
  <c r="J55" i="4"/>
  <c r="I55" i="4"/>
  <c r="H55" i="4"/>
  <c r="G55" i="4"/>
  <c r="F55" i="4"/>
  <c r="E55" i="4"/>
  <c r="D55" i="4"/>
  <c r="C55" i="4"/>
  <c r="B55" i="4"/>
  <c r="A55" i="4"/>
  <c r="M54" i="4"/>
  <c r="L54" i="4"/>
  <c r="K54" i="4"/>
  <c r="J54" i="4"/>
  <c r="I54" i="4"/>
  <c r="H54" i="4"/>
  <c r="G54" i="4"/>
  <c r="F54" i="4"/>
  <c r="E54" i="4"/>
  <c r="D54" i="4"/>
  <c r="C54" i="4"/>
  <c r="B54" i="4"/>
  <c r="A54" i="4"/>
  <c r="M53" i="4"/>
  <c r="L53" i="4"/>
  <c r="K53" i="4"/>
  <c r="J53" i="4"/>
  <c r="I53" i="4"/>
  <c r="H53" i="4"/>
  <c r="G53" i="4"/>
  <c r="F53" i="4"/>
  <c r="E53" i="4"/>
  <c r="D53" i="4"/>
  <c r="C53" i="4"/>
  <c r="B53" i="4"/>
  <c r="A53" i="4"/>
  <c r="M52" i="4"/>
  <c r="L52" i="4"/>
  <c r="K52" i="4"/>
  <c r="J52" i="4"/>
  <c r="I52" i="4"/>
  <c r="H52" i="4"/>
  <c r="G52" i="4"/>
  <c r="F52" i="4"/>
  <c r="E52" i="4"/>
  <c r="D52" i="4"/>
  <c r="C52" i="4"/>
  <c r="B52" i="4"/>
  <c r="A52" i="4"/>
  <c r="M51" i="4"/>
  <c r="L51" i="4"/>
  <c r="K51" i="4"/>
  <c r="J51" i="4"/>
  <c r="I51" i="4"/>
  <c r="H51" i="4"/>
  <c r="G51" i="4"/>
  <c r="F51" i="4"/>
  <c r="E51" i="4"/>
  <c r="D51" i="4"/>
  <c r="C51" i="4"/>
  <c r="B51" i="4"/>
  <c r="A51" i="4"/>
  <c r="M50" i="4"/>
  <c r="L50" i="4"/>
  <c r="K50" i="4"/>
  <c r="J50" i="4"/>
  <c r="I50" i="4"/>
  <c r="H50" i="4"/>
  <c r="G50" i="4"/>
  <c r="F50" i="4"/>
  <c r="E50" i="4"/>
  <c r="D50" i="4"/>
  <c r="C50" i="4"/>
  <c r="B50" i="4"/>
  <c r="A50" i="4"/>
  <c r="M49" i="4"/>
  <c r="L49" i="4"/>
  <c r="K49" i="4"/>
  <c r="J49" i="4"/>
  <c r="I49" i="4"/>
  <c r="H49" i="4"/>
  <c r="G49" i="4"/>
  <c r="F49" i="4"/>
  <c r="E49" i="4"/>
  <c r="D49" i="4"/>
  <c r="C49" i="4"/>
  <c r="B49" i="4"/>
  <c r="A49" i="4"/>
  <c r="M48" i="4"/>
  <c r="L48" i="4"/>
  <c r="K48" i="4"/>
  <c r="J48" i="4"/>
  <c r="I48" i="4"/>
  <c r="H48" i="4"/>
  <c r="G48" i="4"/>
  <c r="F48" i="4"/>
  <c r="E48" i="4"/>
  <c r="D48" i="4"/>
  <c r="C48" i="4"/>
  <c r="B48" i="4"/>
  <c r="A48" i="4"/>
  <c r="M47" i="4"/>
  <c r="L47" i="4"/>
  <c r="K47" i="4"/>
  <c r="J47" i="4"/>
  <c r="I47" i="4"/>
  <c r="H47" i="4"/>
  <c r="G47" i="4"/>
  <c r="F47" i="4"/>
  <c r="E47" i="4"/>
  <c r="D47" i="4"/>
  <c r="C47" i="4"/>
  <c r="B47" i="4"/>
  <c r="A47" i="4"/>
  <c r="M46" i="4"/>
  <c r="L46" i="4"/>
  <c r="K46" i="4"/>
  <c r="J46" i="4"/>
  <c r="I46" i="4"/>
  <c r="H46" i="4"/>
  <c r="G46" i="4"/>
  <c r="F46" i="4"/>
  <c r="E46" i="4"/>
  <c r="D46" i="4"/>
  <c r="C46" i="4"/>
  <c r="B46" i="4"/>
  <c r="A46" i="4"/>
  <c r="M45" i="4"/>
  <c r="L45" i="4"/>
  <c r="K45" i="4"/>
  <c r="J45" i="4"/>
  <c r="I45" i="4"/>
  <c r="H45" i="4"/>
  <c r="G45" i="4"/>
  <c r="F45" i="4"/>
  <c r="E45" i="4"/>
  <c r="D45" i="4"/>
  <c r="C45" i="4"/>
  <c r="B45" i="4"/>
  <c r="A45" i="4"/>
  <c r="M44" i="4"/>
  <c r="L44" i="4"/>
  <c r="K44" i="4"/>
  <c r="J44" i="4"/>
  <c r="I44" i="4"/>
  <c r="H44" i="4"/>
  <c r="G44" i="4"/>
  <c r="F44" i="4"/>
  <c r="E44" i="4"/>
  <c r="D44" i="4"/>
  <c r="C44" i="4"/>
  <c r="B44" i="4"/>
  <c r="A44" i="4"/>
  <c r="M43" i="4"/>
  <c r="L43" i="4"/>
  <c r="K43" i="4"/>
  <c r="J43" i="4"/>
  <c r="I43" i="4"/>
  <c r="H43" i="4"/>
  <c r="G43" i="4"/>
  <c r="F43" i="4"/>
  <c r="E43" i="4"/>
  <c r="D43" i="4"/>
  <c r="C43" i="4"/>
  <c r="B43" i="4"/>
  <c r="A43" i="4"/>
  <c r="M42" i="4"/>
  <c r="L42" i="4"/>
  <c r="K42" i="4"/>
  <c r="J42" i="4"/>
  <c r="I42" i="4"/>
  <c r="H42" i="4"/>
  <c r="G42" i="4"/>
  <c r="F42" i="4"/>
  <c r="E42" i="4"/>
  <c r="D42" i="4"/>
  <c r="C42" i="4"/>
  <c r="B42" i="4"/>
  <c r="A42" i="4"/>
  <c r="M41" i="4"/>
  <c r="L41" i="4"/>
  <c r="K41" i="4"/>
  <c r="J41" i="4"/>
  <c r="I41" i="4"/>
  <c r="H41" i="4"/>
  <c r="G41" i="4"/>
  <c r="F41" i="4"/>
  <c r="E41" i="4"/>
  <c r="D41" i="4"/>
  <c r="C41" i="4"/>
  <c r="B41" i="4"/>
  <c r="A41" i="4"/>
  <c r="M40" i="4"/>
  <c r="L40" i="4"/>
  <c r="K40" i="4"/>
  <c r="J40" i="4"/>
  <c r="I40" i="4"/>
  <c r="H40" i="4"/>
  <c r="G40" i="4"/>
  <c r="F40" i="4"/>
  <c r="E40" i="4"/>
  <c r="D40" i="4"/>
  <c r="C40" i="4"/>
  <c r="B40" i="4"/>
  <c r="A40" i="4"/>
  <c r="M39" i="4"/>
  <c r="L39" i="4"/>
  <c r="K39" i="4"/>
  <c r="J39" i="4"/>
  <c r="I39" i="4"/>
  <c r="H39" i="4"/>
  <c r="G39" i="4"/>
  <c r="F39" i="4"/>
  <c r="D39" i="4"/>
  <c r="C39" i="4"/>
  <c r="B39" i="4"/>
  <c r="A39" i="4"/>
  <c r="M38" i="4"/>
  <c r="L38" i="4"/>
  <c r="K38" i="4"/>
  <c r="J38" i="4"/>
  <c r="I38" i="4"/>
  <c r="H38" i="4"/>
  <c r="G38" i="4"/>
  <c r="F38" i="4"/>
  <c r="E38" i="4"/>
  <c r="D38" i="4"/>
  <c r="C38" i="4"/>
  <c r="B38" i="4"/>
  <c r="A38" i="4"/>
  <c r="M37" i="4"/>
  <c r="L37" i="4"/>
  <c r="K37" i="4"/>
  <c r="J37" i="4"/>
  <c r="I37" i="4"/>
  <c r="H37" i="4"/>
  <c r="G37" i="4"/>
  <c r="F37" i="4"/>
  <c r="E37" i="4"/>
  <c r="D37" i="4"/>
  <c r="C37" i="4"/>
  <c r="B37" i="4"/>
  <c r="A37" i="4"/>
  <c r="M36" i="4"/>
  <c r="L36" i="4"/>
  <c r="K36" i="4"/>
  <c r="J36" i="4"/>
  <c r="I36" i="4"/>
  <c r="H36" i="4"/>
  <c r="G36" i="4"/>
  <c r="F36" i="4"/>
  <c r="E36" i="4"/>
  <c r="D36" i="4"/>
  <c r="C36" i="4"/>
  <c r="B36" i="4"/>
  <c r="A36" i="4"/>
  <c r="M35" i="4"/>
  <c r="L35" i="4"/>
  <c r="K35" i="4"/>
  <c r="J35" i="4"/>
  <c r="I35" i="4"/>
  <c r="H35" i="4"/>
  <c r="G35" i="4"/>
  <c r="F35" i="4"/>
  <c r="E35" i="4"/>
  <c r="D35" i="4"/>
  <c r="C35" i="4"/>
  <c r="B35" i="4"/>
  <c r="A35" i="4"/>
  <c r="M34" i="4"/>
  <c r="L34" i="4"/>
  <c r="K34" i="4"/>
  <c r="J34" i="4"/>
  <c r="I34" i="4"/>
  <c r="H34" i="4"/>
  <c r="G34" i="4"/>
  <c r="F34" i="4"/>
  <c r="E34" i="4"/>
  <c r="D34" i="4"/>
  <c r="C34" i="4"/>
  <c r="B34" i="4"/>
  <c r="A34" i="4"/>
  <c r="M33" i="4"/>
  <c r="L33" i="4"/>
  <c r="K33" i="4"/>
  <c r="J33" i="4"/>
  <c r="I33" i="4"/>
  <c r="H33" i="4"/>
  <c r="G33" i="4"/>
  <c r="F33" i="4"/>
  <c r="E33" i="4"/>
  <c r="D33" i="4"/>
  <c r="C33" i="4"/>
  <c r="B33" i="4"/>
  <c r="A33" i="4"/>
  <c r="M32" i="4"/>
  <c r="L32" i="4"/>
  <c r="K32" i="4"/>
  <c r="J32" i="4"/>
  <c r="I32" i="4"/>
  <c r="H32" i="4"/>
  <c r="G32" i="4"/>
  <c r="F32" i="4"/>
  <c r="E32" i="4"/>
  <c r="D32" i="4"/>
  <c r="C32" i="4"/>
  <c r="B32" i="4"/>
  <c r="A32" i="4"/>
  <c r="M31" i="4"/>
  <c r="L31" i="4"/>
  <c r="K31" i="4"/>
  <c r="J31" i="4"/>
  <c r="I31" i="4"/>
  <c r="H31" i="4"/>
  <c r="G31" i="4"/>
  <c r="F31" i="4"/>
  <c r="E31" i="4"/>
  <c r="D31" i="4"/>
  <c r="C31" i="4"/>
  <c r="B31" i="4"/>
  <c r="A31" i="4"/>
  <c r="M30" i="4"/>
  <c r="L30" i="4"/>
  <c r="K30" i="4"/>
  <c r="J30" i="4"/>
  <c r="I30" i="4"/>
  <c r="H30" i="4"/>
  <c r="G30" i="4"/>
  <c r="F30" i="4"/>
  <c r="E30" i="4"/>
  <c r="D30" i="4"/>
  <c r="C30" i="4"/>
  <c r="B30" i="4"/>
  <c r="A30" i="4"/>
  <c r="M29" i="4"/>
  <c r="L29" i="4"/>
  <c r="K29" i="4"/>
  <c r="J29" i="4"/>
  <c r="I29" i="4"/>
  <c r="H29" i="4"/>
  <c r="G29" i="4"/>
  <c r="F29" i="4"/>
  <c r="E29" i="4"/>
  <c r="D29" i="4"/>
  <c r="C29" i="4"/>
  <c r="B29" i="4"/>
  <c r="A29" i="4"/>
  <c r="M28" i="4"/>
  <c r="L28" i="4"/>
  <c r="K28" i="4"/>
  <c r="J28" i="4"/>
  <c r="I28" i="4"/>
  <c r="H28" i="4"/>
  <c r="G28" i="4"/>
  <c r="F28" i="4"/>
  <c r="E28" i="4"/>
  <c r="D28" i="4"/>
  <c r="C28" i="4"/>
  <c r="B28" i="4"/>
  <c r="A28" i="4"/>
  <c r="M27" i="4"/>
  <c r="L27" i="4"/>
  <c r="K27" i="4"/>
  <c r="J27" i="4"/>
  <c r="I27" i="4"/>
  <c r="H27" i="4"/>
  <c r="G27" i="4"/>
  <c r="F27" i="4"/>
  <c r="E27" i="4"/>
  <c r="D27" i="4"/>
  <c r="C27" i="4"/>
  <c r="B27" i="4"/>
  <c r="A27" i="4"/>
  <c r="M26" i="4"/>
  <c r="L26" i="4"/>
  <c r="K26" i="4"/>
  <c r="J26" i="4"/>
  <c r="I26" i="4"/>
  <c r="H26" i="4"/>
  <c r="G26" i="4"/>
  <c r="F26" i="4"/>
  <c r="E26" i="4"/>
  <c r="D26" i="4"/>
  <c r="C26" i="4"/>
  <c r="B26" i="4"/>
  <c r="A26" i="4"/>
  <c r="M25" i="4"/>
  <c r="L25" i="4"/>
  <c r="K25" i="4"/>
  <c r="J25" i="4"/>
  <c r="I25" i="4"/>
  <c r="H25" i="4"/>
  <c r="G25" i="4"/>
  <c r="F25" i="4"/>
  <c r="E25" i="4"/>
  <c r="D25" i="4"/>
  <c r="C25" i="4"/>
  <c r="B25" i="4"/>
  <c r="A25" i="4"/>
  <c r="M24" i="4"/>
  <c r="L24" i="4"/>
  <c r="K24" i="4"/>
  <c r="J24" i="4"/>
  <c r="I24" i="4"/>
  <c r="H24" i="4"/>
  <c r="G24" i="4"/>
  <c r="F24" i="4"/>
  <c r="E24" i="4"/>
  <c r="D24" i="4"/>
  <c r="C24" i="4"/>
  <c r="B24" i="4"/>
  <c r="A24" i="4"/>
  <c r="M23" i="4"/>
  <c r="L23" i="4"/>
  <c r="K23" i="4"/>
  <c r="J23" i="4"/>
  <c r="I23" i="4"/>
  <c r="H23" i="4"/>
  <c r="G23" i="4"/>
  <c r="F23" i="4"/>
  <c r="E23" i="4"/>
  <c r="D23" i="4"/>
  <c r="C23" i="4"/>
  <c r="B23" i="4"/>
  <c r="A23" i="4"/>
  <c r="M22" i="4"/>
  <c r="L22" i="4"/>
  <c r="K22" i="4"/>
  <c r="J22" i="4"/>
  <c r="I22" i="4"/>
  <c r="H22" i="4"/>
  <c r="G22" i="4"/>
  <c r="F22" i="4"/>
  <c r="E22" i="4"/>
  <c r="D22" i="4"/>
  <c r="C22" i="4"/>
  <c r="B22" i="4"/>
  <c r="A22" i="4"/>
  <c r="M21" i="4"/>
  <c r="L21" i="4"/>
  <c r="K21" i="4"/>
  <c r="J21" i="4"/>
  <c r="I21" i="4"/>
  <c r="H21" i="4"/>
  <c r="G21" i="4"/>
  <c r="F21" i="4"/>
  <c r="E21" i="4"/>
  <c r="D21" i="4"/>
  <c r="C21" i="4"/>
  <c r="B21" i="4"/>
  <c r="A21" i="4"/>
  <c r="M20" i="4"/>
  <c r="L20" i="4"/>
  <c r="K20" i="4"/>
  <c r="J20" i="4"/>
  <c r="I20" i="4"/>
  <c r="H20" i="4"/>
  <c r="G20" i="4"/>
  <c r="F20" i="4"/>
  <c r="E20" i="4"/>
  <c r="D20" i="4"/>
  <c r="C20" i="4"/>
  <c r="B20" i="4"/>
  <c r="A20" i="4"/>
  <c r="M19" i="4"/>
  <c r="L19" i="4"/>
  <c r="K19" i="4"/>
  <c r="J19" i="4"/>
  <c r="I19" i="4"/>
  <c r="H19" i="4"/>
  <c r="G19" i="4"/>
  <c r="F19" i="4"/>
  <c r="E19" i="4"/>
  <c r="D19" i="4"/>
  <c r="C19" i="4"/>
  <c r="B19" i="4"/>
  <c r="A19" i="4"/>
  <c r="M18" i="4"/>
  <c r="L18" i="4"/>
  <c r="K18" i="4"/>
  <c r="J18" i="4"/>
  <c r="I18" i="4"/>
  <c r="H18" i="4"/>
  <c r="G18" i="4"/>
  <c r="F18" i="4"/>
  <c r="E18" i="4"/>
  <c r="D18" i="4"/>
  <c r="C18" i="4"/>
  <c r="B18" i="4"/>
  <c r="A18" i="4"/>
  <c r="M17" i="4"/>
  <c r="L17" i="4"/>
  <c r="K17" i="4"/>
  <c r="J17" i="4"/>
  <c r="I17" i="4"/>
  <c r="H17" i="4"/>
  <c r="G17" i="4"/>
  <c r="F17" i="4"/>
  <c r="E17" i="4"/>
  <c r="D17" i="4"/>
  <c r="C17" i="4"/>
  <c r="B17" i="4"/>
  <c r="A17" i="4"/>
  <c r="M16" i="4"/>
  <c r="L16" i="4"/>
  <c r="K16" i="4"/>
  <c r="J16" i="4"/>
  <c r="I16" i="4"/>
  <c r="H16" i="4"/>
  <c r="G16" i="4"/>
  <c r="F16" i="4"/>
  <c r="E16" i="4"/>
  <c r="D16" i="4"/>
  <c r="C16" i="4"/>
  <c r="B16" i="4"/>
  <c r="A16" i="4"/>
  <c r="M15" i="4"/>
  <c r="L15" i="4"/>
  <c r="K15" i="4"/>
  <c r="J15" i="4"/>
  <c r="I15" i="4"/>
  <c r="H15" i="4"/>
  <c r="G15" i="4"/>
  <c r="F15" i="4"/>
  <c r="E15" i="4"/>
  <c r="D15" i="4"/>
  <c r="C15" i="4"/>
  <c r="B15" i="4"/>
  <c r="A15" i="4"/>
  <c r="M14" i="4"/>
  <c r="L14" i="4"/>
  <c r="K14" i="4"/>
  <c r="J14" i="4"/>
  <c r="I14" i="4"/>
  <c r="H14" i="4"/>
  <c r="G14" i="4"/>
  <c r="F14" i="4"/>
  <c r="E14" i="4"/>
  <c r="D14" i="4"/>
  <c r="C14" i="4"/>
  <c r="B14" i="4"/>
  <c r="A14" i="4"/>
  <c r="M13" i="4"/>
  <c r="L13" i="4"/>
  <c r="K13" i="4"/>
  <c r="J13" i="4"/>
  <c r="I13" i="4"/>
  <c r="H13" i="4"/>
  <c r="G13" i="4"/>
  <c r="F13" i="4"/>
  <c r="E13" i="4"/>
  <c r="D13" i="4"/>
  <c r="C13" i="4"/>
  <c r="B13" i="4"/>
  <c r="A13" i="4"/>
  <c r="M12" i="4"/>
  <c r="L12" i="4"/>
  <c r="K12" i="4"/>
  <c r="J12" i="4"/>
  <c r="I12" i="4"/>
  <c r="H12" i="4"/>
  <c r="G12" i="4"/>
  <c r="F12" i="4"/>
  <c r="E12" i="4"/>
  <c r="D12" i="4"/>
  <c r="C12" i="4"/>
  <c r="B12" i="4"/>
  <c r="A12" i="4"/>
  <c r="M11" i="4"/>
  <c r="L11" i="4"/>
  <c r="K11" i="4"/>
  <c r="J11" i="4"/>
  <c r="I11" i="4"/>
  <c r="H11" i="4"/>
  <c r="G11" i="4"/>
  <c r="E11" i="4"/>
  <c r="D11" i="4"/>
  <c r="C11" i="4"/>
  <c r="B11" i="4"/>
  <c r="A11" i="4"/>
  <c r="M10" i="4"/>
  <c r="L10" i="4"/>
  <c r="K10" i="4"/>
  <c r="J10" i="4"/>
  <c r="I10" i="4"/>
  <c r="H10" i="4"/>
  <c r="G10" i="4"/>
  <c r="F10" i="4"/>
  <c r="E10" i="4"/>
  <c r="D10" i="4"/>
  <c r="C10" i="4"/>
  <c r="B10" i="4"/>
  <c r="A10" i="4"/>
  <c r="M9" i="4"/>
  <c r="L9" i="4"/>
  <c r="K9" i="4"/>
  <c r="J9" i="4"/>
  <c r="I9" i="4"/>
  <c r="H9" i="4"/>
  <c r="G9" i="4"/>
  <c r="F9" i="4"/>
  <c r="E9" i="4"/>
  <c r="D9" i="4"/>
  <c r="C9" i="4"/>
  <c r="B9" i="4"/>
  <c r="A9" i="4"/>
  <c r="M8" i="4"/>
  <c r="L8" i="4"/>
  <c r="K8" i="4"/>
  <c r="J8" i="4"/>
  <c r="I8" i="4"/>
  <c r="H8" i="4"/>
  <c r="G8" i="4"/>
  <c r="F8" i="4"/>
  <c r="E8" i="4"/>
  <c r="D8" i="4"/>
  <c r="C8" i="4"/>
  <c r="B8" i="4"/>
  <c r="A8" i="4"/>
  <c r="M7" i="4"/>
  <c r="L7" i="4"/>
  <c r="K7" i="4"/>
  <c r="J7" i="4"/>
  <c r="I7" i="4"/>
  <c r="H7" i="4"/>
  <c r="G7" i="4"/>
  <c r="F7" i="4"/>
  <c r="E7" i="4"/>
  <c r="D7" i="4"/>
  <c r="C7" i="4"/>
  <c r="B7" i="4"/>
  <c r="A7" i="4"/>
  <c r="M6" i="4"/>
  <c r="L6" i="4"/>
  <c r="K6" i="4"/>
  <c r="J6" i="4"/>
  <c r="I6" i="4"/>
  <c r="H6" i="4"/>
  <c r="G6" i="4"/>
  <c r="F6" i="4"/>
  <c r="E6" i="4"/>
  <c r="D6" i="4"/>
  <c r="C6" i="4"/>
  <c r="B6" i="4"/>
  <c r="A6" i="4"/>
  <c r="M5" i="4"/>
  <c r="L5" i="4"/>
  <c r="K5" i="4"/>
  <c r="J5" i="4"/>
  <c r="I5" i="4"/>
  <c r="H5" i="4"/>
  <c r="G5" i="4"/>
  <c r="F5" i="4"/>
  <c r="E5" i="4"/>
  <c r="D5" i="4"/>
  <c r="C5" i="4"/>
  <c r="B5" i="4"/>
  <c r="A5" i="4"/>
  <c r="M4" i="4"/>
  <c r="L4" i="4"/>
  <c r="K4" i="4"/>
  <c r="J4" i="4"/>
  <c r="I4" i="4"/>
  <c r="H4" i="4"/>
  <c r="G4" i="4"/>
  <c r="F4" i="4"/>
  <c r="E4" i="4"/>
  <c r="D4" i="4"/>
  <c r="C4" i="4"/>
  <c r="B4" i="4"/>
  <c r="A4" i="4"/>
  <c r="M3" i="4"/>
  <c r="L3" i="4"/>
  <c r="K3" i="4"/>
  <c r="J3" i="4"/>
  <c r="I3" i="4"/>
  <c r="H3" i="4"/>
  <c r="G3" i="4"/>
  <c r="F3" i="4"/>
  <c r="E3" i="4"/>
  <c r="D3" i="4"/>
  <c r="C3" i="4"/>
  <c r="B3" i="4"/>
  <c r="A3" i="4"/>
  <c r="M2" i="4"/>
  <c r="L2" i="4"/>
  <c r="K2" i="4"/>
  <c r="J2" i="4"/>
  <c r="I2" i="4"/>
  <c r="H2" i="4"/>
  <c r="G2" i="4"/>
  <c r="F2" i="4"/>
  <c r="E2" i="4"/>
  <c r="D2" i="4"/>
  <c r="C2" i="4"/>
  <c r="B2" i="4"/>
  <c r="A2" i="4"/>
  <c r="V1" i="4"/>
  <c r="U1" i="4"/>
  <c r="T1" i="4"/>
  <c r="S1" i="4"/>
  <c r="R1" i="4"/>
  <c r="Q1" i="4"/>
  <c r="P1" i="4"/>
  <c r="O1" i="4"/>
  <c r="N1" i="4"/>
  <c r="M1" i="4"/>
  <c r="L1" i="4"/>
  <c r="K1" i="4"/>
  <c r="J1" i="4"/>
  <c r="I1" i="4"/>
  <c r="H1" i="4"/>
  <c r="G1" i="4"/>
  <c r="F1" i="4"/>
  <c r="E1" i="4"/>
  <c r="D1" i="4"/>
  <c r="C1" i="4"/>
  <c r="B1" i="4"/>
  <c r="A1" i="4"/>
  <c r="M3291" i="3"/>
  <c r="L3291" i="3"/>
  <c r="K3291" i="3"/>
  <c r="J3291" i="3"/>
  <c r="I3291" i="3"/>
  <c r="H3291" i="3"/>
  <c r="G3291" i="3"/>
  <c r="F3291" i="3"/>
  <c r="E3291" i="3"/>
  <c r="D3291" i="3"/>
  <c r="C3291" i="3"/>
  <c r="B3291" i="3"/>
  <c r="A3291" i="3"/>
  <c r="M3290" i="3"/>
  <c r="L3290" i="3"/>
  <c r="K3290" i="3"/>
  <c r="J3290" i="3"/>
  <c r="I3290" i="3"/>
  <c r="H3290" i="3"/>
  <c r="G3290" i="3"/>
  <c r="F3290" i="3"/>
  <c r="E3290" i="3"/>
  <c r="D3290" i="3"/>
  <c r="C3290" i="3"/>
  <c r="B3290" i="3"/>
  <c r="A3290" i="3"/>
  <c r="M3289" i="3"/>
  <c r="L3289" i="3"/>
  <c r="K3289" i="3"/>
  <c r="J3289" i="3"/>
  <c r="I3289" i="3"/>
  <c r="H3289" i="3"/>
  <c r="G3289" i="3"/>
  <c r="F3289" i="3"/>
  <c r="E3289" i="3"/>
  <c r="D3289" i="3"/>
  <c r="C3289" i="3"/>
  <c r="B3289" i="3"/>
  <c r="A3289" i="3"/>
  <c r="M3288" i="3"/>
  <c r="L3288" i="3"/>
  <c r="K3288" i="3"/>
  <c r="J3288" i="3"/>
  <c r="I3288" i="3"/>
  <c r="H3288" i="3"/>
  <c r="G3288" i="3"/>
  <c r="F3288" i="3"/>
  <c r="E3288" i="3"/>
  <c r="D3288" i="3"/>
  <c r="B3288" i="3"/>
  <c r="A3288" i="3"/>
  <c r="M3287" i="3"/>
  <c r="L3287" i="3"/>
  <c r="K3287" i="3"/>
  <c r="J3287" i="3"/>
  <c r="I3287" i="3"/>
  <c r="H3287" i="3"/>
  <c r="G3287" i="3"/>
  <c r="F3287" i="3"/>
  <c r="E3287" i="3"/>
  <c r="D3287" i="3"/>
  <c r="C3287" i="3"/>
  <c r="B3287" i="3"/>
  <c r="A3287" i="3"/>
  <c r="M3286" i="3"/>
  <c r="L3286" i="3"/>
  <c r="K3286" i="3"/>
  <c r="J3286" i="3"/>
  <c r="I3286" i="3"/>
  <c r="H3286" i="3"/>
  <c r="G3286" i="3"/>
  <c r="F3286" i="3"/>
  <c r="E3286" i="3"/>
  <c r="D3286" i="3"/>
  <c r="C3286" i="3"/>
  <c r="B3286" i="3"/>
  <c r="A3286" i="3"/>
  <c r="M3285" i="3"/>
  <c r="L3285" i="3"/>
  <c r="K3285" i="3"/>
  <c r="J3285" i="3"/>
  <c r="I3285" i="3"/>
  <c r="H3285" i="3"/>
  <c r="F3285" i="3"/>
  <c r="E3285" i="3"/>
  <c r="D3285" i="3"/>
  <c r="C3285" i="3"/>
  <c r="B3285" i="3"/>
  <c r="A3285" i="3"/>
  <c r="M3284" i="3"/>
  <c r="L3284" i="3"/>
  <c r="K3284" i="3"/>
  <c r="J3284" i="3"/>
  <c r="I3284" i="3"/>
  <c r="H3284" i="3"/>
  <c r="G3284" i="3"/>
  <c r="F3284" i="3"/>
  <c r="E3284" i="3"/>
  <c r="D3284" i="3"/>
  <c r="C3284" i="3"/>
  <c r="B3284" i="3"/>
  <c r="A3284" i="3"/>
  <c r="M3283" i="3"/>
  <c r="L3283" i="3"/>
  <c r="K3283" i="3"/>
  <c r="J3283" i="3"/>
  <c r="I3283" i="3"/>
  <c r="H3283" i="3"/>
  <c r="G3283" i="3"/>
  <c r="F3283" i="3"/>
  <c r="E3283" i="3"/>
  <c r="D3283" i="3"/>
  <c r="C3283" i="3"/>
  <c r="B3283" i="3"/>
  <c r="A3283" i="3"/>
  <c r="M3282" i="3"/>
  <c r="L3282" i="3"/>
  <c r="K3282" i="3"/>
  <c r="J3282" i="3"/>
  <c r="I3282" i="3"/>
  <c r="H3282" i="3"/>
  <c r="G3282" i="3"/>
  <c r="F3282" i="3"/>
  <c r="E3282" i="3"/>
  <c r="D3282" i="3"/>
  <c r="C3282" i="3"/>
  <c r="B3282" i="3"/>
  <c r="A3282" i="3"/>
  <c r="M3281" i="3"/>
  <c r="L3281" i="3"/>
  <c r="K3281" i="3"/>
  <c r="J3281" i="3"/>
  <c r="I3281" i="3"/>
  <c r="H3281" i="3"/>
  <c r="G3281" i="3"/>
  <c r="F3281" i="3"/>
  <c r="E3281" i="3"/>
  <c r="D3281" i="3"/>
  <c r="C3281" i="3"/>
  <c r="B3281" i="3"/>
  <c r="A3281" i="3"/>
  <c r="M3280" i="3"/>
  <c r="L3280" i="3"/>
  <c r="K3280" i="3"/>
  <c r="J3280" i="3"/>
  <c r="I3280" i="3"/>
  <c r="H3280" i="3"/>
  <c r="G3280" i="3"/>
  <c r="F3280" i="3"/>
  <c r="E3280" i="3"/>
  <c r="D3280" i="3"/>
  <c r="C3280" i="3"/>
  <c r="B3280" i="3"/>
  <c r="A3280" i="3"/>
  <c r="M3279" i="3"/>
  <c r="L3279" i="3"/>
  <c r="K3279" i="3"/>
  <c r="J3279" i="3"/>
  <c r="I3279" i="3"/>
  <c r="H3279" i="3"/>
  <c r="G3279" i="3"/>
  <c r="F3279" i="3"/>
  <c r="E3279" i="3"/>
  <c r="D3279" i="3"/>
  <c r="B3279" i="3"/>
  <c r="A3279" i="3"/>
  <c r="M3278" i="3"/>
  <c r="L3278" i="3"/>
  <c r="K3278" i="3"/>
  <c r="J3278" i="3"/>
  <c r="I3278" i="3"/>
  <c r="H3278" i="3"/>
  <c r="F3278" i="3"/>
  <c r="E3278" i="3"/>
  <c r="D3278" i="3"/>
  <c r="C3278" i="3"/>
  <c r="B3278" i="3"/>
  <c r="A3278" i="3"/>
  <c r="M3277" i="3"/>
  <c r="L3277" i="3"/>
  <c r="K3277" i="3"/>
  <c r="J3277" i="3"/>
  <c r="I3277" i="3"/>
  <c r="H3277" i="3"/>
  <c r="G3277" i="3"/>
  <c r="F3277" i="3"/>
  <c r="E3277" i="3"/>
  <c r="D3277" i="3"/>
  <c r="C3277" i="3"/>
  <c r="B3277" i="3"/>
  <c r="A3277" i="3"/>
  <c r="M3276" i="3"/>
  <c r="L3276" i="3"/>
  <c r="K3276" i="3"/>
  <c r="J3276" i="3"/>
  <c r="I3276" i="3"/>
  <c r="H3276" i="3"/>
  <c r="G3276" i="3"/>
  <c r="F3276" i="3"/>
  <c r="D3276" i="3"/>
  <c r="C3276" i="3"/>
  <c r="B3276" i="3"/>
  <c r="A3276" i="3"/>
  <c r="M3275" i="3"/>
  <c r="L3275" i="3"/>
  <c r="K3275" i="3"/>
  <c r="J3275" i="3"/>
  <c r="I3275" i="3"/>
  <c r="H3275" i="3"/>
  <c r="G3275" i="3"/>
  <c r="F3275" i="3"/>
  <c r="E3275" i="3"/>
  <c r="D3275" i="3"/>
  <c r="C3275" i="3"/>
  <c r="B3275" i="3"/>
  <c r="A3275" i="3"/>
  <c r="M3274" i="3"/>
  <c r="L3274" i="3"/>
  <c r="K3274" i="3"/>
  <c r="J3274" i="3"/>
  <c r="I3274" i="3"/>
  <c r="H3274" i="3"/>
  <c r="G3274" i="3"/>
  <c r="F3274" i="3"/>
  <c r="D3274" i="3"/>
  <c r="C3274" i="3"/>
  <c r="B3274" i="3"/>
  <c r="A3274" i="3"/>
  <c r="M3273" i="3"/>
  <c r="L3273" i="3"/>
  <c r="K3273" i="3"/>
  <c r="J3273" i="3"/>
  <c r="I3273" i="3"/>
  <c r="H3273" i="3"/>
  <c r="G3273" i="3"/>
  <c r="F3273" i="3"/>
  <c r="E3273" i="3"/>
  <c r="D3273" i="3"/>
  <c r="C3273" i="3"/>
  <c r="B3273" i="3"/>
  <c r="A3273" i="3"/>
  <c r="M3272" i="3"/>
  <c r="L3272" i="3"/>
  <c r="K3272" i="3"/>
  <c r="J3272" i="3"/>
  <c r="I3272" i="3"/>
  <c r="H3272" i="3"/>
  <c r="G3272" i="3"/>
  <c r="F3272" i="3"/>
  <c r="E3272" i="3"/>
  <c r="D3272" i="3"/>
  <c r="C3272" i="3"/>
  <c r="B3272" i="3"/>
  <c r="A3272" i="3"/>
  <c r="M3271" i="3"/>
  <c r="L3271" i="3"/>
  <c r="K3271" i="3"/>
  <c r="J3271" i="3"/>
  <c r="I3271" i="3"/>
  <c r="H3271" i="3"/>
  <c r="F3271" i="3"/>
  <c r="E3271" i="3"/>
  <c r="D3271" i="3"/>
  <c r="C3271" i="3"/>
  <c r="B3271" i="3"/>
  <c r="A3271" i="3"/>
  <c r="M3270" i="3"/>
  <c r="L3270" i="3"/>
  <c r="K3270" i="3"/>
  <c r="J3270" i="3"/>
  <c r="I3270" i="3"/>
  <c r="H3270" i="3"/>
  <c r="F3270" i="3"/>
  <c r="E3270" i="3"/>
  <c r="D3270" i="3"/>
  <c r="C3270" i="3"/>
  <c r="B3270" i="3"/>
  <c r="A3270" i="3"/>
  <c r="M3269" i="3"/>
  <c r="L3269" i="3"/>
  <c r="K3269" i="3"/>
  <c r="J3269" i="3"/>
  <c r="I3269" i="3"/>
  <c r="H3269" i="3"/>
  <c r="G3269" i="3"/>
  <c r="F3269" i="3"/>
  <c r="E3269" i="3"/>
  <c r="D3269" i="3"/>
  <c r="C3269" i="3"/>
  <c r="B3269" i="3"/>
  <c r="A3269" i="3"/>
  <c r="M3268" i="3"/>
  <c r="L3268" i="3"/>
  <c r="K3268" i="3"/>
  <c r="J3268" i="3"/>
  <c r="I3268" i="3"/>
  <c r="H3268" i="3"/>
  <c r="G3268" i="3"/>
  <c r="F3268" i="3"/>
  <c r="E3268" i="3"/>
  <c r="D3268" i="3"/>
  <c r="B3268" i="3"/>
  <c r="A3268" i="3"/>
  <c r="M3267" i="3"/>
  <c r="L3267" i="3"/>
  <c r="K3267" i="3"/>
  <c r="J3267" i="3"/>
  <c r="I3267" i="3"/>
  <c r="H3267" i="3"/>
  <c r="F3267" i="3"/>
  <c r="E3267" i="3"/>
  <c r="D3267" i="3"/>
  <c r="B3267" i="3"/>
  <c r="A3267" i="3"/>
  <c r="M3266" i="3"/>
  <c r="L3266" i="3"/>
  <c r="K3266" i="3"/>
  <c r="J3266" i="3"/>
  <c r="I3266" i="3"/>
  <c r="H3266" i="3"/>
  <c r="G3266" i="3"/>
  <c r="F3266" i="3"/>
  <c r="D3266" i="3"/>
  <c r="B3266" i="3"/>
  <c r="A3266" i="3"/>
  <c r="M3265" i="3"/>
  <c r="L3265" i="3"/>
  <c r="K3265" i="3"/>
  <c r="J3265" i="3"/>
  <c r="I3265" i="3"/>
  <c r="H3265" i="3"/>
  <c r="G3265" i="3"/>
  <c r="F3265" i="3"/>
  <c r="E3265" i="3"/>
  <c r="D3265" i="3"/>
  <c r="C3265" i="3"/>
  <c r="B3265" i="3"/>
  <c r="A3265" i="3"/>
  <c r="M3264" i="3"/>
  <c r="L3264" i="3"/>
  <c r="K3264" i="3"/>
  <c r="J3264" i="3"/>
  <c r="I3264" i="3"/>
  <c r="H3264" i="3"/>
  <c r="G3264" i="3"/>
  <c r="F3264" i="3"/>
  <c r="D3264" i="3"/>
  <c r="C3264" i="3"/>
  <c r="B3264" i="3"/>
  <c r="A3264" i="3"/>
  <c r="M3263" i="3"/>
  <c r="L3263" i="3"/>
  <c r="K3263" i="3"/>
  <c r="J3263" i="3"/>
  <c r="I3263" i="3"/>
  <c r="H3263" i="3"/>
  <c r="G3263" i="3"/>
  <c r="F3263" i="3"/>
  <c r="E3263" i="3"/>
  <c r="D3263" i="3"/>
  <c r="C3263" i="3"/>
  <c r="B3263" i="3"/>
  <c r="A3263" i="3"/>
  <c r="M3262" i="3"/>
  <c r="L3262" i="3"/>
  <c r="K3262" i="3"/>
  <c r="J3262" i="3"/>
  <c r="I3262" i="3"/>
  <c r="H3262" i="3"/>
  <c r="G3262" i="3"/>
  <c r="F3262" i="3"/>
  <c r="E3262" i="3"/>
  <c r="D3262" i="3"/>
  <c r="C3262" i="3"/>
  <c r="B3262" i="3"/>
  <c r="A3262" i="3"/>
  <c r="M3261" i="3"/>
  <c r="L3261" i="3"/>
  <c r="K3261" i="3"/>
  <c r="J3261" i="3"/>
  <c r="I3261" i="3"/>
  <c r="H3261" i="3"/>
  <c r="G3261" i="3"/>
  <c r="F3261" i="3"/>
  <c r="E3261" i="3"/>
  <c r="D3261" i="3"/>
  <c r="C3261" i="3"/>
  <c r="B3261" i="3"/>
  <c r="A3261" i="3"/>
  <c r="M3260" i="3"/>
  <c r="L3260" i="3"/>
  <c r="K3260" i="3"/>
  <c r="J3260" i="3"/>
  <c r="I3260" i="3"/>
  <c r="H3260" i="3"/>
  <c r="F3260" i="3"/>
  <c r="D3260" i="3"/>
  <c r="C3260" i="3"/>
  <c r="B3260" i="3"/>
  <c r="A3260" i="3"/>
  <c r="M3259" i="3"/>
  <c r="L3259" i="3"/>
  <c r="K3259" i="3"/>
  <c r="J3259" i="3"/>
  <c r="I3259" i="3"/>
  <c r="H3259" i="3"/>
  <c r="G3259" i="3"/>
  <c r="F3259" i="3"/>
  <c r="E3259" i="3"/>
  <c r="D3259" i="3"/>
  <c r="C3259" i="3"/>
  <c r="B3259" i="3"/>
  <c r="A3259" i="3"/>
  <c r="M3258" i="3"/>
  <c r="L3258" i="3"/>
  <c r="K3258" i="3"/>
  <c r="J3258" i="3"/>
  <c r="I3258" i="3"/>
  <c r="H3258" i="3"/>
  <c r="G3258" i="3"/>
  <c r="F3258" i="3"/>
  <c r="D3258" i="3"/>
  <c r="B3258" i="3"/>
  <c r="A3258" i="3"/>
  <c r="M3257" i="3"/>
  <c r="L3257" i="3"/>
  <c r="K3257" i="3"/>
  <c r="J3257" i="3"/>
  <c r="I3257" i="3"/>
  <c r="H3257" i="3"/>
  <c r="G3257" i="3"/>
  <c r="F3257" i="3"/>
  <c r="E3257" i="3"/>
  <c r="D3257" i="3"/>
  <c r="B3257" i="3"/>
  <c r="A3257" i="3"/>
  <c r="M3256" i="3"/>
  <c r="L3256" i="3"/>
  <c r="K3256" i="3"/>
  <c r="J3256" i="3"/>
  <c r="I3256" i="3"/>
  <c r="H3256" i="3"/>
  <c r="G3256" i="3"/>
  <c r="F3256" i="3"/>
  <c r="E3256" i="3"/>
  <c r="D3256" i="3"/>
  <c r="C3256" i="3"/>
  <c r="B3256" i="3"/>
  <c r="A3256" i="3"/>
  <c r="M3255" i="3"/>
  <c r="L3255" i="3"/>
  <c r="K3255" i="3"/>
  <c r="J3255" i="3"/>
  <c r="I3255" i="3"/>
  <c r="H3255" i="3"/>
  <c r="G3255" i="3"/>
  <c r="F3255" i="3"/>
  <c r="E3255" i="3"/>
  <c r="D3255" i="3"/>
  <c r="C3255" i="3"/>
  <c r="B3255" i="3"/>
  <c r="A3255" i="3"/>
  <c r="M3254" i="3"/>
  <c r="L3254" i="3"/>
  <c r="K3254" i="3"/>
  <c r="J3254" i="3"/>
  <c r="I3254" i="3"/>
  <c r="H3254" i="3"/>
  <c r="G3254" i="3"/>
  <c r="F3254" i="3"/>
  <c r="E3254" i="3"/>
  <c r="D3254" i="3"/>
  <c r="C3254" i="3"/>
  <c r="B3254" i="3"/>
  <c r="A3254" i="3"/>
  <c r="M3253" i="3"/>
  <c r="L3253" i="3"/>
  <c r="K3253" i="3"/>
  <c r="J3253" i="3"/>
  <c r="I3253" i="3"/>
  <c r="H3253" i="3"/>
  <c r="G3253" i="3"/>
  <c r="F3253" i="3"/>
  <c r="E3253" i="3"/>
  <c r="D3253" i="3"/>
  <c r="C3253" i="3"/>
  <c r="B3253" i="3"/>
  <c r="A3253" i="3"/>
  <c r="M3252" i="3"/>
  <c r="L3252" i="3"/>
  <c r="K3252" i="3"/>
  <c r="J3252" i="3"/>
  <c r="I3252" i="3"/>
  <c r="H3252" i="3"/>
  <c r="G3252" i="3"/>
  <c r="F3252" i="3"/>
  <c r="E3252" i="3"/>
  <c r="D3252" i="3"/>
  <c r="C3252" i="3"/>
  <c r="B3252" i="3"/>
  <c r="A3252" i="3"/>
  <c r="M3251" i="3"/>
  <c r="L3251" i="3"/>
  <c r="K3251" i="3"/>
  <c r="J3251" i="3"/>
  <c r="I3251" i="3"/>
  <c r="H3251" i="3"/>
  <c r="G3251" i="3"/>
  <c r="F3251" i="3"/>
  <c r="D3251" i="3"/>
  <c r="C3251" i="3"/>
  <c r="B3251" i="3"/>
  <c r="A3251" i="3"/>
  <c r="M3250" i="3"/>
  <c r="L3250" i="3"/>
  <c r="K3250" i="3"/>
  <c r="J3250" i="3"/>
  <c r="I3250" i="3"/>
  <c r="H3250" i="3"/>
  <c r="G3250" i="3"/>
  <c r="F3250" i="3"/>
  <c r="E3250" i="3"/>
  <c r="D3250" i="3"/>
  <c r="C3250" i="3"/>
  <c r="B3250" i="3"/>
  <c r="A3250" i="3"/>
  <c r="M3249" i="3"/>
  <c r="L3249" i="3"/>
  <c r="K3249" i="3"/>
  <c r="J3249" i="3"/>
  <c r="I3249" i="3"/>
  <c r="H3249" i="3"/>
  <c r="G3249" i="3"/>
  <c r="F3249" i="3"/>
  <c r="E3249" i="3"/>
  <c r="D3249" i="3"/>
  <c r="C3249" i="3"/>
  <c r="B3249" i="3"/>
  <c r="A3249" i="3"/>
  <c r="M3248" i="3"/>
  <c r="L3248" i="3"/>
  <c r="K3248" i="3"/>
  <c r="J3248" i="3"/>
  <c r="I3248" i="3"/>
  <c r="H3248" i="3"/>
  <c r="G3248" i="3"/>
  <c r="F3248" i="3"/>
  <c r="E3248" i="3"/>
  <c r="D3248" i="3"/>
  <c r="B3248" i="3"/>
  <c r="A3248" i="3"/>
  <c r="M3247" i="3"/>
  <c r="L3247" i="3"/>
  <c r="K3247" i="3"/>
  <c r="J3247" i="3"/>
  <c r="I3247" i="3"/>
  <c r="H3247" i="3"/>
  <c r="G3247" i="3"/>
  <c r="F3247" i="3"/>
  <c r="E3247" i="3"/>
  <c r="D3247" i="3"/>
  <c r="C3247" i="3"/>
  <c r="B3247" i="3"/>
  <c r="A3247" i="3"/>
  <c r="M3246" i="3"/>
  <c r="L3246" i="3"/>
  <c r="K3246" i="3"/>
  <c r="J3246" i="3"/>
  <c r="I3246" i="3"/>
  <c r="H3246" i="3"/>
  <c r="G3246" i="3"/>
  <c r="F3246" i="3"/>
  <c r="E3246" i="3"/>
  <c r="D3246" i="3"/>
  <c r="C3246" i="3"/>
  <c r="B3246" i="3"/>
  <c r="A3246" i="3"/>
  <c r="M3245" i="3"/>
  <c r="L3245" i="3"/>
  <c r="K3245" i="3"/>
  <c r="J3245" i="3"/>
  <c r="I3245" i="3"/>
  <c r="H3245" i="3"/>
  <c r="G3245" i="3"/>
  <c r="F3245" i="3"/>
  <c r="E3245" i="3"/>
  <c r="D3245" i="3"/>
  <c r="B3245" i="3"/>
  <c r="A3245" i="3"/>
  <c r="M3244" i="3"/>
  <c r="L3244" i="3"/>
  <c r="K3244" i="3"/>
  <c r="J3244" i="3"/>
  <c r="I3244" i="3"/>
  <c r="H3244" i="3"/>
  <c r="G3244" i="3"/>
  <c r="F3244" i="3"/>
  <c r="E3244" i="3"/>
  <c r="D3244" i="3"/>
  <c r="C3244" i="3"/>
  <c r="B3244" i="3"/>
  <c r="A3244" i="3"/>
  <c r="M3243" i="3"/>
  <c r="L3243" i="3"/>
  <c r="K3243" i="3"/>
  <c r="J3243" i="3"/>
  <c r="I3243" i="3"/>
  <c r="H3243" i="3"/>
  <c r="G3243" i="3"/>
  <c r="F3243" i="3"/>
  <c r="E3243" i="3"/>
  <c r="D3243" i="3"/>
  <c r="C3243" i="3"/>
  <c r="B3243" i="3"/>
  <c r="A3243" i="3"/>
  <c r="M3242" i="3"/>
  <c r="L3242" i="3"/>
  <c r="K3242" i="3"/>
  <c r="J3242" i="3"/>
  <c r="I3242" i="3"/>
  <c r="H3242" i="3"/>
  <c r="G3242" i="3"/>
  <c r="F3242" i="3"/>
  <c r="E3242" i="3"/>
  <c r="D3242" i="3"/>
  <c r="C3242" i="3"/>
  <c r="B3242" i="3"/>
  <c r="A3242" i="3"/>
  <c r="M3241" i="3"/>
  <c r="L3241" i="3"/>
  <c r="K3241" i="3"/>
  <c r="J3241" i="3"/>
  <c r="I3241" i="3"/>
  <c r="H3241" i="3"/>
  <c r="G3241" i="3"/>
  <c r="F3241" i="3"/>
  <c r="E3241" i="3"/>
  <c r="D3241" i="3"/>
  <c r="B3241" i="3"/>
  <c r="A3241" i="3"/>
  <c r="M3240" i="3"/>
  <c r="L3240" i="3"/>
  <c r="K3240" i="3"/>
  <c r="J3240" i="3"/>
  <c r="I3240" i="3"/>
  <c r="H3240" i="3"/>
  <c r="G3240" i="3"/>
  <c r="F3240" i="3"/>
  <c r="E3240" i="3"/>
  <c r="D3240" i="3"/>
  <c r="C3240" i="3"/>
  <c r="B3240" i="3"/>
  <c r="A3240" i="3"/>
  <c r="M3239" i="3"/>
  <c r="L3239" i="3"/>
  <c r="K3239" i="3"/>
  <c r="J3239" i="3"/>
  <c r="I3239" i="3"/>
  <c r="H3239" i="3"/>
  <c r="G3239" i="3"/>
  <c r="F3239" i="3"/>
  <c r="E3239" i="3"/>
  <c r="D3239" i="3"/>
  <c r="C3239" i="3"/>
  <c r="B3239" i="3"/>
  <c r="A3239" i="3"/>
  <c r="M3238" i="3"/>
  <c r="L3238" i="3"/>
  <c r="K3238" i="3"/>
  <c r="J3238" i="3"/>
  <c r="I3238" i="3"/>
  <c r="H3238" i="3"/>
  <c r="G3238" i="3"/>
  <c r="F3238" i="3"/>
  <c r="E3238" i="3"/>
  <c r="D3238" i="3"/>
  <c r="B3238" i="3"/>
  <c r="A3238" i="3"/>
  <c r="M3237" i="3"/>
  <c r="L3237" i="3"/>
  <c r="K3237" i="3"/>
  <c r="J3237" i="3"/>
  <c r="I3237" i="3"/>
  <c r="H3237" i="3"/>
  <c r="G3237" i="3"/>
  <c r="F3237" i="3"/>
  <c r="E3237" i="3"/>
  <c r="D3237" i="3"/>
  <c r="B3237" i="3"/>
  <c r="A3237" i="3"/>
  <c r="M3236" i="3"/>
  <c r="L3236" i="3"/>
  <c r="K3236" i="3"/>
  <c r="J3236" i="3"/>
  <c r="I3236" i="3"/>
  <c r="H3236" i="3"/>
  <c r="G3236" i="3"/>
  <c r="F3236" i="3"/>
  <c r="E3236" i="3"/>
  <c r="D3236" i="3"/>
  <c r="C3236" i="3"/>
  <c r="B3236" i="3"/>
  <c r="A3236" i="3"/>
  <c r="M3235" i="3"/>
  <c r="L3235" i="3"/>
  <c r="K3235" i="3"/>
  <c r="J3235" i="3"/>
  <c r="I3235" i="3"/>
  <c r="H3235" i="3"/>
  <c r="G3235" i="3"/>
  <c r="F3235" i="3"/>
  <c r="E3235" i="3"/>
  <c r="D3235" i="3"/>
  <c r="C3235" i="3"/>
  <c r="B3235" i="3"/>
  <c r="A3235" i="3"/>
  <c r="M3234" i="3"/>
  <c r="L3234" i="3"/>
  <c r="K3234" i="3"/>
  <c r="J3234" i="3"/>
  <c r="I3234" i="3"/>
  <c r="H3234" i="3"/>
  <c r="G3234" i="3"/>
  <c r="F3234" i="3"/>
  <c r="E3234" i="3"/>
  <c r="D3234" i="3"/>
  <c r="C3234" i="3"/>
  <c r="B3234" i="3"/>
  <c r="A3234" i="3"/>
  <c r="M3233" i="3"/>
  <c r="L3233" i="3"/>
  <c r="K3233" i="3"/>
  <c r="J3233" i="3"/>
  <c r="I3233" i="3"/>
  <c r="H3233" i="3"/>
  <c r="G3233" i="3"/>
  <c r="F3233" i="3"/>
  <c r="E3233" i="3"/>
  <c r="D3233" i="3"/>
  <c r="C3233" i="3"/>
  <c r="B3233" i="3"/>
  <c r="A3233" i="3"/>
  <c r="M3232" i="3"/>
  <c r="L3232" i="3"/>
  <c r="K3232" i="3"/>
  <c r="J3232" i="3"/>
  <c r="I3232" i="3"/>
  <c r="H3232" i="3"/>
  <c r="G3232" i="3"/>
  <c r="F3232" i="3"/>
  <c r="E3232" i="3"/>
  <c r="D3232" i="3"/>
  <c r="C3232" i="3"/>
  <c r="B3232" i="3"/>
  <c r="A3232" i="3"/>
  <c r="M3231" i="3"/>
  <c r="L3231" i="3"/>
  <c r="K3231" i="3"/>
  <c r="J3231" i="3"/>
  <c r="I3231" i="3"/>
  <c r="H3231" i="3"/>
  <c r="G3231" i="3"/>
  <c r="F3231" i="3"/>
  <c r="E3231" i="3"/>
  <c r="D3231" i="3"/>
  <c r="C3231" i="3"/>
  <c r="B3231" i="3"/>
  <c r="A3231" i="3"/>
  <c r="M3230" i="3"/>
  <c r="L3230" i="3"/>
  <c r="K3230" i="3"/>
  <c r="J3230" i="3"/>
  <c r="I3230" i="3"/>
  <c r="H3230" i="3"/>
  <c r="G3230" i="3"/>
  <c r="F3230" i="3"/>
  <c r="E3230" i="3"/>
  <c r="D3230" i="3"/>
  <c r="C3230" i="3"/>
  <c r="B3230" i="3"/>
  <c r="A3230" i="3"/>
  <c r="M3229" i="3"/>
  <c r="L3229" i="3"/>
  <c r="K3229" i="3"/>
  <c r="J3229" i="3"/>
  <c r="I3229" i="3"/>
  <c r="H3229" i="3"/>
  <c r="G3229" i="3"/>
  <c r="F3229" i="3"/>
  <c r="E3229" i="3"/>
  <c r="D3229" i="3"/>
  <c r="C3229" i="3"/>
  <c r="B3229" i="3"/>
  <c r="A3229" i="3"/>
  <c r="M3228" i="3"/>
  <c r="L3228" i="3"/>
  <c r="K3228" i="3"/>
  <c r="J3228" i="3"/>
  <c r="I3228" i="3"/>
  <c r="H3228" i="3"/>
  <c r="G3228" i="3"/>
  <c r="F3228" i="3"/>
  <c r="E3228" i="3"/>
  <c r="D3228" i="3"/>
  <c r="C3228" i="3"/>
  <c r="B3228" i="3"/>
  <c r="A3228" i="3"/>
  <c r="M3227" i="3"/>
  <c r="L3227" i="3"/>
  <c r="K3227" i="3"/>
  <c r="J3227" i="3"/>
  <c r="I3227" i="3"/>
  <c r="H3227" i="3"/>
  <c r="G3227" i="3"/>
  <c r="F3227" i="3"/>
  <c r="E3227" i="3"/>
  <c r="D3227" i="3"/>
  <c r="C3227" i="3"/>
  <c r="B3227" i="3"/>
  <c r="A3227" i="3"/>
  <c r="M3226" i="3"/>
  <c r="L3226" i="3"/>
  <c r="K3226" i="3"/>
  <c r="J3226" i="3"/>
  <c r="I3226" i="3"/>
  <c r="H3226" i="3"/>
  <c r="G3226" i="3"/>
  <c r="F3226" i="3"/>
  <c r="E3226" i="3"/>
  <c r="D3226" i="3"/>
  <c r="C3226" i="3"/>
  <c r="B3226" i="3"/>
  <c r="A3226" i="3"/>
  <c r="M3225" i="3"/>
  <c r="L3225" i="3"/>
  <c r="K3225" i="3"/>
  <c r="J3225" i="3"/>
  <c r="I3225" i="3"/>
  <c r="H3225" i="3"/>
  <c r="G3225" i="3"/>
  <c r="F3225" i="3"/>
  <c r="E3225" i="3"/>
  <c r="D3225" i="3"/>
  <c r="C3225" i="3"/>
  <c r="B3225" i="3"/>
  <c r="A3225" i="3"/>
  <c r="M3224" i="3"/>
  <c r="L3224" i="3"/>
  <c r="K3224" i="3"/>
  <c r="J3224" i="3"/>
  <c r="I3224" i="3"/>
  <c r="H3224" i="3"/>
  <c r="G3224" i="3"/>
  <c r="F3224" i="3"/>
  <c r="E3224" i="3"/>
  <c r="D3224" i="3"/>
  <c r="C3224" i="3"/>
  <c r="B3224" i="3"/>
  <c r="A3224" i="3"/>
  <c r="M3223" i="3"/>
  <c r="L3223" i="3"/>
  <c r="K3223" i="3"/>
  <c r="J3223" i="3"/>
  <c r="I3223" i="3"/>
  <c r="H3223" i="3"/>
  <c r="G3223" i="3"/>
  <c r="F3223" i="3"/>
  <c r="E3223" i="3"/>
  <c r="D3223" i="3"/>
  <c r="C3223" i="3"/>
  <c r="B3223" i="3"/>
  <c r="A3223" i="3"/>
  <c r="M3222" i="3"/>
  <c r="L3222" i="3"/>
  <c r="K3222" i="3"/>
  <c r="J3222" i="3"/>
  <c r="I3222" i="3"/>
  <c r="H3222" i="3"/>
  <c r="G3222" i="3"/>
  <c r="F3222" i="3"/>
  <c r="E3222" i="3"/>
  <c r="D3222" i="3"/>
  <c r="C3222" i="3"/>
  <c r="B3222" i="3"/>
  <c r="A3222" i="3"/>
  <c r="M3221" i="3"/>
  <c r="L3221" i="3"/>
  <c r="K3221" i="3"/>
  <c r="J3221" i="3"/>
  <c r="I3221" i="3"/>
  <c r="H3221" i="3"/>
  <c r="G3221" i="3"/>
  <c r="F3221" i="3"/>
  <c r="E3221" i="3"/>
  <c r="D3221" i="3"/>
  <c r="C3221" i="3"/>
  <c r="B3221" i="3"/>
  <c r="A3221" i="3"/>
  <c r="M3220" i="3"/>
  <c r="L3220" i="3"/>
  <c r="K3220" i="3"/>
  <c r="J3220" i="3"/>
  <c r="I3220" i="3"/>
  <c r="H3220" i="3"/>
  <c r="G3220" i="3"/>
  <c r="F3220" i="3"/>
  <c r="E3220" i="3"/>
  <c r="D3220" i="3"/>
  <c r="B3220" i="3"/>
  <c r="A3220" i="3"/>
  <c r="M3219" i="3"/>
  <c r="L3219" i="3"/>
  <c r="K3219" i="3"/>
  <c r="J3219" i="3"/>
  <c r="I3219" i="3"/>
  <c r="H3219" i="3"/>
  <c r="G3219" i="3"/>
  <c r="F3219" i="3"/>
  <c r="E3219" i="3"/>
  <c r="D3219" i="3"/>
  <c r="C3219" i="3"/>
  <c r="B3219" i="3"/>
  <c r="A3219" i="3"/>
  <c r="M3218" i="3"/>
  <c r="L3218" i="3"/>
  <c r="K3218" i="3"/>
  <c r="J3218" i="3"/>
  <c r="I3218" i="3"/>
  <c r="H3218" i="3"/>
  <c r="G3218" i="3"/>
  <c r="F3218" i="3"/>
  <c r="E3218" i="3"/>
  <c r="D3218" i="3"/>
  <c r="B3218" i="3"/>
  <c r="A3218" i="3"/>
  <c r="M3217" i="3"/>
  <c r="L3217" i="3"/>
  <c r="K3217" i="3"/>
  <c r="J3217" i="3"/>
  <c r="I3217" i="3"/>
  <c r="H3217" i="3"/>
  <c r="G3217" i="3"/>
  <c r="F3217" i="3"/>
  <c r="E3217" i="3"/>
  <c r="D3217" i="3"/>
  <c r="C3217" i="3"/>
  <c r="B3217" i="3"/>
  <c r="A3217" i="3"/>
  <c r="M3216" i="3"/>
  <c r="L3216" i="3"/>
  <c r="K3216" i="3"/>
  <c r="J3216" i="3"/>
  <c r="I3216" i="3"/>
  <c r="H3216" i="3"/>
  <c r="G3216" i="3"/>
  <c r="F3216" i="3"/>
  <c r="D3216" i="3"/>
  <c r="C3216" i="3"/>
  <c r="B3216" i="3"/>
  <c r="A3216" i="3"/>
  <c r="M3215" i="3"/>
  <c r="L3215" i="3"/>
  <c r="K3215" i="3"/>
  <c r="J3215" i="3"/>
  <c r="I3215" i="3"/>
  <c r="H3215" i="3"/>
  <c r="G3215" i="3"/>
  <c r="F3215" i="3"/>
  <c r="E3215" i="3"/>
  <c r="D3215" i="3"/>
  <c r="C3215" i="3"/>
  <c r="B3215" i="3"/>
  <c r="A3215" i="3"/>
  <c r="M3214" i="3"/>
  <c r="L3214" i="3"/>
  <c r="K3214" i="3"/>
  <c r="J3214" i="3"/>
  <c r="I3214" i="3"/>
  <c r="H3214" i="3"/>
  <c r="G3214" i="3"/>
  <c r="F3214" i="3"/>
  <c r="E3214" i="3"/>
  <c r="D3214" i="3"/>
  <c r="C3214" i="3"/>
  <c r="B3214" i="3"/>
  <c r="A3214" i="3"/>
  <c r="M3213" i="3"/>
  <c r="L3213" i="3"/>
  <c r="K3213" i="3"/>
  <c r="J3213" i="3"/>
  <c r="I3213" i="3"/>
  <c r="H3213" i="3"/>
  <c r="G3213" i="3"/>
  <c r="F3213" i="3"/>
  <c r="E3213" i="3"/>
  <c r="D3213" i="3"/>
  <c r="C3213" i="3"/>
  <c r="B3213" i="3"/>
  <c r="A3213" i="3"/>
  <c r="M3212" i="3"/>
  <c r="L3212" i="3"/>
  <c r="K3212" i="3"/>
  <c r="J3212" i="3"/>
  <c r="I3212" i="3"/>
  <c r="H3212" i="3"/>
  <c r="G3212" i="3"/>
  <c r="F3212" i="3"/>
  <c r="E3212" i="3"/>
  <c r="D3212" i="3"/>
  <c r="C3212" i="3"/>
  <c r="B3212" i="3"/>
  <c r="A3212" i="3"/>
  <c r="M3211" i="3"/>
  <c r="L3211" i="3"/>
  <c r="K3211" i="3"/>
  <c r="J3211" i="3"/>
  <c r="I3211" i="3"/>
  <c r="H3211" i="3"/>
  <c r="G3211" i="3"/>
  <c r="F3211" i="3"/>
  <c r="E3211" i="3"/>
  <c r="D3211" i="3"/>
  <c r="C3211" i="3"/>
  <c r="B3211" i="3"/>
  <c r="A3211" i="3"/>
  <c r="M3210" i="3"/>
  <c r="L3210" i="3"/>
  <c r="K3210" i="3"/>
  <c r="J3210" i="3"/>
  <c r="I3210" i="3"/>
  <c r="H3210" i="3"/>
  <c r="G3210" i="3"/>
  <c r="F3210" i="3"/>
  <c r="E3210" i="3"/>
  <c r="D3210" i="3"/>
  <c r="C3210" i="3"/>
  <c r="B3210" i="3"/>
  <c r="A3210" i="3"/>
  <c r="M3209" i="3"/>
  <c r="L3209" i="3"/>
  <c r="K3209" i="3"/>
  <c r="J3209" i="3"/>
  <c r="I3209" i="3"/>
  <c r="H3209" i="3"/>
  <c r="G3209" i="3"/>
  <c r="F3209" i="3"/>
  <c r="E3209" i="3"/>
  <c r="D3209" i="3"/>
  <c r="C3209" i="3"/>
  <c r="B3209" i="3"/>
  <c r="A3209" i="3"/>
  <c r="M3208" i="3"/>
  <c r="L3208" i="3"/>
  <c r="K3208" i="3"/>
  <c r="J3208" i="3"/>
  <c r="I3208" i="3"/>
  <c r="H3208" i="3"/>
  <c r="G3208" i="3"/>
  <c r="F3208" i="3"/>
  <c r="D3208" i="3"/>
  <c r="C3208" i="3"/>
  <c r="B3208" i="3"/>
  <c r="A3208" i="3"/>
  <c r="M3207" i="3"/>
  <c r="L3207" i="3"/>
  <c r="K3207" i="3"/>
  <c r="J3207" i="3"/>
  <c r="I3207" i="3"/>
  <c r="H3207" i="3"/>
  <c r="G3207" i="3"/>
  <c r="F3207" i="3"/>
  <c r="E3207" i="3"/>
  <c r="D3207" i="3"/>
  <c r="C3207" i="3"/>
  <c r="B3207" i="3"/>
  <c r="A3207" i="3"/>
  <c r="M3206" i="3"/>
  <c r="L3206" i="3"/>
  <c r="K3206" i="3"/>
  <c r="J3206" i="3"/>
  <c r="I3206" i="3"/>
  <c r="H3206" i="3"/>
  <c r="G3206" i="3"/>
  <c r="F3206" i="3"/>
  <c r="E3206" i="3"/>
  <c r="D3206" i="3"/>
  <c r="C3206" i="3"/>
  <c r="B3206" i="3"/>
  <c r="A3206" i="3"/>
  <c r="M3205" i="3"/>
  <c r="L3205" i="3"/>
  <c r="K3205" i="3"/>
  <c r="J3205" i="3"/>
  <c r="I3205" i="3"/>
  <c r="H3205" i="3"/>
  <c r="G3205" i="3"/>
  <c r="F3205" i="3"/>
  <c r="D3205" i="3"/>
  <c r="C3205" i="3"/>
  <c r="B3205" i="3"/>
  <c r="A3205" i="3"/>
  <c r="M3204" i="3"/>
  <c r="L3204" i="3"/>
  <c r="K3204" i="3"/>
  <c r="J3204" i="3"/>
  <c r="I3204" i="3"/>
  <c r="H3204" i="3"/>
  <c r="G3204" i="3"/>
  <c r="F3204" i="3"/>
  <c r="E3204" i="3"/>
  <c r="D3204" i="3"/>
  <c r="C3204" i="3"/>
  <c r="B3204" i="3"/>
  <c r="A3204" i="3"/>
  <c r="M3203" i="3"/>
  <c r="L3203" i="3"/>
  <c r="K3203" i="3"/>
  <c r="J3203" i="3"/>
  <c r="I3203" i="3"/>
  <c r="H3203" i="3"/>
  <c r="G3203" i="3"/>
  <c r="F3203" i="3"/>
  <c r="E3203" i="3"/>
  <c r="D3203" i="3"/>
  <c r="C3203" i="3"/>
  <c r="B3203" i="3"/>
  <c r="A3203" i="3"/>
  <c r="M3202" i="3"/>
  <c r="L3202" i="3"/>
  <c r="K3202" i="3"/>
  <c r="J3202" i="3"/>
  <c r="I3202" i="3"/>
  <c r="H3202" i="3"/>
  <c r="G3202" i="3"/>
  <c r="F3202" i="3"/>
  <c r="E3202" i="3"/>
  <c r="D3202" i="3"/>
  <c r="B3202" i="3"/>
  <c r="A3202" i="3"/>
  <c r="M3201" i="3"/>
  <c r="L3201" i="3"/>
  <c r="K3201" i="3"/>
  <c r="J3201" i="3"/>
  <c r="I3201" i="3"/>
  <c r="H3201" i="3"/>
  <c r="G3201" i="3"/>
  <c r="F3201" i="3"/>
  <c r="E3201" i="3"/>
  <c r="D3201" i="3"/>
  <c r="C3201" i="3"/>
  <c r="B3201" i="3"/>
  <c r="A3201" i="3"/>
  <c r="M3200" i="3"/>
  <c r="L3200" i="3"/>
  <c r="K3200" i="3"/>
  <c r="J3200" i="3"/>
  <c r="I3200" i="3"/>
  <c r="H3200" i="3"/>
  <c r="G3200" i="3"/>
  <c r="F3200" i="3"/>
  <c r="E3200" i="3"/>
  <c r="D3200" i="3"/>
  <c r="C3200" i="3"/>
  <c r="B3200" i="3"/>
  <c r="A3200" i="3"/>
  <c r="M3199" i="3"/>
  <c r="L3199" i="3"/>
  <c r="K3199" i="3"/>
  <c r="J3199" i="3"/>
  <c r="I3199" i="3"/>
  <c r="H3199" i="3"/>
  <c r="G3199" i="3"/>
  <c r="F3199" i="3"/>
  <c r="E3199" i="3"/>
  <c r="D3199" i="3"/>
  <c r="C3199" i="3"/>
  <c r="B3199" i="3"/>
  <c r="A3199" i="3"/>
  <c r="M3198" i="3"/>
  <c r="L3198" i="3"/>
  <c r="K3198" i="3"/>
  <c r="J3198" i="3"/>
  <c r="I3198" i="3"/>
  <c r="H3198" i="3"/>
  <c r="G3198" i="3"/>
  <c r="F3198" i="3"/>
  <c r="E3198" i="3"/>
  <c r="D3198" i="3"/>
  <c r="C3198" i="3"/>
  <c r="B3198" i="3"/>
  <c r="A3198" i="3"/>
  <c r="M3197" i="3"/>
  <c r="L3197" i="3"/>
  <c r="K3197" i="3"/>
  <c r="J3197" i="3"/>
  <c r="I3197" i="3"/>
  <c r="H3197" i="3"/>
  <c r="G3197" i="3"/>
  <c r="F3197" i="3"/>
  <c r="E3197" i="3"/>
  <c r="D3197" i="3"/>
  <c r="C3197" i="3"/>
  <c r="B3197" i="3"/>
  <c r="A3197" i="3"/>
  <c r="M3196" i="3"/>
  <c r="L3196" i="3"/>
  <c r="K3196" i="3"/>
  <c r="J3196" i="3"/>
  <c r="I3196" i="3"/>
  <c r="H3196" i="3"/>
  <c r="F3196" i="3"/>
  <c r="E3196" i="3"/>
  <c r="D3196" i="3"/>
  <c r="C3196" i="3"/>
  <c r="B3196" i="3"/>
  <c r="A3196" i="3"/>
  <c r="M3195" i="3"/>
  <c r="L3195" i="3"/>
  <c r="K3195" i="3"/>
  <c r="J3195" i="3"/>
  <c r="I3195" i="3"/>
  <c r="H3195" i="3"/>
  <c r="G3195" i="3"/>
  <c r="F3195" i="3"/>
  <c r="E3195" i="3"/>
  <c r="D3195" i="3"/>
  <c r="B3195" i="3"/>
  <c r="A3195" i="3"/>
  <c r="M3194" i="3"/>
  <c r="L3194" i="3"/>
  <c r="K3194" i="3"/>
  <c r="J3194" i="3"/>
  <c r="I3194" i="3"/>
  <c r="H3194" i="3"/>
  <c r="G3194" i="3"/>
  <c r="F3194" i="3"/>
  <c r="E3194" i="3"/>
  <c r="D3194" i="3"/>
  <c r="C3194" i="3"/>
  <c r="B3194" i="3"/>
  <c r="A3194" i="3"/>
  <c r="M3193" i="3"/>
  <c r="L3193" i="3"/>
  <c r="K3193" i="3"/>
  <c r="J3193" i="3"/>
  <c r="I3193" i="3"/>
  <c r="H3193" i="3"/>
  <c r="G3193" i="3"/>
  <c r="F3193" i="3"/>
  <c r="E3193" i="3"/>
  <c r="D3193" i="3"/>
  <c r="C3193" i="3"/>
  <c r="B3193" i="3"/>
  <c r="A3193" i="3"/>
  <c r="M3192" i="3"/>
  <c r="L3192" i="3"/>
  <c r="K3192" i="3"/>
  <c r="J3192" i="3"/>
  <c r="I3192" i="3"/>
  <c r="H3192" i="3"/>
  <c r="G3192" i="3"/>
  <c r="F3192" i="3"/>
  <c r="E3192" i="3"/>
  <c r="D3192" i="3"/>
  <c r="B3192" i="3"/>
  <c r="A3192" i="3"/>
  <c r="M3191" i="3"/>
  <c r="L3191" i="3"/>
  <c r="K3191" i="3"/>
  <c r="J3191" i="3"/>
  <c r="I3191" i="3"/>
  <c r="H3191" i="3"/>
  <c r="F3191" i="3"/>
  <c r="E3191" i="3"/>
  <c r="D3191" i="3"/>
  <c r="B3191" i="3"/>
  <c r="A3191" i="3"/>
  <c r="M3190" i="3"/>
  <c r="L3190" i="3"/>
  <c r="K3190" i="3"/>
  <c r="J3190" i="3"/>
  <c r="I3190" i="3"/>
  <c r="H3190" i="3"/>
  <c r="F3190" i="3"/>
  <c r="E3190" i="3"/>
  <c r="D3190" i="3"/>
  <c r="C3190" i="3"/>
  <c r="B3190" i="3"/>
  <c r="A3190" i="3"/>
  <c r="M3189" i="3"/>
  <c r="L3189" i="3"/>
  <c r="K3189" i="3"/>
  <c r="J3189" i="3"/>
  <c r="I3189" i="3"/>
  <c r="H3189" i="3"/>
  <c r="G3189" i="3"/>
  <c r="F3189" i="3"/>
  <c r="E3189" i="3"/>
  <c r="D3189" i="3"/>
  <c r="C3189" i="3"/>
  <c r="B3189" i="3"/>
  <c r="A3189" i="3"/>
  <c r="M3188" i="3"/>
  <c r="L3188" i="3"/>
  <c r="K3188" i="3"/>
  <c r="J3188" i="3"/>
  <c r="I3188" i="3"/>
  <c r="H3188" i="3"/>
  <c r="G3188" i="3"/>
  <c r="F3188" i="3"/>
  <c r="E3188" i="3"/>
  <c r="D3188" i="3"/>
  <c r="C3188" i="3"/>
  <c r="B3188" i="3"/>
  <c r="A3188" i="3"/>
  <c r="M3187" i="3"/>
  <c r="L3187" i="3"/>
  <c r="K3187" i="3"/>
  <c r="J3187" i="3"/>
  <c r="I3187" i="3"/>
  <c r="H3187" i="3"/>
  <c r="G3187" i="3"/>
  <c r="F3187" i="3"/>
  <c r="E3187" i="3"/>
  <c r="D3187" i="3"/>
  <c r="C3187" i="3"/>
  <c r="B3187" i="3"/>
  <c r="A3187" i="3"/>
  <c r="M3186" i="3"/>
  <c r="L3186" i="3"/>
  <c r="K3186" i="3"/>
  <c r="J3186" i="3"/>
  <c r="I3186" i="3"/>
  <c r="H3186" i="3"/>
  <c r="G3186" i="3"/>
  <c r="F3186" i="3"/>
  <c r="E3186" i="3"/>
  <c r="D3186" i="3"/>
  <c r="B3186" i="3"/>
  <c r="A3186" i="3"/>
  <c r="M3185" i="3"/>
  <c r="L3185" i="3"/>
  <c r="K3185" i="3"/>
  <c r="J3185" i="3"/>
  <c r="I3185" i="3"/>
  <c r="H3185" i="3"/>
  <c r="G3185" i="3"/>
  <c r="F3185" i="3"/>
  <c r="E3185" i="3"/>
  <c r="D3185" i="3"/>
  <c r="C3185" i="3"/>
  <c r="B3185" i="3"/>
  <c r="A3185" i="3"/>
  <c r="M3184" i="3"/>
  <c r="L3184" i="3"/>
  <c r="K3184" i="3"/>
  <c r="J3184" i="3"/>
  <c r="I3184" i="3"/>
  <c r="H3184" i="3"/>
  <c r="F3184" i="3"/>
  <c r="D3184" i="3"/>
  <c r="C3184" i="3"/>
  <c r="B3184" i="3"/>
  <c r="A3184" i="3"/>
  <c r="M3183" i="3"/>
  <c r="L3183" i="3"/>
  <c r="K3183" i="3"/>
  <c r="J3183" i="3"/>
  <c r="I3183" i="3"/>
  <c r="H3183" i="3"/>
  <c r="F3183" i="3"/>
  <c r="E3183" i="3"/>
  <c r="D3183" i="3"/>
  <c r="C3183" i="3"/>
  <c r="B3183" i="3"/>
  <c r="A3183" i="3"/>
  <c r="M3182" i="3"/>
  <c r="L3182" i="3"/>
  <c r="K3182" i="3"/>
  <c r="J3182" i="3"/>
  <c r="I3182" i="3"/>
  <c r="H3182" i="3"/>
  <c r="G3182" i="3"/>
  <c r="F3182" i="3"/>
  <c r="D3182" i="3"/>
  <c r="C3182" i="3"/>
  <c r="B3182" i="3"/>
  <c r="A3182" i="3"/>
  <c r="M3181" i="3"/>
  <c r="L3181" i="3"/>
  <c r="K3181" i="3"/>
  <c r="J3181" i="3"/>
  <c r="I3181" i="3"/>
  <c r="H3181" i="3"/>
  <c r="G3181" i="3"/>
  <c r="F3181" i="3"/>
  <c r="E3181" i="3"/>
  <c r="D3181" i="3"/>
  <c r="C3181" i="3"/>
  <c r="B3181" i="3"/>
  <c r="A3181" i="3"/>
  <c r="M3180" i="3"/>
  <c r="L3180" i="3"/>
  <c r="K3180" i="3"/>
  <c r="J3180" i="3"/>
  <c r="I3180" i="3"/>
  <c r="H3180" i="3"/>
  <c r="G3180" i="3"/>
  <c r="F3180" i="3"/>
  <c r="E3180" i="3"/>
  <c r="D3180" i="3"/>
  <c r="C3180" i="3"/>
  <c r="B3180" i="3"/>
  <c r="A3180" i="3"/>
  <c r="M3179" i="3"/>
  <c r="L3179" i="3"/>
  <c r="K3179" i="3"/>
  <c r="J3179" i="3"/>
  <c r="I3179" i="3"/>
  <c r="H3179" i="3"/>
  <c r="G3179" i="3"/>
  <c r="F3179" i="3"/>
  <c r="E3179" i="3"/>
  <c r="D3179" i="3"/>
  <c r="C3179" i="3"/>
  <c r="B3179" i="3"/>
  <c r="A3179" i="3"/>
  <c r="M3178" i="3"/>
  <c r="L3178" i="3"/>
  <c r="K3178" i="3"/>
  <c r="J3178" i="3"/>
  <c r="I3178" i="3"/>
  <c r="H3178" i="3"/>
  <c r="G3178" i="3"/>
  <c r="F3178" i="3"/>
  <c r="E3178" i="3"/>
  <c r="D3178" i="3"/>
  <c r="C3178" i="3"/>
  <c r="B3178" i="3"/>
  <c r="A3178" i="3"/>
  <c r="M3177" i="3"/>
  <c r="L3177" i="3"/>
  <c r="K3177" i="3"/>
  <c r="J3177" i="3"/>
  <c r="I3177" i="3"/>
  <c r="H3177" i="3"/>
  <c r="G3177" i="3"/>
  <c r="F3177" i="3"/>
  <c r="E3177" i="3"/>
  <c r="D3177" i="3"/>
  <c r="C3177" i="3"/>
  <c r="B3177" i="3"/>
  <c r="A3177" i="3"/>
  <c r="M3176" i="3"/>
  <c r="L3176" i="3"/>
  <c r="K3176" i="3"/>
  <c r="J3176" i="3"/>
  <c r="I3176" i="3"/>
  <c r="H3176" i="3"/>
  <c r="G3176" i="3"/>
  <c r="F3176" i="3"/>
  <c r="E3176" i="3"/>
  <c r="D3176" i="3"/>
  <c r="B3176" i="3"/>
  <c r="A3176" i="3"/>
  <c r="M3175" i="3"/>
  <c r="L3175" i="3"/>
  <c r="K3175" i="3"/>
  <c r="J3175" i="3"/>
  <c r="I3175" i="3"/>
  <c r="H3175" i="3"/>
  <c r="G3175" i="3"/>
  <c r="F3175" i="3"/>
  <c r="E3175" i="3"/>
  <c r="D3175" i="3"/>
  <c r="B3175" i="3"/>
  <c r="A3175" i="3"/>
  <c r="M3174" i="3"/>
  <c r="L3174" i="3"/>
  <c r="K3174" i="3"/>
  <c r="J3174" i="3"/>
  <c r="I3174" i="3"/>
  <c r="H3174" i="3"/>
  <c r="G3174" i="3"/>
  <c r="F3174" i="3"/>
  <c r="E3174" i="3"/>
  <c r="D3174" i="3"/>
  <c r="C3174" i="3"/>
  <c r="B3174" i="3"/>
  <c r="A3174" i="3"/>
  <c r="M3173" i="3"/>
  <c r="L3173" i="3"/>
  <c r="K3173" i="3"/>
  <c r="J3173" i="3"/>
  <c r="I3173" i="3"/>
  <c r="H3173" i="3"/>
  <c r="G3173" i="3"/>
  <c r="F3173" i="3"/>
  <c r="D3173" i="3"/>
  <c r="C3173" i="3"/>
  <c r="B3173" i="3"/>
  <c r="A3173" i="3"/>
  <c r="M3172" i="3"/>
  <c r="L3172" i="3"/>
  <c r="K3172" i="3"/>
  <c r="J3172" i="3"/>
  <c r="I3172" i="3"/>
  <c r="H3172" i="3"/>
  <c r="G3172" i="3"/>
  <c r="F3172" i="3"/>
  <c r="E3172" i="3"/>
  <c r="D3172" i="3"/>
  <c r="C3172" i="3"/>
  <c r="B3172" i="3"/>
  <c r="A3172" i="3"/>
  <c r="M3171" i="3"/>
  <c r="L3171" i="3"/>
  <c r="K3171" i="3"/>
  <c r="J3171" i="3"/>
  <c r="I3171" i="3"/>
  <c r="H3171" i="3"/>
  <c r="G3171" i="3"/>
  <c r="F3171" i="3"/>
  <c r="E3171" i="3"/>
  <c r="D3171" i="3"/>
  <c r="C3171" i="3"/>
  <c r="B3171" i="3"/>
  <c r="A3171" i="3"/>
  <c r="M3170" i="3"/>
  <c r="L3170" i="3"/>
  <c r="K3170" i="3"/>
  <c r="J3170" i="3"/>
  <c r="I3170" i="3"/>
  <c r="H3170" i="3"/>
  <c r="G3170" i="3"/>
  <c r="F3170" i="3"/>
  <c r="E3170" i="3"/>
  <c r="D3170" i="3"/>
  <c r="B3170" i="3"/>
  <c r="A3170" i="3"/>
  <c r="M3169" i="3"/>
  <c r="L3169" i="3"/>
  <c r="K3169" i="3"/>
  <c r="J3169" i="3"/>
  <c r="I3169" i="3"/>
  <c r="H3169" i="3"/>
  <c r="G3169" i="3"/>
  <c r="F3169" i="3"/>
  <c r="E3169" i="3"/>
  <c r="D3169" i="3"/>
  <c r="C3169" i="3"/>
  <c r="B3169" i="3"/>
  <c r="A3169" i="3"/>
  <c r="M3168" i="3"/>
  <c r="L3168" i="3"/>
  <c r="K3168" i="3"/>
  <c r="J3168" i="3"/>
  <c r="I3168" i="3"/>
  <c r="H3168" i="3"/>
  <c r="G3168" i="3"/>
  <c r="F3168" i="3"/>
  <c r="E3168" i="3"/>
  <c r="D3168" i="3"/>
  <c r="C3168" i="3"/>
  <c r="B3168" i="3"/>
  <c r="A3168" i="3"/>
  <c r="M3167" i="3"/>
  <c r="L3167" i="3"/>
  <c r="K3167" i="3"/>
  <c r="J3167" i="3"/>
  <c r="I3167" i="3"/>
  <c r="H3167" i="3"/>
  <c r="G3167" i="3"/>
  <c r="F3167" i="3"/>
  <c r="E3167" i="3"/>
  <c r="D3167" i="3"/>
  <c r="C3167" i="3"/>
  <c r="B3167" i="3"/>
  <c r="A3167" i="3"/>
  <c r="M3166" i="3"/>
  <c r="L3166" i="3"/>
  <c r="K3166" i="3"/>
  <c r="J3166" i="3"/>
  <c r="I3166" i="3"/>
  <c r="H3166" i="3"/>
  <c r="G3166" i="3"/>
  <c r="F3166" i="3"/>
  <c r="E3166" i="3"/>
  <c r="D3166" i="3"/>
  <c r="C3166" i="3"/>
  <c r="B3166" i="3"/>
  <c r="A3166" i="3"/>
  <c r="M3165" i="3"/>
  <c r="L3165" i="3"/>
  <c r="K3165" i="3"/>
  <c r="J3165" i="3"/>
  <c r="I3165" i="3"/>
  <c r="H3165" i="3"/>
  <c r="G3165" i="3"/>
  <c r="F3165" i="3"/>
  <c r="E3165" i="3"/>
  <c r="D3165" i="3"/>
  <c r="C3165" i="3"/>
  <c r="B3165" i="3"/>
  <c r="A3165" i="3"/>
  <c r="M3164" i="3"/>
  <c r="L3164" i="3"/>
  <c r="K3164" i="3"/>
  <c r="J3164" i="3"/>
  <c r="I3164" i="3"/>
  <c r="H3164" i="3"/>
  <c r="G3164" i="3"/>
  <c r="F3164" i="3"/>
  <c r="E3164" i="3"/>
  <c r="D3164" i="3"/>
  <c r="C3164" i="3"/>
  <c r="B3164" i="3"/>
  <c r="A3164" i="3"/>
  <c r="M3163" i="3"/>
  <c r="L3163" i="3"/>
  <c r="K3163" i="3"/>
  <c r="J3163" i="3"/>
  <c r="I3163" i="3"/>
  <c r="H3163" i="3"/>
  <c r="G3163" i="3"/>
  <c r="F3163" i="3"/>
  <c r="E3163" i="3"/>
  <c r="D3163" i="3"/>
  <c r="C3163" i="3"/>
  <c r="B3163" i="3"/>
  <c r="A3163" i="3"/>
  <c r="M3162" i="3"/>
  <c r="L3162" i="3"/>
  <c r="K3162" i="3"/>
  <c r="J3162" i="3"/>
  <c r="I3162" i="3"/>
  <c r="H3162" i="3"/>
  <c r="G3162" i="3"/>
  <c r="F3162" i="3"/>
  <c r="E3162" i="3"/>
  <c r="D3162" i="3"/>
  <c r="C3162" i="3"/>
  <c r="B3162" i="3"/>
  <c r="A3162" i="3"/>
  <c r="M3161" i="3"/>
  <c r="L3161" i="3"/>
  <c r="K3161" i="3"/>
  <c r="J3161" i="3"/>
  <c r="I3161" i="3"/>
  <c r="H3161" i="3"/>
  <c r="G3161" i="3"/>
  <c r="F3161" i="3"/>
  <c r="E3161" i="3"/>
  <c r="D3161" i="3"/>
  <c r="C3161" i="3"/>
  <c r="B3161" i="3"/>
  <c r="A3161" i="3"/>
  <c r="M3160" i="3"/>
  <c r="L3160" i="3"/>
  <c r="K3160" i="3"/>
  <c r="J3160" i="3"/>
  <c r="I3160" i="3"/>
  <c r="H3160" i="3"/>
  <c r="G3160" i="3"/>
  <c r="F3160" i="3"/>
  <c r="E3160" i="3"/>
  <c r="D3160" i="3"/>
  <c r="C3160" i="3"/>
  <c r="B3160" i="3"/>
  <c r="A3160" i="3"/>
  <c r="M3159" i="3"/>
  <c r="L3159" i="3"/>
  <c r="K3159" i="3"/>
  <c r="J3159" i="3"/>
  <c r="I3159" i="3"/>
  <c r="H3159" i="3"/>
  <c r="G3159" i="3"/>
  <c r="F3159" i="3"/>
  <c r="E3159" i="3"/>
  <c r="D3159" i="3"/>
  <c r="C3159" i="3"/>
  <c r="B3159" i="3"/>
  <c r="A3159" i="3"/>
  <c r="M3158" i="3"/>
  <c r="L3158" i="3"/>
  <c r="K3158" i="3"/>
  <c r="J3158" i="3"/>
  <c r="I3158" i="3"/>
  <c r="H3158" i="3"/>
  <c r="G3158" i="3"/>
  <c r="F3158" i="3"/>
  <c r="E3158" i="3"/>
  <c r="D3158" i="3"/>
  <c r="C3158" i="3"/>
  <c r="B3158" i="3"/>
  <c r="A3158" i="3"/>
  <c r="M3157" i="3"/>
  <c r="L3157" i="3"/>
  <c r="K3157" i="3"/>
  <c r="J3157" i="3"/>
  <c r="I3157" i="3"/>
  <c r="H3157" i="3"/>
  <c r="G3157" i="3"/>
  <c r="F3157" i="3"/>
  <c r="E3157" i="3"/>
  <c r="D3157" i="3"/>
  <c r="C3157" i="3"/>
  <c r="B3157" i="3"/>
  <c r="A3157" i="3"/>
  <c r="M3156" i="3"/>
  <c r="L3156" i="3"/>
  <c r="K3156" i="3"/>
  <c r="J3156" i="3"/>
  <c r="I3156" i="3"/>
  <c r="H3156" i="3"/>
  <c r="G3156" i="3"/>
  <c r="F3156" i="3"/>
  <c r="E3156" i="3"/>
  <c r="D3156" i="3"/>
  <c r="C3156" i="3"/>
  <c r="B3156" i="3"/>
  <c r="A3156" i="3"/>
  <c r="M3155" i="3"/>
  <c r="L3155" i="3"/>
  <c r="K3155" i="3"/>
  <c r="J3155" i="3"/>
  <c r="I3155" i="3"/>
  <c r="H3155" i="3"/>
  <c r="G3155" i="3"/>
  <c r="F3155" i="3"/>
  <c r="E3155" i="3"/>
  <c r="D3155" i="3"/>
  <c r="C3155" i="3"/>
  <c r="B3155" i="3"/>
  <c r="A3155" i="3"/>
  <c r="M3154" i="3"/>
  <c r="L3154" i="3"/>
  <c r="K3154" i="3"/>
  <c r="J3154" i="3"/>
  <c r="I3154" i="3"/>
  <c r="H3154" i="3"/>
  <c r="G3154" i="3"/>
  <c r="F3154" i="3"/>
  <c r="E3154" i="3"/>
  <c r="D3154" i="3"/>
  <c r="C3154" i="3"/>
  <c r="B3154" i="3"/>
  <c r="A3154" i="3"/>
  <c r="M3153" i="3"/>
  <c r="L3153" i="3"/>
  <c r="K3153" i="3"/>
  <c r="J3153" i="3"/>
  <c r="I3153" i="3"/>
  <c r="H3153" i="3"/>
  <c r="G3153" i="3"/>
  <c r="F3153" i="3"/>
  <c r="E3153" i="3"/>
  <c r="D3153" i="3"/>
  <c r="C3153" i="3"/>
  <c r="B3153" i="3"/>
  <c r="A3153" i="3"/>
  <c r="M3152" i="3"/>
  <c r="L3152" i="3"/>
  <c r="K3152" i="3"/>
  <c r="J3152" i="3"/>
  <c r="I3152" i="3"/>
  <c r="H3152" i="3"/>
  <c r="G3152" i="3"/>
  <c r="F3152" i="3"/>
  <c r="E3152" i="3"/>
  <c r="D3152" i="3"/>
  <c r="C3152" i="3"/>
  <c r="B3152" i="3"/>
  <c r="A3152" i="3"/>
  <c r="M3151" i="3"/>
  <c r="L3151" i="3"/>
  <c r="K3151" i="3"/>
  <c r="J3151" i="3"/>
  <c r="I3151" i="3"/>
  <c r="H3151" i="3"/>
  <c r="G3151" i="3"/>
  <c r="F3151" i="3"/>
  <c r="E3151" i="3"/>
  <c r="D3151" i="3"/>
  <c r="C3151" i="3"/>
  <c r="B3151" i="3"/>
  <c r="A3151" i="3"/>
  <c r="M3150" i="3"/>
  <c r="L3150" i="3"/>
  <c r="K3150" i="3"/>
  <c r="J3150" i="3"/>
  <c r="I3150" i="3"/>
  <c r="H3150" i="3"/>
  <c r="G3150" i="3"/>
  <c r="F3150" i="3"/>
  <c r="E3150" i="3"/>
  <c r="D3150" i="3"/>
  <c r="C3150" i="3"/>
  <c r="B3150" i="3"/>
  <c r="A3150" i="3"/>
  <c r="M3149" i="3"/>
  <c r="L3149" i="3"/>
  <c r="K3149" i="3"/>
  <c r="J3149" i="3"/>
  <c r="I3149" i="3"/>
  <c r="H3149" i="3"/>
  <c r="G3149" i="3"/>
  <c r="F3149" i="3"/>
  <c r="E3149" i="3"/>
  <c r="D3149" i="3"/>
  <c r="C3149" i="3"/>
  <c r="B3149" i="3"/>
  <c r="A3149" i="3"/>
  <c r="M3148" i="3"/>
  <c r="L3148" i="3"/>
  <c r="K3148" i="3"/>
  <c r="J3148" i="3"/>
  <c r="I3148" i="3"/>
  <c r="H3148" i="3"/>
  <c r="G3148" i="3"/>
  <c r="F3148" i="3"/>
  <c r="E3148" i="3"/>
  <c r="D3148" i="3"/>
  <c r="C3148" i="3"/>
  <c r="B3148" i="3"/>
  <c r="A3148" i="3"/>
  <c r="M3147" i="3"/>
  <c r="L3147" i="3"/>
  <c r="K3147" i="3"/>
  <c r="J3147" i="3"/>
  <c r="I3147" i="3"/>
  <c r="H3147" i="3"/>
  <c r="G3147" i="3"/>
  <c r="F3147" i="3"/>
  <c r="E3147" i="3"/>
  <c r="D3147" i="3"/>
  <c r="C3147" i="3"/>
  <c r="B3147" i="3"/>
  <c r="A3147" i="3"/>
  <c r="M3146" i="3"/>
  <c r="L3146" i="3"/>
  <c r="K3146" i="3"/>
  <c r="J3146" i="3"/>
  <c r="I3146" i="3"/>
  <c r="H3146" i="3"/>
  <c r="G3146" i="3"/>
  <c r="E3146" i="3"/>
  <c r="D3146" i="3"/>
  <c r="C3146" i="3"/>
  <c r="B3146" i="3"/>
  <c r="A3146" i="3"/>
  <c r="M3145" i="3"/>
  <c r="L3145" i="3"/>
  <c r="K3145" i="3"/>
  <c r="J3145" i="3"/>
  <c r="I3145" i="3"/>
  <c r="H3145" i="3"/>
  <c r="G3145" i="3"/>
  <c r="F3145" i="3"/>
  <c r="E3145" i="3"/>
  <c r="D3145" i="3"/>
  <c r="C3145" i="3"/>
  <c r="B3145" i="3"/>
  <c r="A3145" i="3"/>
  <c r="M3144" i="3"/>
  <c r="L3144" i="3"/>
  <c r="K3144" i="3"/>
  <c r="J3144" i="3"/>
  <c r="I3144" i="3"/>
  <c r="H3144" i="3"/>
  <c r="G3144" i="3"/>
  <c r="F3144" i="3"/>
  <c r="E3144" i="3"/>
  <c r="D3144" i="3"/>
  <c r="C3144" i="3"/>
  <c r="B3144" i="3"/>
  <c r="A3144" i="3"/>
  <c r="M3143" i="3"/>
  <c r="L3143" i="3"/>
  <c r="K3143" i="3"/>
  <c r="J3143" i="3"/>
  <c r="I3143" i="3"/>
  <c r="H3143" i="3"/>
  <c r="G3143" i="3"/>
  <c r="F3143" i="3"/>
  <c r="E3143" i="3"/>
  <c r="D3143" i="3"/>
  <c r="B3143" i="3"/>
  <c r="A3143" i="3"/>
  <c r="M3142" i="3"/>
  <c r="L3142" i="3"/>
  <c r="K3142" i="3"/>
  <c r="J3142" i="3"/>
  <c r="I3142" i="3"/>
  <c r="H3142" i="3"/>
  <c r="G3142" i="3"/>
  <c r="F3142" i="3"/>
  <c r="E3142" i="3"/>
  <c r="D3142" i="3"/>
  <c r="C3142" i="3"/>
  <c r="B3142" i="3"/>
  <c r="A3142" i="3"/>
  <c r="M3141" i="3"/>
  <c r="L3141" i="3"/>
  <c r="K3141" i="3"/>
  <c r="J3141" i="3"/>
  <c r="I3141" i="3"/>
  <c r="H3141" i="3"/>
  <c r="G3141" i="3"/>
  <c r="F3141" i="3"/>
  <c r="E3141" i="3"/>
  <c r="D3141" i="3"/>
  <c r="C3141" i="3"/>
  <c r="B3141" i="3"/>
  <c r="A3141" i="3"/>
  <c r="M3140" i="3"/>
  <c r="L3140" i="3"/>
  <c r="K3140" i="3"/>
  <c r="J3140" i="3"/>
  <c r="I3140" i="3"/>
  <c r="H3140" i="3"/>
  <c r="G3140" i="3"/>
  <c r="F3140" i="3"/>
  <c r="E3140" i="3"/>
  <c r="D3140" i="3"/>
  <c r="C3140" i="3"/>
  <c r="B3140" i="3"/>
  <c r="A3140" i="3"/>
  <c r="M3139" i="3"/>
  <c r="L3139" i="3"/>
  <c r="K3139" i="3"/>
  <c r="J3139" i="3"/>
  <c r="I3139" i="3"/>
  <c r="H3139" i="3"/>
  <c r="G3139" i="3"/>
  <c r="F3139" i="3"/>
  <c r="D3139" i="3"/>
  <c r="C3139" i="3"/>
  <c r="B3139" i="3"/>
  <c r="A3139" i="3"/>
  <c r="M3138" i="3"/>
  <c r="L3138" i="3"/>
  <c r="K3138" i="3"/>
  <c r="J3138" i="3"/>
  <c r="I3138" i="3"/>
  <c r="H3138" i="3"/>
  <c r="G3138" i="3"/>
  <c r="F3138" i="3"/>
  <c r="E3138" i="3"/>
  <c r="D3138" i="3"/>
  <c r="C3138" i="3"/>
  <c r="B3138" i="3"/>
  <c r="A3138" i="3"/>
  <c r="M3137" i="3"/>
  <c r="L3137" i="3"/>
  <c r="K3137" i="3"/>
  <c r="J3137" i="3"/>
  <c r="I3137" i="3"/>
  <c r="H3137" i="3"/>
  <c r="G3137" i="3"/>
  <c r="F3137" i="3"/>
  <c r="E3137" i="3"/>
  <c r="D3137" i="3"/>
  <c r="C3137" i="3"/>
  <c r="B3137" i="3"/>
  <c r="A3137" i="3"/>
  <c r="M3136" i="3"/>
  <c r="L3136" i="3"/>
  <c r="K3136" i="3"/>
  <c r="J3136" i="3"/>
  <c r="I3136" i="3"/>
  <c r="H3136" i="3"/>
  <c r="G3136" i="3"/>
  <c r="F3136" i="3"/>
  <c r="E3136" i="3"/>
  <c r="D3136" i="3"/>
  <c r="C3136" i="3"/>
  <c r="B3136" i="3"/>
  <c r="A3136" i="3"/>
  <c r="M3135" i="3"/>
  <c r="L3135" i="3"/>
  <c r="K3135" i="3"/>
  <c r="J3135" i="3"/>
  <c r="I3135" i="3"/>
  <c r="H3135" i="3"/>
  <c r="G3135" i="3"/>
  <c r="F3135" i="3"/>
  <c r="E3135" i="3"/>
  <c r="D3135" i="3"/>
  <c r="C3135" i="3"/>
  <c r="B3135" i="3"/>
  <c r="A3135" i="3"/>
  <c r="M3134" i="3"/>
  <c r="L3134" i="3"/>
  <c r="K3134" i="3"/>
  <c r="J3134" i="3"/>
  <c r="I3134" i="3"/>
  <c r="H3134" i="3"/>
  <c r="G3134" i="3"/>
  <c r="F3134" i="3"/>
  <c r="E3134" i="3"/>
  <c r="D3134" i="3"/>
  <c r="B3134" i="3"/>
  <c r="A3134" i="3"/>
  <c r="M3133" i="3"/>
  <c r="L3133" i="3"/>
  <c r="K3133" i="3"/>
  <c r="J3133" i="3"/>
  <c r="I3133" i="3"/>
  <c r="H3133" i="3"/>
  <c r="G3133" i="3"/>
  <c r="F3133" i="3"/>
  <c r="E3133" i="3"/>
  <c r="D3133" i="3"/>
  <c r="C3133" i="3"/>
  <c r="B3133" i="3"/>
  <c r="A3133" i="3"/>
  <c r="M3132" i="3"/>
  <c r="L3132" i="3"/>
  <c r="K3132" i="3"/>
  <c r="J3132" i="3"/>
  <c r="I3132" i="3"/>
  <c r="H3132" i="3"/>
  <c r="G3132" i="3"/>
  <c r="F3132" i="3"/>
  <c r="D3132" i="3"/>
  <c r="C3132" i="3"/>
  <c r="B3132" i="3"/>
  <c r="A3132" i="3"/>
  <c r="M3131" i="3"/>
  <c r="L3131" i="3"/>
  <c r="K3131" i="3"/>
  <c r="J3131" i="3"/>
  <c r="I3131" i="3"/>
  <c r="H3131" i="3"/>
  <c r="G3131" i="3"/>
  <c r="F3131" i="3"/>
  <c r="E3131" i="3"/>
  <c r="D3131" i="3"/>
  <c r="C3131" i="3"/>
  <c r="B3131" i="3"/>
  <c r="A3131" i="3"/>
  <c r="M3130" i="3"/>
  <c r="L3130" i="3"/>
  <c r="K3130" i="3"/>
  <c r="J3130" i="3"/>
  <c r="I3130" i="3"/>
  <c r="H3130" i="3"/>
  <c r="G3130" i="3"/>
  <c r="F3130" i="3"/>
  <c r="E3130" i="3"/>
  <c r="D3130" i="3"/>
  <c r="C3130" i="3"/>
  <c r="B3130" i="3"/>
  <c r="A3130" i="3"/>
  <c r="M3129" i="3"/>
  <c r="L3129" i="3"/>
  <c r="K3129" i="3"/>
  <c r="J3129" i="3"/>
  <c r="I3129" i="3"/>
  <c r="H3129" i="3"/>
  <c r="G3129" i="3"/>
  <c r="F3129" i="3"/>
  <c r="E3129" i="3"/>
  <c r="D3129" i="3"/>
  <c r="C3129" i="3"/>
  <c r="B3129" i="3"/>
  <c r="A3129" i="3"/>
  <c r="M3128" i="3"/>
  <c r="L3128" i="3"/>
  <c r="K3128" i="3"/>
  <c r="J3128" i="3"/>
  <c r="I3128" i="3"/>
  <c r="H3128" i="3"/>
  <c r="G3128" i="3"/>
  <c r="F3128" i="3"/>
  <c r="E3128" i="3"/>
  <c r="D3128" i="3"/>
  <c r="C3128" i="3"/>
  <c r="B3128" i="3"/>
  <c r="A3128" i="3"/>
  <c r="M3127" i="3"/>
  <c r="L3127" i="3"/>
  <c r="K3127" i="3"/>
  <c r="J3127" i="3"/>
  <c r="I3127" i="3"/>
  <c r="H3127" i="3"/>
  <c r="G3127" i="3"/>
  <c r="F3127" i="3"/>
  <c r="E3127" i="3"/>
  <c r="D3127" i="3"/>
  <c r="C3127" i="3"/>
  <c r="B3127" i="3"/>
  <c r="A3127" i="3"/>
  <c r="M3126" i="3"/>
  <c r="L3126" i="3"/>
  <c r="K3126" i="3"/>
  <c r="J3126" i="3"/>
  <c r="I3126" i="3"/>
  <c r="H3126" i="3"/>
  <c r="G3126" i="3"/>
  <c r="F3126" i="3"/>
  <c r="E3126" i="3"/>
  <c r="D3126" i="3"/>
  <c r="C3126" i="3"/>
  <c r="B3126" i="3"/>
  <c r="A3126" i="3"/>
  <c r="M3125" i="3"/>
  <c r="L3125" i="3"/>
  <c r="K3125" i="3"/>
  <c r="J3125" i="3"/>
  <c r="I3125" i="3"/>
  <c r="H3125" i="3"/>
  <c r="G3125" i="3"/>
  <c r="F3125" i="3"/>
  <c r="E3125" i="3"/>
  <c r="D3125" i="3"/>
  <c r="C3125" i="3"/>
  <c r="B3125" i="3"/>
  <c r="A3125" i="3"/>
  <c r="M3124" i="3"/>
  <c r="L3124" i="3"/>
  <c r="K3124" i="3"/>
  <c r="J3124" i="3"/>
  <c r="I3124" i="3"/>
  <c r="H3124" i="3"/>
  <c r="G3124" i="3"/>
  <c r="F3124" i="3"/>
  <c r="E3124" i="3"/>
  <c r="D3124" i="3"/>
  <c r="C3124" i="3"/>
  <c r="B3124" i="3"/>
  <c r="A3124" i="3"/>
  <c r="M3123" i="3"/>
  <c r="L3123" i="3"/>
  <c r="K3123" i="3"/>
  <c r="J3123" i="3"/>
  <c r="I3123" i="3"/>
  <c r="H3123" i="3"/>
  <c r="G3123" i="3"/>
  <c r="F3123" i="3"/>
  <c r="E3123" i="3"/>
  <c r="D3123" i="3"/>
  <c r="C3123" i="3"/>
  <c r="B3123" i="3"/>
  <c r="A3123" i="3"/>
  <c r="M3122" i="3"/>
  <c r="L3122" i="3"/>
  <c r="K3122" i="3"/>
  <c r="J3122" i="3"/>
  <c r="I3122" i="3"/>
  <c r="H3122" i="3"/>
  <c r="G3122" i="3"/>
  <c r="F3122" i="3"/>
  <c r="E3122" i="3"/>
  <c r="D3122" i="3"/>
  <c r="C3122" i="3"/>
  <c r="B3122" i="3"/>
  <c r="A3122" i="3"/>
  <c r="M3121" i="3"/>
  <c r="L3121" i="3"/>
  <c r="K3121" i="3"/>
  <c r="J3121" i="3"/>
  <c r="I3121" i="3"/>
  <c r="H3121" i="3"/>
  <c r="G3121" i="3"/>
  <c r="F3121" i="3"/>
  <c r="E3121" i="3"/>
  <c r="D3121" i="3"/>
  <c r="C3121" i="3"/>
  <c r="B3121" i="3"/>
  <c r="A3121" i="3"/>
  <c r="M3120" i="3"/>
  <c r="L3120" i="3"/>
  <c r="K3120" i="3"/>
  <c r="J3120" i="3"/>
  <c r="I3120" i="3"/>
  <c r="H3120" i="3"/>
  <c r="G3120" i="3"/>
  <c r="F3120" i="3"/>
  <c r="E3120" i="3"/>
  <c r="D3120" i="3"/>
  <c r="C3120" i="3"/>
  <c r="B3120" i="3"/>
  <c r="A3120" i="3"/>
  <c r="M3119" i="3"/>
  <c r="L3119" i="3"/>
  <c r="K3119" i="3"/>
  <c r="J3119" i="3"/>
  <c r="I3119" i="3"/>
  <c r="H3119" i="3"/>
  <c r="G3119" i="3"/>
  <c r="F3119" i="3"/>
  <c r="E3119" i="3"/>
  <c r="D3119" i="3"/>
  <c r="C3119" i="3"/>
  <c r="B3119" i="3"/>
  <c r="A3119" i="3"/>
  <c r="M3118" i="3"/>
  <c r="L3118" i="3"/>
  <c r="K3118" i="3"/>
  <c r="J3118" i="3"/>
  <c r="I3118" i="3"/>
  <c r="H3118" i="3"/>
  <c r="G3118" i="3"/>
  <c r="F3118" i="3"/>
  <c r="D3118" i="3"/>
  <c r="C3118" i="3"/>
  <c r="B3118" i="3"/>
  <c r="A3118" i="3"/>
  <c r="M3117" i="3"/>
  <c r="L3117" i="3"/>
  <c r="K3117" i="3"/>
  <c r="J3117" i="3"/>
  <c r="I3117" i="3"/>
  <c r="H3117" i="3"/>
  <c r="G3117" i="3"/>
  <c r="F3117" i="3"/>
  <c r="E3117" i="3"/>
  <c r="D3117" i="3"/>
  <c r="C3117" i="3"/>
  <c r="B3117" i="3"/>
  <c r="A3117" i="3"/>
  <c r="M3116" i="3"/>
  <c r="L3116" i="3"/>
  <c r="K3116" i="3"/>
  <c r="J3116" i="3"/>
  <c r="I3116" i="3"/>
  <c r="H3116" i="3"/>
  <c r="G3116" i="3"/>
  <c r="F3116" i="3"/>
  <c r="E3116" i="3"/>
  <c r="D3116" i="3"/>
  <c r="C3116" i="3"/>
  <c r="B3116" i="3"/>
  <c r="A3116" i="3"/>
  <c r="M3115" i="3"/>
  <c r="L3115" i="3"/>
  <c r="K3115" i="3"/>
  <c r="J3115" i="3"/>
  <c r="I3115" i="3"/>
  <c r="H3115" i="3"/>
  <c r="G3115" i="3"/>
  <c r="F3115" i="3"/>
  <c r="E3115" i="3"/>
  <c r="D3115" i="3"/>
  <c r="C3115" i="3"/>
  <c r="B3115" i="3"/>
  <c r="A3115" i="3"/>
  <c r="M3114" i="3"/>
  <c r="L3114" i="3"/>
  <c r="K3114" i="3"/>
  <c r="J3114" i="3"/>
  <c r="I3114" i="3"/>
  <c r="H3114" i="3"/>
  <c r="G3114" i="3"/>
  <c r="F3114" i="3"/>
  <c r="E3114" i="3"/>
  <c r="D3114" i="3"/>
  <c r="C3114" i="3"/>
  <c r="B3114" i="3"/>
  <c r="A3114" i="3"/>
  <c r="M3113" i="3"/>
  <c r="L3113" i="3"/>
  <c r="K3113" i="3"/>
  <c r="J3113" i="3"/>
  <c r="I3113" i="3"/>
  <c r="H3113" i="3"/>
  <c r="G3113" i="3"/>
  <c r="F3113" i="3"/>
  <c r="E3113" i="3"/>
  <c r="D3113" i="3"/>
  <c r="C3113" i="3"/>
  <c r="B3113" i="3"/>
  <c r="A3113" i="3"/>
  <c r="M3112" i="3"/>
  <c r="L3112" i="3"/>
  <c r="K3112" i="3"/>
  <c r="J3112" i="3"/>
  <c r="I3112" i="3"/>
  <c r="H3112" i="3"/>
  <c r="G3112" i="3"/>
  <c r="F3112" i="3"/>
  <c r="E3112" i="3"/>
  <c r="D3112" i="3"/>
  <c r="C3112" i="3"/>
  <c r="B3112" i="3"/>
  <c r="A3112" i="3"/>
  <c r="M3111" i="3"/>
  <c r="L3111" i="3"/>
  <c r="K3111" i="3"/>
  <c r="J3111" i="3"/>
  <c r="I3111" i="3"/>
  <c r="H3111" i="3"/>
  <c r="G3111" i="3"/>
  <c r="F3111" i="3"/>
  <c r="D3111" i="3"/>
  <c r="C3111" i="3"/>
  <c r="B3111" i="3"/>
  <c r="A3111" i="3"/>
  <c r="M3110" i="3"/>
  <c r="L3110" i="3"/>
  <c r="K3110" i="3"/>
  <c r="J3110" i="3"/>
  <c r="I3110" i="3"/>
  <c r="H3110" i="3"/>
  <c r="G3110" i="3"/>
  <c r="F3110" i="3"/>
  <c r="E3110" i="3"/>
  <c r="D3110" i="3"/>
  <c r="C3110" i="3"/>
  <c r="B3110" i="3"/>
  <c r="A3110" i="3"/>
  <c r="M3109" i="3"/>
  <c r="L3109" i="3"/>
  <c r="K3109" i="3"/>
  <c r="J3109" i="3"/>
  <c r="I3109" i="3"/>
  <c r="H3109" i="3"/>
  <c r="G3109" i="3"/>
  <c r="F3109" i="3"/>
  <c r="E3109" i="3"/>
  <c r="D3109" i="3"/>
  <c r="C3109" i="3"/>
  <c r="B3109" i="3"/>
  <c r="A3109" i="3"/>
  <c r="M3108" i="3"/>
  <c r="L3108" i="3"/>
  <c r="K3108" i="3"/>
  <c r="J3108" i="3"/>
  <c r="I3108" i="3"/>
  <c r="H3108" i="3"/>
  <c r="G3108" i="3"/>
  <c r="F3108" i="3"/>
  <c r="D3108" i="3"/>
  <c r="C3108" i="3"/>
  <c r="B3108" i="3"/>
  <c r="A3108" i="3"/>
  <c r="M3107" i="3"/>
  <c r="L3107" i="3"/>
  <c r="K3107" i="3"/>
  <c r="J3107" i="3"/>
  <c r="I3107" i="3"/>
  <c r="H3107" i="3"/>
  <c r="G3107" i="3"/>
  <c r="F3107" i="3"/>
  <c r="E3107" i="3"/>
  <c r="D3107" i="3"/>
  <c r="C3107" i="3"/>
  <c r="B3107" i="3"/>
  <c r="A3107" i="3"/>
  <c r="M3106" i="3"/>
  <c r="L3106" i="3"/>
  <c r="K3106" i="3"/>
  <c r="J3106" i="3"/>
  <c r="I3106" i="3"/>
  <c r="H3106" i="3"/>
  <c r="G3106" i="3"/>
  <c r="F3106" i="3"/>
  <c r="E3106" i="3"/>
  <c r="D3106" i="3"/>
  <c r="C3106" i="3"/>
  <c r="B3106" i="3"/>
  <c r="A3106" i="3"/>
  <c r="M3105" i="3"/>
  <c r="L3105" i="3"/>
  <c r="K3105" i="3"/>
  <c r="J3105" i="3"/>
  <c r="I3105" i="3"/>
  <c r="H3105" i="3"/>
  <c r="G3105" i="3"/>
  <c r="F3105" i="3"/>
  <c r="E3105" i="3"/>
  <c r="D3105" i="3"/>
  <c r="B3105" i="3"/>
  <c r="A3105" i="3"/>
  <c r="M3104" i="3"/>
  <c r="L3104" i="3"/>
  <c r="K3104" i="3"/>
  <c r="J3104" i="3"/>
  <c r="I3104" i="3"/>
  <c r="H3104" i="3"/>
  <c r="G3104" i="3"/>
  <c r="F3104" i="3"/>
  <c r="E3104" i="3"/>
  <c r="D3104" i="3"/>
  <c r="C3104" i="3"/>
  <c r="B3104" i="3"/>
  <c r="A3104" i="3"/>
  <c r="M3103" i="3"/>
  <c r="L3103" i="3"/>
  <c r="K3103" i="3"/>
  <c r="J3103" i="3"/>
  <c r="I3103" i="3"/>
  <c r="H3103" i="3"/>
  <c r="G3103" i="3"/>
  <c r="F3103" i="3"/>
  <c r="E3103" i="3"/>
  <c r="D3103" i="3"/>
  <c r="C3103" i="3"/>
  <c r="B3103" i="3"/>
  <c r="A3103" i="3"/>
  <c r="M3102" i="3"/>
  <c r="L3102" i="3"/>
  <c r="K3102" i="3"/>
  <c r="J3102" i="3"/>
  <c r="I3102" i="3"/>
  <c r="H3102" i="3"/>
  <c r="G3102" i="3"/>
  <c r="F3102" i="3"/>
  <c r="E3102" i="3"/>
  <c r="D3102" i="3"/>
  <c r="C3102" i="3"/>
  <c r="B3102" i="3"/>
  <c r="A3102" i="3"/>
  <c r="M3101" i="3"/>
  <c r="L3101" i="3"/>
  <c r="K3101" i="3"/>
  <c r="J3101" i="3"/>
  <c r="I3101" i="3"/>
  <c r="H3101" i="3"/>
  <c r="G3101" i="3"/>
  <c r="F3101" i="3"/>
  <c r="E3101" i="3"/>
  <c r="D3101" i="3"/>
  <c r="C3101" i="3"/>
  <c r="B3101" i="3"/>
  <c r="A3101" i="3"/>
  <c r="M3100" i="3"/>
  <c r="L3100" i="3"/>
  <c r="K3100" i="3"/>
  <c r="J3100" i="3"/>
  <c r="I3100" i="3"/>
  <c r="H3100" i="3"/>
  <c r="G3100" i="3"/>
  <c r="F3100" i="3"/>
  <c r="E3100" i="3"/>
  <c r="D3100" i="3"/>
  <c r="C3100" i="3"/>
  <c r="B3100" i="3"/>
  <c r="A3100" i="3"/>
  <c r="M3099" i="3"/>
  <c r="L3099" i="3"/>
  <c r="K3099" i="3"/>
  <c r="J3099" i="3"/>
  <c r="I3099" i="3"/>
  <c r="H3099" i="3"/>
  <c r="G3099" i="3"/>
  <c r="F3099" i="3"/>
  <c r="E3099" i="3"/>
  <c r="D3099" i="3"/>
  <c r="C3099" i="3"/>
  <c r="B3099" i="3"/>
  <c r="A3099" i="3"/>
  <c r="M3098" i="3"/>
  <c r="L3098" i="3"/>
  <c r="K3098" i="3"/>
  <c r="J3098" i="3"/>
  <c r="I3098" i="3"/>
  <c r="H3098" i="3"/>
  <c r="G3098" i="3"/>
  <c r="F3098" i="3"/>
  <c r="E3098" i="3"/>
  <c r="D3098" i="3"/>
  <c r="C3098" i="3"/>
  <c r="B3098" i="3"/>
  <c r="A3098" i="3"/>
  <c r="M3097" i="3"/>
  <c r="L3097" i="3"/>
  <c r="K3097" i="3"/>
  <c r="J3097" i="3"/>
  <c r="I3097" i="3"/>
  <c r="H3097" i="3"/>
  <c r="G3097" i="3"/>
  <c r="F3097" i="3"/>
  <c r="E3097" i="3"/>
  <c r="D3097" i="3"/>
  <c r="C3097" i="3"/>
  <c r="B3097" i="3"/>
  <c r="A3097" i="3"/>
  <c r="M3096" i="3"/>
  <c r="L3096" i="3"/>
  <c r="K3096" i="3"/>
  <c r="J3096" i="3"/>
  <c r="I3096" i="3"/>
  <c r="H3096" i="3"/>
  <c r="G3096" i="3"/>
  <c r="F3096" i="3"/>
  <c r="E3096" i="3"/>
  <c r="D3096" i="3"/>
  <c r="C3096" i="3"/>
  <c r="B3096" i="3"/>
  <c r="A3096" i="3"/>
  <c r="M3095" i="3"/>
  <c r="L3095" i="3"/>
  <c r="K3095" i="3"/>
  <c r="J3095" i="3"/>
  <c r="I3095" i="3"/>
  <c r="H3095" i="3"/>
  <c r="G3095" i="3"/>
  <c r="F3095" i="3"/>
  <c r="D3095" i="3"/>
  <c r="C3095" i="3"/>
  <c r="B3095" i="3"/>
  <c r="A3095" i="3"/>
  <c r="M3094" i="3"/>
  <c r="L3094" i="3"/>
  <c r="K3094" i="3"/>
  <c r="J3094" i="3"/>
  <c r="I3094" i="3"/>
  <c r="H3094" i="3"/>
  <c r="G3094" i="3"/>
  <c r="F3094" i="3"/>
  <c r="E3094" i="3"/>
  <c r="D3094" i="3"/>
  <c r="C3094" i="3"/>
  <c r="B3094" i="3"/>
  <c r="A3094" i="3"/>
  <c r="M3093" i="3"/>
  <c r="L3093" i="3"/>
  <c r="K3093" i="3"/>
  <c r="J3093" i="3"/>
  <c r="I3093" i="3"/>
  <c r="H3093" i="3"/>
  <c r="G3093" i="3"/>
  <c r="F3093" i="3"/>
  <c r="E3093" i="3"/>
  <c r="D3093" i="3"/>
  <c r="C3093" i="3"/>
  <c r="B3093" i="3"/>
  <c r="A3093" i="3"/>
  <c r="M3092" i="3"/>
  <c r="L3092" i="3"/>
  <c r="K3092" i="3"/>
  <c r="J3092" i="3"/>
  <c r="I3092" i="3"/>
  <c r="H3092" i="3"/>
  <c r="G3092" i="3"/>
  <c r="F3092" i="3"/>
  <c r="E3092" i="3"/>
  <c r="D3092" i="3"/>
  <c r="C3092" i="3"/>
  <c r="B3092" i="3"/>
  <c r="A3092" i="3"/>
  <c r="M3091" i="3"/>
  <c r="L3091" i="3"/>
  <c r="K3091" i="3"/>
  <c r="J3091" i="3"/>
  <c r="I3091" i="3"/>
  <c r="H3091" i="3"/>
  <c r="G3091" i="3"/>
  <c r="F3091" i="3"/>
  <c r="E3091" i="3"/>
  <c r="D3091" i="3"/>
  <c r="C3091" i="3"/>
  <c r="B3091" i="3"/>
  <c r="A3091" i="3"/>
  <c r="M3090" i="3"/>
  <c r="L3090" i="3"/>
  <c r="K3090" i="3"/>
  <c r="J3090" i="3"/>
  <c r="I3090" i="3"/>
  <c r="H3090" i="3"/>
  <c r="G3090" i="3"/>
  <c r="F3090" i="3"/>
  <c r="E3090" i="3"/>
  <c r="D3090" i="3"/>
  <c r="C3090" i="3"/>
  <c r="B3090" i="3"/>
  <c r="A3090" i="3"/>
  <c r="M3089" i="3"/>
  <c r="L3089" i="3"/>
  <c r="K3089" i="3"/>
  <c r="J3089" i="3"/>
  <c r="I3089" i="3"/>
  <c r="H3089" i="3"/>
  <c r="G3089" i="3"/>
  <c r="F3089" i="3"/>
  <c r="E3089" i="3"/>
  <c r="D3089" i="3"/>
  <c r="C3089" i="3"/>
  <c r="B3089" i="3"/>
  <c r="A3089" i="3"/>
  <c r="M3088" i="3"/>
  <c r="L3088" i="3"/>
  <c r="K3088" i="3"/>
  <c r="J3088" i="3"/>
  <c r="I3088" i="3"/>
  <c r="H3088" i="3"/>
  <c r="G3088" i="3"/>
  <c r="F3088" i="3"/>
  <c r="E3088" i="3"/>
  <c r="D3088" i="3"/>
  <c r="C3088" i="3"/>
  <c r="B3088" i="3"/>
  <c r="A3088" i="3"/>
  <c r="M3087" i="3"/>
  <c r="L3087" i="3"/>
  <c r="K3087" i="3"/>
  <c r="J3087" i="3"/>
  <c r="I3087" i="3"/>
  <c r="H3087" i="3"/>
  <c r="G3087" i="3"/>
  <c r="F3087" i="3"/>
  <c r="D3087" i="3"/>
  <c r="C3087" i="3"/>
  <c r="B3087" i="3"/>
  <c r="A3087" i="3"/>
  <c r="M3086" i="3"/>
  <c r="L3086" i="3"/>
  <c r="K3086" i="3"/>
  <c r="J3086" i="3"/>
  <c r="I3086" i="3"/>
  <c r="H3086" i="3"/>
  <c r="G3086" i="3"/>
  <c r="F3086" i="3"/>
  <c r="E3086" i="3"/>
  <c r="D3086" i="3"/>
  <c r="C3086" i="3"/>
  <c r="B3086" i="3"/>
  <c r="A3086" i="3"/>
  <c r="M3085" i="3"/>
  <c r="L3085" i="3"/>
  <c r="K3085" i="3"/>
  <c r="J3085" i="3"/>
  <c r="I3085" i="3"/>
  <c r="H3085" i="3"/>
  <c r="G3085" i="3"/>
  <c r="F3085" i="3"/>
  <c r="E3085" i="3"/>
  <c r="D3085" i="3"/>
  <c r="C3085" i="3"/>
  <c r="B3085" i="3"/>
  <c r="A3085" i="3"/>
  <c r="M3084" i="3"/>
  <c r="L3084" i="3"/>
  <c r="K3084" i="3"/>
  <c r="J3084" i="3"/>
  <c r="I3084" i="3"/>
  <c r="H3084" i="3"/>
  <c r="G3084" i="3"/>
  <c r="F3084" i="3"/>
  <c r="E3084" i="3"/>
  <c r="D3084" i="3"/>
  <c r="C3084" i="3"/>
  <c r="B3084" i="3"/>
  <c r="A3084" i="3"/>
  <c r="M3083" i="3"/>
  <c r="L3083" i="3"/>
  <c r="K3083" i="3"/>
  <c r="J3083" i="3"/>
  <c r="I3083" i="3"/>
  <c r="H3083" i="3"/>
  <c r="G3083" i="3"/>
  <c r="F3083" i="3"/>
  <c r="E3083" i="3"/>
  <c r="D3083" i="3"/>
  <c r="C3083" i="3"/>
  <c r="B3083" i="3"/>
  <c r="A3083" i="3"/>
  <c r="M3082" i="3"/>
  <c r="L3082" i="3"/>
  <c r="K3082" i="3"/>
  <c r="J3082" i="3"/>
  <c r="I3082" i="3"/>
  <c r="H3082" i="3"/>
  <c r="G3082" i="3"/>
  <c r="F3082" i="3"/>
  <c r="E3082" i="3"/>
  <c r="D3082" i="3"/>
  <c r="C3082" i="3"/>
  <c r="B3082" i="3"/>
  <c r="A3082" i="3"/>
  <c r="M3081" i="3"/>
  <c r="L3081" i="3"/>
  <c r="K3081" i="3"/>
  <c r="J3081" i="3"/>
  <c r="I3081" i="3"/>
  <c r="H3081" i="3"/>
  <c r="G3081" i="3"/>
  <c r="F3081" i="3"/>
  <c r="E3081" i="3"/>
  <c r="D3081" i="3"/>
  <c r="C3081" i="3"/>
  <c r="B3081" i="3"/>
  <c r="A3081" i="3"/>
  <c r="M3080" i="3"/>
  <c r="L3080" i="3"/>
  <c r="K3080" i="3"/>
  <c r="J3080" i="3"/>
  <c r="I3080" i="3"/>
  <c r="H3080" i="3"/>
  <c r="G3080" i="3"/>
  <c r="F3080" i="3"/>
  <c r="E3080" i="3"/>
  <c r="D3080" i="3"/>
  <c r="C3080" i="3"/>
  <c r="B3080" i="3"/>
  <c r="A3080" i="3"/>
  <c r="M3079" i="3"/>
  <c r="L3079" i="3"/>
  <c r="K3079" i="3"/>
  <c r="J3079" i="3"/>
  <c r="I3079" i="3"/>
  <c r="H3079" i="3"/>
  <c r="G3079" i="3"/>
  <c r="F3079" i="3"/>
  <c r="E3079" i="3"/>
  <c r="D3079" i="3"/>
  <c r="C3079" i="3"/>
  <c r="B3079" i="3"/>
  <c r="A3079" i="3"/>
  <c r="M3078" i="3"/>
  <c r="L3078" i="3"/>
  <c r="K3078" i="3"/>
  <c r="J3078" i="3"/>
  <c r="I3078" i="3"/>
  <c r="H3078" i="3"/>
  <c r="G3078" i="3"/>
  <c r="F3078" i="3"/>
  <c r="E3078" i="3"/>
  <c r="D3078" i="3"/>
  <c r="C3078" i="3"/>
  <c r="B3078" i="3"/>
  <c r="A3078" i="3"/>
  <c r="M3077" i="3"/>
  <c r="L3077" i="3"/>
  <c r="K3077" i="3"/>
  <c r="J3077" i="3"/>
  <c r="I3077" i="3"/>
  <c r="H3077" i="3"/>
  <c r="G3077" i="3"/>
  <c r="F3077" i="3"/>
  <c r="E3077" i="3"/>
  <c r="D3077" i="3"/>
  <c r="C3077" i="3"/>
  <c r="B3077" i="3"/>
  <c r="A3077" i="3"/>
  <c r="M3076" i="3"/>
  <c r="L3076" i="3"/>
  <c r="K3076" i="3"/>
  <c r="J3076" i="3"/>
  <c r="I3076" i="3"/>
  <c r="H3076" i="3"/>
  <c r="G3076" i="3"/>
  <c r="F3076" i="3"/>
  <c r="E3076" i="3"/>
  <c r="D3076" i="3"/>
  <c r="C3076" i="3"/>
  <c r="B3076" i="3"/>
  <c r="A3076" i="3"/>
  <c r="M3075" i="3"/>
  <c r="L3075" i="3"/>
  <c r="K3075" i="3"/>
  <c r="J3075" i="3"/>
  <c r="I3075" i="3"/>
  <c r="H3075" i="3"/>
  <c r="G3075" i="3"/>
  <c r="F3075" i="3"/>
  <c r="E3075" i="3"/>
  <c r="D3075" i="3"/>
  <c r="C3075" i="3"/>
  <c r="B3075" i="3"/>
  <c r="A3075" i="3"/>
  <c r="M3074" i="3"/>
  <c r="L3074" i="3"/>
  <c r="K3074" i="3"/>
  <c r="J3074" i="3"/>
  <c r="I3074" i="3"/>
  <c r="H3074" i="3"/>
  <c r="G3074" i="3"/>
  <c r="F3074" i="3"/>
  <c r="E3074" i="3"/>
  <c r="D3074" i="3"/>
  <c r="C3074" i="3"/>
  <c r="B3074" i="3"/>
  <c r="A3074" i="3"/>
  <c r="M3073" i="3"/>
  <c r="L3073" i="3"/>
  <c r="K3073" i="3"/>
  <c r="J3073" i="3"/>
  <c r="I3073" i="3"/>
  <c r="H3073" i="3"/>
  <c r="G3073" i="3"/>
  <c r="F3073" i="3"/>
  <c r="D3073" i="3"/>
  <c r="C3073" i="3"/>
  <c r="B3073" i="3"/>
  <c r="A3073" i="3"/>
  <c r="M3072" i="3"/>
  <c r="L3072" i="3"/>
  <c r="K3072" i="3"/>
  <c r="J3072" i="3"/>
  <c r="I3072" i="3"/>
  <c r="H3072" i="3"/>
  <c r="G3072" i="3"/>
  <c r="F3072" i="3"/>
  <c r="E3072" i="3"/>
  <c r="D3072" i="3"/>
  <c r="C3072" i="3"/>
  <c r="B3072" i="3"/>
  <c r="A3072" i="3"/>
  <c r="M3071" i="3"/>
  <c r="L3071" i="3"/>
  <c r="K3071" i="3"/>
  <c r="J3071" i="3"/>
  <c r="I3071" i="3"/>
  <c r="H3071" i="3"/>
  <c r="G3071" i="3"/>
  <c r="F3071" i="3"/>
  <c r="E3071" i="3"/>
  <c r="D3071" i="3"/>
  <c r="C3071" i="3"/>
  <c r="B3071" i="3"/>
  <c r="A3071" i="3"/>
  <c r="M3070" i="3"/>
  <c r="L3070" i="3"/>
  <c r="K3070" i="3"/>
  <c r="J3070" i="3"/>
  <c r="I3070" i="3"/>
  <c r="H3070" i="3"/>
  <c r="G3070" i="3"/>
  <c r="F3070" i="3"/>
  <c r="E3070" i="3"/>
  <c r="D3070" i="3"/>
  <c r="C3070" i="3"/>
  <c r="B3070" i="3"/>
  <c r="A3070" i="3"/>
  <c r="M3069" i="3"/>
  <c r="L3069" i="3"/>
  <c r="K3069" i="3"/>
  <c r="J3069" i="3"/>
  <c r="I3069" i="3"/>
  <c r="H3069" i="3"/>
  <c r="G3069" i="3"/>
  <c r="F3069" i="3"/>
  <c r="E3069" i="3"/>
  <c r="D3069" i="3"/>
  <c r="C3069" i="3"/>
  <c r="B3069" i="3"/>
  <c r="A3069" i="3"/>
  <c r="M3068" i="3"/>
  <c r="L3068" i="3"/>
  <c r="K3068" i="3"/>
  <c r="J3068" i="3"/>
  <c r="I3068" i="3"/>
  <c r="H3068" i="3"/>
  <c r="G3068" i="3"/>
  <c r="F3068" i="3"/>
  <c r="E3068" i="3"/>
  <c r="D3068" i="3"/>
  <c r="C3068" i="3"/>
  <c r="B3068" i="3"/>
  <c r="A3068" i="3"/>
  <c r="M3067" i="3"/>
  <c r="L3067" i="3"/>
  <c r="K3067" i="3"/>
  <c r="J3067" i="3"/>
  <c r="I3067" i="3"/>
  <c r="H3067" i="3"/>
  <c r="G3067" i="3"/>
  <c r="F3067" i="3"/>
  <c r="E3067" i="3"/>
  <c r="D3067" i="3"/>
  <c r="C3067" i="3"/>
  <c r="B3067" i="3"/>
  <c r="A3067" i="3"/>
  <c r="M3066" i="3"/>
  <c r="L3066" i="3"/>
  <c r="K3066" i="3"/>
  <c r="J3066" i="3"/>
  <c r="I3066" i="3"/>
  <c r="H3066" i="3"/>
  <c r="G3066" i="3"/>
  <c r="F3066" i="3"/>
  <c r="E3066" i="3"/>
  <c r="D3066" i="3"/>
  <c r="C3066" i="3"/>
  <c r="B3066" i="3"/>
  <c r="A3066" i="3"/>
  <c r="M3065" i="3"/>
  <c r="L3065" i="3"/>
  <c r="K3065" i="3"/>
  <c r="J3065" i="3"/>
  <c r="I3065" i="3"/>
  <c r="H3065" i="3"/>
  <c r="G3065" i="3"/>
  <c r="F3065" i="3"/>
  <c r="D3065" i="3"/>
  <c r="C3065" i="3"/>
  <c r="B3065" i="3"/>
  <c r="A3065" i="3"/>
  <c r="M3064" i="3"/>
  <c r="L3064" i="3"/>
  <c r="K3064" i="3"/>
  <c r="J3064" i="3"/>
  <c r="I3064" i="3"/>
  <c r="H3064" i="3"/>
  <c r="G3064" i="3"/>
  <c r="F3064" i="3"/>
  <c r="E3064" i="3"/>
  <c r="D3064" i="3"/>
  <c r="C3064" i="3"/>
  <c r="B3064" i="3"/>
  <c r="A3064" i="3"/>
  <c r="M3063" i="3"/>
  <c r="L3063" i="3"/>
  <c r="K3063" i="3"/>
  <c r="J3063" i="3"/>
  <c r="I3063" i="3"/>
  <c r="H3063" i="3"/>
  <c r="G3063" i="3"/>
  <c r="F3063" i="3"/>
  <c r="E3063" i="3"/>
  <c r="D3063" i="3"/>
  <c r="C3063" i="3"/>
  <c r="B3063" i="3"/>
  <c r="A3063" i="3"/>
  <c r="M3062" i="3"/>
  <c r="L3062" i="3"/>
  <c r="K3062" i="3"/>
  <c r="J3062" i="3"/>
  <c r="I3062" i="3"/>
  <c r="H3062" i="3"/>
  <c r="G3062" i="3"/>
  <c r="F3062" i="3"/>
  <c r="E3062" i="3"/>
  <c r="D3062" i="3"/>
  <c r="C3062" i="3"/>
  <c r="B3062" i="3"/>
  <c r="A3062" i="3"/>
  <c r="M3061" i="3"/>
  <c r="L3061" i="3"/>
  <c r="K3061" i="3"/>
  <c r="J3061" i="3"/>
  <c r="I3061" i="3"/>
  <c r="H3061" i="3"/>
  <c r="G3061" i="3"/>
  <c r="F3061" i="3"/>
  <c r="E3061" i="3"/>
  <c r="D3061" i="3"/>
  <c r="C3061" i="3"/>
  <c r="B3061" i="3"/>
  <c r="A3061" i="3"/>
  <c r="M3060" i="3"/>
  <c r="L3060" i="3"/>
  <c r="K3060" i="3"/>
  <c r="J3060" i="3"/>
  <c r="I3060" i="3"/>
  <c r="H3060" i="3"/>
  <c r="G3060" i="3"/>
  <c r="F3060" i="3"/>
  <c r="E3060" i="3"/>
  <c r="D3060" i="3"/>
  <c r="C3060" i="3"/>
  <c r="B3060" i="3"/>
  <c r="A3060" i="3"/>
  <c r="M3059" i="3"/>
  <c r="L3059" i="3"/>
  <c r="K3059" i="3"/>
  <c r="J3059" i="3"/>
  <c r="I3059" i="3"/>
  <c r="H3059" i="3"/>
  <c r="G3059" i="3"/>
  <c r="F3059" i="3"/>
  <c r="E3059" i="3"/>
  <c r="D3059" i="3"/>
  <c r="C3059" i="3"/>
  <c r="B3059" i="3"/>
  <c r="A3059" i="3"/>
  <c r="M3058" i="3"/>
  <c r="L3058" i="3"/>
  <c r="K3058" i="3"/>
  <c r="J3058" i="3"/>
  <c r="I3058" i="3"/>
  <c r="H3058" i="3"/>
  <c r="G3058" i="3"/>
  <c r="F3058" i="3"/>
  <c r="E3058" i="3"/>
  <c r="D3058" i="3"/>
  <c r="C3058" i="3"/>
  <c r="B3058" i="3"/>
  <c r="A3058" i="3"/>
  <c r="M3057" i="3"/>
  <c r="L3057" i="3"/>
  <c r="K3057" i="3"/>
  <c r="J3057" i="3"/>
  <c r="I3057" i="3"/>
  <c r="H3057" i="3"/>
  <c r="G3057" i="3"/>
  <c r="F3057" i="3"/>
  <c r="E3057" i="3"/>
  <c r="D3057" i="3"/>
  <c r="C3057" i="3"/>
  <c r="B3057" i="3"/>
  <c r="A3057" i="3"/>
  <c r="M3056" i="3"/>
  <c r="L3056" i="3"/>
  <c r="K3056" i="3"/>
  <c r="J3056" i="3"/>
  <c r="I3056" i="3"/>
  <c r="H3056" i="3"/>
  <c r="G3056" i="3"/>
  <c r="F3056" i="3"/>
  <c r="E3056" i="3"/>
  <c r="D3056" i="3"/>
  <c r="C3056" i="3"/>
  <c r="B3056" i="3"/>
  <c r="A3056" i="3"/>
  <c r="M3055" i="3"/>
  <c r="L3055" i="3"/>
  <c r="K3055" i="3"/>
  <c r="J3055" i="3"/>
  <c r="I3055" i="3"/>
  <c r="H3055" i="3"/>
  <c r="G3055" i="3"/>
  <c r="F3055" i="3"/>
  <c r="E3055" i="3"/>
  <c r="D3055" i="3"/>
  <c r="C3055" i="3"/>
  <c r="B3055" i="3"/>
  <c r="A3055" i="3"/>
  <c r="M3054" i="3"/>
  <c r="L3054" i="3"/>
  <c r="K3054" i="3"/>
  <c r="J3054" i="3"/>
  <c r="I3054" i="3"/>
  <c r="H3054" i="3"/>
  <c r="G3054" i="3"/>
  <c r="F3054" i="3"/>
  <c r="E3054" i="3"/>
  <c r="D3054" i="3"/>
  <c r="C3054" i="3"/>
  <c r="B3054" i="3"/>
  <c r="A3054" i="3"/>
  <c r="M3053" i="3"/>
  <c r="L3053" i="3"/>
  <c r="K3053" i="3"/>
  <c r="J3053" i="3"/>
  <c r="I3053" i="3"/>
  <c r="H3053" i="3"/>
  <c r="G3053" i="3"/>
  <c r="F3053" i="3"/>
  <c r="E3053" i="3"/>
  <c r="D3053" i="3"/>
  <c r="C3053" i="3"/>
  <c r="B3053" i="3"/>
  <c r="A3053" i="3"/>
  <c r="M3052" i="3"/>
  <c r="L3052" i="3"/>
  <c r="K3052" i="3"/>
  <c r="J3052" i="3"/>
  <c r="I3052" i="3"/>
  <c r="H3052" i="3"/>
  <c r="G3052" i="3"/>
  <c r="F3052" i="3"/>
  <c r="E3052" i="3"/>
  <c r="D3052" i="3"/>
  <c r="C3052" i="3"/>
  <c r="B3052" i="3"/>
  <c r="A3052" i="3"/>
  <c r="M3051" i="3"/>
  <c r="L3051" i="3"/>
  <c r="K3051" i="3"/>
  <c r="J3051" i="3"/>
  <c r="I3051" i="3"/>
  <c r="H3051" i="3"/>
  <c r="G3051" i="3"/>
  <c r="F3051" i="3"/>
  <c r="E3051" i="3"/>
  <c r="D3051" i="3"/>
  <c r="C3051" i="3"/>
  <c r="B3051" i="3"/>
  <c r="A3051" i="3"/>
  <c r="M3050" i="3"/>
  <c r="L3050" i="3"/>
  <c r="K3050" i="3"/>
  <c r="J3050" i="3"/>
  <c r="I3050" i="3"/>
  <c r="H3050" i="3"/>
  <c r="F3050" i="3"/>
  <c r="E3050" i="3"/>
  <c r="D3050" i="3"/>
  <c r="C3050" i="3"/>
  <c r="B3050" i="3"/>
  <c r="A3050" i="3"/>
  <c r="M3049" i="3"/>
  <c r="L3049" i="3"/>
  <c r="K3049" i="3"/>
  <c r="J3049" i="3"/>
  <c r="I3049" i="3"/>
  <c r="H3049" i="3"/>
  <c r="G3049" i="3"/>
  <c r="F3049" i="3"/>
  <c r="E3049" i="3"/>
  <c r="D3049" i="3"/>
  <c r="C3049" i="3"/>
  <c r="B3049" i="3"/>
  <c r="A3049" i="3"/>
  <c r="M3048" i="3"/>
  <c r="L3048" i="3"/>
  <c r="K3048" i="3"/>
  <c r="J3048" i="3"/>
  <c r="I3048" i="3"/>
  <c r="H3048" i="3"/>
  <c r="G3048" i="3"/>
  <c r="F3048" i="3"/>
  <c r="E3048" i="3"/>
  <c r="D3048" i="3"/>
  <c r="C3048" i="3"/>
  <c r="B3048" i="3"/>
  <c r="A3048" i="3"/>
  <c r="M3047" i="3"/>
  <c r="L3047" i="3"/>
  <c r="K3047" i="3"/>
  <c r="J3047" i="3"/>
  <c r="I3047" i="3"/>
  <c r="H3047" i="3"/>
  <c r="G3047" i="3"/>
  <c r="F3047" i="3"/>
  <c r="E3047" i="3"/>
  <c r="D3047" i="3"/>
  <c r="C3047" i="3"/>
  <c r="B3047" i="3"/>
  <c r="A3047" i="3"/>
  <c r="M3046" i="3"/>
  <c r="L3046" i="3"/>
  <c r="K3046" i="3"/>
  <c r="J3046" i="3"/>
  <c r="I3046" i="3"/>
  <c r="H3046" i="3"/>
  <c r="G3046" i="3"/>
  <c r="F3046" i="3"/>
  <c r="E3046" i="3"/>
  <c r="D3046" i="3"/>
  <c r="C3046" i="3"/>
  <c r="B3046" i="3"/>
  <c r="A3046" i="3"/>
  <c r="M3045" i="3"/>
  <c r="L3045" i="3"/>
  <c r="K3045" i="3"/>
  <c r="J3045" i="3"/>
  <c r="I3045" i="3"/>
  <c r="H3045" i="3"/>
  <c r="G3045" i="3"/>
  <c r="F3045" i="3"/>
  <c r="E3045" i="3"/>
  <c r="D3045" i="3"/>
  <c r="C3045" i="3"/>
  <c r="B3045" i="3"/>
  <c r="A3045" i="3"/>
  <c r="M3044" i="3"/>
  <c r="L3044" i="3"/>
  <c r="K3044" i="3"/>
  <c r="J3044" i="3"/>
  <c r="I3044" i="3"/>
  <c r="H3044" i="3"/>
  <c r="G3044" i="3"/>
  <c r="F3044" i="3"/>
  <c r="E3044" i="3"/>
  <c r="D3044" i="3"/>
  <c r="C3044" i="3"/>
  <c r="B3044" i="3"/>
  <c r="A3044" i="3"/>
  <c r="M3043" i="3"/>
  <c r="L3043" i="3"/>
  <c r="K3043" i="3"/>
  <c r="J3043" i="3"/>
  <c r="I3043" i="3"/>
  <c r="H3043" i="3"/>
  <c r="G3043" i="3"/>
  <c r="F3043" i="3"/>
  <c r="E3043" i="3"/>
  <c r="D3043" i="3"/>
  <c r="C3043" i="3"/>
  <c r="B3043" i="3"/>
  <c r="A3043" i="3"/>
  <c r="M3042" i="3"/>
  <c r="L3042" i="3"/>
  <c r="K3042" i="3"/>
  <c r="J3042" i="3"/>
  <c r="I3042" i="3"/>
  <c r="H3042" i="3"/>
  <c r="G3042" i="3"/>
  <c r="F3042" i="3"/>
  <c r="E3042" i="3"/>
  <c r="D3042" i="3"/>
  <c r="C3042" i="3"/>
  <c r="B3042" i="3"/>
  <c r="A3042" i="3"/>
  <c r="M3041" i="3"/>
  <c r="L3041" i="3"/>
  <c r="K3041" i="3"/>
  <c r="J3041" i="3"/>
  <c r="I3041" i="3"/>
  <c r="H3041" i="3"/>
  <c r="G3041" i="3"/>
  <c r="F3041" i="3"/>
  <c r="E3041" i="3"/>
  <c r="D3041" i="3"/>
  <c r="C3041" i="3"/>
  <c r="B3041" i="3"/>
  <c r="A3041" i="3"/>
  <c r="M3040" i="3"/>
  <c r="L3040" i="3"/>
  <c r="K3040" i="3"/>
  <c r="J3040" i="3"/>
  <c r="I3040" i="3"/>
  <c r="H3040" i="3"/>
  <c r="G3040" i="3"/>
  <c r="F3040" i="3"/>
  <c r="E3040" i="3"/>
  <c r="D3040" i="3"/>
  <c r="C3040" i="3"/>
  <c r="B3040" i="3"/>
  <c r="A3040" i="3"/>
  <c r="M3039" i="3"/>
  <c r="L3039" i="3"/>
  <c r="K3039" i="3"/>
  <c r="J3039" i="3"/>
  <c r="I3039" i="3"/>
  <c r="H3039" i="3"/>
  <c r="G3039" i="3"/>
  <c r="F3039" i="3"/>
  <c r="E3039" i="3"/>
  <c r="D3039" i="3"/>
  <c r="C3039" i="3"/>
  <c r="B3039" i="3"/>
  <c r="A3039" i="3"/>
  <c r="M3038" i="3"/>
  <c r="L3038" i="3"/>
  <c r="K3038" i="3"/>
  <c r="J3038" i="3"/>
  <c r="I3038" i="3"/>
  <c r="H3038" i="3"/>
  <c r="G3038" i="3"/>
  <c r="F3038" i="3"/>
  <c r="E3038" i="3"/>
  <c r="D3038" i="3"/>
  <c r="C3038" i="3"/>
  <c r="B3038" i="3"/>
  <c r="A3038" i="3"/>
  <c r="M3037" i="3"/>
  <c r="L3037" i="3"/>
  <c r="K3037" i="3"/>
  <c r="J3037" i="3"/>
  <c r="I3037" i="3"/>
  <c r="H3037" i="3"/>
  <c r="G3037" i="3"/>
  <c r="F3037" i="3"/>
  <c r="E3037" i="3"/>
  <c r="D3037" i="3"/>
  <c r="C3037" i="3"/>
  <c r="B3037" i="3"/>
  <c r="A3037" i="3"/>
  <c r="M3036" i="3"/>
  <c r="L3036" i="3"/>
  <c r="K3036" i="3"/>
  <c r="J3036" i="3"/>
  <c r="I3036" i="3"/>
  <c r="H3036" i="3"/>
  <c r="G3036" i="3"/>
  <c r="F3036" i="3"/>
  <c r="E3036" i="3"/>
  <c r="D3036" i="3"/>
  <c r="C3036" i="3"/>
  <c r="B3036" i="3"/>
  <c r="A3036" i="3"/>
  <c r="M3035" i="3"/>
  <c r="L3035" i="3"/>
  <c r="K3035" i="3"/>
  <c r="J3035" i="3"/>
  <c r="I3035" i="3"/>
  <c r="H3035" i="3"/>
  <c r="G3035" i="3"/>
  <c r="F3035" i="3"/>
  <c r="E3035" i="3"/>
  <c r="D3035" i="3"/>
  <c r="C3035" i="3"/>
  <c r="B3035" i="3"/>
  <c r="A3035" i="3"/>
  <c r="M3034" i="3"/>
  <c r="L3034" i="3"/>
  <c r="K3034" i="3"/>
  <c r="J3034" i="3"/>
  <c r="I3034" i="3"/>
  <c r="H3034" i="3"/>
  <c r="G3034" i="3"/>
  <c r="F3034" i="3"/>
  <c r="E3034" i="3"/>
  <c r="D3034" i="3"/>
  <c r="C3034" i="3"/>
  <c r="B3034" i="3"/>
  <c r="A3034" i="3"/>
  <c r="M3033" i="3"/>
  <c r="L3033" i="3"/>
  <c r="K3033" i="3"/>
  <c r="J3033" i="3"/>
  <c r="I3033" i="3"/>
  <c r="H3033" i="3"/>
  <c r="G3033" i="3"/>
  <c r="F3033" i="3"/>
  <c r="E3033" i="3"/>
  <c r="D3033" i="3"/>
  <c r="C3033" i="3"/>
  <c r="B3033" i="3"/>
  <c r="A3033" i="3"/>
  <c r="M3032" i="3"/>
  <c r="L3032" i="3"/>
  <c r="K3032" i="3"/>
  <c r="J3032" i="3"/>
  <c r="I3032" i="3"/>
  <c r="H3032" i="3"/>
  <c r="G3032" i="3"/>
  <c r="F3032" i="3"/>
  <c r="E3032" i="3"/>
  <c r="D3032" i="3"/>
  <c r="C3032" i="3"/>
  <c r="B3032" i="3"/>
  <c r="A3032" i="3"/>
  <c r="M3031" i="3"/>
  <c r="L3031" i="3"/>
  <c r="K3031" i="3"/>
  <c r="J3031" i="3"/>
  <c r="I3031" i="3"/>
  <c r="H3031" i="3"/>
  <c r="G3031" i="3"/>
  <c r="F3031" i="3"/>
  <c r="E3031" i="3"/>
  <c r="D3031" i="3"/>
  <c r="C3031" i="3"/>
  <c r="B3031" i="3"/>
  <c r="A3031" i="3"/>
  <c r="M3030" i="3"/>
  <c r="L3030" i="3"/>
  <c r="K3030" i="3"/>
  <c r="J3030" i="3"/>
  <c r="I3030" i="3"/>
  <c r="H3030" i="3"/>
  <c r="G3030" i="3"/>
  <c r="F3030" i="3"/>
  <c r="E3030" i="3"/>
  <c r="D3030" i="3"/>
  <c r="C3030" i="3"/>
  <c r="B3030" i="3"/>
  <c r="A3030" i="3"/>
  <c r="M3029" i="3"/>
  <c r="L3029" i="3"/>
  <c r="K3029" i="3"/>
  <c r="J3029" i="3"/>
  <c r="I3029" i="3"/>
  <c r="H3029" i="3"/>
  <c r="G3029" i="3"/>
  <c r="F3029" i="3"/>
  <c r="E3029" i="3"/>
  <c r="D3029" i="3"/>
  <c r="C3029" i="3"/>
  <c r="B3029" i="3"/>
  <c r="A3029" i="3"/>
  <c r="M3028" i="3"/>
  <c r="L3028" i="3"/>
  <c r="K3028" i="3"/>
  <c r="J3028" i="3"/>
  <c r="I3028" i="3"/>
  <c r="H3028" i="3"/>
  <c r="G3028" i="3"/>
  <c r="F3028" i="3"/>
  <c r="E3028" i="3"/>
  <c r="D3028" i="3"/>
  <c r="C3028" i="3"/>
  <c r="B3028" i="3"/>
  <c r="A3028" i="3"/>
  <c r="M3027" i="3"/>
  <c r="L3027" i="3"/>
  <c r="K3027" i="3"/>
  <c r="J3027" i="3"/>
  <c r="I3027" i="3"/>
  <c r="H3027" i="3"/>
  <c r="G3027" i="3"/>
  <c r="F3027" i="3"/>
  <c r="E3027" i="3"/>
  <c r="D3027" i="3"/>
  <c r="C3027" i="3"/>
  <c r="B3027" i="3"/>
  <c r="A3027" i="3"/>
  <c r="M3026" i="3"/>
  <c r="L3026" i="3"/>
  <c r="K3026" i="3"/>
  <c r="J3026" i="3"/>
  <c r="I3026" i="3"/>
  <c r="H3026" i="3"/>
  <c r="G3026" i="3"/>
  <c r="F3026" i="3"/>
  <c r="E3026" i="3"/>
  <c r="D3026" i="3"/>
  <c r="C3026" i="3"/>
  <c r="B3026" i="3"/>
  <c r="A3026" i="3"/>
  <c r="M3025" i="3"/>
  <c r="L3025" i="3"/>
  <c r="K3025" i="3"/>
  <c r="J3025" i="3"/>
  <c r="I3025" i="3"/>
  <c r="H3025" i="3"/>
  <c r="G3025" i="3"/>
  <c r="F3025" i="3"/>
  <c r="E3025" i="3"/>
  <c r="D3025" i="3"/>
  <c r="C3025" i="3"/>
  <c r="B3025" i="3"/>
  <c r="A3025" i="3"/>
  <c r="M3024" i="3"/>
  <c r="L3024" i="3"/>
  <c r="K3024" i="3"/>
  <c r="J3024" i="3"/>
  <c r="I3024" i="3"/>
  <c r="H3024" i="3"/>
  <c r="G3024" i="3"/>
  <c r="F3024" i="3"/>
  <c r="E3024" i="3"/>
  <c r="D3024" i="3"/>
  <c r="C3024" i="3"/>
  <c r="B3024" i="3"/>
  <c r="A3024" i="3"/>
  <c r="M3023" i="3"/>
  <c r="L3023" i="3"/>
  <c r="K3023" i="3"/>
  <c r="J3023" i="3"/>
  <c r="I3023" i="3"/>
  <c r="H3023" i="3"/>
  <c r="F3023" i="3"/>
  <c r="E3023" i="3"/>
  <c r="D3023" i="3"/>
  <c r="C3023" i="3"/>
  <c r="B3023" i="3"/>
  <c r="A3023" i="3"/>
  <c r="M3022" i="3"/>
  <c r="L3022" i="3"/>
  <c r="K3022" i="3"/>
  <c r="J3022" i="3"/>
  <c r="I3022" i="3"/>
  <c r="H3022" i="3"/>
  <c r="G3022" i="3"/>
  <c r="F3022" i="3"/>
  <c r="E3022" i="3"/>
  <c r="D3022" i="3"/>
  <c r="C3022" i="3"/>
  <c r="B3022" i="3"/>
  <c r="A3022" i="3"/>
  <c r="M3021" i="3"/>
  <c r="L3021" i="3"/>
  <c r="K3021" i="3"/>
  <c r="J3021" i="3"/>
  <c r="I3021" i="3"/>
  <c r="H3021" i="3"/>
  <c r="G3021" i="3"/>
  <c r="F3021" i="3"/>
  <c r="E3021" i="3"/>
  <c r="D3021" i="3"/>
  <c r="C3021" i="3"/>
  <c r="B3021" i="3"/>
  <c r="A3021" i="3"/>
  <c r="M3020" i="3"/>
  <c r="L3020" i="3"/>
  <c r="K3020" i="3"/>
  <c r="J3020" i="3"/>
  <c r="I3020" i="3"/>
  <c r="H3020" i="3"/>
  <c r="G3020" i="3"/>
  <c r="F3020" i="3"/>
  <c r="E3020" i="3"/>
  <c r="D3020" i="3"/>
  <c r="C3020" i="3"/>
  <c r="B3020" i="3"/>
  <c r="A3020" i="3"/>
  <c r="M3019" i="3"/>
  <c r="L3019" i="3"/>
  <c r="K3019" i="3"/>
  <c r="J3019" i="3"/>
  <c r="I3019" i="3"/>
  <c r="H3019" i="3"/>
  <c r="G3019" i="3"/>
  <c r="F3019" i="3"/>
  <c r="E3019" i="3"/>
  <c r="D3019" i="3"/>
  <c r="B3019" i="3"/>
  <c r="A3019" i="3"/>
  <c r="M3018" i="3"/>
  <c r="L3018" i="3"/>
  <c r="K3018" i="3"/>
  <c r="J3018" i="3"/>
  <c r="I3018" i="3"/>
  <c r="H3018" i="3"/>
  <c r="G3018" i="3"/>
  <c r="F3018" i="3"/>
  <c r="E3018" i="3"/>
  <c r="D3018" i="3"/>
  <c r="C3018" i="3"/>
  <c r="B3018" i="3"/>
  <c r="A3018" i="3"/>
  <c r="M3017" i="3"/>
  <c r="L3017" i="3"/>
  <c r="K3017" i="3"/>
  <c r="J3017" i="3"/>
  <c r="I3017" i="3"/>
  <c r="H3017" i="3"/>
  <c r="G3017" i="3"/>
  <c r="F3017" i="3"/>
  <c r="E3017" i="3"/>
  <c r="D3017" i="3"/>
  <c r="C3017" i="3"/>
  <c r="B3017" i="3"/>
  <c r="A3017" i="3"/>
  <c r="M3016" i="3"/>
  <c r="L3016" i="3"/>
  <c r="K3016" i="3"/>
  <c r="J3016" i="3"/>
  <c r="I3016" i="3"/>
  <c r="H3016" i="3"/>
  <c r="G3016" i="3"/>
  <c r="F3016" i="3"/>
  <c r="E3016" i="3"/>
  <c r="D3016" i="3"/>
  <c r="C3016" i="3"/>
  <c r="B3016" i="3"/>
  <c r="A3016" i="3"/>
  <c r="M3015" i="3"/>
  <c r="L3015" i="3"/>
  <c r="K3015" i="3"/>
  <c r="J3015" i="3"/>
  <c r="I3015" i="3"/>
  <c r="H3015" i="3"/>
  <c r="F3015" i="3"/>
  <c r="E3015" i="3"/>
  <c r="D3015" i="3"/>
  <c r="C3015" i="3"/>
  <c r="B3015" i="3"/>
  <c r="A3015" i="3"/>
  <c r="M3014" i="3"/>
  <c r="L3014" i="3"/>
  <c r="K3014" i="3"/>
  <c r="J3014" i="3"/>
  <c r="I3014" i="3"/>
  <c r="H3014" i="3"/>
  <c r="F3014" i="3"/>
  <c r="E3014" i="3"/>
  <c r="D3014" i="3"/>
  <c r="C3014" i="3"/>
  <c r="B3014" i="3"/>
  <c r="A3014" i="3"/>
  <c r="M3013" i="3"/>
  <c r="L3013" i="3"/>
  <c r="K3013" i="3"/>
  <c r="J3013" i="3"/>
  <c r="I3013" i="3"/>
  <c r="H3013" i="3"/>
  <c r="G3013" i="3"/>
  <c r="F3013" i="3"/>
  <c r="E3013" i="3"/>
  <c r="D3013" i="3"/>
  <c r="C3013" i="3"/>
  <c r="B3013" i="3"/>
  <c r="A3013" i="3"/>
  <c r="M3012" i="3"/>
  <c r="L3012" i="3"/>
  <c r="K3012" i="3"/>
  <c r="J3012" i="3"/>
  <c r="I3012" i="3"/>
  <c r="H3012" i="3"/>
  <c r="G3012" i="3"/>
  <c r="F3012" i="3"/>
  <c r="E3012" i="3"/>
  <c r="D3012" i="3"/>
  <c r="C3012" i="3"/>
  <c r="B3012" i="3"/>
  <c r="A3012" i="3"/>
  <c r="M3011" i="3"/>
  <c r="L3011" i="3"/>
  <c r="K3011" i="3"/>
  <c r="J3011" i="3"/>
  <c r="I3011" i="3"/>
  <c r="H3011" i="3"/>
  <c r="G3011" i="3"/>
  <c r="F3011" i="3"/>
  <c r="E3011" i="3"/>
  <c r="D3011" i="3"/>
  <c r="C3011" i="3"/>
  <c r="B3011" i="3"/>
  <c r="A3011" i="3"/>
  <c r="M3010" i="3"/>
  <c r="L3010" i="3"/>
  <c r="K3010" i="3"/>
  <c r="J3010" i="3"/>
  <c r="I3010" i="3"/>
  <c r="H3010" i="3"/>
  <c r="G3010" i="3"/>
  <c r="F3010" i="3"/>
  <c r="E3010" i="3"/>
  <c r="D3010" i="3"/>
  <c r="C3010" i="3"/>
  <c r="B3010" i="3"/>
  <c r="A3010" i="3"/>
  <c r="M3009" i="3"/>
  <c r="L3009" i="3"/>
  <c r="K3009" i="3"/>
  <c r="J3009" i="3"/>
  <c r="I3009" i="3"/>
  <c r="H3009" i="3"/>
  <c r="G3009" i="3"/>
  <c r="F3009" i="3"/>
  <c r="E3009" i="3"/>
  <c r="D3009" i="3"/>
  <c r="C3009" i="3"/>
  <c r="B3009" i="3"/>
  <c r="A3009" i="3"/>
  <c r="M3008" i="3"/>
  <c r="L3008" i="3"/>
  <c r="K3008" i="3"/>
  <c r="J3008" i="3"/>
  <c r="I3008" i="3"/>
  <c r="H3008" i="3"/>
  <c r="G3008" i="3"/>
  <c r="F3008" i="3"/>
  <c r="E3008" i="3"/>
  <c r="D3008" i="3"/>
  <c r="C3008" i="3"/>
  <c r="B3008" i="3"/>
  <c r="A3008" i="3"/>
  <c r="M3007" i="3"/>
  <c r="L3007" i="3"/>
  <c r="K3007" i="3"/>
  <c r="J3007" i="3"/>
  <c r="I3007" i="3"/>
  <c r="H3007" i="3"/>
  <c r="G3007" i="3"/>
  <c r="F3007" i="3"/>
  <c r="D3007" i="3"/>
  <c r="C3007" i="3"/>
  <c r="B3007" i="3"/>
  <c r="A3007" i="3"/>
  <c r="M3006" i="3"/>
  <c r="L3006" i="3"/>
  <c r="K3006" i="3"/>
  <c r="J3006" i="3"/>
  <c r="I3006" i="3"/>
  <c r="H3006" i="3"/>
  <c r="G3006" i="3"/>
  <c r="F3006" i="3"/>
  <c r="E3006" i="3"/>
  <c r="D3006" i="3"/>
  <c r="C3006" i="3"/>
  <c r="B3006" i="3"/>
  <c r="A3006" i="3"/>
  <c r="M3005" i="3"/>
  <c r="L3005" i="3"/>
  <c r="K3005" i="3"/>
  <c r="J3005" i="3"/>
  <c r="I3005" i="3"/>
  <c r="H3005" i="3"/>
  <c r="G3005" i="3"/>
  <c r="F3005" i="3"/>
  <c r="E3005" i="3"/>
  <c r="D3005" i="3"/>
  <c r="C3005" i="3"/>
  <c r="B3005" i="3"/>
  <c r="A3005" i="3"/>
  <c r="M3004" i="3"/>
  <c r="L3004" i="3"/>
  <c r="K3004" i="3"/>
  <c r="J3004" i="3"/>
  <c r="I3004" i="3"/>
  <c r="H3004" i="3"/>
  <c r="G3004" i="3"/>
  <c r="F3004" i="3"/>
  <c r="E3004" i="3"/>
  <c r="D3004" i="3"/>
  <c r="C3004" i="3"/>
  <c r="B3004" i="3"/>
  <c r="A3004" i="3"/>
  <c r="M3003" i="3"/>
  <c r="L3003" i="3"/>
  <c r="K3003" i="3"/>
  <c r="J3003" i="3"/>
  <c r="I3003" i="3"/>
  <c r="H3003" i="3"/>
  <c r="G3003" i="3"/>
  <c r="F3003" i="3"/>
  <c r="E3003" i="3"/>
  <c r="D3003" i="3"/>
  <c r="C3003" i="3"/>
  <c r="B3003" i="3"/>
  <c r="A3003" i="3"/>
  <c r="M3002" i="3"/>
  <c r="L3002" i="3"/>
  <c r="K3002" i="3"/>
  <c r="J3002" i="3"/>
  <c r="I3002" i="3"/>
  <c r="H3002" i="3"/>
  <c r="G3002" i="3"/>
  <c r="F3002" i="3"/>
  <c r="E3002" i="3"/>
  <c r="D3002" i="3"/>
  <c r="C3002" i="3"/>
  <c r="B3002" i="3"/>
  <c r="A3002" i="3"/>
  <c r="M3001" i="3"/>
  <c r="L3001" i="3"/>
  <c r="K3001" i="3"/>
  <c r="J3001" i="3"/>
  <c r="I3001" i="3"/>
  <c r="H3001" i="3"/>
  <c r="G3001" i="3"/>
  <c r="F3001" i="3"/>
  <c r="E3001" i="3"/>
  <c r="D3001" i="3"/>
  <c r="C3001" i="3"/>
  <c r="B3001" i="3"/>
  <c r="A3001" i="3"/>
  <c r="M3000" i="3"/>
  <c r="L3000" i="3"/>
  <c r="K3000" i="3"/>
  <c r="J3000" i="3"/>
  <c r="I3000" i="3"/>
  <c r="H3000" i="3"/>
  <c r="G3000" i="3"/>
  <c r="F3000" i="3"/>
  <c r="E3000" i="3"/>
  <c r="D3000" i="3"/>
  <c r="B3000" i="3"/>
  <c r="A3000" i="3"/>
  <c r="M2999" i="3"/>
  <c r="L2999" i="3"/>
  <c r="K2999" i="3"/>
  <c r="J2999" i="3"/>
  <c r="I2999" i="3"/>
  <c r="H2999" i="3"/>
  <c r="G2999" i="3"/>
  <c r="F2999" i="3"/>
  <c r="E2999" i="3"/>
  <c r="D2999" i="3"/>
  <c r="C2999" i="3"/>
  <c r="B2999" i="3"/>
  <c r="A2999" i="3"/>
  <c r="M2998" i="3"/>
  <c r="L2998" i="3"/>
  <c r="K2998" i="3"/>
  <c r="J2998" i="3"/>
  <c r="I2998" i="3"/>
  <c r="H2998" i="3"/>
  <c r="G2998" i="3"/>
  <c r="F2998" i="3"/>
  <c r="E2998" i="3"/>
  <c r="D2998" i="3"/>
  <c r="C2998" i="3"/>
  <c r="B2998" i="3"/>
  <c r="A2998" i="3"/>
  <c r="M2997" i="3"/>
  <c r="L2997" i="3"/>
  <c r="K2997" i="3"/>
  <c r="J2997" i="3"/>
  <c r="I2997" i="3"/>
  <c r="H2997" i="3"/>
  <c r="G2997" i="3"/>
  <c r="F2997" i="3"/>
  <c r="E2997" i="3"/>
  <c r="D2997" i="3"/>
  <c r="C2997" i="3"/>
  <c r="B2997" i="3"/>
  <c r="A2997" i="3"/>
  <c r="M2996" i="3"/>
  <c r="L2996" i="3"/>
  <c r="K2996" i="3"/>
  <c r="J2996" i="3"/>
  <c r="I2996" i="3"/>
  <c r="H2996" i="3"/>
  <c r="G2996" i="3"/>
  <c r="F2996" i="3"/>
  <c r="E2996" i="3"/>
  <c r="D2996" i="3"/>
  <c r="C2996" i="3"/>
  <c r="B2996" i="3"/>
  <c r="A2996" i="3"/>
  <c r="M2995" i="3"/>
  <c r="L2995" i="3"/>
  <c r="K2995" i="3"/>
  <c r="J2995" i="3"/>
  <c r="I2995" i="3"/>
  <c r="H2995" i="3"/>
  <c r="G2995" i="3"/>
  <c r="F2995" i="3"/>
  <c r="E2995" i="3"/>
  <c r="D2995" i="3"/>
  <c r="C2995" i="3"/>
  <c r="B2995" i="3"/>
  <c r="A2995" i="3"/>
  <c r="M2994" i="3"/>
  <c r="L2994" i="3"/>
  <c r="K2994" i="3"/>
  <c r="J2994" i="3"/>
  <c r="I2994" i="3"/>
  <c r="H2994" i="3"/>
  <c r="G2994" i="3"/>
  <c r="F2994" i="3"/>
  <c r="E2994" i="3"/>
  <c r="D2994" i="3"/>
  <c r="C2994" i="3"/>
  <c r="B2994" i="3"/>
  <c r="A2994" i="3"/>
  <c r="M2993" i="3"/>
  <c r="L2993" i="3"/>
  <c r="K2993" i="3"/>
  <c r="J2993" i="3"/>
  <c r="I2993" i="3"/>
  <c r="H2993" i="3"/>
  <c r="G2993" i="3"/>
  <c r="F2993" i="3"/>
  <c r="E2993" i="3"/>
  <c r="D2993" i="3"/>
  <c r="C2993" i="3"/>
  <c r="B2993" i="3"/>
  <c r="A2993" i="3"/>
  <c r="M2992" i="3"/>
  <c r="L2992" i="3"/>
  <c r="K2992" i="3"/>
  <c r="J2992" i="3"/>
  <c r="I2992" i="3"/>
  <c r="H2992" i="3"/>
  <c r="G2992" i="3"/>
  <c r="F2992" i="3"/>
  <c r="E2992" i="3"/>
  <c r="D2992" i="3"/>
  <c r="C2992" i="3"/>
  <c r="B2992" i="3"/>
  <c r="A2992" i="3"/>
  <c r="M2991" i="3"/>
  <c r="L2991" i="3"/>
  <c r="K2991" i="3"/>
  <c r="J2991" i="3"/>
  <c r="I2991" i="3"/>
  <c r="H2991" i="3"/>
  <c r="G2991" i="3"/>
  <c r="F2991" i="3"/>
  <c r="E2991" i="3"/>
  <c r="D2991" i="3"/>
  <c r="C2991" i="3"/>
  <c r="B2991" i="3"/>
  <c r="A2991" i="3"/>
  <c r="M2990" i="3"/>
  <c r="L2990" i="3"/>
  <c r="K2990" i="3"/>
  <c r="J2990" i="3"/>
  <c r="I2990" i="3"/>
  <c r="H2990" i="3"/>
  <c r="G2990" i="3"/>
  <c r="F2990" i="3"/>
  <c r="E2990" i="3"/>
  <c r="D2990" i="3"/>
  <c r="C2990" i="3"/>
  <c r="B2990" i="3"/>
  <c r="A2990" i="3"/>
  <c r="M2989" i="3"/>
  <c r="L2989" i="3"/>
  <c r="K2989" i="3"/>
  <c r="J2989" i="3"/>
  <c r="I2989" i="3"/>
  <c r="H2989" i="3"/>
  <c r="G2989" i="3"/>
  <c r="F2989" i="3"/>
  <c r="E2989" i="3"/>
  <c r="D2989" i="3"/>
  <c r="C2989" i="3"/>
  <c r="B2989" i="3"/>
  <c r="A2989" i="3"/>
  <c r="M2988" i="3"/>
  <c r="L2988" i="3"/>
  <c r="K2988" i="3"/>
  <c r="J2988" i="3"/>
  <c r="I2988" i="3"/>
  <c r="H2988" i="3"/>
  <c r="G2988" i="3"/>
  <c r="F2988" i="3"/>
  <c r="E2988" i="3"/>
  <c r="D2988" i="3"/>
  <c r="C2988" i="3"/>
  <c r="B2988" i="3"/>
  <c r="A2988" i="3"/>
  <c r="M2987" i="3"/>
  <c r="L2987" i="3"/>
  <c r="K2987" i="3"/>
  <c r="J2987" i="3"/>
  <c r="I2987" i="3"/>
  <c r="H2987" i="3"/>
  <c r="G2987" i="3"/>
  <c r="F2987" i="3"/>
  <c r="E2987" i="3"/>
  <c r="D2987" i="3"/>
  <c r="C2987" i="3"/>
  <c r="B2987" i="3"/>
  <c r="A2987" i="3"/>
  <c r="M2986" i="3"/>
  <c r="L2986" i="3"/>
  <c r="K2986" i="3"/>
  <c r="J2986" i="3"/>
  <c r="I2986" i="3"/>
  <c r="H2986" i="3"/>
  <c r="G2986" i="3"/>
  <c r="F2986" i="3"/>
  <c r="E2986" i="3"/>
  <c r="D2986" i="3"/>
  <c r="C2986" i="3"/>
  <c r="B2986" i="3"/>
  <c r="A2986" i="3"/>
  <c r="M2985" i="3"/>
  <c r="L2985" i="3"/>
  <c r="K2985" i="3"/>
  <c r="J2985" i="3"/>
  <c r="I2985" i="3"/>
  <c r="H2985" i="3"/>
  <c r="G2985" i="3"/>
  <c r="F2985" i="3"/>
  <c r="E2985" i="3"/>
  <c r="D2985" i="3"/>
  <c r="C2985" i="3"/>
  <c r="B2985" i="3"/>
  <c r="A2985" i="3"/>
  <c r="M2984" i="3"/>
  <c r="L2984" i="3"/>
  <c r="K2984" i="3"/>
  <c r="J2984" i="3"/>
  <c r="I2984" i="3"/>
  <c r="H2984" i="3"/>
  <c r="G2984" i="3"/>
  <c r="F2984" i="3"/>
  <c r="E2984" i="3"/>
  <c r="D2984" i="3"/>
  <c r="C2984" i="3"/>
  <c r="B2984" i="3"/>
  <c r="A2984" i="3"/>
  <c r="M2983" i="3"/>
  <c r="L2983" i="3"/>
  <c r="K2983" i="3"/>
  <c r="J2983" i="3"/>
  <c r="I2983" i="3"/>
  <c r="H2983" i="3"/>
  <c r="G2983" i="3"/>
  <c r="F2983" i="3"/>
  <c r="E2983" i="3"/>
  <c r="D2983" i="3"/>
  <c r="C2983" i="3"/>
  <c r="B2983" i="3"/>
  <c r="A2983" i="3"/>
  <c r="M2982" i="3"/>
  <c r="L2982" i="3"/>
  <c r="K2982" i="3"/>
  <c r="J2982" i="3"/>
  <c r="I2982" i="3"/>
  <c r="H2982" i="3"/>
  <c r="G2982" i="3"/>
  <c r="F2982" i="3"/>
  <c r="E2982" i="3"/>
  <c r="D2982" i="3"/>
  <c r="C2982" i="3"/>
  <c r="B2982" i="3"/>
  <c r="A2982" i="3"/>
  <c r="M2981" i="3"/>
  <c r="L2981" i="3"/>
  <c r="K2981" i="3"/>
  <c r="J2981" i="3"/>
  <c r="I2981" i="3"/>
  <c r="H2981" i="3"/>
  <c r="G2981" i="3"/>
  <c r="F2981" i="3"/>
  <c r="E2981" i="3"/>
  <c r="D2981" i="3"/>
  <c r="C2981" i="3"/>
  <c r="B2981" i="3"/>
  <c r="A2981" i="3"/>
  <c r="M2980" i="3"/>
  <c r="L2980" i="3"/>
  <c r="K2980" i="3"/>
  <c r="J2980" i="3"/>
  <c r="I2980" i="3"/>
  <c r="H2980" i="3"/>
  <c r="G2980" i="3"/>
  <c r="F2980" i="3"/>
  <c r="E2980" i="3"/>
  <c r="D2980" i="3"/>
  <c r="C2980" i="3"/>
  <c r="B2980" i="3"/>
  <c r="A2980" i="3"/>
  <c r="M2979" i="3"/>
  <c r="L2979" i="3"/>
  <c r="K2979" i="3"/>
  <c r="J2979" i="3"/>
  <c r="I2979" i="3"/>
  <c r="H2979" i="3"/>
  <c r="G2979" i="3"/>
  <c r="F2979" i="3"/>
  <c r="E2979" i="3"/>
  <c r="D2979" i="3"/>
  <c r="C2979" i="3"/>
  <c r="B2979" i="3"/>
  <c r="A2979" i="3"/>
  <c r="M2978" i="3"/>
  <c r="L2978" i="3"/>
  <c r="K2978" i="3"/>
  <c r="J2978" i="3"/>
  <c r="I2978" i="3"/>
  <c r="H2978" i="3"/>
  <c r="G2978" i="3"/>
  <c r="F2978" i="3"/>
  <c r="E2978" i="3"/>
  <c r="D2978" i="3"/>
  <c r="C2978" i="3"/>
  <c r="B2978" i="3"/>
  <c r="A2978" i="3"/>
  <c r="M2977" i="3"/>
  <c r="L2977" i="3"/>
  <c r="K2977" i="3"/>
  <c r="J2977" i="3"/>
  <c r="I2977" i="3"/>
  <c r="H2977" i="3"/>
  <c r="G2977" i="3"/>
  <c r="F2977" i="3"/>
  <c r="E2977" i="3"/>
  <c r="D2977" i="3"/>
  <c r="C2977" i="3"/>
  <c r="B2977" i="3"/>
  <c r="A2977" i="3"/>
  <c r="M2976" i="3"/>
  <c r="L2976" i="3"/>
  <c r="K2976" i="3"/>
  <c r="J2976" i="3"/>
  <c r="I2976" i="3"/>
  <c r="H2976" i="3"/>
  <c r="G2976" i="3"/>
  <c r="F2976" i="3"/>
  <c r="E2976" i="3"/>
  <c r="D2976" i="3"/>
  <c r="B2976" i="3"/>
  <c r="A2976" i="3"/>
  <c r="M2975" i="3"/>
  <c r="L2975" i="3"/>
  <c r="K2975" i="3"/>
  <c r="J2975" i="3"/>
  <c r="I2975" i="3"/>
  <c r="H2975" i="3"/>
  <c r="G2975" i="3"/>
  <c r="F2975" i="3"/>
  <c r="E2975" i="3"/>
  <c r="D2975" i="3"/>
  <c r="C2975" i="3"/>
  <c r="B2975" i="3"/>
  <c r="A2975" i="3"/>
  <c r="M2974" i="3"/>
  <c r="L2974" i="3"/>
  <c r="K2974" i="3"/>
  <c r="J2974" i="3"/>
  <c r="I2974" i="3"/>
  <c r="H2974" i="3"/>
  <c r="G2974" i="3"/>
  <c r="F2974" i="3"/>
  <c r="E2974" i="3"/>
  <c r="D2974" i="3"/>
  <c r="C2974" i="3"/>
  <c r="B2974" i="3"/>
  <c r="A2974" i="3"/>
  <c r="M2973" i="3"/>
  <c r="L2973" i="3"/>
  <c r="K2973" i="3"/>
  <c r="J2973" i="3"/>
  <c r="I2973" i="3"/>
  <c r="H2973" i="3"/>
  <c r="G2973" i="3"/>
  <c r="F2973" i="3"/>
  <c r="E2973" i="3"/>
  <c r="D2973" i="3"/>
  <c r="C2973" i="3"/>
  <c r="B2973" i="3"/>
  <c r="A2973" i="3"/>
  <c r="M2972" i="3"/>
  <c r="L2972" i="3"/>
  <c r="K2972" i="3"/>
  <c r="J2972" i="3"/>
  <c r="I2972" i="3"/>
  <c r="H2972" i="3"/>
  <c r="G2972" i="3"/>
  <c r="F2972" i="3"/>
  <c r="E2972" i="3"/>
  <c r="D2972" i="3"/>
  <c r="C2972" i="3"/>
  <c r="B2972" i="3"/>
  <c r="A2972" i="3"/>
  <c r="M2971" i="3"/>
  <c r="L2971" i="3"/>
  <c r="K2971" i="3"/>
  <c r="J2971" i="3"/>
  <c r="I2971" i="3"/>
  <c r="H2971" i="3"/>
  <c r="G2971" i="3"/>
  <c r="F2971" i="3"/>
  <c r="E2971" i="3"/>
  <c r="D2971" i="3"/>
  <c r="C2971" i="3"/>
  <c r="B2971" i="3"/>
  <c r="A2971" i="3"/>
  <c r="M2970" i="3"/>
  <c r="L2970" i="3"/>
  <c r="K2970" i="3"/>
  <c r="J2970" i="3"/>
  <c r="I2970" i="3"/>
  <c r="H2970" i="3"/>
  <c r="G2970" i="3"/>
  <c r="F2970" i="3"/>
  <c r="E2970" i="3"/>
  <c r="D2970" i="3"/>
  <c r="C2970" i="3"/>
  <c r="B2970" i="3"/>
  <c r="A2970" i="3"/>
  <c r="M2969" i="3"/>
  <c r="L2969" i="3"/>
  <c r="K2969" i="3"/>
  <c r="J2969" i="3"/>
  <c r="I2969" i="3"/>
  <c r="H2969" i="3"/>
  <c r="G2969" i="3"/>
  <c r="F2969" i="3"/>
  <c r="E2969" i="3"/>
  <c r="D2969" i="3"/>
  <c r="C2969" i="3"/>
  <c r="B2969" i="3"/>
  <c r="A2969" i="3"/>
  <c r="M2968" i="3"/>
  <c r="L2968" i="3"/>
  <c r="K2968" i="3"/>
  <c r="J2968" i="3"/>
  <c r="I2968" i="3"/>
  <c r="H2968" i="3"/>
  <c r="G2968" i="3"/>
  <c r="F2968" i="3"/>
  <c r="E2968" i="3"/>
  <c r="D2968" i="3"/>
  <c r="C2968" i="3"/>
  <c r="B2968" i="3"/>
  <c r="A2968" i="3"/>
  <c r="M2967" i="3"/>
  <c r="L2967" i="3"/>
  <c r="K2967" i="3"/>
  <c r="J2967" i="3"/>
  <c r="I2967" i="3"/>
  <c r="H2967" i="3"/>
  <c r="G2967" i="3"/>
  <c r="F2967" i="3"/>
  <c r="E2967" i="3"/>
  <c r="D2967" i="3"/>
  <c r="C2967" i="3"/>
  <c r="B2967" i="3"/>
  <c r="A2967" i="3"/>
  <c r="M2966" i="3"/>
  <c r="L2966" i="3"/>
  <c r="K2966" i="3"/>
  <c r="J2966" i="3"/>
  <c r="I2966" i="3"/>
  <c r="H2966" i="3"/>
  <c r="G2966" i="3"/>
  <c r="F2966" i="3"/>
  <c r="D2966" i="3"/>
  <c r="C2966" i="3"/>
  <c r="B2966" i="3"/>
  <c r="A2966" i="3"/>
  <c r="M2965" i="3"/>
  <c r="L2965" i="3"/>
  <c r="K2965" i="3"/>
  <c r="J2965" i="3"/>
  <c r="I2965" i="3"/>
  <c r="H2965" i="3"/>
  <c r="G2965" i="3"/>
  <c r="F2965" i="3"/>
  <c r="E2965" i="3"/>
  <c r="D2965" i="3"/>
  <c r="C2965" i="3"/>
  <c r="B2965" i="3"/>
  <c r="A2965" i="3"/>
  <c r="M2964" i="3"/>
  <c r="L2964" i="3"/>
  <c r="K2964" i="3"/>
  <c r="J2964" i="3"/>
  <c r="I2964" i="3"/>
  <c r="H2964" i="3"/>
  <c r="G2964" i="3"/>
  <c r="F2964" i="3"/>
  <c r="E2964" i="3"/>
  <c r="D2964" i="3"/>
  <c r="C2964" i="3"/>
  <c r="B2964" i="3"/>
  <c r="A2964" i="3"/>
  <c r="M2963" i="3"/>
  <c r="L2963" i="3"/>
  <c r="K2963" i="3"/>
  <c r="J2963" i="3"/>
  <c r="I2963" i="3"/>
  <c r="H2963" i="3"/>
  <c r="G2963" i="3"/>
  <c r="F2963" i="3"/>
  <c r="E2963" i="3"/>
  <c r="D2963" i="3"/>
  <c r="C2963" i="3"/>
  <c r="B2963" i="3"/>
  <c r="A2963" i="3"/>
  <c r="M2962" i="3"/>
  <c r="L2962" i="3"/>
  <c r="K2962" i="3"/>
  <c r="J2962" i="3"/>
  <c r="I2962" i="3"/>
  <c r="H2962" i="3"/>
  <c r="G2962" i="3"/>
  <c r="F2962" i="3"/>
  <c r="E2962" i="3"/>
  <c r="D2962" i="3"/>
  <c r="C2962" i="3"/>
  <c r="B2962" i="3"/>
  <c r="A2962" i="3"/>
  <c r="M2961" i="3"/>
  <c r="L2961" i="3"/>
  <c r="K2961" i="3"/>
  <c r="J2961" i="3"/>
  <c r="I2961" i="3"/>
  <c r="H2961" i="3"/>
  <c r="G2961" i="3"/>
  <c r="F2961" i="3"/>
  <c r="E2961" i="3"/>
  <c r="D2961" i="3"/>
  <c r="C2961" i="3"/>
  <c r="B2961" i="3"/>
  <c r="A2961" i="3"/>
  <c r="M2960" i="3"/>
  <c r="L2960" i="3"/>
  <c r="K2960" i="3"/>
  <c r="J2960" i="3"/>
  <c r="I2960" i="3"/>
  <c r="H2960" i="3"/>
  <c r="G2960" i="3"/>
  <c r="F2960" i="3"/>
  <c r="E2960" i="3"/>
  <c r="D2960" i="3"/>
  <c r="C2960" i="3"/>
  <c r="B2960" i="3"/>
  <c r="A2960" i="3"/>
  <c r="M2959" i="3"/>
  <c r="L2959" i="3"/>
  <c r="K2959" i="3"/>
  <c r="J2959" i="3"/>
  <c r="I2959" i="3"/>
  <c r="H2959" i="3"/>
  <c r="G2959" i="3"/>
  <c r="F2959" i="3"/>
  <c r="E2959" i="3"/>
  <c r="D2959" i="3"/>
  <c r="C2959" i="3"/>
  <c r="B2959" i="3"/>
  <c r="A2959" i="3"/>
  <c r="M2958" i="3"/>
  <c r="L2958" i="3"/>
  <c r="K2958" i="3"/>
  <c r="J2958" i="3"/>
  <c r="I2958" i="3"/>
  <c r="H2958" i="3"/>
  <c r="G2958" i="3"/>
  <c r="F2958" i="3"/>
  <c r="E2958" i="3"/>
  <c r="D2958" i="3"/>
  <c r="C2958" i="3"/>
  <c r="B2958" i="3"/>
  <c r="A2958" i="3"/>
  <c r="M2957" i="3"/>
  <c r="L2957" i="3"/>
  <c r="K2957" i="3"/>
  <c r="J2957" i="3"/>
  <c r="I2957" i="3"/>
  <c r="H2957" i="3"/>
  <c r="G2957" i="3"/>
  <c r="F2957" i="3"/>
  <c r="E2957" i="3"/>
  <c r="D2957" i="3"/>
  <c r="C2957" i="3"/>
  <c r="B2957" i="3"/>
  <c r="A2957" i="3"/>
  <c r="M2956" i="3"/>
  <c r="L2956" i="3"/>
  <c r="K2956" i="3"/>
  <c r="J2956" i="3"/>
  <c r="I2956" i="3"/>
  <c r="H2956" i="3"/>
  <c r="G2956" i="3"/>
  <c r="F2956" i="3"/>
  <c r="D2956" i="3"/>
  <c r="C2956" i="3"/>
  <c r="B2956" i="3"/>
  <c r="A2956" i="3"/>
  <c r="M2955" i="3"/>
  <c r="L2955" i="3"/>
  <c r="K2955" i="3"/>
  <c r="J2955" i="3"/>
  <c r="I2955" i="3"/>
  <c r="H2955" i="3"/>
  <c r="G2955" i="3"/>
  <c r="F2955" i="3"/>
  <c r="E2955" i="3"/>
  <c r="D2955" i="3"/>
  <c r="C2955" i="3"/>
  <c r="B2955" i="3"/>
  <c r="A2955" i="3"/>
  <c r="M2954" i="3"/>
  <c r="L2954" i="3"/>
  <c r="K2954" i="3"/>
  <c r="J2954" i="3"/>
  <c r="I2954" i="3"/>
  <c r="H2954" i="3"/>
  <c r="G2954" i="3"/>
  <c r="F2954" i="3"/>
  <c r="E2954" i="3"/>
  <c r="D2954" i="3"/>
  <c r="C2954" i="3"/>
  <c r="B2954" i="3"/>
  <c r="A2954" i="3"/>
  <c r="M2953" i="3"/>
  <c r="L2953" i="3"/>
  <c r="K2953" i="3"/>
  <c r="J2953" i="3"/>
  <c r="I2953" i="3"/>
  <c r="H2953" i="3"/>
  <c r="G2953" i="3"/>
  <c r="F2953" i="3"/>
  <c r="E2953" i="3"/>
  <c r="D2953" i="3"/>
  <c r="C2953" i="3"/>
  <c r="B2953" i="3"/>
  <c r="A2953" i="3"/>
  <c r="M2952" i="3"/>
  <c r="L2952" i="3"/>
  <c r="K2952" i="3"/>
  <c r="J2952" i="3"/>
  <c r="I2952" i="3"/>
  <c r="H2952" i="3"/>
  <c r="G2952" i="3"/>
  <c r="F2952" i="3"/>
  <c r="E2952" i="3"/>
  <c r="D2952" i="3"/>
  <c r="C2952" i="3"/>
  <c r="B2952" i="3"/>
  <c r="A2952" i="3"/>
  <c r="M2951" i="3"/>
  <c r="L2951" i="3"/>
  <c r="K2951" i="3"/>
  <c r="J2951" i="3"/>
  <c r="I2951" i="3"/>
  <c r="H2951" i="3"/>
  <c r="G2951" i="3"/>
  <c r="F2951" i="3"/>
  <c r="E2951" i="3"/>
  <c r="D2951" i="3"/>
  <c r="C2951" i="3"/>
  <c r="B2951" i="3"/>
  <c r="A2951" i="3"/>
  <c r="M2950" i="3"/>
  <c r="L2950" i="3"/>
  <c r="K2950" i="3"/>
  <c r="J2950" i="3"/>
  <c r="I2950" i="3"/>
  <c r="H2950" i="3"/>
  <c r="G2950" i="3"/>
  <c r="F2950" i="3"/>
  <c r="E2950" i="3"/>
  <c r="D2950" i="3"/>
  <c r="C2950" i="3"/>
  <c r="B2950" i="3"/>
  <c r="A2950" i="3"/>
  <c r="M2949" i="3"/>
  <c r="L2949" i="3"/>
  <c r="K2949" i="3"/>
  <c r="J2949" i="3"/>
  <c r="I2949" i="3"/>
  <c r="H2949" i="3"/>
  <c r="G2949" i="3"/>
  <c r="F2949" i="3"/>
  <c r="E2949" i="3"/>
  <c r="D2949" i="3"/>
  <c r="C2949" i="3"/>
  <c r="B2949" i="3"/>
  <c r="A2949" i="3"/>
  <c r="M2948" i="3"/>
  <c r="L2948" i="3"/>
  <c r="K2948" i="3"/>
  <c r="J2948" i="3"/>
  <c r="I2948" i="3"/>
  <c r="H2948" i="3"/>
  <c r="G2948" i="3"/>
  <c r="F2948" i="3"/>
  <c r="E2948" i="3"/>
  <c r="D2948" i="3"/>
  <c r="C2948" i="3"/>
  <c r="B2948" i="3"/>
  <c r="A2948" i="3"/>
  <c r="M2947" i="3"/>
  <c r="L2947" i="3"/>
  <c r="K2947" i="3"/>
  <c r="J2947" i="3"/>
  <c r="I2947" i="3"/>
  <c r="H2947" i="3"/>
  <c r="G2947" i="3"/>
  <c r="F2947" i="3"/>
  <c r="E2947" i="3"/>
  <c r="D2947" i="3"/>
  <c r="C2947" i="3"/>
  <c r="B2947" i="3"/>
  <c r="A2947" i="3"/>
  <c r="M2946" i="3"/>
  <c r="L2946" i="3"/>
  <c r="K2946" i="3"/>
  <c r="J2946" i="3"/>
  <c r="I2946" i="3"/>
  <c r="H2946" i="3"/>
  <c r="G2946" i="3"/>
  <c r="F2946" i="3"/>
  <c r="E2946" i="3"/>
  <c r="D2946" i="3"/>
  <c r="C2946" i="3"/>
  <c r="B2946" i="3"/>
  <c r="A2946" i="3"/>
  <c r="M2945" i="3"/>
  <c r="L2945" i="3"/>
  <c r="K2945" i="3"/>
  <c r="J2945" i="3"/>
  <c r="I2945" i="3"/>
  <c r="H2945" i="3"/>
  <c r="G2945" i="3"/>
  <c r="F2945" i="3"/>
  <c r="E2945" i="3"/>
  <c r="D2945" i="3"/>
  <c r="C2945" i="3"/>
  <c r="B2945" i="3"/>
  <c r="A2945" i="3"/>
  <c r="M2944" i="3"/>
  <c r="L2944" i="3"/>
  <c r="K2944" i="3"/>
  <c r="J2944" i="3"/>
  <c r="I2944" i="3"/>
  <c r="H2944" i="3"/>
  <c r="G2944" i="3"/>
  <c r="F2944" i="3"/>
  <c r="E2944" i="3"/>
  <c r="D2944" i="3"/>
  <c r="C2944" i="3"/>
  <c r="B2944" i="3"/>
  <c r="A2944" i="3"/>
  <c r="M2943" i="3"/>
  <c r="L2943" i="3"/>
  <c r="K2943" i="3"/>
  <c r="J2943" i="3"/>
  <c r="I2943" i="3"/>
  <c r="H2943" i="3"/>
  <c r="G2943" i="3"/>
  <c r="F2943" i="3"/>
  <c r="D2943" i="3"/>
  <c r="C2943" i="3"/>
  <c r="B2943" i="3"/>
  <c r="A2943" i="3"/>
  <c r="M2942" i="3"/>
  <c r="L2942" i="3"/>
  <c r="K2942" i="3"/>
  <c r="J2942" i="3"/>
  <c r="I2942" i="3"/>
  <c r="H2942" i="3"/>
  <c r="G2942" i="3"/>
  <c r="F2942" i="3"/>
  <c r="E2942" i="3"/>
  <c r="D2942" i="3"/>
  <c r="C2942" i="3"/>
  <c r="B2942" i="3"/>
  <c r="A2942" i="3"/>
  <c r="M2941" i="3"/>
  <c r="L2941" i="3"/>
  <c r="K2941" i="3"/>
  <c r="J2941" i="3"/>
  <c r="I2941" i="3"/>
  <c r="H2941" i="3"/>
  <c r="G2941" i="3"/>
  <c r="F2941" i="3"/>
  <c r="E2941" i="3"/>
  <c r="D2941" i="3"/>
  <c r="C2941" i="3"/>
  <c r="B2941" i="3"/>
  <c r="A2941" i="3"/>
  <c r="M2940" i="3"/>
  <c r="L2940" i="3"/>
  <c r="K2940" i="3"/>
  <c r="J2940" i="3"/>
  <c r="I2940" i="3"/>
  <c r="H2940" i="3"/>
  <c r="G2940" i="3"/>
  <c r="F2940" i="3"/>
  <c r="E2940" i="3"/>
  <c r="D2940" i="3"/>
  <c r="C2940" i="3"/>
  <c r="B2940" i="3"/>
  <c r="A2940" i="3"/>
  <c r="M2939" i="3"/>
  <c r="L2939" i="3"/>
  <c r="K2939" i="3"/>
  <c r="J2939" i="3"/>
  <c r="I2939" i="3"/>
  <c r="H2939" i="3"/>
  <c r="G2939" i="3"/>
  <c r="F2939" i="3"/>
  <c r="E2939" i="3"/>
  <c r="D2939" i="3"/>
  <c r="C2939" i="3"/>
  <c r="B2939" i="3"/>
  <c r="A2939" i="3"/>
  <c r="M2938" i="3"/>
  <c r="L2938" i="3"/>
  <c r="K2938" i="3"/>
  <c r="J2938" i="3"/>
  <c r="I2938" i="3"/>
  <c r="H2938" i="3"/>
  <c r="G2938" i="3"/>
  <c r="F2938" i="3"/>
  <c r="E2938" i="3"/>
  <c r="D2938" i="3"/>
  <c r="C2938" i="3"/>
  <c r="B2938" i="3"/>
  <c r="A2938" i="3"/>
  <c r="M2937" i="3"/>
  <c r="L2937" i="3"/>
  <c r="K2937" i="3"/>
  <c r="J2937" i="3"/>
  <c r="I2937" i="3"/>
  <c r="H2937" i="3"/>
  <c r="G2937" i="3"/>
  <c r="F2937" i="3"/>
  <c r="E2937" i="3"/>
  <c r="D2937" i="3"/>
  <c r="C2937" i="3"/>
  <c r="B2937" i="3"/>
  <c r="A2937" i="3"/>
  <c r="M2936" i="3"/>
  <c r="L2936" i="3"/>
  <c r="K2936" i="3"/>
  <c r="J2936" i="3"/>
  <c r="I2936" i="3"/>
  <c r="H2936" i="3"/>
  <c r="G2936" i="3"/>
  <c r="F2936" i="3"/>
  <c r="E2936" i="3"/>
  <c r="D2936" i="3"/>
  <c r="C2936" i="3"/>
  <c r="B2936" i="3"/>
  <c r="A2936" i="3"/>
  <c r="M2935" i="3"/>
  <c r="L2935" i="3"/>
  <c r="K2935" i="3"/>
  <c r="J2935" i="3"/>
  <c r="I2935" i="3"/>
  <c r="H2935" i="3"/>
  <c r="G2935" i="3"/>
  <c r="F2935" i="3"/>
  <c r="E2935" i="3"/>
  <c r="D2935" i="3"/>
  <c r="C2935" i="3"/>
  <c r="B2935" i="3"/>
  <c r="A2935" i="3"/>
  <c r="M2934" i="3"/>
  <c r="L2934" i="3"/>
  <c r="K2934" i="3"/>
  <c r="J2934" i="3"/>
  <c r="I2934" i="3"/>
  <c r="H2934" i="3"/>
  <c r="G2934" i="3"/>
  <c r="F2934" i="3"/>
  <c r="E2934" i="3"/>
  <c r="D2934" i="3"/>
  <c r="C2934" i="3"/>
  <c r="B2934" i="3"/>
  <c r="A2934" i="3"/>
  <c r="M2933" i="3"/>
  <c r="L2933" i="3"/>
  <c r="K2933" i="3"/>
  <c r="J2933" i="3"/>
  <c r="I2933" i="3"/>
  <c r="H2933" i="3"/>
  <c r="G2933" i="3"/>
  <c r="F2933" i="3"/>
  <c r="E2933" i="3"/>
  <c r="D2933" i="3"/>
  <c r="C2933" i="3"/>
  <c r="B2933" i="3"/>
  <c r="A2933" i="3"/>
  <c r="M2932" i="3"/>
  <c r="L2932" i="3"/>
  <c r="K2932" i="3"/>
  <c r="J2932" i="3"/>
  <c r="I2932" i="3"/>
  <c r="H2932" i="3"/>
  <c r="G2932" i="3"/>
  <c r="F2932" i="3"/>
  <c r="E2932" i="3"/>
  <c r="D2932" i="3"/>
  <c r="C2932" i="3"/>
  <c r="B2932" i="3"/>
  <c r="A2932" i="3"/>
  <c r="M2931" i="3"/>
  <c r="L2931" i="3"/>
  <c r="K2931" i="3"/>
  <c r="J2931" i="3"/>
  <c r="I2931" i="3"/>
  <c r="H2931" i="3"/>
  <c r="G2931" i="3"/>
  <c r="F2931" i="3"/>
  <c r="E2931" i="3"/>
  <c r="D2931" i="3"/>
  <c r="C2931" i="3"/>
  <c r="B2931" i="3"/>
  <c r="A2931" i="3"/>
  <c r="M2930" i="3"/>
  <c r="L2930" i="3"/>
  <c r="K2930" i="3"/>
  <c r="J2930" i="3"/>
  <c r="I2930" i="3"/>
  <c r="H2930" i="3"/>
  <c r="G2930" i="3"/>
  <c r="F2930" i="3"/>
  <c r="E2930" i="3"/>
  <c r="D2930" i="3"/>
  <c r="C2930" i="3"/>
  <c r="B2930" i="3"/>
  <c r="A2930" i="3"/>
  <c r="M2929" i="3"/>
  <c r="L2929" i="3"/>
  <c r="K2929" i="3"/>
  <c r="J2929" i="3"/>
  <c r="I2929" i="3"/>
  <c r="H2929" i="3"/>
  <c r="G2929" i="3"/>
  <c r="F2929" i="3"/>
  <c r="E2929" i="3"/>
  <c r="D2929" i="3"/>
  <c r="C2929" i="3"/>
  <c r="B2929" i="3"/>
  <c r="A2929" i="3"/>
  <c r="M2928" i="3"/>
  <c r="L2928" i="3"/>
  <c r="K2928" i="3"/>
  <c r="J2928" i="3"/>
  <c r="I2928" i="3"/>
  <c r="H2928" i="3"/>
  <c r="G2928" i="3"/>
  <c r="F2928" i="3"/>
  <c r="E2928" i="3"/>
  <c r="D2928" i="3"/>
  <c r="C2928" i="3"/>
  <c r="B2928" i="3"/>
  <c r="A2928" i="3"/>
  <c r="M2927" i="3"/>
  <c r="L2927" i="3"/>
  <c r="K2927" i="3"/>
  <c r="J2927" i="3"/>
  <c r="I2927" i="3"/>
  <c r="H2927" i="3"/>
  <c r="G2927" i="3"/>
  <c r="F2927" i="3"/>
  <c r="E2927" i="3"/>
  <c r="D2927" i="3"/>
  <c r="C2927" i="3"/>
  <c r="B2927" i="3"/>
  <c r="A2927" i="3"/>
  <c r="M2926" i="3"/>
  <c r="L2926" i="3"/>
  <c r="K2926" i="3"/>
  <c r="J2926" i="3"/>
  <c r="I2926" i="3"/>
  <c r="H2926" i="3"/>
  <c r="G2926" i="3"/>
  <c r="F2926" i="3"/>
  <c r="E2926" i="3"/>
  <c r="D2926" i="3"/>
  <c r="C2926" i="3"/>
  <c r="B2926" i="3"/>
  <c r="A2926" i="3"/>
  <c r="M2925" i="3"/>
  <c r="L2925" i="3"/>
  <c r="K2925" i="3"/>
  <c r="J2925" i="3"/>
  <c r="I2925" i="3"/>
  <c r="H2925" i="3"/>
  <c r="G2925" i="3"/>
  <c r="E2925" i="3"/>
  <c r="D2925" i="3"/>
  <c r="C2925" i="3"/>
  <c r="B2925" i="3"/>
  <c r="A2925" i="3"/>
  <c r="M2924" i="3"/>
  <c r="L2924" i="3"/>
  <c r="K2924" i="3"/>
  <c r="J2924" i="3"/>
  <c r="I2924" i="3"/>
  <c r="H2924" i="3"/>
  <c r="G2924" i="3"/>
  <c r="F2924" i="3"/>
  <c r="E2924" i="3"/>
  <c r="D2924" i="3"/>
  <c r="C2924" i="3"/>
  <c r="B2924" i="3"/>
  <c r="A2924" i="3"/>
  <c r="M2923" i="3"/>
  <c r="L2923" i="3"/>
  <c r="K2923" i="3"/>
  <c r="J2923" i="3"/>
  <c r="I2923" i="3"/>
  <c r="H2923" i="3"/>
  <c r="G2923" i="3"/>
  <c r="F2923" i="3"/>
  <c r="E2923" i="3"/>
  <c r="D2923" i="3"/>
  <c r="C2923" i="3"/>
  <c r="B2923" i="3"/>
  <c r="A2923" i="3"/>
  <c r="M2922" i="3"/>
  <c r="L2922" i="3"/>
  <c r="K2922" i="3"/>
  <c r="J2922" i="3"/>
  <c r="I2922" i="3"/>
  <c r="H2922" i="3"/>
  <c r="G2922" i="3"/>
  <c r="F2922" i="3"/>
  <c r="E2922" i="3"/>
  <c r="D2922" i="3"/>
  <c r="C2922" i="3"/>
  <c r="B2922" i="3"/>
  <c r="A2922" i="3"/>
  <c r="M2921" i="3"/>
  <c r="L2921" i="3"/>
  <c r="K2921" i="3"/>
  <c r="J2921" i="3"/>
  <c r="I2921" i="3"/>
  <c r="H2921" i="3"/>
  <c r="G2921" i="3"/>
  <c r="F2921" i="3"/>
  <c r="E2921" i="3"/>
  <c r="D2921" i="3"/>
  <c r="C2921" i="3"/>
  <c r="B2921" i="3"/>
  <c r="A2921" i="3"/>
  <c r="M2920" i="3"/>
  <c r="L2920" i="3"/>
  <c r="K2920" i="3"/>
  <c r="J2920" i="3"/>
  <c r="I2920" i="3"/>
  <c r="H2920" i="3"/>
  <c r="G2920" i="3"/>
  <c r="F2920" i="3"/>
  <c r="E2920" i="3"/>
  <c r="D2920" i="3"/>
  <c r="C2920" i="3"/>
  <c r="B2920" i="3"/>
  <c r="A2920" i="3"/>
  <c r="M2919" i="3"/>
  <c r="L2919" i="3"/>
  <c r="K2919" i="3"/>
  <c r="J2919" i="3"/>
  <c r="I2919" i="3"/>
  <c r="H2919" i="3"/>
  <c r="G2919" i="3"/>
  <c r="F2919" i="3"/>
  <c r="E2919" i="3"/>
  <c r="D2919" i="3"/>
  <c r="C2919" i="3"/>
  <c r="B2919" i="3"/>
  <c r="A2919" i="3"/>
  <c r="M2918" i="3"/>
  <c r="L2918" i="3"/>
  <c r="K2918" i="3"/>
  <c r="J2918" i="3"/>
  <c r="I2918" i="3"/>
  <c r="H2918" i="3"/>
  <c r="G2918" i="3"/>
  <c r="F2918" i="3"/>
  <c r="E2918" i="3"/>
  <c r="D2918" i="3"/>
  <c r="C2918" i="3"/>
  <c r="B2918" i="3"/>
  <c r="A2918" i="3"/>
  <c r="M2917" i="3"/>
  <c r="L2917" i="3"/>
  <c r="K2917" i="3"/>
  <c r="J2917" i="3"/>
  <c r="I2917" i="3"/>
  <c r="H2917" i="3"/>
  <c r="G2917" i="3"/>
  <c r="F2917" i="3"/>
  <c r="E2917" i="3"/>
  <c r="D2917" i="3"/>
  <c r="C2917" i="3"/>
  <c r="B2917" i="3"/>
  <c r="A2917" i="3"/>
  <c r="M2916" i="3"/>
  <c r="L2916" i="3"/>
  <c r="K2916" i="3"/>
  <c r="J2916" i="3"/>
  <c r="I2916" i="3"/>
  <c r="H2916" i="3"/>
  <c r="F2916" i="3"/>
  <c r="E2916" i="3"/>
  <c r="D2916" i="3"/>
  <c r="C2916" i="3"/>
  <c r="B2916" i="3"/>
  <c r="A2916" i="3"/>
  <c r="M2915" i="3"/>
  <c r="L2915" i="3"/>
  <c r="K2915" i="3"/>
  <c r="J2915" i="3"/>
  <c r="I2915" i="3"/>
  <c r="H2915" i="3"/>
  <c r="F2915" i="3"/>
  <c r="E2915" i="3"/>
  <c r="D2915" i="3"/>
  <c r="C2915" i="3"/>
  <c r="B2915" i="3"/>
  <c r="A2915" i="3"/>
  <c r="M2914" i="3"/>
  <c r="L2914" i="3"/>
  <c r="K2914" i="3"/>
  <c r="J2914" i="3"/>
  <c r="I2914" i="3"/>
  <c r="H2914" i="3"/>
  <c r="F2914" i="3"/>
  <c r="E2914" i="3"/>
  <c r="D2914" i="3"/>
  <c r="C2914" i="3"/>
  <c r="B2914" i="3"/>
  <c r="A2914" i="3"/>
  <c r="M2913" i="3"/>
  <c r="L2913" i="3"/>
  <c r="K2913" i="3"/>
  <c r="J2913" i="3"/>
  <c r="I2913" i="3"/>
  <c r="H2913" i="3"/>
  <c r="G2913" i="3"/>
  <c r="F2913" i="3"/>
  <c r="E2913" i="3"/>
  <c r="D2913" i="3"/>
  <c r="C2913" i="3"/>
  <c r="B2913" i="3"/>
  <c r="A2913" i="3"/>
  <c r="M2912" i="3"/>
  <c r="L2912" i="3"/>
  <c r="K2912" i="3"/>
  <c r="J2912" i="3"/>
  <c r="I2912" i="3"/>
  <c r="H2912" i="3"/>
  <c r="F2912" i="3"/>
  <c r="E2912" i="3"/>
  <c r="D2912" i="3"/>
  <c r="C2912" i="3"/>
  <c r="B2912" i="3"/>
  <c r="A2912" i="3"/>
  <c r="M2911" i="3"/>
  <c r="L2911" i="3"/>
  <c r="K2911" i="3"/>
  <c r="J2911" i="3"/>
  <c r="I2911" i="3"/>
  <c r="H2911" i="3"/>
  <c r="G2911" i="3"/>
  <c r="F2911" i="3"/>
  <c r="E2911" i="3"/>
  <c r="D2911" i="3"/>
  <c r="C2911" i="3"/>
  <c r="B2911" i="3"/>
  <c r="A2911" i="3"/>
  <c r="M2910" i="3"/>
  <c r="L2910" i="3"/>
  <c r="K2910" i="3"/>
  <c r="J2910" i="3"/>
  <c r="I2910" i="3"/>
  <c r="H2910" i="3"/>
  <c r="G2910" i="3"/>
  <c r="F2910" i="3"/>
  <c r="E2910" i="3"/>
  <c r="D2910" i="3"/>
  <c r="C2910" i="3"/>
  <c r="B2910" i="3"/>
  <c r="A2910" i="3"/>
  <c r="M2909" i="3"/>
  <c r="L2909" i="3"/>
  <c r="K2909" i="3"/>
  <c r="J2909" i="3"/>
  <c r="I2909" i="3"/>
  <c r="H2909" i="3"/>
  <c r="G2909" i="3"/>
  <c r="F2909" i="3"/>
  <c r="E2909" i="3"/>
  <c r="D2909" i="3"/>
  <c r="C2909" i="3"/>
  <c r="B2909" i="3"/>
  <c r="A2909" i="3"/>
  <c r="M2908" i="3"/>
  <c r="L2908" i="3"/>
  <c r="K2908" i="3"/>
  <c r="J2908" i="3"/>
  <c r="I2908" i="3"/>
  <c r="H2908" i="3"/>
  <c r="G2908" i="3"/>
  <c r="F2908" i="3"/>
  <c r="E2908" i="3"/>
  <c r="D2908" i="3"/>
  <c r="C2908" i="3"/>
  <c r="B2908" i="3"/>
  <c r="A2908" i="3"/>
  <c r="M2907" i="3"/>
  <c r="L2907" i="3"/>
  <c r="K2907" i="3"/>
  <c r="J2907" i="3"/>
  <c r="I2907" i="3"/>
  <c r="H2907" i="3"/>
  <c r="G2907" i="3"/>
  <c r="F2907" i="3"/>
  <c r="E2907" i="3"/>
  <c r="D2907" i="3"/>
  <c r="C2907" i="3"/>
  <c r="B2907" i="3"/>
  <c r="A2907" i="3"/>
  <c r="M2906" i="3"/>
  <c r="L2906" i="3"/>
  <c r="K2906" i="3"/>
  <c r="J2906" i="3"/>
  <c r="I2906" i="3"/>
  <c r="H2906" i="3"/>
  <c r="G2906" i="3"/>
  <c r="F2906" i="3"/>
  <c r="E2906" i="3"/>
  <c r="D2906" i="3"/>
  <c r="C2906" i="3"/>
  <c r="B2906" i="3"/>
  <c r="A2906" i="3"/>
  <c r="M2905" i="3"/>
  <c r="L2905" i="3"/>
  <c r="K2905" i="3"/>
  <c r="J2905" i="3"/>
  <c r="I2905" i="3"/>
  <c r="H2905" i="3"/>
  <c r="G2905" i="3"/>
  <c r="F2905" i="3"/>
  <c r="E2905" i="3"/>
  <c r="D2905" i="3"/>
  <c r="C2905" i="3"/>
  <c r="B2905" i="3"/>
  <c r="A2905" i="3"/>
  <c r="M2904" i="3"/>
  <c r="L2904" i="3"/>
  <c r="K2904" i="3"/>
  <c r="J2904" i="3"/>
  <c r="I2904" i="3"/>
  <c r="H2904" i="3"/>
  <c r="G2904" i="3"/>
  <c r="F2904" i="3"/>
  <c r="D2904" i="3"/>
  <c r="C2904" i="3"/>
  <c r="B2904" i="3"/>
  <c r="A2904" i="3"/>
  <c r="M2903" i="3"/>
  <c r="L2903" i="3"/>
  <c r="K2903" i="3"/>
  <c r="J2903" i="3"/>
  <c r="I2903" i="3"/>
  <c r="H2903" i="3"/>
  <c r="G2903" i="3"/>
  <c r="F2903" i="3"/>
  <c r="E2903" i="3"/>
  <c r="D2903" i="3"/>
  <c r="C2903" i="3"/>
  <c r="B2903" i="3"/>
  <c r="A2903" i="3"/>
  <c r="M2902" i="3"/>
  <c r="L2902" i="3"/>
  <c r="K2902" i="3"/>
  <c r="J2902" i="3"/>
  <c r="I2902" i="3"/>
  <c r="H2902" i="3"/>
  <c r="G2902" i="3"/>
  <c r="F2902" i="3"/>
  <c r="E2902" i="3"/>
  <c r="D2902" i="3"/>
  <c r="C2902" i="3"/>
  <c r="B2902" i="3"/>
  <c r="A2902" i="3"/>
  <c r="M2901" i="3"/>
  <c r="L2901" i="3"/>
  <c r="K2901" i="3"/>
  <c r="J2901" i="3"/>
  <c r="I2901" i="3"/>
  <c r="H2901" i="3"/>
  <c r="G2901" i="3"/>
  <c r="F2901" i="3"/>
  <c r="E2901" i="3"/>
  <c r="D2901" i="3"/>
  <c r="C2901" i="3"/>
  <c r="B2901" i="3"/>
  <c r="A2901" i="3"/>
  <c r="M2900" i="3"/>
  <c r="L2900" i="3"/>
  <c r="K2900" i="3"/>
  <c r="J2900" i="3"/>
  <c r="I2900" i="3"/>
  <c r="H2900" i="3"/>
  <c r="G2900" i="3"/>
  <c r="F2900" i="3"/>
  <c r="E2900" i="3"/>
  <c r="D2900" i="3"/>
  <c r="C2900" i="3"/>
  <c r="B2900" i="3"/>
  <c r="A2900" i="3"/>
  <c r="M2899" i="3"/>
  <c r="L2899" i="3"/>
  <c r="K2899" i="3"/>
  <c r="J2899" i="3"/>
  <c r="I2899" i="3"/>
  <c r="H2899" i="3"/>
  <c r="G2899" i="3"/>
  <c r="F2899" i="3"/>
  <c r="E2899" i="3"/>
  <c r="D2899" i="3"/>
  <c r="C2899" i="3"/>
  <c r="B2899" i="3"/>
  <c r="A2899" i="3"/>
  <c r="M2898" i="3"/>
  <c r="L2898" i="3"/>
  <c r="K2898" i="3"/>
  <c r="J2898" i="3"/>
  <c r="I2898" i="3"/>
  <c r="H2898" i="3"/>
  <c r="G2898" i="3"/>
  <c r="F2898" i="3"/>
  <c r="D2898" i="3"/>
  <c r="C2898" i="3"/>
  <c r="B2898" i="3"/>
  <c r="A2898" i="3"/>
  <c r="M2897" i="3"/>
  <c r="L2897" i="3"/>
  <c r="K2897" i="3"/>
  <c r="J2897" i="3"/>
  <c r="I2897" i="3"/>
  <c r="H2897" i="3"/>
  <c r="G2897" i="3"/>
  <c r="F2897" i="3"/>
  <c r="E2897" i="3"/>
  <c r="D2897" i="3"/>
  <c r="C2897" i="3"/>
  <c r="B2897" i="3"/>
  <c r="A2897" i="3"/>
  <c r="M2896" i="3"/>
  <c r="L2896" i="3"/>
  <c r="K2896" i="3"/>
  <c r="J2896" i="3"/>
  <c r="I2896" i="3"/>
  <c r="H2896" i="3"/>
  <c r="G2896" i="3"/>
  <c r="F2896" i="3"/>
  <c r="E2896" i="3"/>
  <c r="D2896" i="3"/>
  <c r="C2896" i="3"/>
  <c r="B2896" i="3"/>
  <c r="A2896" i="3"/>
  <c r="M2895" i="3"/>
  <c r="L2895" i="3"/>
  <c r="K2895" i="3"/>
  <c r="J2895" i="3"/>
  <c r="I2895" i="3"/>
  <c r="H2895" i="3"/>
  <c r="G2895" i="3"/>
  <c r="F2895" i="3"/>
  <c r="E2895" i="3"/>
  <c r="D2895" i="3"/>
  <c r="C2895" i="3"/>
  <c r="B2895" i="3"/>
  <c r="A2895" i="3"/>
  <c r="M2894" i="3"/>
  <c r="L2894" i="3"/>
  <c r="K2894" i="3"/>
  <c r="J2894" i="3"/>
  <c r="I2894" i="3"/>
  <c r="H2894" i="3"/>
  <c r="F2894" i="3"/>
  <c r="E2894" i="3"/>
  <c r="D2894" i="3"/>
  <c r="C2894" i="3"/>
  <c r="B2894" i="3"/>
  <c r="A2894" i="3"/>
  <c r="M2893" i="3"/>
  <c r="L2893" i="3"/>
  <c r="K2893" i="3"/>
  <c r="J2893" i="3"/>
  <c r="I2893" i="3"/>
  <c r="H2893" i="3"/>
  <c r="F2893" i="3"/>
  <c r="E2893" i="3"/>
  <c r="D2893" i="3"/>
  <c r="C2893" i="3"/>
  <c r="B2893" i="3"/>
  <c r="A2893" i="3"/>
  <c r="M2892" i="3"/>
  <c r="L2892" i="3"/>
  <c r="K2892" i="3"/>
  <c r="J2892" i="3"/>
  <c r="I2892" i="3"/>
  <c r="H2892" i="3"/>
  <c r="F2892" i="3"/>
  <c r="E2892" i="3"/>
  <c r="D2892" i="3"/>
  <c r="C2892" i="3"/>
  <c r="B2892" i="3"/>
  <c r="A2892" i="3"/>
  <c r="M2891" i="3"/>
  <c r="L2891" i="3"/>
  <c r="K2891" i="3"/>
  <c r="J2891" i="3"/>
  <c r="I2891" i="3"/>
  <c r="H2891" i="3"/>
  <c r="G2891" i="3"/>
  <c r="F2891" i="3"/>
  <c r="E2891" i="3"/>
  <c r="D2891" i="3"/>
  <c r="C2891" i="3"/>
  <c r="B2891" i="3"/>
  <c r="A2891" i="3"/>
  <c r="M2890" i="3"/>
  <c r="L2890" i="3"/>
  <c r="K2890" i="3"/>
  <c r="J2890" i="3"/>
  <c r="I2890" i="3"/>
  <c r="H2890" i="3"/>
  <c r="G2890" i="3"/>
  <c r="F2890" i="3"/>
  <c r="E2890" i="3"/>
  <c r="D2890" i="3"/>
  <c r="C2890" i="3"/>
  <c r="B2890" i="3"/>
  <c r="A2890" i="3"/>
  <c r="M2889" i="3"/>
  <c r="L2889" i="3"/>
  <c r="K2889" i="3"/>
  <c r="J2889" i="3"/>
  <c r="I2889" i="3"/>
  <c r="H2889" i="3"/>
  <c r="G2889" i="3"/>
  <c r="F2889" i="3"/>
  <c r="E2889" i="3"/>
  <c r="D2889" i="3"/>
  <c r="C2889" i="3"/>
  <c r="B2889" i="3"/>
  <c r="A2889" i="3"/>
  <c r="M2888" i="3"/>
  <c r="L2888" i="3"/>
  <c r="K2888" i="3"/>
  <c r="J2888" i="3"/>
  <c r="I2888" i="3"/>
  <c r="H2888" i="3"/>
  <c r="G2888" i="3"/>
  <c r="F2888" i="3"/>
  <c r="E2888" i="3"/>
  <c r="D2888" i="3"/>
  <c r="C2888" i="3"/>
  <c r="B2888" i="3"/>
  <c r="A2888" i="3"/>
  <c r="M2887" i="3"/>
  <c r="L2887" i="3"/>
  <c r="K2887" i="3"/>
  <c r="J2887" i="3"/>
  <c r="I2887" i="3"/>
  <c r="H2887" i="3"/>
  <c r="G2887" i="3"/>
  <c r="F2887" i="3"/>
  <c r="E2887" i="3"/>
  <c r="D2887" i="3"/>
  <c r="C2887" i="3"/>
  <c r="B2887" i="3"/>
  <c r="A2887" i="3"/>
  <c r="M2886" i="3"/>
  <c r="L2886" i="3"/>
  <c r="K2886" i="3"/>
  <c r="J2886" i="3"/>
  <c r="I2886" i="3"/>
  <c r="H2886" i="3"/>
  <c r="G2886" i="3"/>
  <c r="F2886" i="3"/>
  <c r="E2886" i="3"/>
  <c r="D2886" i="3"/>
  <c r="C2886" i="3"/>
  <c r="B2886" i="3"/>
  <c r="A2886" i="3"/>
  <c r="M2885" i="3"/>
  <c r="L2885" i="3"/>
  <c r="K2885" i="3"/>
  <c r="J2885" i="3"/>
  <c r="I2885" i="3"/>
  <c r="H2885" i="3"/>
  <c r="G2885" i="3"/>
  <c r="F2885" i="3"/>
  <c r="E2885" i="3"/>
  <c r="D2885" i="3"/>
  <c r="C2885" i="3"/>
  <c r="B2885" i="3"/>
  <c r="A2885" i="3"/>
  <c r="M2884" i="3"/>
  <c r="L2884" i="3"/>
  <c r="K2884" i="3"/>
  <c r="J2884" i="3"/>
  <c r="I2884" i="3"/>
  <c r="H2884" i="3"/>
  <c r="G2884" i="3"/>
  <c r="F2884" i="3"/>
  <c r="E2884" i="3"/>
  <c r="D2884" i="3"/>
  <c r="C2884" i="3"/>
  <c r="B2884" i="3"/>
  <c r="A2884" i="3"/>
  <c r="M2883" i="3"/>
  <c r="L2883" i="3"/>
  <c r="K2883" i="3"/>
  <c r="J2883" i="3"/>
  <c r="I2883" i="3"/>
  <c r="H2883" i="3"/>
  <c r="G2883" i="3"/>
  <c r="F2883" i="3"/>
  <c r="E2883" i="3"/>
  <c r="D2883" i="3"/>
  <c r="C2883" i="3"/>
  <c r="B2883" i="3"/>
  <c r="A2883" i="3"/>
  <c r="M2882" i="3"/>
  <c r="L2882" i="3"/>
  <c r="K2882" i="3"/>
  <c r="J2882" i="3"/>
  <c r="I2882" i="3"/>
  <c r="H2882" i="3"/>
  <c r="G2882" i="3"/>
  <c r="F2882" i="3"/>
  <c r="E2882" i="3"/>
  <c r="D2882" i="3"/>
  <c r="C2882" i="3"/>
  <c r="B2882" i="3"/>
  <c r="A2882" i="3"/>
  <c r="M2881" i="3"/>
  <c r="L2881" i="3"/>
  <c r="K2881" i="3"/>
  <c r="J2881" i="3"/>
  <c r="I2881" i="3"/>
  <c r="H2881" i="3"/>
  <c r="G2881" i="3"/>
  <c r="F2881" i="3"/>
  <c r="E2881" i="3"/>
  <c r="D2881" i="3"/>
  <c r="C2881" i="3"/>
  <c r="B2881" i="3"/>
  <c r="A2881" i="3"/>
  <c r="M2880" i="3"/>
  <c r="L2880" i="3"/>
  <c r="K2880" i="3"/>
  <c r="J2880" i="3"/>
  <c r="I2880" i="3"/>
  <c r="H2880" i="3"/>
  <c r="G2880" i="3"/>
  <c r="F2880" i="3"/>
  <c r="E2880" i="3"/>
  <c r="D2880" i="3"/>
  <c r="C2880" i="3"/>
  <c r="B2880" i="3"/>
  <c r="A2880" i="3"/>
  <c r="M2879" i="3"/>
  <c r="L2879" i="3"/>
  <c r="K2879" i="3"/>
  <c r="J2879" i="3"/>
  <c r="I2879" i="3"/>
  <c r="H2879" i="3"/>
  <c r="G2879" i="3"/>
  <c r="F2879" i="3"/>
  <c r="E2879" i="3"/>
  <c r="D2879" i="3"/>
  <c r="C2879" i="3"/>
  <c r="B2879" i="3"/>
  <c r="A2879" i="3"/>
  <c r="M2878" i="3"/>
  <c r="L2878" i="3"/>
  <c r="K2878" i="3"/>
  <c r="J2878" i="3"/>
  <c r="I2878" i="3"/>
  <c r="H2878" i="3"/>
  <c r="G2878" i="3"/>
  <c r="F2878" i="3"/>
  <c r="E2878" i="3"/>
  <c r="D2878" i="3"/>
  <c r="C2878" i="3"/>
  <c r="B2878" i="3"/>
  <c r="A2878" i="3"/>
  <c r="M2877" i="3"/>
  <c r="L2877" i="3"/>
  <c r="K2877" i="3"/>
  <c r="J2877" i="3"/>
  <c r="I2877" i="3"/>
  <c r="H2877" i="3"/>
  <c r="G2877" i="3"/>
  <c r="F2877" i="3"/>
  <c r="E2877" i="3"/>
  <c r="D2877" i="3"/>
  <c r="C2877" i="3"/>
  <c r="B2877" i="3"/>
  <c r="A2877" i="3"/>
  <c r="M2876" i="3"/>
  <c r="L2876" i="3"/>
  <c r="K2876" i="3"/>
  <c r="J2876" i="3"/>
  <c r="I2876" i="3"/>
  <c r="H2876" i="3"/>
  <c r="G2876" i="3"/>
  <c r="F2876" i="3"/>
  <c r="E2876" i="3"/>
  <c r="D2876" i="3"/>
  <c r="C2876" i="3"/>
  <c r="B2876" i="3"/>
  <c r="A2876" i="3"/>
  <c r="M2875" i="3"/>
  <c r="L2875" i="3"/>
  <c r="K2875" i="3"/>
  <c r="J2875" i="3"/>
  <c r="I2875" i="3"/>
  <c r="H2875" i="3"/>
  <c r="G2875" i="3"/>
  <c r="F2875" i="3"/>
  <c r="E2875" i="3"/>
  <c r="D2875" i="3"/>
  <c r="C2875" i="3"/>
  <c r="B2875" i="3"/>
  <c r="A2875" i="3"/>
  <c r="M2874" i="3"/>
  <c r="L2874" i="3"/>
  <c r="K2874" i="3"/>
  <c r="J2874" i="3"/>
  <c r="I2874" i="3"/>
  <c r="H2874" i="3"/>
  <c r="G2874" i="3"/>
  <c r="F2874" i="3"/>
  <c r="E2874" i="3"/>
  <c r="D2874" i="3"/>
  <c r="C2874" i="3"/>
  <c r="B2874" i="3"/>
  <c r="A2874" i="3"/>
  <c r="M2873" i="3"/>
  <c r="L2873" i="3"/>
  <c r="K2873" i="3"/>
  <c r="J2873" i="3"/>
  <c r="I2873" i="3"/>
  <c r="H2873" i="3"/>
  <c r="G2873" i="3"/>
  <c r="F2873" i="3"/>
  <c r="E2873" i="3"/>
  <c r="D2873" i="3"/>
  <c r="C2873" i="3"/>
  <c r="B2873" i="3"/>
  <c r="A2873" i="3"/>
  <c r="M2872" i="3"/>
  <c r="L2872" i="3"/>
  <c r="K2872" i="3"/>
  <c r="J2872" i="3"/>
  <c r="I2872" i="3"/>
  <c r="H2872" i="3"/>
  <c r="G2872" i="3"/>
  <c r="F2872" i="3"/>
  <c r="E2872" i="3"/>
  <c r="D2872" i="3"/>
  <c r="C2872" i="3"/>
  <c r="B2872" i="3"/>
  <c r="A2872" i="3"/>
  <c r="M2871" i="3"/>
  <c r="L2871" i="3"/>
  <c r="K2871" i="3"/>
  <c r="J2871" i="3"/>
  <c r="I2871" i="3"/>
  <c r="H2871" i="3"/>
  <c r="G2871" i="3"/>
  <c r="F2871" i="3"/>
  <c r="E2871" i="3"/>
  <c r="D2871" i="3"/>
  <c r="C2871" i="3"/>
  <c r="B2871" i="3"/>
  <c r="A2871" i="3"/>
  <c r="M2870" i="3"/>
  <c r="L2870" i="3"/>
  <c r="K2870" i="3"/>
  <c r="J2870" i="3"/>
  <c r="I2870" i="3"/>
  <c r="H2870" i="3"/>
  <c r="G2870" i="3"/>
  <c r="F2870" i="3"/>
  <c r="E2870" i="3"/>
  <c r="D2870" i="3"/>
  <c r="C2870" i="3"/>
  <c r="B2870" i="3"/>
  <c r="A2870" i="3"/>
  <c r="M2869" i="3"/>
  <c r="L2869" i="3"/>
  <c r="K2869" i="3"/>
  <c r="J2869" i="3"/>
  <c r="I2869" i="3"/>
  <c r="H2869" i="3"/>
  <c r="G2869" i="3"/>
  <c r="F2869" i="3"/>
  <c r="E2869" i="3"/>
  <c r="D2869" i="3"/>
  <c r="C2869" i="3"/>
  <c r="B2869" i="3"/>
  <c r="A2869" i="3"/>
  <c r="M2868" i="3"/>
  <c r="L2868" i="3"/>
  <c r="K2868" i="3"/>
  <c r="J2868" i="3"/>
  <c r="I2868" i="3"/>
  <c r="H2868" i="3"/>
  <c r="G2868" i="3"/>
  <c r="F2868" i="3"/>
  <c r="E2868" i="3"/>
  <c r="D2868" i="3"/>
  <c r="C2868" i="3"/>
  <c r="B2868" i="3"/>
  <c r="A2868" i="3"/>
  <c r="M2867" i="3"/>
  <c r="L2867" i="3"/>
  <c r="K2867" i="3"/>
  <c r="J2867" i="3"/>
  <c r="I2867" i="3"/>
  <c r="H2867" i="3"/>
  <c r="G2867" i="3"/>
  <c r="F2867" i="3"/>
  <c r="E2867" i="3"/>
  <c r="D2867" i="3"/>
  <c r="C2867" i="3"/>
  <c r="B2867" i="3"/>
  <c r="A2867" i="3"/>
  <c r="M2866" i="3"/>
  <c r="L2866" i="3"/>
  <c r="K2866" i="3"/>
  <c r="J2866" i="3"/>
  <c r="I2866" i="3"/>
  <c r="H2866" i="3"/>
  <c r="G2866" i="3"/>
  <c r="F2866" i="3"/>
  <c r="E2866" i="3"/>
  <c r="D2866" i="3"/>
  <c r="C2866" i="3"/>
  <c r="B2866" i="3"/>
  <c r="A2866" i="3"/>
  <c r="M2865" i="3"/>
  <c r="L2865" i="3"/>
  <c r="K2865" i="3"/>
  <c r="J2865" i="3"/>
  <c r="I2865" i="3"/>
  <c r="H2865" i="3"/>
  <c r="G2865" i="3"/>
  <c r="F2865" i="3"/>
  <c r="E2865" i="3"/>
  <c r="D2865" i="3"/>
  <c r="C2865" i="3"/>
  <c r="B2865" i="3"/>
  <c r="A2865" i="3"/>
  <c r="M2864" i="3"/>
  <c r="L2864" i="3"/>
  <c r="K2864" i="3"/>
  <c r="J2864" i="3"/>
  <c r="I2864" i="3"/>
  <c r="H2864" i="3"/>
  <c r="G2864" i="3"/>
  <c r="F2864" i="3"/>
  <c r="E2864" i="3"/>
  <c r="D2864" i="3"/>
  <c r="C2864" i="3"/>
  <c r="B2864" i="3"/>
  <c r="A2864" i="3"/>
  <c r="M2863" i="3"/>
  <c r="L2863" i="3"/>
  <c r="K2863" i="3"/>
  <c r="J2863" i="3"/>
  <c r="I2863" i="3"/>
  <c r="H2863" i="3"/>
  <c r="G2863" i="3"/>
  <c r="F2863" i="3"/>
  <c r="E2863" i="3"/>
  <c r="D2863" i="3"/>
  <c r="C2863" i="3"/>
  <c r="B2863" i="3"/>
  <c r="A2863" i="3"/>
  <c r="M2862" i="3"/>
  <c r="L2862" i="3"/>
  <c r="K2862" i="3"/>
  <c r="J2862" i="3"/>
  <c r="I2862" i="3"/>
  <c r="H2862" i="3"/>
  <c r="G2862" i="3"/>
  <c r="F2862" i="3"/>
  <c r="E2862" i="3"/>
  <c r="D2862" i="3"/>
  <c r="C2862" i="3"/>
  <c r="B2862" i="3"/>
  <c r="A2862" i="3"/>
  <c r="M2861" i="3"/>
  <c r="L2861" i="3"/>
  <c r="K2861" i="3"/>
  <c r="J2861" i="3"/>
  <c r="I2861" i="3"/>
  <c r="H2861" i="3"/>
  <c r="G2861" i="3"/>
  <c r="F2861" i="3"/>
  <c r="E2861" i="3"/>
  <c r="D2861" i="3"/>
  <c r="C2861" i="3"/>
  <c r="B2861" i="3"/>
  <c r="A2861" i="3"/>
  <c r="M2860" i="3"/>
  <c r="L2860" i="3"/>
  <c r="K2860" i="3"/>
  <c r="J2860" i="3"/>
  <c r="I2860" i="3"/>
  <c r="H2860" i="3"/>
  <c r="F2860" i="3"/>
  <c r="E2860" i="3"/>
  <c r="D2860" i="3"/>
  <c r="C2860" i="3"/>
  <c r="B2860" i="3"/>
  <c r="A2860" i="3"/>
  <c r="M2859" i="3"/>
  <c r="L2859" i="3"/>
  <c r="K2859" i="3"/>
  <c r="J2859" i="3"/>
  <c r="I2859" i="3"/>
  <c r="H2859" i="3"/>
  <c r="F2859" i="3"/>
  <c r="E2859" i="3"/>
  <c r="D2859" i="3"/>
  <c r="C2859" i="3"/>
  <c r="B2859" i="3"/>
  <c r="A2859" i="3"/>
  <c r="M2858" i="3"/>
  <c r="L2858" i="3"/>
  <c r="K2858" i="3"/>
  <c r="J2858" i="3"/>
  <c r="I2858" i="3"/>
  <c r="H2858" i="3"/>
  <c r="G2858" i="3"/>
  <c r="F2858" i="3"/>
  <c r="E2858" i="3"/>
  <c r="D2858" i="3"/>
  <c r="C2858" i="3"/>
  <c r="B2858" i="3"/>
  <c r="A2858" i="3"/>
  <c r="M2857" i="3"/>
  <c r="L2857" i="3"/>
  <c r="K2857" i="3"/>
  <c r="J2857" i="3"/>
  <c r="I2857" i="3"/>
  <c r="H2857" i="3"/>
  <c r="G2857" i="3"/>
  <c r="F2857" i="3"/>
  <c r="E2857" i="3"/>
  <c r="D2857" i="3"/>
  <c r="C2857" i="3"/>
  <c r="B2857" i="3"/>
  <c r="A2857" i="3"/>
  <c r="M2856" i="3"/>
  <c r="L2856" i="3"/>
  <c r="K2856" i="3"/>
  <c r="J2856" i="3"/>
  <c r="I2856" i="3"/>
  <c r="H2856" i="3"/>
  <c r="G2856" i="3"/>
  <c r="F2856" i="3"/>
  <c r="E2856" i="3"/>
  <c r="D2856" i="3"/>
  <c r="C2856" i="3"/>
  <c r="B2856" i="3"/>
  <c r="A2856" i="3"/>
  <c r="M2855" i="3"/>
  <c r="L2855" i="3"/>
  <c r="K2855" i="3"/>
  <c r="J2855" i="3"/>
  <c r="I2855" i="3"/>
  <c r="H2855" i="3"/>
  <c r="G2855" i="3"/>
  <c r="F2855" i="3"/>
  <c r="E2855" i="3"/>
  <c r="D2855" i="3"/>
  <c r="C2855" i="3"/>
  <c r="B2855" i="3"/>
  <c r="A2855" i="3"/>
  <c r="M2854" i="3"/>
  <c r="L2854" i="3"/>
  <c r="K2854" i="3"/>
  <c r="J2854" i="3"/>
  <c r="I2854" i="3"/>
  <c r="H2854" i="3"/>
  <c r="G2854" i="3"/>
  <c r="F2854" i="3"/>
  <c r="E2854" i="3"/>
  <c r="D2854" i="3"/>
  <c r="C2854" i="3"/>
  <c r="B2854" i="3"/>
  <c r="A2854" i="3"/>
  <c r="M2853" i="3"/>
  <c r="L2853" i="3"/>
  <c r="K2853" i="3"/>
  <c r="J2853" i="3"/>
  <c r="I2853" i="3"/>
  <c r="H2853" i="3"/>
  <c r="G2853" i="3"/>
  <c r="F2853" i="3"/>
  <c r="E2853" i="3"/>
  <c r="D2853" i="3"/>
  <c r="C2853" i="3"/>
  <c r="B2853" i="3"/>
  <c r="A2853" i="3"/>
  <c r="M2852" i="3"/>
  <c r="L2852" i="3"/>
  <c r="K2852" i="3"/>
  <c r="J2852" i="3"/>
  <c r="I2852" i="3"/>
  <c r="H2852" i="3"/>
  <c r="G2852" i="3"/>
  <c r="F2852" i="3"/>
  <c r="E2852" i="3"/>
  <c r="D2852" i="3"/>
  <c r="C2852" i="3"/>
  <c r="B2852" i="3"/>
  <c r="A2852" i="3"/>
  <c r="M2851" i="3"/>
  <c r="L2851" i="3"/>
  <c r="K2851" i="3"/>
  <c r="J2851" i="3"/>
  <c r="I2851" i="3"/>
  <c r="H2851" i="3"/>
  <c r="G2851" i="3"/>
  <c r="F2851" i="3"/>
  <c r="E2851" i="3"/>
  <c r="D2851" i="3"/>
  <c r="C2851" i="3"/>
  <c r="B2851" i="3"/>
  <c r="A2851" i="3"/>
  <c r="M2850" i="3"/>
  <c r="L2850" i="3"/>
  <c r="K2850" i="3"/>
  <c r="J2850" i="3"/>
  <c r="I2850" i="3"/>
  <c r="H2850" i="3"/>
  <c r="G2850" i="3"/>
  <c r="F2850" i="3"/>
  <c r="E2850" i="3"/>
  <c r="D2850" i="3"/>
  <c r="C2850" i="3"/>
  <c r="B2850" i="3"/>
  <c r="A2850" i="3"/>
  <c r="M2849" i="3"/>
  <c r="L2849" i="3"/>
  <c r="K2849" i="3"/>
  <c r="J2849" i="3"/>
  <c r="I2849" i="3"/>
  <c r="H2849" i="3"/>
  <c r="G2849" i="3"/>
  <c r="F2849" i="3"/>
  <c r="E2849" i="3"/>
  <c r="D2849" i="3"/>
  <c r="B2849" i="3"/>
  <c r="A2849" i="3"/>
  <c r="M2848" i="3"/>
  <c r="L2848" i="3"/>
  <c r="K2848" i="3"/>
  <c r="J2848" i="3"/>
  <c r="I2848" i="3"/>
  <c r="H2848" i="3"/>
  <c r="G2848" i="3"/>
  <c r="F2848" i="3"/>
  <c r="E2848" i="3"/>
  <c r="D2848" i="3"/>
  <c r="C2848" i="3"/>
  <c r="B2848" i="3"/>
  <c r="A2848" i="3"/>
  <c r="M2847" i="3"/>
  <c r="L2847" i="3"/>
  <c r="K2847" i="3"/>
  <c r="J2847" i="3"/>
  <c r="I2847" i="3"/>
  <c r="H2847" i="3"/>
  <c r="G2847" i="3"/>
  <c r="E2847" i="3"/>
  <c r="D2847" i="3"/>
  <c r="C2847" i="3"/>
  <c r="B2847" i="3"/>
  <c r="A2847" i="3"/>
  <c r="M2846" i="3"/>
  <c r="L2846" i="3"/>
  <c r="K2846" i="3"/>
  <c r="J2846" i="3"/>
  <c r="I2846" i="3"/>
  <c r="H2846" i="3"/>
  <c r="G2846" i="3"/>
  <c r="F2846" i="3"/>
  <c r="E2846" i="3"/>
  <c r="D2846" i="3"/>
  <c r="C2846" i="3"/>
  <c r="B2846" i="3"/>
  <c r="A2846" i="3"/>
  <c r="M2845" i="3"/>
  <c r="L2845" i="3"/>
  <c r="K2845" i="3"/>
  <c r="J2845" i="3"/>
  <c r="I2845" i="3"/>
  <c r="H2845" i="3"/>
  <c r="G2845" i="3"/>
  <c r="F2845" i="3"/>
  <c r="E2845" i="3"/>
  <c r="D2845" i="3"/>
  <c r="C2845" i="3"/>
  <c r="B2845" i="3"/>
  <c r="A2845" i="3"/>
  <c r="M2844" i="3"/>
  <c r="L2844" i="3"/>
  <c r="K2844" i="3"/>
  <c r="J2844" i="3"/>
  <c r="I2844" i="3"/>
  <c r="H2844" i="3"/>
  <c r="F2844" i="3"/>
  <c r="E2844" i="3"/>
  <c r="D2844" i="3"/>
  <c r="C2844" i="3"/>
  <c r="B2844" i="3"/>
  <c r="A2844" i="3"/>
  <c r="M2843" i="3"/>
  <c r="L2843" i="3"/>
  <c r="K2843" i="3"/>
  <c r="J2843" i="3"/>
  <c r="I2843" i="3"/>
  <c r="H2843" i="3"/>
  <c r="F2843" i="3"/>
  <c r="E2843" i="3"/>
  <c r="D2843" i="3"/>
  <c r="C2843" i="3"/>
  <c r="B2843" i="3"/>
  <c r="A2843" i="3"/>
  <c r="M2842" i="3"/>
  <c r="L2842" i="3"/>
  <c r="K2842" i="3"/>
  <c r="J2842" i="3"/>
  <c r="I2842" i="3"/>
  <c r="H2842" i="3"/>
  <c r="G2842" i="3"/>
  <c r="F2842" i="3"/>
  <c r="E2842" i="3"/>
  <c r="D2842" i="3"/>
  <c r="C2842" i="3"/>
  <c r="B2842" i="3"/>
  <c r="A2842" i="3"/>
  <c r="M2841" i="3"/>
  <c r="L2841" i="3"/>
  <c r="K2841" i="3"/>
  <c r="J2841" i="3"/>
  <c r="I2841" i="3"/>
  <c r="H2841" i="3"/>
  <c r="G2841" i="3"/>
  <c r="F2841" i="3"/>
  <c r="E2841" i="3"/>
  <c r="D2841" i="3"/>
  <c r="C2841" i="3"/>
  <c r="B2841" i="3"/>
  <c r="A2841" i="3"/>
  <c r="M2840" i="3"/>
  <c r="L2840" i="3"/>
  <c r="K2840" i="3"/>
  <c r="J2840" i="3"/>
  <c r="I2840" i="3"/>
  <c r="H2840" i="3"/>
  <c r="G2840" i="3"/>
  <c r="F2840" i="3"/>
  <c r="E2840" i="3"/>
  <c r="D2840" i="3"/>
  <c r="C2840" i="3"/>
  <c r="B2840" i="3"/>
  <c r="A2840" i="3"/>
  <c r="M2839" i="3"/>
  <c r="L2839" i="3"/>
  <c r="K2839" i="3"/>
  <c r="J2839" i="3"/>
  <c r="I2839" i="3"/>
  <c r="H2839" i="3"/>
  <c r="G2839" i="3"/>
  <c r="F2839" i="3"/>
  <c r="E2839" i="3"/>
  <c r="D2839" i="3"/>
  <c r="C2839" i="3"/>
  <c r="B2839" i="3"/>
  <c r="A2839" i="3"/>
  <c r="M2838" i="3"/>
  <c r="L2838" i="3"/>
  <c r="K2838" i="3"/>
  <c r="J2838" i="3"/>
  <c r="I2838" i="3"/>
  <c r="H2838" i="3"/>
  <c r="G2838" i="3"/>
  <c r="F2838" i="3"/>
  <c r="E2838" i="3"/>
  <c r="D2838" i="3"/>
  <c r="C2838" i="3"/>
  <c r="B2838" i="3"/>
  <c r="A2838" i="3"/>
  <c r="M2837" i="3"/>
  <c r="L2837" i="3"/>
  <c r="K2837" i="3"/>
  <c r="J2837" i="3"/>
  <c r="I2837" i="3"/>
  <c r="H2837" i="3"/>
  <c r="G2837" i="3"/>
  <c r="F2837" i="3"/>
  <c r="E2837" i="3"/>
  <c r="D2837" i="3"/>
  <c r="C2837" i="3"/>
  <c r="B2837" i="3"/>
  <c r="A2837" i="3"/>
  <c r="M2836" i="3"/>
  <c r="L2836" i="3"/>
  <c r="K2836" i="3"/>
  <c r="J2836" i="3"/>
  <c r="I2836" i="3"/>
  <c r="H2836" i="3"/>
  <c r="G2836" i="3"/>
  <c r="F2836" i="3"/>
  <c r="E2836" i="3"/>
  <c r="D2836" i="3"/>
  <c r="B2836" i="3"/>
  <c r="A2836" i="3"/>
  <c r="M2835" i="3"/>
  <c r="L2835" i="3"/>
  <c r="K2835" i="3"/>
  <c r="J2835" i="3"/>
  <c r="I2835" i="3"/>
  <c r="H2835" i="3"/>
  <c r="G2835" i="3"/>
  <c r="F2835" i="3"/>
  <c r="E2835" i="3"/>
  <c r="D2835" i="3"/>
  <c r="C2835" i="3"/>
  <c r="B2835" i="3"/>
  <c r="A2835" i="3"/>
  <c r="M2834" i="3"/>
  <c r="L2834" i="3"/>
  <c r="K2834" i="3"/>
  <c r="J2834" i="3"/>
  <c r="I2834" i="3"/>
  <c r="H2834" i="3"/>
  <c r="G2834" i="3"/>
  <c r="F2834" i="3"/>
  <c r="E2834" i="3"/>
  <c r="D2834" i="3"/>
  <c r="C2834" i="3"/>
  <c r="B2834" i="3"/>
  <c r="A2834" i="3"/>
  <c r="M2833" i="3"/>
  <c r="L2833" i="3"/>
  <c r="K2833" i="3"/>
  <c r="J2833" i="3"/>
  <c r="I2833" i="3"/>
  <c r="H2833" i="3"/>
  <c r="G2833" i="3"/>
  <c r="F2833" i="3"/>
  <c r="D2833" i="3"/>
  <c r="C2833" i="3"/>
  <c r="B2833" i="3"/>
  <c r="A2833" i="3"/>
  <c r="M2832" i="3"/>
  <c r="L2832" i="3"/>
  <c r="K2832" i="3"/>
  <c r="J2832" i="3"/>
  <c r="I2832" i="3"/>
  <c r="H2832" i="3"/>
  <c r="G2832" i="3"/>
  <c r="F2832" i="3"/>
  <c r="E2832" i="3"/>
  <c r="D2832" i="3"/>
  <c r="C2832" i="3"/>
  <c r="B2832" i="3"/>
  <c r="A2832" i="3"/>
  <c r="M2831" i="3"/>
  <c r="L2831" i="3"/>
  <c r="K2831" i="3"/>
  <c r="J2831" i="3"/>
  <c r="I2831" i="3"/>
  <c r="H2831" i="3"/>
  <c r="G2831" i="3"/>
  <c r="F2831" i="3"/>
  <c r="E2831" i="3"/>
  <c r="D2831" i="3"/>
  <c r="C2831" i="3"/>
  <c r="B2831" i="3"/>
  <c r="A2831" i="3"/>
  <c r="M2830" i="3"/>
  <c r="L2830" i="3"/>
  <c r="K2830" i="3"/>
  <c r="J2830" i="3"/>
  <c r="I2830" i="3"/>
  <c r="H2830" i="3"/>
  <c r="G2830" i="3"/>
  <c r="F2830" i="3"/>
  <c r="E2830" i="3"/>
  <c r="D2830" i="3"/>
  <c r="C2830" i="3"/>
  <c r="B2830" i="3"/>
  <c r="A2830" i="3"/>
  <c r="M2829" i="3"/>
  <c r="L2829" i="3"/>
  <c r="K2829" i="3"/>
  <c r="J2829" i="3"/>
  <c r="I2829" i="3"/>
  <c r="H2829" i="3"/>
  <c r="G2829" i="3"/>
  <c r="F2829" i="3"/>
  <c r="E2829" i="3"/>
  <c r="D2829" i="3"/>
  <c r="C2829" i="3"/>
  <c r="B2829" i="3"/>
  <c r="A2829" i="3"/>
  <c r="M2828" i="3"/>
  <c r="L2828" i="3"/>
  <c r="K2828" i="3"/>
  <c r="J2828" i="3"/>
  <c r="I2828" i="3"/>
  <c r="H2828" i="3"/>
  <c r="G2828" i="3"/>
  <c r="F2828" i="3"/>
  <c r="E2828" i="3"/>
  <c r="D2828" i="3"/>
  <c r="C2828" i="3"/>
  <c r="B2828" i="3"/>
  <c r="A2828" i="3"/>
  <c r="M2827" i="3"/>
  <c r="L2827" i="3"/>
  <c r="K2827" i="3"/>
  <c r="J2827" i="3"/>
  <c r="I2827" i="3"/>
  <c r="H2827" i="3"/>
  <c r="G2827" i="3"/>
  <c r="F2827" i="3"/>
  <c r="E2827" i="3"/>
  <c r="D2827" i="3"/>
  <c r="C2827" i="3"/>
  <c r="B2827" i="3"/>
  <c r="A2827" i="3"/>
  <c r="M2826" i="3"/>
  <c r="L2826" i="3"/>
  <c r="K2826" i="3"/>
  <c r="J2826" i="3"/>
  <c r="I2826" i="3"/>
  <c r="H2826" i="3"/>
  <c r="G2826" i="3"/>
  <c r="F2826" i="3"/>
  <c r="E2826" i="3"/>
  <c r="D2826" i="3"/>
  <c r="C2826" i="3"/>
  <c r="B2826" i="3"/>
  <c r="A2826" i="3"/>
  <c r="M2825" i="3"/>
  <c r="L2825" i="3"/>
  <c r="K2825" i="3"/>
  <c r="J2825" i="3"/>
  <c r="I2825" i="3"/>
  <c r="H2825" i="3"/>
  <c r="G2825" i="3"/>
  <c r="F2825" i="3"/>
  <c r="E2825" i="3"/>
  <c r="D2825" i="3"/>
  <c r="C2825" i="3"/>
  <c r="B2825" i="3"/>
  <c r="A2825" i="3"/>
  <c r="M2824" i="3"/>
  <c r="L2824" i="3"/>
  <c r="K2824" i="3"/>
  <c r="J2824" i="3"/>
  <c r="I2824" i="3"/>
  <c r="H2824" i="3"/>
  <c r="G2824" i="3"/>
  <c r="F2824" i="3"/>
  <c r="E2824" i="3"/>
  <c r="D2824" i="3"/>
  <c r="C2824" i="3"/>
  <c r="B2824" i="3"/>
  <c r="A2824" i="3"/>
  <c r="M2823" i="3"/>
  <c r="L2823" i="3"/>
  <c r="K2823" i="3"/>
  <c r="J2823" i="3"/>
  <c r="I2823" i="3"/>
  <c r="H2823" i="3"/>
  <c r="G2823" i="3"/>
  <c r="F2823" i="3"/>
  <c r="E2823" i="3"/>
  <c r="D2823" i="3"/>
  <c r="C2823" i="3"/>
  <c r="B2823" i="3"/>
  <c r="A2823" i="3"/>
  <c r="M2822" i="3"/>
  <c r="L2822" i="3"/>
  <c r="K2822" i="3"/>
  <c r="J2822" i="3"/>
  <c r="I2822" i="3"/>
  <c r="H2822" i="3"/>
  <c r="G2822" i="3"/>
  <c r="F2822" i="3"/>
  <c r="E2822" i="3"/>
  <c r="D2822" i="3"/>
  <c r="C2822" i="3"/>
  <c r="B2822" i="3"/>
  <c r="A2822" i="3"/>
  <c r="M2821" i="3"/>
  <c r="L2821" i="3"/>
  <c r="K2821" i="3"/>
  <c r="J2821" i="3"/>
  <c r="I2821" i="3"/>
  <c r="H2821" i="3"/>
  <c r="G2821" i="3"/>
  <c r="F2821" i="3"/>
  <c r="E2821" i="3"/>
  <c r="D2821" i="3"/>
  <c r="C2821" i="3"/>
  <c r="B2821" i="3"/>
  <c r="A2821" i="3"/>
  <c r="M2820" i="3"/>
  <c r="L2820" i="3"/>
  <c r="K2820" i="3"/>
  <c r="J2820" i="3"/>
  <c r="I2820" i="3"/>
  <c r="H2820" i="3"/>
  <c r="G2820" i="3"/>
  <c r="F2820" i="3"/>
  <c r="E2820" i="3"/>
  <c r="D2820" i="3"/>
  <c r="C2820" i="3"/>
  <c r="B2820" i="3"/>
  <c r="A2820" i="3"/>
  <c r="M2819" i="3"/>
  <c r="L2819" i="3"/>
  <c r="K2819" i="3"/>
  <c r="J2819" i="3"/>
  <c r="I2819" i="3"/>
  <c r="H2819" i="3"/>
  <c r="G2819" i="3"/>
  <c r="F2819" i="3"/>
  <c r="E2819" i="3"/>
  <c r="D2819" i="3"/>
  <c r="C2819" i="3"/>
  <c r="B2819" i="3"/>
  <c r="A2819" i="3"/>
  <c r="M2818" i="3"/>
  <c r="L2818" i="3"/>
  <c r="K2818" i="3"/>
  <c r="J2818" i="3"/>
  <c r="I2818" i="3"/>
  <c r="H2818" i="3"/>
  <c r="G2818" i="3"/>
  <c r="F2818" i="3"/>
  <c r="E2818" i="3"/>
  <c r="D2818" i="3"/>
  <c r="C2818" i="3"/>
  <c r="B2818" i="3"/>
  <c r="A2818" i="3"/>
  <c r="M2817" i="3"/>
  <c r="L2817" i="3"/>
  <c r="K2817" i="3"/>
  <c r="J2817" i="3"/>
  <c r="I2817" i="3"/>
  <c r="H2817" i="3"/>
  <c r="G2817" i="3"/>
  <c r="F2817" i="3"/>
  <c r="E2817" i="3"/>
  <c r="D2817" i="3"/>
  <c r="C2817" i="3"/>
  <c r="B2817" i="3"/>
  <c r="A2817" i="3"/>
  <c r="M2816" i="3"/>
  <c r="L2816" i="3"/>
  <c r="K2816" i="3"/>
  <c r="J2816" i="3"/>
  <c r="I2816" i="3"/>
  <c r="H2816" i="3"/>
  <c r="G2816" i="3"/>
  <c r="F2816" i="3"/>
  <c r="E2816" i="3"/>
  <c r="D2816" i="3"/>
  <c r="C2816" i="3"/>
  <c r="B2816" i="3"/>
  <c r="A2816" i="3"/>
  <c r="M2815" i="3"/>
  <c r="L2815" i="3"/>
  <c r="K2815" i="3"/>
  <c r="J2815" i="3"/>
  <c r="I2815" i="3"/>
  <c r="H2815" i="3"/>
  <c r="G2815" i="3"/>
  <c r="F2815" i="3"/>
  <c r="E2815" i="3"/>
  <c r="D2815" i="3"/>
  <c r="C2815" i="3"/>
  <c r="B2815" i="3"/>
  <c r="A2815" i="3"/>
  <c r="M2814" i="3"/>
  <c r="L2814" i="3"/>
  <c r="K2814" i="3"/>
  <c r="J2814" i="3"/>
  <c r="I2814" i="3"/>
  <c r="H2814" i="3"/>
  <c r="G2814" i="3"/>
  <c r="F2814" i="3"/>
  <c r="E2814" i="3"/>
  <c r="D2814" i="3"/>
  <c r="C2814" i="3"/>
  <c r="B2814" i="3"/>
  <c r="A2814" i="3"/>
  <c r="M2813" i="3"/>
  <c r="L2813" i="3"/>
  <c r="K2813" i="3"/>
  <c r="J2813" i="3"/>
  <c r="I2813" i="3"/>
  <c r="H2813" i="3"/>
  <c r="G2813" i="3"/>
  <c r="F2813" i="3"/>
  <c r="E2813" i="3"/>
  <c r="D2813" i="3"/>
  <c r="C2813" i="3"/>
  <c r="B2813" i="3"/>
  <c r="A2813" i="3"/>
  <c r="M2812" i="3"/>
  <c r="L2812" i="3"/>
  <c r="K2812" i="3"/>
  <c r="J2812" i="3"/>
  <c r="I2812" i="3"/>
  <c r="H2812" i="3"/>
  <c r="G2812" i="3"/>
  <c r="F2812" i="3"/>
  <c r="E2812" i="3"/>
  <c r="D2812" i="3"/>
  <c r="C2812" i="3"/>
  <c r="B2812" i="3"/>
  <c r="A2812" i="3"/>
  <c r="M2811" i="3"/>
  <c r="L2811" i="3"/>
  <c r="K2811" i="3"/>
  <c r="J2811" i="3"/>
  <c r="I2811" i="3"/>
  <c r="H2811" i="3"/>
  <c r="G2811" i="3"/>
  <c r="F2811" i="3"/>
  <c r="E2811" i="3"/>
  <c r="D2811" i="3"/>
  <c r="C2811" i="3"/>
  <c r="B2811" i="3"/>
  <c r="A2811" i="3"/>
  <c r="M2810" i="3"/>
  <c r="L2810" i="3"/>
  <c r="K2810" i="3"/>
  <c r="J2810" i="3"/>
  <c r="I2810" i="3"/>
  <c r="H2810" i="3"/>
  <c r="G2810" i="3"/>
  <c r="F2810" i="3"/>
  <c r="D2810" i="3"/>
  <c r="C2810" i="3"/>
  <c r="B2810" i="3"/>
  <c r="A2810" i="3"/>
  <c r="M2809" i="3"/>
  <c r="L2809" i="3"/>
  <c r="K2809" i="3"/>
  <c r="J2809" i="3"/>
  <c r="I2809" i="3"/>
  <c r="H2809" i="3"/>
  <c r="G2809" i="3"/>
  <c r="F2809" i="3"/>
  <c r="E2809" i="3"/>
  <c r="D2809" i="3"/>
  <c r="C2809" i="3"/>
  <c r="B2809" i="3"/>
  <c r="A2809" i="3"/>
  <c r="M2808" i="3"/>
  <c r="L2808" i="3"/>
  <c r="K2808" i="3"/>
  <c r="J2808" i="3"/>
  <c r="I2808" i="3"/>
  <c r="H2808" i="3"/>
  <c r="G2808" i="3"/>
  <c r="F2808" i="3"/>
  <c r="E2808" i="3"/>
  <c r="D2808" i="3"/>
  <c r="C2808" i="3"/>
  <c r="B2808" i="3"/>
  <c r="A2808" i="3"/>
  <c r="M2807" i="3"/>
  <c r="L2807" i="3"/>
  <c r="K2807" i="3"/>
  <c r="J2807" i="3"/>
  <c r="I2807" i="3"/>
  <c r="H2807" i="3"/>
  <c r="G2807" i="3"/>
  <c r="F2807" i="3"/>
  <c r="E2807" i="3"/>
  <c r="D2807" i="3"/>
  <c r="C2807" i="3"/>
  <c r="B2807" i="3"/>
  <c r="A2807" i="3"/>
  <c r="M2806" i="3"/>
  <c r="L2806" i="3"/>
  <c r="K2806" i="3"/>
  <c r="J2806" i="3"/>
  <c r="I2806" i="3"/>
  <c r="H2806" i="3"/>
  <c r="G2806" i="3"/>
  <c r="F2806" i="3"/>
  <c r="E2806" i="3"/>
  <c r="D2806" i="3"/>
  <c r="C2806" i="3"/>
  <c r="B2806" i="3"/>
  <c r="A2806" i="3"/>
  <c r="M2805" i="3"/>
  <c r="L2805" i="3"/>
  <c r="K2805" i="3"/>
  <c r="J2805" i="3"/>
  <c r="I2805" i="3"/>
  <c r="H2805" i="3"/>
  <c r="G2805" i="3"/>
  <c r="F2805" i="3"/>
  <c r="E2805" i="3"/>
  <c r="D2805" i="3"/>
  <c r="C2805" i="3"/>
  <c r="B2805" i="3"/>
  <c r="A2805" i="3"/>
  <c r="M2804" i="3"/>
  <c r="L2804" i="3"/>
  <c r="K2804" i="3"/>
  <c r="J2804" i="3"/>
  <c r="I2804" i="3"/>
  <c r="H2804" i="3"/>
  <c r="G2804" i="3"/>
  <c r="F2804" i="3"/>
  <c r="E2804" i="3"/>
  <c r="D2804" i="3"/>
  <c r="C2804" i="3"/>
  <c r="B2804" i="3"/>
  <c r="A2804" i="3"/>
  <c r="M2803" i="3"/>
  <c r="L2803" i="3"/>
  <c r="K2803" i="3"/>
  <c r="J2803" i="3"/>
  <c r="I2803" i="3"/>
  <c r="H2803" i="3"/>
  <c r="G2803" i="3"/>
  <c r="F2803" i="3"/>
  <c r="E2803" i="3"/>
  <c r="D2803" i="3"/>
  <c r="C2803" i="3"/>
  <c r="B2803" i="3"/>
  <c r="A2803" i="3"/>
  <c r="M2802" i="3"/>
  <c r="L2802" i="3"/>
  <c r="K2802" i="3"/>
  <c r="J2802" i="3"/>
  <c r="I2802" i="3"/>
  <c r="H2802" i="3"/>
  <c r="G2802" i="3"/>
  <c r="F2802" i="3"/>
  <c r="D2802" i="3"/>
  <c r="C2802" i="3"/>
  <c r="B2802" i="3"/>
  <c r="A2802" i="3"/>
  <c r="M2801" i="3"/>
  <c r="L2801" i="3"/>
  <c r="K2801" i="3"/>
  <c r="J2801" i="3"/>
  <c r="I2801" i="3"/>
  <c r="H2801" i="3"/>
  <c r="G2801" i="3"/>
  <c r="F2801" i="3"/>
  <c r="E2801" i="3"/>
  <c r="D2801" i="3"/>
  <c r="C2801" i="3"/>
  <c r="B2801" i="3"/>
  <c r="A2801" i="3"/>
  <c r="M2800" i="3"/>
  <c r="L2800" i="3"/>
  <c r="K2800" i="3"/>
  <c r="J2800" i="3"/>
  <c r="I2800" i="3"/>
  <c r="H2800" i="3"/>
  <c r="G2800" i="3"/>
  <c r="F2800" i="3"/>
  <c r="E2800" i="3"/>
  <c r="D2800" i="3"/>
  <c r="C2800" i="3"/>
  <c r="B2800" i="3"/>
  <c r="A2800" i="3"/>
  <c r="M2799" i="3"/>
  <c r="L2799" i="3"/>
  <c r="K2799" i="3"/>
  <c r="J2799" i="3"/>
  <c r="I2799" i="3"/>
  <c r="H2799" i="3"/>
  <c r="G2799" i="3"/>
  <c r="F2799" i="3"/>
  <c r="E2799" i="3"/>
  <c r="D2799" i="3"/>
  <c r="C2799" i="3"/>
  <c r="B2799" i="3"/>
  <c r="A2799" i="3"/>
  <c r="M2798" i="3"/>
  <c r="L2798" i="3"/>
  <c r="K2798" i="3"/>
  <c r="J2798" i="3"/>
  <c r="I2798" i="3"/>
  <c r="H2798" i="3"/>
  <c r="G2798" i="3"/>
  <c r="F2798" i="3"/>
  <c r="E2798" i="3"/>
  <c r="D2798" i="3"/>
  <c r="C2798" i="3"/>
  <c r="B2798" i="3"/>
  <c r="A2798" i="3"/>
  <c r="M2797" i="3"/>
  <c r="L2797" i="3"/>
  <c r="K2797" i="3"/>
  <c r="J2797" i="3"/>
  <c r="I2797" i="3"/>
  <c r="H2797" i="3"/>
  <c r="G2797" i="3"/>
  <c r="F2797" i="3"/>
  <c r="E2797" i="3"/>
  <c r="D2797" i="3"/>
  <c r="C2797" i="3"/>
  <c r="B2797" i="3"/>
  <c r="A2797" i="3"/>
  <c r="M2796" i="3"/>
  <c r="L2796" i="3"/>
  <c r="K2796" i="3"/>
  <c r="J2796" i="3"/>
  <c r="I2796" i="3"/>
  <c r="H2796" i="3"/>
  <c r="G2796" i="3"/>
  <c r="F2796" i="3"/>
  <c r="E2796" i="3"/>
  <c r="D2796" i="3"/>
  <c r="C2796" i="3"/>
  <c r="B2796" i="3"/>
  <c r="A2796" i="3"/>
  <c r="M2795" i="3"/>
  <c r="L2795" i="3"/>
  <c r="K2795" i="3"/>
  <c r="J2795" i="3"/>
  <c r="I2795" i="3"/>
  <c r="H2795" i="3"/>
  <c r="G2795" i="3"/>
  <c r="F2795" i="3"/>
  <c r="E2795" i="3"/>
  <c r="D2795" i="3"/>
  <c r="C2795" i="3"/>
  <c r="B2795" i="3"/>
  <c r="A2795" i="3"/>
  <c r="M2794" i="3"/>
  <c r="L2794" i="3"/>
  <c r="K2794" i="3"/>
  <c r="J2794" i="3"/>
  <c r="I2794" i="3"/>
  <c r="H2794" i="3"/>
  <c r="G2794" i="3"/>
  <c r="F2794" i="3"/>
  <c r="E2794" i="3"/>
  <c r="D2794" i="3"/>
  <c r="C2794" i="3"/>
  <c r="B2794" i="3"/>
  <c r="A2794" i="3"/>
  <c r="M2793" i="3"/>
  <c r="L2793" i="3"/>
  <c r="K2793" i="3"/>
  <c r="J2793" i="3"/>
  <c r="I2793" i="3"/>
  <c r="H2793" i="3"/>
  <c r="G2793" i="3"/>
  <c r="F2793" i="3"/>
  <c r="E2793" i="3"/>
  <c r="D2793" i="3"/>
  <c r="C2793" i="3"/>
  <c r="B2793" i="3"/>
  <c r="A2793" i="3"/>
  <c r="M2792" i="3"/>
  <c r="L2792" i="3"/>
  <c r="K2792" i="3"/>
  <c r="J2792" i="3"/>
  <c r="I2792" i="3"/>
  <c r="H2792" i="3"/>
  <c r="G2792" i="3"/>
  <c r="F2792" i="3"/>
  <c r="E2792" i="3"/>
  <c r="D2792" i="3"/>
  <c r="C2792" i="3"/>
  <c r="B2792" i="3"/>
  <c r="A2792" i="3"/>
  <c r="M2791" i="3"/>
  <c r="L2791" i="3"/>
  <c r="K2791" i="3"/>
  <c r="J2791" i="3"/>
  <c r="I2791" i="3"/>
  <c r="H2791" i="3"/>
  <c r="G2791" i="3"/>
  <c r="F2791" i="3"/>
  <c r="E2791" i="3"/>
  <c r="D2791" i="3"/>
  <c r="C2791" i="3"/>
  <c r="B2791" i="3"/>
  <c r="A2791" i="3"/>
  <c r="M2790" i="3"/>
  <c r="L2790" i="3"/>
  <c r="K2790" i="3"/>
  <c r="J2790" i="3"/>
  <c r="I2790" i="3"/>
  <c r="H2790" i="3"/>
  <c r="G2790" i="3"/>
  <c r="F2790" i="3"/>
  <c r="E2790" i="3"/>
  <c r="D2790" i="3"/>
  <c r="C2790" i="3"/>
  <c r="B2790" i="3"/>
  <c r="A2790" i="3"/>
  <c r="M2789" i="3"/>
  <c r="L2789" i="3"/>
  <c r="K2789" i="3"/>
  <c r="J2789" i="3"/>
  <c r="I2789" i="3"/>
  <c r="H2789" i="3"/>
  <c r="G2789" i="3"/>
  <c r="F2789" i="3"/>
  <c r="E2789" i="3"/>
  <c r="D2789" i="3"/>
  <c r="C2789" i="3"/>
  <c r="B2789" i="3"/>
  <c r="A2789" i="3"/>
  <c r="M2788" i="3"/>
  <c r="L2788" i="3"/>
  <c r="K2788" i="3"/>
  <c r="J2788" i="3"/>
  <c r="I2788" i="3"/>
  <c r="H2788" i="3"/>
  <c r="G2788" i="3"/>
  <c r="E2788" i="3"/>
  <c r="D2788" i="3"/>
  <c r="C2788" i="3"/>
  <c r="B2788" i="3"/>
  <c r="A2788" i="3"/>
  <c r="M2787" i="3"/>
  <c r="L2787" i="3"/>
  <c r="K2787" i="3"/>
  <c r="J2787" i="3"/>
  <c r="I2787" i="3"/>
  <c r="H2787" i="3"/>
  <c r="G2787" i="3"/>
  <c r="F2787" i="3"/>
  <c r="E2787" i="3"/>
  <c r="D2787" i="3"/>
  <c r="C2787" i="3"/>
  <c r="B2787" i="3"/>
  <c r="A2787" i="3"/>
  <c r="M2786" i="3"/>
  <c r="L2786" i="3"/>
  <c r="K2786" i="3"/>
  <c r="J2786" i="3"/>
  <c r="I2786" i="3"/>
  <c r="H2786" i="3"/>
  <c r="G2786" i="3"/>
  <c r="F2786" i="3"/>
  <c r="E2786" i="3"/>
  <c r="D2786" i="3"/>
  <c r="C2786" i="3"/>
  <c r="B2786" i="3"/>
  <c r="A2786" i="3"/>
  <c r="M2785" i="3"/>
  <c r="L2785" i="3"/>
  <c r="K2785" i="3"/>
  <c r="J2785" i="3"/>
  <c r="I2785" i="3"/>
  <c r="H2785" i="3"/>
  <c r="G2785" i="3"/>
  <c r="F2785" i="3"/>
  <c r="E2785" i="3"/>
  <c r="D2785" i="3"/>
  <c r="C2785" i="3"/>
  <c r="B2785" i="3"/>
  <c r="A2785" i="3"/>
  <c r="M2784" i="3"/>
  <c r="L2784" i="3"/>
  <c r="K2784" i="3"/>
  <c r="J2784" i="3"/>
  <c r="I2784" i="3"/>
  <c r="H2784" i="3"/>
  <c r="G2784" i="3"/>
  <c r="F2784" i="3"/>
  <c r="E2784" i="3"/>
  <c r="D2784" i="3"/>
  <c r="C2784" i="3"/>
  <c r="B2784" i="3"/>
  <c r="A2784" i="3"/>
  <c r="M2783" i="3"/>
  <c r="L2783" i="3"/>
  <c r="K2783" i="3"/>
  <c r="J2783" i="3"/>
  <c r="I2783" i="3"/>
  <c r="H2783" i="3"/>
  <c r="G2783" i="3"/>
  <c r="F2783" i="3"/>
  <c r="E2783" i="3"/>
  <c r="D2783" i="3"/>
  <c r="C2783" i="3"/>
  <c r="B2783" i="3"/>
  <c r="A2783" i="3"/>
  <c r="M2782" i="3"/>
  <c r="L2782" i="3"/>
  <c r="K2782" i="3"/>
  <c r="J2782" i="3"/>
  <c r="I2782" i="3"/>
  <c r="H2782" i="3"/>
  <c r="G2782" i="3"/>
  <c r="F2782" i="3"/>
  <c r="E2782" i="3"/>
  <c r="D2782" i="3"/>
  <c r="B2782" i="3"/>
  <c r="A2782" i="3"/>
  <c r="M2781" i="3"/>
  <c r="L2781" i="3"/>
  <c r="K2781" i="3"/>
  <c r="J2781" i="3"/>
  <c r="I2781" i="3"/>
  <c r="H2781" i="3"/>
  <c r="F2781" i="3"/>
  <c r="E2781" i="3"/>
  <c r="D2781" i="3"/>
  <c r="C2781" i="3"/>
  <c r="B2781" i="3"/>
  <c r="A2781" i="3"/>
  <c r="M2780" i="3"/>
  <c r="L2780" i="3"/>
  <c r="K2780" i="3"/>
  <c r="J2780" i="3"/>
  <c r="I2780" i="3"/>
  <c r="H2780" i="3"/>
  <c r="G2780" i="3"/>
  <c r="F2780" i="3"/>
  <c r="E2780" i="3"/>
  <c r="D2780" i="3"/>
  <c r="C2780" i="3"/>
  <c r="B2780" i="3"/>
  <c r="A2780" i="3"/>
  <c r="M2779" i="3"/>
  <c r="L2779" i="3"/>
  <c r="K2779" i="3"/>
  <c r="J2779" i="3"/>
  <c r="I2779" i="3"/>
  <c r="H2779" i="3"/>
  <c r="G2779" i="3"/>
  <c r="F2779" i="3"/>
  <c r="E2779" i="3"/>
  <c r="D2779" i="3"/>
  <c r="C2779" i="3"/>
  <c r="B2779" i="3"/>
  <c r="A2779" i="3"/>
  <c r="M2778" i="3"/>
  <c r="L2778" i="3"/>
  <c r="K2778" i="3"/>
  <c r="J2778" i="3"/>
  <c r="I2778" i="3"/>
  <c r="H2778" i="3"/>
  <c r="G2778" i="3"/>
  <c r="F2778" i="3"/>
  <c r="E2778" i="3"/>
  <c r="D2778" i="3"/>
  <c r="C2778" i="3"/>
  <c r="B2778" i="3"/>
  <c r="A2778" i="3"/>
  <c r="M2777" i="3"/>
  <c r="L2777" i="3"/>
  <c r="K2777" i="3"/>
  <c r="J2777" i="3"/>
  <c r="I2777" i="3"/>
  <c r="H2777" i="3"/>
  <c r="G2777" i="3"/>
  <c r="F2777" i="3"/>
  <c r="E2777" i="3"/>
  <c r="D2777" i="3"/>
  <c r="C2777" i="3"/>
  <c r="B2777" i="3"/>
  <c r="A2777" i="3"/>
  <c r="M2776" i="3"/>
  <c r="L2776" i="3"/>
  <c r="K2776" i="3"/>
  <c r="J2776" i="3"/>
  <c r="I2776" i="3"/>
  <c r="H2776" i="3"/>
  <c r="G2776" i="3"/>
  <c r="F2776" i="3"/>
  <c r="E2776" i="3"/>
  <c r="D2776" i="3"/>
  <c r="C2776" i="3"/>
  <c r="B2776" i="3"/>
  <c r="A2776" i="3"/>
  <c r="M2775" i="3"/>
  <c r="L2775" i="3"/>
  <c r="K2775" i="3"/>
  <c r="J2775" i="3"/>
  <c r="I2775" i="3"/>
  <c r="H2775" i="3"/>
  <c r="G2775" i="3"/>
  <c r="F2775" i="3"/>
  <c r="E2775" i="3"/>
  <c r="D2775" i="3"/>
  <c r="C2775" i="3"/>
  <c r="B2775" i="3"/>
  <c r="A2775" i="3"/>
  <c r="M2774" i="3"/>
  <c r="L2774" i="3"/>
  <c r="K2774" i="3"/>
  <c r="J2774" i="3"/>
  <c r="I2774" i="3"/>
  <c r="H2774" i="3"/>
  <c r="G2774" i="3"/>
  <c r="F2774" i="3"/>
  <c r="E2774" i="3"/>
  <c r="D2774" i="3"/>
  <c r="C2774" i="3"/>
  <c r="B2774" i="3"/>
  <c r="A2774" i="3"/>
  <c r="M2773" i="3"/>
  <c r="L2773" i="3"/>
  <c r="K2773" i="3"/>
  <c r="J2773" i="3"/>
  <c r="I2773" i="3"/>
  <c r="H2773" i="3"/>
  <c r="F2773" i="3"/>
  <c r="E2773" i="3"/>
  <c r="D2773" i="3"/>
  <c r="C2773" i="3"/>
  <c r="B2773" i="3"/>
  <c r="A2773" i="3"/>
  <c r="M2772" i="3"/>
  <c r="L2772" i="3"/>
  <c r="K2772" i="3"/>
  <c r="J2772" i="3"/>
  <c r="I2772" i="3"/>
  <c r="H2772" i="3"/>
  <c r="F2772" i="3"/>
  <c r="E2772" i="3"/>
  <c r="D2772" i="3"/>
  <c r="C2772" i="3"/>
  <c r="B2772" i="3"/>
  <c r="A2772" i="3"/>
  <c r="M2771" i="3"/>
  <c r="L2771" i="3"/>
  <c r="K2771" i="3"/>
  <c r="J2771" i="3"/>
  <c r="I2771" i="3"/>
  <c r="H2771" i="3"/>
  <c r="G2771" i="3"/>
  <c r="F2771" i="3"/>
  <c r="D2771" i="3"/>
  <c r="C2771" i="3"/>
  <c r="B2771" i="3"/>
  <c r="A2771" i="3"/>
  <c r="M2770" i="3"/>
  <c r="L2770" i="3"/>
  <c r="K2770" i="3"/>
  <c r="J2770" i="3"/>
  <c r="I2770" i="3"/>
  <c r="H2770" i="3"/>
  <c r="G2770" i="3"/>
  <c r="F2770" i="3"/>
  <c r="E2770" i="3"/>
  <c r="D2770" i="3"/>
  <c r="C2770" i="3"/>
  <c r="B2770" i="3"/>
  <c r="A2770" i="3"/>
  <c r="M2769" i="3"/>
  <c r="L2769" i="3"/>
  <c r="K2769" i="3"/>
  <c r="J2769" i="3"/>
  <c r="I2769" i="3"/>
  <c r="H2769" i="3"/>
  <c r="G2769" i="3"/>
  <c r="F2769" i="3"/>
  <c r="E2769" i="3"/>
  <c r="D2769" i="3"/>
  <c r="C2769" i="3"/>
  <c r="B2769" i="3"/>
  <c r="A2769" i="3"/>
  <c r="M2768" i="3"/>
  <c r="L2768" i="3"/>
  <c r="K2768" i="3"/>
  <c r="J2768" i="3"/>
  <c r="I2768" i="3"/>
  <c r="H2768" i="3"/>
  <c r="G2768" i="3"/>
  <c r="F2768" i="3"/>
  <c r="E2768" i="3"/>
  <c r="D2768" i="3"/>
  <c r="C2768" i="3"/>
  <c r="B2768" i="3"/>
  <c r="A2768" i="3"/>
  <c r="M2767" i="3"/>
  <c r="L2767" i="3"/>
  <c r="K2767" i="3"/>
  <c r="J2767" i="3"/>
  <c r="I2767" i="3"/>
  <c r="H2767" i="3"/>
  <c r="G2767" i="3"/>
  <c r="F2767" i="3"/>
  <c r="E2767" i="3"/>
  <c r="D2767" i="3"/>
  <c r="C2767" i="3"/>
  <c r="B2767" i="3"/>
  <c r="A2767" i="3"/>
  <c r="M2766" i="3"/>
  <c r="L2766" i="3"/>
  <c r="K2766" i="3"/>
  <c r="J2766" i="3"/>
  <c r="I2766" i="3"/>
  <c r="H2766" i="3"/>
  <c r="G2766" i="3"/>
  <c r="F2766" i="3"/>
  <c r="E2766" i="3"/>
  <c r="D2766" i="3"/>
  <c r="C2766" i="3"/>
  <c r="B2766" i="3"/>
  <c r="A2766" i="3"/>
  <c r="M2765" i="3"/>
  <c r="L2765" i="3"/>
  <c r="K2765" i="3"/>
  <c r="J2765" i="3"/>
  <c r="I2765" i="3"/>
  <c r="H2765" i="3"/>
  <c r="G2765" i="3"/>
  <c r="F2765" i="3"/>
  <c r="E2765" i="3"/>
  <c r="D2765" i="3"/>
  <c r="C2765" i="3"/>
  <c r="B2765" i="3"/>
  <c r="A2765" i="3"/>
  <c r="M2764" i="3"/>
  <c r="L2764" i="3"/>
  <c r="K2764" i="3"/>
  <c r="J2764" i="3"/>
  <c r="I2764" i="3"/>
  <c r="H2764" i="3"/>
  <c r="G2764" i="3"/>
  <c r="F2764" i="3"/>
  <c r="E2764" i="3"/>
  <c r="D2764" i="3"/>
  <c r="C2764" i="3"/>
  <c r="B2764" i="3"/>
  <c r="A2764" i="3"/>
  <c r="M2763" i="3"/>
  <c r="L2763" i="3"/>
  <c r="K2763" i="3"/>
  <c r="J2763" i="3"/>
  <c r="I2763" i="3"/>
  <c r="H2763" i="3"/>
  <c r="G2763" i="3"/>
  <c r="F2763" i="3"/>
  <c r="E2763" i="3"/>
  <c r="D2763" i="3"/>
  <c r="C2763" i="3"/>
  <c r="B2763" i="3"/>
  <c r="A2763" i="3"/>
  <c r="M2762" i="3"/>
  <c r="L2762" i="3"/>
  <c r="K2762" i="3"/>
  <c r="J2762" i="3"/>
  <c r="I2762" i="3"/>
  <c r="H2762" i="3"/>
  <c r="G2762" i="3"/>
  <c r="F2762" i="3"/>
  <c r="E2762" i="3"/>
  <c r="D2762" i="3"/>
  <c r="C2762" i="3"/>
  <c r="B2762" i="3"/>
  <c r="A2762" i="3"/>
  <c r="M2761" i="3"/>
  <c r="L2761" i="3"/>
  <c r="K2761" i="3"/>
  <c r="J2761" i="3"/>
  <c r="I2761" i="3"/>
  <c r="H2761" i="3"/>
  <c r="G2761" i="3"/>
  <c r="D2761" i="3"/>
  <c r="C2761" i="3"/>
  <c r="B2761" i="3"/>
  <c r="A2761" i="3"/>
  <c r="M2760" i="3"/>
  <c r="L2760" i="3"/>
  <c r="K2760" i="3"/>
  <c r="J2760" i="3"/>
  <c r="I2760" i="3"/>
  <c r="H2760" i="3"/>
  <c r="G2760" i="3"/>
  <c r="F2760" i="3"/>
  <c r="E2760" i="3"/>
  <c r="D2760" i="3"/>
  <c r="C2760" i="3"/>
  <c r="B2760" i="3"/>
  <c r="A2760" i="3"/>
  <c r="M2759" i="3"/>
  <c r="L2759" i="3"/>
  <c r="K2759" i="3"/>
  <c r="J2759" i="3"/>
  <c r="I2759" i="3"/>
  <c r="H2759" i="3"/>
  <c r="G2759" i="3"/>
  <c r="F2759" i="3"/>
  <c r="E2759" i="3"/>
  <c r="D2759" i="3"/>
  <c r="C2759" i="3"/>
  <c r="B2759" i="3"/>
  <c r="A2759" i="3"/>
  <c r="M2758" i="3"/>
  <c r="L2758" i="3"/>
  <c r="K2758" i="3"/>
  <c r="J2758" i="3"/>
  <c r="I2758" i="3"/>
  <c r="H2758" i="3"/>
  <c r="G2758" i="3"/>
  <c r="F2758" i="3"/>
  <c r="E2758" i="3"/>
  <c r="D2758" i="3"/>
  <c r="C2758" i="3"/>
  <c r="B2758" i="3"/>
  <c r="A2758" i="3"/>
  <c r="M2757" i="3"/>
  <c r="L2757" i="3"/>
  <c r="K2757" i="3"/>
  <c r="J2757" i="3"/>
  <c r="I2757" i="3"/>
  <c r="H2757" i="3"/>
  <c r="G2757" i="3"/>
  <c r="F2757" i="3"/>
  <c r="E2757" i="3"/>
  <c r="D2757" i="3"/>
  <c r="C2757" i="3"/>
  <c r="B2757" i="3"/>
  <c r="A2757" i="3"/>
  <c r="M2756" i="3"/>
  <c r="L2756" i="3"/>
  <c r="K2756" i="3"/>
  <c r="J2756" i="3"/>
  <c r="I2756" i="3"/>
  <c r="H2756" i="3"/>
  <c r="G2756" i="3"/>
  <c r="F2756" i="3"/>
  <c r="E2756" i="3"/>
  <c r="D2756" i="3"/>
  <c r="B2756" i="3"/>
  <c r="A2756" i="3"/>
  <c r="M2755" i="3"/>
  <c r="L2755" i="3"/>
  <c r="K2755" i="3"/>
  <c r="J2755" i="3"/>
  <c r="I2755" i="3"/>
  <c r="H2755" i="3"/>
  <c r="G2755" i="3"/>
  <c r="F2755" i="3"/>
  <c r="E2755" i="3"/>
  <c r="D2755" i="3"/>
  <c r="C2755" i="3"/>
  <c r="B2755" i="3"/>
  <c r="A2755" i="3"/>
  <c r="M2754" i="3"/>
  <c r="L2754" i="3"/>
  <c r="K2754" i="3"/>
  <c r="J2754" i="3"/>
  <c r="I2754" i="3"/>
  <c r="H2754" i="3"/>
  <c r="G2754" i="3"/>
  <c r="F2754" i="3"/>
  <c r="E2754" i="3"/>
  <c r="D2754" i="3"/>
  <c r="C2754" i="3"/>
  <c r="B2754" i="3"/>
  <c r="A2754" i="3"/>
  <c r="M2753" i="3"/>
  <c r="L2753" i="3"/>
  <c r="K2753" i="3"/>
  <c r="J2753" i="3"/>
  <c r="I2753" i="3"/>
  <c r="H2753" i="3"/>
  <c r="F2753" i="3"/>
  <c r="E2753" i="3"/>
  <c r="D2753" i="3"/>
  <c r="C2753" i="3"/>
  <c r="B2753" i="3"/>
  <c r="A2753" i="3"/>
  <c r="M2752" i="3"/>
  <c r="L2752" i="3"/>
  <c r="K2752" i="3"/>
  <c r="J2752" i="3"/>
  <c r="I2752" i="3"/>
  <c r="H2752" i="3"/>
  <c r="G2752" i="3"/>
  <c r="F2752" i="3"/>
  <c r="E2752" i="3"/>
  <c r="D2752" i="3"/>
  <c r="C2752" i="3"/>
  <c r="B2752" i="3"/>
  <c r="A2752" i="3"/>
  <c r="M2751" i="3"/>
  <c r="L2751" i="3"/>
  <c r="K2751" i="3"/>
  <c r="J2751" i="3"/>
  <c r="I2751" i="3"/>
  <c r="H2751" i="3"/>
  <c r="F2751" i="3"/>
  <c r="E2751" i="3"/>
  <c r="D2751" i="3"/>
  <c r="C2751" i="3"/>
  <c r="B2751" i="3"/>
  <c r="A2751" i="3"/>
  <c r="M2750" i="3"/>
  <c r="L2750" i="3"/>
  <c r="K2750" i="3"/>
  <c r="J2750" i="3"/>
  <c r="I2750" i="3"/>
  <c r="H2750" i="3"/>
  <c r="G2750" i="3"/>
  <c r="F2750" i="3"/>
  <c r="E2750" i="3"/>
  <c r="D2750" i="3"/>
  <c r="C2750" i="3"/>
  <c r="B2750" i="3"/>
  <c r="A2750" i="3"/>
  <c r="M2749" i="3"/>
  <c r="L2749" i="3"/>
  <c r="K2749" i="3"/>
  <c r="J2749" i="3"/>
  <c r="I2749" i="3"/>
  <c r="H2749" i="3"/>
  <c r="G2749" i="3"/>
  <c r="F2749" i="3"/>
  <c r="E2749" i="3"/>
  <c r="D2749" i="3"/>
  <c r="C2749" i="3"/>
  <c r="B2749" i="3"/>
  <c r="A2749" i="3"/>
  <c r="M2748" i="3"/>
  <c r="L2748" i="3"/>
  <c r="K2748" i="3"/>
  <c r="J2748" i="3"/>
  <c r="I2748" i="3"/>
  <c r="H2748" i="3"/>
  <c r="G2748" i="3"/>
  <c r="F2748" i="3"/>
  <c r="E2748" i="3"/>
  <c r="D2748" i="3"/>
  <c r="C2748" i="3"/>
  <c r="B2748" i="3"/>
  <c r="A2748" i="3"/>
  <c r="M2747" i="3"/>
  <c r="L2747" i="3"/>
  <c r="K2747" i="3"/>
  <c r="J2747" i="3"/>
  <c r="I2747" i="3"/>
  <c r="H2747" i="3"/>
  <c r="G2747" i="3"/>
  <c r="F2747" i="3"/>
  <c r="E2747" i="3"/>
  <c r="D2747" i="3"/>
  <c r="C2747" i="3"/>
  <c r="B2747" i="3"/>
  <c r="A2747" i="3"/>
  <c r="M2746" i="3"/>
  <c r="L2746" i="3"/>
  <c r="K2746" i="3"/>
  <c r="J2746" i="3"/>
  <c r="I2746" i="3"/>
  <c r="H2746" i="3"/>
  <c r="G2746" i="3"/>
  <c r="F2746" i="3"/>
  <c r="E2746" i="3"/>
  <c r="D2746" i="3"/>
  <c r="C2746" i="3"/>
  <c r="B2746" i="3"/>
  <c r="A2746" i="3"/>
  <c r="M2745" i="3"/>
  <c r="L2745" i="3"/>
  <c r="K2745" i="3"/>
  <c r="J2745" i="3"/>
  <c r="I2745" i="3"/>
  <c r="H2745" i="3"/>
  <c r="G2745" i="3"/>
  <c r="F2745" i="3"/>
  <c r="D2745" i="3"/>
  <c r="C2745" i="3"/>
  <c r="B2745" i="3"/>
  <c r="A2745" i="3"/>
  <c r="M2744" i="3"/>
  <c r="L2744" i="3"/>
  <c r="K2744" i="3"/>
  <c r="J2744" i="3"/>
  <c r="I2744" i="3"/>
  <c r="H2744" i="3"/>
  <c r="G2744" i="3"/>
  <c r="F2744" i="3"/>
  <c r="E2744" i="3"/>
  <c r="D2744" i="3"/>
  <c r="C2744" i="3"/>
  <c r="B2744" i="3"/>
  <c r="A2744" i="3"/>
  <c r="M2743" i="3"/>
  <c r="L2743" i="3"/>
  <c r="K2743" i="3"/>
  <c r="J2743" i="3"/>
  <c r="I2743" i="3"/>
  <c r="H2743" i="3"/>
  <c r="G2743" i="3"/>
  <c r="F2743" i="3"/>
  <c r="E2743" i="3"/>
  <c r="D2743" i="3"/>
  <c r="C2743" i="3"/>
  <c r="B2743" i="3"/>
  <c r="A2743" i="3"/>
  <c r="M2742" i="3"/>
  <c r="L2742" i="3"/>
  <c r="K2742" i="3"/>
  <c r="J2742" i="3"/>
  <c r="I2742" i="3"/>
  <c r="H2742" i="3"/>
  <c r="G2742" i="3"/>
  <c r="F2742" i="3"/>
  <c r="E2742" i="3"/>
  <c r="D2742" i="3"/>
  <c r="C2742" i="3"/>
  <c r="B2742" i="3"/>
  <c r="A2742" i="3"/>
  <c r="M2741" i="3"/>
  <c r="L2741" i="3"/>
  <c r="K2741" i="3"/>
  <c r="J2741" i="3"/>
  <c r="I2741" i="3"/>
  <c r="H2741" i="3"/>
  <c r="G2741" i="3"/>
  <c r="F2741" i="3"/>
  <c r="E2741" i="3"/>
  <c r="D2741" i="3"/>
  <c r="C2741" i="3"/>
  <c r="B2741" i="3"/>
  <c r="A2741" i="3"/>
  <c r="M2740" i="3"/>
  <c r="L2740" i="3"/>
  <c r="K2740" i="3"/>
  <c r="J2740" i="3"/>
  <c r="I2740" i="3"/>
  <c r="H2740" i="3"/>
  <c r="G2740" i="3"/>
  <c r="F2740" i="3"/>
  <c r="E2740" i="3"/>
  <c r="D2740" i="3"/>
  <c r="C2740" i="3"/>
  <c r="B2740" i="3"/>
  <c r="A2740" i="3"/>
  <c r="M2739" i="3"/>
  <c r="L2739" i="3"/>
  <c r="K2739" i="3"/>
  <c r="J2739" i="3"/>
  <c r="I2739" i="3"/>
  <c r="H2739" i="3"/>
  <c r="G2739" i="3"/>
  <c r="F2739" i="3"/>
  <c r="E2739" i="3"/>
  <c r="D2739" i="3"/>
  <c r="C2739" i="3"/>
  <c r="B2739" i="3"/>
  <c r="A2739" i="3"/>
  <c r="M2738" i="3"/>
  <c r="L2738" i="3"/>
  <c r="K2738" i="3"/>
  <c r="J2738" i="3"/>
  <c r="I2738" i="3"/>
  <c r="H2738" i="3"/>
  <c r="G2738" i="3"/>
  <c r="F2738" i="3"/>
  <c r="E2738" i="3"/>
  <c r="D2738" i="3"/>
  <c r="C2738" i="3"/>
  <c r="B2738" i="3"/>
  <c r="A2738" i="3"/>
  <c r="M2737" i="3"/>
  <c r="L2737" i="3"/>
  <c r="K2737" i="3"/>
  <c r="J2737" i="3"/>
  <c r="I2737" i="3"/>
  <c r="H2737" i="3"/>
  <c r="G2737" i="3"/>
  <c r="F2737" i="3"/>
  <c r="E2737" i="3"/>
  <c r="D2737" i="3"/>
  <c r="C2737" i="3"/>
  <c r="B2737" i="3"/>
  <c r="A2737" i="3"/>
  <c r="M2736" i="3"/>
  <c r="L2736" i="3"/>
  <c r="K2736" i="3"/>
  <c r="J2736" i="3"/>
  <c r="I2736" i="3"/>
  <c r="H2736" i="3"/>
  <c r="G2736" i="3"/>
  <c r="F2736" i="3"/>
  <c r="E2736" i="3"/>
  <c r="D2736" i="3"/>
  <c r="C2736" i="3"/>
  <c r="B2736" i="3"/>
  <c r="A2736" i="3"/>
  <c r="M2735" i="3"/>
  <c r="L2735" i="3"/>
  <c r="K2735" i="3"/>
  <c r="J2735" i="3"/>
  <c r="I2735" i="3"/>
  <c r="H2735" i="3"/>
  <c r="G2735" i="3"/>
  <c r="F2735" i="3"/>
  <c r="E2735" i="3"/>
  <c r="D2735" i="3"/>
  <c r="C2735" i="3"/>
  <c r="B2735" i="3"/>
  <c r="A2735" i="3"/>
  <c r="M2734" i="3"/>
  <c r="L2734" i="3"/>
  <c r="K2734" i="3"/>
  <c r="J2734" i="3"/>
  <c r="I2734" i="3"/>
  <c r="H2734" i="3"/>
  <c r="G2734" i="3"/>
  <c r="F2734" i="3"/>
  <c r="E2734" i="3"/>
  <c r="D2734" i="3"/>
  <c r="C2734" i="3"/>
  <c r="B2734" i="3"/>
  <c r="A2734" i="3"/>
  <c r="M2733" i="3"/>
  <c r="L2733" i="3"/>
  <c r="K2733" i="3"/>
  <c r="J2733" i="3"/>
  <c r="I2733" i="3"/>
  <c r="H2733" i="3"/>
  <c r="G2733" i="3"/>
  <c r="F2733" i="3"/>
  <c r="E2733" i="3"/>
  <c r="D2733" i="3"/>
  <c r="C2733" i="3"/>
  <c r="B2733" i="3"/>
  <c r="A2733" i="3"/>
  <c r="M2732" i="3"/>
  <c r="L2732" i="3"/>
  <c r="K2732" i="3"/>
  <c r="J2732" i="3"/>
  <c r="I2732" i="3"/>
  <c r="H2732" i="3"/>
  <c r="G2732" i="3"/>
  <c r="F2732" i="3"/>
  <c r="E2732" i="3"/>
  <c r="D2732" i="3"/>
  <c r="C2732" i="3"/>
  <c r="B2732" i="3"/>
  <c r="A2732" i="3"/>
  <c r="M2731" i="3"/>
  <c r="L2731" i="3"/>
  <c r="K2731" i="3"/>
  <c r="J2731" i="3"/>
  <c r="I2731" i="3"/>
  <c r="H2731" i="3"/>
  <c r="G2731" i="3"/>
  <c r="F2731" i="3"/>
  <c r="E2731" i="3"/>
  <c r="D2731" i="3"/>
  <c r="C2731" i="3"/>
  <c r="B2731" i="3"/>
  <c r="A2731" i="3"/>
  <c r="M2730" i="3"/>
  <c r="L2730" i="3"/>
  <c r="K2730" i="3"/>
  <c r="J2730" i="3"/>
  <c r="I2730" i="3"/>
  <c r="H2730" i="3"/>
  <c r="G2730" i="3"/>
  <c r="F2730" i="3"/>
  <c r="E2730" i="3"/>
  <c r="D2730" i="3"/>
  <c r="C2730" i="3"/>
  <c r="B2730" i="3"/>
  <c r="A2730" i="3"/>
  <c r="M2729" i="3"/>
  <c r="L2729" i="3"/>
  <c r="K2729" i="3"/>
  <c r="J2729" i="3"/>
  <c r="I2729" i="3"/>
  <c r="H2729" i="3"/>
  <c r="G2729" i="3"/>
  <c r="F2729" i="3"/>
  <c r="E2729" i="3"/>
  <c r="D2729" i="3"/>
  <c r="C2729" i="3"/>
  <c r="B2729" i="3"/>
  <c r="A2729" i="3"/>
  <c r="M2728" i="3"/>
  <c r="L2728" i="3"/>
  <c r="K2728" i="3"/>
  <c r="J2728" i="3"/>
  <c r="I2728" i="3"/>
  <c r="H2728" i="3"/>
  <c r="G2728" i="3"/>
  <c r="F2728" i="3"/>
  <c r="E2728" i="3"/>
  <c r="D2728" i="3"/>
  <c r="C2728" i="3"/>
  <c r="B2728" i="3"/>
  <c r="A2728" i="3"/>
  <c r="M2727" i="3"/>
  <c r="L2727" i="3"/>
  <c r="K2727" i="3"/>
  <c r="J2727" i="3"/>
  <c r="I2727" i="3"/>
  <c r="H2727" i="3"/>
  <c r="G2727" i="3"/>
  <c r="F2727" i="3"/>
  <c r="E2727" i="3"/>
  <c r="D2727" i="3"/>
  <c r="C2727" i="3"/>
  <c r="B2727" i="3"/>
  <c r="A2727" i="3"/>
  <c r="M2726" i="3"/>
  <c r="L2726" i="3"/>
  <c r="K2726" i="3"/>
  <c r="J2726" i="3"/>
  <c r="I2726" i="3"/>
  <c r="H2726" i="3"/>
  <c r="G2726" i="3"/>
  <c r="F2726" i="3"/>
  <c r="E2726" i="3"/>
  <c r="D2726" i="3"/>
  <c r="C2726" i="3"/>
  <c r="B2726" i="3"/>
  <c r="A2726" i="3"/>
  <c r="M2725" i="3"/>
  <c r="L2725" i="3"/>
  <c r="K2725" i="3"/>
  <c r="J2725" i="3"/>
  <c r="I2725" i="3"/>
  <c r="H2725" i="3"/>
  <c r="G2725" i="3"/>
  <c r="F2725" i="3"/>
  <c r="E2725" i="3"/>
  <c r="D2725" i="3"/>
  <c r="C2725" i="3"/>
  <c r="B2725" i="3"/>
  <c r="A2725" i="3"/>
  <c r="M2724" i="3"/>
  <c r="L2724" i="3"/>
  <c r="K2724" i="3"/>
  <c r="J2724" i="3"/>
  <c r="I2724" i="3"/>
  <c r="H2724" i="3"/>
  <c r="G2724" i="3"/>
  <c r="F2724" i="3"/>
  <c r="E2724" i="3"/>
  <c r="D2724" i="3"/>
  <c r="C2724" i="3"/>
  <c r="B2724" i="3"/>
  <c r="A2724" i="3"/>
  <c r="M2723" i="3"/>
  <c r="L2723" i="3"/>
  <c r="K2723" i="3"/>
  <c r="J2723" i="3"/>
  <c r="I2723" i="3"/>
  <c r="H2723" i="3"/>
  <c r="F2723" i="3"/>
  <c r="E2723" i="3"/>
  <c r="D2723" i="3"/>
  <c r="C2723" i="3"/>
  <c r="B2723" i="3"/>
  <c r="A2723" i="3"/>
  <c r="M2722" i="3"/>
  <c r="L2722" i="3"/>
  <c r="K2722" i="3"/>
  <c r="J2722" i="3"/>
  <c r="I2722" i="3"/>
  <c r="H2722" i="3"/>
  <c r="G2722" i="3"/>
  <c r="F2722" i="3"/>
  <c r="E2722" i="3"/>
  <c r="D2722" i="3"/>
  <c r="C2722" i="3"/>
  <c r="B2722" i="3"/>
  <c r="A2722" i="3"/>
  <c r="M2721" i="3"/>
  <c r="L2721" i="3"/>
  <c r="K2721" i="3"/>
  <c r="J2721" i="3"/>
  <c r="I2721" i="3"/>
  <c r="H2721" i="3"/>
  <c r="G2721" i="3"/>
  <c r="F2721" i="3"/>
  <c r="E2721" i="3"/>
  <c r="D2721" i="3"/>
  <c r="C2721" i="3"/>
  <c r="B2721" i="3"/>
  <c r="A2721" i="3"/>
  <c r="M2720" i="3"/>
  <c r="L2720" i="3"/>
  <c r="K2720" i="3"/>
  <c r="J2720" i="3"/>
  <c r="I2720" i="3"/>
  <c r="H2720" i="3"/>
  <c r="G2720" i="3"/>
  <c r="F2720" i="3"/>
  <c r="E2720" i="3"/>
  <c r="D2720" i="3"/>
  <c r="C2720" i="3"/>
  <c r="B2720" i="3"/>
  <c r="A2720" i="3"/>
  <c r="M2719" i="3"/>
  <c r="L2719" i="3"/>
  <c r="K2719" i="3"/>
  <c r="J2719" i="3"/>
  <c r="I2719" i="3"/>
  <c r="H2719" i="3"/>
  <c r="G2719" i="3"/>
  <c r="F2719" i="3"/>
  <c r="E2719" i="3"/>
  <c r="D2719" i="3"/>
  <c r="C2719" i="3"/>
  <c r="B2719" i="3"/>
  <c r="A2719" i="3"/>
  <c r="M2718" i="3"/>
  <c r="L2718" i="3"/>
  <c r="K2718" i="3"/>
  <c r="J2718" i="3"/>
  <c r="I2718" i="3"/>
  <c r="H2718" i="3"/>
  <c r="G2718" i="3"/>
  <c r="F2718" i="3"/>
  <c r="D2718" i="3"/>
  <c r="C2718" i="3"/>
  <c r="B2718" i="3"/>
  <c r="A2718" i="3"/>
  <c r="M2717" i="3"/>
  <c r="L2717" i="3"/>
  <c r="K2717" i="3"/>
  <c r="J2717" i="3"/>
  <c r="I2717" i="3"/>
  <c r="H2717" i="3"/>
  <c r="G2717" i="3"/>
  <c r="F2717" i="3"/>
  <c r="E2717" i="3"/>
  <c r="D2717" i="3"/>
  <c r="C2717" i="3"/>
  <c r="B2717" i="3"/>
  <c r="A2717" i="3"/>
  <c r="M2716" i="3"/>
  <c r="L2716" i="3"/>
  <c r="K2716" i="3"/>
  <c r="J2716" i="3"/>
  <c r="I2716" i="3"/>
  <c r="H2716" i="3"/>
  <c r="G2716" i="3"/>
  <c r="F2716" i="3"/>
  <c r="E2716" i="3"/>
  <c r="D2716" i="3"/>
  <c r="C2716" i="3"/>
  <c r="B2716" i="3"/>
  <c r="A2716" i="3"/>
  <c r="M2715" i="3"/>
  <c r="L2715" i="3"/>
  <c r="K2715" i="3"/>
  <c r="J2715" i="3"/>
  <c r="I2715" i="3"/>
  <c r="H2715" i="3"/>
  <c r="G2715" i="3"/>
  <c r="F2715" i="3"/>
  <c r="E2715" i="3"/>
  <c r="D2715" i="3"/>
  <c r="C2715" i="3"/>
  <c r="B2715" i="3"/>
  <c r="A2715" i="3"/>
  <c r="M2714" i="3"/>
  <c r="L2714" i="3"/>
  <c r="K2714" i="3"/>
  <c r="J2714" i="3"/>
  <c r="I2714" i="3"/>
  <c r="H2714" i="3"/>
  <c r="G2714" i="3"/>
  <c r="F2714" i="3"/>
  <c r="E2714" i="3"/>
  <c r="D2714" i="3"/>
  <c r="C2714" i="3"/>
  <c r="B2714" i="3"/>
  <c r="A2714" i="3"/>
  <c r="M2713" i="3"/>
  <c r="L2713" i="3"/>
  <c r="K2713" i="3"/>
  <c r="J2713" i="3"/>
  <c r="I2713" i="3"/>
  <c r="H2713" i="3"/>
  <c r="G2713" i="3"/>
  <c r="F2713" i="3"/>
  <c r="E2713" i="3"/>
  <c r="D2713" i="3"/>
  <c r="C2713" i="3"/>
  <c r="B2713" i="3"/>
  <c r="A2713" i="3"/>
  <c r="M2712" i="3"/>
  <c r="L2712" i="3"/>
  <c r="K2712" i="3"/>
  <c r="J2712" i="3"/>
  <c r="I2712" i="3"/>
  <c r="H2712" i="3"/>
  <c r="G2712" i="3"/>
  <c r="F2712" i="3"/>
  <c r="E2712" i="3"/>
  <c r="D2712" i="3"/>
  <c r="C2712" i="3"/>
  <c r="B2712" i="3"/>
  <c r="A2712" i="3"/>
  <c r="M2711" i="3"/>
  <c r="L2711" i="3"/>
  <c r="K2711" i="3"/>
  <c r="J2711" i="3"/>
  <c r="I2711" i="3"/>
  <c r="H2711" i="3"/>
  <c r="G2711" i="3"/>
  <c r="F2711" i="3"/>
  <c r="E2711" i="3"/>
  <c r="D2711" i="3"/>
  <c r="C2711" i="3"/>
  <c r="B2711" i="3"/>
  <c r="A2711" i="3"/>
  <c r="M2710" i="3"/>
  <c r="L2710" i="3"/>
  <c r="K2710" i="3"/>
  <c r="J2710" i="3"/>
  <c r="I2710" i="3"/>
  <c r="H2710" i="3"/>
  <c r="G2710" i="3"/>
  <c r="F2710" i="3"/>
  <c r="E2710" i="3"/>
  <c r="D2710" i="3"/>
  <c r="C2710" i="3"/>
  <c r="B2710" i="3"/>
  <c r="A2710" i="3"/>
  <c r="M2709" i="3"/>
  <c r="L2709" i="3"/>
  <c r="K2709" i="3"/>
  <c r="J2709" i="3"/>
  <c r="I2709" i="3"/>
  <c r="H2709" i="3"/>
  <c r="G2709" i="3"/>
  <c r="F2709" i="3"/>
  <c r="E2709" i="3"/>
  <c r="D2709" i="3"/>
  <c r="C2709" i="3"/>
  <c r="B2709" i="3"/>
  <c r="A2709" i="3"/>
  <c r="M2708" i="3"/>
  <c r="L2708" i="3"/>
  <c r="K2708" i="3"/>
  <c r="J2708" i="3"/>
  <c r="I2708" i="3"/>
  <c r="H2708" i="3"/>
  <c r="G2708" i="3"/>
  <c r="F2708" i="3"/>
  <c r="E2708" i="3"/>
  <c r="D2708" i="3"/>
  <c r="C2708" i="3"/>
  <c r="B2708" i="3"/>
  <c r="A2708" i="3"/>
  <c r="M2707" i="3"/>
  <c r="L2707" i="3"/>
  <c r="K2707" i="3"/>
  <c r="J2707" i="3"/>
  <c r="I2707" i="3"/>
  <c r="H2707" i="3"/>
  <c r="G2707" i="3"/>
  <c r="F2707" i="3"/>
  <c r="E2707" i="3"/>
  <c r="D2707" i="3"/>
  <c r="C2707" i="3"/>
  <c r="B2707" i="3"/>
  <c r="A2707" i="3"/>
  <c r="M2706" i="3"/>
  <c r="L2706" i="3"/>
  <c r="K2706" i="3"/>
  <c r="J2706" i="3"/>
  <c r="I2706" i="3"/>
  <c r="H2706" i="3"/>
  <c r="G2706" i="3"/>
  <c r="F2706" i="3"/>
  <c r="E2706" i="3"/>
  <c r="D2706" i="3"/>
  <c r="C2706" i="3"/>
  <c r="B2706" i="3"/>
  <c r="A2706" i="3"/>
  <c r="M2705" i="3"/>
  <c r="L2705" i="3"/>
  <c r="K2705" i="3"/>
  <c r="J2705" i="3"/>
  <c r="I2705" i="3"/>
  <c r="H2705" i="3"/>
  <c r="G2705" i="3"/>
  <c r="F2705" i="3"/>
  <c r="E2705" i="3"/>
  <c r="D2705" i="3"/>
  <c r="C2705" i="3"/>
  <c r="B2705" i="3"/>
  <c r="A2705" i="3"/>
  <c r="M2704" i="3"/>
  <c r="L2704" i="3"/>
  <c r="K2704" i="3"/>
  <c r="J2704" i="3"/>
  <c r="I2704" i="3"/>
  <c r="H2704" i="3"/>
  <c r="G2704" i="3"/>
  <c r="F2704" i="3"/>
  <c r="E2704" i="3"/>
  <c r="D2704" i="3"/>
  <c r="C2704" i="3"/>
  <c r="B2704" i="3"/>
  <c r="A2704" i="3"/>
  <c r="M2703" i="3"/>
  <c r="L2703" i="3"/>
  <c r="K2703" i="3"/>
  <c r="J2703" i="3"/>
  <c r="I2703" i="3"/>
  <c r="H2703" i="3"/>
  <c r="G2703" i="3"/>
  <c r="F2703" i="3"/>
  <c r="E2703" i="3"/>
  <c r="D2703" i="3"/>
  <c r="C2703" i="3"/>
  <c r="B2703" i="3"/>
  <c r="A2703" i="3"/>
  <c r="M2702" i="3"/>
  <c r="L2702" i="3"/>
  <c r="K2702" i="3"/>
  <c r="J2702" i="3"/>
  <c r="I2702" i="3"/>
  <c r="H2702" i="3"/>
  <c r="G2702" i="3"/>
  <c r="F2702" i="3"/>
  <c r="E2702" i="3"/>
  <c r="D2702" i="3"/>
  <c r="C2702" i="3"/>
  <c r="B2702" i="3"/>
  <c r="A2702" i="3"/>
  <c r="M2701" i="3"/>
  <c r="L2701" i="3"/>
  <c r="K2701" i="3"/>
  <c r="J2701" i="3"/>
  <c r="I2701" i="3"/>
  <c r="H2701" i="3"/>
  <c r="G2701" i="3"/>
  <c r="F2701" i="3"/>
  <c r="E2701" i="3"/>
  <c r="D2701" i="3"/>
  <c r="C2701" i="3"/>
  <c r="B2701" i="3"/>
  <c r="A2701" i="3"/>
  <c r="M2700" i="3"/>
  <c r="L2700" i="3"/>
  <c r="K2700" i="3"/>
  <c r="J2700" i="3"/>
  <c r="I2700" i="3"/>
  <c r="H2700" i="3"/>
  <c r="G2700" i="3"/>
  <c r="F2700" i="3"/>
  <c r="E2700" i="3"/>
  <c r="D2700" i="3"/>
  <c r="C2700" i="3"/>
  <c r="B2700" i="3"/>
  <c r="A2700" i="3"/>
  <c r="M2699" i="3"/>
  <c r="L2699" i="3"/>
  <c r="K2699" i="3"/>
  <c r="J2699" i="3"/>
  <c r="I2699" i="3"/>
  <c r="H2699" i="3"/>
  <c r="G2699" i="3"/>
  <c r="F2699" i="3"/>
  <c r="E2699" i="3"/>
  <c r="D2699" i="3"/>
  <c r="C2699" i="3"/>
  <c r="B2699" i="3"/>
  <c r="A2699" i="3"/>
  <c r="M2698" i="3"/>
  <c r="L2698" i="3"/>
  <c r="K2698" i="3"/>
  <c r="J2698" i="3"/>
  <c r="I2698" i="3"/>
  <c r="H2698" i="3"/>
  <c r="G2698" i="3"/>
  <c r="F2698" i="3"/>
  <c r="E2698" i="3"/>
  <c r="D2698" i="3"/>
  <c r="C2698" i="3"/>
  <c r="B2698" i="3"/>
  <c r="A2698" i="3"/>
  <c r="M2697" i="3"/>
  <c r="L2697" i="3"/>
  <c r="K2697" i="3"/>
  <c r="J2697" i="3"/>
  <c r="I2697" i="3"/>
  <c r="H2697" i="3"/>
  <c r="G2697" i="3"/>
  <c r="F2697" i="3"/>
  <c r="E2697" i="3"/>
  <c r="D2697" i="3"/>
  <c r="C2697" i="3"/>
  <c r="B2697" i="3"/>
  <c r="A2697" i="3"/>
  <c r="M2696" i="3"/>
  <c r="L2696" i="3"/>
  <c r="K2696" i="3"/>
  <c r="J2696" i="3"/>
  <c r="I2696" i="3"/>
  <c r="H2696" i="3"/>
  <c r="G2696" i="3"/>
  <c r="F2696" i="3"/>
  <c r="E2696" i="3"/>
  <c r="D2696" i="3"/>
  <c r="C2696" i="3"/>
  <c r="B2696" i="3"/>
  <c r="A2696" i="3"/>
  <c r="M2695" i="3"/>
  <c r="L2695" i="3"/>
  <c r="K2695" i="3"/>
  <c r="J2695" i="3"/>
  <c r="I2695" i="3"/>
  <c r="H2695" i="3"/>
  <c r="G2695" i="3"/>
  <c r="F2695" i="3"/>
  <c r="E2695" i="3"/>
  <c r="D2695" i="3"/>
  <c r="C2695" i="3"/>
  <c r="B2695" i="3"/>
  <c r="A2695" i="3"/>
  <c r="M2694" i="3"/>
  <c r="L2694" i="3"/>
  <c r="K2694" i="3"/>
  <c r="J2694" i="3"/>
  <c r="I2694" i="3"/>
  <c r="H2694" i="3"/>
  <c r="F2694" i="3"/>
  <c r="E2694" i="3"/>
  <c r="D2694" i="3"/>
  <c r="C2694" i="3"/>
  <c r="B2694" i="3"/>
  <c r="A2694" i="3"/>
  <c r="M2693" i="3"/>
  <c r="L2693" i="3"/>
  <c r="K2693" i="3"/>
  <c r="J2693" i="3"/>
  <c r="I2693" i="3"/>
  <c r="H2693" i="3"/>
  <c r="F2693" i="3"/>
  <c r="E2693" i="3"/>
  <c r="D2693" i="3"/>
  <c r="C2693" i="3"/>
  <c r="B2693" i="3"/>
  <c r="A2693" i="3"/>
  <c r="M2692" i="3"/>
  <c r="L2692" i="3"/>
  <c r="K2692" i="3"/>
  <c r="J2692" i="3"/>
  <c r="I2692" i="3"/>
  <c r="H2692" i="3"/>
  <c r="F2692" i="3"/>
  <c r="E2692" i="3"/>
  <c r="D2692" i="3"/>
  <c r="C2692" i="3"/>
  <c r="B2692" i="3"/>
  <c r="A2692" i="3"/>
  <c r="M2691" i="3"/>
  <c r="L2691" i="3"/>
  <c r="K2691" i="3"/>
  <c r="J2691" i="3"/>
  <c r="I2691" i="3"/>
  <c r="H2691" i="3"/>
  <c r="F2691" i="3"/>
  <c r="E2691" i="3"/>
  <c r="D2691" i="3"/>
  <c r="C2691" i="3"/>
  <c r="B2691" i="3"/>
  <c r="A2691" i="3"/>
  <c r="M2690" i="3"/>
  <c r="L2690" i="3"/>
  <c r="K2690" i="3"/>
  <c r="J2690" i="3"/>
  <c r="I2690" i="3"/>
  <c r="H2690" i="3"/>
  <c r="G2690" i="3"/>
  <c r="F2690" i="3"/>
  <c r="E2690" i="3"/>
  <c r="D2690" i="3"/>
  <c r="C2690" i="3"/>
  <c r="B2690" i="3"/>
  <c r="A2690" i="3"/>
  <c r="M2689" i="3"/>
  <c r="L2689" i="3"/>
  <c r="K2689" i="3"/>
  <c r="J2689" i="3"/>
  <c r="I2689" i="3"/>
  <c r="H2689" i="3"/>
  <c r="G2689" i="3"/>
  <c r="F2689" i="3"/>
  <c r="E2689" i="3"/>
  <c r="D2689" i="3"/>
  <c r="C2689" i="3"/>
  <c r="B2689" i="3"/>
  <c r="A2689" i="3"/>
  <c r="M2688" i="3"/>
  <c r="L2688" i="3"/>
  <c r="K2688" i="3"/>
  <c r="J2688" i="3"/>
  <c r="I2688" i="3"/>
  <c r="H2688" i="3"/>
  <c r="G2688" i="3"/>
  <c r="F2688" i="3"/>
  <c r="E2688" i="3"/>
  <c r="D2688" i="3"/>
  <c r="C2688" i="3"/>
  <c r="B2688" i="3"/>
  <c r="A2688" i="3"/>
  <c r="M2687" i="3"/>
  <c r="L2687" i="3"/>
  <c r="K2687" i="3"/>
  <c r="J2687" i="3"/>
  <c r="I2687" i="3"/>
  <c r="H2687" i="3"/>
  <c r="G2687" i="3"/>
  <c r="F2687" i="3"/>
  <c r="E2687" i="3"/>
  <c r="D2687" i="3"/>
  <c r="C2687" i="3"/>
  <c r="B2687" i="3"/>
  <c r="A2687" i="3"/>
  <c r="M2686" i="3"/>
  <c r="L2686" i="3"/>
  <c r="K2686" i="3"/>
  <c r="J2686" i="3"/>
  <c r="I2686" i="3"/>
  <c r="H2686" i="3"/>
  <c r="G2686" i="3"/>
  <c r="F2686" i="3"/>
  <c r="E2686" i="3"/>
  <c r="D2686" i="3"/>
  <c r="C2686" i="3"/>
  <c r="B2686" i="3"/>
  <c r="A2686" i="3"/>
  <c r="M2685" i="3"/>
  <c r="L2685" i="3"/>
  <c r="K2685" i="3"/>
  <c r="J2685" i="3"/>
  <c r="I2685" i="3"/>
  <c r="H2685" i="3"/>
  <c r="G2685" i="3"/>
  <c r="F2685" i="3"/>
  <c r="E2685" i="3"/>
  <c r="D2685" i="3"/>
  <c r="C2685" i="3"/>
  <c r="B2685" i="3"/>
  <c r="A2685" i="3"/>
  <c r="M2684" i="3"/>
  <c r="L2684" i="3"/>
  <c r="K2684" i="3"/>
  <c r="J2684" i="3"/>
  <c r="I2684" i="3"/>
  <c r="H2684" i="3"/>
  <c r="G2684" i="3"/>
  <c r="F2684" i="3"/>
  <c r="E2684" i="3"/>
  <c r="D2684" i="3"/>
  <c r="C2684" i="3"/>
  <c r="B2684" i="3"/>
  <c r="A2684" i="3"/>
  <c r="M2683" i="3"/>
  <c r="L2683" i="3"/>
  <c r="K2683" i="3"/>
  <c r="J2683" i="3"/>
  <c r="I2683" i="3"/>
  <c r="H2683" i="3"/>
  <c r="F2683" i="3"/>
  <c r="E2683" i="3"/>
  <c r="D2683" i="3"/>
  <c r="C2683" i="3"/>
  <c r="B2683" i="3"/>
  <c r="A2683" i="3"/>
  <c r="M2682" i="3"/>
  <c r="L2682" i="3"/>
  <c r="K2682" i="3"/>
  <c r="J2682" i="3"/>
  <c r="I2682" i="3"/>
  <c r="H2682" i="3"/>
  <c r="G2682" i="3"/>
  <c r="F2682" i="3"/>
  <c r="E2682" i="3"/>
  <c r="D2682" i="3"/>
  <c r="C2682" i="3"/>
  <c r="B2682" i="3"/>
  <c r="A2682" i="3"/>
  <c r="M2681" i="3"/>
  <c r="L2681" i="3"/>
  <c r="K2681" i="3"/>
  <c r="J2681" i="3"/>
  <c r="I2681" i="3"/>
  <c r="H2681" i="3"/>
  <c r="F2681" i="3"/>
  <c r="E2681" i="3"/>
  <c r="D2681" i="3"/>
  <c r="C2681" i="3"/>
  <c r="B2681" i="3"/>
  <c r="A2681" i="3"/>
  <c r="M2680" i="3"/>
  <c r="L2680" i="3"/>
  <c r="K2680" i="3"/>
  <c r="J2680" i="3"/>
  <c r="I2680" i="3"/>
  <c r="H2680" i="3"/>
  <c r="G2680" i="3"/>
  <c r="F2680" i="3"/>
  <c r="E2680" i="3"/>
  <c r="D2680" i="3"/>
  <c r="C2680" i="3"/>
  <c r="B2680" i="3"/>
  <c r="A2680" i="3"/>
  <c r="M2679" i="3"/>
  <c r="L2679" i="3"/>
  <c r="K2679" i="3"/>
  <c r="J2679" i="3"/>
  <c r="I2679" i="3"/>
  <c r="H2679" i="3"/>
  <c r="G2679" i="3"/>
  <c r="F2679" i="3"/>
  <c r="E2679" i="3"/>
  <c r="D2679" i="3"/>
  <c r="C2679" i="3"/>
  <c r="B2679" i="3"/>
  <c r="A2679" i="3"/>
  <c r="M2678" i="3"/>
  <c r="L2678" i="3"/>
  <c r="K2678" i="3"/>
  <c r="J2678" i="3"/>
  <c r="I2678" i="3"/>
  <c r="H2678" i="3"/>
  <c r="G2678" i="3"/>
  <c r="F2678" i="3"/>
  <c r="E2678" i="3"/>
  <c r="D2678" i="3"/>
  <c r="C2678" i="3"/>
  <c r="B2678" i="3"/>
  <c r="A2678" i="3"/>
  <c r="M2677" i="3"/>
  <c r="L2677" i="3"/>
  <c r="K2677" i="3"/>
  <c r="J2677" i="3"/>
  <c r="I2677" i="3"/>
  <c r="H2677" i="3"/>
  <c r="G2677" i="3"/>
  <c r="F2677" i="3"/>
  <c r="E2677" i="3"/>
  <c r="D2677" i="3"/>
  <c r="C2677" i="3"/>
  <c r="B2677" i="3"/>
  <c r="A2677" i="3"/>
  <c r="M2676" i="3"/>
  <c r="L2676" i="3"/>
  <c r="K2676" i="3"/>
  <c r="J2676" i="3"/>
  <c r="I2676" i="3"/>
  <c r="H2676" i="3"/>
  <c r="G2676" i="3"/>
  <c r="F2676" i="3"/>
  <c r="E2676" i="3"/>
  <c r="D2676" i="3"/>
  <c r="C2676" i="3"/>
  <c r="B2676" i="3"/>
  <c r="A2676" i="3"/>
  <c r="M2675" i="3"/>
  <c r="L2675" i="3"/>
  <c r="K2675" i="3"/>
  <c r="J2675" i="3"/>
  <c r="I2675" i="3"/>
  <c r="H2675" i="3"/>
  <c r="G2675" i="3"/>
  <c r="F2675" i="3"/>
  <c r="E2675" i="3"/>
  <c r="D2675" i="3"/>
  <c r="C2675" i="3"/>
  <c r="B2675" i="3"/>
  <c r="A2675" i="3"/>
  <c r="M2674" i="3"/>
  <c r="L2674" i="3"/>
  <c r="K2674" i="3"/>
  <c r="J2674" i="3"/>
  <c r="I2674" i="3"/>
  <c r="H2674" i="3"/>
  <c r="G2674" i="3"/>
  <c r="F2674" i="3"/>
  <c r="E2674" i="3"/>
  <c r="D2674" i="3"/>
  <c r="C2674" i="3"/>
  <c r="B2674" i="3"/>
  <c r="A2674" i="3"/>
  <c r="M2673" i="3"/>
  <c r="L2673" i="3"/>
  <c r="K2673" i="3"/>
  <c r="J2673" i="3"/>
  <c r="I2673" i="3"/>
  <c r="H2673" i="3"/>
  <c r="G2673" i="3"/>
  <c r="F2673" i="3"/>
  <c r="E2673" i="3"/>
  <c r="D2673" i="3"/>
  <c r="C2673" i="3"/>
  <c r="B2673" i="3"/>
  <c r="A2673" i="3"/>
  <c r="M2672" i="3"/>
  <c r="L2672" i="3"/>
  <c r="K2672" i="3"/>
  <c r="J2672" i="3"/>
  <c r="I2672" i="3"/>
  <c r="H2672" i="3"/>
  <c r="G2672" i="3"/>
  <c r="F2672" i="3"/>
  <c r="E2672" i="3"/>
  <c r="D2672" i="3"/>
  <c r="C2672" i="3"/>
  <c r="B2672" i="3"/>
  <c r="A2672" i="3"/>
  <c r="M2671" i="3"/>
  <c r="L2671" i="3"/>
  <c r="K2671" i="3"/>
  <c r="J2671" i="3"/>
  <c r="I2671" i="3"/>
  <c r="H2671" i="3"/>
  <c r="G2671" i="3"/>
  <c r="F2671" i="3"/>
  <c r="E2671" i="3"/>
  <c r="D2671" i="3"/>
  <c r="C2671" i="3"/>
  <c r="B2671" i="3"/>
  <c r="A2671" i="3"/>
  <c r="M2670" i="3"/>
  <c r="L2670" i="3"/>
  <c r="K2670" i="3"/>
  <c r="J2670" i="3"/>
  <c r="I2670" i="3"/>
  <c r="H2670" i="3"/>
  <c r="G2670" i="3"/>
  <c r="F2670" i="3"/>
  <c r="E2670" i="3"/>
  <c r="D2670" i="3"/>
  <c r="C2670" i="3"/>
  <c r="B2670" i="3"/>
  <c r="A2670" i="3"/>
  <c r="M2669" i="3"/>
  <c r="L2669" i="3"/>
  <c r="K2669" i="3"/>
  <c r="J2669" i="3"/>
  <c r="I2669" i="3"/>
  <c r="H2669" i="3"/>
  <c r="G2669" i="3"/>
  <c r="F2669" i="3"/>
  <c r="E2669" i="3"/>
  <c r="D2669" i="3"/>
  <c r="C2669" i="3"/>
  <c r="B2669" i="3"/>
  <c r="A2669" i="3"/>
  <c r="M2668" i="3"/>
  <c r="L2668" i="3"/>
  <c r="K2668" i="3"/>
  <c r="J2668" i="3"/>
  <c r="I2668" i="3"/>
  <c r="H2668" i="3"/>
  <c r="G2668" i="3"/>
  <c r="F2668" i="3"/>
  <c r="E2668" i="3"/>
  <c r="D2668" i="3"/>
  <c r="C2668" i="3"/>
  <c r="B2668" i="3"/>
  <c r="A2668" i="3"/>
  <c r="M2667" i="3"/>
  <c r="L2667" i="3"/>
  <c r="K2667" i="3"/>
  <c r="J2667" i="3"/>
  <c r="I2667" i="3"/>
  <c r="H2667" i="3"/>
  <c r="G2667" i="3"/>
  <c r="F2667" i="3"/>
  <c r="E2667" i="3"/>
  <c r="D2667" i="3"/>
  <c r="C2667" i="3"/>
  <c r="B2667" i="3"/>
  <c r="A2667" i="3"/>
  <c r="M2666" i="3"/>
  <c r="L2666" i="3"/>
  <c r="K2666" i="3"/>
  <c r="J2666" i="3"/>
  <c r="I2666" i="3"/>
  <c r="H2666" i="3"/>
  <c r="G2666" i="3"/>
  <c r="F2666" i="3"/>
  <c r="E2666" i="3"/>
  <c r="D2666" i="3"/>
  <c r="C2666" i="3"/>
  <c r="B2666" i="3"/>
  <c r="A2666" i="3"/>
  <c r="M2665" i="3"/>
  <c r="L2665" i="3"/>
  <c r="K2665" i="3"/>
  <c r="J2665" i="3"/>
  <c r="I2665" i="3"/>
  <c r="H2665" i="3"/>
  <c r="G2665" i="3"/>
  <c r="F2665" i="3"/>
  <c r="E2665" i="3"/>
  <c r="D2665" i="3"/>
  <c r="C2665" i="3"/>
  <c r="B2665" i="3"/>
  <c r="A2665" i="3"/>
  <c r="M2664" i="3"/>
  <c r="L2664" i="3"/>
  <c r="K2664" i="3"/>
  <c r="J2664" i="3"/>
  <c r="I2664" i="3"/>
  <c r="H2664" i="3"/>
  <c r="G2664" i="3"/>
  <c r="F2664" i="3"/>
  <c r="E2664" i="3"/>
  <c r="D2664" i="3"/>
  <c r="C2664" i="3"/>
  <c r="B2664" i="3"/>
  <c r="A2664" i="3"/>
  <c r="M2663" i="3"/>
  <c r="L2663" i="3"/>
  <c r="K2663" i="3"/>
  <c r="J2663" i="3"/>
  <c r="I2663" i="3"/>
  <c r="H2663" i="3"/>
  <c r="G2663" i="3"/>
  <c r="F2663" i="3"/>
  <c r="E2663" i="3"/>
  <c r="D2663" i="3"/>
  <c r="C2663" i="3"/>
  <c r="B2663" i="3"/>
  <c r="A2663" i="3"/>
  <c r="M2662" i="3"/>
  <c r="L2662" i="3"/>
  <c r="K2662" i="3"/>
  <c r="J2662" i="3"/>
  <c r="I2662" i="3"/>
  <c r="H2662" i="3"/>
  <c r="G2662" i="3"/>
  <c r="F2662" i="3"/>
  <c r="E2662" i="3"/>
  <c r="D2662" i="3"/>
  <c r="C2662" i="3"/>
  <c r="B2662" i="3"/>
  <c r="A2662" i="3"/>
  <c r="M2661" i="3"/>
  <c r="L2661" i="3"/>
  <c r="K2661" i="3"/>
  <c r="J2661" i="3"/>
  <c r="I2661" i="3"/>
  <c r="H2661" i="3"/>
  <c r="G2661" i="3"/>
  <c r="F2661" i="3"/>
  <c r="E2661" i="3"/>
  <c r="D2661" i="3"/>
  <c r="C2661" i="3"/>
  <c r="B2661" i="3"/>
  <c r="A2661" i="3"/>
  <c r="M2660" i="3"/>
  <c r="L2660" i="3"/>
  <c r="K2660" i="3"/>
  <c r="J2660" i="3"/>
  <c r="I2660" i="3"/>
  <c r="H2660" i="3"/>
  <c r="F2660" i="3"/>
  <c r="E2660" i="3"/>
  <c r="D2660" i="3"/>
  <c r="C2660" i="3"/>
  <c r="B2660" i="3"/>
  <c r="A2660" i="3"/>
  <c r="M2659" i="3"/>
  <c r="L2659" i="3"/>
  <c r="K2659" i="3"/>
  <c r="J2659" i="3"/>
  <c r="I2659" i="3"/>
  <c r="H2659" i="3"/>
  <c r="F2659" i="3"/>
  <c r="E2659" i="3"/>
  <c r="D2659" i="3"/>
  <c r="C2659" i="3"/>
  <c r="B2659" i="3"/>
  <c r="A2659" i="3"/>
  <c r="M2658" i="3"/>
  <c r="L2658" i="3"/>
  <c r="K2658" i="3"/>
  <c r="J2658" i="3"/>
  <c r="I2658" i="3"/>
  <c r="H2658" i="3"/>
  <c r="G2658" i="3"/>
  <c r="F2658" i="3"/>
  <c r="E2658" i="3"/>
  <c r="D2658" i="3"/>
  <c r="C2658" i="3"/>
  <c r="B2658" i="3"/>
  <c r="A2658" i="3"/>
  <c r="M2657" i="3"/>
  <c r="L2657" i="3"/>
  <c r="K2657" i="3"/>
  <c r="J2657" i="3"/>
  <c r="I2657" i="3"/>
  <c r="H2657" i="3"/>
  <c r="G2657" i="3"/>
  <c r="F2657" i="3"/>
  <c r="E2657" i="3"/>
  <c r="D2657" i="3"/>
  <c r="C2657" i="3"/>
  <c r="B2657" i="3"/>
  <c r="A2657" i="3"/>
  <c r="M2656" i="3"/>
  <c r="L2656" i="3"/>
  <c r="K2656" i="3"/>
  <c r="J2656" i="3"/>
  <c r="I2656" i="3"/>
  <c r="H2656" i="3"/>
  <c r="G2656" i="3"/>
  <c r="F2656" i="3"/>
  <c r="E2656" i="3"/>
  <c r="D2656" i="3"/>
  <c r="C2656" i="3"/>
  <c r="B2656" i="3"/>
  <c r="A2656" i="3"/>
  <c r="M2655" i="3"/>
  <c r="L2655" i="3"/>
  <c r="K2655" i="3"/>
  <c r="J2655" i="3"/>
  <c r="I2655" i="3"/>
  <c r="H2655" i="3"/>
  <c r="G2655" i="3"/>
  <c r="F2655" i="3"/>
  <c r="E2655" i="3"/>
  <c r="D2655" i="3"/>
  <c r="C2655" i="3"/>
  <c r="B2655" i="3"/>
  <c r="A2655" i="3"/>
  <c r="M2654" i="3"/>
  <c r="L2654" i="3"/>
  <c r="K2654" i="3"/>
  <c r="J2654" i="3"/>
  <c r="I2654" i="3"/>
  <c r="H2654" i="3"/>
  <c r="G2654" i="3"/>
  <c r="F2654" i="3"/>
  <c r="E2654" i="3"/>
  <c r="D2654" i="3"/>
  <c r="C2654" i="3"/>
  <c r="B2654" i="3"/>
  <c r="A2654" i="3"/>
  <c r="M2653" i="3"/>
  <c r="L2653" i="3"/>
  <c r="K2653" i="3"/>
  <c r="J2653" i="3"/>
  <c r="I2653" i="3"/>
  <c r="H2653" i="3"/>
  <c r="G2653" i="3"/>
  <c r="F2653" i="3"/>
  <c r="E2653" i="3"/>
  <c r="D2653" i="3"/>
  <c r="C2653" i="3"/>
  <c r="B2653" i="3"/>
  <c r="A2653" i="3"/>
  <c r="M2652" i="3"/>
  <c r="L2652" i="3"/>
  <c r="K2652" i="3"/>
  <c r="J2652" i="3"/>
  <c r="I2652" i="3"/>
  <c r="H2652" i="3"/>
  <c r="G2652" i="3"/>
  <c r="F2652" i="3"/>
  <c r="E2652" i="3"/>
  <c r="D2652" i="3"/>
  <c r="C2652" i="3"/>
  <c r="B2652" i="3"/>
  <c r="A2652" i="3"/>
  <c r="M2651" i="3"/>
  <c r="L2651" i="3"/>
  <c r="K2651" i="3"/>
  <c r="J2651" i="3"/>
  <c r="I2651" i="3"/>
  <c r="H2651" i="3"/>
  <c r="G2651" i="3"/>
  <c r="F2651" i="3"/>
  <c r="E2651" i="3"/>
  <c r="D2651" i="3"/>
  <c r="C2651" i="3"/>
  <c r="B2651" i="3"/>
  <c r="A2651" i="3"/>
  <c r="M2650" i="3"/>
  <c r="L2650" i="3"/>
  <c r="K2650" i="3"/>
  <c r="J2650" i="3"/>
  <c r="I2650" i="3"/>
  <c r="H2650" i="3"/>
  <c r="G2650" i="3"/>
  <c r="F2650" i="3"/>
  <c r="E2650" i="3"/>
  <c r="D2650" i="3"/>
  <c r="C2650" i="3"/>
  <c r="B2650" i="3"/>
  <c r="A2650" i="3"/>
  <c r="M2649" i="3"/>
  <c r="L2649" i="3"/>
  <c r="K2649" i="3"/>
  <c r="J2649" i="3"/>
  <c r="I2649" i="3"/>
  <c r="H2649" i="3"/>
  <c r="G2649" i="3"/>
  <c r="F2649" i="3"/>
  <c r="E2649" i="3"/>
  <c r="D2649" i="3"/>
  <c r="C2649" i="3"/>
  <c r="B2649" i="3"/>
  <c r="A2649" i="3"/>
  <c r="M2648" i="3"/>
  <c r="L2648" i="3"/>
  <c r="K2648" i="3"/>
  <c r="J2648" i="3"/>
  <c r="I2648" i="3"/>
  <c r="H2648" i="3"/>
  <c r="G2648" i="3"/>
  <c r="F2648" i="3"/>
  <c r="E2648" i="3"/>
  <c r="D2648" i="3"/>
  <c r="C2648" i="3"/>
  <c r="B2648" i="3"/>
  <c r="A2648" i="3"/>
  <c r="M2647" i="3"/>
  <c r="L2647" i="3"/>
  <c r="K2647" i="3"/>
  <c r="J2647" i="3"/>
  <c r="I2647" i="3"/>
  <c r="H2647" i="3"/>
  <c r="G2647" i="3"/>
  <c r="F2647" i="3"/>
  <c r="E2647" i="3"/>
  <c r="D2647" i="3"/>
  <c r="C2647" i="3"/>
  <c r="B2647" i="3"/>
  <c r="A2647" i="3"/>
  <c r="M2646" i="3"/>
  <c r="L2646" i="3"/>
  <c r="K2646" i="3"/>
  <c r="J2646" i="3"/>
  <c r="I2646" i="3"/>
  <c r="H2646" i="3"/>
  <c r="G2646" i="3"/>
  <c r="F2646" i="3"/>
  <c r="E2646" i="3"/>
  <c r="D2646" i="3"/>
  <c r="C2646" i="3"/>
  <c r="B2646" i="3"/>
  <c r="A2646" i="3"/>
  <c r="M2645" i="3"/>
  <c r="L2645" i="3"/>
  <c r="K2645" i="3"/>
  <c r="J2645" i="3"/>
  <c r="I2645" i="3"/>
  <c r="H2645" i="3"/>
  <c r="G2645" i="3"/>
  <c r="F2645" i="3"/>
  <c r="E2645" i="3"/>
  <c r="D2645" i="3"/>
  <c r="C2645" i="3"/>
  <c r="B2645" i="3"/>
  <c r="A2645" i="3"/>
  <c r="M2644" i="3"/>
  <c r="L2644" i="3"/>
  <c r="K2644" i="3"/>
  <c r="J2644" i="3"/>
  <c r="I2644" i="3"/>
  <c r="H2644" i="3"/>
  <c r="G2644" i="3"/>
  <c r="F2644" i="3"/>
  <c r="E2644" i="3"/>
  <c r="D2644" i="3"/>
  <c r="C2644" i="3"/>
  <c r="B2644" i="3"/>
  <c r="A2644" i="3"/>
  <c r="M2643" i="3"/>
  <c r="L2643" i="3"/>
  <c r="K2643" i="3"/>
  <c r="J2643" i="3"/>
  <c r="I2643" i="3"/>
  <c r="H2643" i="3"/>
  <c r="G2643" i="3"/>
  <c r="F2643" i="3"/>
  <c r="E2643" i="3"/>
  <c r="D2643" i="3"/>
  <c r="C2643" i="3"/>
  <c r="B2643" i="3"/>
  <c r="A2643" i="3"/>
  <c r="M2642" i="3"/>
  <c r="L2642" i="3"/>
  <c r="K2642" i="3"/>
  <c r="J2642" i="3"/>
  <c r="I2642" i="3"/>
  <c r="H2642" i="3"/>
  <c r="G2642" i="3"/>
  <c r="F2642" i="3"/>
  <c r="E2642" i="3"/>
  <c r="D2642" i="3"/>
  <c r="C2642" i="3"/>
  <c r="B2642" i="3"/>
  <c r="A2642" i="3"/>
  <c r="M2641" i="3"/>
  <c r="L2641" i="3"/>
  <c r="K2641" i="3"/>
  <c r="J2641" i="3"/>
  <c r="I2641" i="3"/>
  <c r="H2641" i="3"/>
  <c r="G2641" i="3"/>
  <c r="F2641" i="3"/>
  <c r="E2641" i="3"/>
  <c r="D2641" i="3"/>
  <c r="C2641" i="3"/>
  <c r="B2641" i="3"/>
  <c r="A2641" i="3"/>
  <c r="M2640" i="3"/>
  <c r="L2640" i="3"/>
  <c r="K2640" i="3"/>
  <c r="J2640" i="3"/>
  <c r="I2640" i="3"/>
  <c r="H2640" i="3"/>
  <c r="G2640" i="3"/>
  <c r="F2640" i="3"/>
  <c r="E2640" i="3"/>
  <c r="D2640" i="3"/>
  <c r="C2640" i="3"/>
  <c r="B2640" i="3"/>
  <c r="A2640" i="3"/>
  <c r="M2639" i="3"/>
  <c r="L2639" i="3"/>
  <c r="K2639" i="3"/>
  <c r="J2639" i="3"/>
  <c r="I2639" i="3"/>
  <c r="H2639" i="3"/>
  <c r="G2639" i="3"/>
  <c r="F2639" i="3"/>
  <c r="E2639" i="3"/>
  <c r="D2639" i="3"/>
  <c r="C2639" i="3"/>
  <c r="B2639" i="3"/>
  <c r="A2639" i="3"/>
  <c r="M2638" i="3"/>
  <c r="L2638" i="3"/>
  <c r="K2638" i="3"/>
  <c r="J2638" i="3"/>
  <c r="I2638" i="3"/>
  <c r="H2638" i="3"/>
  <c r="G2638" i="3"/>
  <c r="F2638" i="3"/>
  <c r="E2638" i="3"/>
  <c r="D2638" i="3"/>
  <c r="C2638" i="3"/>
  <c r="B2638" i="3"/>
  <c r="A2638" i="3"/>
  <c r="M2637" i="3"/>
  <c r="L2637" i="3"/>
  <c r="K2637" i="3"/>
  <c r="J2637" i="3"/>
  <c r="I2637" i="3"/>
  <c r="H2637" i="3"/>
  <c r="G2637" i="3"/>
  <c r="F2637" i="3"/>
  <c r="E2637" i="3"/>
  <c r="D2637" i="3"/>
  <c r="C2637" i="3"/>
  <c r="B2637" i="3"/>
  <c r="A2637" i="3"/>
  <c r="M2636" i="3"/>
  <c r="L2636" i="3"/>
  <c r="K2636" i="3"/>
  <c r="J2636" i="3"/>
  <c r="I2636" i="3"/>
  <c r="H2636" i="3"/>
  <c r="G2636" i="3"/>
  <c r="F2636" i="3"/>
  <c r="E2636" i="3"/>
  <c r="D2636" i="3"/>
  <c r="C2636" i="3"/>
  <c r="B2636" i="3"/>
  <c r="A2636" i="3"/>
  <c r="M2635" i="3"/>
  <c r="L2635" i="3"/>
  <c r="K2635" i="3"/>
  <c r="J2635" i="3"/>
  <c r="I2635" i="3"/>
  <c r="H2635" i="3"/>
  <c r="G2635" i="3"/>
  <c r="F2635" i="3"/>
  <c r="E2635" i="3"/>
  <c r="D2635" i="3"/>
  <c r="C2635" i="3"/>
  <c r="B2635" i="3"/>
  <c r="A2635" i="3"/>
  <c r="M2634" i="3"/>
  <c r="L2634" i="3"/>
  <c r="K2634" i="3"/>
  <c r="J2634" i="3"/>
  <c r="I2634" i="3"/>
  <c r="H2634" i="3"/>
  <c r="G2634" i="3"/>
  <c r="E2634" i="3"/>
  <c r="D2634" i="3"/>
  <c r="C2634" i="3"/>
  <c r="B2634" i="3"/>
  <c r="A2634" i="3"/>
  <c r="M2633" i="3"/>
  <c r="L2633" i="3"/>
  <c r="K2633" i="3"/>
  <c r="J2633" i="3"/>
  <c r="I2633" i="3"/>
  <c r="H2633" i="3"/>
  <c r="G2633" i="3"/>
  <c r="F2633" i="3"/>
  <c r="E2633" i="3"/>
  <c r="D2633" i="3"/>
  <c r="C2633" i="3"/>
  <c r="B2633" i="3"/>
  <c r="A2633" i="3"/>
  <c r="M2632" i="3"/>
  <c r="L2632" i="3"/>
  <c r="K2632" i="3"/>
  <c r="J2632" i="3"/>
  <c r="I2632" i="3"/>
  <c r="H2632" i="3"/>
  <c r="G2632" i="3"/>
  <c r="F2632" i="3"/>
  <c r="E2632" i="3"/>
  <c r="D2632" i="3"/>
  <c r="C2632" i="3"/>
  <c r="B2632" i="3"/>
  <c r="A2632" i="3"/>
  <c r="M2631" i="3"/>
  <c r="L2631" i="3"/>
  <c r="K2631" i="3"/>
  <c r="J2631" i="3"/>
  <c r="I2631" i="3"/>
  <c r="H2631" i="3"/>
  <c r="G2631" i="3"/>
  <c r="F2631" i="3"/>
  <c r="E2631" i="3"/>
  <c r="D2631" i="3"/>
  <c r="C2631" i="3"/>
  <c r="B2631" i="3"/>
  <c r="A2631" i="3"/>
  <c r="M2630" i="3"/>
  <c r="L2630" i="3"/>
  <c r="K2630" i="3"/>
  <c r="J2630" i="3"/>
  <c r="I2630" i="3"/>
  <c r="H2630" i="3"/>
  <c r="G2630" i="3"/>
  <c r="F2630" i="3"/>
  <c r="E2630" i="3"/>
  <c r="D2630" i="3"/>
  <c r="C2630" i="3"/>
  <c r="B2630" i="3"/>
  <c r="A2630" i="3"/>
  <c r="M2629" i="3"/>
  <c r="L2629" i="3"/>
  <c r="K2629" i="3"/>
  <c r="J2629" i="3"/>
  <c r="I2629" i="3"/>
  <c r="H2629" i="3"/>
  <c r="G2629" i="3"/>
  <c r="F2629" i="3"/>
  <c r="E2629" i="3"/>
  <c r="D2629" i="3"/>
  <c r="C2629" i="3"/>
  <c r="B2629" i="3"/>
  <c r="A2629" i="3"/>
  <c r="M2628" i="3"/>
  <c r="L2628" i="3"/>
  <c r="K2628" i="3"/>
  <c r="J2628" i="3"/>
  <c r="I2628" i="3"/>
  <c r="H2628" i="3"/>
  <c r="G2628" i="3"/>
  <c r="F2628" i="3"/>
  <c r="E2628" i="3"/>
  <c r="D2628" i="3"/>
  <c r="C2628" i="3"/>
  <c r="B2628" i="3"/>
  <c r="A2628" i="3"/>
  <c r="M2627" i="3"/>
  <c r="L2627" i="3"/>
  <c r="K2627" i="3"/>
  <c r="J2627" i="3"/>
  <c r="I2627" i="3"/>
  <c r="H2627" i="3"/>
  <c r="G2627" i="3"/>
  <c r="F2627" i="3"/>
  <c r="E2627" i="3"/>
  <c r="D2627" i="3"/>
  <c r="C2627" i="3"/>
  <c r="B2627" i="3"/>
  <c r="A2627" i="3"/>
  <c r="M2626" i="3"/>
  <c r="L2626" i="3"/>
  <c r="K2626" i="3"/>
  <c r="J2626" i="3"/>
  <c r="I2626" i="3"/>
  <c r="H2626" i="3"/>
  <c r="G2626" i="3"/>
  <c r="F2626" i="3"/>
  <c r="E2626" i="3"/>
  <c r="D2626" i="3"/>
  <c r="C2626" i="3"/>
  <c r="B2626" i="3"/>
  <c r="A2626" i="3"/>
  <c r="M2625" i="3"/>
  <c r="L2625" i="3"/>
  <c r="K2625" i="3"/>
  <c r="J2625" i="3"/>
  <c r="I2625" i="3"/>
  <c r="H2625" i="3"/>
  <c r="G2625" i="3"/>
  <c r="F2625" i="3"/>
  <c r="E2625" i="3"/>
  <c r="D2625" i="3"/>
  <c r="C2625" i="3"/>
  <c r="B2625" i="3"/>
  <c r="A2625" i="3"/>
  <c r="M2624" i="3"/>
  <c r="L2624" i="3"/>
  <c r="K2624" i="3"/>
  <c r="J2624" i="3"/>
  <c r="I2624" i="3"/>
  <c r="H2624" i="3"/>
  <c r="G2624" i="3"/>
  <c r="F2624" i="3"/>
  <c r="E2624" i="3"/>
  <c r="D2624" i="3"/>
  <c r="C2624" i="3"/>
  <c r="B2624" i="3"/>
  <c r="A2624" i="3"/>
  <c r="M2623" i="3"/>
  <c r="L2623" i="3"/>
  <c r="K2623" i="3"/>
  <c r="J2623" i="3"/>
  <c r="I2623" i="3"/>
  <c r="H2623" i="3"/>
  <c r="G2623" i="3"/>
  <c r="F2623" i="3"/>
  <c r="E2623" i="3"/>
  <c r="D2623" i="3"/>
  <c r="C2623" i="3"/>
  <c r="B2623" i="3"/>
  <c r="A2623" i="3"/>
  <c r="M2622" i="3"/>
  <c r="L2622" i="3"/>
  <c r="K2622" i="3"/>
  <c r="J2622" i="3"/>
  <c r="I2622" i="3"/>
  <c r="H2622" i="3"/>
  <c r="G2622" i="3"/>
  <c r="F2622" i="3"/>
  <c r="E2622" i="3"/>
  <c r="D2622" i="3"/>
  <c r="C2622" i="3"/>
  <c r="B2622" i="3"/>
  <c r="A2622" i="3"/>
  <c r="M2621" i="3"/>
  <c r="L2621" i="3"/>
  <c r="K2621" i="3"/>
  <c r="J2621" i="3"/>
  <c r="I2621" i="3"/>
  <c r="H2621" i="3"/>
  <c r="G2621" i="3"/>
  <c r="F2621" i="3"/>
  <c r="E2621" i="3"/>
  <c r="D2621" i="3"/>
  <c r="C2621" i="3"/>
  <c r="B2621" i="3"/>
  <c r="A2621" i="3"/>
  <c r="M2620" i="3"/>
  <c r="L2620" i="3"/>
  <c r="K2620" i="3"/>
  <c r="J2620" i="3"/>
  <c r="I2620" i="3"/>
  <c r="H2620" i="3"/>
  <c r="G2620" i="3"/>
  <c r="F2620" i="3"/>
  <c r="E2620" i="3"/>
  <c r="D2620" i="3"/>
  <c r="C2620" i="3"/>
  <c r="B2620" i="3"/>
  <c r="A2620" i="3"/>
  <c r="M2619" i="3"/>
  <c r="L2619" i="3"/>
  <c r="K2619" i="3"/>
  <c r="J2619" i="3"/>
  <c r="I2619" i="3"/>
  <c r="H2619" i="3"/>
  <c r="G2619" i="3"/>
  <c r="F2619" i="3"/>
  <c r="E2619" i="3"/>
  <c r="D2619" i="3"/>
  <c r="C2619" i="3"/>
  <c r="B2619" i="3"/>
  <c r="A2619" i="3"/>
  <c r="M2618" i="3"/>
  <c r="L2618" i="3"/>
  <c r="K2618" i="3"/>
  <c r="J2618" i="3"/>
  <c r="I2618" i="3"/>
  <c r="H2618" i="3"/>
  <c r="G2618" i="3"/>
  <c r="F2618" i="3"/>
  <c r="E2618" i="3"/>
  <c r="D2618" i="3"/>
  <c r="C2618" i="3"/>
  <c r="B2618" i="3"/>
  <c r="A2618" i="3"/>
  <c r="M2617" i="3"/>
  <c r="L2617" i="3"/>
  <c r="K2617" i="3"/>
  <c r="J2617" i="3"/>
  <c r="I2617" i="3"/>
  <c r="H2617" i="3"/>
  <c r="G2617" i="3"/>
  <c r="F2617" i="3"/>
  <c r="E2617" i="3"/>
  <c r="D2617" i="3"/>
  <c r="C2617" i="3"/>
  <c r="B2617" i="3"/>
  <c r="A2617" i="3"/>
  <c r="M2616" i="3"/>
  <c r="L2616" i="3"/>
  <c r="K2616" i="3"/>
  <c r="J2616" i="3"/>
  <c r="I2616" i="3"/>
  <c r="H2616" i="3"/>
  <c r="G2616" i="3"/>
  <c r="F2616" i="3"/>
  <c r="E2616" i="3"/>
  <c r="D2616" i="3"/>
  <c r="C2616" i="3"/>
  <c r="B2616" i="3"/>
  <c r="A2616" i="3"/>
  <c r="M2615" i="3"/>
  <c r="L2615" i="3"/>
  <c r="K2615" i="3"/>
  <c r="J2615" i="3"/>
  <c r="I2615" i="3"/>
  <c r="H2615" i="3"/>
  <c r="F2615" i="3"/>
  <c r="E2615" i="3"/>
  <c r="D2615" i="3"/>
  <c r="C2615" i="3"/>
  <c r="B2615" i="3"/>
  <c r="A2615" i="3"/>
  <c r="M2614" i="3"/>
  <c r="L2614" i="3"/>
  <c r="K2614" i="3"/>
  <c r="J2614" i="3"/>
  <c r="I2614" i="3"/>
  <c r="H2614" i="3"/>
  <c r="G2614" i="3"/>
  <c r="F2614" i="3"/>
  <c r="E2614" i="3"/>
  <c r="D2614" i="3"/>
  <c r="C2614" i="3"/>
  <c r="B2614" i="3"/>
  <c r="A2614" i="3"/>
  <c r="M2613" i="3"/>
  <c r="L2613" i="3"/>
  <c r="K2613" i="3"/>
  <c r="J2613" i="3"/>
  <c r="I2613" i="3"/>
  <c r="H2613" i="3"/>
  <c r="G2613" i="3"/>
  <c r="F2613" i="3"/>
  <c r="E2613" i="3"/>
  <c r="D2613" i="3"/>
  <c r="C2613" i="3"/>
  <c r="B2613" i="3"/>
  <c r="A2613" i="3"/>
  <c r="M2612" i="3"/>
  <c r="L2612" i="3"/>
  <c r="K2612" i="3"/>
  <c r="J2612" i="3"/>
  <c r="I2612" i="3"/>
  <c r="H2612" i="3"/>
  <c r="G2612" i="3"/>
  <c r="F2612" i="3"/>
  <c r="E2612" i="3"/>
  <c r="D2612" i="3"/>
  <c r="C2612" i="3"/>
  <c r="B2612" i="3"/>
  <c r="A2612" i="3"/>
  <c r="M2611" i="3"/>
  <c r="L2611" i="3"/>
  <c r="K2611" i="3"/>
  <c r="J2611" i="3"/>
  <c r="I2611" i="3"/>
  <c r="H2611" i="3"/>
  <c r="G2611" i="3"/>
  <c r="F2611" i="3"/>
  <c r="E2611" i="3"/>
  <c r="D2611" i="3"/>
  <c r="C2611" i="3"/>
  <c r="B2611" i="3"/>
  <c r="A2611" i="3"/>
  <c r="M2610" i="3"/>
  <c r="L2610" i="3"/>
  <c r="K2610" i="3"/>
  <c r="J2610" i="3"/>
  <c r="I2610" i="3"/>
  <c r="H2610" i="3"/>
  <c r="G2610" i="3"/>
  <c r="F2610" i="3"/>
  <c r="E2610" i="3"/>
  <c r="D2610" i="3"/>
  <c r="C2610" i="3"/>
  <c r="B2610" i="3"/>
  <c r="A2610" i="3"/>
  <c r="M2609" i="3"/>
  <c r="L2609" i="3"/>
  <c r="K2609" i="3"/>
  <c r="J2609" i="3"/>
  <c r="I2609" i="3"/>
  <c r="H2609" i="3"/>
  <c r="G2609" i="3"/>
  <c r="F2609" i="3"/>
  <c r="E2609" i="3"/>
  <c r="D2609" i="3"/>
  <c r="C2609" i="3"/>
  <c r="B2609" i="3"/>
  <c r="A2609" i="3"/>
  <c r="M2608" i="3"/>
  <c r="L2608" i="3"/>
  <c r="K2608" i="3"/>
  <c r="J2608" i="3"/>
  <c r="I2608" i="3"/>
  <c r="H2608" i="3"/>
  <c r="G2608" i="3"/>
  <c r="F2608" i="3"/>
  <c r="E2608" i="3"/>
  <c r="D2608" i="3"/>
  <c r="C2608" i="3"/>
  <c r="B2608" i="3"/>
  <c r="A2608" i="3"/>
  <c r="M2607" i="3"/>
  <c r="L2607" i="3"/>
  <c r="K2607" i="3"/>
  <c r="J2607" i="3"/>
  <c r="I2607" i="3"/>
  <c r="H2607" i="3"/>
  <c r="G2607" i="3"/>
  <c r="E2607" i="3"/>
  <c r="D2607" i="3"/>
  <c r="C2607" i="3"/>
  <c r="B2607" i="3"/>
  <c r="A2607" i="3"/>
  <c r="M2606" i="3"/>
  <c r="L2606" i="3"/>
  <c r="K2606" i="3"/>
  <c r="J2606" i="3"/>
  <c r="I2606" i="3"/>
  <c r="H2606" i="3"/>
  <c r="G2606" i="3"/>
  <c r="F2606" i="3"/>
  <c r="E2606" i="3"/>
  <c r="D2606" i="3"/>
  <c r="C2606" i="3"/>
  <c r="B2606" i="3"/>
  <c r="A2606" i="3"/>
  <c r="M2605" i="3"/>
  <c r="L2605" i="3"/>
  <c r="K2605" i="3"/>
  <c r="J2605" i="3"/>
  <c r="I2605" i="3"/>
  <c r="H2605" i="3"/>
  <c r="G2605" i="3"/>
  <c r="F2605" i="3"/>
  <c r="E2605" i="3"/>
  <c r="D2605" i="3"/>
  <c r="C2605" i="3"/>
  <c r="B2605" i="3"/>
  <c r="A2605" i="3"/>
  <c r="M2604" i="3"/>
  <c r="L2604" i="3"/>
  <c r="K2604" i="3"/>
  <c r="J2604" i="3"/>
  <c r="I2604" i="3"/>
  <c r="H2604" i="3"/>
  <c r="G2604" i="3"/>
  <c r="F2604" i="3"/>
  <c r="E2604" i="3"/>
  <c r="D2604" i="3"/>
  <c r="C2604" i="3"/>
  <c r="B2604" i="3"/>
  <c r="A2604" i="3"/>
  <c r="M2603" i="3"/>
  <c r="L2603" i="3"/>
  <c r="K2603" i="3"/>
  <c r="J2603" i="3"/>
  <c r="I2603" i="3"/>
  <c r="H2603" i="3"/>
  <c r="G2603" i="3"/>
  <c r="F2603" i="3"/>
  <c r="E2603" i="3"/>
  <c r="D2603" i="3"/>
  <c r="C2603" i="3"/>
  <c r="B2603" i="3"/>
  <c r="A2603" i="3"/>
  <c r="M2602" i="3"/>
  <c r="L2602" i="3"/>
  <c r="K2602" i="3"/>
  <c r="J2602" i="3"/>
  <c r="I2602" i="3"/>
  <c r="H2602" i="3"/>
  <c r="G2602" i="3"/>
  <c r="F2602" i="3"/>
  <c r="E2602" i="3"/>
  <c r="D2602" i="3"/>
  <c r="C2602" i="3"/>
  <c r="B2602" i="3"/>
  <c r="A2602" i="3"/>
  <c r="M2601" i="3"/>
  <c r="L2601" i="3"/>
  <c r="K2601" i="3"/>
  <c r="J2601" i="3"/>
  <c r="I2601" i="3"/>
  <c r="H2601" i="3"/>
  <c r="G2601" i="3"/>
  <c r="F2601" i="3"/>
  <c r="E2601" i="3"/>
  <c r="D2601" i="3"/>
  <c r="C2601" i="3"/>
  <c r="B2601" i="3"/>
  <c r="A2601" i="3"/>
  <c r="M2600" i="3"/>
  <c r="L2600" i="3"/>
  <c r="K2600" i="3"/>
  <c r="J2600" i="3"/>
  <c r="I2600" i="3"/>
  <c r="H2600" i="3"/>
  <c r="F2600" i="3"/>
  <c r="E2600" i="3"/>
  <c r="D2600" i="3"/>
  <c r="C2600" i="3"/>
  <c r="B2600" i="3"/>
  <c r="A2600" i="3"/>
  <c r="M2599" i="3"/>
  <c r="L2599" i="3"/>
  <c r="K2599" i="3"/>
  <c r="J2599" i="3"/>
  <c r="I2599" i="3"/>
  <c r="H2599" i="3"/>
  <c r="G2599" i="3"/>
  <c r="F2599" i="3"/>
  <c r="E2599" i="3"/>
  <c r="D2599" i="3"/>
  <c r="C2599" i="3"/>
  <c r="B2599" i="3"/>
  <c r="A2599" i="3"/>
  <c r="M2598" i="3"/>
  <c r="L2598" i="3"/>
  <c r="K2598" i="3"/>
  <c r="J2598" i="3"/>
  <c r="I2598" i="3"/>
  <c r="H2598" i="3"/>
  <c r="G2598" i="3"/>
  <c r="F2598" i="3"/>
  <c r="E2598" i="3"/>
  <c r="D2598" i="3"/>
  <c r="C2598" i="3"/>
  <c r="B2598" i="3"/>
  <c r="A2598" i="3"/>
  <c r="M2597" i="3"/>
  <c r="L2597" i="3"/>
  <c r="K2597" i="3"/>
  <c r="J2597" i="3"/>
  <c r="I2597" i="3"/>
  <c r="H2597" i="3"/>
  <c r="F2597" i="3"/>
  <c r="E2597" i="3"/>
  <c r="D2597" i="3"/>
  <c r="B2597" i="3"/>
  <c r="A2597" i="3"/>
  <c r="M2596" i="3"/>
  <c r="L2596" i="3"/>
  <c r="K2596" i="3"/>
  <c r="J2596" i="3"/>
  <c r="I2596" i="3"/>
  <c r="H2596" i="3"/>
  <c r="G2596" i="3"/>
  <c r="F2596" i="3"/>
  <c r="E2596" i="3"/>
  <c r="D2596" i="3"/>
  <c r="C2596" i="3"/>
  <c r="B2596" i="3"/>
  <c r="A2596" i="3"/>
  <c r="M2595" i="3"/>
  <c r="L2595" i="3"/>
  <c r="K2595" i="3"/>
  <c r="J2595" i="3"/>
  <c r="I2595" i="3"/>
  <c r="H2595" i="3"/>
  <c r="G2595" i="3"/>
  <c r="F2595" i="3"/>
  <c r="E2595" i="3"/>
  <c r="D2595" i="3"/>
  <c r="C2595" i="3"/>
  <c r="B2595" i="3"/>
  <c r="A2595" i="3"/>
  <c r="M2594" i="3"/>
  <c r="L2594" i="3"/>
  <c r="K2594" i="3"/>
  <c r="J2594" i="3"/>
  <c r="I2594" i="3"/>
  <c r="H2594" i="3"/>
  <c r="G2594" i="3"/>
  <c r="F2594" i="3"/>
  <c r="E2594" i="3"/>
  <c r="D2594" i="3"/>
  <c r="C2594" i="3"/>
  <c r="B2594" i="3"/>
  <c r="A2594" i="3"/>
  <c r="M2593" i="3"/>
  <c r="L2593" i="3"/>
  <c r="K2593" i="3"/>
  <c r="J2593" i="3"/>
  <c r="I2593" i="3"/>
  <c r="H2593" i="3"/>
  <c r="G2593" i="3"/>
  <c r="F2593" i="3"/>
  <c r="E2593" i="3"/>
  <c r="D2593" i="3"/>
  <c r="B2593" i="3"/>
  <c r="A2593" i="3"/>
  <c r="M2592" i="3"/>
  <c r="L2592" i="3"/>
  <c r="K2592" i="3"/>
  <c r="J2592" i="3"/>
  <c r="I2592" i="3"/>
  <c r="H2592" i="3"/>
  <c r="G2592" i="3"/>
  <c r="F2592" i="3"/>
  <c r="E2592" i="3"/>
  <c r="D2592" i="3"/>
  <c r="C2592" i="3"/>
  <c r="B2592" i="3"/>
  <c r="A2592" i="3"/>
  <c r="M2591" i="3"/>
  <c r="L2591" i="3"/>
  <c r="K2591" i="3"/>
  <c r="J2591" i="3"/>
  <c r="I2591" i="3"/>
  <c r="H2591" i="3"/>
  <c r="G2591" i="3"/>
  <c r="F2591" i="3"/>
  <c r="E2591" i="3"/>
  <c r="D2591" i="3"/>
  <c r="C2591" i="3"/>
  <c r="B2591" i="3"/>
  <c r="A2591" i="3"/>
  <c r="M2590" i="3"/>
  <c r="L2590" i="3"/>
  <c r="K2590" i="3"/>
  <c r="J2590" i="3"/>
  <c r="I2590" i="3"/>
  <c r="H2590" i="3"/>
  <c r="G2590" i="3"/>
  <c r="F2590" i="3"/>
  <c r="E2590" i="3"/>
  <c r="D2590" i="3"/>
  <c r="C2590" i="3"/>
  <c r="B2590" i="3"/>
  <c r="A2590" i="3"/>
  <c r="M2589" i="3"/>
  <c r="L2589" i="3"/>
  <c r="K2589" i="3"/>
  <c r="J2589" i="3"/>
  <c r="I2589" i="3"/>
  <c r="H2589" i="3"/>
  <c r="G2589" i="3"/>
  <c r="F2589" i="3"/>
  <c r="E2589" i="3"/>
  <c r="D2589" i="3"/>
  <c r="C2589" i="3"/>
  <c r="B2589" i="3"/>
  <c r="A2589" i="3"/>
  <c r="M2588" i="3"/>
  <c r="L2588" i="3"/>
  <c r="K2588" i="3"/>
  <c r="J2588" i="3"/>
  <c r="I2588" i="3"/>
  <c r="H2588" i="3"/>
  <c r="G2588" i="3"/>
  <c r="F2588" i="3"/>
  <c r="D2588" i="3"/>
  <c r="C2588" i="3"/>
  <c r="B2588" i="3"/>
  <c r="A2588" i="3"/>
  <c r="M2587" i="3"/>
  <c r="L2587" i="3"/>
  <c r="K2587" i="3"/>
  <c r="J2587" i="3"/>
  <c r="I2587" i="3"/>
  <c r="H2587" i="3"/>
  <c r="G2587" i="3"/>
  <c r="F2587" i="3"/>
  <c r="E2587" i="3"/>
  <c r="D2587" i="3"/>
  <c r="C2587" i="3"/>
  <c r="B2587" i="3"/>
  <c r="A2587" i="3"/>
  <c r="M2586" i="3"/>
  <c r="L2586" i="3"/>
  <c r="K2586" i="3"/>
  <c r="J2586" i="3"/>
  <c r="I2586" i="3"/>
  <c r="H2586" i="3"/>
  <c r="G2586" i="3"/>
  <c r="F2586" i="3"/>
  <c r="E2586" i="3"/>
  <c r="D2586" i="3"/>
  <c r="C2586" i="3"/>
  <c r="B2586" i="3"/>
  <c r="A2586" i="3"/>
  <c r="M2585" i="3"/>
  <c r="L2585" i="3"/>
  <c r="K2585" i="3"/>
  <c r="J2585" i="3"/>
  <c r="I2585" i="3"/>
  <c r="H2585" i="3"/>
  <c r="G2585" i="3"/>
  <c r="F2585" i="3"/>
  <c r="E2585" i="3"/>
  <c r="D2585" i="3"/>
  <c r="C2585" i="3"/>
  <c r="B2585" i="3"/>
  <c r="A2585" i="3"/>
  <c r="M2584" i="3"/>
  <c r="L2584" i="3"/>
  <c r="K2584" i="3"/>
  <c r="J2584" i="3"/>
  <c r="I2584" i="3"/>
  <c r="H2584" i="3"/>
  <c r="G2584" i="3"/>
  <c r="F2584" i="3"/>
  <c r="E2584" i="3"/>
  <c r="D2584" i="3"/>
  <c r="C2584" i="3"/>
  <c r="B2584" i="3"/>
  <c r="A2584" i="3"/>
  <c r="M2583" i="3"/>
  <c r="L2583" i="3"/>
  <c r="K2583" i="3"/>
  <c r="J2583" i="3"/>
  <c r="I2583" i="3"/>
  <c r="H2583" i="3"/>
  <c r="G2583" i="3"/>
  <c r="E2583" i="3"/>
  <c r="D2583" i="3"/>
  <c r="C2583" i="3"/>
  <c r="B2583" i="3"/>
  <c r="A2583" i="3"/>
  <c r="M2582" i="3"/>
  <c r="L2582" i="3"/>
  <c r="K2582" i="3"/>
  <c r="J2582" i="3"/>
  <c r="I2582" i="3"/>
  <c r="H2582" i="3"/>
  <c r="G2582" i="3"/>
  <c r="F2582" i="3"/>
  <c r="E2582" i="3"/>
  <c r="D2582" i="3"/>
  <c r="C2582" i="3"/>
  <c r="B2582" i="3"/>
  <c r="A2582" i="3"/>
  <c r="M2581" i="3"/>
  <c r="L2581" i="3"/>
  <c r="K2581" i="3"/>
  <c r="J2581" i="3"/>
  <c r="I2581" i="3"/>
  <c r="H2581" i="3"/>
  <c r="G2581" i="3"/>
  <c r="F2581" i="3"/>
  <c r="E2581" i="3"/>
  <c r="D2581" i="3"/>
  <c r="C2581" i="3"/>
  <c r="B2581" i="3"/>
  <c r="A2581" i="3"/>
  <c r="M2580" i="3"/>
  <c r="L2580" i="3"/>
  <c r="K2580" i="3"/>
  <c r="J2580" i="3"/>
  <c r="I2580" i="3"/>
  <c r="H2580" i="3"/>
  <c r="G2580" i="3"/>
  <c r="F2580" i="3"/>
  <c r="E2580" i="3"/>
  <c r="D2580" i="3"/>
  <c r="C2580" i="3"/>
  <c r="B2580" i="3"/>
  <c r="A2580" i="3"/>
  <c r="M2579" i="3"/>
  <c r="L2579" i="3"/>
  <c r="K2579" i="3"/>
  <c r="J2579" i="3"/>
  <c r="I2579" i="3"/>
  <c r="H2579" i="3"/>
  <c r="G2579" i="3"/>
  <c r="F2579" i="3"/>
  <c r="E2579" i="3"/>
  <c r="D2579" i="3"/>
  <c r="C2579" i="3"/>
  <c r="B2579" i="3"/>
  <c r="A2579" i="3"/>
  <c r="M2578" i="3"/>
  <c r="L2578" i="3"/>
  <c r="K2578" i="3"/>
  <c r="J2578" i="3"/>
  <c r="I2578" i="3"/>
  <c r="H2578" i="3"/>
  <c r="G2578" i="3"/>
  <c r="F2578" i="3"/>
  <c r="E2578" i="3"/>
  <c r="D2578" i="3"/>
  <c r="C2578" i="3"/>
  <c r="B2578" i="3"/>
  <c r="A2578" i="3"/>
  <c r="M2577" i="3"/>
  <c r="L2577" i="3"/>
  <c r="K2577" i="3"/>
  <c r="J2577" i="3"/>
  <c r="I2577" i="3"/>
  <c r="H2577" i="3"/>
  <c r="G2577" i="3"/>
  <c r="F2577" i="3"/>
  <c r="E2577" i="3"/>
  <c r="D2577" i="3"/>
  <c r="C2577" i="3"/>
  <c r="B2577" i="3"/>
  <c r="A2577" i="3"/>
  <c r="M2576" i="3"/>
  <c r="L2576" i="3"/>
  <c r="K2576" i="3"/>
  <c r="J2576" i="3"/>
  <c r="I2576" i="3"/>
  <c r="H2576" i="3"/>
  <c r="G2576" i="3"/>
  <c r="F2576" i="3"/>
  <c r="E2576" i="3"/>
  <c r="D2576" i="3"/>
  <c r="C2576" i="3"/>
  <c r="B2576" i="3"/>
  <c r="A2576" i="3"/>
  <c r="M2575" i="3"/>
  <c r="L2575" i="3"/>
  <c r="K2575" i="3"/>
  <c r="J2575" i="3"/>
  <c r="I2575" i="3"/>
  <c r="H2575" i="3"/>
  <c r="G2575" i="3"/>
  <c r="F2575" i="3"/>
  <c r="E2575" i="3"/>
  <c r="D2575" i="3"/>
  <c r="C2575" i="3"/>
  <c r="B2575" i="3"/>
  <c r="A2575" i="3"/>
  <c r="M2574" i="3"/>
  <c r="L2574" i="3"/>
  <c r="K2574" i="3"/>
  <c r="J2574" i="3"/>
  <c r="I2574" i="3"/>
  <c r="H2574" i="3"/>
  <c r="G2574" i="3"/>
  <c r="F2574" i="3"/>
  <c r="E2574" i="3"/>
  <c r="D2574" i="3"/>
  <c r="C2574" i="3"/>
  <c r="B2574" i="3"/>
  <c r="A2574" i="3"/>
  <c r="M2573" i="3"/>
  <c r="L2573" i="3"/>
  <c r="K2573" i="3"/>
  <c r="J2573" i="3"/>
  <c r="I2573" i="3"/>
  <c r="H2573" i="3"/>
  <c r="F2573" i="3"/>
  <c r="E2573" i="3"/>
  <c r="D2573" i="3"/>
  <c r="C2573" i="3"/>
  <c r="B2573" i="3"/>
  <c r="A2573" i="3"/>
  <c r="M2572" i="3"/>
  <c r="L2572" i="3"/>
  <c r="K2572" i="3"/>
  <c r="J2572" i="3"/>
  <c r="I2572" i="3"/>
  <c r="H2572" i="3"/>
  <c r="G2572" i="3"/>
  <c r="F2572" i="3"/>
  <c r="E2572" i="3"/>
  <c r="D2572" i="3"/>
  <c r="C2572" i="3"/>
  <c r="B2572" i="3"/>
  <c r="A2572" i="3"/>
  <c r="M2571" i="3"/>
  <c r="L2571" i="3"/>
  <c r="K2571" i="3"/>
  <c r="J2571" i="3"/>
  <c r="I2571" i="3"/>
  <c r="H2571" i="3"/>
  <c r="G2571" i="3"/>
  <c r="F2571" i="3"/>
  <c r="E2571" i="3"/>
  <c r="D2571" i="3"/>
  <c r="C2571" i="3"/>
  <c r="B2571" i="3"/>
  <c r="A2571" i="3"/>
  <c r="M2570" i="3"/>
  <c r="L2570" i="3"/>
  <c r="K2570" i="3"/>
  <c r="J2570" i="3"/>
  <c r="I2570" i="3"/>
  <c r="H2570" i="3"/>
  <c r="F2570" i="3"/>
  <c r="E2570" i="3"/>
  <c r="D2570" i="3"/>
  <c r="C2570" i="3"/>
  <c r="B2570" i="3"/>
  <c r="A2570" i="3"/>
  <c r="M2569" i="3"/>
  <c r="L2569" i="3"/>
  <c r="K2569" i="3"/>
  <c r="J2569" i="3"/>
  <c r="I2569" i="3"/>
  <c r="H2569" i="3"/>
  <c r="G2569" i="3"/>
  <c r="F2569" i="3"/>
  <c r="E2569" i="3"/>
  <c r="D2569" i="3"/>
  <c r="C2569" i="3"/>
  <c r="B2569" i="3"/>
  <c r="A2569" i="3"/>
  <c r="M2568" i="3"/>
  <c r="L2568" i="3"/>
  <c r="K2568" i="3"/>
  <c r="J2568" i="3"/>
  <c r="I2568" i="3"/>
  <c r="H2568" i="3"/>
  <c r="G2568" i="3"/>
  <c r="F2568" i="3"/>
  <c r="E2568" i="3"/>
  <c r="D2568" i="3"/>
  <c r="C2568" i="3"/>
  <c r="B2568" i="3"/>
  <c r="A2568" i="3"/>
  <c r="M2567" i="3"/>
  <c r="L2567" i="3"/>
  <c r="K2567" i="3"/>
  <c r="J2567" i="3"/>
  <c r="I2567" i="3"/>
  <c r="H2567" i="3"/>
  <c r="G2567" i="3"/>
  <c r="F2567" i="3"/>
  <c r="E2567" i="3"/>
  <c r="D2567" i="3"/>
  <c r="C2567" i="3"/>
  <c r="B2567" i="3"/>
  <c r="A2567" i="3"/>
  <c r="M2566" i="3"/>
  <c r="L2566" i="3"/>
  <c r="K2566" i="3"/>
  <c r="J2566" i="3"/>
  <c r="I2566" i="3"/>
  <c r="H2566" i="3"/>
  <c r="G2566" i="3"/>
  <c r="F2566" i="3"/>
  <c r="E2566" i="3"/>
  <c r="D2566" i="3"/>
  <c r="C2566" i="3"/>
  <c r="B2566" i="3"/>
  <c r="A2566" i="3"/>
  <c r="M2565" i="3"/>
  <c r="L2565" i="3"/>
  <c r="K2565" i="3"/>
  <c r="J2565" i="3"/>
  <c r="I2565" i="3"/>
  <c r="H2565" i="3"/>
  <c r="G2565" i="3"/>
  <c r="F2565" i="3"/>
  <c r="E2565" i="3"/>
  <c r="D2565" i="3"/>
  <c r="C2565" i="3"/>
  <c r="B2565" i="3"/>
  <c r="A2565" i="3"/>
  <c r="M2564" i="3"/>
  <c r="L2564" i="3"/>
  <c r="K2564" i="3"/>
  <c r="J2564" i="3"/>
  <c r="I2564" i="3"/>
  <c r="H2564" i="3"/>
  <c r="G2564" i="3"/>
  <c r="F2564" i="3"/>
  <c r="D2564" i="3"/>
  <c r="C2564" i="3"/>
  <c r="B2564" i="3"/>
  <c r="A2564" i="3"/>
  <c r="M2563" i="3"/>
  <c r="L2563" i="3"/>
  <c r="K2563" i="3"/>
  <c r="J2563" i="3"/>
  <c r="I2563" i="3"/>
  <c r="H2563" i="3"/>
  <c r="G2563" i="3"/>
  <c r="F2563" i="3"/>
  <c r="D2563" i="3"/>
  <c r="C2563" i="3"/>
  <c r="B2563" i="3"/>
  <c r="A2563" i="3"/>
  <c r="M2562" i="3"/>
  <c r="L2562" i="3"/>
  <c r="K2562" i="3"/>
  <c r="J2562" i="3"/>
  <c r="I2562" i="3"/>
  <c r="H2562" i="3"/>
  <c r="G2562" i="3"/>
  <c r="F2562" i="3"/>
  <c r="E2562" i="3"/>
  <c r="D2562" i="3"/>
  <c r="C2562" i="3"/>
  <c r="B2562" i="3"/>
  <c r="A2562" i="3"/>
  <c r="M2561" i="3"/>
  <c r="L2561" i="3"/>
  <c r="K2561" i="3"/>
  <c r="J2561" i="3"/>
  <c r="I2561" i="3"/>
  <c r="H2561" i="3"/>
  <c r="G2561" i="3"/>
  <c r="F2561" i="3"/>
  <c r="E2561" i="3"/>
  <c r="D2561" i="3"/>
  <c r="C2561" i="3"/>
  <c r="B2561" i="3"/>
  <c r="A2561" i="3"/>
  <c r="M2560" i="3"/>
  <c r="L2560" i="3"/>
  <c r="K2560" i="3"/>
  <c r="J2560" i="3"/>
  <c r="I2560" i="3"/>
  <c r="H2560" i="3"/>
  <c r="G2560" i="3"/>
  <c r="F2560" i="3"/>
  <c r="E2560" i="3"/>
  <c r="D2560" i="3"/>
  <c r="C2560" i="3"/>
  <c r="B2560" i="3"/>
  <c r="A2560" i="3"/>
  <c r="M2559" i="3"/>
  <c r="L2559" i="3"/>
  <c r="K2559" i="3"/>
  <c r="J2559" i="3"/>
  <c r="I2559" i="3"/>
  <c r="H2559" i="3"/>
  <c r="G2559" i="3"/>
  <c r="F2559" i="3"/>
  <c r="E2559" i="3"/>
  <c r="D2559" i="3"/>
  <c r="C2559" i="3"/>
  <c r="B2559" i="3"/>
  <c r="A2559" i="3"/>
  <c r="M2558" i="3"/>
  <c r="L2558" i="3"/>
  <c r="K2558" i="3"/>
  <c r="J2558" i="3"/>
  <c r="I2558" i="3"/>
  <c r="H2558" i="3"/>
  <c r="G2558" i="3"/>
  <c r="F2558" i="3"/>
  <c r="E2558" i="3"/>
  <c r="D2558" i="3"/>
  <c r="C2558" i="3"/>
  <c r="B2558" i="3"/>
  <c r="A2558" i="3"/>
  <c r="M2557" i="3"/>
  <c r="L2557" i="3"/>
  <c r="K2557" i="3"/>
  <c r="J2557" i="3"/>
  <c r="I2557" i="3"/>
  <c r="H2557" i="3"/>
  <c r="G2557" i="3"/>
  <c r="F2557" i="3"/>
  <c r="E2557" i="3"/>
  <c r="D2557" i="3"/>
  <c r="C2557" i="3"/>
  <c r="B2557" i="3"/>
  <c r="A2557" i="3"/>
  <c r="M2556" i="3"/>
  <c r="L2556" i="3"/>
  <c r="K2556" i="3"/>
  <c r="J2556" i="3"/>
  <c r="I2556" i="3"/>
  <c r="H2556" i="3"/>
  <c r="G2556" i="3"/>
  <c r="F2556" i="3"/>
  <c r="E2556" i="3"/>
  <c r="D2556" i="3"/>
  <c r="C2556" i="3"/>
  <c r="B2556" i="3"/>
  <c r="A2556" i="3"/>
  <c r="M2555" i="3"/>
  <c r="L2555" i="3"/>
  <c r="K2555" i="3"/>
  <c r="J2555" i="3"/>
  <c r="I2555" i="3"/>
  <c r="H2555" i="3"/>
  <c r="G2555" i="3"/>
  <c r="F2555" i="3"/>
  <c r="E2555" i="3"/>
  <c r="D2555" i="3"/>
  <c r="C2555" i="3"/>
  <c r="B2555" i="3"/>
  <c r="A2555" i="3"/>
  <c r="M2554" i="3"/>
  <c r="L2554" i="3"/>
  <c r="K2554" i="3"/>
  <c r="J2554" i="3"/>
  <c r="I2554" i="3"/>
  <c r="H2554" i="3"/>
  <c r="G2554" i="3"/>
  <c r="F2554" i="3"/>
  <c r="E2554" i="3"/>
  <c r="D2554" i="3"/>
  <c r="C2554" i="3"/>
  <c r="B2554" i="3"/>
  <c r="A2554" i="3"/>
  <c r="M2553" i="3"/>
  <c r="L2553" i="3"/>
  <c r="K2553" i="3"/>
  <c r="J2553" i="3"/>
  <c r="I2553" i="3"/>
  <c r="H2553" i="3"/>
  <c r="G2553" i="3"/>
  <c r="F2553" i="3"/>
  <c r="E2553" i="3"/>
  <c r="D2553" i="3"/>
  <c r="C2553" i="3"/>
  <c r="B2553" i="3"/>
  <c r="A2553" i="3"/>
  <c r="M2552" i="3"/>
  <c r="L2552" i="3"/>
  <c r="K2552" i="3"/>
  <c r="J2552" i="3"/>
  <c r="I2552" i="3"/>
  <c r="H2552" i="3"/>
  <c r="G2552" i="3"/>
  <c r="F2552" i="3"/>
  <c r="E2552" i="3"/>
  <c r="D2552" i="3"/>
  <c r="C2552" i="3"/>
  <c r="B2552" i="3"/>
  <c r="A2552" i="3"/>
  <c r="M2551" i="3"/>
  <c r="L2551" i="3"/>
  <c r="K2551" i="3"/>
  <c r="J2551" i="3"/>
  <c r="I2551" i="3"/>
  <c r="H2551" i="3"/>
  <c r="G2551" i="3"/>
  <c r="F2551" i="3"/>
  <c r="E2551" i="3"/>
  <c r="D2551" i="3"/>
  <c r="C2551" i="3"/>
  <c r="B2551" i="3"/>
  <c r="A2551" i="3"/>
  <c r="M2550" i="3"/>
  <c r="L2550" i="3"/>
  <c r="K2550" i="3"/>
  <c r="J2550" i="3"/>
  <c r="I2550" i="3"/>
  <c r="H2550" i="3"/>
  <c r="G2550" i="3"/>
  <c r="F2550" i="3"/>
  <c r="E2550" i="3"/>
  <c r="D2550" i="3"/>
  <c r="C2550" i="3"/>
  <c r="B2550" i="3"/>
  <c r="A2550" i="3"/>
  <c r="M2549" i="3"/>
  <c r="L2549" i="3"/>
  <c r="K2549" i="3"/>
  <c r="J2549" i="3"/>
  <c r="I2549" i="3"/>
  <c r="H2549" i="3"/>
  <c r="G2549" i="3"/>
  <c r="F2549" i="3"/>
  <c r="E2549" i="3"/>
  <c r="D2549" i="3"/>
  <c r="C2549" i="3"/>
  <c r="B2549" i="3"/>
  <c r="A2549" i="3"/>
  <c r="M2548" i="3"/>
  <c r="L2548" i="3"/>
  <c r="K2548" i="3"/>
  <c r="J2548" i="3"/>
  <c r="I2548" i="3"/>
  <c r="H2548" i="3"/>
  <c r="G2548" i="3"/>
  <c r="F2548" i="3"/>
  <c r="E2548" i="3"/>
  <c r="D2548" i="3"/>
  <c r="C2548" i="3"/>
  <c r="B2548" i="3"/>
  <c r="A2548" i="3"/>
  <c r="M2547" i="3"/>
  <c r="L2547" i="3"/>
  <c r="K2547" i="3"/>
  <c r="J2547" i="3"/>
  <c r="I2547" i="3"/>
  <c r="H2547" i="3"/>
  <c r="G2547" i="3"/>
  <c r="F2547" i="3"/>
  <c r="E2547" i="3"/>
  <c r="D2547" i="3"/>
  <c r="C2547" i="3"/>
  <c r="B2547" i="3"/>
  <c r="A2547" i="3"/>
  <c r="M2546" i="3"/>
  <c r="L2546" i="3"/>
  <c r="K2546" i="3"/>
  <c r="J2546" i="3"/>
  <c r="I2546" i="3"/>
  <c r="H2546" i="3"/>
  <c r="G2546" i="3"/>
  <c r="F2546" i="3"/>
  <c r="E2546" i="3"/>
  <c r="D2546" i="3"/>
  <c r="C2546" i="3"/>
  <c r="B2546" i="3"/>
  <c r="A2546" i="3"/>
  <c r="M2545" i="3"/>
  <c r="L2545" i="3"/>
  <c r="K2545" i="3"/>
  <c r="J2545" i="3"/>
  <c r="I2545" i="3"/>
  <c r="H2545" i="3"/>
  <c r="G2545" i="3"/>
  <c r="F2545" i="3"/>
  <c r="E2545" i="3"/>
  <c r="D2545" i="3"/>
  <c r="C2545" i="3"/>
  <c r="B2545" i="3"/>
  <c r="A2545" i="3"/>
  <c r="M2544" i="3"/>
  <c r="L2544" i="3"/>
  <c r="K2544" i="3"/>
  <c r="J2544" i="3"/>
  <c r="I2544" i="3"/>
  <c r="H2544" i="3"/>
  <c r="G2544" i="3"/>
  <c r="F2544" i="3"/>
  <c r="E2544" i="3"/>
  <c r="D2544" i="3"/>
  <c r="C2544" i="3"/>
  <c r="B2544" i="3"/>
  <c r="A2544" i="3"/>
  <c r="M2543" i="3"/>
  <c r="L2543" i="3"/>
  <c r="K2543" i="3"/>
  <c r="J2543" i="3"/>
  <c r="I2543" i="3"/>
  <c r="H2543" i="3"/>
  <c r="G2543" i="3"/>
  <c r="F2543" i="3"/>
  <c r="E2543" i="3"/>
  <c r="D2543" i="3"/>
  <c r="C2543" i="3"/>
  <c r="B2543" i="3"/>
  <c r="A2543" i="3"/>
  <c r="M2542" i="3"/>
  <c r="L2542" i="3"/>
  <c r="K2542" i="3"/>
  <c r="J2542" i="3"/>
  <c r="I2542" i="3"/>
  <c r="H2542" i="3"/>
  <c r="G2542" i="3"/>
  <c r="F2542" i="3"/>
  <c r="E2542" i="3"/>
  <c r="D2542" i="3"/>
  <c r="C2542" i="3"/>
  <c r="B2542" i="3"/>
  <c r="A2542" i="3"/>
  <c r="M2541" i="3"/>
  <c r="L2541" i="3"/>
  <c r="K2541" i="3"/>
  <c r="J2541" i="3"/>
  <c r="I2541" i="3"/>
  <c r="H2541" i="3"/>
  <c r="G2541" i="3"/>
  <c r="F2541" i="3"/>
  <c r="D2541" i="3"/>
  <c r="C2541" i="3"/>
  <c r="B2541" i="3"/>
  <c r="A2541" i="3"/>
  <c r="M2540" i="3"/>
  <c r="L2540" i="3"/>
  <c r="K2540" i="3"/>
  <c r="J2540" i="3"/>
  <c r="I2540" i="3"/>
  <c r="H2540" i="3"/>
  <c r="G2540" i="3"/>
  <c r="F2540" i="3"/>
  <c r="E2540" i="3"/>
  <c r="D2540" i="3"/>
  <c r="C2540" i="3"/>
  <c r="B2540" i="3"/>
  <c r="A2540" i="3"/>
  <c r="M2539" i="3"/>
  <c r="L2539" i="3"/>
  <c r="K2539" i="3"/>
  <c r="J2539" i="3"/>
  <c r="I2539" i="3"/>
  <c r="H2539" i="3"/>
  <c r="G2539" i="3"/>
  <c r="F2539" i="3"/>
  <c r="E2539" i="3"/>
  <c r="D2539" i="3"/>
  <c r="C2539" i="3"/>
  <c r="B2539" i="3"/>
  <c r="A2539" i="3"/>
  <c r="M2538" i="3"/>
  <c r="L2538" i="3"/>
  <c r="K2538" i="3"/>
  <c r="J2538" i="3"/>
  <c r="I2538" i="3"/>
  <c r="H2538" i="3"/>
  <c r="G2538" i="3"/>
  <c r="F2538" i="3"/>
  <c r="E2538" i="3"/>
  <c r="D2538" i="3"/>
  <c r="C2538" i="3"/>
  <c r="B2538" i="3"/>
  <c r="A2538" i="3"/>
  <c r="M2537" i="3"/>
  <c r="L2537" i="3"/>
  <c r="K2537" i="3"/>
  <c r="J2537" i="3"/>
  <c r="I2537" i="3"/>
  <c r="H2537" i="3"/>
  <c r="G2537" i="3"/>
  <c r="F2537" i="3"/>
  <c r="E2537" i="3"/>
  <c r="D2537" i="3"/>
  <c r="C2537" i="3"/>
  <c r="B2537" i="3"/>
  <c r="A2537" i="3"/>
  <c r="M2536" i="3"/>
  <c r="L2536" i="3"/>
  <c r="K2536" i="3"/>
  <c r="J2536" i="3"/>
  <c r="I2536" i="3"/>
  <c r="H2536" i="3"/>
  <c r="G2536" i="3"/>
  <c r="F2536" i="3"/>
  <c r="E2536" i="3"/>
  <c r="D2536" i="3"/>
  <c r="C2536" i="3"/>
  <c r="B2536" i="3"/>
  <c r="A2536" i="3"/>
  <c r="M2535" i="3"/>
  <c r="L2535" i="3"/>
  <c r="K2535" i="3"/>
  <c r="J2535" i="3"/>
  <c r="I2535" i="3"/>
  <c r="H2535" i="3"/>
  <c r="G2535" i="3"/>
  <c r="F2535" i="3"/>
  <c r="E2535" i="3"/>
  <c r="D2535" i="3"/>
  <c r="C2535" i="3"/>
  <c r="B2535" i="3"/>
  <c r="A2535" i="3"/>
  <c r="M2534" i="3"/>
  <c r="L2534" i="3"/>
  <c r="K2534" i="3"/>
  <c r="J2534" i="3"/>
  <c r="I2534" i="3"/>
  <c r="H2534" i="3"/>
  <c r="G2534" i="3"/>
  <c r="F2534" i="3"/>
  <c r="E2534" i="3"/>
  <c r="D2534" i="3"/>
  <c r="C2534" i="3"/>
  <c r="B2534" i="3"/>
  <c r="A2534" i="3"/>
  <c r="M2533" i="3"/>
  <c r="L2533" i="3"/>
  <c r="K2533" i="3"/>
  <c r="J2533" i="3"/>
  <c r="I2533" i="3"/>
  <c r="H2533" i="3"/>
  <c r="G2533" i="3"/>
  <c r="F2533" i="3"/>
  <c r="E2533" i="3"/>
  <c r="D2533" i="3"/>
  <c r="C2533" i="3"/>
  <c r="B2533" i="3"/>
  <c r="A2533" i="3"/>
  <c r="M2532" i="3"/>
  <c r="L2532" i="3"/>
  <c r="K2532" i="3"/>
  <c r="J2532" i="3"/>
  <c r="I2532" i="3"/>
  <c r="H2532" i="3"/>
  <c r="G2532" i="3"/>
  <c r="F2532" i="3"/>
  <c r="E2532" i="3"/>
  <c r="D2532" i="3"/>
  <c r="C2532" i="3"/>
  <c r="B2532" i="3"/>
  <c r="A2532" i="3"/>
  <c r="M2531" i="3"/>
  <c r="L2531" i="3"/>
  <c r="K2531" i="3"/>
  <c r="J2531" i="3"/>
  <c r="I2531" i="3"/>
  <c r="H2531" i="3"/>
  <c r="G2531" i="3"/>
  <c r="F2531" i="3"/>
  <c r="E2531" i="3"/>
  <c r="D2531" i="3"/>
  <c r="C2531" i="3"/>
  <c r="B2531" i="3"/>
  <c r="A2531" i="3"/>
  <c r="M2530" i="3"/>
  <c r="L2530" i="3"/>
  <c r="K2530" i="3"/>
  <c r="J2530" i="3"/>
  <c r="I2530" i="3"/>
  <c r="H2530" i="3"/>
  <c r="G2530" i="3"/>
  <c r="F2530" i="3"/>
  <c r="E2530" i="3"/>
  <c r="D2530" i="3"/>
  <c r="C2530" i="3"/>
  <c r="B2530" i="3"/>
  <c r="A2530" i="3"/>
  <c r="M2529" i="3"/>
  <c r="L2529" i="3"/>
  <c r="K2529" i="3"/>
  <c r="J2529" i="3"/>
  <c r="I2529" i="3"/>
  <c r="H2529" i="3"/>
  <c r="G2529" i="3"/>
  <c r="F2529" i="3"/>
  <c r="E2529" i="3"/>
  <c r="D2529" i="3"/>
  <c r="C2529" i="3"/>
  <c r="B2529" i="3"/>
  <c r="A2529" i="3"/>
  <c r="M2528" i="3"/>
  <c r="L2528" i="3"/>
  <c r="K2528" i="3"/>
  <c r="J2528" i="3"/>
  <c r="I2528" i="3"/>
  <c r="H2528" i="3"/>
  <c r="G2528" i="3"/>
  <c r="F2528" i="3"/>
  <c r="E2528" i="3"/>
  <c r="D2528" i="3"/>
  <c r="C2528" i="3"/>
  <c r="B2528" i="3"/>
  <c r="A2528" i="3"/>
  <c r="M2527" i="3"/>
  <c r="L2527" i="3"/>
  <c r="K2527" i="3"/>
  <c r="J2527" i="3"/>
  <c r="I2527" i="3"/>
  <c r="H2527" i="3"/>
  <c r="G2527" i="3"/>
  <c r="F2527" i="3"/>
  <c r="E2527" i="3"/>
  <c r="D2527" i="3"/>
  <c r="C2527" i="3"/>
  <c r="B2527" i="3"/>
  <c r="A2527" i="3"/>
  <c r="M2526" i="3"/>
  <c r="L2526" i="3"/>
  <c r="K2526" i="3"/>
  <c r="J2526" i="3"/>
  <c r="I2526" i="3"/>
  <c r="H2526" i="3"/>
  <c r="G2526" i="3"/>
  <c r="F2526" i="3"/>
  <c r="E2526" i="3"/>
  <c r="D2526" i="3"/>
  <c r="C2526" i="3"/>
  <c r="B2526" i="3"/>
  <c r="A2526" i="3"/>
  <c r="M2525" i="3"/>
  <c r="L2525" i="3"/>
  <c r="K2525" i="3"/>
  <c r="J2525" i="3"/>
  <c r="I2525" i="3"/>
  <c r="H2525" i="3"/>
  <c r="G2525" i="3"/>
  <c r="F2525" i="3"/>
  <c r="E2525" i="3"/>
  <c r="D2525" i="3"/>
  <c r="C2525" i="3"/>
  <c r="B2525" i="3"/>
  <c r="A2525" i="3"/>
  <c r="M2524" i="3"/>
  <c r="L2524" i="3"/>
  <c r="K2524" i="3"/>
  <c r="J2524" i="3"/>
  <c r="I2524" i="3"/>
  <c r="H2524" i="3"/>
  <c r="G2524" i="3"/>
  <c r="F2524" i="3"/>
  <c r="E2524" i="3"/>
  <c r="D2524" i="3"/>
  <c r="C2524" i="3"/>
  <c r="B2524" i="3"/>
  <c r="A2524" i="3"/>
  <c r="M2523" i="3"/>
  <c r="L2523" i="3"/>
  <c r="K2523" i="3"/>
  <c r="J2523" i="3"/>
  <c r="I2523" i="3"/>
  <c r="H2523" i="3"/>
  <c r="G2523" i="3"/>
  <c r="F2523" i="3"/>
  <c r="E2523" i="3"/>
  <c r="D2523" i="3"/>
  <c r="C2523" i="3"/>
  <c r="B2523" i="3"/>
  <c r="A2523" i="3"/>
  <c r="M2522" i="3"/>
  <c r="L2522" i="3"/>
  <c r="K2522" i="3"/>
  <c r="J2522" i="3"/>
  <c r="I2522" i="3"/>
  <c r="H2522" i="3"/>
  <c r="G2522" i="3"/>
  <c r="F2522" i="3"/>
  <c r="E2522" i="3"/>
  <c r="D2522" i="3"/>
  <c r="C2522" i="3"/>
  <c r="B2522" i="3"/>
  <c r="A2522" i="3"/>
  <c r="M2521" i="3"/>
  <c r="L2521" i="3"/>
  <c r="K2521" i="3"/>
  <c r="J2521" i="3"/>
  <c r="I2521" i="3"/>
  <c r="H2521" i="3"/>
  <c r="G2521" i="3"/>
  <c r="F2521" i="3"/>
  <c r="E2521" i="3"/>
  <c r="D2521" i="3"/>
  <c r="C2521" i="3"/>
  <c r="B2521" i="3"/>
  <c r="A2521" i="3"/>
  <c r="M2520" i="3"/>
  <c r="L2520" i="3"/>
  <c r="K2520" i="3"/>
  <c r="J2520" i="3"/>
  <c r="I2520" i="3"/>
  <c r="H2520" i="3"/>
  <c r="G2520" i="3"/>
  <c r="F2520" i="3"/>
  <c r="E2520" i="3"/>
  <c r="D2520" i="3"/>
  <c r="C2520" i="3"/>
  <c r="B2520" i="3"/>
  <c r="A2520" i="3"/>
  <c r="M2519" i="3"/>
  <c r="L2519" i="3"/>
  <c r="K2519" i="3"/>
  <c r="J2519" i="3"/>
  <c r="I2519" i="3"/>
  <c r="H2519" i="3"/>
  <c r="G2519" i="3"/>
  <c r="F2519" i="3"/>
  <c r="E2519" i="3"/>
  <c r="D2519" i="3"/>
  <c r="C2519" i="3"/>
  <c r="B2519" i="3"/>
  <c r="A2519" i="3"/>
  <c r="M2518" i="3"/>
  <c r="L2518" i="3"/>
  <c r="K2518" i="3"/>
  <c r="J2518" i="3"/>
  <c r="I2518" i="3"/>
  <c r="H2518" i="3"/>
  <c r="G2518" i="3"/>
  <c r="F2518" i="3"/>
  <c r="E2518" i="3"/>
  <c r="D2518" i="3"/>
  <c r="C2518" i="3"/>
  <c r="B2518" i="3"/>
  <c r="A2518" i="3"/>
  <c r="M2517" i="3"/>
  <c r="L2517" i="3"/>
  <c r="K2517" i="3"/>
  <c r="J2517" i="3"/>
  <c r="I2517" i="3"/>
  <c r="H2517" i="3"/>
  <c r="G2517" i="3"/>
  <c r="F2517" i="3"/>
  <c r="E2517" i="3"/>
  <c r="D2517" i="3"/>
  <c r="C2517" i="3"/>
  <c r="B2517" i="3"/>
  <c r="A2517" i="3"/>
  <c r="M2516" i="3"/>
  <c r="L2516" i="3"/>
  <c r="K2516" i="3"/>
  <c r="J2516" i="3"/>
  <c r="I2516" i="3"/>
  <c r="H2516" i="3"/>
  <c r="G2516" i="3"/>
  <c r="F2516" i="3"/>
  <c r="E2516" i="3"/>
  <c r="D2516" i="3"/>
  <c r="C2516" i="3"/>
  <c r="B2516" i="3"/>
  <c r="A2516" i="3"/>
  <c r="M2515" i="3"/>
  <c r="L2515" i="3"/>
  <c r="K2515" i="3"/>
  <c r="J2515" i="3"/>
  <c r="I2515" i="3"/>
  <c r="H2515" i="3"/>
  <c r="G2515" i="3"/>
  <c r="F2515" i="3"/>
  <c r="E2515" i="3"/>
  <c r="D2515" i="3"/>
  <c r="C2515" i="3"/>
  <c r="B2515" i="3"/>
  <c r="A2515" i="3"/>
  <c r="M2514" i="3"/>
  <c r="L2514" i="3"/>
  <c r="K2514" i="3"/>
  <c r="J2514" i="3"/>
  <c r="I2514" i="3"/>
  <c r="H2514" i="3"/>
  <c r="G2514" i="3"/>
  <c r="F2514" i="3"/>
  <c r="E2514" i="3"/>
  <c r="D2514" i="3"/>
  <c r="C2514" i="3"/>
  <c r="B2514" i="3"/>
  <c r="A2514" i="3"/>
  <c r="M2513" i="3"/>
  <c r="L2513" i="3"/>
  <c r="K2513" i="3"/>
  <c r="J2513" i="3"/>
  <c r="I2513" i="3"/>
  <c r="H2513" i="3"/>
  <c r="G2513" i="3"/>
  <c r="F2513" i="3"/>
  <c r="E2513" i="3"/>
  <c r="D2513" i="3"/>
  <c r="C2513" i="3"/>
  <c r="B2513" i="3"/>
  <c r="A2513" i="3"/>
  <c r="M2512" i="3"/>
  <c r="L2512" i="3"/>
  <c r="K2512" i="3"/>
  <c r="J2512" i="3"/>
  <c r="I2512" i="3"/>
  <c r="H2512" i="3"/>
  <c r="G2512" i="3"/>
  <c r="F2512" i="3"/>
  <c r="E2512" i="3"/>
  <c r="D2512" i="3"/>
  <c r="C2512" i="3"/>
  <c r="B2512" i="3"/>
  <c r="A2512" i="3"/>
  <c r="M2511" i="3"/>
  <c r="L2511" i="3"/>
  <c r="K2511" i="3"/>
  <c r="J2511" i="3"/>
  <c r="I2511" i="3"/>
  <c r="H2511" i="3"/>
  <c r="G2511" i="3"/>
  <c r="F2511" i="3"/>
  <c r="D2511" i="3"/>
  <c r="C2511" i="3"/>
  <c r="B2511" i="3"/>
  <c r="A2511" i="3"/>
  <c r="M2510" i="3"/>
  <c r="L2510" i="3"/>
  <c r="K2510" i="3"/>
  <c r="J2510" i="3"/>
  <c r="I2510" i="3"/>
  <c r="H2510" i="3"/>
  <c r="G2510" i="3"/>
  <c r="F2510" i="3"/>
  <c r="E2510" i="3"/>
  <c r="D2510" i="3"/>
  <c r="C2510" i="3"/>
  <c r="B2510" i="3"/>
  <c r="A2510" i="3"/>
  <c r="M2509" i="3"/>
  <c r="L2509" i="3"/>
  <c r="K2509" i="3"/>
  <c r="J2509" i="3"/>
  <c r="I2509" i="3"/>
  <c r="H2509" i="3"/>
  <c r="G2509" i="3"/>
  <c r="F2509" i="3"/>
  <c r="E2509" i="3"/>
  <c r="D2509" i="3"/>
  <c r="C2509" i="3"/>
  <c r="B2509" i="3"/>
  <c r="A2509" i="3"/>
  <c r="M2508" i="3"/>
  <c r="L2508" i="3"/>
  <c r="K2508" i="3"/>
  <c r="J2508" i="3"/>
  <c r="I2508" i="3"/>
  <c r="H2508" i="3"/>
  <c r="G2508" i="3"/>
  <c r="F2508" i="3"/>
  <c r="E2508" i="3"/>
  <c r="D2508" i="3"/>
  <c r="C2508" i="3"/>
  <c r="B2508" i="3"/>
  <c r="A2508" i="3"/>
  <c r="M2507" i="3"/>
  <c r="L2507" i="3"/>
  <c r="K2507" i="3"/>
  <c r="J2507" i="3"/>
  <c r="I2507" i="3"/>
  <c r="H2507" i="3"/>
  <c r="G2507" i="3"/>
  <c r="F2507" i="3"/>
  <c r="E2507" i="3"/>
  <c r="D2507" i="3"/>
  <c r="C2507" i="3"/>
  <c r="B2507" i="3"/>
  <c r="A2507" i="3"/>
  <c r="M2506" i="3"/>
  <c r="L2506" i="3"/>
  <c r="K2506" i="3"/>
  <c r="J2506" i="3"/>
  <c r="I2506" i="3"/>
  <c r="H2506" i="3"/>
  <c r="G2506" i="3"/>
  <c r="E2506" i="3"/>
  <c r="D2506" i="3"/>
  <c r="C2506" i="3"/>
  <c r="B2506" i="3"/>
  <c r="A2506" i="3"/>
  <c r="M2505" i="3"/>
  <c r="L2505" i="3"/>
  <c r="K2505" i="3"/>
  <c r="J2505" i="3"/>
  <c r="I2505" i="3"/>
  <c r="H2505" i="3"/>
  <c r="G2505" i="3"/>
  <c r="F2505" i="3"/>
  <c r="E2505" i="3"/>
  <c r="D2505" i="3"/>
  <c r="C2505" i="3"/>
  <c r="B2505" i="3"/>
  <c r="A2505" i="3"/>
  <c r="M2504" i="3"/>
  <c r="L2504" i="3"/>
  <c r="K2504" i="3"/>
  <c r="J2504" i="3"/>
  <c r="I2504" i="3"/>
  <c r="H2504" i="3"/>
  <c r="G2504" i="3"/>
  <c r="F2504" i="3"/>
  <c r="E2504" i="3"/>
  <c r="D2504" i="3"/>
  <c r="C2504" i="3"/>
  <c r="B2504" i="3"/>
  <c r="A2504" i="3"/>
  <c r="M2503" i="3"/>
  <c r="L2503" i="3"/>
  <c r="K2503" i="3"/>
  <c r="J2503" i="3"/>
  <c r="I2503" i="3"/>
  <c r="H2503" i="3"/>
  <c r="F2503" i="3"/>
  <c r="D2503" i="3"/>
  <c r="C2503" i="3"/>
  <c r="B2503" i="3"/>
  <c r="A2503" i="3"/>
  <c r="M2502" i="3"/>
  <c r="L2502" i="3"/>
  <c r="K2502" i="3"/>
  <c r="J2502" i="3"/>
  <c r="I2502" i="3"/>
  <c r="H2502" i="3"/>
  <c r="G2502" i="3"/>
  <c r="F2502" i="3"/>
  <c r="E2502" i="3"/>
  <c r="D2502" i="3"/>
  <c r="C2502" i="3"/>
  <c r="B2502" i="3"/>
  <c r="A2502" i="3"/>
  <c r="M2501" i="3"/>
  <c r="L2501" i="3"/>
  <c r="K2501" i="3"/>
  <c r="J2501" i="3"/>
  <c r="I2501" i="3"/>
  <c r="H2501" i="3"/>
  <c r="G2501" i="3"/>
  <c r="F2501" i="3"/>
  <c r="E2501" i="3"/>
  <c r="D2501" i="3"/>
  <c r="C2501" i="3"/>
  <c r="B2501" i="3"/>
  <c r="A2501" i="3"/>
  <c r="M2500" i="3"/>
  <c r="L2500" i="3"/>
  <c r="K2500" i="3"/>
  <c r="J2500" i="3"/>
  <c r="I2500" i="3"/>
  <c r="H2500" i="3"/>
  <c r="G2500" i="3"/>
  <c r="F2500" i="3"/>
  <c r="E2500" i="3"/>
  <c r="D2500" i="3"/>
  <c r="C2500" i="3"/>
  <c r="B2500" i="3"/>
  <c r="A2500" i="3"/>
  <c r="M2499" i="3"/>
  <c r="L2499" i="3"/>
  <c r="K2499" i="3"/>
  <c r="J2499" i="3"/>
  <c r="I2499" i="3"/>
  <c r="H2499" i="3"/>
  <c r="G2499" i="3"/>
  <c r="F2499" i="3"/>
  <c r="E2499" i="3"/>
  <c r="D2499" i="3"/>
  <c r="C2499" i="3"/>
  <c r="B2499" i="3"/>
  <c r="A2499" i="3"/>
  <c r="M2498" i="3"/>
  <c r="L2498" i="3"/>
  <c r="K2498" i="3"/>
  <c r="J2498" i="3"/>
  <c r="I2498" i="3"/>
  <c r="H2498" i="3"/>
  <c r="G2498" i="3"/>
  <c r="F2498" i="3"/>
  <c r="E2498" i="3"/>
  <c r="D2498" i="3"/>
  <c r="C2498" i="3"/>
  <c r="B2498" i="3"/>
  <c r="A2498" i="3"/>
  <c r="M2497" i="3"/>
  <c r="L2497" i="3"/>
  <c r="K2497" i="3"/>
  <c r="J2497" i="3"/>
  <c r="I2497" i="3"/>
  <c r="H2497" i="3"/>
  <c r="G2497" i="3"/>
  <c r="F2497" i="3"/>
  <c r="D2497" i="3"/>
  <c r="C2497" i="3"/>
  <c r="B2497" i="3"/>
  <c r="A2497" i="3"/>
  <c r="M2496" i="3"/>
  <c r="L2496" i="3"/>
  <c r="K2496" i="3"/>
  <c r="J2496" i="3"/>
  <c r="I2496" i="3"/>
  <c r="H2496" i="3"/>
  <c r="G2496" i="3"/>
  <c r="F2496" i="3"/>
  <c r="E2496" i="3"/>
  <c r="D2496" i="3"/>
  <c r="C2496" i="3"/>
  <c r="B2496" i="3"/>
  <c r="A2496" i="3"/>
  <c r="M2495" i="3"/>
  <c r="L2495" i="3"/>
  <c r="K2495" i="3"/>
  <c r="J2495" i="3"/>
  <c r="I2495" i="3"/>
  <c r="H2495" i="3"/>
  <c r="G2495" i="3"/>
  <c r="F2495" i="3"/>
  <c r="E2495" i="3"/>
  <c r="D2495" i="3"/>
  <c r="C2495" i="3"/>
  <c r="B2495" i="3"/>
  <c r="A2495" i="3"/>
  <c r="M2494" i="3"/>
  <c r="L2494" i="3"/>
  <c r="K2494" i="3"/>
  <c r="J2494" i="3"/>
  <c r="I2494" i="3"/>
  <c r="H2494" i="3"/>
  <c r="G2494" i="3"/>
  <c r="F2494" i="3"/>
  <c r="E2494" i="3"/>
  <c r="D2494" i="3"/>
  <c r="C2494" i="3"/>
  <c r="B2494" i="3"/>
  <c r="A2494" i="3"/>
  <c r="M2493" i="3"/>
  <c r="L2493" i="3"/>
  <c r="K2493" i="3"/>
  <c r="J2493" i="3"/>
  <c r="I2493" i="3"/>
  <c r="H2493" i="3"/>
  <c r="G2493" i="3"/>
  <c r="F2493" i="3"/>
  <c r="E2493" i="3"/>
  <c r="D2493" i="3"/>
  <c r="C2493" i="3"/>
  <c r="B2493" i="3"/>
  <c r="A2493" i="3"/>
  <c r="M2492" i="3"/>
  <c r="L2492" i="3"/>
  <c r="K2492" i="3"/>
  <c r="J2492" i="3"/>
  <c r="I2492" i="3"/>
  <c r="H2492" i="3"/>
  <c r="G2492" i="3"/>
  <c r="F2492" i="3"/>
  <c r="E2492" i="3"/>
  <c r="D2492" i="3"/>
  <c r="C2492" i="3"/>
  <c r="B2492" i="3"/>
  <c r="A2492" i="3"/>
  <c r="M2491" i="3"/>
  <c r="L2491" i="3"/>
  <c r="K2491" i="3"/>
  <c r="J2491" i="3"/>
  <c r="I2491" i="3"/>
  <c r="H2491" i="3"/>
  <c r="G2491" i="3"/>
  <c r="F2491" i="3"/>
  <c r="E2491" i="3"/>
  <c r="D2491" i="3"/>
  <c r="C2491" i="3"/>
  <c r="B2491" i="3"/>
  <c r="A2491" i="3"/>
  <c r="M2490" i="3"/>
  <c r="L2490" i="3"/>
  <c r="K2490" i="3"/>
  <c r="J2490" i="3"/>
  <c r="I2490" i="3"/>
  <c r="H2490" i="3"/>
  <c r="G2490" i="3"/>
  <c r="F2490" i="3"/>
  <c r="E2490" i="3"/>
  <c r="D2490" i="3"/>
  <c r="C2490" i="3"/>
  <c r="B2490" i="3"/>
  <c r="A2490" i="3"/>
  <c r="M2489" i="3"/>
  <c r="L2489" i="3"/>
  <c r="K2489" i="3"/>
  <c r="J2489" i="3"/>
  <c r="I2489" i="3"/>
  <c r="H2489" i="3"/>
  <c r="G2489" i="3"/>
  <c r="F2489" i="3"/>
  <c r="E2489" i="3"/>
  <c r="D2489" i="3"/>
  <c r="C2489" i="3"/>
  <c r="B2489" i="3"/>
  <c r="A2489" i="3"/>
  <c r="M2488" i="3"/>
  <c r="L2488" i="3"/>
  <c r="K2488" i="3"/>
  <c r="J2488" i="3"/>
  <c r="I2488" i="3"/>
  <c r="H2488" i="3"/>
  <c r="G2488" i="3"/>
  <c r="F2488" i="3"/>
  <c r="E2488" i="3"/>
  <c r="D2488" i="3"/>
  <c r="C2488" i="3"/>
  <c r="B2488" i="3"/>
  <c r="A2488" i="3"/>
  <c r="M2487" i="3"/>
  <c r="L2487" i="3"/>
  <c r="K2487" i="3"/>
  <c r="J2487" i="3"/>
  <c r="I2487" i="3"/>
  <c r="H2487" i="3"/>
  <c r="G2487" i="3"/>
  <c r="F2487" i="3"/>
  <c r="E2487" i="3"/>
  <c r="D2487" i="3"/>
  <c r="C2487" i="3"/>
  <c r="B2487" i="3"/>
  <c r="A2487" i="3"/>
  <c r="M2486" i="3"/>
  <c r="L2486" i="3"/>
  <c r="K2486" i="3"/>
  <c r="J2486" i="3"/>
  <c r="I2486" i="3"/>
  <c r="H2486" i="3"/>
  <c r="G2486" i="3"/>
  <c r="F2486" i="3"/>
  <c r="E2486" i="3"/>
  <c r="D2486" i="3"/>
  <c r="C2486" i="3"/>
  <c r="B2486" i="3"/>
  <c r="A2486" i="3"/>
  <c r="M2485" i="3"/>
  <c r="L2485" i="3"/>
  <c r="K2485" i="3"/>
  <c r="J2485" i="3"/>
  <c r="I2485" i="3"/>
  <c r="H2485" i="3"/>
  <c r="G2485" i="3"/>
  <c r="F2485" i="3"/>
  <c r="E2485" i="3"/>
  <c r="D2485" i="3"/>
  <c r="C2485" i="3"/>
  <c r="B2485" i="3"/>
  <c r="A2485" i="3"/>
  <c r="M2484" i="3"/>
  <c r="L2484" i="3"/>
  <c r="K2484" i="3"/>
  <c r="J2484" i="3"/>
  <c r="I2484" i="3"/>
  <c r="H2484" i="3"/>
  <c r="F2484" i="3"/>
  <c r="E2484" i="3"/>
  <c r="D2484" i="3"/>
  <c r="C2484" i="3"/>
  <c r="B2484" i="3"/>
  <c r="A2484" i="3"/>
  <c r="M2483" i="3"/>
  <c r="L2483" i="3"/>
  <c r="K2483" i="3"/>
  <c r="J2483" i="3"/>
  <c r="I2483" i="3"/>
  <c r="H2483" i="3"/>
  <c r="G2483" i="3"/>
  <c r="F2483" i="3"/>
  <c r="E2483" i="3"/>
  <c r="D2483" i="3"/>
  <c r="C2483" i="3"/>
  <c r="B2483" i="3"/>
  <c r="A2483" i="3"/>
  <c r="M2482" i="3"/>
  <c r="L2482" i="3"/>
  <c r="K2482" i="3"/>
  <c r="J2482" i="3"/>
  <c r="I2482" i="3"/>
  <c r="H2482" i="3"/>
  <c r="G2482" i="3"/>
  <c r="F2482" i="3"/>
  <c r="E2482" i="3"/>
  <c r="D2482" i="3"/>
  <c r="C2482" i="3"/>
  <c r="B2482" i="3"/>
  <c r="A2482" i="3"/>
  <c r="M2481" i="3"/>
  <c r="L2481" i="3"/>
  <c r="K2481" i="3"/>
  <c r="J2481" i="3"/>
  <c r="I2481" i="3"/>
  <c r="H2481" i="3"/>
  <c r="G2481" i="3"/>
  <c r="E2481" i="3"/>
  <c r="D2481" i="3"/>
  <c r="C2481" i="3"/>
  <c r="B2481" i="3"/>
  <c r="A2481" i="3"/>
  <c r="M2480" i="3"/>
  <c r="L2480" i="3"/>
  <c r="K2480" i="3"/>
  <c r="J2480" i="3"/>
  <c r="I2480" i="3"/>
  <c r="H2480" i="3"/>
  <c r="G2480" i="3"/>
  <c r="F2480" i="3"/>
  <c r="E2480" i="3"/>
  <c r="D2480" i="3"/>
  <c r="C2480" i="3"/>
  <c r="B2480" i="3"/>
  <c r="A2480" i="3"/>
  <c r="M2479" i="3"/>
  <c r="L2479" i="3"/>
  <c r="K2479" i="3"/>
  <c r="J2479" i="3"/>
  <c r="I2479" i="3"/>
  <c r="H2479" i="3"/>
  <c r="G2479" i="3"/>
  <c r="F2479" i="3"/>
  <c r="E2479" i="3"/>
  <c r="D2479" i="3"/>
  <c r="C2479" i="3"/>
  <c r="B2479" i="3"/>
  <c r="A2479" i="3"/>
  <c r="M2478" i="3"/>
  <c r="L2478" i="3"/>
  <c r="K2478" i="3"/>
  <c r="J2478" i="3"/>
  <c r="I2478" i="3"/>
  <c r="H2478" i="3"/>
  <c r="G2478" i="3"/>
  <c r="F2478" i="3"/>
  <c r="E2478" i="3"/>
  <c r="D2478" i="3"/>
  <c r="C2478" i="3"/>
  <c r="B2478" i="3"/>
  <c r="A2478" i="3"/>
  <c r="M2477" i="3"/>
  <c r="L2477" i="3"/>
  <c r="K2477" i="3"/>
  <c r="J2477" i="3"/>
  <c r="I2477" i="3"/>
  <c r="H2477" i="3"/>
  <c r="G2477" i="3"/>
  <c r="F2477" i="3"/>
  <c r="E2477" i="3"/>
  <c r="D2477" i="3"/>
  <c r="C2477" i="3"/>
  <c r="B2477" i="3"/>
  <c r="A2477" i="3"/>
  <c r="M2476" i="3"/>
  <c r="L2476" i="3"/>
  <c r="K2476" i="3"/>
  <c r="J2476" i="3"/>
  <c r="I2476" i="3"/>
  <c r="H2476" i="3"/>
  <c r="G2476" i="3"/>
  <c r="F2476" i="3"/>
  <c r="E2476" i="3"/>
  <c r="D2476" i="3"/>
  <c r="C2476" i="3"/>
  <c r="B2476" i="3"/>
  <c r="A2476" i="3"/>
  <c r="M2475" i="3"/>
  <c r="L2475" i="3"/>
  <c r="K2475" i="3"/>
  <c r="J2475" i="3"/>
  <c r="I2475" i="3"/>
  <c r="H2475" i="3"/>
  <c r="G2475" i="3"/>
  <c r="F2475" i="3"/>
  <c r="E2475" i="3"/>
  <c r="D2475" i="3"/>
  <c r="C2475" i="3"/>
  <c r="B2475" i="3"/>
  <c r="A2475" i="3"/>
  <c r="M2474" i="3"/>
  <c r="L2474" i="3"/>
  <c r="K2474" i="3"/>
  <c r="J2474" i="3"/>
  <c r="I2474" i="3"/>
  <c r="H2474" i="3"/>
  <c r="G2474" i="3"/>
  <c r="F2474" i="3"/>
  <c r="E2474" i="3"/>
  <c r="D2474" i="3"/>
  <c r="C2474" i="3"/>
  <c r="B2474" i="3"/>
  <c r="A2474" i="3"/>
  <c r="M2473" i="3"/>
  <c r="L2473" i="3"/>
  <c r="K2473" i="3"/>
  <c r="J2473" i="3"/>
  <c r="I2473" i="3"/>
  <c r="H2473" i="3"/>
  <c r="G2473" i="3"/>
  <c r="F2473" i="3"/>
  <c r="E2473" i="3"/>
  <c r="D2473" i="3"/>
  <c r="C2473" i="3"/>
  <c r="B2473" i="3"/>
  <c r="A2473" i="3"/>
  <c r="M2472" i="3"/>
  <c r="L2472" i="3"/>
  <c r="K2472" i="3"/>
  <c r="J2472" i="3"/>
  <c r="I2472" i="3"/>
  <c r="H2472" i="3"/>
  <c r="G2472" i="3"/>
  <c r="F2472" i="3"/>
  <c r="E2472" i="3"/>
  <c r="D2472" i="3"/>
  <c r="C2472" i="3"/>
  <c r="B2472" i="3"/>
  <c r="A2472" i="3"/>
  <c r="M2471" i="3"/>
  <c r="L2471" i="3"/>
  <c r="K2471" i="3"/>
  <c r="J2471" i="3"/>
  <c r="I2471" i="3"/>
  <c r="H2471" i="3"/>
  <c r="G2471" i="3"/>
  <c r="F2471" i="3"/>
  <c r="E2471" i="3"/>
  <c r="D2471" i="3"/>
  <c r="C2471" i="3"/>
  <c r="B2471" i="3"/>
  <c r="A2471" i="3"/>
  <c r="M2470" i="3"/>
  <c r="L2470" i="3"/>
  <c r="K2470" i="3"/>
  <c r="J2470" i="3"/>
  <c r="I2470" i="3"/>
  <c r="H2470" i="3"/>
  <c r="F2470" i="3"/>
  <c r="E2470" i="3"/>
  <c r="D2470" i="3"/>
  <c r="C2470" i="3"/>
  <c r="B2470" i="3"/>
  <c r="A2470" i="3"/>
  <c r="M2469" i="3"/>
  <c r="L2469" i="3"/>
  <c r="K2469" i="3"/>
  <c r="J2469" i="3"/>
  <c r="I2469" i="3"/>
  <c r="H2469" i="3"/>
  <c r="G2469" i="3"/>
  <c r="F2469" i="3"/>
  <c r="E2469" i="3"/>
  <c r="D2469" i="3"/>
  <c r="C2469" i="3"/>
  <c r="B2469" i="3"/>
  <c r="A2469" i="3"/>
  <c r="M2468" i="3"/>
  <c r="L2468" i="3"/>
  <c r="K2468" i="3"/>
  <c r="J2468" i="3"/>
  <c r="I2468" i="3"/>
  <c r="H2468" i="3"/>
  <c r="G2468" i="3"/>
  <c r="F2468" i="3"/>
  <c r="E2468" i="3"/>
  <c r="D2468" i="3"/>
  <c r="C2468" i="3"/>
  <c r="B2468" i="3"/>
  <c r="A2468" i="3"/>
  <c r="M2467" i="3"/>
  <c r="L2467" i="3"/>
  <c r="K2467" i="3"/>
  <c r="J2467" i="3"/>
  <c r="I2467" i="3"/>
  <c r="H2467" i="3"/>
  <c r="G2467" i="3"/>
  <c r="F2467" i="3"/>
  <c r="E2467" i="3"/>
  <c r="D2467" i="3"/>
  <c r="C2467" i="3"/>
  <c r="B2467" i="3"/>
  <c r="A2467" i="3"/>
  <c r="M2466" i="3"/>
  <c r="L2466" i="3"/>
  <c r="K2466" i="3"/>
  <c r="J2466" i="3"/>
  <c r="I2466" i="3"/>
  <c r="H2466" i="3"/>
  <c r="G2466" i="3"/>
  <c r="F2466" i="3"/>
  <c r="E2466" i="3"/>
  <c r="D2466" i="3"/>
  <c r="C2466" i="3"/>
  <c r="B2466" i="3"/>
  <c r="A2466" i="3"/>
  <c r="M2465" i="3"/>
  <c r="L2465" i="3"/>
  <c r="K2465" i="3"/>
  <c r="J2465" i="3"/>
  <c r="I2465" i="3"/>
  <c r="H2465" i="3"/>
  <c r="G2465" i="3"/>
  <c r="F2465" i="3"/>
  <c r="E2465" i="3"/>
  <c r="D2465" i="3"/>
  <c r="C2465" i="3"/>
  <c r="B2465" i="3"/>
  <c r="A2465" i="3"/>
  <c r="M2464" i="3"/>
  <c r="L2464" i="3"/>
  <c r="K2464" i="3"/>
  <c r="J2464" i="3"/>
  <c r="I2464" i="3"/>
  <c r="H2464" i="3"/>
  <c r="G2464" i="3"/>
  <c r="F2464" i="3"/>
  <c r="E2464" i="3"/>
  <c r="D2464" i="3"/>
  <c r="C2464" i="3"/>
  <c r="B2464" i="3"/>
  <c r="A2464" i="3"/>
  <c r="M2463" i="3"/>
  <c r="L2463" i="3"/>
  <c r="K2463" i="3"/>
  <c r="J2463" i="3"/>
  <c r="I2463" i="3"/>
  <c r="H2463" i="3"/>
  <c r="G2463" i="3"/>
  <c r="F2463" i="3"/>
  <c r="E2463" i="3"/>
  <c r="D2463" i="3"/>
  <c r="C2463" i="3"/>
  <c r="B2463" i="3"/>
  <c r="A2463" i="3"/>
  <c r="M2462" i="3"/>
  <c r="L2462" i="3"/>
  <c r="K2462" i="3"/>
  <c r="J2462" i="3"/>
  <c r="I2462" i="3"/>
  <c r="H2462" i="3"/>
  <c r="G2462" i="3"/>
  <c r="F2462" i="3"/>
  <c r="E2462" i="3"/>
  <c r="D2462" i="3"/>
  <c r="C2462" i="3"/>
  <c r="B2462" i="3"/>
  <c r="A2462" i="3"/>
  <c r="M2461" i="3"/>
  <c r="L2461" i="3"/>
  <c r="K2461" i="3"/>
  <c r="J2461" i="3"/>
  <c r="I2461" i="3"/>
  <c r="H2461" i="3"/>
  <c r="G2461" i="3"/>
  <c r="F2461" i="3"/>
  <c r="E2461" i="3"/>
  <c r="D2461" i="3"/>
  <c r="C2461" i="3"/>
  <c r="B2461" i="3"/>
  <c r="A2461" i="3"/>
  <c r="M2460" i="3"/>
  <c r="L2460" i="3"/>
  <c r="K2460" i="3"/>
  <c r="J2460" i="3"/>
  <c r="I2460" i="3"/>
  <c r="H2460" i="3"/>
  <c r="G2460" i="3"/>
  <c r="F2460" i="3"/>
  <c r="E2460" i="3"/>
  <c r="D2460" i="3"/>
  <c r="C2460" i="3"/>
  <c r="B2460" i="3"/>
  <c r="A2460" i="3"/>
  <c r="M2459" i="3"/>
  <c r="L2459" i="3"/>
  <c r="K2459" i="3"/>
  <c r="J2459" i="3"/>
  <c r="I2459" i="3"/>
  <c r="H2459" i="3"/>
  <c r="G2459" i="3"/>
  <c r="F2459" i="3"/>
  <c r="E2459" i="3"/>
  <c r="D2459" i="3"/>
  <c r="C2459" i="3"/>
  <c r="B2459" i="3"/>
  <c r="A2459" i="3"/>
  <c r="M2458" i="3"/>
  <c r="L2458" i="3"/>
  <c r="K2458" i="3"/>
  <c r="J2458" i="3"/>
  <c r="I2458" i="3"/>
  <c r="H2458" i="3"/>
  <c r="G2458" i="3"/>
  <c r="F2458" i="3"/>
  <c r="E2458" i="3"/>
  <c r="D2458" i="3"/>
  <c r="C2458" i="3"/>
  <c r="B2458" i="3"/>
  <c r="A2458" i="3"/>
  <c r="M2457" i="3"/>
  <c r="L2457" i="3"/>
  <c r="K2457" i="3"/>
  <c r="J2457" i="3"/>
  <c r="I2457" i="3"/>
  <c r="H2457" i="3"/>
  <c r="G2457" i="3"/>
  <c r="F2457" i="3"/>
  <c r="E2457" i="3"/>
  <c r="D2457" i="3"/>
  <c r="C2457" i="3"/>
  <c r="B2457" i="3"/>
  <c r="A2457" i="3"/>
  <c r="M2456" i="3"/>
  <c r="L2456" i="3"/>
  <c r="K2456" i="3"/>
  <c r="J2456" i="3"/>
  <c r="I2456" i="3"/>
  <c r="H2456" i="3"/>
  <c r="G2456" i="3"/>
  <c r="F2456" i="3"/>
  <c r="E2456" i="3"/>
  <c r="D2456" i="3"/>
  <c r="C2456" i="3"/>
  <c r="B2456" i="3"/>
  <c r="A2456" i="3"/>
  <c r="M2455" i="3"/>
  <c r="L2455" i="3"/>
  <c r="K2455" i="3"/>
  <c r="J2455" i="3"/>
  <c r="I2455" i="3"/>
  <c r="H2455" i="3"/>
  <c r="G2455" i="3"/>
  <c r="F2455" i="3"/>
  <c r="E2455" i="3"/>
  <c r="D2455" i="3"/>
  <c r="C2455" i="3"/>
  <c r="B2455" i="3"/>
  <c r="A2455" i="3"/>
  <c r="M2454" i="3"/>
  <c r="L2454" i="3"/>
  <c r="K2454" i="3"/>
  <c r="J2454" i="3"/>
  <c r="I2454" i="3"/>
  <c r="H2454" i="3"/>
  <c r="G2454" i="3"/>
  <c r="F2454" i="3"/>
  <c r="E2454" i="3"/>
  <c r="D2454" i="3"/>
  <c r="C2454" i="3"/>
  <c r="B2454" i="3"/>
  <c r="A2454" i="3"/>
  <c r="M2453" i="3"/>
  <c r="L2453" i="3"/>
  <c r="K2453" i="3"/>
  <c r="J2453" i="3"/>
  <c r="I2453" i="3"/>
  <c r="H2453" i="3"/>
  <c r="G2453" i="3"/>
  <c r="F2453" i="3"/>
  <c r="D2453" i="3"/>
  <c r="C2453" i="3"/>
  <c r="B2453" i="3"/>
  <c r="A2453" i="3"/>
  <c r="M2452" i="3"/>
  <c r="L2452" i="3"/>
  <c r="K2452" i="3"/>
  <c r="J2452" i="3"/>
  <c r="I2452" i="3"/>
  <c r="H2452" i="3"/>
  <c r="G2452" i="3"/>
  <c r="F2452" i="3"/>
  <c r="E2452" i="3"/>
  <c r="D2452" i="3"/>
  <c r="C2452" i="3"/>
  <c r="B2452" i="3"/>
  <c r="A2452" i="3"/>
  <c r="M2451" i="3"/>
  <c r="L2451" i="3"/>
  <c r="K2451" i="3"/>
  <c r="J2451" i="3"/>
  <c r="I2451" i="3"/>
  <c r="H2451" i="3"/>
  <c r="G2451" i="3"/>
  <c r="F2451" i="3"/>
  <c r="E2451" i="3"/>
  <c r="D2451" i="3"/>
  <c r="C2451" i="3"/>
  <c r="B2451" i="3"/>
  <c r="A2451" i="3"/>
  <c r="M2450" i="3"/>
  <c r="L2450" i="3"/>
  <c r="K2450" i="3"/>
  <c r="J2450" i="3"/>
  <c r="I2450" i="3"/>
  <c r="H2450" i="3"/>
  <c r="G2450" i="3"/>
  <c r="F2450" i="3"/>
  <c r="E2450" i="3"/>
  <c r="D2450" i="3"/>
  <c r="C2450" i="3"/>
  <c r="B2450" i="3"/>
  <c r="A2450" i="3"/>
  <c r="M2449" i="3"/>
  <c r="L2449" i="3"/>
  <c r="K2449" i="3"/>
  <c r="J2449" i="3"/>
  <c r="I2449" i="3"/>
  <c r="H2449" i="3"/>
  <c r="G2449" i="3"/>
  <c r="F2449" i="3"/>
  <c r="E2449" i="3"/>
  <c r="D2449" i="3"/>
  <c r="C2449" i="3"/>
  <c r="B2449" i="3"/>
  <c r="A2449" i="3"/>
  <c r="M2448" i="3"/>
  <c r="L2448" i="3"/>
  <c r="K2448" i="3"/>
  <c r="J2448" i="3"/>
  <c r="I2448" i="3"/>
  <c r="H2448" i="3"/>
  <c r="G2448" i="3"/>
  <c r="F2448" i="3"/>
  <c r="E2448" i="3"/>
  <c r="D2448" i="3"/>
  <c r="C2448" i="3"/>
  <c r="B2448" i="3"/>
  <c r="A2448" i="3"/>
  <c r="M2447" i="3"/>
  <c r="L2447" i="3"/>
  <c r="K2447" i="3"/>
  <c r="J2447" i="3"/>
  <c r="I2447" i="3"/>
  <c r="H2447" i="3"/>
  <c r="G2447" i="3"/>
  <c r="F2447" i="3"/>
  <c r="E2447" i="3"/>
  <c r="D2447" i="3"/>
  <c r="C2447" i="3"/>
  <c r="B2447" i="3"/>
  <c r="A2447" i="3"/>
  <c r="M2446" i="3"/>
  <c r="L2446" i="3"/>
  <c r="K2446" i="3"/>
  <c r="J2446" i="3"/>
  <c r="I2446" i="3"/>
  <c r="H2446" i="3"/>
  <c r="G2446" i="3"/>
  <c r="F2446" i="3"/>
  <c r="E2446" i="3"/>
  <c r="D2446" i="3"/>
  <c r="C2446" i="3"/>
  <c r="B2446" i="3"/>
  <c r="A2446" i="3"/>
  <c r="M2445" i="3"/>
  <c r="L2445" i="3"/>
  <c r="K2445" i="3"/>
  <c r="J2445" i="3"/>
  <c r="I2445" i="3"/>
  <c r="H2445" i="3"/>
  <c r="G2445" i="3"/>
  <c r="E2445" i="3"/>
  <c r="D2445" i="3"/>
  <c r="C2445" i="3"/>
  <c r="B2445" i="3"/>
  <c r="A2445" i="3"/>
  <c r="M2444" i="3"/>
  <c r="L2444" i="3"/>
  <c r="K2444" i="3"/>
  <c r="J2444" i="3"/>
  <c r="I2444" i="3"/>
  <c r="H2444" i="3"/>
  <c r="G2444" i="3"/>
  <c r="F2444" i="3"/>
  <c r="E2444" i="3"/>
  <c r="D2444" i="3"/>
  <c r="C2444" i="3"/>
  <c r="B2444" i="3"/>
  <c r="A2444" i="3"/>
  <c r="M2443" i="3"/>
  <c r="L2443" i="3"/>
  <c r="K2443" i="3"/>
  <c r="J2443" i="3"/>
  <c r="I2443" i="3"/>
  <c r="H2443" i="3"/>
  <c r="G2443" i="3"/>
  <c r="F2443" i="3"/>
  <c r="E2443" i="3"/>
  <c r="D2443" i="3"/>
  <c r="C2443" i="3"/>
  <c r="B2443" i="3"/>
  <c r="A2443" i="3"/>
  <c r="M2442" i="3"/>
  <c r="L2442" i="3"/>
  <c r="K2442" i="3"/>
  <c r="J2442" i="3"/>
  <c r="I2442" i="3"/>
  <c r="H2442" i="3"/>
  <c r="G2442" i="3"/>
  <c r="F2442" i="3"/>
  <c r="E2442" i="3"/>
  <c r="D2442" i="3"/>
  <c r="C2442" i="3"/>
  <c r="B2442" i="3"/>
  <c r="A2442" i="3"/>
  <c r="M2441" i="3"/>
  <c r="L2441" i="3"/>
  <c r="K2441" i="3"/>
  <c r="J2441" i="3"/>
  <c r="I2441" i="3"/>
  <c r="H2441" i="3"/>
  <c r="G2441" i="3"/>
  <c r="F2441" i="3"/>
  <c r="E2441" i="3"/>
  <c r="D2441" i="3"/>
  <c r="C2441" i="3"/>
  <c r="B2441" i="3"/>
  <c r="A2441" i="3"/>
  <c r="M2440" i="3"/>
  <c r="L2440" i="3"/>
  <c r="K2440" i="3"/>
  <c r="J2440" i="3"/>
  <c r="I2440" i="3"/>
  <c r="H2440" i="3"/>
  <c r="G2440" i="3"/>
  <c r="F2440" i="3"/>
  <c r="E2440" i="3"/>
  <c r="D2440" i="3"/>
  <c r="C2440" i="3"/>
  <c r="B2440" i="3"/>
  <c r="A2440" i="3"/>
  <c r="M2439" i="3"/>
  <c r="L2439" i="3"/>
  <c r="K2439" i="3"/>
  <c r="J2439" i="3"/>
  <c r="I2439" i="3"/>
  <c r="H2439" i="3"/>
  <c r="G2439" i="3"/>
  <c r="F2439" i="3"/>
  <c r="E2439" i="3"/>
  <c r="D2439" i="3"/>
  <c r="C2439" i="3"/>
  <c r="B2439" i="3"/>
  <c r="A2439" i="3"/>
  <c r="M2438" i="3"/>
  <c r="L2438" i="3"/>
  <c r="K2438" i="3"/>
  <c r="J2438" i="3"/>
  <c r="I2438" i="3"/>
  <c r="H2438" i="3"/>
  <c r="G2438" i="3"/>
  <c r="F2438" i="3"/>
  <c r="E2438" i="3"/>
  <c r="D2438" i="3"/>
  <c r="C2438" i="3"/>
  <c r="B2438" i="3"/>
  <c r="A2438" i="3"/>
  <c r="M2437" i="3"/>
  <c r="L2437" i="3"/>
  <c r="K2437" i="3"/>
  <c r="J2437" i="3"/>
  <c r="I2437" i="3"/>
  <c r="H2437" i="3"/>
  <c r="G2437" i="3"/>
  <c r="F2437" i="3"/>
  <c r="E2437" i="3"/>
  <c r="D2437" i="3"/>
  <c r="C2437" i="3"/>
  <c r="B2437" i="3"/>
  <c r="A2437" i="3"/>
  <c r="M2436" i="3"/>
  <c r="L2436" i="3"/>
  <c r="K2436" i="3"/>
  <c r="J2436" i="3"/>
  <c r="I2436" i="3"/>
  <c r="H2436" i="3"/>
  <c r="G2436" i="3"/>
  <c r="F2436" i="3"/>
  <c r="E2436" i="3"/>
  <c r="D2436" i="3"/>
  <c r="C2436" i="3"/>
  <c r="B2436" i="3"/>
  <c r="A2436" i="3"/>
  <c r="M2435" i="3"/>
  <c r="L2435" i="3"/>
  <c r="K2435" i="3"/>
  <c r="J2435" i="3"/>
  <c r="I2435" i="3"/>
  <c r="H2435" i="3"/>
  <c r="G2435" i="3"/>
  <c r="F2435" i="3"/>
  <c r="E2435" i="3"/>
  <c r="D2435" i="3"/>
  <c r="C2435" i="3"/>
  <c r="B2435" i="3"/>
  <c r="A2435" i="3"/>
  <c r="M2434" i="3"/>
  <c r="L2434" i="3"/>
  <c r="K2434" i="3"/>
  <c r="J2434" i="3"/>
  <c r="I2434" i="3"/>
  <c r="H2434" i="3"/>
  <c r="G2434" i="3"/>
  <c r="F2434" i="3"/>
  <c r="E2434" i="3"/>
  <c r="D2434" i="3"/>
  <c r="C2434" i="3"/>
  <c r="B2434" i="3"/>
  <c r="A2434" i="3"/>
  <c r="M2433" i="3"/>
  <c r="L2433" i="3"/>
  <c r="K2433" i="3"/>
  <c r="J2433" i="3"/>
  <c r="I2433" i="3"/>
  <c r="H2433" i="3"/>
  <c r="G2433" i="3"/>
  <c r="F2433" i="3"/>
  <c r="E2433" i="3"/>
  <c r="D2433" i="3"/>
  <c r="C2433" i="3"/>
  <c r="B2433" i="3"/>
  <c r="A2433" i="3"/>
  <c r="M2432" i="3"/>
  <c r="L2432" i="3"/>
  <c r="K2432" i="3"/>
  <c r="J2432" i="3"/>
  <c r="I2432" i="3"/>
  <c r="H2432" i="3"/>
  <c r="G2432" i="3"/>
  <c r="F2432" i="3"/>
  <c r="E2432" i="3"/>
  <c r="D2432" i="3"/>
  <c r="C2432" i="3"/>
  <c r="B2432" i="3"/>
  <c r="A2432" i="3"/>
  <c r="M2431" i="3"/>
  <c r="L2431" i="3"/>
  <c r="K2431" i="3"/>
  <c r="J2431" i="3"/>
  <c r="I2431" i="3"/>
  <c r="H2431" i="3"/>
  <c r="G2431" i="3"/>
  <c r="F2431" i="3"/>
  <c r="E2431" i="3"/>
  <c r="D2431" i="3"/>
  <c r="C2431" i="3"/>
  <c r="B2431" i="3"/>
  <c r="A2431" i="3"/>
  <c r="M2430" i="3"/>
  <c r="L2430" i="3"/>
  <c r="K2430" i="3"/>
  <c r="J2430" i="3"/>
  <c r="I2430" i="3"/>
  <c r="H2430" i="3"/>
  <c r="G2430" i="3"/>
  <c r="F2430" i="3"/>
  <c r="E2430" i="3"/>
  <c r="D2430" i="3"/>
  <c r="C2430" i="3"/>
  <c r="B2430" i="3"/>
  <c r="A2430" i="3"/>
  <c r="M2429" i="3"/>
  <c r="L2429" i="3"/>
  <c r="K2429" i="3"/>
  <c r="J2429" i="3"/>
  <c r="I2429" i="3"/>
  <c r="H2429" i="3"/>
  <c r="G2429" i="3"/>
  <c r="F2429" i="3"/>
  <c r="E2429" i="3"/>
  <c r="D2429" i="3"/>
  <c r="C2429" i="3"/>
  <c r="B2429" i="3"/>
  <c r="A2429" i="3"/>
  <c r="M2428" i="3"/>
  <c r="L2428" i="3"/>
  <c r="K2428" i="3"/>
  <c r="J2428" i="3"/>
  <c r="I2428" i="3"/>
  <c r="H2428" i="3"/>
  <c r="G2428" i="3"/>
  <c r="F2428" i="3"/>
  <c r="E2428" i="3"/>
  <c r="D2428" i="3"/>
  <c r="C2428" i="3"/>
  <c r="B2428" i="3"/>
  <c r="A2428" i="3"/>
  <c r="M2427" i="3"/>
  <c r="L2427" i="3"/>
  <c r="K2427" i="3"/>
  <c r="J2427" i="3"/>
  <c r="I2427" i="3"/>
  <c r="H2427" i="3"/>
  <c r="G2427" i="3"/>
  <c r="F2427" i="3"/>
  <c r="E2427" i="3"/>
  <c r="D2427" i="3"/>
  <c r="C2427" i="3"/>
  <c r="B2427" i="3"/>
  <c r="A2427" i="3"/>
  <c r="M2426" i="3"/>
  <c r="L2426" i="3"/>
  <c r="K2426" i="3"/>
  <c r="J2426" i="3"/>
  <c r="I2426" i="3"/>
  <c r="H2426" i="3"/>
  <c r="G2426" i="3"/>
  <c r="F2426" i="3"/>
  <c r="E2426" i="3"/>
  <c r="D2426" i="3"/>
  <c r="C2426" i="3"/>
  <c r="B2426" i="3"/>
  <c r="A2426" i="3"/>
  <c r="M2425" i="3"/>
  <c r="L2425" i="3"/>
  <c r="K2425" i="3"/>
  <c r="J2425" i="3"/>
  <c r="I2425" i="3"/>
  <c r="H2425" i="3"/>
  <c r="G2425" i="3"/>
  <c r="F2425" i="3"/>
  <c r="E2425" i="3"/>
  <c r="D2425" i="3"/>
  <c r="C2425" i="3"/>
  <c r="B2425" i="3"/>
  <c r="A2425" i="3"/>
  <c r="M2424" i="3"/>
  <c r="L2424" i="3"/>
  <c r="K2424" i="3"/>
  <c r="J2424" i="3"/>
  <c r="I2424" i="3"/>
  <c r="H2424" i="3"/>
  <c r="G2424" i="3"/>
  <c r="F2424" i="3"/>
  <c r="E2424" i="3"/>
  <c r="D2424" i="3"/>
  <c r="C2424" i="3"/>
  <c r="B2424" i="3"/>
  <c r="A2424" i="3"/>
  <c r="M2423" i="3"/>
  <c r="L2423" i="3"/>
  <c r="K2423" i="3"/>
  <c r="J2423" i="3"/>
  <c r="I2423" i="3"/>
  <c r="H2423" i="3"/>
  <c r="G2423" i="3"/>
  <c r="F2423" i="3"/>
  <c r="E2423" i="3"/>
  <c r="D2423" i="3"/>
  <c r="C2423" i="3"/>
  <c r="B2423" i="3"/>
  <c r="A2423" i="3"/>
  <c r="M2422" i="3"/>
  <c r="L2422" i="3"/>
  <c r="K2422" i="3"/>
  <c r="J2422" i="3"/>
  <c r="I2422" i="3"/>
  <c r="H2422" i="3"/>
  <c r="G2422" i="3"/>
  <c r="F2422" i="3"/>
  <c r="E2422" i="3"/>
  <c r="D2422" i="3"/>
  <c r="C2422" i="3"/>
  <c r="B2422" i="3"/>
  <c r="A2422" i="3"/>
  <c r="M2421" i="3"/>
  <c r="L2421" i="3"/>
  <c r="K2421" i="3"/>
  <c r="J2421" i="3"/>
  <c r="I2421" i="3"/>
  <c r="H2421" i="3"/>
  <c r="G2421" i="3"/>
  <c r="F2421" i="3"/>
  <c r="E2421" i="3"/>
  <c r="D2421" i="3"/>
  <c r="C2421" i="3"/>
  <c r="B2421" i="3"/>
  <c r="A2421" i="3"/>
  <c r="M2420" i="3"/>
  <c r="L2420" i="3"/>
  <c r="K2420" i="3"/>
  <c r="J2420" i="3"/>
  <c r="I2420" i="3"/>
  <c r="H2420" i="3"/>
  <c r="G2420" i="3"/>
  <c r="F2420" i="3"/>
  <c r="E2420" i="3"/>
  <c r="D2420" i="3"/>
  <c r="C2420" i="3"/>
  <c r="B2420" i="3"/>
  <c r="A2420" i="3"/>
  <c r="M2419" i="3"/>
  <c r="L2419" i="3"/>
  <c r="K2419" i="3"/>
  <c r="J2419" i="3"/>
  <c r="I2419" i="3"/>
  <c r="H2419" i="3"/>
  <c r="G2419" i="3"/>
  <c r="F2419" i="3"/>
  <c r="E2419" i="3"/>
  <c r="D2419" i="3"/>
  <c r="C2419" i="3"/>
  <c r="B2419" i="3"/>
  <c r="A2419" i="3"/>
  <c r="M2418" i="3"/>
  <c r="L2418" i="3"/>
  <c r="K2418" i="3"/>
  <c r="J2418" i="3"/>
  <c r="I2418" i="3"/>
  <c r="H2418" i="3"/>
  <c r="G2418" i="3"/>
  <c r="F2418" i="3"/>
  <c r="E2418" i="3"/>
  <c r="D2418" i="3"/>
  <c r="C2418" i="3"/>
  <c r="B2418" i="3"/>
  <c r="A2418" i="3"/>
  <c r="M2417" i="3"/>
  <c r="L2417" i="3"/>
  <c r="K2417" i="3"/>
  <c r="J2417" i="3"/>
  <c r="I2417" i="3"/>
  <c r="H2417" i="3"/>
  <c r="G2417" i="3"/>
  <c r="F2417" i="3"/>
  <c r="E2417" i="3"/>
  <c r="D2417" i="3"/>
  <c r="C2417" i="3"/>
  <c r="B2417" i="3"/>
  <c r="A2417" i="3"/>
  <c r="M2416" i="3"/>
  <c r="L2416" i="3"/>
  <c r="K2416" i="3"/>
  <c r="J2416" i="3"/>
  <c r="I2416" i="3"/>
  <c r="H2416" i="3"/>
  <c r="G2416" i="3"/>
  <c r="F2416" i="3"/>
  <c r="E2416" i="3"/>
  <c r="D2416" i="3"/>
  <c r="C2416" i="3"/>
  <c r="B2416" i="3"/>
  <c r="A2416" i="3"/>
  <c r="M2415" i="3"/>
  <c r="L2415" i="3"/>
  <c r="K2415" i="3"/>
  <c r="J2415" i="3"/>
  <c r="I2415" i="3"/>
  <c r="H2415" i="3"/>
  <c r="G2415" i="3"/>
  <c r="F2415" i="3"/>
  <c r="E2415" i="3"/>
  <c r="D2415" i="3"/>
  <c r="C2415" i="3"/>
  <c r="B2415" i="3"/>
  <c r="A2415" i="3"/>
  <c r="M2414" i="3"/>
  <c r="L2414" i="3"/>
  <c r="K2414" i="3"/>
  <c r="J2414" i="3"/>
  <c r="I2414" i="3"/>
  <c r="H2414" i="3"/>
  <c r="G2414" i="3"/>
  <c r="F2414" i="3"/>
  <c r="E2414" i="3"/>
  <c r="D2414" i="3"/>
  <c r="C2414" i="3"/>
  <c r="B2414" i="3"/>
  <c r="A2414" i="3"/>
  <c r="M2413" i="3"/>
  <c r="L2413" i="3"/>
  <c r="K2413" i="3"/>
  <c r="J2413" i="3"/>
  <c r="I2413" i="3"/>
  <c r="H2413" i="3"/>
  <c r="G2413" i="3"/>
  <c r="F2413" i="3"/>
  <c r="E2413" i="3"/>
  <c r="D2413" i="3"/>
  <c r="C2413" i="3"/>
  <c r="B2413" i="3"/>
  <c r="A2413" i="3"/>
  <c r="M2412" i="3"/>
  <c r="L2412" i="3"/>
  <c r="K2412" i="3"/>
  <c r="J2412" i="3"/>
  <c r="I2412" i="3"/>
  <c r="H2412" i="3"/>
  <c r="G2412" i="3"/>
  <c r="F2412" i="3"/>
  <c r="E2412" i="3"/>
  <c r="D2412" i="3"/>
  <c r="C2412" i="3"/>
  <c r="B2412" i="3"/>
  <c r="A2412" i="3"/>
  <c r="M2411" i="3"/>
  <c r="L2411" i="3"/>
  <c r="K2411" i="3"/>
  <c r="J2411" i="3"/>
  <c r="I2411" i="3"/>
  <c r="H2411" i="3"/>
  <c r="G2411" i="3"/>
  <c r="F2411" i="3"/>
  <c r="E2411" i="3"/>
  <c r="D2411" i="3"/>
  <c r="C2411" i="3"/>
  <c r="B2411" i="3"/>
  <c r="A2411" i="3"/>
  <c r="M2410" i="3"/>
  <c r="L2410" i="3"/>
  <c r="K2410" i="3"/>
  <c r="J2410" i="3"/>
  <c r="I2410" i="3"/>
  <c r="H2410" i="3"/>
  <c r="G2410" i="3"/>
  <c r="F2410" i="3"/>
  <c r="E2410" i="3"/>
  <c r="D2410" i="3"/>
  <c r="C2410" i="3"/>
  <c r="B2410" i="3"/>
  <c r="A2410" i="3"/>
  <c r="M2409" i="3"/>
  <c r="L2409" i="3"/>
  <c r="K2409" i="3"/>
  <c r="J2409" i="3"/>
  <c r="I2409" i="3"/>
  <c r="H2409" i="3"/>
  <c r="G2409" i="3"/>
  <c r="F2409" i="3"/>
  <c r="E2409" i="3"/>
  <c r="D2409" i="3"/>
  <c r="C2409" i="3"/>
  <c r="B2409" i="3"/>
  <c r="A2409" i="3"/>
  <c r="M2408" i="3"/>
  <c r="L2408" i="3"/>
  <c r="K2408" i="3"/>
  <c r="J2408" i="3"/>
  <c r="I2408" i="3"/>
  <c r="H2408" i="3"/>
  <c r="G2408" i="3"/>
  <c r="F2408" i="3"/>
  <c r="E2408" i="3"/>
  <c r="D2408" i="3"/>
  <c r="C2408" i="3"/>
  <c r="B2408" i="3"/>
  <c r="A2408" i="3"/>
  <c r="M2407" i="3"/>
  <c r="L2407" i="3"/>
  <c r="K2407" i="3"/>
  <c r="J2407" i="3"/>
  <c r="I2407" i="3"/>
  <c r="H2407" i="3"/>
  <c r="G2407" i="3"/>
  <c r="F2407" i="3"/>
  <c r="E2407" i="3"/>
  <c r="D2407" i="3"/>
  <c r="C2407" i="3"/>
  <c r="B2407" i="3"/>
  <c r="A2407" i="3"/>
  <c r="M2406" i="3"/>
  <c r="L2406" i="3"/>
  <c r="K2406" i="3"/>
  <c r="J2406" i="3"/>
  <c r="I2406" i="3"/>
  <c r="H2406" i="3"/>
  <c r="G2406" i="3"/>
  <c r="F2406" i="3"/>
  <c r="E2406" i="3"/>
  <c r="D2406" i="3"/>
  <c r="C2406" i="3"/>
  <c r="B2406" i="3"/>
  <c r="A2406" i="3"/>
  <c r="M2405" i="3"/>
  <c r="L2405" i="3"/>
  <c r="K2405" i="3"/>
  <c r="J2405" i="3"/>
  <c r="I2405" i="3"/>
  <c r="H2405" i="3"/>
  <c r="G2405" i="3"/>
  <c r="F2405" i="3"/>
  <c r="E2405" i="3"/>
  <c r="D2405" i="3"/>
  <c r="C2405" i="3"/>
  <c r="B2405" i="3"/>
  <c r="A2405" i="3"/>
  <c r="M2404" i="3"/>
  <c r="L2404" i="3"/>
  <c r="K2404" i="3"/>
  <c r="J2404" i="3"/>
  <c r="I2404" i="3"/>
  <c r="H2404" i="3"/>
  <c r="G2404" i="3"/>
  <c r="F2404" i="3"/>
  <c r="E2404" i="3"/>
  <c r="D2404" i="3"/>
  <c r="C2404" i="3"/>
  <c r="B2404" i="3"/>
  <c r="A2404" i="3"/>
  <c r="M2403" i="3"/>
  <c r="L2403" i="3"/>
  <c r="K2403" i="3"/>
  <c r="J2403" i="3"/>
  <c r="I2403" i="3"/>
  <c r="H2403" i="3"/>
  <c r="G2403" i="3"/>
  <c r="F2403" i="3"/>
  <c r="E2403" i="3"/>
  <c r="D2403" i="3"/>
  <c r="C2403" i="3"/>
  <c r="B2403" i="3"/>
  <c r="A2403" i="3"/>
  <c r="M2402" i="3"/>
  <c r="L2402" i="3"/>
  <c r="K2402" i="3"/>
  <c r="J2402" i="3"/>
  <c r="I2402" i="3"/>
  <c r="H2402" i="3"/>
  <c r="G2402" i="3"/>
  <c r="F2402" i="3"/>
  <c r="E2402" i="3"/>
  <c r="D2402" i="3"/>
  <c r="C2402" i="3"/>
  <c r="B2402" i="3"/>
  <c r="A2402" i="3"/>
  <c r="M2401" i="3"/>
  <c r="L2401" i="3"/>
  <c r="K2401" i="3"/>
  <c r="J2401" i="3"/>
  <c r="I2401" i="3"/>
  <c r="H2401" i="3"/>
  <c r="G2401" i="3"/>
  <c r="E2401" i="3"/>
  <c r="D2401" i="3"/>
  <c r="C2401" i="3"/>
  <c r="B2401" i="3"/>
  <c r="A2401" i="3"/>
  <c r="M2400" i="3"/>
  <c r="L2400" i="3"/>
  <c r="K2400" i="3"/>
  <c r="J2400" i="3"/>
  <c r="I2400" i="3"/>
  <c r="H2400" i="3"/>
  <c r="G2400" i="3"/>
  <c r="F2400" i="3"/>
  <c r="E2400" i="3"/>
  <c r="D2400" i="3"/>
  <c r="C2400" i="3"/>
  <c r="B2400" i="3"/>
  <c r="A2400" i="3"/>
  <c r="M2399" i="3"/>
  <c r="L2399" i="3"/>
  <c r="K2399" i="3"/>
  <c r="J2399" i="3"/>
  <c r="I2399" i="3"/>
  <c r="H2399" i="3"/>
  <c r="G2399" i="3"/>
  <c r="F2399" i="3"/>
  <c r="E2399" i="3"/>
  <c r="D2399" i="3"/>
  <c r="C2399" i="3"/>
  <c r="B2399" i="3"/>
  <c r="A2399" i="3"/>
  <c r="M2398" i="3"/>
  <c r="L2398" i="3"/>
  <c r="K2398" i="3"/>
  <c r="J2398" i="3"/>
  <c r="I2398" i="3"/>
  <c r="H2398" i="3"/>
  <c r="G2398" i="3"/>
  <c r="F2398" i="3"/>
  <c r="E2398" i="3"/>
  <c r="D2398" i="3"/>
  <c r="C2398" i="3"/>
  <c r="B2398" i="3"/>
  <c r="A2398" i="3"/>
  <c r="M2397" i="3"/>
  <c r="L2397" i="3"/>
  <c r="K2397" i="3"/>
  <c r="J2397" i="3"/>
  <c r="I2397" i="3"/>
  <c r="H2397" i="3"/>
  <c r="G2397" i="3"/>
  <c r="F2397" i="3"/>
  <c r="E2397" i="3"/>
  <c r="D2397" i="3"/>
  <c r="C2397" i="3"/>
  <c r="B2397" i="3"/>
  <c r="A2397" i="3"/>
  <c r="M2396" i="3"/>
  <c r="L2396" i="3"/>
  <c r="K2396" i="3"/>
  <c r="J2396" i="3"/>
  <c r="I2396" i="3"/>
  <c r="H2396" i="3"/>
  <c r="G2396" i="3"/>
  <c r="F2396" i="3"/>
  <c r="E2396" i="3"/>
  <c r="D2396" i="3"/>
  <c r="C2396" i="3"/>
  <c r="B2396" i="3"/>
  <c r="A2396" i="3"/>
  <c r="M2395" i="3"/>
  <c r="L2395" i="3"/>
  <c r="K2395" i="3"/>
  <c r="J2395" i="3"/>
  <c r="I2395" i="3"/>
  <c r="H2395" i="3"/>
  <c r="G2395" i="3"/>
  <c r="F2395" i="3"/>
  <c r="E2395" i="3"/>
  <c r="D2395" i="3"/>
  <c r="C2395" i="3"/>
  <c r="B2395" i="3"/>
  <c r="A2395" i="3"/>
  <c r="M2394" i="3"/>
  <c r="L2394" i="3"/>
  <c r="K2394" i="3"/>
  <c r="J2394" i="3"/>
  <c r="I2394" i="3"/>
  <c r="H2394" i="3"/>
  <c r="G2394" i="3"/>
  <c r="F2394" i="3"/>
  <c r="E2394" i="3"/>
  <c r="D2394" i="3"/>
  <c r="C2394" i="3"/>
  <c r="B2394" i="3"/>
  <c r="A2394" i="3"/>
  <c r="M2393" i="3"/>
  <c r="L2393" i="3"/>
  <c r="K2393" i="3"/>
  <c r="J2393" i="3"/>
  <c r="I2393" i="3"/>
  <c r="H2393" i="3"/>
  <c r="G2393" i="3"/>
  <c r="F2393" i="3"/>
  <c r="E2393" i="3"/>
  <c r="D2393" i="3"/>
  <c r="C2393" i="3"/>
  <c r="B2393" i="3"/>
  <c r="A2393" i="3"/>
  <c r="M2392" i="3"/>
  <c r="L2392" i="3"/>
  <c r="K2392" i="3"/>
  <c r="J2392" i="3"/>
  <c r="I2392" i="3"/>
  <c r="H2392" i="3"/>
  <c r="G2392" i="3"/>
  <c r="F2392" i="3"/>
  <c r="E2392" i="3"/>
  <c r="D2392" i="3"/>
  <c r="C2392" i="3"/>
  <c r="B2392" i="3"/>
  <c r="A2392" i="3"/>
  <c r="M2391" i="3"/>
  <c r="L2391" i="3"/>
  <c r="K2391" i="3"/>
  <c r="J2391" i="3"/>
  <c r="I2391" i="3"/>
  <c r="H2391" i="3"/>
  <c r="G2391" i="3"/>
  <c r="F2391" i="3"/>
  <c r="E2391" i="3"/>
  <c r="D2391" i="3"/>
  <c r="C2391" i="3"/>
  <c r="B2391" i="3"/>
  <c r="A2391" i="3"/>
  <c r="M2390" i="3"/>
  <c r="L2390" i="3"/>
  <c r="K2390" i="3"/>
  <c r="J2390" i="3"/>
  <c r="I2390" i="3"/>
  <c r="H2390" i="3"/>
  <c r="G2390" i="3"/>
  <c r="F2390" i="3"/>
  <c r="E2390" i="3"/>
  <c r="D2390" i="3"/>
  <c r="C2390" i="3"/>
  <c r="B2390" i="3"/>
  <c r="A2390" i="3"/>
  <c r="M2389" i="3"/>
  <c r="L2389" i="3"/>
  <c r="K2389" i="3"/>
  <c r="J2389" i="3"/>
  <c r="I2389" i="3"/>
  <c r="H2389" i="3"/>
  <c r="G2389" i="3"/>
  <c r="F2389" i="3"/>
  <c r="E2389" i="3"/>
  <c r="D2389" i="3"/>
  <c r="C2389" i="3"/>
  <c r="B2389" i="3"/>
  <c r="A2389" i="3"/>
  <c r="M2388" i="3"/>
  <c r="L2388" i="3"/>
  <c r="K2388" i="3"/>
  <c r="J2388" i="3"/>
  <c r="I2388" i="3"/>
  <c r="H2388" i="3"/>
  <c r="G2388" i="3"/>
  <c r="F2388" i="3"/>
  <c r="E2388" i="3"/>
  <c r="D2388" i="3"/>
  <c r="C2388" i="3"/>
  <c r="B2388" i="3"/>
  <c r="A2388" i="3"/>
  <c r="M2387" i="3"/>
  <c r="L2387" i="3"/>
  <c r="K2387" i="3"/>
  <c r="J2387" i="3"/>
  <c r="I2387" i="3"/>
  <c r="H2387" i="3"/>
  <c r="G2387" i="3"/>
  <c r="F2387" i="3"/>
  <c r="E2387" i="3"/>
  <c r="D2387" i="3"/>
  <c r="C2387" i="3"/>
  <c r="B2387" i="3"/>
  <c r="A2387" i="3"/>
  <c r="M2386" i="3"/>
  <c r="L2386" i="3"/>
  <c r="K2386" i="3"/>
  <c r="J2386" i="3"/>
  <c r="I2386" i="3"/>
  <c r="H2386" i="3"/>
  <c r="G2386" i="3"/>
  <c r="F2386" i="3"/>
  <c r="E2386" i="3"/>
  <c r="D2386" i="3"/>
  <c r="C2386" i="3"/>
  <c r="B2386" i="3"/>
  <c r="A2386" i="3"/>
  <c r="M2385" i="3"/>
  <c r="L2385" i="3"/>
  <c r="K2385" i="3"/>
  <c r="J2385" i="3"/>
  <c r="I2385" i="3"/>
  <c r="H2385" i="3"/>
  <c r="G2385" i="3"/>
  <c r="F2385" i="3"/>
  <c r="E2385" i="3"/>
  <c r="D2385" i="3"/>
  <c r="C2385" i="3"/>
  <c r="B2385" i="3"/>
  <c r="A2385" i="3"/>
  <c r="M2384" i="3"/>
  <c r="L2384" i="3"/>
  <c r="K2384" i="3"/>
  <c r="J2384" i="3"/>
  <c r="I2384" i="3"/>
  <c r="H2384" i="3"/>
  <c r="G2384" i="3"/>
  <c r="F2384" i="3"/>
  <c r="E2384" i="3"/>
  <c r="D2384" i="3"/>
  <c r="C2384" i="3"/>
  <c r="B2384" i="3"/>
  <c r="A2384" i="3"/>
  <c r="M2383" i="3"/>
  <c r="L2383" i="3"/>
  <c r="K2383" i="3"/>
  <c r="J2383" i="3"/>
  <c r="I2383" i="3"/>
  <c r="H2383" i="3"/>
  <c r="G2383" i="3"/>
  <c r="F2383" i="3"/>
  <c r="D2383" i="3"/>
  <c r="C2383" i="3"/>
  <c r="B2383" i="3"/>
  <c r="A2383" i="3"/>
  <c r="M2382" i="3"/>
  <c r="L2382" i="3"/>
  <c r="K2382" i="3"/>
  <c r="J2382" i="3"/>
  <c r="I2382" i="3"/>
  <c r="H2382" i="3"/>
  <c r="G2382" i="3"/>
  <c r="F2382" i="3"/>
  <c r="E2382" i="3"/>
  <c r="D2382" i="3"/>
  <c r="C2382" i="3"/>
  <c r="B2382" i="3"/>
  <c r="A2382" i="3"/>
  <c r="M2381" i="3"/>
  <c r="L2381" i="3"/>
  <c r="K2381" i="3"/>
  <c r="J2381" i="3"/>
  <c r="I2381" i="3"/>
  <c r="H2381" i="3"/>
  <c r="G2381" i="3"/>
  <c r="F2381" i="3"/>
  <c r="E2381" i="3"/>
  <c r="D2381" i="3"/>
  <c r="C2381" i="3"/>
  <c r="B2381" i="3"/>
  <c r="A2381" i="3"/>
  <c r="M2380" i="3"/>
  <c r="L2380" i="3"/>
  <c r="K2380" i="3"/>
  <c r="J2380" i="3"/>
  <c r="I2380" i="3"/>
  <c r="H2380" i="3"/>
  <c r="G2380" i="3"/>
  <c r="F2380" i="3"/>
  <c r="E2380" i="3"/>
  <c r="D2380" i="3"/>
  <c r="C2380" i="3"/>
  <c r="B2380" i="3"/>
  <c r="A2380" i="3"/>
  <c r="M2379" i="3"/>
  <c r="L2379" i="3"/>
  <c r="K2379" i="3"/>
  <c r="J2379" i="3"/>
  <c r="I2379" i="3"/>
  <c r="H2379" i="3"/>
  <c r="G2379" i="3"/>
  <c r="F2379" i="3"/>
  <c r="E2379" i="3"/>
  <c r="D2379" i="3"/>
  <c r="C2379" i="3"/>
  <c r="B2379" i="3"/>
  <c r="A2379" i="3"/>
  <c r="M2378" i="3"/>
  <c r="L2378" i="3"/>
  <c r="K2378" i="3"/>
  <c r="J2378" i="3"/>
  <c r="I2378" i="3"/>
  <c r="H2378" i="3"/>
  <c r="G2378" i="3"/>
  <c r="F2378" i="3"/>
  <c r="E2378" i="3"/>
  <c r="D2378" i="3"/>
  <c r="C2378" i="3"/>
  <c r="B2378" i="3"/>
  <c r="A2378" i="3"/>
  <c r="M2377" i="3"/>
  <c r="L2377" i="3"/>
  <c r="K2377" i="3"/>
  <c r="J2377" i="3"/>
  <c r="I2377" i="3"/>
  <c r="H2377" i="3"/>
  <c r="G2377" i="3"/>
  <c r="F2377" i="3"/>
  <c r="E2377" i="3"/>
  <c r="D2377" i="3"/>
  <c r="C2377" i="3"/>
  <c r="B2377" i="3"/>
  <c r="A2377" i="3"/>
  <c r="M2376" i="3"/>
  <c r="L2376" i="3"/>
  <c r="K2376" i="3"/>
  <c r="J2376" i="3"/>
  <c r="I2376" i="3"/>
  <c r="H2376" i="3"/>
  <c r="G2376" i="3"/>
  <c r="F2376" i="3"/>
  <c r="E2376" i="3"/>
  <c r="D2376" i="3"/>
  <c r="C2376" i="3"/>
  <c r="B2376" i="3"/>
  <c r="A2376" i="3"/>
  <c r="M2375" i="3"/>
  <c r="L2375" i="3"/>
  <c r="K2375" i="3"/>
  <c r="J2375" i="3"/>
  <c r="I2375" i="3"/>
  <c r="H2375" i="3"/>
  <c r="G2375" i="3"/>
  <c r="F2375" i="3"/>
  <c r="E2375" i="3"/>
  <c r="D2375" i="3"/>
  <c r="C2375" i="3"/>
  <c r="B2375" i="3"/>
  <c r="A2375" i="3"/>
  <c r="M2374" i="3"/>
  <c r="L2374" i="3"/>
  <c r="K2374" i="3"/>
  <c r="J2374" i="3"/>
  <c r="I2374" i="3"/>
  <c r="H2374" i="3"/>
  <c r="G2374" i="3"/>
  <c r="F2374" i="3"/>
  <c r="E2374" i="3"/>
  <c r="D2374" i="3"/>
  <c r="C2374" i="3"/>
  <c r="B2374" i="3"/>
  <c r="A2374" i="3"/>
  <c r="M2373" i="3"/>
  <c r="L2373" i="3"/>
  <c r="K2373" i="3"/>
  <c r="J2373" i="3"/>
  <c r="I2373" i="3"/>
  <c r="H2373" i="3"/>
  <c r="G2373" i="3"/>
  <c r="F2373" i="3"/>
  <c r="E2373" i="3"/>
  <c r="D2373" i="3"/>
  <c r="C2373" i="3"/>
  <c r="B2373" i="3"/>
  <c r="A2373" i="3"/>
  <c r="M2372" i="3"/>
  <c r="L2372" i="3"/>
  <c r="K2372" i="3"/>
  <c r="J2372" i="3"/>
  <c r="I2372" i="3"/>
  <c r="H2372" i="3"/>
  <c r="G2372" i="3"/>
  <c r="F2372" i="3"/>
  <c r="E2372" i="3"/>
  <c r="D2372" i="3"/>
  <c r="C2372" i="3"/>
  <c r="B2372" i="3"/>
  <c r="A2372" i="3"/>
  <c r="M2371" i="3"/>
  <c r="L2371" i="3"/>
  <c r="K2371" i="3"/>
  <c r="J2371" i="3"/>
  <c r="I2371" i="3"/>
  <c r="H2371" i="3"/>
  <c r="G2371" i="3"/>
  <c r="F2371" i="3"/>
  <c r="E2371" i="3"/>
  <c r="D2371" i="3"/>
  <c r="C2371" i="3"/>
  <c r="B2371" i="3"/>
  <c r="A2371" i="3"/>
  <c r="M2370" i="3"/>
  <c r="L2370" i="3"/>
  <c r="K2370" i="3"/>
  <c r="J2370" i="3"/>
  <c r="I2370" i="3"/>
  <c r="H2370" i="3"/>
  <c r="G2370" i="3"/>
  <c r="F2370" i="3"/>
  <c r="E2370" i="3"/>
  <c r="D2370" i="3"/>
  <c r="C2370" i="3"/>
  <c r="B2370" i="3"/>
  <c r="A2370" i="3"/>
  <c r="M2369" i="3"/>
  <c r="L2369" i="3"/>
  <c r="K2369" i="3"/>
  <c r="J2369" i="3"/>
  <c r="I2369" i="3"/>
  <c r="H2369" i="3"/>
  <c r="G2369" i="3"/>
  <c r="F2369" i="3"/>
  <c r="E2369" i="3"/>
  <c r="D2369" i="3"/>
  <c r="C2369" i="3"/>
  <c r="B2369" i="3"/>
  <c r="A2369" i="3"/>
  <c r="M2368" i="3"/>
  <c r="L2368" i="3"/>
  <c r="K2368" i="3"/>
  <c r="J2368" i="3"/>
  <c r="I2368" i="3"/>
  <c r="H2368" i="3"/>
  <c r="G2368" i="3"/>
  <c r="F2368" i="3"/>
  <c r="E2368" i="3"/>
  <c r="D2368" i="3"/>
  <c r="C2368" i="3"/>
  <c r="B2368" i="3"/>
  <c r="A2368" i="3"/>
  <c r="M2367" i="3"/>
  <c r="L2367" i="3"/>
  <c r="K2367" i="3"/>
  <c r="J2367" i="3"/>
  <c r="I2367" i="3"/>
  <c r="H2367" i="3"/>
  <c r="G2367" i="3"/>
  <c r="F2367" i="3"/>
  <c r="E2367" i="3"/>
  <c r="D2367" i="3"/>
  <c r="C2367" i="3"/>
  <c r="B2367" i="3"/>
  <c r="A2367" i="3"/>
  <c r="M2366" i="3"/>
  <c r="L2366" i="3"/>
  <c r="K2366" i="3"/>
  <c r="J2366" i="3"/>
  <c r="I2366" i="3"/>
  <c r="H2366" i="3"/>
  <c r="G2366" i="3"/>
  <c r="F2366" i="3"/>
  <c r="E2366" i="3"/>
  <c r="D2366" i="3"/>
  <c r="C2366" i="3"/>
  <c r="B2366" i="3"/>
  <c r="A2366" i="3"/>
  <c r="M2365" i="3"/>
  <c r="L2365" i="3"/>
  <c r="K2365" i="3"/>
  <c r="J2365" i="3"/>
  <c r="I2365" i="3"/>
  <c r="H2365" i="3"/>
  <c r="G2365" i="3"/>
  <c r="F2365" i="3"/>
  <c r="D2365" i="3"/>
  <c r="C2365" i="3"/>
  <c r="B2365" i="3"/>
  <c r="A2365" i="3"/>
  <c r="M2364" i="3"/>
  <c r="L2364" i="3"/>
  <c r="K2364" i="3"/>
  <c r="J2364" i="3"/>
  <c r="I2364" i="3"/>
  <c r="H2364" i="3"/>
  <c r="G2364" i="3"/>
  <c r="F2364" i="3"/>
  <c r="E2364" i="3"/>
  <c r="D2364" i="3"/>
  <c r="C2364" i="3"/>
  <c r="B2364" i="3"/>
  <c r="A2364" i="3"/>
  <c r="M2363" i="3"/>
  <c r="L2363" i="3"/>
  <c r="K2363" i="3"/>
  <c r="J2363" i="3"/>
  <c r="I2363" i="3"/>
  <c r="H2363" i="3"/>
  <c r="G2363" i="3"/>
  <c r="F2363" i="3"/>
  <c r="E2363" i="3"/>
  <c r="D2363" i="3"/>
  <c r="C2363" i="3"/>
  <c r="B2363" i="3"/>
  <c r="A2363" i="3"/>
  <c r="M2362" i="3"/>
  <c r="L2362" i="3"/>
  <c r="K2362" i="3"/>
  <c r="J2362" i="3"/>
  <c r="I2362" i="3"/>
  <c r="H2362" i="3"/>
  <c r="G2362" i="3"/>
  <c r="F2362" i="3"/>
  <c r="E2362" i="3"/>
  <c r="D2362" i="3"/>
  <c r="C2362" i="3"/>
  <c r="B2362" i="3"/>
  <c r="A2362" i="3"/>
  <c r="M2361" i="3"/>
  <c r="L2361" i="3"/>
  <c r="K2361" i="3"/>
  <c r="J2361" i="3"/>
  <c r="I2361" i="3"/>
  <c r="H2361" i="3"/>
  <c r="G2361" i="3"/>
  <c r="F2361" i="3"/>
  <c r="E2361" i="3"/>
  <c r="D2361" i="3"/>
  <c r="C2361" i="3"/>
  <c r="B2361" i="3"/>
  <c r="A2361" i="3"/>
  <c r="M2360" i="3"/>
  <c r="L2360" i="3"/>
  <c r="K2360" i="3"/>
  <c r="J2360" i="3"/>
  <c r="I2360" i="3"/>
  <c r="H2360" i="3"/>
  <c r="G2360" i="3"/>
  <c r="F2360" i="3"/>
  <c r="E2360" i="3"/>
  <c r="D2360" i="3"/>
  <c r="C2360" i="3"/>
  <c r="B2360" i="3"/>
  <c r="A2360" i="3"/>
  <c r="M2359" i="3"/>
  <c r="L2359" i="3"/>
  <c r="K2359" i="3"/>
  <c r="J2359" i="3"/>
  <c r="I2359" i="3"/>
  <c r="H2359" i="3"/>
  <c r="G2359" i="3"/>
  <c r="F2359" i="3"/>
  <c r="E2359" i="3"/>
  <c r="D2359" i="3"/>
  <c r="C2359" i="3"/>
  <c r="B2359" i="3"/>
  <c r="A2359" i="3"/>
  <c r="M2358" i="3"/>
  <c r="L2358" i="3"/>
  <c r="K2358" i="3"/>
  <c r="J2358" i="3"/>
  <c r="I2358" i="3"/>
  <c r="H2358" i="3"/>
  <c r="G2358" i="3"/>
  <c r="F2358" i="3"/>
  <c r="E2358" i="3"/>
  <c r="D2358" i="3"/>
  <c r="C2358" i="3"/>
  <c r="B2358" i="3"/>
  <c r="A2358" i="3"/>
  <c r="M2357" i="3"/>
  <c r="L2357" i="3"/>
  <c r="K2357" i="3"/>
  <c r="J2357" i="3"/>
  <c r="I2357" i="3"/>
  <c r="H2357" i="3"/>
  <c r="G2357" i="3"/>
  <c r="F2357" i="3"/>
  <c r="E2357" i="3"/>
  <c r="D2357" i="3"/>
  <c r="C2357" i="3"/>
  <c r="B2357" i="3"/>
  <c r="A2357" i="3"/>
  <c r="M2356" i="3"/>
  <c r="L2356" i="3"/>
  <c r="K2356" i="3"/>
  <c r="J2356" i="3"/>
  <c r="I2356" i="3"/>
  <c r="H2356" i="3"/>
  <c r="G2356" i="3"/>
  <c r="F2356" i="3"/>
  <c r="E2356" i="3"/>
  <c r="D2356" i="3"/>
  <c r="C2356" i="3"/>
  <c r="B2356" i="3"/>
  <c r="A2356" i="3"/>
  <c r="M2355" i="3"/>
  <c r="L2355" i="3"/>
  <c r="K2355" i="3"/>
  <c r="J2355" i="3"/>
  <c r="I2355" i="3"/>
  <c r="H2355" i="3"/>
  <c r="G2355" i="3"/>
  <c r="F2355" i="3"/>
  <c r="E2355" i="3"/>
  <c r="D2355" i="3"/>
  <c r="C2355" i="3"/>
  <c r="B2355" i="3"/>
  <c r="A2355" i="3"/>
  <c r="M2354" i="3"/>
  <c r="L2354" i="3"/>
  <c r="K2354" i="3"/>
  <c r="J2354" i="3"/>
  <c r="I2354" i="3"/>
  <c r="H2354" i="3"/>
  <c r="G2354" i="3"/>
  <c r="F2354" i="3"/>
  <c r="E2354" i="3"/>
  <c r="D2354" i="3"/>
  <c r="C2354" i="3"/>
  <c r="B2354" i="3"/>
  <c r="A2354" i="3"/>
  <c r="M2353" i="3"/>
  <c r="L2353" i="3"/>
  <c r="K2353" i="3"/>
  <c r="J2353" i="3"/>
  <c r="I2353" i="3"/>
  <c r="H2353" i="3"/>
  <c r="G2353" i="3"/>
  <c r="F2353" i="3"/>
  <c r="E2353" i="3"/>
  <c r="D2353" i="3"/>
  <c r="C2353" i="3"/>
  <c r="B2353" i="3"/>
  <c r="A2353" i="3"/>
  <c r="M2352" i="3"/>
  <c r="L2352" i="3"/>
  <c r="K2352" i="3"/>
  <c r="J2352" i="3"/>
  <c r="I2352" i="3"/>
  <c r="H2352" i="3"/>
  <c r="G2352" i="3"/>
  <c r="F2352" i="3"/>
  <c r="E2352" i="3"/>
  <c r="D2352" i="3"/>
  <c r="C2352" i="3"/>
  <c r="B2352" i="3"/>
  <c r="A2352" i="3"/>
  <c r="M2351" i="3"/>
  <c r="L2351" i="3"/>
  <c r="K2351" i="3"/>
  <c r="J2351" i="3"/>
  <c r="I2351" i="3"/>
  <c r="H2351" i="3"/>
  <c r="G2351" i="3"/>
  <c r="F2351" i="3"/>
  <c r="E2351" i="3"/>
  <c r="D2351" i="3"/>
  <c r="C2351" i="3"/>
  <c r="B2351" i="3"/>
  <c r="A2351" i="3"/>
  <c r="M2350" i="3"/>
  <c r="L2350" i="3"/>
  <c r="K2350" i="3"/>
  <c r="J2350" i="3"/>
  <c r="I2350" i="3"/>
  <c r="H2350" i="3"/>
  <c r="G2350" i="3"/>
  <c r="F2350" i="3"/>
  <c r="E2350" i="3"/>
  <c r="D2350" i="3"/>
  <c r="C2350" i="3"/>
  <c r="B2350" i="3"/>
  <c r="A2350" i="3"/>
  <c r="M2349" i="3"/>
  <c r="L2349" i="3"/>
  <c r="K2349" i="3"/>
  <c r="J2349" i="3"/>
  <c r="I2349" i="3"/>
  <c r="H2349" i="3"/>
  <c r="G2349" i="3"/>
  <c r="F2349" i="3"/>
  <c r="E2349" i="3"/>
  <c r="D2349" i="3"/>
  <c r="C2349" i="3"/>
  <c r="B2349" i="3"/>
  <c r="A2349" i="3"/>
  <c r="M2348" i="3"/>
  <c r="L2348" i="3"/>
  <c r="K2348" i="3"/>
  <c r="J2348" i="3"/>
  <c r="I2348" i="3"/>
  <c r="H2348" i="3"/>
  <c r="G2348" i="3"/>
  <c r="F2348" i="3"/>
  <c r="E2348" i="3"/>
  <c r="D2348" i="3"/>
  <c r="C2348" i="3"/>
  <c r="B2348" i="3"/>
  <c r="A2348" i="3"/>
  <c r="M2347" i="3"/>
  <c r="L2347" i="3"/>
  <c r="K2347" i="3"/>
  <c r="J2347" i="3"/>
  <c r="I2347" i="3"/>
  <c r="H2347" i="3"/>
  <c r="G2347" i="3"/>
  <c r="F2347" i="3"/>
  <c r="E2347" i="3"/>
  <c r="D2347" i="3"/>
  <c r="C2347" i="3"/>
  <c r="B2347" i="3"/>
  <c r="A2347" i="3"/>
  <c r="M2346" i="3"/>
  <c r="L2346" i="3"/>
  <c r="K2346" i="3"/>
  <c r="J2346" i="3"/>
  <c r="I2346" i="3"/>
  <c r="H2346" i="3"/>
  <c r="G2346" i="3"/>
  <c r="F2346" i="3"/>
  <c r="E2346" i="3"/>
  <c r="D2346" i="3"/>
  <c r="C2346" i="3"/>
  <c r="B2346" i="3"/>
  <c r="A2346" i="3"/>
  <c r="M2345" i="3"/>
  <c r="L2345" i="3"/>
  <c r="K2345" i="3"/>
  <c r="J2345" i="3"/>
  <c r="I2345" i="3"/>
  <c r="H2345" i="3"/>
  <c r="G2345" i="3"/>
  <c r="F2345" i="3"/>
  <c r="E2345" i="3"/>
  <c r="D2345" i="3"/>
  <c r="C2345" i="3"/>
  <c r="B2345" i="3"/>
  <c r="A2345" i="3"/>
  <c r="M2344" i="3"/>
  <c r="L2344" i="3"/>
  <c r="K2344" i="3"/>
  <c r="J2344" i="3"/>
  <c r="I2344" i="3"/>
  <c r="H2344" i="3"/>
  <c r="G2344" i="3"/>
  <c r="F2344" i="3"/>
  <c r="E2344" i="3"/>
  <c r="D2344" i="3"/>
  <c r="C2344" i="3"/>
  <c r="B2344" i="3"/>
  <c r="A2344" i="3"/>
  <c r="M2343" i="3"/>
  <c r="L2343" i="3"/>
  <c r="K2343" i="3"/>
  <c r="J2343" i="3"/>
  <c r="I2343" i="3"/>
  <c r="H2343" i="3"/>
  <c r="F2343" i="3"/>
  <c r="E2343" i="3"/>
  <c r="D2343" i="3"/>
  <c r="C2343" i="3"/>
  <c r="B2343" i="3"/>
  <c r="A2343" i="3"/>
  <c r="M2342" i="3"/>
  <c r="L2342" i="3"/>
  <c r="K2342" i="3"/>
  <c r="J2342" i="3"/>
  <c r="I2342" i="3"/>
  <c r="H2342" i="3"/>
  <c r="G2342" i="3"/>
  <c r="F2342" i="3"/>
  <c r="E2342" i="3"/>
  <c r="D2342" i="3"/>
  <c r="C2342" i="3"/>
  <c r="B2342" i="3"/>
  <c r="A2342" i="3"/>
  <c r="M2341" i="3"/>
  <c r="L2341" i="3"/>
  <c r="K2341" i="3"/>
  <c r="J2341" i="3"/>
  <c r="I2341" i="3"/>
  <c r="H2341" i="3"/>
  <c r="G2341" i="3"/>
  <c r="F2341" i="3"/>
  <c r="E2341" i="3"/>
  <c r="D2341" i="3"/>
  <c r="C2341" i="3"/>
  <c r="B2341" i="3"/>
  <c r="A2341" i="3"/>
  <c r="M2340" i="3"/>
  <c r="L2340" i="3"/>
  <c r="K2340" i="3"/>
  <c r="J2340" i="3"/>
  <c r="I2340" i="3"/>
  <c r="H2340" i="3"/>
  <c r="G2340" i="3"/>
  <c r="F2340" i="3"/>
  <c r="E2340" i="3"/>
  <c r="D2340" i="3"/>
  <c r="C2340" i="3"/>
  <c r="B2340" i="3"/>
  <c r="A2340" i="3"/>
  <c r="M2339" i="3"/>
  <c r="L2339" i="3"/>
  <c r="K2339" i="3"/>
  <c r="J2339" i="3"/>
  <c r="I2339" i="3"/>
  <c r="H2339" i="3"/>
  <c r="G2339" i="3"/>
  <c r="F2339" i="3"/>
  <c r="E2339" i="3"/>
  <c r="D2339" i="3"/>
  <c r="C2339" i="3"/>
  <c r="B2339" i="3"/>
  <c r="A2339" i="3"/>
  <c r="M2338" i="3"/>
  <c r="L2338" i="3"/>
  <c r="K2338" i="3"/>
  <c r="J2338" i="3"/>
  <c r="I2338" i="3"/>
  <c r="H2338" i="3"/>
  <c r="G2338" i="3"/>
  <c r="F2338" i="3"/>
  <c r="E2338" i="3"/>
  <c r="D2338" i="3"/>
  <c r="C2338" i="3"/>
  <c r="B2338" i="3"/>
  <c r="A2338" i="3"/>
  <c r="M2337" i="3"/>
  <c r="L2337" i="3"/>
  <c r="K2337" i="3"/>
  <c r="J2337" i="3"/>
  <c r="I2337" i="3"/>
  <c r="H2337" i="3"/>
  <c r="G2337" i="3"/>
  <c r="F2337" i="3"/>
  <c r="E2337" i="3"/>
  <c r="D2337" i="3"/>
  <c r="C2337" i="3"/>
  <c r="B2337" i="3"/>
  <c r="A2337" i="3"/>
  <c r="M2336" i="3"/>
  <c r="L2336" i="3"/>
  <c r="K2336" i="3"/>
  <c r="J2336" i="3"/>
  <c r="I2336" i="3"/>
  <c r="H2336" i="3"/>
  <c r="F2336" i="3"/>
  <c r="E2336" i="3"/>
  <c r="D2336" i="3"/>
  <c r="C2336" i="3"/>
  <c r="B2336" i="3"/>
  <c r="A2336" i="3"/>
  <c r="M2335" i="3"/>
  <c r="L2335" i="3"/>
  <c r="K2335" i="3"/>
  <c r="J2335" i="3"/>
  <c r="I2335" i="3"/>
  <c r="H2335" i="3"/>
  <c r="G2335" i="3"/>
  <c r="F2335" i="3"/>
  <c r="E2335" i="3"/>
  <c r="D2335" i="3"/>
  <c r="C2335" i="3"/>
  <c r="B2335" i="3"/>
  <c r="A2335" i="3"/>
  <c r="M2334" i="3"/>
  <c r="L2334" i="3"/>
  <c r="K2334" i="3"/>
  <c r="J2334" i="3"/>
  <c r="I2334" i="3"/>
  <c r="H2334" i="3"/>
  <c r="G2334" i="3"/>
  <c r="F2334" i="3"/>
  <c r="E2334" i="3"/>
  <c r="D2334" i="3"/>
  <c r="C2334" i="3"/>
  <c r="B2334" i="3"/>
  <c r="A2334" i="3"/>
  <c r="M2333" i="3"/>
  <c r="L2333" i="3"/>
  <c r="K2333" i="3"/>
  <c r="J2333" i="3"/>
  <c r="I2333" i="3"/>
  <c r="H2333" i="3"/>
  <c r="G2333" i="3"/>
  <c r="F2333" i="3"/>
  <c r="E2333" i="3"/>
  <c r="D2333" i="3"/>
  <c r="C2333" i="3"/>
  <c r="B2333" i="3"/>
  <c r="A2333" i="3"/>
  <c r="M2332" i="3"/>
  <c r="L2332" i="3"/>
  <c r="K2332" i="3"/>
  <c r="J2332" i="3"/>
  <c r="I2332" i="3"/>
  <c r="H2332" i="3"/>
  <c r="G2332" i="3"/>
  <c r="F2332" i="3"/>
  <c r="E2332" i="3"/>
  <c r="D2332" i="3"/>
  <c r="C2332" i="3"/>
  <c r="B2332" i="3"/>
  <c r="A2332" i="3"/>
  <c r="M2331" i="3"/>
  <c r="L2331" i="3"/>
  <c r="K2331" i="3"/>
  <c r="J2331" i="3"/>
  <c r="I2331" i="3"/>
  <c r="H2331" i="3"/>
  <c r="G2331" i="3"/>
  <c r="F2331" i="3"/>
  <c r="E2331" i="3"/>
  <c r="D2331" i="3"/>
  <c r="C2331" i="3"/>
  <c r="B2331" i="3"/>
  <c r="A2331" i="3"/>
  <c r="M2330" i="3"/>
  <c r="L2330" i="3"/>
  <c r="K2330" i="3"/>
  <c r="J2330" i="3"/>
  <c r="I2330" i="3"/>
  <c r="H2330" i="3"/>
  <c r="G2330" i="3"/>
  <c r="F2330" i="3"/>
  <c r="E2330" i="3"/>
  <c r="D2330" i="3"/>
  <c r="C2330" i="3"/>
  <c r="B2330" i="3"/>
  <c r="A2330" i="3"/>
  <c r="M2329" i="3"/>
  <c r="L2329" i="3"/>
  <c r="K2329" i="3"/>
  <c r="J2329" i="3"/>
  <c r="I2329" i="3"/>
  <c r="H2329" i="3"/>
  <c r="G2329" i="3"/>
  <c r="F2329" i="3"/>
  <c r="E2329" i="3"/>
  <c r="D2329" i="3"/>
  <c r="C2329" i="3"/>
  <c r="B2329" i="3"/>
  <c r="A2329" i="3"/>
  <c r="M2328" i="3"/>
  <c r="L2328" i="3"/>
  <c r="K2328" i="3"/>
  <c r="J2328" i="3"/>
  <c r="I2328" i="3"/>
  <c r="H2328" i="3"/>
  <c r="G2328" i="3"/>
  <c r="F2328" i="3"/>
  <c r="E2328" i="3"/>
  <c r="D2328" i="3"/>
  <c r="C2328" i="3"/>
  <c r="B2328" i="3"/>
  <c r="A2328" i="3"/>
  <c r="M2327" i="3"/>
  <c r="L2327" i="3"/>
  <c r="K2327" i="3"/>
  <c r="J2327" i="3"/>
  <c r="I2327" i="3"/>
  <c r="H2327" i="3"/>
  <c r="G2327" i="3"/>
  <c r="F2327" i="3"/>
  <c r="E2327" i="3"/>
  <c r="D2327" i="3"/>
  <c r="C2327" i="3"/>
  <c r="B2327" i="3"/>
  <c r="A2327" i="3"/>
  <c r="M2326" i="3"/>
  <c r="L2326" i="3"/>
  <c r="K2326" i="3"/>
  <c r="J2326" i="3"/>
  <c r="I2326" i="3"/>
  <c r="H2326" i="3"/>
  <c r="G2326" i="3"/>
  <c r="F2326" i="3"/>
  <c r="E2326" i="3"/>
  <c r="D2326" i="3"/>
  <c r="C2326" i="3"/>
  <c r="B2326" i="3"/>
  <c r="A2326" i="3"/>
  <c r="M2325" i="3"/>
  <c r="L2325" i="3"/>
  <c r="K2325" i="3"/>
  <c r="J2325" i="3"/>
  <c r="I2325" i="3"/>
  <c r="H2325" i="3"/>
  <c r="G2325" i="3"/>
  <c r="F2325" i="3"/>
  <c r="E2325" i="3"/>
  <c r="D2325" i="3"/>
  <c r="C2325" i="3"/>
  <c r="B2325" i="3"/>
  <c r="A2325" i="3"/>
  <c r="M2324" i="3"/>
  <c r="L2324" i="3"/>
  <c r="K2324" i="3"/>
  <c r="J2324" i="3"/>
  <c r="I2324" i="3"/>
  <c r="H2324" i="3"/>
  <c r="G2324" i="3"/>
  <c r="F2324" i="3"/>
  <c r="E2324" i="3"/>
  <c r="D2324" i="3"/>
  <c r="C2324" i="3"/>
  <c r="B2324" i="3"/>
  <c r="A2324" i="3"/>
  <c r="M2323" i="3"/>
  <c r="L2323" i="3"/>
  <c r="K2323" i="3"/>
  <c r="J2323" i="3"/>
  <c r="I2323" i="3"/>
  <c r="H2323" i="3"/>
  <c r="G2323" i="3"/>
  <c r="F2323" i="3"/>
  <c r="E2323" i="3"/>
  <c r="D2323" i="3"/>
  <c r="C2323" i="3"/>
  <c r="B2323" i="3"/>
  <c r="A2323" i="3"/>
  <c r="M2322" i="3"/>
  <c r="L2322" i="3"/>
  <c r="K2322" i="3"/>
  <c r="J2322" i="3"/>
  <c r="I2322" i="3"/>
  <c r="H2322" i="3"/>
  <c r="G2322" i="3"/>
  <c r="F2322" i="3"/>
  <c r="E2322" i="3"/>
  <c r="D2322" i="3"/>
  <c r="C2322" i="3"/>
  <c r="B2322" i="3"/>
  <c r="A2322" i="3"/>
  <c r="M2321" i="3"/>
  <c r="L2321" i="3"/>
  <c r="K2321" i="3"/>
  <c r="J2321" i="3"/>
  <c r="I2321" i="3"/>
  <c r="H2321" i="3"/>
  <c r="G2321" i="3"/>
  <c r="F2321" i="3"/>
  <c r="E2321" i="3"/>
  <c r="D2321" i="3"/>
  <c r="C2321" i="3"/>
  <c r="B2321" i="3"/>
  <c r="A2321" i="3"/>
  <c r="M2320" i="3"/>
  <c r="L2320" i="3"/>
  <c r="K2320" i="3"/>
  <c r="J2320" i="3"/>
  <c r="I2320" i="3"/>
  <c r="H2320" i="3"/>
  <c r="G2320" i="3"/>
  <c r="F2320" i="3"/>
  <c r="D2320" i="3"/>
  <c r="C2320" i="3"/>
  <c r="B2320" i="3"/>
  <c r="A2320" i="3"/>
  <c r="M2319" i="3"/>
  <c r="L2319" i="3"/>
  <c r="K2319" i="3"/>
  <c r="J2319" i="3"/>
  <c r="I2319" i="3"/>
  <c r="H2319" i="3"/>
  <c r="G2319" i="3"/>
  <c r="F2319" i="3"/>
  <c r="E2319" i="3"/>
  <c r="D2319" i="3"/>
  <c r="C2319" i="3"/>
  <c r="B2319" i="3"/>
  <c r="A2319" i="3"/>
  <c r="M2318" i="3"/>
  <c r="L2318" i="3"/>
  <c r="K2318" i="3"/>
  <c r="J2318" i="3"/>
  <c r="I2318" i="3"/>
  <c r="H2318" i="3"/>
  <c r="G2318" i="3"/>
  <c r="F2318" i="3"/>
  <c r="E2318" i="3"/>
  <c r="D2318" i="3"/>
  <c r="C2318" i="3"/>
  <c r="B2318" i="3"/>
  <c r="A2318" i="3"/>
  <c r="M2317" i="3"/>
  <c r="L2317" i="3"/>
  <c r="K2317" i="3"/>
  <c r="J2317" i="3"/>
  <c r="I2317" i="3"/>
  <c r="H2317" i="3"/>
  <c r="G2317" i="3"/>
  <c r="E2317" i="3"/>
  <c r="D2317" i="3"/>
  <c r="C2317" i="3"/>
  <c r="B2317" i="3"/>
  <c r="A2317" i="3"/>
  <c r="M2316" i="3"/>
  <c r="L2316" i="3"/>
  <c r="K2316" i="3"/>
  <c r="J2316" i="3"/>
  <c r="I2316" i="3"/>
  <c r="H2316" i="3"/>
  <c r="G2316" i="3"/>
  <c r="F2316" i="3"/>
  <c r="E2316" i="3"/>
  <c r="D2316" i="3"/>
  <c r="C2316" i="3"/>
  <c r="B2316" i="3"/>
  <c r="A2316" i="3"/>
  <c r="M2315" i="3"/>
  <c r="L2315" i="3"/>
  <c r="K2315" i="3"/>
  <c r="J2315" i="3"/>
  <c r="I2315" i="3"/>
  <c r="H2315" i="3"/>
  <c r="G2315" i="3"/>
  <c r="F2315" i="3"/>
  <c r="E2315" i="3"/>
  <c r="D2315" i="3"/>
  <c r="C2315" i="3"/>
  <c r="B2315" i="3"/>
  <c r="A2315" i="3"/>
  <c r="M2314" i="3"/>
  <c r="L2314" i="3"/>
  <c r="K2314" i="3"/>
  <c r="J2314" i="3"/>
  <c r="I2314" i="3"/>
  <c r="H2314" i="3"/>
  <c r="G2314" i="3"/>
  <c r="F2314" i="3"/>
  <c r="E2314" i="3"/>
  <c r="D2314" i="3"/>
  <c r="C2314" i="3"/>
  <c r="B2314" i="3"/>
  <c r="A2314" i="3"/>
  <c r="M2313" i="3"/>
  <c r="L2313" i="3"/>
  <c r="K2313" i="3"/>
  <c r="J2313" i="3"/>
  <c r="I2313" i="3"/>
  <c r="H2313" i="3"/>
  <c r="G2313" i="3"/>
  <c r="F2313" i="3"/>
  <c r="E2313" i="3"/>
  <c r="D2313" i="3"/>
  <c r="C2313" i="3"/>
  <c r="B2313" i="3"/>
  <c r="A2313" i="3"/>
  <c r="M2312" i="3"/>
  <c r="L2312" i="3"/>
  <c r="K2312" i="3"/>
  <c r="J2312" i="3"/>
  <c r="I2312" i="3"/>
  <c r="H2312" i="3"/>
  <c r="G2312" i="3"/>
  <c r="F2312" i="3"/>
  <c r="E2312" i="3"/>
  <c r="D2312" i="3"/>
  <c r="C2312" i="3"/>
  <c r="B2312" i="3"/>
  <c r="A2312" i="3"/>
  <c r="M2311" i="3"/>
  <c r="L2311" i="3"/>
  <c r="K2311" i="3"/>
  <c r="J2311" i="3"/>
  <c r="I2311" i="3"/>
  <c r="H2311" i="3"/>
  <c r="G2311" i="3"/>
  <c r="F2311" i="3"/>
  <c r="E2311" i="3"/>
  <c r="D2311" i="3"/>
  <c r="C2311" i="3"/>
  <c r="B2311" i="3"/>
  <c r="A2311" i="3"/>
  <c r="M2310" i="3"/>
  <c r="L2310" i="3"/>
  <c r="K2310" i="3"/>
  <c r="J2310" i="3"/>
  <c r="I2310" i="3"/>
  <c r="H2310" i="3"/>
  <c r="G2310" i="3"/>
  <c r="F2310" i="3"/>
  <c r="E2310" i="3"/>
  <c r="D2310" i="3"/>
  <c r="C2310" i="3"/>
  <c r="B2310" i="3"/>
  <c r="A2310" i="3"/>
  <c r="M2309" i="3"/>
  <c r="L2309" i="3"/>
  <c r="K2309" i="3"/>
  <c r="J2309" i="3"/>
  <c r="I2309" i="3"/>
  <c r="H2309" i="3"/>
  <c r="G2309" i="3"/>
  <c r="F2309" i="3"/>
  <c r="E2309" i="3"/>
  <c r="D2309" i="3"/>
  <c r="C2309" i="3"/>
  <c r="B2309" i="3"/>
  <c r="A2309" i="3"/>
  <c r="M2308" i="3"/>
  <c r="L2308" i="3"/>
  <c r="K2308" i="3"/>
  <c r="J2308" i="3"/>
  <c r="I2308" i="3"/>
  <c r="H2308" i="3"/>
  <c r="G2308" i="3"/>
  <c r="F2308" i="3"/>
  <c r="E2308" i="3"/>
  <c r="D2308" i="3"/>
  <c r="C2308" i="3"/>
  <c r="B2308" i="3"/>
  <c r="A2308" i="3"/>
  <c r="M2307" i="3"/>
  <c r="L2307" i="3"/>
  <c r="K2307" i="3"/>
  <c r="J2307" i="3"/>
  <c r="I2307" i="3"/>
  <c r="H2307" i="3"/>
  <c r="G2307" i="3"/>
  <c r="F2307" i="3"/>
  <c r="E2307" i="3"/>
  <c r="D2307" i="3"/>
  <c r="C2307" i="3"/>
  <c r="B2307" i="3"/>
  <c r="A2307" i="3"/>
  <c r="M2306" i="3"/>
  <c r="L2306" i="3"/>
  <c r="K2306" i="3"/>
  <c r="J2306" i="3"/>
  <c r="I2306" i="3"/>
  <c r="H2306" i="3"/>
  <c r="G2306" i="3"/>
  <c r="F2306" i="3"/>
  <c r="E2306" i="3"/>
  <c r="D2306" i="3"/>
  <c r="C2306" i="3"/>
  <c r="B2306" i="3"/>
  <c r="A2306" i="3"/>
  <c r="M2305" i="3"/>
  <c r="L2305" i="3"/>
  <c r="K2305" i="3"/>
  <c r="J2305" i="3"/>
  <c r="I2305" i="3"/>
  <c r="H2305" i="3"/>
  <c r="G2305" i="3"/>
  <c r="F2305" i="3"/>
  <c r="E2305" i="3"/>
  <c r="D2305" i="3"/>
  <c r="C2305" i="3"/>
  <c r="B2305" i="3"/>
  <c r="A2305" i="3"/>
  <c r="M2304" i="3"/>
  <c r="L2304" i="3"/>
  <c r="K2304" i="3"/>
  <c r="J2304" i="3"/>
  <c r="I2304" i="3"/>
  <c r="H2304" i="3"/>
  <c r="G2304" i="3"/>
  <c r="F2304" i="3"/>
  <c r="E2304" i="3"/>
  <c r="D2304" i="3"/>
  <c r="C2304" i="3"/>
  <c r="B2304" i="3"/>
  <c r="A2304" i="3"/>
  <c r="M2303" i="3"/>
  <c r="L2303" i="3"/>
  <c r="K2303" i="3"/>
  <c r="J2303" i="3"/>
  <c r="I2303" i="3"/>
  <c r="H2303" i="3"/>
  <c r="G2303" i="3"/>
  <c r="F2303" i="3"/>
  <c r="E2303" i="3"/>
  <c r="D2303" i="3"/>
  <c r="C2303" i="3"/>
  <c r="B2303" i="3"/>
  <c r="A2303" i="3"/>
  <c r="M2302" i="3"/>
  <c r="L2302" i="3"/>
  <c r="K2302" i="3"/>
  <c r="J2302" i="3"/>
  <c r="I2302" i="3"/>
  <c r="H2302" i="3"/>
  <c r="G2302" i="3"/>
  <c r="F2302" i="3"/>
  <c r="E2302" i="3"/>
  <c r="D2302" i="3"/>
  <c r="C2302" i="3"/>
  <c r="B2302" i="3"/>
  <c r="A2302" i="3"/>
  <c r="M2301" i="3"/>
  <c r="L2301" i="3"/>
  <c r="K2301" i="3"/>
  <c r="J2301" i="3"/>
  <c r="I2301" i="3"/>
  <c r="H2301" i="3"/>
  <c r="G2301" i="3"/>
  <c r="F2301" i="3"/>
  <c r="E2301" i="3"/>
  <c r="D2301" i="3"/>
  <c r="C2301" i="3"/>
  <c r="B2301" i="3"/>
  <c r="A2301" i="3"/>
  <c r="M2300" i="3"/>
  <c r="L2300" i="3"/>
  <c r="K2300" i="3"/>
  <c r="J2300" i="3"/>
  <c r="I2300" i="3"/>
  <c r="H2300" i="3"/>
  <c r="G2300" i="3"/>
  <c r="F2300" i="3"/>
  <c r="E2300" i="3"/>
  <c r="D2300" i="3"/>
  <c r="C2300" i="3"/>
  <c r="B2300" i="3"/>
  <c r="A2300" i="3"/>
  <c r="M2299" i="3"/>
  <c r="L2299" i="3"/>
  <c r="K2299" i="3"/>
  <c r="J2299" i="3"/>
  <c r="I2299" i="3"/>
  <c r="H2299" i="3"/>
  <c r="G2299" i="3"/>
  <c r="F2299" i="3"/>
  <c r="E2299" i="3"/>
  <c r="D2299" i="3"/>
  <c r="C2299" i="3"/>
  <c r="B2299" i="3"/>
  <c r="A2299" i="3"/>
  <c r="M2298" i="3"/>
  <c r="L2298" i="3"/>
  <c r="K2298" i="3"/>
  <c r="J2298" i="3"/>
  <c r="I2298" i="3"/>
  <c r="H2298" i="3"/>
  <c r="G2298" i="3"/>
  <c r="F2298" i="3"/>
  <c r="E2298" i="3"/>
  <c r="D2298" i="3"/>
  <c r="C2298" i="3"/>
  <c r="B2298" i="3"/>
  <c r="A2298" i="3"/>
  <c r="M2297" i="3"/>
  <c r="L2297" i="3"/>
  <c r="K2297" i="3"/>
  <c r="J2297" i="3"/>
  <c r="I2297" i="3"/>
  <c r="H2297" i="3"/>
  <c r="G2297" i="3"/>
  <c r="F2297" i="3"/>
  <c r="E2297" i="3"/>
  <c r="D2297" i="3"/>
  <c r="C2297" i="3"/>
  <c r="B2297" i="3"/>
  <c r="A2297" i="3"/>
  <c r="M2296" i="3"/>
  <c r="L2296" i="3"/>
  <c r="K2296" i="3"/>
  <c r="J2296" i="3"/>
  <c r="I2296" i="3"/>
  <c r="H2296" i="3"/>
  <c r="G2296" i="3"/>
  <c r="F2296" i="3"/>
  <c r="E2296" i="3"/>
  <c r="D2296" i="3"/>
  <c r="C2296" i="3"/>
  <c r="B2296" i="3"/>
  <c r="A2296" i="3"/>
  <c r="M2295" i="3"/>
  <c r="L2295" i="3"/>
  <c r="K2295" i="3"/>
  <c r="J2295" i="3"/>
  <c r="I2295" i="3"/>
  <c r="H2295" i="3"/>
  <c r="G2295" i="3"/>
  <c r="F2295" i="3"/>
  <c r="E2295" i="3"/>
  <c r="D2295" i="3"/>
  <c r="C2295" i="3"/>
  <c r="B2295" i="3"/>
  <c r="A2295" i="3"/>
  <c r="M2294" i="3"/>
  <c r="L2294" i="3"/>
  <c r="K2294" i="3"/>
  <c r="J2294" i="3"/>
  <c r="I2294" i="3"/>
  <c r="H2294" i="3"/>
  <c r="G2294" i="3"/>
  <c r="F2294" i="3"/>
  <c r="E2294" i="3"/>
  <c r="D2294" i="3"/>
  <c r="C2294" i="3"/>
  <c r="B2294" i="3"/>
  <c r="A2294" i="3"/>
  <c r="M2293" i="3"/>
  <c r="L2293" i="3"/>
  <c r="K2293" i="3"/>
  <c r="J2293" i="3"/>
  <c r="I2293" i="3"/>
  <c r="H2293" i="3"/>
  <c r="G2293" i="3"/>
  <c r="F2293" i="3"/>
  <c r="E2293" i="3"/>
  <c r="D2293" i="3"/>
  <c r="C2293" i="3"/>
  <c r="B2293" i="3"/>
  <c r="A2293" i="3"/>
  <c r="M2292" i="3"/>
  <c r="L2292" i="3"/>
  <c r="K2292" i="3"/>
  <c r="J2292" i="3"/>
  <c r="I2292" i="3"/>
  <c r="H2292" i="3"/>
  <c r="G2292" i="3"/>
  <c r="F2292" i="3"/>
  <c r="E2292" i="3"/>
  <c r="D2292" i="3"/>
  <c r="C2292" i="3"/>
  <c r="B2292" i="3"/>
  <c r="A2292" i="3"/>
  <c r="M2291" i="3"/>
  <c r="L2291" i="3"/>
  <c r="K2291" i="3"/>
  <c r="J2291" i="3"/>
  <c r="I2291" i="3"/>
  <c r="H2291" i="3"/>
  <c r="G2291" i="3"/>
  <c r="F2291" i="3"/>
  <c r="E2291" i="3"/>
  <c r="D2291" i="3"/>
  <c r="C2291" i="3"/>
  <c r="B2291" i="3"/>
  <c r="A2291" i="3"/>
  <c r="M2290" i="3"/>
  <c r="L2290" i="3"/>
  <c r="K2290" i="3"/>
  <c r="J2290" i="3"/>
  <c r="I2290" i="3"/>
  <c r="H2290" i="3"/>
  <c r="G2290" i="3"/>
  <c r="F2290" i="3"/>
  <c r="E2290" i="3"/>
  <c r="D2290" i="3"/>
  <c r="C2290" i="3"/>
  <c r="B2290" i="3"/>
  <c r="A2290" i="3"/>
  <c r="M2289" i="3"/>
  <c r="L2289" i="3"/>
  <c r="K2289" i="3"/>
  <c r="J2289" i="3"/>
  <c r="I2289" i="3"/>
  <c r="H2289" i="3"/>
  <c r="G2289" i="3"/>
  <c r="F2289" i="3"/>
  <c r="E2289" i="3"/>
  <c r="D2289" i="3"/>
  <c r="C2289" i="3"/>
  <c r="B2289" i="3"/>
  <c r="A2289" i="3"/>
  <c r="M2288" i="3"/>
  <c r="L2288" i="3"/>
  <c r="K2288" i="3"/>
  <c r="J2288" i="3"/>
  <c r="I2288" i="3"/>
  <c r="H2288" i="3"/>
  <c r="G2288" i="3"/>
  <c r="F2288" i="3"/>
  <c r="E2288" i="3"/>
  <c r="D2288" i="3"/>
  <c r="C2288" i="3"/>
  <c r="B2288" i="3"/>
  <c r="A2288" i="3"/>
  <c r="M2287" i="3"/>
  <c r="L2287" i="3"/>
  <c r="K2287" i="3"/>
  <c r="J2287" i="3"/>
  <c r="I2287" i="3"/>
  <c r="H2287" i="3"/>
  <c r="G2287" i="3"/>
  <c r="F2287" i="3"/>
  <c r="E2287" i="3"/>
  <c r="D2287" i="3"/>
  <c r="C2287" i="3"/>
  <c r="B2287" i="3"/>
  <c r="A2287" i="3"/>
  <c r="M2286" i="3"/>
  <c r="L2286" i="3"/>
  <c r="K2286" i="3"/>
  <c r="J2286" i="3"/>
  <c r="I2286" i="3"/>
  <c r="H2286" i="3"/>
  <c r="G2286" i="3"/>
  <c r="F2286" i="3"/>
  <c r="E2286" i="3"/>
  <c r="D2286" i="3"/>
  <c r="C2286" i="3"/>
  <c r="B2286" i="3"/>
  <c r="A2286" i="3"/>
  <c r="M2285" i="3"/>
  <c r="L2285" i="3"/>
  <c r="K2285" i="3"/>
  <c r="J2285" i="3"/>
  <c r="I2285" i="3"/>
  <c r="H2285" i="3"/>
  <c r="G2285" i="3"/>
  <c r="F2285" i="3"/>
  <c r="E2285" i="3"/>
  <c r="D2285" i="3"/>
  <c r="C2285" i="3"/>
  <c r="B2285" i="3"/>
  <c r="A2285" i="3"/>
  <c r="M2284" i="3"/>
  <c r="L2284" i="3"/>
  <c r="K2284" i="3"/>
  <c r="J2284" i="3"/>
  <c r="I2284" i="3"/>
  <c r="H2284" i="3"/>
  <c r="G2284" i="3"/>
  <c r="F2284" i="3"/>
  <c r="E2284" i="3"/>
  <c r="D2284" i="3"/>
  <c r="C2284" i="3"/>
  <c r="B2284" i="3"/>
  <c r="A2284" i="3"/>
  <c r="M2283" i="3"/>
  <c r="L2283" i="3"/>
  <c r="K2283" i="3"/>
  <c r="J2283" i="3"/>
  <c r="I2283" i="3"/>
  <c r="H2283" i="3"/>
  <c r="G2283" i="3"/>
  <c r="F2283" i="3"/>
  <c r="E2283" i="3"/>
  <c r="D2283" i="3"/>
  <c r="C2283" i="3"/>
  <c r="B2283" i="3"/>
  <c r="A2283" i="3"/>
  <c r="M2282" i="3"/>
  <c r="L2282" i="3"/>
  <c r="K2282" i="3"/>
  <c r="J2282" i="3"/>
  <c r="I2282" i="3"/>
  <c r="H2282" i="3"/>
  <c r="G2282" i="3"/>
  <c r="F2282" i="3"/>
  <c r="E2282" i="3"/>
  <c r="D2282" i="3"/>
  <c r="C2282" i="3"/>
  <c r="B2282" i="3"/>
  <c r="A2282" i="3"/>
  <c r="M2281" i="3"/>
  <c r="L2281" i="3"/>
  <c r="K2281" i="3"/>
  <c r="J2281" i="3"/>
  <c r="I2281" i="3"/>
  <c r="H2281" i="3"/>
  <c r="G2281" i="3"/>
  <c r="F2281" i="3"/>
  <c r="E2281" i="3"/>
  <c r="D2281" i="3"/>
  <c r="C2281" i="3"/>
  <c r="B2281" i="3"/>
  <c r="A2281" i="3"/>
  <c r="M2280" i="3"/>
  <c r="L2280" i="3"/>
  <c r="K2280" i="3"/>
  <c r="J2280" i="3"/>
  <c r="I2280" i="3"/>
  <c r="H2280" i="3"/>
  <c r="G2280" i="3"/>
  <c r="F2280" i="3"/>
  <c r="E2280" i="3"/>
  <c r="D2280" i="3"/>
  <c r="C2280" i="3"/>
  <c r="B2280" i="3"/>
  <c r="A2280" i="3"/>
  <c r="M2279" i="3"/>
  <c r="L2279" i="3"/>
  <c r="K2279" i="3"/>
  <c r="J2279" i="3"/>
  <c r="I2279" i="3"/>
  <c r="H2279" i="3"/>
  <c r="G2279" i="3"/>
  <c r="F2279" i="3"/>
  <c r="E2279" i="3"/>
  <c r="D2279" i="3"/>
  <c r="C2279" i="3"/>
  <c r="B2279" i="3"/>
  <c r="A2279" i="3"/>
  <c r="M2278" i="3"/>
  <c r="L2278" i="3"/>
  <c r="K2278" i="3"/>
  <c r="J2278" i="3"/>
  <c r="I2278" i="3"/>
  <c r="H2278" i="3"/>
  <c r="G2278" i="3"/>
  <c r="F2278" i="3"/>
  <c r="E2278" i="3"/>
  <c r="D2278" i="3"/>
  <c r="C2278" i="3"/>
  <c r="B2278" i="3"/>
  <c r="A2278" i="3"/>
  <c r="M2277" i="3"/>
  <c r="L2277" i="3"/>
  <c r="K2277" i="3"/>
  <c r="J2277" i="3"/>
  <c r="I2277" i="3"/>
  <c r="H2277" i="3"/>
  <c r="G2277" i="3"/>
  <c r="F2277" i="3"/>
  <c r="E2277" i="3"/>
  <c r="D2277" i="3"/>
  <c r="C2277" i="3"/>
  <c r="B2277" i="3"/>
  <c r="A2277" i="3"/>
  <c r="M2276" i="3"/>
  <c r="L2276" i="3"/>
  <c r="K2276" i="3"/>
  <c r="J2276" i="3"/>
  <c r="I2276" i="3"/>
  <c r="H2276" i="3"/>
  <c r="G2276" i="3"/>
  <c r="F2276" i="3"/>
  <c r="E2276" i="3"/>
  <c r="D2276" i="3"/>
  <c r="C2276" i="3"/>
  <c r="B2276" i="3"/>
  <c r="A2276" i="3"/>
  <c r="M2275" i="3"/>
  <c r="L2275" i="3"/>
  <c r="K2275" i="3"/>
  <c r="J2275" i="3"/>
  <c r="I2275" i="3"/>
  <c r="H2275" i="3"/>
  <c r="G2275" i="3"/>
  <c r="F2275" i="3"/>
  <c r="E2275" i="3"/>
  <c r="D2275" i="3"/>
  <c r="C2275" i="3"/>
  <c r="B2275" i="3"/>
  <c r="A2275" i="3"/>
  <c r="M2274" i="3"/>
  <c r="L2274" i="3"/>
  <c r="K2274" i="3"/>
  <c r="J2274" i="3"/>
  <c r="I2274" i="3"/>
  <c r="H2274" i="3"/>
  <c r="G2274" i="3"/>
  <c r="F2274" i="3"/>
  <c r="E2274" i="3"/>
  <c r="D2274" i="3"/>
  <c r="C2274" i="3"/>
  <c r="B2274" i="3"/>
  <c r="A2274" i="3"/>
  <c r="M2273" i="3"/>
  <c r="L2273" i="3"/>
  <c r="K2273" i="3"/>
  <c r="J2273" i="3"/>
  <c r="I2273" i="3"/>
  <c r="H2273" i="3"/>
  <c r="G2273" i="3"/>
  <c r="F2273" i="3"/>
  <c r="E2273" i="3"/>
  <c r="D2273" i="3"/>
  <c r="C2273" i="3"/>
  <c r="B2273" i="3"/>
  <c r="A2273" i="3"/>
  <c r="M2272" i="3"/>
  <c r="L2272" i="3"/>
  <c r="K2272" i="3"/>
  <c r="J2272" i="3"/>
  <c r="I2272" i="3"/>
  <c r="H2272" i="3"/>
  <c r="G2272" i="3"/>
  <c r="F2272" i="3"/>
  <c r="E2272" i="3"/>
  <c r="D2272" i="3"/>
  <c r="C2272" i="3"/>
  <c r="B2272" i="3"/>
  <c r="A2272" i="3"/>
  <c r="M2271" i="3"/>
  <c r="L2271" i="3"/>
  <c r="K2271" i="3"/>
  <c r="J2271" i="3"/>
  <c r="I2271" i="3"/>
  <c r="H2271" i="3"/>
  <c r="G2271" i="3"/>
  <c r="F2271" i="3"/>
  <c r="E2271" i="3"/>
  <c r="D2271" i="3"/>
  <c r="C2271" i="3"/>
  <c r="B2271" i="3"/>
  <c r="A2271" i="3"/>
  <c r="M2270" i="3"/>
  <c r="L2270" i="3"/>
  <c r="K2270" i="3"/>
  <c r="J2270" i="3"/>
  <c r="I2270" i="3"/>
  <c r="H2270" i="3"/>
  <c r="G2270" i="3"/>
  <c r="F2270" i="3"/>
  <c r="E2270" i="3"/>
  <c r="D2270" i="3"/>
  <c r="C2270" i="3"/>
  <c r="B2270" i="3"/>
  <c r="A2270" i="3"/>
  <c r="M2269" i="3"/>
  <c r="L2269" i="3"/>
  <c r="K2269" i="3"/>
  <c r="J2269" i="3"/>
  <c r="I2269" i="3"/>
  <c r="H2269" i="3"/>
  <c r="G2269" i="3"/>
  <c r="F2269" i="3"/>
  <c r="E2269" i="3"/>
  <c r="D2269" i="3"/>
  <c r="C2269" i="3"/>
  <c r="B2269" i="3"/>
  <c r="A2269" i="3"/>
  <c r="M2268" i="3"/>
  <c r="L2268" i="3"/>
  <c r="K2268" i="3"/>
  <c r="J2268" i="3"/>
  <c r="I2268" i="3"/>
  <c r="H2268" i="3"/>
  <c r="G2268" i="3"/>
  <c r="F2268" i="3"/>
  <c r="E2268" i="3"/>
  <c r="D2268" i="3"/>
  <c r="C2268" i="3"/>
  <c r="B2268" i="3"/>
  <c r="A2268" i="3"/>
  <c r="M2267" i="3"/>
  <c r="L2267" i="3"/>
  <c r="K2267" i="3"/>
  <c r="J2267" i="3"/>
  <c r="I2267" i="3"/>
  <c r="H2267" i="3"/>
  <c r="G2267" i="3"/>
  <c r="F2267" i="3"/>
  <c r="E2267" i="3"/>
  <c r="D2267" i="3"/>
  <c r="C2267" i="3"/>
  <c r="B2267" i="3"/>
  <c r="A2267" i="3"/>
  <c r="M2266" i="3"/>
  <c r="L2266" i="3"/>
  <c r="K2266" i="3"/>
  <c r="J2266" i="3"/>
  <c r="I2266" i="3"/>
  <c r="H2266" i="3"/>
  <c r="G2266" i="3"/>
  <c r="F2266" i="3"/>
  <c r="E2266" i="3"/>
  <c r="D2266" i="3"/>
  <c r="C2266" i="3"/>
  <c r="B2266" i="3"/>
  <c r="A2266" i="3"/>
  <c r="M2265" i="3"/>
  <c r="L2265" i="3"/>
  <c r="K2265" i="3"/>
  <c r="J2265" i="3"/>
  <c r="I2265" i="3"/>
  <c r="H2265" i="3"/>
  <c r="G2265" i="3"/>
  <c r="F2265" i="3"/>
  <c r="E2265" i="3"/>
  <c r="D2265" i="3"/>
  <c r="C2265" i="3"/>
  <c r="B2265" i="3"/>
  <c r="A2265" i="3"/>
  <c r="M2264" i="3"/>
  <c r="L2264" i="3"/>
  <c r="K2264" i="3"/>
  <c r="J2264" i="3"/>
  <c r="I2264" i="3"/>
  <c r="H2264" i="3"/>
  <c r="G2264" i="3"/>
  <c r="F2264" i="3"/>
  <c r="E2264" i="3"/>
  <c r="D2264" i="3"/>
  <c r="C2264" i="3"/>
  <c r="B2264" i="3"/>
  <c r="A2264" i="3"/>
  <c r="M2263" i="3"/>
  <c r="L2263" i="3"/>
  <c r="K2263" i="3"/>
  <c r="J2263" i="3"/>
  <c r="I2263" i="3"/>
  <c r="H2263" i="3"/>
  <c r="G2263" i="3"/>
  <c r="F2263" i="3"/>
  <c r="E2263" i="3"/>
  <c r="D2263" i="3"/>
  <c r="C2263" i="3"/>
  <c r="B2263" i="3"/>
  <c r="A2263" i="3"/>
  <c r="M2262" i="3"/>
  <c r="L2262" i="3"/>
  <c r="K2262" i="3"/>
  <c r="J2262" i="3"/>
  <c r="I2262" i="3"/>
  <c r="H2262" i="3"/>
  <c r="G2262" i="3"/>
  <c r="F2262" i="3"/>
  <c r="D2262" i="3"/>
  <c r="C2262" i="3"/>
  <c r="B2262" i="3"/>
  <c r="A2262" i="3"/>
  <c r="M2261" i="3"/>
  <c r="L2261" i="3"/>
  <c r="K2261" i="3"/>
  <c r="J2261" i="3"/>
  <c r="I2261" i="3"/>
  <c r="H2261" i="3"/>
  <c r="G2261" i="3"/>
  <c r="F2261" i="3"/>
  <c r="E2261" i="3"/>
  <c r="D2261" i="3"/>
  <c r="C2261" i="3"/>
  <c r="B2261" i="3"/>
  <c r="A2261" i="3"/>
  <c r="M2260" i="3"/>
  <c r="L2260" i="3"/>
  <c r="K2260" i="3"/>
  <c r="J2260" i="3"/>
  <c r="I2260" i="3"/>
  <c r="H2260" i="3"/>
  <c r="G2260" i="3"/>
  <c r="F2260" i="3"/>
  <c r="E2260" i="3"/>
  <c r="D2260" i="3"/>
  <c r="C2260" i="3"/>
  <c r="B2260" i="3"/>
  <c r="A2260" i="3"/>
  <c r="M2259" i="3"/>
  <c r="L2259" i="3"/>
  <c r="K2259" i="3"/>
  <c r="J2259" i="3"/>
  <c r="I2259" i="3"/>
  <c r="H2259" i="3"/>
  <c r="G2259" i="3"/>
  <c r="F2259" i="3"/>
  <c r="E2259" i="3"/>
  <c r="D2259" i="3"/>
  <c r="C2259" i="3"/>
  <c r="B2259" i="3"/>
  <c r="A2259" i="3"/>
  <c r="M2258" i="3"/>
  <c r="L2258" i="3"/>
  <c r="K2258" i="3"/>
  <c r="J2258" i="3"/>
  <c r="I2258" i="3"/>
  <c r="H2258" i="3"/>
  <c r="G2258" i="3"/>
  <c r="F2258" i="3"/>
  <c r="E2258" i="3"/>
  <c r="D2258" i="3"/>
  <c r="C2258" i="3"/>
  <c r="B2258" i="3"/>
  <c r="A2258" i="3"/>
  <c r="M2257" i="3"/>
  <c r="L2257" i="3"/>
  <c r="K2257" i="3"/>
  <c r="J2257" i="3"/>
  <c r="I2257" i="3"/>
  <c r="H2257" i="3"/>
  <c r="G2257" i="3"/>
  <c r="F2257" i="3"/>
  <c r="E2257" i="3"/>
  <c r="D2257" i="3"/>
  <c r="C2257" i="3"/>
  <c r="B2257" i="3"/>
  <c r="A2257" i="3"/>
  <c r="M2256" i="3"/>
  <c r="L2256" i="3"/>
  <c r="K2256" i="3"/>
  <c r="J2256" i="3"/>
  <c r="I2256" i="3"/>
  <c r="H2256" i="3"/>
  <c r="G2256" i="3"/>
  <c r="F2256" i="3"/>
  <c r="E2256" i="3"/>
  <c r="D2256" i="3"/>
  <c r="C2256" i="3"/>
  <c r="B2256" i="3"/>
  <c r="A2256" i="3"/>
  <c r="M2255" i="3"/>
  <c r="L2255" i="3"/>
  <c r="K2255" i="3"/>
  <c r="J2255" i="3"/>
  <c r="I2255" i="3"/>
  <c r="H2255" i="3"/>
  <c r="G2255" i="3"/>
  <c r="F2255" i="3"/>
  <c r="E2255" i="3"/>
  <c r="D2255" i="3"/>
  <c r="C2255" i="3"/>
  <c r="B2255" i="3"/>
  <c r="A2255" i="3"/>
  <c r="M2254" i="3"/>
  <c r="L2254" i="3"/>
  <c r="K2254" i="3"/>
  <c r="J2254" i="3"/>
  <c r="I2254" i="3"/>
  <c r="H2254" i="3"/>
  <c r="G2254" i="3"/>
  <c r="F2254" i="3"/>
  <c r="E2254" i="3"/>
  <c r="D2254" i="3"/>
  <c r="C2254" i="3"/>
  <c r="B2254" i="3"/>
  <c r="A2254" i="3"/>
  <c r="M2253" i="3"/>
  <c r="L2253" i="3"/>
  <c r="K2253" i="3"/>
  <c r="J2253" i="3"/>
  <c r="I2253" i="3"/>
  <c r="H2253" i="3"/>
  <c r="G2253" i="3"/>
  <c r="F2253" i="3"/>
  <c r="E2253" i="3"/>
  <c r="D2253" i="3"/>
  <c r="C2253" i="3"/>
  <c r="B2253" i="3"/>
  <c r="A2253" i="3"/>
  <c r="M2252" i="3"/>
  <c r="L2252" i="3"/>
  <c r="K2252" i="3"/>
  <c r="J2252" i="3"/>
  <c r="I2252" i="3"/>
  <c r="H2252" i="3"/>
  <c r="G2252" i="3"/>
  <c r="F2252" i="3"/>
  <c r="E2252" i="3"/>
  <c r="D2252" i="3"/>
  <c r="C2252" i="3"/>
  <c r="B2252" i="3"/>
  <c r="A2252" i="3"/>
  <c r="M2251" i="3"/>
  <c r="L2251" i="3"/>
  <c r="K2251" i="3"/>
  <c r="J2251" i="3"/>
  <c r="I2251" i="3"/>
  <c r="H2251" i="3"/>
  <c r="G2251" i="3"/>
  <c r="F2251" i="3"/>
  <c r="E2251" i="3"/>
  <c r="D2251" i="3"/>
  <c r="C2251" i="3"/>
  <c r="B2251" i="3"/>
  <c r="A2251" i="3"/>
  <c r="M2250" i="3"/>
  <c r="L2250" i="3"/>
  <c r="K2250" i="3"/>
  <c r="J2250" i="3"/>
  <c r="I2250" i="3"/>
  <c r="H2250" i="3"/>
  <c r="G2250" i="3"/>
  <c r="F2250" i="3"/>
  <c r="E2250" i="3"/>
  <c r="D2250" i="3"/>
  <c r="C2250" i="3"/>
  <c r="B2250" i="3"/>
  <c r="A2250" i="3"/>
  <c r="M2249" i="3"/>
  <c r="L2249" i="3"/>
  <c r="K2249" i="3"/>
  <c r="J2249" i="3"/>
  <c r="I2249" i="3"/>
  <c r="H2249" i="3"/>
  <c r="G2249" i="3"/>
  <c r="F2249" i="3"/>
  <c r="E2249" i="3"/>
  <c r="D2249" i="3"/>
  <c r="C2249" i="3"/>
  <c r="B2249" i="3"/>
  <c r="A2249" i="3"/>
  <c r="M2248" i="3"/>
  <c r="L2248" i="3"/>
  <c r="K2248" i="3"/>
  <c r="J2248" i="3"/>
  <c r="I2248" i="3"/>
  <c r="H2248" i="3"/>
  <c r="G2248" i="3"/>
  <c r="F2248" i="3"/>
  <c r="E2248" i="3"/>
  <c r="D2248" i="3"/>
  <c r="C2248" i="3"/>
  <c r="B2248" i="3"/>
  <c r="A2248" i="3"/>
  <c r="M2247" i="3"/>
  <c r="L2247" i="3"/>
  <c r="K2247" i="3"/>
  <c r="J2247" i="3"/>
  <c r="I2247" i="3"/>
  <c r="H2247" i="3"/>
  <c r="G2247" i="3"/>
  <c r="F2247" i="3"/>
  <c r="E2247" i="3"/>
  <c r="D2247" i="3"/>
  <c r="C2247" i="3"/>
  <c r="B2247" i="3"/>
  <c r="A2247" i="3"/>
  <c r="M2246" i="3"/>
  <c r="L2246" i="3"/>
  <c r="K2246" i="3"/>
  <c r="J2246" i="3"/>
  <c r="I2246" i="3"/>
  <c r="H2246" i="3"/>
  <c r="G2246" i="3"/>
  <c r="F2246" i="3"/>
  <c r="E2246" i="3"/>
  <c r="D2246" i="3"/>
  <c r="C2246" i="3"/>
  <c r="B2246" i="3"/>
  <c r="A2246" i="3"/>
  <c r="M2245" i="3"/>
  <c r="L2245" i="3"/>
  <c r="K2245" i="3"/>
  <c r="J2245" i="3"/>
  <c r="I2245" i="3"/>
  <c r="H2245" i="3"/>
  <c r="G2245" i="3"/>
  <c r="F2245" i="3"/>
  <c r="E2245" i="3"/>
  <c r="D2245" i="3"/>
  <c r="C2245" i="3"/>
  <c r="B2245" i="3"/>
  <c r="A2245" i="3"/>
  <c r="M2244" i="3"/>
  <c r="L2244" i="3"/>
  <c r="K2244" i="3"/>
  <c r="J2244" i="3"/>
  <c r="I2244" i="3"/>
  <c r="H2244" i="3"/>
  <c r="G2244" i="3"/>
  <c r="F2244" i="3"/>
  <c r="E2244" i="3"/>
  <c r="D2244" i="3"/>
  <c r="C2244" i="3"/>
  <c r="B2244" i="3"/>
  <c r="A2244" i="3"/>
  <c r="M2243" i="3"/>
  <c r="L2243" i="3"/>
  <c r="K2243" i="3"/>
  <c r="J2243" i="3"/>
  <c r="I2243" i="3"/>
  <c r="H2243" i="3"/>
  <c r="G2243" i="3"/>
  <c r="F2243" i="3"/>
  <c r="E2243" i="3"/>
  <c r="D2243" i="3"/>
  <c r="C2243" i="3"/>
  <c r="B2243" i="3"/>
  <c r="A2243" i="3"/>
  <c r="M2242" i="3"/>
  <c r="L2242" i="3"/>
  <c r="K2242" i="3"/>
  <c r="J2242" i="3"/>
  <c r="I2242" i="3"/>
  <c r="H2242" i="3"/>
  <c r="G2242" i="3"/>
  <c r="F2242" i="3"/>
  <c r="E2242" i="3"/>
  <c r="D2242" i="3"/>
  <c r="C2242" i="3"/>
  <c r="B2242" i="3"/>
  <c r="A2242" i="3"/>
  <c r="M2241" i="3"/>
  <c r="L2241" i="3"/>
  <c r="K2241" i="3"/>
  <c r="J2241" i="3"/>
  <c r="I2241" i="3"/>
  <c r="H2241" i="3"/>
  <c r="G2241" i="3"/>
  <c r="F2241" i="3"/>
  <c r="E2241" i="3"/>
  <c r="D2241" i="3"/>
  <c r="C2241" i="3"/>
  <c r="B2241" i="3"/>
  <c r="A2241" i="3"/>
  <c r="M2240" i="3"/>
  <c r="L2240" i="3"/>
  <c r="K2240" i="3"/>
  <c r="J2240" i="3"/>
  <c r="I2240" i="3"/>
  <c r="H2240" i="3"/>
  <c r="G2240" i="3"/>
  <c r="F2240" i="3"/>
  <c r="E2240" i="3"/>
  <c r="D2240" i="3"/>
  <c r="C2240" i="3"/>
  <c r="B2240" i="3"/>
  <c r="A2240" i="3"/>
  <c r="M2239" i="3"/>
  <c r="L2239" i="3"/>
  <c r="K2239" i="3"/>
  <c r="J2239" i="3"/>
  <c r="I2239" i="3"/>
  <c r="H2239" i="3"/>
  <c r="G2239" i="3"/>
  <c r="F2239" i="3"/>
  <c r="E2239" i="3"/>
  <c r="D2239" i="3"/>
  <c r="C2239" i="3"/>
  <c r="B2239" i="3"/>
  <c r="A2239" i="3"/>
  <c r="M2238" i="3"/>
  <c r="L2238" i="3"/>
  <c r="K2238" i="3"/>
  <c r="J2238" i="3"/>
  <c r="I2238" i="3"/>
  <c r="H2238" i="3"/>
  <c r="G2238" i="3"/>
  <c r="F2238" i="3"/>
  <c r="E2238" i="3"/>
  <c r="D2238" i="3"/>
  <c r="C2238" i="3"/>
  <c r="B2238" i="3"/>
  <c r="A2238" i="3"/>
  <c r="M2237" i="3"/>
  <c r="L2237" i="3"/>
  <c r="K2237" i="3"/>
  <c r="J2237" i="3"/>
  <c r="I2237" i="3"/>
  <c r="H2237" i="3"/>
  <c r="G2237" i="3"/>
  <c r="F2237" i="3"/>
  <c r="E2237" i="3"/>
  <c r="D2237" i="3"/>
  <c r="C2237" i="3"/>
  <c r="B2237" i="3"/>
  <c r="A2237" i="3"/>
  <c r="M2236" i="3"/>
  <c r="L2236" i="3"/>
  <c r="K2236" i="3"/>
  <c r="J2236" i="3"/>
  <c r="I2236" i="3"/>
  <c r="H2236" i="3"/>
  <c r="G2236" i="3"/>
  <c r="F2236" i="3"/>
  <c r="E2236" i="3"/>
  <c r="D2236" i="3"/>
  <c r="C2236" i="3"/>
  <c r="B2236" i="3"/>
  <c r="A2236" i="3"/>
  <c r="M2235" i="3"/>
  <c r="L2235" i="3"/>
  <c r="K2235" i="3"/>
  <c r="J2235" i="3"/>
  <c r="I2235" i="3"/>
  <c r="H2235" i="3"/>
  <c r="G2235" i="3"/>
  <c r="F2235" i="3"/>
  <c r="E2235" i="3"/>
  <c r="D2235" i="3"/>
  <c r="C2235" i="3"/>
  <c r="B2235" i="3"/>
  <c r="A2235" i="3"/>
  <c r="M2234" i="3"/>
  <c r="L2234" i="3"/>
  <c r="K2234" i="3"/>
  <c r="J2234" i="3"/>
  <c r="I2234" i="3"/>
  <c r="H2234" i="3"/>
  <c r="G2234" i="3"/>
  <c r="F2234" i="3"/>
  <c r="E2234" i="3"/>
  <c r="D2234" i="3"/>
  <c r="C2234" i="3"/>
  <c r="B2234" i="3"/>
  <c r="A2234" i="3"/>
  <c r="M2233" i="3"/>
  <c r="L2233" i="3"/>
  <c r="K2233" i="3"/>
  <c r="J2233" i="3"/>
  <c r="I2233" i="3"/>
  <c r="H2233" i="3"/>
  <c r="G2233" i="3"/>
  <c r="F2233" i="3"/>
  <c r="E2233" i="3"/>
  <c r="D2233" i="3"/>
  <c r="C2233" i="3"/>
  <c r="B2233" i="3"/>
  <c r="A2233" i="3"/>
  <c r="M2232" i="3"/>
  <c r="L2232" i="3"/>
  <c r="K2232" i="3"/>
  <c r="J2232" i="3"/>
  <c r="I2232" i="3"/>
  <c r="H2232" i="3"/>
  <c r="G2232" i="3"/>
  <c r="F2232" i="3"/>
  <c r="E2232" i="3"/>
  <c r="D2232" i="3"/>
  <c r="C2232" i="3"/>
  <c r="B2232" i="3"/>
  <c r="A2232" i="3"/>
  <c r="M2231" i="3"/>
  <c r="L2231" i="3"/>
  <c r="K2231" i="3"/>
  <c r="J2231" i="3"/>
  <c r="I2231" i="3"/>
  <c r="H2231" i="3"/>
  <c r="G2231" i="3"/>
  <c r="F2231" i="3"/>
  <c r="E2231" i="3"/>
  <c r="D2231" i="3"/>
  <c r="C2231" i="3"/>
  <c r="B2231" i="3"/>
  <c r="A2231" i="3"/>
  <c r="M2230" i="3"/>
  <c r="L2230" i="3"/>
  <c r="K2230" i="3"/>
  <c r="J2230" i="3"/>
  <c r="I2230" i="3"/>
  <c r="H2230" i="3"/>
  <c r="G2230" i="3"/>
  <c r="F2230" i="3"/>
  <c r="E2230" i="3"/>
  <c r="D2230" i="3"/>
  <c r="C2230" i="3"/>
  <c r="B2230" i="3"/>
  <c r="A2230" i="3"/>
  <c r="M2229" i="3"/>
  <c r="L2229" i="3"/>
  <c r="K2229" i="3"/>
  <c r="J2229" i="3"/>
  <c r="I2229" i="3"/>
  <c r="H2229" i="3"/>
  <c r="G2229" i="3"/>
  <c r="F2229" i="3"/>
  <c r="E2229" i="3"/>
  <c r="D2229" i="3"/>
  <c r="C2229" i="3"/>
  <c r="B2229" i="3"/>
  <c r="A2229" i="3"/>
  <c r="M2228" i="3"/>
  <c r="L2228" i="3"/>
  <c r="K2228" i="3"/>
  <c r="J2228" i="3"/>
  <c r="I2228" i="3"/>
  <c r="H2228" i="3"/>
  <c r="G2228" i="3"/>
  <c r="F2228" i="3"/>
  <c r="E2228" i="3"/>
  <c r="D2228" i="3"/>
  <c r="C2228" i="3"/>
  <c r="B2228" i="3"/>
  <c r="A2228" i="3"/>
  <c r="M2227" i="3"/>
  <c r="L2227" i="3"/>
  <c r="K2227" i="3"/>
  <c r="J2227" i="3"/>
  <c r="I2227" i="3"/>
  <c r="H2227" i="3"/>
  <c r="G2227" i="3"/>
  <c r="F2227" i="3"/>
  <c r="E2227" i="3"/>
  <c r="D2227" i="3"/>
  <c r="C2227" i="3"/>
  <c r="B2227" i="3"/>
  <c r="A2227" i="3"/>
  <c r="M2226" i="3"/>
  <c r="L2226" i="3"/>
  <c r="K2226" i="3"/>
  <c r="J2226" i="3"/>
  <c r="I2226" i="3"/>
  <c r="H2226" i="3"/>
  <c r="G2226" i="3"/>
  <c r="F2226" i="3"/>
  <c r="E2226" i="3"/>
  <c r="D2226" i="3"/>
  <c r="C2226" i="3"/>
  <c r="B2226" i="3"/>
  <c r="A2226" i="3"/>
  <c r="M2225" i="3"/>
  <c r="L2225" i="3"/>
  <c r="K2225" i="3"/>
  <c r="J2225" i="3"/>
  <c r="I2225" i="3"/>
  <c r="H2225" i="3"/>
  <c r="G2225" i="3"/>
  <c r="F2225" i="3"/>
  <c r="E2225" i="3"/>
  <c r="D2225" i="3"/>
  <c r="C2225" i="3"/>
  <c r="B2225" i="3"/>
  <c r="A2225" i="3"/>
  <c r="M2224" i="3"/>
  <c r="L2224" i="3"/>
  <c r="K2224" i="3"/>
  <c r="J2224" i="3"/>
  <c r="I2224" i="3"/>
  <c r="H2224" i="3"/>
  <c r="G2224" i="3"/>
  <c r="F2224" i="3"/>
  <c r="E2224" i="3"/>
  <c r="D2224" i="3"/>
  <c r="C2224" i="3"/>
  <c r="B2224" i="3"/>
  <c r="A2224" i="3"/>
  <c r="M2223" i="3"/>
  <c r="L2223" i="3"/>
  <c r="K2223" i="3"/>
  <c r="J2223" i="3"/>
  <c r="I2223" i="3"/>
  <c r="H2223" i="3"/>
  <c r="G2223" i="3"/>
  <c r="F2223" i="3"/>
  <c r="E2223" i="3"/>
  <c r="D2223" i="3"/>
  <c r="C2223" i="3"/>
  <c r="B2223" i="3"/>
  <c r="A2223" i="3"/>
  <c r="M2222" i="3"/>
  <c r="L2222" i="3"/>
  <c r="K2222" i="3"/>
  <c r="J2222" i="3"/>
  <c r="I2222" i="3"/>
  <c r="H2222" i="3"/>
  <c r="G2222" i="3"/>
  <c r="F2222" i="3"/>
  <c r="E2222" i="3"/>
  <c r="D2222" i="3"/>
  <c r="C2222" i="3"/>
  <c r="B2222" i="3"/>
  <c r="A2222" i="3"/>
  <c r="M2221" i="3"/>
  <c r="L2221" i="3"/>
  <c r="K2221" i="3"/>
  <c r="J2221" i="3"/>
  <c r="I2221" i="3"/>
  <c r="H2221" i="3"/>
  <c r="G2221" i="3"/>
  <c r="F2221" i="3"/>
  <c r="E2221" i="3"/>
  <c r="D2221" i="3"/>
  <c r="C2221" i="3"/>
  <c r="B2221" i="3"/>
  <c r="A2221" i="3"/>
  <c r="M2220" i="3"/>
  <c r="L2220" i="3"/>
  <c r="K2220" i="3"/>
  <c r="J2220" i="3"/>
  <c r="I2220" i="3"/>
  <c r="H2220" i="3"/>
  <c r="G2220" i="3"/>
  <c r="F2220" i="3"/>
  <c r="E2220" i="3"/>
  <c r="D2220" i="3"/>
  <c r="C2220" i="3"/>
  <c r="B2220" i="3"/>
  <c r="A2220" i="3"/>
  <c r="M2219" i="3"/>
  <c r="L2219" i="3"/>
  <c r="K2219" i="3"/>
  <c r="J2219" i="3"/>
  <c r="I2219" i="3"/>
  <c r="H2219" i="3"/>
  <c r="G2219" i="3"/>
  <c r="F2219" i="3"/>
  <c r="E2219" i="3"/>
  <c r="D2219" i="3"/>
  <c r="C2219" i="3"/>
  <c r="B2219" i="3"/>
  <c r="A2219" i="3"/>
  <c r="M2218" i="3"/>
  <c r="L2218" i="3"/>
  <c r="K2218" i="3"/>
  <c r="J2218" i="3"/>
  <c r="I2218" i="3"/>
  <c r="H2218" i="3"/>
  <c r="G2218" i="3"/>
  <c r="F2218" i="3"/>
  <c r="E2218" i="3"/>
  <c r="D2218" i="3"/>
  <c r="C2218" i="3"/>
  <c r="B2218" i="3"/>
  <c r="A2218" i="3"/>
  <c r="M2217" i="3"/>
  <c r="L2217" i="3"/>
  <c r="K2217" i="3"/>
  <c r="J2217" i="3"/>
  <c r="I2217" i="3"/>
  <c r="H2217" i="3"/>
  <c r="G2217" i="3"/>
  <c r="F2217" i="3"/>
  <c r="E2217" i="3"/>
  <c r="D2217" i="3"/>
  <c r="C2217" i="3"/>
  <c r="B2217" i="3"/>
  <c r="A2217" i="3"/>
  <c r="M2216" i="3"/>
  <c r="L2216" i="3"/>
  <c r="K2216" i="3"/>
  <c r="J2216" i="3"/>
  <c r="I2216" i="3"/>
  <c r="H2216" i="3"/>
  <c r="G2216" i="3"/>
  <c r="F2216" i="3"/>
  <c r="E2216" i="3"/>
  <c r="D2216" i="3"/>
  <c r="C2216" i="3"/>
  <c r="B2216" i="3"/>
  <c r="A2216" i="3"/>
  <c r="M2215" i="3"/>
  <c r="L2215" i="3"/>
  <c r="K2215" i="3"/>
  <c r="J2215" i="3"/>
  <c r="I2215" i="3"/>
  <c r="H2215" i="3"/>
  <c r="G2215" i="3"/>
  <c r="F2215" i="3"/>
  <c r="E2215" i="3"/>
  <c r="D2215" i="3"/>
  <c r="C2215" i="3"/>
  <c r="B2215" i="3"/>
  <c r="A2215" i="3"/>
  <c r="M2214" i="3"/>
  <c r="L2214" i="3"/>
  <c r="K2214" i="3"/>
  <c r="J2214" i="3"/>
  <c r="I2214" i="3"/>
  <c r="H2214" i="3"/>
  <c r="G2214" i="3"/>
  <c r="F2214" i="3"/>
  <c r="E2214" i="3"/>
  <c r="D2214" i="3"/>
  <c r="C2214" i="3"/>
  <c r="B2214" i="3"/>
  <c r="A2214" i="3"/>
  <c r="M2213" i="3"/>
  <c r="L2213" i="3"/>
  <c r="K2213" i="3"/>
  <c r="J2213" i="3"/>
  <c r="I2213" i="3"/>
  <c r="H2213" i="3"/>
  <c r="G2213" i="3"/>
  <c r="F2213" i="3"/>
  <c r="E2213" i="3"/>
  <c r="D2213" i="3"/>
  <c r="C2213" i="3"/>
  <c r="B2213" i="3"/>
  <c r="A2213" i="3"/>
  <c r="M2212" i="3"/>
  <c r="L2212" i="3"/>
  <c r="K2212" i="3"/>
  <c r="J2212" i="3"/>
  <c r="I2212" i="3"/>
  <c r="H2212" i="3"/>
  <c r="G2212" i="3"/>
  <c r="F2212" i="3"/>
  <c r="E2212" i="3"/>
  <c r="D2212" i="3"/>
  <c r="C2212" i="3"/>
  <c r="B2212" i="3"/>
  <c r="A2212" i="3"/>
  <c r="M2211" i="3"/>
  <c r="L2211" i="3"/>
  <c r="K2211" i="3"/>
  <c r="J2211" i="3"/>
  <c r="I2211" i="3"/>
  <c r="H2211" i="3"/>
  <c r="G2211" i="3"/>
  <c r="F2211" i="3"/>
  <c r="E2211" i="3"/>
  <c r="D2211" i="3"/>
  <c r="C2211" i="3"/>
  <c r="B2211" i="3"/>
  <c r="A2211" i="3"/>
  <c r="M2210" i="3"/>
  <c r="L2210" i="3"/>
  <c r="K2210" i="3"/>
  <c r="J2210" i="3"/>
  <c r="I2210" i="3"/>
  <c r="H2210" i="3"/>
  <c r="G2210" i="3"/>
  <c r="F2210" i="3"/>
  <c r="E2210" i="3"/>
  <c r="D2210" i="3"/>
  <c r="C2210" i="3"/>
  <c r="B2210" i="3"/>
  <c r="A2210" i="3"/>
  <c r="M2209" i="3"/>
  <c r="L2209" i="3"/>
  <c r="K2209" i="3"/>
  <c r="J2209" i="3"/>
  <c r="I2209" i="3"/>
  <c r="H2209" i="3"/>
  <c r="G2209" i="3"/>
  <c r="F2209" i="3"/>
  <c r="E2209" i="3"/>
  <c r="D2209" i="3"/>
  <c r="C2209" i="3"/>
  <c r="B2209" i="3"/>
  <c r="A2209" i="3"/>
  <c r="M2208" i="3"/>
  <c r="L2208" i="3"/>
  <c r="K2208" i="3"/>
  <c r="J2208" i="3"/>
  <c r="I2208" i="3"/>
  <c r="H2208" i="3"/>
  <c r="G2208" i="3"/>
  <c r="F2208" i="3"/>
  <c r="E2208" i="3"/>
  <c r="D2208" i="3"/>
  <c r="C2208" i="3"/>
  <c r="B2208" i="3"/>
  <c r="A2208" i="3"/>
  <c r="M2207" i="3"/>
  <c r="L2207" i="3"/>
  <c r="K2207" i="3"/>
  <c r="J2207" i="3"/>
  <c r="I2207" i="3"/>
  <c r="H2207" i="3"/>
  <c r="G2207" i="3"/>
  <c r="F2207" i="3"/>
  <c r="E2207" i="3"/>
  <c r="D2207" i="3"/>
  <c r="C2207" i="3"/>
  <c r="B2207" i="3"/>
  <c r="A2207" i="3"/>
  <c r="M2206" i="3"/>
  <c r="L2206" i="3"/>
  <c r="K2206" i="3"/>
  <c r="J2206" i="3"/>
  <c r="I2206" i="3"/>
  <c r="H2206" i="3"/>
  <c r="G2206" i="3"/>
  <c r="F2206" i="3"/>
  <c r="E2206" i="3"/>
  <c r="D2206" i="3"/>
  <c r="C2206" i="3"/>
  <c r="B2206" i="3"/>
  <c r="A2206" i="3"/>
  <c r="M2205" i="3"/>
  <c r="L2205" i="3"/>
  <c r="K2205" i="3"/>
  <c r="J2205" i="3"/>
  <c r="I2205" i="3"/>
  <c r="H2205" i="3"/>
  <c r="G2205" i="3"/>
  <c r="F2205" i="3"/>
  <c r="E2205" i="3"/>
  <c r="D2205" i="3"/>
  <c r="C2205" i="3"/>
  <c r="B2205" i="3"/>
  <c r="A2205" i="3"/>
  <c r="M2204" i="3"/>
  <c r="L2204" i="3"/>
  <c r="K2204" i="3"/>
  <c r="J2204" i="3"/>
  <c r="I2204" i="3"/>
  <c r="H2204" i="3"/>
  <c r="G2204" i="3"/>
  <c r="F2204" i="3"/>
  <c r="E2204" i="3"/>
  <c r="D2204" i="3"/>
  <c r="C2204" i="3"/>
  <c r="B2204" i="3"/>
  <c r="A2204" i="3"/>
  <c r="M2203" i="3"/>
  <c r="L2203" i="3"/>
  <c r="K2203" i="3"/>
  <c r="J2203" i="3"/>
  <c r="I2203" i="3"/>
  <c r="H2203" i="3"/>
  <c r="G2203" i="3"/>
  <c r="F2203" i="3"/>
  <c r="E2203" i="3"/>
  <c r="D2203" i="3"/>
  <c r="C2203" i="3"/>
  <c r="B2203" i="3"/>
  <c r="A2203" i="3"/>
  <c r="M2202" i="3"/>
  <c r="L2202" i="3"/>
  <c r="K2202" i="3"/>
  <c r="J2202" i="3"/>
  <c r="I2202" i="3"/>
  <c r="H2202" i="3"/>
  <c r="G2202" i="3"/>
  <c r="F2202" i="3"/>
  <c r="E2202" i="3"/>
  <c r="D2202" i="3"/>
  <c r="C2202" i="3"/>
  <c r="B2202" i="3"/>
  <c r="A2202" i="3"/>
  <c r="M2201" i="3"/>
  <c r="L2201" i="3"/>
  <c r="K2201" i="3"/>
  <c r="J2201" i="3"/>
  <c r="I2201" i="3"/>
  <c r="H2201" i="3"/>
  <c r="G2201" i="3"/>
  <c r="F2201" i="3"/>
  <c r="E2201" i="3"/>
  <c r="D2201" i="3"/>
  <c r="C2201" i="3"/>
  <c r="B2201" i="3"/>
  <c r="A2201" i="3"/>
  <c r="M2200" i="3"/>
  <c r="L2200" i="3"/>
  <c r="K2200" i="3"/>
  <c r="J2200" i="3"/>
  <c r="I2200" i="3"/>
  <c r="H2200" i="3"/>
  <c r="G2200" i="3"/>
  <c r="F2200" i="3"/>
  <c r="E2200" i="3"/>
  <c r="D2200" i="3"/>
  <c r="C2200" i="3"/>
  <c r="B2200" i="3"/>
  <c r="A2200" i="3"/>
  <c r="M2199" i="3"/>
  <c r="L2199" i="3"/>
  <c r="K2199" i="3"/>
  <c r="J2199" i="3"/>
  <c r="I2199" i="3"/>
  <c r="H2199" i="3"/>
  <c r="G2199" i="3"/>
  <c r="F2199" i="3"/>
  <c r="E2199" i="3"/>
  <c r="D2199" i="3"/>
  <c r="C2199" i="3"/>
  <c r="B2199" i="3"/>
  <c r="A2199" i="3"/>
  <c r="M2198" i="3"/>
  <c r="L2198" i="3"/>
  <c r="K2198" i="3"/>
  <c r="J2198" i="3"/>
  <c r="I2198" i="3"/>
  <c r="H2198" i="3"/>
  <c r="G2198" i="3"/>
  <c r="F2198" i="3"/>
  <c r="E2198" i="3"/>
  <c r="D2198" i="3"/>
  <c r="C2198" i="3"/>
  <c r="B2198" i="3"/>
  <c r="A2198" i="3"/>
  <c r="M2197" i="3"/>
  <c r="L2197" i="3"/>
  <c r="K2197" i="3"/>
  <c r="J2197" i="3"/>
  <c r="I2197" i="3"/>
  <c r="H2197" i="3"/>
  <c r="G2197" i="3"/>
  <c r="F2197" i="3"/>
  <c r="E2197" i="3"/>
  <c r="D2197" i="3"/>
  <c r="C2197" i="3"/>
  <c r="B2197" i="3"/>
  <c r="A2197" i="3"/>
  <c r="M2196" i="3"/>
  <c r="L2196" i="3"/>
  <c r="K2196" i="3"/>
  <c r="J2196" i="3"/>
  <c r="I2196" i="3"/>
  <c r="H2196" i="3"/>
  <c r="G2196" i="3"/>
  <c r="F2196" i="3"/>
  <c r="E2196" i="3"/>
  <c r="D2196" i="3"/>
  <c r="C2196" i="3"/>
  <c r="B2196" i="3"/>
  <c r="A2196" i="3"/>
  <c r="M2195" i="3"/>
  <c r="L2195" i="3"/>
  <c r="K2195" i="3"/>
  <c r="J2195" i="3"/>
  <c r="I2195" i="3"/>
  <c r="H2195" i="3"/>
  <c r="G2195" i="3"/>
  <c r="F2195" i="3"/>
  <c r="E2195" i="3"/>
  <c r="D2195" i="3"/>
  <c r="C2195" i="3"/>
  <c r="B2195" i="3"/>
  <c r="A2195" i="3"/>
  <c r="M2194" i="3"/>
  <c r="L2194" i="3"/>
  <c r="K2194" i="3"/>
  <c r="J2194" i="3"/>
  <c r="I2194" i="3"/>
  <c r="H2194" i="3"/>
  <c r="G2194" i="3"/>
  <c r="F2194" i="3"/>
  <c r="E2194" i="3"/>
  <c r="D2194" i="3"/>
  <c r="C2194" i="3"/>
  <c r="B2194" i="3"/>
  <c r="A2194" i="3"/>
  <c r="M2193" i="3"/>
  <c r="L2193" i="3"/>
  <c r="K2193" i="3"/>
  <c r="J2193" i="3"/>
  <c r="I2193" i="3"/>
  <c r="H2193" i="3"/>
  <c r="G2193" i="3"/>
  <c r="F2193" i="3"/>
  <c r="E2193" i="3"/>
  <c r="D2193" i="3"/>
  <c r="C2193" i="3"/>
  <c r="B2193" i="3"/>
  <c r="A2193" i="3"/>
  <c r="M2192" i="3"/>
  <c r="L2192" i="3"/>
  <c r="K2192" i="3"/>
  <c r="J2192" i="3"/>
  <c r="I2192" i="3"/>
  <c r="H2192" i="3"/>
  <c r="G2192" i="3"/>
  <c r="F2192" i="3"/>
  <c r="E2192" i="3"/>
  <c r="D2192" i="3"/>
  <c r="C2192" i="3"/>
  <c r="B2192" i="3"/>
  <c r="A2192" i="3"/>
  <c r="M2191" i="3"/>
  <c r="L2191" i="3"/>
  <c r="K2191" i="3"/>
  <c r="J2191" i="3"/>
  <c r="I2191" i="3"/>
  <c r="H2191" i="3"/>
  <c r="G2191" i="3"/>
  <c r="F2191" i="3"/>
  <c r="E2191" i="3"/>
  <c r="D2191" i="3"/>
  <c r="C2191" i="3"/>
  <c r="B2191" i="3"/>
  <c r="A2191" i="3"/>
  <c r="M2190" i="3"/>
  <c r="L2190" i="3"/>
  <c r="K2190" i="3"/>
  <c r="J2190" i="3"/>
  <c r="I2190" i="3"/>
  <c r="H2190" i="3"/>
  <c r="G2190" i="3"/>
  <c r="F2190" i="3"/>
  <c r="E2190" i="3"/>
  <c r="D2190" i="3"/>
  <c r="C2190" i="3"/>
  <c r="B2190" i="3"/>
  <c r="A2190" i="3"/>
  <c r="M2189" i="3"/>
  <c r="L2189" i="3"/>
  <c r="K2189" i="3"/>
  <c r="J2189" i="3"/>
  <c r="I2189" i="3"/>
  <c r="H2189" i="3"/>
  <c r="G2189" i="3"/>
  <c r="E2189" i="3"/>
  <c r="D2189" i="3"/>
  <c r="C2189" i="3"/>
  <c r="B2189" i="3"/>
  <c r="A2189" i="3"/>
  <c r="M2188" i="3"/>
  <c r="L2188" i="3"/>
  <c r="K2188" i="3"/>
  <c r="J2188" i="3"/>
  <c r="I2188" i="3"/>
  <c r="H2188" i="3"/>
  <c r="F2188" i="3"/>
  <c r="E2188" i="3"/>
  <c r="D2188" i="3"/>
  <c r="C2188" i="3"/>
  <c r="B2188" i="3"/>
  <c r="A2188" i="3"/>
  <c r="M2187" i="3"/>
  <c r="L2187" i="3"/>
  <c r="K2187" i="3"/>
  <c r="J2187" i="3"/>
  <c r="I2187" i="3"/>
  <c r="H2187" i="3"/>
  <c r="G2187" i="3"/>
  <c r="F2187" i="3"/>
  <c r="E2187" i="3"/>
  <c r="D2187" i="3"/>
  <c r="C2187" i="3"/>
  <c r="B2187" i="3"/>
  <c r="A2187" i="3"/>
  <c r="M2186" i="3"/>
  <c r="L2186" i="3"/>
  <c r="K2186" i="3"/>
  <c r="J2186" i="3"/>
  <c r="I2186" i="3"/>
  <c r="H2186" i="3"/>
  <c r="G2186" i="3"/>
  <c r="F2186" i="3"/>
  <c r="E2186" i="3"/>
  <c r="D2186" i="3"/>
  <c r="C2186" i="3"/>
  <c r="B2186" i="3"/>
  <c r="A2186" i="3"/>
  <c r="M2185" i="3"/>
  <c r="L2185" i="3"/>
  <c r="K2185" i="3"/>
  <c r="J2185" i="3"/>
  <c r="I2185" i="3"/>
  <c r="H2185" i="3"/>
  <c r="G2185" i="3"/>
  <c r="F2185" i="3"/>
  <c r="E2185" i="3"/>
  <c r="D2185" i="3"/>
  <c r="C2185" i="3"/>
  <c r="B2185" i="3"/>
  <c r="A2185" i="3"/>
  <c r="M2184" i="3"/>
  <c r="L2184" i="3"/>
  <c r="K2184" i="3"/>
  <c r="J2184" i="3"/>
  <c r="I2184" i="3"/>
  <c r="H2184" i="3"/>
  <c r="G2184" i="3"/>
  <c r="F2184" i="3"/>
  <c r="E2184" i="3"/>
  <c r="D2184" i="3"/>
  <c r="C2184" i="3"/>
  <c r="B2184" i="3"/>
  <c r="A2184" i="3"/>
  <c r="M2183" i="3"/>
  <c r="L2183" i="3"/>
  <c r="K2183" i="3"/>
  <c r="J2183" i="3"/>
  <c r="I2183" i="3"/>
  <c r="H2183" i="3"/>
  <c r="G2183" i="3"/>
  <c r="F2183" i="3"/>
  <c r="E2183" i="3"/>
  <c r="D2183" i="3"/>
  <c r="C2183" i="3"/>
  <c r="B2183" i="3"/>
  <c r="A2183" i="3"/>
  <c r="M2182" i="3"/>
  <c r="L2182" i="3"/>
  <c r="K2182" i="3"/>
  <c r="J2182" i="3"/>
  <c r="I2182" i="3"/>
  <c r="H2182" i="3"/>
  <c r="G2182" i="3"/>
  <c r="F2182" i="3"/>
  <c r="E2182" i="3"/>
  <c r="D2182" i="3"/>
  <c r="C2182" i="3"/>
  <c r="B2182" i="3"/>
  <c r="A2182" i="3"/>
  <c r="M2181" i="3"/>
  <c r="L2181" i="3"/>
  <c r="K2181" i="3"/>
  <c r="J2181" i="3"/>
  <c r="I2181" i="3"/>
  <c r="H2181" i="3"/>
  <c r="G2181" i="3"/>
  <c r="F2181" i="3"/>
  <c r="E2181" i="3"/>
  <c r="D2181" i="3"/>
  <c r="C2181" i="3"/>
  <c r="B2181" i="3"/>
  <c r="A2181" i="3"/>
  <c r="M2180" i="3"/>
  <c r="L2180" i="3"/>
  <c r="K2180" i="3"/>
  <c r="J2180" i="3"/>
  <c r="I2180" i="3"/>
  <c r="H2180" i="3"/>
  <c r="G2180" i="3"/>
  <c r="F2180" i="3"/>
  <c r="E2180" i="3"/>
  <c r="D2180" i="3"/>
  <c r="C2180" i="3"/>
  <c r="B2180" i="3"/>
  <c r="A2180" i="3"/>
  <c r="M2179" i="3"/>
  <c r="L2179" i="3"/>
  <c r="K2179" i="3"/>
  <c r="J2179" i="3"/>
  <c r="I2179" i="3"/>
  <c r="H2179" i="3"/>
  <c r="G2179" i="3"/>
  <c r="F2179" i="3"/>
  <c r="E2179" i="3"/>
  <c r="D2179" i="3"/>
  <c r="C2179" i="3"/>
  <c r="B2179" i="3"/>
  <c r="A2179" i="3"/>
  <c r="M2178" i="3"/>
  <c r="L2178" i="3"/>
  <c r="K2178" i="3"/>
  <c r="J2178" i="3"/>
  <c r="I2178" i="3"/>
  <c r="H2178" i="3"/>
  <c r="G2178" i="3"/>
  <c r="F2178" i="3"/>
  <c r="E2178" i="3"/>
  <c r="D2178" i="3"/>
  <c r="C2178" i="3"/>
  <c r="B2178" i="3"/>
  <c r="A2178" i="3"/>
  <c r="M2177" i="3"/>
  <c r="L2177" i="3"/>
  <c r="K2177" i="3"/>
  <c r="J2177" i="3"/>
  <c r="I2177" i="3"/>
  <c r="H2177" i="3"/>
  <c r="G2177" i="3"/>
  <c r="F2177" i="3"/>
  <c r="E2177" i="3"/>
  <c r="D2177" i="3"/>
  <c r="C2177" i="3"/>
  <c r="B2177" i="3"/>
  <c r="A2177" i="3"/>
  <c r="M2176" i="3"/>
  <c r="L2176" i="3"/>
  <c r="K2176" i="3"/>
  <c r="J2176" i="3"/>
  <c r="I2176" i="3"/>
  <c r="H2176" i="3"/>
  <c r="G2176" i="3"/>
  <c r="F2176" i="3"/>
  <c r="E2176" i="3"/>
  <c r="D2176" i="3"/>
  <c r="C2176" i="3"/>
  <c r="B2176" i="3"/>
  <c r="A2176" i="3"/>
  <c r="M2175" i="3"/>
  <c r="L2175" i="3"/>
  <c r="K2175" i="3"/>
  <c r="J2175" i="3"/>
  <c r="I2175" i="3"/>
  <c r="H2175" i="3"/>
  <c r="G2175" i="3"/>
  <c r="F2175" i="3"/>
  <c r="E2175" i="3"/>
  <c r="D2175" i="3"/>
  <c r="C2175" i="3"/>
  <c r="B2175" i="3"/>
  <c r="A2175" i="3"/>
  <c r="M2174" i="3"/>
  <c r="L2174" i="3"/>
  <c r="K2174" i="3"/>
  <c r="J2174" i="3"/>
  <c r="I2174" i="3"/>
  <c r="H2174" i="3"/>
  <c r="G2174" i="3"/>
  <c r="F2174" i="3"/>
  <c r="E2174" i="3"/>
  <c r="D2174" i="3"/>
  <c r="C2174" i="3"/>
  <c r="B2174" i="3"/>
  <c r="A2174" i="3"/>
  <c r="M2173" i="3"/>
  <c r="L2173" i="3"/>
  <c r="K2173" i="3"/>
  <c r="J2173" i="3"/>
  <c r="I2173" i="3"/>
  <c r="H2173" i="3"/>
  <c r="G2173" i="3"/>
  <c r="F2173" i="3"/>
  <c r="E2173" i="3"/>
  <c r="D2173" i="3"/>
  <c r="B2173" i="3"/>
  <c r="A2173" i="3"/>
  <c r="M2172" i="3"/>
  <c r="L2172" i="3"/>
  <c r="K2172" i="3"/>
  <c r="J2172" i="3"/>
  <c r="I2172" i="3"/>
  <c r="H2172" i="3"/>
  <c r="G2172" i="3"/>
  <c r="F2172" i="3"/>
  <c r="E2172" i="3"/>
  <c r="D2172" i="3"/>
  <c r="C2172" i="3"/>
  <c r="B2172" i="3"/>
  <c r="A2172" i="3"/>
  <c r="M2171" i="3"/>
  <c r="L2171" i="3"/>
  <c r="K2171" i="3"/>
  <c r="J2171" i="3"/>
  <c r="I2171" i="3"/>
  <c r="H2171" i="3"/>
  <c r="G2171" i="3"/>
  <c r="E2171" i="3"/>
  <c r="D2171" i="3"/>
  <c r="C2171" i="3"/>
  <c r="B2171" i="3"/>
  <c r="A2171" i="3"/>
  <c r="M2170" i="3"/>
  <c r="L2170" i="3"/>
  <c r="K2170" i="3"/>
  <c r="J2170" i="3"/>
  <c r="I2170" i="3"/>
  <c r="H2170" i="3"/>
  <c r="G2170" i="3"/>
  <c r="F2170" i="3"/>
  <c r="D2170" i="3"/>
  <c r="C2170" i="3"/>
  <c r="B2170" i="3"/>
  <c r="A2170" i="3"/>
  <c r="M2169" i="3"/>
  <c r="L2169" i="3"/>
  <c r="K2169" i="3"/>
  <c r="J2169" i="3"/>
  <c r="I2169" i="3"/>
  <c r="H2169" i="3"/>
  <c r="G2169" i="3"/>
  <c r="F2169" i="3"/>
  <c r="E2169" i="3"/>
  <c r="D2169" i="3"/>
  <c r="C2169" i="3"/>
  <c r="B2169" i="3"/>
  <c r="A2169" i="3"/>
  <c r="M2168" i="3"/>
  <c r="L2168" i="3"/>
  <c r="K2168" i="3"/>
  <c r="J2168" i="3"/>
  <c r="I2168" i="3"/>
  <c r="H2168" i="3"/>
  <c r="G2168" i="3"/>
  <c r="F2168" i="3"/>
  <c r="E2168" i="3"/>
  <c r="D2168" i="3"/>
  <c r="C2168" i="3"/>
  <c r="B2168" i="3"/>
  <c r="A2168" i="3"/>
  <c r="M2167" i="3"/>
  <c r="L2167" i="3"/>
  <c r="K2167" i="3"/>
  <c r="J2167" i="3"/>
  <c r="I2167" i="3"/>
  <c r="H2167" i="3"/>
  <c r="G2167" i="3"/>
  <c r="F2167" i="3"/>
  <c r="E2167" i="3"/>
  <c r="D2167" i="3"/>
  <c r="C2167" i="3"/>
  <c r="B2167" i="3"/>
  <c r="A2167" i="3"/>
  <c r="M2166" i="3"/>
  <c r="L2166" i="3"/>
  <c r="K2166" i="3"/>
  <c r="J2166" i="3"/>
  <c r="I2166" i="3"/>
  <c r="H2166" i="3"/>
  <c r="G2166" i="3"/>
  <c r="F2166" i="3"/>
  <c r="E2166" i="3"/>
  <c r="D2166" i="3"/>
  <c r="C2166" i="3"/>
  <c r="B2166" i="3"/>
  <c r="A2166" i="3"/>
  <c r="M2165" i="3"/>
  <c r="L2165" i="3"/>
  <c r="K2165" i="3"/>
  <c r="J2165" i="3"/>
  <c r="I2165" i="3"/>
  <c r="H2165" i="3"/>
  <c r="G2165" i="3"/>
  <c r="F2165" i="3"/>
  <c r="E2165" i="3"/>
  <c r="D2165" i="3"/>
  <c r="C2165" i="3"/>
  <c r="B2165" i="3"/>
  <c r="A2165" i="3"/>
  <c r="M2164" i="3"/>
  <c r="L2164" i="3"/>
  <c r="K2164" i="3"/>
  <c r="J2164" i="3"/>
  <c r="I2164" i="3"/>
  <c r="H2164" i="3"/>
  <c r="G2164" i="3"/>
  <c r="F2164" i="3"/>
  <c r="E2164" i="3"/>
  <c r="D2164" i="3"/>
  <c r="C2164" i="3"/>
  <c r="B2164" i="3"/>
  <c r="A2164" i="3"/>
  <c r="M2163" i="3"/>
  <c r="L2163" i="3"/>
  <c r="K2163" i="3"/>
  <c r="J2163" i="3"/>
  <c r="I2163" i="3"/>
  <c r="H2163" i="3"/>
  <c r="G2163" i="3"/>
  <c r="F2163" i="3"/>
  <c r="D2163" i="3"/>
  <c r="C2163" i="3"/>
  <c r="B2163" i="3"/>
  <c r="A2163" i="3"/>
  <c r="M2162" i="3"/>
  <c r="L2162" i="3"/>
  <c r="K2162" i="3"/>
  <c r="J2162" i="3"/>
  <c r="I2162" i="3"/>
  <c r="H2162" i="3"/>
  <c r="G2162" i="3"/>
  <c r="F2162" i="3"/>
  <c r="E2162" i="3"/>
  <c r="D2162" i="3"/>
  <c r="C2162" i="3"/>
  <c r="B2162" i="3"/>
  <c r="A2162" i="3"/>
  <c r="M2161" i="3"/>
  <c r="L2161" i="3"/>
  <c r="K2161" i="3"/>
  <c r="J2161" i="3"/>
  <c r="I2161" i="3"/>
  <c r="H2161" i="3"/>
  <c r="G2161" i="3"/>
  <c r="F2161" i="3"/>
  <c r="E2161" i="3"/>
  <c r="D2161" i="3"/>
  <c r="C2161" i="3"/>
  <c r="B2161" i="3"/>
  <c r="A2161" i="3"/>
  <c r="M2160" i="3"/>
  <c r="L2160" i="3"/>
  <c r="K2160" i="3"/>
  <c r="J2160" i="3"/>
  <c r="I2160" i="3"/>
  <c r="H2160" i="3"/>
  <c r="G2160" i="3"/>
  <c r="F2160" i="3"/>
  <c r="E2160" i="3"/>
  <c r="D2160" i="3"/>
  <c r="C2160" i="3"/>
  <c r="B2160" i="3"/>
  <c r="A2160" i="3"/>
  <c r="M2159" i="3"/>
  <c r="L2159" i="3"/>
  <c r="K2159" i="3"/>
  <c r="J2159" i="3"/>
  <c r="I2159" i="3"/>
  <c r="H2159" i="3"/>
  <c r="G2159" i="3"/>
  <c r="F2159" i="3"/>
  <c r="E2159" i="3"/>
  <c r="D2159" i="3"/>
  <c r="C2159" i="3"/>
  <c r="B2159" i="3"/>
  <c r="A2159" i="3"/>
  <c r="M2158" i="3"/>
  <c r="L2158" i="3"/>
  <c r="K2158" i="3"/>
  <c r="J2158" i="3"/>
  <c r="I2158" i="3"/>
  <c r="H2158" i="3"/>
  <c r="G2158" i="3"/>
  <c r="F2158" i="3"/>
  <c r="E2158" i="3"/>
  <c r="D2158" i="3"/>
  <c r="C2158" i="3"/>
  <c r="B2158" i="3"/>
  <c r="A2158" i="3"/>
  <c r="M2157" i="3"/>
  <c r="L2157" i="3"/>
  <c r="K2157" i="3"/>
  <c r="J2157" i="3"/>
  <c r="I2157" i="3"/>
  <c r="H2157" i="3"/>
  <c r="G2157" i="3"/>
  <c r="F2157" i="3"/>
  <c r="E2157" i="3"/>
  <c r="D2157" i="3"/>
  <c r="C2157" i="3"/>
  <c r="B2157" i="3"/>
  <c r="A2157" i="3"/>
  <c r="M2156" i="3"/>
  <c r="L2156" i="3"/>
  <c r="K2156" i="3"/>
  <c r="J2156" i="3"/>
  <c r="I2156" i="3"/>
  <c r="H2156" i="3"/>
  <c r="G2156" i="3"/>
  <c r="F2156" i="3"/>
  <c r="E2156" i="3"/>
  <c r="D2156" i="3"/>
  <c r="C2156" i="3"/>
  <c r="B2156" i="3"/>
  <c r="A2156" i="3"/>
  <c r="M2155" i="3"/>
  <c r="L2155" i="3"/>
  <c r="K2155" i="3"/>
  <c r="J2155" i="3"/>
  <c r="I2155" i="3"/>
  <c r="H2155" i="3"/>
  <c r="G2155" i="3"/>
  <c r="F2155" i="3"/>
  <c r="E2155" i="3"/>
  <c r="D2155" i="3"/>
  <c r="C2155" i="3"/>
  <c r="B2155" i="3"/>
  <c r="A2155" i="3"/>
  <c r="M2154" i="3"/>
  <c r="L2154" i="3"/>
  <c r="K2154" i="3"/>
  <c r="J2154" i="3"/>
  <c r="I2154" i="3"/>
  <c r="H2154" i="3"/>
  <c r="G2154" i="3"/>
  <c r="F2154" i="3"/>
  <c r="E2154" i="3"/>
  <c r="D2154" i="3"/>
  <c r="C2154" i="3"/>
  <c r="B2154" i="3"/>
  <c r="A2154" i="3"/>
  <c r="M2153" i="3"/>
  <c r="L2153" i="3"/>
  <c r="K2153" i="3"/>
  <c r="J2153" i="3"/>
  <c r="I2153" i="3"/>
  <c r="H2153" i="3"/>
  <c r="G2153" i="3"/>
  <c r="F2153" i="3"/>
  <c r="E2153" i="3"/>
  <c r="D2153" i="3"/>
  <c r="C2153" i="3"/>
  <c r="B2153" i="3"/>
  <c r="A2153" i="3"/>
  <c r="M2152" i="3"/>
  <c r="L2152" i="3"/>
  <c r="K2152" i="3"/>
  <c r="J2152" i="3"/>
  <c r="I2152" i="3"/>
  <c r="H2152" i="3"/>
  <c r="G2152" i="3"/>
  <c r="F2152" i="3"/>
  <c r="E2152" i="3"/>
  <c r="D2152" i="3"/>
  <c r="C2152" i="3"/>
  <c r="B2152" i="3"/>
  <c r="A2152" i="3"/>
  <c r="M2151" i="3"/>
  <c r="L2151" i="3"/>
  <c r="K2151" i="3"/>
  <c r="J2151" i="3"/>
  <c r="I2151" i="3"/>
  <c r="H2151" i="3"/>
  <c r="G2151" i="3"/>
  <c r="F2151" i="3"/>
  <c r="E2151" i="3"/>
  <c r="D2151" i="3"/>
  <c r="C2151" i="3"/>
  <c r="B2151" i="3"/>
  <c r="A2151" i="3"/>
  <c r="M2150" i="3"/>
  <c r="L2150" i="3"/>
  <c r="K2150" i="3"/>
  <c r="J2150" i="3"/>
  <c r="I2150" i="3"/>
  <c r="H2150" i="3"/>
  <c r="G2150" i="3"/>
  <c r="F2150" i="3"/>
  <c r="E2150" i="3"/>
  <c r="D2150" i="3"/>
  <c r="C2150" i="3"/>
  <c r="B2150" i="3"/>
  <c r="A2150" i="3"/>
  <c r="M2149" i="3"/>
  <c r="L2149" i="3"/>
  <c r="K2149" i="3"/>
  <c r="J2149" i="3"/>
  <c r="I2149" i="3"/>
  <c r="H2149" i="3"/>
  <c r="G2149" i="3"/>
  <c r="F2149" i="3"/>
  <c r="E2149" i="3"/>
  <c r="D2149" i="3"/>
  <c r="C2149" i="3"/>
  <c r="B2149" i="3"/>
  <c r="A2149" i="3"/>
  <c r="M2148" i="3"/>
  <c r="L2148" i="3"/>
  <c r="K2148" i="3"/>
  <c r="J2148" i="3"/>
  <c r="I2148" i="3"/>
  <c r="H2148" i="3"/>
  <c r="G2148" i="3"/>
  <c r="F2148" i="3"/>
  <c r="E2148" i="3"/>
  <c r="D2148" i="3"/>
  <c r="C2148" i="3"/>
  <c r="B2148" i="3"/>
  <c r="A2148" i="3"/>
  <c r="M2147" i="3"/>
  <c r="L2147" i="3"/>
  <c r="K2147" i="3"/>
  <c r="J2147" i="3"/>
  <c r="I2147" i="3"/>
  <c r="H2147" i="3"/>
  <c r="G2147" i="3"/>
  <c r="F2147" i="3"/>
  <c r="E2147" i="3"/>
  <c r="D2147" i="3"/>
  <c r="C2147" i="3"/>
  <c r="B2147" i="3"/>
  <c r="A2147" i="3"/>
  <c r="M2146" i="3"/>
  <c r="L2146" i="3"/>
  <c r="K2146" i="3"/>
  <c r="J2146" i="3"/>
  <c r="I2146" i="3"/>
  <c r="H2146" i="3"/>
  <c r="G2146" i="3"/>
  <c r="F2146" i="3"/>
  <c r="E2146" i="3"/>
  <c r="D2146" i="3"/>
  <c r="C2146" i="3"/>
  <c r="B2146" i="3"/>
  <c r="A2146" i="3"/>
  <c r="M2145" i="3"/>
  <c r="L2145" i="3"/>
  <c r="K2145" i="3"/>
  <c r="J2145" i="3"/>
  <c r="I2145" i="3"/>
  <c r="H2145" i="3"/>
  <c r="G2145" i="3"/>
  <c r="F2145" i="3"/>
  <c r="E2145" i="3"/>
  <c r="D2145" i="3"/>
  <c r="C2145" i="3"/>
  <c r="B2145" i="3"/>
  <c r="A2145" i="3"/>
  <c r="M2144" i="3"/>
  <c r="L2144" i="3"/>
  <c r="K2144" i="3"/>
  <c r="J2144" i="3"/>
  <c r="I2144" i="3"/>
  <c r="H2144" i="3"/>
  <c r="G2144" i="3"/>
  <c r="F2144" i="3"/>
  <c r="E2144" i="3"/>
  <c r="D2144" i="3"/>
  <c r="C2144" i="3"/>
  <c r="B2144" i="3"/>
  <c r="A2144" i="3"/>
  <c r="M2143" i="3"/>
  <c r="L2143" i="3"/>
  <c r="K2143" i="3"/>
  <c r="J2143" i="3"/>
  <c r="I2143" i="3"/>
  <c r="H2143" i="3"/>
  <c r="G2143" i="3"/>
  <c r="F2143" i="3"/>
  <c r="E2143" i="3"/>
  <c r="D2143" i="3"/>
  <c r="C2143" i="3"/>
  <c r="B2143" i="3"/>
  <c r="A2143" i="3"/>
  <c r="M2142" i="3"/>
  <c r="L2142" i="3"/>
  <c r="K2142" i="3"/>
  <c r="J2142" i="3"/>
  <c r="I2142" i="3"/>
  <c r="H2142" i="3"/>
  <c r="G2142" i="3"/>
  <c r="F2142" i="3"/>
  <c r="E2142" i="3"/>
  <c r="D2142" i="3"/>
  <c r="C2142" i="3"/>
  <c r="B2142" i="3"/>
  <c r="A2142" i="3"/>
  <c r="M2141" i="3"/>
  <c r="L2141" i="3"/>
  <c r="K2141" i="3"/>
  <c r="J2141" i="3"/>
  <c r="I2141" i="3"/>
  <c r="H2141" i="3"/>
  <c r="G2141" i="3"/>
  <c r="F2141" i="3"/>
  <c r="E2141" i="3"/>
  <c r="D2141" i="3"/>
  <c r="C2141" i="3"/>
  <c r="B2141" i="3"/>
  <c r="A2141" i="3"/>
  <c r="M2140" i="3"/>
  <c r="L2140" i="3"/>
  <c r="K2140" i="3"/>
  <c r="J2140" i="3"/>
  <c r="I2140" i="3"/>
  <c r="H2140" i="3"/>
  <c r="G2140" i="3"/>
  <c r="F2140" i="3"/>
  <c r="E2140" i="3"/>
  <c r="D2140" i="3"/>
  <c r="C2140" i="3"/>
  <c r="B2140" i="3"/>
  <c r="A2140" i="3"/>
  <c r="M2139" i="3"/>
  <c r="L2139" i="3"/>
  <c r="K2139" i="3"/>
  <c r="J2139" i="3"/>
  <c r="I2139" i="3"/>
  <c r="H2139" i="3"/>
  <c r="G2139" i="3"/>
  <c r="F2139" i="3"/>
  <c r="E2139" i="3"/>
  <c r="D2139" i="3"/>
  <c r="C2139" i="3"/>
  <c r="B2139" i="3"/>
  <c r="A2139" i="3"/>
  <c r="M2138" i="3"/>
  <c r="L2138" i="3"/>
  <c r="K2138" i="3"/>
  <c r="J2138" i="3"/>
  <c r="I2138" i="3"/>
  <c r="H2138" i="3"/>
  <c r="G2138" i="3"/>
  <c r="F2138" i="3"/>
  <c r="E2138" i="3"/>
  <c r="D2138" i="3"/>
  <c r="C2138" i="3"/>
  <c r="B2138" i="3"/>
  <c r="A2138" i="3"/>
  <c r="M2137" i="3"/>
  <c r="L2137" i="3"/>
  <c r="K2137" i="3"/>
  <c r="J2137" i="3"/>
  <c r="I2137" i="3"/>
  <c r="H2137" i="3"/>
  <c r="G2137" i="3"/>
  <c r="F2137" i="3"/>
  <c r="E2137" i="3"/>
  <c r="D2137" i="3"/>
  <c r="C2137" i="3"/>
  <c r="B2137" i="3"/>
  <c r="A2137" i="3"/>
  <c r="M2136" i="3"/>
  <c r="L2136" i="3"/>
  <c r="K2136" i="3"/>
  <c r="J2136" i="3"/>
  <c r="I2136" i="3"/>
  <c r="H2136" i="3"/>
  <c r="G2136" i="3"/>
  <c r="F2136" i="3"/>
  <c r="E2136" i="3"/>
  <c r="D2136" i="3"/>
  <c r="C2136" i="3"/>
  <c r="B2136" i="3"/>
  <c r="A2136" i="3"/>
  <c r="M2135" i="3"/>
  <c r="L2135" i="3"/>
  <c r="K2135" i="3"/>
  <c r="J2135" i="3"/>
  <c r="I2135" i="3"/>
  <c r="H2135" i="3"/>
  <c r="G2135" i="3"/>
  <c r="F2135" i="3"/>
  <c r="E2135" i="3"/>
  <c r="D2135" i="3"/>
  <c r="C2135" i="3"/>
  <c r="B2135" i="3"/>
  <c r="A2135" i="3"/>
  <c r="M2134" i="3"/>
  <c r="L2134" i="3"/>
  <c r="K2134" i="3"/>
  <c r="J2134" i="3"/>
  <c r="I2134" i="3"/>
  <c r="H2134" i="3"/>
  <c r="G2134" i="3"/>
  <c r="F2134" i="3"/>
  <c r="E2134" i="3"/>
  <c r="D2134" i="3"/>
  <c r="C2134" i="3"/>
  <c r="B2134" i="3"/>
  <c r="A2134" i="3"/>
  <c r="M2133" i="3"/>
  <c r="L2133" i="3"/>
  <c r="K2133" i="3"/>
  <c r="J2133" i="3"/>
  <c r="I2133" i="3"/>
  <c r="H2133" i="3"/>
  <c r="G2133" i="3"/>
  <c r="F2133" i="3"/>
  <c r="E2133" i="3"/>
  <c r="D2133" i="3"/>
  <c r="C2133" i="3"/>
  <c r="B2133" i="3"/>
  <c r="A2133" i="3"/>
  <c r="M2132" i="3"/>
  <c r="L2132" i="3"/>
  <c r="K2132" i="3"/>
  <c r="J2132" i="3"/>
  <c r="I2132" i="3"/>
  <c r="H2132" i="3"/>
  <c r="G2132" i="3"/>
  <c r="F2132" i="3"/>
  <c r="E2132" i="3"/>
  <c r="D2132" i="3"/>
  <c r="C2132" i="3"/>
  <c r="B2132" i="3"/>
  <c r="A2132" i="3"/>
  <c r="M2131" i="3"/>
  <c r="L2131" i="3"/>
  <c r="K2131" i="3"/>
  <c r="J2131" i="3"/>
  <c r="I2131" i="3"/>
  <c r="H2131" i="3"/>
  <c r="G2131" i="3"/>
  <c r="E2131" i="3"/>
  <c r="D2131" i="3"/>
  <c r="C2131" i="3"/>
  <c r="B2131" i="3"/>
  <c r="A2131" i="3"/>
  <c r="M2130" i="3"/>
  <c r="L2130" i="3"/>
  <c r="K2130" i="3"/>
  <c r="J2130" i="3"/>
  <c r="I2130" i="3"/>
  <c r="H2130" i="3"/>
  <c r="G2130" i="3"/>
  <c r="F2130" i="3"/>
  <c r="E2130" i="3"/>
  <c r="D2130" i="3"/>
  <c r="C2130" i="3"/>
  <c r="B2130" i="3"/>
  <c r="A2130" i="3"/>
  <c r="M2129" i="3"/>
  <c r="L2129" i="3"/>
  <c r="K2129" i="3"/>
  <c r="J2129" i="3"/>
  <c r="I2129" i="3"/>
  <c r="H2129" i="3"/>
  <c r="G2129" i="3"/>
  <c r="F2129" i="3"/>
  <c r="E2129" i="3"/>
  <c r="D2129" i="3"/>
  <c r="C2129" i="3"/>
  <c r="B2129" i="3"/>
  <c r="A2129" i="3"/>
  <c r="M2128" i="3"/>
  <c r="L2128" i="3"/>
  <c r="K2128" i="3"/>
  <c r="J2128" i="3"/>
  <c r="I2128" i="3"/>
  <c r="H2128" i="3"/>
  <c r="G2128" i="3"/>
  <c r="F2128" i="3"/>
  <c r="E2128" i="3"/>
  <c r="D2128" i="3"/>
  <c r="C2128" i="3"/>
  <c r="B2128" i="3"/>
  <c r="A2128" i="3"/>
  <c r="M2127" i="3"/>
  <c r="L2127" i="3"/>
  <c r="K2127" i="3"/>
  <c r="J2127" i="3"/>
  <c r="I2127" i="3"/>
  <c r="H2127" i="3"/>
  <c r="G2127" i="3"/>
  <c r="F2127" i="3"/>
  <c r="E2127" i="3"/>
  <c r="D2127" i="3"/>
  <c r="C2127" i="3"/>
  <c r="B2127" i="3"/>
  <c r="A2127" i="3"/>
  <c r="M2126" i="3"/>
  <c r="L2126" i="3"/>
  <c r="K2126" i="3"/>
  <c r="J2126" i="3"/>
  <c r="I2126" i="3"/>
  <c r="H2126" i="3"/>
  <c r="G2126" i="3"/>
  <c r="F2126" i="3"/>
  <c r="E2126" i="3"/>
  <c r="D2126" i="3"/>
  <c r="C2126" i="3"/>
  <c r="B2126" i="3"/>
  <c r="A2126" i="3"/>
  <c r="M2125" i="3"/>
  <c r="L2125" i="3"/>
  <c r="K2125" i="3"/>
  <c r="J2125" i="3"/>
  <c r="I2125" i="3"/>
  <c r="H2125" i="3"/>
  <c r="G2125" i="3"/>
  <c r="F2125" i="3"/>
  <c r="E2125" i="3"/>
  <c r="D2125" i="3"/>
  <c r="C2125" i="3"/>
  <c r="B2125" i="3"/>
  <c r="A2125" i="3"/>
  <c r="M2124" i="3"/>
  <c r="L2124" i="3"/>
  <c r="K2124" i="3"/>
  <c r="J2124" i="3"/>
  <c r="I2124" i="3"/>
  <c r="H2124" i="3"/>
  <c r="G2124" i="3"/>
  <c r="F2124" i="3"/>
  <c r="E2124" i="3"/>
  <c r="D2124" i="3"/>
  <c r="C2124" i="3"/>
  <c r="B2124" i="3"/>
  <c r="A2124" i="3"/>
  <c r="M2123" i="3"/>
  <c r="L2123" i="3"/>
  <c r="K2123" i="3"/>
  <c r="J2123" i="3"/>
  <c r="I2123" i="3"/>
  <c r="H2123" i="3"/>
  <c r="G2123" i="3"/>
  <c r="F2123" i="3"/>
  <c r="E2123" i="3"/>
  <c r="D2123" i="3"/>
  <c r="C2123" i="3"/>
  <c r="B2123" i="3"/>
  <c r="A2123" i="3"/>
  <c r="M2122" i="3"/>
  <c r="L2122" i="3"/>
  <c r="K2122" i="3"/>
  <c r="J2122" i="3"/>
  <c r="I2122" i="3"/>
  <c r="H2122" i="3"/>
  <c r="G2122" i="3"/>
  <c r="F2122" i="3"/>
  <c r="E2122" i="3"/>
  <c r="D2122" i="3"/>
  <c r="C2122" i="3"/>
  <c r="B2122" i="3"/>
  <c r="A2122" i="3"/>
  <c r="M2121" i="3"/>
  <c r="L2121" i="3"/>
  <c r="K2121" i="3"/>
  <c r="J2121" i="3"/>
  <c r="I2121" i="3"/>
  <c r="H2121" i="3"/>
  <c r="G2121" i="3"/>
  <c r="F2121" i="3"/>
  <c r="E2121" i="3"/>
  <c r="D2121" i="3"/>
  <c r="C2121" i="3"/>
  <c r="B2121" i="3"/>
  <c r="A2121" i="3"/>
  <c r="M2120" i="3"/>
  <c r="L2120" i="3"/>
  <c r="K2120" i="3"/>
  <c r="J2120" i="3"/>
  <c r="I2120" i="3"/>
  <c r="H2120" i="3"/>
  <c r="G2120" i="3"/>
  <c r="F2120" i="3"/>
  <c r="E2120" i="3"/>
  <c r="D2120" i="3"/>
  <c r="C2120" i="3"/>
  <c r="B2120" i="3"/>
  <c r="A2120" i="3"/>
  <c r="M2119" i="3"/>
  <c r="L2119" i="3"/>
  <c r="K2119" i="3"/>
  <c r="J2119" i="3"/>
  <c r="I2119" i="3"/>
  <c r="H2119" i="3"/>
  <c r="G2119" i="3"/>
  <c r="F2119" i="3"/>
  <c r="E2119" i="3"/>
  <c r="D2119" i="3"/>
  <c r="C2119" i="3"/>
  <c r="B2119" i="3"/>
  <c r="A2119" i="3"/>
  <c r="M2118" i="3"/>
  <c r="L2118" i="3"/>
  <c r="K2118" i="3"/>
  <c r="J2118" i="3"/>
  <c r="I2118" i="3"/>
  <c r="H2118" i="3"/>
  <c r="G2118" i="3"/>
  <c r="F2118" i="3"/>
  <c r="E2118" i="3"/>
  <c r="D2118" i="3"/>
  <c r="C2118" i="3"/>
  <c r="B2118" i="3"/>
  <c r="A2118" i="3"/>
  <c r="M2117" i="3"/>
  <c r="L2117" i="3"/>
  <c r="K2117" i="3"/>
  <c r="J2117" i="3"/>
  <c r="I2117" i="3"/>
  <c r="H2117" i="3"/>
  <c r="G2117" i="3"/>
  <c r="F2117" i="3"/>
  <c r="E2117" i="3"/>
  <c r="D2117" i="3"/>
  <c r="C2117" i="3"/>
  <c r="B2117" i="3"/>
  <c r="A2117" i="3"/>
  <c r="M2116" i="3"/>
  <c r="L2116" i="3"/>
  <c r="K2116" i="3"/>
  <c r="J2116" i="3"/>
  <c r="I2116" i="3"/>
  <c r="H2116" i="3"/>
  <c r="G2116" i="3"/>
  <c r="F2116" i="3"/>
  <c r="E2116" i="3"/>
  <c r="D2116" i="3"/>
  <c r="C2116" i="3"/>
  <c r="B2116" i="3"/>
  <c r="A2116" i="3"/>
  <c r="M2115" i="3"/>
  <c r="L2115" i="3"/>
  <c r="K2115" i="3"/>
  <c r="J2115" i="3"/>
  <c r="I2115" i="3"/>
  <c r="H2115" i="3"/>
  <c r="G2115" i="3"/>
  <c r="F2115" i="3"/>
  <c r="E2115" i="3"/>
  <c r="D2115" i="3"/>
  <c r="C2115" i="3"/>
  <c r="B2115" i="3"/>
  <c r="A2115" i="3"/>
  <c r="M2114" i="3"/>
  <c r="L2114" i="3"/>
  <c r="K2114" i="3"/>
  <c r="J2114" i="3"/>
  <c r="I2114" i="3"/>
  <c r="H2114" i="3"/>
  <c r="G2114" i="3"/>
  <c r="F2114" i="3"/>
  <c r="D2114" i="3"/>
  <c r="C2114" i="3"/>
  <c r="B2114" i="3"/>
  <c r="A2114" i="3"/>
  <c r="M2113" i="3"/>
  <c r="L2113" i="3"/>
  <c r="K2113" i="3"/>
  <c r="J2113" i="3"/>
  <c r="I2113" i="3"/>
  <c r="H2113" i="3"/>
  <c r="G2113" i="3"/>
  <c r="F2113" i="3"/>
  <c r="E2113" i="3"/>
  <c r="D2113" i="3"/>
  <c r="C2113" i="3"/>
  <c r="B2113" i="3"/>
  <c r="A2113" i="3"/>
  <c r="M2112" i="3"/>
  <c r="L2112" i="3"/>
  <c r="K2112" i="3"/>
  <c r="J2112" i="3"/>
  <c r="I2112" i="3"/>
  <c r="H2112" i="3"/>
  <c r="G2112" i="3"/>
  <c r="F2112" i="3"/>
  <c r="E2112" i="3"/>
  <c r="D2112" i="3"/>
  <c r="C2112" i="3"/>
  <c r="B2112" i="3"/>
  <c r="A2112" i="3"/>
  <c r="M2111" i="3"/>
  <c r="L2111" i="3"/>
  <c r="K2111" i="3"/>
  <c r="J2111" i="3"/>
  <c r="I2111" i="3"/>
  <c r="H2111" i="3"/>
  <c r="G2111" i="3"/>
  <c r="F2111" i="3"/>
  <c r="E2111" i="3"/>
  <c r="D2111" i="3"/>
  <c r="C2111" i="3"/>
  <c r="B2111" i="3"/>
  <c r="A2111" i="3"/>
  <c r="M2110" i="3"/>
  <c r="L2110" i="3"/>
  <c r="K2110" i="3"/>
  <c r="J2110" i="3"/>
  <c r="I2110" i="3"/>
  <c r="H2110" i="3"/>
  <c r="G2110" i="3"/>
  <c r="F2110" i="3"/>
  <c r="E2110" i="3"/>
  <c r="D2110" i="3"/>
  <c r="C2110" i="3"/>
  <c r="B2110" i="3"/>
  <c r="A2110" i="3"/>
  <c r="M2109" i="3"/>
  <c r="L2109" i="3"/>
  <c r="K2109" i="3"/>
  <c r="J2109" i="3"/>
  <c r="I2109" i="3"/>
  <c r="H2109" i="3"/>
  <c r="G2109" i="3"/>
  <c r="F2109" i="3"/>
  <c r="E2109" i="3"/>
  <c r="D2109" i="3"/>
  <c r="C2109" i="3"/>
  <c r="B2109" i="3"/>
  <c r="A2109" i="3"/>
  <c r="M2108" i="3"/>
  <c r="L2108" i="3"/>
  <c r="K2108" i="3"/>
  <c r="J2108" i="3"/>
  <c r="I2108" i="3"/>
  <c r="H2108" i="3"/>
  <c r="G2108" i="3"/>
  <c r="F2108" i="3"/>
  <c r="E2108" i="3"/>
  <c r="D2108" i="3"/>
  <c r="C2108" i="3"/>
  <c r="B2108" i="3"/>
  <c r="A2108" i="3"/>
  <c r="M2107" i="3"/>
  <c r="L2107" i="3"/>
  <c r="K2107" i="3"/>
  <c r="J2107" i="3"/>
  <c r="I2107" i="3"/>
  <c r="H2107" i="3"/>
  <c r="G2107" i="3"/>
  <c r="F2107" i="3"/>
  <c r="E2107" i="3"/>
  <c r="D2107" i="3"/>
  <c r="C2107" i="3"/>
  <c r="B2107" i="3"/>
  <c r="A2107" i="3"/>
  <c r="M2106" i="3"/>
  <c r="L2106" i="3"/>
  <c r="K2106" i="3"/>
  <c r="J2106" i="3"/>
  <c r="I2106" i="3"/>
  <c r="H2106" i="3"/>
  <c r="G2106" i="3"/>
  <c r="F2106" i="3"/>
  <c r="E2106" i="3"/>
  <c r="D2106" i="3"/>
  <c r="C2106" i="3"/>
  <c r="B2106" i="3"/>
  <c r="A2106" i="3"/>
  <c r="M2105" i="3"/>
  <c r="L2105" i="3"/>
  <c r="K2105" i="3"/>
  <c r="J2105" i="3"/>
  <c r="I2105" i="3"/>
  <c r="H2105" i="3"/>
  <c r="G2105" i="3"/>
  <c r="F2105" i="3"/>
  <c r="E2105" i="3"/>
  <c r="D2105" i="3"/>
  <c r="C2105" i="3"/>
  <c r="B2105" i="3"/>
  <c r="A2105" i="3"/>
  <c r="M2104" i="3"/>
  <c r="L2104" i="3"/>
  <c r="K2104" i="3"/>
  <c r="J2104" i="3"/>
  <c r="I2104" i="3"/>
  <c r="H2104" i="3"/>
  <c r="G2104" i="3"/>
  <c r="F2104" i="3"/>
  <c r="E2104" i="3"/>
  <c r="D2104" i="3"/>
  <c r="C2104" i="3"/>
  <c r="B2104" i="3"/>
  <c r="A2104" i="3"/>
  <c r="M2103" i="3"/>
  <c r="L2103" i="3"/>
  <c r="K2103" i="3"/>
  <c r="J2103" i="3"/>
  <c r="I2103" i="3"/>
  <c r="H2103" i="3"/>
  <c r="G2103" i="3"/>
  <c r="F2103" i="3"/>
  <c r="E2103" i="3"/>
  <c r="D2103" i="3"/>
  <c r="C2103" i="3"/>
  <c r="B2103" i="3"/>
  <c r="A2103" i="3"/>
  <c r="M2102" i="3"/>
  <c r="L2102" i="3"/>
  <c r="K2102" i="3"/>
  <c r="J2102" i="3"/>
  <c r="I2102" i="3"/>
  <c r="H2102" i="3"/>
  <c r="G2102" i="3"/>
  <c r="F2102" i="3"/>
  <c r="E2102" i="3"/>
  <c r="D2102" i="3"/>
  <c r="C2102" i="3"/>
  <c r="B2102" i="3"/>
  <c r="A2102" i="3"/>
  <c r="M2101" i="3"/>
  <c r="L2101" i="3"/>
  <c r="K2101" i="3"/>
  <c r="J2101" i="3"/>
  <c r="I2101" i="3"/>
  <c r="H2101" i="3"/>
  <c r="G2101" i="3"/>
  <c r="F2101" i="3"/>
  <c r="E2101" i="3"/>
  <c r="D2101" i="3"/>
  <c r="C2101" i="3"/>
  <c r="B2101" i="3"/>
  <c r="A2101" i="3"/>
  <c r="M2100" i="3"/>
  <c r="L2100" i="3"/>
  <c r="K2100" i="3"/>
  <c r="J2100" i="3"/>
  <c r="I2100" i="3"/>
  <c r="H2100" i="3"/>
  <c r="G2100" i="3"/>
  <c r="F2100" i="3"/>
  <c r="E2100" i="3"/>
  <c r="D2100" i="3"/>
  <c r="C2100" i="3"/>
  <c r="B2100" i="3"/>
  <c r="A2100" i="3"/>
  <c r="M2099" i="3"/>
  <c r="L2099" i="3"/>
  <c r="K2099" i="3"/>
  <c r="J2099" i="3"/>
  <c r="I2099" i="3"/>
  <c r="H2099" i="3"/>
  <c r="G2099" i="3"/>
  <c r="F2099" i="3"/>
  <c r="E2099" i="3"/>
  <c r="D2099" i="3"/>
  <c r="C2099" i="3"/>
  <c r="B2099" i="3"/>
  <c r="A2099" i="3"/>
  <c r="M2098" i="3"/>
  <c r="L2098" i="3"/>
  <c r="K2098" i="3"/>
  <c r="J2098" i="3"/>
  <c r="I2098" i="3"/>
  <c r="H2098" i="3"/>
  <c r="G2098" i="3"/>
  <c r="F2098" i="3"/>
  <c r="E2098" i="3"/>
  <c r="D2098" i="3"/>
  <c r="C2098" i="3"/>
  <c r="B2098" i="3"/>
  <c r="A2098" i="3"/>
  <c r="M2097" i="3"/>
  <c r="L2097" i="3"/>
  <c r="K2097" i="3"/>
  <c r="J2097" i="3"/>
  <c r="I2097" i="3"/>
  <c r="H2097" i="3"/>
  <c r="G2097" i="3"/>
  <c r="F2097" i="3"/>
  <c r="E2097" i="3"/>
  <c r="D2097" i="3"/>
  <c r="C2097" i="3"/>
  <c r="B2097" i="3"/>
  <c r="A2097" i="3"/>
  <c r="M2096" i="3"/>
  <c r="L2096" i="3"/>
  <c r="K2096" i="3"/>
  <c r="J2096" i="3"/>
  <c r="I2096" i="3"/>
  <c r="H2096" i="3"/>
  <c r="G2096" i="3"/>
  <c r="F2096" i="3"/>
  <c r="E2096" i="3"/>
  <c r="D2096" i="3"/>
  <c r="C2096" i="3"/>
  <c r="B2096" i="3"/>
  <c r="A2096" i="3"/>
  <c r="M2095" i="3"/>
  <c r="L2095" i="3"/>
  <c r="K2095" i="3"/>
  <c r="J2095" i="3"/>
  <c r="I2095" i="3"/>
  <c r="H2095" i="3"/>
  <c r="G2095" i="3"/>
  <c r="F2095" i="3"/>
  <c r="E2095" i="3"/>
  <c r="D2095" i="3"/>
  <c r="C2095" i="3"/>
  <c r="B2095" i="3"/>
  <c r="A2095" i="3"/>
  <c r="M2094" i="3"/>
  <c r="L2094" i="3"/>
  <c r="K2094" i="3"/>
  <c r="J2094" i="3"/>
  <c r="I2094" i="3"/>
  <c r="H2094" i="3"/>
  <c r="G2094" i="3"/>
  <c r="F2094" i="3"/>
  <c r="E2094" i="3"/>
  <c r="D2094" i="3"/>
  <c r="C2094" i="3"/>
  <c r="B2094" i="3"/>
  <c r="A2094" i="3"/>
  <c r="M2093" i="3"/>
  <c r="L2093" i="3"/>
  <c r="K2093" i="3"/>
  <c r="J2093" i="3"/>
  <c r="I2093" i="3"/>
  <c r="H2093" i="3"/>
  <c r="G2093" i="3"/>
  <c r="F2093" i="3"/>
  <c r="E2093" i="3"/>
  <c r="D2093" i="3"/>
  <c r="C2093" i="3"/>
  <c r="B2093" i="3"/>
  <c r="A2093" i="3"/>
  <c r="M2092" i="3"/>
  <c r="L2092" i="3"/>
  <c r="K2092" i="3"/>
  <c r="J2092" i="3"/>
  <c r="I2092" i="3"/>
  <c r="H2092" i="3"/>
  <c r="G2092" i="3"/>
  <c r="F2092" i="3"/>
  <c r="E2092" i="3"/>
  <c r="D2092" i="3"/>
  <c r="C2092" i="3"/>
  <c r="B2092" i="3"/>
  <c r="A2092" i="3"/>
  <c r="M2091" i="3"/>
  <c r="L2091" i="3"/>
  <c r="K2091" i="3"/>
  <c r="J2091" i="3"/>
  <c r="I2091" i="3"/>
  <c r="H2091" i="3"/>
  <c r="G2091" i="3"/>
  <c r="F2091" i="3"/>
  <c r="E2091" i="3"/>
  <c r="D2091" i="3"/>
  <c r="C2091" i="3"/>
  <c r="B2091" i="3"/>
  <c r="A2091" i="3"/>
  <c r="M2090" i="3"/>
  <c r="L2090" i="3"/>
  <c r="K2090" i="3"/>
  <c r="J2090" i="3"/>
  <c r="I2090" i="3"/>
  <c r="H2090" i="3"/>
  <c r="G2090" i="3"/>
  <c r="F2090" i="3"/>
  <c r="E2090" i="3"/>
  <c r="D2090" i="3"/>
  <c r="C2090" i="3"/>
  <c r="B2090" i="3"/>
  <c r="A2090" i="3"/>
  <c r="M2089" i="3"/>
  <c r="L2089" i="3"/>
  <c r="K2089" i="3"/>
  <c r="J2089" i="3"/>
  <c r="I2089" i="3"/>
  <c r="H2089" i="3"/>
  <c r="G2089" i="3"/>
  <c r="F2089" i="3"/>
  <c r="E2089" i="3"/>
  <c r="D2089" i="3"/>
  <c r="C2089" i="3"/>
  <c r="B2089" i="3"/>
  <c r="A2089" i="3"/>
  <c r="M2088" i="3"/>
  <c r="L2088" i="3"/>
  <c r="K2088" i="3"/>
  <c r="J2088" i="3"/>
  <c r="I2088" i="3"/>
  <c r="H2088" i="3"/>
  <c r="G2088" i="3"/>
  <c r="F2088" i="3"/>
  <c r="E2088" i="3"/>
  <c r="D2088" i="3"/>
  <c r="C2088" i="3"/>
  <c r="B2088" i="3"/>
  <c r="A2088" i="3"/>
  <c r="M2087" i="3"/>
  <c r="L2087" i="3"/>
  <c r="K2087" i="3"/>
  <c r="J2087" i="3"/>
  <c r="I2087" i="3"/>
  <c r="H2087" i="3"/>
  <c r="G2087" i="3"/>
  <c r="F2087" i="3"/>
  <c r="E2087" i="3"/>
  <c r="D2087" i="3"/>
  <c r="C2087" i="3"/>
  <c r="B2087" i="3"/>
  <c r="A2087" i="3"/>
  <c r="M2086" i="3"/>
  <c r="L2086" i="3"/>
  <c r="K2086" i="3"/>
  <c r="J2086" i="3"/>
  <c r="I2086" i="3"/>
  <c r="H2086" i="3"/>
  <c r="G2086" i="3"/>
  <c r="F2086" i="3"/>
  <c r="D2086" i="3"/>
  <c r="C2086" i="3"/>
  <c r="B2086" i="3"/>
  <c r="A2086" i="3"/>
  <c r="M2085" i="3"/>
  <c r="L2085" i="3"/>
  <c r="K2085" i="3"/>
  <c r="J2085" i="3"/>
  <c r="I2085" i="3"/>
  <c r="H2085" i="3"/>
  <c r="G2085" i="3"/>
  <c r="F2085" i="3"/>
  <c r="E2085" i="3"/>
  <c r="D2085" i="3"/>
  <c r="C2085" i="3"/>
  <c r="B2085" i="3"/>
  <c r="A2085" i="3"/>
  <c r="M2084" i="3"/>
  <c r="L2084" i="3"/>
  <c r="K2084" i="3"/>
  <c r="J2084" i="3"/>
  <c r="I2084" i="3"/>
  <c r="H2084" i="3"/>
  <c r="G2084" i="3"/>
  <c r="F2084" i="3"/>
  <c r="E2084" i="3"/>
  <c r="D2084" i="3"/>
  <c r="C2084" i="3"/>
  <c r="B2084" i="3"/>
  <c r="A2084" i="3"/>
  <c r="M2083" i="3"/>
  <c r="L2083" i="3"/>
  <c r="K2083" i="3"/>
  <c r="J2083" i="3"/>
  <c r="I2083" i="3"/>
  <c r="H2083" i="3"/>
  <c r="G2083" i="3"/>
  <c r="F2083" i="3"/>
  <c r="E2083" i="3"/>
  <c r="D2083" i="3"/>
  <c r="C2083" i="3"/>
  <c r="B2083" i="3"/>
  <c r="A2083" i="3"/>
  <c r="M2082" i="3"/>
  <c r="L2082" i="3"/>
  <c r="K2082" i="3"/>
  <c r="J2082" i="3"/>
  <c r="I2082" i="3"/>
  <c r="H2082" i="3"/>
  <c r="G2082" i="3"/>
  <c r="F2082" i="3"/>
  <c r="E2082" i="3"/>
  <c r="D2082" i="3"/>
  <c r="C2082" i="3"/>
  <c r="B2082" i="3"/>
  <c r="A2082" i="3"/>
  <c r="M2081" i="3"/>
  <c r="L2081" i="3"/>
  <c r="K2081" i="3"/>
  <c r="J2081" i="3"/>
  <c r="I2081" i="3"/>
  <c r="H2081" i="3"/>
  <c r="F2081" i="3"/>
  <c r="E2081" i="3"/>
  <c r="D2081" i="3"/>
  <c r="C2081" i="3"/>
  <c r="B2081" i="3"/>
  <c r="A2081" i="3"/>
  <c r="M2080" i="3"/>
  <c r="L2080" i="3"/>
  <c r="K2080" i="3"/>
  <c r="J2080" i="3"/>
  <c r="I2080" i="3"/>
  <c r="H2080" i="3"/>
  <c r="F2080" i="3"/>
  <c r="E2080" i="3"/>
  <c r="D2080" i="3"/>
  <c r="C2080" i="3"/>
  <c r="B2080" i="3"/>
  <c r="A2080" i="3"/>
  <c r="M2079" i="3"/>
  <c r="L2079" i="3"/>
  <c r="K2079" i="3"/>
  <c r="J2079" i="3"/>
  <c r="I2079" i="3"/>
  <c r="H2079" i="3"/>
  <c r="G2079" i="3"/>
  <c r="F2079" i="3"/>
  <c r="E2079" i="3"/>
  <c r="D2079" i="3"/>
  <c r="C2079" i="3"/>
  <c r="B2079" i="3"/>
  <c r="A2079" i="3"/>
  <c r="M2078" i="3"/>
  <c r="L2078" i="3"/>
  <c r="K2078" i="3"/>
  <c r="J2078" i="3"/>
  <c r="I2078" i="3"/>
  <c r="H2078" i="3"/>
  <c r="G2078" i="3"/>
  <c r="F2078" i="3"/>
  <c r="E2078" i="3"/>
  <c r="D2078" i="3"/>
  <c r="C2078" i="3"/>
  <c r="B2078" i="3"/>
  <c r="A2078" i="3"/>
  <c r="M2077" i="3"/>
  <c r="L2077" i="3"/>
  <c r="K2077" i="3"/>
  <c r="J2077" i="3"/>
  <c r="I2077" i="3"/>
  <c r="H2077" i="3"/>
  <c r="G2077" i="3"/>
  <c r="F2077" i="3"/>
  <c r="E2077" i="3"/>
  <c r="D2077" i="3"/>
  <c r="C2077" i="3"/>
  <c r="B2077" i="3"/>
  <c r="A2077" i="3"/>
  <c r="M2076" i="3"/>
  <c r="L2076" i="3"/>
  <c r="K2076" i="3"/>
  <c r="J2076" i="3"/>
  <c r="I2076" i="3"/>
  <c r="H2076" i="3"/>
  <c r="G2076" i="3"/>
  <c r="F2076" i="3"/>
  <c r="E2076" i="3"/>
  <c r="D2076" i="3"/>
  <c r="C2076" i="3"/>
  <c r="B2076" i="3"/>
  <c r="A2076" i="3"/>
  <c r="M2075" i="3"/>
  <c r="L2075" i="3"/>
  <c r="K2075" i="3"/>
  <c r="J2075" i="3"/>
  <c r="I2075" i="3"/>
  <c r="H2075" i="3"/>
  <c r="G2075" i="3"/>
  <c r="F2075" i="3"/>
  <c r="E2075" i="3"/>
  <c r="D2075" i="3"/>
  <c r="C2075" i="3"/>
  <c r="B2075" i="3"/>
  <c r="A2075" i="3"/>
  <c r="M2074" i="3"/>
  <c r="L2074" i="3"/>
  <c r="K2074" i="3"/>
  <c r="J2074" i="3"/>
  <c r="I2074" i="3"/>
  <c r="H2074" i="3"/>
  <c r="G2074" i="3"/>
  <c r="F2074" i="3"/>
  <c r="E2074" i="3"/>
  <c r="D2074" i="3"/>
  <c r="C2074" i="3"/>
  <c r="B2074" i="3"/>
  <c r="A2074" i="3"/>
  <c r="M2073" i="3"/>
  <c r="L2073" i="3"/>
  <c r="K2073" i="3"/>
  <c r="J2073" i="3"/>
  <c r="I2073" i="3"/>
  <c r="H2073" i="3"/>
  <c r="G2073" i="3"/>
  <c r="F2073" i="3"/>
  <c r="E2073" i="3"/>
  <c r="D2073" i="3"/>
  <c r="C2073" i="3"/>
  <c r="B2073" i="3"/>
  <c r="A2073" i="3"/>
  <c r="M2072" i="3"/>
  <c r="L2072" i="3"/>
  <c r="K2072" i="3"/>
  <c r="J2072" i="3"/>
  <c r="I2072" i="3"/>
  <c r="H2072" i="3"/>
  <c r="G2072" i="3"/>
  <c r="F2072" i="3"/>
  <c r="E2072" i="3"/>
  <c r="D2072" i="3"/>
  <c r="C2072" i="3"/>
  <c r="B2072" i="3"/>
  <c r="A2072" i="3"/>
  <c r="M2071" i="3"/>
  <c r="L2071" i="3"/>
  <c r="K2071" i="3"/>
  <c r="J2071" i="3"/>
  <c r="I2071" i="3"/>
  <c r="H2071" i="3"/>
  <c r="G2071" i="3"/>
  <c r="F2071" i="3"/>
  <c r="E2071" i="3"/>
  <c r="D2071" i="3"/>
  <c r="C2071" i="3"/>
  <c r="B2071" i="3"/>
  <c r="A2071" i="3"/>
  <c r="M2070" i="3"/>
  <c r="L2070" i="3"/>
  <c r="K2070" i="3"/>
  <c r="J2070" i="3"/>
  <c r="I2070" i="3"/>
  <c r="H2070" i="3"/>
  <c r="G2070" i="3"/>
  <c r="F2070" i="3"/>
  <c r="E2070" i="3"/>
  <c r="D2070" i="3"/>
  <c r="C2070" i="3"/>
  <c r="B2070" i="3"/>
  <c r="A2070" i="3"/>
  <c r="M2069" i="3"/>
  <c r="L2069" i="3"/>
  <c r="K2069" i="3"/>
  <c r="J2069" i="3"/>
  <c r="I2069" i="3"/>
  <c r="H2069" i="3"/>
  <c r="G2069" i="3"/>
  <c r="F2069" i="3"/>
  <c r="E2069" i="3"/>
  <c r="D2069" i="3"/>
  <c r="C2069" i="3"/>
  <c r="B2069" i="3"/>
  <c r="A2069" i="3"/>
  <c r="M2068" i="3"/>
  <c r="L2068" i="3"/>
  <c r="K2068" i="3"/>
  <c r="J2068" i="3"/>
  <c r="I2068" i="3"/>
  <c r="H2068" i="3"/>
  <c r="G2068" i="3"/>
  <c r="F2068" i="3"/>
  <c r="E2068" i="3"/>
  <c r="D2068" i="3"/>
  <c r="C2068" i="3"/>
  <c r="B2068" i="3"/>
  <c r="A2068" i="3"/>
  <c r="M2067" i="3"/>
  <c r="L2067" i="3"/>
  <c r="K2067" i="3"/>
  <c r="J2067" i="3"/>
  <c r="I2067" i="3"/>
  <c r="H2067" i="3"/>
  <c r="G2067" i="3"/>
  <c r="F2067" i="3"/>
  <c r="E2067" i="3"/>
  <c r="D2067" i="3"/>
  <c r="C2067" i="3"/>
  <c r="B2067" i="3"/>
  <c r="A2067" i="3"/>
  <c r="M2066" i="3"/>
  <c r="L2066" i="3"/>
  <c r="K2066" i="3"/>
  <c r="J2066" i="3"/>
  <c r="I2066" i="3"/>
  <c r="H2066" i="3"/>
  <c r="G2066" i="3"/>
  <c r="F2066" i="3"/>
  <c r="E2066" i="3"/>
  <c r="D2066" i="3"/>
  <c r="C2066" i="3"/>
  <c r="B2066" i="3"/>
  <c r="A2066" i="3"/>
  <c r="M2065" i="3"/>
  <c r="L2065" i="3"/>
  <c r="K2065" i="3"/>
  <c r="J2065" i="3"/>
  <c r="I2065" i="3"/>
  <c r="H2065" i="3"/>
  <c r="G2065" i="3"/>
  <c r="F2065" i="3"/>
  <c r="E2065" i="3"/>
  <c r="D2065" i="3"/>
  <c r="C2065" i="3"/>
  <c r="B2065" i="3"/>
  <c r="A2065" i="3"/>
  <c r="M2064" i="3"/>
  <c r="L2064" i="3"/>
  <c r="K2064" i="3"/>
  <c r="J2064" i="3"/>
  <c r="I2064" i="3"/>
  <c r="H2064" i="3"/>
  <c r="G2064" i="3"/>
  <c r="F2064" i="3"/>
  <c r="E2064" i="3"/>
  <c r="D2064" i="3"/>
  <c r="C2064" i="3"/>
  <c r="B2064" i="3"/>
  <c r="A2064" i="3"/>
  <c r="M2063" i="3"/>
  <c r="L2063" i="3"/>
  <c r="K2063" i="3"/>
  <c r="J2063" i="3"/>
  <c r="I2063" i="3"/>
  <c r="H2063" i="3"/>
  <c r="G2063" i="3"/>
  <c r="F2063" i="3"/>
  <c r="E2063" i="3"/>
  <c r="D2063" i="3"/>
  <c r="C2063" i="3"/>
  <c r="B2063" i="3"/>
  <c r="A2063" i="3"/>
  <c r="M2062" i="3"/>
  <c r="L2062" i="3"/>
  <c r="K2062" i="3"/>
  <c r="J2062" i="3"/>
  <c r="I2062" i="3"/>
  <c r="H2062" i="3"/>
  <c r="G2062" i="3"/>
  <c r="F2062" i="3"/>
  <c r="E2062" i="3"/>
  <c r="D2062" i="3"/>
  <c r="C2062" i="3"/>
  <c r="B2062" i="3"/>
  <c r="A2062" i="3"/>
  <c r="M2061" i="3"/>
  <c r="L2061" i="3"/>
  <c r="K2061" i="3"/>
  <c r="J2061" i="3"/>
  <c r="I2061" i="3"/>
  <c r="H2061" i="3"/>
  <c r="G2061" i="3"/>
  <c r="F2061" i="3"/>
  <c r="E2061" i="3"/>
  <c r="D2061" i="3"/>
  <c r="C2061" i="3"/>
  <c r="B2061" i="3"/>
  <c r="A2061" i="3"/>
  <c r="M2060" i="3"/>
  <c r="L2060" i="3"/>
  <c r="K2060" i="3"/>
  <c r="J2060" i="3"/>
  <c r="I2060" i="3"/>
  <c r="H2060" i="3"/>
  <c r="G2060" i="3"/>
  <c r="F2060" i="3"/>
  <c r="E2060" i="3"/>
  <c r="D2060" i="3"/>
  <c r="C2060" i="3"/>
  <c r="B2060" i="3"/>
  <c r="A2060" i="3"/>
  <c r="M2059" i="3"/>
  <c r="L2059" i="3"/>
  <c r="K2059" i="3"/>
  <c r="J2059" i="3"/>
  <c r="I2059" i="3"/>
  <c r="H2059" i="3"/>
  <c r="G2059" i="3"/>
  <c r="F2059" i="3"/>
  <c r="E2059" i="3"/>
  <c r="D2059" i="3"/>
  <c r="C2059" i="3"/>
  <c r="B2059" i="3"/>
  <c r="A2059" i="3"/>
  <c r="M2058" i="3"/>
  <c r="L2058" i="3"/>
  <c r="K2058" i="3"/>
  <c r="J2058" i="3"/>
  <c r="I2058" i="3"/>
  <c r="H2058" i="3"/>
  <c r="G2058" i="3"/>
  <c r="F2058" i="3"/>
  <c r="E2058" i="3"/>
  <c r="D2058" i="3"/>
  <c r="C2058" i="3"/>
  <c r="B2058" i="3"/>
  <c r="A2058" i="3"/>
  <c r="M2057" i="3"/>
  <c r="L2057" i="3"/>
  <c r="K2057" i="3"/>
  <c r="J2057" i="3"/>
  <c r="I2057" i="3"/>
  <c r="H2057" i="3"/>
  <c r="G2057" i="3"/>
  <c r="F2057" i="3"/>
  <c r="E2057" i="3"/>
  <c r="D2057" i="3"/>
  <c r="C2057" i="3"/>
  <c r="B2057" i="3"/>
  <c r="A2057" i="3"/>
  <c r="M2056" i="3"/>
  <c r="L2056" i="3"/>
  <c r="K2056" i="3"/>
  <c r="J2056" i="3"/>
  <c r="I2056" i="3"/>
  <c r="H2056" i="3"/>
  <c r="G2056" i="3"/>
  <c r="F2056" i="3"/>
  <c r="E2056" i="3"/>
  <c r="D2056" i="3"/>
  <c r="C2056" i="3"/>
  <c r="B2056" i="3"/>
  <c r="A2056" i="3"/>
  <c r="M2055" i="3"/>
  <c r="L2055" i="3"/>
  <c r="K2055" i="3"/>
  <c r="J2055" i="3"/>
  <c r="I2055" i="3"/>
  <c r="H2055" i="3"/>
  <c r="G2055" i="3"/>
  <c r="F2055" i="3"/>
  <c r="E2055" i="3"/>
  <c r="D2055" i="3"/>
  <c r="C2055" i="3"/>
  <c r="B2055" i="3"/>
  <c r="A2055" i="3"/>
  <c r="M2054" i="3"/>
  <c r="L2054" i="3"/>
  <c r="K2054" i="3"/>
  <c r="J2054" i="3"/>
  <c r="I2054" i="3"/>
  <c r="H2054" i="3"/>
  <c r="G2054" i="3"/>
  <c r="F2054" i="3"/>
  <c r="E2054" i="3"/>
  <c r="D2054" i="3"/>
  <c r="C2054" i="3"/>
  <c r="B2054" i="3"/>
  <c r="A2054" i="3"/>
  <c r="M2053" i="3"/>
  <c r="L2053" i="3"/>
  <c r="K2053" i="3"/>
  <c r="J2053" i="3"/>
  <c r="I2053" i="3"/>
  <c r="H2053" i="3"/>
  <c r="G2053" i="3"/>
  <c r="F2053" i="3"/>
  <c r="E2053" i="3"/>
  <c r="D2053" i="3"/>
  <c r="C2053" i="3"/>
  <c r="B2053" i="3"/>
  <c r="A2053" i="3"/>
  <c r="M2052" i="3"/>
  <c r="L2052" i="3"/>
  <c r="K2052" i="3"/>
  <c r="J2052" i="3"/>
  <c r="I2052" i="3"/>
  <c r="H2052" i="3"/>
  <c r="G2052" i="3"/>
  <c r="F2052" i="3"/>
  <c r="E2052" i="3"/>
  <c r="D2052" i="3"/>
  <c r="B2052" i="3"/>
  <c r="A2052" i="3"/>
  <c r="M2051" i="3"/>
  <c r="L2051" i="3"/>
  <c r="K2051" i="3"/>
  <c r="J2051" i="3"/>
  <c r="I2051" i="3"/>
  <c r="H2051" i="3"/>
  <c r="G2051" i="3"/>
  <c r="F2051" i="3"/>
  <c r="E2051" i="3"/>
  <c r="D2051" i="3"/>
  <c r="C2051" i="3"/>
  <c r="B2051" i="3"/>
  <c r="A2051" i="3"/>
  <c r="M2050" i="3"/>
  <c r="L2050" i="3"/>
  <c r="K2050" i="3"/>
  <c r="J2050" i="3"/>
  <c r="I2050" i="3"/>
  <c r="H2050" i="3"/>
  <c r="G2050" i="3"/>
  <c r="F2050" i="3"/>
  <c r="E2050" i="3"/>
  <c r="D2050" i="3"/>
  <c r="C2050" i="3"/>
  <c r="B2050" i="3"/>
  <c r="A2050" i="3"/>
  <c r="M2049" i="3"/>
  <c r="L2049" i="3"/>
  <c r="K2049" i="3"/>
  <c r="J2049" i="3"/>
  <c r="I2049" i="3"/>
  <c r="H2049" i="3"/>
  <c r="G2049" i="3"/>
  <c r="F2049" i="3"/>
  <c r="E2049" i="3"/>
  <c r="D2049" i="3"/>
  <c r="C2049" i="3"/>
  <c r="B2049" i="3"/>
  <c r="A2049" i="3"/>
  <c r="M2048" i="3"/>
  <c r="L2048" i="3"/>
  <c r="K2048" i="3"/>
  <c r="J2048" i="3"/>
  <c r="I2048" i="3"/>
  <c r="H2048" i="3"/>
  <c r="G2048" i="3"/>
  <c r="F2048" i="3"/>
  <c r="E2048" i="3"/>
  <c r="D2048" i="3"/>
  <c r="C2048" i="3"/>
  <c r="B2048" i="3"/>
  <c r="A2048" i="3"/>
  <c r="M2047" i="3"/>
  <c r="L2047" i="3"/>
  <c r="K2047" i="3"/>
  <c r="J2047" i="3"/>
  <c r="I2047" i="3"/>
  <c r="H2047" i="3"/>
  <c r="G2047" i="3"/>
  <c r="F2047" i="3"/>
  <c r="E2047" i="3"/>
  <c r="D2047" i="3"/>
  <c r="C2047" i="3"/>
  <c r="B2047" i="3"/>
  <c r="A2047" i="3"/>
  <c r="M2046" i="3"/>
  <c r="L2046" i="3"/>
  <c r="K2046" i="3"/>
  <c r="J2046" i="3"/>
  <c r="I2046" i="3"/>
  <c r="H2046" i="3"/>
  <c r="G2046" i="3"/>
  <c r="F2046" i="3"/>
  <c r="E2046" i="3"/>
  <c r="D2046" i="3"/>
  <c r="C2046" i="3"/>
  <c r="B2046" i="3"/>
  <c r="A2046" i="3"/>
  <c r="M2045" i="3"/>
  <c r="L2045" i="3"/>
  <c r="K2045" i="3"/>
  <c r="J2045" i="3"/>
  <c r="I2045" i="3"/>
  <c r="H2045" i="3"/>
  <c r="G2045" i="3"/>
  <c r="F2045" i="3"/>
  <c r="E2045" i="3"/>
  <c r="D2045" i="3"/>
  <c r="C2045" i="3"/>
  <c r="B2045" i="3"/>
  <c r="A2045" i="3"/>
  <c r="M2044" i="3"/>
  <c r="L2044" i="3"/>
  <c r="K2044" i="3"/>
  <c r="J2044" i="3"/>
  <c r="I2044" i="3"/>
  <c r="H2044" i="3"/>
  <c r="G2044" i="3"/>
  <c r="F2044" i="3"/>
  <c r="E2044" i="3"/>
  <c r="D2044" i="3"/>
  <c r="C2044" i="3"/>
  <c r="B2044" i="3"/>
  <c r="A2044" i="3"/>
  <c r="M2043" i="3"/>
  <c r="L2043" i="3"/>
  <c r="K2043" i="3"/>
  <c r="J2043" i="3"/>
  <c r="I2043" i="3"/>
  <c r="H2043" i="3"/>
  <c r="G2043" i="3"/>
  <c r="F2043" i="3"/>
  <c r="E2043" i="3"/>
  <c r="D2043" i="3"/>
  <c r="C2043" i="3"/>
  <c r="B2043" i="3"/>
  <c r="A2043" i="3"/>
  <c r="M2042" i="3"/>
  <c r="L2042" i="3"/>
  <c r="K2042" i="3"/>
  <c r="J2042" i="3"/>
  <c r="I2042" i="3"/>
  <c r="H2042" i="3"/>
  <c r="G2042" i="3"/>
  <c r="F2042" i="3"/>
  <c r="E2042" i="3"/>
  <c r="D2042" i="3"/>
  <c r="C2042" i="3"/>
  <c r="B2042" i="3"/>
  <c r="A2042" i="3"/>
  <c r="M2041" i="3"/>
  <c r="L2041" i="3"/>
  <c r="K2041" i="3"/>
  <c r="J2041" i="3"/>
  <c r="I2041" i="3"/>
  <c r="H2041" i="3"/>
  <c r="G2041" i="3"/>
  <c r="F2041" i="3"/>
  <c r="E2041" i="3"/>
  <c r="D2041" i="3"/>
  <c r="C2041" i="3"/>
  <c r="B2041" i="3"/>
  <c r="A2041" i="3"/>
  <c r="M2040" i="3"/>
  <c r="L2040" i="3"/>
  <c r="K2040" i="3"/>
  <c r="J2040" i="3"/>
  <c r="I2040" i="3"/>
  <c r="H2040" i="3"/>
  <c r="G2040" i="3"/>
  <c r="F2040" i="3"/>
  <c r="E2040" i="3"/>
  <c r="D2040" i="3"/>
  <c r="C2040" i="3"/>
  <c r="B2040" i="3"/>
  <c r="A2040" i="3"/>
  <c r="M2039" i="3"/>
  <c r="L2039" i="3"/>
  <c r="K2039" i="3"/>
  <c r="J2039" i="3"/>
  <c r="I2039" i="3"/>
  <c r="H2039" i="3"/>
  <c r="G2039" i="3"/>
  <c r="F2039" i="3"/>
  <c r="E2039" i="3"/>
  <c r="D2039" i="3"/>
  <c r="B2039" i="3"/>
  <c r="A2039" i="3"/>
  <c r="M2038" i="3"/>
  <c r="L2038" i="3"/>
  <c r="K2038" i="3"/>
  <c r="J2038" i="3"/>
  <c r="I2038" i="3"/>
  <c r="H2038" i="3"/>
  <c r="G2038" i="3"/>
  <c r="F2038" i="3"/>
  <c r="E2038" i="3"/>
  <c r="D2038" i="3"/>
  <c r="C2038" i="3"/>
  <c r="B2038" i="3"/>
  <c r="A2038" i="3"/>
  <c r="M2037" i="3"/>
  <c r="L2037" i="3"/>
  <c r="K2037" i="3"/>
  <c r="J2037" i="3"/>
  <c r="I2037" i="3"/>
  <c r="H2037" i="3"/>
  <c r="F2037" i="3"/>
  <c r="E2037" i="3"/>
  <c r="D2037" i="3"/>
  <c r="C2037" i="3"/>
  <c r="B2037" i="3"/>
  <c r="A2037" i="3"/>
  <c r="M2036" i="3"/>
  <c r="L2036" i="3"/>
  <c r="K2036" i="3"/>
  <c r="J2036" i="3"/>
  <c r="I2036" i="3"/>
  <c r="H2036" i="3"/>
  <c r="G2036" i="3"/>
  <c r="F2036" i="3"/>
  <c r="E2036" i="3"/>
  <c r="D2036" i="3"/>
  <c r="C2036" i="3"/>
  <c r="B2036" i="3"/>
  <c r="A2036" i="3"/>
  <c r="M2035" i="3"/>
  <c r="L2035" i="3"/>
  <c r="K2035" i="3"/>
  <c r="J2035" i="3"/>
  <c r="I2035" i="3"/>
  <c r="H2035" i="3"/>
  <c r="G2035" i="3"/>
  <c r="F2035" i="3"/>
  <c r="E2035" i="3"/>
  <c r="D2035" i="3"/>
  <c r="C2035" i="3"/>
  <c r="B2035" i="3"/>
  <c r="A2035" i="3"/>
  <c r="M2034" i="3"/>
  <c r="L2034" i="3"/>
  <c r="K2034" i="3"/>
  <c r="J2034" i="3"/>
  <c r="I2034" i="3"/>
  <c r="H2034" i="3"/>
  <c r="G2034" i="3"/>
  <c r="F2034" i="3"/>
  <c r="E2034" i="3"/>
  <c r="D2034" i="3"/>
  <c r="C2034" i="3"/>
  <c r="B2034" i="3"/>
  <c r="A2034" i="3"/>
  <c r="M2033" i="3"/>
  <c r="L2033" i="3"/>
  <c r="K2033" i="3"/>
  <c r="J2033" i="3"/>
  <c r="I2033" i="3"/>
  <c r="H2033" i="3"/>
  <c r="G2033" i="3"/>
  <c r="F2033" i="3"/>
  <c r="E2033" i="3"/>
  <c r="D2033" i="3"/>
  <c r="C2033" i="3"/>
  <c r="B2033" i="3"/>
  <c r="A2033" i="3"/>
  <c r="M2032" i="3"/>
  <c r="L2032" i="3"/>
  <c r="K2032" i="3"/>
  <c r="J2032" i="3"/>
  <c r="I2032" i="3"/>
  <c r="H2032" i="3"/>
  <c r="G2032" i="3"/>
  <c r="E2032" i="3"/>
  <c r="D2032" i="3"/>
  <c r="C2032" i="3"/>
  <c r="B2032" i="3"/>
  <c r="A2032" i="3"/>
  <c r="M2031" i="3"/>
  <c r="L2031" i="3"/>
  <c r="K2031" i="3"/>
  <c r="J2031" i="3"/>
  <c r="I2031" i="3"/>
  <c r="H2031" i="3"/>
  <c r="G2031" i="3"/>
  <c r="F2031" i="3"/>
  <c r="E2031" i="3"/>
  <c r="D2031" i="3"/>
  <c r="C2031" i="3"/>
  <c r="B2031" i="3"/>
  <c r="A2031" i="3"/>
  <c r="M2030" i="3"/>
  <c r="L2030" i="3"/>
  <c r="K2030" i="3"/>
  <c r="J2030" i="3"/>
  <c r="I2030" i="3"/>
  <c r="H2030" i="3"/>
  <c r="G2030" i="3"/>
  <c r="F2030" i="3"/>
  <c r="E2030" i="3"/>
  <c r="D2030" i="3"/>
  <c r="C2030" i="3"/>
  <c r="B2030" i="3"/>
  <c r="A2030" i="3"/>
  <c r="M2029" i="3"/>
  <c r="L2029" i="3"/>
  <c r="K2029" i="3"/>
  <c r="J2029" i="3"/>
  <c r="I2029" i="3"/>
  <c r="H2029" i="3"/>
  <c r="G2029" i="3"/>
  <c r="F2029" i="3"/>
  <c r="E2029" i="3"/>
  <c r="D2029" i="3"/>
  <c r="C2029" i="3"/>
  <c r="B2029" i="3"/>
  <c r="A2029" i="3"/>
  <c r="M2028" i="3"/>
  <c r="L2028" i="3"/>
  <c r="K2028" i="3"/>
  <c r="J2028" i="3"/>
  <c r="I2028" i="3"/>
  <c r="H2028" i="3"/>
  <c r="G2028" i="3"/>
  <c r="F2028" i="3"/>
  <c r="E2028" i="3"/>
  <c r="D2028" i="3"/>
  <c r="C2028" i="3"/>
  <c r="B2028" i="3"/>
  <c r="A2028" i="3"/>
  <c r="M2027" i="3"/>
  <c r="L2027" i="3"/>
  <c r="K2027" i="3"/>
  <c r="J2027" i="3"/>
  <c r="I2027" i="3"/>
  <c r="H2027" i="3"/>
  <c r="G2027" i="3"/>
  <c r="F2027" i="3"/>
  <c r="E2027" i="3"/>
  <c r="D2027" i="3"/>
  <c r="C2027" i="3"/>
  <c r="B2027" i="3"/>
  <c r="A2027" i="3"/>
  <c r="M2026" i="3"/>
  <c r="L2026" i="3"/>
  <c r="K2026" i="3"/>
  <c r="J2026" i="3"/>
  <c r="I2026" i="3"/>
  <c r="H2026" i="3"/>
  <c r="G2026" i="3"/>
  <c r="F2026" i="3"/>
  <c r="E2026" i="3"/>
  <c r="D2026" i="3"/>
  <c r="C2026" i="3"/>
  <c r="B2026" i="3"/>
  <c r="A2026" i="3"/>
  <c r="M2025" i="3"/>
  <c r="L2025" i="3"/>
  <c r="K2025" i="3"/>
  <c r="J2025" i="3"/>
  <c r="I2025" i="3"/>
  <c r="H2025" i="3"/>
  <c r="G2025" i="3"/>
  <c r="E2025" i="3"/>
  <c r="D2025" i="3"/>
  <c r="C2025" i="3"/>
  <c r="B2025" i="3"/>
  <c r="A2025" i="3"/>
  <c r="M2024" i="3"/>
  <c r="L2024" i="3"/>
  <c r="K2024" i="3"/>
  <c r="J2024" i="3"/>
  <c r="I2024" i="3"/>
  <c r="H2024" i="3"/>
  <c r="G2024" i="3"/>
  <c r="F2024" i="3"/>
  <c r="E2024" i="3"/>
  <c r="D2024" i="3"/>
  <c r="C2024" i="3"/>
  <c r="B2024" i="3"/>
  <c r="A2024" i="3"/>
  <c r="M2023" i="3"/>
  <c r="L2023" i="3"/>
  <c r="K2023" i="3"/>
  <c r="J2023" i="3"/>
  <c r="I2023" i="3"/>
  <c r="H2023" i="3"/>
  <c r="G2023" i="3"/>
  <c r="F2023" i="3"/>
  <c r="E2023" i="3"/>
  <c r="D2023" i="3"/>
  <c r="C2023" i="3"/>
  <c r="B2023" i="3"/>
  <c r="A2023" i="3"/>
  <c r="M2022" i="3"/>
  <c r="L2022" i="3"/>
  <c r="K2022" i="3"/>
  <c r="J2022" i="3"/>
  <c r="I2022" i="3"/>
  <c r="H2022" i="3"/>
  <c r="G2022" i="3"/>
  <c r="F2022" i="3"/>
  <c r="E2022" i="3"/>
  <c r="D2022" i="3"/>
  <c r="C2022" i="3"/>
  <c r="B2022" i="3"/>
  <c r="A2022" i="3"/>
  <c r="M2021" i="3"/>
  <c r="L2021" i="3"/>
  <c r="K2021" i="3"/>
  <c r="J2021" i="3"/>
  <c r="I2021" i="3"/>
  <c r="H2021" i="3"/>
  <c r="G2021" i="3"/>
  <c r="F2021" i="3"/>
  <c r="E2021" i="3"/>
  <c r="D2021" i="3"/>
  <c r="C2021" i="3"/>
  <c r="B2021" i="3"/>
  <c r="A2021" i="3"/>
  <c r="M2020" i="3"/>
  <c r="L2020" i="3"/>
  <c r="K2020" i="3"/>
  <c r="J2020" i="3"/>
  <c r="I2020" i="3"/>
  <c r="H2020" i="3"/>
  <c r="G2020" i="3"/>
  <c r="F2020" i="3"/>
  <c r="E2020" i="3"/>
  <c r="D2020" i="3"/>
  <c r="C2020" i="3"/>
  <c r="B2020" i="3"/>
  <c r="A2020" i="3"/>
  <c r="M2019" i="3"/>
  <c r="L2019" i="3"/>
  <c r="K2019" i="3"/>
  <c r="J2019" i="3"/>
  <c r="I2019" i="3"/>
  <c r="H2019" i="3"/>
  <c r="G2019" i="3"/>
  <c r="F2019" i="3"/>
  <c r="E2019" i="3"/>
  <c r="D2019" i="3"/>
  <c r="C2019" i="3"/>
  <c r="B2019" i="3"/>
  <c r="A2019" i="3"/>
  <c r="M2018" i="3"/>
  <c r="L2018" i="3"/>
  <c r="K2018" i="3"/>
  <c r="J2018" i="3"/>
  <c r="I2018" i="3"/>
  <c r="H2018" i="3"/>
  <c r="G2018" i="3"/>
  <c r="F2018" i="3"/>
  <c r="E2018" i="3"/>
  <c r="D2018" i="3"/>
  <c r="C2018" i="3"/>
  <c r="B2018" i="3"/>
  <c r="A2018" i="3"/>
  <c r="M2017" i="3"/>
  <c r="L2017" i="3"/>
  <c r="K2017" i="3"/>
  <c r="J2017" i="3"/>
  <c r="I2017" i="3"/>
  <c r="H2017" i="3"/>
  <c r="G2017" i="3"/>
  <c r="F2017" i="3"/>
  <c r="E2017" i="3"/>
  <c r="D2017" i="3"/>
  <c r="C2017" i="3"/>
  <c r="B2017" i="3"/>
  <c r="A2017" i="3"/>
  <c r="M2016" i="3"/>
  <c r="L2016" i="3"/>
  <c r="K2016" i="3"/>
  <c r="J2016" i="3"/>
  <c r="I2016" i="3"/>
  <c r="H2016" i="3"/>
  <c r="G2016" i="3"/>
  <c r="F2016" i="3"/>
  <c r="E2016" i="3"/>
  <c r="D2016" i="3"/>
  <c r="C2016" i="3"/>
  <c r="B2016" i="3"/>
  <c r="A2016" i="3"/>
  <c r="M2015" i="3"/>
  <c r="L2015" i="3"/>
  <c r="K2015" i="3"/>
  <c r="J2015" i="3"/>
  <c r="I2015" i="3"/>
  <c r="H2015" i="3"/>
  <c r="G2015" i="3"/>
  <c r="F2015" i="3"/>
  <c r="E2015" i="3"/>
  <c r="D2015" i="3"/>
  <c r="C2015" i="3"/>
  <c r="B2015" i="3"/>
  <c r="A2015" i="3"/>
  <c r="M2014" i="3"/>
  <c r="L2014" i="3"/>
  <c r="K2014" i="3"/>
  <c r="J2014" i="3"/>
  <c r="I2014" i="3"/>
  <c r="H2014" i="3"/>
  <c r="G2014" i="3"/>
  <c r="F2014" i="3"/>
  <c r="E2014" i="3"/>
  <c r="D2014" i="3"/>
  <c r="B2014" i="3"/>
  <c r="A2014" i="3"/>
  <c r="M2013" i="3"/>
  <c r="L2013" i="3"/>
  <c r="K2013" i="3"/>
  <c r="J2013" i="3"/>
  <c r="I2013" i="3"/>
  <c r="H2013" i="3"/>
  <c r="G2013" i="3"/>
  <c r="F2013" i="3"/>
  <c r="E2013" i="3"/>
  <c r="D2013" i="3"/>
  <c r="C2013" i="3"/>
  <c r="B2013" i="3"/>
  <c r="A2013" i="3"/>
  <c r="M2012" i="3"/>
  <c r="L2012" i="3"/>
  <c r="K2012" i="3"/>
  <c r="J2012" i="3"/>
  <c r="I2012" i="3"/>
  <c r="H2012" i="3"/>
  <c r="G2012" i="3"/>
  <c r="F2012" i="3"/>
  <c r="E2012" i="3"/>
  <c r="D2012" i="3"/>
  <c r="C2012" i="3"/>
  <c r="B2012" i="3"/>
  <c r="A2012" i="3"/>
  <c r="M2011" i="3"/>
  <c r="L2011" i="3"/>
  <c r="K2011" i="3"/>
  <c r="J2011" i="3"/>
  <c r="I2011" i="3"/>
  <c r="H2011" i="3"/>
  <c r="G2011" i="3"/>
  <c r="F2011" i="3"/>
  <c r="E2011" i="3"/>
  <c r="D2011" i="3"/>
  <c r="C2011" i="3"/>
  <c r="B2011" i="3"/>
  <c r="A2011" i="3"/>
  <c r="M2010" i="3"/>
  <c r="L2010" i="3"/>
  <c r="K2010" i="3"/>
  <c r="J2010" i="3"/>
  <c r="I2010" i="3"/>
  <c r="H2010" i="3"/>
  <c r="G2010" i="3"/>
  <c r="F2010" i="3"/>
  <c r="E2010" i="3"/>
  <c r="D2010" i="3"/>
  <c r="C2010" i="3"/>
  <c r="B2010" i="3"/>
  <c r="A2010" i="3"/>
  <c r="M2009" i="3"/>
  <c r="L2009" i="3"/>
  <c r="K2009" i="3"/>
  <c r="J2009" i="3"/>
  <c r="I2009" i="3"/>
  <c r="H2009" i="3"/>
  <c r="G2009" i="3"/>
  <c r="F2009" i="3"/>
  <c r="E2009" i="3"/>
  <c r="D2009" i="3"/>
  <c r="C2009" i="3"/>
  <c r="B2009" i="3"/>
  <c r="A2009" i="3"/>
  <c r="M2008" i="3"/>
  <c r="L2008" i="3"/>
  <c r="K2008" i="3"/>
  <c r="J2008" i="3"/>
  <c r="I2008" i="3"/>
  <c r="H2008" i="3"/>
  <c r="G2008" i="3"/>
  <c r="F2008" i="3"/>
  <c r="E2008" i="3"/>
  <c r="D2008" i="3"/>
  <c r="C2008" i="3"/>
  <c r="B2008" i="3"/>
  <c r="A2008" i="3"/>
  <c r="M2007" i="3"/>
  <c r="L2007" i="3"/>
  <c r="K2007" i="3"/>
  <c r="J2007" i="3"/>
  <c r="I2007" i="3"/>
  <c r="H2007" i="3"/>
  <c r="G2007" i="3"/>
  <c r="F2007" i="3"/>
  <c r="E2007" i="3"/>
  <c r="D2007" i="3"/>
  <c r="C2007" i="3"/>
  <c r="B2007" i="3"/>
  <c r="A2007" i="3"/>
  <c r="M2006" i="3"/>
  <c r="L2006" i="3"/>
  <c r="K2006" i="3"/>
  <c r="J2006" i="3"/>
  <c r="I2006" i="3"/>
  <c r="H2006" i="3"/>
  <c r="G2006" i="3"/>
  <c r="F2006" i="3"/>
  <c r="E2006" i="3"/>
  <c r="D2006" i="3"/>
  <c r="C2006" i="3"/>
  <c r="B2006" i="3"/>
  <c r="A2006" i="3"/>
  <c r="M2005" i="3"/>
  <c r="L2005" i="3"/>
  <c r="K2005" i="3"/>
  <c r="J2005" i="3"/>
  <c r="I2005" i="3"/>
  <c r="H2005" i="3"/>
  <c r="G2005" i="3"/>
  <c r="F2005" i="3"/>
  <c r="E2005" i="3"/>
  <c r="D2005" i="3"/>
  <c r="C2005" i="3"/>
  <c r="B2005" i="3"/>
  <c r="A2005" i="3"/>
  <c r="M2004" i="3"/>
  <c r="L2004" i="3"/>
  <c r="K2004" i="3"/>
  <c r="J2004" i="3"/>
  <c r="I2004" i="3"/>
  <c r="H2004" i="3"/>
  <c r="G2004" i="3"/>
  <c r="F2004" i="3"/>
  <c r="E2004" i="3"/>
  <c r="D2004" i="3"/>
  <c r="C2004" i="3"/>
  <c r="B2004" i="3"/>
  <c r="A2004" i="3"/>
  <c r="M2003" i="3"/>
  <c r="L2003" i="3"/>
  <c r="K2003" i="3"/>
  <c r="J2003" i="3"/>
  <c r="I2003" i="3"/>
  <c r="H2003" i="3"/>
  <c r="G2003" i="3"/>
  <c r="F2003" i="3"/>
  <c r="E2003" i="3"/>
  <c r="D2003" i="3"/>
  <c r="C2003" i="3"/>
  <c r="B2003" i="3"/>
  <c r="A2003" i="3"/>
  <c r="M2002" i="3"/>
  <c r="L2002" i="3"/>
  <c r="K2002" i="3"/>
  <c r="J2002" i="3"/>
  <c r="I2002" i="3"/>
  <c r="H2002" i="3"/>
  <c r="G2002" i="3"/>
  <c r="F2002" i="3"/>
  <c r="E2002" i="3"/>
  <c r="D2002" i="3"/>
  <c r="C2002" i="3"/>
  <c r="B2002" i="3"/>
  <c r="A2002" i="3"/>
  <c r="M2001" i="3"/>
  <c r="L2001" i="3"/>
  <c r="K2001" i="3"/>
  <c r="J2001" i="3"/>
  <c r="I2001" i="3"/>
  <c r="H2001" i="3"/>
  <c r="G2001" i="3"/>
  <c r="F2001" i="3"/>
  <c r="E2001" i="3"/>
  <c r="D2001" i="3"/>
  <c r="C2001" i="3"/>
  <c r="B2001" i="3"/>
  <c r="A2001" i="3"/>
  <c r="M2000" i="3"/>
  <c r="L2000" i="3"/>
  <c r="K2000" i="3"/>
  <c r="J2000" i="3"/>
  <c r="I2000" i="3"/>
  <c r="H2000" i="3"/>
  <c r="G2000" i="3"/>
  <c r="F2000" i="3"/>
  <c r="E2000" i="3"/>
  <c r="D2000" i="3"/>
  <c r="C2000" i="3"/>
  <c r="B2000" i="3"/>
  <c r="A2000" i="3"/>
  <c r="M1999" i="3"/>
  <c r="L1999" i="3"/>
  <c r="K1999" i="3"/>
  <c r="J1999" i="3"/>
  <c r="I1999" i="3"/>
  <c r="H1999" i="3"/>
  <c r="G1999" i="3"/>
  <c r="F1999" i="3"/>
  <c r="E1999" i="3"/>
  <c r="D1999" i="3"/>
  <c r="C1999" i="3"/>
  <c r="B1999" i="3"/>
  <c r="A1999" i="3"/>
  <c r="M1998" i="3"/>
  <c r="L1998" i="3"/>
  <c r="K1998" i="3"/>
  <c r="J1998" i="3"/>
  <c r="I1998" i="3"/>
  <c r="H1998" i="3"/>
  <c r="G1998" i="3"/>
  <c r="F1998" i="3"/>
  <c r="E1998" i="3"/>
  <c r="D1998" i="3"/>
  <c r="C1998" i="3"/>
  <c r="B1998" i="3"/>
  <c r="A1998" i="3"/>
  <c r="M1997" i="3"/>
  <c r="L1997" i="3"/>
  <c r="K1997" i="3"/>
  <c r="J1997" i="3"/>
  <c r="I1997" i="3"/>
  <c r="H1997" i="3"/>
  <c r="G1997" i="3"/>
  <c r="F1997" i="3"/>
  <c r="E1997" i="3"/>
  <c r="D1997" i="3"/>
  <c r="C1997" i="3"/>
  <c r="B1997" i="3"/>
  <c r="A1997" i="3"/>
  <c r="M1996" i="3"/>
  <c r="L1996" i="3"/>
  <c r="K1996" i="3"/>
  <c r="J1996" i="3"/>
  <c r="I1996" i="3"/>
  <c r="H1996" i="3"/>
  <c r="G1996" i="3"/>
  <c r="F1996" i="3"/>
  <c r="E1996" i="3"/>
  <c r="D1996" i="3"/>
  <c r="C1996" i="3"/>
  <c r="B1996" i="3"/>
  <c r="A1996" i="3"/>
  <c r="M1995" i="3"/>
  <c r="L1995" i="3"/>
  <c r="K1995" i="3"/>
  <c r="J1995" i="3"/>
  <c r="I1995" i="3"/>
  <c r="H1995" i="3"/>
  <c r="G1995" i="3"/>
  <c r="F1995" i="3"/>
  <c r="E1995" i="3"/>
  <c r="D1995" i="3"/>
  <c r="C1995" i="3"/>
  <c r="B1995" i="3"/>
  <c r="A1995" i="3"/>
  <c r="M1994" i="3"/>
  <c r="L1994" i="3"/>
  <c r="K1994" i="3"/>
  <c r="J1994" i="3"/>
  <c r="I1994" i="3"/>
  <c r="H1994" i="3"/>
  <c r="G1994" i="3"/>
  <c r="F1994" i="3"/>
  <c r="E1994" i="3"/>
  <c r="D1994" i="3"/>
  <c r="C1994" i="3"/>
  <c r="B1994" i="3"/>
  <c r="A1994" i="3"/>
  <c r="M1993" i="3"/>
  <c r="L1993" i="3"/>
  <c r="K1993" i="3"/>
  <c r="J1993" i="3"/>
  <c r="I1993" i="3"/>
  <c r="H1993" i="3"/>
  <c r="G1993" i="3"/>
  <c r="F1993" i="3"/>
  <c r="E1993" i="3"/>
  <c r="D1993" i="3"/>
  <c r="C1993" i="3"/>
  <c r="B1993" i="3"/>
  <c r="A1993" i="3"/>
  <c r="M1992" i="3"/>
  <c r="L1992" i="3"/>
  <c r="K1992" i="3"/>
  <c r="J1992" i="3"/>
  <c r="I1992" i="3"/>
  <c r="H1992" i="3"/>
  <c r="G1992" i="3"/>
  <c r="F1992" i="3"/>
  <c r="E1992" i="3"/>
  <c r="D1992" i="3"/>
  <c r="C1992" i="3"/>
  <c r="B1992" i="3"/>
  <c r="A1992" i="3"/>
  <c r="M1991" i="3"/>
  <c r="L1991" i="3"/>
  <c r="K1991" i="3"/>
  <c r="J1991" i="3"/>
  <c r="I1991" i="3"/>
  <c r="H1991" i="3"/>
  <c r="G1991" i="3"/>
  <c r="F1991" i="3"/>
  <c r="E1991" i="3"/>
  <c r="D1991" i="3"/>
  <c r="C1991" i="3"/>
  <c r="B1991" i="3"/>
  <c r="A1991" i="3"/>
  <c r="M1990" i="3"/>
  <c r="L1990" i="3"/>
  <c r="K1990" i="3"/>
  <c r="J1990" i="3"/>
  <c r="I1990" i="3"/>
  <c r="H1990" i="3"/>
  <c r="G1990" i="3"/>
  <c r="F1990" i="3"/>
  <c r="E1990" i="3"/>
  <c r="D1990" i="3"/>
  <c r="C1990" i="3"/>
  <c r="B1990" i="3"/>
  <c r="A1990" i="3"/>
  <c r="M1989" i="3"/>
  <c r="L1989" i="3"/>
  <c r="K1989" i="3"/>
  <c r="J1989" i="3"/>
  <c r="I1989" i="3"/>
  <c r="H1989" i="3"/>
  <c r="G1989" i="3"/>
  <c r="F1989" i="3"/>
  <c r="E1989" i="3"/>
  <c r="D1989" i="3"/>
  <c r="C1989" i="3"/>
  <c r="B1989" i="3"/>
  <c r="A1989" i="3"/>
  <c r="M1988" i="3"/>
  <c r="L1988" i="3"/>
  <c r="K1988" i="3"/>
  <c r="J1988" i="3"/>
  <c r="I1988" i="3"/>
  <c r="H1988" i="3"/>
  <c r="G1988" i="3"/>
  <c r="F1988" i="3"/>
  <c r="E1988" i="3"/>
  <c r="D1988" i="3"/>
  <c r="C1988" i="3"/>
  <c r="B1988" i="3"/>
  <c r="A1988" i="3"/>
  <c r="M1987" i="3"/>
  <c r="L1987" i="3"/>
  <c r="K1987" i="3"/>
  <c r="J1987" i="3"/>
  <c r="I1987" i="3"/>
  <c r="H1987" i="3"/>
  <c r="F1987" i="3"/>
  <c r="E1987" i="3"/>
  <c r="D1987" i="3"/>
  <c r="C1987" i="3"/>
  <c r="B1987" i="3"/>
  <c r="A1987" i="3"/>
  <c r="M1986" i="3"/>
  <c r="L1986" i="3"/>
  <c r="K1986" i="3"/>
  <c r="J1986" i="3"/>
  <c r="I1986" i="3"/>
  <c r="H1986" i="3"/>
  <c r="G1986" i="3"/>
  <c r="F1986" i="3"/>
  <c r="E1986" i="3"/>
  <c r="D1986" i="3"/>
  <c r="C1986" i="3"/>
  <c r="B1986" i="3"/>
  <c r="A1986" i="3"/>
  <c r="M1985" i="3"/>
  <c r="L1985" i="3"/>
  <c r="K1985" i="3"/>
  <c r="J1985" i="3"/>
  <c r="I1985" i="3"/>
  <c r="H1985" i="3"/>
  <c r="G1985" i="3"/>
  <c r="F1985" i="3"/>
  <c r="E1985" i="3"/>
  <c r="D1985" i="3"/>
  <c r="C1985" i="3"/>
  <c r="B1985" i="3"/>
  <c r="A1985" i="3"/>
  <c r="M1984" i="3"/>
  <c r="L1984" i="3"/>
  <c r="K1984" i="3"/>
  <c r="J1984" i="3"/>
  <c r="I1984" i="3"/>
  <c r="H1984" i="3"/>
  <c r="G1984" i="3"/>
  <c r="F1984" i="3"/>
  <c r="E1984" i="3"/>
  <c r="D1984" i="3"/>
  <c r="C1984" i="3"/>
  <c r="B1984" i="3"/>
  <c r="A1984" i="3"/>
  <c r="M1983" i="3"/>
  <c r="L1983" i="3"/>
  <c r="K1983" i="3"/>
  <c r="J1983" i="3"/>
  <c r="I1983" i="3"/>
  <c r="H1983" i="3"/>
  <c r="G1983" i="3"/>
  <c r="F1983" i="3"/>
  <c r="E1983" i="3"/>
  <c r="D1983" i="3"/>
  <c r="C1983" i="3"/>
  <c r="B1983" i="3"/>
  <c r="A1983" i="3"/>
  <c r="M1982" i="3"/>
  <c r="L1982" i="3"/>
  <c r="K1982" i="3"/>
  <c r="J1982" i="3"/>
  <c r="I1982" i="3"/>
  <c r="H1982" i="3"/>
  <c r="G1982" i="3"/>
  <c r="F1982" i="3"/>
  <c r="E1982" i="3"/>
  <c r="D1982" i="3"/>
  <c r="C1982" i="3"/>
  <c r="B1982" i="3"/>
  <c r="A1982" i="3"/>
  <c r="M1981" i="3"/>
  <c r="L1981" i="3"/>
  <c r="K1981" i="3"/>
  <c r="J1981" i="3"/>
  <c r="I1981" i="3"/>
  <c r="H1981" i="3"/>
  <c r="G1981" i="3"/>
  <c r="F1981" i="3"/>
  <c r="E1981" i="3"/>
  <c r="D1981" i="3"/>
  <c r="C1981" i="3"/>
  <c r="B1981" i="3"/>
  <c r="A1981" i="3"/>
  <c r="M1980" i="3"/>
  <c r="L1980" i="3"/>
  <c r="K1980" i="3"/>
  <c r="J1980" i="3"/>
  <c r="I1980" i="3"/>
  <c r="H1980" i="3"/>
  <c r="G1980" i="3"/>
  <c r="F1980" i="3"/>
  <c r="E1980" i="3"/>
  <c r="D1980" i="3"/>
  <c r="C1980" i="3"/>
  <c r="B1980" i="3"/>
  <c r="A1980" i="3"/>
  <c r="M1979" i="3"/>
  <c r="L1979" i="3"/>
  <c r="K1979" i="3"/>
  <c r="J1979" i="3"/>
  <c r="I1979" i="3"/>
  <c r="H1979" i="3"/>
  <c r="G1979" i="3"/>
  <c r="F1979" i="3"/>
  <c r="E1979" i="3"/>
  <c r="D1979" i="3"/>
  <c r="C1979" i="3"/>
  <c r="B1979" i="3"/>
  <c r="A1979" i="3"/>
  <c r="M1978" i="3"/>
  <c r="L1978" i="3"/>
  <c r="K1978" i="3"/>
  <c r="J1978" i="3"/>
  <c r="I1978" i="3"/>
  <c r="H1978" i="3"/>
  <c r="G1978" i="3"/>
  <c r="F1978" i="3"/>
  <c r="E1978" i="3"/>
  <c r="D1978" i="3"/>
  <c r="C1978" i="3"/>
  <c r="B1978" i="3"/>
  <c r="A1978" i="3"/>
  <c r="M1977" i="3"/>
  <c r="L1977" i="3"/>
  <c r="K1977" i="3"/>
  <c r="J1977" i="3"/>
  <c r="I1977" i="3"/>
  <c r="H1977" i="3"/>
  <c r="G1977" i="3"/>
  <c r="F1977" i="3"/>
  <c r="E1977" i="3"/>
  <c r="D1977" i="3"/>
  <c r="C1977" i="3"/>
  <c r="B1977" i="3"/>
  <c r="A1977" i="3"/>
  <c r="M1976" i="3"/>
  <c r="L1976" i="3"/>
  <c r="K1976" i="3"/>
  <c r="J1976" i="3"/>
  <c r="I1976" i="3"/>
  <c r="H1976" i="3"/>
  <c r="G1976" i="3"/>
  <c r="F1976" i="3"/>
  <c r="E1976" i="3"/>
  <c r="D1976" i="3"/>
  <c r="C1976" i="3"/>
  <c r="B1976" i="3"/>
  <c r="A1976" i="3"/>
  <c r="M1975" i="3"/>
  <c r="L1975" i="3"/>
  <c r="K1975" i="3"/>
  <c r="J1975" i="3"/>
  <c r="I1975" i="3"/>
  <c r="H1975" i="3"/>
  <c r="G1975" i="3"/>
  <c r="F1975" i="3"/>
  <c r="E1975" i="3"/>
  <c r="D1975" i="3"/>
  <c r="C1975" i="3"/>
  <c r="B1975" i="3"/>
  <c r="A1975" i="3"/>
  <c r="M1974" i="3"/>
  <c r="L1974" i="3"/>
  <c r="K1974" i="3"/>
  <c r="J1974" i="3"/>
  <c r="I1974" i="3"/>
  <c r="H1974" i="3"/>
  <c r="G1974" i="3"/>
  <c r="F1974" i="3"/>
  <c r="E1974" i="3"/>
  <c r="D1974" i="3"/>
  <c r="C1974" i="3"/>
  <c r="B1974" i="3"/>
  <c r="A1974" i="3"/>
  <c r="M1973" i="3"/>
  <c r="L1973" i="3"/>
  <c r="K1973" i="3"/>
  <c r="J1973" i="3"/>
  <c r="I1973" i="3"/>
  <c r="H1973" i="3"/>
  <c r="G1973" i="3"/>
  <c r="F1973" i="3"/>
  <c r="E1973" i="3"/>
  <c r="D1973" i="3"/>
  <c r="C1973" i="3"/>
  <c r="B1973" i="3"/>
  <c r="A1973" i="3"/>
  <c r="M1972" i="3"/>
  <c r="L1972" i="3"/>
  <c r="K1972" i="3"/>
  <c r="J1972" i="3"/>
  <c r="I1972" i="3"/>
  <c r="H1972" i="3"/>
  <c r="G1972" i="3"/>
  <c r="F1972" i="3"/>
  <c r="E1972" i="3"/>
  <c r="D1972" i="3"/>
  <c r="C1972" i="3"/>
  <c r="B1972" i="3"/>
  <c r="A1972" i="3"/>
  <c r="M1971" i="3"/>
  <c r="L1971" i="3"/>
  <c r="K1971" i="3"/>
  <c r="J1971" i="3"/>
  <c r="I1971" i="3"/>
  <c r="H1971" i="3"/>
  <c r="G1971" i="3"/>
  <c r="F1971" i="3"/>
  <c r="E1971" i="3"/>
  <c r="D1971" i="3"/>
  <c r="C1971" i="3"/>
  <c r="B1971" i="3"/>
  <c r="A1971" i="3"/>
  <c r="M1970" i="3"/>
  <c r="L1970" i="3"/>
  <c r="K1970" i="3"/>
  <c r="J1970" i="3"/>
  <c r="I1970" i="3"/>
  <c r="H1970" i="3"/>
  <c r="G1970" i="3"/>
  <c r="F1970" i="3"/>
  <c r="E1970" i="3"/>
  <c r="D1970" i="3"/>
  <c r="C1970" i="3"/>
  <c r="B1970" i="3"/>
  <c r="A1970" i="3"/>
  <c r="M1969" i="3"/>
  <c r="L1969" i="3"/>
  <c r="K1969" i="3"/>
  <c r="J1969" i="3"/>
  <c r="I1969" i="3"/>
  <c r="H1969" i="3"/>
  <c r="G1969" i="3"/>
  <c r="F1969" i="3"/>
  <c r="D1969" i="3"/>
  <c r="C1969" i="3"/>
  <c r="B1969" i="3"/>
  <c r="A1969" i="3"/>
  <c r="M1968" i="3"/>
  <c r="L1968" i="3"/>
  <c r="K1968" i="3"/>
  <c r="J1968" i="3"/>
  <c r="I1968" i="3"/>
  <c r="H1968" i="3"/>
  <c r="G1968" i="3"/>
  <c r="F1968" i="3"/>
  <c r="E1968" i="3"/>
  <c r="D1968" i="3"/>
  <c r="C1968" i="3"/>
  <c r="B1968" i="3"/>
  <c r="A1968" i="3"/>
  <c r="M1967" i="3"/>
  <c r="L1967" i="3"/>
  <c r="K1967" i="3"/>
  <c r="J1967" i="3"/>
  <c r="I1967" i="3"/>
  <c r="H1967" i="3"/>
  <c r="G1967" i="3"/>
  <c r="F1967" i="3"/>
  <c r="E1967" i="3"/>
  <c r="D1967" i="3"/>
  <c r="C1967" i="3"/>
  <c r="B1967" i="3"/>
  <c r="A1967" i="3"/>
  <c r="M1966" i="3"/>
  <c r="L1966" i="3"/>
  <c r="K1966" i="3"/>
  <c r="J1966" i="3"/>
  <c r="I1966" i="3"/>
  <c r="H1966" i="3"/>
  <c r="G1966" i="3"/>
  <c r="F1966" i="3"/>
  <c r="E1966" i="3"/>
  <c r="D1966" i="3"/>
  <c r="C1966" i="3"/>
  <c r="B1966" i="3"/>
  <c r="A1966" i="3"/>
  <c r="M1965" i="3"/>
  <c r="L1965" i="3"/>
  <c r="K1965" i="3"/>
  <c r="J1965" i="3"/>
  <c r="I1965" i="3"/>
  <c r="H1965" i="3"/>
  <c r="G1965" i="3"/>
  <c r="F1965" i="3"/>
  <c r="E1965" i="3"/>
  <c r="D1965" i="3"/>
  <c r="C1965" i="3"/>
  <c r="B1965" i="3"/>
  <c r="A1965" i="3"/>
  <c r="M1964" i="3"/>
  <c r="L1964" i="3"/>
  <c r="K1964" i="3"/>
  <c r="J1964" i="3"/>
  <c r="I1964" i="3"/>
  <c r="H1964" i="3"/>
  <c r="G1964" i="3"/>
  <c r="F1964" i="3"/>
  <c r="E1964" i="3"/>
  <c r="D1964" i="3"/>
  <c r="C1964" i="3"/>
  <c r="B1964" i="3"/>
  <c r="A1964" i="3"/>
  <c r="M1963" i="3"/>
  <c r="L1963" i="3"/>
  <c r="K1963" i="3"/>
  <c r="J1963" i="3"/>
  <c r="I1963" i="3"/>
  <c r="H1963" i="3"/>
  <c r="G1963" i="3"/>
  <c r="F1963" i="3"/>
  <c r="E1963" i="3"/>
  <c r="D1963" i="3"/>
  <c r="C1963" i="3"/>
  <c r="B1963" i="3"/>
  <c r="A1963" i="3"/>
  <c r="M1962" i="3"/>
  <c r="L1962" i="3"/>
  <c r="K1962" i="3"/>
  <c r="J1962" i="3"/>
  <c r="I1962" i="3"/>
  <c r="H1962" i="3"/>
  <c r="G1962" i="3"/>
  <c r="F1962" i="3"/>
  <c r="E1962" i="3"/>
  <c r="D1962" i="3"/>
  <c r="C1962" i="3"/>
  <c r="B1962" i="3"/>
  <c r="A1962" i="3"/>
  <c r="M1961" i="3"/>
  <c r="L1961" i="3"/>
  <c r="K1961" i="3"/>
  <c r="J1961" i="3"/>
  <c r="I1961" i="3"/>
  <c r="H1961" i="3"/>
  <c r="G1961" i="3"/>
  <c r="F1961" i="3"/>
  <c r="E1961" i="3"/>
  <c r="D1961" i="3"/>
  <c r="C1961" i="3"/>
  <c r="B1961" i="3"/>
  <c r="A1961" i="3"/>
  <c r="M1960" i="3"/>
  <c r="L1960" i="3"/>
  <c r="K1960" i="3"/>
  <c r="J1960" i="3"/>
  <c r="I1960" i="3"/>
  <c r="H1960" i="3"/>
  <c r="G1960" i="3"/>
  <c r="F1960" i="3"/>
  <c r="E1960" i="3"/>
  <c r="D1960" i="3"/>
  <c r="C1960" i="3"/>
  <c r="B1960" i="3"/>
  <c r="A1960" i="3"/>
  <c r="M1959" i="3"/>
  <c r="L1959" i="3"/>
  <c r="K1959" i="3"/>
  <c r="J1959" i="3"/>
  <c r="I1959" i="3"/>
  <c r="H1959" i="3"/>
  <c r="G1959" i="3"/>
  <c r="F1959" i="3"/>
  <c r="E1959" i="3"/>
  <c r="D1959" i="3"/>
  <c r="C1959" i="3"/>
  <c r="B1959" i="3"/>
  <c r="A1959" i="3"/>
  <c r="M1958" i="3"/>
  <c r="L1958" i="3"/>
  <c r="K1958" i="3"/>
  <c r="J1958" i="3"/>
  <c r="I1958" i="3"/>
  <c r="H1958" i="3"/>
  <c r="G1958" i="3"/>
  <c r="F1958" i="3"/>
  <c r="E1958" i="3"/>
  <c r="D1958" i="3"/>
  <c r="C1958" i="3"/>
  <c r="B1958" i="3"/>
  <c r="A1958" i="3"/>
  <c r="M1957" i="3"/>
  <c r="L1957" i="3"/>
  <c r="K1957" i="3"/>
  <c r="J1957" i="3"/>
  <c r="I1957" i="3"/>
  <c r="H1957" i="3"/>
  <c r="G1957" i="3"/>
  <c r="F1957" i="3"/>
  <c r="E1957" i="3"/>
  <c r="D1957" i="3"/>
  <c r="C1957" i="3"/>
  <c r="B1957" i="3"/>
  <c r="A1957" i="3"/>
  <c r="M1956" i="3"/>
  <c r="L1956" i="3"/>
  <c r="K1956" i="3"/>
  <c r="J1956" i="3"/>
  <c r="I1956" i="3"/>
  <c r="H1956" i="3"/>
  <c r="G1956" i="3"/>
  <c r="F1956" i="3"/>
  <c r="E1956" i="3"/>
  <c r="D1956" i="3"/>
  <c r="C1956" i="3"/>
  <c r="B1956" i="3"/>
  <c r="A1956" i="3"/>
  <c r="M1955" i="3"/>
  <c r="L1955" i="3"/>
  <c r="K1955" i="3"/>
  <c r="J1955" i="3"/>
  <c r="I1955" i="3"/>
  <c r="H1955" i="3"/>
  <c r="G1955" i="3"/>
  <c r="F1955" i="3"/>
  <c r="E1955" i="3"/>
  <c r="D1955" i="3"/>
  <c r="C1955" i="3"/>
  <c r="B1955" i="3"/>
  <c r="A1955" i="3"/>
  <c r="M1954" i="3"/>
  <c r="L1954" i="3"/>
  <c r="K1954" i="3"/>
  <c r="J1954" i="3"/>
  <c r="I1954" i="3"/>
  <c r="H1954" i="3"/>
  <c r="G1954" i="3"/>
  <c r="F1954" i="3"/>
  <c r="E1954" i="3"/>
  <c r="D1954" i="3"/>
  <c r="C1954" i="3"/>
  <c r="B1954" i="3"/>
  <c r="A1954" i="3"/>
  <c r="M1953" i="3"/>
  <c r="L1953" i="3"/>
  <c r="K1953" i="3"/>
  <c r="J1953" i="3"/>
  <c r="I1953" i="3"/>
  <c r="H1953" i="3"/>
  <c r="G1953" i="3"/>
  <c r="F1953" i="3"/>
  <c r="E1953" i="3"/>
  <c r="D1953" i="3"/>
  <c r="C1953" i="3"/>
  <c r="B1953" i="3"/>
  <c r="A1953" i="3"/>
  <c r="M1952" i="3"/>
  <c r="L1952" i="3"/>
  <c r="K1952" i="3"/>
  <c r="J1952" i="3"/>
  <c r="I1952" i="3"/>
  <c r="H1952" i="3"/>
  <c r="G1952" i="3"/>
  <c r="F1952" i="3"/>
  <c r="E1952" i="3"/>
  <c r="D1952" i="3"/>
  <c r="C1952" i="3"/>
  <c r="B1952" i="3"/>
  <c r="A1952" i="3"/>
  <c r="M1951" i="3"/>
  <c r="L1951" i="3"/>
  <c r="K1951" i="3"/>
  <c r="J1951" i="3"/>
  <c r="I1951" i="3"/>
  <c r="H1951" i="3"/>
  <c r="G1951" i="3"/>
  <c r="F1951" i="3"/>
  <c r="E1951" i="3"/>
  <c r="D1951" i="3"/>
  <c r="C1951" i="3"/>
  <c r="B1951" i="3"/>
  <c r="A1951" i="3"/>
  <c r="M1950" i="3"/>
  <c r="L1950" i="3"/>
  <c r="K1950" i="3"/>
  <c r="J1950" i="3"/>
  <c r="I1950" i="3"/>
  <c r="H1950" i="3"/>
  <c r="G1950" i="3"/>
  <c r="F1950" i="3"/>
  <c r="D1950" i="3"/>
  <c r="C1950" i="3"/>
  <c r="B1950" i="3"/>
  <c r="A1950" i="3"/>
  <c r="M1949" i="3"/>
  <c r="L1949" i="3"/>
  <c r="K1949" i="3"/>
  <c r="J1949" i="3"/>
  <c r="I1949" i="3"/>
  <c r="H1949" i="3"/>
  <c r="F1949" i="3"/>
  <c r="E1949" i="3"/>
  <c r="D1949" i="3"/>
  <c r="C1949" i="3"/>
  <c r="B1949" i="3"/>
  <c r="A1949" i="3"/>
  <c r="M1948" i="3"/>
  <c r="L1948" i="3"/>
  <c r="K1948" i="3"/>
  <c r="J1948" i="3"/>
  <c r="I1948" i="3"/>
  <c r="H1948" i="3"/>
  <c r="G1948" i="3"/>
  <c r="F1948" i="3"/>
  <c r="E1948" i="3"/>
  <c r="D1948" i="3"/>
  <c r="C1948" i="3"/>
  <c r="B1948" i="3"/>
  <c r="A1948" i="3"/>
  <c r="M1947" i="3"/>
  <c r="L1947" i="3"/>
  <c r="K1947" i="3"/>
  <c r="J1947" i="3"/>
  <c r="I1947" i="3"/>
  <c r="H1947" i="3"/>
  <c r="G1947" i="3"/>
  <c r="F1947" i="3"/>
  <c r="E1947" i="3"/>
  <c r="D1947" i="3"/>
  <c r="C1947" i="3"/>
  <c r="B1947" i="3"/>
  <c r="A1947" i="3"/>
  <c r="M1946" i="3"/>
  <c r="L1946" i="3"/>
  <c r="K1946" i="3"/>
  <c r="J1946" i="3"/>
  <c r="I1946" i="3"/>
  <c r="H1946" i="3"/>
  <c r="G1946" i="3"/>
  <c r="F1946" i="3"/>
  <c r="E1946" i="3"/>
  <c r="D1946" i="3"/>
  <c r="C1946" i="3"/>
  <c r="B1946" i="3"/>
  <c r="A1946" i="3"/>
  <c r="M1945" i="3"/>
  <c r="L1945" i="3"/>
  <c r="K1945" i="3"/>
  <c r="J1945" i="3"/>
  <c r="I1945" i="3"/>
  <c r="H1945" i="3"/>
  <c r="G1945" i="3"/>
  <c r="F1945" i="3"/>
  <c r="E1945" i="3"/>
  <c r="D1945" i="3"/>
  <c r="C1945" i="3"/>
  <c r="B1945" i="3"/>
  <c r="A1945" i="3"/>
  <c r="M1944" i="3"/>
  <c r="L1944" i="3"/>
  <c r="K1944" i="3"/>
  <c r="J1944" i="3"/>
  <c r="I1944" i="3"/>
  <c r="H1944" i="3"/>
  <c r="G1944" i="3"/>
  <c r="F1944" i="3"/>
  <c r="E1944" i="3"/>
  <c r="D1944" i="3"/>
  <c r="C1944" i="3"/>
  <c r="B1944" i="3"/>
  <c r="A1944" i="3"/>
  <c r="M1943" i="3"/>
  <c r="L1943" i="3"/>
  <c r="K1943" i="3"/>
  <c r="J1943" i="3"/>
  <c r="I1943" i="3"/>
  <c r="H1943" i="3"/>
  <c r="G1943" i="3"/>
  <c r="F1943" i="3"/>
  <c r="E1943" i="3"/>
  <c r="D1943" i="3"/>
  <c r="C1943" i="3"/>
  <c r="B1943" i="3"/>
  <c r="A1943" i="3"/>
  <c r="M1942" i="3"/>
  <c r="L1942" i="3"/>
  <c r="K1942" i="3"/>
  <c r="J1942" i="3"/>
  <c r="I1942" i="3"/>
  <c r="H1942" i="3"/>
  <c r="G1942" i="3"/>
  <c r="F1942" i="3"/>
  <c r="E1942" i="3"/>
  <c r="D1942" i="3"/>
  <c r="C1942" i="3"/>
  <c r="B1942" i="3"/>
  <c r="A1942" i="3"/>
  <c r="M1941" i="3"/>
  <c r="L1941" i="3"/>
  <c r="K1941" i="3"/>
  <c r="J1941" i="3"/>
  <c r="I1941" i="3"/>
  <c r="H1941" i="3"/>
  <c r="G1941" i="3"/>
  <c r="F1941" i="3"/>
  <c r="E1941" i="3"/>
  <c r="D1941" i="3"/>
  <c r="C1941" i="3"/>
  <c r="B1941" i="3"/>
  <c r="A1941" i="3"/>
  <c r="M1940" i="3"/>
  <c r="L1940" i="3"/>
  <c r="K1940" i="3"/>
  <c r="J1940" i="3"/>
  <c r="I1940" i="3"/>
  <c r="H1940" i="3"/>
  <c r="G1940" i="3"/>
  <c r="F1940" i="3"/>
  <c r="E1940" i="3"/>
  <c r="D1940" i="3"/>
  <c r="C1940" i="3"/>
  <c r="B1940" i="3"/>
  <c r="A1940" i="3"/>
  <c r="M1939" i="3"/>
  <c r="L1939" i="3"/>
  <c r="K1939" i="3"/>
  <c r="J1939" i="3"/>
  <c r="I1939" i="3"/>
  <c r="H1939" i="3"/>
  <c r="G1939" i="3"/>
  <c r="F1939" i="3"/>
  <c r="E1939" i="3"/>
  <c r="D1939" i="3"/>
  <c r="C1939" i="3"/>
  <c r="B1939" i="3"/>
  <c r="A1939" i="3"/>
  <c r="M1938" i="3"/>
  <c r="L1938" i="3"/>
  <c r="K1938" i="3"/>
  <c r="J1938" i="3"/>
  <c r="I1938" i="3"/>
  <c r="H1938" i="3"/>
  <c r="G1938" i="3"/>
  <c r="F1938" i="3"/>
  <c r="E1938" i="3"/>
  <c r="D1938" i="3"/>
  <c r="C1938" i="3"/>
  <c r="B1938" i="3"/>
  <c r="A1938" i="3"/>
  <c r="M1937" i="3"/>
  <c r="L1937" i="3"/>
  <c r="K1937" i="3"/>
  <c r="J1937" i="3"/>
  <c r="I1937" i="3"/>
  <c r="H1937" i="3"/>
  <c r="G1937" i="3"/>
  <c r="F1937" i="3"/>
  <c r="E1937" i="3"/>
  <c r="D1937" i="3"/>
  <c r="C1937" i="3"/>
  <c r="B1937" i="3"/>
  <c r="A1937" i="3"/>
  <c r="M1936" i="3"/>
  <c r="L1936" i="3"/>
  <c r="K1936" i="3"/>
  <c r="J1936" i="3"/>
  <c r="I1936" i="3"/>
  <c r="H1936" i="3"/>
  <c r="G1936" i="3"/>
  <c r="F1936" i="3"/>
  <c r="E1936" i="3"/>
  <c r="D1936" i="3"/>
  <c r="C1936" i="3"/>
  <c r="B1936" i="3"/>
  <c r="A1936" i="3"/>
  <c r="M1935" i="3"/>
  <c r="L1935" i="3"/>
  <c r="K1935" i="3"/>
  <c r="J1935" i="3"/>
  <c r="I1935" i="3"/>
  <c r="H1935" i="3"/>
  <c r="G1935" i="3"/>
  <c r="F1935" i="3"/>
  <c r="E1935" i="3"/>
  <c r="D1935" i="3"/>
  <c r="C1935" i="3"/>
  <c r="B1935" i="3"/>
  <c r="A1935" i="3"/>
  <c r="M1934" i="3"/>
  <c r="L1934" i="3"/>
  <c r="K1934" i="3"/>
  <c r="J1934" i="3"/>
  <c r="I1934" i="3"/>
  <c r="H1934" i="3"/>
  <c r="G1934" i="3"/>
  <c r="F1934" i="3"/>
  <c r="E1934" i="3"/>
  <c r="D1934" i="3"/>
  <c r="C1934" i="3"/>
  <c r="B1934" i="3"/>
  <c r="A1934" i="3"/>
  <c r="M1933" i="3"/>
  <c r="L1933" i="3"/>
  <c r="K1933" i="3"/>
  <c r="J1933" i="3"/>
  <c r="I1933" i="3"/>
  <c r="H1933" i="3"/>
  <c r="G1933" i="3"/>
  <c r="F1933" i="3"/>
  <c r="E1933" i="3"/>
  <c r="D1933" i="3"/>
  <c r="C1933" i="3"/>
  <c r="B1933" i="3"/>
  <c r="A1933" i="3"/>
  <c r="M1932" i="3"/>
  <c r="L1932" i="3"/>
  <c r="K1932" i="3"/>
  <c r="J1932" i="3"/>
  <c r="I1932" i="3"/>
  <c r="H1932" i="3"/>
  <c r="G1932" i="3"/>
  <c r="F1932" i="3"/>
  <c r="E1932" i="3"/>
  <c r="D1932" i="3"/>
  <c r="C1932" i="3"/>
  <c r="B1932" i="3"/>
  <c r="A1932" i="3"/>
  <c r="M1931" i="3"/>
  <c r="L1931" i="3"/>
  <c r="K1931" i="3"/>
  <c r="J1931" i="3"/>
  <c r="I1931" i="3"/>
  <c r="H1931" i="3"/>
  <c r="G1931" i="3"/>
  <c r="F1931" i="3"/>
  <c r="E1931" i="3"/>
  <c r="D1931" i="3"/>
  <c r="C1931" i="3"/>
  <c r="B1931" i="3"/>
  <c r="A1931" i="3"/>
  <c r="M1930" i="3"/>
  <c r="L1930" i="3"/>
  <c r="K1930" i="3"/>
  <c r="J1930" i="3"/>
  <c r="I1930" i="3"/>
  <c r="H1930" i="3"/>
  <c r="G1930" i="3"/>
  <c r="F1930" i="3"/>
  <c r="E1930" i="3"/>
  <c r="D1930" i="3"/>
  <c r="C1930" i="3"/>
  <c r="B1930" i="3"/>
  <c r="A1930" i="3"/>
  <c r="M1929" i="3"/>
  <c r="L1929" i="3"/>
  <c r="K1929" i="3"/>
  <c r="J1929" i="3"/>
  <c r="I1929" i="3"/>
  <c r="H1929" i="3"/>
  <c r="G1929" i="3"/>
  <c r="F1929" i="3"/>
  <c r="E1929" i="3"/>
  <c r="D1929" i="3"/>
  <c r="C1929" i="3"/>
  <c r="B1929" i="3"/>
  <c r="A1929" i="3"/>
  <c r="M1928" i="3"/>
  <c r="L1928" i="3"/>
  <c r="K1928" i="3"/>
  <c r="J1928" i="3"/>
  <c r="I1928" i="3"/>
  <c r="H1928" i="3"/>
  <c r="G1928" i="3"/>
  <c r="F1928" i="3"/>
  <c r="E1928" i="3"/>
  <c r="D1928" i="3"/>
  <c r="C1928" i="3"/>
  <c r="B1928" i="3"/>
  <c r="A1928" i="3"/>
  <c r="M1927" i="3"/>
  <c r="L1927" i="3"/>
  <c r="K1927" i="3"/>
  <c r="J1927" i="3"/>
  <c r="I1927" i="3"/>
  <c r="H1927" i="3"/>
  <c r="G1927" i="3"/>
  <c r="F1927" i="3"/>
  <c r="E1927" i="3"/>
  <c r="D1927" i="3"/>
  <c r="C1927" i="3"/>
  <c r="B1927" i="3"/>
  <c r="A1927" i="3"/>
  <c r="M1926" i="3"/>
  <c r="L1926" i="3"/>
  <c r="K1926" i="3"/>
  <c r="J1926" i="3"/>
  <c r="I1926" i="3"/>
  <c r="H1926" i="3"/>
  <c r="G1926" i="3"/>
  <c r="F1926" i="3"/>
  <c r="E1926" i="3"/>
  <c r="D1926" i="3"/>
  <c r="C1926" i="3"/>
  <c r="B1926" i="3"/>
  <c r="A1926" i="3"/>
  <c r="M1925" i="3"/>
  <c r="L1925" i="3"/>
  <c r="K1925" i="3"/>
  <c r="J1925" i="3"/>
  <c r="I1925" i="3"/>
  <c r="H1925" i="3"/>
  <c r="G1925" i="3"/>
  <c r="F1925" i="3"/>
  <c r="E1925" i="3"/>
  <c r="D1925" i="3"/>
  <c r="C1925" i="3"/>
  <c r="B1925" i="3"/>
  <c r="A1925" i="3"/>
  <c r="M1924" i="3"/>
  <c r="L1924" i="3"/>
  <c r="K1924" i="3"/>
  <c r="J1924" i="3"/>
  <c r="I1924" i="3"/>
  <c r="H1924" i="3"/>
  <c r="G1924" i="3"/>
  <c r="F1924" i="3"/>
  <c r="E1924" i="3"/>
  <c r="D1924" i="3"/>
  <c r="C1924" i="3"/>
  <c r="B1924" i="3"/>
  <c r="A1924" i="3"/>
  <c r="M1923" i="3"/>
  <c r="L1923" i="3"/>
  <c r="K1923" i="3"/>
  <c r="J1923" i="3"/>
  <c r="I1923" i="3"/>
  <c r="H1923" i="3"/>
  <c r="G1923" i="3"/>
  <c r="F1923" i="3"/>
  <c r="E1923" i="3"/>
  <c r="D1923" i="3"/>
  <c r="C1923" i="3"/>
  <c r="B1923" i="3"/>
  <c r="A1923" i="3"/>
  <c r="M1922" i="3"/>
  <c r="L1922" i="3"/>
  <c r="K1922" i="3"/>
  <c r="J1922" i="3"/>
  <c r="I1922" i="3"/>
  <c r="H1922" i="3"/>
  <c r="F1922" i="3"/>
  <c r="E1922" i="3"/>
  <c r="D1922" i="3"/>
  <c r="C1922" i="3"/>
  <c r="B1922" i="3"/>
  <c r="A1922" i="3"/>
  <c r="M1921" i="3"/>
  <c r="L1921" i="3"/>
  <c r="K1921" i="3"/>
  <c r="J1921" i="3"/>
  <c r="I1921" i="3"/>
  <c r="H1921" i="3"/>
  <c r="G1921" i="3"/>
  <c r="F1921" i="3"/>
  <c r="E1921" i="3"/>
  <c r="D1921" i="3"/>
  <c r="C1921" i="3"/>
  <c r="B1921" i="3"/>
  <c r="A1921" i="3"/>
  <c r="M1920" i="3"/>
  <c r="L1920" i="3"/>
  <c r="K1920" i="3"/>
  <c r="J1920" i="3"/>
  <c r="I1920" i="3"/>
  <c r="H1920" i="3"/>
  <c r="G1920" i="3"/>
  <c r="F1920" i="3"/>
  <c r="E1920" i="3"/>
  <c r="D1920" i="3"/>
  <c r="C1920" i="3"/>
  <c r="B1920" i="3"/>
  <c r="A1920" i="3"/>
  <c r="M1919" i="3"/>
  <c r="L1919" i="3"/>
  <c r="K1919" i="3"/>
  <c r="J1919" i="3"/>
  <c r="I1919" i="3"/>
  <c r="H1919" i="3"/>
  <c r="G1919" i="3"/>
  <c r="F1919" i="3"/>
  <c r="E1919" i="3"/>
  <c r="D1919" i="3"/>
  <c r="C1919" i="3"/>
  <c r="B1919" i="3"/>
  <c r="A1919" i="3"/>
  <c r="M1918" i="3"/>
  <c r="L1918" i="3"/>
  <c r="K1918" i="3"/>
  <c r="J1918" i="3"/>
  <c r="I1918" i="3"/>
  <c r="H1918" i="3"/>
  <c r="G1918" i="3"/>
  <c r="F1918" i="3"/>
  <c r="E1918" i="3"/>
  <c r="D1918" i="3"/>
  <c r="C1918" i="3"/>
  <c r="B1918" i="3"/>
  <c r="A1918" i="3"/>
  <c r="M1917" i="3"/>
  <c r="L1917" i="3"/>
  <c r="K1917" i="3"/>
  <c r="J1917" i="3"/>
  <c r="I1917" i="3"/>
  <c r="H1917" i="3"/>
  <c r="G1917" i="3"/>
  <c r="F1917" i="3"/>
  <c r="E1917" i="3"/>
  <c r="D1917" i="3"/>
  <c r="C1917" i="3"/>
  <c r="B1917" i="3"/>
  <c r="A1917" i="3"/>
  <c r="M1916" i="3"/>
  <c r="L1916" i="3"/>
  <c r="K1916" i="3"/>
  <c r="J1916" i="3"/>
  <c r="I1916" i="3"/>
  <c r="H1916" i="3"/>
  <c r="G1916" i="3"/>
  <c r="F1916" i="3"/>
  <c r="E1916" i="3"/>
  <c r="D1916" i="3"/>
  <c r="C1916" i="3"/>
  <c r="B1916" i="3"/>
  <c r="A1916" i="3"/>
  <c r="M1915" i="3"/>
  <c r="L1915" i="3"/>
  <c r="K1915" i="3"/>
  <c r="J1915" i="3"/>
  <c r="I1915" i="3"/>
  <c r="H1915" i="3"/>
  <c r="G1915" i="3"/>
  <c r="F1915" i="3"/>
  <c r="D1915" i="3"/>
  <c r="C1915" i="3"/>
  <c r="B1915" i="3"/>
  <c r="A1915" i="3"/>
  <c r="M1914" i="3"/>
  <c r="L1914" i="3"/>
  <c r="K1914" i="3"/>
  <c r="J1914" i="3"/>
  <c r="I1914" i="3"/>
  <c r="H1914" i="3"/>
  <c r="G1914" i="3"/>
  <c r="F1914" i="3"/>
  <c r="E1914" i="3"/>
  <c r="D1914" i="3"/>
  <c r="C1914" i="3"/>
  <c r="B1914" i="3"/>
  <c r="A1914" i="3"/>
  <c r="M1913" i="3"/>
  <c r="L1913" i="3"/>
  <c r="K1913" i="3"/>
  <c r="J1913" i="3"/>
  <c r="I1913" i="3"/>
  <c r="H1913" i="3"/>
  <c r="G1913" i="3"/>
  <c r="F1913" i="3"/>
  <c r="E1913" i="3"/>
  <c r="D1913" i="3"/>
  <c r="C1913" i="3"/>
  <c r="B1913" i="3"/>
  <c r="A1913" i="3"/>
  <c r="M1912" i="3"/>
  <c r="L1912" i="3"/>
  <c r="K1912" i="3"/>
  <c r="J1912" i="3"/>
  <c r="I1912" i="3"/>
  <c r="H1912" i="3"/>
  <c r="G1912" i="3"/>
  <c r="F1912" i="3"/>
  <c r="E1912" i="3"/>
  <c r="D1912" i="3"/>
  <c r="C1912" i="3"/>
  <c r="B1912" i="3"/>
  <c r="A1912" i="3"/>
  <c r="M1911" i="3"/>
  <c r="L1911" i="3"/>
  <c r="K1911" i="3"/>
  <c r="J1911" i="3"/>
  <c r="I1911" i="3"/>
  <c r="H1911" i="3"/>
  <c r="G1911" i="3"/>
  <c r="F1911" i="3"/>
  <c r="E1911" i="3"/>
  <c r="D1911" i="3"/>
  <c r="C1911" i="3"/>
  <c r="B1911" i="3"/>
  <c r="A1911" i="3"/>
  <c r="M1910" i="3"/>
  <c r="L1910" i="3"/>
  <c r="K1910" i="3"/>
  <c r="J1910" i="3"/>
  <c r="I1910" i="3"/>
  <c r="H1910" i="3"/>
  <c r="G1910" i="3"/>
  <c r="F1910" i="3"/>
  <c r="E1910" i="3"/>
  <c r="D1910" i="3"/>
  <c r="C1910" i="3"/>
  <c r="B1910" i="3"/>
  <c r="A1910" i="3"/>
  <c r="M1909" i="3"/>
  <c r="L1909" i="3"/>
  <c r="K1909" i="3"/>
  <c r="J1909" i="3"/>
  <c r="I1909" i="3"/>
  <c r="H1909" i="3"/>
  <c r="G1909" i="3"/>
  <c r="F1909" i="3"/>
  <c r="E1909" i="3"/>
  <c r="D1909" i="3"/>
  <c r="C1909" i="3"/>
  <c r="B1909" i="3"/>
  <c r="A1909" i="3"/>
  <c r="M1908" i="3"/>
  <c r="L1908" i="3"/>
  <c r="K1908" i="3"/>
  <c r="J1908" i="3"/>
  <c r="I1908" i="3"/>
  <c r="H1908" i="3"/>
  <c r="G1908" i="3"/>
  <c r="F1908" i="3"/>
  <c r="E1908" i="3"/>
  <c r="D1908" i="3"/>
  <c r="C1908" i="3"/>
  <c r="B1908" i="3"/>
  <c r="A1908" i="3"/>
  <c r="M1907" i="3"/>
  <c r="L1907" i="3"/>
  <c r="K1907" i="3"/>
  <c r="J1907" i="3"/>
  <c r="I1907" i="3"/>
  <c r="H1907" i="3"/>
  <c r="G1907" i="3"/>
  <c r="F1907" i="3"/>
  <c r="E1907" i="3"/>
  <c r="D1907" i="3"/>
  <c r="C1907" i="3"/>
  <c r="B1907" i="3"/>
  <c r="A1907" i="3"/>
  <c r="M1906" i="3"/>
  <c r="L1906" i="3"/>
  <c r="K1906" i="3"/>
  <c r="J1906" i="3"/>
  <c r="I1906" i="3"/>
  <c r="H1906" i="3"/>
  <c r="G1906" i="3"/>
  <c r="F1906" i="3"/>
  <c r="E1906" i="3"/>
  <c r="D1906" i="3"/>
  <c r="C1906" i="3"/>
  <c r="B1906" i="3"/>
  <c r="A1906" i="3"/>
  <c r="M1905" i="3"/>
  <c r="L1905" i="3"/>
  <c r="K1905" i="3"/>
  <c r="J1905" i="3"/>
  <c r="I1905" i="3"/>
  <c r="H1905" i="3"/>
  <c r="G1905" i="3"/>
  <c r="F1905" i="3"/>
  <c r="E1905" i="3"/>
  <c r="D1905" i="3"/>
  <c r="C1905" i="3"/>
  <c r="B1905" i="3"/>
  <c r="A1905" i="3"/>
  <c r="M1904" i="3"/>
  <c r="L1904" i="3"/>
  <c r="K1904" i="3"/>
  <c r="J1904" i="3"/>
  <c r="I1904" i="3"/>
  <c r="H1904" i="3"/>
  <c r="G1904" i="3"/>
  <c r="F1904" i="3"/>
  <c r="E1904" i="3"/>
  <c r="D1904" i="3"/>
  <c r="C1904" i="3"/>
  <c r="B1904" i="3"/>
  <c r="A1904" i="3"/>
  <c r="M1903" i="3"/>
  <c r="L1903" i="3"/>
  <c r="K1903" i="3"/>
  <c r="J1903" i="3"/>
  <c r="I1903" i="3"/>
  <c r="H1903" i="3"/>
  <c r="G1903" i="3"/>
  <c r="F1903" i="3"/>
  <c r="E1903" i="3"/>
  <c r="D1903" i="3"/>
  <c r="C1903" i="3"/>
  <c r="B1903" i="3"/>
  <c r="A1903" i="3"/>
  <c r="M1902" i="3"/>
  <c r="L1902" i="3"/>
  <c r="K1902" i="3"/>
  <c r="J1902" i="3"/>
  <c r="I1902" i="3"/>
  <c r="H1902" i="3"/>
  <c r="G1902" i="3"/>
  <c r="F1902" i="3"/>
  <c r="E1902" i="3"/>
  <c r="D1902" i="3"/>
  <c r="C1902" i="3"/>
  <c r="B1902" i="3"/>
  <c r="A1902" i="3"/>
  <c r="M1901" i="3"/>
  <c r="L1901" i="3"/>
  <c r="K1901" i="3"/>
  <c r="J1901" i="3"/>
  <c r="I1901" i="3"/>
  <c r="H1901" i="3"/>
  <c r="G1901" i="3"/>
  <c r="F1901" i="3"/>
  <c r="E1901" i="3"/>
  <c r="D1901" i="3"/>
  <c r="C1901" i="3"/>
  <c r="B1901" i="3"/>
  <c r="A1901" i="3"/>
  <c r="M1900" i="3"/>
  <c r="L1900" i="3"/>
  <c r="K1900" i="3"/>
  <c r="J1900" i="3"/>
  <c r="I1900" i="3"/>
  <c r="H1900" i="3"/>
  <c r="G1900" i="3"/>
  <c r="F1900" i="3"/>
  <c r="E1900" i="3"/>
  <c r="D1900" i="3"/>
  <c r="C1900" i="3"/>
  <c r="B1900" i="3"/>
  <c r="A1900" i="3"/>
  <c r="M1899" i="3"/>
  <c r="L1899" i="3"/>
  <c r="K1899" i="3"/>
  <c r="J1899" i="3"/>
  <c r="I1899" i="3"/>
  <c r="H1899" i="3"/>
  <c r="G1899" i="3"/>
  <c r="F1899" i="3"/>
  <c r="E1899" i="3"/>
  <c r="D1899" i="3"/>
  <c r="C1899" i="3"/>
  <c r="B1899" i="3"/>
  <c r="A1899" i="3"/>
  <c r="M1898" i="3"/>
  <c r="L1898" i="3"/>
  <c r="K1898" i="3"/>
  <c r="J1898" i="3"/>
  <c r="I1898" i="3"/>
  <c r="H1898" i="3"/>
  <c r="G1898" i="3"/>
  <c r="F1898" i="3"/>
  <c r="E1898" i="3"/>
  <c r="D1898" i="3"/>
  <c r="C1898" i="3"/>
  <c r="B1898" i="3"/>
  <c r="A1898" i="3"/>
  <c r="M1897" i="3"/>
  <c r="L1897" i="3"/>
  <c r="K1897" i="3"/>
  <c r="J1897" i="3"/>
  <c r="I1897" i="3"/>
  <c r="H1897" i="3"/>
  <c r="G1897" i="3"/>
  <c r="F1897" i="3"/>
  <c r="E1897" i="3"/>
  <c r="D1897" i="3"/>
  <c r="C1897" i="3"/>
  <c r="B1897" i="3"/>
  <c r="A1897" i="3"/>
  <c r="M1896" i="3"/>
  <c r="L1896" i="3"/>
  <c r="K1896" i="3"/>
  <c r="J1896" i="3"/>
  <c r="I1896" i="3"/>
  <c r="H1896" i="3"/>
  <c r="G1896" i="3"/>
  <c r="F1896" i="3"/>
  <c r="E1896" i="3"/>
  <c r="D1896" i="3"/>
  <c r="C1896" i="3"/>
  <c r="B1896" i="3"/>
  <c r="A1896" i="3"/>
  <c r="M1895" i="3"/>
  <c r="L1895" i="3"/>
  <c r="K1895" i="3"/>
  <c r="J1895" i="3"/>
  <c r="I1895" i="3"/>
  <c r="H1895" i="3"/>
  <c r="G1895" i="3"/>
  <c r="F1895" i="3"/>
  <c r="E1895" i="3"/>
  <c r="D1895" i="3"/>
  <c r="C1895" i="3"/>
  <c r="B1895" i="3"/>
  <c r="A1895" i="3"/>
  <c r="M1894" i="3"/>
  <c r="L1894" i="3"/>
  <c r="K1894" i="3"/>
  <c r="J1894" i="3"/>
  <c r="I1894" i="3"/>
  <c r="H1894" i="3"/>
  <c r="G1894" i="3"/>
  <c r="F1894" i="3"/>
  <c r="E1894" i="3"/>
  <c r="D1894" i="3"/>
  <c r="C1894" i="3"/>
  <c r="B1894" i="3"/>
  <c r="A1894" i="3"/>
  <c r="M1893" i="3"/>
  <c r="L1893" i="3"/>
  <c r="K1893" i="3"/>
  <c r="J1893" i="3"/>
  <c r="I1893" i="3"/>
  <c r="H1893" i="3"/>
  <c r="G1893" i="3"/>
  <c r="F1893" i="3"/>
  <c r="E1893" i="3"/>
  <c r="D1893" i="3"/>
  <c r="C1893" i="3"/>
  <c r="B1893" i="3"/>
  <c r="A1893" i="3"/>
  <c r="M1892" i="3"/>
  <c r="L1892" i="3"/>
  <c r="K1892" i="3"/>
  <c r="J1892" i="3"/>
  <c r="I1892" i="3"/>
  <c r="H1892" i="3"/>
  <c r="G1892" i="3"/>
  <c r="F1892" i="3"/>
  <c r="E1892" i="3"/>
  <c r="D1892" i="3"/>
  <c r="C1892" i="3"/>
  <c r="B1892" i="3"/>
  <c r="A1892" i="3"/>
  <c r="M1891" i="3"/>
  <c r="L1891" i="3"/>
  <c r="K1891" i="3"/>
  <c r="J1891" i="3"/>
  <c r="I1891" i="3"/>
  <c r="H1891" i="3"/>
  <c r="G1891" i="3"/>
  <c r="F1891" i="3"/>
  <c r="E1891" i="3"/>
  <c r="D1891" i="3"/>
  <c r="C1891" i="3"/>
  <c r="B1891" i="3"/>
  <c r="A1891" i="3"/>
  <c r="M1890" i="3"/>
  <c r="L1890" i="3"/>
  <c r="K1890" i="3"/>
  <c r="J1890" i="3"/>
  <c r="I1890" i="3"/>
  <c r="H1890" i="3"/>
  <c r="G1890" i="3"/>
  <c r="F1890" i="3"/>
  <c r="E1890" i="3"/>
  <c r="D1890" i="3"/>
  <c r="C1890" i="3"/>
  <c r="B1890" i="3"/>
  <c r="A1890" i="3"/>
  <c r="M1889" i="3"/>
  <c r="L1889" i="3"/>
  <c r="K1889" i="3"/>
  <c r="J1889" i="3"/>
  <c r="I1889" i="3"/>
  <c r="H1889" i="3"/>
  <c r="G1889" i="3"/>
  <c r="F1889" i="3"/>
  <c r="E1889" i="3"/>
  <c r="D1889" i="3"/>
  <c r="C1889" i="3"/>
  <c r="B1889" i="3"/>
  <c r="A1889" i="3"/>
  <c r="M1888" i="3"/>
  <c r="L1888" i="3"/>
  <c r="K1888" i="3"/>
  <c r="J1888" i="3"/>
  <c r="I1888" i="3"/>
  <c r="H1888" i="3"/>
  <c r="G1888" i="3"/>
  <c r="F1888" i="3"/>
  <c r="E1888" i="3"/>
  <c r="D1888" i="3"/>
  <c r="C1888" i="3"/>
  <c r="B1888" i="3"/>
  <c r="A1888" i="3"/>
  <c r="M1887" i="3"/>
  <c r="L1887" i="3"/>
  <c r="K1887" i="3"/>
  <c r="J1887" i="3"/>
  <c r="I1887" i="3"/>
  <c r="H1887" i="3"/>
  <c r="G1887" i="3"/>
  <c r="F1887" i="3"/>
  <c r="E1887" i="3"/>
  <c r="D1887" i="3"/>
  <c r="C1887" i="3"/>
  <c r="B1887" i="3"/>
  <c r="A1887" i="3"/>
  <c r="M1886" i="3"/>
  <c r="L1886" i="3"/>
  <c r="K1886" i="3"/>
  <c r="J1886" i="3"/>
  <c r="I1886" i="3"/>
  <c r="H1886" i="3"/>
  <c r="G1886" i="3"/>
  <c r="F1886" i="3"/>
  <c r="E1886" i="3"/>
  <c r="D1886" i="3"/>
  <c r="C1886" i="3"/>
  <c r="B1886" i="3"/>
  <c r="A1886" i="3"/>
  <c r="M1885" i="3"/>
  <c r="L1885" i="3"/>
  <c r="K1885" i="3"/>
  <c r="J1885" i="3"/>
  <c r="I1885" i="3"/>
  <c r="H1885" i="3"/>
  <c r="G1885" i="3"/>
  <c r="F1885" i="3"/>
  <c r="E1885" i="3"/>
  <c r="D1885" i="3"/>
  <c r="C1885" i="3"/>
  <c r="B1885" i="3"/>
  <c r="A1885" i="3"/>
  <c r="M1884" i="3"/>
  <c r="L1884" i="3"/>
  <c r="K1884" i="3"/>
  <c r="J1884" i="3"/>
  <c r="I1884" i="3"/>
  <c r="H1884" i="3"/>
  <c r="G1884" i="3"/>
  <c r="F1884" i="3"/>
  <c r="E1884" i="3"/>
  <c r="D1884" i="3"/>
  <c r="C1884" i="3"/>
  <c r="B1884" i="3"/>
  <c r="A1884" i="3"/>
  <c r="M1883" i="3"/>
  <c r="L1883" i="3"/>
  <c r="K1883" i="3"/>
  <c r="J1883" i="3"/>
  <c r="I1883" i="3"/>
  <c r="H1883" i="3"/>
  <c r="G1883" i="3"/>
  <c r="F1883" i="3"/>
  <c r="E1883" i="3"/>
  <c r="D1883" i="3"/>
  <c r="C1883" i="3"/>
  <c r="B1883" i="3"/>
  <c r="A1883" i="3"/>
  <c r="M1882" i="3"/>
  <c r="L1882" i="3"/>
  <c r="K1882" i="3"/>
  <c r="J1882" i="3"/>
  <c r="I1882" i="3"/>
  <c r="H1882" i="3"/>
  <c r="G1882" i="3"/>
  <c r="F1882" i="3"/>
  <c r="E1882" i="3"/>
  <c r="D1882" i="3"/>
  <c r="C1882" i="3"/>
  <c r="B1882" i="3"/>
  <c r="A1882" i="3"/>
  <c r="M1881" i="3"/>
  <c r="L1881" i="3"/>
  <c r="K1881" i="3"/>
  <c r="J1881" i="3"/>
  <c r="I1881" i="3"/>
  <c r="H1881" i="3"/>
  <c r="G1881" i="3"/>
  <c r="F1881" i="3"/>
  <c r="E1881" i="3"/>
  <c r="D1881" i="3"/>
  <c r="C1881" i="3"/>
  <c r="B1881" i="3"/>
  <c r="A1881" i="3"/>
  <c r="M1880" i="3"/>
  <c r="L1880" i="3"/>
  <c r="K1880" i="3"/>
  <c r="J1880" i="3"/>
  <c r="I1880" i="3"/>
  <c r="H1880" i="3"/>
  <c r="G1880" i="3"/>
  <c r="F1880" i="3"/>
  <c r="E1880" i="3"/>
  <c r="D1880" i="3"/>
  <c r="C1880" i="3"/>
  <c r="B1880" i="3"/>
  <c r="A1880" i="3"/>
  <c r="M1879" i="3"/>
  <c r="L1879" i="3"/>
  <c r="K1879" i="3"/>
  <c r="J1879" i="3"/>
  <c r="I1879" i="3"/>
  <c r="H1879" i="3"/>
  <c r="G1879" i="3"/>
  <c r="F1879" i="3"/>
  <c r="E1879" i="3"/>
  <c r="D1879" i="3"/>
  <c r="C1879" i="3"/>
  <c r="B1879" i="3"/>
  <c r="A1879" i="3"/>
  <c r="M1878" i="3"/>
  <c r="L1878" i="3"/>
  <c r="K1878" i="3"/>
  <c r="J1878" i="3"/>
  <c r="I1878" i="3"/>
  <c r="H1878" i="3"/>
  <c r="G1878" i="3"/>
  <c r="F1878" i="3"/>
  <c r="E1878" i="3"/>
  <c r="D1878" i="3"/>
  <c r="C1878" i="3"/>
  <c r="B1878" i="3"/>
  <c r="A1878" i="3"/>
  <c r="M1877" i="3"/>
  <c r="L1877" i="3"/>
  <c r="K1877" i="3"/>
  <c r="J1877" i="3"/>
  <c r="I1877" i="3"/>
  <c r="H1877" i="3"/>
  <c r="G1877" i="3"/>
  <c r="F1877" i="3"/>
  <c r="E1877" i="3"/>
  <c r="D1877" i="3"/>
  <c r="C1877" i="3"/>
  <c r="B1877" i="3"/>
  <c r="A1877" i="3"/>
  <c r="M1876" i="3"/>
  <c r="L1876" i="3"/>
  <c r="K1876" i="3"/>
  <c r="J1876" i="3"/>
  <c r="I1876" i="3"/>
  <c r="H1876" i="3"/>
  <c r="G1876" i="3"/>
  <c r="F1876" i="3"/>
  <c r="E1876" i="3"/>
  <c r="D1876" i="3"/>
  <c r="C1876" i="3"/>
  <c r="B1876" i="3"/>
  <c r="A1876" i="3"/>
  <c r="M1875" i="3"/>
  <c r="L1875" i="3"/>
  <c r="K1875" i="3"/>
  <c r="J1875" i="3"/>
  <c r="I1875" i="3"/>
  <c r="H1875" i="3"/>
  <c r="G1875" i="3"/>
  <c r="F1875" i="3"/>
  <c r="E1875" i="3"/>
  <c r="D1875" i="3"/>
  <c r="C1875" i="3"/>
  <c r="B1875" i="3"/>
  <c r="A1875" i="3"/>
  <c r="M1874" i="3"/>
  <c r="L1874" i="3"/>
  <c r="K1874" i="3"/>
  <c r="J1874" i="3"/>
  <c r="I1874" i="3"/>
  <c r="H1874" i="3"/>
  <c r="G1874" i="3"/>
  <c r="F1874" i="3"/>
  <c r="E1874" i="3"/>
  <c r="D1874" i="3"/>
  <c r="C1874" i="3"/>
  <c r="B1874" i="3"/>
  <c r="A1874" i="3"/>
  <c r="M1873" i="3"/>
  <c r="L1873" i="3"/>
  <c r="K1873" i="3"/>
  <c r="J1873" i="3"/>
  <c r="I1873" i="3"/>
  <c r="H1873" i="3"/>
  <c r="G1873" i="3"/>
  <c r="F1873" i="3"/>
  <c r="E1873" i="3"/>
  <c r="D1873" i="3"/>
  <c r="C1873" i="3"/>
  <c r="B1873" i="3"/>
  <c r="A1873" i="3"/>
  <c r="M1872" i="3"/>
  <c r="L1872" i="3"/>
  <c r="K1872" i="3"/>
  <c r="J1872" i="3"/>
  <c r="I1872" i="3"/>
  <c r="H1872" i="3"/>
  <c r="G1872" i="3"/>
  <c r="F1872" i="3"/>
  <c r="E1872" i="3"/>
  <c r="D1872" i="3"/>
  <c r="C1872" i="3"/>
  <c r="B1872" i="3"/>
  <c r="A1872" i="3"/>
  <c r="M1871" i="3"/>
  <c r="L1871" i="3"/>
  <c r="K1871" i="3"/>
  <c r="J1871" i="3"/>
  <c r="I1871" i="3"/>
  <c r="H1871" i="3"/>
  <c r="G1871" i="3"/>
  <c r="F1871" i="3"/>
  <c r="E1871" i="3"/>
  <c r="D1871" i="3"/>
  <c r="C1871" i="3"/>
  <c r="B1871" i="3"/>
  <c r="A1871" i="3"/>
  <c r="M1870" i="3"/>
  <c r="L1870" i="3"/>
  <c r="K1870" i="3"/>
  <c r="J1870" i="3"/>
  <c r="I1870" i="3"/>
  <c r="H1870" i="3"/>
  <c r="G1870" i="3"/>
  <c r="F1870" i="3"/>
  <c r="E1870" i="3"/>
  <c r="D1870" i="3"/>
  <c r="C1870" i="3"/>
  <c r="B1870" i="3"/>
  <c r="A1870" i="3"/>
  <c r="M1869" i="3"/>
  <c r="L1869" i="3"/>
  <c r="K1869" i="3"/>
  <c r="J1869" i="3"/>
  <c r="I1869" i="3"/>
  <c r="H1869" i="3"/>
  <c r="G1869" i="3"/>
  <c r="F1869" i="3"/>
  <c r="E1869" i="3"/>
  <c r="D1869" i="3"/>
  <c r="C1869" i="3"/>
  <c r="B1869" i="3"/>
  <c r="A1869" i="3"/>
  <c r="M1868" i="3"/>
  <c r="L1868" i="3"/>
  <c r="K1868" i="3"/>
  <c r="J1868" i="3"/>
  <c r="I1868" i="3"/>
  <c r="H1868" i="3"/>
  <c r="G1868" i="3"/>
  <c r="F1868" i="3"/>
  <c r="E1868" i="3"/>
  <c r="D1868" i="3"/>
  <c r="C1868" i="3"/>
  <c r="B1868" i="3"/>
  <c r="A1868" i="3"/>
  <c r="M1867" i="3"/>
  <c r="L1867" i="3"/>
  <c r="K1867" i="3"/>
  <c r="J1867" i="3"/>
  <c r="I1867" i="3"/>
  <c r="H1867" i="3"/>
  <c r="G1867" i="3"/>
  <c r="F1867" i="3"/>
  <c r="E1867" i="3"/>
  <c r="D1867" i="3"/>
  <c r="C1867" i="3"/>
  <c r="B1867" i="3"/>
  <c r="A1867" i="3"/>
  <c r="M1866" i="3"/>
  <c r="L1866" i="3"/>
  <c r="K1866" i="3"/>
  <c r="J1866" i="3"/>
  <c r="I1866" i="3"/>
  <c r="H1866" i="3"/>
  <c r="G1866" i="3"/>
  <c r="F1866" i="3"/>
  <c r="E1866" i="3"/>
  <c r="D1866" i="3"/>
  <c r="C1866" i="3"/>
  <c r="B1866" i="3"/>
  <c r="A1866" i="3"/>
  <c r="M1865" i="3"/>
  <c r="L1865" i="3"/>
  <c r="K1865" i="3"/>
  <c r="J1865" i="3"/>
  <c r="I1865" i="3"/>
  <c r="H1865" i="3"/>
  <c r="G1865" i="3"/>
  <c r="F1865" i="3"/>
  <c r="E1865" i="3"/>
  <c r="D1865" i="3"/>
  <c r="C1865" i="3"/>
  <c r="B1865" i="3"/>
  <c r="A1865" i="3"/>
  <c r="M1864" i="3"/>
  <c r="L1864" i="3"/>
  <c r="K1864" i="3"/>
  <c r="J1864" i="3"/>
  <c r="I1864" i="3"/>
  <c r="H1864" i="3"/>
  <c r="G1864" i="3"/>
  <c r="F1864" i="3"/>
  <c r="E1864" i="3"/>
  <c r="D1864" i="3"/>
  <c r="C1864" i="3"/>
  <c r="B1864" i="3"/>
  <c r="A1864" i="3"/>
  <c r="M1863" i="3"/>
  <c r="L1863" i="3"/>
  <c r="K1863" i="3"/>
  <c r="J1863" i="3"/>
  <c r="I1863" i="3"/>
  <c r="H1863" i="3"/>
  <c r="G1863" i="3"/>
  <c r="F1863" i="3"/>
  <c r="E1863" i="3"/>
  <c r="D1863" i="3"/>
  <c r="C1863" i="3"/>
  <c r="B1863" i="3"/>
  <c r="A1863" i="3"/>
  <c r="M1862" i="3"/>
  <c r="L1862" i="3"/>
  <c r="K1862" i="3"/>
  <c r="J1862" i="3"/>
  <c r="I1862" i="3"/>
  <c r="H1862" i="3"/>
  <c r="G1862" i="3"/>
  <c r="F1862" i="3"/>
  <c r="E1862" i="3"/>
  <c r="D1862" i="3"/>
  <c r="C1862" i="3"/>
  <c r="B1862" i="3"/>
  <c r="A1862" i="3"/>
  <c r="M1861" i="3"/>
  <c r="L1861" i="3"/>
  <c r="K1861" i="3"/>
  <c r="J1861" i="3"/>
  <c r="I1861" i="3"/>
  <c r="H1861" i="3"/>
  <c r="G1861" i="3"/>
  <c r="F1861" i="3"/>
  <c r="E1861" i="3"/>
  <c r="D1861" i="3"/>
  <c r="C1861" i="3"/>
  <c r="B1861" i="3"/>
  <c r="A1861" i="3"/>
  <c r="M1860" i="3"/>
  <c r="L1860" i="3"/>
  <c r="K1860" i="3"/>
  <c r="J1860" i="3"/>
  <c r="I1860" i="3"/>
  <c r="H1860" i="3"/>
  <c r="F1860" i="3"/>
  <c r="E1860" i="3"/>
  <c r="D1860" i="3"/>
  <c r="C1860" i="3"/>
  <c r="B1860" i="3"/>
  <c r="A1860" i="3"/>
  <c r="M1859" i="3"/>
  <c r="L1859" i="3"/>
  <c r="K1859" i="3"/>
  <c r="J1859" i="3"/>
  <c r="I1859" i="3"/>
  <c r="H1859" i="3"/>
  <c r="G1859" i="3"/>
  <c r="F1859" i="3"/>
  <c r="E1859" i="3"/>
  <c r="D1859" i="3"/>
  <c r="C1859" i="3"/>
  <c r="B1859" i="3"/>
  <c r="A1859" i="3"/>
  <c r="M1858" i="3"/>
  <c r="L1858" i="3"/>
  <c r="K1858" i="3"/>
  <c r="J1858" i="3"/>
  <c r="I1858" i="3"/>
  <c r="H1858" i="3"/>
  <c r="G1858" i="3"/>
  <c r="F1858" i="3"/>
  <c r="E1858" i="3"/>
  <c r="D1858" i="3"/>
  <c r="C1858" i="3"/>
  <c r="B1858" i="3"/>
  <c r="A1858" i="3"/>
  <c r="M1857" i="3"/>
  <c r="L1857" i="3"/>
  <c r="K1857" i="3"/>
  <c r="J1857" i="3"/>
  <c r="I1857" i="3"/>
  <c r="H1857" i="3"/>
  <c r="G1857" i="3"/>
  <c r="F1857" i="3"/>
  <c r="E1857" i="3"/>
  <c r="D1857" i="3"/>
  <c r="C1857" i="3"/>
  <c r="B1857" i="3"/>
  <c r="A1857" i="3"/>
  <c r="M1856" i="3"/>
  <c r="L1856" i="3"/>
  <c r="K1856" i="3"/>
  <c r="J1856" i="3"/>
  <c r="I1856" i="3"/>
  <c r="H1856" i="3"/>
  <c r="G1856" i="3"/>
  <c r="F1856" i="3"/>
  <c r="E1856" i="3"/>
  <c r="D1856" i="3"/>
  <c r="C1856" i="3"/>
  <c r="B1856" i="3"/>
  <c r="A1856" i="3"/>
  <c r="M1855" i="3"/>
  <c r="L1855" i="3"/>
  <c r="K1855" i="3"/>
  <c r="J1855" i="3"/>
  <c r="I1855" i="3"/>
  <c r="H1855" i="3"/>
  <c r="G1855" i="3"/>
  <c r="F1855" i="3"/>
  <c r="E1855" i="3"/>
  <c r="D1855" i="3"/>
  <c r="C1855" i="3"/>
  <c r="B1855" i="3"/>
  <c r="A1855" i="3"/>
  <c r="M1854" i="3"/>
  <c r="L1854" i="3"/>
  <c r="K1854" i="3"/>
  <c r="J1854" i="3"/>
  <c r="I1854" i="3"/>
  <c r="H1854" i="3"/>
  <c r="G1854" i="3"/>
  <c r="F1854" i="3"/>
  <c r="E1854" i="3"/>
  <c r="D1854" i="3"/>
  <c r="C1854" i="3"/>
  <c r="B1854" i="3"/>
  <c r="A1854" i="3"/>
  <c r="M1853" i="3"/>
  <c r="L1853" i="3"/>
  <c r="K1853" i="3"/>
  <c r="J1853" i="3"/>
  <c r="I1853" i="3"/>
  <c r="H1853" i="3"/>
  <c r="G1853" i="3"/>
  <c r="F1853" i="3"/>
  <c r="E1853" i="3"/>
  <c r="D1853" i="3"/>
  <c r="C1853" i="3"/>
  <c r="B1853" i="3"/>
  <c r="A1853" i="3"/>
  <c r="M1852" i="3"/>
  <c r="L1852" i="3"/>
  <c r="K1852" i="3"/>
  <c r="J1852" i="3"/>
  <c r="I1852" i="3"/>
  <c r="H1852" i="3"/>
  <c r="G1852" i="3"/>
  <c r="F1852" i="3"/>
  <c r="E1852" i="3"/>
  <c r="D1852" i="3"/>
  <c r="C1852" i="3"/>
  <c r="B1852" i="3"/>
  <c r="A1852" i="3"/>
  <c r="M1851" i="3"/>
  <c r="L1851" i="3"/>
  <c r="K1851" i="3"/>
  <c r="J1851" i="3"/>
  <c r="I1851" i="3"/>
  <c r="H1851" i="3"/>
  <c r="G1851" i="3"/>
  <c r="F1851" i="3"/>
  <c r="E1851" i="3"/>
  <c r="D1851" i="3"/>
  <c r="C1851" i="3"/>
  <c r="B1851" i="3"/>
  <c r="A1851" i="3"/>
  <c r="M1850" i="3"/>
  <c r="L1850" i="3"/>
  <c r="K1850" i="3"/>
  <c r="J1850" i="3"/>
  <c r="I1850" i="3"/>
  <c r="H1850" i="3"/>
  <c r="G1850" i="3"/>
  <c r="F1850" i="3"/>
  <c r="E1850" i="3"/>
  <c r="D1850" i="3"/>
  <c r="C1850" i="3"/>
  <c r="B1850" i="3"/>
  <c r="A1850" i="3"/>
  <c r="M1849" i="3"/>
  <c r="L1849" i="3"/>
  <c r="K1849" i="3"/>
  <c r="J1849" i="3"/>
  <c r="I1849" i="3"/>
  <c r="H1849" i="3"/>
  <c r="G1849" i="3"/>
  <c r="F1849" i="3"/>
  <c r="E1849" i="3"/>
  <c r="D1849" i="3"/>
  <c r="C1849" i="3"/>
  <c r="B1849" i="3"/>
  <c r="A1849" i="3"/>
  <c r="M1848" i="3"/>
  <c r="L1848" i="3"/>
  <c r="K1848" i="3"/>
  <c r="J1848" i="3"/>
  <c r="I1848" i="3"/>
  <c r="H1848" i="3"/>
  <c r="G1848" i="3"/>
  <c r="F1848" i="3"/>
  <c r="E1848" i="3"/>
  <c r="D1848" i="3"/>
  <c r="C1848" i="3"/>
  <c r="B1848" i="3"/>
  <c r="A1848" i="3"/>
  <c r="M1847" i="3"/>
  <c r="L1847" i="3"/>
  <c r="K1847" i="3"/>
  <c r="J1847" i="3"/>
  <c r="I1847" i="3"/>
  <c r="H1847" i="3"/>
  <c r="G1847" i="3"/>
  <c r="F1847" i="3"/>
  <c r="E1847" i="3"/>
  <c r="D1847" i="3"/>
  <c r="C1847" i="3"/>
  <c r="B1847" i="3"/>
  <c r="A1847" i="3"/>
  <c r="M1846" i="3"/>
  <c r="L1846" i="3"/>
  <c r="K1846" i="3"/>
  <c r="J1846" i="3"/>
  <c r="I1846" i="3"/>
  <c r="H1846" i="3"/>
  <c r="G1846" i="3"/>
  <c r="F1846" i="3"/>
  <c r="E1846" i="3"/>
  <c r="D1846" i="3"/>
  <c r="C1846" i="3"/>
  <c r="B1846" i="3"/>
  <c r="A1846" i="3"/>
  <c r="M1845" i="3"/>
  <c r="L1845" i="3"/>
  <c r="K1845" i="3"/>
  <c r="J1845" i="3"/>
  <c r="I1845" i="3"/>
  <c r="H1845" i="3"/>
  <c r="G1845" i="3"/>
  <c r="F1845" i="3"/>
  <c r="E1845" i="3"/>
  <c r="D1845" i="3"/>
  <c r="C1845" i="3"/>
  <c r="B1845" i="3"/>
  <c r="A1845" i="3"/>
  <c r="M1844" i="3"/>
  <c r="L1844" i="3"/>
  <c r="K1844" i="3"/>
  <c r="J1844" i="3"/>
  <c r="I1844" i="3"/>
  <c r="H1844" i="3"/>
  <c r="G1844" i="3"/>
  <c r="F1844" i="3"/>
  <c r="E1844" i="3"/>
  <c r="D1844" i="3"/>
  <c r="C1844" i="3"/>
  <c r="B1844" i="3"/>
  <c r="A1844" i="3"/>
  <c r="M1843" i="3"/>
  <c r="L1843" i="3"/>
  <c r="K1843" i="3"/>
  <c r="J1843" i="3"/>
  <c r="I1843" i="3"/>
  <c r="H1843" i="3"/>
  <c r="G1843" i="3"/>
  <c r="F1843" i="3"/>
  <c r="E1843" i="3"/>
  <c r="D1843" i="3"/>
  <c r="C1843" i="3"/>
  <c r="B1843" i="3"/>
  <c r="A1843" i="3"/>
  <c r="M1842" i="3"/>
  <c r="L1842" i="3"/>
  <c r="K1842" i="3"/>
  <c r="J1842" i="3"/>
  <c r="I1842" i="3"/>
  <c r="H1842" i="3"/>
  <c r="G1842" i="3"/>
  <c r="F1842" i="3"/>
  <c r="E1842" i="3"/>
  <c r="D1842" i="3"/>
  <c r="C1842" i="3"/>
  <c r="B1842" i="3"/>
  <c r="A1842" i="3"/>
  <c r="M1841" i="3"/>
  <c r="L1841" i="3"/>
  <c r="K1841" i="3"/>
  <c r="J1841" i="3"/>
  <c r="I1841" i="3"/>
  <c r="H1841" i="3"/>
  <c r="G1841" i="3"/>
  <c r="F1841" i="3"/>
  <c r="E1841" i="3"/>
  <c r="D1841" i="3"/>
  <c r="C1841" i="3"/>
  <c r="B1841" i="3"/>
  <c r="A1841" i="3"/>
  <c r="M1840" i="3"/>
  <c r="L1840" i="3"/>
  <c r="K1840" i="3"/>
  <c r="J1840" i="3"/>
  <c r="I1840" i="3"/>
  <c r="H1840" i="3"/>
  <c r="G1840" i="3"/>
  <c r="F1840" i="3"/>
  <c r="E1840" i="3"/>
  <c r="D1840" i="3"/>
  <c r="C1840" i="3"/>
  <c r="B1840" i="3"/>
  <c r="A1840" i="3"/>
  <c r="M1839" i="3"/>
  <c r="L1839" i="3"/>
  <c r="K1839" i="3"/>
  <c r="J1839" i="3"/>
  <c r="I1839" i="3"/>
  <c r="H1839" i="3"/>
  <c r="G1839" i="3"/>
  <c r="F1839" i="3"/>
  <c r="E1839" i="3"/>
  <c r="D1839" i="3"/>
  <c r="C1839" i="3"/>
  <c r="B1839" i="3"/>
  <c r="A1839" i="3"/>
  <c r="M1838" i="3"/>
  <c r="L1838" i="3"/>
  <c r="K1838" i="3"/>
  <c r="J1838" i="3"/>
  <c r="I1838" i="3"/>
  <c r="H1838" i="3"/>
  <c r="G1838" i="3"/>
  <c r="F1838" i="3"/>
  <c r="E1838" i="3"/>
  <c r="D1838" i="3"/>
  <c r="C1838" i="3"/>
  <c r="B1838" i="3"/>
  <c r="A1838" i="3"/>
  <c r="M1837" i="3"/>
  <c r="L1837" i="3"/>
  <c r="K1837" i="3"/>
  <c r="J1837" i="3"/>
  <c r="I1837" i="3"/>
  <c r="H1837" i="3"/>
  <c r="G1837" i="3"/>
  <c r="F1837" i="3"/>
  <c r="E1837" i="3"/>
  <c r="D1837" i="3"/>
  <c r="C1837" i="3"/>
  <c r="B1837" i="3"/>
  <c r="A1837" i="3"/>
  <c r="M1836" i="3"/>
  <c r="L1836" i="3"/>
  <c r="K1836" i="3"/>
  <c r="J1836" i="3"/>
  <c r="I1836" i="3"/>
  <c r="H1836" i="3"/>
  <c r="G1836" i="3"/>
  <c r="F1836" i="3"/>
  <c r="E1836" i="3"/>
  <c r="D1836" i="3"/>
  <c r="C1836" i="3"/>
  <c r="B1836" i="3"/>
  <c r="A1836" i="3"/>
  <c r="M1835" i="3"/>
  <c r="L1835" i="3"/>
  <c r="K1835" i="3"/>
  <c r="J1835" i="3"/>
  <c r="I1835" i="3"/>
  <c r="H1835" i="3"/>
  <c r="G1835" i="3"/>
  <c r="F1835" i="3"/>
  <c r="E1835" i="3"/>
  <c r="D1835" i="3"/>
  <c r="C1835" i="3"/>
  <c r="B1835" i="3"/>
  <c r="A1835" i="3"/>
  <c r="M1834" i="3"/>
  <c r="L1834" i="3"/>
  <c r="K1834" i="3"/>
  <c r="J1834" i="3"/>
  <c r="I1834" i="3"/>
  <c r="H1834" i="3"/>
  <c r="G1834" i="3"/>
  <c r="F1834" i="3"/>
  <c r="E1834" i="3"/>
  <c r="D1834" i="3"/>
  <c r="C1834" i="3"/>
  <c r="B1834" i="3"/>
  <c r="A1834" i="3"/>
  <c r="M1833" i="3"/>
  <c r="L1833" i="3"/>
  <c r="K1833" i="3"/>
  <c r="J1833" i="3"/>
  <c r="I1833" i="3"/>
  <c r="H1833" i="3"/>
  <c r="G1833" i="3"/>
  <c r="F1833" i="3"/>
  <c r="E1833" i="3"/>
  <c r="D1833" i="3"/>
  <c r="C1833" i="3"/>
  <c r="B1833" i="3"/>
  <c r="A1833" i="3"/>
  <c r="M1832" i="3"/>
  <c r="L1832" i="3"/>
  <c r="K1832" i="3"/>
  <c r="J1832" i="3"/>
  <c r="I1832" i="3"/>
  <c r="H1832" i="3"/>
  <c r="G1832" i="3"/>
  <c r="F1832" i="3"/>
  <c r="E1832" i="3"/>
  <c r="D1832" i="3"/>
  <c r="C1832" i="3"/>
  <c r="B1832" i="3"/>
  <c r="A1832" i="3"/>
  <c r="M1831" i="3"/>
  <c r="L1831" i="3"/>
  <c r="K1831" i="3"/>
  <c r="J1831" i="3"/>
  <c r="I1831" i="3"/>
  <c r="H1831" i="3"/>
  <c r="G1831" i="3"/>
  <c r="F1831" i="3"/>
  <c r="E1831" i="3"/>
  <c r="D1831" i="3"/>
  <c r="C1831" i="3"/>
  <c r="B1831" i="3"/>
  <c r="A1831" i="3"/>
  <c r="M1830" i="3"/>
  <c r="L1830" i="3"/>
  <c r="K1830" i="3"/>
  <c r="J1830" i="3"/>
  <c r="I1830" i="3"/>
  <c r="H1830" i="3"/>
  <c r="G1830" i="3"/>
  <c r="F1830" i="3"/>
  <c r="E1830" i="3"/>
  <c r="D1830" i="3"/>
  <c r="C1830" i="3"/>
  <c r="B1830" i="3"/>
  <c r="A1830" i="3"/>
  <c r="M1829" i="3"/>
  <c r="L1829" i="3"/>
  <c r="K1829" i="3"/>
  <c r="J1829" i="3"/>
  <c r="I1829" i="3"/>
  <c r="H1829" i="3"/>
  <c r="G1829" i="3"/>
  <c r="F1829" i="3"/>
  <c r="E1829" i="3"/>
  <c r="D1829" i="3"/>
  <c r="C1829" i="3"/>
  <c r="B1829" i="3"/>
  <c r="A1829" i="3"/>
  <c r="M1828" i="3"/>
  <c r="L1828" i="3"/>
  <c r="K1828" i="3"/>
  <c r="J1828" i="3"/>
  <c r="I1828" i="3"/>
  <c r="H1828" i="3"/>
  <c r="G1828" i="3"/>
  <c r="F1828" i="3"/>
  <c r="E1828" i="3"/>
  <c r="D1828" i="3"/>
  <c r="C1828" i="3"/>
  <c r="B1828" i="3"/>
  <c r="A1828" i="3"/>
  <c r="M1827" i="3"/>
  <c r="L1827" i="3"/>
  <c r="K1827" i="3"/>
  <c r="J1827" i="3"/>
  <c r="I1827" i="3"/>
  <c r="H1827" i="3"/>
  <c r="G1827" i="3"/>
  <c r="F1827" i="3"/>
  <c r="E1827" i="3"/>
  <c r="D1827" i="3"/>
  <c r="C1827" i="3"/>
  <c r="B1827" i="3"/>
  <c r="A1827" i="3"/>
  <c r="M1826" i="3"/>
  <c r="L1826" i="3"/>
  <c r="K1826" i="3"/>
  <c r="J1826" i="3"/>
  <c r="I1826" i="3"/>
  <c r="H1826" i="3"/>
  <c r="G1826" i="3"/>
  <c r="F1826" i="3"/>
  <c r="E1826" i="3"/>
  <c r="D1826" i="3"/>
  <c r="C1826" i="3"/>
  <c r="B1826" i="3"/>
  <c r="A1826" i="3"/>
  <c r="M1825" i="3"/>
  <c r="L1825" i="3"/>
  <c r="K1825" i="3"/>
  <c r="J1825" i="3"/>
  <c r="I1825" i="3"/>
  <c r="H1825" i="3"/>
  <c r="G1825" i="3"/>
  <c r="F1825" i="3"/>
  <c r="E1825" i="3"/>
  <c r="D1825" i="3"/>
  <c r="C1825" i="3"/>
  <c r="B1825" i="3"/>
  <c r="A1825" i="3"/>
  <c r="M1824" i="3"/>
  <c r="L1824" i="3"/>
  <c r="K1824" i="3"/>
  <c r="J1824" i="3"/>
  <c r="I1824" i="3"/>
  <c r="H1824" i="3"/>
  <c r="G1824" i="3"/>
  <c r="F1824" i="3"/>
  <c r="E1824" i="3"/>
  <c r="D1824" i="3"/>
  <c r="C1824" i="3"/>
  <c r="B1824" i="3"/>
  <c r="A1824" i="3"/>
  <c r="M1823" i="3"/>
  <c r="L1823" i="3"/>
  <c r="K1823" i="3"/>
  <c r="J1823" i="3"/>
  <c r="I1823" i="3"/>
  <c r="H1823" i="3"/>
  <c r="G1823" i="3"/>
  <c r="F1823" i="3"/>
  <c r="E1823" i="3"/>
  <c r="D1823" i="3"/>
  <c r="C1823" i="3"/>
  <c r="B1823" i="3"/>
  <c r="A1823" i="3"/>
  <c r="M1822" i="3"/>
  <c r="L1822" i="3"/>
  <c r="K1822" i="3"/>
  <c r="J1822" i="3"/>
  <c r="I1822" i="3"/>
  <c r="H1822" i="3"/>
  <c r="G1822" i="3"/>
  <c r="F1822" i="3"/>
  <c r="E1822" i="3"/>
  <c r="D1822" i="3"/>
  <c r="C1822" i="3"/>
  <c r="B1822" i="3"/>
  <c r="A1822" i="3"/>
  <c r="M1821" i="3"/>
  <c r="L1821" i="3"/>
  <c r="K1821" i="3"/>
  <c r="J1821" i="3"/>
  <c r="I1821" i="3"/>
  <c r="H1821" i="3"/>
  <c r="G1821" i="3"/>
  <c r="F1821" i="3"/>
  <c r="E1821" i="3"/>
  <c r="D1821" i="3"/>
  <c r="C1821" i="3"/>
  <c r="B1821" i="3"/>
  <c r="A1821" i="3"/>
  <c r="M1820" i="3"/>
  <c r="L1820" i="3"/>
  <c r="K1820" i="3"/>
  <c r="J1820" i="3"/>
  <c r="I1820" i="3"/>
  <c r="H1820" i="3"/>
  <c r="G1820" i="3"/>
  <c r="F1820" i="3"/>
  <c r="E1820" i="3"/>
  <c r="D1820" i="3"/>
  <c r="C1820" i="3"/>
  <c r="B1820" i="3"/>
  <c r="A1820" i="3"/>
  <c r="M1819" i="3"/>
  <c r="L1819" i="3"/>
  <c r="K1819" i="3"/>
  <c r="J1819" i="3"/>
  <c r="I1819" i="3"/>
  <c r="H1819" i="3"/>
  <c r="G1819" i="3"/>
  <c r="F1819" i="3"/>
  <c r="E1819" i="3"/>
  <c r="D1819" i="3"/>
  <c r="C1819" i="3"/>
  <c r="B1819" i="3"/>
  <c r="A1819" i="3"/>
  <c r="M1818" i="3"/>
  <c r="L1818" i="3"/>
  <c r="K1818" i="3"/>
  <c r="J1818" i="3"/>
  <c r="I1818" i="3"/>
  <c r="H1818" i="3"/>
  <c r="G1818" i="3"/>
  <c r="F1818" i="3"/>
  <c r="E1818" i="3"/>
  <c r="D1818" i="3"/>
  <c r="C1818" i="3"/>
  <c r="B1818" i="3"/>
  <c r="A1818" i="3"/>
  <c r="M1817" i="3"/>
  <c r="L1817" i="3"/>
  <c r="K1817" i="3"/>
  <c r="J1817" i="3"/>
  <c r="I1817" i="3"/>
  <c r="H1817" i="3"/>
  <c r="G1817" i="3"/>
  <c r="F1817" i="3"/>
  <c r="E1817" i="3"/>
  <c r="D1817" i="3"/>
  <c r="C1817" i="3"/>
  <c r="B1817" i="3"/>
  <c r="A1817" i="3"/>
  <c r="M1816" i="3"/>
  <c r="L1816" i="3"/>
  <c r="K1816" i="3"/>
  <c r="J1816" i="3"/>
  <c r="I1816" i="3"/>
  <c r="H1816" i="3"/>
  <c r="G1816" i="3"/>
  <c r="F1816" i="3"/>
  <c r="E1816" i="3"/>
  <c r="D1816" i="3"/>
  <c r="C1816" i="3"/>
  <c r="B1816" i="3"/>
  <c r="A1816" i="3"/>
  <c r="M1815" i="3"/>
  <c r="L1815" i="3"/>
  <c r="K1815" i="3"/>
  <c r="J1815" i="3"/>
  <c r="I1815" i="3"/>
  <c r="H1815" i="3"/>
  <c r="G1815" i="3"/>
  <c r="F1815" i="3"/>
  <c r="E1815" i="3"/>
  <c r="D1815" i="3"/>
  <c r="C1815" i="3"/>
  <c r="B1815" i="3"/>
  <c r="A1815" i="3"/>
  <c r="M1814" i="3"/>
  <c r="L1814" i="3"/>
  <c r="K1814" i="3"/>
  <c r="J1814" i="3"/>
  <c r="I1814" i="3"/>
  <c r="H1814" i="3"/>
  <c r="G1814" i="3"/>
  <c r="F1814" i="3"/>
  <c r="E1814" i="3"/>
  <c r="D1814" i="3"/>
  <c r="B1814" i="3"/>
  <c r="A1814" i="3"/>
  <c r="M1813" i="3"/>
  <c r="L1813" i="3"/>
  <c r="K1813" i="3"/>
  <c r="J1813" i="3"/>
  <c r="I1813" i="3"/>
  <c r="H1813" i="3"/>
  <c r="G1813" i="3"/>
  <c r="F1813" i="3"/>
  <c r="D1813" i="3"/>
  <c r="C1813" i="3"/>
  <c r="B1813" i="3"/>
  <c r="A1813" i="3"/>
  <c r="M1812" i="3"/>
  <c r="L1812" i="3"/>
  <c r="K1812" i="3"/>
  <c r="J1812" i="3"/>
  <c r="I1812" i="3"/>
  <c r="H1812" i="3"/>
  <c r="G1812" i="3"/>
  <c r="F1812" i="3"/>
  <c r="E1812" i="3"/>
  <c r="D1812" i="3"/>
  <c r="C1812" i="3"/>
  <c r="B1812" i="3"/>
  <c r="A1812" i="3"/>
  <c r="M1811" i="3"/>
  <c r="L1811" i="3"/>
  <c r="K1811" i="3"/>
  <c r="J1811" i="3"/>
  <c r="I1811" i="3"/>
  <c r="H1811" i="3"/>
  <c r="G1811" i="3"/>
  <c r="F1811" i="3"/>
  <c r="E1811" i="3"/>
  <c r="D1811" i="3"/>
  <c r="C1811" i="3"/>
  <c r="B1811" i="3"/>
  <c r="A1811" i="3"/>
  <c r="M1810" i="3"/>
  <c r="L1810" i="3"/>
  <c r="K1810" i="3"/>
  <c r="J1810" i="3"/>
  <c r="I1810" i="3"/>
  <c r="H1810" i="3"/>
  <c r="G1810" i="3"/>
  <c r="F1810" i="3"/>
  <c r="E1810" i="3"/>
  <c r="D1810" i="3"/>
  <c r="C1810" i="3"/>
  <c r="B1810" i="3"/>
  <c r="A1810" i="3"/>
  <c r="M1809" i="3"/>
  <c r="L1809" i="3"/>
  <c r="K1809" i="3"/>
  <c r="J1809" i="3"/>
  <c r="I1809" i="3"/>
  <c r="H1809" i="3"/>
  <c r="F1809" i="3"/>
  <c r="E1809" i="3"/>
  <c r="D1809" i="3"/>
  <c r="C1809" i="3"/>
  <c r="B1809" i="3"/>
  <c r="A1809" i="3"/>
  <c r="M1808" i="3"/>
  <c r="L1808" i="3"/>
  <c r="K1808" i="3"/>
  <c r="J1808" i="3"/>
  <c r="I1808" i="3"/>
  <c r="H1808" i="3"/>
  <c r="G1808" i="3"/>
  <c r="F1808" i="3"/>
  <c r="E1808" i="3"/>
  <c r="D1808" i="3"/>
  <c r="C1808" i="3"/>
  <c r="B1808" i="3"/>
  <c r="A1808" i="3"/>
  <c r="M1807" i="3"/>
  <c r="L1807" i="3"/>
  <c r="K1807" i="3"/>
  <c r="J1807" i="3"/>
  <c r="I1807" i="3"/>
  <c r="H1807" i="3"/>
  <c r="G1807" i="3"/>
  <c r="F1807" i="3"/>
  <c r="E1807" i="3"/>
  <c r="D1807" i="3"/>
  <c r="C1807" i="3"/>
  <c r="B1807" i="3"/>
  <c r="A1807" i="3"/>
  <c r="M1806" i="3"/>
  <c r="L1806" i="3"/>
  <c r="K1806" i="3"/>
  <c r="J1806" i="3"/>
  <c r="I1806" i="3"/>
  <c r="H1806" i="3"/>
  <c r="G1806" i="3"/>
  <c r="F1806" i="3"/>
  <c r="E1806" i="3"/>
  <c r="D1806" i="3"/>
  <c r="C1806" i="3"/>
  <c r="B1806" i="3"/>
  <c r="A1806" i="3"/>
  <c r="M1805" i="3"/>
  <c r="L1805" i="3"/>
  <c r="K1805" i="3"/>
  <c r="J1805" i="3"/>
  <c r="I1805" i="3"/>
  <c r="H1805" i="3"/>
  <c r="G1805" i="3"/>
  <c r="F1805" i="3"/>
  <c r="E1805" i="3"/>
  <c r="D1805" i="3"/>
  <c r="C1805" i="3"/>
  <c r="B1805" i="3"/>
  <c r="A1805" i="3"/>
  <c r="M1804" i="3"/>
  <c r="L1804" i="3"/>
  <c r="K1804" i="3"/>
  <c r="J1804" i="3"/>
  <c r="I1804" i="3"/>
  <c r="H1804" i="3"/>
  <c r="G1804" i="3"/>
  <c r="F1804" i="3"/>
  <c r="E1804" i="3"/>
  <c r="D1804" i="3"/>
  <c r="C1804" i="3"/>
  <c r="B1804" i="3"/>
  <c r="A1804" i="3"/>
  <c r="M1803" i="3"/>
  <c r="L1803" i="3"/>
  <c r="K1803" i="3"/>
  <c r="J1803" i="3"/>
  <c r="I1803" i="3"/>
  <c r="H1803" i="3"/>
  <c r="G1803" i="3"/>
  <c r="F1803" i="3"/>
  <c r="E1803" i="3"/>
  <c r="D1803" i="3"/>
  <c r="C1803" i="3"/>
  <c r="B1803" i="3"/>
  <c r="A1803" i="3"/>
  <c r="M1802" i="3"/>
  <c r="L1802" i="3"/>
  <c r="K1802" i="3"/>
  <c r="J1802" i="3"/>
  <c r="I1802" i="3"/>
  <c r="H1802" i="3"/>
  <c r="F1802" i="3"/>
  <c r="E1802" i="3"/>
  <c r="D1802" i="3"/>
  <c r="C1802" i="3"/>
  <c r="B1802" i="3"/>
  <c r="A1802" i="3"/>
  <c r="M1801" i="3"/>
  <c r="L1801" i="3"/>
  <c r="K1801" i="3"/>
  <c r="J1801" i="3"/>
  <c r="I1801" i="3"/>
  <c r="H1801" i="3"/>
  <c r="F1801" i="3"/>
  <c r="E1801" i="3"/>
  <c r="D1801" i="3"/>
  <c r="C1801" i="3"/>
  <c r="B1801" i="3"/>
  <c r="A1801" i="3"/>
  <c r="M1800" i="3"/>
  <c r="L1800" i="3"/>
  <c r="K1800" i="3"/>
  <c r="J1800" i="3"/>
  <c r="I1800" i="3"/>
  <c r="H1800" i="3"/>
  <c r="F1800" i="3"/>
  <c r="E1800" i="3"/>
  <c r="D1800" i="3"/>
  <c r="C1800" i="3"/>
  <c r="B1800" i="3"/>
  <c r="A1800" i="3"/>
  <c r="M1799" i="3"/>
  <c r="L1799" i="3"/>
  <c r="K1799" i="3"/>
  <c r="J1799" i="3"/>
  <c r="I1799" i="3"/>
  <c r="H1799" i="3"/>
  <c r="G1799" i="3"/>
  <c r="F1799" i="3"/>
  <c r="E1799" i="3"/>
  <c r="D1799" i="3"/>
  <c r="C1799" i="3"/>
  <c r="B1799" i="3"/>
  <c r="A1799" i="3"/>
  <c r="M1798" i="3"/>
  <c r="L1798" i="3"/>
  <c r="K1798" i="3"/>
  <c r="J1798" i="3"/>
  <c r="I1798" i="3"/>
  <c r="H1798" i="3"/>
  <c r="G1798" i="3"/>
  <c r="F1798" i="3"/>
  <c r="E1798" i="3"/>
  <c r="D1798" i="3"/>
  <c r="C1798" i="3"/>
  <c r="B1798" i="3"/>
  <c r="A1798" i="3"/>
  <c r="M1797" i="3"/>
  <c r="L1797" i="3"/>
  <c r="K1797" i="3"/>
  <c r="J1797" i="3"/>
  <c r="I1797" i="3"/>
  <c r="H1797" i="3"/>
  <c r="G1797" i="3"/>
  <c r="F1797" i="3"/>
  <c r="E1797" i="3"/>
  <c r="D1797" i="3"/>
  <c r="C1797" i="3"/>
  <c r="B1797" i="3"/>
  <c r="A1797" i="3"/>
  <c r="M1796" i="3"/>
  <c r="L1796" i="3"/>
  <c r="K1796" i="3"/>
  <c r="J1796" i="3"/>
  <c r="I1796" i="3"/>
  <c r="H1796" i="3"/>
  <c r="G1796" i="3"/>
  <c r="F1796" i="3"/>
  <c r="E1796" i="3"/>
  <c r="D1796" i="3"/>
  <c r="C1796" i="3"/>
  <c r="B1796" i="3"/>
  <c r="A1796" i="3"/>
  <c r="M1795" i="3"/>
  <c r="L1795" i="3"/>
  <c r="K1795" i="3"/>
  <c r="J1795" i="3"/>
  <c r="I1795" i="3"/>
  <c r="H1795" i="3"/>
  <c r="G1795" i="3"/>
  <c r="F1795" i="3"/>
  <c r="E1795" i="3"/>
  <c r="D1795" i="3"/>
  <c r="C1795" i="3"/>
  <c r="B1795" i="3"/>
  <c r="A1795" i="3"/>
  <c r="M1794" i="3"/>
  <c r="L1794" i="3"/>
  <c r="K1794" i="3"/>
  <c r="J1794" i="3"/>
  <c r="I1794" i="3"/>
  <c r="H1794" i="3"/>
  <c r="G1794" i="3"/>
  <c r="F1794" i="3"/>
  <c r="E1794" i="3"/>
  <c r="D1794" i="3"/>
  <c r="C1794" i="3"/>
  <c r="B1794" i="3"/>
  <c r="A1794" i="3"/>
  <c r="M1793" i="3"/>
  <c r="L1793" i="3"/>
  <c r="K1793" i="3"/>
  <c r="J1793" i="3"/>
  <c r="I1793" i="3"/>
  <c r="H1793" i="3"/>
  <c r="G1793" i="3"/>
  <c r="F1793" i="3"/>
  <c r="E1793" i="3"/>
  <c r="D1793" i="3"/>
  <c r="C1793" i="3"/>
  <c r="B1793" i="3"/>
  <c r="A1793" i="3"/>
  <c r="M1792" i="3"/>
  <c r="L1792" i="3"/>
  <c r="K1792" i="3"/>
  <c r="J1792" i="3"/>
  <c r="I1792" i="3"/>
  <c r="H1792" i="3"/>
  <c r="G1792" i="3"/>
  <c r="F1792" i="3"/>
  <c r="E1792" i="3"/>
  <c r="D1792" i="3"/>
  <c r="C1792" i="3"/>
  <c r="B1792" i="3"/>
  <c r="A1792" i="3"/>
  <c r="M1791" i="3"/>
  <c r="L1791" i="3"/>
  <c r="K1791" i="3"/>
  <c r="J1791" i="3"/>
  <c r="I1791" i="3"/>
  <c r="H1791" i="3"/>
  <c r="G1791" i="3"/>
  <c r="F1791" i="3"/>
  <c r="E1791" i="3"/>
  <c r="D1791" i="3"/>
  <c r="C1791" i="3"/>
  <c r="B1791" i="3"/>
  <c r="A1791" i="3"/>
  <c r="M1790" i="3"/>
  <c r="L1790" i="3"/>
  <c r="K1790" i="3"/>
  <c r="J1790" i="3"/>
  <c r="I1790" i="3"/>
  <c r="H1790" i="3"/>
  <c r="G1790" i="3"/>
  <c r="F1790" i="3"/>
  <c r="E1790" i="3"/>
  <c r="D1790" i="3"/>
  <c r="C1790" i="3"/>
  <c r="B1790" i="3"/>
  <c r="A1790" i="3"/>
  <c r="M1789" i="3"/>
  <c r="L1789" i="3"/>
  <c r="K1789" i="3"/>
  <c r="J1789" i="3"/>
  <c r="I1789" i="3"/>
  <c r="H1789" i="3"/>
  <c r="G1789" i="3"/>
  <c r="F1789" i="3"/>
  <c r="E1789" i="3"/>
  <c r="D1789" i="3"/>
  <c r="C1789" i="3"/>
  <c r="B1789" i="3"/>
  <c r="A1789" i="3"/>
  <c r="M1788" i="3"/>
  <c r="L1788" i="3"/>
  <c r="K1788" i="3"/>
  <c r="J1788" i="3"/>
  <c r="I1788" i="3"/>
  <c r="H1788" i="3"/>
  <c r="G1788" i="3"/>
  <c r="F1788" i="3"/>
  <c r="E1788" i="3"/>
  <c r="D1788" i="3"/>
  <c r="C1788" i="3"/>
  <c r="B1788" i="3"/>
  <c r="A1788" i="3"/>
  <c r="M1787" i="3"/>
  <c r="L1787" i="3"/>
  <c r="K1787" i="3"/>
  <c r="J1787" i="3"/>
  <c r="I1787" i="3"/>
  <c r="H1787" i="3"/>
  <c r="G1787" i="3"/>
  <c r="F1787" i="3"/>
  <c r="E1787" i="3"/>
  <c r="D1787" i="3"/>
  <c r="C1787" i="3"/>
  <c r="B1787" i="3"/>
  <c r="A1787" i="3"/>
  <c r="M1786" i="3"/>
  <c r="L1786" i="3"/>
  <c r="K1786" i="3"/>
  <c r="J1786" i="3"/>
  <c r="I1786" i="3"/>
  <c r="H1786" i="3"/>
  <c r="G1786" i="3"/>
  <c r="F1786" i="3"/>
  <c r="E1786" i="3"/>
  <c r="D1786" i="3"/>
  <c r="C1786" i="3"/>
  <c r="B1786" i="3"/>
  <c r="A1786" i="3"/>
  <c r="M1785" i="3"/>
  <c r="L1785" i="3"/>
  <c r="K1785" i="3"/>
  <c r="J1785" i="3"/>
  <c r="I1785" i="3"/>
  <c r="H1785" i="3"/>
  <c r="G1785" i="3"/>
  <c r="F1785" i="3"/>
  <c r="E1785" i="3"/>
  <c r="D1785" i="3"/>
  <c r="C1785" i="3"/>
  <c r="B1785" i="3"/>
  <c r="A1785" i="3"/>
  <c r="M1784" i="3"/>
  <c r="L1784" i="3"/>
  <c r="K1784" i="3"/>
  <c r="J1784" i="3"/>
  <c r="I1784" i="3"/>
  <c r="H1784" i="3"/>
  <c r="G1784" i="3"/>
  <c r="F1784" i="3"/>
  <c r="E1784" i="3"/>
  <c r="D1784" i="3"/>
  <c r="C1784" i="3"/>
  <c r="B1784" i="3"/>
  <c r="A1784" i="3"/>
  <c r="M1783" i="3"/>
  <c r="L1783" i="3"/>
  <c r="K1783" i="3"/>
  <c r="J1783" i="3"/>
  <c r="I1783" i="3"/>
  <c r="H1783" i="3"/>
  <c r="G1783" i="3"/>
  <c r="F1783" i="3"/>
  <c r="E1783" i="3"/>
  <c r="D1783" i="3"/>
  <c r="C1783" i="3"/>
  <c r="B1783" i="3"/>
  <c r="A1783" i="3"/>
  <c r="M1782" i="3"/>
  <c r="L1782" i="3"/>
  <c r="K1782" i="3"/>
  <c r="J1782" i="3"/>
  <c r="I1782" i="3"/>
  <c r="H1782" i="3"/>
  <c r="G1782" i="3"/>
  <c r="F1782" i="3"/>
  <c r="E1782" i="3"/>
  <c r="D1782" i="3"/>
  <c r="C1782" i="3"/>
  <c r="B1782" i="3"/>
  <c r="A1782" i="3"/>
  <c r="M1781" i="3"/>
  <c r="L1781" i="3"/>
  <c r="K1781" i="3"/>
  <c r="J1781" i="3"/>
  <c r="I1781" i="3"/>
  <c r="H1781" i="3"/>
  <c r="G1781" i="3"/>
  <c r="F1781" i="3"/>
  <c r="E1781" i="3"/>
  <c r="D1781" i="3"/>
  <c r="C1781" i="3"/>
  <c r="B1781" i="3"/>
  <c r="A1781" i="3"/>
  <c r="M1780" i="3"/>
  <c r="L1780" i="3"/>
  <c r="K1780" i="3"/>
  <c r="J1780" i="3"/>
  <c r="I1780" i="3"/>
  <c r="H1780" i="3"/>
  <c r="G1780" i="3"/>
  <c r="F1780" i="3"/>
  <c r="E1780" i="3"/>
  <c r="D1780" i="3"/>
  <c r="C1780" i="3"/>
  <c r="B1780" i="3"/>
  <c r="A1780" i="3"/>
  <c r="M1779" i="3"/>
  <c r="L1779" i="3"/>
  <c r="K1779" i="3"/>
  <c r="J1779" i="3"/>
  <c r="I1779" i="3"/>
  <c r="H1779" i="3"/>
  <c r="G1779" i="3"/>
  <c r="F1779" i="3"/>
  <c r="E1779" i="3"/>
  <c r="D1779" i="3"/>
  <c r="C1779" i="3"/>
  <c r="B1779" i="3"/>
  <c r="A1779" i="3"/>
  <c r="M1778" i="3"/>
  <c r="L1778" i="3"/>
  <c r="K1778" i="3"/>
  <c r="J1778" i="3"/>
  <c r="I1778" i="3"/>
  <c r="H1778" i="3"/>
  <c r="G1778" i="3"/>
  <c r="F1778" i="3"/>
  <c r="E1778" i="3"/>
  <c r="D1778" i="3"/>
  <c r="C1778" i="3"/>
  <c r="B1778" i="3"/>
  <c r="A1778" i="3"/>
  <c r="M1777" i="3"/>
  <c r="L1777" i="3"/>
  <c r="K1777" i="3"/>
  <c r="J1777" i="3"/>
  <c r="I1777" i="3"/>
  <c r="H1777" i="3"/>
  <c r="G1777" i="3"/>
  <c r="F1777" i="3"/>
  <c r="E1777" i="3"/>
  <c r="D1777" i="3"/>
  <c r="C1777" i="3"/>
  <c r="B1777" i="3"/>
  <c r="A1777" i="3"/>
  <c r="M1776" i="3"/>
  <c r="L1776" i="3"/>
  <c r="K1776" i="3"/>
  <c r="J1776" i="3"/>
  <c r="I1776" i="3"/>
  <c r="H1776" i="3"/>
  <c r="G1776" i="3"/>
  <c r="F1776" i="3"/>
  <c r="E1776" i="3"/>
  <c r="D1776" i="3"/>
  <c r="C1776" i="3"/>
  <c r="B1776" i="3"/>
  <c r="A1776" i="3"/>
  <c r="M1775" i="3"/>
  <c r="L1775" i="3"/>
  <c r="K1775" i="3"/>
  <c r="J1775" i="3"/>
  <c r="I1775" i="3"/>
  <c r="H1775" i="3"/>
  <c r="G1775" i="3"/>
  <c r="F1775" i="3"/>
  <c r="E1775" i="3"/>
  <c r="D1775" i="3"/>
  <c r="C1775" i="3"/>
  <c r="B1775" i="3"/>
  <c r="A1775" i="3"/>
  <c r="M1774" i="3"/>
  <c r="L1774" i="3"/>
  <c r="K1774" i="3"/>
  <c r="J1774" i="3"/>
  <c r="I1774" i="3"/>
  <c r="H1774" i="3"/>
  <c r="G1774" i="3"/>
  <c r="F1774" i="3"/>
  <c r="E1774" i="3"/>
  <c r="D1774" i="3"/>
  <c r="C1774" i="3"/>
  <c r="B1774" i="3"/>
  <c r="A1774" i="3"/>
  <c r="M1773" i="3"/>
  <c r="L1773" i="3"/>
  <c r="K1773" i="3"/>
  <c r="J1773" i="3"/>
  <c r="I1773" i="3"/>
  <c r="H1773" i="3"/>
  <c r="G1773" i="3"/>
  <c r="F1773" i="3"/>
  <c r="E1773" i="3"/>
  <c r="D1773" i="3"/>
  <c r="C1773" i="3"/>
  <c r="B1773" i="3"/>
  <c r="A1773" i="3"/>
  <c r="M1772" i="3"/>
  <c r="L1772" i="3"/>
  <c r="K1772" i="3"/>
  <c r="J1772" i="3"/>
  <c r="I1772" i="3"/>
  <c r="H1772" i="3"/>
  <c r="G1772" i="3"/>
  <c r="E1772" i="3"/>
  <c r="D1772" i="3"/>
  <c r="C1772" i="3"/>
  <c r="B1772" i="3"/>
  <c r="A1772" i="3"/>
  <c r="M1771" i="3"/>
  <c r="L1771" i="3"/>
  <c r="K1771" i="3"/>
  <c r="J1771" i="3"/>
  <c r="I1771" i="3"/>
  <c r="H1771" i="3"/>
  <c r="G1771" i="3"/>
  <c r="F1771" i="3"/>
  <c r="E1771" i="3"/>
  <c r="D1771" i="3"/>
  <c r="C1771" i="3"/>
  <c r="B1771" i="3"/>
  <c r="A1771" i="3"/>
  <c r="M1770" i="3"/>
  <c r="L1770" i="3"/>
  <c r="K1770" i="3"/>
  <c r="J1770" i="3"/>
  <c r="I1770" i="3"/>
  <c r="H1770" i="3"/>
  <c r="G1770" i="3"/>
  <c r="F1770" i="3"/>
  <c r="E1770" i="3"/>
  <c r="D1770" i="3"/>
  <c r="C1770" i="3"/>
  <c r="B1770" i="3"/>
  <c r="A1770" i="3"/>
  <c r="M1769" i="3"/>
  <c r="L1769" i="3"/>
  <c r="K1769" i="3"/>
  <c r="J1769" i="3"/>
  <c r="I1769" i="3"/>
  <c r="H1769" i="3"/>
  <c r="G1769" i="3"/>
  <c r="F1769" i="3"/>
  <c r="E1769" i="3"/>
  <c r="D1769" i="3"/>
  <c r="C1769" i="3"/>
  <c r="B1769" i="3"/>
  <c r="A1769" i="3"/>
  <c r="M1768" i="3"/>
  <c r="L1768" i="3"/>
  <c r="K1768" i="3"/>
  <c r="J1768" i="3"/>
  <c r="I1768" i="3"/>
  <c r="H1768" i="3"/>
  <c r="G1768" i="3"/>
  <c r="F1768" i="3"/>
  <c r="E1768" i="3"/>
  <c r="D1768" i="3"/>
  <c r="C1768" i="3"/>
  <c r="B1768" i="3"/>
  <c r="A1768" i="3"/>
  <c r="M1767" i="3"/>
  <c r="L1767" i="3"/>
  <c r="K1767" i="3"/>
  <c r="J1767" i="3"/>
  <c r="I1767" i="3"/>
  <c r="H1767" i="3"/>
  <c r="G1767" i="3"/>
  <c r="F1767" i="3"/>
  <c r="E1767" i="3"/>
  <c r="D1767" i="3"/>
  <c r="C1767" i="3"/>
  <c r="B1767" i="3"/>
  <c r="A1767" i="3"/>
  <c r="M1766" i="3"/>
  <c r="L1766" i="3"/>
  <c r="K1766" i="3"/>
  <c r="J1766" i="3"/>
  <c r="I1766" i="3"/>
  <c r="H1766" i="3"/>
  <c r="G1766" i="3"/>
  <c r="F1766" i="3"/>
  <c r="E1766" i="3"/>
  <c r="D1766" i="3"/>
  <c r="C1766" i="3"/>
  <c r="B1766" i="3"/>
  <c r="A1766" i="3"/>
  <c r="M1765" i="3"/>
  <c r="L1765" i="3"/>
  <c r="K1765" i="3"/>
  <c r="J1765" i="3"/>
  <c r="I1765" i="3"/>
  <c r="H1765" i="3"/>
  <c r="G1765" i="3"/>
  <c r="F1765" i="3"/>
  <c r="E1765" i="3"/>
  <c r="D1765" i="3"/>
  <c r="C1765" i="3"/>
  <c r="B1765" i="3"/>
  <c r="A1765" i="3"/>
  <c r="M1764" i="3"/>
  <c r="L1764" i="3"/>
  <c r="K1764" i="3"/>
  <c r="J1764" i="3"/>
  <c r="I1764" i="3"/>
  <c r="H1764" i="3"/>
  <c r="G1764" i="3"/>
  <c r="F1764" i="3"/>
  <c r="E1764" i="3"/>
  <c r="D1764" i="3"/>
  <c r="C1764" i="3"/>
  <c r="B1764" i="3"/>
  <c r="A1764" i="3"/>
  <c r="M1763" i="3"/>
  <c r="L1763" i="3"/>
  <c r="K1763" i="3"/>
  <c r="J1763" i="3"/>
  <c r="I1763" i="3"/>
  <c r="H1763" i="3"/>
  <c r="G1763" i="3"/>
  <c r="F1763" i="3"/>
  <c r="E1763" i="3"/>
  <c r="D1763" i="3"/>
  <c r="C1763" i="3"/>
  <c r="B1763" i="3"/>
  <c r="A1763" i="3"/>
  <c r="M1762" i="3"/>
  <c r="L1762" i="3"/>
  <c r="K1762" i="3"/>
  <c r="J1762" i="3"/>
  <c r="I1762" i="3"/>
  <c r="H1762" i="3"/>
  <c r="G1762" i="3"/>
  <c r="F1762" i="3"/>
  <c r="E1762" i="3"/>
  <c r="D1762" i="3"/>
  <c r="C1762" i="3"/>
  <c r="B1762" i="3"/>
  <c r="A1762" i="3"/>
  <c r="M1761" i="3"/>
  <c r="L1761" i="3"/>
  <c r="K1761" i="3"/>
  <c r="J1761" i="3"/>
  <c r="I1761" i="3"/>
  <c r="H1761" i="3"/>
  <c r="G1761" i="3"/>
  <c r="F1761" i="3"/>
  <c r="D1761" i="3"/>
  <c r="C1761" i="3"/>
  <c r="B1761" i="3"/>
  <c r="A1761" i="3"/>
  <c r="M1760" i="3"/>
  <c r="L1760" i="3"/>
  <c r="K1760" i="3"/>
  <c r="J1760" i="3"/>
  <c r="I1760" i="3"/>
  <c r="H1760" i="3"/>
  <c r="G1760" i="3"/>
  <c r="F1760" i="3"/>
  <c r="E1760" i="3"/>
  <c r="D1760" i="3"/>
  <c r="C1760" i="3"/>
  <c r="B1760" i="3"/>
  <c r="A1760" i="3"/>
  <c r="M1759" i="3"/>
  <c r="L1759" i="3"/>
  <c r="K1759" i="3"/>
  <c r="J1759" i="3"/>
  <c r="I1759" i="3"/>
  <c r="H1759" i="3"/>
  <c r="G1759" i="3"/>
  <c r="F1759" i="3"/>
  <c r="E1759" i="3"/>
  <c r="D1759" i="3"/>
  <c r="C1759" i="3"/>
  <c r="B1759" i="3"/>
  <c r="A1759" i="3"/>
  <c r="M1758" i="3"/>
  <c r="L1758" i="3"/>
  <c r="K1758" i="3"/>
  <c r="J1758" i="3"/>
  <c r="I1758" i="3"/>
  <c r="H1758" i="3"/>
  <c r="G1758" i="3"/>
  <c r="F1758" i="3"/>
  <c r="D1758" i="3"/>
  <c r="C1758" i="3"/>
  <c r="B1758" i="3"/>
  <c r="A1758" i="3"/>
  <c r="M1757" i="3"/>
  <c r="L1757" i="3"/>
  <c r="K1757" i="3"/>
  <c r="J1757" i="3"/>
  <c r="I1757" i="3"/>
  <c r="H1757" i="3"/>
  <c r="G1757" i="3"/>
  <c r="F1757" i="3"/>
  <c r="E1757" i="3"/>
  <c r="D1757" i="3"/>
  <c r="C1757" i="3"/>
  <c r="B1757" i="3"/>
  <c r="A1757" i="3"/>
  <c r="M1756" i="3"/>
  <c r="L1756" i="3"/>
  <c r="K1756" i="3"/>
  <c r="J1756" i="3"/>
  <c r="I1756" i="3"/>
  <c r="H1756" i="3"/>
  <c r="G1756" i="3"/>
  <c r="F1756" i="3"/>
  <c r="E1756" i="3"/>
  <c r="D1756" i="3"/>
  <c r="C1756" i="3"/>
  <c r="B1756" i="3"/>
  <c r="A1756" i="3"/>
  <c r="M1755" i="3"/>
  <c r="L1755" i="3"/>
  <c r="K1755" i="3"/>
  <c r="J1755" i="3"/>
  <c r="I1755" i="3"/>
  <c r="H1755" i="3"/>
  <c r="G1755" i="3"/>
  <c r="F1755" i="3"/>
  <c r="E1755" i="3"/>
  <c r="D1755" i="3"/>
  <c r="C1755" i="3"/>
  <c r="B1755" i="3"/>
  <c r="A1755" i="3"/>
  <c r="M1754" i="3"/>
  <c r="L1754" i="3"/>
  <c r="K1754" i="3"/>
  <c r="J1754" i="3"/>
  <c r="I1754" i="3"/>
  <c r="H1754" i="3"/>
  <c r="G1754" i="3"/>
  <c r="F1754" i="3"/>
  <c r="E1754" i="3"/>
  <c r="D1754" i="3"/>
  <c r="C1754" i="3"/>
  <c r="B1754" i="3"/>
  <c r="A1754" i="3"/>
  <c r="M1753" i="3"/>
  <c r="L1753" i="3"/>
  <c r="K1753" i="3"/>
  <c r="J1753" i="3"/>
  <c r="I1753" i="3"/>
  <c r="H1753" i="3"/>
  <c r="G1753" i="3"/>
  <c r="F1753" i="3"/>
  <c r="E1753" i="3"/>
  <c r="D1753" i="3"/>
  <c r="C1753" i="3"/>
  <c r="B1753" i="3"/>
  <c r="A1753" i="3"/>
  <c r="M1752" i="3"/>
  <c r="L1752" i="3"/>
  <c r="K1752" i="3"/>
  <c r="J1752" i="3"/>
  <c r="I1752" i="3"/>
  <c r="H1752" i="3"/>
  <c r="F1752" i="3"/>
  <c r="E1752" i="3"/>
  <c r="D1752" i="3"/>
  <c r="C1752" i="3"/>
  <c r="B1752" i="3"/>
  <c r="A1752" i="3"/>
  <c r="M1751" i="3"/>
  <c r="L1751" i="3"/>
  <c r="K1751" i="3"/>
  <c r="J1751" i="3"/>
  <c r="I1751" i="3"/>
  <c r="H1751" i="3"/>
  <c r="G1751" i="3"/>
  <c r="F1751" i="3"/>
  <c r="E1751" i="3"/>
  <c r="D1751" i="3"/>
  <c r="C1751" i="3"/>
  <c r="B1751" i="3"/>
  <c r="A1751" i="3"/>
  <c r="M1750" i="3"/>
  <c r="L1750" i="3"/>
  <c r="K1750" i="3"/>
  <c r="J1750" i="3"/>
  <c r="I1750" i="3"/>
  <c r="H1750" i="3"/>
  <c r="G1750" i="3"/>
  <c r="F1750" i="3"/>
  <c r="E1750" i="3"/>
  <c r="D1750" i="3"/>
  <c r="C1750" i="3"/>
  <c r="B1750" i="3"/>
  <c r="A1750" i="3"/>
  <c r="M1749" i="3"/>
  <c r="L1749" i="3"/>
  <c r="K1749" i="3"/>
  <c r="J1749" i="3"/>
  <c r="I1749" i="3"/>
  <c r="H1749" i="3"/>
  <c r="G1749" i="3"/>
  <c r="F1749" i="3"/>
  <c r="E1749" i="3"/>
  <c r="D1749" i="3"/>
  <c r="C1749" i="3"/>
  <c r="B1749" i="3"/>
  <c r="A1749" i="3"/>
  <c r="M1748" i="3"/>
  <c r="L1748" i="3"/>
  <c r="K1748" i="3"/>
  <c r="J1748" i="3"/>
  <c r="I1748" i="3"/>
  <c r="H1748" i="3"/>
  <c r="G1748" i="3"/>
  <c r="F1748" i="3"/>
  <c r="E1748" i="3"/>
  <c r="D1748" i="3"/>
  <c r="C1748" i="3"/>
  <c r="B1748" i="3"/>
  <c r="A1748" i="3"/>
  <c r="M1747" i="3"/>
  <c r="L1747" i="3"/>
  <c r="K1747" i="3"/>
  <c r="J1747" i="3"/>
  <c r="I1747" i="3"/>
  <c r="H1747" i="3"/>
  <c r="G1747" i="3"/>
  <c r="F1747" i="3"/>
  <c r="E1747" i="3"/>
  <c r="D1747" i="3"/>
  <c r="C1747" i="3"/>
  <c r="B1747" i="3"/>
  <c r="A1747" i="3"/>
  <c r="M1746" i="3"/>
  <c r="L1746" i="3"/>
  <c r="K1746" i="3"/>
  <c r="J1746" i="3"/>
  <c r="I1746" i="3"/>
  <c r="H1746" i="3"/>
  <c r="G1746" i="3"/>
  <c r="F1746" i="3"/>
  <c r="E1746" i="3"/>
  <c r="D1746" i="3"/>
  <c r="C1746" i="3"/>
  <c r="B1746" i="3"/>
  <c r="A1746" i="3"/>
  <c r="M1745" i="3"/>
  <c r="L1745" i="3"/>
  <c r="K1745" i="3"/>
  <c r="J1745" i="3"/>
  <c r="I1745" i="3"/>
  <c r="H1745" i="3"/>
  <c r="G1745" i="3"/>
  <c r="F1745" i="3"/>
  <c r="E1745" i="3"/>
  <c r="D1745" i="3"/>
  <c r="C1745" i="3"/>
  <c r="B1745" i="3"/>
  <c r="A1745" i="3"/>
  <c r="M1744" i="3"/>
  <c r="L1744" i="3"/>
  <c r="K1744" i="3"/>
  <c r="J1744" i="3"/>
  <c r="I1744" i="3"/>
  <c r="H1744" i="3"/>
  <c r="G1744" i="3"/>
  <c r="F1744" i="3"/>
  <c r="E1744" i="3"/>
  <c r="D1744" i="3"/>
  <c r="C1744" i="3"/>
  <c r="B1744" i="3"/>
  <c r="A1744" i="3"/>
  <c r="M1743" i="3"/>
  <c r="L1743" i="3"/>
  <c r="K1743" i="3"/>
  <c r="J1743" i="3"/>
  <c r="I1743" i="3"/>
  <c r="H1743" i="3"/>
  <c r="G1743" i="3"/>
  <c r="F1743" i="3"/>
  <c r="E1743" i="3"/>
  <c r="D1743" i="3"/>
  <c r="C1743" i="3"/>
  <c r="B1743" i="3"/>
  <c r="A1743" i="3"/>
  <c r="M1742" i="3"/>
  <c r="L1742" i="3"/>
  <c r="K1742" i="3"/>
  <c r="J1742" i="3"/>
  <c r="I1742" i="3"/>
  <c r="H1742" i="3"/>
  <c r="G1742" i="3"/>
  <c r="F1742" i="3"/>
  <c r="E1742" i="3"/>
  <c r="D1742" i="3"/>
  <c r="C1742" i="3"/>
  <c r="B1742" i="3"/>
  <c r="A1742" i="3"/>
  <c r="M1741" i="3"/>
  <c r="L1741" i="3"/>
  <c r="K1741" i="3"/>
  <c r="J1741" i="3"/>
  <c r="I1741" i="3"/>
  <c r="H1741" i="3"/>
  <c r="G1741" i="3"/>
  <c r="F1741" i="3"/>
  <c r="E1741" i="3"/>
  <c r="D1741" i="3"/>
  <c r="C1741" i="3"/>
  <c r="B1741" i="3"/>
  <c r="A1741" i="3"/>
  <c r="M1740" i="3"/>
  <c r="L1740" i="3"/>
  <c r="K1740" i="3"/>
  <c r="J1740" i="3"/>
  <c r="I1740" i="3"/>
  <c r="H1740" i="3"/>
  <c r="G1740" i="3"/>
  <c r="F1740" i="3"/>
  <c r="E1740" i="3"/>
  <c r="D1740" i="3"/>
  <c r="C1740" i="3"/>
  <c r="B1740" i="3"/>
  <c r="A1740" i="3"/>
  <c r="M1739" i="3"/>
  <c r="L1739" i="3"/>
  <c r="K1739" i="3"/>
  <c r="J1739" i="3"/>
  <c r="I1739" i="3"/>
  <c r="H1739" i="3"/>
  <c r="G1739" i="3"/>
  <c r="F1739" i="3"/>
  <c r="E1739" i="3"/>
  <c r="D1739" i="3"/>
  <c r="C1739" i="3"/>
  <c r="B1739" i="3"/>
  <c r="A1739" i="3"/>
  <c r="M1738" i="3"/>
  <c r="L1738" i="3"/>
  <c r="K1738" i="3"/>
  <c r="J1738" i="3"/>
  <c r="I1738" i="3"/>
  <c r="H1738" i="3"/>
  <c r="G1738" i="3"/>
  <c r="F1738" i="3"/>
  <c r="E1738" i="3"/>
  <c r="D1738" i="3"/>
  <c r="C1738" i="3"/>
  <c r="B1738" i="3"/>
  <c r="A1738" i="3"/>
  <c r="M1737" i="3"/>
  <c r="L1737" i="3"/>
  <c r="K1737" i="3"/>
  <c r="J1737" i="3"/>
  <c r="I1737" i="3"/>
  <c r="H1737" i="3"/>
  <c r="G1737" i="3"/>
  <c r="F1737" i="3"/>
  <c r="E1737" i="3"/>
  <c r="D1737" i="3"/>
  <c r="C1737" i="3"/>
  <c r="B1737" i="3"/>
  <c r="A1737" i="3"/>
  <c r="M1736" i="3"/>
  <c r="L1736" i="3"/>
  <c r="K1736" i="3"/>
  <c r="J1736" i="3"/>
  <c r="I1736" i="3"/>
  <c r="H1736" i="3"/>
  <c r="G1736" i="3"/>
  <c r="F1736" i="3"/>
  <c r="E1736" i="3"/>
  <c r="D1736" i="3"/>
  <c r="C1736" i="3"/>
  <c r="B1736" i="3"/>
  <c r="A1736" i="3"/>
  <c r="M1735" i="3"/>
  <c r="L1735" i="3"/>
  <c r="K1735" i="3"/>
  <c r="J1735" i="3"/>
  <c r="I1735" i="3"/>
  <c r="H1735" i="3"/>
  <c r="G1735" i="3"/>
  <c r="F1735" i="3"/>
  <c r="E1735" i="3"/>
  <c r="D1735" i="3"/>
  <c r="C1735" i="3"/>
  <c r="B1735" i="3"/>
  <c r="A1735" i="3"/>
  <c r="M1734" i="3"/>
  <c r="L1734" i="3"/>
  <c r="K1734" i="3"/>
  <c r="J1734" i="3"/>
  <c r="I1734" i="3"/>
  <c r="H1734" i="3"/>
  <c r="G1734" i="3"/>
  <c r="F1734" i="3"/>
  <c r="E1734" i="3"/>
  <c r="D1734" i="3"/>
  <c r="C1734" i="3"/>
  <c r="B1734" i="3"/>
  <c r="A1734" i="3"/>
  <c r="M1733" i="3"/>
  <c r="L1733" i="3"/>
  <c r="K1733" i="3"/>
  <c r="J1733" i="3"/>
  <c r="I1733" i="3"/>
  <c r="H1733" i="3"/>
  <c r="G1733" i="3"/>
  <c r="F1733" i="3"/>
  <c r="E1733" i="3"/>
  <c r="D1733" i="3"/>
  <c r="C1733" i="3"/>
  <c r="B1733" i="3"/>
  <c r="A1733" i="3"/>
  <c r="M1732" i="3"/>
  <c r="L1732" i="3"/>
  <c r="K1732" i="3"/>
  <c r="J1732" i="3"/>
  <c r="I1732" i="3"/>
  <c r="H1732" i="3"/>
  <c r="G1732" i="3"/>
  <c r="F1732" i="3"/>
  <c r="E1732" i="3"/>
  <c r="D1732" i="3"/>
  <c r="C1732" i="3"/>
  <c r="B1732" i="3"/>
  <c r="A1732" i="3"/>
  <c r="M1731" i="3"/>
  <c r="L1731" i="3"/>
  <c r="K1731" i="3"/>
  <c r="J1731" i="3"/>
  <c r="I1731" i="3"/>
  <c r="H1731" i="3"/>
  <c r="G1731" i="3"/>
  <c r="F1731" i="3"/>
  <c r="E1731" i="3"/>
  <c r="D1731" i="3"/>
  <c r="C1731" i="3"/>
  <c r="B1731" i="3"/>
  <c r="A1731" i="3"/>
  <c r="M1730" i="3"/>
  <c r="L1730" i="3"/>
  <c r="K1730" i="3"/>
  <c r="J1730" i="3"/>
  <c r="I1730" i="3"/>
  <c r="H1730" i="3"/>
  <c r="G1730" i="3"/>
  <c r="F1730" i="3"/>
  <c r="E1730" i="3"/>
  <c r="D1730" i="3"/>
  <c r="C1730" i="3"/>
  <c r="B1730" i="3"/>
  <c r="A1730" i="3"/>
  <c r="M1729" i="3"/>
  <c r="L1729" i="3"/>
  <c r="K1729" i="3"/>
  <c r="J1729" i="3"/>
  <c r="I1729" i="3"/>
  <c r="H1729" i="3"/>
  <c r="G1729" i="3"/>
  <c r="F1729" i="3"/>
  <c r="E1729" i="3"/>
  <c r="D1729" i="3"/>
  <c r="C1729" i="3"/>
  <c r="B1729" i="3"/>
  <c r="A1729" i="3"/>
  <c r="M1728" i="3"/>
  <c r="L1728" i="3"/>
  <c r="K1728" i="3"/>
  <c r="J1728" i="3"/>
  <c r="I1728" i="3"/>
  <c r="H1728" i="3"/>
  <c r="G1728" i="3"/>
  <c r="F1728" i="3"/>
  <c r="E1728" i="3"/>
  <c r="D1728" i="3"/>
  <c r="C1728" i="3"/>
  <c r="B1728" i="3"/>
  <c r="A1728" i="3"/>
  <c r="M1727" i="3"/>
  <c r="L1727" i="3"/>
  <c r="K1727" i="3"/>
  <c r="J1727" i="3"/>
  <c r="I1727" i="3"/>
  <c r="H1727" i="3"/>
  <c r="G1727" i="3"/>
  <c r="F1727" i="3"/>
  <c r="E1727" i="3"/>
  <c r="D1727" i="3"/>
  <c r="C1727" i="3"/>
  <c r="B1727" i="3"/>
  <c r="A1727" i="3"/>
  <c r="M1726" i="3"/>
  <c r="L1726" i="3"/>
  <c r="K1726" i="3"/>
  <c r="J1726" i="3"/>
  <c r="I1726" i="3"/>
  <c r="H1726" i="3"/>
  <c r="G1726" i="3"/>
  <c r="F1726" i="3"/>
  <c r="E1726" i="3"/>
  <c r="D1726" i="3"/>
  <c r="C1726" i="3"/>
  <c r="B1726" i="3"/>
  <c r="A1726" i="3"/>
  <c r="M1725" i="3"/>
  <c r="L1725" i="3"/>
  <c r="K1725" i="3"/>
  <c r="J1725" i="3"/>
  <c r="I1725" i="3"/>
  <c r="H1725" i="3"/>
  <c r="G1725" i="3"/>
  <c r="F1725" i="3"/>
  <c r="E1725" i="3"/>
  <c r="D1725" i="3"/>
  <c r="C1725" i="3"/>
  <c r="B1725" i="3"/>
  <c r="A1725" i="3"/>
  <c r="M1724" i="3"/>
  <c r="L1724" i="3"/>
  <c r="K1724" i="3"/>
  <c r="J1724" i="3"/>
  <c r="I1724" i="3"/>
  <c r="H1724" i="3"/>
  <c r="G1724" i="3"/>
  <c r="F1724" i="3"/>
  <c r="E1724" i="3"/>
  <c r="D1724" i="3"/>
  <c r="C1724" i="3"/>
  <c r="B1724" i="3"/>
  <c r="A1724" i="3"/>
  <c r="M1723" i="3"/>
  <c r="L1723" i="3"/>
  <c r="K1723" i="3"/>
  <c r="J1723" i="3"/>
  <c r="I1723" i="3"/>
  <c r="H1723" i="3"/>
  <c r="G1723" i="3"/>
  <c r="F1723" i="3"/>
  <c r="E1723" i="3"/>
  <c r="D1723" i="3"/>
  <c r="C1723" i="3"/>
  <c r="B1723" i="3"/>
  <c r="A1723" i="3"/>
  <c r="M1722" i="3"/>
  <c r="L1722" i="3"/>
  <c r="K1722" i="3"/>
  <c r="J1722" i="3"/>
  <c r="I1722" i="3"/>
  <c r="H1722" i="3"/>
  <c r="G1722" i="3"/>
  <c r="F1722" i="3"/>
  <c r="E1722" i="3"/>
  <c r="D1722" i="3"/>
  <c r="C1722" i="3"/>
  <c r="B1722" i="3"/>
  <c r="A1722" i="3"/>
  <c r="M1721" i="3"/>
  <c r="L1721" i="3"/>
  <c r="K1721" i="3"/>
  <c r="J1721" i="3"/>
  <c r="I1721" i="3"/>
  <c r="H1721" i="3"/>
  <c r="F1721" i="3"/>
  <c r="E1721" i="3"/>
  <c r="D1721" i="3"/>
  <c r="C1721" i="3"/>
  <c r="B1721" i="3"/>
  <c r="A1721" i="3"/>
  <c r="M1720" i="3"/>
  <c r="L1720" i="3"/>
  <c r="K1720" i="3"/>
  <c r="J1720" i="3"/>
  <c r="I1720" i="3"/>
  <c r="H1720" i="3"/>
  <c r="G1720" i="3"/>
  <c r="F1720" i="3"/>
  <c r="E1720" i="3"/>
  <c r="D1720" i="3"/>
  <c r="C1720" i="3"/>
  <c r="B1720" i="3"/>
  <c r="A1720" i="3"/>
  <c r="M1719" i="3"/>
  <c r="L1719" i="3"/>
  <c r="K1719" i="3"/>
  <c r="J1719" i="3"/>
  <c r="I1719" i="3"/>
  <c r="H1719" i="3"/>
  <c r="G1719" i="3"/>
  <c r="F1719" i="3"/>
  <c r="E1719" i="3"/>
  <c r="D1719" i="3"/>
  <c r="C1719" i="3"/>
  <c r="B1719" i="3"/>
  <c r="A1719" i="3"/>
  <c r="M1718" i="3"/>
  <c r="L1718" i="3"/>
  <c r="K1718" i="3"/>
  <c r="J1718" i="3"/>
  <c r="I1718" i="3"/>
  <c r="H1718" i="3"/>
  <c r="G1718" i="3"/>
  <c r="F1718" i="3"/>
  <c r="E1718" i="3"/>
  <c r="D1718" i="3"/>
  <c r="C1718" i="3"/>
  <c r="B1718" i="3"/>
  <c r="A1718" i="3"/>
  <c r="M1717" i="3"/>
  <c r="L1717" i="3"/>
  <c r="K1717" i="3"/>
  <c r="J1717" i="3"/>
  <c r="I1717" i="3"/>
  <c r="H1717" i="3"/>
  <c r="G1717" i="3"/>
  <c r="F1717" i="3"/>
  <c r="E1717" i="3"/>
  <c r="D1717" i="3"/>
  <c r="C1717" i="3"/>
  <c r="B1717" i="3"/>
  <c r="A1717" i="3"/>
  <c r="M1716" i="3"/>
  <c r="L1716" i="3"/>
  <c r="K1716" i="3"/>
  <c r="J1716" i="3"/>
  <c r="I1716" i="3"/>
  <c r="H1716" i="3"/>
  <c r="G1716" i="3"/>
  <c r="F1716" i="3"/>
  <c r="E1716" i="3"/>
  <c r="D1716" i="3"/>
  <c r="C1716" i="3"/>
  <c r="B1716" i="3"/>
  <c r="A1716" i="3"/>
  <c r="M1715" i="3"/>
  <c r="L1715" i="3"/>
  <c r="K1715" i="3"/>
  <c r="J1715" i="3"/>
  <c r="I1715" i="3"/>
  <c r="H1715" i="3"/>
  <c r="G1715" i="3"/>
  <c r="F1715" i="3"/>
  <c r="E1715" i="3"/>
  <c r="D1715" i="3"/>
  <c r="C1715" i="3"/>
  <c r="B1715" i="3"/>
  <c r="A1715" i="3"/>
  <c r="M1714" i="3"/>
  <c r="L1714" i="3"/>
  <c r="K1714" i="3"/>
  <c r="J1714" i="3"/>
  <c r="I1714" i="3"/>
  <c r="H1714" i="3"/>
  <c r="G1714" i="3"/>
  <c r="F1714" i="3"/>
  <c r="E1714" i="3"/>
  <c r="D1714" i="3"/>
  <c r="C1714" i="3"/>
  <c r="B1714" i="3"/>
  <c r="A1714" i="3"/>
  <c r="M1713" i="3"/>
  <c r="L1713" i="3"/>
  <c r="K1713" i="3"/>
  <c r="J1713" i="3"/>
  <c r="I1713" i="3"/>
  <c r="H1713" i="3"/>
  <c r="G1713" i="3"/>
  <c r="F1713" i="3"/>
  <c r="E1713" i="3"/>
  <c r="D1713" i="3"/>
  <c r="C1713" i="3"/>
  <c r="B1713" i="3"/>
  <c r="A1713" i="3"/>
  <c r="M1712" i="3"/>
  <c r="L1712" i="3"/>
  <c r="K1712" i="3"/>
  <c r="J1712" i="3"/>
  <c r="I1712" i="3"/>
  <c r="H1712" i="3"/>
  <c r="G1712" i="3"/>
  <c r="F1712" i="3"/>
  <c r="E1712" i="3"/>
  <c r="D1712" i="3"/>
  <c r="C1712" i="3"/>
  <c r="B1712" i="3"/>
  <c r="A1712" i="3"/>
  <c r="M1711" i="3"/>
  <c r="L1711" i="3"/>
  <c r="K1711" i="3"/>
  <c r="J1711" i="3"/>
  <c r="I1711" i="3"/>
  <c r="H1711" i="3"/>
  <c r="G1711" i="3"/>
  <c r="F1711" i="3"/>
  <c r="E1711" i="3"/>
  <c r="D1711" i="3"/>
  <c r="C1711" i="3"/>
  <c r="B1711" i="3"/>
  <c r="A1711" i="3"/>
  <c r="M1710" i="3"/>
  <c r="L1710" i="3"/>
  <c r="K1710" i="3"/>
  <c r="J1710" i="3"/>
  <c r="I1710" i="3"/>
  <c r="H1710" i="3"/>
  <c r="G1710" i="3"/>
  <c r="F1710" i="3"/>
  <c r="E1710" i="3"/>
  <c r="D1710" i="3"/>
  <c r="C1710" i="3"/>
  <c r="B1710" i="3"/>
  <c r="A1710" i="3"/>
  <c r="M1709" i="3"/>
  <c r="L1709" i="3"/>
  <c r="K1709" i="3"/>
  <c r="J1709" i="3"/>
  <c r="I1709" i="3"/>
  <c r="H1709" i="3"/>
  <c r="G1709" i="3"/>
  <c r="F1709" i="3"/>
  <c r="E1709" i="3"/>
  <c r="D1709" i="3"/>
  <c r="C1709" i="3"/>
  <c r="B1709" i="3"/>
  <c r="A1709" i="3"/>
  <c r="M1708" i="3"/>
  <c r="L1708" i="3"/>
  <c r="K1708" i="3"/>
  <c r="J1708" i="3"/>
  <c r="I1708" i="3"/>
  <c r="H1708" i="3"/>
  <c r="G1708" i="3"/>
  <c r="F1708" i="3"/>
  <c r="E1708" i="3"/>
  <c r="D1708" i="3"/>
  <c r="C1708" i="3"/>
  <c r="B1708" i="3"/>
  <c r="A1708" i="3"/>
  <c r="M1707" i="3"/>
  <c r="L1707" i="3"/>
  <c r="K1707" i="3"/>
  <c r="J1707" i="3"/>
  <c r="I1707" i="3"/>
  <c r="H1707" i="3"/>
  <c r="G1707" i="3"/>
  <c r="F1707" i="3"/>
  <c r="E1707" i="3"/>
  <c r="D1707" i="3"/>
  <c r="C1707" i="3"/>
  <c r="B1707" i="3"/>
  <c r="A1707" i="3"/>
  <c r="M1706" i="3"/>
  <c r="L1706" i="3"/>
  <c r="K1706" i="3"/>
  <c r="J1706" i="3"/>
  <c r="I1706" i="3"/>
  <c r="H1706" i="3"/>
  <c r="G1706" i="3"/>
  <c r="F1706" i="3"/>
  <c r="E1706" i="3"/>
  <c r="D1706" i="3"/>
  <c r="C1706" i="3"/>
  <c r="B1706" i="3"/>
  <c r="A1706" i="3"/>
  <c r="M1705" i="3"/>
  <c r="L1705" i="3"/>
  <c r="K1705" i="3"/>
  <c r="J1705" i="3"/>
  <c r="I1705" i="3"/>
  <c r="H1705" i="3"/>
  <c r="G1705" i="3"/>
  <c r="F1705" i="3"/>
  <c r="E1705" i="3"/>
  <c r="D1705" i="3"/>
  <c r="C1705" i="3"/>
  <c r="B1705" i="3"/>
  <c r="A1705" i="3"/>
  <c r="M1704" i="3"/>
  <c r="L1704" i="3"/>
  <c r="K1704" i="3"/>
  <c r="J1704" i="3"/>
  <c r="I1704" i="3"/>
  <c r="H1704" i="3"/>
  <c r="G1704" i="3"/>
  <c r="F1704" i="3"/>
  <c r="E1704" i="3"/>
  <c r="D1704" i="3"/>
  <c r="C1704" i="3"/>
  <c r="B1704" i="3"/>
  <c r="A1704" i="3"/>
  <c r="M1703" i="3"/>
  <c r="L1703" i="3"/>
  <c r="K1703" i="3"/>
  <c r="J1703" i="3"/>
  <c r="I1703" i="3"/>
  <c r="H1703" i="3"/>
  <c r="G1703" i="3"/>
  <c r="F1703" i="3"/>
  <c r="E1703" i="3"/>
  <c r="D1703" i="3"/>
  <c r="C1703" i="3"/>
  <c r="B1703" i="3"/>
  <c r="A1703" i="3"/>
  <c r="M1702" i="3"/>
  <c r="L1702" i="3"/>
  <c r="K1702" i="3"/>
  <c r="J1702" i="3"/>
  <c r="I1702" i="3"/>
  <c r="H1702" i="3"/>
  <c r="G1702" i="3"/>
  <c r="F1702" i="3"/>
  <c r="E1702" i="3"/>
  <c r="D1702" i="3"/>
  <c r="C1702" i="3"/>
  <c r="B1702" i="3"/>
  <c r="A1702" i="3"/>
  <c r="M1701" i="3"/>
  <c r="L1701" i="3"/>
  <c r="K1701" i="3"/>
  <c r="J1701" i="3"/>
  <c r="I1701" i="3"/>
  <c r="H1701" i="3"/>
  <c r="G1701" i="3"/>
  <c r="F1701" i="3"/>
  <c r="E1701" i="3"/>
  <c r="D1701" i="3"/>
  <c r="C1701" i="3"/>
  <c r="B1701" i="3"/>
  <c r="A1701" i="3"/>
  <c r="M1700" i="3"/>
  <c r="L1700" i="3"/>
  <c r="K1700" i="3"/>
  <c r="J1700" i="3"/>
  <c r="I1700" i="3"/>
  <c r="H1700" i="3"/>
  <c r="G1700" i="3"/>
  <c r="F1700" i="3"/>
  <c r="D1700" i="3"/>
  <c r="C1700" i="3"/>
  <c r="B1700" i="3"/>
  <c r="A1700" i="3"/>
  <c r="M1699" i="3"/>
  <c r="L1699" i="3"/>
  <c r="K1699" i="3"/>
  <c r="J1699" i="3"/>
  <c r="I1699" i="3"/>
  <c r="H1699" i="3"/>
  <c r="G1699" i="3"/>
  <c r="F1699" i="3"/>
  <c r="E1699" i="3"/>
  <c r="D1699" i="3"/>
  <c r="C1699" i="3"/>
  <c r="B1699" i="3"/>
  <c r="A1699" i="3"/>
  <c r="M1698" i="3"/>
  <c r="L1698" i="3"/>
  <c r="K1698" i="3"/>
  <c r="J1698" i="3"/>
  <c r="I1698" i="3"/>
  <c r="H1698" i="3"/>
  <c r="G1698" i="3"/>
  <c r="F1698" i="3"/>
  <c r="E1698" i="3"/>
  <c r="D1698" i="3"/>
  <c r="C1698" i="3"/>
  <c r="B1698" i="3"/>
  <c r="A1698" i="3"/>
  <c r="M1697" i="3"/>
  <c r="L1697" i="3"/>
  <c r="K1697" i="3"/>
  <c r="J1697" i="3"/>
  <c r="I1697" i="3"/>
  <c r="H1697" i="3"/>
  <c r="G1697" i="3"/>
  <c r="F1697" i="3"/>
  <c r="E1697" i="3"/>
  <c r="D1697" i="3"/>
  <c r="C1697" i="3"/>
  <c r="B1697" i="3"/>
  <c r="A1697" i="3"/>
  <c r="M1696" i="3"/>
  <c r="L1696" i="3"/>
  <c r="K1696" i="3"/>
  <c r="J1696" i="3"/>
  <c r="I1696" i="3"/>
  <c r="H1696" i="3"/>
  <c r="G1696" i="3"/>
  <c r="F1696" i="3"/>
  <c r="E1696" i="3"/>
  <c r="D1696" i="3"/>
  <c r="C1696" i="3"/>
  <c r="B1696" i="3"/>
  <c r="A1696" i="3"/>
  <c r="M1695" i="3"/>
  <c r="L1695" i="3"/>
  <c r="K1695" i="3"/>
  <c r="J1695" i="3"/>
  <c r="I1695" i="3"/>
  <c r="H1695" i="3"/>
  <c r="G1695" i="3"/>
  <c r="F1695" i="3"/>
  <c r="E1695" i="3"/>
  <c r="D1695" i="3"/>
  <c r="C1695" i="3"/>
  <c r="B1695" i="3"/>
  <c r="A1695" i="3"/>
  <c r="M1694" i="3"/>
  <c r="L1694" i="3"/>
  <c r="K1694" i="3"/>
  <c r="J1694" i="3"/>
  <c r="I1694" i="3"/>
  <c r="H1694" i="3"/>
  <c r="G1694" i="3"/>
  <c r="F1694" i="3"/>
  <c r="E1694" i="3"/>
  <c r="D1694" i="3"/>
  <c r="C1694" i="3"/>
  <c r="B1694" i="3"/>
  <c r="A1694" i="3"/>
  <c r="M1693" i="3"/>
  <c r="L1693" i="3"/>
  <c r="K1693" i="3"/>
  <c r="J1693" i="3"/>
  <c r="I1693" i="3"/>
  <c r="H1693" i="3"/>
  <c r="G1693" i="3"/>
  <c r="F1693" i="3"/>
  <c r="E1693" i="3"/>
  <c r="D1693" i="3"/>
  <c r="C1693" i="3"/>
  <c r="B1693" i="3"/>
  <c r="A1693" i="3"/>
  <c r="M1692" i="3"/>
  <c r="L1692" i="3"/>
  <c r="K1692" i="3"/>
  <c r="J1692" i="3"/>
  <c r="I1692" i="3"/>
  <c r="H1692" i="3"/>
  <c r="G1692" i="3"/>
  <c r="F1692" i="3"/>
  <c r="E1692" i="3"/>
  <c r="D1692" i="3"/>
  <c r="C1692" i="3"/>
  <c r="B1692" i="3"/>
  <c r="A1692" i="3"/>
  <c r="M1691" i="3"/>
  <c r="L1691" i="3"/>
  <c r="K1691" i="3"/>
  <c r="J1691" i="3"/>
  <c r="I1691" i="3"/>
  <c r="H1691" i="3"/>
  <c r="F1691" i="3"/>
  <c r="E1691" i="3"/>
  <c r="D1691" i="3"/>
  <c r="C1691" i="3"/>
  <c r="B1691" i="3"/>
  <c r="A1691" i="3"/>
  <c r="M1690" i="3"/>
  <c r="L1690" i="3"/>
  <c r="K1690" i="3"/>
  <c r="J1690" i="3"/>
  <c r="I1690" i="3"/>
  <c r="H1690" i="3"/>
  <c r="G1690" i="3"/>
  <c r="F1690" i="3"/>
  <c r="E1690" i="3"/>
  <c r="D1690" i="3"/>
  <c r="C1690" i="3"/>
  <c r="B1690" i="3"/>
  <c r="A1690" i="3"/>
  <c r="M1689" i="3"/>
  <c r="L1689" i="3"/>
  <c r="K1689" i="3"/>
  <c r="J1689" i="3"/>
  <c r="I1689" i="3"/>
  <c r="H1689" i="3"/>
  <c r="F1689" i="3"/>
  <c r="E1689" i="3"/>
  <c r="D1689" i="3"/>
  <c r="C1689" i="3"/>
  <c r="B1689" i="3"/>
  <c r="A1689" i="3"/>
  <c r="M1688" i="3"/>
  <c r="L1688" i="3"/>
  <c r="K1688" i="3"/>
  <c r="J1688" i="3"/>
  <c r="I1688" i="3"/>
  <c r="H1688" i="3"/>
  <c r="G1688" i="3"/>
  <c r="F1688" i="3"/>
  <c r="E1688" i="3"/>
  <c r="D1688" i="3"/>
  <c r="C1688" i="3"/>
  <c r="B1688" i="3"/>
  <c r="A1688" i="3"/>
  <c r="M1687" i="3"/>
  <c r="L1687" i="3"/>
  <c r="K1687" i="3"/>
  <c r="J1687" i="3"/>
  <c r="I1687" i="3"/>
  <c r="H1687" i="3"/>
  <c r="G1687" i="3"/>
  <c r="F1687" i="3"/>
  <c r="E1687" i="3"/>
  <c r="D1687" i="3"/>
  <c r="C1687" i="3"/>
  <c r="B1687" i="3"/>
  <c r="A1687" i="3"/>
  <c r="M1686" i="3"/>
  <c r="L1686" i="3"/>
  <c r="K1686" i="3"/>
  <c r="J1686" i="3"/>
  <c r="I1686" i="3"/>
  <c r="H1686" i="3"/>
  <c r="G1686" i="3"/>
  <c r="F1686" i="3"/>
  <c r="E1686" i="3"/>
  <c r="D1686" i="3"/>
  <c r="C1686" i="3"/>
  <c r="B1686" i="3"/>
  <c r="A1686" i="3"/>
  <c r="M1685" i="3"/>
  <c r="L1685" i="3"/>
  <c r="K1685" i="3"/>
  <c r="J1685" i="3"/>
  <c r="I1685" i="3"/>
  <c r="H1685" i="3"/>
  <c r="G1685" i="3"/>
  <c r="F1685" i="3"/>
  <c r="E1685" i="3"/>
  <c r="D1685" i="3"/>
  <c r="C1685" i="3"/>
  <c r="B1685" i="3"/>
  <c r="A1685" i="3"/>
  <c r="M1684" i="3"/>
  <c r="L1684" i="3"/>
  <c r="K1684" i="3"/>
  <c r="J1684" i="3"/>
  <c r="I1684" i="3"/>
  <c r="H1684" i="3"/>
  <c r="G1684" i="3"/>
  <c r="F1684" i="3"/>
  <c r="E1684" i="3"/>
  <c r="D1684" i="3"/>
  <c r="C1684" i="3"/>
  <c r="B1684" i="3"/>
  <c r="A1684" i="3"/>
  <c r="M1683" i="3"/>
  <c r="L1683" i="3"/>
  <c r="K1683" i="3"/>
  <c r="J1683" i="3"/>
  <c r="I1683" i="3"/>
  <c r="H1683" i="3"/>
  <c r="G1683" i="3"/>
  <c r="F1683" i="3"/>
  <c r="E1683" i="3"/>
  <c r="D1683" i="3"/>
  <c r="C1683" i="3"/>
  <c r="B1683" i="3"/>
  <c r="A1683" i="3"/>
  <c r="M1682" i="3"/>
  <c r="L1682" i="3"/>
  <c r="K1682" i="3"/>
  <c r="J1682" i="3"/>
  <c r="I1682" i="3"/>
  <c r="H1682" i="3"/>
  <c r="G1682" i="3"/>
  <c r="F1682" i="3"/>
  <c r="E1682" i="3"/>
  <c r="D1682" i="3"/>
  <c r="C1682" i="3"/>
  <c r="B1682" i="3"/>
  <c r="A1682" i="3"/>
  <c r="M1681" i="3"/>
  <c r="L1681" i="3"/>
  <c r="K1681" i="3"/>
  <c r="J1681" i="3"/>
  <c r="I1681" i="3"/>
  <c r="H1681" i="3"/>
  <c r="G1681" i="3"/>
  <c r="F1681" i="3"/>
  <c r="E1681" i="3"/>
  <c r="D1681" i="3"/>
  <c r="C1681" i="3"/>
  <c r="B1681" i="3"/>
  <c r="A1681" i="3"/>
  <c r="M1680" i="3"/>
  <c r="L1680" i="3"/>
  <c r="K1680" i="3"/>
  <c r="J1680" i="3"/>
  <c r="I1680" i="3"/>
  <c r="H1680" i="3"/>
  <c r="G1680" i="3"/>
  <c r="F1680" i="3"/>
  <c r="E1680" i="3"/>
  <c r="D1680" i="3"/>
  <c r="C1680" i="3"/>
  <c r="B1680" i="3"/>
  <c r="A1680" i="3"/>
  <c r="M1679" i="3"/>
  <c r="L1679" i="3"/>
  <c r="K1679" i="3"/>
  <c r="J1679" i="3"/>
  <c r="I1679" i="3"/>
  <c r="H1679" i="3"/>
  <c r="G1679" i="3"/>
  <c r="F1679" i="3"/>
  <c r="E1679" i="3"/>
  <c r="D1679" i="3"/>
  <c r="C1679" i="3"/>
  <c r="B1679" i="3"/>
  <c r="A1679" i="3"/>
  <c r="M1678" i="3"/>
  <c r="L1678" i="3"/>
  <c r="K1678" i="3"/>
  <c r="J1678" i="3"/>
  <c r="I1678" i="3"/>
  <c r="H1678" i="3"/>
  <c r="G1678" i="3"/>
  <c r="F1678" i="3"/>
  <c r="E1678" i="3"/>
  <c r="D1678" i="3"/>
  <c r="C1678" i="3"/>
  <c r="B1678" i="3"/>
  <c r="A1678" i="3"/>
  <c r="M1677" i="3"/>
  <c r="L1677" i="3"/>
  <c r="K1677" i="3"/>
  <c r="J1677" i="3"/>
  <c r="I1677" i="3"/>
  <c r="H1677" i="3"/>
  <c r="G1677" i="3"/>
  <c r="F1677" i="3"/>
  <c r="E1677" i="3"/>
  <c r="D1677" i="3"/>
  <c r="C1677" i="3"/>
  <c r="B1677" i="3"/>
  <c r="A1677" i="3"/>
  <c r="M1676" i="3"/>
  <c r="L1676" i="3"/>
  <c r="K1676" i="3"/>
  <c r="J1676" i="3"/>
  <c r="I1676" i="3"/>
  <c r="H1676" i="3"/>
  <c r="G1676" i="3"/>
  <c r="F1676" i="3"/>
  <c r="E1676" i="3"/>
  <c r="D1676" i="3"/>
  <c r="C1676" i="3"/>
  <c r="B1676" i="3"/>
  <c r="A1676" i="3"/>
  <c r="M1675" i="3"/>
  <c r="L1675" i="3"/>
  <c r="K1675" i="3"/>
  <c r="J1675" i="3"/>
  <c r="I1675" i="3"/>
  <c r="H1675" i="3"/>
  <c r="G1675" i="3"/>
  <c r="F1675" i="3"/>
  <c r="E1675" i="3"/>
  <c r="D1675" i="3"/>
  <c r="C1675" i="3"/>
  <c r="B1675" i="3"/>
  <c r="A1675" i="3"/>
  <c r="M1674" i="3"/>
  <c r="L1674" i="3"/>
  <c r="K1674" i="3"/>
  <c r="J1674" i="3"/>
  <c r="I1674" i="3"/>
  <c r="H1674" i="3"/>
  <c r="G1674" i="3"/>
  <c r="F1674" i="3"/>
  <c r="E1674" i="3"/>
  <c r="D1674" i="3"/>
  <c r="C1674" i="3"/>
  <c r="B1674" i="3"/>
  <c r="A1674" i="3"/>
  <c r="M1673" i="3"/>
  <c r="L1673" i="3"/>
  <c r="K1673" i="3"/>
  <c r="J1673" i="3"/>
  <c r="I1673" i="3"/>
  <c r="H1673" i="3"/>
  <c r="G1673" i="3"/>
  <c r="F1673" i="3"/>
  <c r="D1673" i="3"/>
  <c r="C1673" i="3"/>
  <c r="B1673" i="3"/>
  <c r="A1673" i="3"/>
  <c r="M1672" i="3"/>
  <c r="L1672" i="3"/>
  <c r="K1672" i="3"/>
  <c r="J1672" i="3"/>
  <c r="I1672" i="3"/>
  <c r="H1672" i="3"/>
  <c r="G1672" i="3"/>
  <c r="F1672" i="3"/>
  <c r="E1672" i="3"/>
  <c r="D1672" i="3"/>
  <c r="C1672" i="3"/>
  <c r="B1672" i="3"/>
  <c r="A1672" i="3"/>
  <c r="M1671" i="3"/>
  <c r="L1671" i="3"/>
  <c r="K1671" i="3"/>
  <c r="J1671" i="3"/>
  <c r="I1671" i="3"/>
  <c r="H1671" i="3"/>
  <c r="G1671" i="3"/>
  <c r="F1671" i="3"/>
  <c r="E1671" i="3"/>
  <c r="D1671" i="3"/>
  <c r="C1671" i="3"/>
  <c r="B1671" i="3"/>
  <c r="A1671" i="3"/>
  <c r="M1670" i="3"/>
  <c r="L1670" i="3"/>
  <c r="K1670" i="3"/>
  <c r="J1670" i="3"/>
  <c r="I1670" i="3"/>
  <c r="H1670" i="3"/>
  <c r="G1670" i="3"/>
  <c r="F1670" i="3"/>
  <c r="E1670" i="3"/>
  <c r="D1670" i="3"/>
  <c r="C1670" i="3"/>
  <c r="B1670" i="3"/>
  <c r="A1670" i="3"/>
  <c r="M1669" i="3"/>
  <c r="L1669" i="3"/>
  <c r="K1669" i="3"/>
  <c r="J1669" i="3"/>
  <c r="I1669" i="3"/>
  <c r="H1669" i="3"/>
  <c r="G1669" i="3"/>
  <c r="F1669" i="3"/>
  <c r="E1669" i="3"/>
  <c r="D1669" i="3"/>
  <c r="C1669" i="3"/>
  <c r="B1669" i="3"/>
  <c r="A1669" i="3"/>
  <c r="M1668" i="3"/>
  <c r="L1668" i="3"/>
  <c r="K1668" i="3"/>
  <c r="J1668" i="3"/>
  <c r="I1668" i="3"/>
  <c r="H1668" i="3"/>
  <c r="G1668" i="3"/>
  <c r="F1668" i="3"/>
  <c r="E1668" i="3"/>
  <c r="D1668" i="3"/>
  <c r="C1668" i="3"/>
  <c r="B1668" i="3"/>
  <c r="A1668" i="3"/>
  <c r="M1667" i="3"/>
  <c r="L1667" i="3"/>
  <c r="K1667" i="3"/>
  <c r="J1667" i="3"/>
  <c r="I1667" i="3"/>
  <c r="H1667" i="3"/>
  <c r="G1667" i="3"/>
  <c r="F1667" i="3"/>
  <c r="E1667" i="3"/>
  <c r="D1667" i="3"/>
  <c r="C1667" i="3"/>
  <c r="B1667" i="3"/>
  <c r="A1667" i="3"/>
  <c r="M1666" i="3"/>
  <c r="L1666" i="3"/>
  <c r="K1666" i="3"/>
  <c r="J1666" i="3"/>
  <c r="I1666" i="3"/>
  <c r="H1666" i="3"/>
  <c r="G1666" i="3"/>
  <c r="F1666" i="3"/>
  <c r="E1666" i="3"/>
  <c r="D1666" i="3"/>
  <c r="C1666" i="3"/>
  <c r="B1666" i="3"/>
  <c r="A1666" i="3"/>
  <c r="M1665" i="3"/>
  <c r="L1665" i="3"/>
  <c r="K1665" i="3"/>
  <c r="J1665" i="3"/>
  <c r="I1665" i="3"/>
  <c r="H1665" i="3"/>
  <c r="G1665" i="3"/>
  <c r="F1665" i="3"/>
  <c r="E1665" i="3"/>
  <c r="D1665" i="3"/>
  <c r="C1665" i="3"/>
  <c r="B1665" i="3"/>
  <c r="A1665" i="3"/>
  <c r="M1664" i="3"/>
  <c r="L1664" i="3"/>
  <c r="K1664" i="3"/>
  <c r="J1664" i="3"/>
  <c r="I1664" i="3"/>
  <c r="H1664" i="3"/>
  <c r="G1664" i="3"/>
  <c r="F1664" i="3"/>
  <c r="E1664" i="3"/>
  <c r="D1664" i="3"/>
  <c r="C1664" i="3"/>
  <c r="B1664" i="3"/>
  <c r="A1664" i="3"/>
  <c r="M1663" i="3"/>
  <c r="L1663" i="3"/>
  <c r="K1663" i="3"/>
  <c r="J1663" i="3"/>
  <c r="I1663" i="3"/>
  <c r="H1663" i="3"/>
  <c r="G1663" i="3"/>
  <c r="F1663" i="3"/>
  <c r="E1663" i="3"/>
  <c r="D1663" i="3"/>
  <c r="C1663" i="3"/>
  <c r="B1663" i="3"/>
  <c r="A1663" i="3"/>
  <c r="M1662" i="3"/>
  <c r="L1662" i="3"/>
  <c r="K1662" i="3"/>
  <c r="J1662" i="3"/>
  <c r="I1662" i="3"/>
  <c r="H1662" i="3"/>
  <c r="G1662" i="3"/>
  <c r="F1662" i="3"/>
  <c r="E1662" i="3"/>
  <c r="D1662" i="3"/>
  <c r="C1662" i="3"/>
  <c r="B1662" i="3"/>
  <c r="A1662" i="3"/>
  <c r="M1661" i="3"/>
  <c r="L1661" i="3"/>
  <c r="K1661" i="3"/>
  <c r="J1661" i="3"/>
  <c r="I1661" i="3"/>
  <c r="H1661" i="3"/>
  <c r="G1661" i="3"/>
  <c r="F1661" i="3"/>
  <c r="E1661" i="3"/>
  <c r="D1661" i="3"/>
  <c r="C1661" i="3"/>
  <c r="B1661" i="3"/>
  <c r="A1661" i="3"/>
  <c r="M1660" i="3"/>
  <c r="L1660" i="3"/>
  <c r="K1660" i="3"/>
  <c r="J1660" i="3"/>
  <c r="I1660" i="3"/>
  <c r="H1660" i="3"/>
  <c r="G1660" i="3"/>
  <c r="F1660" i="3"/>
  <c r="E1660" i="3"/>
  <c r="D1660" i="3"/>
  <c r="C1660" i="3"/>
  <c r="B1660" i="3"/>
  <c r="A1660" i="3"/>
  <c r="M1659" i="3"/>
  <c r="L1659" i="3"/>
  <c r="K1659" i="3"/>
  <c r="J1659" i="3"/>
  <c r="I1659" i="3"/>
  <c r="H1659" i="3"/>
  <c r="G1659" i="3"/>
  <c r="F1659" i="3"/>
  <c r="E1659" i="3"/>
  <c r="D1659" i="3"/>
  <c r="C1659" i="3"/>
  <c r="B1659" i="3"/>
  <c r="A1659" i="3"/>
  <c r="M1658" i="3"/>
  <c r="L1658" i="3"/>
  <c r="K1658" i="3"/>
  <c r="J1658" i="3"/>
  <c r="I1658" i="3"/>
  <c r="H1658" i="3"/>
  <c r="G1658" i="3"/>
  <c r="F1658" i="3"/>
  <c r="E1658" i="3"/>
  <c r="D1658" i="3"/>
  <c r="C1658" i="3"/>
  <c r="B1658" i="3"/>
  <c r="A1658" i="3"/>
  <c r="M1657" i="3"/>
  <c r="L1657" i="3"/>
  <c r="K1657" i="3"/>
  <c r="J1657" i="3"/>
  <c r="I1657" i="3"/>
  <c r="H1657" i="3"/>
  <c r="G1657" i="3"/>
  <c r="F1657" i="3"/>
  <c r="E1657" i="3"/>
  <c r="D1657" i="3"/>
  <c r="C1657" i="3"/>
  <c r="B1657" i="3"/>
  <c r="A1657" i="3"/>
  <c r="M1656" i="3"/>
  <c r="L1656" i="3"/>
  <c r="K1656" i="3"/>
  <c r="J1656" i="3"/>
  <c r="I1656" i="3"/>
  <c r="H1656" i="3"/>
  <c r="G1656" i="3"/>
  <c r="F1656" i="3"/>
  <c r="E1656" i="3"/>
  <c r="D1656" i="3"/>
  <c r="C1656" i="3"/>
  <c r="B1656" i="3"/>
  <c r="A1656" i="3"/>
  <c r="M1655" i="3"/>
  <c r="L1655" i="3"/>
  <c r="K1655" i="3"/>
  <c r="J1655" i="3"/>
  <c r="I1655" i="3"/>
  <c r="H1655" i="3"/>
  <c r="G1655" i="3"/>
  <c r="F1655" i="3"/>
  <c r="E1655" i="3"/>
  <c r="D1655" i="3"/>
  <c r="C1655" i="3"/>
  <c r="B1655" i="3"/>
  <c r="A1655" i="3"/>
  <c r="M1654" i="3"/>
  <c r="L1654" i="3"/>
  <c r="K1654" i="3"/>
  <c r="J1654" i="3"/>
  <c r="I1654" i="3"/>
  <c r="H1654" i="3"/>
  <c r="G1654" i="3"/>
  <c r="F1654" i="3"/>
  <c r="E1654" i="3"/>
  <c r="D1654" i="3"/>
  <c r="C1654" i="3"/>
  <c r="B1654" i="3"/>
  <c r="A1654" i="3"/>
  <c r="M1653" i="3"/>
  <c r="L1653" i="3"/>
  <c r="K1653" i="3"/>
  <c r="J1653" i="3"/>
  <c r="I1653" i="3"/>
  <c r="H1653" i="3"/>
  <c r="G1653" i="3"/>
  <c r="F1653" i="3"/>
  <c r="E1653" i="3"/>
  <c r="D1653" i="3"/>
  <c r="C1653" i="3"/>
  <c r="B1653" i="3"/>
  <c r="A1653" i="3"/>
  <c r="M1652" i="3"/>
  <c r="L1652" i="3"/>
  <c r="K1652" i="3"/>
  <c r="J1652" i="3"/>
  <c r="I1652" i="3"/>
  <c r="H1652" i="3"/>
  <c r="G1652" i="3"/>
  <c r="F1652" i="3"/>
  <c r="E1652" i="3"/>
  <c r="D1652" i="3"/>
  <c r="C1652" i="3"/>
  <c r="B1652" i="3"/>
  <c r="A1652" i="3"/>
  <c r="M1651" i="3"/>
  <c r="L1651" i="3"/>
  <c r="K1651" i="3"/>
  <c r="J1651" i="3"/>
  <c r="I1651" i="3"/>
  <c r="H1651" i="3"/>
  <c r="G1651" i="3"/>
  <c r="F1651" i="3"/>
  <c r="D1651" i="3"/>
  <c r="C1651" i="3"/>
  <c r="B1651" i="3"/>
  <c r="A1651" i="3"/>
  <c r="M1650" i="3"/>
  <c r="L1650" i="3"/>
  <c r="K1650" i="3"/>
  <c r="J1650" i="3"/>
  <c r="I1650" i="3"/>
  <c r="H1650" i="3"/>
  <c r="G1650" i="3"/>
  <c r="F1650" i="3"/>
  <c r="E1650" i="3"/>
  <c r="D1650" i="3"/>
  <c r="C1650" i="3"/>
  <c r="B1650" i="3"/>
  <c r="A1650" i="3"/>
  <c r="M1649" i="3"/>
  <c r="L1649" i="3"/>
  <c r="K1649" i="3"/>
  <c r="J1649" i="3"/>
  <c r="I1649" i="3"/>
  <c r="H1649" i="3"/>
  <c r="G1649" i="3"/>
  <c r="F1649" i="3"/>
  <c r="E1649" i="3"/>
  <c r="D1649" i="3"/>
  <c r="C1649" i="3"/>
  <c r="B1649" i="3"/>
  <c r="A1649" i="3"/>
  <c r="M1648" i="3"/>
  <c r="L1648" i="3"/>
  <c r="K1648" i="3"/>
  <c r="J1648" i="3"/>
  <c r="I1648" i="3"/>
  <c r="H1648" i="3"/>
  <c r="G1648" i="3"/>
  <c r="F1648" i="3"/>
  <c r="E1648" i="3"/>
  <c r="D1648" i="3"/>
  <c r="C1648" i="3"/>
  <c r="B1648" i="3"/>
  <c r="A1648" i="3"/>
  <c r="M1647" i="3"/>
  <c r="L1647" i="3"/>
  <c r="K1647" i="3"/>
  <c r="J1647" i="3"/>
  <c r="I1647" i="3"/>
  <c r="H1647" i="3"/>
  <c r="G1647" i="3"/>
  <c r="F1647" i="3"/>
  <c r="E1647" i="3"/>
  <c r="D1647" i="3"/>
  <c r="C1647" i="3"/>
  <c r="B1647" i="3"/>
  <c r="A1647" i="3"/>
  <c r="M1646" i="3"/>
  <c r="L1646" i="3"/>
  <c r="K1646" i="3"/>
  <c r="J1646" i="3"/>
  <c r="I1646" i="3"/>
  <c r="H1646" i="3"/>
  <c r="G1646" i="3"/>
  <c r="F1646" i="3"/>
  <c r="E1646" i="3"/>
  <c r="D1646" i="3"/>
  <c r="C1646" i="3"/>
  <c r="B1646" i="3"/>
  <c r="A1646" i="3"/>
  <c r="M1645" i="3"/>
  <c r="L1645" i="3"/>
  <c r="K1645" i="3"/>
  <c r="J1645" i="3"/>
  <c r="I1645" i="3"/>
  <c r="H1645" i="3"/>
  <c r="G1645" i="3"/>
  <c r="F1645" i="3"/>
  <c r="E1645" i="3"/>
  <c r="D1645" i="3"/>
  <c r="C1645" i="3"/>
  <c r="B1645" i="3"/>
  <c r="A1645" i="3"/>
  <c r="M1644" i="3"/>
  <c r="L1644" i="3"/>
  <c r="K1644" i="3"/>
  <c r="J1644" i="3"/>
  <c r="I1644" i="3"/>
  <c r="H1644" i="3"/>
  <c r="G1644" i="3"/>
  <c r="F1644" i="3"/>
  <c r="E1644" i="3"/>
  <c r="D1644" i="3"/>
  <c r="C1644" i="3"/>
  <c r="B1644" i="3"/>
  <c r="A1644" i="3"/>
  <c r="M1643" i="3"/>
  <c r="L1643" i="3"/>
  <c r="K1643" i="3"/>
  <c r="J1643" i="3"/>
  <c r="I1643" i="3"/>
  <c r="H1643" i="3"/>
  <c r="G1643" i="3"/>
  <c r="F1643" i="3"/>
  <c r="E1643" i="3"/>
  <c r="D1643" i="3"/>
  <c r="C1643" i="3"/>
  <c r="B1643" i="3"/>
  <c r="A1643" i="3"/>
  <c r="M1642" i="3"/>
  <c r="L1642" i="3"/>
  <c r="K1642" i="3"/>
  <c r="J1642" i="3"/>
  <c r="I1642" i="3"/>
  <c r="H1642" i="3"/>
  <c r="G1642" i="3"/>
  <c r="F1642" i="3"/>
  <c r="E1642" i="3"/>
  <c r="D1642" i="3"/>
  <c r="C1642" i="3"/>
  <c r="B1642" i="3"/>
  <c r="A1642" i="3"/>
  <c r="M1641" i="3"/>
  <c r="L1641" i="3"/>
  <c r="K1641" i="3"/>
  <c r="J1641" i="3"/>
  <c r="I1641" i="3"/>
  <c r="H1641" i="3"/>
  <c r="G1641" i="3"/>
  <c r="F1641" i="3"/>
  <c r="E1641" i="3"/>
  <c r="D1641" i="3"/>
  <c r="C1641" i="3"/>
  <c r="B1641" i="3"/>
  <c r="A1641" i="3"/>
  <c r="M1640" i="3"/>
  <c r="L1640" i="3"/>
  <c r="K1640" i="3"/>
  <c r="J1640" i="3"/>
  <c r="I1640" i="3"/>
  <c r="H1640" i="3"/>
  <c r="G1640" i="3"/>
  <c r="F1640" i="3"/>
  <c r="E1640" i="3"/>
  <c r="D1640" i="3"/>
  <c r="C1640" i="3"/>
  <c r="B1640" i="3"/>
  <c r="A1640" i="3"/>
  <c r="M1639" i="3"/>
  <c r="L1639" i="3"/>
  <c r="K1639" i="3"/>
  <c r="J1639" i="3"/>
  <c r="I1639" i="3"/>
  <c r="H1639" i="3"/>
  <c r="G1639" i="3"/>
  <c r="F1639" i="3"/>
  <c r="E1639" i="3"/>
  <c r="D1639" i="3"/>
  <c r="C1639" i="3"/>
  <c r="B1639" i="3"/>
  <c r="A1639" i="3"/>
  <c r="M1638" i="3"/>
  <c r="L1638" i="3"/>
  <c r="K1638" i="3"/>
  <c r="J1638" i="3"/>
  <c r="I1638" i="3"/>
  <c r="H1638" i="3"/>
  <c r="G1638" i="3"/>
  <c r="F1638" i="3"/>
  <c r="E1638" i="3"/>
  <c r="D1638" i="3"/>
  <c r="C1638" i="3"/>
  <c r="B1638" i="3"/>
  <c r="A1638" i="3"/>
  <c r="M1637" i="3"/>
  <c r="L1637" i="3"/>
  <c r="K1637" i="3"/>
  <c r="J1637" i="3"/>
  <c r="I1637" i="3"/>
  <c r="H1637" i="3"/>
  <c r="G1637" i="3"/>
  <c r="F1637" i="3"/>
  <c r="E1637" i="3"/>
  <c r="D1637" i="3"/>
  <c r="C1637" i="3"/>
  <c r="B1637" i="3"/>
  <c r="A1637" i="3"/>
  <c r="M1636" i="3"/>
  <c r="L1636" i="3"/>
  <c r="K1636" i="3"/>
  <c r="J1636" i="3"/>
  <c r="I1636" i="3"/>
  <c r="H1636" i="3"/>
  <c r="G1636" i="3"/>
  <c r="F1636" i="3"/>
  <c r="E1636" i="3"/>
  <c r="D1636" i="3"/>
  <c r="C1636" i="3"/>
  <c r="B1636" i="3"/>
  <c r="A1636" i="3"/>
  <c r="M1635" i="3"/>
  <c r="L1635" i="3"/>
  <c r="K1635" i="3"/>
  <c r="J1635" i="3"/>
  <c r="I1635" i="3"/>
  <c r="H1635" i="3"/>
  <c r="G1635" i="3"/>
  <c r="F1635" i="3"/>
  <c r="E1635" i="3"/>
  <c r="D1635" i="3"/>
  <c r="C1635" i="3"/>
  <c r="B1635" i="3"/>
  <c r="A1635" i="3"/>
  <c r="M1634" i="3"/>
  <c r="L1634" i="3"/>
  <c r="K1634" i="3"/>
  <c r="J1634" i="3"/>
  <c r="I1634" i="3"/>
  <c r="H1634" i="3"/>
  <c r="G1634" i="3"/>
  <c r="F1634" i="3"/>
  <c r="E1634" i="3"/>
  <c r="D1634" i="3"/>
  <c r="C1634" i="3"/>
  <c r="B1634" i="3"/>
  <c r="A1634" i="3"/>
  <c r="M1633" i="3"/>
  <c r="L1633" i="3"/>
  <c r="K1633" i="3"/>
  <c r="J1633" i="3"/>
  <c r="I1633" i="3"/>
  <c r="H1633" i="3"/>
  <c r="G1633" i="3"/>
  <c r="F1633" i="3"/>
  <c r="E1633" i="3"/>
  <c r="D1633" i="3"/>
  <c r="C1633" i="3"/>
  <c r="B1633" i="3"/>
  <c r="A1633" i="3"/>
  <c r="M1632" i="3"/>
  <c r="L1632" i="3"/>
  <c r="K1632" i="3"/>
  <c r="J1632" i="3"/>
  <c r="I1632" i="3"/>
  <c r="H1632" i="3"/>
  <c r="G1632" i="3"/>
  <c r="F1632" i="3"/>
  <c r="E1632" i="3"/>
  <c r="D1632" i="3"/>
  <c r="C1632" i="3"/>
  <c r="B1632" i="3"/>
  <c r="A1632" i="3"/>
  <c r="M1631" i="3"/>
  <c r="L1631" i="3"/>
  <c r="K1631" i="3"/>
  <c r="J1631" i="3"/>
  <c r="I1631" i="3"/>
  <c r="H1631" i="3"/>
  <c r="G1631" i="3"/>
  <c r="F1631" i="3"/>
  <c r="E1631" i="3"/>
  <c r="D1631" i="3"/>
  <c r="C1631" i="3"/>
  <c r="B1631" i="3"/>
  <c r="A1631" i="3"/>
  <c r="M1630" i="3"/>
  <c r="L1630" i="3"/>
  <c r="K1630" i="3"/>
  <c r="J1630" i="3"/>
  <c r="I1630" i="3"/>
  <c r="H1630" i="3"/>
  <c r="G1630" i="3"/>
  <c r="F1630" i="3"/>
  <c r="E1630" i="3"/>
  <c r="D1630" i="3"/>
  <c r="C1630" i="3"/>
  <c r="B1630" i="3"/>
  <c r="A1630" i="3"/>
  <c r="M1629" i="3"/>
  <c r="L1629" i="3"/>
  <c r="K1629" i="3"/>
  <c r="J1629" i="3"/>
  <c r="I1629" i="3"/>
  <c r="H1629" i="3"/>
  <c r="G1629" i="3"/>
  <c r="F1629" i="3"/>
  <c r="E1629" i="3"/>
  <c r="D1629" i="3"/>
  <c r="C1629" i="3"/>
  <c r="B1629" i="3"/>
  <c r="A1629" i="3"/>
  <c r="M1628" i="3"/>
  <c r="L1628" i="3"/>
  <c r="K1628" i="3"/>
  <c r="J1628" i="3"/>
  <c r="I1628" i="3"/>
  <c r="H1628" i="3"/>
  <c r="G1628" i="3"/>
  <c r="F1628" i="3"/>
  <c r="E1628" i="3"/>
  <c r="D1628" i="3"/>
  <c r="C1628" i="3"/>
  <c r="B1628" i="3"/>
  <c r="A1628" i="3"/>
  <c r="M1627" i="3"/>
  <c r="L1627" i="3"/>
  <c r="K1627" i="3"/>
  <c r="J1627" i="3"/>
  <c r="I1627" i="3"/>
  <c r="H1627" i="3"/>
  <c r="G1627" i="3"/>
  <c r="E1627" i="3"/>
  <c r="D1627" i="3"/>
  <c r="C1627" i="3"/>
  <c r="B1627" i="3"/>
  <c r="A1627" i="3"/>
  <c r="M1626" i="3"/>
  <c r="L1626" i="3"/>
  <c r="K1626" i="3"/>
  <c r="J1626" i="3"/>
  <c r="I1626" i="3"/>
  <c r="H1626" i="3"/>
  <c r="G1626" i="3"/>
  <c r="F1626" i="3"/>
  <c r="E1626" i="3"/>
  <c r="D1626" i="3"/>
  <c r="C1626" i="3"/>
  <c r="B1626" i="3"/>
  <c r="A1626" i="3"/>
  <c r="M1625" i="3"/>
  <c r="L1625" i="3"/>
  <c r="K1625" i="3"/>
  <c r="J1625" i="3"/>
  <c r="I1625" i="3"/>
  <c r="H1625" i="3"/>
  <c r="F1625" i="3"/>
  <c r="E1625" i="3"/>
  <c r="D1625" i="3"/>
  <c r="C1625" i="3"/>
  <c r="B1625" i="3"/>
  <c r="A1625" i="3"/>
  <c r="M1624" i="3"/>
  <c r="L1624" i="3"/>
  <c r="K1624" i="3"/>
  <c r="J1624" i="3"/>
  <c r="I1624" i="3"/>
  <c r="H1624" i="3"/>
  <c r="F1624" i="3"/>
  <c r="E1624" i="3"/>
  <c r="D1624" i="3"/>
  <c r="C1624" i="3"/>
  <c r="B1624" i="3"/>
  <c r="A1624" i="3"/>
  <c r="M1623" i="3"/>
  <c r="L1623" i="3"/>
  <c r="K1623" i="3"/>
  <c r="J1623" i="3"/>
  <c r="I1623" i="3"/>
  <c r="H1623" i="3"/>
  <c r="F1623" i="3"/>
  <c r="E1623" i="3"/>
  <c r="D1623" i="3"/>
  <c r="C1623" i="3"/>
  <c r="B1623" i="3"/>
  <c r="A1623" i="3"/>
  <c r="M1622" i="3"/>
  <c r="L1622" i="3"/>
  <c r="K1622" i="3"/>
  <c r="J1622" i="3"/>
  <c r="I1622" i="3"/>
  <c r="H1622" i="3"/>
  <c r="G1622" i="3"/>
  <c r="F1622" i="3"/>
  <c r="E1622" i="3"/>
  <c r="D1622" i="3"/>
  <c r="C1622" i="3"/>
  <c r="B1622" i="3"/>
  <c r="A1622" i="3"/>
  <c r="M1621" i="3"/>
  <c r="L1621" i="3"/>
  <c r="K1621" i="3"/>
  <c r="J1621" i="3"/>
  <c r="I1621" i="3"/>
  <c r="H1621" i="3"/>
  <c r="G1621" i="3"/>
  <c r="F1621" i="3"/>
  <c r="E1621" i="3"/>
  <c r="D1621" i="3"/>
  <c r="C1621" i="3"/>
  <c r="B1621" i="3"/>
  <c r="A1621" i="3"/>
  <c r="M1620" i="3"/>
  <c r="L1620" i="3"/>
  <c r="K1620" i="3"/>
  <c r="J1620" i="3"/>
  <c r="I1620" i="3"/>
  <c r="H1620" i="3"/>
  <c r="G1620" i="3"/>
  <c r="F1620" i="3"/>
  <c r="E1620" i="3"/>
  <c r="D1620" i="3"/>
  <c r="C1620" i="3"/>
  <c r="B1620" i="3"/>
  <c r="A1620" i="3"/>
  <c r="M1619" i="3"/>
  <c r="L1619" i="3"/>
  <c r="K1619" i="3"/>
  <c r="J1619" i="3"/>
  <c r="I1619" i="3"/>
  <c r="H1619" i="3"/>
  <c r="G1619" i="3"/>
  <c r="F1619" i="3"/>
  <c r="E1619" i="3"/>
  <c r="D1619" i="3"/>
  <c r="C1619" i="3"/>
  <c r="B1619" i="3"/>
  <c r="A1619" i="3"/>
  <c r="M1618" i="3"/>
  <c r="L1618" i="3"/>
  <c r="K1618" i="3"/>
  <c r="J1618" i="3"/>
  <c r="I1618" i="3"/>
  <c r="H1618" i="3"/>
  <c r="G1618" i="3"/>
  <c r="F1618" i="3"/>
  <c r="E1618" i="3"/>
  <c r="D1618" i="3"/>
  <c r="C1618" i="3"/>
  <c r="B1618" i="3"/>
  <c r="A1618" i="3"/>
  <c r="M1617" i="3"/>
  <c r="L1617" i="3"/>
  <c r="K1617" i="3"/>
  <c r="J1617" i="3"/>
  <c r="I1617" i="3"/>
  <c r="H1617" i="3"/>
  <c r="G1617" i="3"/>
  <c r="F1617" i="3"/>
  <c r="E1617" i="3"/>
  <c r="D1617" i="3"/>
  <c r="C1617" i="3"/>
  <c r="B1617" i="3"/>
  <c r="A1617" i="3"/>
  <c r="M1616" i="3"/>
  <c r="L1616" i="3"/>
  <c r="K1616" i="3"/>
  <c r="J1616" i="3"/>
  <c r="I1616" i="3"/>
  <c r="H1616" i="3"/>
  <c r="G1616" i="3"/>
  <c r="D1616" i="3"/>
  <c r="C1616" i="3"/>
  <c r="B1616" i="3"/>
  <c r="A1616" i="3"/>
  <c r="M1615" i="3"/>
  <c r="L1615" i="3"/>
  <c r="K1615" i="3"/>
  <c r="J1615" i="3"/>
  <c r="I1615" i="3"/>
  <c r="H1615" i="3"/>
  <c r="G1615" i="3"/>
  <c r="F1615" i="3"/>
  <c r="E1615" i="3"/>
  <c r="D1615" i="3"/>
  <c r="C1615" i="3"/>
  <c r="B1615" i="3"/>
  <c r="A1615" i="3"/>
  <c r="M1614" i="3"/>
  <c r="L1614" i="3"/>
  <c r="K1614" i="3"/>
  <c r="J1614" i="3"/>
  <c r="I1614" i="3"/>
  <c r="H1614" i="3"/>
  <c r="G1614" i="3"/>
  <c r="F1614" i="3"/>
  <c r="E1614" i="3"/>
  <c r="D1614" i="3"/>
  <c r="C1614" i="3"/>
  <c r="B1614" i="3"/>
  <c r="A1614" i="3"/>
  <c r="M1613" i="3"/>
  <c r="L1613" i="3"/>
  <c r="K1613" i="3"/>
  <c r="J1613" i="3"/>
  <c r="I1613" i="3"/>
  <c r="H1613" i="3"/>
  <c r="G1613" i="3"/>
  <c r="F1613" i="3"/>
  <c r="E1613" i="3"/>
  <c r="D1613" i="3"/>
  <c r="C1613" i="3"/>
  <c r="B1613" i="3"/>
  <c r="A1613" i="3"/>
  <c r="M1612" i="3"/>
  <c r="L1612" i="3"/>
  <c r="K1612" i="3"/>
  <c r="J1612" i="3"/>
  <c r="I1612" i="3"/>
  <c r="H1612" i="3"/>
  <c r="G1612" i="3"/>
  <c r="F1612" i="3"/>
  <c r="E1612" i="3"/>
  <c r="D1612" i="3"/>
  <c r="C1612" i="3"/>
  <c r="B1612" i="3"/>
  <c r="A1612" i="3"/>
  <c r="M1611" i="3"/>
  <c r="L1611" i="3"/>
  <c r="K1611" i="3"/>
  <c r="J1611" i="3"/>
  <c r="I1611" i="3"/>
  <c r="H1611" i="3"/>
  <c r="G1611" i="3"/>
  <c r="F1611" i="3"/>
  <c r="E1611" i="3"/>
  <c r="D1611" i="3"/>
  <c r="C1611" i="3"/>
  <c r="B1611" i="3"/>
  <c r="A1611" i="3"/>
  <c r="M1610" i="3"/>
  <c r="L1610" i="3"/>
  <c r="K1610" i="3"/>
  <c r="J1610" i="3"/>
  <c r="I1610" i="3"/>
  <c r="H1610" i="3"/>
  <c r="G1610" i="3"/>
  <c r="F1610" i="3"/>
  <c r="E1610" i="3"/>
  <c r="D1610" i="3"/>
  <c r="C1610" i="3"/>
  <c r="B1610" i="3"/>
  <c r="A1610" i="3"/>
  <c r="M1609" i="3"/>
  <c r="L1609" i="3"/>
  <c r="K1609" i="3"/>
  <c r="J1609" i="3"/>
  <c r="I1609" i="3"/>
  <c r="H1609" i="3"/>
  <c r="G1609" i="3"/>
  <c r="F1609" i="3"/>
  <c r="E1609" i="3"/>
  <c r="D1609" i="3"/>
  <c r="C1609" i="3"/>
  <c r="B1609" i="3"/>
  <c r="A1609" i="3"/>
  <c r="M1608" i="3"/>
  <c r="L1608" i="3"/>
  <c r="K1608" i="3"/>
  <c r="J1608" i="3"/>
  <c r="I1608" i="3"/>
  <c r="H1608" i="3"/>
  <c r="G1608" i="3"/>
  <c r="F1608" i="3"/>
  <c r="E1608" i="3"/>
  <c r="D1608" i="3"/>
  <c r="C1608" i="3"/>
  <c r="B1608" i="3"/>
  <c r="A1608" i="3"/>
  <c r="M1607" i="3"/>
  <c r="L1607" i="3"/>
  <c r="K1607" i="3"/>
  <c r="J1607" i="3"/>
  <c r="I1607" i="3"/>
  <c r="H1607" i="3"/>
  <c r="G1607" i="3"/>
  <c r="E1607" i="3"/>
  <c r="D1607" i="3"/>
  <c r="C1607" i="3"/>
  <c r="B1607" i="3"/>
  <c r="A1607" i="3"/>
  <c r="M1606" i="3"/>
  <c r="L1606" i="3"/>
  <c r="K1606" i="3"/>
  <c r="J1606" i="3"/>
  <c r="I1606" i="3"/>
  <c r="H1606" i="3"/>
  <c r="G1606" i="3"/>
  <c r="F1606" i="3"/>
  <c r="E1606" i="3"/>
  <c r="D1606" i="3"/>
  <c r="C1606" i="3"/>
  <c r="B1606" i="3"/>
  <c r="A1606" i="3"/>
  <c r="M1605" i="3"/>
  <c r="L1605" i="3"/>
  <c r="K1605" i="3"/>
  <c r="J1605" i="3"/>
  <c r="I1605" i="3"/>
  <c r="H1605" i="3"/>
  <c r="G1605" i="3"/>
  <c r="F1605" i="3"/>
  <c r="E1605" i="3"/>
  <c r="D1605" i="3"/>
  <c r="C1605" i="3"/>
  <c r="B1605" i="3"/>
  <c r="A1605" i="3"/>
  <c r="M1604" i="3"/>
  <c r="L1604" i="3"/>
  <c r="K1604" i="3"/>
  <c r="J1604" i="3"/>
  <c r="I1604" i="3"/>
  <c r="H1604" i="3"/>
  <c r="G1604" i="3"/>
  <c r="F1604" i="3"/>
  <c r="E1604" i="3"/>
  <c r="D1604" i="3"/>
  <c r="C1604" i="3"/>
  <c r="B1604" i="3"/>
  <c r="A1604" i="3"/>
  <c r="M1603" i="3"/>
  <c r="L1603" i="3"/>
  <c r="K1603" i="3"/>
  <c r="J1603" i="3"/>
  <c r="I1603" i="3"/>
  <c r="H1603" i="3"/>
  <c r="G1603" i="3"/>
  <c r="F1603" i="3"/>
  <c r="E1603" i="3"/>
  <c r="D1603" i="3"/>
  <c r="C1603" i="3"/>
  <c r="B1603" i="3"/>
  <c r="A1603" i="3"/>
  <c r="M1602" i="3"/>
  <c r="L1602" i="3"/>
  <c r="K1602" i="3"/>
  <c r="J1602" i="3"/>
  <c r="I1602" i="3"/>
  <c r="H1602" i="3"/>
  <c r="G1602" i="3"/>
  <c r="F1602" i="3"/>
  <c r="E1602" i="3"/>
  <c r="D1602" i="3"/>
  <c r="C1602" i="3"/>
  <c r="B1602" i="3"/>
  <c r="A1602" i="3"/>
  <c r="M1601" i="3"/>
  <c r="L1601" i="3"/>
  <c r="K1601" i="3"/>
  <c r="J1601" i="3"/>
  <c r="I1601" i="3"/>
  <c r="H1601" i="3"/>
  <c r="G1601" i="3"/>
  <c r="F1601" i="3"/>
  <c r="E1601" i="3"/>
  <c r="D1601" i="3"/>
  <c r="C1601" i="3"/>
  <c r="B1601" i="3"/>
  <c r="A1601" i="3"/>
  <c r="M1600" i="3"/>
  <c r="L1600" i="3"/>
  <c r="K1600" i="3"/>
  <c r="J1600" i="3"/>
  <c r="I1600" i="3"/>
  <c r="H1600" i="3"/>
  <c r="G1600" i="3"/>
  <c r="F1600" i="3"/>
  <c r="E1600" i="3"/>
  <c r="D1600" i="3"/>
  <c r="C1600" i="3"/>
  <c r="B1600" i="3"/>
  <c r="A1600" i="3"/>
  <c r="M1599" i="3"/>
  <c r="L1599" i="3"/>
  <c r="K1599" i="3"/>
  <c r="J1599" i="3"/>
  <c r="I1599" i="3"/>
  <c r="H1599" i="3"/>
  <c r="G1599" i="3"/>
  <c r="F1599" i="3"/>
  <c r="E1599" i="3"/>
  <c r="D1599" i="3"/>
  <c r="C1599" i="3"/>
  <c r="B1599" i="3"/>
  <c r="A1599" i="3"/>
  <c r="M1598" i="3"/>
  <c r="L1598" i="3"/>
  <c r="K1598" i="3"/>
  <c r="J1598" i="3"/>
  <c r="I1598" i="3"/>
  <c r="H1598" i="3"/>
  <c r="G1598" i="3"/>
  <c r="F1598" i="3"/>
  <c r="D1598" i="3"/>
  <c r="C1598" i="3"/>
  <c r="B1598" i="3"/>
  <c r="A1598" i="3"/>
  <c r="M1597" i="3"/>
  <c r="L1597" i="3"/>
  <c r="K1597" i="3"/>
  <c r="J1597" i="3"/>
  <c r="I1597" i="3"/>
  <c r="H1597" i="3"/>
  <c r="G1597" i="3"/>
  <c r="F1597" i="3"/>
  <c r="E1597" i="3"/>
  <c r="D1597" i="3"/>
  <c r="C1597" i="3"/>
  <c r="B1597" i="3"/>
  <c r="A1597" i="3"/>
  <c r="M1596" i="3"/>
  <c r="L1596" i="3"/>
  <c r="K1596" i="3"/>
  <c r="J1596" i="3"/>
  <c r="I1596" i="3"/>
  <c r="H1596" i="3"/>
  <c r="G1596" i="3"/>
  <c r="F1596" i="3"/>
  <c r="E1596" i="3"/>
  <c r="D1596" i="3"/>
  <c r="C1596" i="3"/>
  <c r="B1596" i="3"/>
  <c r="A1596" i="3"/>
  <c r="M1595" i="3"/>
  <c r="L1595" i="3"/>
  <c r="K1595" i="3"/>
  <c r="J1595" i="3"/>
  <c r="I1595" i="3"/>
  <c r="H1595" i="3"/>
  <c r="G1595" i="3"/>
  <c r="F1595" i="3"/>
  <c r="E1595" i="3"/>
  <c r="D1595" i="3"/>
  <c r="C1595" i="3"/>
  <c r="B1595" i="3"/>
  <c r="A1595" i="3"/>
  <c r="M1594" i="3"/>
  <c r="L1594" i="3"/>
  <c r="K1594" i="3"/>
  <c r="J1594" i="3"/>
  <c r="I1594" i="3"/>
  <c r="H1594" i="3"/>
  <c r="G1594" i="3"/>
  <c r="F1594" i="3"/>
  <c r="E1594" i="3"/>
  <c r="D1594" i="3"/>
  <c r="C1594" i="3"/>
  <c r="B1594" i="3"/>
  <c r="A1594" i="3"/>
  <c r="M1593" i="3"/>
  <c r="L1593" i="3"/>
  <c r="K1593" i="3"/>
  <c r="J1593" i="3"/>
  <c r="I1593" i="3"/>
  <c r="H1593" i="3"/>
  <c r="G1593" i="3"/>
  <c r="F1593" i="3"/>
  <c r="E1593" i="3"/>
  <c r="D1593" i="3"/>
  <c r="C1593" i="3"/>
  <c r="B1593" i="3"/>
  <c r="A1593" i="3"/>
  <c r="M1592" i="3"/>
  <c r="L1592" i="3"/>
  <c r="K1592" i="3"/>
  <c r="J1592" i="3"/>
  <c r="I1592" i="3"/>
  <c r="H1592" i="3"/>
  <c r="G1592" i="3"/>
  <c r="F1592" i="3"/>
  <c r="E1592" i="3"/>
  <c r="D1592" i="3"/>
  <c r="C1592" i="3"/>
  <c r="B1592" i="3"/>
  <c r="A1592" i="3"/>
  <c r="M1591" i="3"/>
  <c r="L1591" i="3"/>
  <c r="K1591" i="3"/>
  <c r="J1591" i="3"/>
  <c r="I1591" i="3"/>
  <c r="H1591" i="3"/>
  <c r="G1591" i="3"/>
  <c r="F1591" i="3"/>
  <c r="E1591" i="3"/>
  <c r="D1591" i="3"/>
  <c r="C1591" i="3"/>
  <c r="B1591" i="3"/>
  <c r="A1591" i="3"/>
  <c r="M1590" i="3"/>
  <c r="L1590" i="3"/>
  <c r="K1590" i="3"/>
  <c r="J1590" i="3"/>
  <c r="I1590" i="3"/>
  <c r="H1590" i="3"/>
  <c r="G1590" i="3"/>
  <c r="F1590" i="3"/>
  <c r="E1590" i="3"/>
  <c r="D1590" i="3"/>
  <c r="C1590" i="3"/>
  <c r="B1590" i="3"/>
  <c r="A1590" i="3"/>
  <c r="M1589" i="3"/>
  <c r="L1589" i="3"/>
  <c r="K1589" i="3"/>
  <c r="J1589" i="3"/>
  <c r="I1589" i="3"/>
  <c r="H1589" i="3"/>
  <c r="F1589" i="3"/>
  <c r="E1589" i="3"/>
  <c r="D1589" i="3"/>
  <c r="C1589" i="3"/>
  <c r="B1589" i="3"/>
  <c r="A1589" i="3"/>
  <c r="M1588" i="3"/>
  <c r="L1588" i="3"/>
  <c r="K1588" i="3"/>
  <c r="J1588" i="3"/>
  <c r="I1588" i="3"/>
  <c r="H1588" i="3"/>
  <c r="G1588" i="3"/>
  <c r="F1588" i="3"/>
  <c r="E1588" i="3"/>
  <c r="D1588" i="3"/>
  <c r="C1588" i="3"/>
  <c r="B1588" i="3"/>
  <c r="A1588" i="3"/>
  <c r="M1587" i="3"/>
  <c r="L1587" i="3"/>
  <c r="K1587" i="3"/>
  <c r="J1587" i="3"/>
  <c r="I1587" i="3"/>
  <c r="H1587" i="3"/>
  <c r="G1587" i="3"/>
  <c r="F1587" i="3"/>
  <c r="E1587" i="3"/>
  <c r="D1587" i="3"/>
  <c r="C1587" i="3"/>
  <c r="B1587" i="3"/>
  <c r="A1587" i="3"/>
  <c r="M1586" i="3"/>
  <c r="L1586" i="3"/>
  <c r="K1586" i="3"/>
  <c r="J1586" i="3"/>
  <c r="I1586" i="3"/>
  <c r="H1586" i="3"/>
  <c r="G1586" i="3"/>
  <c r="F1586" i="3"/>
  <c r="E1586" i="3"/>
  <c r="D1586" i="3"/>
  <c r="C1586" i="3"/>
  <c r="B1586" i="3"/>
  <c r="A1586" i="3"/>
  <c r="M1585" i="3"/>
  <c r="L1585" i="3"/>
  <c r="K1585" i="3"/>
  <c r="J1585" i="3"/>
  <c r="I1585" i="3"/>
  <c r="H1585" i="3"/>
  <c r="G1585" i="3"/>
  <c r="F1585" i="3"/>
  <c r="E1585" i="3"/>
  <c r="D1585" i="3"/>
  <c r="C1585" i="3"/>
  <c r="B1585" i="3"/>
  <c r="A1585" i="3"/>
  <c r="M1584" i="3"/>
  <c r="L1584" i="3"/>
  <c r="K1584" i="3"/>
  <c r="J1584" i="3"/>
  <c r="I1584" i="3"/>
  <c r="H1584" i="3"/>
  <c r="G1584" i="3"/>
  <c r="F1584" i="3"/>
  <c r="D1584" i="3"/>
  <c r="C1584" i="3"/>
  <c r="B1584" i="3"/>
  <c r="A1584" i="3"/>
  <c r="M1583" i="3"/>
  <c r="L1583" i="3"/>
  <c r="K1583" i="3"/>
  <c r="J1583" i="3"/>
  <c r="I1583" i="3"/>
  <c r="H1583" i="3"/>
  <c r="G1583" i="3"/>
  <c r="F1583" i="3"/>
  <c r="E1583" i="3"/>
  <c r="D1583" i="3"/>
  <c r="C1583" i="3"/>
  <c r="B1583" i="3"/>
  <c r="A1583" i="3"/>
  <c r="M1582" i="3"/>
  <c r="L1582" i="3"/>
  <c r="K1582" i="3"/>
  <c r="J1582" i="3"/>
  <c r="I1582" i="3"/>
  <c r="H1582" i="3"/>
  <c r="F1582" i="3"/>
  <c r="E1582" i="3"/>
  <c r="D1582" i="3"/>
  <c r="C1582" i="3"/>
  <c r="B1582" i="3"/>
  <c r="A1582" i="3"/>
  <c r="M1581" i="3"/>
  <c r="L1581" i="3"/>
  <c r="K1581" i="3"/>
  <c r="J1581" i="3"/>
  <c r="I1581" i="3"/>
  <c r="H1581" i="3"/>
  <c r="F1581" i="3"/>
  <c r="E1581" i="3"/>
  <c r="D1581" i="3"/>
  <c r="C1581" i="3"/>
  <c r="B1581" i="3"/>
  <c r="A1581" i="3"/>
  <c r="M1580" i="3"/>
  <c r="L1580" i="3"/>
  <c r="K1580" i="3"/>
  <c r="J1580" i="3"/>
  <c r="I1580" i="3"/>
  <c r="H1580" i="3"/>
  <c r="F1580" i="3"/>
  <c r="E1580" i="3"/>
  <c r="D1580" i="3"/>
  <c r="C1580" i="3"/>
  <c r="B1580" i="3"/>
  <c r="A1580" i="3"/>
  <c r="M1579" i="3"/>
  <c r="L1579" i="3"/>
  <c r="K1579" i="3"/>
  <c r="J1579" i="3"/>
  <c r="I1579" i="3"/>
  <c r="H1579" i="3"/>
  <c r="F1579" i="3"/>
  <c r="E1579" i="3"/>
  <c r="D1579" i="3"/>
  <c r="C1579" i="3"/>
  <c r="B1579" i="3"/>
  <c r="A1579" i="3"/>
  <c r="M1578" i="3"/>
  <c r="L1578" i="3"/>
  <c r="K1578" i="3"/>
  <c r="J1578" i="3"/>
  <c r="I1578" i="3"/>
  <c r="H1578" i="3"/>
  <c r="F1578" i="3"/>
  <c r="E1578" i="3"/>
  <c r="D1578" i="3"/>
  <c r="C1578" i="3"/>
  <c r="B1578" i="3"/>
  <c r="A1578" i="3"/>
  <c r="M1577" i="3"/>
  <c r="L1577" i="3"/>
  <c r="K1577" i="3"/>
  <c r="J1577" i="3"/>
  <c r="I1577" i="3"/>
  <c r="H1577" i="3"/>
  <c r="F1577" i="3"/>
  <c r="E1577" i="3"/>
  <c r="D1577" i="3"/>
  <c r="C1577" i="3"/>
  <c r="B1577" i="3"/>
  <c r="A1577" i="3"/>
  <c r="M1576" i="3"/>
  <c r="L1576" i="3"/>
  <c r="K1576" i="3"/>
  <c r="J1576" i="3"/>
  <c r="I1576" i="3"/>
  <c r="H1576" i="3"/>
  <c r="F1576" i="3"/>
  <c r="E1576" i="3"/>
  <c r="D1576" i="3"/>
  <c r="C1576" i="3"/>
  <c r="B1576" i="3"/>
  <c r="A1576" i="3"/>
  <c r="M1575" i="3"/>
  <c r="L1575" i="3"/>
  <c r="K1575" i="3"/>
  <c r="J1575" i="3"/>
  <c r="I1575" i="3"/>
  <c r="H1575" i="3"/>
  <c r="F1575" i="3"/>
  <c r="E1575" i="3"/>
  <c r="D1575" i="3"/>
  <c r="C1575" i="3"/>
  <c r="B1575" i="3"/>
  <c r="A1575" i="3"/>
  <c r="M1574" i="3"/>
  <c r="L1574" i="3"/>
  <c r="K1574" i="3"/>
  <c r="J1574" i="3"/>
  <c r="I1574" i="3"/>
  <c r="H1574" i="3"/>
  <c r="G1574" i="3"/>
  <c r="F1574" i="3"/>
  <c r="E1574" i="3"/>
  <c r="D1574" i="3"/>
  <c r="C1574" i="3"/>
  <c r="B1574" i="3"/>
  <c r="A1574" i="3"/>
  <c r="M1573" i="3"/>
  <c r="L1573" i="3"/>
  <c r="K1573" i="3"/>
  <c r="J1573" i="3"/>
  <c r="I1573" i="3"/>
  <c r="H1573" i="3"/>
  <c r="G1573" i="3"/>
  <c r="F1573" i="3"/>
  <c r="E1573" i="3"/>
  <c r="D1573" i="3"/>
  <c r="C1573" i="3"/>
  <c r="B1573" i="3"/>
  <c r="A1573" i="3"/>
  <c r="M1572" i="3"/>
  <c r="L1572" i="3"/>
  <c r="K1572" i="3"/>
  <c r="J1572" i="3"/>
  <c r="I1572" i="3"/>
  <c r="H1572" i="3"/>
  <c r="G1572" i="3"/>
  <c r="F1572" i="3"/>
  <c r="E1572" i="3"/>
  <c r="D1572" i="3"/>
  <c r="C1572" i="3"/>
  <c r="B1572" i="3"/>
  <c r="A1572" i="3"/>
  <c r="M1571" i="3"/>
  <c r="L1571" i="3"/>
  <c r="K1571" i="3"/>
  <c r="J1571" i="3"/>
  <c r="I1571" i="3"/>
  <c r="H1571" i="3"/>
  <c r="G1571" i="3"/>
  <c r="F1571" i="3"/>
  <c r="E1571" i="3"/>
  <c r="D1571" i="3"/>
  <c r="C1571" i="3"/>
  <c r="B1571" i="3"/>
  <c r="A1571" i="3"/>
  <c r="M1570" i="3"/>
  <c r="L1570" i="3"/>
  <c r="K1570" i="3"/>
  <c r="J1570" i="3"/>
  <c r="I1570" i="3"/>
  <c r="H1570" i="3"/>
  <c r="G1570" i="3"/>
  <c r="F1570" i="3"/>
  <c r="E1570" i="3"/>
  <c r="D1570" i="3"/>
  <c r="C1570" i="3"/>
  <c r="B1570" i="3"/>
  <c r="A1570" i="3"/>
  <c r="M1569" i="3"/>
  <c r="L1569" i="3"/>
  <c r="K1569" i="3"/>
  <c r="J1569" i="3"/>
  <c r="I1569" i="3"/>
  <c r="H1569" i="3"/>
  <c r="G1569" i="3"/>
  <c r="F1569" i="3"/>
  <c r="E1569" i="3"/>
  <c r="D1569" i="3"/>
  <c r="C1569" i="3"/>
  <c r="B1569" i="3"/>
  <c r="A1569" i="3"/>
  <c r="M1568" i="3"/>
  <c r="L1568" i="3"/>
  <c r="K1568" i="3"/>
  <c r="J1568" i="3"/>
  <c r="I1568" i="3"/>
  <c r="H1568" i="3"/>
  <c r="G1568" i="3"/>
  <c r="F1568" i="3"/>
  <c r="E1568" i="3"/>
  <c r="D1568" i="3"/>
  <c r="C1568" i="3"/>
  <c r="B1568" i="3"/>
  <c r="A1568" i="3"/>
  <c r="M1567" i="3"/>
  <c r="L1567" i="3"/>
  <c r="K1567" i="3"/>
  <c r="J1567" i="3"/>
  <c r="I1567" i="3"/>
  <c r="H1567" i="3"/>
  <c r="G1567" i="3"/>
  <c r="F1567" i="3"/>
  <c r="E1567" i="3"/>
  <c r="D1567" i="3"/>
  <c r="C1567" i="3"/>
  <c r="B1567" i="3"/>
  <c r="A1567" i="3"/>
  <c r="M1566" i="3"/>
  <c r="L1566" i="3"/>
  <c r="K1566" i="3"/>
  <c r="J1566" i="3"/>
  <c r="I1566" i="3"/>
  <c r="H1566" i="3"/>
  <c r="G1566" i="3"/>
  <c r="F1566" i="3"/>
  <c r="E1566" i="3"/>
  <c r="D1566" i="3"/>
  <c r="C1566" i="3"/>
  <c r="B1566" i="3"/>
  <c r="A1566" i="3"/>
  <c r="M1565" i="3"/>
  <c r="L1565" i="3"/>
  <c r="K1565" i="3"/>
  <c r="J1565" i="3"/>
  <c r="I1565" i="3"/>
  <c r="H1565" i="3"/>
  <c r="G1565" i="3"/>
  <c r="F1565" i="3"/>
  <c r="E1565" i="3"/>
  <c r="D1565" i="3"/>
  <c r="C1565" i="3"/>
  <c r="B1565" i="3"/>
  <c r="A1565" i="3"/>
  <c r="M1564" i="3"/>
  <c r="L1564" i="3"/>
  <c r="K1564" i="3"/>
  <c r="J1564" i="3"/>
  <c r="I1564" i="3"/>
  <c r="H1564" i="3"/>
  <c r="G1564" i="3"/>
  <c r="F1564" i="3"/>
  <c r="E1564" i="3"/>
  <c r="D1564" i="3"/>
  <c r="C1564" i="3"/>
  <c r="B1564" i="3"/>
  <c r="A1564" i="3"/>
  <c r="M1563" i="3"/>
  <c r="L1563" i="3"/>
  <c r="K1563" i="3"/>
  <c r="J1563" i="3"/>
  <c r="I1563" i="3"/>
  <c r="H1563" i="3"/>
  <c r="G1563" i="3"/>
  <c r="F1563" i="3"/>
  <c r="E1563" i="3"/>
  <c r="D1563" i="3"/>
  <c r="C1563" i="3"/>
  <c r="B1563" i="3"/>
  <c r="A1563" i="3"/>
  <c r="M1562" i="3"/>
  <c r="L1562" i="3"/>
  <c r="K1562" i="3"/>
  <c r="J1562" i="3"/>
  <c r="I1562" i="3"/>
  <c r="H1562" i="3"/>
  <c r="G1562" i="3"/>
  <c r="F1562" i="3"/>
  <c r="E1562" i="3"/>
  <c r="D1562" i="3"/>
  <c r="C1562" i="3"/>
  <c r="B1562" i="3"/>
  <c r="A1562" i="3"/>
  <c r="M1561" i="3"/>
  <c r="L1561" i="3"/>
  <c r="K1561" i="3"/>
  <c r="J1561" i="3"/>
  <c r="I1561" i="3"/>
  <c r="H1561" i="3"/>
  <c r="G1561" i="3"/>
  <c r="F1561" i="3"/>
  <c r="E1561" i="3"/>
  <c r="D1561" i="3"/>
  <c r="C1561" i="3"/>
  <c r="B1561" i="3"/>
  <c r="A1561" i="3"/>
  <c r="M1560" i="3"/>
  <c r="L1560" i="3"/>
  <c r="K1560" i="3"/>
  <c r="J1560" i="3"/>
  <c r="I1560" i="3"/>
  <c r="H1560" i="3"/>
  <c r="G1560" i="3"/>
  <c r="F1560" i="3"/>
  <c r="E1560" i="3"/>
  <c r="D1560" i="3"/>
  <c r="C1560" i="3"/>
  <c r="B1560" i="3"/>
  <c r="A1560" i="3"/>
  <c r="M1559" i="3"/>
  <c r="L1559" i="3"/>
  <c r="K1559" i="3"/>
  <c r="J1559" i="3"/>
  <c r="I1559" i="3"/>
  <c r="H1559" i="3"/>
  <c r="G1559" i="3"/>
  <c r="F1559" i="3"/>
  <c r="E1559" i="3"/>
  <c r="D1559" i="3"/>
  <c r="C1559" i="3"/>
  <c r="B1559" i="3"/>
  <c r="A1559" i="3"/>
  <c r="M1558" i="3"/>
  <c r="L1558" i="3"/>
  <c r="K1558" i="3"/>
  <c r="J1558" i="3"/>
  <c r="I1558" i="3"/>
  <c r="H1558" i="3"/>
  <c r="G1558" i="3"/>
  <c r="F1558" i="3"/>
  <c r="E1558" i="3"/>
  <c r="D1558" i="3"/>
  <c r="C1558" i="3"/>
  <c r="B1558" i="3"/>
  <c r="A1558" i="3"/>
  <c r="M1557" i="3"/>
  <c r="L1557" i="3"/>
  <c r="K1557" i="3"/>
  <c r="J1557" i="3"/>
  <c r="I1557" i="3"/>
  <c r="H1557" i="3"/>
  <c r="G1557" i="3"/>
  <c r="F1557" i="3"/>
  <c r="E1557" i="3"/>
  <c r="D1557" i="3"/>
  <c r="C1557" i="3"/>
  <c r="B1557" i="3"/>
  <c r="A1557" i="3"/>
  <c r="M1556" i="3"/>
  <c r="L1556" i="3"/>
  <c r="K1556" i="3"/>
  <c r="J1556" i="3"/>
  <c r="I1556" i="3"/>
  <c r="H1556" i="3"/>
  <c r="G1556" i="3"/>
  <c r="F1556" i="3"/>
  <c r="E1556" i="3"/>
  <c r="D1556" i="3"/>
  <c r="C1556" i="3"/>
  <c r="B1556" i="3"/>
  <c r="A1556" i="3"/>
  <c r="M1555" i="3"/>
  <c r="L1555" i="3"/>
  <c r="K1555" i="3"/>
  <c r="J1555" i="3"/>
  <c r="I1555" i="3"/>
  <c r="H1555" i="3"/>
  <c r="G1555" i="3"/>
  <c r="F1555" i="3"/>
  <c r="E1555" i="3"/>
  <c r="D1555" i="3"/>
  <c r="C1555" i="3"/>
  <c r="B1555" i="3"/>
  <c r="A1555" i="3"/>
  <c r="M1554" i="3"/>
  <c r="L1554" i="3"/>
  <c r="K1554" i="3"/>
  <c r="J1554" i="3"/>
  <c r="I1554" i="3"/>
  <c r="H1554" i="3"/>
  <c r="G1554" i="3"/>
  <c r="F1554" i="3"/>
  <c r="E1554" i="3"/>
  <c r="D1554" i="3"/>
  <c r="C1554" i="3"/>
  <c r="B1554" i="3"/>
  <c r="A1554" i="3"/>
  <c r="M1553" i="3"/>
  <c r="L1553" i="3"/>
  <c r="K1553" i="3"/>
  <c r="J1553" i="3"/>
  <c r="I1553" i="3"/>
  <c r="H1553" i="3"/>
  <c r="G1553" i="3"/>
  <c r="F1553" i="3"/>
  <c r="E1553" i="3"/>
  <c r="D1553" i="3"/>
  <c r="C1553" i="3"/>
  <c r="B1553" i="3"/>
  <c r="A1553" i="3"/>
  <c r="M1552" i="3"/>
  <c r="L1552" i="3"/>
  <c r="K1552" i="3"/>
  <c r="J1552" i="3"/>
  <c r="I1552" i="3"/>
  <c r="H1552" i="3"/>
  <c r="G1552" i="3"/>
  <c r="F1552" i="3"/>
  <c r="E1552" i="3"/>
  <c r="D1552" i="3"/>
  <c r="C1552" i="3"/>
  <c r="B1552" i="3"/>
  <c r="A1552" i="3"/>
  <c r="M1551" i="3"/>
  <c r="L1551" i="3"/>
  <c r="K1551" i="3"/>
  <c r="J1551" i="3"/>
  <c r="I1551" i="3"/>
  <c r="H1551" i="3"/>
  <c r="G1551" i="3"/>
  <c r="F1551" i="3"/>
  <c r="E1551" i="3"/>
  <c r="D1551" i="3"/>
  <c r="C1551" i="3"/>
  <c r="B1551" i="3"/>
  <c r="A1551" i="3"/>
  <c r="M1550" i="3"/>
  <c r="L1550" i="3"/>
  <c r="K1550" i="3"/>
  <c r="J1550" i="3"/>
  <c r="I1550" i="3"/>
  <c r="H1550" i="3"/>
  <c r="G1550" i="3"/>
  <c r="F1550" i="3"/>
  <c r="E1550" i="3"/>
  <c r="D1550" i="3"/>
  <c r="C1550" i="3"/>
  <c r="B1550" i="3"/>
  <c r="A1550" i="3"/>
  <c r="M1549" i="3"/>
  <c r="L1549" i="3"/>
  <c r="K1549" i="3"/>
  <c r="J1549" i="3"/>
  <c r="I1549" i="3"/>
  <c r="H1549" i="3"/>
  <c r="G1549" i="3"/>
  <c r="F1549" i="3"/>
  <c r="E1549" i="3"/>
  <c r="D1549" i="3"/>
  <c r="C1549" i="3"/>
  <c r="B1549" i="3"/>
  <c r="A1549" i="3"/>
  <c r="M1548" i="3"/>
  <c r="L1548" i="3"/>
  <c r="K1548" i="3"/>
  <c r="J1548" i="3"/>
  <c r="I1548" i="3"/>
  <c r="H1548" i="3"/>
  <c r="G1548" i="3"/>
  <c r="F1548" i="3"/>
  <c r="E1548" i="3"/>
  <c r="D1548" i="3"/>
  <c r="C1548" i="3"/>
  <c r="B1548" i="3"/>
  <c r="A1548" i="3"/>
  <c r="M1547" i="3"/>
  <c r="L1547" i="3"/>
  <c r="K1547" i="3"/>
  <c r="J1547" i="3"/>
  <c r="I1547" i="3"/>
  <c r="H1547" i="3"/>
  <c r="G1547" i="3"/>
  <c r="F1547" i="3"/>
  <c r="E1547" i="3"/>
  <c r="D1547" i="3"/>
  <c r="C1547" i="3"/>
  <c r="B1547" i="3"/>
  <c r="A1547" i="3"/>
  <c r="M1546" i="3"/>
  <c r="L1546" i="3"/>
  <c r="K1546" i="3"/>
  <c r="J1546" i="3"/>
  <c r="I1546" i="3"/>
  <c r="H1546" i="3"/>
  <c r="G1546" i="3"/>
  <c r="F1546" i="3"/>
  <c r="E1546" i="3"/>
  <c r="D1546" i="3"/>
  <c r="C1546" i="3"/>
  <c r="B1546" i="3"/>
  <c r="A1546" i="3"/>
  <c r="M1545" i="3"/>
  <c r="L1545" i="3"/>
  <c r="K1545" i="3"/>
  <c r="J1545" i="3"/>
  <c r="I1545" i="3"/>
  <c r="H1545" i="3"/>
  <c r="G1545" i="3"/>
  <c r="F1545" i="3"/>
  <c r="E1545" i="3"/>
  <c r="D1545" i="3"/>
  <c r="C1545" i="3"/>
  <c r="B1545" i="3"/>
  <c r="A1545" i="3"/>
  <c r="M1544" i="3"/>
  <c r="L1544" i="3"/>
  <c r="K1544" i="3"/>
  <c r="J1544" i="3"/>
  <c r="I1544" i="3"/>
  <c r="H1544" i="3"/>
  <c r="G1544" i="3"/>
  <c r="F1544" i="3"/>
  <c r="E1544" i="3"/>
  <c r="D1544" i="3"/>
  <c r="C1544" i="3"/>
  <c r="B1544" i="3"/>
  <c r="A1544" i="3"/>
  <c r="M1543" i="3"/>
  <c r="L1543" i="3"/>
  <c r="K1543" i="3"/>
  <c r="J1543" i="3"/>
  <c r="I1543" i="3"/>
  <c r="H1543" i="3"/>
  <c r="G1543" i="3"/>
  <c r="F1543" i="3"/>
  <c r="E1543" i="3"/>
  <c r="D1543" i="3"/>
  <c r="C1543" i="3"/>
  <c r="B1543" i="3"/>
  <c r="A1543" i="3"/>
  <c r="M1542" i="3"/>
  <c r="L1542" i="3"/>
  <c r="K1542" i="3"/>
  <c r="J1542" i="3"/>
  <c r="I1542" i="3"/>
  <c r="H1542" i="3"/>
  <c r="G1542" i="3"/>
  <c r="F1542" i="3"/>
  <c r="E1542" i="3"/>
  <c r="D1542" i="3"/>
  <c r="C1542" i="3"/>
  <c r="B1542" i="3"/>
  <c r="A1542" i="3"/>
  <c r="M1541" i="3"/>
  <c r="L1541" i="3"/>
  <c r="K1541" i="3"/>
  <c r="J1541" i="3"/>
  <c r="I1541" i="3"/>
  <c r="H1541" i="3"/>
  <c r="G1541" i="3"/>
  <c r="F1541" i="3"/>
  <c r="E1541" i="3"/>
  <c r="D1541" i="3"/>
  <c r="C1541" i="3"/>
  <c r="B1541" i="3"/>
  <c r="A1541" i="3"/>
  <c r="M1540" i="3"/>
  <c r="L1540" i="3"/>
  <c r="K1540" i="3"/>
  <c r="J1540" i="3"/>
  <c r="I1540" i="3"/>
  <c r="H1540" i="3"/>
  <c r="G1540" i="3"/>
  <c r="F1540" i="3"/>
  <c r="E1540" i="3"/>
  <c r="D1540" i="3"/>
  <c r="C1540" i="3"/>
  <c r="B1540" i="3"/>
  <c r="A1540" i="3"/>
  <c r="M1539" i="3"/>
  <c r="L1539" i="3"/>
  <c r="K1539" i="3"/>
  <c r="J1539" i="3"/>
  <c r="I1539" i="3"/>
  <c r="H1539" i="3"/>
  <c r="G1539" i="3"/>
  <c r="F1539" i="3"/>
  <c r="E1539" i="3"/>
  <c r="D1539" i="3"/>
  <c r="C1539" i="3"/>
  <c r="B1539" i="3"/>
  <c r="A1539" i="3"/>
  <c r="M1538" i="3"/>
  <c r="L1538" i="3"/>
  <c r="K1538" i="3"/>
  <c r="J1538" i="3"/>
  <c r="I1538" i="3"/>
  <c r="H1538" i="3"/>
  <c r="G1538" i="3"/>
  <c r="F1538" i="3"/>
  <c r="E1538" i="3"/>
  <c r="D1538" i="3"/>
  <c r="C1538" i="3"/>
  <c r="B1538" i="3"/>
  <c r="A1538" i="3"/>
  <c r="M1537" i="3"/>
  <c r="L1537" i="3"/>
  <c r="K1537" i="3"/>
  <c r="J1537" i="3"/>
  <c r="I1537" i="3"/>
  <c r="H1537" i="3"/>
  <c r="G1537" i="3"/>
  <c r="F1537" i="3"/>
  <c r="E1537" i="3"/>
  <c r="D1537" i="3"/>
  <c r="C1537" i="3"/>
  <c r="B1537" i="3"/>
  <c r="A1537" i="3"/>
  <c r="M1536" i="3"/>
  <c r="L1536" i="3"/>
  <c r="K1536" i="3"/>
  <c r="J1536" i="3"/>
  <c r="I1536" i="3"/>
  <c r="H1536" i="3"/>
  <c r="G1536" i="3"/>
  <c r="F1536" i="3"/>
  <c r="E1536" i="3"/>
  <c r="D1536" i="3"/>
  <c r="C1536" i="3"/>
  <c r="B1536" i="3"/>
  <c r="A1536" i="3"/>
  <c r="M1535" i="3"/>
  <c r="L1535" i="3"/>
  <c r="K1535" i="3"/>
  <c r="J1535" i="3"/>
  <c r="I1535" i="3"/>
  <c r="H1535" i="3"/>
  <c r="G1535" i="3"/>
  <c r="F1535" i="3"/>
  <c r="E1535" i="3"/>
  <c r="D1535" i="3"/>
  <c r="C1535" i="3"/>
  <c r="B1535" i="3"/>
  <c r="A1535" i="3"/>
  <c r="M1534" i="3"/>
  <c r="L1534" i="3"/>
  <c r="K1534" i="3"/>
  <c r="J1534" i="3"/>
  <c r="I1534" i="3"/>
  <c r="H1534" i="3"/>
  <c r="G1534" i="3"/>
  <c r="F1534" i="3"/>
  <c r="E1534" i="3"/>
  <c r="D1534" i="3"/>
  <c r="C1534" i="3"/>
  <c r="B1534" i="3"/>
  <c r="A1534" i="3"/>
  <c r="M1533" i="3"/>
  <c r="L1533" i="3"/>
  <c r="K1533" i="3"/>
  <c r="J1533" i="3"/>
  <c r="I1533" i="3"/>
  <c r="H1533" i="3"/>
  <c r="G1533" i="3"/>
  <c r="F1533" i="3"/>
  <c r="E1533" i="3"/>
  <c r="D1533" i="3"/>
  <c r="C1533" i="3"/>
  <c r="B1533" i="3"/>
  <c r="A1533" i="3"/>
  <c r="M1532" i="3"/>
  <c r="L1532" i="3"/>
  <c r="K1532" i="3"/>
  <c r="J1532" i="3"/>
  <c r="I1532" i="3"/>
  <c r="H1532" i="3"/>
  <c r="G1532" i="3"/>
  <c r="F1532" i="3"/>
  <c r="E1532" i="3"/>
  <c r="D1532" i="3"/>
  <c r="C1532" i="3"/>
  <c r="B1532" i="3"/>
  <c r="A1532" i="3"/>
  <c r="M1531" i="3"/>
  <c r="L1531" i="3"/>
  <c r="K1531" i="3"/>
  <c r="J1531" i="3"/>
  <c r="I1531" i="3"/>
  <c r="H1531" i="3"/>
  <c r="G1531" i="3"/>
  <c r="F1531" i="3"/>
  <c r="E1531" i="3"/>
  <c r="D1531" i="3"/>
  <c r="C1531" i="3"/>
  <c r="B1531" i="3"/>
  <c r="A1531" i="3"/>
  <c r="M1530" i="3"/>
  <c r="L1530" i="3"/>
  <c r="K1530" i="3"/>
  <c r="J1530" i="3"/>
  <c r="I1530" i="3"/>
  <c r="H1530" i="3"/>
  <c r="G1530" i="3"/>
  <c r="F1530" i="3"/>
  <c r="E1530" i="3"/>
  <c r="D1530" i="3"/>
  <c r="C1530" i="3"/>
  <c r="B1530" i="3"/>
  <c r="A1530" i="3"/>
  <c r="M1529" i="3"/>
  <c r="L1529" i="3"/>
  <c r="K1529" i="3"/>
  <c r="J1529" i="3"/>
  <c r="I1529" i="3"/>
  <c r="H1529" i="3"/>
  <c r="G1529" i="3"/>
  <c r="F1529" i="3"/>
  <c r="E1529" i="3"/>
  <c r="D1529" i="3"/>
  <c r="C1529" i="3"/>
  <c r="B1529" i="3"/>
  <c r="A1529" i="3"/>
  <c r="M1528" i="3"/>
  <c r="L1528" i="3"/>
  <c r="K1528" i="3"/>
  <c r="J1528" i="3"/>
  <c r="I1528" i="3"/>
  <c r="H1528" i="3"/>
  <c r="G1528" i="3"/>
  <c r="F1528" i="3"/>
  <c r="E1528" i="3"/>
  <c r="D1528" i="3"/>
  <c r="C1528" i="3"/>
  <c r="B1528" i="3"/>
  <c r="A1528" i="3"/>
  <c r="M1527" i="3"/>
  <c r="L1527" i="3"/>
  <c r="K1527" i="3"/>
  <c r="J1527" i="3"/>
  <c r="I1527" i="3"/>
  <c r="H1527" i="3"/>
  <c r="G1527" i="3"/>
  <c r="F1527" i="3"/>
  <c r="E1527" i="3"/>
  <c r="D1527" i="3"/>
  <c r="C1527" i="3"/>
  <c r="B1527" i="3"/>
  <c r="A1527" i="3"/>
  <c r="M1526" i="3"/>
  <c r="L1526" i="3"/>
  <c r="K1526" i="3"/>
  <c r="J1526" i="3"/>
  <c r="I1526" i="3"/>
  <c r="H1526" i="3"/>
  <c r="G1526" i="3"/>
  <c r="F1526" i="3"/>
  <c r="E1526" i="3"/>
  <c r="D1526" i="3"/>
  <c r="C1526" i="3"/>
  <c r="B1526" i="3"/>
  <c r="A1526" i="3"/>
  <c r="M1525" i="3"/>
  <c r="L1525" i="3"/>
  <c r="K1525" i="3"/>
  <c r="J1525" i="3"/>
  <c r="I1525" i="3"/>
  <c r="H1525" i="3"/>
  <c r="G1525" i="3"/>
  <c r="F1525" i="3"/>
  <c r="E1525" i="3"/>
  <c r="D1525" i="3"/>
  <c r="C1525" i="3"/>
  <c r="B1525" i="3"/>
  <c r="A1525" i="3"/>
  <c r="M1524" i="3"/>
  <c r="L1524" i="3"/>
  <c r="K1524" i="3"/>
  <c r="J1524" i="3"/>
  <c r="I1524" i="3"/>
  <c r="H1524" i="3"/>
  <c r="G1524" i="3"/>
  <c r="F1524" i="3"/>
  <c r="E1524" i="3"/>
  <c r="D1524" i="3"/>
  <c r="C1524" i="3"/>
  <c r="B1524" i="3"/>
  <c r="A1524" i="3"/>
  <c r="M1523" i="3"/>
  <c r="L1523" i="3"/>
  <c r="K1523" i="3"/>
  <c r="J1523" i="3"/>
  <c r="I1523" i="3"/>
  <c r="H1523" i="3"/>
  <c r="G1523" i="3"/>
  <c r="F1523" i="3"/>
  <c r="E1523" i="3"/>
  <c r="D1523" i="3"/>
  <c r="C1523" i="3"/>
  <c r="B1523" i="3"/>
  <c r="A1523" i="3"/>
  <c r="M1522" i="3"/>
  <c r="L1522" i="3"/>
  <c r="K1522" i="3"/>
  <c r="J1522" i="3"/>
  <c r="I1522" i="3"/>
  <c r="H1522" i="3"/>
  <c r="G1522" i="3"/>
  <c r="F1522" i="3"/>
  <c r="E1522" i="3"/>
  <c r="D1522" i="3"/>
  <c r="C1522" i="3"/>
  <c r="B1522" i="3"/>
  <c r="A1522" i="3"/>
  <c r="M1521" i="3"/>
  <c r="L1521" i="3"/>
  <c r="K1521" i="3"/>
  <c r="J1521" i="3"/>
  <c r="I1521" i="3"/>
  <c r="H1521" i="3"/>
  <c r="G1521" i="3"/>
  <c r="F1521" i="3"/>
  <c r="E1521" i="3"/>
  <c r="D1521" i="3"/>
  <c r="C1521" i="3"/>
  <c r="B1521" i="3"/>
  <c r="A1521" i="3"/>
  <c r="M1520" i="3"/>
  <c r="L1520" i="3"/>
  <c r="K1520" i="3"/>
  <c r="J1520" i="3"/>
  <c r="I1520" i="3"/>
  <c r="H1520" i="3"/>
  <c r="G1520" i="3"/>
  <c r="F1520" i="3"/>
  <c r="E1520" i="3"/>
  <c r="D1520" i="3"/>
  <c r="C1520" i="3"/>
  <c r="B1520" i="3"/>
  <c r="A1520" i="3"/>
  <c r="M1519" i="3"/>
  <c r="L1519" i="3"/>
  <c r="K1519" i="3"/>
  <c r="J1519" i="3"/>
  <c r="I1519" i="3"/>
  <c r="H1519" i="3"/>
  <c r="G1519" i="3"/>
  <c r="F1519" i="3"/>
  <c r="E1519" i="3"/>
  <c r="D1519" i="3"/>
  <c r="C1519" i="3"/>
  <c r="B1519" i="3"/>
  <c r="A1519" i="3"/>
  <c r="M1518" i="3"/>
  <c r="L1518" i="3"/>
  <c r="K1518" i="3"/>
  <c r="J1518" i="3"/>
  <c r="I1518" i="3"/>
  <c r="H1518" i="3"/>
  <c r="G1518" i="3"/>
  <c r="F1518" i="3"/>
  <c r="E1518" i="3"/>
  <c r="D1518" i="3"/>
  <c r="C1518" i="3"/>
  <c r="B1518" i="3"/>
  <c r="A1518" i="3"/>
  <c r="M1517" i="3"/>
  <c r="L1517" i="3"/>
  <c r="K1517" i="3"/>
  <c r="J1517" i="3"/>
  <c r="I1517" i="3"/>
  <c r="H1517" i="3"/>
  <c r="G1517" i="3"/>
  <c r="F1517" i="3"/>
  <c r="E1517" i="3"/>
  <c r="D1517" i="3"/>
  <c r="C1517" i="3"/>
  <c r="B1517" i="3"/>
  <c r="A1517" i="3"/>
  <c r="M1516" i="3"/>
  <c r="L1516" i="3"/>
  <c r="K1516" i="3"/>
  <c r="J1516" i="3"/>
  <c r="I1516" i="3"/>
  <c r="H1516" i="3"/>
  <c r="G1516" i="3"/>
  <c r="F1516" i="3"/>
  <c r="E1516" i="3"/>
  <c r="D1516" i="3"/>
  <c r="C1516" i="3"/>
  <c r="B1516" i="3"/>
  <c r="A1516" i="3"/>
  <c r="M1515" i="3"/>
  <c r="L1515" i="3"/>
  <c r="K1515" i="3"/>
  <c r="J1515" i="3"/>
  <c r="I1515" i="3"/>
  <c r="H1515" i="3"/>
  <c r="G1515" i="3"/>
  <c r="F1515" i="3"/>
  <c r="E1515" i="3"/>
  <c r="D1515" i="3"/>
  <c r="C1515" i="3"/>
  <c r="B1515" i="3"/>
  <c r="A1515" i="3"/>
  <c r="M1514" i="3"/>
  <c r="L1514" i="3"/>
  <c r="K1514" i="3"/>
  <c r="J1514" i="3"/>
  <c r="I1514" i="3"/>
  <c r="H1514" i="3"/>
  <c r="G1514" i="3"/>
  <c r="F1514" i="3"/>
  <c r="E1514" i="3"/>
  <c r="D1514" i="3"/>
  <c r="C1514" i="3"/>
  <c r="B1514" i="3"/>
  <c r="A1514" i="3"/>
  <c r="M1513" i="3"/>
  <c r="L1513" i="3"/>
  <c r="K1513" i="3"/>
  <c r="J1513" i="3"/>
  <c r="I1513" i="3"/>
  <c r="H1513" i="3"/>
  <c r="G1513" i="3"/>
  <c r="F1513" i="3"/>
  <c r="E1513" i="3"/>
  <c r="D1513" i="3"/>
  <c r="C1513" i="3"/>
  <c r="B1513" i="3"/>
  <c r="A1513" i="3"/>
  <c r="M1512" i="3"/>
  <c r="L1512" i="3"/>
  <c r="K1512" i="3"/>
  <c r="J1512" i="3"/>
  <c r="I1512" i="3"/>
  <c r="H1512" i="3"/>
  <c r="G1512" i="3"/>
  <c r="F1512" i="3"/>
  <c r="E1512" i="3"/>
  <c r="D1512" i="3"/>
  <c r="C1512" i="3"/>
  <c r="B1512" i="3"/>
  <c r="A1512" i="3"/>
  <c r="M1511" i="3"/>
  <c r="L1511" i="3"/>
  <c r="K1511" i="3"/>
  <c r="J1511" i="3"/>
  <c r="I1511" i="3"/>
  <c r="H1511" i="3"/>
  <c r="G1511" i="3"/>
  <c r="F1511" i="3"/>
  <c r="E1511" i="3"/>
  <c r="D1511" i="3"/>
  <c r="C1511" i="3"/>
  <c r="B1511" i="3"/>
  <c r="A1511" i="3"/>
  <c r="M1510" i="3"/>
  <c r="L1510" i="3"/>
  <c r="K1510" i="3"/>
  <c r="J1510" i="3"/>
  <c r="I1510" i="3"/>
  <c r="H1510" i="3"/>
  <c r="G1510" i="3"/>
  <c r="F1510" i="3"/>
  <c r="E1510" i="3"/>
  <c r="D1510" i="3"/>
  <c r="C1510" i="3"/>
  <c r="B1510" i="3"/>
  <c r="A1510" i="3"/>
  <c r="M1509" i="3"/>
  <c r="L1509" i="3"/>
  <c r="K1509" i="3"/>
  <c r="J1509" i="3"/>
  <c r="I1509" i="3"/>
  <c r="H1509" i="3"/>
  <c r="G1509" i="3"/>
  <c r="F1509" i="3"/>
  <c r="E1509" i="3"/>
  <c r="D1509" i="3"/>
  <c r="C1509" i="3"/>
  <c r="B1509" i="3"/>
  <c r="A1509" i="3"/>
  <c r="M1508" i="3"/>
  <c r="L1508" i="3"/>
  <c r="K1508" i="3"/>
  <c r="J1508" i="3"/>
  <c r="I1508" i="3"/>
  <c r="H1508" i="3"/>
  <c r="G1508" i="3"/>
  <c r="F1508" i="3"/>
  <c r="E1508" i="3"/>
  <c r="D1508" i="3"/>
  <c r="C1508" i="3"/>
  <c r="B1508" i="3"/>
  <c r="A1508" i="3"/>
  <c r="M1507" i="3"/>
  <c r="L1507" i="3"/>
  <c r="K1507" i="3"/>
  <c r="J1507" i="3"/>
  <c r="I1507" i="3"/>
  <c r="H1507" i="3"/>
  <c r="G1507" i="3"/>
  <c r="F1507" i="3"/>
  <c r="E1507" i="3"/>
  <c r="D1507" i="3"/>
  <c r="C1507" i="3"/>
  <c r="B1507" i="3"/>
  <c r="A1507" i="3"/>
  <c r="M1506" i="3"/>
  <c r="L1506" i="3"/>
  <c r="K1506" i="3"/>
  <c r="J1506" i="3"/>
  <c r="I1506" i="3"/>
  <c r="H1506" i="3"/>
  <c r="G1506" i="3"/>
  <c r="F1506" i="3"/>
  <c r="E1506" i="3"/>
  <c r="D1506" i="3"/>
  <c r="C1506" i="3"/>
  <c r="B1506" i="3"/>
  <c r="A1506" i="3"/>
  <c r="M1505" i="3"/>
  <c r="L1505" i="3"/>
  <c r="K1505" i="3"/>
  <c r="J1505" i="3"/>
  <c r="I1505" i="3"/>
  <c r="H1505" i="3"/>
  <c r="G1505" i="3"/>
  <c r="F1505" i="3"/>
  <c r="E1505" i="3"/>
  <c r="D1505" i="3"/>
  <c r="C1505" i="3"/>
  <c r="B1505" i="3"/>
  <c r="A1505" i="3"/>
  <c r="M1504" i="3"/>
  <c r="L1504" i="3"/>
  <c r="K1504" i="3"/>
  <c r="J1504" i="3"/>
  <c r="I1504" i="3"/>
  <c r="H1504" i="3"/>
  <c r="G1504" i="3"/>
  <c r="F1504" i="3"/>
  <c r="E1504" i="3"/>
  <c r="D1504" i="3"/>
  <c r="C1504" i="3"/>
  <c r="B1504" i="3"/>
  <c r="A1504" i="3"/>
  <c r="M1503" i="3"/>
  <c r="L1503" i="3"/>
  <c r="K1503" i="3"/>
  <c r="J1503" i="3"/>
  <c r="I1503" i="3"/>
  <c r="H1503" i="3"/>
  <c r="G1503" i="3"/>
  <c r="F1503" i="3"/>
  <c r="E1503" i="3"/>
  <c r="D1503" i="3"/>
  <c r="C1503" i="3"/>
  <c r="B1503" i="3"/>
  <c r="A1503" i="3"/>
  <c r="M1502" i="3"/>
  <c r="L1502" i="3"/>
  <c r="K1502" i="3"/>
  <c r="J1502" i="3"/>
  <c r="I1502" i="3"/>
  <c r="H1502" i="3"/>
  <c r="G1502" i="3"/>
  <c r="F1502" i="3"/>
  <c r="E1502" i="3"/>
  <c r="D1502" i="3"/>
  <c r="C1502" i="3"/>
  <c r="B1502" i="3"/>
  <c r="A1502" i="3"/>
  <c r="M1501" i="3"/>
  <c r="L1501" i="3"/>
  <c r="K1501" i="3"/>
  <c r="J1501" i="3"/>
  <c r="I1501" i="3"/>
  <c r="H1501" i="3"/>
  <c r="G1501" i="3"/>
  <c r="F1501" i="3"/>
  <c r="E1501" i="3"/>
  <c r="D1501" i="3"/>
  <c r="C1501" i="3"/>
  <c r="B1501" i="3"/>
  <c r="A1501" i="3"/>
  <c r="M1500" i="3"/>
  <c r="L1500" i="3"/>
  <c r="K1500" i="3"/>
  <c r="J1500" i="3"/>
  <c r="I1500" i="3"/>
  <c r="H1500" i="3"/>
  <c r="G1500" i="3"/>
  <c r="F1500" i="3"/>
  <c r="E1500" i="3"/>
  <c r="D1500" i="3"/>
  <c r="C1500" i="3"/>
  <c r="B1500" i="3"/>
  <c r="A1500" i="3"/>
  <c r="M1499" i="3"/>
  <c r="L1499" i="3"/>
  <c r="K1499" i="3"/>
  <c r="J1499" i="3"/>
  <c r="I1499" i="3"/>
  <c r="H1499" i="3"/>
  <c r="G1499" i="3"/>
  <c r="F1499" i="3"/>
  <c r="E1499" i="3"/>
  <c r="D1499" i="3"/>
  <c r="C1499" i="3"/>
  <c r="B1499" i="3"/>
  <c r="A1499" i="3"/>
  <c r="M1498" i="3"/>
  <c r="L1498" i="3"/>
  <c r="K1498" i="3"/>
  <c r="J1498" i="3"/>
  <c r="I1498" i="3"/>
  <c r="H1498" i="3"/>
  <c r="G1498" i="3"/>
  <c r="F1498" i="3"/>
  <c r="E1498" i="3"/>
  <c r="D1498" i="3"/>
  <c r="C1498" i="3"/>
  <c r="B1498" i="3"/>
  <c r="A1498" i="3"/>
  <c r="M1497" i="3"/>
  <c r="L1497" i="3"/>
  <c r="K1497" i="3"/>
  <c r="J1497" i="3"/>
  <c r="I1497" i="3"/>
  <c r="H1497" i="3"/>
  <c r="G1497" i="3"/>
  <c r="F1497" i="3"/>
  <c r="E1497" i="3"/>
  <c r="D1497" i="3"/>
  <c r="C1497" i="3"/>
  <c r="B1497" i="3"/>
  <c r="A1497" i="3"/>
  <c r="M1496" i="3"/>
  <c r="L1496" i="3"/>
  <c r="K1496" i="3"/>
  <c r="J1496" i="3"/>
  <c r="I1496" i="3"/>
  <c r="H1496" i="3"/>
  <c r="G1496" i="3"/>
  <c r="F1496" i="3"/>
  <c r="E1496" i="3"/>
  <c r="D1496" i="3"/>
  <c r="C1496" i="3"/>
  <c r="B1496" i="3"/>
  <c r="A1496" i="3"/>
  <c r="M1495" i="3"/>
  <c r="L1495" i="3"/>
  <c r="K1495" i="3"/>
  <c r="J1495" i="3"/>
  <c r="I1495" i="3"/>
  <c r="H1495" i="3"/>
  <c r="G1495" i="3"/>
  <c r="F1495" i="3"/>
  <c r="E1495" i="3"/>
  <c r="D1495" i="3"/>
  <c r="C1495" i="3"/>
  <c r="B1495" i="3"/>
  <c r="A1495" i="3"/>
  <c r="M1494" i="3"/>
  <c r="L1494" i="3"/>
  <c r="K1494" i="3"/>
  <c r="J1494" i="3"/>
  <c r="I1494" i="3"/>
  <c r="H1494" i="3"/>
  <c r="G1494" i="3"/>
  <c r="F1494" i="3"/>
  <c r="E1494" i="3"/>
  <c r="D1494" i="3"/>
  <c r="C1494" i="3"/>
  <c r="B1494" i="3"/>
  <c r="A1494" i="3"/>
  <c r="M1493" i="3"/>
  <c r="L1493" i="3"/>
  <c r="K1493" i="3"/>
  <c r="J1493" i="3"/>
  <c r="I1493" i="3"/>
  <c r="H1493" i="3"/>
  <c r="G1493" i="3"/>
  <c r="F1493" i="3"/>
  <c r="E1493" i="3"/>
  <c r="D1493" i="3"/>
  <c r="C1493" i="3"/>
  <c r="B1493" i="3"/>
  <c r="A1493" i="3"/>
  <c r="M1492" i="3"/>
  <c r="L1492" i="3"/>
  <c r="K1492" i="3"/>
  <c r="J1492" i="3"/>
  <c r="I1492" i="3"/>
  <c r="H1492" i="3"/>
  <c r="G1492" i="3"/>
  <c r="F1492" i="3"/>
  <c r="E1492" i="3"/>
  <c r="D1492" i="3"/>
  <c r="C1492" i="3"/>
  <c r="B1492" i="3"/>
  <c r="A1492" i="3"/>
  <c r="M1491" i="3"/>
  <c r="L1491" i="3"/>
  <c r="K1491" i="3"/>
  <c r="J1491" i="3"/>
  <c r="I1491" i="3"/>
  <c r="H1491" i="3"/>
  <c r="G1491" i="3"/>
  <c r="F1491" i="3"/>
  <c r="E1491" i="3"/>
  <c r="D1491" i="3"/>
  <c r="C1491" i="3"/>
  <c r="B1491" i="3"/>
  <c r="A1491" i="3"/>
  <c r="M1490" i="3"/>
  <c r="L1490" i="3"/>
  <c r="K1490" i="3"/>
  <c r="J1490" i="3"/>
  <c r="I1490" i="3"/>
  <c r="H1490" i="3"/>
  <c r="G1490" i="3"/>
  <c r="F1490" i="3"/>
  <c r="E1490" i="3"/>
  <c r="D1490" i="3"/>
  <c r="C1490" i="3"/>
  <c r="B1490" i="3"/>
  <c r="A1490" i="3"/>
  <c r="M1489" i="3"/>
  <c r="L1489" i="3"/>
  <c r="K1489" i="3"/>
  <c r="J1489" i="3"/>
  <c r="I1489" i="3"/>
  <c r="H1489" i="3"/>
  <c r="G1489" i="3"/>
  <c r="F1489" i="3"/>
  <c r="E1489" i="3"/>
  <c r="D1489" i="3"/>
  <c r="C1489" i="3"/>
  <c r="B1489" i="3"/>
  <c r="A1489" i="3"/>
  <c r="M1488" i="3"/>
  <c r="L1488" i="3"/>
  <c r="K1488" i="3"/>
  <c r="J1488" i="3"/>
  <c r="I1488" i="3"/>
  <c r="H1488" i="3"/>
  <c r="G1488" i="3"/>
  <c r="F1488" i="3"/>
  <c r="E1488" i="3"/>
  <c r="D1488" i="3"/>
  <c r="C1488" i="3"/>
  <c r="B1488" i="3"/>
  <c r="A1488" i="3"/>
  <c r="M1487" i="3"/>
  <c r="L1487" i="3"/>
  <c r="K1487" i="3"/>
  <c r="J1487" i="3"/>
  <c r="I1487" i="3"/>
  <c r="H1487" i="3"/>
  <c r="G1487" i="3"/>
  <c r="F1487" i="3"/>
  <c r="E1487" i="3"/>
  <c r="D1487" i="3"/>
  <c r="C1487" i="3"/>
  <c r="B1487" i="3"/>
  <c r="A1487" i="3"/>
  <c r="M1486" i="3"/>
  <c r="L1486" i="3"/>
  <c r="K1486" i="3"/>
  <c r="J1486" i="3"/>
  <c r="I1486" i="3"/>
  <c r="H1486" i="3"/>
  <c r="G1486" i="3"/>
  <c r="F1486" i="3"/>
  <c r="E1486" i="3"/>
  <c r="D1486" i="3"/>
  <c r="C1486" i="3"/>
  <c r="B1486" i="3"/>
  <c r="A1486" i="3"/>
  <c r="M1485" i="3"/>
  <c r="L1485" i="3"/>
  <c r="K1485" i="3"/>
  <c r="J1485" i="3"/>
  <c r="I1485" i="3"/>
  <c r="H1485" i="3"/>
  <c r="G1485" i="3"/>
  <c r="F1485" i="3"/>
  <c r="E1485" i="3"/>
  <c r="D1485" i="3"/>
  <c r="C1485" i="3"/>
  <c r="B1485" i="3"/>
  <c r="A1485" i="3"/>
  <c r="M1484" i="3"/>
  <c r="L1484" i="3"/>
  <c r="K1484" i="3"/>
  <c r="J1484" i="3"/>
  <c r="I1484" i="3"/>
  <c r="H1484" i="3"/>
  <c r="G1484" i="3"/>
  <c r="E1484" i="3"/>
  <c r="D1484" i="3"/>
  <c r="C1484" i="3"/>
  <c r="B1484" i="3"/>
  <c r="A1484" i="3"/>
  <c r="M1483" i="3"/>
  <c r="L1483" i="3"/>
  <c r="K1483" i="3"/>
  <c r="J1483" i="3"/>
  <c r="I1483" i="3"/>
  <c r="H1483" i="3"/>
  <c r="G1483" i="3"/>
  <c r="F1483" i="3"/>
  <c r="E1483" i="3"/>
  <c r="D1483" i="3"/>
  <c r="C1483" i="3"/>
  <c r="B1483" i="3"/>
  <c r="A1483" i="3"/>
  <c r="M1482" i="3"/>
  <c r="L1482" i="3"/>
  <c r="K1482" i="3"/>
  <c r="J1482" i="3"/>
  <c r="I1482" i="3"/>
  <c r="H1482" i="3"/>
  <c r="G1482" i="3"/>
  <c r="F1482" i="3"/>
  <c r="E1482" i="3"/>
  <c r="D1482" i="3"/>
  <c r="C1482" i="3"/>
  <c r="B1482" i="3"/>
  <c r="A1482" i="3"/>
  <c r="M1481" i="3"/>
  <c r="L1481" i="3"/>
  <c r="K1481" i="3"/>
  <c r="J1481" i="3"/>
  <c r="I1481" i="3"/>
  <c r="H1481" i="3"/>
  <c r="G1481" i="3"/>
  <c r="F1481" i="3"/>
  <c r="E1481" i="3"/>
  <c r="D1481" i="3"/>
  <c r="C1481" i="3"/>
  <c r="B1481" i="3"/>
  <c r="A1481" i="3"/>
  <c r="M1480" i="3"/>
  <c r="L1480" i="3"/>
  <c r="K1480" i="3"/>
  <c r="J1480" i="3"/>
  <c r="I1480" i="3"/>
  <c r="H1480" i="3"/>
  <c r="G1480" i="3"/>
  <c r="F1480" i="3"/>
  <c r="E1480" i="3"/>
  <c r="D1480" i="3"/>
  <c r="C1480" i="3"/>
  <c r="B1480" i="3"/>
  <c r="A1480" i="3"/>
  <c r="M1479" i="3"/>
  <c r="L1479" i="3"/>
  <c r="K1479" i="3"/>
  <c r="J1479" i="3"/>
  <c r="I1479" i="3"/>
  <c r="H1479" i="3"/>
  <c r="G1479" i="3"/>
  <c r="F1479" i="3"/>
  <c r="E1479" i="3"/>
  <c r="D1479" i="3"/>
  <c r="C1479" i="3"/>
  <c r="B1479" i="3"/>
  <c r="A1479" i="3"/>
  <c r="M1478" i="3"/>
  <c r="L1478" i="3"/>
  <c r="K1478" i="3"/>
  <c r="J1478" i="3"/>
  <c r="I1478" i="3"/>
  <c r="H1478" i="3"/>
  <c r="G1478" i="3"/>
  <c r="E1478" i="3"/>
  <c r="D1478" i="3"/>
  <c r="C1478" i="3"/>
  <c r="B1478" i="3"/>
  <c r="A1478" i="3"/>
  <c r="M1477" i="3"/>
  <c r="L1477" i="3"/>
  <c r="K1477" i="3"/>
  <c r="J1477" i="3"/>
  <c r="I1477" i="3"/>
  <c r="H1477" i="3"/>
  <c r="G1477" i="3"/>
  <c r="F1477" i="3"/>
  <c r="E1477" i="3"/>
  <c r="D1477" i="3"/>
  <c r="C1477" i="3"/>
  <c r="B1477" i="3"/>
  <c r="A1477" i="3"/>
  <c r="M1476" i="3"/>
  <c r="L1476" i="3"/>
  <c r="K1476" i="3"/>
  <c r="J1476" i="3"/>
  <c r="I1476" i="3"/>
  <c r="H1476" i="3"/>
  <c r="G1476" i="3"/>
  <c r="F1476" i="3"/>
  <c r="E1476" i="3"/>
  <c r="D1476" i="3"/>
  <c r="C1476" i="3"/>
  <c r="B1476" i="3"/>
  <c r="A1476" i="3"/>
  <c r="M1475" i="3"/>
  <c r="L1475" i="3"/>
  <c r="K1475" i="3"/>
  <c r="J1475" i="3"/>
  <c r="I1475" i="3"/>
  <c r="H1475" i="3"/>
  <c r="G1475" i="3"/>
  <c r="F1475" i="3"/>
  <c r="E1475" i="3"/>
  <c r="D1475" i="3"/>
  <c r="C1475" i="3"/>
  <c r="B1475" i="3"/>
  <c r="A1475" i="3"/>
  <c r="M1474" i="3"/>
  <c r="L1474" i="3"/>
  <c r="K1474" i="3"/>
  <c r="J1474" i="3"/>
  <c r="I1474" i="3"/>
  <c r="H1474" i="3"/>
  <c r="G1474" i="3"/>
  <c r="F1474" i="3"/>
  <c r="E1474" i="3"/>
  <c r="D1474" i="3"/>
  <c r="C1474" i="3"/>
  <c r="B1474" i="3"/>
  <c r="A1474" i="3"/>
  <c r="M1473" i="3"/>
  <c r="L1473" i="3"/>
  <c r="K1473" i="3"/>
  <c r="J1473" i="3"/>
  <c r="I1473" i="3"/>
  <c r="H1473" i="3"/>
  <c r="G1473" i="3"/>
  <c r="F1473" i="3"/>
  <c r="E1473" i="3"/>
  <c r="D1473" i="3"/>
  <c r="C1473" i="3"/>
  <c r="B1473" i="3"/>
  <c r="A1473" i="3"/>
  <c r="M1472" i="3"/>
  <c r="L1472" i="3"/>
  <c r="K1472" i="3"/>
  <c r="J1472" i="3"/>
  <c r="I1472" i="3"/>
  <c r="H1472" i="3"/>
  <c r="G1472" i="3"/>
  <c r="F1472" i="3"/>
  <c r="E1472" i="3"/>
  <c r="D1472" i="3"/>
  <c r="C1472" i="3"/>
  <c r="B1472" i="3"/>
  <c r="A1472" i="3"/>
  <c r="M1471" i="3"/>
  <c r="L1471" i="3"/>
  <c r="K1471" i="3"/>
  <c r="J1471" i="3"/>
  <c r="I1471" i="3"/>
  <c r="H1471" i="3"/>
  <c r="G1471" i="3"/>
  <c r="F1471" i="3"/>
  <c r="E1471" i="3"/>
  <c r="D1471" i="3"/>
  <c r="C1471" i="3"/>
  <c r="B1471" i="3"/>
  <c r="A1471" i="3"/>
  <c r="M1470" i="3"/>
  <c r="L1470" i="3"/>
  <c r="K1470" i="3"/>
  <c r="J1470" i="3"/>
  <c r="I1470" i="3"/>
  <c r="H1470" i="3"/>
  <c r="G1470" i="3"/>
  <c r="F1470" i="3"/>
  <c r="E1470" i="3"/>
  <c r="D1470" i="3"/>
  <c r="C1470" i="3"/>
  <c r="B1470" i="3"/>
  <c r="A1470" i="3"/>
  <c r="M1469" i="3"/>
  <c r="L1469" i="3"/>
  <c r="K1469" i="3"/>
  <c r="J1469" i="3"/>
  <c r="I1469" i="3"/>
  <c r="H1469" i="3"/>
  <c r="G1469" i="3"/>
  <c r="F1469" i="3"/>
  <c r="E1469" i="3"/>
  <c r="D1469" i="3"/>
  <c r="C1469" i="3"/>
  <c r="B1469" i="3"/>
  <c r="A1469" i="3"/>
  <c r="M1468" i="3"/>
  <c r="L1468" i="3"/>
  <c r="K1468" i="3"/>
  <c r="J1468" i="3"/>
  <c r="I1468" i="3"/>
  <c r="H1468" i="3"/>
  <c r="G1468" i="3"/>
  <c r="F1468" i="3"/>
  <c r="E1468" i="3"/>
  <c r="D1468" i="3"/>
  <c r="C1468" i="3"/>
  <c r="B1468" i="3"/>
  <c r="A1468" i="3"/>
  <c r="M1467" i="3"/>
  <c r="L1467" i="3"/>
  <c r="K1467" i="3"/>
  <c r="J1467" i="3"/>
  <c r="I1467" i="3"/>
  <c r="H1467" i="3"/>
  <c r="G1467" i="3"/>
  <c r="F1467" i="3"/>
  <c r="E1467" i="3"/>
  <c r="D1467" i="3"/>
  <c r="C1467" i="3"/>
  <c r="B1467" i="3"/>
  <c r="A1467" i="3"/>
  <c r="M1466" i="3"/>
  <c r="L1466" i="3"/>
  <c r="K1466" i="3"/>
  <c r="J1466" i="3"/>
  <c r="I1466" i="3"/>
  <c r="H1466" i="3"/>
  <c r="G1466" i="3"/>
  <c r="F1466" i="3"/>
  <c r="E1466" i="3"/>
  <c r="D1466" i="3"/>
  <c r="C1466" i="3"/>
  <c r="B1466" i="3"/>
  <c r="A1466" i="3"/>
  <c r="M1465" i="3"/>
  <c r="L1465" i="3"/>
  <c r="K1465" i="3"/>
  <c r="J1465" i="3"/>
  <c r="I1465" i="3"/>
  <c r="H1465" i="3"/>
  <c r="G1465" i="3"/>
  <c r="F1465" i="3"/>
  <c r="E1465" i="3"/>
  <c r="D1465" i="3"/>
  <c r="C1465" i="3"/>
  <c r="B1465" i="3"/>
  <c r="A1465" i="3"/>
  <c r="M1464" i="3"/>
  <c r="L1464" i="3"/>
  <c r="K1464" i="3"/>
  <c r="J1464" i="3"/>
  <c r="I1464" i="3"/>
  <c r="H1464" i="3"/>
  <c r="G1464" i="3"/>
  <c r="F1464" i="3"/>
  <c r="E1464" i="3"/>
  <c r="D1464" i="3"/>
  <c r="C1464" i="3"/>
  <c r="B1464" i="3"/>
  <c r="A1464" i="3"/>
  <c r="M1463" i="3"/>
  <c r="L1463" i="3"/>
  <c r="K1463" i="3"/>
  <c r="J1463" i="3"/>
  <c r="I1463" i="3"/>
  <c r="H1463" i="3"/>
  <c r="G1463" i="3"/>
  <c r="F1463" i="3"/>
  <c r="E1463" i="3"/>
  <c r="D1463" i="3"/>
  <c r="C1463" i="3"/>
  <c r="B1463" i="3"/>
  <c r="A1463" i="3"/>
  <c r="M1462" i="3"/>
  <c r="L1462" i="3"/>
  <c r="K1462" i="3"/>
  <c r="J1462" i="3"/>
  <c r="I1462" i="3"/>
  <c r="H1462" i="3"/>
  <c r="G1462" i="3"/>
  <c r="F1462" i="3"/>
  <c r="E1462" i="3"/>
  <c r="D1462" i="3"/>
  <c r="C1462" i="3"/>
  <c r="B1462" i="3"/>
  <c r="A1462" i="3"/>
  <c r="M1461" i="3"/>
  <c r="L1461" i="3"/>
  <c r="K1461" i="3"/>
  <c r="J1461" i="3"/>
  <c r="I1461" i="3"/>
  <c r="H1461" i="3"/>
  <c r="G1461" i="3"/>
  <c r="F1461" i="3"/>
  <c r="E1461" i="3"/>
  <c r="D1461" i="3"/>
  <c r="C1461" i="3"/>
  <c r="B1461" i="3"/>
  <c r="A1461" i="3"/>
  <c r="M1460" i="3"/>
  <c r="L1460" i="3"/>
  <c r="K1460" i="3"/>
  <c r="J1460" i="3"/>
  <c r="I1460" i="3"/>
  <c r="H1460" i="3"/>
  <c r="G1460" i="3"/>
  <c r="F1460" i="3"/>
  <c r="E1460" i="3"/>
  <c r="D1460" i="3"/>
  <c r="C1460" i="3"/>
  <c r="B1460" i="3"/>
  <c r="A1460" i="3"/>
  <c r="M1459" i="3"/>
  <c r="L1459" i="3"/>
  <c r="K1459" i="3"/>
  <c r="J1459" i="3"/>
  <c r="I1459" i="3"/>
  <c r="H1459" i="3"/>
  <c r="G1459" i="3"/>
  <c r="F1459" i="3"/>
  <c r="E1459" i="3"/>
  <c r="D1459" i="3"/>
  <c r="C1459" i="3"/>
  <c r="B1459" i="3"/>
  <c r="A1459" i="3"/>
  <c r="M1458" i="3"/>
  <c r="L1458" i="3"/>
  <c r="K1458" i="3"/>
  <c r="J1458" i="3"/>
  <c r="I1458" i="3"/>
  <c r="H1458" i="3"/>
  <c r="G1458" i="3"/>
  <c r="F1458" i="3"/>
  <c r="E1458" i="3"/>
  <c r="D1458" i="3"/>
  <c r="C1458" i="3"/>
  <c r="B1458" i="3"/>
  <c r="A1458" i="3"/>
  <c r="M1457" i="3"/>
  <c r="L1457" i="3"/>
  <c r="K1457" i="3"/>
  <c r="J1457" i="3"/>
  <c r="I1457" i="3"/>
  <c r="H1457" i="3"/>
  <c r="G1457" i="3"/>
  <c r="F1457" i="3"/>
  <c r="E1457" i="3"/>
  <c r="D1457" i="3"/>
  <c r="C1457" i="3"/>
  <c r="B1457" i="3"/>
  <c r="A1457" i="3"/>
  <c r="M1456" i="3"/>
  <c r="L1456" i="3"/>
  <c r="K1456" i="3"/>
  <c r="J1456" i="3"/>
  <c r="I1456" i="3"/>
  <c r="H1456" i="3"/>
  <c r="G1456" i="3"/>
  <c r="F1456" i="3"/>
  <c r="E1456" i="3"/>
  <c r="D1456" i="3"/>
  <c r="C1456" i="3"/>
  <c r="B1456" i="3"/>
  <c r="A1456" i="3"/>
  <c r="M1455" i="3"/>
  <c r="L1455" i="3"/>
  <c r="K1455" i="3"/>
  <c r="J1455" i="3"/>
  <c r="I1455" i="3"/>
  <c r="H1455" i="3"/>
  <c r="G1455" i="3"/>
  <c r="F1455" i="3"/>
  <c r="E1455" i="3"/>
  <c r="D1455" i="3"/>
  <c r="C1455" i="3"/>
  <c r="B1455" i="3"/>
  <c r="A1455" i="3"/>
  <c r="M1454" i="3"/>
  <c r="L1454" i="3"/>
  <c r="K1454" i="3"/>
  <c r="J1454" i="3"/>
  <c r="I1454" i="3"/>
  <c r="H1454" i="3"/>
  <c r="G1454" i="3"/>
  <c r="F1454" i="3"/>
  <c r="E1454" i="3"/>
  <c r="D1454" i="3"/>
  <c r="C1454" i="3"/>
  <c r="B1454" i="3"/>
  <c r="A1454" i="3"/>
  <c r="M1453" i="3"/>
  <c r="L1453" i="3"/>
  <c r="K1453" i="3"/>
  <c r="J1453" i="3"/>
  <c r="I1453" i="3"/>
  <c r="H1453" i="3"/>
  <c r="G1453" i="3"/>
  <c r="F1453" i="3"/>
  <c r="E1453" i="3"/>
  <c r="D1453" i="3"/>
  <c r="C1453" i="3"/>
  <c r="B1453" i="3"/>
  <c r="A1453" i="3"/>
  <c r="M1452" i="3"/>
  <c r="L1452" i="3"/>
  <c r="K1452" i="3"/>
  <c r="J1452" i="3"/>
  <c r="I1452" i="3"/>
  <c r="H1452" i="3"/>
  <c r="G1452" i="3"/>
  <c r="F1452" i="3"/>
  <c r="E1452" i="3"/>
  <c r="D1452" i="3"/>
  <c r="C1452" i="3"/>
  <c r="B1452" i="3"/>
  <c r="A1452" i="3"/>
  <c r="M1451" i="3"/>
  <c r="L1451" i="3"/>
  <c r="K1451" i="3"/>
  <c r="J1451" i="3"/>
  <c r="I1451" i="3"/>
  <c r="H1451" i="3"/>
  <c r="G1451" i="3"/>
  <c r="F1451" i="3"/>
  <c r="E1451" i="3"/>
  <c r="D1451" i="3"/>
  <c r="C1451" i="3"/>
  <c r="B1451" i="3"/>
  <c r="A1451" i="3"/>
  <c r="M1450" i="3"/>
  <c r="L1450" i="3"/>
  <c r="K1450" i="3"/>
  <c r="J1450" i="3"/>
  <c r="I1450" i="3"/>
  <c r="H1450" i="3"/>
  <c r="G1450" i="3"/>
  <c r="F1450" i="3"/>
  <c r="E1450" i="3"/>
  <c r="D1450" i="3"/>
  <c r="C1450" i="3"/>
  <c r="B1450" i="3"/>
  <c r="A1450" i="3"/>
  <c r="M1449" i="3"/>
  <c r="L1449" i="3"/>
  <c r="K1449" i="3"/>
  <c r="J1449" i="3"/>
  <c r="I1449" i="3"/>
  <c r="H1449" i="3"/>
  <c r="G1449" i="3"/>
  <c r="F1449" i="3"/>
  <c r="E1449" i="3"/>
  <c r="D1449" i="3"/>
  <c r="C1449" i="3"/>
  <c r="B1449" i="3"/>
  <c r="A1449" i="3"/>
  <c r="M1448" i="3"/>
  <c r="L1448" i="3"/>
  <c r="K1448" i="3"/>
  <c r="J1448" i="3"/>
  <c r="I1448" i="3"/>
  <c r="H1448" i="3"/>
  <c r="G1448" i="3"/>
  <c r="F1448" i="3"/>
  <c r="E1448" i="3"/>
  <c r="D1448" i="3"/>
  <c r="C1448" i="3"/>
  <c r="B1448" i="3"/>
  <c r="A1448" i="3"/>
  <c r="M1447" i="3"/>
  <c r="L1447" i="3"/>
  <c r="K1447" i="3"/>
  <c r="J1447" i="3"/>
  <c r="I1447" i="3"/>
  <c r="H1447" i="3"/>
  <c r="G1447" i="3"/>
  <c r="F1447" i="3"/>
  <c r="E1447" i="3"/>
  <c r="D1447" i="3"/>
  <c r="C1447" i="3"/>
  <c r="B1447" i="3"/>
  <c r="A1447" i="3"/>
  <c r="M1446" i="3"/>
  <c r="L1446" i="3"/>
  <c r="K1446" i="3"/>
  <c r="J1446" i="3"/>
  <c r="I1446" i="3"/>
  <c r="H1446" i="3"/>
  <c r="G1446" i="3"/>
  <c r="F1446" i="3"/>
  <c r="E1446" i="3"/>
  <c r="D1446" i="3"/>
  <c r="C1446" i="3"/>
  <c r="B1446" i="3"/>
  <c r="A1446" i="3"/>
  <c r="M1445" i="3"/>
  <c r="L1445" i="3"/>
  <c r="K1445" i="3"/>
  <c r="J1445" i="3"/>
  <c r="I1445" i="3"/>
  <c r="H1445" i="3"/>
  <c r="G1445" i="3"/>
  <c r="F1445" i="3"/>
  <c r="E1445" i="3"/>
  <c r="D1445" i="3"/>
  <c r="C1445" i="3"/>
  <c r="B1445" i="3"/>
  <c r="A1445" i="3"/>
  <c r="M1444" i="3"/>
  <c r="L1444" i="3"/>
  <c r="K1444" i="3"/>
  <c r="J1444" i="3"/>
  <c r="I1444" i="3"/>
  <c r="H1444" i="3"/>
  <c r="G1444" i="3"/>
  <c r="F1444" i="3"/>
  <c r="E1444" i="3"/>
  <c r="D1444" i="3"/>
  <c r="C1444" i="3"/>
  <c r="B1444" i="3"/>
  <c r="A1444" i="3"/>
  <c r="M1443" i="3"/>
  <c r="L1443" i="3"/>
  <c r="K1443" i="3"/>
  <c r="J1443" i="3"/>
  <c r="I1443" i="3"/>
  <c r="H1443" i="3"/>
  <c r="G1443" i="3"/>
  <c r="F1443" i="3"/>
  <c r="E1443" i="3"/>
  <c r="D1443" i="3"/>
  <c r="C1443" i="3"/>
  <c r="B1443" i="3"/>
  <c r="A1443" i="3"/>
  <c r="M1442" i="3"/>
  <c r="L1442" i="3"/>
  <c r="K1442" i="3"/>
  <c r="J1442" i="3"/>
  <c r="I1442" i="3"/>
  <c r="H1442" i="3"/>
  <c r="G1442" i="3"/>
  <c r="F1442" i="3"/>
  <c r="E1442" i="3"/>
  <c r="D1442" i="3"/>
  <c r="C1442" i="3"/>
  <c r="B1442" i="3"/>
  <c r="A1442" i="3"/>
  <c r="M1441" i="3"/>
  <c r="L1441" i="3"/>
  <c r="K1441" i="3"/>
  <c r="J1441" i="3"/>
  <c r="I1441" i="3"/>
  <c r="H1441" i="3"/>
  <c r="G1441" i="3"/>
  <c r="F1441" i="3"/>
  <c r="E1441" i="3"/>
  <c r="D1441" i="3"/>
  <c r="C1441" i="3"/>
  <c r="B1441" i="3"/>
  <c r="A1441" i="3"/>
  <c r="M1440" i="3"/>
  <c r="L1440" i="3"/>
  <c r="K1440" i="3"/>
  <c r="J1440" i="3"/>
  <c r="I1440" i="3"/>
  <c r="H1440" i="3"/>
  <c r="G1440" i="3"/>
  <c r="F1440" i="3"/>
  <c r="E1440" i="3"/>
  <c r="D1440" i="3"/>
  <c r="C1440" i="3"/>
  <c r="B1440" i="3"/>
  <c r="A1440" i="3"/>
  <c r="M1439" i="3"/>
  <c r="L1439" i="3"/>
  <c r="K1439" i="3"/>
  <c r="J1439" i="3"/>
  <c r="I1439" i="3"/>
  <c r="H1439" i="3"/>
  <c r="G1439" i="3"/>
  <c r="F1439" i="3"/>
  <c r="E1439" i="3"/>
  <c r="D1439" i="3"/>
  <c r="C1439" i="3"/>
  <c r="B1439" i="3"/>
  <c r="A1439" i="3"/>
  <c r="M1438" i="3"/>
  <c r="L1438" i="3"/>
  <c r="K1438" i="3"/>
  <c r="J1438" i="3"/>
  <c r="I1438" i="3"/>
  <c r="H1438" i="3"/>
  <c r="G1438" i="3"/>
  <c r="F1438" i="3"/>
  <c r="E1438" i="3"/>
  <c r="D1438" i="3"/>
  <c r="C1438" i="3"/>
  <c r="B1438" i="3"/>
  <c r="A1438" i="3"/>
  <c r="M1437" i="3"/>
  <c r="L1437" i="3"/>
  <c r="K1437" i="3"/>
  <c r="J1437" i="3"/>
  <c r="I1437" i="3"/>
  <c r="H1437" i="3"/>
  <c r="G1437" i="3"/>
  <c r="F1437" i="3"/>
  <c r="E1437" i="3"/>
  <c r="D1437" i="3"/>
  <c r="C1437" i="3"/>
  <c r="B1437" i="3"/>
  <c r="A1437" i="3"/>
  <c r="M1436" i="3"/>
  <c r="L1436" i="3"/>
  <c r="K1436" i="3"/>
  <c r="J1436" i="3"/>
  <c r="I1436" i="3"/>
  <c r="H1436" i="3"/>
  <c r="G1436" i="3"/>
  <c r="F1436" i="3"/>
  <c r="E1436" i="3"/>
  <c r="D1436" i="3"/>
  <c r="C1436" i="3"/>
  <c r="B1436" i="3"/>
  <c r="A1436" i="3"/>
  <c r="M1435" i="3"/>
  <c r="L1435" i="3"/>
  <c r="K1435" i="3"/>
  <c r="J1435" i="3"/>
  <c r="I1435" i="3"/>
  <c r="H1435" i="3"/>
  <c r="G1435" i="3"/>
  <c r="F1435" i="3"/>
  <c r="E1435" i="3"/>
  <c r="D1435" i="3"/>
  <c r="C1435" i="3"/>
  <c r="B1435" i="3"/>
  <c r="A1435" i="3"/>
  <c r="M1434" i="3"/>
  <c r="L1434" i="3"/>
  <c r="K1434" i="3"/>
  <c r="J1434" i="3"/>
  <c r="I1434" i="3"/>
  <c r="H1434" i="3"/>
  <c r="G1434" i="3"/>
  <c r="F1434" i="3"/>
  <c r="E1434" i="3"/>
  <c r="D1434" i="3"/>
  <c r="C1434" i="3"/>
  <c r="B1434" i="3"/>
  <c r="A1434" i="3"/>
  <c r="M1433" i="3"/>
  <c r="L1433" i="3"/>
  <c r="K1433" i="3"/>
  <c r="J1433" i="3"/>
  <c r="I1433" i="3"/>
  <c r="H1433" i="3"/>
  <c r="G1433" i="3"/>
  <c r="F1433" i="3"/>
  <c r="E1433" i="3"/>
  <c r="D1433" i="3"/>
  <c r="C1433" i="3"/>
  <c r="B1433" i="3"/>
  <c r="A1433" i="3"/>
  <c r="M1432" i="3"/>
  <c r="L1432" i="3"/>
  <c r="K1432" i="3"/>
  <c r="J1432" i="3"/>
  <c r="I1432" i="3"/>
  <c r="H1432" i="3"/>
  <c r="G1432" i="3"/>
  <c r="F1432" i="3"/>
  <c r="E1432" i="3"/>
  <c r="D1432" i="3"/>
  <c r="C1432" i="3"/>
  <c r="B1432" i="3"/>
  <c r="A1432" i="3"/>
  <c r="M1431" i="3"/>
  <c r="L1431" i="3"/>
  <c r="K1431" i="3"/>
  <c r="J1431" i="3"/>
  <c r="I1431" i="3"/>
  <c r="H1431" i="3"/>
  <c r="G1431" i="3"/>
  <c r="F1431" i="3"/>
  <c r="E1431" i="3"/>
  <c r="D1431" i="3"/>
  <c r="C1431" i="3"/>
  <c r="B1431" i="3"/>
  <c r="A1431" i="3"/>
  <c r="M1430" i="3"/>
  <c r="L1430" i="3"/>
  <c r="K1430" i="3"/>
  <c r="J1430" i="3"/>
  <c r="I1430" i="3"/>
  <c r="H1430" i="3"/>
  <c r="G1430" i="3"/>
  <c r="F1430" i="3"/>
  <c r="E1430" i="3"/>
  <c r="D1430" i="3"/>
  <c r="C1430" i="3"/>
  <c r="B1430" i="3"/>
  <c r="A1430" i="3"/>
  <c r="M1429" i="3"/>
  <c r="L1429" i="3"/>
  <c r="K1429" i="3"/>
  <c r="J1429" i="3"/>
  <c r="I1429" i="3"/>
  <c r="H1429" i="3"/>
  <c r="G1429" i="3"/>
  <c r="F1429" i="3"/>
  <c r="E1429" i="3"/>
  <c r="D1429" i="3"/>
  <c r="C1429" i="3"/>
  <c r="B1429" i="3"/>
  <c r="A1429" i="3"/>
  <c r="M1428" i="3"/>
  <c r="L1428" i="3"/>
  <c r="K1428" i="3"/>
  <c r="J1428" i="3"/>
  <c r="I1428" i="3"/>
  <c r="H1428" i="3"/>
  <c r="G1428" i="3"/>
  <c r="F1428" i="3"/>
  <c r="E1428" i="3"/>
  <c r="D1428" i="3"/>
  <c r="C1428" i="3"/>
  <c r="B1428" i="3"/>
  <c r="A1428" i="3"/>
  <c r="M1427" i="3"/>
  <c r="L1427" i="3"/>
  <c r="K1427" i="3"/>
  <c r="J1427" i="3"/>
  <c r="I1427" i="3"/>
  <c r="H1427" i="3"/>
  <c r="G1427" i="3"/>
  <c r="F1427" i="3"/>
  <c r="E1427" i="3"/>
  <c r="D1427" i="3"/>
  <c r="C1427" i="3"/>
  <c r="B1427" i="3"/>
  <c r="A1427" i="3"/>
  <c r="M1426" i="3"/>
  <c r="L1426" i="3"/>
  <c r="K1426" i="3"/>
  <c r="J1426" i="3"/>
  <c r="I1426" i="3"/>
  <c r="H1426" i="3"/>
  <c r="G1426" i="3"/>
  <c r="F1426" i="3"/>
  <c r="E1426" i="3"/>
  <c r="D1426" i="3"/>
  <c r="C1426" i="3"/>
  <c r="B1426" i="3"/>
  <c r="A1426" i="3"/>
  <c r="M1425" i="3"/>
  <c r="L1425" i="3"/>
  <c r="K1425" i="3"/>
  <c r="J1425" i="3"/>
  <c r="I1425" i="3"/>
  <c r="H1425" i="3"/>
  <c r="G1425" i="3"/>
  <c r="F1425" i="3"/>
  <c r="D1425" i="3"/>
  <c r="C1425" i="3"/>
  <c r="B1425" i="3"/>
  <c r="A1425" i="3"/>
  <c r="M1424" i="3"/>
  <c r="L1424" i="3"/>
  <c r="K1424" i="3"/>
  <c r="J1424" i="3"/>
  <c r="I1424" i="3"/>
  <c r="H1424" i="3"/>
  <c r="G1424" i="3"/>
  <c r="F1424" i="3"/>
  <c r="E1424" i="3"/>
  <c r="D1424" i="3"/>
  <c r="C1424" i="3"/>
  <c r="B1424" i="3"/>
  <c r="A1424" i="3"/>
  <c r="M1423" i="3"/>
  <c r="L1423" i="3"/>
  <c r="K1423" i="3"/>
  <c r="J1423" i="3"/>
  <c r="I1423" i="3"/>
  <c r="H1423" i="3"/>
  <c r="G1423" i="3"/>
  <c r="F1423" i="3"/>
  <c r="D1423" i="3"/>
  <c r="C1423" i="3"/>
  <c r="B1423" i="3"/>
  <c r="A1423" i="3"/>
  <c r="M1422" i="3"/>
  <c r="L1422" i="3"/>
  <c r="K1422" i="3"/>
  <c r="J1422" i="3"/>
  <c r="I1422" i="3"/>
  <c r="H1422" i="3"/>
  <c r="G1422" i="3"/>
  <c r="F1422" i="3"/>
  <c r="E1422" i="3"/>
  <c r="D1422" i="3"/>
  <c r="C1422" i="3"/>
  <c r="B1422" i="3"/>
  <c r="A1422" i="3"/>
  <c r="M1421" i="3"/>
  <c r="L1421" i="3"/>
  <c r="K1421" i="3"/>
  <c r="J1421" i="3"/>
  <c r="I1421" i="3"/>
  <c r="H1421" i="3"/>
  <c r="G1421" i="3"/>
  <c r="F1421" i="3"/>
  <c r="E1421" i="3"/>
  <c r="D1421" i="3"/>
  <c r="C1421" i="3"/>
  <c r="B1421" i="3"/>
  <c r="A1421" i="3"/>
  <c r="M1420" i="3"/>
  <c r="L1420" i="3"/>
  <c r="K1420" i="3"/>
  <c r="J1420" i="3"/>
  <c r="I1420" i="3"/>
  <c r="H1420" i="3"/>
  <c r="G1420" i="3"/>
  <c r="F1420" i="3"/>
  <c r="E1420" i="3"/>
  <c r="D1420" i="3"/>
  <c r="C1420" i="3"/>
  <c r="B1420" i="3"/>
  <c r="A1420" i="3"/>
  <c r="M1419" i="3"/>
  <c r="L1419" i="3"/>
  <c r="K1419" i="3"/>
  <c r="J1419" i="3"/>
  <c r="I1419" i="3"/>
  <c r="H1419" i="3"/>
  <c r="G1419" i="3"/>
  <c r="F1419" i="3"/>
  <c r="E1419" i="3"/>
  <c r="D1419" i="3"/>
  <c r="C1419" i="3"/>
  <c r="B1419" i="3"/>
  <c r="A1419" i="3"/>
  <c r="M1418" i="3"/>
  <c r="L1418" i="3"/>
  <c r="K1418" i="3"/>
  <c r="J1418" i="3"/>
  <c r="I1418" i="3"/>
  <c r="H1418" i="3"/>
  <c r="G1418" i="3"/>
  <c r="F1418" i="3"/>
  <c r="E1418" i="3"/>
  <c r="D1418" i="3"/>
  <c r="C1418" i="3"/>
  <c r="B1418" i="3"/>
  <c r="A1418" i="3"/>
  <c r="M1417" i="3"/>
  <c r="L1417" i="3"/>
  <c r="K1417" i="3"/>
  <c r="J1417" i="3"/>
  <c r="I1417" i="3"/>
  <c r="H1417" i="3"/>
  <c r="G1417" i="3"/>
  <c r="F1417" i="3"/>
  <c r="E1417" i="3"/>
  <c r="D1417" i="3"/>
  <c r="C1417" i="3"/>
  <c r="B1417" i="3"/>
  <c r="A1417" i="3"/>
  <c r="M1416" i="3"/>
  <c r="L1416" i="3"/>
  <c r="K1416" i="3"/>
  <c r="J1416" i="3"/>
  <c r="I1416" i="3"/>
  <c r="H1416" i="3"/>
  <c r="G1416" i="3"/>
  <c r="F1416" i="3"/>
  <c r="E1416" i="3"/>
  <c r="D1416" i="3"/>
  <c r="C1416" i="3"/>
  <c r="B1416" i="3"/>
  <c r="A1416" i="3"/>
  <c r="M1415" i="3"/>
  <c r="L1415" i="3"/>
  <c r="K1415" i="3"/>
  <c r="J1415" i="3"/>
  <c r="I1415" i="3"/>
  <c r="H1415" i="3"/>
  <c r="G1415" i="3"/>
  <c r="F1415" i="3"/>
  <c r="E1415" i="3"/>
  <c r="D1415" i="3"/>
  <c r="C1415" i="3"/>
  <c r="B1415" i="3"/>
  <c r="A1415" i="3"/>
  <c r="M1414" i="3"/>
  <c r="L1414" i="3"/>
  <c r="K1414" i="3"/>
  <c r="J1414" i="3"/>
  <c r="I1414" i="3"/>
  <c r="H1414" i="3"/>
  <c r="G1414" i="3"/>
  <c r="F1414" i="3"/>
  <c r="E1414" i="3"/>
  <c r="D1414" i="3"/>
  <c r="C1414" i="3"/>
  <c r="B1414" i="3"/>
  <c r="A1414" i="3"/>
  <c r="M1413" i="3"/>
  <c r="L1413" i="3"/>
  <c r="K1413" i="3"/>
  <c r="J1413" i="3"/>
  <c r="I1413" i="3"/>
  <c r="H1413" i="3"/>
  <c r="G1413" i="3"/>
  <c r="F1413" i="3"/>
  <c r="E1413" i="3"/>
  <c r="D1413" i="3"/>
  <c r="C1413" i="3"/>
  <c r="B1413" i="3"/>
  <c r="A1413" i="3"/>
  <c r="M1412" i="3"/>
  <c r="L1412" i="3"/>
  <c r="K1412" i="3"/>
  <c r="J1412" i="3"/>
  <c r="I1412" i="3"/>
  <c r="H1412" i="3"/>
  <c r="G1412" i="3"/>
  <c r="F1412" i="3"/>
  <c r="E1412" i="3"/>
  <c r="D1412" i="3"/>
  <c r="C1412" i="3"/>
  <c r="B1412" i="3"/>
  <c r="A1412" i="3"/>
  <c r="M1411" i="3"/>
  <c r="L1411" i="3"/>
  <c r="K1411" i="3"/>
  <c r="J1411" i="3"/>
  <c r="I1411" i="3"/>
  <c r="H1411" i="3"/>
  <c r="G1411" i="3"/>
  <c r="F1411" i="3"/>
  <c r="E1411" i="3"/>
  <c r="D1411" i="3"/>
  <c r="C1411" i="3"/>
  <c r="B1411" i="3"/>
  <c r="A1411" i="3"/>
  <c r="M1410" i="3"/>
  <c r="L1410" i="3"/>
  <c r="K1410" i="3"/>
  <c r="J1410" i="3"/>
  <c r="I1410" i="3"/>
  <c r="H1410" i="3"/>
  <c r="G1410" i="3"/>
  <c r="F1410" i="3"/>
  <c r="E1410" i="3"/>
  <c r="D1410" i="3"/>
  <c r="C1410" i="3"/>
  <c r="B1410" i="3"/>
  <c r="A1410" i="3"/>
  <c r="M1409" i="3"/>
  <c r="L1409" i="3"/>
  <c r="K1409" i="3"/>
  <c r="J1409" i="3"/>
  <c r="I1409" i="3"/>
  <c r="H1409" i="3"/>
  <c r="G1409" i="3"/>
  <c r="F1409" i="3"/>
  <c r="E1409" i="3"/>
  <c r="D1409" i="3"/>
  <c r="C1409" i="3"/>
  <c r="B1409" i="3"/>
  <c r="A1409" i="3"/>
  <c r="M1408" i="3"/>
  <c r="L1408" i="3"/>
  <c r="K1408" i="3"/>
  <c r="J1408" i="3"/>
  <c r="I1408" i="3"/>
  <c r="H1408" i="3"/>
  <c r="G1408" i="3"/>
  <c r="F1408" i="3"/>
  <c r="E1408" i="3"/>
  <c r="D1408" i="3"/>
  <c r="C1408" i="3"/>
  <c r="B1408" i="3"/>
  <c r="A1408" i="3"/>
  <c r="M1407" i="3"/>
  <c r="L1407" i="3"/>
  <c r="K1407" i="3"/>
  <c r="J1407" i="3"/>
  <c r="I1407" i="3"/>
  <c r="H1407" i="3"/>
  <c r="G1407" i="3"/>
  <c r="F1407" i="3"/>
  <c r="E1407" i="3"/>
  <c r="D1407" i="3"/>
  <c r="C1407" i="3"/>
  <c r="B1407" i="3"/>
  <c r="A1407" i="3"/>
  <c r="M1406" i="3"/>
  <c r="L1406" i="3"/>
  <c r="K1406" i="3"/>
  <c r="J1406" i="3"/>
  <c r="I1406" i="3"/>
  <c r="H1406" i="3"/>
  <c r="G1406" i="3"/>
  <c r="F1406" i="3"/>
  <c r="E1406" i="3"/>
  <c r="D1406" i="3"/>
  <c r="C1406" i="3"/>
  <c r="B1406" i="3"/>
  <c r="A1406" i="3"/>
  <c r="M1405" i="3"/>
  <c r="L1405" i="3"/>
  <c r="K1405" i="3"/>
  <c r="J1405" i="3"/>
  <c r="I1405" i="3"/>
  <c r="H1405" i="3"/>
  <c r="G1405" i="3"/>
  <c r="F1405" i="3"/>
  <c r="E1405" i="3"/>
  <c r="D1405" i="3"/>
  <c r="C1405" i="3"/>
  <c r="B1405" i="3"/>
  <c r="A1405" i="3"/>
  <c r="M1404" i="3"/>
  <c r="L1404" i="3"/>
  <c r="K1404" i="3"/>
  <c r="J1404" i="3"/>
  <c r="I1404" i="3"/>
  <c r="H1404" i="3"/>
  <c r="G1404" i="3"/>
  <c r="F1404" i="3"/>
  <c r="E1404" i="3"/>
  <c r="D1404" i="3"/>
  <c r="C1404" i="3"/>
  <c r="B1404" i="3"/>
  <c r="A1404" i="3"/>
  <c r="M1403" i="3"/>
  <c r="L1403" i="3"/>
  <c r="K1403" i="3"/>
  <c r="J1403" i="3"/>
  <c r="I1403" i="3"/>
  <c r="H1403" i="3"/>
  <c r="G1403" i="3"/>
  <c r="F1403" i="3"/>
  <c r="D1403" i="3"/>
  <c r="C1403" i="3"/>
  <c r="B1403" i="3"/>
  <c r="A1403" i="3"/>
  <c r="M1402" i="3"/>
  <c r="L1402" i="3"/>
  <c r="K1402" i="3"/>
  <c r="J1402" i="3"/>
  <c r="I1402" i="3"/>
  <c r="H1402" i="3"/>
  <c r="G1402" i="3"/>
  <c r="F1402" i="3"/>
  <c r="E1402" i="3"/>
  <c r="D1402" i="3"/>
  <c r="C1402" i="3"/>
  <c r="B1402" i="3"/>
  <c r="A1402" i="3"/>
  <c r="M1401" i="3"/>
  <c r="L1401" i="3"/>
  <c r="K1401" i="3"/>
  <c r="J1401" i="3"/>
  <c r="I1401" i="3"/>
  <c r="H1401" i="3"/>
  <c r="G1401" i="3"/>
  <c r="F1401" i="3"/>
  <c r="E1401" i="3"/>
  <c r="D1401" i="3"/>
  <c r="C1401" i="3"/>
  <c r="B1401" i="3"/>
  <c r="A1401" i="3"/>
  <c r="M1400" i="3"/>
  <c r="L1400" i="3"/>
  <c r="K1400" i="3"/>
  <c r="J1400" i="3"/>
  <c r="I1400" i="3"/>
  <c r="H1400" i="3"/>
  <c r="G1400" i="3"/>
  <c r="F1400" i="3"/>
  <c r="E1400" i="3"/>
  <c r="D1400" i="3"/>
  <c r="C1400" i="3"/>
  <c r="B1400" i="3"/>
  <c r="A1400" i="3"/>
  <c r="M1399" i="3"/>
  <c r="L1399" i="3"/>
  <c r="K1399" i="3"/>
  <c r="J1399" i="3"/>
  <c r="I1399" i="3"/>
  <c r="H1399" i="3"/>
  <c r="G1399" i="3"/>
  <c r="F1399" i="3"/>
  <c r="E1399" i="3"/>
  <c r="D1399" i="3"/>
  <c r="C1399" i="3"/>
  <c r="B1399" i="3"/>
  <c r="A1399" i="3"/>
  <c r="M1398" i="3"/>
  <c r="L1398" i="3"/>
  <c r="K1398" i="3"/>
  <c r="J1398" i="3"/>
  <c r="I1398" i="3"/>
  <c r="H1398" i="3"/>
  <c r="G1398" i="3"/>
  <c r="F1398" i="3"/>
  <c r="E1398" i="3"/>
  <c r="D1398" i="3"/>
  <c r="C1398" i="3"/>
  <c r="B1398" i="3"/>
  <c r="A1398" i="3"/>
  <c r="M1397" i="3"/>
  <c r="L1397" i="3"/>
  <c r="K1397" i="3"/>
  <c r="J1397" i="3"/>
  <c r="I1397" i="3"/>
  <c r="H1397" i="3"/>
  <c r="G1397" i="3"/>
  <c r="F1397" i="3"/>
  <c r="E1397" i="3"/>
  <c r="D1397" i="3"/>
  <c r="C1397" i="3"/>
  <c r="B1397" i="3"/>
  <c r="A1397" i="3"/>
  <c r="M1396" i="3"/>
  <c r="L1396" i="3"/>
  <c r="K1396" i="3"/>
  <c r="J1396" i="3"/>
  <c r="I1396" i="3"/>
  <c r="H1396" i="3"/>
  <c r="G1396" i="3"/>
  <c r="F1396" i="3"/>
  <c r="E1396" i="3"/>
  <c r="D1396" i="3"/>
  <c r="C1396" i="3"/>
  <c r="B1396" i="3"/>
  <c r="A1396" i="3"/>
  <c r="M1395" i="3"/>
  <c r="L1395" i="3"/>
  <c r="K1395" i="3"/>
  <c r="J1395" i="3"/>
  <c r="I1395" i="3"/>
  <c r="H1395" i="3"/>
  <c r="G1395" i="3"/>
  <c r="F1395" i="3"/>
  <c r="E1395" i="3"/>
  <c r="D1395" i="3"/>
  <c r="C1395" i="3"/>
  <c r="B1395" i="3"/>
  <c r="A1395" i="3"/>
  <c r="M1394" i="3"/>
  <c r="L1394" i="3"/>
  <c r="K1394" i="3"/>
  <c r="J1394" i="3"/>
  <c r="I1394" i="3"/>
  <c r="H1394" i="3"/>
  <c r="G1394" i="3"/>
  <c r="F1394" i="3"/>
  <c r="E1394" i="3"/>
  <c r="D1394" i="3"/>
  <c r="C1394" i="3"/>
  <c r="B1394" i="3"/>
  <c r="A1394" i="3"/>
  <c r="M1393" i="3"/>
  <c r="L1393" i="3"/>
  <c r="K1393" i="3"/>
  <c r="J1393" i="3"/>
  <c r="I1393" i="3"/>
  <c r="H1393" i="3"/>
  <c r="G1393" i="3"/>
  <c r="F1393" i="3"/>
  <c r="E1393" i="3"/>
  <c r="D1393" i="3"/>
  <c r="C1393" i="3"/>
  <c r="B1393" i="3"/>
  <c r="A1393" i="3"/>
  <c r="M1392" i="3"/>
  <c r="L1392" i="3"/>
  <c r="K1392" i="3"/>
  <c r="J1392" i="3"/>
  <c r="I1392" i="3"/>
  <c r="H1392" i="3"/>
  <c r="G1392" i="3"/>
  <c r="F1392" i="3"/>
  <c r="E1392" i="3"/>
  <c r="D1392" i="3"/>
  <c r="C1392" i="3"/>
  <c r="B1392" i="3"/>
  <c r="A1392" i="3"/>
  <c r="M1391" i="3"/>
  <c r="L1391" i="3"/>
  <c r="K1391" i="3"/>
  <c r="J1391" i="3"/>
  <c r="I1391" i="3"/>
  <c r="H1391" i="3"/>
  <c r="G1391" i="3"/>
  <c r="F1391" i="3"/>
  <c r="E1391" i="3"/>
  <c r="D1391" i="3"/>
  <c r="C1391" i="3"/>
  <c r="B1391" i="3"/>
  <c r="A1391" i="3"/>
  <c r="M1390" i="3"/>
  <c r="L1390" i="3"/>
  <c r="K1390" i="3"/>
  <c r="J1390" i="3"/>
  <c r="I1390" i="3"/>
  <c r="H1390" i="3"/>
  <c r="G1390" i="3"/>
  <c r="F1390" i="3"/>
  <c r="E1390" i="3"/>
  <c r="D1390" i="3"/>
  <c r="C1390" i="3"/>
  <c r="B1390" i="3"/>
  <c r="A1390" i="3"/>
  <c r="M1389" i="3"/>
  <c r="L1389" i="3"/>
  <c r="K1389" i="3"/>
  <c r="J1389" i="3"/>
  <c r="I1389" i="3"/>
  <c r="H1389" i="3"/>
  <c r="G1389" i="3"/>
  <c r="F1389" i="3"/>
  <c r="E1389" i="3"/>
  <c r="D1389" i="3"/>
  <c r="C1389" i="3"/>
  <c r="B1389" i="3"/>
  <c r="A1389" i="3"/>
  <c r="M1388" i="3"/>
  <c r="L1388" i="3"/>
  <c r="K1388" i="3"/>
  <c r="J1388" i="3"/>
  <c r="I1388" i="3"/>
  <c r="H1388" i="3"/>
  <c r="G1388" i="3"/>
  <c r="F1388" i="3"/>
  <c r="E1388" i="3"/>
  <c r="D1388" i="3"/>
  <c r="C1388" i="3"/>
  <c r="B1388" i="3"/>
  <c r="A1388" i="3"/>
  <c r="M1387" i="3"/>
  <c r="L1387" i="3"/>
  <c r="K1387" i="3"/>
  <c r="J1387" i="3"/>
  <c r="I1387" i="3"/>
  <c r="H1387" i="3"/>
  <c r="G1387" i="3"/>
  <c r="F1387" i="3"/>
  <c r="E1387" i="3"/>
  <c r="D1387" i="3"/>
  <c r="C1387" i="3"/>
  <c r="B1387" i="3"/>
  <c r="A1387" i="3"/>
  <c r="M1386" i="3"/>
  <c r="L1386" i="3"/>
  <c r="K1386" i="3"/>
  <c r="J1386" i="3"/>
  <c r="I1386" i="3"/>
  <c r="H1386" i="3"/>
  <c r="G1386" i="3"/>
  <c r="F1386" i="3"/>
  <c r="E1386" i="3"/>
  <c r="D1386" i="3"/>
  <c r="C1386" i="3"/>
  <c r="B1386" i="3"/>
  <c r="A1386" i="3"/>
  <c r="M1385" i="3"/>
  <c r="L1385" i="3"/>
  <c r="K1385" i="3"/>
  <c r="J1385" i="3"/>
  <c r="I1385" i="3"/>
  <c r="H1385" i="3"/>
  <c r="G1385" i="3"/>
  <c r="F1385" i="3"/>
  <c r="E1385" i="3"/>
  <c r="D1385" i="3"/>
  <c r="C1385" i="3"/>
  <c r="B1385" i="3"/>
  <c r="A1385" i="3"/>
  <c r="M1384" i="3"/>
  <c r="L1384" i="3"/>
  <c r="K1384" i="3"/>
  <c r="J1384" i="3"/>
  <c r="I1384" i="3"/>
  <c r="H1384" i="3"/>
  <c r="G1384" i="3"/>
  <c r="F1384" i="3"/>
  <c r="E1384" i="3"/>
  <c r="D1384" i="3"/>
  <c r="C1384" i="3"/>
  <c r="B1384" i="3"/>
  <c r="A1384" i="3"/>
  <c r="M1383" i="3"/>
  <c r="L1383" i="3"/>
  <c r="K1383" i="3"/>
  <c r="J1383" i="3"/>
  <c r="I1383" i="3"/>
  <c r="H1383" i="3"/>
  <c r="G1383" i="3"/>
  <c r="F1383" i="3"/>
  <c r="E1383" i="3"/>
  <c r="D1383" i="3"/>
  <c r="C1383" i="3"/>
  <c r="B1383" i="3"/>
  <c r="A1383" i="3"/>
  <c r="M1382" i="3"/>
  <c r="L1382" i="3"/>
  <c r="K1382" i="3"/>
  <c r="J1382" i="3"/>
  <c r="I1382" i="3"/>
  <c r="H1382" i="3"/>
  <c r="G1382" i="3"/>
  <c r="F1382" i="3"/>
  <c r="E1382" i="3"/>
  <c r="D1382" i="3"/>
  <c r="C1382" i="3"/>
  <c r="B1382" i="3"/>
  <c r="A1382" i="3"/>
  <c r="M1381" i="3"/>
  <c r="L1381" i="3"/>
  <c r="K1381" i="3"/>
  <c r="J1381" i="3"/>
  <c r="I1381" i="3"/>
  <c r="H1381" i="3"/>
  <c r="G1381" i="3"/>
  <c r="F1381" i="3"/>
  <c r="E1381" i="3"/>
  <c r="D1381" i="3"/>
  <c r="C1381" i="3"/>
  <c r="B1381" i="3"/>
  <c r="A1381" i="3"/>
  <c r="M1380" i="3"/>
  <c r="L1380" i="3"/>
  <c r="K1380" i="3"/>
  <c r="J1380" i="3"/>
  <c r="I1380" i="3"/>
  <c r="H1380" i="3"/>
  <c r="G1380" i="3"/>
  <c r="F1380" i="3"/>
  <c r="E1380" i="3"/>
  <c r="D1380" i="3"/>
  <c r="C1380" i="3"/>
  <c r="B1380" i="3"/>
  <c r="A1380" i="3"/>
  <c r="M1379" i="3"/>
  <c r="L1379" i="3"/>
  <c r="K1379" i="3"/>
  <c r="J1379" i="3"/>
  <c r="I1379" i="3"/>
  <c r="H1379" i="3"/>
  <c r="G1379" i="3"/>
  <c r="F1379" i="3"/>
  <c r="E1379" i="3"/>
  <c r="D1379" i="3"/>
  <c r="C1379" i="3"/>
  <c r="B1379" i="3"/>
  <c r="A1379" i="3"/>
  <c r="M1378" i="3"/>
  <c r="L1378" i="3"/>
  <c r="K1378" i="3"/>
  <c r="J1378" i="3"/>
  <c r="I1378" i="3"/>
  <c r="H1378" i="3"/>
  <c r="G1378" i="3"/>
  <c r="F1378" i="3"/>
  <c r="E1378" i="3"/>
  <c r="D1378" i="3"/>
  <c r="C1378" i="3"/>
  <c r="B1378" i="3"/>
  <c r="A1378" i="3"/>
  <c r="M1377" i="3"/>
  <c r="L1377" i="3"/>
  <c r="K1377" i="3"/>
  <c r="J1377" i="3"/>
  <c r="I1377" i="3"/>
  <c r="H1377" i="3"/>
  <c r="G1377" i="3"/>
  <c r="F1377" i="3"/>
  <c r="E1377" i="3"/>
  <c r="D1377" i="3"/>
  <c r="C1377" i="3"/>
  <c r="B1377" i="3"/>
  <c r="A1377" i="3"/>
  <c r="M1376" i="3"/>
  <c r="L1376" i="3"/>
  <c r="K1376" i="3"/>
  <c r="J1376" i="3"/>
  <c r="I1376" i="3"/>
  <c r="H1376" i="3"/>
  <c r="G1376" i="3"/>
  <c r="F1376" i="3"/>
  <c r="E1376" i="3"/>
  <c r="D1376" i="3"/>
  <c r="C1376" i="3"/>
  <c r="B1376" i="3"/>
  <c r="A1376" i="3"/>
  <c r="M1375" i="3"/>
  <c r="L1375" i="3"/>
  <c r="K1375" i="3"/>
  <c r="J1375" i="3"/>
  <c r="I1375" i="3"/>
  <c r="H1375" i="3"/>
  <c r="G1375" i="3"/>
  <c r="F1375" i="3"/>
  <c r="E1375" i="3"/>
  <c r="D1375" i="3"/>
  <c r="C1375" i="3"/>
  <c r="B1375" i="3"/>
  <c r="A1375" i="3"/>
  <c r="M1374" i="3"/>
  <c r="L1374" i="3"/>
  <c r="K1374" i="3"/>
  <c r="J1374" i="3"/>
  <c r="I1374" i="3"/>
  <c r="H1374" i="3"/>
  <c r="G1374" i="3"/>
  <c r="F1374" i="3"/>
  <c r="E1374" i="3"/>
  <c r="D1374" i="3"/>
  <c r="C1374" i="3"/>
  <c r="B1374" i="3"/>
  <c r="A1374" i="3"/>
  <c r="M1373" i="3"/>
  <c r="L1373" i="3"/>
  <c r="K1373" i="3"/>
  <c r="J1373" i="3"/>
  <c r="I1373" i="3"/>
  <c r="H1373" i="3"/>
  <c r="G1373" i="3"/>
  <c r="F1373" i="3"/>
  <c r="E1373" i="3"/>
  <c r="D1373" i="3"/>
  <c r="C1373" i="3"/>
  <c r="B1373" i="3"/>
  <c r="A1373" i="3"/>
  <c r="M1372" i="3"/>
  <c r="L1372" i="3"/>
  <c r="K1372" i="3"/>
  <c r="J1372" i="3"/>
  <c r="I1372" i="3"/>
  <c r="H1372" i="3"/>
  <c r="G1372" i="3"/>
  <c r="F1372" i="3"/>
  <c r="E1372" i="3"/>
  <c r="D1372" i="3"/>
  <c r="C1372" i="3"/>
  <c r="B1372" i="3"/>
  <c r="A1372" i="3"/>
  <c r="M1371" i="3"/>
  <c r="L1371" i="3"/>
  <c r="K1371" i="3"/>
  <c r="J1371" i="3"/>
  <c r="I1371" i="3"/>
  <c r="H1371" i="3"/>
  <c r="G1371" i="3"/>
  <c r="F1371" i="3"/>
  <c r="D1371" i="3"/>
  <c r="C1371" i="3"/>
  <c r="B1371" i="3"/>
  <c r="A1371" i="3"/>
  <c r="M1370" i="3"/>
  <c r="L1370" i="3"/>
  <c r="K1370" i="3"/>
  <c r="J1370" i="3"/>
  <c r="I1370" i="3"/>
  <c r="H1370" i="3"/>
  <c r="G1370" i="3"/>
  <c r="F1370" i="3"/>
  <c r="E1370" i="3"/>
  <c r="D1370" i="3"/>
  <c r="C1370" i="3"/>
  <c r="B1370" i="3"/>
  <c r="A1370" i="3"/>
  <c r="M1369" i="3"/>
  <c r="L1369" i="3"/>
  <c r="K1369" i="3"/>
  <c r="J1369" i="3"/>
  <c r="I1369" i="3"/>
  <c r="H1369" i="3"/>
  <c r="G1369" i="3"/>
  <c r="F1369" i="3"/>
  <c r="E1369" i="3"/>
  <c r="D1369" i="3"/>
  <c r="C1369" i="3"/>
  <c r="B1369" i="3"/>
  <c r="A1369" i="3"/>
  <c r="M1368" i="3"/>
  <c r="L1368" i="3"/>
  <c r="K1368" i="3"/>
  <c r="J1368" i="3"/>
  <c r="I1368" i="3"/>
  <c r="H1368" i="3"/>
  <c r="G1368" i="3"/>
  <c r="F1368" i="3"/>
  <c r="E1368" i="3"/>
  <c r="D1368" i="3"/>
  <c r="C1368" i="3"/>
  <c r="B1368" i="3"/>
  <c r="A1368" i="3"/>
  <c r="M1367" i="3"/>
  <c r="L1367" i="3"/>
  <c r="K1367" i="3"/>
  <c r="J1367" i="3"/>
  <c r="I1367" i="3"/>
  <c r="H1367" i="3"/>
  <c r="G1367" i="3"/>
  <c r="F1367" i="3"/>
  <c r="E1367" i="3"/>
  <c r="D1367" i="3"/>
  <c r="C1367" i="3"/>
  <c r="B1367" i="3"/>
  <c r="A1367" i="3"/>
  <c r="M1366" i="3"/>
  <c r="L1366" i="3"/>
  <c r="K1366" i="3"/>
  <c r="J1366" i="3"/>
  <c r="I1366" i="3"/>
  <c r="H1366" i="3"/>
  <c r="G1366" i="3"/>
  <c r="F1366" i="3"/>
  <c r="E1366" i="3"/>
  <c r="D1366" i="3"/>
  <c r="C1366" i="3"/>
  <c r="B1366" i="3"/>
  <c r="A1366" i="3"/>
  <c r="M1365" i="3"/>
  <c r="L1365" i="3"/>
  <c r="K1365" i="3"/>
  <c r="J1365" i="3"/>
  <c r="I1365" i="3"/>
  <c r="H1365" i="3"/>
  <c r="G1365" i="3"/>
  <c r="F1365" i="3"/>
  <c r="E1365" i="3"/>
  <c r="D1365" i="3"/>
  <c r="C1365" i="3"/>
  <c r="B1365" i="3"/>
  <c r="A1365" i="3"/>
  <c r="M1364" i="3"/>
  <c r="L1364" i="3"/>
  <c r="K1364" i="3"/>
  <c r="J1364" i="3"/>
  <c r="I1364" i="3"/>
  <c r="H1364" i="3"/>
  <c r="G1364" i="3"/>
  <c r="F1364" i="3"/>
  <c r="E1364" i="3"/>
  <c r="D1364" i="3"/>
  <c r="C1364" i="3"/>
  <c r="B1364" i="3"/>
  <c r="A1364" i="3"/>
  <c r="M1363" i="3"/>
  <c r="L1363" i="3"/>
  <c r="K1363" i="3"/>
  <c r="J1363" i="3"/>
  <c r="I1363" i="3"/>
  <c r="H1363" i="3"/>
  <c r="G1363" i="3"/>
  <c r="F1363" i="3"/>
  <c r="E1363" i="3"/>
  <c r="D1363" i="3"/>
  <c r="C1363" i="3"/>
  <c r="B1363" i="3"/>
  <c r="A1363" i="3"/>
  <c r="M1362" i="3"/>
  <c r="L1362" i="3"/>
  <c r="K1362" i="3"/>
  <c r="J1362" i="3"/>
  <c r="I1362" i="3"/>
  <c r="H1362" i="3"/>
  <c r="G1362" i="3"/>
  <c r="F1362" i="3"/>
  <c r="E1362" i="3"/>
  <c r="D1362" i="3"/>
  <c r="C1362" i="3"/>
  <c r="B1362" i="3"/>
  <c r="A1362" i="3"/>
  <c r="M1361" i="3"/>
  <c r="L1361" i="3"/>
  <c r="K1361" i="3"/>
  <c r="J1361" i="3"/>
  <c r="I1361" i="3"/>
  <c r="H1361" i="3"/>
  <c r="G1361" i="3"/>
  <c r="F1361" i="3"/>
  <c r="E1361" i="3"/>
  <c r="D1361" i="3"/>
  <c r="C1361" i="3"/>
  <c r="B1361" i="3"/>
  <c r="A1361" i="3"/>
  <c r="M1360" i="3"/>
  <c r="L1360" i="3"/>
  <c r="K1360" i="3"/>
  <c r="J1360" i="3"/>
  <c r="I1360" i="3"/>
  <c r="H1360" i="3"/>
  <c r="G1360" i="3"/>
  <c r="F1360" i="3"/>
  <c r="E1360" i="3"/>
  <c r="D1360" i="3"/>
  <c r="C1360" i="3"/>
  <c r="B1360" i="3"/>
  <c r="A1360" i="3"/>
  <c r="M1359" i="3"/>
  <c r="L1359" i="3"/>
  <c r="K1359" i="3"/>
  <c r="J1359" i="3"/>
  <c r="I1359" i="3"/>
  <c r="H1359" i="3"/>
  <c r="G1359" i="3"/>
  <c r="F1359" i="3"/>
  <c r="E1359" i="3"/>
  <c r="D1359" i="3"/>
  <c r="C1359" i="3"/>
  <c r="B1359" i="3"/>
  <c r="A1359" i="3"/>
  <c r="M1358" i="3"/>
  <c r="L1358" i="3"/>
  <c r="K1358" i="3"/>
  <c r="J1358" i="3"/>
  <c r="I1358" i="3"/>
  <c r="H1358" i="3"/>
  <c r="G1358" i="3"/>
  <c r="F1358" i="3"/>
  <c r="E1358" i="3"/>
  <c r="D1358" i="3"/>
  <c r="C1358" i="3"/>
  <c r="B1358" i="3"/>
  <c r="A1358" i="3"/>
  <c r="M1357" i="3"/>
  <c r="L1357" i="3"/>
  <c r="K1357" i="3"/>
  <c r="J1357" i="3"/>
  <c r="I1357" i="3"/>
  <c r="H1357" i="3"/>
  <c r="G1357" i="3"/>
  <c r="F1357" i="3"/>
  <c r="E1357" i="3"/>
  <c r="D1357" i="3"/>
  <c r="C1357" i="3"/>
  <c r="B1357" i="3"/>
  <c r="A1357" i="3"/>
  <c r="M1356" i="3"/>
  <c r="L1356" i="3"/>
  <c r="K1356" i="3"/>
  <c r="J1356" i="3"/>
  <c r="I1356" i="3"/>
  <c r="H1356" i="3"/>
  <c r="G1356" i="3"/>
  <c r="F1356" i="3"/>
  <c r="E1356" i="3"/>
  <c r="D1356" i="3"/>
  <c r="C1356" i="3"/>
  <c r="B1356" i="3"/>
  <c r="A1356" i="3"/>
  <c r="M1355" i="3"/>
  <c r="L1355" i="3"/>
  <c r="K1355" i="3"/>
  <c r="J1355" i="3"/>
  <c r="I1355" i="3"/>
  <c r="H1355" i="3"/>
  <c r="G1355" i="3"/>
  <c r="F1355" i="3"/>
  <c r="E1355" i="3"/>
  <c r="D1355" i="3"/>
  <c r="C1355" i="3"/>
  <c r="B1355" i="3"/>
  <c r="A1355" i="3"/>
  <c r="M1354" i="3"/>
  <c r="L1354" i="3"/>
  <c r="K1354" i="3"/>
  <c r="J1354" i="3"/>
  <c r="I1354" i="3"/>
  <c r="H1354" i="3"/>
  <c r="G1354" i="3"/>
  <c r="F1354" i="3"/>
  <c r="E1354" i="3"/>
  <c r="D1354" i="3"/>
  <c r="C1354" i="3"/>
  <c r="B1354" i="3"/>
  <c r="A1354" i="3"/>
  <c r="M1353" i="3"/>
  <c r="L1353" i="3"/>
  <c r="K1353" i="3"/>
  <c r="J1353" i="3"/>
  <c r="I1353" i="3"/>
  <c r="H1353" i="3"/>
  <c r="G1353" i="3"/>
  <c r="F1353" i="3"/>
  <c r="E1353" i="3"/>
  <c r="D1353" i="3"/>
  <c r="C1353" i="3"/>
  <c r="B1353" i="3"/>
  <c r="A1353" i="3"/>
  <c r="M1352" i="3"/>
  <c r="L1352" i="3"/>
  <c r="K1352" i="3"/>
  <c r="J1352" i="3"/>
  <c r="I1352" i="3"/>
  <c r="H1352" i="3"/>
  <c r="G1352" i="3"/>
  <c r="F1352" i="3"/>
  <c r="E1352" i="3"/>
  <c r="D1352" i="3"/>
  <c r="C1352" i="3"/>
  <c r="B1352" i="3"/>
  <c r="A1352" i="3"/>
  <c r="M1351" i="3"/>
  <c r="L1351" i="3"/>
  <c r="K1351" i="3"/>
  <c r="J1351" i="3"/>
  <c r="I1351" i="3"/>
  <c r="H1351" i="3"/>
  <c r="G1351" i="3"/>
  <c r="F1351" i="3"/>
  <c r="E1351" i="3"/>
  <c r="D1351" i="3"/>
  <c r="C1351" i="3"/>
  <c r="B1351" i="3"/>
  <c r="A1351" i="3"/>
  <c r="M1350" i="3"/>
  <c r="L1350" i="3"/>
  <c r="K1350" i="3"/>
  <c r="J1350" i="3"/>
  <c r="I1350" i="3"/>
  <c r="H1350" i="3"/>
  <c r="G1350" i="3"/>
  <c r="F1350" i="3"/>
  <c r="E1350" i="3"/>
  <c r="D1350" i="3"/>
  <c r="C1350" i="3"/>
  <c r="B1350" i="3"/>
  <c r="A1350" i="3"/>
  <c r="M1349" i="3"/>
  <c r="L1349" i="3"/>
  <c r="K1349" i="3"/>
  <c r="J1349" i="3"/>
  <c r="I1349" i="3"/>
  <c r="H1349" i="3"/>
  <c r="G1349" i="3"/>
  <c r="F1349" i="3"/>
  <c r="E1349" i="3"/>
  <c r="D1349" i="3"/>
  <c r="C1349" i="3"/>
  <c r="B1349" i="3"/>
  <c r="A1349" i="3"/>
  <c r="M1348" i="3"/>
  <c r="L1348" i="3"/>
  <c r="K1348" i="3"/>
  <c r="J1348" i="3"/>
  <c r="I1348" i="3"/>
  <c r="H1348" i="3"/>
  <c r="G1348" i="3"/>
  <c r="F1348" i="3"/>
  <c r="E1348" i="3"/>
  <c r="D1348" i="3"/>
  <c r="C1348" i="3"/>
  <c r="B1348" i="3"/>
  <c r="A1348" i="3"/>
  <c r="M1347" i="3"/>
  <c r="L1347" i="3"/>
  <c r="K1347" i="3"/>
  <c r="J1347" i="3"/>
  <c r="I1347" i="3"/>
  <c r="H1347" i="3"/>
  <c r="F1347" i="3"/>
  <c r="E1347" i="3"/>
  <c r="D1347" i="3"/>
  <c r="C1347" i="3"/>
  <c r="B1347" i="3"/>
  <c r="A1347" i="3"/>
  <c r="M1346" i="3"/>
  <c r="L1346" i="3"/>
  <c r="K1346" i="3"/>
  <c r="J1346" i="3"/>
  <c r="I1346" i="3"/>
  <c r="H1346" i="3"/>
  <c r="F1346" i="3"/>
  <c r="E1346" i="3"/>
  <c r="D1346" i="3"/>
  <c r="C1346" i="3"/>
  <c r="B1346" i="3"/>
  <c r="A1346" i="3"/>
  <c r="M1345" i="3"/>
  <c r="L1345" i="3"/>
  <c r="K1345" i="3"/>
  <c r="J1345" i="3"/>
  <c r="I1345" i="3"/>
  <c r="H1345" i="3"/>
  <c r="F1345" i="3"/>
  <c r="E1345" i="3"/>
  <c r="D1345" i="3"/>
  <c r="C1345" i="3"/>
  <c r="B1345" i="3"/>
  <c r="A1345" i="3"/>
  <c r="M1344" i="3"/>
  <c r="L1344" i="3"/>
  <c r="K1344" i="3"/>
  <c r="J1344" i="3"/>
  <c r="I1344" i="3"/>
  <c r="H1344" i="3"/>
  <c r="F1344" i="3"/>
  <c r="E1344" i="3"/>
  <c r="D1344" i="3"/>
  <c r="C1344" i="3"/>
  <c r="B1344" i="3"/>
  <c r="A1344" i="3"/>
  <c r="M1343" i="3"/>
  <c r="L1343" i="3"/>
  <c r="K1343" i="3"/>
  <c r="J1343" i="3"/>
  <c r="I1343" i="3"/>
  <c r="H1343" i="3"/>
  <c r="F1343" i="3"/>
  <c r="E1343" i="3"/>
  <c r="D1343" i="3"/>
  <c r="C1343" i="3"/>
  <c r="B1343" i="3"/>
  <c r="A1343" i="3"/>
  <c r="M1342" i="3"/>
  <c r="L1342" i="3"/>
  <c r="K1342" i="3"/>
  <c r="J1342" i="3"/>
  <c r="I1342" i="3"/>
  <c r="H1342" i="3"/>
  <c r="F1342" i="3"/>
  <c r="E1342" i="3"/>
  <c r="D1342" i="3"/>
  <c r="C1342" i="3"/>
  <c r="B1342" i="3"/>
  <c r="A1342" i="3"/>
  <c r="M1341" i="3"/>
  <c r="L1341" i="3"/>
  <c r="K1341" i="3"/>
  <c r="J1341" i="3"/>
  <c r="I1341" i="3"/>
  <c r="H1341" i="3"/>
  <c r="F1341" i="3"/>
  <c r="E1341" i="3"/>
  <c r="D1341" i="3"/>
  <c r="C1341" i="3"/>
  <c r="B1341" i="3"/>
  <c r="A1341" i="3"/>
  <c r="M1340" i="3"/>
  <c r="L1340" i="3"/>
  <c r="K1340" i="3"/>
  <c r="J1340" i="3"/>
  <c r="I1340" i="3"/>
  <c r="H1340" i="3"/>
  <c r="F1340" i="3"/>
  <c r="E1340" i="3"/>
  <c r="D1340" i="3"/>
  <c r="C1340" i="3"/>
  <c r="B1340" i="3"/>
  <c r="A1340" i="3"/>
  <c r="M1339" i="3"/>
  <c r="L1339" i="3"/>
  <c r="K1339" i="3"/>
  <c r="J1339" i="3"/>
  <c r="I1339" i="3"/>
  <c r="H1339" i="3"/>
  <c r="F1339" i="3"/>
  <c r="E1339" i="3"/>
  <c r="D1339" i="3"/>
  <c r="C1339" i="3"/>
  <c r="B1339" i="3"/>
  <c r="A1339" i="3"/>
  <c r="M1338" i="3"/>
  <c r="L1338" i="3"/>
  <c r="K1338" i="3"/>
  <c r="J1338" i="3"/>
  <c r="I1338" i="3"/>
  <c r="H1338" i="3"/>
  <c r="F1338" i="3"/>
  <c r="E1338" i="3"/>
  <c r="D1338" i="3"/>
  <c r="C1338" i="3"/>
  <c r="B1338" i="3"/>
  <c r="A1338" i="3"/>
  <c r="M1337" i="3"/>
  <c r="L1337" i="3"/>
  <c r="K1337" i="3"/>
  <c r="J1337" i="3"/>
  <c r="I1337" i="3"/>
  <c r="H1337" i="3"/>
  <c r="F1337" i="3"/>
  <c r="D1337" i="3"/>
  <c r="C1337" i="3"/>
  <c r="B1337" i="3"/>
  <c r="A1337" i="3"/>
  <c r="M1336" i="3"/>
  <c r="L1336" i="3"/>
  <c r="K1336" i="3"/>
  <c r="J1336" i="3"/>
  <c r="I1336" i="3"/>
  <c r="H1336" i="3"/>
  <c r="G1336" i="3"/>
  <c r="F1336" i="3"/>
  <c r="E1336" i="3"/>
  <c r="D1336" i="3"/>
  <c r="C1336" i="3"/>
  <c r="B1336" i="3"/>
  <c r="A1336" i="3"/>
  <c r="M1335" i="3"/>
  <c r="L1335" i="3"/>
  <c r="K1335" i="3"/>
  <c r="J1335" i="3"/>
  <c r="I1335" i="3"/>
  <c r="H1335" i="3"/>
  <c r="G1335" i="3"/>
  <c r="F1335" i="3"/>
  <c r="E1335" i="3"/>
  <c r="D1335" i="3"/>
  <c r="C1335" i="3"/>
  <c r="B1335" i="3"/>
  <c r="A1335" i="3"/>
  <c r="M1334" i="3"/>
  <c r="L1334" i="3"/>
  <c r="K1334" i="3"/>
  <c r="J1334" i="3"/>
  <c r="I1334" i="3"/>
  <c r="H1334" i="3"/>
  <c r="G1334" i="3"/>
  <c r="F1334" i="3"/>
  <c r="E1334" i="3"/>
  <c r="D1334" i="3"/>
  <c r="C1334" i="3"/>
  <c r="B1334" i="3"/>
  <c r="A1334" i="3"/>
  <c r="M1333" i="3"/>
  <c r="L1333" i="3"/>
  <c r="K1333" i="3"/>
  <c r="J1333" i="3"/>
  <c r="I1333" i="3"/>
  <c r="H1333" i="3"/>
  <c r="G1333" i="3"/>
  <c r="F1333" i="3"/>
  <c r="E1333" i="3"/>
  <c r="D1333" i="3"/>
  <c r="C1333" i="3"/>
  <c r="B1333" i="3"/>
  <c r="A1333" i="3"/>
  <c r="M1332" i="3"/>
  <c r="L1332" i="3"/>
  <c r="K1332" i="3"/>
  <c r="J1332" i="3"/>
  <c r="I1332" i="3"/>
  <c r="H1332" i="3"/>
  <c r="G1332" i="3"/>
  <c r="F1332" i="3"/>
  <c r="E1332" i="3"/>
  <c r="D1332" i="3"/>
  <c r="C1332" i="3"/>
  <c r="B1332" i="3"/>
  <c r="A1332" i="3"/>
  <c r="M1331" i="3"/>
  <c r="L1331" i="3"/>
  <c r="K1331" i="3"/>
  <c r="J1331" i="3"/>
  <c r="I1331" i="3"/>
  <c r="H1331" i="3"/>
  <c r="G1331" i="3"/>
  <c r="F1331" i="3"/>
  <c r="E1331" i="3"/>
  <c r="D1331" i="3"/>
  <c r="C1331" i="3"/>
  <c r="B1331" i="3"/>
  <c r="A1331" i="3"/>
  <c r="M1330" i="3"/>
  <c r="L1330" i="3"/>
  <c r="K1330" i="3"/>
  <c r="J1330" i="3"/>
  <c r="I1330" i="3"/>
  <c r="H1330" i="3"/>
  <c r="G1330" i="3"/>
  <c r="F1330" i="3"/>
  <c r="E1330" i="3"/>
  <c r="D1330" i="3"/>
  <c r="C1330" i="3"/>
  <c r="B1330" i="3"/>
  <c r="A1330" i="3"/>
  <c r="M1329" i="3"/>
  <c r="L1329" i="3"/>
  <c r="K1329" i="3"/>
  <c r="J1329" i="3"/>
  <c r="I1329" i="3"/>
  <c r="H1329" i="3"/>
  <c r="G1329" i="3"/>
  <c r="F1329" i="3"/>
  <c r="E1329" i="3"/>
  <c r="D1329" i="3"/>
  <c r="C1329" i="3"/>
  <c r="B1329" i="3"/>
  <c r="A1329" i="3"/>
  <c r="M1328" i="3"/>
  <c r="L1328" i="3"/>
  <c r="K1328" i="3"/>
  <c r="J1328" i="3"/>
  <c r="I1328" i="3"/>
  <c r="H1328" i="3"/>
  <c r="G1328" i="3"/>
  <c r="F1328" i="3"/>
  <c r="E1328" i="3"/>
  <c r="D1328" i="3"/>
  <c r="C1328" i="3"/>
  <c r="B1328" i="3"/>
  <c r="A1328" i="3"/>
  <c r="M1327" i="3"/>
  <c r="L1327" i="3"/>
  <c r="K1327" i="3"/>
  <c r="J1327" i="3"/>
  <c r="I1327" i="3"/>
  <c r="H1327" i="3"/>
  <c r="G1327" i="3"/>
  <c r="F1327" i="3"/>
  <c r="E1327" i="3"/>
  <c r="D1327" i="3"/>
  <c r="C1327" i="3"/>
  <c r="B1327" i="3"/>
  <c r="A1327" i="3"/>
  <c r="M1326" i="3"/>
  <c r="L1326" i="3"/>
  <c r="K1326" i="3"/>
  <c r="J1326" i="3"/>
  <c r="I1326" i="3"/>
  <c r="H1326" i="3"/>
  <c r="G1326" i="3"/>
  <c r="F1326" i="3"/>
  <c r="E1326" i="3"/>
  <c r="D1326" i="3"/>
  <c r="C1326" i="3"/>
  <c r="B1326" i="3"/>
  <c r="A1326" i="3"/>
  <c r="M1325" i="3"/>
  <c r="L1325" i="3"/>
  <c r="K1325" i="3"/>
  <c r="J1325" i="3"/>
  <c r="I1325" i="3"/>
  <c r="H1325" i="3"/>
  <c r="G1325" i="3"/>
  <c r="E1325" i="3"/>
  <c r="D1325" i="3"/>
  <c r="C1325" i="3"/>
  <c r="B1325" i="3"/>
  <c r="A1325" i="3"/>
  <c r="M1324" i="3"/>
  <c r="L1324" i="3"/>
  <c r="K1324" i="3"/>
  <c r="J1324" i="3"/>
  <c r="I1324" i="3"/>
  <c r="H1324" i="3"/>
  <c r="G1324" i="3"/>
  <c r="F1324" i="3"/>
  <c r="E1324" i="3"/>
  <c r="D1324" i="3"/>
  <c r="B1324" i="3"/>
  <c r="A1324" i="3"/>
  <c r="M1323" i="3"/>
  <c r="L1323" i="3"/>
  <c r="K1323" i="3"/>
  <c r="J1323" i="3"/>
  <c r="I1323" i="3"/>
  <c r="H1323" i="3"/>
  <c r="G1323" i="3"/>
  <c r="F1323" i="3"/>
  <c r="E1323" i="3"/>
  <c r="D1323" i="3"/>
  <c r="C1323" i="3"/>
  <c r="B1323" i="3"/>
  <c r="A1323" i="3"/>
  <c r="M1322" i="3"/>
  <c r="L1322" i="3"/>
  <c r="K1322" i="3"/>
  <c r="J1322" i="3"/>
  <c r="I1322" i="3"/>
  <c r="H1322" i="3"/>
  <c r="G1322" i="3"/>
  <c r="F1322" i="3"/>
  <c r="E1322" i="3"/>
  <c r="D1322" i="3"/>
  <c r="C1322" i="3"/>
  <c r="B1322" i="3"/>
  <c r="A1322" i="3"/>
  <c r="M1321" i="3"/>
  <c r="L1321" i="3"/>
  <c r="K1321" i="3"/>
  <c r="J1321" i="3"/>
  <c r="I1321" i="3"/>
  <c r="H1321" i="3"/>
  <c r="G1321" i="3"/>
  <c r="F1321" i="3"/>
  <c r="E1321" i="3"/>
  <c r="D1321" i="3"/>
  <c r="C1321" i="3"/>
  <c r="B1321" i="3"/>
  <c r="A1321" i="3"/>
  <c r="M1320" i="3"/>
  <c r="L1320" i="3"/>
  <c r="K1320" i="3"/>
  <c r="J1320" i="3"/>
  <c r="I1320" i="3"/>
  <c r="H1320" i="3"/>
  <c r="G1320" i="3"/>
  <c r="F1320" i="3"/>
  <c r="E1320" i="3"/>
  <c r="D1320" i="3"/>
  <c r="C1320" i="3"/>
  <c r="B1320" i="3"/>
  <c r="A1320" i="3"/>
  <c r="M1319" i="3"/>
  <c r="L1319" i="3"/>
  <c r="K1319" i="3"/>
  <c r="J1319" i="3"/>
  <c r="I1319" i="3"/>
  <c r="H1319" i="3"/>
  <c r="G1319" i="3"/>
  <c r="F1319" i="3"/>
  <c r="E1319" i="3"/>
  <c r="D1319" i="3"/>
  <c r="C1319" i="3"/>
  <c r="B1319" i="3"/>
  <c r="A1319" i="3"/>
  <c r="M1318" i="3"/>
  <c r="L1318" i="3"/>
  <c r="K1318" i="3"/>
  <c r="J1318" i="3"/>
  <c r="I1318" i="3"/>
  <c r="H1318" i="3"/>
  <c r="G1318" i="3"/>
  <c r="F1318" i="3"/>
  <c r="E1318" i="3"/>
  <c r="D1318" i="3"/>
  <c r="C1318" i="3"/>
  <c r="B1318" i="3"/>
  <c r="A1318" i="3"/>
  <c r="M1317" i="3"/>
  <c r="L1317" i="3"/>
  <c r="K1317" i="3"/>
  <c r="J1317" i="3"/>
  <c r="I1317" i="3"/>
  <c r="H1317" i="3"/>
  <c r="G1317" i="3"/>
  <c r="F1317" i="3"/>
  <c r="E1317" i="3"/>
  <c r="D1317" i="3"/>
  <c r="C1317" i="3"/>
  <c r="B1317" i="3"/>
  <c r="A1317" i="3"/>
  <c r="M1316" i="3"/>
  <c r="L1316" i="3"/>
  <c r="K1316" i="3"/>
  <c r="J1316" i="3"/>
  <c r="I1316" i="3"/>
  <c r="H1316" i="3"/>
  <c r="G1316" i="3"/>
  <c r="F1316" i="3"/>
  <c r="E1316" i="3"/>
  <c r="D1316" i="3"/>
  <c r="C1316" i="3"/>
  <c r="B1316" i="3"/>
  <c r="A1316" i="3"/>
  <c r="M1315" i="3"/>
  <c r="L1315" i="3"/>
  <c r="K1315" i="3"/>
  <c r="J1315" i="3"/>
  <c r="I1315" i="3"/>
  <c r="H1315" i="3"/>
  <c r="G1315" i="3"/>
  <c r="F1315" i="3"/>
  <c r="E1315" i="3"/>
  <c r="D1315" i="3"/>
  <c r="C1315" i="3"/>
  <c r="B1315" i="3"/>
  <c r="A1315" i="3"/>
  <c r="M1314" i="3"/>
  <c r="L1314" i="3"/>
  <c r="K1314" i="3"/>
  <c r="J1314" i="3"/>
  <c r="I1314" i="3"/>
  <c r="H1314" i="3"/>
  <c r="G1314" i="3"/>
  <c r="F1314" i="3"/>
  <c r="E1314" i="3"/>
  <c r="D1314" i="3"/>
  <c r="C1314" i="3"/>
  <c r="B1314" i="3"/>
  <c r="A1314" i="3"/>
  <c r="M1313" i="3"/>
  <c r="L1313" i="3"/>
  <c r="K1313" i="3"/>
  <c r="J1313" i="3"/>
  <c r="I1313" i="3"/>
  <c r="H1313" i="3"/>
  <c r="G1313" i="3"/>
  <c r="F1313" i="3"/>
  <c r="E1313" i="3"/>
  <c r="D1313" i="3"/>
  <c r="C1313" i="3"/>
  <c r="B1313" i="3"/>
  <c r="A1313" i="3"/>
  <c r="M1312" i="3"/>
  <c r="L1312" i="3"/>
  <c r="K1312" i="3"/>
  <c r="J1312" i="3"/>
  <c r="I1312" i="3"/>
  <c r="H1312" i="3"/>
  <c r="G1312" i="3"/>
  <c r="F1312" i="3"/>
  <c r="E1312" i="3"/>
  <c r="D1312" i="3"/>
  <c r="C1312" i="3"/>
  <c r="B1312" i="3"/>
  <c r="A1312" i="3"/>
  <c r="M1311" i="3"/>
  <c r="L1311" i="3"/>
  <c r="K1311" i="3"/>
  <c r="J1311" i="3"/>
  <c r="I1311" i="3"/>
  <c r="H1311" i="3"/>
  <c r="G1311" i="3"/>
  <c r="F1311" i="3"/>
  <c r="E1311" i="3"/>
  <c r="D1311" i="3"/>
  <c r="C1311" i="3"/>
  <c r="B1311" i="3"/>
  <c r="A1311" i="3"/>
  <c r="M1310" i="3"/>
  <c r="L1310" i="3"/>
  <c r="K1310" i="3"/>
  <c r="J1310" i="3"/>
  <c r="I1310" i="3"/>
  <c r="H1310" i="3"/>
  <c r="G1310" i="3"/>
  <c r="F1310" i="3"/>
  <c r="E1310" i="3"/>
  <c r="D1310" i="3"/>
  <c r="C1310" i="3"/>
  <c r="B1310" i="3"/>
  <c r="A1310" i="3"/>
  <c r="M1309" i="3"/>
  <c r="L1309" i="3"/>
  <c r="K1309" i="3"/>
  <c r="J1309" i="3"/>
  <c r="I1309" i="3"/>
  <c r="H1309" i="3"/>
  <c r="G1309" i="3"/>
  <c r="F1309" i="3"/>
  <c r="E1309" i="3"/>
  <c r="D1309" i="3"/>
  <c r="C1309" i="3"/>
  <c r="B1309" i="3"/>
  <c r="A1309" i="3"/>
  <c r="M1308" i="3"/>
  <c r="L1308" i="3"/>
  <c r="K1308" i="3"/>
  <c r="J1308" i="3"/>
  <c r="I1308" i="3"/>
  <c r="H1308" i="3"/>
  <c r="G1308" i="3"/>
  <c r="F1308" i="3"/>
  <c r="E1308" i="3"/>
  <c r="D1308" i="3"/>
  <c r="C1308" i="3"/>
  <c r="B1308" i="3"/>
  <c r="A1308" i="3"/>
  <c r="M1307" i="3"/>
  <c r="L1307" i="3"/>
  <c r="K1307" i="3"/>
  <c r="J1307" i="3"/>
  <c r="I1307" i="3"/>
  <c r="H1307" i="3"/>
  <c r="G1307" i="3"/>
  <c r="F1307" i="3"/>
  <c r="E1307" i="3"/>
  <c r="D1307" i="3"/>
  <c r="C1307" i="3"/>
  <c r="B1307" i="3"/>
  <c r="A1307" i="3"/>
  <c r="M1306" i="3"/>
  <c r="L1306" i="3"/>
  <c r="K1306" i="3"/>
  <c r="J1306" i="3"/>
  <c r="I1306" i="3"/>
  <c r="H1306" i="3"/>
  <c r="G1306" i="3"/>
  <c r="F1306" i="3"/>
  <c r="E1306" i="3"/>
  <c r="D1306" i="3"/>
  <c r="C1306" i="3"/>
  <c r="B1306" i="3"/>
  <c r="A1306" i="3"/>
  <c r="M1305" i="3"/>
  <c r="L1305" i="3"/>
  <c r="K1305" i="3"/>
  <c r="J1305" i="3"/>
  <c r="I1305" i="3"/>
  <c r="H1305" i="3"/>
  <c r="G1305" i="3"/>
  <c r="F1305" i="3"/>
  <c r="E1305" i="3"/>
  <c r="D1305" i="3"/>
  <c r="C1305" i="3"/>
  <c r="B1305" i="3"/>
  <c r="A1305" i="3"/>
  <c r="M1304" i="3"/>
  <c r="L1304" i="3"/>
  <c r="K1304" i="3"/>
  <c r="J1304" i="3"/>
  <c r="I1304" i="3"/>
  <c r="H1304" i="3"/>
  <c r="G1304" i="3"/>
  <c r="F1304" i="3"/>
  <c r="E1304" i="3"/>
  <c r="D1304" i="3"/>
  <c r="C1304" i="3"/>
  <c r="B1304" i="3"/>
  <c r="A1304" i="3"/>
  <c r="M1303" i="3"/>
  <c r="L1303" i="3"/>
  <c r="K1303" i="3"/>
  <c r="J1303" i="3"/>
  <c r="I1303" i="3"/>
  <c r="H1303" i="3"/>
  <c r="G1303" i="3"/>
  <c r="F1303" i="3"/>
  <c r="E1303" i="3"/>
  <c r="D1303" i="3"/>
  <c r="C1303" i="3"/>
  <c r="B1303" i="3"/>
  <c r="A1303" i="3"/>
  <c r="M1302" i="3"/>
  <c r="L1302" i="3"/>
  <c r="K1302" i="3"/>
  <c r="J1302" i="3"/>
  <c r="I1302" i="3"/>
  <c r="H1302" i="3"/>
  <c r="G1302" i="3"/>
  <c r="F1302" i="3"/>
  <c r="E1302" i="3"/>
  <c r="D1302" i="3"/>
  <c r="C1302" i="3"/>
  <c r="B1302" i="3"/>
  <c r="A1302" i="3"/>
  <c r="M1301" i="3"/>
  <c r="L1301" i="3"/>
  <c r="K1301" i="3"/>
  <c r="J1301" i="3"/>
  <c r="I1301" i="3"/>
  <c r="H1301" i="3"/>
  <c r="G1301" i="3"/>
  <c r="F1301" i="3"/>
  <c r="E1301" i="3"/>
  <c r="D1301" i="3"/>
  <c r="C1301" i="3"/>
  <c r="B1301" i="3"/>
  <c r="A1301" i="3"/>
  <c r="M1300" i="3"/>
  <c r="L1300" i="3"/>
  <c r="K1300" i="3"/>
  <c r="J1300" i="3"/>
  <c r="I1300" i="3"/>
  <c r="H1300" i="3"/>
  <c r="G1300" i="3"/>
  <c r="F1300" i="3"/>
  <c r="E1300" i="3"/>
  <c r="D1300" i="3"/>
  <c r="C1300" i="3"/>
  <c r="B1300" i="3"/>
  <c r="A1300" i="3"/>
  <c r="M1299" i="3"/>
  <c r="L1299" i="3"/>
  <c r="K1299" i="3"/>
  <c r="J1299" i="3"/>
  <c r="I1299" i="3"/>
  <c r="H1299" i="3"/>
  <c r="G1299" i="3"/>
  <c r="F1299" i="3"/>
  <c r="E1299" i="3"/>
  <c r="D1299" i="3"/>
  <c r="C1299" i="3"/>
  <c r="B1299" i="3"/>
  <c r="A1299" i="3"/>
  <c r="M1298" i="3"/>
  <c r="L1298" i="3"/>
  <c r="K1298" i="3"/>
  <c r="J1298" i="3"/>
  <c r="I1298" i="3"/>
  <c r="H1298" i="3"/>
  <c r="G1298" i="3"/>
  <c r="F1298" i="3"/>
  <c r="E1298" i="3"/>
  <c r="D1298" i="3"/>
  <c r="C1298" i="3"/>
  <c r="B1298" i="3"/>
  <c r="A1298" i="3"/>
  <c r="M1297" i="3"/>
  <c r="L1297" i="3"/>
  <c r="K1297" i="3"/>
  <c r="J1297" i="3"/>
  <c r="I1297" i="3"/>
  <c r="H1297" i="3"/>
  <c r="G1297" i="3"/>
  <c r="F1297" i="3"/>
  <c r="E1297" i="3"/>
  <c r="D1297" i="3"/>
  <c r="C1297" i="3"/>
  <c r="B1297" i="3"/>
  <c r="A1297" i="3"/>
  <c r="M1296" i="3"/>
  <c r="L1296" i="3"/>
  <c r="K1296" i="3"/>
  <c r="J1296" i="3"/>
  <c r="I1296" i="3"/>
  <c r="H1296" i="3"/>
  <c r="G1296" i="3"/>
  <c r="F1296" i="3"/>
  <c r="E1296" i="3"/>
  <c r="D1296" i="3"/>
  <c r="C1296" i="3"/>
  <c r="B1296" i="3"/>
  <c r="A1296" i="3"/>
  <c r="M1295" i="3"/>
  <c r="L1295" i="3"/>
  <c r="K1295" i="3"/>
  <c r="J1295" i="3"/>
  <c r="I1295" i="3"/>
  <c r="H1295" i="3"/>
  <c r="G1295" i="3"/>
  <c r="F1295" i="3"/>
  <c r="E1295" i="3"/>
  <c r="D1295" i="3"/>
  <c r="C1295" i="3"/>
  <c r="B1295" i="3"/>
  <c r="A1295" i="3"/>
  <c r="M1294" i="3"/>
  <c r="L1294" i="3"/>
  <c r="K1294" i="3"/>
  <c r="J1294" i="3"/>
  <c r="I1294" i="3"/>
  <c r="H1294" i="3"/>
  <c r="G1294" i="3"/>
  <c r="F1294" i="3"/>
  <c r="E1294" i="3"/>
  <c r="D1294" i="3"/>
  <c r="C1294" i="3"/>
  <c r="B1294" i="3"/>
  <c r="A1294" i="3"/>
  <c r="M1293" i="3"/>
  <c r="L1293" i="3"/>
  <c r="K1293" i="3"/>
  <c r="J1293" i="3"/>
  <c r="I1293" i="3"/>
  <c r="H1293" i="3"/>
  <c r="G1293" i="3"/>
  <c r="F1293" i="3"/>
  <c r="E1293" i="3"/>
  <c r="D1293" i="3"/>
  <c r="C1293" i="3"/>
  <c r="B1293" i="3"/>
  <c r="A1293" i="3"/>
  <c r="M1292" i="3"/>
  <c r="L1292" i="3"/>
  <c r="K1292" i="3"/>
  <c r="J1292" i="3"/>
  <c r="I1292" i="3"/>
  <c r="H1292" i="3"/>
  <c r="G1292" i="3"/>
  <c r="E1292" i="3"/>
  <c r="D1292" i="3"/>
  <c r="C1292" i="3"/>
  <c r="B1292" i="3"/>
  <c r="A1292" i="3"/>
  <c r="M1291" i="3"/>
  <c r="L1291" i="3"/>
  <c r="K1291" i="3"/>
  <c r="J1291" i="3"/>
  <c r="I1291" i="3"/>
  <c r="H1291" i="3"/>
  <c r="G1291" i="3"/>
  <c r="F1291" i="3"/>
  <c r="E1291" i="3"/>
  <c r="D1291" i="3"/>
  <c r="C1291" i="3"/>
  <c r="B1291" i="3"/>
  <c r="A1291" i="3"/>
  <c r="M1290" i="3"/>
  <c r="L1290" i="3"/>
  <c r="K1290" i="3"/>
  <c r="J1290" i="3"/>
  <c r="I1290" i="3"/>
  <c r="H1290" i="3"/>
  <c r="G1290" i="3"/>
  <c r="F1290" i="3"/>
  <c r="E1290" i="3"/>
  <c r="D1290" i="3"/>
  <c r="C1290" i="3"/>
  <c r="B1290" i="3"/>
  <c r="A1290" i="3"/>
  <c r="M1289" i="3"/>
  <c r="L1289" i="3"/>
  <c r="K1289" i="3"/>
  <c r="J1289" i="3"/>
  <c r="I1289" i="3"/>
  <c r="H1289" i="3"/>
  <c r="G1289" i="3"/>
  <c r="F1289" i="3"/>
  <c r="E1289" i="3"/>
  <c r="D1289" i="3"/>
  <c r="C1289" i="3"/>
  <c r="B1289" i="3"/>
  <c r="A1289" i="3"/>
  <c r="M1288" i="3"/>
  <c r="L1288" i="3"/>
  <c r="K1288" i="3"/>
  <c r="J1288" i="3"/>
  <c r="I1288" i="3"/>
  <c r="H1288" i="3"/>
  <c r="G1288" i="3"/>
  <c r="F1288" i="3"/>
  <c r="D1288" i="3"/>
  <c r="C1288" i="3"/>
  <c r="B1288" i="3"/>
  <c r="A1288" i="3"/>
  <c r="M1287" i="3"/>
  <c r="L1287" i="3"/>
  <c r="K1287" i="3"/>
  <c r="J1287" i="3"/>
  <c r="I1287" i="3"/>
  <c r="H1287" i="3"/>
  <c r="G1287" i="3"/>
  <c r="F1287" i="3"/>
  <c r="E1287" i="3"/>
  <c r="D1287" i="3"/>
  <c r="C1287" i="3"/>
  <c r="B1287" i="3"/>
  <c r="A1287" i="3"/>
  <c r="M1286" i="3"/>
  <c r="L1286" i="3"/>
  <c r="K1286" i="3"/>
  <c r="J1286" i="3"/>
  <c r="I1286" i="3"/>
  <c r="H1286" i="3"/>
  <c r="G1286" i="3"/>
  <c r="F1286" i="3"/>
  <c r="E1286" i="3"/>
  <c r="D1286" i="3"/>
  <c r="C1286" i="3"/>
  <c r="B1286" i="3"/>
  <c r="A1286" i="3"/>
  <c r="M1285" i="3"/>
  <c r="L1285" i="3"/>
  <c r="K1285" i="3"/>
  <c r="J1285" i="3"/>
  <c r="I1285" i="3"/>
  <c r="H1285" i="3"/>
  <c r="G1285" i="3"/>
  <c r="F1285" i="3"/>
  <c r="E1285" i="3"/>
  <c r="D1285" i="3"/>
  <c r="C1285" i="3"/>
  <c r="B1285" i="3"/>
  <c r="A1285" i="3"/>
  <c r="M1284" i="3"/>
  <c r="L1284" i="3"/>
  <c r="K1284" i="3"/>
  <c r="J1284" i="3"/>
  <c r="I1284" i="3"/>
  <c r="H1284" i="3"/>
  <c r="G1284" i="3"/>
  <c r="F1284" i="3"/>
  <c r="E1284" i="3"/>
  <c r="D1284" i="3"/>
  <c r="C1284" i="3"/>
  <c r="B1284" i="3"/>
  <c r="A1284" i="3"/>
  <c r="M1283" i="3"/>
  <c r="L1283" i="3"/>
  <c r="K1283" i="3"/>
  <c r="J1283" i="3"/>
  <c r="I1283" i="3"/>
  <c r="H1283" i="3"/>
  <c r="G1283" i="3"/>
  <c r="F1283" i="3"/>
  <c r="E1283" i="3"/>
  <c r="D1283" i="3"/>
  <c r="C1283" i="3"/>
  <c r="B1283" i="3"/>
  <c r="A1283" i="3"/>
  <c r="M1282" i="3"/>
  <c r="L1282" i="3"/>
  <c r="K1282" i="3"/>
  <c r="J1282" i="3"/>
  <c r="I1282" i="3"/>
  <c r="H1282" i="3"/>
  <c r="G1282" i="3"/>
  <c r="F1282" i="3"/>
  <c r="E1282" i="3"/>
  <c r="D1282" i="3"/>
  <c r="C1282" i="3"/>
  <c r="B1282" i="3"/>
  <c r="A1282" i="3"/>
  <c r="M1281" i="3"/>
  <c r="L1281" i="3"/>
  <c r="K1281" i="3"/>
  <c r="J1281" i="3"/>
  <c r="I1281" i="3"/>
  <c r="H1281" i="3"/>
  <c r="G1281" i="3"/>
  <c r="F1281" i="3"/>
  <c r="E1281" i="3"/>
  <c r="D1281" i="3"/>
  <c r="C1281" i="3"/>
  <c r="B1281" i="3"/>
  <c r="A1281" i="3"/>
  <c r="M1280" i="3"/>
  <c r="L1280" i="3"/>
  <c r="K1280" i="3"/>
  <c r="J1280" i="3"/>
  <c r="I1280" i="3"/>
  <c r="H1280" i="3"/>
  <c r="G1280" i="3"/>
  <c r="F1280" i="3"/>
  <c r="E1280" i="3"/>
  <c r="D1280" i="3"/>
  <c r="C1280" i="3"/>
  <c r="B1280" i="3"/>
  <c r="A1280" i="3"/>
  <c r="M1279" i="3"/>
  <c r="L1279" i="3"/>
  <c r="K1279" i="3"/>
  <c r="J1279" i="3"/>
  <c r="I1279" i="3"/>
  <c r="H1279" i="3"/>
  <c r="G1279" i="3"/>
  <c r="F1279" i="3"/>
  <c r="E1279" i="3"/>
  <c r="D1279" i="3"/>
  <c r="C1279" i="3"/>
  <c r="B1279" i="3"/>
  <c r="A1279" i="3"/>
  <c r="M1278" i="3"/>
  <c r="L1278" i="3"/>
  <c r="K1278" i="3"/>
  <c r="J1278" i="3"/>
  <c r="I1278" i="3"/>
  <c r="H1278" i="3"/>
  <c r="G1278" i="3"/>
  <c r="F1278" i="3"/>
  <c r="E1278" i="3"/>
  <c r="D1278" i="3"/>
  <c r="C1278" i="3"/>
  <c r="B1278" i="3"/>
  <c r="A1278" i="3"/>
  <c r="M1277" i="3"/>
  <c r="L1277" i="3"/>
  <c r="K1277" i="3"/>
  <c r="J1277" i="3"/>
  <c r="I1277" i="3"/>
  <c r="H1277" i="3"/>
  <c r="G1277" i="3"/>
  <c r="F1277" i="3"/>
  <c r="E1277" i="3"/>
  <c r="D1277" i="3"/>
  <c r="C1277" i="3"/>
  <c r="B1277" i="3"/>
  <c r="A1277" i="3"/>
  <c r="M1276" i="3"/>
  <c r="L1276" i="3"/>
  <c r="K1276" i="3"/>
  <c r="J1276" i="3"/>
  <c r="I1276" i="3"/>
  <c r="H1276" i="3"/>
  <c r="G1276" i="3"/>
  <c r="F1276" i="3"/>
  <c r="E1276" i="3"/>
  <c r="D1276" i="3"/>
  <c r="C1276" i="3"/>
  <c r="B1276" i="3"/>
  <c r="A1276" i="3"/>
  <c r="M1275" i="3"/>
  <c r="L1275" i="3"/>
  <c r="K1275" i="3"/>
  <c r="J1275" i="3"/>
  <c r="I1275" i="3"/>
  <c r="H1275" i="3"/>
  <c r="G1275" i="3"/>
  <c r="F1275" i="3"/>
  <c r="E1275" i="3"/>
  <c r="D1275" i="3"/>
  <c r="C1275" i="3"/>
  <c r="B1275" i="3"/>
  <c r="A1275" i="3"/>
  <c r="M1274" i="3"/>
  <c r="L1274" i="3"/>
  <c r="K1274" i="3"/>
  <c r="J1274" i="3"/>
  <c r="I1274" i="3"/>
  <c r="H1274" i="3"/>
  <c r="G1274" i="3"/>
  <c r="F1274" i="3"/>
  <c r="E1274" i="3"/>
  <c r="D1274" i="3"/>
  <c r="C1274" i="3"/>
  <c r="B1274" i="3"/>
  <c r="A1274" i="3"/>
  <c r="M1273" i="3"/>
  <c r="L1273" i="3"/>
  <c r="K1273" i="3"/>
  <c r="J1273" i="3"/>
  <c r="I1273" i="3"/>
  <c r="H1273" i="3"/>
  <c r="G1273" i="3"/>
  <c r="F1273" i="3"/>
  <c r="E1273" i="3"/>
  <c r="D1273" i="3"/>
  <c r="C1273" i="3"/>
  <c r="B1273" i="3"/>
  <c r="A1273" i="3"/>
  <c r="M1272" i="3"/>
  <c r="L1272" i="3"/>
  <c r="K1272" i="3"/>
  <c r="J1272" i="3"/>
  <c r="I1272" i="3"/>
  <c r="H1272" i="3"/>
  <c r="G1272" i="3"/>
  <c r="F1272" i="3"/>
  <c r="E1272" i="3"/>
  <c r="D1272" i="3"/>
  <c r="C1272" i="3"/>
  <c r="B1272" i="3"/>
  <c r="A1272" i="3"/>
  <c r="M1271" i="3"/>
  <c r="L1271" i="3"/>
  <c r="K1271" i="3"/>
  <c r="J1271" i="3"/>
  <c r="I1271" i="3"/>
  <c r="H1271" i="3"/>
  <c r="G1271" i="3"/>
  <c r="F1271" i="3"/>
  <c r="E1271" i="3"/>
  <c r="D1271" i="3"/>
  <c r="C1271" i="3"/>
  <c r="B1271" i="3"/>
  <c r="A1271" i="3"/>
  <c r="M1270" i="3"/>
  <c r="L1270" i="3"/>
  <c r="K1270" i="3"/>
  <c r="J1270" i="3"/>
  <c r="I1270" i="3"/>
  <c r="H1270" i="3"/>
  <c r="G1270" i="3"/>
  <c r="F1270" i="3"/>
  <c r="E1270" i="3"/>
  <c r="D1270" i="3"/>
  <c r="C1270" i="3"/>
  <c r="B1270" i="3"/>
  <c r="A1270" i="3"/>
  <c r="M1269" i="3"/>
  <c r="L1269" i="3"/>
  <c r="K1269" i="3"/>
  <c r="J1269" i="3"/>
  <c r="I1269" i="3"/>
  <c r="H1269" i="3"/>
  <c r="G1269" i="3"/>
  <c r="F1269" i="3"/>
  <c r="E1269" i="3"/>
  <c r="D1269" i="3"/>
  <c r="C1269" i="3"/>
  <c r="B1269" i="3"/>
  <c r="A1269" i="3"/>
  <c r="M1268" i="3"/>
  <c r="L1268" i="3"/>
  <c r="K1268" i="3"/>
  <c r="J1268" i="3"/>
  <c r="I1268" i="3"/>
  <c r="H1268" i="3"/>
  <c r="G1268" i="3"/>
  <c r="F1268" i="3"/>
  <c r="E1268" i="3"/>
  <c r="D1268" i="3"/>
  <c r="C1268" i="3"/>
  <c r="B1268" i="3"/>
  <c r="A1268" i="3"/>
  <c r="M1267" i="3"/>
  <c r="L1267" i="3"/>
  <c r="K1267" i="3"/>
  <c r="J1267" i="3"/>
  <c r="I1267" i="3"/>
  <c r="H1267" i="3"/>
  <c r="G1267" i="3"/>
  <c r="F1267" i="3"/>
  <c r="E1267" i="3"/>
  <c r="D1267" i="3"/>
  <c r="C1267" i="3"/>
  <c r="B1267" i="3"/>
  <c r="A1267" i="3"/>
  <c r="M1266" i="3"/>
  <c r="L1266" i="3"/>
  <c r="K1266" i="3"/>
  <c r="J1266" i="3"/>
  <c r="I1266" i="3"/>
  <c r="H1266" i="3"/>
  <c r="G1266" i="3"/>
  <c r="F1266" i="3"/>
  <c r="E1266" i="3"/>
  <c r="D1266" i="3"/>
  <c r="C1266" i="3"/>
  <c r="B1266" i="3"/>
  <c r="A1266" i="3"/>
  <c r="M1265" i="3"/>
  <c r="L1265" i="3"/>
  <c r="K1265" i="3"/>
  <c r="J1265" i="3"/>
  <c r="I1265" i="3"/>
  <c r="H1265" i="3"/>
  <c r="G1265" i="3"/>
  <c r="F1265" i="3"/>
  <c r="E1265" i="3"/>
  <c r="D1265" i="3"/>
  <c r="C1265" i="3"/>
  <c r="B1265" i="3"/>
  <c r="A1265" i="3"/>
  <c r="M1264" i="3"/>
  <c r="L1264" i="3"/>
  <c r="K1264" i="3"/>
  <c r="J1264" i="3"/>
  <c r="I1264" i="3"/>
  <c r="H1264" i="3"/>
  <c r="G1264" i="3"/>
  <c r="F1264" i="3"/>
  <c r="E1264" i="3"/>
  <c r="D1264" i="3"/>
  <c r="C1264" i="3"/>
  <c r="B1264" i="3"/>
  <c r="A1264" i="3"/>
  <c r="M1263" i="3"/>
  <c r="L1263" i="3"/>
  <c r="K1263" i="3"/>
  <c r="J1263" i="3"/>
  <c r="I1263" i="3"/>
  <c r="H1263" i="3"/>
  <c r="G1263" i="3"/>
  <c r="F1263" i="3"/>
  <c r="E1263" i="3"/>
  <c r="D1263" i="3"/>
  <c r="C1263" i="3"/>
  <c r="B1263" i="3"/>
  <c r="A1263" i="3"/>
  <c r="M1262" i="3"/>
  <c r="L1262" i="3"/>
  <c r="K1262" i="3"/>
  <c r="J1262" i="3"/>
  <c r="I1262" i="3"/>
  <c r="H1262" i="3"/>
  <c r="G1262" i="3"/>
  <c r="F1262" i="3"/>
  <c r="E1262" i="3"/>
  <c r="D1262" i="3"/>
  <c r="C1262" i="3"/>
  <c r="B1262" i="3"/>
  <c r="A1262" i="3"/>
  <c r="M1261" i="3"/>
  <c r="L1261" i="3"/>
  <c r="K1261" i="3"/>
  <c r="J1261" i="3"/>
  <c r="I1261" i="3"/>
  <c r="H1261" i="3"/>
  <c r="G1261" i="3"/>
  <c r="F1261" i="3"/>
  <c r="E1261" i="3"/>
  <c r="D1261" i="3"/>
  <c r="B1261" i="3"/>
  <c r="A1261" i="3"/>
  <c r="M1260" i="3"/>
  <c r="L1260" i="3"/>
  <c r="K1260" i="3"/>
  <c r="J1260" i="3"/>
  <c r="I1260" i="3"/>
  <c r="H1260" i="3"/>
  <c r="G1260" i="3"/>
  <c r="F1260" i="3"/>
  <c r="E1260" i="3"/>
  <c r="D1260" i="3"/>
  <c r="C1260" i="3"/>
  <c r="B1260" i="3"/>
  <c r="A1260" i="3"/>
  <c r="M1259" i="3"/>
  <c r="L1259" i="3"/>
  <c r="K1259" i="3"/>
  <c r="J1259" i="3"/>
  <c r="I1259" i="3"/>
  <c r="H1259" i="3"/>
  <c r="G1259" i="3"/>
  <c r="F1259" i="3"/>
  <c r="E1259" i="3"/>
  <c r="D1259" i="3"/>
  <c r="C1259" i="3"/>
  <c r="B1259" i="3"/>
  <c r="A1259" i="3"/>
  <c r="M1258" i="3"/>
  <c r="L1258" i="3"/>
  <c r="K1258" i="3"/>
  <c r="J1258" i="3"/>
  <c r="I1258" i="3"/>
  <c r="H1258" i="3"/>
  <c r="G1258" i="3"/>
  <c r="F1258" i="3"/>
  <c r="E1258" i="3"/>
  <c r="D1258" i="3"/>
  <c r="C1258" i="3"/>
  <c r="B1258" i="3"/>
  <c r="A1258" i="3"/>
  <c r="M1257" i="3"/>
  <c r="L1257" i="3"/>
  <c r="K1257" i="3"/>
  <c r="J1257" i="3"/>
  <c r="I1257" i="3"/>
  <c r="H1257" i="3"/>
  <c r="G1257" i="3"/>
  <c r="F1257" i="3"/>
  <c r="E1257" i="3"/>
  <c r="D1257" i="3"/>
  <c r="C1257" i="3"/>
  <c r="B1257" i="3"/>
  <c r="A1257" i="3"/>
  <c r="M1256" i="3"/>
  <c r="L1256" i="3"/>
  <c r="K1256" i="3"/>
  <c r="J1256" i="3"/>
  <c r="I1256" i="3"/>
  <c r="H1256" i="3"/>
  <c r="G1256" i="3"/>
  <c r="F1256" i="3"/>
  <c r="E1256" i="3"/>
  <c r="D1256" i="3"/>
  <c r="C1256" i="3"/>
  <c r="B1256" i="3"/>
  <c r="A1256" i="3"/>
  <c r="M1255" i="3"/>
  <c r="L1255" i="3"/>
  <c r="K1255" i="3"/>
  <c r="J1255" i="3"/>
  <c r="I1255" i="3"/>
  <c r="H1255" i="3"/>
  <c r="G1255" i="3"/>
  <c r="F1255" i="3"/>
  <c r="E1255" i="3"/>
  <c r="D1255" i="3"/>
  <c r="B1255" i="3"/>
  <c r="A1255" i="3"/>
  <c r="M1254" i="3"/>
  <c r="L1254" i="3"/>
  <c r="K1254" i="3"/>
  <c r="J1254" i="3"/>
  <c r="I1254" i="3"/>
  <c r="H1254" i="3"/>
  <c r="G1254" i="3"/>
  <c r="F1254" i="3"/>
  <c r="E1254" i="3"/>
  <c r="D1254" i="3"/>
  <c r="C1254" i="3"/>
  <c r="B1254" i="3"/>
  <c r="A1254" i="3"/>
  <c r="M1253" i="3"/>
  <c r="L1253" i="3"/>
  <c r="K1253" i="3"/>
  <c r="J1253" i="3"/>
  <c r="I1253" i="3"/>
  <c r="H1253" i="3"/>
  <c r="G1253" i="3"/>
  <c r="F1253" i="3"/>
  <c r="E1253" i="3"/>
  <c r="D1253" i="3"/>
  <c r="C1253" i="3"/>
  <c r="B1253" i="3"/>
  <c r="A1253" i="3"/>
  <c r="M1252" i="3"/>
  <c r="L1252" i="3"/>
  <c r="K1252" i="3"/>
  <c r="J1252" i="3"/>
  <c r="I1252" i="3"/>
  <c r="H1252" i="3"/>
  <c r="G1252" i="3"/>
  <c r="F1252" i="3"/>
  <c r="E1252" i="3"/>
  <c r="D1252" i="3"/>
  <c r="C1252" i="3"/>
  <c r="B1252" i="3"/>
  <c r="A1252" i="3"/>
  <c r="M1251" i="3"/>
  <c r="L1251" i="3"/>
  <c r="K1251" i="3"/>
  <c r="J1251" i="3"/>
  <c r="I1251" i="3"/>
  <c r="H1251" i="3"/>
  <c r="G1251" i="3"/>
  <c r="F1251" i="3"/>
  <c r="E1251" i="3"/>
  <c r="D1251" i="3"/>
  <c r="C1251" i="3"/>
  <c r="B1251" i="3"/>
  <c r="A1251" i="3"/>
  <c r="M1250" i="3"/>
  <c r="L1250" i="3"/>
  <c r="K1250" i="3"/>
  <c r="J1250" i="3"/>
  <c r="I1250" i="3"/>
  <c r="H1250" i="3"/>
  <c r="G1250" i="3"/>
  <c r="F1250" i="3"/>
  <c r="E1250" i="3"/>
  <c r="D1250" i="3"/>
  <c r="C1250" i="3"/>
  <c r="B1250" i="3"/>
  <c r="A1250" i="3"/>
  <c r="M1249" i="3"/>
  <c r="L1249" i="3"/>
  <c r="K1249" i="3"/>
  <c r="J1249" i="3"/>
  <c r="I1249" i="3"/>
  <c r="H1249" i="3"/>
  <c r="G1249" i="3"/>
  <c r="F1249" i="3"/>
  <c r="E1249" i="3"/>
  <c r="D1249" i="3"/>
  <c r="C1249" i="3"/>
  <c r="B1249" i="3"/>
  <c r="A1249" i="3"/>
  <c r="M1248" i="3"/>
  <c r="L1248" i="3"/>
  <c r="K1248" i="3"/>
  <c r="J1248" i="3"/>
  <c r="I1248" i="3"/>
  <c r="H1248" i="3"/>
  <c r="G1248" i="3"/>
  <c r="F1248" i="3"/>
  <c r="E1248" i="3"/>
  <c r="D1248" i="3"/>
  <c r="C1248" i="3"/>
  <c r="B1248" i="3"/>
  <c r="A1248" i="3"/>
  <c r="M1247" i="3"/>
  <c r="L1247" i="3"/>
  <c r="K1247" i="3"/>
  <c r="J1247" i="3"/>
  <c r="I1247" i="3"/>
  <c r="H1247" i="3"/>
  <c r="G1247" i="3"/>
  <c r="F1247" i="3"/>
  <c r="E1247" i="3"/>
  <c r="D1247" i="3"/>
  <c r="C1247" i="3"/>
  <c r="B1247" i="3"/>
  <c r="A1247" i="3"/>
  <c r="M1246" i="3"/>
  <c r="L1246" i="3"/>
  <c r="K1246" i="3"/>
  <c r="J1246" i="3"/>
  <c r="I1246" i="3"/>
  <c r="H1246" i="3"/>
  <c r="G1246" i="3"/>
  <c r="F1246" i="3"/>
  <c r="E1246" i="3"/>
  <c r="D1246" i="3"/>
  <c r="C1246" i="3"/>
  <c r="B1246" i="3"/>
  <c r="A1246" i="3"/>
  <c r="M1245" i="3"/>
  <c r="L1245" i="3"/>
  <c r="K1245" i="3"/>
  <c r="J1245" i="3"/>
  <c r="I1245" i="3"/>
  <c r="H1245" i="3"/>
  <c r="G1245" i="3"/>
  <c r="F1245" i="3"/>
  <c r="E1245" i="3"/>
  <c r="D1245" i="3"/>
  <c r="C1245" i="3"/>
  <c r="B1245" i="3"/>
  <c r="A1245" i="3"/>
  <c r="M1244" i="3"/>
  <c r="L1244" i="3"/>
  <c r="K1244" i="3"/>
  <c r="J1244" i="3"/>
  <c r="I1244" i="3"/>
  <c r="H1244" i="3"/>
  <c r="G1244" i="3"/>
  <c r="F1244" i="3"/>
  <c r="E1244" i="3"/>
  <c r="D1244" i="3"/>
  <c r="C1244" i="3"/>
  <c r="B1244" i="3"/>
  <c r="A1244" i="3"/>
  <c r="M1243" i="3"/>
  <c r="L1243" i="3"/>
  <c r="K1243" i="3"/>
  <c r="J1243" i="3"/>
  <c r="I1243" i="3"/>
  <c r="H1243" i="3"/>
  <c r="G1243" i="3"/>
  <c r="F1243" i="3"/>
  <c r="E1243" i="3"/>
  <c r="D1243" i="3"/>
  <c r="C1243" i="3"/>
  <c r="B1243" i="3"/>
  <c r="A1243" i="3"/>
  <c r="M1242" i="3"/>
  <c r="L1242" i="3"/>
  <c r="K1242" i="3"/>
  <c r="J1242" i="3"/>
  <c r="I1242" i="3"/>
  <c r="H1242" i="3"/>
  <c r="G1242" i="3"/>
  <c r="F1242" i="3"/>
  <c r="E1242" i="3"/>
  <c r="D1242" i="3"/>
  <c r="C1242" i="3"/>
  <c r="B1242" i="3"/>
  <c r="A1242" i="3"/>
  <c r="M1241" i="3"/>
  <c r="L1241" i="3"/>
  <c r="K1241" i="3"/>
  <c r="J1241" i="3"/>
  <c r="I1241" i="3"/>
  <c r="H1241" i="3"/>
  <c r="G1241" i="3"/>
  <c r="F1241" i="3"/>
  <c r="E1241" i="3"/>
  <c r="D1241" i="3"/>
  <c r="C1241" i="3"/>
  <c r="B1241" i="3"/>
  <c r="A1241" i="3"/>
  <c r="M1240" i="3"/>
  <c r="L1240" i="3"/>
  <c r="K1240" i="3"/>
  <c r="J1240" i="3"/>
  <c r="I1240" i="3"/>
  <c r="H1240" i="3"/>
  <c r="G1240" i="3"/>
  <c r="F1240" i="3"/>
  <c r="E1240" i="3"/>
  <c r="D1240" i="3"/>
  <c r="C1240" i="3"/>
  <c r="B1240" i="3"/>
  <c r="A1240" i="3"/>
  <c r="M1239" i="3"/>
  <c r="L1239" i="3"/>
  <c r="K1239" i="3"/>
  <c r="J1239" i="3"/>
  <c r="I1239" i="3"/>
  <c r="H1239" i="3"/>
  <c r="G1239" i="3"/>
  <c r="F1239" i="3"/>
  <c r="E1239" i="3"/>
  <c r="D1239" i="3"/>
  <c r="C1239" i="3"/>
  <c r="B1239" i="3"/>
  <c r="A1239" i="3"/>
  <c r="M1238" i="3"/>
  <c r="L1238" i="3"/>
  <c r="K1238" i="3"/>
  <c r="J1238" i="3"/>
  <c r="I1238" i="3"/>
  <c r="H1238" i="3"/>
  <c r="G1238" i="3"/>
  <c r="F1238" i="3"/>
  <c r="E1238" i="3"/>
  <c r="D1238" i="3"/>
  <c r="C1238" i="3"/>
  <c r="B1238" i="3"/>
  <c r="A1238" i="3"/>
  <c r="M1237" i="3"/>
  <c r="L1237" i="3"/>
  <c r="K1237" i="3"/>
  <c r="J1237" i="3"/>
  <c r="I1237" i="3"/>
  <c r="H1237" i="3"/>
  <c r="G1237" i="3"/>
  <c r="F1237" i="3"/>
  <c r="E1237" i="3"/>
  <c r="D1237" i="3"/>
  <c r="B1237" i="3"/>
  <c r="A1237" i="3"/>
  <c r="M1236" i="3"/>
  <c r="L1236" i="3"/>
  <c r="K1236" i="3"/>
  <c r="J1236" i="3"/>
  <c r="I1236" i="3"/>
  <c r="H1236" i="3"/>
  <c r="G1236" i="3"/>
  <c r="F1236" i="3"/>
  <c r="E1236" i="3"/>
  <c r="D1236" i="3"/>
  <c r="C1236" i="3"/>
  <c r="B1236" i="3"/>
  <c r="A1236" i="3"/>
  <c r="M1235" i="3"/>
  <c r="L1235" i="3"/>
  <c r="K1235" i="3"/>
  <c r="J1235" i="3"/>
  <c r="I1235" i="3"/>
  <c r="H1235" i="3"/>
  <c r="G1235" i="3"/>
  <c r="F1235" i="3"/>
  <c r="E1235" i="3"/>
  <c r="D1235" i="3"/>
  <c r="C1235" i="3"/>
  <c r="B1235" i="3"/>
  <c r="A1235" i="3"/>
  <c r="M1234" i="3"/>
  <c r="L1234" i="3"/>
  <c r="K1234" i="3"/>
  <c r="J1234" i="3"/>
  <c r="I1234" i="3"/>
  <c r="H1234" i="3"/>
  <c r="G1234" i="3"/>
  <c r="F1234" i="3"/>
  <c r="E1234" i="3"/>
  <c r="D1234" i="3"/>
  <c r="C1234" i="3"/>
  <c r="B1234" i="3"/>
  <c r="A1234" i="3"/>
  <c r="M1233" i="3"/>
  <c r="L1233" i="3"/>
  <c r="K1233" i="3"/>
  <c r="J1233" i="3"/>
  <c r="I1233" i="3"/>
  <c r="H1233" i="3"/>
  <c r="G1233" i="3"/>
  <c r="F1233" i="3"/>
  <c r="E1233" i="3"/>
  <c r="D1233" i="3"/>
  <c r="C1233" i="3"/>
  <c r="B1233" i="3"/>
  <c r="A1233" i="3"/>
  <c r="M1232" i="3"/>
  <c r="L1232" i="3"/>
  <c r="K1232" i="3"/>
  <c r="J1232" i="3"/>
  <c r="I1232" i="3"/>
  <c r="H1232" i="3"/>
  <c r="G1232" i="3"/>
  <c r="F1232" i="3"/>
  <c r="E1232" i="3"/>
  <c r="D1232" i="3"/>
  <c r="C1232" i="3"/>
  <c r="B1232" i="3"/>
  <c r="A1232" i="3"/>
  <c r="M1231" i="3"/>
  <c r="L1231" i="3"/>
  <c r="K1231" i="3"/>
  <c r="J1231" i="3"/>
  <c r="I1231" i="3"/>
  <c r="H1231" i="3"/>
  <c r="G1231" i="3"/>
  <c r="F1231" i="3"/>
  <c r="E1231" i="3"/>
  <c r="D1231" i="3"/>
  <c r="C1231" i="3"/>
  <c r="B1231" i="3"/>
  <c r="A1231" i="3"/>
  <c r="M1230" i="3"/>
  <c r="L1230" i="3"/>
  <c r="K1230" i="3"/>
  <c r="J1230" i="3"/>
  <c r="I1230" i="3"/>
  <c r="H1230" i="3"/>
  <c r="G1230" i="3"/>
  <c r="F1230" i="3"/>
  <c r="E1230" i="3"/>
  <c r="D1230" i="3"/>
  <c r="C1230" i="3"/>
  <c r="B1230" i="3"/>
  <c r="A1230" i="3"/>
  <c r="M1229" i="3"/>
  <c r="L1229" i="3"/>
  <c r="K1229" i="3"/>
  <c r="J1229" i="3"/>
  <c r="I1229" i="3"/>
  <c r="H1229" i="3"/>
  <c r="G1229" i="3"/>
  <c r="F1229" i="3"/>
  <c r="E1229" i="3"/>
  <c r="D1229" i="3"/>
  <c r="C1229" i="3"/>
  <c r="B1229" i="3"/>
  <c r="A1229" i="3"/>
  <c r="M1228" i="3"/>
  <c r="L1228" i="3"/>
  <c r="K1228" i="3"/>
  <c r="J1228" i="3"/>
  <c r="I1228" i="3"/>
  <c r="H1228" i="3"/>
  <c r="G1228" i="3"/>
  <c r="F1228" i="3"/>
  <c r="E1228" i="3"/>
  <c r="D1228" i="3"/>
  <c r="C1228" i="3"/>
  <c r="B1228" i="3"/>
  <c r="A1228" i="3"/>
  <c r="M1227" i="3"/>
  <c r="L1227" i="3"/>
  <c r="K1227" i="3"/>
  <c r="J1227" i="3"/>
  <c r="I1227" i="3"/>
  <c r="H1227" i="3"/>
  <c r="G1227" i="3"/>
  <c r="F1227" i="3"/>
  <c r="E1227" i="3"/>
  <c r="D1227" i="3"/>
  <c r="C1227" i="3"/>
  <c r="B1227" i="3"/>
  <c r="A1227" i="3"/>
  <c r="M1226" i="3"/>
  <c r="L1226" i="3"/>
  <c r="K1226" i="3"/>
  <c r="J1226" i="3"/>
  <c r="I1226" i="3"/>
  <c r="H1226" i="3"/>
  <c r="G1226" i="3"/>
  <c r="F1226" i="3"/>
  <c r="E1226" i="3"/>
  <c r="D1226" i="3"/>
  <c r="C1226" i="3"/>
  <c r="B1226" i="3"/>
  <c r="A1226" i="3"/>
  <c r="M1225" i="3"/>
  <c r="L1225" i="3"/>
  <c r="K1225" i="3"/>
  <c r="J1225" i="3"/>
  <c r="I1225" i="3"/>
  <c r="H1225" i="3"/>
  <c r="G1225" i="3"/>
  <c r="F1225" i="3"/>
  <c r="E1225" i="3"/>
  <c r="D1225" i="3"/>
  <c r="C1225" i="3"/>
  <c r="B1225" i="3"/>
  <c r="A1225" i="3"/>
  <c r="M1224" i="3"/>
  <c r="L1224" i="3"/>
  <c r="K1224" i="3"/>
  <c r="J1224" i="3"/>
  <c r="I1224" i="3"/>
  <c r="H1224" i="3"/>
  <c r="G1224" i="3"/>
  <c r="F1224" i="3"/>
  <c r="E1224" i="3"/>
  <c r="D1224" i="3"/>
  <c r="C1224" i="3"/>
  <c r="B1224" i="3"/>
  <c r="A1224" i="3"/>
  <c r="M1223" i="3"/>
  <c r="L1223" i="3"/>
  <c r="K1223" i="3"/>
  <c r="J1223" i="3"/>
  <c r="I1223" i="3"/>
  <c r="H1223" i="3"/>
  <c r="G1223" i="3"/>
  <c r="F1223" i="3"/>
  <c r="E1223" i="3"/>
  <c r="D1223" i="3"/>
  <c r="C1223" i="3"/>
  <c r="B1223" i="3"/>
  <c r="A1223" i="3"/>
  <c r="M1222" i="3"/>
  <c r="L1222" i="3"/>
  <c r="K1222" i="3"/>
  <c r="J1222" i="3"/>
  <c r="I1222" i="3"/>
  <c r="H1222" i="3"/>
  <c r="G1222" i="3"/>
  <c r="F1222" i="3"/>
  <c r="E1222" i="3"/>
  <c r="D1222" i="3"/>
  <c r="C1222" i="3"/>
  <c r="B1222" i="3"/>
  <c r="A1222" i="3"/>
  <c r="M1221" i="3"/>
  <c r="L1221" i="3"/>
  <c r="K1221" i="3"/>
  <c r="J1221" i="3"/>
  <c r="I1221" i="3"/>
  <c r="H1221" i="3"/>
  <c r="G1221" i="3"/>
  <c r="F1221" i="3"/>
  <c r="E1221" i="3"/>
  <c r="D1221" i="3"/>
  <c r="C1221" i="3"/>
  <c r="B1221" i="3"/>
  <c r="A1221" i="3"/>
  <c r="M1220" i="3"/>
  <c r="L1220" i="3"/>
  <c r="K1220" i="3"/>
  <c r="J1220" i="3"/>
  <c r="I1220" i="3"/>
  <c r="H1220" i="3"/>
  <c r="G1220" i="3"/>
  <c r="F1220" i="3"/>
  <c r="E1220" i="3"/>
  <c r="D1220" i="3"/>
  <c r="C1220" i="3"/>
  <c r="B1220" i="3"/>
  <c r="A1220" i="3"/>
  <c r="M1219" i="3"/>
  <c r="L1219" i="3"/>
  <c r="K1219" i="3"/>
  <c r="J1219" i="3"/>
  <c r="I1219" i="3"/>
  <c r="H1219" i="3"/>
  <c r="G1219" i="3"/>
  <c r="F1219" i="3"/>
  <c r="E1219" i="3"/>
  <c r="D1219" i="3"/>
  <c r="C1219" i="3"/>
  <c r="B1219" i="3"/>
  <c r="A1219" i="3"/>
  <c r="M1218" i="3"/>
  <c r="L1218" i="3"/>
  <c r="K1218" i="3"/>
  <c r="J1218" i="3"/>
  <c r="I1218" i="3"/>
  <c r="H1218" i="3"/>
  <c r="G1218" i="3"/>
  <c r="F1218" i="3"/>
  <c r="E1218" i="3"/>
  <c r="D1218" i="3"/>
  <c r="C1218" i="3"/>
  <c r="B1218" i="3"/>
  <c r="A1218" i="3"/>
  <c r="M1217" i="3"/>
  <c r="L1217" i="3"/>
  <c r="K1217" i="3"/>
  <c r="J1217" i="3"/>
  <c r="I1217" i="3"/>
  <c r="H1217" i="3"/>
  <c r="G1217" i="3"/>
  <c r="F1217" i="3"/>
  <c r="E1217" i="3"/>
  <c r="D1217" i="3"/>
  <c r="C1217" i="3"/>
  <c r="B1217" i="3"/>
  <c r="A1217" i="3"/>
  <c r="M1216" i="3"/>
  <c r="L1216" i="3"/>
  <c r="K1216" i="3"/>
  <c r="J1216" i="3"/>
  <c r="I1216" i="3"/>
  <c r="H1216" i="3"/>
  <c r="G1216" i="3"/>
  <c r="F1216" i="3"/>
  <c r="E1216" i="3"/>
  <c r="D1216" i="3"/>
  <c r="C1216" i="3"/>
  <c r="B1216" i="3"/>
  <c r="A1216" i="3"/>
  <c r="M1215" i="3"/>
  <c r="L1215" i="3"/>
  <c r="K1215" i="3"/>
  <c r="J1215" i="3"/>
  <c r="I1215" i="3"/>
  <c r="H1215" i="3"/>
  <c r="G1215" i="3"/>
  <c r="F1215" i="3"/>
  <c r="E1215" i="3"/>
  <c r="D1215" i="3"/>
  <c r="C1215" i="3"/>
  <c r="B1215" i="3"/>
  <c r="A1215" i="3"/>
  <c r="M1214" i="3"/>
  <c r="L1214" i="3"/>
  <c r="K1214" i="3"/>
  <c r="J1214" i="3"/>
  <c r="I1214" i="3"/>
  <c r="H1214" i="3"/>
  <c r="G1214" i="3"/>
  <c r="F1214" i="3"/>
  <c r="E1214" i="3"/>
  <c r="D1214" i="3"/>
  <c r="C1214" i="3"/>
  <c r="B1214" i="3"/>
  <c r="A1214" i="3"/>
  <c r="M1213" i="3"/>
  <c r="L1213" i="3"/>
  <c r="K1213" i="3"/>
  <c r="J1213" i="3"/>
  <c r="I1213" i="3"/>
  <c r="H1213" i="3"/>
  <c r="G1213" i="3"/>
  <c r="F1213" i="3"/>
  <c r="E1213" i="3"/>
  <c r="D1213" i="3"/>
  <c r="C1213" i="3"/>
  <c r="B1213" i="3"/>
  <c r="A1213" i="3"/>
  <c r="M1212" i="3"/>
  <c r="L1212" i="3"/>
  <c r="K1212" i="3"/>
  <c r="J1212" i="3"/>
  <c r="I1212" i="3"/>
  <c r="H1212" i="3"/>
  <c r="G1212" i="3"/>
  <c r="F1212" i="3"/>
  <c r="E1212" i="3"/>
  <c r="D1212" i="3"/>
  <c r="C1212" i="3"/>
  <c r="B1212" i="3"/>
  <c r="A1212" i="3"/>
  <c r="M1211" i="3"/>
  <c r="L1211" i="3"/>
  <c r="K1211" i="3"/>
  <c r="J1211" i="3"/>
  <c r="I1211" i="3"/>
  <c r="H1211" i="3"/>
  <c r="G1211" i="3"/>
  <c r="F1211" i="3"/>
  <c r="E1211" i="3"/>
  <c r="D1211" i="3"/>
  <c r="C1211" i="3"/>
  <c r="B1211" i="3"/>
  <c r="A1211" i="3"/>
  <c r="M1210" i="3"/>
  <c r="L1210" i="3"/>
  <c r="K1210" i="3"/>
  <c r="J1210" i="3"/>
  <c r="I1210" i="3"/>
  <c r="H1210" i="3"/>
  <c r="G1210" i="3"/>
  <c r="F1210" i="3"/>
  <c r="E1210" i="3"/>
  <c r="D1210" i="3"/>
  <c r="C1210" i="3"/>
  <c r="B1210" i="3"/>
  <c r="A1210" i="3"/>
  <c r="M1209" i="3"/>
  <c r="L1209" i="3"/>
  <c r="K1209" i="3"/>
  <c r="J1209" i="3"/>
  <c r="I1209" i="3"/>
  <c r="H1209" i="3"/>
  <c r="G1209" i="3"/>
  <c r="F1209" i="3"/>
  <c r="E1209" i="3"/>
  <c r="D1209" i="3"/>
  <c r="C1209" i="3"/>
  <c r="B1209" i="3"/>
  <c r="A1209" i="3"/>
  <c r="M1208" i="3"/>
  <c r="L1208" i="3"/>
  <c r="K1208" i="3"/>
  <c r="J1208" i="3"/>
  <c r="I1208" i="3"/>
  <c r="H1208" i="3"/>
  <c r="G1208" i="3"/>
  <c r="F1208" i="3"/>
  <c r="E1208" i="3"/>
  <c r="D1208" i="3"/>
  <c r="C1208" i="3"/>
  <c r="B1208" i="3"/>
  <c r="A1208" i="3"/>
  <c r="M1207" i="3"/>
  <c r="L1207" i="3"/>
  <c r="K1207" i="3"/>
  <c r="J1207" i="3"/>
  <c r="I1207" i="3"/>
  <c r="H1207" i="3"/>
  <c r="G1207" i="3"/>
  <c r="F1207" i="3"/>
  <c r="E1207" i="3"/>
  <c r="D1207" i="3"/>
  <c r="C1207" i="3"/>
  <c r="B1207" i="3"/>
  <c r="A1207" i="3"/>
  <c r="M1206" i="3"/>
  <c r="L1206" i="3"/>
  <c r="K1206" i="3"/>
  <c r="J1206" i="3"/>
  <c r="I1206" i="3"/>
  <c r="H1206" i="3"/>
  <c r="G1206" i="3"/>
  <c r="F1206" i="3"/>
  <c r="E1206" i="3"/>
  <c r="D1206" i="3"/>
  <c r="C1206" i="3"/>
  <c r="B1206" i="3"/>
  <c r="A1206" i="3"/>
  <c r="M1205" i="3"/>
  <c r="L1205" i="3"/>
  <c r="K1205" i="3"/>
  <c r="J1205" i="3"/>
  <c r="I1205" i="3"/>
  <c r="H1205" i="3"/>
  <c r="G1205" i="3"/>
  <c r="F1205" i="3"/>
  <c r="E1205" i="3"/>
  <c r="D1205" i="3"/>
  <c r="C1205" i="3"/>
  <c r="B1205" i="3"/>
  <c r="A1205" i="3"/>
  <c r="M1204" i="3"/>
  <c r="L1204" i="3"/>
  <c r="K1204" i="3"/>
  <c r="J1204" i="3"/>
  <c r="I1204" i="3"/>
  <c r="H1204" i="3"/>
  <c r="G1204" i="3"/>
  <c r="F1204" i="3"/>
  <c r="E1204" i="3"/>
  <c r="D1204" i="3"/>
  <c r="C1204" i="3"/>
  <c r="B1204" i="3"/>
  <c r="A1204" i="3"/>
  <c r="M1203" i="3"/>
  <c r="L1203" i="3"/>
  <c r="K1203" i="3"/>
  <c r="J1203" i="3"/>
  <c r="I1203" i="3"/>
  <c r="H1203" i="3"/>
  <c r="F1203" i="3"/>
  <c r="E1203" i="3"/>
  <c r="D1203" i="3"/>
  <c r="C1203" i="3"/>
  <c r="B1203" i="3"/>
  <c r="A1203" i="3"/>
  <c r="M1202" i="3"/>
  <c r="L1202" i="3"/>
  <c r="K1202" i="3"/>
  <c r="J1202" i="3"/>
  <c r="I1202" i="3"/>
  <c r="H1202" i="3"/>
  <c r="F1202" i="3"/>
  <c r="E1202" i="3"/>
  <c r="D1202" i="3"/>
  <c r="C1202" i="3"/>
  <c r="B1202" i="3"/>
  <c r="A1202" i="3"/>
  <c r="M1201" i="3"/>
  <c r="L1201" i="3"/>
  <c r="K1201" i="3"/>
  <c r="J1201" i="3"/>
  <c r="I1201" i="3"/>
  <c r="H1201" i="3"/>
  <c r="F1201" i="3"/>
  <c r="E1201" i="3"/>
  <c r="D1201" i="3"/>
  <c r="C1201" i="3"/>
  <c r="B1201" i="3"/>
  <c r="A1201" i="3"/>
  <c r="M1200" i="3"/>
  <c r="L1200" i="3"/>
  <c r="K1200" i="3"/>
  <c r="J1200" i="3"/>
  <c r="I1200" i="3"/>
  <c r="H1200" i="3"/>
  <c r="F1200" i="3"/>
  <c r="E1200" i="3"/>
  <c r="D1200" i="3"/>
  <c r="C1200" i="3"/>
  <c r="B1200" i="3"/>
  <c r="A1200" i="3"/>
  <c r="M1199" i="3"/>
  <c r="L1199" i="3"/>
  <c r="K1199" i="3"/>
  <c r="J1199" i="3"/>
  <c r="I1199" i="3"/>
  <c r="H1199" i="3"/>
  <c r="F1199" i="3"/>
  <c r="E1199" i="3"/>
  <c r="D1199" i="3"/>
  <c r="C1199" i="3"/>
  <c r="B1199" i="3"/>
  <c r="A1199" i="3"/>
  <c r="M1198" i="3"/>
  <c r="L1198" i="3"/>
  <c r="K1198" i="3"/>
  <c r="J1198" i="3"/>
  <c r="I1198" i="3"/>
  <c r="H1198" i="3"/>
  <c r="F1198" i="3"/>
  <c r="E1198" i="3"/>
  <c r="D1198" i="3"/>
  <c r="C1198" i="3"/>
  <c r="B1198" i="3"/>
  <c r="A1198" i="3"/>
  <c r="M1197" i="3"/>
  <c r="L1197" i="3"/>
  <c r="K1197" i="3"/>
  <c r="J1197" i="3"/>
  <c r="I1197" i="3"/>
  <c r="H1197" i="3"/>
  <c r="G1197" i="3"/>
  <c r="F1197" i="3"/>
  <c r="E1197" i="3"/>
  <c r="D1197" i="3"/>
  <c r="C1197" i="3"/>
  <c r="B1197" i="3"/>
  <c r="A1197" i="3"/>
  <c r="M1196" i="3"/>
  <c r="L1196" i="3"/>
  <c r="K1196" i="3"/>
  <c r="J1196" i="3"/>
  <c r="I1196" i="3"/>
  <c r="H1196" i="3"/>
  <c r="F1196" i="3"/>
  <c r="E1196" i="3"/>
  <c r="D1196" i="3"/>
  <c r="C1196" i="3"/>
  <c r="B1196" i="3"/>
  <c r="A1196" i="3"/>
  <c r="M1195" i="3"/>
  <c r="L1195" i="3"/>
  <c r="K1195" i="3"/>
  <c r="J1195" i="3"/>
  <c r="I1195" i="3"/>
  <c r="H1195" i="3"/>
  <c r="G1195" i="3"/>
  <c r="F1195" i="3"/>
  <c r="E1195" i="3"/>
  <c r="D1195" i="3"/>
  <c r="C1195" i="3"/>
  <c r="B1195" i="3"/>
  <c r="A1195" i="3"/>
  <c r="M1194" i="3"/>
  <c r="L1194" i="3"/>
  <c r="K1194" i="3"/>
  <c r="J1194" i="3"/>
  <c r="I1194" i="3"/>
  <c r="H1194" i="3"/>
  <c r="G1194" i="3"/>
  <c r="F1194" i="3"/>
  <c r="E1194" i="3"/>
  <c r="D1194" i="3"/>
  <c r="C1194" i="3"/>
  <c r="B1194" i="3"/>
  <c r="A1194" i="3"/>
  <c r="M1193" i="3"/>
  <c r="L1193" i="3"/>
  <c r="K1193" i="3"/>
  <c r="J1193" i="3"/>
  <c r="I1193" i="3"/>
  <c r="H1193" i="3"/>
  <c r="G1193" i="3"/>
  <c r="F1193" i="3"/>
  <c r="E1193" i="3"/>
  <c r="D1193" i="3"/>
  <c r="C1193" i="3"/>
  <c r="B1193" i="3"/>
  <c r="A1193" i="3"/>
  <c r="M1192" i="3"/>
  <c r="L1192" i="3"/>
  <c r="K1192" i="3"/>
  <c r="J1192" i="3"/>
  <c r="I1192" i="3"/>
  <c r="H1192" i="3"/>
  <c r="G1192" i="3"/>
  <c r="F1192" i="3"/>
  <c r="E1192" i="3"/>
  <c r="D1192" i="3"/>
  <c r="C1192" i="3"/>
  <c r="B1192" i="3"/>
  <c r="A1192" i="3"/>
  <c r="M1191" i="3"/>
  <c r="L1191" i="3"/>
  <c r="K1191" i="3"/>
  <c r="J1191" i="3"/>
  <c r="I1191" i="3"/>
  <c r="H1191" i="3"/>
  <c r="G1191" i="3"/>
  <c r="F1191" i="3"/>
  <c r="E1191" i="3"/>
  <c r="D1191" i="3"/>
  <c r="C1191" i="3"/>
  <c r="B1191" i="3"/>
  <c r="A1191" i="3"/>
  <c r="M1190" i="3"/>
  <c r="L1190" i="3"/>
  <c r="K1190" i="3"/>
  <c r="J1190" i="3"/>
  <c r="I1190" i="3"/>
  <c r="H1190" i="3"/>
  <c r="G1190" i="3"/>
  <c r="F1190" i="3"/>
  <c r="E1190" i="3"/>
  <c r="D1190" i="3"/>
  <c r="C1190" i="3"/>
  <c r="B1190" i="3"/>
  <c r="A1190" i="3"/>
  <c r="M1189" i="3"/>
  <c r="L1189" i="3"/>
  <c r="K1189" i="3"/>
  <c r="J1189" i="3"/>
  <c r="I1189" i="3"/>
  <c r="H1189" i="3"/>
  <c r="G1189" i="3"/>
  <c r="F1189" i="3"/>
  <c r="E1189" i="3"/>
  <c r="D1189" i="3"/>
  <c r="C1189" i="3"/>
  <c r="B1189" i="3"/>
  <c r="A1189" i="3"/>
  <c r="M1188" i="3"/>
  <c r="L1188" i="3"/>
  <c r="K1188" i="3"/>
  <c r="J1188" i="3"/>
  <c r="I1188" i="3"/>
  <c r="H1188" i="3"/>
  <c r="G1188" i="3"/>
  <c r="F1188" i="3"/>
  <c r="E1188" i="3"/>
  <c r="D1188" i="3"/>
  <c r="C1188" i="3"/>
  <c r="B1188" i="3"/>
  <c r="A1188" i="3"/>
  <c r="M1187" i="3"/>
  <c r="L1187" i="3"/>
  <c r="K1187" i="3"/>
  <c r="J1187" i="3"/>
  <c r="I1187" i="3"/>
  <c r="H1187" i="3"/>
  <c r="G1187" i="3"/>
  <c r="F1187" i="3"/>
  <c r="E1187" i="3"/>
  <c r="D1187" i="3"/>
  <c r="C1187" i="3"/>
  <c r="B1187" i="3"/>
  <c r="A1187" i="3"/>
  <c r="M1186" i="3"/>
  <c r="L1186" i="3"/>
  <c r="K1186" i="3"/>
  <c r="J1186" i="3"/>
  <c r="I1186" i="3"/>
  <c r="H1186" i="3"/>
  <c r="G1186" i="3"/>
  <c r="F1186" i="3"/>
  <c r="E1186" i="3"/>
  <c r="D1186" i="3"/>
  <c r="C1186" i="3"/>
  <c r="B1186" i="3"/>
  <c r="A1186" i="3"/>
  <c r="M1185" i="3"/>
  <c r="L1185" i="3"/>
  <c r="K1185" i="3"/>
  <c r="J1185" i="3"/>
  <c r="I1185" i="3"/>
  <c r="H1185" i="3"/>
  <c r="G1185" i="3"/>
  <c r="F1185" i="3"/>
  <c r="E1185" i="3"/>
  <c r="D1185" i="3"/>
  <c r="C1185" i="3"/>
  <c r="B1185" i="3"/>
  <c r="A1185" i="3"/>
  <c r="M1184" i="3"/>
  <c r="L1184" i="3"/>
  <c r="K1184" i="3"/>
  <c r="J1184" i="3"/>
  <c r="I1184" i="3"/>
  <c r="H1184" i="3"/>
  <c r="G1184" i="3"/>
  <c r="F1184" i="3"/>
  <c r="E1184" i="3"/>
  <c r="D1184" i="3"/>
  <c r="C1184" i="3"/>
  <c r="B1184" i="3"/>
  <c r="A1184" i="3"/>
  <c r="M1183" i="3"/>
  <c r="L1183" i="3"/>
  <c r="K1183" i="3"/>
  <c r="J1183" i="3"/>
  <c r="I1183" i="3"/>
  <c r="H1183" i="3"/>
  <c r="G1183" i="3"/>
  <c r="F1183" i="3"/>
  <c r="E1183" i="3"/>
  <c r="D1183" i="3"/>
  <c r="C1183" i="3"/>
  <c r="B1183" i="3"/>
  <c r="A1183" i="3"/>
  <c r="M1182" i="3"/>
  <c r="L1182" i="3"/>
  <c r="K1182" i="3"/>
  <c r="J1182" i="3"/>
  <c r="I1182" i="3"/>
  <c r="H1182" i="3"/>
  <c r="G1182" i="3"/>
  <c r="F1182" i="3"/>
  <c r="E1182" i="3"/>
  <c r="D1182" i="3"/>
  <c r="C1182" i="3"/>
  <c r="B1182" i="3"/>
  <c r="A1182" i="3"/>
  <c r="M1181" i="3"/>
  <c r="L1181" i="3"/>
  <c r="K1181" i="3"/>
  <c r="J1181" i="3"/>
  <c r="I1181" i="3"/>
  <c r="H1181" i="3"/>
  <c r="G1181" i="3"/>
  <c r="F1181" i="3"/>
  <c r="D1181" i="3"/>
  <c r="C1181" i="3"/>
  <c r="B1181" i="3"/>
  <c r="A1181" i="3"/>
  <c r="M1180" i="3"/>
  <c r="L1180" i="3"/>
  <c r="K1180" i="3"/>
  <c r="J1180" i="3"/>
  <c r="I1180" i="3"/>
  <c r="H1180" i="3"/>
  <c r="G1180" i="3"/>
  <c r="F1180" i="3"/>
  <c r="E1180" i="3"/>
  <c r="D1180" i="3"/>
  <c r="C1180" i="3"/>
  <c r="B1180" i="3"/>
  <c r="A1180" i="3"/>
  <c r="M1179" i="3"/>
  <c r="L1179" i="3"/>
  <c r="K1179" i="3"/>
  <c r="J1179" i="3"/>
  <c r="I1179" i="3"/>
  <c r="H1179" i="3"/>
  <c r="G1179" i="3"/>
  <c r="F1179" i="3"/>
  <c r="E1179" i="3"/>
  <c r="D1179" i="3"/>
  <c r="C1179" i="3"/>
  <c r="B1179" i="3"/>
  <c r="A1179" i="3"/>
  <c r="M1178" i="3"/>
  <c r="L1178" i="3"/>
  <c r="K1178" i="3"/>
  <c r="J1178" i="3"/>
  <c r="I1178" i="3"/>
  <c r="H1178" i="3"/>
  <c r="G1178" i="3"/>
  <c r="F1178" i="3"/>
  <c r="E1178" i="3"/>
  <c r="D1178" i="3"/>
  <c r="C1178" i="3"/>
  <c r="B1178" i="3"/>
  <c r="A1178" i="3"/>
  <c r="M1177" i="3"/>
  <c r="L1177" i="3"/>
  <c r="K1177" i="3"/>
  <c r="J1177" i="3"/>
  <c r="I1177" i="3"/>
  <c r="H1177" i="3"/>
  <c r="G1177" i="3"/>
  <c r="F1177" i="3"/>
  <c r="E1177" i="3"/>
  <c r="D1177" i="3"/>
  <c r="C1177" i="3"/>
  <c r="B1177" i="3"/>
  <c r="A1177" i="3"/>
  <c r="M1176" i="3"/>
  <c r="L1176" i="3"/>
  <c r="K1176" i="3"/>
  <c r="J1176" i="3"/>
  <c r="I1176" i="3"/>
  <c r="H1176" i="3"/>
  <c r="G1176" i="3"/>
  <c r="F1176" i="3"/>
  <c r="E1176" i="3"/>
  <c r="D1176" i="3"/>
  <c r="C1176" i="3"/>
  <c r="B1176" i="3"/>
  <c r="A1176" i="3"/>
  <c r="M1175" i="3"/>
  <c r="L1175" i="3"/>
  <c r="K1175" i="3"/>
  <c r="J1175" i="3"/>
  <c r="I1175" i="3"/>
  <c r="H1175" i="3"/>
  <c r="G1175" i="3"/>
  <c r="F1175" i="3"/>
  <c r="E1175" i="3"/>
  <c r="D1175" i="3"/>
  <c r="C1175" i="3"/>
  <c r="B1175" i="3"/>
  <c r="A1175" i="3"/>
  <c r="M1174" i="3"/>
  <c r="L1174" i="3"/>
  <c r="K1174" i="3"/>
  <c r="J1174" i="3"/>
  <c r="I1174" i="3"/>
  <c r="H1174" i="3"/>
  <c r="G1174" i="3"/>
  <c r="F1174" i="3"/>
  <c r="E1174" i="3"/>
  <c r="D1174" i="3"/>
  <c r="C1174" i="3"/>
  <c r="B1174" i="3"/>
  <c r="A1174" i="3"/>
  <c r="M1173" i="3"/>
  <c r="L1173" i="3"/>
  <c r="K1173" i="3"/>
  <c r="J1173" i="3"/>
  <c r="I1173" i="3"/>
  <c r="H1173" i="3"/>
  <c r="G1173" i="3"/>
  <c r="F1173" i="3"/>
  <c r="E1173" i="3"/>
  <c r="D1173" i="3"/>
  <c r="C1173" i="3"/>
  <c r="B1173" i="3"/>
  <c r="A1173" i="3"/>
  <c r="M1172" i="3"/>
  <c r="L1172" i="3"/>
  <c r="K1172" i="3"/>
  <c r="J1172" i="3"/>
  <c r="I1172" i="3"/>
  <c r="H1172" i="3"/>
  <c r="G1172" i="3"/>
  <c r="F1172" i="3"/>
  <c r="E1172" i="3"/>
  <c r="D1172" i="3"/>
  <c r="C1172" i="3"/>
  <c r="B1172" i="3"/>
  <c r="A1172" i="3"/>
  <c r="M1171" i="3"/>
  <c r="L1171" i="3"/>
  <c r="K1171" i="3"/>
  <c r="J1171" i="3"/>
  <c r="I1171" i="3"/>
  <c r="H1171" i="3"/>
  <c r="G1171" i="3"/>
  <c r="F1171" i="3"/>
  <c r="E1171" i="3"/>
  <c r="D1171" i="3"/>
  <c r="C1171" i="3"/>
  <c r="B1171" i="3"/>
  <c r="A1171" i="3"/>
  <c r="M1170" i="3"/>
  <c r="L1170" i="3"/>
  <c r="K1170" i="3"/>
  <c r="J1170" i="3"/>
  <c r="I1170" i="3"/>
  <c r="H1170" i="3"/>
  <c r="G1170" i="3"/>
  <c r="F1170" i="3"/>
  <c r="E1170" i="3"/>
  <c r="D1170" i="3"/>
  <c r="C1170" i="3"/>
  <c r="B1170" i="3"/>
  <c r="A1170" i="3"/>
  <c r="M1169" i="3"/>
  <c r="L1169" i="3"/>
  <c r="K1169" i="3"/>
  <c r="J1169" i="3"/>
  <c r="I1169" i="3"/>
  <c r="H1169" i="3"/>
  <c r="G1169" i="3"/>
  <c r="F1169" i="3"/>
  <c r="E1169" i="3"/>
  <c r="D1169" i="3"/>
  <c r="C1169" i="3"/>
  <c r="B1169" i="3"/>
  <c r="A1169" i="3"/>
  <c r="M1168" i="3"/>
  <c r="L1168" i="3"/>
  <c r="K1168" i="3"/>
  <c r="J1168" i="3"/>
  <c r="I1168" i="3"/>
  <c r="H1168" i="3"/>
  <c r="F1168" i="3"/>
  <c r="E1168" i="3"/>
  <c r="D1168" i="3"/>
  <c r="C1168" i="3"/>
  <c r="B1168" i="3"/>
  <c r="A1168" i="3"/>
  <c r="M1167" i="3"/>
  <c r="L1167" i="3"/>
  <c r="K1167" i="3"/>
  <c r="J1167" i="3"/>
  <c r="I1167" i="3"/>
  <c r="H1167" i="3"/>
  <c r="G1167" i="3"/>
  <c r="F1167" i="3"/>
  <c r="E1167" i="3"/>
  <c r="D1167" i="3"/>
  <c r="C1167" i="3"/>
  <c r="B1167" i="3"/>
  <c r="A1167" i="3"/>
  <c r="M1166" i="3"/>
  <c r="L1166" i="3"/>
  <c r="K1166" i="3"/>
  <c r="J1166" i="3"/>
  <c r="I1166" i="3"/>
  <c r="H1166" i="3"/>
  <c r="G1166" i="3"/>
  <c r="F1166" i="3"/>
  <c r="E1166" i="3"/>
  <c r="D1166" i="3"/>
  <c r="C1166" i="3"/>
  <c r="B1166" i="3"/>
  <c r="A1166" i="3"/>
  <c r="M1165" i="3"/>
  <c r="L1165" i="3"/>
  <c r="K1165" i="3"/>
  <c r="J1165" i="3"/>
  <c r="I1165" i="3"/>
  <c r="H1165" i="3"/>
  <c r="G1165" i="3"/>
  <c r="F1165" i="3"/>
  <c r="E1165" i="3"/>
  <c r="D1165" i="3"/>
  <c r="C1165" i="3"/>
  <c r="B1165" i="3"/>
  <c r="A1165" i="3"/>
  <c r="M1164" i="3"/>
  <c r="L1164" i="3"/>
  <c r="K1164" i="3"/>
  <c r="J1164" i="3"/>
  <c r="I1164" i="3"/>
  <c r="H1164" i="3"/>
  <c r="G1164" i="3"/>
  <c r="F1164" i="3"/>
  <c r="E1164" i="3"/>
  <c r="D1164" i="3"/>
  <c r="C1164" i="3"/>
  <c r="B1164" i="3"/>
  <c r="A1164" i="3"/>
  <c r="M1163" i="3"/>
  <c r="L1163" i="3"/>
  <c r="K1163" i="3"/>
  <c r="J1163" i="3"/>
  <c r="I1163" i="3"/>
  <c r="H1163" i="3"/>
  <c r="G1163" i="3"/>
  <c r="F1163" i="3"/>
  <c r="E1163" i="3"/>
  <c r="D1163" i="3"/>
  <c r="C1163" i="3"/>
  <c r="B1163" i="3"/>
  <c r="A1163" i="3"/>
  <c r="M1162" i="3"/>
  <c r="L1162" i="3"/>
  <c r="K1162" i="3"/>
  <c r="J1162" i="3"/>
  <c r="I1162" i="3"/>
  <c r="H1162" i="3"/>
  <c r="G1162" i="3"/>
  <c r="F1162" i="3"/>
  <c r="E1162" i="3"/>
  <c r="D1162" i="3"/>
  <c r="C1162" i="3"/>
  <c r="B1162" i="3"/>
  <c r="A1162" i="3"/>
  <c r="M1161" i="3"/>
  <c r="L1161" i="3"/>
  <c r="K1161" i="3"/>
  <c r="J1161" i="3"/>
  <c r="I1161" i="3"/>
  <c r="H1161" i="3"/>
  <c r="G1161" i="3"/>
  <c r="F1161" i="3"/>
  <c r="E1161" i="3"/>
  <c r="D1161" i="3"/>
  <c r="C1161" i="3"/>
  <c r="B1161" i="3"/>
  <c r="A1161" i="3"/>
  <c r="M1160" i="3"/>
  <c r="L1160" i="3"/>
  <c r="K1160" i="3"/>
  <c r="J1160" i="3"/>
  <c r="I1160" i="3"/>
  <c r="H1160" i="3"/>
  <c r="G1160" i="3"/>
  <c r="F1160" i="3"/>
  <c r="E1160" i="3"/>
  <c r="D1160" i="3"/>
  <c r="C1160" i="3"/>
  <c r="B1160" i="3"/>
  <c r="A1160" i="3"/>
  <c r="M1159" i="3"/>
  <c r="L1159" i="3"/>
  <c r="K1159" i="3"/>
  <c r="J1159" i="3"/>
  <c r="I1159" i="3"/>
  <c r="H1159" i="3"/>
  <c r="G1159" i="3"/>
  <c r="F1159" i="3"/>
  <c r="E1159" i="3"/>
  <c r="D1159" i="3"/>
  <c r="C1159" i="3"/>
  <c r="B1159" i="3"/>
  <c r="A1159" i="3"/>
  <c r="M1158" i="3"/>
  <c r="L1158" i="3"/>
  <c r="K1158" i="3"/>
  <c r="J1158" i="3"/>
  <c r="I1158" i="3"/>
  <c r="H1158" i="3"/>
  <c r="G1158" i="3"/>
  <c r="F1158" i="3"/>
  <c r="E1158" i="3"/>
  <c r="D1158" i="3"/>
  <c r="C1158" i="3"/>
  <c r="B1158" i="3"/>
  <c r="A1158" i="3"/>
  <c r="M1157" i="3"/>
  <c r="L1157" i="3"/>
  <c r="K1157" i="3"/>
  <c r="J1157" i="3"/>
  <c r="I1157" i="3"/>
  <c r="H1157" i="3"/>
  <c r="G1157" i="3"/>
  <c r="F1157" i="3"/>
  <c r="E1157" i="3"/>
  <c r="D1157" i="3"/>
  <c r="C1157" i="3"/>
  <c r="B1157" i="3"/>
  <c r="A1157" i="3"/>
  <c r="M1156" i="3"/>
  <c r="L1156" i="3"/>
  <c r="K1156" i="3"/>
  <c r="J1156" i="3"/>
  <c r="I1156" i="3"/>
  <c r="H1156" i="3"/>
  <c r="G1156" i="3"/>
  <c r="F1156" i="3"/>
  <c r="E1156" i="3"/>
  <c r="D1156" i="3"/>
  <c r="C1156" i="3"/>
  <c r="B1156" i="3"/>
  <c r="A1156" i="3"/>
  <c r="M1155" i="3"/>
  <c r="L1155" i="3"/>
  <c r="K1155" i="3"/>
  <c r="J1155" i="3"/>
  <c r="I1155" i="3"/>
  <c r="H1155" i="3"/>
  <c r="G1155" i="3"/>
  <c r="F1155" i="3"/>
  <c r="E1155" i="3"/>
  <c r="D1155" i="3"/>
  <c r="C1155" i="3"/>
  <c r="B1155" i="3"/>
  <c r="A1155" i="3"/>
  <c r="M1154" i="3"/>
  <c r="L1154" i="3"/>
  <c r="K1154" i="3"/>
  <c r="J1154" i="3"/>
  <c r="I1154" i="3"/>
  <c r="H1154" i="3"/>
  <c r="G1154" i="3"/>
  <c r="F1154" i="3"/>
  <c r="E1154" i="3"/>
  <c r="D1154" i="3"/>
  <c r="C1154" i="3"/>
  <c r="B1154" i="3"/>
  <c r="A1154" i="3"/>
  <c r="M1153" i="3"/>
  <c r="L1153" i="3"/>
  <c r="K1153" i="3"/>
  <c r="J1153" i="3"/>
  <c r="I1153" i="3"/>
  <c r="H1153" i="3"/>
  <c r="F1153" i="3"/>
  <c r="E1153" i="3"/>
  <c r="D1153" i="3"/>
  <c r="C1153" i="3"/>
  <c r="B1153" i="3"/>
  <c r="A1153" i="3"/>
  <c r="M1152" i="3"/>
  <c r="L1152" i="3"/>
  <c r="K1152" i="3"/>
  <c r="J1152" i="3"/>
  <c r="I1152" i="3"/>
  <c r="H1152" i="3"/>
  <c r="G1152" i="3"/>
  <c r="F1152" i="3"/>
  <c r="E1152" i="3"/>
  <c r="D1152" i="3"/>
  <c r="C1152" i="3"/>
  <c r="B1152" i="3"/>
  <c r="A1152" i="3"/>
  <c r="M1151" i="3"/>
  <c r="L1151" i="3"/>
  <c r="K1151" i="3"/>
  <c r="J1151" i="3"/>
  <c r="I1151" i="3"/>
  <c r="H1151" i="3"/>
  <c r="G1151" i="3"/>
  <c r="F1151" i="3"/>
  <c r="E1151" i="3"/>
  <c r="D1151" i="3"/>
  <c r="C1151" i="3"/>
  <c r="B1151" i="3"/>
  <c r="A1151" i="3"/>
  <c r="M1150" i="3"/>
  <c r="L1150" i="3"/>
  <c r="K1150" i="3"/>
  <c r="J1150" i="3"/>
  <c r="I1150" i="3"/>
  <c r="H1150" i="3"/>
  <c r="F1150" i="3"/>
  <c r="E1150" i="3"/>
  <c r="D1150" i="3"/>
  <c r="C1150" i="3"/>
  <c r="B1150" i="3"/>
  <c r="A1150" i="3"/>
  <c r="M1149" i="3"/>
  <c r="L1149" i="3"/>
  <c r="K1149" i="3"/>
  <c r="J1149" i="3"/>
  <c r="I1149" i="3"/>
  <c r="H1149" i="3"/>
  <c r="G1149" i="3"/>
  <c r="F1149" i="3"/>
  <c r="E1149" i="3"/>
  <c r="D1149" i="3"/>
  <c r="C1149" i="3"/>
  <c r="B1149" i="3"/>
  <c r="A1149" i="3"/>
  <c r="M1148" i="3"/>
  <c r="L1148" i="3"/>
  <c r="K1148" i="3"/>
  <c r="J1148" i="3"/>
  <c r="I1148" i="3"/>
  <c r="H1148" i="3"/>
  <c r="G1148" i="3"/>
  <c r="F1148" i="3"/>
  <c r="E1148" i="3"/>
  <c r="D1148" i="3"/>
  <c r="C1148" i="3"/>
  <c r="B1148" i="3"/>
  <c r="A1148" i="3"/>
  <c r="M1147" i="3"/>
  <c r="L1147" i="3"/>
  <c r="K1147" i="3"/>
  <c r="J1147" i="3"/>
  <c r="I1147" i="3"/>
  <c r="H1147" i="3"/>
  <c r="G1147" i="3"/>
  <c r="F1147" i="3"/>
  <c r="E1147" i="3"/>
  <c r="D1147" i="3"/>
  <c r="C1147" i="3"/>
  <c r="B1147" i="3"/>
  <c r="A1147" i="3"/>
  <c r="M1146" i="3"/>
  <c r="L1146" i="3"/>
  <c r="K1146" i="3"/>
  <c r="J1146" i="3"/>
  <c r="I1146" i="3"/>
  <c r="H1146" i="3"/>
  <c r="G1146" i="3"/>
  <c r="F1146" i="3"/>
  <c r="E1146" i="3"/>
  <c r="D1146" i="3"/>
  <c r="C1146" i="3"/>
  <c r="B1146" i="3"/>
  <c r="A1146" i="3"/>
  <c r="M1145" i="3"/>
  <c r="L1145" i="3"/>
  <c r="K1145" i="3"/>
  <c r="J1145" i="3"/>
  <c r="I1145" i="3"/>
  <c r="H1145" i="3"/>
  <c r="G1145" i="3"/>
  <c r="F1145" i="3"/>
  <c r="E1145" i="3"/>
  <c r="D1145" i="3"/>
  <c r="C1145" i="3"/>
  <c r="B1145" i="3"/>
  <c r="A1145" i="3"/>
  <c r="M1144" i="3"/>
  <c r="L1144" i="3"/>
  <c r="K1144" i="3"/>
  <c r="J1144" i="3"/>
  <c r="I1144" i="3"/>
  <c r="H1144" i="3"/>
  <c r="G1144" i="3"/>
  <c r="F1144" i="3"/>
  <c r="E1144" i="3"/>
  <c r="D1144" i="3"/>
  <c r="C1144" i="3"/>
  <c r="B1144" i="3"/>
  <c r="A1144" i="3"/>
  <c r="M1143" i="3"/>
  <c r="L1143" i="3"/>
  <c r="K1143" i="3"/>
  <c r="J1143" i="3"/>
  <c r="I1143" i="3"/>
  <c r="H1143" i="3"/>
  <c r="G1143" i="3"/>
  <c r="F1143" i="3"/>
  <c r="E1143" i="3"/>
  <c r="D1143" i="3"/>
  <c r="C1143" i="3"/>
  <c r="B1143" i="3"/>
  <c r="A1143" i="3"/>
  <c r="M1142" i="3"/>
  <c r="L1142" i="3"/>
  <c r="K1142" i="3"/>
  <c r="J1142" i="3"/>
  <c r="I1142" i="3"/>
  <c r="H1142" i="3"/>
  <c r="G1142" i="3"/>
  <c r="F1142" i="3"/>
  <c r="E1142" i="3"/>
  <c r="D1142" i="3"/>
  <c r="C1142" i="3"/>
  <c r="B1142" i="3"/>
  <c r="A1142" i="3"/>
  <c r="M1141" i="3"/>
  <c r="L1141" i="3"/>
  <c r="K1141" i="3"/>
  <c r="J1141" i="3"/>
  <c r="I1141" i="3"/>
  <c r="H1141" i="3"/>
  <c r="G1141" i="3"/>
  <c r="F1141" i="3"/>
  <c r="E1141" i="3"/>
  <c r="D1141" i="3"/>
  <c r="C1141" i="3"/>
  <c r="B1141" i="3"/>
  <c r="A1141" i="3"/>
  <c r="M1140" i="3"/>
  <c r="L1140" i="3"/>
  <c r="K1140" i="3"/>
  <c r="J1140" i="3"/>
  <c r="I1140" i="3"/>
  <c r="H1140" i="3"/>
  <c r="G1140" i="3"/>
  <c r="F1140" i="3"/>
  <c r="E1140" i="3"/>
  <c r="D1140" i="3"/>
  <c r="C1140" i="3"/>
  <c r="B1140" i="3"/>
  <c r="A1140" i="3"/>
  <c r="M1139" i="3"/>
  <c r="L1139" i="3"/>
  <c r="K1139" i="3"/>
  <c r="J1139" i="3"/>
  <c r="I1139" i="3"/>
  <c r="H1139" i="3"/>
  <c r="G1139" i="3"/>
  <c r="F1139" i="3"/>
  <c r="E1139" i="3"/>
  <c r="D1139" i="3"/>
  <c r="C1139" i="3"/>
  <c r="B1139" i="3"/>
  <c r="A1139" i="3"/>
  <c r="M1138" i="3"/>
  <c r="L1138" i="3"/>
  <c r="K1138" i="3"/>
  <c r="J1138" i="3"/>
  <c r="I1138" i="3"/>
  <c r="H1138" i="3"/>
  <c r="G1138" i="3"/>
  <c r="F1138" i="3"/>
  <c r="E1138" i="3"/>
  <c r="D1138" i="3"/>
  <c r="C1138" i="3"/>
  <c r="B1138" i="3"/>
  <c r="A1138" i="3"/>
  <c r="M1137" i="3"/>
  <c r="L1137" i="3"/>
  <c r="K1137" i="3"/>
  <c r="J1137" i="3"/>
  <c r="I1137" i="3"/>
  <c r="H1137" i="3"/>
  <c r="G1137" i="3"/>
  <c r="F1137" i="3"/>
  <c r="E1137" i="3"/>
  <c r="D1137" i="3"/>
  <c r="B1137" i="3"/>
  <c r="A1137" i="3"/>
  <c r="M1136" i="3"/>
  <c r="L1136" i="3"/>
  <c r="K1136" i="3"/>
  <c r="J1136" i="3"/>
  <c r="I1136" i="3"/>
  <c r="H1136" i="3"/>
  <c r="G1136" i="3"/>
  <c r="F1136" i="3"/>
  <c r="E1136" i="3"/>
  <c r="D1136" i="3"/>
  <c r="C1136" i="3"/>
  <c r="B1136" i="3"/>
  <c r="A1136" i="3"/>
  <c r="M1135" i="3"/>
  <c r="L1135" i="3"/>
  <c r="K1135" i="3"/>
  <c r="J1135" i="3"/>
  <c r="I1135" i="3"/>
  <c r="H1135" i="3"/>
  <c r="G1135" i="3"/>
  <c r="F1135" i="3"/>
  <c r="E1135" i="3"/>
  <c r="D1135" i="3"/>
  <c r="C1135" i="3"/>
  <c r="B1135" i="3"/>
  <c r="A1135" i="3"/>
  <c r="M1134" i="3"/>
  <c r="L1134" i="3"/>
  <c r="K1134" i="3"/>
  <c r="J1134" i="3"/>
  <c r="I1134" i="3"/>
  <c r="H1134" i="3"/>
  <c r="G1134" i="3"/>
  <c r="F1134" i="3"/>
  <c r="E1134" i="3"/>
  <c r="D1134" i="3"/>
  <c r="C1134" i="3"/>
  <c r="B1134" i="3"/>
  <c r="A1134" i="3"/>
  <c r="M1133" i="3"/>
  <c r="L1133" i="3"/>
  <c r="K1133" i="3"/>
  <c r="J1133" i="3"/>
  <c r="I1133" i="3"/>
  <c r="H1133" i="3"/>
  <c r="G1133" i="3"/>
  <c r="F1133" i="3"/>
  <c r="E1133" i="3"/>
  <c r="D1133" i="3"/>
  <c r="C1133" i="3"/>
  <c r="B1133" i="3"/>
  <c r="A1133" i="3"/>
  <c r="M1132" i="3"/>
  <c r="L1132" i="3"/>
  <c r="K1132" i="3"/>
  <c r="J1132" i="3"/>
  <c r="I1132" i="3"/>
  <c r="H1132" i="3"/>
  <c r="G1132" i="3"/>
  <c r="F1132" i="3"/>
  <c r="E1132" i="3"/>
  <c r="D1132" i="3"/>
  <c r="C1132" i="3"/>
  <c r="B1132" i="3"/>
  <c r="A1132" i="3"/>
  <c r="M1131" i="3"/>
  <c r="L1131" i="3"/>
  <c r="K1131" i="3"/>
  <c r="J1131" i="3"/>
  <c r="I1131" i="3"/>
  <c r="H1131" i="3"/>
  <c r="G1131" i="3"/>
  <c r="F1131" i="3"/>
  <c r="E1131" i="3"/>
  <c r="D1131" i="3"/>
  <c r="C1131" i="3"/>
  <c r="B1131" i="3"/>
  <c r="A1131" i="3"/>
  <c r="M1130" i="3"/>
  <c r="L1130" i="3"/>
  <c r="K1130" i="3"/>
  <c r="J1130" i="3"/>
  <c r="I1130" i="3"/>
  <c r="H1130" i="3"/>
  <c r="G1130" i="3"/>
  <c r="F1130" i="3"/>
  <c r="E1130" i="3"/>
  <c r="D1130" i="3"/>
  <c r="C1130" i="3"/>
  <c r="B1130" i="3"/>
  <c r="A1130" i="3"/>
  <c r="M1129" i="3"/>
  <c r="L1129" i="3"/>
  <c r="K1129" i="3"/>
  <c r="J1129" i="3"/>
  <c r="I1129" i="3"/>
  <c r="H1129" i="3"/>
  <c r="G1129" i="3"/>
  <c r="F1129" i="3"/>
  <c r="E1129" i="3"/>
  <c r="D1129" i="3"/>
  <c r="C1129" i="3"/>
  <c r="B1129" i="3"/>
  <c r="A1129" i="3"/>
  <c r="M1128" i="3"/>
  <c r="L1128" i="3"/>
  <c r="K1128" i="3"/>
  <c r="J1128" i="3"/>
  <c r="I1128" i="3"/>
  <c r="H1128" i="3"/>
  <c r="F1128" i="3"/>
  <c r="E1128" i="3"/>
  <c r="D1128" i="3"/>
  <c r="B1128" i="3"/>
  <c r="A1128" i="3"/>
  <c r="M1127" i="3"/>
  <c r="L1127" i="3"/>
  <c r="K1127" i="3"/>
  <c r="J1127" i="3"/>
  <c r="I1127" i="3"/>
  <c r="H1127" i="3"/>
  <c r="F1127" i="3"/>
  <c r="E1127" i="3"/>
  <c r="D1127" i="3"/>
  <c r="C1127" i="3"/>
  <c r="B1127" i="3"/>
  <c r="A1127" i="3"/>
  <c r="M1126" i="3"/>
  <c r="L1126" i="3"/>
  <c r="K1126" i="3"/>
  <c r="J1126" i="3"/>
  <c r="I1126" i="3"/>
  <c r="H1126" i="3"/>
  <c r="F1126" i="3"/>
  <c r="E1126" i="3"/>
  <c r="D1126" i="3"/>
  <c r="C1126" i="3"/>
  <c r="B1126" i="3"/>
  <c r="A1126" i="3"/>
  <c r="M1125" i="3"/>
  <c r="L1125" i="3"/>
  <c r="K1125" i="3"/>
  <c r="J1125" i="3"/>
  <c r="I1125" i="3"/>
  <c r="H1125" i="3"/>
  <c r="F1125" i="3"/>
  <c r="E1125" i="3"/>
  <c r="D1125" i="3"/>
  <c r="C1125" i="3"/>
  <c r="B1125" i="3"/>
  <c r="A1125" i="3"/>
  <c r="M1124" i="3"/>
  <c r="L1124" i="3"/>
  <c r="K1124" i="3"/>
  <c r="J1124" i="3"/>
  <c r="I1124" i="3"/>
  <c r="H1124" i="3"/>
  <c r="F1124" i="3"/>
  <c r="E1124" i="3"/>
  <c r="D1124" i="3"/>
  <c r="C1124" i="3"/>
  <c r="B1124" i="3"/>
  <c r="A1124" i="3"/>
  <c r="M1123" i="3"/>
  <c r="L1123" i="3"/>
  <c r="K1123" i="3"/>
  <c r="J1123" i="3"/>
  <c r="I1123" i="3"/>
  <c r="H1123" i="3"/>
  <c r="F1123" i="3"/>
  <c r="E1123" i="3"/>
  <c r="D1123" i="3"/>
  <c r="C1123" i="3"/>
  <c r="B1123" i="3"/>
  <c r="A1123" i="3"/>
  <c r="M1122" i="3"/>
  <c r="L1122" i="3"/>
  <c r="K1122" i="3"/>
  <c r="J1122" i="3"/>
  <c r="I1122" i="3"/>
  <c r="H1122" i="3"/>
  <c r="G1122" i="3"/>
  <c r="F1122" i="3"/>
  <c r="E1122" i="3"/>
  <c r="D1122" i="3"/>
  <c r="C1122" i="3"/>
  <c r="B1122" i="3"/>
  <c r="A1122" i="3"/>
  <c r="M1121" i="3"/>
  <c r="L1121" i="3"/>
  <c r="K1121" i="3"/>
  <c r="J1121" i="3"/>
  <c r="I1121" i="3"/>
  <c r="H1121" i="3"/>
  <c r="F1121" i="3"/>
  <c r="E1121" i="3"/>
  <c r="D1121" i="3"/>
  <c r="C1121" i="3"/>
  <c r="B1121" i="3"/>
  <c r="A1121" i="3"/>
  <c r="M1120" i="3"/>
  <c r="L1120" i="3"/>
  <c r="K1120" i="3"/>
  <c r="J1120" i="3"/>
  <c r="I1120" i="3"/>
  <c r="H1120" i="3"/>
  <c r="F1120" i="3"/>
  <c r="E1120" i="3"/>
  <c r="D1120" i="3"/>
  <c r="C1120" i="3"/>
  <c r="B1120" i="3"/>
  <c r="A1120" i="3"/>
  <c r="M1119" i="3"/>
  <c r="L1119" i="3"/>
  <c r="K1119" i="3"/>
  <c r="J1119" i="3"/>
  <c r="I1119" i="3"/>
  <c r="H1119" i="3"/>
  <c r="G1119" i="3"/>
  <c r="F1119" i="3"/>
  <c r="E1119" i="3"/>
  <c r="D1119" i="3"/>
  <c r="C1119" i="3"/>
  <c r="B1119" i="3"/>
  <c r="A1119" i="3"/>
  <c r="M1118" i="3"/>
  <c r="L1118" i="3"/>
  <c r="K1118" i="3"/>
  <c r="J1118" i="3"/>
  <c r="I1118" i="3"/>
  <c r="H1118" i="3"/>
  <c r="G1118" i="3"/>
  <c r="F1118" i="3"/>
  <c r="E1118" i="3"/>
  <c r="D1118" i="3"/>
  <c r="C1118" i="3"/>
  <c r="B1118" i="3"/>
  <c r="A1118" i="3"/>
  <c r="M1117" i="3"/>
  <c r="L1117" i="3"/>
  <c r="K1117" i="3"/>
  <c r="J1117" i="3"/>
  <c r="I1117" i="3"/>
  <c r="H1117" i="3"/>
  <c r="G1117" i="3"/>
  <c r="F1117" i="3"/>
  <c r="E1117" i="3"/>
  <c r="D1117" i="3"/>
  <c r="C1117" i="3"/>
  <c r="B1117" i="3"/>
  <c r="A1117" i="3"/>
  <c r="M1116" i="3"/>
  <c r="L1116" i="3"/>
  <c r="K1116" i="3"/>
  <c r="J1116" i="3"/>
  <c r="I1116" i="3"/>
  <c r="H1116" i="3"/>
  <c r="G1116" i="3"/>
  <c r="F1116" i="3"/>
  <c r="E1116" i="3"/>
  <c r="D1116" i="3"/>
  <c r="C1116" i="3"/>
  <c r="B1116" i="3"/>
  <c r="A1116" i="3"/>
  <c r="M1115" i="3"/>
  <c r="L1115" i="3"/>
  <c r="K1115" i="3"/>
  <c r="J1115" i="3"/>
  <c r="I1115" i="3"/>
  <c r="H1115" i="3"/>
  <c r="G1115" i="3"/>
  <c r="F1115" i="3"/>
  <c r="E1115" i="3"/>
  <c r="D1115" i="3"/>
  <c r="C1115" i="3"/>
  <c r="B1115" i="3"/>
  <c r="A1115" i="3"/>
  <c r="M1114" i="3"/>
  <c r="L1114" i="3"/>
  <c r="K1114" i="3"/>
  <c r="J1114" i="3"/>
  <c r="I1114" i="3"/>
  <c r="H1114" i="3"/>
  <c r="G1114" i="3"/>
  <c r="F1114" i="3"/>
  <c r="E1114" i="3"/>
  <c r="D1114" i="3"/>
  <c r="C1114" i="3"/>
  <c r="B1114" i="3"/>
  <c r="A1114" i="3"/>
  <c r="M1113" i="3"/>
  <c r="L1113" i="3"/>
  <c r="K1113" i="3"/>
  <c r="J1113" i="3"/>
  <c r="I1113" i="3"/>
  <c r="H1113" i="3"/>
  <c r="G1113" i="3"/>
  <c r="F1113" i="3"/>
  <c r="E1113" i="3"/>
  <c r="D1113" i="3"/>
  <c r="C1113" i="3"/>
  <c r="B1113" i="3"/>
  <c r="A1113" i="3"/>
  <c r="M1112" i="3"/>
  <c r="L1112" i="3"/>
  <c r="K1112" i="3"/>
  <c r="J1112" i="3"/>
  <c r="I1112" i="3"/>
  <c r="H1112" i="3"/>
  <c r="G1112" i="3"/>
  <c r="F1112" i="3"/>
  <c r="E1112" i="3"/>
  <c r="D1112" i="3"/>
  <c r="C1112" i="3"/>
  <c r="B1112" i="3"/>
  <c r="A1112" i="3"/>
  <c r="M1111" i="3"/>
  <c r="L1111" i="3"/>
  <c r="K1111" i="3"/>
  <c r="J1111" i="3"/>
  <c r="I1111" i="3"/>
  <c r="H1111" i="3"/>
  <c r="G1111" i="3"/>
  <c r="F1111" i="3"/>
  <c r="E1111" i="3"/>
  <c r="D1111" i="3"/>
  <c r="C1111" i="3"/>
  <c r="B1111" i="3"/>
  <c r="A1111" i="3"/>
  <c r="M1110" i="3"/>
  <c r="L1110" i="3"/>
  <c r="K1110" i="3"/>
  <c r="J1110" i="3"/>
  <c r="I1110" i="3"/>
  <c r="H1110" i="3"/>
  <c r="G1110" i="3"/>
  <c r="F1110" i="3"/>
  <c r="E1110" i="3"/>
  <c r="D1110" i="3"/>
  <c r="C1110" i="3"/>
  <c r="B1110" i="3"/>
  <c r="A1110" i="3"/>
  <c r="M1109" i="3"/>
  <c r="L1109" i="3"/>
  <c r="K1109" i="3"/>
  <c r="J1109" i="3"/>
  <c r="I1109" i="3"/>
  <c r="H1109" i="3"/>
  <c r="G1109" i="3"/>
  <c r="F1109" i="3"/>
  <c r="E1109" i="3"/>
  <c r="D1109" i="3"/>
  <c r="C1109" i="3"/>
  <c r="B1109" i="3"/>
  <c r="A1109" i="3"/>
  <c r="M1108" i="3"/>
  <c r="L1108" i="3"/>
  <c r="K1108" i="3"/>
  <c r="J1108" i="3"/>
  <c r="I1108" i="3"/>
  <c r="H1108" i="3"/>
  <c r="G1108" i="3"/>
  <c r="F1108" i="3"/>
  <c r="E1108" i="3"/>
  <c r="D1108" i="3"/>
  <c r="C1108" i="3"/>
  <c r="B1108" i="3"/>
  <c r="A1108" i="3"/>
  <c r="M1107" i="3"/>
  <c r="L1107" i="3"/>
  <c r="K1107" i="3"/>
  <c r="J1107" i="3"/>
  <c r="I1107" i="3"/>
  <c r="H1107" i="3"/>
  <c r="G1107" i="3"/>
  <c r="F1107" i="3"/>
  <c r="E1107" i="3"/>
  <c r="D1107" i="3"/>
  <c r="C1107" i="3"/>
  <c r="B1107" i="3"/>
  <c r="A1107" i="3"/>
  <c r="M1106" i="3"/>
  <c r="L1106" i="3"/>
  <c r="K1106" i="3"/>
  <c r="J1106" i="3"/>
  <c r="I1106" i="3"/>
  <c r="H1106" i="3"/>
  <c r="G1106" i="3"/>
  <c r="F1106" i="3"/>
  <c r="E1106" i="3"/>
  <c r="D1106" i="3"/>
  <c r="C1106" i="3"/>
  <c r="B1106" i="3"/>
  <c r="A1106" i="3"/>
  <c r="M1105" i="3"/>
  <c r="L1105" i="3"/>
  <c r="K1105" i="3"/>
  <c r="J1105" i="3"/>
  <c r="I1105" i="3"/>
  <c r="H1105" i="3"/>
  <c r="F1105" i="3"/>
  <c r="E1105" i="3"/>
  <c r="D1105" i="3"/>
  <c r="C1105" i="3"/>
  <c r="B1105" i="3"/>
  <c r="A1105" i="3"/>
  <c r="M1104" i="3"/>
  <c r="L1104" i="3"/>
  <c r="K1104" i="3"/>
  <c r="J1104" i="3"/>
  <c r="I1104" i="3"/>
  <c r="H1104" i="3"/>
  <c r="F1104" i="3"/>
  <c r="E1104" i="3"/>
  <c r="D1104" i="3"/>
  <c r="C1104" i="3"/>
  <c r="B1104" i="3"/>
  <c r="A1104" i="3"/>
  <c r="M1103" i="3"/>
  <c r="L1103" i="3"/>
  <c r="K1103" i="3"/>
  <c r="J1103" i="3"/>
  <c r="I1103" i="3"/>
  <c r="H1103" i="3"/>
  <c r="G1103" i="3"/>
  <c r="F1103" i="3"/>
  <c r="E1103" i="3"/>
  <c r="D1103" i="3"/>
  <c r="C1103" i="3"/>
  <c r="B1103" i="3"/>
  <c r="A1103" i="3"/>
  <c r="M1102" i="3"/>
  <c r="L1102" i="3"/>
  <c r="K1102" i="3"/>
  <c r="J1102" i="3"/>
  <c r="I1102" i="3"/>
  <c r="H1102" i="3"/>
  <c r="G1102" i="3"/>
  <c r="F1102" i="3"/>
  <c r="E1102" i="3"/>
  <c r="D1102" i="3"/>
  <c r="C1102" i="3"/>
  <c r="B1102" i="3"/>
  <c r="A1102" i="3"/>
  <c r="M1101" i="3"/>
  <c r="L1101" i="3"/>
  <c r="K1101" i="3"/>
  <c r="J1101" i="3"/>
  <c r="I1101" i="3"/>
  <c r="H1101" i="3"/>
  <c r="G1101" i="3"/>
  <c r="F1101" i="3"/>
  <c r="E1101" i="3"/>
  <c r="D1101" i="3"/>
  <c r="C1101" i="3"/>
  <c r="B1101" i="3"/>
  <c r="A1101" i="3"/>
  <c r="M1100" i="3"/>
  <c r="L1100" i="3"/>
  <c r="K1100" i="3"/>
  <c r="J1100" i="3"/>
  <c r="I1100" i="3"/>
  <c r="H1100" i="3"/>
  <c r="G1100" i="3"/>
  <c r="F1100" i="3"/>
  <c r="E1100" i="3"/>
  <c r="D1100" i="3"/>
  <c r="C1100" i="3"/>
  <c r="B1100" i="3"/>
  <c r="A1100" i="3"/>
  <c r="M1099" i="3"/>
  <c r="L1099" i="3"/>
  <c r="K1099" i="3"/>
  <c r="J1099" i="3"/>
  <c r="I1099" i="3"/>
  <c r="H1099" i="3"/>
  <c r="G1099" i="3"/>
  <c r="F1099" i="3"/>
  <c r="E1099" i="3"/>
  <c r="D1099" i="3"/>
  <c r="C1099" i="3"/>
  <c r="B1099" i="3"/>
  <c r="A1099" i="3"/>
  <c r="M1098" i="3"/>
  <c r="L1098" i="3"/>
  <c r="K1098" i="3"/>
  <c r="J1098" i="3"/>
  <c r="I1098" i="3"/>
  <c r="H1098" i="3"/>
  <c r="G1098" i="3"/>
  <c r="F1098" i="3"/>
  <c r="E1098" i="3"/>
  <c r="D1098" i="3"/>
  <c r="C1098" i="3"/>
  <c r="B1098" i="3"/>
  <c r="A1098" i="3"/>
  <c r="M1097" i="3"/>
  <c r="L1097" i="3"/>
  <c r="K1097" i="3"/>
  <c r="J1097" i="3"/>
  <c r="I1097" i="3"/>
  <c r="H1097" i="3"/>
  <c r="G1097" i="3"/>
  <c r="F1097" i="3"/>
  <c r="E1097" i="3"/>
  <c r="D1097" i="3"/>
  <c r="C1097" i="3"/>
  <c r="B1097" i="3"/>
  <c r="A1097" i="3"/>
  <c r="M1096" i="3"/>
  <c r="L1096" i="3"/>
  <c r="K1096" i="3"/>
  <c r="J1096" i="3"/>
  <c r="I1096" i="3"/>
  <c r="H1096" i="3"/>
  <c r="G1096" i="3"/>
  <c r="F1096" i="3"/>
  <c r="E1096" i="3"/>
  <c r="D1096" i="3"/>
  <c r="C1096" i="3"/>
  <c r="B1096" i="3"/>
  <c r="A1096" i="3"/>
  <c r="M1095" i="3"/>
  <c r="L1095" i="3"/>
  <c r="K1095" i="3"/>
  <c r="J1095" i="3"/>
  <c r="I1095" i="3"/>
  <c r="H1095" i="3"/>
  <c r="G1095" i="3"/>
  <c r="F1095" i="3"/>
  <c r="E1095" i="3"/>
  <c r="D1095" i="3"/>
  <c r="C1095" i="3"/>
  <c r="B1095" i="3"/>
  <c r="A1095" i="3"/>
  <c r="M1094" i="3"/>
  <c r="L1094" i="3"/>
  <c r="K1094" i="3"/>
  <c r="J1094" i="3"/>
  <c r="I1094" i="3"/>
  <c r="H1094" i="3"/>
  <c r="G1094" i="3"/>
  <c r="F1094" i="3"/>
  <c r="E1094" i="3"/>
  <c r="D1094" i="3"/>
  <c r="C1094" i="3"/>
  <c r="B1094" i="3"/>
  <c r="A1094" i="3"/>
  <c r="M1093" i="3"/>
  <c r="L1093" i="3"/>
  <c r="K1093" i="3"/>
  <c r="J1093" i="3"/>
  <c r="I1093" i="3"/>
  <c r="H1093" i="3"/>
  <c r="G1093" i="3"/>
  <c r="F1093" i="3"/>
  <c r="E1093" i="3"/>
  <c r="D1093" i="3"/>
  <c r="C1093" i="3"/>
  <c r="B1093" i="3"/>
  <c r="A1093" i="3"/>
  <c r="M1092" i="3"/>
  <c r="L1092" i="3"/>
  <c r="K1092" i="3"/>
  <c r="J1092" i="3"/>
  <c r="I1092" i="3"/>
  <c r="H1092" i="3"/>
  <c r="G1092" i="3"/>
  <c r="F1092" i="3"/>
  <c r="E1092" i="3"/>
  <c r="D1092" i="3"/>
  <c r="C1092" i="3"/>
  <c r="B1092" i="3"/>
  <c r="A1092" i="3"/>
  <c r="M1091" i="3"/>
  <c r="L1091" i="3"/>
  <c r="K1091" i="3"/>
  <c r="J1091" i="3"/>
  <c r="I1091" i="3"/>
  <c r="H1091" i="3"/>
  <c r="F1091" i="3"/>
  <c r="E1091" i="3"/>
  <c r="D1091" i="3"/>
  <c r="C1091" i="3"/>
  <c r="B1091" i="3"/>
  <c r="A1091" i="3"/>
  <c r="M1090" i="3"/>
  <c r="L1090" i="3"/>
  <c r="K1090" i="3"/>
  <c r="J1090" i="3"/>
  <c r="I1090" i="3"/>
  <c r="H1090" i="3"/>
  <c r="G1090" i="3"/>
  <c r="F1090" i="3"/>
  <c r="E1090" i="3"/>
  <c r="D1090" i="3"/>
  <c r="C1090" i="3"/>
  <c r="B1090" i="3"/>
  <c r="A1090" i="3"/>
  <c r="M1089" i="3"/>
  <c r="L1089" i="3"/>
  <c r="K1089" i="3"/>
  <c r="J1089" i="3"/>
  <c r="I1089" i="3"/>
  <c r="H1089" i="3"/>
  <c r="G1089" i="3"/>
  <c r="F1089" i="3"/>
  <c r="E1089" i="3"/>
  <c r="D1089" i="3"/>
  <c r="C1089" i="3"/>
  <c r="B1089" i="3"/>
  <c r="A1089" i="3"/>
  <c r="M1088" i="3"/>
  <c r="L1088" i="3"/>
  <c r="K1088" i="3"/>
  <c r="J1088" i="3"/>
  <c r="I1088" i="3"/>
  <c r="H1088" i="3"/>
  <c r="G1088" i="3"/>
  <c r="F1088" i="3"/>
  <c r="E1088" i="3"/>
  <c r="D1088" i="3"/>
  <c r="C1088" i="3"/>
  <c r="B1088" i="3"/>
  <c r="A1088" i="3"/>
  <c r="M1087" i="3"/>
  <c r="L1087" i="3"/>
  <c r="K1087" i="3"/>
  <c r="J1087" i="3"/>
  <c r="I1087" i="3"/>
  <c r="H1087" i="3"/>
  <c r="G1087" i="3"/>
  <c r="F1087" i="3"/>
  <c r="E1087" i="3"/>
  <c r="D1087" i="3"/>
  <c r="C1087" i="3"/>
  <c r="B1087" i="3"/>
  <c r="A1087" i="3"/>
  <c r="M1086" i="3"/>
  <c r="L1086" i="3"/>
  <c r="K1086" i="3"/>
  <c r="J1086" i="3"/>
  <c r="I1086" i="3"/>
  <c r="H1086" i="3"/>
  <c r="G1086" i="3"/>
  <c r="F1086" i="3"/>
  <c r="E1086" i="3"/>
  <c r="D1086" i="3"/>
  <c r="C1086" i="3"/>
  <c r="B1086" i="3"/>
  <c r="A1086" i="3"/>
  <c r="M1085" i="3"/>
  <c r="L1085" i="3"/>
  <c r="K1085" i="3"/>
  <c r="J1085" i="3"/>
  <c r="I1085" i="3"/>
  <c r="H1085" i="3"/>
  <c r="G1085" i="3"/>
  <c r="F1085" i="3"/>
  <c r="E1085" i="3"/>
  <c r="D1085" i="3"/>
  <c r="C1085" i="3"/>
  <c r="B1085" i="3"/>
  <c r="A1085" i="3"/>
  <c r="M1084" i="3"/>
  <c r="L1084" i="3"/>
  <c r="K1084" i="3"/>
  <c r="J1084" i="3"/>
  <c r="I1084" i="3"/>
  <c r="H1084" i="3"/>
  <c r="G1084" i="3"/>
  <c r="F1084" i="3"/>
  <c r="E1084" i="3"/>
  <c r="D1084" i="3"/>
  <c r="C1084" i="3"/>
  <c r="B1084" i="3"/>
  <c r="A1084" i="3"/>
  <c r="M1083" i="3"/>
  <c r="L1083" i="3"/>
  <c r="K1083" i="3"/>
  <c r="J1083" i="3"/>
  <c r="I1083" i="3"/>
  <c r="H1083" i="3"/>
  <c r="G1083" i="3"/>
  <c r="F1083" i="3"/>
  <c r="E1083" i="3"/>
  <c r="D1083" i="3"/>
  <c r="C1083" i="3"/>
  <c r="B1083" i="3"/>
  <c r="A1083" i="3"/>
  <c r="M1082" i="3"/>
  <c r="L1082" i="3"/>
  <c r="K1082" i="3"/>
  <c r="J1082" i="3"/>
  <c r="I1082" i="3"/>
  <c r="H1082" i="3"/>
  <c r="G1082" i="3"/>
  <c r="F1082" i="3"/>
  <c r="D1082" i="3"/>
  <c r="C1082" i="3"/>
  <c r="B1082" i="3"/>
  <c r="A1082" i="3"/>
  <c r="M1081" i="3"/>
  <c r="L1081" i="3"/>
  <c r="K1081" i="3"/>
  <c r="J1081" i="3"/>
  <c r="I1081" i="3"/>
  <c r="H1081" i="3"/>
  <c r="G1081" i="3"/>
  <c r="F1081" i="3"/>
  <c r="E1081" i="3"/>
  <c r="D1081" i="3"/>
  <c r="C1081" i="3"/>
  <c r="B1081" i="3"/>
  <c r="A1081" i="3"/>
  <c r="M1080" i="3"/>
  <c r="L1080" i="3"/>
  <c r="K1080" i="3"/>
  <c r="J1080" i="3"/>
  <c r="I1080" i="3"/>
  <c r="H1080" i="3"/>
  <c r="G1080" i="3"/>
  <c r="F1080" i="3"/>
  <c r="E1080" i="3"/>
  <c r="D1080" i="3"/>
  <c r="C1080" i="3"/>
  <c r="B1080" i="3"/>
  <c r="A1080" i="3"/>
  <c r="M1079" i="3"/>
  <c r="L1079" i="3"/>
  <c r="K1079" i="3"/>
  <c r="J1079" i="3"/>
  <c r="I1079" i="3"/>
  <c r="H1079" i="3"/>
  <c r="G1079" i="3"/>
  <c r="F1079" i="3"/>
  <c r="E1079" i="3"/>
  <c r="D1079" i="3"/>
  <c r="C1079" i="3"/>
  <c r="B1079" i="3"/>
  <c r="A1079" i="3"/>
  <c r="M1078" i="3"/>
  <c r="L1078" i="3"/>
  <c r="K1078" i="3"/>
  <c r="J1078" i="3"/>
  <c r="I1078" i="3"/>
  <c r="H1078" i="3"/>
  <c r="G1078" i="3"/>
  <c r="F1078" i="3"/>
  <c r="D1078" i="3"/>
  <c r="C1078" i="3"/>
  <c r="B1078" i="3"/>
  <c r="A1078" i="3"/>
  <c r="M1077" i="3"/>
  <c r="L1077" i="3"/>
  <c r="K1077" i="3"/>
  <c r="J1077" i="3"/>
  <c r="I1077" i="3"/>
  <c r="H1077" i="3"/>
  <c r="G1077" i="3"/>
  <c r="F1077" i="3"/>
  <c r="E1077" i="3"/>
  <c r="D1077" i="3"/>
  <c r="C1077" i="3"/>
  <c r="B1077" i="3"/>
  <c r="A1077" i="3"/>
  <c r="M1076" i="3"/>
  <c r="L1076" i="3"/>
  <c r="K1076" i="3"/>
  <c r="J1076" i="3"/>
  <c r="I1076" i="3"/>
  <c r="H1076" i="3"/>
  <c r="G1076" i="3"/>
  <c r="F1076" i="3"/>
  <c r="E1076" i="3"/>
  <c r="D1076" i="3"/>
  <c r="C1076" i="3"/>
  <c r="B1076" i="3"/>
  <c r="A1076" i="3"/>
  <c r="M1075" i="3"/>
  <c r="L1075" i="3"/>
  <c r="K1075" i="3"/>
  <c r="J1075" i="3"/>
  <c r="I1075" i="3"/>
  <c r="H1075" i="3"/>
  <c r="G1075" i="3"/>
  <c r="F1075" i="3"/>
  <c r="E1075" i="3"/>
  <c r="D1075" i="3"/>
  <c r="C1075" i="3"/>
  <c r="B1075" i="3"/>
  <c r="A1075" i="3"/>
  <c r="M1074" i="3"/>
  <c r="L1074" i="3"/>
  <c r="K1074" i="3"/>
  <c r="J1074" i="3"/>
  <c r="I1074" i="3"/>
  <c r="H1074" i="3"/>
  <c r="G1074" i="3"/>
  <c r="F1074" i="3"/>
  <c r="E1074" i="3"/>
  <c r="D1074" i="3"/>
  <c r="C1074" i="3"/>
  <c r="B1074" i="3"/>
  <c r="A1074" i="3"/>
  <c r="M1073" i="3"/>
  <c r="L1073" i="3"/>
  <c r="K1073" i="3"/>
  <c r="J1073" i="3"/>
  <c r="I1073" i="3"/>
  <c r="H1073" i="3"/>
  <c r="G1073" i="3"/>
  <c r="F1073" i="3"/>
  <c r="E1073" i="3"/>
  <c r="D1073" i="3"/>
  <c r="C1073" i="3"/>
  <c r="B1073" i="3"/>
  <c r="A1073" i="3"/>
  <c r="M1072" i="3"/>
  <c r="L1072" i="3"/>
  <c r="K1072" i="3"/>
  <c r="J1072" i="3"/>
  <c r="I1072" i="3"/>
  <c r="H1072" i="3"/>
  <c r="G1072" i="3"/>
  <c r="F1072" i="3"/>
  <c r="E1072" i="3"/>
  <c r="D1072" i="3"/>
  <c r="C1072" i="3"/>
  <c r="B1072" i="3"/>
  <c r="A1072" i="3"/>
  <c r="M1071" i="3"/>
  <c r="L1071" i="3"/>
  <c r="K1071" i="3"/>
  <c r="J1071" i="3"/>
  <c r="I1071" i="3"/>
  <c r="H1071" i="3"/>
  <c r="G1071" i="3"/>
  <c r="F1071" i="3"/>
  <c r="E1071" i="3"/>
  <c r="D1071" i="3"/>
  <c r="C1071" i="3"/>
  <c r="B1071" i="3"/>
  <c r="A1071" i="3"/>
  <c r="M1070" i="3"/>
  <c r="L1070" i="3"/>
  <c r="K1070" i="3"/>
  <c r="J1070" i="3"/>
  <c r="I1070" i="3"/>
  <c r="H1070" i="3"/>
  <c r="G1070" i="3"/>
  <c r="F1070" i="3"/>
  <c r="E1070" i="3"/>
  <c r="D1070" i="3"/>
  <c r="C1070" i="3"/>
  <c r="B1070" i="3"/>
  <c r="A1070" i="3"/>
  <c r="M1069" i="3"/>
  <c r="L1069" i="3"/>
  <c r="K1069" i="3"/>
  <c r="J1069" i="3"/>
  <c r="I1069" i="3"/>
  <c r="H1069" i="3"/>
  <c r="G1069" i="3"/>
  <c r="F1069" i="3"/>
  <c r="E1069" i="3"/>
  <c r="D1069" i="3"/>
  <c r="C1069" i="3"/>
  <c r="B1069" i="3"/>
  <c r="A1069" i="3"/>
  <c r="M1068" i="3"/>
  <c r="L1068" i="3"/>
  <c r="K1068" i="3"/>
  <c r="J1068" i="3"/>
  <c r="I1068" i="3"/>
  <c r="H1068" i="3"/>
  <c r="G1068" i="3"/>
  <c r="F1068" i="3"/>
  <c r="D1068" i="3"/>
  <c r="C1068" i="3"/>
  <c r="B1068" i="3"/>
  <c r="A1068" i="3"/>
  <c r="M1067" i="3"/>
  <c r="L1067" i="3"/>
  <c r="K1067" i="3"/>
  <c r="J1067" i="3"/>
  <c r="I1067" i="3"/>
  <c r="H1067" i="3"/>
  <c r="G1067" i="3"/>
  <c r="F1067" i="3"/>
  <c r="E1067" i="3"/>
  <c r="D1067" i="3"/>
  <c r="C1067" i="3"/>
  <c r="B1067" i="3"/>
  <c r="A1067" i="3"/>
  <c r="M1066" i="3"/>
  <c r="L1066" i="3"/>
  <c r="K1066" i="3"/>
  <c r="J1066" i="3"/>
  <c r="I1066" i="3"/>
  <c r="H1066" i="3"/>
  <c r="G1066" i="3"/>
  <c r="F1066" i="3"/>
  <c r="E1066" i="3"/>
  <c r="D1066" i="3"/>
  <c r="C1066" i="3"/>
  <c r="B1066" i="3"/>
  <c r="A1066" i="3"/>
  <c r="M1065" i="3"/>
  <c r="L1065" i="3"/>
  <c r="K1065" i="3"/>
  <c r="J1065" i="3"/>
  <c r="I1065" i="3"/>
  <c r="H1065" i="3"/>
  <c r="G1065" i="3"/>
  <c r="F1065" i="3"/>
  <c r="E1065" i="3"/>
  <c r="D1065" i="3"/>
  <c r="C1065" i="3"/>
  <c r="B1065" i="3"/>
  <c r="A1065" i="3"/>
  <c r="M1064" i="3"/>
  <c r="L1064" i="3"/>
  <c r="K1064" i="3"/>
  <c r="J1064" i="3"/>
  <c r="I1064" i="3"/>
  <c r="H1064" i="3"/>
  <c r="G1064" i="3"/>
  <c r="F1064" i="3"/>
  <c r="E1064" i="3"/>
  <c r="D1064" i="3"/>
  <c r="C1064" i="3"/>
  <c r="B1064" i="3"/>
  <c r="A1064" i="3"/>
  <c r="M1063" i="3"/>
  <c r="L1063" i="3"/>
  <c r="K1063" i="3"/>
  <c r="J1063" i="3"/>
  <c r="I1063" i="3"/>
  <c r="H1063" i="3"/>
  <c r="G1063" i="3"/>
  <c r="F1063" i="3"/>
  <c r="E1063" i="3"/>
  <c r="D1063" i="3"/>
  <c r="C1063" i="3"/>
  <c r="B1063" i="3"/>
  <c r="A1063" i="3"/>
  <c r="M1062" i="3"/>
  <c r="L1062" i="3"/>
  <c r="K1062" i="3"/>
  <c r="J1062" i="3"/>
  <c r="I1062" i="3"/>
  <c r="H1062" i="3"/>
  <c r="G1062" i="3"/>
  <c r="F1062" i="3"/>
  <c r="E1062" i="3"/>
  <c r="D1062" i="3"/>
  <c r="C1062" i="3"/>
  <c r="B1062" i="3"/>
  <c r="A1062" i="3"/>
  <c r="M1061" i="3"/>
  <c r="L1061" i="3"/>
  <c r="K1061" i="3"/>
  <c r="J1061" i="3"/>
  <c r="I1061" i="3"/>
  <c r="H1061" i="3"/>
  <c r="G1061" i="3"/>
  <c r="F1061" i="3"/>
  <c r="E1061" i="3"/>
  <c r="D1061" i="3"/>
  <c r="C1061" i="3"/>
  <c r="B1061" i="3"/>
  <c r="A1061" i="3"/>
  <c r="M1060" i="3"/>
  <c r="L1060" i="3"/>
  <c r="K1060" i="3"/>
  <c r="J1060" i="3"/>
  <c r="I1060" i="3"/>
  <c r="H1060" i="3"/>
  <c r="G1060" i="3"/>
  <c r="F1060" i="3"/>
  <c r="E1060" i="3"/>
  <c r="D1060" i="3"/>
  <c r="C1060" i="3"/>
  <c r="B1060" i="3"/>
  <c r="A1060" i="3"/>
  <c r="M1059" i="3"/>
  <c r="L1059" i="3"/>
  <c r="K1059" i="3"/>
  <c r="J1059" i="3"/>
  <c r="I1059" i="3"/>
  <c r="H1059" i="3"/>
  <c r="G1059" i="3"/>
  <c r="F1059" i="3"/>
  <c r="E1059" i="3"/>
  <c r="D1059" i="3"/>
  <c r="C1059" i="3"/>
  <c r="B1059" i="3"/>
  <c r="A1059" i="3"/>
  <c r="M1058" i="3"/>
  <c r="L1058" i="3"/>
  <c r="K1058" i="3"/>
  <c r="J1058" i="3"/>
  <c r="I1058" i="3"/>
  <c r="H1058" i="3"/>
  <c r="G1058" i="3"/>
  <c r="F1058" i="3"/>
  <c r="E1058" i="3"/>
  <c r="D1058" i="3"/>
  <c r="C1058" i="3"/>
  <c r="B1058" i="3"/>
  <c r="A1058" i="3"/>
  <c r="M1057" i="3"/>
  <c r="L1057" i="3"/>
  <c r="K1057" i="3"/>
  <c r="J1057" i="3"/>
  <c r="I1057" i="3"/>
  <c r="H1057" i="3"/>
  <c r="G1057" i="3"/>
  <c r="F1057" i="3"/>
  <c r="E1057" i="3"/>
  <c r="D1057" i="3"/>
  <c r="C1057" i="3"/>
  <c r="B1057" i="3"/>
  <c r="A1057" i="3"/>
  <c r="M1056" i="3"/>
  <c r="L1056" i="3"/>
  <c r="K1056" i="3"/>
  <c r="J1056" i="3"/>
  <c r="I1056" i="3"/>
  <c r="H1056" i="3"/>
  <c r="G1056" i="3"/>
  <c r="F1056" i="3"/>
  <c r="E1056" i="3"/>
  <c r="D1056" i="3"/>
  <c r="C1056" i="3"/>
  <c r="B1056" i="3"/>
  <c r="A1056" i="3"/>
  <c r="M1055" i="3"/>
  <c r="L1055" i="3"/>
  <c r="K1055" i="3"/>
  <c r="J1055" i="3"/>
  <c r="I1055" i="3"/>
  <c r="H1055" i="3"/>
  <c r="G1055" i="3"/>
  <c r="F1055" i="3"/>
  <c r="E1055" i="3"/>
  <c r="D1055" i="3"/>
  <c r="C1055" i="3"/>
  <c r="B1055" i="3"/>
  <c r="A1055" i="3"/>
  <c r="M1054" i="3"/>
  <c r="L1054" i="3"/>
  <c r="K1054" i="3"/>
  <c r="J1054" i="3"/>
  <c r="I1054" i="3"/>
  <c r="H1054" i="3"/>
  <c r="G1054" i="3"/>
  <c r="F1054" i="3"/>
  <c r="E1054" i="3"/>
  <c r="D1054" i="3"/>
  <c r="C1054" i="3"/>
  <c r="B1054" i="3"/>
  <c r="A1054" i="3"/>
  <c r="M1053" i="3"/>
  <c r="L1053" i="3"/>
  <c r="K1053" i="3"/>
  <c r="J1053" i="3"/>
  <c r="I1053" i="3"/>
  <c r="H1053" i="3"/>
  <c r="G1053" i="3"/>
  <c r="F1053" i="3"/>
  <c r="E1053" i="3"/>
  <c r="D1053" i="3"/>
  <c r="C1053" i="3"/>
  <c r="B1053" i="3"/>
  <c r="A1053" i="3"/>
  <c r="M1052" i="3"/>
  <c r="L1052" i="3"/>
  <c r="K1052" i="3"/>
  <c r="J1052" i="3"/>
  <c r="I1052" i="3"/>
  <c r="H1052" i="3"/>
  <c r="G1052" i="3"/>
  <c r="F1052" i="3"/>
  <c r="E1052" i="3"/>
  <c r="D1052" i="3"/>
  <c r="C1052" i="3"/>
  <c r="B1052" i="3"/>
  <c r="A1052" i="3"/>
  <c r="M1051" i="3"/>
  <c r="L1051" i="3"/>
  <c r="K1051" i="3"/>
  <c r="J1051" i="3"/>
  <c r="I1051" i="3"/>
  <c r="H1051" i="3"/>
  <c r="G1051" i="3"/>
  <c r="F1051" i="3"/>
  <c r="E1051" i="3"/>
  <c r="D1051" i="3"/>
  <c r="C1051" i="3"/>
  <c r="B1051" i="3"/>
  <c r="A1051" i="3"/>
  <c r="M1050" i="3"/>
  <c r="L1050" i="3"/>
  <c r="K1050" i="3"/>
  <c r="J1050" i="3"/>
  <c r="I1050" i="3"/>
  <c r="H1050" i="3"/>
  <c r="G1050" i="3"/>
  <c r="F1050" i="3"/>
  <c r="E1050" i="3"/>
  <c r="D1050" i="3"/>
  <c r="C1050" i="3"/>
  <c r="B1050" i="3"/>
  <c r="A1050" i="3"/>
  <c r="M1049" i="3"/>
  <c r="L1049" i="3"/>
  <c r="K1049" i="3"/>
  <c r="J1049" i="3"/>
  <c r="I1049" i="3"/>
  <c r="H1049" i="3"/>
  <c r="G1049" i="3"/>
  <c r="F1049" i="3"/>
  <c r="E1049" i="3"/>
  <c r="D1049" i="3"/>
  <c r="C1049" i="3"/>
  <c r="B1049" i="3"/>
  <c r="A1049" i="3"/>
  <c r="M1048" i="3"/>
  <c r="L1048" i="3"/>
  <c r="K1048" i="3"/>
  <c r="J1048" i="3"/>
  <c r="I1048" i="3"/>
  <c r="H1048" i="3"/>
  <c r="G1048" i="3"/>
  <c r="F1048" i="3"/>
  <c r="E1048" i="3"/>
  <c r="D1048" i="3"/>
  <c r="C1048" i="3"/>
  <c r="B1048" i="3"/>
  <c r="A1048" i="3"/>
  <c r="M1047" i="3"/>
  <c r="L1047" i="3"/>
  <c r="K1047" i="3"/>
  <c r="J1047" i="3"/>
  <c r="I1047" i="3"/>
  <c r="H1047" i="3"/>
  <c r="G1047" i="3"/>
  <c r="F1047" i="3"/>
  <c r="E1047" i="3"/>
  <c r="D1047" i="3"/>
  <c r="C1047" i="3"/>
  <c r="B1047" i="3"/>
  <c r="A1047" i="3"/>
  <c r="M1046" i="3"/>
  <c r="L1046" i="3"/>
  <c r="K1046" i="3"/>
  <c r="J1046" i="3"/>
  <c r="I1046" i="3"/>
  <c r="H1046" i="3"/>
  <c r="G1046" i="3"/>
  <c r="F1046" i="3"/>
  <c r="E1046" i="3"/>
  <c r="D1046" i="3"/>
  <c r="C1046" i="3"/>
  <c r="B1046" i="3"/>
  <c r="A1046" i="3"/>
  <c r="M1045" i="3"/>
  <c r="L1045" i="3"/>
  <c r="K1045" i="3"/>
  <c r="J1045" i="3"/>
  <c r="I1045" i="3"/>
  <c r="H1045" i="3"/>
  <c r="G1045" i="3"/>
  <c r="F1045" i="3"/>
  <c r="E1045" i="3"/>
  <c r="D1045" i="3"/>
  <c r="C1045" i="3"/>
  <c r="B1045" i="3"/>
  <c r="A1045" i="3"/>
  <c r="M1044" i="3"/>
  <c r="L1044" i="3"/>
  <c r="K1044" i="3"/>
  <c r="J1044" i="3"/>
  <c r="I1044" i="3"/>
  <c r="H1044" i="3"/>
  <c r="G1044" i="3"/>
  <c r="F1044" i="3"/>
  <c r="E1044" i="3"/>
  <c r="D1044" i="3"/>
  <c r="C1044" i="3"/>
  <c r="B1044" i="3"/>
  <c r="A1044" i="3"/>
  <c r="M1043" i="3"/>
  <c r="L1043" i="3"/>
  <c r="K1043" i="3"/>
  <c r="J1043" i="3"/>
  <c r="I1043" i="3"/>
  <c r="H1043" i="3"/>
  <c r="G1043" i="3"/>
  <c r="F1043" i="3"/>
  <c r="E1043" i="3"/>
  <c r="D1043" i="3"/>
  <c r="C1043" i="3"/>
  <c r="B1043" i="3"/>
  <c r="A1043" i="3"/>
  <c r="M1042" i="3"/>
  <c r="L1042" i="3"/>
  <c r="K1042" i="3"/>
  <c r="J1042" i="3"/>
  <c r="I1042" i="3"/>
  <c r="H1042" i="3"/>
  <c r="G1042" i="3"/>
  <c r="F1042" i="3"/>
  <c r="E1042" i="3"/>
  <c r="D1042" i="3"/>
  <c r="C1042" i="3"/>
  <c r="B1042" i="3"/>
  <c r="A1042" i="3"/>
  <c r="M1041" i="3"/>
  <c r="L1041" i="3"/>
  <c r="K1041" i="3"/>
  <c r="J1041" i="3"/>
  <c r="I1041" i="3"/>
  <c r="H1041" i="3"/>
  <c r="G1041" i="3"/>
  <c r="F1041" i="3"/>
  <c r="E1041" i="3"/>
  <c r="D1041" i="3"/>
  <c r="C1041" i="3"/>
  <c r="B1041" i="3"/>
  <c r="A1041" i="3"/>
  <c r="M1040" i="3"/>
  <c r="L1040" i="3"/>
  <c r="K1040" i="3"/>
  <c r="J1040" i="3"/>
  <c r="I1040" i="3"/>
  <c r="H1040" i="3"/>
  <c r="G1040" i="3"/>
  <c r="F1040" i="3"/>
  <c r="D1040" i="3"/>
  <c r="C1040" i="3"/>
  <c r="B1040" i="3"/>
  <c r="A1040" i="3"/>
  <c r="M1039" i="3"/>
  <c r="L1039" i="3"/>
  <c r="K1039" i="3"/>
  <c r="J1039" i="3"/>
  <c r="I1039" i="3"/>
  <c r="H1039" i="3"/>
  <c r="G1039" i="3"/>
  <c r="F1039" i="3"/>
  <c r="E1039" i="3"/>
  <c r="D1039" i="3"/>
  <c r="C1039" i="3"/>
  <c r="B1039" i="3"/>
  <c r="A1039" i="3"/>
  <c r="M1038" i="3"/>
  <c r="L1038" i="3"/>
  <c r="K1038" i="3"/>
  <c r="J1038" i="3"/>
  <c r="I1038" i="3"/>
  <c r="H1038" i="3"/>
  <c r="G1038" i="3"/>
  <c r="F1038" i="3"/>
  <c r="E1038" i="3"/>
  <c r="D1038" i="3"/>
  <c r="C1038" i="3"/>
  <c r="B1038" i="3"/>
  <c r="A1038" i="3"/>
  <c r="M1037" i="3"/>
  <c r="L1037" i="3"/>
  <c r="K1037" i="3"/>
  <c r="J1037" i="3"/>
  <c r="I1037" i="3"/>
  <c r="H1037" i="3"/>
  <c r="G1037" i="3"/>
  <c r="F1037" i="3"/>
  <c r="E1037" i="3"/>
  <c r="D1037" i="3"/>
  <c r="C1037" i="3"/>
  <c r="B1037" i="3"/>
  <c r="A1037" i="3"/>
  <c r="M1036" i="3"/>
  <c r="L1036" i="3"/>
  <c r="K1036" i="3"/>
  <c r="J1036" i="3"/>
  <c r="I1036" i="3"/>
  <c r="H1036" i="3"/>
  <c r="G1036" i="3"/>
  <c r="F1036" i="3"/>
  <c r="D1036" i="3"/>
  <c r="C1036" i="3"/>
  <c r="B1036" i="3"/>
  <c r="A1036" i="3"/>
  <c r="M1035" i="3"/>
  <c r="L1035" i="3"/>
  <c r="K1035" i="3"/>
  <c r="J1035" i="3"/>
  <c r="I1035" i="3"/>
  <c r="H1035" i="3"/>
  <c r="G1035" i="3"/>
  <c r="F1035" i="3"/>
  <c r="E1035" i="3"/>
  <c r="D1035" i="3"/>
  <c r="C1035" i="3"/>
  <c r="B1035" i="3"/>
  <c r="A1035" i="3"/>
  <c r="M1034" i="3"/>
  <c r="L1034" i="3"/>
  <c r="K1034" i="3"/>
  <c r="J1034" i="3"/>
  <c r="I1034" i="3"/>
  <c r="H1034" i="3"/>
  <c r="G1034" i="3"/>
  <c r="F1034" i="3"/>
  <c r="E1034" i="3"/>
  <c r="D1034" i="3"/>
  <c r="C1034" i="3"/>
  <c r="B1034" i="3"/>
  <c r="A1034" i="3"/>
  <c r="M1033" i="3"/>
  <c r="L1033" i="3"/>
  <c r="K1033" i="3"/>
  <c r="J1033" i="3"/>
  <c r="I1033" i="3"/>
  <c r="H1033" i="3"/>
  <c r="G1033" i="3"/>
  <c r="F1033" i="3"/>
  <c r="E1033" i="3"/>
  <c r="D1033" i="3"/>
  <c r="C1033" i="3"/>
  <c r="B1033" i="3"/>
  <c r="A1033" i="3"/>
  <c r="M1032" i="3"/>
  <c r="L1032" i="3"/>
  <c r="K1032" i="3"/>
  <c r="J1032" i="3"/>
  <c r="I1032" i="3"/>
  <c r="H1032" i="3"/>
  <c r="G1032" i="3"/>
  <c r="F1032" i="3"/>
  <c r="E1032" i="3"/>
  <c r="D1032" i="3"/>
  <c r="C1032" i="3"/>
  <c r="B1032" i="3"/>
  <c r="A1032" i="3"/>
  <c r="M1031" i="3"/>
  <c r="L1031" i="3"/>
  <c r="K1031" i="3"/>
  <c r="J1031" i="3"/>
  <c r="I1031" i="3"/>
  <c r="H1031" i="3"/>
  <c r="G1031" i="3"/>
  <c r="F1031" i="3"/>
  <c r="E1031" i="3"/>
  <c r="D1031" i="3"/>
  <c r="C1031" i="3"/>
  <c r="B1031" i="3"/>
  <c r="A1031" i="3"/>
  <c r="M1030" i="3"/>
  <c r="L1030" i="3"/>
  <c r="K1030" i="3"/>
  <c r="J1030" i="3"/>
  <c r="I1030" i="3"/>
  <c r="H1030" i="3"/>
  <c r="G1030" i="3"/>
  <c r="F1030" i="3"/>
  <c r="E1030" i="3"/>
  <c r="D1030" i="3"/>
  <c r="C1030" i="3"/>
  <c r="B1030" i="3"/>
  <c r="A1030" i="3"/>
  <c r="M1029" i="3"/>
  <c r="L1029" i="3"/>
  <c r="K1029" i="3"/>
  <c r="J1029" i="3"/>
  <c r="I1029" i="3"/>
  <c r="H1029" i="3"/>
  <c r="G1029" i="3"/>
  <c r="F1029" i="3"/>
  <c r="D1029" i="3"/>
  <c r="C1029" i="3"/>
  <c r="B1029" i="3"/>
  <c r="A1029" i="3"/>
  <c r="M1028" i="3"/>
  <c r="L1028" i="3"/>
  <c r="K1028" i="3"/>
  <c r="J1028" i="3"/>
  <c r="I1028" i="3"/>
  <c r="H1028" i="3"/>
  <c r="G1028" i="3"/>
  <c r="F1028" i="3"/>
  <c r="E1028" i="3"/>
  <c r="D1028" i="3"/>
  <c r="C1028" i="3"/>
  <c r="B1028" i="3"/>
  <c r="A1028" i="3"/>
  <c r="M1027" i="3"/>
  <c r="L1027" i="3"/>
  <c r="K1027" i="3"/>
  <c r="J1027" i="3"/>
  <c r="I1027" i="3"/>
  <c r="H1027" i="3"/>
  <c r="G1027" i="3"/>
  <c r="F1027" i="3"/>
  <c r="E1027" i="3"/>
  <c r="D1027" i="3"/>
  <c r="C1027" i="3"/>
  <c r="B1027" i="3"/>
  <c r="A1027" i="3"/>
  <c r="M1026" i="3"/>
  <c r="L1026" i="3"/>
  <c r="K1026" i="3"/>
  <c r="J1026" i="3"/>
  <c r="I1026" i="3"/>
  <c r="H1026" i="3"/>
  <c r="G1026" i="3"/>
  <c r="F1026" i="3"/>
  <c r="E1026" i="3"/>
  <c r="D1026" i="3"/>
  <c r="C1026" i="3"/>
  <c r="B1026" i="3"/>
  <c r="A1026" i="3"/>
  <c r="M1025" i="3"/>
  <c r="L1025" i="3"/>
  <c r="K1025" i="3"/>
  <c r="J1025" i="3"/>
  <c r="I1025" i="3"/>
  <c r="H1025" i="3"/>
  <c r="G1025" i="3"/>
  <c r="F1025" i="3"/>
  <c r="E1025" i="3"/>
  <c r="D1025" i="3"/>
  <c r="C1025" i="3"/>
  <c r="B1025" i="3"/>
  <c r="A1025" i="3"/>
  <c r="M1024" i="3"/>
  <c r="L1024" i="3"/>
  <c r="K1024" i="3"/>
  <c r="J1024" i="3"/>
  <c r="I1024" i="3"/>
  <c r="H1024" i="3"/>
  <c r="G1024" i="3"/>
  <c r="F1024" i="3"/>
  <c r="E1024" i="3"/>
  <c r="D1024" i="3"/>
  <c r="C1024" i="3"/>
  <c r="B1024" i="3"/>
  <c r="A1024" i="3"/>
  <c r="M1023" i="3"/>
  <c r="L1023" i="3"/>
  <c r="K1023" i="3"/>
  <c r="J1023" i="3"/>
  <c r="I1023" i="3"/>
  <c r="H1023" i="3"/>
  <c r="G1023" i="3"/>
  <c r="F1023" i="3"/>
  <c r="E1023" i="3"/>
  <c r="D1023" i="3"/>
  <c r="C1023" i="3"/>
  <c r="B1023" i="3"/>
  <c r="A1023" i="3"/>
  <c r="M1022" i="3"/>
  <c r="L1022" i="3"/>
  <c r="K1022" i="3"/>
  <c r="J1022" i="3"/>
  <c r="I1022" i="3"/>
  <c r="H1022" i="3"/>
  <c r="G1022" i="3"/>
  <c r="E1022" i="3"/>
  <c r="D1022" i="3"/>
  <c r="C1022" i="3"/>
  <c r="B1022" i="3"/>
  <c r="A1022" i="3"/>
  <c r="M1021" i="3"/>
  <c r="L1021" i="3"/>
  <c r="K1021" i="3"/>
  <c r="J1021" i="3"/>
  <c r="I1021" i="3"/>
  <c r="H1021" i="3"/>
  <c r="G1021" i="3"/>
  <c r="F1021" i="3"/>
  <c r="E1021" i="3"/>
  <c r="D1021" i="3"/>
  <c r="C1021" i="3"/>
  <c r="B1021" i="3"/>
  <c r="A1021" i="3"/>
  <c r="M1020" i="3"/>
  <c r="L1020" i="3"/>
  <c r="K1020" i="3"/>
  <c r="J1020" i="3"/>
  <c r="I1020" i="3"/>
  <c r="H1020" i="3"/>
  <c r="G1020" i="3"/>
  <c r="F1020" i="3"/>
  <c r="E1020" i="3"/>
  <c r="D1020" i="3"/>
  <c r="C1020" i="3"/>
  <c r="B1020" i="3"/>
  <c r="A1020" i="3"/>
  <c r="M1019" i="3"/>
  <c r="L1019" i="3"/>
  <c r="K1019" i="3"/>
  <c r="J1019" i="3"/>
  <c r="I1019" i="3"/>
  <c r="H1019" i="3"/>
  <c r="G1019" i="3"/>
  <c r="F1019" i="3"/>
  <c r="E1019" i="3"/>
  <c r="D1019" i="3"/>
  <c r="C1019" i="3"/>
  <c r="B1019" i="3"/>
  <c r="A1019" i="3"/>
  <c r="M1018" i="3"/>
  <c r="L1018" i="3"/>
  <c r="K1018" i="3"/>
  <c r="J1018" i="3"/>
  <c r="I1018" i="3"/>
  <c r="H1018" i="3"/>
  <c r="G1018" i="3"/>
  <c r="F1018" i="3"/>
  <c r="E1018" i="3"/>
  <c r="D1018" i="3"/>
  <c r="C1018" i="3"/>
  <c r="B1018" i="3"/>
  <c r="A1018" i="3"/>
  <c r="M1017" i="3"/>
  <c r="L1017" i="3"/>
  <c r="K1017" i="3"/>
  <c r="J1017" i="3"/>
  <c r="I1017" i="3"/>
  <c r="H1017" i="3"/>
  <c r="G1017" i="3"/>
  <c r="F1017" i="3"/>
  <c r="E1017" i="3"/>
  <c r="D1017" i="3"/>
  <c r="C1017" i="3"/>
  <c r="B1017" i="3"/>
  <c r="A1017" i="3"/>
  <c r="M1016" i="3"/>
  <c r="L1016" i="3"/>
  <c r="K1016" i="3"/>
  <c r="J1016" i="3"/>
  <c r="I1016" i="3"/>
  <c r="H1016" i="3"/>
  <c r="G1016" i="3"/>
  <c r="F1016" i="3"/>
  <c r="E1016" i="3"/>
  <c r="D1016" i="3"/>
  <c r="C1016" i="3"/>
  <c r="B1016" i="3"/>
  <c r="A1016" i="3"/>
  <c r="M1015" i="3"/>
  <c r="L1015" i="3"/>
  <c r="K1015" i="3"/>
  <c r="J1015" i="3"/>
  <c r="I1015" i="3"/>
  <c r="H1015" i="3"/>
  <c r="G1015" i="3"/>
  <c r="F1015" i="3"/>
  <c r="E1015" i="3"/>
  <c r="D1015" i="3"/>
  <c r="C1015" i="3"/>
  <c r="B1015" i="3"/>
  <c r="A1015" i="3"/>
  <c r="M1014" i="3"/>
  <c r="L1014" i="3"/>
  <c r="K1014" i="3"/>
  <c r="J1014" i="3"/>
  <c r="I1014" i="3"/>
  <c r="H1014" i="3"/>
  <c r="G1014" i="3"/>
  <c r="F1014" i="3"/>
  <c r="E1014" i="3"/>
  <c r="D1014" i="3"/>
  <c r="C1014" i="3"/>
  <c r="B1014" i="3"/>
  <c r="A1014" i="3"/>
  <c r="M1013" i="3"/>
  <c r="L1013" i="3"/>
  <c r="K1013" i="3"/>
  <c r="J1013" i="3"/>
  <c r="I1013" i="3"/>
  <c r="H1013" i="3"/>
  <c r="G1013" i="3"/>
  <c r="F1013" i="3"/>
  <c r="E1013" i="3"/>
  <c r="D1013" i="3"/>
  <c r="C1013" i="3"/>
  <c r="B1013" i="3"/>
  <c r="A1013" i="3"/>
  <c r="M1012" i="3"/>
  <c r="L1012" i="3"/>
  <c r="K1012" i="3"/>
  <c r="J1012" i="3"/>
  <c r="I1012" i="3"/>
  <c r="H1012" i="3"/>
  <c r="G1012" i="3"/>
  <c r="F1012" i="3"/>
  <c r="E1012" i="3"/>
  <c r="D1012" i="3"/>
  <c r="C1012" i="3"/>
  <c r="B1012" i="3"/>
  <c r="A1012" i="3"/>
  <c r="M1011" i="3"/>
  <c r="L1011" i="3"/>
  <c r="K1011" i="3"/>
  <c r="J1011" i="3"/>
  <c r="I1011" i="3"/>
  <c r="H1011" i="3"/>
  <c r="G1011" i="3"/>
  <c r="F1011" i="3"/>
  <c r="E1011" i="3"/>
  <c r="D1011" i="3"/>
  <c r="C1011" i="3"/>
  <c r="B1011" i="3"/>
  <c r="A1011" i="3"/>
  <c r="M1010" i="3"/>
  <c r="L1010" i="3"/>
  <c r="K1010" i="3"/>
  <c r="J1010" i="3"/>
  <c r="I1010" i="3"/>
  <c r="H1010" i="3"/>
  <c r="G1010" i="3"/>
  <c r="F1010" i="3"/>
  <c r="E1010" i="3"/>
  <c r="D1010" i="3"/>
  <c r="C1010" i="3"/>
  <c r="B1010" i="3"/>
  <c r="A1010" i="3"/>
  <c r="M1009" i="3"/>
  <c r="L1009" i="3"/>
  <c r="K1009" i="3"/>
  <c r="J1009" i="3"/>
  <c r="I1009" i="3"/>
  <c r="H1009" i="3"/>
  <c r="G1009" i="3"/>
  <c r="F1009" i="3"/>
  <c r="E1009" i="3"/>
  <c r="D1009" i="3"/>
  <c r="C1009" i="3"/>
  <c r="B1009" i="3"/>
  <c r="A1009" i="3"/>
  <c r="M1008" i="3"/>
  <c r="L1008" i="3"/>
  <c r="K1008" i="3"/>
  <c r="J1008" i="3"/>
  <c r="I1008" i="3"/>
  <c r="H1008" i="3"/>
  <c r="G1008" i="3"/>
  <c r="F1008" i="3"/>
  <c r="E1008" i="3"/>
  <c r="D1008" i="3"/>
  <c r="C1008" i="3"/>
  <c r="B1008" i="3"/>
  <c r="A1008" i="3"/>
  <c r="M1007" i="3"/>
  <c r="L1007" i="3"/>
  <c r="K1007" i="3"/>
  <c r="J1007" i="3"/>
  <c r="I1007" i="3"/>
  <c r="H1007" i="3"/>
  <c r="G1007" i="3"/>
  <c r="F1007" i="3"/>
  <c r="E1007" i="3"/>
  <c r="D1007" i="3"/>
  <c r="C1007" i="3"/>
  <c r="B1007" i="3"/>
  <c r="A1007" i="3"/>
  <c r="M1006" i="3"/>
  <c r="L1006" i="3"/>
  <c r="K1006" i="3"/>
  <c r="J1006" i="3"/>
  <c r="I1006" i="3"/>
  <c r="H1006" i="3"/>
  <c r="G1006" i="3"/>
  <c r="F1006" i="3"/>
  <c r="E1006" i="3"/>
  <c r="D1006" i="3"/>
  <c r="C1006" i="3"/>
  <c r="B1006" i="3"/>
  <c r="A1006" i="3"/>
  <c r="M1005" i="3"/>
  <c r="L1005" i="3"/>
  <c r="K1005" i="3"/>
  <c r="J1005" i="3"/>
  <c r="I1005" i="3"/>
  <c r="H1005" i="3"/>
  <c r="G1005" i="3"/>
  <c r="F1005" i="3"/>
  <c r="E1005" i="3"/>
  <c r="D1005" i="3"/>
  <c r="C1005" i="3"/>
  <c r="B1005" i="3"/>
  <c r="A1005" i="3"/>
  <c r="M1004" i="3"/>
  <c r="L1004" i="3"/>
  <c r="K1004" i="3"/>
  <c r="J1004" i="3"/>
  <c r="I1004" i="3"/>
  <c r="H1004" i="3"/>
  <c r="G1004" i="3"/>
  <c r="F1004" i="3"/>
  <c r="E1004" i="3"/>
  <c r="D1004" i="3"/>
  <c r="C1004" i="3"/>
  <c r="B1004" i="3"/>
  <c r="A1004" i="3"/>
  <c r="M1003" i="3"/>
  <c r="L1003" i="3"/>
  <c r="K1003" i="3"/>
  <c r="J1003" i="3"/>
  <c r="I1003" i="3"/>
  <c r="H1003" i="3"/>
  <c r="G1003" i="3"/>
  <c r="F1003" i="3"/>
  <c r="E1003" i="3"/>
  <c r="D1003" i="3"/>
  <c r="C1003" i="3"/>
  <c r="B1003" i="3"/>
  <c r="A1003" i="3"/>
  <c r="M1002" i="3"/>
  <c r="L1002" i="3"/>
  <c r="K1002" i="3"/>
  <c r="J1002" i="3"/>
  <c r="I1002" i="3"/>
  <c r="H1002" i="3"/>
  <c r="G1002" i="3"/>
  <c r="F1002" i="3"/>
  <c r="E1002" i="3"/>
  <c r="D1002" i="3"/>
  <c r="C1002" i="3"/>
  <c r="B1002" i="3"/>
  <c r="A1002" i="3"/>
  <c r="M1001" i="3"/>
  <c r="L1001" i="3"/>
  <c r="K1001" i="3"/>
  <c r="J1001" i="3"/>
  <c r="I1001" i="3"/>
  <c r="H1001" i="3"/>
  <c r="G1001" i="3"/>
  <c r="F1001" i="3"/>
  <c r="E1001" i="3"/>
  <c r="D1001" i="3"/>
  <c r="C1001" i="3"/>
  <c r="B1001" i="3"/>
  <c r="A1001" i="3"/>
  <c r="M1000" i="3"/>
  <c r="L1000" i="3"/>
  <c r="K1000" i="3"/>
  <c r="J1000" i="3"/>
  <c r="I1000" i="3"/>
  <c r="H1000" i="3"/>
  <c r="G1000" i="3"/>
  <c r="F1000" i="3"/>
  <c r="E1000" i="3"/>
  <c r="D1000" i="3"/>
  <c r="C1000" i="3"/>
  <c r="B1000" i="3"/>
  <c r="A1000" i="3"/>
  <c r="M999" i="3"/>
  <c r="L999" i="3"/>
  <c r="K999" i="3"/>
  <c r="J999" i="3"/>
  <c r="I999" i="3"/>
  <c r="H999" i="3"/>
  <c r="G999" i="3"/>
  <c r="F999" i="3"/>
  <c r="E999" i="3"/>
  <c r="D999" i="3"/>
  <c r="C999" i="3"/>
  <c r="B999" i="3"/>
  <c r="A999" i="3"/>
  <c r="M998" i="3"/>
  <c r="L998" i="3"/>
  <c r="K998" i="3"/>
  <c r="J998" i="3"/>
  <c r="I998" i="3"/>
  <c r="H998" i="3"/>
  <c r="G998" i="3"/>
  <c r="F998" i="3"/>
  <c r="E998" i="3"/>
  <c r="D998" i="3"/>
  <c r="C998" i="3"/>
  <c r="B998" i="3"/>
  <c r="A998" i="3"/>
  <c r="M997" i="3"/>
  <c r="L997" i="3"/>
  <c r="K997" i="3"/>
  <c r="J997" i="3"/>
  <c r="I997" i="3"/>
  <c r="H997" i="3"/>
  <c r="G997" i="3"/>
  <c r="F997" i="3"/>
  <c r="E997" i="3"/>
  <c r="D997" i="3"/>
  <c r="C997" i="3"/>
  <c r="B997" i="3"/>
  <c r="A997" i="3"/>
  <c r="M996" i="3"/>
  <c r="L996" i="3"/>
  <c r="K996" i="3"/>
  <c r="J996" i="3"/>
  <c r="I996" i="3"/>
  <c r="H996" i="3"/>
  <c r="G996" i="3"/>
  <c r="F996" i="3"/>
  <c r="E996" i="3"/>
  <c r="D996" i="3"/>
  <c r="C996" i="3"/>
  <c r="B996" i="3"/>
  <c r="A996" i="3"/>
  <c r="M995" i="3"/>
  <c r="L995" i="3"/>
  <c r="K995" i="3"/>
  <c r="J995" i="3"/>
  <c r="I995" i="3"/>
  <c r="H995" i="3"/>
  <c r="G995" i="3"/>
  <c r="F995" i="3"/>
  <c r="E995" i="3"/>
  <c r="D995" i="3"/>
  <c r="C995" i="3"/>
  <c r="B995" i="3"/>
  <c r="A995" i="3"/>
  <c r="M994" i="3"/>
  <c r="L994" i="3"/>
  <c r="K994" i="3"/>
  <c r="J994" i="3"/>
  <c r="I994" i="3"/>
  <c r="H994" i="3"/>
  <c r="G994" i="3"/>
  <c r="F994" i="3"/>
  <c r="E994" i="3"/>
  <c r="D994" i="3"/>
  <c r="C994" i="3"/>
  <c r="B994" i="3"/>
  <c r="A994" i="3"/>
  <c r="M993" i="3"/>
  <c r="L993" i="3"/>
  <c r="K993" i="3"/>
  <c r="J993" i="3"/>
  <c r="I993" i="3"/>
  <c r="H993" i="3"/>
  <c r="G993" i="3"/>
  <c r="F993" i="3"/>
  <c r="E993" i="3"/>
  <c r="D993" i="3"/>
  <c r="C993" i="3"/>
  <c r="B993" i="3"/>
  <c r="A993" i="3"/>
  <c r="M992" i="3"/>
  <c r="L992" i="3"/>
  <c r="K992" i="3"/>
  <c r="J992" i="3"/>
  <c r="I992" i="3"/>
  <c r="H992" i="3"/>
  <c r="G992" i="3"/>
  <c r="F992" i="3"/>
  <c r="E992" i="3"/>
  <c r="D992" i="3"/>
  <c r="C992" i="3"/>
  <c r="B992" i="3"/>
  <c r="A992" i="3"/>
  <c r="M991" i="3"/>
  <c r="L991" i="3"/>
  <c r="K991" i="3"/>
  <c r="J991" i="3"/>
  <c r="I991" i="3"/>
  <c r="H991" i="3"/>
  <c r="G991" i="3"/>
  <c r="F991" i="3"/>
  <c r="E991" i="3"/>
  <c r="D991" i="3"/>
  <c r="C991" i="3"/>
  <c r="B991" i="3"/>
  <c r="A991" i="3"/>
  <c r="M990" i="3"/>
  <c r="L990" i="3"/>
  <c r="K990" i="3"/>
  <c r="J990" i="3"/>
  <c r="I990" i="3"/>
  <c r="H990" i="3"/>
  <c r="G990" i="3"/>
  <c r="F990" i="3"/>
  <c r="E990" i="3"/>
  <c r="D990" i="3"/>
  <c r="C990" i="3"/>
  <c r="B990" i="3"/>
  <c r="A990" i="3"/>
  <c r="M989" i="3"/>
  <c r="L989" i="3"/>
  <c r="K989" i="3"/>
  <c r="J989" i="3"/>
  <c r="I989" i="3"/>
  <c r="H989" i="3"/>
  <c r="G989" i="3"/>
  <c r="F989" i="3"/>
  <c r="E989" i="3"/>
  <c r="D989" i="3"/>
  <c r="C989" i="3"/>
  <c r="B989" i="3"/>
  <c r="A989" i="3"/>
  <c r="M988" i="3"/>
  <c r="L988" i="3"/>
  <c r="K988" i="3"/>
  <c r="J988" i="3"/>
  <c r="I988" i="3"/>
  <c r="H988" i="3"/>
  <c r="G988" i="3"/>
  <c r="F988" i="3"/>
  <c r="E988" i="3"/>
  <c r="D988" i="3"/>
  <c r="C988" i="3"/>
  <c r="B988" i="3"/>
  <c r="A988" i="3"/>
  <c r="M987" i="3"/>
  <c r="L987" i="3"/>
  <c r="K987" i="3"/>
  <c r="J987" i="3"/>
  <c r="I987" i="3"/>
  <c r="H987" i="3"/>
  <c r="F987" i="3"/>
  <c r="D987" i="3"/>
  <c r="C987" i="3"/>
  <c r="B987" i="3"/>
  <c r="A987" i="3"/>
  <c r="M986" i="3"/>
  <c r="L986" i="3"/>
  <c r="K986" i="3"/>
  <c r="J986" i="3"/>
  <c r="I986" i="3"/>
  <c r="H986" i="3"/>
  <c r="F986" i="3"/>
  <c r="D986" i="3"/>
  <c r="C986" i="3"/>
  <c r="B986" i="3"/>
  <c r="A986" i="3"/>
  <c r="M985" i="3"/>
  <c r="L985" i="3"/>
  <c r="K985" i="3"/>
  <c r="J985" i="3"/>
  <c r="I985" i="3"/>
  <c r="H985" i="3"/>
  <c r="G985" i="3"/>
  <c r="F985" i="3"/>
  <c r="E985" i="3"/>
  <c r="D985" i="3"/>
  <c r="C985" i="3"/>
  <c r="B985" i="3"/>
  <c r="A985" i="3"/>
  <c r="M984" i="3"/>
  <c r="L984" i="3"/>
  <c r="K984" i="3"/>
  <c r="J984" i="3"/>
  <c r="I984" i="3"/>
  <c r="H984" i="3"/>
  <c r="G984" i="3"/>
  <c r="F984" i="3"/>
  <c r="E984" i="3"/>
  <c r="D984" i="3"/>
  <c r="C984" i="3"/>
  <c r="B984" i="3"/>
  <c r="A984" i="3"/>
  <c r="M983" i="3"/>
  <c r="L983" i="3"/>
  <c r="K983" i="3"/>
  <c r="J983" i="3"/>
  <c r="I983" i="3"/>
  <c r="H983" i="3"/>
  <c r="G983" i="3"/>
  <c r="F983" i="3"/>
  <c r="E983" i="3"/>
  <c r="D983" i="3"/>
  <c r="C983" i="3"/>
  <c r="B983" i="3"/>
  <c r="A983" i="3"/>
  <c r="M982" i="3"/>
  <c r="L982" i="3"/>
  <c r="K982" i="3"/>
  <c r="J982" i="3"/>
  <c r="I982" i="3"/>
  <c r="H982" i="3"/>
  <c r="G982" i="3"/>
  <c r="F982" i="3"/>
  <c r="E982" i="3"/>
  <c r="D982" i="3"/>
  <c r="C982" i="3"/>
  <c r="B982" i="3"/>
  <c r="A982" i="3"/>
  <c r="M981" i="3"/>
  <c r="L981" i="3"/>
  <c r="K981" i="3"/>
  <c r="J981" i="3"/>
  <c r="I981" i="3"/>
  <c r="H981" i="3"/>
  <c r="G981" i="3"/>
  <c r="F981" i="3"/>
  <c r="E981" i="3"/>
  <c r="D981" i="3"/>
  <c r="C981" i="3"/>
  <c r="B981" i="3"/>
  <c r="A981" i="3"/>
  <c r="M980" i="3"/>
  <c r="L980" i="3"/>
  <c r="K980" i="3"/>
  <c r="J980" i="3"/>
  <c r="I980" i="3"/>
  <c r="H980" i="3"/>
  <c r="G980" i="3"/>
  <c r="F980" i="3"/>
  <c r="E980" i="3"/>
  <c r="D980" i="3"/>
  <c r="C980" i="3"/>
  <c r="B980" i="3"/>
  <c r="A980" i="3"/>
  <c r="M979" i="3"/>
  <c r="L979" i="3"/>
  <c r="K979" i="3"/>
  <c r="J979" i="3"/>
  <c r="I979" i="3"/>
  <c r="H979" i="3"/>
  <c r="G979" i="3"/>
  <c r="F979" i="3"/>
  <c r="E979" i="3"/>
  <c r="D979" i="3"/>
  <c r="C979" i="3"/>
  <c r="B979" i="3"/>
  <c r="A979" i="3"/>
  <c r="M978" i="3"/>
  <c r="L978" i="3"/>
  <c r="K978" i="3"/>
  <c r="J978" i="3"/>
  <c r="I978" i="3"/>
  <c r="H978" i="3"/>
  <c r="G978" i="3"/>
  <c r="F978" i="3"/>
  <c r="E978" i="3"/>
  <c r="D978" i="3"/>
  <c r="C978" i="3"/>
  <c r="B978" i="3"/>
  <c r="A978" i="3"/>
  <c r="M977" i="3"/>
  <c r="L977" i="3"/>
  <c r="K977" i="3"/>
  <c r="J977" i="3"/>
  <c r="I977" i="3"/>
  <c r="H977" i="3"/>
  <c r="G977" i="3"/>
  <c r="F977" i="3"/>
  <c r="E977" i="3"/>
  <c r="D977" i="3"/>
  <c r="C977" i="3"/>
  <c r="B977" i="3"/>
  <c r="A977" i="3"/>
  <c r="M976" i="3"/>
  <c r="L976" i="3"/>
  <c r="K976" i="3"/>
  <c r="J976" i="3"/>
  <c r="I976" i="3"/>
  <c r="H976" i="3"/>
  <c r="G976" i="3"/>
  <c r="F976" i="3"/>
  <c r="E976" i="3"/>
  <c r="D976" i="3"/>
  <c r="C976" i="3"/>
  <c r="B976" i="3"/>
  <c r="A976" i="3"/>
  <c r="M975" i="3"/>
  <c r="L975" i="3"/>
  <c r="K975" i="3"/>
  <c r="J975" i="3"/>
  <c r="I975" i="3"/>
  <c r="H975" i="3"/>
  <c r="G975" i="3"/>
  <c r="F975" i="3"/>
  <c r="E975" i="3"/>
  <c r="D975" i="3"/>
  <c r="C975" i="3"/>
  <c r="B975" i="3"/>
  <c r="A975" i="3"/>
  <c r="M974" i="3"/>
  <c r="L974" i="3"/>
  <c r="K974" i="3"/>
  <c r="J974" i="3"/>
  <c r="I974" i="3"/>
  <c r="H974" i="3"/>
  <c r="G974" i="3"/>
  <c r="F974" i="3"/>
  <c r="E974" i="3"/>
  <c r="D974" i="3"/>
  <c r="C974" i="3"/>
  <c r="B974" i="3"/>
  <c r="A974" i="3"/>
  <c r="M973" i="3"/>
  <c r="L973" i="3"/>
  <c r="K973" i="3"/>
  <c r="J973" i="3"/>
  <c r="I973" i="3"/>
  <c r="H973" i="3"/>
  <c r="G973" i="3"/>
  <c r="F973" i="3"/>
  <c r="E973" i="3"/>
  <c r="D973" i="3"/>
  <c r="C973" i="3"/>
  <c r="B973" i="3"/>
  <c r="A973" i="3"/>
  <c r="M972" i="3"/>
  <c r="L972" i="3"/>
  <c r="K972" i="3"/>
  <c r="J972" i="3"/>
  <c r="I972" i="3"/>
  <c r="H972" i="3"/>
  <c r="G972" i="3"/>
  <c r="F972" i="3"/>
  <c r="E972" i="3"/>
  <c r="D972" i="3"/>
  <c r="C972" i="3"/>
  <c r="B972" i="3"/>
  <c r="A972" i="3"/>
  <c r="M971" i="3"/>
  <c r="L971" i="3"/>
  <c r="K971" i="3"/>
  <c r="J971" i="3"/>
  <c r="I971" i="3"/>
  <c r="H971" i="3"/>
  <c r="G971" i="3"/>
  <c r="F971" i="3"/>
  <c r="E971" i="3"/>
  <c r="D971" i="3"/>
  <c r="C971" i="3"/>
  <c r="B971" i="3"/>
  <c r="A971" i="3"/>
  <c r="M970" i="3"/>
  <c r="L970" i="3"/>
  <c r="K970" i="3"/>
  <c r="J970" i="3"/>
  <c r="I970" i="3"/>
  <c r="H970" i="3"/>
  <c r="G970" i="3"/>
  <c r="F970" i="3"/>
  <c r="E970" i="3"/>
  <c r="D970" i="3"/>
  <c r="C970" i="3"/>
  <c r="B970" i="3"/>
  <c r="A970" i="3"/>
  <c r="M969" i="3"/>
  <c r="L969" i="3"/>
  <c r="K969" i="3"/>
  <c r="J969" i="3"/>
  <c r="I969" i="3"/>
  <c r="H969" i="3"/>
  <c r="G969" i="3"/>
  <c r="F969" i="3"/>
  <c r="E969" i="3"/>
  <c r="D969" i="3"/>
  <c r="C969" i="3"/>
  <c r="B969" i="3"/>
  <c r="A969" i="3"/>
  <c r="M968" i="3"/>
  <c r="L968" i="3"/>
  <c r="K968" i="3"/>
  <c r="J968" i="3"/>
  <c r="I968" i="3"/>
  <c r="H968" i="3"/>
  <c r="G968" i="3"/>
  <c r="F968" i="3"/>
  <c r="E968" i="3"/>
  <c r="D968" i="3"/>
  <c r="C968" i="3"/>
  <c r="B968" i="3"/>
  <c r="A968" i="3"/>
  <c r="M967" i="3"/>
  <c r="L967" i="3"/>
  <c r="K967" i="3"/>
  <c r="J967" i="3"/>
  <c r="I967" i="3"/>
  <c r="H967" i="3"/>
  <c r="G967" i="3"/>
  <c r="F967" i="3"/>
  <c r="E967" i="3"/>
  <c r="D967" i="3"/>
  <c r="C967" i="3"/>
  <c r="B967" i="3"/>
  <c r="A967" i="3"/>
  <c r="M966" i="3"/>
  <c r="L966" i="3"/>
  <c r="K966" i="3"/>
  <c r="J966" i="3"/>
  <c r="I966" i="3"/>
  <c r="H966" i="3"/>
  <c r="G966" i="3"/>
  <c r="F966" i="3"/>
  <c r="E966" i="3"/>
  <c r="D966" i="3"/>
  <c r="C966" i="3"/>
  <c r="B966" i="3"/>
  <c r="A966" i="3"/>
  <c r="M965" i="3"/>
  <c r="L965" i="3"/>
  <c r="K965" i="3"/>
  <c r="J965" i="3"/>
  <c r="I965" i="3"/>
  <c r="H965" i="3"/>
  <c r="G965" i="3"/>
  <c r="F965" i="3"/>
  <c r="E965" i="3"/>
  <c r="D965" i="3"/>
  <c r="C965" i="3"/>
  <c r="B965" i="3"/>
  <c r="A965" i="3"/>
  <c r="M964" i="3"/>
  <c r="L964" i="3"/>
  <c r="K964" i="3"/>
  <c r="J964" i="3"/>
  <c r="I964" i="3"/>
  <c r="H964" i="3"/>
  <c r="G964" i="3"/>
  <c r="F964" i="3"/>
  <c r="E964" i="3"/>
  <c r="D964" i="3"/>
  <c r="C964" i="3"/>
  <c r="B964" i="3"/>
  <c r="A964" i="3"/>
  <c r="M963" i="3"/>
  <c r="L963" i="3"/>
  <c r="K963" i="3"/>
  <c r="J963" i="3"/>
  <c r="I963" i="3"/>
  <c r="H963" i="3"/>
  <c r="G963" i="3"/>
  <c r="F963" i="3"/>
  <c r="E963" i="3"/>
  <c r="D963" i="3"/>
  <c r="C963" i="3"/>
  <c r="B963" i="3"/>
  <c r="A963" i="3"/>
  <c r="M962" i="3"/>
  <c r="L962" i="3"/>
  <c r="K962" i="3"/>
  <c r="J962" i="3"/>
  <c r="I962" i="3"/>
  <c r="H962" i="3"/>
  <c r="G962" i="3"/>
  <c r="F962" i="3"/>
  <c r="E962" i="3"/>
  <c r="D962" i="3"/>
  <c r="C962" i="3"/>
  <c r="B962" i="3"/>
  <c r="A962" i="3"/>
  <c r="M961" i="3"/>
  <c r="L961" i="3"/>
  <c r="K961" i="3"/>
  <c r="J961" i="3"/>
  <c r="I961" i="3"/>
  <c r="H961" i="3"/>
  <c r="G961" i="3"/>
  <c r="F961" i="3"/>
  <c r="E961" i="3"/>
  <c r="D961" i="3"/>
  <c r="C961" i="3"/>
  <c r="B961" i="3"/>
  <c r="A961" i="3"/>
  <c r="M960" i="3"/>
  <c r="L960" i="3"/>
  <c r="K960" i="3"/>
  <c r="J960" i="3"/>
  <c r="I960" i="3"/>
  <c r="H960" i="3"/>
  <c r="G960" i="3"/>
  <c r="F960" i="3"/>
  <c r="E960" i="3"/>
  <c r="D960" i="3"/>
  <c r="C960" i="3"/>
  <c r="B960" i="3"/>
  <c r="A960" i="3"/>
  <c r="M959" i="3"/>
  <c r="L959" i="3"/>
  <c r="K959" i="3"/>
  <c r="J959" i="3"/>
  <c r="I959" i="3"/>
  <c r="H959" i="3"/>
  <c r="G959" i="3"/>
  <c r="F959" i="3"/>
  <c r="E959" i="3"/>
  <c r="D959" i="3"/>
  <c r="C959" i="3"/>
  <c r="B959" i="3"/>
  <c r="A959" i="3"/>
  <c r="M958" i="3"/>
  <c r="L958" i="3"/>
  <c r="K958" i="3"/>
  <c r="J958" i="3"/>
  <c r="I958" i="3"/>
  <c r="H958" i="3"/>
  <c r="G958" i="3"/>
  <c r="F958" i="3"/>
  <c r="E958" i="3"/>
  <c r="D958" i="3"/>
  <c r="C958" i="3"/>
  <c r="B958" i="3"/>
  <c r="A958" i="3"/>
  <c r="M957" i="3"/>
  <c r="L957" i="3"/>
  <c r="K957" i="3"/>
  <c r="J957" i="3"/>
  <c r="I957" i="3"/>
  <c r="H957" i="3"/>
  <c r="G957" i="3"/>
  <c r="F957" i="3"/>
  <c r="E957" i="3"/>
  <c r="D957" i="3"/>
  <c r="C957" i="3"/>
  <c r="B957" i="3"/>
  <c r="A957" i="3"/>
  <c r="M956" i="3"/>
  <c r="L956" i="3"/>
  <c r="K956" i="3"/>
  <c r="J956" i="3"/>
  <c r="I956" i="3"/>
  <c r="H956" i="3"/>
  <c r="G956" i="3"/>
  <c r="F956" i="3"/>
  <c r="E956" i="3"/>
  <c r="D956" i="3"/>
  <c r="C956" i="3"/>
  <c r="B956" i="3"/>
  <c r="A956" i="3"/>
  <c r="M955" i="3"/>
  <c r="L955" i="3"/>
  <c r="K955" i="3"/>
  <c r="J955" i="3"/>
  <c r="I955" i="3"/>
  <c r="H955" i="3"/>
  <c r="G955" i="3"/>
  <c r="F955" i="3"/>
  <c r="E955" i="3"/>
  <c r="D955" i="3"/>
  <c r="C955" i="3"/>
  <c r="B955" i="3"/>
  <c r="A955" i="3"/>
  <c r="M954" i="3"/>
  <c r="L954" i="3"/>
  <c r="K954" i="3"/>
  <c r="J954" i="3"/>
  <c r="I954" i="3"/>
  <c r="H954" i="3"/>
  <c r="G954" i="3"/>
  <c r="F954" i="3"/>
  <c r="E954" i="3"/>
  <c r="D954" i="3"/>
  <c r="C954" i="3"/>
  <c r="B954" i="3"/>
  <c r="A954" i="3"/>
  <c r="M953" i="3"/>
  <c r="L953" i="3"/>
  <c r="K953" i="3"/>
  <c r="J953" i="3"/>
  <c r="I953" i="3"/>
  <c r="H953" i="3"/>
  <c r="G953" i="3"/>
  <c r="F953" i="3"/>
  <c r="E953" i="3"/>
  <c r="D953" i="3"/>
  <c r="C953" i="3"/>
  <c r="B953" i="3"/>
  <c r="A953" i="3"/>
  <c r="M952" i="3"/>
  <c r="L952" i="3"/>
  <c r="K952" i="3"/>
  <c r="J952" i="3"/>
  <c r="I952" i="3"/>
  <c r="H952" i="3"/>
  <c r="G952" i="3"/>
  <c r="F952" i="3"/>
  <c r="E952" i="3"/>
  <c r="D952" i="3"/>
  <c r="C952" i="3"/>
  <c r="B952" i="3"/>
  <c r="A952" i="3"/>
  <c r="M951" i="3"/>
  <c r="L951" i="3"/>
  <c r="K951" i="3"/>
  <c r="J951" i="3"/>
  <c r="I951" i="3"/>
  <c r="H951" i="3"/>
  <c r="G951" i="3"/>
  <c r="F951" i="3"/>
  <c r="E951" i="3"/>
  <c r="D951" i="3"/>
  <c r="C951" i="3"/>
  <c r="B951" i="3"/>
  <c r="A951" i="3"/>
  <c r="M950" i="3"/>
  <c r="L950" i="3"/>
  <c r="K950" i="3"/>
  <c r="J950" i="3"/>
  <c r="I950" i="3"/>
  <c r="H950" i="3"/>
  <c r="G950" i="3"/>
  <c r="F950" i="3"/>
  <c r="E950" i="3"/>
  <c r="D950" i="3"/>
  <c r="C950" i="3"/>
  <c r="B950" i="3"/>
  <c r="A950" i="3"/>
  <c r="M949" i="3"/>
  <c r="L949" i="3"/>
  <c r="K949" i="3"/>
  <c r="J949" i="3"/>
  <c r="I949" i="3"/>
  <c r="H949" i="3"/>
  <c r="G949" i="3"/>
  <c r="F949" i="3"/>
  <c r="E949" i="3"/>
  <c r="D949" i="3"/>
  <c r="C949" i="3"/>
  <c r="B949" i="3"/>
  <c r="A949" i="3"/>
  <c r="M948" i="3"/>
  <c r="L948" i="3"/>
  <c r="K948" i="3"/>
  <c r="J948" i="3"/>
  <c r="I948" i="3"/>
  <c r="H948" i="3"/>
  <c r="G948" i="3"/>
  <c r="F948" i="3"/>
  <c r="E948" i="3"/>
  <c r="D948" i="3"/>
  <c r="C948" i="3"/>
  <c r="B948" i="3"/>
  <c r="A948" i="3"/>
  <c r="M947" i="3"/>
  <c r="L947" i="3"/>
  <c r="K947" i="3"/>
  <c r="J947" i="3"/>
  <c r="I947" i="3"/>
  <c r="H947" i="3"/>
  <c r="G947" i="3"/>
  <c r="F947" i="3"/>
  <c r="E947" i="3"/>
  <c r="D947" i="3"/>
  <c r="C947" i="3"/>
  <c r="B947" i="3"/>
  <c r="A947" i="3"/>
  <c r="M946" i="3"/>
  <c r="L946" i="3"/>
  <c r="K946" i="3"/>
  <c r="J946" i="3"/>
  <c r="I946" i="3"/>
  <c r="H946" i="3"/>
  <c r="G946" i="3"/>
  <c r="F946" i="3"/>
  <c r="E946" i="3"/>
  <c r="D946" i="3"/>
  <c r="C946" i="3"/>
  <c r="B946" i="3"/>
  <c r="A946" i="3"/>
  <c r="M945" i="3"/>
  <c r="L945" i="3"/>
  <c r="K945" i="3"/>
  <c r="J945" i="3"/>
  <c r="I945" i="3"/>
  <c r="H945" i="3"/>
  <c r="G945" i="3"/>
  <c r="F945" i="3"/>
  <c r="E945" i="3"/>
  <c r="D945" i="3"/>
  <c r="C945" i="3"/>
  <c r="B945" i="3"/>
  <c r="A945" i="3"/>
  <c r="M944" i="3"/>
  <c r="L944" i="3"/>
  <c r="K944" i="3"/>
  <c r="J944" i="3"/>
  <c r="I944" i="3"/>
  <c r="H944" i="3"/>
  <c r="G944" i="3"/>
  <c r="F944" i="3"/>
  <c r="E944" i="3"/>
  <c r="D944" i="3"/>
  <c r="C944" i="3"/>
  <c r="B944" i="3"/>
  <c r="A944" i="3"/>
  <c r="M943" i="3"/>
  <c r="L943" i="3"/>
  <c r="K943" i="3"/>
  <c r="J943" i="3"/>
  <c r="I943" i="3"/>
  <c r="H943" i="3"/>
  <c r="G943" i="3"/>
  <c r="F943" i="3"/>
  <c r="E943" i="3"/>
  <c r="D943" i="3"/>
  <c r="C943" i="3"/>
  <c r="B943" i="3"/>
  <c r="A943" i="3"/>
  <c r="M942" i="3"/>
  <c r="L942" i="3"/>
  <c r="K942" i="3"/>
  <c r="J942" i="3"/>
  <c r="I942" i="3"/>
  <c r="H942" i="3"/>
  <c r="G942" i="3"/>
  <c r="F942" i="3"/>
  <c r="E942" i="3"/>
  <c r="D942" i="3"/>
  <c r="C942" i="3"/>
  <c r="B942" i="3"/>
  <c r="A942" i="3"/>
  <c r="M941" i="3"/>
  <c r="L941" i="3"/>
  <c r="K941" i="3"/>
  <c r="J941" i="3"/>
  <c r="I941" i="3"/>
  <c r="H941" i="3"/>
  <c r="G941" i="3"/>
  <c r="F941" i="3"/>
  <c r="E941" i="3"/>
  <c r="D941" i="3"/>
  <c r="C941" i="3"/>
  <c r="B941" i="3"/>
  <c r="A941" i="3"/>
  <c r="M940" i="3"/>
  <c r="L940" i="3"/>
  <c r="K940" i="3"/>
  <c r="J940" i="3"/>
  <c r="I940" i="3"/>
  <c r="H940" i="3"/>
  <c r="G940" i="3"/>
  <c r="F940" i="3"/>
  <c r="E940" i="3"/>
  <c r="D940" i="3"/>
  <c r="C940" i="3"/>
  <c r="B940" i="3"/>
  <c r="A940" i="3"/>
  <c r="M939" i="3"/>
  <c r="L939" i="3"/>
  <c r="K939" i="3"/>
  <c r="J939" i="3"/>
  <c r="I939" i="3"/>
  <c r="H939" i="3"/>
  <c r="G939" i="3"/>
  <c r="F939" i="3"/>
  <c r="E939" i="3"/>
  <c r="D939" i="3"/>
  <c r="C939" i="3"/>
  <c r="B939" i="3"/>
  <c r="A939" i="3"/>
  <c r="M938" i="3"/>
  <c r="L938" i="3"/>
  <c r="K938" i="3"/>
  <c r="J938" i="3"/>
  <c r="I938" i="3"/>
  <c r="H938" i="3"/>
  <c r="G938" i="3"/>
  <c r="F938" i="3"/>
  <c r="E938" i="3"/>
  <c r="D938" i="3"/>
  <c r="C938" i="3"/>
  <c r="B938" i="3"/>
  <c r="A938" i="3"/>
  <c r="M937" i="3"/>
  <c r="L937" i="3"/>
  <c r="K937" i="3"/>
  <c r="J937" i="3"/>
  <c r="I937" i="3"/>
  <c r="H937" i="3"/>
  <c r="G937" i="3"/>
  <c r="F937" i="3"/>
  <c r="E937" i="3"/>
  <c r="D937" i="3"/>
  <c r="C937" i="3"/>
  <c r="B937" i="3"/>
  <c r="A937" i="3"/>
  <c r="M936" i="3"/>
  <c r="L936" i="3"/>
  <c r="K936" i="3"/>
  <c r="J936" i="3"/>
  <c r="I936" i="3"/>
  <c r="H936" i="3"/>
  <c r="G936" i="3"/>
  <c r="F936" i="3"/>
  <c r="E936" i="3"/>
  <c r="D936" i="3"/>
  <c r="C936" i="3"/>
  <c r="B936" i="3"/>
  <c r="A936" i="3"/>
  <c r="M935" i="3"/>
  <c r="L935" i="3"/>
  <c r="K935" i="3"/>
  <c r="J935" i="3"/>
  <c r="I935" i="3"/>
  <c r="H935" i="3"/>
  <c r="G935" i="3"/>
  <c r="F935" i="3"/>
  <c r="E935" i="3"/>
  <c r="D935" i="3"/>
  <c r="C935" i="3"/>
  <c r="B935" i="3"/>
  <c r="A935" i="3"/>
  <c r="M934" i="3"/>
  <c r="L934" i="3"/>
  <c r="K934" i="3"/>
  <c r="J934" i="3"/>
  <c r="I934" i="3"/>
  <c r="H934" i="3"/>
  <c r="G934" i="3"/>
  <c r="F934" i="3"/>
  <c r="E934" i="3"/>
  <c r="D934" i="3"/>
  <c r="C934" i="3"/>
  <c r="B934" i="3"/>
  <c r="A934" i="3"/>
  <c r="M933" i="3"/>
  <c r="L933" i="3"/>
  <c r="K933" i="3"/>
  <c r="J933" i="3"/>
  <c r="I933" i="3"/>
  <c r="H933" i="3"/>
  <c r="G933" i="3"/>
  <c r="F933" i="3"/>
  <c r="E933" i="3"/>
  <c r="D933" i="3"/>
  <c r="C933" i="3"/>
  <c r="B933" i="3"/>
  <c r="A933" i="3"/>
  <c r="M932" i="3"/>
  <c r="L932" i="3"/>
  <c r="K932" i="3"/>
  <c r="J932" i="3"/>
  <c r="I932" i="3"/>
  <c r="H932" i="3"/>
  <c r="G932" i="3"/>
  <c r="F932" i="3"/>
  <c r="E932" i="3"/>
  <c r="D932" i="3"/>
  <c r="C932" i="3"/>
  <c r="B932" i="3"/>
  <c r="A932" i="3"/>
  <c r="M931" i="3"/>
  <c r="L931" i="3"/>
  <c r="K931" i="3"/>
  <c r="J931" i="3"/>
  <c r="I931" i="3"/>
  <c r="H931" i="3"/>
  <c r="G931" i="3"/>
  <c r="F931" i="3"/>
  <c r="D931" i="3"/>
  <c r="C931" i="3"/>
  <c r="B931" i="3"/>
  <c r="A931" i="3"/>
  <c r="M930" i="3"/>
  <c r="L930" i="3"/>
  <c r="K930" i="3"/>
  <c r="J930" i="3"/>
  <c r="I930" i="3"/>
  <c r="H930" i="3"/>
  <c r="G930" i="3"/>
  <c r="F930" i="3"/>
  <c r="E930" i="3"/>
  <c r="D930" i="3"/>
  <c r="C930" i="3"/>
  <c r="B930" i="3"/>
  <c r="A930" i="3"/>
  <c r="M929" i="3"/>
  <c r="L929" i="3"/>
  <c r="K929" i="3"/>
  <c r="J929" i="3"/>
  <c r="I929" i="3"/>
  <c r="H929" i="3"/>
  <c r="G929" i="3"/>
  <c r="F929" i="3"/>
  <c r="E929" i="3"/>
  <c r="D929" i="3"/>
  <c r="C929" i="3"/>
  <c r="B929" i="3"/>
  <c r="A929" i="3"/>
  <c r="M928" i="3"/>
  <c r="L928" i="3"/>
  <c r="K928" i="3"/>
  <c r="J928" i="3"/>
  <c r="I928" i="3"/>
  <c r="H928" i="3"/>
  <c r="G928" i="3"/>
  <c r="F928" i="3"/>
  <c r="E928" i="3"/>
  <c r="D928" i="3"/>
  <c r="C928" i="3"/>
  <c r="B928" i="3"/>
  <c r="A928" i="3"/>
  <c r="M927" i="3"/>
  <c r="L927" i="3"/>
  <c r="K927" i="3"/>
  <c r="J927" i="3"/>
  <c r="I927" i="3"/>
  <c r="H927" i="3"/>
  <c r="G927" i="3"/>
  <c r="F927" i="3"/>
  <c r="E927" i="3"/>
  <c r="D927" i="3"/>
  <c r="C927" i="3"/>
  <c r="B927" i="3"/>
  <c r="A927" i="3"/>
  <c r="M926" i="3"/>
  <c r="L926" i="3"/>
  <c r="K926" i="3"/>
  <c r="J926" i="3"/>
  <c r="I926" i="3"/>
  <c r="H926" i="3"/>
  <c r="G926" i="3"/>
  <c r="F926" i="3"/>
  <c r="E926" i="3"/>
  <c r="D926" i="3"/>
  <c r="C926" i="3"/>
  <c r="B926" i="3"/>
  <c r="A926" i="3"/>
  <c r="M925" i="3"/>
  <c r="L925" i="3"/>
  <c r="K925" i="3"/>
  <c r="J925" i="3"/>
  <c r="I925" i="3"/>
  <c r="H925" i="3"/>
  <c r="G925" i="3"/>
  <c r="F925" i="3"/>
  <c r="E925" i="3"/>
  <c r="D925" i="3"/>
  <c r="C925" i="3"/>
  <c r="B925" i="3"/>
  <c r="A925" i="3"/>
  <c r="M924" i="3"/>
  <c r="L924" i="3"/>
  <c r="K924" i="3"/>
  <c r="J924" i="3"/>
  <c r="I924" i="3"/>
  <c r="H924" i="3"/>
  <c r="G924" i="3"/>
  <c r="F924" i="3"/>
  <c r="E924" i="3"/>
  <c r="D924" i="3"/>
  <c r="C924" i="3"/>
  <c r="B924" i="3"/>
  <c r="A924" i="3"/>
  <c r="M923" i="3"/>
  <c r="L923" i="3"/>
  <c r="K923" i="3"/>
  <c r="J923" i="3"/>
  <c r="I923" i="3"/>
  <c r="H923" i="3"/>
  <c r="G923" i="3"/>
  <c r="F923" i="3"/>
  <c r="E923" i="3"/>
  <c r="D923" i="3"/>
  <c r="C923" i="3"/>
  <c r="B923" i="3"/>
  <c r="A923" i="3"/>
  <c r="M922" i="3"/>
  <c r="L922" i="3"/>
  <c r="K922" i="3"/>
  <c r="J922" i="3"/>
  <c r="I922" i="3"/>
  <c r="H922" i="3"/>
  <c r="G922" i="3"/>
  <c r="F922" i="3"/>
  <c r="E922" i="3"/>
  <c r="D922" i="3"/>
  <c r="C922" i="3"/>
  <c r="B922" i="3"/>
  <c r="A922" i="3"/>
  <c r="M921" i="3"/>
  <c r="L921" i="3"/>
  <c r="K921" i="3"/>
  <c r="J921" i="3"/>
  <c r="I921" i="3"/>
  <c r="H921" i="3"/>
  <c r="G921" i="3"/>
  <c r="F921" i="3"/>
  <c r="E921" i="3"/>
  <c r="D921" i="3"/>
  <c r="C921" i="3"/>
  <c r="B921" i="3"/>
  <c r="A921" i="3"/>
  <c r="M920" i="3"/>
  <c r="L920" i="3"/>
  <c r="K920" i="3"/>
  <c r="J920" i="3"/>
  <c r="I920" i="3"/>
  <c r="H920" i="3"/>
  <c r="G920" i="3"/>
  <c r="F920" i="3"/>
  <c r="D920" i="3"/>
  <c r="C920" i="3"/>
  <c r="B920" i="3"/>
  <c r="A920" i="3"/>
  <c r="M919" i="3"/>
  <c r="L919" i="3"/>
  <c r="K919" i="3"/>
  <c r="J919" i="3"/>
  <c r="I919" i="3"/>
  <c r="H919" i="3"/>
  <c r="G919" i="3"/>
  <c r="F919" i="3"/>
  <c r="E919" i="3"/>
  <c r="D919" i="3"/>
  <c r="C919" i="3"/>
  <c r="B919" i="3"/>
  <c r="A919" i="3"/>
  <c r="M918" i="3"/>
  <c r="L918" i="3"/>
  <c r="K918" i="3"/>
  <c r="J918" i="3"/>
  <c r="I918" i="3"/>
  <c r="H918" i="3"/>
  <c r="G918" i="3"/>
  <c r="F918" i="3"/>
  <c r="E918" i="3"/>
  <c r="D918" i="3"/>
  <c r="C918" i="3"/>
  <c r="B918" i="3"/>
  <c r="A918" i="3"/>
  <c r="M917" i="3"/>
  <c r="L917" i="3"/>
  <c r="K917" i="3"/>
  <c r="J917" i="3"/>
  <c r="I917" i="3"/>
  <c r="H917" i="3"/>
  <c r="G917" i="3"/>
  <c r="F917" i="3"/>
  <c r="E917" i="3"/>
  <c r="D917" i="3"/>
  <c r="C917" i="3"/>
  <c r="B917" i="3"/>
  <c r="A917" i="3"/>
  <c r="M916" i="3"/>
  <c r="L916" i="3"/>
  <c r="K916" i="3"/>
  <c r="J916" i="3"/>
  <c r="I916" i="3"/>
  <c r="H916" i="3"/>
  <c r="G916" i="3"/>
  <c r="F916" i="3"/>
  <c r="E916" i="3"/>
  <c r="D916" i="3"/>
  <c r="C916" i="3"/>
  <c r="B916" i="3"/>
  <c r="A916" i="3"/>
  <c r="M915" i="3"/>
  <c r="L915" i="3"/>
  <c r="K915" i="3"/>
  <c r="J915" i="3"/>
  <c r="I915" i="3"/>
  <c r="H915" i="3"/>
  <c r="G915" i="3"/>
  <c r="F915" i="3"/>
  <c r="E915" i="3"/>
  <c r="D915" i="3"/>
  <c r="C915" i="3"/>
  <c r="B915" i="3"/>
  <c r="A915" i="3"/>
  <c r="M914" i="3"/>
  <c r="L914" i="3"/>
  <c r="K914" i="3"/>
  <c r="J914" i="3"/>
  <c r="I914" i="3"/>
  <c r="H914" i="3"/>
  <c r="G914" i="3"/>
  <c r="F914" i="3"/>
  <c r="E914" i="3"/>
  <c r="D914" i="3"/>
  <c r="C914" i="3"/>
  <c r="B914" i="3"/>
  <c r="A914" i="3"/>
  <c r="M913" i="3"/>
  <c r="L913" i="3"/>
  <c r="K913" i="3"/>
  <c r="J913" i="3"/>
  <c r="I913" i="3"/>
  <c r="H913" i="3"/>
  <c r="G913" i="3"/>
  <c r="F913" i="3"/>
  <c r="E913" i="3"/>
  <c r="D913" i="3"/>
  <c r="C913" i="3"/>
  <c r="B913" i="3"/>
  <c r="A913" i="3"/>
  <c r="M912" i="3"/>
  <c r="L912" i="3"/>
  <c r="K912" i="3"/>
  <c r="J912" i="3"/>
  <c r="I912" i="3"/>
  <c r="H912" i="3"/>
  <c r="G912" i="3"/>
  <c r="F912" i="3"/>
  <c r="E912" i="3"/>
  <c r="D912" i="3"/>
  <c r="C912" i="3"/>
  <c r="B912" i="3"/>
  <c r="A912" i="3"/>
  <c r="M911" i="3"/>
  <c r="L911" i="3"/>
  <c r="K911" i="3"/>
  <c r="J911" i="3"/>
  <c r="I911" i="3"/>
  <c r="H911" i="3"/>
  <c r="G911" i="3"/>
  <c r="F911" i="3"/>
  <c r="E911" i="3"/>
  <c r="D911" i="3"/>
  <c r="C911" i="3"/>
  <c r="B911" i="3"/>
  <c r="A911" i="3"/>
  <c r="M910" i="3"/>
  <c r="L910" i="3"/>
  <c r="K910" i="3"/>
  <c r="J910" i="3"/>
  <c r="I910" i="3"/>
  <c r="H910" i="3"/>
  <c r="G910" i="3"/>
  <c r="F910" i="3"/>
  <c r="E910" i="3"/>
  <c r="D910" i="3"/>
  <c r="C910" i="3"/>
  <c r="B910" i="3"/>
  <c r="A910" i="3"/>
  <c r="M909" i="3"/>
  <c r="L909" i="3"/>
  <c r="K909" i="3"/>
  <c r="J909" i="3"/>
  <c r="I909" i="3"/>
  <c r="H909" i="3"/>
  <c r="G909" i="3"/>
  <c r="F909" i="3"/>
  <c r="E909" i="3"/>
  <c r="D909" i="3"/>
  <c r="C909" i="3"/>
  <c r="B909" i="3"/>
  <c r="A909" i="3"/>
  <c r="M908" i="3"/>
  <c r="L908" i="3"/>
  <c r="K908" i="3"/>
  <c r="J908" i="3"/>
  <c r="I908" i="3"/>
  <c r="H908" i="3"/>
  <c r="G908" i="3"/>
  <c r="F908" i="3"/>
  <c r="D908" i="3"/>
  <c r="C908" i="3"/>
  <c r="B908" i="3"/>
  <c r="A908" i="3"/>
  <c r="M907" i="3"/>
  <c r="L907" i="3"/>
  <c r="K907" i="3"/>
  <c r="J907" i="3"/>
  <c r="I907" i="3"/>
  <c r="H907" i="3"/>
  <c r="G907" i="3"/>
  <c r="F907" i="3"/>
  <c r="E907" i="3"/>
  <c r="D907" i="3"/>
  <c r="C907" i="3"/>
  <c r="B907" i="3"/>
  <c r="A907" i="3"/>
  <c r="M906" i="3"/>
  <c r="L906" i="3"/>
  <c r="K906" i="3"/>
  <c r="J906" i="3"/>
  <c r="I906" i="3"/>
  <c r="H906" i="3"/>
  <c r="G906" i="3"/>
  <c r="F906" i="3"/>
  <c r="E906" i="3"/>
  <c r="D906" i="3"/>
  <c r="C906" i="3"/>
  <c r="B906" i="3"/>
  <c r="A906" i="3"/>
  <c r="M905" i="3"/>
  <c r="L905" i="3"/>
  <c r="K905" i="3"/>
  <c r="J905" i="3"/>
  <c r="I905" i="3"/>
  <c r="H905" i="3"/>
  <c r="G905" i="3"/>
  <c r="F905" i="3"/>
  <c r="E905" i="3"/>
  <c r="D905" i="3"/>
  <c r="C905" i="3"/>
  <c r="B905" i="3"/>
  <c r="A905" i="3"/>
  <c r="M904" i="3"/>
  <c r="L904" i="3"/>
  <c r="K904" i="3"/>
  <c r="J904" i="3"/>
  <c r="I904" i="3"/>
  <c r="H904" i="3"/>
  <c r="G904" i="3"/>
  <c r="F904" i="3"/>
  <c r="D904" i="3"/>
  <c r="C904" i="3"/>
  <c r="B904" i="3"/>
  <c r="A904" i="3"/>
  <c r="M903" i="3"/>
  <c r="L903" i="3"/>
  <c r="K903" i="3"/>
  <c r="J903" i="3"/>
  <c r="I903" i="3"/>
  <c r="H903" i="3"/>
  <c r="G903" i="3"/>
  <c r="F903" i="3"/>
  <c r="E903" i="3"/>
  <c r="D903" i="3"/>
  <c r="C903" i="3"/>
  <c r="B903" i="3"/>
  <c r="A903" i="3"/>
  <c r="M902" i="3"/>
  <c r="L902" i="3"/>
  <c r="K902" i="3"/>
  <c r="J902" i="3"/>
  <c r="I902" i="3"/>
  <c r="H902" i="3"/>
  <c r="G902" i="3"/>
  <c r="F902" i="3"/>
  <c r="E902" i="3"/>
  <c r="D902" i="3"/>
  <c r="C902" i="3"/>
  <c r="B902" i="3"/>
  <c r="A902" i="3"/>
  <c r="M901" i="3"/>
  <c r="L901" i="3"/>
  <c r="K901" i="3"/>
  <c r="J901" i="3"/>
  <c r="I901" i="3"/>
  <c r="H901" i="3"/>
  <c r="G901" i="3"/>
  <c r="F901" i="3"/>
  <c r="E901" i="3"/>
  <c r="D901" i="3"/>
  <c r="C901" i="3"/>
  <c r="B901" i="3"/>
  <c r="A901" i="3"/>
  <c r="M900" i="3"/>
  <c r="L900" i="3"/>
  <c r="K900" i="3"/>
  <c r="J900" i="3"/>
  <c r="I900" i="3"/>
  <c r="H900" i="3"/>
  <c r="G900" i="3"/>
  <c r="F900" i="3"/>
  <c r="E900" i="3"/>
  <c r="D900" i="3"/>
  <c r="C900" i="3"/>
  <c r="B900" i="3"/>
  <c r="A900" i="3"/>
  <c r="M899" i="3"/>
  <c r="L899" i="3"/>
  <c r="K899" i="3"/>
  <c r="J899" i="3"/>
  <c r="I899" i="3"/>
  <c r="H899" i="3"/>
  <c r="G899" i="3"/>
  <c r="F899" i="3"/>
  <c r="E899" i="3"/>
  <c r="D899" i="3"/>
  <c r="C899" i="3"/>
  <c r="B899" i="3"/>
  <c r="A899" i="3"/>
  <c r="M898" i="3"/>
  <c r="L898" i="3"/>
  <c r="K898" i="3"/>
  <c r="J898" i="3"/>
  <c r="I898" i="3"/>
  <c r="H898" i="3"/>
  <c r="G898" i="3"/>
  <c r="F898" i="3"/>
  <c r="E898" i="3"/>
  <c r="D898" i="3"/>
  <c r="C898" i="3"/>
  <c r="B898" i="3"/>
  <c r="A898" i="3"/>
  <c r="M897" i="3"/>
  <c r="L897" i="3"/>
  <c r="K897" i="3"/>
  <c r="J897" i="3"/>
  <c r="I897" i="3"/>
  <c r="H897" i="3"/>
  <c r="G897" i="3"/>
  <c r="F897" i="3"/>
  <c r="E897" i="3"/>
  <c r="D897" i="3"/>
  <c r="C897" i="3"/>
  <c r="B897" i="3"/>
  <c r="A897" i="3"/>
  <c r="M896" i="3"/>
  <c r="L896" i="3"/>
  <c r="K896" i="3"/>
  <c r="J896" i="3"/>
  <c r="I896" i="3"/>
  <c r="H896" i="3"/>
  <c r="G896" i="3"/>
  <c r="F896" i="3"/>
  <c r="E896" i="3"/>
  <c r="D896" i="3"/>
  <c r="C896" i="3"/>
  <c r="B896" i="3"/>
  <c r="A896" i="3"/>
  <c r="M895" i="3"/>
  <c r="L895" i="3"/>
  <c r="K895" i="3"/>
  <c r="J895" i="3"/>
  <c r="I895" i="3"/>
  <c r="H895" i="3"/>
  <c r="G895" i="3"/>
  <c r="F895" i="3"/>
  <c r="E895" i="3"/>
  <c r="D895" i="3"/>
  <c r="C895" i="3"/>
  <c r="B895" i="3"/>
  <c r="A895" i="3"/>
  <c r="M894" i="3"/>
  <c r="L894" i="3"/>
  <c r="K894" i="3"/>
  <c r="J894" i="3"/>
  <c r="I894" i="3"/>
  <c r="H894" i="3"/>
  <c r="F894" i="3"/>
  <c r="E894" i="3"/>
  <c r="D894" i="3"/>
  <c r="C894" i="3"/>
  <c r="B894" i="3"/>
  <c r="A894" i="3"/>
  <c r="M893" i="3"/>
  <c r="L893" i="3"/>
  <c r="K893" i="3"/>
  <c r="J893" i="3"/>
  <c r="I893" i="3"/>
  <c r="H893" i="3"/>
  <c r="G893" i="3"/>
  <c r="F893" i="3"/>
  <c r="E893" i="3"/>
  <c r="D893" i="3"/>
  <c r="C893" i="3"/>
  <c r="B893" i="3"/>
  <c r="A893" i="3"/>
  <c r="M892" i="3"/>
  <c r="L892" i="3"/>
  <c r="K892" i="3"/>
  <c r="J892" i="3"/>
  <c r="I892" i="3"/>
  <c r="H892" i="3"/>
  <c r="G892" i="3"/>
  <c r="F892" i="3"/>
  <c r="E892" i="3"/>
  <c r="D892" i="3"/>
  <c r="C892" i="3"/>
  <c r="B892" i="3"/>
  <c r="A892" i="3"/>
  <c r="M891" i="3"/>
  <c r="L891" i="3"/>
  <c r="K891" i="3"/>
  <c r="J891" i="3"/>
  <c r="I891" i="3"/>
  <c r="H891" i="3"/>
  <c r="G891" i="3"/>
  <c r="F891" i="3"/>
  <c r="E891" i="3"/>
  <c r="D891" i="3"/>
  <c r="C891" i="3"/>
  <c r="B891" i="3"/>
  <c r="A891" i="3"/>
  <c r="M890" i="3"/>
  <c r="L890" i="3"/>
  <c r="K890" i="3"/>
  <c r="J890" i="3"/>
  <c r="I890" i="3"/>
  <c r="H890" i="3"/>
  <c r="G890" i="3"/>
  <c r="E890" i="3"/>
  <c r="D890" i="3"/>
  <c r="C890" i="3"/>
  <c r="B890" i="3"/>
  <c r="A890" i="3"/>
  <c r="M889" i="3"/>
  <c r="L889" i="3"/>
  <c r="K889" i="3"/>
  <c r="J889" i="3"/>
  <c r="I889" i="3"/>
  <c r="H889" i="3"/>
  <c r="G889" i="3"/>
  <c r="F889" i="3"/>
  <c r="E889" i="3"/>
  <c r="D889" i="3"/>
  <c r="C889" i="3"/>
  <c r="B889" i="3"/>
  <c r="A889" i="3"/>
  <c r="M888" i="3"/>
  <c r="L888" i="3"/>
  <c r="K888" i="3"/>
  <c r="J888" i="3"/>
  <c r="I888" i="3"/>
  <c r="H888" i="3"/>
  <c r="G888" i="3"/>
  <c r="F888" i="3"/>
  <c r="E888" i="3"/>
  <c r="D888" i="3"/>
  <c r="C888" i="3"/>
  <c r="B888" i="3"/>
  <c r="A888" i="3"/>
  <c r="M887" i="3"/>
  <c r="L887" i="3"/>
  <c r="K887" i="3"/>
  <c r="J887" i="3"/>
  <c r="I887" i="3"/>
  <c r="H887" i="3"/>
  <c r="G887" i="3"/>
  <c r="F887" i="3"/>
  <c r="E887" i="3"/>
  <c r="D887" i="3"/>
  <c r="C887" i="3"/>
  <c r="B887" i="3"/>
  <c r="A887" i="3"/>
  <c r="M886" i="3"/>
  <c r="L886" i="3"/>
  <c r="K886" i="3"/>
  <c r="J886" i="3"/>
  <c r="I886" i="3"/>
  <c r="H886" i="3"/>
  <c r="G886" i="3"/>
  <c r="F886" i="3"/>
  <c r="E886" i="3"/>
  <c r="D886" i="3"/>
  <c r="C886" i="3"/>
  <c r="B886" i="3"/>
  <c r="A886" i="3"/>
  <c r="M885" i="3"/>
  <c r="L885" i="3"/>
  <c r="K885" i="3"/>
  <c r="J885" i="3"/>
  <c r="I885" i="3"/>
  <c r="H885" i="3"/>
  <c r="G885" i="3"/>
  <c r="F885" i="3"/>
  <c r="E885" i="3"/>
  <c r="D885" i="3"/>
  <c r="C885" i="3"/>
  <c r="B885" i="3"/>
  <c r="A885" i="3"/>
  <c r="M884" i="3"/>
  <c r="L884" i="3"/>
  <c r="K884" i="3"/>
  <c r="J884" i="3"/>
  <c r="I884" i="3"/>
  <c r="H884" i="3"/>
  <c r="G884" i="3"/>
  <c r="F884" i="3"/>
  <c r="E884" i="3"/>
  <c r="D884" i="3"/>
  <c r="C884" i="3"/>
  <c r="B884" i="3"/>
  <c r="A884" i="3"/>
  <c r="M883" i="3"/>
  <c r="L883" i="3"/>
  <c r="K883" i="3"/>
  <c r="J883" i="3"/>
  <c r="I883" i="3"/>
  <c r="H883" i="3"/>
  <c r="G883" i="3"/>
  <c r="F883" i="3"/>
  <c r="E883" i="3"/>
  <c r="D883" i="3"/>
  <c r="C883" i="3"/>
  <c r="B883" i="3"/>
  <c r="A883" i="3"/>
  <c r="M882" i="3"/>
  <c r="L882" i="3"/>
  <c r="K882" i="3"/>
  <c r="J882" i="3"/>
  <c r="I882" i="3"/>
  <c r="H882" i="3"/>
  <c r="G882" i="3"/>
  <c r="F882" i="3"/>
  <c r="E882" i="3"/>
  <c r="D882" i="3"/>
  <c r="C882" i="3"/>
  <c r="B882" i="3"/>
  <c r="A882" i="3"/>
  <c r="M881" i="3"/>
  <c r="L881" i="3"/>
  <c r="K881" i="3"/>
  <c r="J881" i="3"/>
  <c r="I881" i="3"/>
  <c r="H881" i="3"/>
  <c r="G881" i="3"/>
  <c r="F881" i="3"/>
  <c r="E881" i="3"/>
  <c r="D881" i="3"/>
  <c r="C881" i="3"/>
  <c r="B881" i="3"/>
  <c r="A881" i="3"/>
  <c r="M880" i="3"/>
  <c r="L880" i="3"/>
  <c r="K880" i="3"/>
  <c r="J880" i="3"/>
  <c r="I880" i="3"/>
  <c r="H880" i="3"/>
  <c r="G880" i="3"/>
  <c r="F880" i="3"/>
  <c r="E880" i="3"/>
  <c r="D880" i="3"/>
  <c r="C880" i="3"/>
  <c r="B880" i="3"/>
  <c r="A880" i="3"/>
  <c r="M879" i="3"/>
  <c r="L879" i="3"/>
  <c r="K879" i="3"/>
  <c r="J879" i="3"/>
  <c r="I879" i="3"/>
  <c r="H879" i="3"/>
  <c r="G879" i="3"/>
  <c r="F879" i="3"/>
  <c r="E879" i="3"/>
  <c r="D879" i="3"/>
  <c r="C879" i="3"/>
  <c r="B879" i="3"/>
  <c r="A879" i="3"/>
  <c r="M878" i="3"/>
  <c r="L878" i="3"/>
  <c r="K878" i="3"/>
  <c r="J878" i="3"/>
  <c r="I878" i="3"/>
  <c r="H878" i="3"/>
  <c r="G878" i="3"/>
  <c r="F878" i="3"/>
  <c r="E878" i="3"/>
  <c r="D878" i="3"/>
  <c r="C878" i="3"/>
  <c r="B878" i="3"/>
  <c r="A878" i="3"/>
  <c r="M877" i="3"/>
  <c r="L877" i="3"/>
  <c r="K877" i="3"/>
  <c r="J877" i="3"/>
  <c r="I877" i="3"/>
  <c r="H877" i="3"/>
  <c r="G877" i="3"/>
  <c r="F877" i="3"/>
  <c r="E877" i="3"/>
  <c r="D877" i="3"/>
  <c r="C877" i="3"/>
  <c r="B877" i="3"/>
  <c r="A877" i="3"/>
  <c r="M876" i="3"/>
  <c r="L876" i="3"/>
  <c r="K876" i="3"/>
  <c r="J876" i="3"/>
  <c r="I876" i="3"/>
  <c r="H876" i="3"/>
  <c r="G876" i="3"/>
  <c r="F876" i="3"/>
  <c r="E876" i="3"/>
  <c r="D876" i="3"/>
  <c r="C876" i="3"/>
  <c r="B876" i="3"/>
  <c r="A876" i="3"/>
  <c r="M875" i="3"/>
  <c r="L875" i="3"/>
  <c r="K875" i="3"/>
  <c r="J875" i="3"/>
  <c r="I875" i="3"/>
  <c r="H875" i="3"/>
  <c r="G875" i="3"/>
  <c r="F875" i="3"/>
  <c r="E875" i="3"/>
  <c r="D875" i="3"/>
  <c r="C875" i="3"/>
  <c r="B875" i="3"/>
  <c r="A875" i="3"/>
  <c r="M874" i="3"/>
  <c r="L874" i="3"/>
  <c r="K874" i="3"/>
  <c r="J874" i="3"/>
  <c r="I874" i="3"/>
  <c r="H874" i="3"/>
  <c r="G874" i="3"/>
  <c r="F874" i="3"/>
  <c r="E874" i="3"/>
  <c r="D874" i="3"/>
  <c r="C874" i="3"/>
  <c r="B874" i="3"/>
  <c r="A874" i="3"/>
  <c r="M873" i="3"/>
  <c r="L873" i="3"/>
  <c r="K873" i="3"/>
  <c r="J873" i="3"/>
  <c r="I873" i="3"/>
  <c r="H873" i="3"/>
  <c r="G873" i="3"/>
  <c r="F873" i="3"/>
  <c r="E873" i="3"/>
  <c r="D873" i="3"/>
  <c r="C873" i="3"/>
  <c r="B873" i="3"/>
  <c r="A873" i="3"/>
  <c r="M872" i="3"/>
  <c r="L872" i="3"/>
  <c r="K872" i="3"/>
  <c r="J872" i="3"/>
  <c r="I872" i="3"/>
  <c r="H872" i="3"/>
  <c r="G872" i="3"/>
  <c r="F872" i="3"/>
  <c r="E872" i="3"/>
  <c r="D872" i="3"/>
  <c r="C872" i="3"/>
  <c r="B872" i="3"/>
  <c r="A872" i="3"/>
  <c r="M871" i="3"/>
  <c r="L871" i="3"/>
  <c r="K871" i="3"/>
  <c r="J871" i="3"/>
  <c r="I871" i="3"/>
  <c r="H871" i="3"/>
  <c r="G871" i="3"/>
  <c r="F871" i="3"/>
  <c r="E871" i="3"/>
  <c r="D871" i="3"/>
  <c r="C871" i="3"/>
  <c r="B871" i="3"/>
  <c r="A871" i="3"/>
  <c r="M870" i="3"/>
  <c r="L870" i="3"/>
  <c r="K870" i="3"/>
  <c r="J870" i="3"/>
  <c r="I870" i="3"/>
  <c r="H870" i="3"/>
  <c r="G870" i="3"/>
  <c r="F870" i="3"/>
  <c r="E870" i="3"/>
  <c r="D870" i="3"/>
  <c r="C870" i="3"/>
  <c r="B870" i="3"/>
  <c r="A870" i="3"/>
  <c r="M869" i="3"/>
  <c r="L869" i="3"/>
  <c r="K869" i="3"/>
  <c r="J869" i="3"/>
  <c r="I869" i="3"/>
  <c r="H869" i="3"/>
  <c r="G869" i="3"/>
  <c r="F869" i="3"/>
  <c r="E869" i="3"/>
  <c r="D869" i="3"/>
  <c r="C869" i="3"/>
  <c r="B869" i="3"/>
  <c r="A869" i="3"/>
  <c r="M868" i="3"/>
  <c r="L868" i="3"/>
  <c r="K868" i="3"/>
  <c r="J868" i="3"/>
  <c r="I868" i="3"/>
  <c r="H868" i="3"/>
  <c r="G868" i="3"/>
  <c r="F868" i="3"/>
  <c r="E868" i="3"/>
  <c r="D868" i="3"/>
  <c r="C868" i="3"/>
  <c r="B868" i="3"/>
  <c r="A868" i="3"/>
  <c r="M867" i="3"/>
  <c r="L867" i="3"/>
  <c r="K867" i="3"/>
  <c r="J867" i="3"/>
  <c r="I867" i="3"/>
  <c r="H867" i="3"/>
  <c r="G867" i="3"/>
  <c r="F867" i="3"/>
  <c r="E867" i="3"/>
  <c r="D867" i="3"/>
  <c r="C867" i="3"/>
  <c r="B867" i="3"/>
  <c r="A867" i="3"/>
  <c r="M866" i="3"/>
  <c r="L866" i="3"/>
  <c r="K866" i="3"/>
  <c r="J866" i="3"/>
  <c r="I866" i="3"/>
  <c r="H866" i="3"/>
  <c r="G866" i="3"/>
  <c r="F866" i="3"/>
  <c r="E866" i="3"/>
  <c r="D866" i="3"/>
  <c r="C866" i="3"/>
  <c r="B866" i="3"/>
  <c r="A866" i="3"/>
  <c r="M865" i="3"/>
  <c r="L865" i="3"/>
  <c r="K865" i="3"/>
  <c r="J865" i="3"/>
  <c r="I865" i="3"/>
  <c r="H865" i="3"/>
  <c r="G865" i="3"/>
  <c r="F865" i="3"/>
  <c r="E865" i="3"/>
  <c r="D865" i="3"/>
  <c r="C865" i="3"/>
  <c r="B865" i="3"/>
  <c r="A865" i="3"/>
  <c r="M864" i="3"/>
  <c r="L864" i="3"/>
  <c r="K864" i="3"/>
  <c r="J864" i="3"/>
  <c r="I864" i="3"/>
  <c r="H864" i="3"/>
  <c r="G864" i="3"/>
  <c r="F864" i="3"/>
  <c r="D864" i="3"/>
  <c r="C864" i="3"/>
  <c r="B864" i="3"/>
  <c r="A864" i="3"/>
  <c r="M863" i="3"/>
  <c r="L863" i="3"/>
  <c r="K863" i="3"/>
  <c r="J863" i="3"/>
  <c r="I863" i="3"/>
  <c r="H863" i="3"/>
  <c r="G863" i="3"/>
  <c r="F863" i="3"/>
  <c r="E863" i="3"/>
  <c r="D863" i="3"/>
  <c r="C863" i="3"/>
  <c r="B863" i="3"/>
  <c r="A863" i="3"/>
  <c r="M862" i="3"/>
  <c r="L862" i="3"/>
  <c r="K862" i="3"/>
  <c r="J862" i="3"/>
  <c r="I862" i="3"/>
  <c r="H862" i="3"/>
  <c r="G862" i="3"/>
  <c r="F862" i="3"/>
  <c r="E862" i="3"/>
  <c r="D862" i="3"/>
  <c r="C862" i="3"/>
  <c r="B862" i="3"/>
  <c r="A862" i="3"/>
  <c r="M861" i="3"/>
  <c r="L861" i="3"/>
  <c r="K861" i="3"/>
  <c r="J861" i="3"/>
  <c r="I861" i="3"/>
  <c r="H861" i="3"/>
  <c r="G861" i="3"/>
  <c r="F861" i="3"/>
  <c r="E861" i="3"/>
  <c r="D861" i="3"/>
  <c r="C861" i="3"/>
  <c r="B861" i="3"/>
  <c r="A861" i="3"/>
  <c r="M860" i="3"/>
  <c r="L860" i="3"/>
  <c r="K860" i="3"/>
  <c r="J860" i="3"/>
  <c r="I860" i="3"/>
  <c r="H860" i="3"/>
  <c r="G860" i="3"/>
  <c r="F860" i="3"/>
  <c r="E860" i="3"/>
  <c r="D860" i="3"/>
  <c r="C860" i="3"/>
  <c r="B860" i="3"/>
  <c r="A860" i="3"/>
  <c r="M859" i="3"/>
  <c r="L859" i="3"/>
  <c r="K859" i="3"/>
  <c r="J859" i="3"/>
  <c r="I859" i="3"/>
  <c r="H859" i="3"/>
  <c r="G859" i="3"/>
  <c r="F859" i="3"/>
  <c r="E859" i="3"/>
  <c r="D859" i="3"/>
  <c r="C859" i="3"/>
  <c r="B859" i="3"/>
  <c r="A859" i="3"/>
  <c r="M858" i="3"/>
  <c r="L858" i="3"/>
  <c r="K858" i="3"/>
  <c r="J858" i="3"/>
  <c r="I858" i="3"/>
  <c r="H858" i="3"/>
  <c r="G858" i="3"/>
  <c r="F858" i="3"/>
  <c r="E858" i="3"/>
  <c r="D858" i="3"/>
  <c r="C858" i="3"/>
  <c r="B858" i="3"/>
  <c r="A858" i="3"/>
  <c r="M857" i="3"/>
  <c r="L857" i="3"/>
  <c r="K857" i="3"/>
  <c r="J857" i="3"/>
  <c r="I857" i="3"/>
  <c r="H857" i="3"/>
  <c r="G857" i="3"/>
  <c r="F857" i="3"/>
  <c r="D857" i="3"/>
  <c r="C857" i="3"/>
  <c r="B857" i="3"/>
  <c r="A857" i="3"/>
  <c r="M856" i="3"/>
  <c r="L856" i="3"/>
  <c r="K856" i="3"/>
  <c r="J856" i="3"/>
  <c r="I856" i="3"/>
  <c r="H856" i="3"/>
  <c r="G856" i="3"/>
  <c r="F856" i="3"/>
  <c r="E856" i="3"/>
  <c r="D856" i="3"/>
  <c r="C856" i="3"/>
  <c r="B856" i="3"/>
  <c r="A856" i="3"/>
  <c r="M855" i="3"/>
  <c r="L855" i="3"/>
  <c r="K855" i="3"/>
  <c r="J855" i="3"/>
  <c r="I855" i="3"/>
  <c r="H855" i="3"/>
  <c r="G855" i="3"/>
  <c r="F855" i="3"/>
  <c r="E855" i="3"/>
  <c r="D855" i="3"/>
  <c r="C855" i="3"/>
  <c r="B855" i="3"/>
  <c r="A855" i="3"/>
  <c r="M854" i="3"/>
  <c r="L854" i="3"/>
  <c r="K854" i="3"/>
  <c r="J854" i="3"/>
  <c r="I854" i="3"/>
  <c r="H854" i="3"/>
  <c r="G854" i="3"/>
  <c r="F854" i="3"/>
  <c r="E854" i="3"/>
  <c r="D854" i="3"/>
  <c r="C854" i="3"/>
  <c r="B854" i="3"/>
  <c r="A854" i="3"/>
  <c r="M853" i="3"/>
  <c r="L853" i="3"/>
  <c r="K853" i="3"/>
  <c r="J853" i="3"/>
  <c r="I853" i="3"/>
  <c r="H853" i="3"/>
  <c r="G853" i="3"/>
  <c r="E853" i="3"/>
  <c r="D853" i="3"/>
  <c r="C853" i="3"/>
  <c r="B853" i="3"/>
  <c r="A853" i="3"/>
  <c r="M852" i="3"/>
  <c r="L852" i="3"/>
  <c r="K852" i="3"/>
  <c r="J852" i="3"/>
  <c r="I852" i="3"/>
  <c r="H852" i="3"/>
  <c r="G852" i="3"/>
  <c r="F852" i="3"/>
  <c r="E852" i="3"/>
  <c r="D852" i="3"/>
  <c r="C852" i="3"/>
  <c r="B852" i="3"/>
  <c r="A852" i="3"/>
  <c r="M851" i="3"/>
  <c r="L851" i="3"/>
  <c r="K851" i="3"/>
  <c r="J851" i="3"/>
  <c r="I851" i="3"/>
  <c r="H851" i="3"/>
  <c r="G851" i="3"/>
  <c r="F851" i="3"/>
  <c r="E851" i="3"/>
  <c r="D851" i="3"/>
  <c r="C851" i="3"/>
  <c r="B851" i="3"/>
  <c r="A851" i="3"/>
  <c r="M850" i="3"/>
  <c r="L850" i="3"/>
  <c r="K850" i="3"/>
  <c r="J850" i="3"/>
  <c r="I850" i="3"/>
  <c r="H850" i="3"/>
  <c r="G850" i="3"/>
  <c r="F850" i="3"/>
  <c r="E850" i="3"/>
  <c r="D850" i="3"/>
  <c r="C850" i="3"/>
  <c r="B850" i="3"/>
  <c r="A850" i="3"/>
  <c r="M849" i="3"/>
  <c r="L849" i="3"/>
  <c r="K849" i="3"/>
  <c r="J849" i="3"/>
  <c r="I849" i="3"/>
  <c r="H849" i="3"/>
  <c r="F849" i="3"/>
  <c r="E849" i="3"/>
  <c r="D849" i="3"/>
  <c r="C849" i="3"/>
  <c r="B849" i="3"/>
  <c r="A849" i="3"/>
  <c r="M848" i="3"/>
  <c r="L848" i="3"/>
  <c r="K848" i="3"/>
  <c r="J848" i="3"/>
  <c r="I848" i="3"/>
  <c r="H848" i="3"/>
  <c r="G848" i="3"/>
  <c r="F848" i="3"/>
  <c r="E848" i="3"/>
  <c r="D848" i="3"/>
  <c r="C848" i="3"/>
  <c r="B848" i="3"/>
  <c r="A848" i="3"/>
  <c r="M847" i="3"/>
  <c r="L847" i="3"/>
  <c r="K847" i="3"/>
  <c r="J847" i="3"/>
  <c r="I847" i="3"/>
  <c r="H847" i="3"/>
  <c r="G847" i="3"/>
  <c r="F847" i="3"/>
  <c r="E847" i="3"/>
  <c r="D847" i="3"/>
  <c r="C847" i="3"/>
  <c r="B847" i="3"/>
  <c r="A847" i="3"/>
  <c r="M846" i="3"/>
  <c r="L846" i="3"/>
  <c r="K846" i="3"/>
  <c r="J846" i="3"/>
  <c r="I846" i="3"/>
  <c r="H846" i="3"/>
  <c r="G846" i="3"/>
  <c r="F846" i="3"/>
  <c r="E846" i="3"/>
  <c r="D846" i="3"/>
  <c r="C846" i="3"/>
  <c r="B846" i="3"/>
  <c r="A846" i="3"/>
  <c r="M845" i="3"/>
  <c r="L845" i="3"/>
  <c r="K845" i="3"/>
  <c r="J845" i="3"/>
  <c r="I845" i="3"/>
  <c r="H845" i="3"/>
  <c r="G845" i="3"/>
  <c r="F845" i="3"/>
  <c r="E845" i="3"/>
  <c r="D845" i="3"/>
  <c r="C845" i="3"/>
  <c r="B845" i="3"/>
  <c r="A845" i="3"/>
  <c r="M844" i="3"/>
  <c r="L844" i="3"/>
  <c r="K844" i="3"/>
  <c r="J844" i="3"/>
  <c r="I844" i="3"/>
  <c r="H844" i="3"/>
  <c r="G844" i="3"/>
  <c r="F844" i="3"/>
  <c r="E844" i="3"/>
  <c r="D844" i="3"/>
  <c r="C844" i="3"/>
  <c r="B844" i="3"/>
  <c r="A844" i="3"/>
  <c r="M843" i="3"/>
  <c r="L843" i="3"/>
  <c r="K843" i="3"/>
  <c r="J843" i="3"/>
  <c r="I843" i="3"/>
  <c r="H843" i="3"/>
  <c r="G843" i="3"/>
  <c r="F843" i="3"/>
  <c r="D843" i="3"/>
  <c r="C843" i="3"/>
  <c r="B843" i="3"/>
  <c r="A843" i="3"/>
  <c r="M842" i="3"/>
  <c r="L842" i="3"/>
  <c r="K842" i="3"/>
  <c r="J842" i="3"/>
  <c r="I842" i="3"/>
  <c r="H842" i="3"/>
  <c r="G842" i="3"/>
  <c r="F842" i="3"/>
  <c r="E842" i="3"/>
  <c r="D842" i="3"/>
  <c r="C842" i="3"/>
  <c r="B842" i="3"/>
  <c r="A842" i="3"/>
  <c r="M841" i="3"/>
  <c r="L841" i="3"/>
  <c r="K841" i="3"/>
  <c r="J841" i="3"/>
  <c r="I841" i="3"/>
  <c r="H841" i="3"/>
  <c r="G841" i="3"/>
  <c r="F841" i="3"/>
  <c r="E841" i="3"/>
  <c r="D841" i="3"/>
  <c r="C841" i="3"/>
  <c r="B841" i="3"/>
  <c r="A841" i="3"/>
  <c r="M840" i="3"/>
  <c r="L840" i="3"/>
  <c r="K840" i="3"/>
  <c r="J840" i="3"/>
  <c r="I840" i="3"/>
  <c r="H840" i="3"/>
  <c r="G840" i="3"/>
  <c r="F840" i="3"/>
  <c r="E840" i="3"/>
  <c r="D840" i="3"/>
  <c r="C840" i="3"/>
  <c r="B840" i="3"/>
  <c r="A840" i="3"/>
  <c r="M839" i="3"/>
  <c r="L839" i="3"/>
  <c r="K839" i="3"/>
  <c r="J839" i="3"/>
  <c r="I839" i="3"/>
  <c r="H839" i="3"/>
  <c r="G839" i="3"/>
  <c r="F839" i="3"/>
  <c r="E839" i="3"/>
  <c r="D839" i="3"/>
  <c r="C839" i="3"/>
  <c r="B839" i="3"/>
  <c r="A839" i="3"/>
  <c r="M838" i="3"/>
  <c r="L838" i="3"/>
  <c r="K838" i="3"/>
  <c r="J838" i="3"/>
  <c r="I838" i="3"/>
  <c r="H838" i="3"/>
  <c r="G838" i="3"/>
  <c r="F838" i="3"/>
  <c r="E838" i="3"/>
  <c r="D838" i="3"/>
  <c r="C838" i="3"/>
  <c r="B838" i="3"/>
  <c r="A838" i="3"/>
  <c r="M837" i="3"/>
  <c r="L837" i="3"/>
  <c r="K837" i="3"/>
  <c r="J837" i="3"/>
  <c r="I837" i="3"/>
  <c r="H837" i="3"/>
  <c r="G837" i="3"/>
  <c r="F837" i="3"/>
  <c r="E837" i="3"/>
  <c r="D837" i="3"/>
  <c r="C837" i="3"/>
  <c r="B837" i="3"/>
  <c r="A837" i="3"/>
  <c r="M836" i="3"/>
  <c r="L836" i="3"/>
  <c r="K836" i="3"/>
  <c r="J836" i="3"/>
  <c r="I836" i="3"/>
  <c r="H836" i="3"/>
  <c r="G836" i="3"/>
  <c r="F836" i="3"/>
  <c r="E836" i="3"/>
  <c r="D836" i="3"/>
  <c r="C836" i="3"/>
  <c r="B836" i="3"/>
  <c r="A836" i="3"/>
  <c r="M835" i="3"/>
  <c r="L835" i="3"/>
  <c r="K835" i="3"/>
  <c r="J835" i="3"/>
  <c r="I835" i="3"/>
  <c r="H835" i="3"/>
  <c r="G835" i="3"/>
  <c r="F835" i="3"/>
  <c r="E835" i="3"/>
  <c r="D835" i="3"/>
  <c r="C835" i="3"/>
  <c r="B835" i="3"/>
  <c r="A835" i="3"/>
  <c r="M834" i="3"/>
  <c r="L834" i="3"/>
  <c r="K834" i="3"/>
  <c r="J834" i="3"/>
  <c r="I834" i="3"/>
  <c r="H834" i="3"/>
  <c r="G834" i="3"/>
  <c r="F834" i="3"/>
  <c r="E834" i="3"/>
  <c r="D834" i="3"/>
  <c r="C834" i="3"/>
  <c r="B834" i="3"/>
  <c r="A834" i="3"/>
  <c r="M833" i="3"/>
  <c r="L833" i="3"/>
  <c r="K833" i="3"/>
  <c r="J833" i="3"/>
  <c r="I833" i="3"/>
  <c r="H833" i="3"/>
  <c r="G833" i="3"/>
  <c r="F833" i="3"/>
  <c r="E833" i="3"/>
  <c r="D833" i="3"/>
  <c r="C833" i="3"/>
  <c r="B833" i="3"/>
  <c r="A833" i="3"/>
  <c r="M832" i="3"/>
  <c r="L832" i="3"/>
  <c r="K832" i="3"/>
  <c r="J832" i="3"/>
  <c r="I832" i="3"/>
  <c r="H832" i="3"/>
  <c r="G832" i="3"/>
  <c r="F832" i="3"/>
  <c r="E832" i="3"/>
  <c r="D832" i="3"/>
  <c r="C832" i="3"/>
  <c r="B832" i="3"/>
  <c r="A832" i="3"/>
  <c r="M831" i="3"/>
  <c r="L831" i="3"/>
  <c r="K831" i="3"/>
  <c r="J831" i="3"/>
  <c r="I831" i="3"/>
  <c r="H831" i="3"/>
  <c r="G831" i="3"/>
  <c r="F831" i="3"/>
  <c r="E831" i="3"/>
  <c r="D831" i="3"/>
  <c r="C831" i="3"/>
  <c r="B831" i="3"/>
  <c r="A831" i="3"/>
  <c r="M830" i="3"/>
  <c r="L830" i="3"/>
  <c r="K830" i="3"/>
  <c r="J830" i="3"/>
  <c r="I830" i="3"/>
  <c r="H830" i="3"/>
  <c r="G830" i="3"/>
  <c r="F830" i="3"/>
  <c r="E830" i="3"/>
  <c r="D830" i="3"/>
  <c r="C830" i="3"/>
  <c r="B830" i="3"/>
  <c r="A830" i="3"/>
  <c r="M829" i="3"/>
  <c r="L829" i="3"/>
  <c r="K829" i="3"/>
  <c r="J829" i="3"/>
  <c r="I829" i="3"/>
  <c r="H829" i="3"/>
  <c r="G829" i="3"/>
  <c r="F829" i="3"/>
  <c r="E829" i="3"/>
  <c r="D829" i="3"/>
  <c r="C829" i="3"/>
  <c r="B829" i="3"/>
  <c r="A829" i="3"/>
  <c r="M828" i="3"/>
  <c r="L828" i="3"/>
  <c r="K828" i="3"/>
  <c r="J828" i="3"/>
  <c r="I828" i="3"/>
  <c r="H828" i="3"/>
  <c r="F828" i="3"/>
  <c r="E828" i="3"/>
  <c r="D828" i="3"/>
  <c r="C828" i="3"/>
  <c r="B828" i="3"/>
  <c r="A828" i="3"/>
  <c r="M827" i="3"/>
  <c r="L827" i="3"/>
  <c r="K827" i="3"/>
  <c r="J827" i="3"/>
  <c r="I827" i="3"/>
  <c r="H827" i="3"/>
  <c r="G827" i="3"/>
  <c r="F827" i="3"/>
  <c r="E827" i="3"/>
  <c r="D827" i="3"/>
  <c r="C827" i="3"/>
  <c r="B827" i="3"/>
  <c r="A827" i="3"/>
  <c r="M826" i="3"/>
  <c r="L826" i="3"/>
  <c r="K826" i="3"/>
  <c r="J826" i="3"/>
  <c r="I826" i="3"/>
  <c r="H826" i="3"/>
  <c r="G826" i="3"/>
  <c r="F826" i="3"/>
  <c r="E826" i="3"/>
  <c r="D826" i="3"/>
  <c r="C826" i="3"/>
  <c r="B826" i="3"/>
  <c r="A826" i="3"/>
  <c r="M825" i="3"/>
  <c r="L825" i="3"/>
  <c r="K825" i="3"/>
  <c r="J825" i="3"/>
  <c r="I825" i="3"/>
  <c r="H825" i="3"/>
  <c r="G825" i="3"/>
  <c r="F825" i="3"/>
  <c r="E825" i="3"/>
  <c r="D825" i="3"/>
  <c r="C825" i="3"/>
  <c r="B825" i="3"/>
  <c r="A825" i="3"/>
  <c r="M824" i="3"/>
  <c r="L824" i="3"/>
  <c r="K824" i="3"/>
  <c r="J824" i="3"/>
  <c r="I824" i="3"/>
  <c r="H824" i="3"/>
  <c r="G824" i="3"/>
  <c r="F824" i="3"/>
  <c r="E824" i="3"/>
  <c r="D824" i="3"/>
  <c r="C824" i="3"/>
  <c r="B824" i="3"/>
  <c r="A824" i="3"/>
  <c r="M823" i="3"/>
  <c r="L823" i="3"/>
  <c r="K823" i="3"/>
  <c r="J823" i="3"/>
  <c r="I823" i="3"/>
  <c r="H823" i="3"/>
  <c r="G823" i="3"/>
  <c r="F823" i="3"/>
  <c r="E823" i="3"/>
  <c r="D823" i="3"/>
  <c r="C823" i="3"/>
  <c r="B823" i="3"/>
  <c r="A823" i="3"/>
  <c r="M822" i="3"/>
  <c r="L822" i="3"/>
  <c r="K822" i="3"/>
  <c r="J822" i="3"/>
  <c r="I822" i="3"/>
  <c r="H822" i="3"/>
  <c r="F822" i="3"/>
  <c r="E822" i="3"/>
  <c r="D822" i="3"/>
  <c r="C822" i="3"/>
  <c r="B822" i="3"/>
  <c r="A822" i="3"/>
  <c r="M821" i="3"/>
  <c r="L821" i="3"/>
  <c r="K821" i="3"/>
  <c r="J821" i="3"/>
  <c r="I821" i="3"/>
  <c r="H821" i="3"/>
  <c r="G821" i="3"/>
  <c r="F821" i="3"/>
  <c r="E821" i="3"/>
  <c r="D821" i="3"/>
  <c r="C821" i="3"/>
  <c r="B821" i="3"/>
  <c r="A821" i="3"/>
  <c r="M820" i="3"/>
  <c r="L820" i="3"/>
  <c r="K820" i="3"/>
  <c r="J820" i="3"/>
  <c r="I820" i="3"/>
  <c r="H820" i="3"/>
  <c r="G820" i="3"/>
  <c r="F820" i="3"/>
  <c r="E820" i="3"/>
  <c r="D820" i="3"/>
  <c r="C820" i="3"/>
  <c r="B820" i="3"/>
  <c r="A820" i="3"/>
  <c r="M819" i="3"/>
  <c r="L819" i="3"/>
  <c r="K819" i="3"/>
  <c r="J819" i="3"/>
  <c r="I819" i="3"/>
  <c r="H819" i="3"/>
  <c r="G819" i="3"/>
  <c r="F819" i="3"/>
  <c r="E819" i="3"/>
  <c r="D819" i="3"/>
  <c r="C819" i="3"/>
  <c r="B819" i="3"/>
  <c r="A819" i="3"/>
  <c r="M818" i="3"/>
  <c r="L818" i="3"/>
  <c r="K818" i="3"/>
  <c r="J818" i="3"/>
  <c r="I818" i="3"/>
  <c r="H818" i="3"/>
  <c r="G818" i="3"/>
  <c r="F818" i="3"/>
  <c r="E818" i="3"/>
  <c r="D818" i="3"/>
  <c r="C818" i="3"/>
  <c r="B818" i="3"/>
  <c r="A818" i="3"/>
  <c r="M817" i="3"/>
  <c r="L817" i="3"/>
  <c r="K817" i="3"/>
  <c r="J817" i="3"/>
  <c r="I817" i="3"/>
  <c r="H817" i="3"/>
  <c r="F817" i="3"/>
  <c r="E817" i="3"/>
  <c r="D817" i="3"/>
  <c r="C817" i="3"/>
  <c r="B817" i="3"/>
  <c r="A817" i="3"/>
  <c r="M816" i="3"/>
  <c r="L816" i="3"/>
  <c r="K816" i="3"/>
  <c r="J816" i="3"/>
  <c r="I816" i="3"/>
  <c r="H816" i="3"/>
  <c r="G816" i="3"/>
  <c r="F816" i="3"/>
  <c r="E816" i="3"/>
  <c r="D816" i="3"/>
  <c r="C816" i="3"/>
  <c r="B816" i="3"/>
  <c r="A816" i="3"/>
  <c r="M815" i="3"/>
  <c r="L815" i="3"/>
  <c r="K815" i="3"/>
  <c r="J815" i="3"/>
  <c r="I815" i="3"/>
  <c r="H815" i="3"/>
  <c r="G815" i="3"/>
  <c r="F815" i="3"/>
  <c r="E815" i="3"/>
  <c r="D815" i="3"/>
  <c r="C815" i="3"/>
  <c r="B815" i="3"/>
  <c r="A815" i="3"/>
  <c r="M814" i="3"/>
  <c r="L814" i="3"/>
  <c r="K814" i="3"/>
  <c r="J814" i="3"/>
  <c r="I814" i="3"/>
  <c r="H814" i="3"/>
  <c r="G814" i="3"/>
  <c r="F814" i="3"/>
  <c r="E814" i="3"/>
  <c r="D814" i="3"/>
  <c r="C814" i="3"/>
  <c r="B814" i="3"/>
  <c r="A814" i="3"/>
  <c r="M813" i="3"/>
  <c r="L813" i="3"/>
  <c r="K813" i="3"/>
  <c r="J813" i="3"/>
  <c r="I813" i="3"/>
  <c r="H813" i="3"/>
  <c r="G813" i="3"/>
  <c r="F813" i="3"/>
  <c r="D813" i="3"/>
  <c r="C813" i="3"/>
  <c r="B813" i="3"/>
  <c r="A813" i="3"/>
  <c r="M812" i="3"/>
  <c r="L812" i="3"/>
  <c r="K812" i="3"/>
  <c r="J812" i="3"/>
  <c r="I812" i="3"/>
  <c r="H812" i="3"/>
  <c r="G812" i="3"/>
  <c r="F812" i="3"/>
  <c r="E812" i="3"/>
  <c r="D812" i="3"/>
  <c r="C812" i="3"/>
  <c r="B812" i="3"/>
  <c r="A812" i="3"/>
  <c r="M811" i="3"/>
  <c r="L811" i="3"/>
  <c r="K811" i="3"/>
  <c r="J811" i="3"/>
  <c r="I811" i="3"/>
  <c r="H811" i="3"/>
  <c r="G811" i="3"/>
  <c r="F811" i="3"/>
  <c r="E811" i="3"/>
  <c r="D811" i="3"/>
  <c r="C811" i="3"/>
  <c r="B811" i="3"/>
  <c r="A811" i="3"/>
  <c r="M810" i="3"/>
  <c r="L810" i="3"/>
  <c r="K810" i="3"/>
  <c r="J810" i="3"/>
  <c r="I810" i="3"/>
  <c r="H810" i="3"/>
  <c r="G810" i="3"/>
  <c r="F810" i="3"/>
  <c r="E810" i="3"/>
  <c r="D810" i="3"/>
  <c r="C810" i="3"/>
  <c r="B810" i="3"/>
  <c r="A810" i="3"/>
  <c r="M809" i="3"/>
  <c r="L809" i="3"/>
  <c r="K809" i="3"/>
  <c r="J809" i="3"/>
  <c r="I809" i="3"/>
  <c r="H809" i="3"/>
  <c r="G809" i="3"/>
  <c r="F809" i="3"/>
  <c r="E809" i="3"/>
  <c r="D809" i="3"/>
  <c r="C809" i="3"/>
  <c r="B809" i="3"/>
  <c r="A809" i="3"/>
  <c r="M808" i="3"/>
  <c r="L808" i="3"/>
  <c r="K808" i="3"/>
  <c r="J808" i="3"/>
  <c r="I808" i="3"/>
  <c r="H808" i="3"/>
  <c r="G808" i="3"/>
  <c r="F808" i="3"/>
  <c r="E808" i="3"/>
  <c r="D808" i="3"/>
  <c r="C808" i="3"/>
  <c r="B808" i="3"/>
  <c r="A808" i="3"/>
  <c r="M807" i="3"/>
  <c r="L807" i="3"/>
  <c r="K807" i="3"/>
  <c r="J807" i="3"/>
  <c r="I807" i="3"/>
  <c r="H807" i="3"/>
  <c r="G807" i="3"/>
  <c r="F807" i="3"/>
  <c r="E807" i="3"/>
  <c r="D807" i="3"/>
  <c r="C807" i="3"/>
  <c r="B807" i="3"/>
  <c r="A807" i="3"/>
  <c r="M806" i="3"/>
  <c r="L806" i="3"/>
  <c r="K806" i="3"/>
  <c r="J806" i="3"/>
  <c r="I806" i="3"/>
  <c r="H806" i="3"/>
  <c r="G806" i="3"/>
  <c r="F806" i="3"/>
  <c r="E806" i="3"/>
  <c r="D806" i="3"/>
  <c r="C806" i="3"/>
  <c r="B806" i="3"/>
  <c r="A806" i="3"/>
  <c r="M805" i="3"/>
  <c r="L805" i="3"/>
  <c r="K805" i="3"/>
  <c r="J805" i="3"/>
  <c r="I805" i="3"/>
  <c r="H805" i="3"/>
  <c r="G805" i="3"/>
  <c r="F805" i="3"/>
  <c r="E805" i="3"/>
  <c r="D805" i="3"/>
  <c r="C805" i="3"/>
  <c r="B805" i="3"/>
  <c r="A805" i="3"/>
  <c r="M804" i="3"/>
  <c r="L804" i="3"/>
  <c r="K804" i="3"/>
  <c r="J804" i="3"/>
  <c r="I804" i="3"/>
  <c r="H804" i="3"/>
  <c r="G804" i="3"/>
  <c r="F804" i="3"/>
  <c r="D804" i="3"/>
  <c r="C804" i="3"/>
  <c r="B804" i="3"/>
  <c r="A804" i="3"/>
  <c r="M803" i="3"/>
  <c r="L803" i="3"/>
  <c r="K803" i="3"/>
  <c r="J803" i="3"/>
  <c r="I803" i="3"/>
  <c r="H803" i="3"/>
  <c r="G803" i="3"/>
  <c r="F803" i="3"/>
  <c r="E803" i="3"/>
  <c r="D803" i="3"/>
  <c r="C803" i="3"/>
  <c r="B803" i="3"/>
  <c r="A803" i="3"/>
  <c r="M802" i="3"/>
  <c r="L802" i="3"/>
  <c r="K802" i="3"/>
  <c r="J802" i="3"/>
  <c r="I802" i="3"/>
  <c r="H802" i="3"/>
  <c r="G802" i="3"/>
  <c r="F802" i="3"/>
  <c r="E802" i="3"/>
  <c r="D802" i="3"/>
  <c r="C802" i="3"/>
  <c r="B802" i="3"/>
  <c r="A802" i="3"/>
  <c r="M801" i="3"/>
  <c r="L801" i="3"/>
  <c r="K801" i="3"/>
  <c r="J801" i="3"/>
  <c r="I801" i="3"/>
  <c r="H801" i="3"/>
  <c r="G801" i="3"/>
  <c r="F801" i="3"/>
  <c r="E801" i="3"/>
  <c r="D801" i="3"/>
  <c r="C801" i="3"/>
  <c r="B801" i="3"/>
  <c r="A801" i="3"/>
  <c r="M800" i="3"/>
  <c r="L800" i="3"/>
  <c r="K800" i="3"/>
  <c r="J800" i="3"/>
  <c r="I800" i="3"/>
  <c r="H800" i="3"/>
  <c r="G800" i="3"/>
  <c r="F800" i="3"/>
  <c r="E800" i="3"/>
  <c r="D800" i="3"/>
  <c r="C800" i="3"/>
  <c r="B800" i="3"/>
  <c r="A800" i="3"/>
  <c r="M799" i="3"/>
  <c r="L799" i="3"/>
  <c r="K799" i="3"/>
  <c r="J799" i="3"/>
  <c r="I799" i="3"/>
  <c r="H799" i="3"/>
  <c r="G799" i="3"/>
  <c r="F799" i="3"/>
  <c r="E799" i="3"/>
  <c r="D799" i="3"/>
  <c r="C799" i="3"/>
  <c r="B799" i="3"/>
  <c r="A799" i="3"/>
  <c r="M798" i="3"/>
  <c r="L798" i="3"/>
  <c r="K798" i="3"/>
  <c r="J798" i="3"/>
  <c r="I798" i="3"/>
  <c r="H798" i="3"/>
  <c r="G798" i="3"/>
  <c r="F798" i="3"/>
  <c r="E798" i="3"/>
  <c r="D798" i="3"/>
  <c r="C798" i="3"/>
  <c r="B798" i="3"/>
  <c r="A798" i="3"/>
  <c r="M797" i="3"/>
  <c r="L797" i="3"/>
  <c r="K797" i="3"/>
  <c r="J797" i="3"/>
  <c r="I797" i="3"/>
  <c r="H797" i="3"/>
  <c r="G797" i="3"/>
  <c r="E797" i="3"/>
  <c r="D797" i="3"/>
  <c r="C797" i="3"/>
  <c r="B797" i="3"/>
  <c r="A797" i="3"/>
  <c r="M796" i="3"/>
  <c r="L796" i="3"/>
  <c r="K796" i="3"/>
  <c r="J796" i="3"/>
  <c r="I796" i="3"/>
  <c r="H796" i="3"/>
  <c r="G796" i="3"/>
  <c r="F796" i="3"/>
  <c r="E796" i="3"/>
  <c r="D796" i="3"/>
  <c r="C796" i="3"/>
  <c r="B796" i="3"/>
  <c r="A796" i="3"/>
  <c r="M795" i="3"/>
  <c r="L795" i="3"/>
  <c r="K795" i="3"/>
  <c r="J795" i="3"/>
  <c r="I795" i="3"/>
  <c r="H795" i="3"/>
  <c r="G795" i="3"/>
  <c r="F795" i="3"/>
  <c r="E795" i="3"/>
  <c r="D795" i="3"/>
  <c r="C795" i="3"/>
  <c r="B795" i="3"/>
  <c r="A795" i="3"/>
  <c r="M794" i="3"/>
  <c r="L794" i="3"/>
  <c r="K794" i="3"/>
  <c r="J794" i="3"/>
  <c r="I794" i="3"/>
  <c r="H794" i="3"/>
  <c r="G794" i="3"/>
  <c r="F794" i="3"/>
  <c r="E794" i="3"/>
  <c r="D794" i="3"/>
  <c r="C794" i="3"/>
  <c r="B794" i="3"/>
  <c r="A794" i="3"/>
  <c r="M793" i="3"/>
  <c r="L793" i="3"/>
  <c r="K793" i="3"/>
  <c r="J793" i="3"/>
  <c r="I793" i="3"/>
  <c r="H793" i="3"/>
  <c r="G793" i="3"/>
  <c r="F793" i="3"/>
  <c r="E793" i="3"/>
  <c r="D793" i="3"/>
  <c r="C793" i="3"/>
  <c r="B793" i="3"/>
  <c r="A793" i="3"/>
  <c r="M792" i="3"/>
  <c r="L792" i="3"/>
  <c r="K792" i="3"/>
  <c r="J792" i="3"/>
  <c r="I792" i="3"/>
  <c r="H792" i="3"/>
  <c r="G792" i="3"/>
  <c r="F792" i="3"/>
  <c r="E792" i="3"/>
  <c r="D792" i="3"/>
  <c r="C792" i="3"/>
  <c r="B792" i="3"/>
  <c r="A792" i="3"/>
  <c r="M791" i="3"/>
  <c r="L791" i="3"/>
  <c r="K791" i="3"/>
  <c r="J791" i="3"/>
  <c r="I791" i="3"/>
  <c r="H791" i="3"/>
  <c r="G791" i="3"/>
  <c r="F791" i="3"/>
  <c r="E791" i="3"/>
  <c r="D791" i="3"/>
  <c r="C791" i="3"/>
  <c r="B791" i="3"/>
  <c r="A791" i="3"/>
  <c r="M790" i="3"/>
  <c r="L790" i="3"/>
  <c r="K790" i="3"/>
  <c r="J790" i="3"/>
  <c r="I790" i="3"/>
  <c r="H790" i="3"/>
  <c r="G790" i="3"/>
  <c r="F790" i="3"/>
  <c r="E790" i="3"/>
  <c r="D790" i="3"/>
  <c r="C790" i="3"/>
  <c r="B790" i="3"/>
  <c r="A790" i="3"/>
  <c r="M789" i="3"/>
  <c r="L789" i="3"/>
  <c r="K789" i="3"/>
  <c r="J789" i="3"/>
  <c r="I789" i="3"/>
  <c r="H789" i="3"/>
  <c r="G789" i="3"/>
  <c r="F789" i="3"/>
  <c r="E789" i="3"/>
  <c r="D789" i="3"/>
  <c r="C789" i="3"/>
  <c r="B789" i="3"/>
  <c r="A789" i="3"/>
  <c r="M788" i="3"/>
  <c r="L788" i="3"/>
  <c r="K788" i="3"/>
  <c r="J788" i="3"/>
  <c r="I788" i="3"/>
  <c r="H788" i="3"/>
  <c r="G788" i="3"/>
  <c r="F788" i="3"/>
  <c r="E788" i="3"/>
  <c r="D788" i="3"/>
  <c r="C788" i="3"/>
  <c r="B788" i="3"/>
  <c r="A788" i="3"/>
  <c r="M787" i="3"/>
  <c r="L787" i="3"/>
  <c r="K787" i="3"/>
  <c r="J787" i="3"/>
  <c r="I787" i="3"/>
  <c r="H787" i="3"/>
  <c r="G787" i="3"/>
  <c r="F787" i="3"/>
  <c r="E787" i="3"/>
  <c r="D787" i="3"/>
  <c r="C787" i="3"/>
  <c r="B787" i="3"/>
  <c r="A787" i="3"/>
  <c r="M786" i="3"/>
  <c r="L786" i="3"/>
  <c r="K786" i="3"/>
  <c r="J786" i="3"/>
  <c r="I786" i="3"/>
  <c r="H786" i="3"/>
  <c r="G786" i="3"/>
  <c r="F786" i="3"/>
  <c r="E786" i="3"/>
  <c r="D786" i="3"/>
  <c r="C786" i="3"/>
  <c r="B786" i="3"/>
  <c r="A786" i="3"/>
  <c r="M785" i="3"/>
  <c r="L785" i="3"/>
  <c r="K785" i="3"/>
  <c r="J785" i="3"/>
  <c r="I785" i="3"/>
  <c r="H785" i="3"/>
  <c r="G785" i="3"/>
  <c r="F785" i="3"/>
  <c r="E785" i="3"/>
  <c r="D785" i="3"/>
  <c r="C785" i="3"/>
  <c r="B785" i="3"/>
  <c r="A785" i="3"/>
  <c r="M784" i="3"/>
  <c r="L784" i="3"/>
  <c r="K784" i="3"/>
  <c r="J784" i="3"/>
  <c r="I784" i="3"/>
  <c r="H784" i="3"/>
  <c r="G784" i="3"/>
  <c r="F784" i="3"/>
  <c r="E784" i="3"/>
  <c r="D784" i="3"/>
  <c r="C784" i="3"/>
  <c r="B784" i="3"/>
  <c r="A784" i="3"/>
  <c r="M783" i="3"/>
  <c r="L783" i="3"/>
  <c r="K783" i="3"/>
  <c r="J783" i="3"/>
  <c r="I783" i="3"/>
  <c r="H783" i="3"/>
  <c r="G783" i="3"/>
  <c r="F783" i="3"/>
  <c r="D783" i="3"/>
  <c r="C783" i="3"/>
  <c r="B783" i="3"/>
  <c r="A783" i="3"/>
  <c r="M782" i="3"/>
  <c r="L782" i="3"/>
  <c r="K782" i="3"/>
  <c r="J782" i="3"/>
  <c r="I782" i="3"/>
  <c r="H782" i="3"/>
  <c r="G782" i="3"/>
  <c r="F782" i="3"/>
  <c r="E782" i="3"/>
  <c r="D782" i="3"/>
  <c r="C782" i="3"/>
  <c r="B782" i="3"/>
  <c r="A782" i="3"/>
  <c r="M781" i="3"/>
  <c r="L781" i="3"/>
  <c r="K781" i="3"/>
  <c r="J781" i="3"/>
  <c r="I781" i="3"/>
  <c r="H781" i="3"/>
  <c r="G781" i="3"/>
  <c r="F781" i="3"/>
  <c r="E781" i="3"/>
  <c r="D781" i="3"/>
  <c r="C781" i="3"/>
  <c r="B781" i="3"/>
  <c r="A781" i="3"/>
  <c r="M780" i="3"/>
  <c r="L780" i="3"/>
  <c r="K780" i="3"/>
  <c r="J780" i="3"/>
  <c r="I780" i="3"/>
  <c r="H780" i="3"/>
  <c r="G780" i="3"/>
  <c r="F780" i="3"/>
  <c r="E780" i="3"/>
  <c r="D780" i="3"/>
  <c r="C780" i="3"/>
  <c r="B780" i="3"/>
  <c r="A780" i="3"/>
  <c r="M779" i="3"/>
  <c r="L779" i="3"/>
  <c r="K779" i="3"/>
  <c r="J779" i="3"/>
  <c r="I779" i="3"/>
  <c r="H779" i="3"/>
  <c r="G779" i="3"/>
  <c r="F779" i="3"/>
  <c r="E779" i="3"/>
  <c r="D779" i="3"/>
  <c r="C779" i="3"/>
  <c r="B779" i="3"/>
  <c r="A779" i="3"/>
  <c r="M778" i="3"/>
  <c r="L778" i="3"/>
  <c r="K778" i="3"/>
  <c r="J778" i="3"/>
  <c r="I778" i="3"/>
  <c r="H778" i="3"/>
  <c r="G778" i="3"/>
  <c r="F778" i="3"/>
  <c r="E778" i="3"/>
  <c r="D778" i="3"/>
  <c r="C778" i="3"/>
  <c r="B778" i="3"/>
  <c r="A778" i="3"/>
  <c r="M777" i="3"/>
  <c r="L777" i="3"/>
  <c r="K777" i="3"/>
  <c r="J777" i="3"/>
  <c r="I777" i="3"/>
  <c r="H777" i="3"/>
  <c r="G777" i="3"/>
  <c r="F777" i="3"/>
  <c r="E777" i="3"/>
  <c r="D777" i="3"/>
  <c r="C777" i="3"/>
  <c r="B777" i="3"/>
  <c r="A777" i="3"/>
  <c r="M776" i="3"/>
  <c r="L776" i="3"/>
  <c r="K776" i="3"/>
  <c r="J776" i="3"/>
  <c r="I776" i="3"/>
  <c r="H776" i="3"/>
  <c r="G776" i="3"/>
  <c r="F776" i="3"/>
  <c r="E776" i="3"/>
  <c r="D776" i="3"/>
  <c r="C776" i="3"/>
  <c r="B776" i="3"/>
  <c r="A776" i="3"/>
  <c r="M775" i="3"/>
  <c r="L775" i="3"/>
  <c r="K775" i="3"/>
  <c r="J775" i="3"/>
  <c r="I775" i="3"/>
  <c r="H775" i="3"/>
  <c r="G775" i="3"/>
  <c r="F775" i="3"/>
  <c r="E775" i="3"/>
  <c r="D775" i="3"/>
  <c r="C775" i="3"/>
  <c r="B775" i="3"/>
  <c r="A775" i="3"/>
  <c r="M774" i="3"/>
  <c r="L774" i="3"/>
  <c r="K774" i="3"/>
  <c r="J774" i="3"/>
  <c r="I774" i="3"/>
  <c r="H774" i="3"/>
  <c r="G774" i="3"/>
  <c r="F774" i="3"/>
  <c r="E774" i="3"/>
  <c r="D774" i="3"/>
  <c r="C774" i="3"/>
  <c r="B774" i="3"/>
  <c r="A774" i="3"/>
  <c r="M773" i="3"/>
  <c r="L773" i="3"/>
  <c r="K773" i="3"/>
  <c r="J773" i="3"/>
  <c r="I773" i="3"/>
  <c r="H773" i="3"/>
  <c r="G773" i="3"/>
  <c r="F773" i="3"/>
  <c r="E773" i="3"/>
  <c r="D773" i="3"/>
  <c r="C773" i="3"/>
  <c r="B773" i="3"/>
  <c r="A773" i="3"/>
  <c r="M772" i="3"/>
  <c r="L772" i="3"/>
  <c r="K772" i="3"/>
  <c r="J772" i="3"/>
  <c r="I772" i="3"/>
  <c r="H772" i="3"/>
  <c r="G772" i="3"/>
  <c r="F772" i="3"/>
  <c r="E772" i="3"/>
  <c r="D772" i="3"/>
  <c r="C772" i="3"/>
  <c r="B772" i="3"/>
  <c r="A772" i="3"/>
  <c r="M771" i="3"/>
  <c r="L771" i="3"/>
  <c r="K771" i="3"/>
  <c r="J771" i="3"/>
  <c r="I771" i="3"/>
  <c r="H771" i="3"/>
  <c r="G771" i="3"/>
  <c r="F771" i="3"/>
  <c r="E771" i="3"/>
  <c r="D771" i="3"/>
  <c r="C771" i="3"/>
  <c r="B771" i="3"/>
  <c r="A771" i="3"/>
  <c r="M770" i="3"/>
  <c r="L770" i="3"/>
  <c r="K770" i="3"/>
  <c r="J770" i="3"/>
  <c r="I770" i="3"/>
  <c r="H770" i="3"/>
  <c r="G770" i="3"/>
  <c r="F770" i="3"/>
  <c r="E770" i="3"/>
  <c r="D770" i="3"/>
  <c r="C770" i="3"/>
  <c r="B770" i="3"/>
  <c r="A770" i="3"/>
  <c r="M769" i="3"/>
  <c r="L769" i="3"/>
  <c r="K769" i="3"/>
  <c r="J769" i="3"/>
  <c r="I769" i="3"/>
  <c r="H769" i="3"/>
  <c r="G769" i="3"/>
  <c r="F769" i="3"/>
  <c r="D769" i="3"/>
  <c r="C769" i="3"/>
  <c r="B769" i="3"/>
  <c r="A769" i="3"/>
  <c r="M768" i="3"/>
  <c r="L768" i="3"/>
  <c r="K768" i="3"/>
  <c r="J768" i="3"/>
  <c r="I768" i="3"/>
  <c r="H768" i="3"/>
  <c r="G768" i="3"/>
  <c r="F768" i="3"/>
  <c r="E768" i="3"/>
  <c r="D768" i="3"/>
  <c r="C768" i="3"/>
  <c r="B768" i="3"/>
  <c r="A768" i="3"/>
  <c r="M767" i="3"/>
  <c r="L767" i="3"/>
  <c r="K767" i="3"/>
  <c r="J767" i="3"/>
  <c r="I767" i="3"/>
  <c r="H767" i="3"/>
  <c r="G767" i="3"/>
  <c r="F767" i="3"/>
  <c r="E767" i="3"/>
  <c r="D767" i="3"/>
  <c r="C767" i="3"/>
  <c r="B767" i="3"/>
  <c r="A767" i="3"/>
  <c r="M766" i="3"/>
  <c r="L766" i="3"/>
  <c r="K766" i="3"/>
  <c r="J766" i="3"/>
  <c r="I766" i="3"/>
  <c r="H766" i="3"/>
  <c r="G766" i="3"/>
  <c r="F766" i="3"/>
  <c r="E766" i="3"/>
  <c r="D766" i="3"/>
  <c r="C766" i="3"/>
  <c r="B766" i="3"/>
  <c r="A766" i="3"/>
  <c r="M765" i="3"/>
  <c r="L765" i="3"/>
  <c r="K765" i="3"/>
  <c r="J765" i="3"/>
  <c r="I765" i="3"/>
  <c r="H765" i="3"/>
  <c r="G765" i="3"/>
  <c r="F765" i="3"/>
  <c r="E765" i="3"/>
  <c r="D765" i="3"/>
  <c r="C765" i="3"/>
  <c r="B765" i="3"/>
  <c r="A765" i="3"/>
  <c r="M764" i="3"/>
  <c r="L764" i="3"/>
  <c r="K764" i="3"/>
  <c r="J764" i="3"/>
  <c r="I764" i="3"/>
  <c r="H764" i="3"/>
  <c r="G764" i="3"/>
  <c r="F764" i="3"/>
  <c r="E764" i="3"/>
  <c r="D764" i="3"/>
  <c r="C764" i="3"/>
  <c r="B764" i="3"/>
  <c r="A764" i="3"/>
  <c r="M763" i="3"/>
  <c r="L763" i="3"/>
  <c r="K763" i="3"/>
  <c r="J763" i="3"/>
  <c r="I763" i="3"/>
  <c r="H763" i="3"/>
  <c r="G763" i="3"/>
  <c r="F763" i="3"/>
  <c r="E763" i="3"/>
  <c r="D763" i="3"/>
  <c r="C763" i="3"/>
  <c r="B763" i="3"/>
  <c r="A763" i="3"/>
  <c r="M762" i="3"/>
  <c r="L762" i="3"/>
  <c r="K762" i="3"/>
  <c r="J762" i="3"/>
  <c r="I762" i="3"/>
  <c r="H762" i="3"/>
  <c r="F762" i="3"/>
  <c r="E762" i="3"/>
  <c r="D762" i="3"/>
  <c r="C762" i="3"/>
  <c r="B762" i="3"/>
  <c r="A762" i="3"/>
  <c r="M761" i="3"/>
  <c r="L761" i="3"/>
  <c r="K761" i="3"/>
  <c r="J761" i="3"/>
  <c r="I761" i="3"/>
  <c r="H761" i="3"/>
  <c r="G761" i="3"/>
  <c r="F761" i="3"/>
  <c r="E761" i="3"/>
  <c r="D761" i="3"/>
  <c r="C761" i="3"/>
  <c r="B761" i="3"/>
  <c r="A761" i="3"/>
  <c r="M760" i="3"/>
  <c r="L760" i="3"/>
  <c r="K760" i="3"/>
  <c r="J760" i="3"/>
  <c r="I760" i="3"/>
  <c r="H760" i="3"/>
  <c r="G760" i="3"/>
  <c r="F760" i="3"/>
  <c r="E760" i="3"/>
  <c r="D760" i="3"/>
  <c r="C760" i="3"/>
  <c r="B760" i="3"/>
  <c r="A760" i="3"/>
  <c r="M759" i="3"/>
  <c r="L759" i="3"/>
  <c r="K759" i="3"/>
  <c r="J759" i="3"/>
  <c r="I759" i="3"/>
  <c r="H759" i="3"/>
  <c r="G759" i="3"/>
  <c r="F759" i="3"/>
  <c r="E759" i="3"/>
  <c r="D759" i="3"/>
  <c r="C759" i="3"/>
  <c r="B759" i="3"/>
  <c r="A759" i="3"/>
  <c r="M758" i="3"/>
  <c r="L758" i="3"/>
  <c r="K758" i="3"/>
  <c r="J758" i="3"/>
  <c r="I758" i="3"/>
  <c r="H758" i="3"/>
  <c r="G758" i="3"/>
  <c r="F758" i="3"/>
  <c r="E758" i="3"/>
  <c r="D758" i="3"/>
  <c r="C758" i="3"/>
  <c r="B758" i="3"/>
  <c r="A758" i="3"/>
  <c r="M757" i="3"/>
  <c r="L757" i="3"/>
  <c r="K757" i="3"/>
  <c r="J757" i="3"/>
  <c r="I757" i="3"/>
  <c r="H757" i="3"/>
  <c r="G757" i="3"/>
  <c r="F757" i="3"/>
  <c r="E757" i="3"/>
  <c r="D757" i="3"/>
  <c r="C757" i="3"/>
  <c r="B757" i="3"/>
  <c r="A757" i="3"/>
  <c r="M756" i="3"/>
  <c r="L756" i="3"/>
  <c r="K756" i="3"/>
  <c r="J756" i="3"/>
  <c r="I756" i="3"/>
  <c r="H756" i="3"/>
  <c r="G756" i="3"/>
  <c r="F756" i="3"/>
  <c r="E756" i="3"/>
  <c r="D756" i="3"/>
  <c r="C756" i="3"/>
  <c r="B756" i="3"/>
  <c r="A756" i="3"/>
  <c r="M755" i="3"/>
  <c r="L755" i="3"/>
  <c r="K755" i="3"/>
  <c r="J755" i="3"/>
  <c r="I755" i="3"/>
  <c r="H755" i="3"/>
  <c r="G755" i="3"/>
  <c r="F755" i="3"/>
  <c r="E755" i="3"/>
  <c r="D755" i="3"/>
  <c r="C755" i="3"/>
  <c r="B755" i="3"/>
  <c r="A755" i="3"/>
  <c r="M754" i="3"/>
  <c r="L754" i="3"/>
  <c r="K754" i="3"/>
  <c r="J754" i="3"/>
  <c r="I754" i="3"/>
  <c r="H754" i="3"/>
  <c r="G754" i="3"/>
  <c r="F754" i="3"/>
  <c r="E754" i="3"/>
  <c r="D754" i="3"/>
  <c r="C754" i="3"/>
  <c r="B754" i="3"/>
  <c r="A754" i="3"/>
  <c r="M753" i="3"/>
  <c r="L753" i="3"/>
  <c r="K753" i="3"/>
  <c r="J753" i="3"/>
  <c r="I753" i="3"/>
  <c r="H753" i="3"/>
  <c r="G753" i="3"/>
  <c r="F753" i="3"/>
  <c r="E753" i="3"/>
  <c r="D753" i="3"/>
  <c r="C753" i="3"/>
  <c r="B753" i="3"/>
  <c r="A753" i="3"/>
  <c r="M752" i="3"/>
  <c r="L752" i="3"/>
  <c r="K752" i="3"/>
  <c r="J752" i="3"/>
  <c r="I752" i="3"/>
  <c r="H752" i="3"/>
  <c r="G752" i="3"/>
  <c r="F752" i="3"/>
  <c r="E752" i="3"/>
  <c r="D752" i="3"/>
  <c r="C752" i="3"/>
  <c r="B752" i="3"/>
  <c r="A752" i="3"/>
  <c r="M751" i="3"/>
  <c r="L751" i="3"/>
  <c r="K751" i="3"/>
  <c r="J751" i="3"/>
  <c r="I751" i="3"/>
  <c r="H751" i="3"/>
  <c r="G751" i="3"/>
  <c r="F751" i="3"/>
  <c r="E751" i="3"/>
  <c r="D751" i="3"/>
  <c r="C751" i="3"/>
  <c r="B751" i="3"/>
  <c r="A751" i="3"/>
  <c r="M750" i="3"/>
  <c r="L750" i="3"/>
  <c r="K750" i="3"/>
  <c r="J750" i="3"/>
  <c r="I750" i="3"/>
  <c r="H750" i="3"/>
  <c r="G750" i="3"/>
  <c r="F750" i="3"/>
  <c r="E750" i="3"/>
  <c r="D750" i="3"/>
  <c r="C750" i="3"/>
  <c r="B750" i="3"/>
  <c r="A750" i="3"/>
  <c r="M749" i="3"/>
  <c r="L749" i="3"/>
  <c r="K749" i="3"/>
  <c r="J749" i="3"/>
  <c r="I749" i="3"/>
  <c r="H749" i="3"/>
  <c r="G749" i="3"/>
  <c r="F749" i="3"/>
  <c r="E749" i="3"/>
  <c r="D749" i="3"/>
  <c r="C749" i="3"/>
  <c r="B749" i="3"/>
  <c r="A749" i="3"/>
  <c r="M748" i="3"/>
  <c r="L748" i="3"/>
  <c r="K748" i="3"/>
  <c r="J748" i="3"/>
  <c r="I748" i="3"/>
  <c r="H748" i="3"/>
  <c r="G748" i="3"/>
  <c r="F748" i="3"/>
  <c r="E748" i="3"/>
  <c r="D748" i="3"/>
  <c r="C748" i="3"/>
  <c r="B748" i="3"/>
  <c r="A748" i="3"/>
  <c r="M747" i="3"/>
  <c r="L747" i="3"/>
  <c r="K747" i="3"/>
  <c r="J747" i="3"/>
  <c r="I747" i="3"/>
  <c r="H747" i="3"/>
  <c r="G747" i="3"/>
  <c r="F747" i="3"/>
  <c r="E747" i="3"/>
  <c r="D747" i="3"/>
  <c r="C747" i="3"/>
  <c r="B747" i="3"/>
  <c r="A747" i="3"/>
  <c r="M746" i="3"/>
  <c r="L746" i="3"/>
  <c r="K746" i="3"/>
  <c r="J746" i="3"/>
  <c r="I746" i="3"/>
  <c r="H746" i="3"/>
  <c r="G746" i="3"/>
  <c r="F746" i="3"/>
  <c r="E746" i="3"/>
  <c r="D746" i="3"/>
  <c r="C746" i="3"/>
  <c r="B746" i="3"/>
  <c r="A746" i="3"/>
  <c r="M745" i="3"/>
  <c r="L745" i="3"/>
  <c r="K745" i="3"/>
  <c r="J745" i="3"/>
  <c r="I745" i="3"/>
  <c r="H745" i="3"/>
  <c r="G745" i="3"/>
  <c r="F745" i="3"/>
  <c r="E745" i="3"/>
  <c r="D745" i="3"/>
  <c r="C745" i="3"/>
  <c r="B745" i="3"/>
  <c r="A745" i="3"/>
  <c r="M744" i="3"/>
  <c r="L744" i="3"/>
  <c r="K744" i="3"/>
  <c r="J744" i="3"/>
  <c r="I744" i="3"/>
  <c r="H744" i="3"/>
  <c r="G744" i="3"/>
  <c r="F744" i="3"/>
  <c r="E744" i="3"/>
  <c r="D744" i="3"/>
  <c r="C744" i="3"/>
  <c r="B744" i="3"/>
  <c r="A744" i="3"/>
  <c r="M743" i="3"/>
  <c r="L743" i="3"/>
  <c r="K743" i="3"/>
  <c r="J743" i="3"/>
  <c r="I743" i="3"/>
  <c r="H743" i="3"/>
  <c r="G743" i="3"/>
  <c r="F743" i="3"/>
  <c r="E743" i="3"/>
  <c r="D743" i="3"/>
  <c r="C743" i="3"/>
  <c r="B743" i="3"/>
  <c r="A743" i="3"/>
  <c r="M742" i="3"/>
  <c r="L742" i="3"/>
  <c r="K742" i="3"/>
  <c r="J742" i="3"/>
  <c r="I742" i="3"/>
  <c r="H742" i="3"/>
  <c r="G742" i="3"/>
  <c r="F742" i="3"/>
  <c r="E742" i="3"/>
  <c r="D742" i="3"/>
  <c r="C742" i="3"/>
  <c r="B742" i="3"/>
  <c r="A742" i="3"/>
  <c r="M741" i="3"/>
  <c r="L741" i="3"/>
  <c r="K741" i="3"/>
  <c r="J741" i="3"/>
  <c r="I741" i="3"/>
  <c r="H741" i="3"/>
  <c r="G741" i="3"/>
  <c r="F741" i="3"/>
  <c r="E741" i="3"/>
  <c r="D741" i="3"/>
  <c r="C741" i="3"/>
  <c r="B741" i="3"/>
  <c r="A741" i="3"/>
  <c r="M740" i="3"/>
  <c r="L740" i="3"/>
  <c r="K740" i="3"/>
  <c r="J740" i="3"/>
  <c r="I740" i="3"/>
  <c r="H740" i="3"/>
  <c r="G740" i="3"/>
  <c r="F740" i="3"/>
  <c r="E740" i="3"/>
  <c r="D740" i="3"/>
  <c r="C740" i="3"/>
  <c r="B740" i="3"/>
  <c r="A740" i="3"/>
  <c r="M739" i="3"/>
  <c r="L739" i="3"/>
  <c r="K739" i="3"/>
  <c r="J739" i="3"/>
  <c r="I739" i="3"/>
  <c r="H739" i="3"/>
  <c r="G739" i="3"/>
  <c r="F739" i="3"/>
  <c r="E739" i="3"/>
  <c r="D739" i="3"/>
  <c r="C739" i="3"/>
  <c r="B739" i="3"/>
  <c r="A739" i="3"/>
  <c r="M738" i="3"/>
  <c r="L738" i="3"/>
  <c r="K738" i="3"/>
  <c r="J738" i="3"/>
  <c r="I738" i="3"/>
  <c r="H738" i="3"/>
  <c r="G738" i="3"/>
  <c r="E738" i="3"/>
  <c r="D738" i="3"/>
  <c r="C738" i="3"/>
  <c r="B738" i="3"/>
  <c r="A738" i="3"/>
  <c r="M737" i="3"/>
  <c r="L737" i="3"/>
  <c r="K737" i="3"/>
  <c r="J737" i="3"/>
  <c r="I737" i="3"/>
  <c r="H737" i="3"/>
  <c r="G737" i="3"/>
  <c r="F737" i="3"/>
  <c r="E737" i="3"/>
  <c r="D737" i="3"/>
  <c r="C737" i="3"/>
  <c r="B737" i="3"/>
  <c r="A737" i="3"/>
  <c r="M736" i="3"/>
  <c r="L736" i="3"/>
  <c r="K736" i="3"/>
  <c r="J736" i="3"/>
  <c r="I736" i="3"/>
  <c r="H736" i="3"/>
  <c r="G736" i="3"/>
  <c r="F736" i="3"/>
  <c r="E736" i="3"/>
  <c r="D736" i="3"/>
  <c r="C736" i="3"/>
  <c r="B736" i="3"/>
  <c r="A736" i="3"/>
  <c r="M735" i="3"/>
  <c r="L735" i="3"/>
  <c r="K735" i="3"/>
  <c r="J735" i="3"/>
  <c r="I735" i="3"/>
  <c r="H735" i="3"/>
  <c r="G735" i="3"/>
  <c r="F735" i="3"/>
  <c r="E735" i="3"/>
  <c r="D735" i="3"/>
  <c r="C735" i="3"/>
  <c r="B735" i="3"/>
  <c r="A735" i="3"/>
  <c r="M734" i="3"/>
  <c r="L734" i="3"/>
  <c r="K734" i="3"/>
  <c r="J734" i="3"/>
  <c r="I734" i="3"/>
  <c r="H734" i="3"/>
  <c r="G734" i="3"/>
  <c r="F734" i="3"/>
  <c r="E734" i="3"/>
  <c r="D734" i="3"/>
  <c r="C734" i="3"/>
  <c r="B734" i="3"/>
  <c r="A734" i="3"/>
  <c r="M733" i="3"/>
  <c r="L733" i="3"/>
  <c r="K733" i="3"/>
  <c r="J733" i="3"/>
  <c r="I733" i="3"/>
  <c r="H733" i="3"/>
  <c r="G733" i="3"/>
  <c r="F733" i="3"/>
  <c r="E733" i="3"/>
  <c r="D733" i="3"/>
  <c r="C733" i="3"/>
  <c r="B733" i="3"/>
  <c r="A733" i="3"/>
  <c r="M732" i="3"/>
  <c r="L732" i="3"/>
  <c r="K732" i="3"/>
  <c r="J732" i="3"/>
  <c r="I732" i="3"/>
  <c r="H732" i="3"/>
  <c r="G732" i="3"/>
  <c r="F732" i="3"/>
  <c r="E732" i="3"/>
  <c r="D732" i="3"/>
  <c r="C732" i="3"/>
  <c r="B732" i="3"/>
  <c r="A732" i="3"/>
  <c r="M731" i="3"/>
  <c r="L731" i="3"/>
  <c r="K731" i="3"/>
  <c r="J731" i="3"/>
  <c r="I731" i="3"/>
  <c r="H731" i="3"/>
  <c r="G731" i="3"/>
  <c r="F731" i="3"/>
  <c r="E731" i="3"/>
  <c r="D731" i="3"/>
  <c r="C731" i="3"/>
  <c r="B731" i="3"/>
  <c r="A731" i="3"/>
  <c r="M730" i="3"/>
  <c r="L730" i="3"/>
  <c r="K730" i="3"/>
  <c r="J730" i="3"/>
  <c r="I730" i="3"/>
  <c r="H730" i="3"/>
  <c r="G730" i="3"/>
  <c r="F730" i="3"/>
  <c r="E730" i="3"/>
  <c r="D730" i="3"/>
  <c r="C730" i="3"/>
  <c r="B730" i="3"/>
  <c r="A730" i="3"/>
  <c r="M729" i="3"/>
  <c r="L729" i="3"/>
  <c r="K729" i="3"/>
  <c r="J729" i="3"/>
  <c r="I729" i="3"/>
  <c r="H729" i="3"/>
  <c r="G729" i="3"/>
  <c r="F729" i="3"/>
  <c r="E729" i="3"/>
  <c r="D729" i="3"/>
  <c r="C729" i="3"/>
  <c r="B729" i="3"/>
  <c r="A729" i="3"/>
  <c r="M728" i="3"/>
  <c r="L728" i="3"/>
  <c r="K728" i="3"/>
  <c r="J728" i="3"/>
  <c r="I728" i="3"/>
  <c r="H728" i="3"/>
  <c r="G728" i="3"/>
  <c r="F728" i="3"/>
  <c r="E728" i="3"/>
  <c r="D728" i="3"/>
  <c r="C728" i="3"/>
  <c r="B728" i="3"/>
  <c r="A728" i="3"/>
  <c r="M727" i="3"/>
  <c r="L727" i="3"/>
  <c r="K727" i="3"/>
  <c r="J727" i="3"/>
  <c r="I727" i="3"/>
  <c r="H727" i="3"/>
  <c r="G727" i="3"/>
  <c r="F727" i="3"/>
  <c r="E727" i="3"/>
  <c r="D727" i="3"/>
  <c r="C727" i="3"/>
  <c r="B727" i="3"/>
  <c r="A727" i="3"/>
  <c r="M726" i="3"/>
  <c r="L726" i="3"/>
  <c r="K726" i="3"/>
  <c r="J726" i="3"/>
  <c r="I726" i="3"/>
  <c r="H726" i="3"/>
  <c r="G726" i="3"/>
  <c r="F726" i="3"/>
  <c r="E726" i="3"/>
  <c r="D726" i="3"/>
  <c r="C726" i="3"/>
  <c r="B726" i="3"/>
  <c r="A726" i="3"/>
  <c r="M725" i="3"/>
  <c r="L725" i="3"/>
  <c r="K725" i="3"/>
  <c r="J725" i="3"/>
  <c r="I725" i="3"/>
  <c r="H725" i="3"/>
  <c r="G725" i="3"/>
  <c r="F725" i="3"/>
  <c r="E725" i="3"/>
  <c r="D725" i="3"/>
  <c r="C725" i="3"/>
  <c r="B725" i="3"/>
  <c r="A725" i="3"/>
  <c r="M724" i="3"/>
  <c r="L724" i="3"/>
  <c r="K724" i="3"/>
  <c r="J724" i="3"/>
  <c r="I724" i="3"/>
  <c r="H724" i="3"/>
  <c r="G724" i="3"/>
  <c r="F724" i="3"/>
  <c r="E724" i="3"/>
  <c r="D724" i="3"/>
  <c r="C724" i="3"/>
  <c r="B724" i="3"/>
  <c r="A724" i="3"/>
  <c r="M723" i="3"/>
  <c r="L723" i="3"/>
  <c r="K723" i="3"/>
  <c r="J723" i="3"/>
  <c r="I723" i="3"/>
  <c r="H723" i="3"/>
  <c r="G723" i="3"/>
  <c r="F723" i="3"/>
  <c r="E723" i="3"/>
  <c r="D723" i="3"/>
  <c r="C723" i="3"/>
  <c r="B723" i="3"/>
  <c r="A723" i="3"/>
  <c r="M722" i="3"/>
  <c r="L722" i="3"/>
  <c r="K722" i="3"/>
  <c r="J722" i="3"/>
  <c r="I722" i="3"/>
  <c r="H722" i="3"/>
  <c r="G722" i="3"/>
  <c r="F722" i="3"/>
  <c r="E722" i="3"/>
  <c r="D722" i="3"/>
  <c r="C722" i="3"/>
  <c r="B722" i="3"/>
  <c r="A722" i="3"/>
  <c r="M721" i="3"/>
  <c r="L721" i="3"/>
  <c r="K721" i="3"/>
  <c r="J721" i="3"/>
  <c r="I721" i="3"/>
  <c r="H721" i="3"/>
  <c r="G721" i="3"/>
  <c r="F721" i="3"/>
  <c r="E721" i="3"/>
  <c r="D721" i="3"/>
  <c r="C721" i="3"/>
  <c r="B721" i="3"/>
  <c r="A721" i="3"/>
  <c r="M720" i="3"/>
  <c r="L720" i="3"/>
  <c r="K720" i="3"/>
  <c r="J720" i="3"/>
  <c r="I720" i="3"/>
  <c r="H720" i="3"/>
  <c r="G720" i="3"/>
  <c r="F720" i="3"/>
  <c r="E720" i="3"/>
  <c r="D720" i="3"/>
  <c r="C720" i="3"/>
  <c r="B720" i="3"/>
  <c r="A720" i="3"/>
  <c r="M719" i="3"/>
  <c r="L719" i="3"/>
  <c r="K719" i="3"/>
  <c r="J719" i="3"/>
  <c r="I719" i="3"/>
  <c r="H719" i="3"/>
  <c r="G719" i="3"/>
  <c r="F719" i="3"/>
  <c r="E719" i="3"/>
  <c r="D719" i="3"/>
  <c r="C719" i="3"/>
  <c r="B719" i="3"/>
  <c r="A719" i="3"/>
  <c r="M718" i="3"/>
  <c r="L718" i="3"/>
  <c r="K718" i="3"/>
  <c r="J718" i="3"/>
  <c r="I718" i="3"/>
  <c r="H718" i="3"/>
  <c r="G718" i="3"/>
  <c r="F718" i="3"/>
  <c r="E718" i="3"/>
  <c r="D718" i="3"/>
  <c r="C718" i="3"/>
  <c r="B718" i="3"/>
  <c r="A718" i="3"/>
  <c r="M717" i="3"/>
  <c r="L717" i="3"/>
  <c r="K717" i="3"/>
  <c r="J717" i="3"/>
  <c r="I717" i="3"/>
  <c r="H717" i="3"/>
  <c r="G717" i="3"/>
  <c r="F717" i="3"/>
  <c r="D717" i="3"/>
  <c r="C717" i="3"/>
  <c r="B717" i="3"/>
  <c r="A717" i="3"/>
  <c r="M716" i="3"/>
  <c r="L716" i="3"/>
  <c r="K716" i="3"/>
  <c r="J716" i="3"/>
  <c r="I716" i="3"/>
  <c r="H716" i="3"/>
  <c r="G716" i="3"/>
  <c r="F716" i="3"/>
  <c r="E716" i="3"/>
  <c r="D716" i="3"/>
  <c r="C716" i="3"/>
  <c r="B716" i="3"/>
  <c r="A716" i="3"/>
  <c r="M715" i="3"/>
  <c r="L715" i="3"/>
  <c r="K715" i="3"/>
  <c r="J715" i="3"/>
  <c r="I715" i="3"/>
  <c r="H715" i="3"/>
  <c r="G715" i="3"/>
  <c r="F715" i="3"/>
  <c r="E715" i="3"/>
  <c r="D715" i="3"/>
  <c r="C715" i="3"/>
  <c r="B715" i="3"/>
  <c r="A715" i="3"/>
  <c r="M714" i="3"/>
  <c r="L714" i="3"/>
  <c r="K714" i="3"/>
  <c r="J714" i="3"/>
  <c r="I714" i="3"/>
  <c r="H714" i="3"/>
  <c r="G714" i="3"/>
  <c r="F714" i="3"/>
  <c r="E714" i="3"/>
  <c r="D714" i="3"/>
  <c r="C714" i="3"/>
  <c r="B714" i="3"/>
  <c r="A714" i="3"/>
  <c r="M713" i="3"/>
  <c r="L713" i="3"/>
  <c r="K713" i="3"/>
  <c r="J713" i="3"/>
  <c r="I713" i="3"/>
  <c r="H713" i="3"/>
  <c r="G713" i="3"/>
  <c r="F713" i="3"/>
  <c r="E713" i="3"/>
  <c r="D713" i="3"/>
  <c r="C713" i="3"/>
  <c r="B713" i="3"/>
  <c r="A713" i="3"/>
  <c r="M712" i="3"/>
  <c r="L712" i="3"/>
  <c r="K712" i="3"/>
  <c r="J712" i="3"/>
  <c r="I712" i="3"/>
  <c r="H712" i="3"/>
  <c r="G712" i="3"/>
  <c r="F712" i="3"/>
  <c r="E712" i="3"/>
  <c r="D712" i="3"/>
  <c r="C712" i="3"/>
  <c r="B712" i="3"/>
  <c r="A712" i="3"/>
  <c r="M711" i="3"/>
  <c r="L711" i="3"/>
  <c r="K711" i="3"/>
  <c r="J711" i="3"/>
  <c r="I711" i="3"/>
  <c r="H711" i="3"/>
  <c r="G711" i="3"/>
  <c r="F711" i="3"/>
  <c r="E711" i="3"/>
  <c r="D711" i="3"/>
  <c r="C711" i="3"/>
  <c r="B711" i="3"/>
  <c r="A711" i="3"/>
  <c r="M710" i="3"/>
  <c r="L710" i="3"/>
  <c r="K710" i="3"/>
  <c r="J710" i="3"/>
  <c r="I710" i="3"/>
  <c r="H710" i="3"/>
  <c r="G710" i="3"/>
  <c r="F710" i="3"/>
  <c r="E710" i="3"/>
  <c r="D710" i="3"/>
  <c r="C710" i="3"/>
  <c r="B710" i="3"/>
  <c r="A710" i="3"/>
  <c r="M709" i="3"/>
  <c r="L709" i="3"/>
  <c r="K709" i="3"/>
  <c r="J709" i="3"/>
  <c r="I709" i="3"/>
  <c r="H709" i="3"/>
  <c r="G709" i="3"/>
  <c r="E709" i="3"/>
  <c r="D709" i="3"/>
  <c r="C709" i="3"/>
  <c r="B709" i="3"/>
  <c r="A709" i="3"/>
  <c r="M708" i="3"/>
  <c r="L708" i="3"/>
  <c r="K708" i="3"/>
  <c r="J708" i="3"/>
  <c r="I708" i="3"/>
  <c r="H708" i="3"/>
  <c r="G708" i="3"/>
  <c r="F708" i="3"/>
  <c r="E708" i="3"/>
  <c r="D708" i="3"/>
  <c r="C708" i="3"/>
  <c r="B708" i="3"/>
  <c r="A708" i="3"/>
  <c r="M707" i="3"/>
  <c r="L707" i="3"/>
  <c r="K707" i="3"/>
  <c r="J707" i="3"/>
  <c r="I707" i="3"/>
  <c r="H707" i="3"/>
  <c r="G707" i="3"/>
  <c r="F707" i="3"/>
  <c r="E707" i="3"/>
  <c r="D707" i="3"/>
  <c r="C707" i="3"/>
  <c r="B707" i="3"/>
  <c r="A707" i="3"/>
  <c r="M706" i="3"/>
  <c r="L706" i="3"/>
  <c r="K706" i="3"/>
  <c r="J706" i="3"/>
  <c r="I706" i="3"/>
  <c r="H706" i="3"/>
  <c r="G706" i="3"/>
  <c r="F706" i="3"/>
  <c r="E706" i="3"/>
  <c r="D706" i="3"/>
  <c r="C706" i="3"/>
  <c r="B706" i="3"/>
  <c r="A706" i="3"/>
  <c r="M705" i="3"/>
  <c r="L705" i="3"/>
  <c r="K705" i="3"/>
  <c r="J705" i="3"/>
  <c r="I705" i="3"/>
  <c r="H705" i="3"/>
  <c r="G705" i="3"/>
  <c r="F705" i="3"/>
  <c r="E705" i="3"/>
  <c r="D705" i="3"/>
  <c r="C705" i="3"/>
  <c r="B705" i="3"/>
  <c r="A705" i="3"/>
  <c r="M704" i="3"/>
  <c r="L704" i="3"/>
  <c r="K704" i="3"/>
  <c r="J704" i="3"/>
  <c r="I704" i="3"/>
  <c r="H704" i="3"/>
  <c r="G704" i="3"/>
  <c r="F704" i="3"/>
  <c r="E704" i="3"/>
  <c r="D704" i="3"/>
  <c r="C704" i="3"/>
  <c r="B704" i="3"/>
  <c r="A704" i="3"/>
  <c r="M703" i="3"/>
  <c r="L703" i="3"/>
  <c r="K703" i="3"/>
  <c r="J703" i="3"/>
  <c r="I703" i="3"/>
  <c r="H703" i="3"/>
  <c r="G703" i="3"/>
  <c r="F703" i="3"/>
  <c r="E703" i="3"/>
  <c r="D703" i="3"/>
  <c r="C703" i="3"/>
  <c r="B703" i="3"/>
  <c r="A703" i="3"/>
  <c r="M702" i="3"/>
  <c r="L702" i="3"/>
  <c r="K702" i="3"/>
  <c r="J702" i="3"/>
  <c r="I702" i="3"/>
  <c r="H702" i="3"/>
  <c r="G702" i="3"/>
  <c r="F702" i="3"/>
  <c r="E702" i="3"/>
  <c r="D702" i="3"/>
  <c r="C702" i="3"/>
  <c r="B702" i="3"/>
  <c r="A702" i="3"/>
  <c r="M701" i="3"/>
  <c r="L701" i="3"/>
  <c r="K701" i="3"/>
  <c r="J701" i="3"/>
  <c r="I701" i="3"/>
  <c r="H701" i="3"/>
  <c r="G701" i="3"/>
  <c r="F701" i="3"/>
  <c r="E701" i="3"/>
  <c r="D701" i="3"/>
  <c r="C701" i="3"/>
  <c r="B701" i="3"/>
  <c r="A701" i="3"/>
  <c r="M700" i="3"/>
  <c r="L700" i="3"/>
  <c r="K700" i="3"/>
  <c r="J700" i="3"/>
  <c r="I700" i="3"/>
  <c r="H700" i="3"/>
  <c r="G700" i="3"/>
  <c r="F700" i="3"/>
  <c r="E700" i="3"/>
  <c r="D700" i="3"/>
  <c r="C700" i="3"/>
  <c r="B700" i="3"/>
  <c r="A700" i="3"/>
  <c r="M699" i="3"/>
  <c r="L699" i="3"/>
  <c r="K699" i="3"/>
  <c r="J699" i="3"/>
  <c r="I699" i="3"/>
  <c r="H699" i="3"/>
  <c r="G699" i="3"/>
  <c r="F699" i="3"/>
  <c r="E699" i="3"/>
  <c r="D699" i="3"/>
  <c r="C699" i="3"/>
  <c r="B699" i="3"/>
  <c r="A699" i="3"/>
  <c r="M698" i="3"/>
  <c r="L698" i="3"/>
  <c r="K698" i="3"/>
  <c r="J698" i="3"/>
  <c r="I698" i="3"/>
  <c r="H698" i="3"/>
  <c r="G698" i="3"/>
  <c r="F698" i="3"/>
  <c r="E698" i="3"/>
  <c r="D698" i="3"/>
  <c r="C698" i="3"/>
  <c r="B698" i="3"/>
  <c r="A698" i="3"/>
  <c r="M697" i="3"/>
  <c r="L697" i="3"/>
  <c r="K697" i="3"/>
  <c r="J697" i="3"/>
  <c r="I697" i="3"/>
  <c r="H697" i="3"/>
  <c r="G697" i="3"/>
  <c r="F697" i="3"/>
  <c r="E697" i="3"/>
  <c r="D697" i="3"/>
  <c r="C697" i="3"/>
  <c r="B697" i="3"/>
  <c r="A697" i="3"/>
  <c r="M696" i="3"/>
  <c r="L696" i="3"/>
  <c r="K696" i="3"/>
  <c r="J696" i="3"/>
  <c r="I696" i="3"/>
  <c r="H696" i="3"/>
  <c r="G696" i="3"/>
  <c r="F696" i="3"/>
  <c r="E696" i="3"/>
  <c r="D696" i="3"/>
  <c r="C696" i="3"/>
  <c r="B696" i="3"/>
  <c r="A696" i="3"/>
  <c r="M695" i="3"/>
  <c r="L695" i="3"/>
  <c r="K695" i="3"/>
  <c r="J695" i="3"/>
  <c r="I695" i="3"/>
  <c r="H695" i="3"/>
  <c r="G695" i="3"/>
  <c r="F695" i="3"/>
  <c r="D695" i="3"/>
  <c r="C695" i="3"/>
  <c r="B695" i="3"/>
  <c r="A695" i="3"/>
  <c r="M694" i="3"/>
  <c r="L694" i="3"/>
  <c r="K694" i="3"/>
  <c r="J694" i="3"/>
  <c r="I694" i="3"/>
  <c r="H694" i="3"/>
  <c r="G694" i="3"/>
  <c r="F694" i="3"/>
  <c r="E694" i="3"/>
  <c r="D694" i="3"/>
  <c r="C694" i="3"/>
  <c r="B694" i="3"/>
  <c r="A694" i="3"/>
  <c r="M693" i="3"/>
  <c r="L693" i="3"/>
  <c r="K693" i="3"/>
  <c r="J693" i="3"/>
  <c r="I693" i="3"/>
  <c r="H693" i="3"/>
  <c r="G693" i="3"/>
  <c r="F693" i="3"/>
  <c r="E693" i="3"/>
  <c r="D693" i="3"/>
  <c r="C693" i="3"/>
  <c r="B693" i="3"/>
  <c r="A693" i="3"/>
  <c r="M692" i="3"/>
  <c r="L692" i="3"/>
  <c r="K692" i="3"/>
  <c r="J692" i="3"/>
  <c r="I692" i="3"/>
  <c r="H692" i="3"/>
  <c r="G692" i="3"/>
  <c r="F692" i="3"/>
  <c r="E692" i="3"/>
  <c r="D692" i="3"/>
  <c r="C692" i="3"/>
  <c r="B692" i="3"/>
  <c r="A692" i="3"/>
  <c r="M691" i="3"/>
  <c r="L691" i="3"/>
  <c r="K691" i="3"/>
  <c r="J691" i="3"/>
  <c r="I691" i="3"/>
  <c r="H691" i="3"/>
  <c r="G691" i="3"/>
  <c r="F691" i="3"/>
  <c r="E691" i="3"/>
  <c r="D691" i="3"/>
  <c r="C691" i="3"/>
  <c r="B691" i="3"/>
  <c r="A691" i="3"/>
  <c r="M690" i="3"/>
  <c r="L690" i="3"/>
  <c r="K690" i="3"/>
  <c r="J690" i="3"/>
  <c r="I690" i="3"/>
  <c r="H690" i="3"/>
  <c r="G690" i="3"/>
  <c r="F690" i="3"/>
  <c r="E690" i="3"/>
  <c r="D690" i="3"/>
  <c r="C690" i="3"/>
  <c r="B690" i="3"/>
  <c r="A690" i="3"/>
  <c r="M689" i="3"/>
  <c r="L689" i="3"/>
  <c r="K689" i="3"/>
  <c r="J689" i="3"/>
  <c r="I689" i="3"/>
  <c r="H689" i="3"/>
  <c r="G689" i="3"/>
  <c r="F689" i="3"/>
  <c r="E689" i="3"/>
  <c r="D689" i="3"/>
  <c r="C689" i="3"/>
  <c r="B689" i="3"/>
  <c r="A689" i="3"/>
  <c r="M688" i="3"/>
  <c r="L688" i="3"/>
  <c r="K688" i="3"/>
  <c r="J688" i="3"/>
  <c r="I688" i="3"/>
  <c r="H688" i="3"/>
  <c r="G688" i="3"/>
  <c r="F688" i="3"/>
  <c r="E688" i="3"/>
  <c r="D688" i="3"/>
  <c r="C688" i="3"/>
  <c r="B688" i="3"/>
  <c r="A688" i="3"/>
  <c r="M687" i="3"/>
  <c r="L687" i="3"/>
  <c r="K687" i="3"/>
  <c r="J687" i="3"/>
  <c r="I687" i="3"/>
  <c r="H687" i="3"/>
  <c r="G687" i="3"/>
  <c r="F687" i="3"/>
  <c r="E687" i="3"/>
  <c r="D687" i="3"/>
  <c r="C687" i="3"/>
  <c r="B687" i="3"/>
  <c r="A687" i="3"/>
  <c r="M686" i="3"/>
  <c r="L686" i="3"/>
  <c r="K686" i="3"/>
  <c r="J686" i="3"/>
  <c r="I686" i="3"/>
  <c r="H686" i="3"/>
  <c r="G686" i="3"/>
  <c r="F686" i="3"/>
  <c r="E686" i="3"/>
  <c r="D686" i="3"/>
  <c r="C686" i="3"/>
  <c r="B686" i="3"/>
  <c r="A686" i="3"/>
  <c r="M685" i="3"/>
  <c r="L685" i="3"/>
  <c r="K685" i="3"/>
  <c r="J685" i="3"/>
  <c r="I685" i="3"/>
  <c r="H685" i="3"/>
  <c r="G685" i="3"/>
  <c r="F685" i="3"/>
  <c r="D685" i="3"/>
  <c r="C685" i="3"/>
  <c r="B685" i="3"/>
  <c r="A685" i="3"/>
  <c r="M684" i="3"/>
  <c r="L684" i="3"/>
  <c r="K684" i="3"/>
  <c r="J684" i="3"/>
  <c r="I684" i="3"/>
  <c r="H684" i="3"/>
  <c r="G684" i="3"/>
  <c r="F684" i="3"/>
  <c r="E684" i="3"/>
  <c r="D684" i="3"/>
  <c r="C684" i="3"/>
  <c r="B684" i="3"/>
  <c r="A684" i="3"/>
  <c r="M683" i="3"/>
  <c r="L683" i="3"/>
  <c r="K683" i="3"/>
  <c r="J683" i="3"/>
  <c r="I683" i="3"/>
  <c r="H683" i="3"/>
  <c r="G683" i="3"/>
  <c r="F683" i="3"/>
  <c r="E683" i="3"/>
  <c r="D683" i="3"/>
  <c r="C683" i="3"/>
  <c r="B683" i="3"/>
  <c r="A683" i="3"/>
  <c r="M682" i="3"/>
  <c r="L682" i="3"/>
  <c r="K682" i="3"/>
  <c r="J682" i="3"/>
  <c r="I682" i="3"/>
  <c r="H682" i="3"/>
  <c r="G682" i="3"/>
  <c r="F682" i="3"/>
  <c r="E682" i="3"/>
  <c r="D682" i="3"/>
  <c r="C682" i="3"/>
  <c r="B682" i="3"/>
  <c r="A682" i="3"/>
  <c r="M681" i="3"/>
  <c r="L681" i="3"/>
  <c r="K681" i="3"/>
  <c r="J681" i="3"/>
  <c r="I681" i="3"/>
  <c r="H681" i="3"/>
  <c r="G681" i="3"/>
  <c r="F681" i="3"/>
  <c r="E681" i="3"/>
  <c r="D681" i="3"/>
  <c r="C681" i="3"/>
  <c r="B681" i="3"/>
  <c r="A681" i="3"/>
  <c r="M680" i="3"/>
  <c r="L680" i="3"/>
  <c r="K680" i="3"/>
  <c r="J680" i="3"/>
  <c r="I680" i="3"/>
  <c r="H680" i="3"/>
  <c r="G680" i="3"/>
  <c r="F680" i="3"/>
  <c r="E680" i="3"/>
  <c r="D680" i="3"/>
  <c r="C680" i="3"/>
  <c r="B680" i="3"/>
  <c r="A680" i="3"/>
  <c r="M679" i="3"/>
  <c r="L679" i="3"/>
  <c r="K679" i="3"/>
  <c r="J679" i="3"/>
  <c r="I679" i="3"/>
  <c r="H679" i="3"/>
  <c r="G679" i="3"/>
  <c r="F679" i="3"/>
  <c r="D679" i="3"/>
  <c r="C679" i="3"/>
  <c r="B679" i="3"/>
  <c r="A679" i="3"/>
  <c r="M678" i="3"/>
  <c r="L678" i="3"/>
  <c r="K678" i="3"/>
  <c r="J678" i="3"/>
  <c r="I678" i="3"/>
  <c r="H678" i="3"/>
  <c r="G678" i="3"/>
  <c r="F678" i="3"/>
  <c r="E678" i="3"/>
  <c r="D678" i="3"/>
  <c r="C678" i="3"/>
  <c r="B678" i="3"/>
  <c r="A678" i="3"/>
  <c r="M677" i="3"/>
  <c r="L677" i="3"/>
  <c r="K677" i="3"/>
  <c r="J677" i="3"/>
  <c r="I677" i="3"/>
  <c r="H677" i="3"/>
  <c r="G677" i="3"/>
  <c r="F677" i="3"/>
  <c r="E677" i="3"/>
  <c r="D677" i="3"/>
  <c r="C677" i="3"/>
  <c r="B677" i="3"/>
  <c r="A677" i="3"/>
  <c r="M676" i="3"/>
  <c r="L676" i="3"/>
  <c r="K676" i="3"/>
  <c r="J676" i="3"/>
  <c r="I676" i="3"/>
  <c r="H676" i="3"/>
  <c r="G676" i="3"/>
  <c r="F676" i="3"/>
  <c r="E676" i="3"/>
  <c r="D676" i="3"/>
  <c r="C676" i="3"/>
  <c r="B676" i="3"/>
  <c r="A676" i="3"/>
  <c r="M675" i="3"/>
  <c r="L675" i="3"/>
  <c r="K675" i="3"/>
  <c r="J675" i="3"/>
  <c r="I675" i="3"/>
  <c r="H675" i="3"/>
  <c r="G675" i="3"/>
  <c r="F675" i="3"/>
  <c r="E675" i="3"/>
  <c r="D675" i="3"/>
  <c r="C675" i="3"/>
  <c r="B675" i="3"/>
  <c r="A675" i="3"/>
  <c r="M674" i="3"/>
  <c r="L674" i="3"/>
  <c r="K674" i="3"/>
  <c r="J674" i="3"/>
  <c r="I674" i="3"/>
  <c r="H674" i="3"/>
  <c r="G674" i="3"/>
  <c r="F674" i="3"/>
  <c r="E674" i="3"/>
  <c r="D674" i="3"/>
  <c r="C674" i="3"/>
  <c r="B674" i="3"/>
  <c r="A674" i="3"/>
  <c r="M673" i="3"/>
  <c r="L673" i="3"/>
  <c r="K673" i="3"/>
  <c r="J673" i="3"/>
  <c r="I673" i="3"/>
  <c r="H673" i="3"/>
  <c r="G673" i="3"/>
  <c r="F673" i="3"/>
  <c r="E673" i="3"/>
  <c r="D673" i="3"/>
  <c r="C673" i="3"/>
  <c r="B673" i="3"/>
  <c r="A673" i="3"/>
  <c r="M672" i="3"/>
  <c r="L672" i="3"/>
  <c r="K672" i="3"/>
  <c r="J672" i="3"/>
  <c r="I672" i="3"/>
  <c r="H672" i="3"/>
  <c r="G672" i="3"/>
  <c r="F672" i="3"/>
  <c r="E672" i="3"/>
  <c r="D672" i="3"/>
  <c r="C672" i="3"/>
  <c r="B672" i="3"/>
  <c r="A672" i="3"/>
  <c r="M671" i="3"/>
  <c r="L671" i="3"/>
  <c r="K671" i="3"/>
  <c r="J671" i="3"/>
  <c r="I671" i="3"/>
  <c r="H671" i="3"/>
  <c r="G671" i="3"/>
  <c r="F671" i="3"/>
  <c r="E671" i="3"/>
  <c r="D671" i="3"/>
  <c r="C671" i="3"/>
  <c r="B671" i="3"/>
  <c r="A671" i="3"/>
  <c r="M670" i="3"/>
  <c r="L670" i="3"/>
  <c r="K670" i="3"/>
  <c r="J670" i="3"/>
  <c r="I670" i="3"/>
  <c r="H670" i="3"/>
  <c r="G670" i="3"/>
  <c r="F670" i="3"/>
  <c r="E670" i="3"/>
  <c r="D670" i="3"/>
  <c r="C670" i="3"/>
  <c r="B670" i="3"/>
  <c r="A670" i="3"/>
  <c r="M669" i="3"/>
  <c r="L669" i="3"/>
  <c r="K669" i="3"/>
  <c r="J669" i="3"/>
  <c r="I669" i="3"/>
  <c r="H669" i="3"/>
  <c r="G669" i="3"/>
  <c r="F669" i="3"/>
  <c r="E669" i="3"/>
  <c r="D669" i="3"/>
  <c r="C669" i="3"/>
  <c r="B669" i="3"/>
  <c r="A669" i="3"/>
  <c r="M668" i="3"/>
  <c r="L668" i="3"/>
  <c r="K668" i="3"/>
  <c r="J668" i="3"/>
  <c r="I668" i="3"/>
  <c r="H668" i="3"/>
  <c r="G668" i="3"/>
  <c r="F668" i="3"/>
  <c r="E668" i="3"/>
  <c r="D668" i="3"/>
  <c r="C668" i="3"/>
  <c r="B668" i="3"/>
  <c r="A668" i="3"/>
  <c r="M667" i="3"/>
  <c r="L667" i="3"/>
  <c r="K667" i="3"/>
  <c r="J667" i="3"/>
  <c r="I667" i="3"/>
  <c r="H667" i="3"/>
  <c r="G667" i="3"/>
  <c r="E667" i="3"/>
  <c r="D667" i="3"/>
  <c r="C667" i="3"/>
  <c r="B667" i="3"/>
  <c r="A667" i="3"/>
  <c r="M666" i="3"/>
  <c r="L666" i="3"/>
  <c r="K666" i="3"/>
  <c r="J666" i="3"/>
  <c r="I666" i="3"/>
  <c r="H666" i="3"/>
  <c r="G666" i="3"/>
  <c r="F666" i="3"/>
  <c r="E666" i="3"/>
  <c r="D666" i="3"/>
  <c r="C666" i="3"/>
  <c r="B666" i="3"/>
  <c r="A666" i="3"/>
  <c r="M665" i="3"/>
  <c r="L665" i="3"/>
  <c r="K665" i="3"/>
  <c r="J665" i="3"/>
  <c r="I665" i="3"/>
  <c r="H665" i="3"/>
  <c r="G665" i="3"/>
  <c r="F665" i="3"/>
  <c r="E665" i="3"/>
  <c r="D665" i="3"/>
  <c r="C665" i="3"/>
  <c r="B665" i="3"/>
  <c r="A665" i="3"/>
  <c r="M664" i="3"/>
  <c r="L664" i="3"/>
  <c r="K664" i="3"/>
  <c r="J664" i="3"/>
  <c r="I664" i="3"/>
  <c r="H664" i="3"/>
  <c r="G664" i="3"/>
  <c r="F664" i="3"/>
  <c r="E664" i="3"/>
  <c r="D664" i="3"/>
  <c r="C664" i="3"/>
  <c r="B664" i="3"/>
  <c r="A664" i="3"/>
  <c r="M663" i="3"/>
  <c r="L663" i="3"/>
  <c r="K663" i="3"/>
  <c r="J663" i="3"/>
  <c r="I663" i="3"/>
  <c r="H663" i="3"/>
  <c r="G663" i="3"/>
  <c r="F663" i="3"/>
  <c r="E663" i="3"/>
  <c r="D663" i="3"/>
  <c r="C663" i="3"/>
  <c r="B663" i="3"/>
  <c r="A663" i="3"/>
  <c r="M662" i="3"/>
  <c r="L662" i="3"/>
  <c r="K662" i="3"/>
  <c r="J662" i="3"/>
  <c r="I662" i="3"/>
  <c r="H662" i="3"/>
  <c r="G662" i="3"/>
  <c r="F662" i="3"/>
  <c r="E662" i="3"/>
  <c r="D662" i="3"/>
  <c r="C662" i="3"/>
  <c r="B662" i="3"/>
  <c r="A662" i="3"/>
  <c r="M661" i="3"/>
  <c r="L661" i="3"/>
  <c r="K661" i="3"/>
  <c r="J661" i="3"/>
  <c r="I661" i="3"/>
  <c r="H661" i="3"/>
  <c r="G661" i="3"/>
  <c r="F661" i="3"/>
  <c r="E661" i="3"/>
  <c r="D661" i="3"/>
  <c r="C661" i="3"/>
  <c r="B661" i="3"/>
  <c r="A661" i="3"/>
  <c r="M660" i="3"/>
  <c r="L660" i="3"/>
  <c r="K660" i="3"/>
  <c r="J660" i="3"/>
  <c r="I660" i="3"/>
  <c r="H660" i="3"/>
  <c r="G660" i="3"/>
  <c r="F660" i="3"/>
  <c r="E660" i="3"/>
  <c r="D660" i="3"/>
  <c r="C660" i="3"/>
  <c r="B660" i="3"/>
  <c r="A660" i="3"/>
  <c r="M659" i="3"/>
  <c r="L659" i="3"/>
  <c r="K659" i="3"/>
  <c r="J659" i="3"/>
  <c r="I659" i="3"/>
  <c r="H659" i="3"/>
  <c r="G659" i="3"/>
  <c r="F659" i="3"/>
  <c r="E659" i="3"/>
  <c r="D659" i="3"/>
  <c r="C659" i="3"/>
  <c r="B659" i="3"/>
  <c r="A659" i="3"/>
  <c r="M658" i="3"/>
  <c r="L658" i="3"/>
  <c r="K658" i="3"/>
  <c r="J658" i="3"/>
  <c r="I658" i="3"/>
  <c r="H658" i="3"/>
  <c r="F658" i="3"/>
  <c r="E658" i="3"/>
  <c r="D658" i="3"/>
  <c r="C658" i="3"/>
  <c r="B658" i="3"/>
  <c r="A658" i="3"/>
  <c r="M657" i="3"/>
  <c r="L657" i="3"/>
  <c r="K657" i="3"/>
  <c r="J657" i="3"/>
  <c r="I657" i="3"/>
  <c r="H657" i="3"/>
  <c r="G657" i="3"/>
  <c r="F657" i="3"/>
  <c r="E657" i="3"/>
  <c r="D657" i="3"/>
  <c r="C657" i="3"/>
  <c r="B657" i="3"/>
  <c r="A657" i="3"/>
  <c r="M656" i="3"/>
  <c r="L656" i="3"/>
  <c r="K656" i="3"/>
  <c r="J656" i="3"/>
  <c r="I656" i="3"/>
  <c r="H656" i="3"/>
  <c r="F656" i="3"/>
  <c r="E656" i="3"/>
  <c r="D656" i="3"/>
  <c r="C656" i="3"/>
  <c r="B656" i="3"/>
  <c r="A656" i="3"/>
  <c r="M655" i="3"/>
  <c r="L655" i="3"/>
  <c r="K655" i="3"/>
  <c r="J655" i="3"/>
  <c r="I655" i="3"/>
  <c r="H655" i="3"/>
  <c r="G655" i="3"/>
  <c r="F655" i="3"/>
  <c r="E655" i="3"/>
  <c r="D655" i="3"/>
  <c r="C655" i="3"/>
  <c r="B655" i="3"/>
  <c r="A655" i="3"/>
  <c r="M654" i="3"/>
  <c r="L654" i="3"/>
  <c r="K654" i="3"/>
  <c r="J654" i="3"/>
  <c r="I654" i="3"/>
  <c r="H654" i="3"/>
  <c r="G654" i="3"/>
  <c r="F654" i="3"/>
  <c r="E654" i="3"/>
  <c r="D654" i="3"/>
  <c r="C654" i="3"/>
  <c r="B654" i="3"/>
  <c r="A654" i="3"/>
  <c r="M653" i="3"/>
  <c r="L653" i="3"/>
  <c r="K653" i="3"/>
  <c r="J653" i="3"/>
  <c r="I653" i="3"/>
  <c r="H653" i="3"/>
  <c r="F653" i="3"/>
  <c r="E653" i="3"/>
  <c r="D653" i="3"/>
  <c r="C653" i="3"/>
  <c r="B653" i="3"/>
  <c r="A653" i="3"/>
  <c r="M652" i="3"/>
  <c r="L652" i="3"/>
  <c r="K652" i="3"/>
  <c r="J652" i="3"/>
  <c r="I652" i="3"/>
  <c r="H652" i="3"/>
  <c r="G652" i="3"/>
  <c r="F652" i="3"/>
  <c r="E652" i="3"/>
  <c r="D652" i="3"/>
  <c r="C652" i="3"/>
  <c r="B652" i="3"/>
  <c r="A652" i="3"/>
  <c r="M651" i="3"/>
  <c r="L651" i="3"/>
  <c r="K651" i="3"/>
  <c r="J651" i="3"/>
  <c r="I651" i="3"/>
  <c r="H651" i="3"/>
  <c r="G651" i="3"/>
  <c r="F651" i="3"/>
  <c r="E651" i="3"/>
  <c r="D651" i="3"/>
  <c r="C651" i="3"/>
  <c r="B651" i="3"/>
  <c r="A651" i="3"/>
  <c r="M650" i="3"/>
  <c r="L650" i="3"/>
  <c r="K650" i="3"/>
  <c r="J650" i="3"/>
  <c r="I650" i="3"/>
  <c r="H650" i="3"/>
  <c r="G650" i="3"/>
  <c r="F650" i="3"/>
  <c r="E650" i="3"/>
  <c r="D650" i="3"/>
  <c r="C650" i="3"/>
  <c r="B650" i="3"/>
  <c r="A650" i="3"/>
  <c r="M649" i="3"/>
  <c r="L649" i="3"/>
  <c r="K649" i="3"/>
  <c r="J649" i="3"/>
  <c r="I649" i="3"/>
  <c r="H649" i="3"/>
  <c r="G649" i="3"/>
  <c r="F649" i="3"/>
  <c r="E649" i="3"/>
  <c r="D649" i="3"/>
  <c r="C649" i="3"/>
  <c r="B649" i="3"/>
  <c r="A649" i="3"/>
  <c r="M648" i="3"/>
  <c r="L648" i="3"/>
  <c r="K648" i="3"/>
  <c r="J648" i="3"/>
  <c r="I648" i="3"/>
  <c r="H648" i="3"/>
  <c r="G648" i="3"/>
  <c r="F648" i="3"/>
  <c r="E648" i="3"/>
  <c r="D648" i="3"/>
  <c r="C648" i="3"/>
  <c r="B648" i="3"/>
  <c r="A648" i="3"/>
  <c r="M647" i="3"/>
  <c r="L647" i="3"/>
  <c r="K647" i="3"/>
  <c r="J647" i="3"/>
  <c r="I647" i="3"/>
  <c r="H647" i="3"/>
  <c r="G647" i="3"/>
  <c r="F647" i="3"/>
  <c r="E647" i="3"/>
  <c r="D647" i="3"/>
  <c r="C647" i="3"/>
  <c r="B647" i="3"/>
  <c r="A647" i="3"/>
  <c r="M646" i="3"/>
  <c r="L646" i="3"/>
  <c r="K646" i="3"/>
  <c r="J646" i="3"/>
  <c r="I646" i="3"/>
  <c r="H646" i="3"/>
  <c r="G646" i="3"/>
  <c r="F646" i="3"/>
  <c r="E646" i="3"/>
  <c r="D646" i="3"/>
  <c r="C646" i="3"/>
  <c r="B646" i="3"/>
  <c r="A646" i="3"/>
  <c r="M645" i="3"/>
  <c r="L645" i="3"/>
  <c r="K645" i="3"/>
  <c r="J645" i="3"/>
  <c r="I645" i="3"/>
  <c r="H645" i="3"/>
  <c r="G645" i="3"/>
  <c r="F645" i="3"/>
  <c r="E645" i="3"/>
  <c r="D645" i="3"/>
  <c r="C645" i="3"/>
  <c r="B645" i="3"/>
  <c r="A645" i="3"/>
  <c r="M644" i="3"/>
  <c r="L644" i="3"/>
  <c r="K644" i="3"/>
  <c r="J644" i="3"/>
  <c r="I644" i="3"/>
  <c r="H644" i="3"/>
  <c r="G644" i="3"/>
  <c r="F644" i="3"/>
  <c r="E644" i="3"/>
  <c r="D644" i="3"/>
  <c r="C644" i="3"/>
  <c r="B644" i="3"/>
  <c r="A644" i="3"/>
  <c r="M643" i="3"/>
  <c r="L643" i="3"/>
  <c r="K643" i="3"/>
  <c r="J643" i="3"/>
  <c r="I643" i="3"/>
  <c r="H643" i="3"/>
  <c r="G643" i="3"/>
  <c r="F643" i="3"/>
  <c r="E643" i="3"/>
  <c r="D643" i="3"/>
  <c r="C643" i="3"/>
  <c r="B643" i="3"/>
  <c r="A643" i="3"/>
  <c r="M642" i="3"/>
  <c r="L642" i="3"/>
  <c r="K642" i="3"/>
  <c r="J642" i="3"/>
  <c r="I642" i="3"/>
  <c r="H642" i="3"/>
  <c r="G642" i="3"/>
  <c r="F642" i="3"/>
  <c r="E642" i="3"/>
  <c r="D642" i="3"/>
  <c r="C642" i="3"/>
  <c r="B642" i="3"/>
  <c r="A642" i="3"/>
  <c r="M641" i="3"/>
  <c r="L641" i="3"/>
  <c r="K641" i="3"/>
  <c r="J641" i="3"/>
  <c r="I641" i="3"/>
  <c r="H641" i="3"/>
  <c r="G641" i="3"/>
  <c r="F641" i="3"/>
  <c r="E641" i="3"/>
  <c r="D641" i="3"/>
  <c r="C641" i="3"/>
  <c r="B641" i="3"/>
  <c r="A641" i="3"/>
  <c r="M640" i="3"/>
  <c r="L640" i="3"/>
  <c r="K640" i="3"/>
  <c r="J640" i="3"/>
  <c r="I640" i="3"/>
  <c r="H640" i="3"/>
  <c r="G640" i="3"/>
  <c r="F640" i="3"/>
  <c r="E640" i="3"/>
  <c r="D640" i="3"/>
  <c r="C640" i="3"/>
  <c r="B640" i="3"/>
  <c r="A640" i="3"/>
  <c r="M639" i="3"/>
  <c r="L639" i="3"/>
  <c r="K639" i="3"/>
  <c r="J639" i="3"/>
  <c r="I639" i="3"/>
  <c r="H639" i="3"/>
  <c r="G639" i="3"/>
  <c r="F639" i="3"/>
  <c r="D639" i="3"/>
  <c r="C639" i="3"/>
  <c r="B639" i="3"/>
  <c r="A639" i="3"/>
  <c r="M638" i="3"/>
  <c r="L638" i="3"/>
  <c r="K638" i="3"/>
  <c r="J638" i="3"/>
  <c r="I638" i="3"/>
  <c r="H638" i="3"/>
  <c r="G638" i="3"/>
  <c r="F638" i="3"/>
  <c r="E638" i="3"/>
  <c r="D638" i="3"/>
  <c r="C638" i="3"/>
  <c r="B638" i="3"/>
  <c r="A638" i="3"/>
  <c r="M637" i="3"/>
  <c r="L637" i="3"/>
  <c r="K637" i="3"/>
  <c r="J637" i="3"/>
  <c r="I637" i="3"/>
  <c r="H637" i="3"/>
  <c r="G637" i="3"/>
  <c r="F637" i="3"/>
  <c r="E637" i="3"/>
  <c r="D637" i="3"/>
  <c r="C637" i="3"/>
  <c r="B637" i="3"/>
  <c r="A637" i="3"/>
  <c r="M636" i="3"/>
  <c r="L636" i="3"/>
  <c r="K636" i="3"/>
  <c r="J636" i="3"/>
  <c r="I636" i="3"/>
  <c r="H636" i="3"/>
  <c r="G636" i="3"/>
  <c r="F636" i="3"/>
  <c r="E636" i="3"/>
  <c r="D636" i="3"/>
  <c r="C636" i="3"/>
  <c r="B636" i="3"/>
  <c r="A636" i="3"/>
  <c r="M635" i="3"/>
  <c r="L635" i="3"/>
  <c r="K635" i="3"/>
  <c r="J635" i="3"/>
  <c r="I635" i="3"/>
  <c r="H635" i="3"/>
  <c r="G635" i="3"/>
  <c r="F635" i="3"/>
  <c r="E635" i="3"/>
  <c r="D635" i="3"/>
  <c r="C635" i="3"/>
  <c r="B635" i="3"/>
  <c r="A635" i="3"/>
  <c r="M634" i="3"/>
  <c r="L634" i="3"/>
  <c r="K634" i="3"/>
  <c r="J634" i="3"/>
  <c r="I634" i="3"/>
  <c r="H634" i="3"/>
  <c r="G634" i="3"/>
  <c r="F634" i="3"/>
  <c r="E634" i="3"/>
  <c r="D634" i="3"/>
  <c r="C634" i="3"/>
  <c r="B634" i="3"/>
  <c r="A634" i="3"/>
  <c r="M633" i="3"/>
  <c r="L633" i="3"/>
  <c r="K633" i="3"/>
  <c r="J633" i="3"/>
  <c r="I633" i="3"/>
  <c r="H633" i="3"/>
  <c r="G633" i="3"/>
  <c r="F633" i="3"/>
  <c r="E633" i="3"/>
  <c r="D633" i="3"/>
  <c r="C633" i="3"/>
  <c r="B633" i="3"/>
  <c r="A633" i="3"/>
  <c r="M632" i="3"/>
  <c r="L632" i="3"/>
  <c r="K632" i="3"/>
  <c r="J632" i="3"/>
  <c r="I632" i="3"/>
  <c r="H632" i="3"/>
  <c r="F632" i="3"/>
  <c r="D632" i="3"/>
  <c r="C632" i="3"/>
  <c r="B632" i="3"/>
  <c r="A632" i="3"/>
  <c r="M631" i="3"/>
  <c r="L631" i="3"/>
  <c r="K631" i="3"/>
  <c r="J631" i="3"/>
  <c r="I631" i="3"/>
  <c r="H631" i="3"/>
  <c r="G631" i="3"/>
  <c r="F631" i="3"/>
  <c r="E631" i="3"/>
  <c r="D631" i="3"/>
  <c r="C631" i="3"/>
  <c r="B631" i="3"/>
  <c r="A631" i="3"/>
  <c r="M630" i="3"/>
  <c r="L630" i="3"/>
  <c r="K630" i="3"/>
  <c r="J630" i="3"/>
  <c r="I630" i="3"/>
  <c r="H630" i="3"/>
  <c r="G630" i="3"/>
  <c r="F630" i="3"/>
  <c r="E630" i="3"/>
  <c r="D630" i="3"/>
  <c r="C630" i="3"/>
  <c r="B630" i="3"/>
  <c r="A630" i="3"/>
  <c r="M629" i="3"/>
  <c r="L629" i="3"/>
  <c r="K629" i="3"/>
  <c r="J629" i="3"/>
  <c r="I629" i="3"/>
  <c r="H629" i="3"/>
  <c r="G629" i="3"/>
  <c r="F629" i="3"/>
  <c r="E629" i="3"/>
  <c r="D629" i="3"/>
  <c r="C629" i="3"/>
  <c r="B629" i="3"/>
  <c r="A629" i="3"/>
  <c r="M628" i="3"/>
  <c r="L628" i="3"/>
  <c r="K628" i="3"/>
  <c r="J628" i="3"/>
  <c r="I628" i="3"/>
  <c r="H628" i="3"/>
  <c r="G628" i="3"/>
  <c r="F628" i="3"/>
  <c r="E628" i="3"/>
  <c r="D628" i="3"/>
  <c r="C628" i="3"/>
  <c r="B628" i="3"/>
  <c r="A628" i="3"/>
  <c r="M627" i="3"/>
  <c r="L627" i="3"/>
  <c r="K627" i="3"/>
  <c r="J627" i="3"/>
  <c r="I627" i="3"/>
  <c r="H627" i="3"/>
  <c r="G627" i="3"/>
  <c r="F627" i="3"/>
  <c r="E627" i="3"/>
  <c r="D627" i="3"/>
  <c r="C627" i="3"/>
  <c r="B627" i="3"/>
  <c r="A627" i="3"/>
  <c r="M626" i="3"/>
  <c r="L626" i="3"/>
  <c r="K626" i="3"/>
  <c r="J626" i="3"/>
  <c r="I626" i="3"/>
  <c r="H626" i="3"/>
  <c r="G626" i="3"/>
  <c r="F626" i="3"/>
  <c r="E626" i="3"/>
  <c r="D626" i="3"/>
  <c r="C626" i="3"/>
  <c r="B626" i="3"/>
  <c r="A626" i="3"/>
  <c r="M625" i="3"/>
  <c r="L625" i="3"/>
  <c r="K625" i="3"/>
  <c r="J625" i="3"/>
  <c r="I625" i="3"/>
  <c r="H625" i="3"/>
  <c r="G625" i="3"/>
  <c r="F625" i="3"/>
  <c r="E625" i="3"/>
  <c r="D625" i="3"/>
  <c r="C625" i="3"/>
  <c r="B625" i="3"/>
  <c r="A625" i="3"/>
  <c r="M624" i="3"/>
  <c r="L624" i="3"/>
  <c r="K624" i="3"/>
  <c r="J624" i="3"/>
  <c r="I624" i="3"/>
  <c r="H624" i="3"/>
  <c r="G624" i="3"/>
  <c r="F624" i="3"/>
  <c r="E624" i="3"/>
  <c r="D624" i="3"/>
  <c r="C624" i="3"/>
  <c r="B624" i="3"/>
  <c r="A624" i="3"/>
  <c r="M623" i="3"/>
  <c r="L623" i="3"/>
  <c r="K623" i="3"/>
  <c r="J623" i="3"/>
  <c r="I623" i="3"/>
  <c r="H623" i="3"/>
  <c r="G623" i="3"/>
  <c r="F623" i="3"/>
  <c r="E623" i="3"/>
  <c r="D623" i="3"/>
  <c r="C623" i="3"/>
  <c r="B623" i="3"/>
  <c r="A623" i="3"/>
  <c r="M622" i="3"/>
  <c r="L622" i="3"/>
  <c r="K622" i="3"/>
  <c r="J622" i="3"/>
  <c r="I622" i="3"/>
  <c r="H622" i="3"/>
  <c r="G622" i="3"/>
  <c r="F622" i="3"/>
  <c r="E622" i="3"/>
  <c r="D622" i="3"/>
  <c r="C622" i="3"/>
  <c r="B622" i="3"/>
  <c r="A622" i="3"/>
  <c r="M621" i="3"/>
  <c r="L621" i="3"/>
  <c r="K621" i="3"/>
  <c r="J621" i="3"/>
  <c r="I621" i="3"/>
  <c r="H621" i="3"/>
  <c r="G621" i="3"/>
  <c r="F621" i="3"/>
  <c r="E621" i="3"/>
  <c r="D621" i="3"/>
  <c r="C621" i="3"/>
  <c r="B621" i="3"/>
  <c r="A621" i="3"/>
  <c r="M620" i="3"/>
  <c r="L620" i="3"/>
  <c r="K620" i="3"/>
  <c r="J620" i="3"/>
  <c r="I620" i="3"/>
  <c r="H620" i="3"/>
  <c r="G620" i="3"/>
  <c r="F620" i="3"/>
  <c r="E620" i="3"/>
  <c r="D620" i="3"/>
  <c r="C620" i="3"/>
  <c r="B620" i="3"/>
  <c r="A620" i="3"/>
  <c r="M619" i="3"/>
  <c r="L619" i="3"/>
  <c r="K619" i="3"/>
  <c r="J619" i="3"/>
  <c r="I619" i="3"/>
  <c r="H619" i="3"/>
  <c r="G619" i="3"/>
  <c r="F619" i="3"/>
  <c r="E619" i="3"/>
  <c r="D619" i="3"/>
  <c r="C619" i="3"/>
  <c r="B619" i="3"/>
  <c r="A619" i="3"/>
  <c r="M618" i="3"/>
  <c r="L618" i="3"/>
  <c r="K618" i="3"/>
  <c r="J618" i="3"/>
  <c r="I618" i="3"/>
  <c r="H618" i="3"/>
  <c r="G618" i="3"/>
  <c r="F618" i="3"/>
  <c r="E618" i="3"/>
  <c r="D618" i="3"/>
  <c r="C618" i="3"/>
  <c r="B618" i="3"/>
  <c r="A618" i="3"/>
  <c r="M617" i="3"/>
  <c r="L617" i="3"/>
  <c r="K617" i="3"/>
  <c r="J617" i="3"/>
  <c r="I617" i="3"/>
  <c r="H617" i="3"/>
  <c r="G617" i="3"/>
  <c r="F617" i="3"/>
  <c r="E617" i="3"/>
  <c r="D617" i="3"/>
  <c r="C617" i="3"/>
  <c r="B617" i="3"/>
  <c r="A617" i="3"/>
  <c r="M616" i="3"/>
  <c r="L616" i="3"/>
  <c r="K616" i="3"/>
  <c r="J616" i="3"/>
  <c r="I616" i="3"/>
  <c r="H616" i="3"/>
  <c r="G616" i="3"/>
  <c r="F616" i="3"/>
  <c r="E616" i="3"/>
  <c r="D616" i="3"/>
  <c r="C616" i="3"/>
  <c r="B616" i="3"/>
  <c r="A616" i="3"/>
  <c r="M615" i="3"/>
  <c r="L615" i="3"/>
  <c r="K615" i="3"/>
  <c r="J615" i="3"/>
  <c r="I615" i="3"/>
  <c r="H615" i="3"/>
  <c r="G615" i="3"/>
  <c r="F615" i="3"/>
  <c r="E615" i="3"/>
  <c r="D615" i="3"/>
  <c r="C615" i="3"/>
  <c r="B615" i="3"/>
  <c r="A615" i="3"/>
  <c r="M614" i="3"/>
  <c r="L614" i="3"/>
  <c r="K614" i="3"/>
  <c r="J614" i="3"/>
  <c r="I614" i="3"/>
  <c r="H614" i="3"/>
  <c r="G614" i="3"/>
  <c r="F614" i="3"/>
  <c r="E614" i="3"/>
  <c r="D614" i="3"/>
  <c r="C614" i="3"/>
  <c r="B614" i="3"/>
  <c r="A614" i="3"/>
  <c r="M613" i="3"/>
  <c r="L613" i="3"/>
  <c r="K613" i="3"/>
  <c r="J613" i="3"/>
  <c r="I613" i="3"/>
  <c r="H613" i="3"/>
  <c r="G613" i="3"/>
  <c r="F613" i="3"/>
  <c r="E613" i="3"/>
  <c r="D613" i="3"/>
  <c r="C613" i="3"/>
  <c r="B613" i="3"/>
  <c r="A613" i="3"/>
  <c r="M612" i="3"/>
  <c r="L612" i="3"/>
  <c r="K612" i="3"/>
  <c r="J612" i="3"/>
  <c r="I612" i="3"/>
  <c r="H612" i="3"/>
  <c r="G612" i="3"/>
  <c r="F612" i="3"/>
  <c r="E612" i="3"/>
  <c r="D612" i="3"/>
  <c r="C612" i="3"/>
  <c r="B612" i="3"/>
  <c r="A612" i="3"/>
  <c r="M611" i="3"/>
  <c r="L611" i="3"/>
  <c r="K611" i="3"/>
  <c r="J611" i="3"/>
  <c r="I611" i="3"/>
  <c r="H611" i="3"/>
  <c r="G611" i="3"/>
  <c r="F611" i="3"/>
  <c r="E611" i="3"/>
  <c r="D611" i="3"/>
  <c r="C611" i="3"/>
  <c r="B611" i="3"/>
  <c r="A611" i="3"/>
  <c r="M610" i="3"/>
  <c r="L610" i="3"/>
  <c r="K610" i="3"/>
  <c r="J610" i="3"/>
  <c r="I610" i="3"/>
  <c r="H610" i="3"/>
  <c r="G610" i="3"/>
  <c r="F610" i="3"/>
  <c r="E610" i="3"/>
  <c r="D610" i="3"/>
  <c r="C610" i="3"/>
  <c r="B610" i="3"/>
  <c r="A610" i="3"/>
  <c r="M609" i="3"/>
  <c r="L609" i="3"/>
  <c r="K609" i="3"/>
  <c r="J609" i="3"/>
  <c r="I609" i="3"/>
  <c r="H609" i="3"/>
  <c r="G609" i="3"/>
  <c r="F609" i="3"/>
  <c r="E609" i="3"/>
  <c r="D609" i="3"/>
  <c r="C609" i="3"/>
  <c r="B609" i="3"/>
  <c r="A609" i="3"/>
  <c r="M608" i="3"/>
  <c r="L608" i="3"/>
  <c r="K608" i="3"/>
  <c r="J608" i="3"/>
  <c r="I608" i="3"/>
  <c r="H608" i="3"/>
  <c r="G608" i="3"/>
  <c r="F608" i="3"/>
  <c r="E608" i="3"/>
  <c r="D608" i="3"/>
  <c r="C608" i="3"/>
  <c r="B608" i="3"/>
  <c r="A608" i="3"/>
  <c r="M607" i="3"/>
  <c r="L607" i="3"/>
  <c r="K607" i="3"/>
  <c r="J607" i="3"/>
  <c r="I607" i="3"/>
  <c r="H607" i="3"/>
  <c r="G607" i="3"/>
  <c r="F607" i="3"/>
  <c r="E607" i="3"/>
  <c r="D607" i="3"/>
  <c r="C607" i="3"/>
  <c r="B607" i="3"/>
  <c r="A607" i="3"/>
  <c r="M606" i="3"/>
  <c r="L606" i="3"/>
  <c r="K606" i="3"/>
  <c r="J606" i="3"/>
  <c r="I606" i="3"/>
  <c r="H606" i="3"/>
  <c r="G606" i="3"/>
  <c r="F606" i="3"/>
  <c r="E606" i="3"/>
  <c r="D606" i="3"/>
  <c r="C606" i="3"/>
  <c r="B606" i="3"/>
  <c r="A606" i="3"/>
  <c r="M605" i="3"/>
  <c r="L605" i="3"/>
  <c r="K605" i="3"/>
  <c r="J605" i="3"/>
  <c r="I605" i="3"/>
  <c r="H605" i="3"/>
  <c r="F605" i="3"/>
  <c r="E605" i="3"/>
  <c r="D605" i="3"/>
  <c r="C605" i="3"/>
  <c r="B605" i="3"/>
  <c r="A605" i="3"/>
  <c r="M604" i="3"/>
  <c r="L604" i="3"/>
  <c r="K604" i="3"/>
  <c r="J604" i="3"/>
  <c r="I604" i="3"/>
  <c r="H604" i="3"/>
  <c r="F604" i="3"/>
  <c r="E604" i="3"/>
  <c r="D604" i="3"/>
  <c r="C604" i="3"/>
  <c r="B604" i="3"/>
  <c r="A604" i="3"/>
  <c r="M603" i="3"/>
  <c r="L603" i="3"/>
  <c r="K603" i="3"/>
  <c r="J603" i="3"/>
  <c r="I603" i="3"/>
  <c r="H603" i="3"/>
  <c r="G603" i="3"/>
  <c r="F603" i="3"/>
  <c r="E603" i="3"/>
  <c r="D603" i="3"/>
  <c r="C603" i="3"/>
  <c r="B603" i="3"/>
  <c r="A603" i="3"/>
  <c r="M602" i="3"/>
  <c r="L602" i="3"/>
  <c r="K602" i="3"/>
  <c r="J602" i="3"/>
  <c r="I602" i="3"/>
  <c r="H602" i="3"/>
  <c r="G602" i="3"/>
  <c r="F602" i="3"/>
  <c r="E602" i="3"/>
  <c r="D602" i="3"/>
  <c r="C602" i="3"/>
  <c r="B602" i="3"/>
  <c r="A602" i="3"/>
  <c r="M601" i="3"/>
  <c r="L601" i="3"/>
  <c r="K601" i="3"/>
  <c r="J601" i="3"/>
  <c r="I601" i="3"/>
  <c r="H601" i="3"/>
  <c r="F601" i="3"/>
  <c r="E601" i="3"/>
  <c r="D601" i="3"/>
  <c r="C601" i="3"/>
  <c r="B601" i="3"/>
  <c r="A601" i="3"/>
  <c r="M600" i="3"/>
  <c r="L600" i="3"/>
  <c r="K600" i="3"/>
  <c r="J600" i="3"/>
  <c r="I600" i="3"/>
  <c r="H600" i="3"/>
  <c r="G600" i="3"/>
  <c r="F600" i="3"/>
  <c r="E600" i="3"/>
  <c r="D600" i="3"/>
  <c r="C600" i="3"/>
  <c r="B600" i="3"/>
  <c r="A600" i="3"/>
  <c r="M599" i="3"/>
  <c r="L599" i="3"/>
  <c r="K599" i="3"/>
  <c r="J599" i="3"/>
  <c r="I599" i="3"/>
  <c r="H599" i="3"/>
  <c r="G599" i="3"/>
  <c r="F599" i="3"/>
  <c r="E599" i="3"/>
  <c r="D599" i="3"/>
  <c r="C599" i="3"/>
  <c r="B599" i="3"/>
  <c r="A599" i="3"/>
  <c r="M598" i="3"/>
  <c r="L598" i="3"/>
  <c r="K598" i="3"/>
  <c r="J598" i="3"/>
  <c r="I598" i="3"/>
  <c r="H598" i="3"/>
  <c r="G598" i="3"/>
  <c r="F598" i="3"/>
  <c r="E598" i="3"/>
  <c r="D598" i="3"/>
  <c r="C598" i="3"/>
  <c r="B598" i="3"/>
  <c r="A598" i="3"/>
  <c r="M597" i="3"/>
  <c r="L597" i="3"/>
  <c r="K597" i="3"/>
  <c r="J597" i="3"/>
  <c r="I597" i="3"/>
  <c r="H597" i="3"/>
  <c r="F597" i="3"/>
  <c r="E597" i="3"/>
  <c r="D597" i="3"/>
  <c r="C597" i="3"/>
  <c r="B597" i="3"/>
  <c r="A597" i="3"/>
  <c r="M596" i="3"/>
  <c r="L596" i="3"/>
  <c r="K596" i="3"/>
  <c r="J596" i="3"/>
  <c r="I596" i="3"/>
  <c r="H596" i="3"/>
  <c r="F596" i="3"/>
  <c r="E596" i="3"/>
  <c r="D596" i="3"/>
  <c r="C596" i="3"/>
  <c r="B596" i="3"/>
  <c r="A596" i="3"/>
  <c r="M595" i="3"/>
  <c r="L595" i="3"/>
  <c r="K595" i="3"/>
  <c r="J595" i="3"/>
  <c r="I595" i="3"/>
  <c r="H595" i="3"/>
  <c r="F595" i="3"/>
  <c r="E595" i="3"/>
  <c r="D595" i="3"/>
  <c r="C595" i="3"/>
  <c r="B595" i="3"/>
  <c r="A595" i="3"/>
  <c r="M594" i="3"/>
  <c r="L594" i="3"/>
  <c r="K594" i="3"/>
  <c r="J594" i="3"/>
  <c r="I594" i="3"/>
  <c r="H594" i="3"/>
  <c r="G594" i="3"/>
  <c r="F594" i="3"/>
  <c r="E594" i="3"/>
  <c r="D594" i="3"/>
  <c r="C594" i="3"/>
  <c r="B594" i="3"/>
  <c r="A594" i="3"/>
  <c r="M593" i="3"/>
  <c r="L593" i="3"/>
  <c r="K593" i="3"/>
  <c r="J593" i="3"/>
  <c r="I593" i="3"/>
  <c r="H593" i="3"/>
  <c r="F593" i="3"/>
  <c r="E593" i="3"/>
  <c r="D593" i="3"/>
  <c r="C593" i="3"/>
  <c r="B593" i="3"/>
  <c r="A593" i="3"/>
  <c r="M592" i="3"/>
  <c r="L592" i="3"/>
  <c r="K592" i="3"/>
  <c r="J592" i="3"/>
  <c r="I592" i="3"/>
  <c r="H592" i="3"/>
  <c r="F592" i="3"/>
  <c r="E592" i="3"/>
  <c r="D592" i="3"/>
  <c r="C592" i="3"/>
  <c r="B592" i="3"/>
  <c r="A592" i="3"/>
  <c r="M591" i="3"/>
  <c r="L591" i="3"/>
  <c r="K591" i="3"/>
  <c r="J591" i="3"/>
  <c r="I591" i="3"/>
  <c r="H591" i="3"/>
  <c r="G591" i="3"/>
  <c r="F591" i="3"/>
  <c r="E591" i="3"/>
  <c r="D591" i="3"/>
  <c r="C591" i="3"/>
  <c r="B591" i="3"/>
  <c r="A591" i="3"/>
  <c r="M590" i="3"/>
  <c r="L590" i="3"/>
  <c r="K590" i="3"/>
  <c r="J590" i="3"/>
  <c r="I590" i="3"/>
  <c r="H590" i="3"/>
  <c r="F590" i="3"/>
  <c r="E590" i="3"/>
  <c r="D590" i="3"/>
  <c r="C590" i="3"/>
  <c r="B590" i="3"/>
  <c r="A590" i="3"/>
  <c r="M589" i="3"/>
  <c r="L589" i="3"/>
  <c r="K589" i="3"/>
  <c r="J589" i="3"/>
  <c r="I589" i="3"/>
  <c r="H589" i="3"/>
  <c r="F589" i="3"/>
  <c r="E589" i="3"/>
  <c r="D589" i="3"/>
  <c r="C589" i="3"/>
  <c r="B589" i="3"/>
  <c r="A589" i="3"/>
  <c r="M588" i="3"/>
  <c r="L588" i="3"/>
  <c r="K588" i="3"/>
  <c r="J588" i="3"/>
  <c r="I588" i="3"/>
  <c r="H588" i="3"/>
  <c r="F588" i="3"/>
  <c r="E588" i="3"/>
  <c r="D588" i="3"/>
  <c r="C588" i="3"/>
  <c r="B588" i="3"/>
  <c r="A588" i="3"/>
  <c r="M587" i="3"/>
  <c r="L587" i="3"/>
  <c r="K587" i="3"/>
  <c r="J587" i="3"/>
  <c r="I587" i="3"/>
  <c r="H587" i="3"/>
  <c r="F587" i="3"/>
  <c r="E587" i="3"/>
  <c r="D587" i="3"/>
  <c r="C587" i="3"/>
  <c r="B587" i="3"/>
  <c r="A587" i="3"/>
  <c r="M586" i="3"/>
  <c r="L586" i="3"/>
  <c r="K586" i="3"/>
  <c r="J586" i="3"/>
  <c r="I586" i="3"/>
  <c r="H586" i="3"/>
  <c r="F586" i="3"/>
  <c r="E586" i="3"/>
  <c r="D586" i="3"/>
  <c r="C586" i="3"/>
  <c r="B586" i="3"/>
  <c r="A586" i="3"/>
  <c r="M585" i="3"/>
  <c r="L585" i="3"/>
  <c r="K585" i="3"/>
  <c r="J585" i="3"/>
  <c r="I585" i="3"/>
  <c r="H585" i="3"/>
  <c r="G585" i="3"/>
  <c r="F585" i="3"/>
  <c r="E585" i="3"/>
  <c r="D585" i="3"/>
  <c r="C585" i="3"/>
  <c r="B585" i="3"/>
  <c r="A585" i="3"/>
  <c r="M584" i="3"/>
  <c r="L584" i="3"/>
  <c r="K584" i="3"/>
  <c r="J584" i="3"/>
  <c r="I584" i="3"/>
  <c r="H584" i="3"/>
  <c r="G584" i="3"/>
  <c r="F584" i="3"/>
  <c r="E584" i="3"/>
  <c r="D584" i="3"/>
  <c r="C584" i="3"/>
  <c r="B584" i="3"/>
  <c r="A584" i="3"/>
  <c r="M583" i="3"/>
  <c r="L583" i="3"/>
  <c r="K583" i="3"/>
  <c r="J583" i="3"/>
  <c r="I583" i="3"/>
  <c r="H583" i="3"/>
  <c r="G583" i="3"/>
  <c r="F583" i="3"/>
  <c r="E583" i="3"/>
  <c r="D583" i="3"/>
  <c r="C583" i="3"/>
  <c r="B583" i="3"/>
  <c r="A583" i="3"/>
  <c r="M582" i="3"/>
  <c r="L582" i="3"/>
  <c r="K582" i="3"/>
  <c r="J582" i="3"/>
  <c r="I582" i="3"/>
  <c r="H582" i="3"/>
  <c r="G582" i="3"/>
  <c r="F582" i="3"/>
  <c r="E582" i="3"/>
  <c r="D582" i="3"/>
  <c r="C582" i="3"/>
  <c r="B582" i="3"/>
  <c r="A582" i="3"/>
  <c r="M581" i="3"/>
  <c r="L581" i="3"/>
  <c r="K581" i="3"/>
  <c r="J581" i="3"/>
  <c r="I581" i="3"/>
  <c r="H581" i="3"/>
  <c r="G581" i="3"/>
  <c r="F581" i="3"/>
  <c r="E581" i="3"/>
  <c r="D581" i="3"/>
  <c r="C581" i="3"/>
  <c r="B581" i="3"/>
  <c r="A581" i="3"/>
  <c r="M580" i="3"/>
  <c r="L580" i="3"/>
  <c r="K580" i="3"/>
  <c r="J580" i="3"/>
  <c r="I580" i="3"/>
  <c r="H580" i="3"/>
  <c r="G580" i="3"/>
  <c r="F580" i="3"/>
  <c r="E580" i="3"/>
  <c r="D580" i="3"/>
  <c r="C580" i="3"/>
  <c r="B580" i="3"/>
  <c r="A580" i="3"/>
  <c r="M579" i="3"/>
  <c r="L579" i="3"/>
  <c r="K579" i="3"/>
  <c r="J579" i="3"/>
  <c r="I579" i="3"/>
  <c r="H579" i="3"/>
  <c r="G579" i="3"/>
  <c r="F579" i="3"/>
  <c r="E579" i="3"/>
  <c r="D579" i="3"/>
  <c r="C579" i="3"/>
  <c r="B579" i="3"/>
  <c r="A579" i="3"/>
  <c r="M578" i="3"/>
  <c r="L578" i="3"/>
  <c r="K578" i="3"/>
  <c r="J578" i="3"/>
  <c r="I578" i="3"/>
  <c r="H578" i="3"/>
  <c r="G578" i="3"/>
  <c r="F578" i="3"/>
  <c r="E578" i="3"/>
  <c r="D578" i="3"/>
  <c r="C578" i="3"/>
  <c r="B578" i="3"/>
  <c r="A578" i="3"/>
  <c r="M577" i="3"/>
  <c r="L577" i="3"/>
  <c r="K577" i="3"/>
  <c r="J577" i="3"/>
  <c r="I577" i="3"/>
  <c r="H577" i="3"/>
  <c r="G577" i="3"/>
  <c r="F577" i="3"/>
  <c r="E577" i="3"/>
  <c r="D577" i="3"/>
  <c r="C577" i="3"/>
  <c r="B577" i="3"/>
  <c r="A577" i="3"/>
  <c r="M576" i="3"/>
  <c r="L576" i="3"/>
  <c r="K576" i="3"/>
  <c r="J576" i="3"/>
  <c r="I576" i="3"/>
  <c r="H576" i="3"/>
  <c r="G576" i="3"/>
  <c r="F576" i="3"/>
  <c r="E576" i="3"/>
  <c r="D576" i="3"/>
  <c r="C576" i="3"/>
  <c r="B576" i="3"/>
  <c r="A576" i="3"/>
  <c r="M575" i="3"/>
  <c r="L575" i="3"/>
  <c r="K575" i="3"/>
  <c r="J575" i="3"/>
  <c r="I575" i="3"/>
  <c r="H575" i="3"/>
  <c r="G575" i="3"/>
  <c r="F575" i="3"/>
  <c r="E575" i="3"/>
  <c r="D575" i="3"/>
  <c r="C575" i="3"/>
  <c r="B575" i="3"/>
  <c r="A575" i="3"/>
  <c r="M574" i="3"/>
  <c r="L574" i="3"/>
  <c r="K574" i="3"/>
  <c r="J574" i="3"/>
  <c r="I574" i="3"/>
  <c r="H574" i="3"/>
  <c r="F574" i="3"/>
  <c r="E574" i="3"/>
  <c r="D574" i="3"/>
  <c r="C574" i="3"/>
  <c r="B574" i="3"/>
  <c r="A574" i="3"/>
  <c r="M573" i="3"/>
  <c r="L573" i="3"/>
  <c r="K573" i="3"/>
  <c r="J573" i="3"/>
  <c r="I573" i="3"/>
  <c r="H573" i="3"/>
  <c r="F573" i="3"/>
  <c r="E573" i="3"/>
  <c r="D573" i="3"/>
  <c r="C573" i="3"/>
  <c r="B573" i="3"/>
  <c r="A573" i="3"/>
  <c r="M572" i="3"/>
  <c r="L572" i="3"/>
  <c r="K572" i="3"/>
  <c r="J572" i="3"/>
  <c r="I572" i="3"/>
  <c r="H572" i="3"/>
  <c r="G572" i="3"/>
  <c r="F572" i="3"/>
  <c r="E572" i="3"/>
  <c r="D572" i="3"/>
  <c r="C572" i="3"/>
  <c r="B572" i="3"/>
  <c r="A572" i="3"/>
  <c r="M571" i="3"/>
  <c r="L571" i="3"/>
  <c r="K571" i="3"/>
  <c r="J571" i="3"/>
  <c r="I571" i="3"/>
  <c r="H571" i="3"/>
  <c r="F571" i="3"/>
  <c r="E571" i="3"/>
  <c r="D571" i="3"/>
  <c r="C571" i="3"/>
  <c r="B571" i="3"/>
  <c r="A571" i="3"/>
  <c r="M570" i="3"/>
  <c r="L570" i="3"/>
  <c r="K570" i="3"/>
  <c r="J570" i="3"/>
  <c r="I570" i="3"/>
  <c r="H570" i="3"/>
  <c r="G570" i="3"/>
  <c r="F570" i="3"/>
  <c r="E570" i="3"/>
  <c r="D570" i="3"/>
  <c r="C570" i="3"/>
  <c r="B570" i="3"/>
  <c r="A570" i="3"/>
  <c r="M569" i="3"/>
  <c r="L569" i="3"/>
  <c r="K569" i="3"/>
  <c r="J569" i="3"/>
  <c r="I569" i="3"/>
  <c r="H569" i="3"/>
  <c r="F569" i="3"/>
  <c r="E569" i="3"/>
  <c r="D569" i="3"/>
  <c r="C569" i="3"/>
  <c r="B569" i="3"/>
  <c r="A569" i="3"/>
  <c r="M568" i="3"/>
  <c r="L568" i="3"/>
  <c r="K568" i="3"/>
  <c r="J568" i="3"/>
  <c r="I568" i="3"/>
  <c r="H568" i="3"/>
  <c r="F568" i="3"/>
  <c r="E568" i="3"/>
  <c r="D568" i="3"/>
  <c r="C568" i="3"/>
  <c r="B568" i="3"/>
  <c r="A568" i="3"/>
  <c r="M567" i="3"/>
  <c r="L567" i="3"/>
  <c r="K567" i="3"/>
  <c r="J567" i="3"/>
  <c r="I567" i="3"/>
  <c r="H567" i="3"/>
  <c r="G567" i="3"/>
  <c r="F567" i="3"/>
  <c r="E567" i="3"/>
  <c r="D567" i="3"/>
  <c r="C567" i="3"/>
  <c r="B567" i="3"/>
  <c r="A567" i="3"/>
  <c r="M566" i="3"/>
  <c r="L566" i="3"/>
  <c r="K566" i="3"/>
  <c r="J566" i="3"/>
  <c r="I566" i="3"/>
  <c r="H566" i="3"/>
  <c r="G566" i="3"/>
  <c r="F566" i="3"/>
  <c r="E566" i="3"/>
  <c r="D566" i="3"/>
  <c r="C566" i="3"/>
  <c r="B566" i="3"/>
  <c r="A566" i="3"/>
  <c r="M565" i="3"/>
  <c r="L565" i="3"/>
  <c r="K565" i="3"/>
  <c r="J565" i="3"/>
  <c r="I565" i="3"/>
  <c r="H565" i="3"/>
  <c r="F565" i="3"/>
  <c r="E565" i="3"/>
  <c r="D565" i="3"/>
  <c r="C565" i="3"/>
  <c r="B565" i="3"/>
  <c r="A565" i="3"/>
  <c r="M564" i="3"/>
  <c r="L564" i="3"/>
  <c r="K564" i="3"/>
  <c r="J564" i="3"/>
  <c r="I564" i="3"/>
  <c r="H564" i="3"/>
  <c r="F564" i="3"/>
  <c r="E564" i="3"/>
  <c r="D564" i="3"/>
  <c r="C564" i="3"/>
  <c r="B564" i="3"/>
  <c r="A564" i="3"/>
  <c r="M563" i="3"/>
  <c r="L563" i="3"/>
  <c r="K563" i="3"/>
  <c r="J563" i="3"/>
  <c r="I563" i="3"/>
  <c r="H563" i="3"/>
  <c r="F563" i="3"/>
  <c r="E563" i="3"/>
  <c r="D563" i="3"/>
  <c r="C563" i="3"/>
  <c r="B563" i="3"/>
  <c r="A563" i="3"/>
  <c r="M562" i="3"/>
  <c r="L562" i="3"/>
  <c r="K562" i="3"/>
  <c r="J562" i="3"/>
  <c r="I562" i="3"/>
  <c r="H562" i="3"/>
  <c r="F562" i="3"/>
  <c r="E562" i="3"/>
  <c r="D562" i="3"/>
  <c r="C562" i="3"/>
  <c r="B562" i="3"/>
  <c r="A562" i="3"/>
  <c r="M561" i="3"/>
  <c r="L561" i="3"/>
  <c r="K561" i="3"/>
  <c r="J561" i="3"/>
  <c r="I561" i="3"/>
  <c r="H561" i="3"/>
  <c r="F561" i="3"/>
  <c r="E561" i="3"/>
  <c r="D561" i="3"/>
  <c r="C561" i="3"/>
  <c r="B561" i="3"/>
  <c r="A561" i="3"/>
  <c r="M560" i="3"/>
  <c r="L560" i="3"/>
  <c r="K560" i="3"/>
  <c r="J560" i="3"/>
  <c r="I560" i="3"/>
  <c r="H560" i="3"/>
  <c r="F560" i="3"/>
  <c r="E560" i="3"/>
  <c r="D560" i="3"/>
  <c r="C560" i="3"/>
  <c r="B560" i="3"/>
  <c r="A560" i="3"/>
  <c r="M559" i="3"/>
  <c r="L559" i="3"/>
  <c r="K559" i="3"/>
  <c r="J559" i="3"/>
  <c r="I559" i="3"/>
  <c r="H559" i="3"/>
  <c r="F559" i="3"/>
  <c r="E559" i="3"/>
  <c r="D559" i="3"/>
  <c r="C559" i="3"/>
  <c r="B559" i="3"/>
  <c r="A559" i="3"/>
  <c r="M558" i="3"/>
  <c r="L558" i="3"/>
  <c r="K558" i="3"/>
  <c r="J558" i="3"/>
  <c r="I558" i="3"/>
  <c r="H558" i="3"/>
  <c r="G558" i="3"/>
  <c r="F558" i="3"/>
  <c r="E558" i="3"/>
  <c r="D558" i="3"/>
  <c r="C558" i="3"/>
  <c r="B558" i="3"/>
  <c r="A558" i="3"/>
  <c r="M557" i="3"/>
  <c r="L557" i="3"/>
  <c r="K557" i="3"/>
  <c r="J557" i="3"/>
  <c r="I557" i="3"/>
  <c r="H557" i="3"/>
  <c r="G557" i="3"/>
  <c r="E557" i="3"/>
  <c r="D557" i="3"/>
  <c r="C557" i="3"/>
  <c r="B557" i="3"/>
  <c r="A557" i="3"/>
  <c r="M556" i="3"/>
  <c r="L556" i="3"/>
  <c r="K556" i="3"/>
  <c r="J556" i="3"/>
  <c r="I556" i="3"/>
  <c r="H556" i="3"/>
  <c r="G556" i="3"/>
  <c r="F556" i="3"/>
  <c r="E556" i="3"/>
  <c r="D556" i="3"/>
  <c r="C556" i="3"/>
  <c r="B556" i="3"/>
  <c r="A556" i="3"/>
  <c r="M555" i="3"/>
  <c r="L555" i="3"/>
  <c r="K555" i="3"/>
  <c r="J555" i="3"/>
  <c r="I555" i="3"/>
  <c r="H555" i="3"/>
  <c r="G555" i="3"/>
  <c r="F555" i="3"/>
  <c r="E555" i="3"/>
  <c r="D555" i="3"/>
  <c r="C555" i="3"/>
  <c r="B555" i="3"/>
  <c r="A555" i="3"/>
  <c r="M554" i="3"/>
  <c r="L554" i="3"/>
  <c r="K554" i="3"/>
  <c r="J554" i="3"/>
  <c r="I554" i="3"/>
  <c r="H554" i="3"/>
  <c r="F554" i="3"/>
  <c r="E554" i="3"/>
  <c r="D554" i="3"/>
  <c r="C554" i="3"/>
  <c r="B554" i="3"/>
  <c r="A554" i="3"/>
  <c r="M553" i="3"/>
  <c r="L553" i="3"/>
  <c r="K553" i="3"/>
  <c r="J553" i="3"/>
  <c r="I553" i="3"/>
  <c r="H553" i="3"/>
  <c r="G553" i="3"/>
  <c r="F553" i="3"/>
  <c r="E553" i="3"/>
  <c r="D553" i="3"/>
  <c r="C553" i="3"/>
  <c r="B553" i="3"/>
  <c r="A553" i="3"/>
  <c r="M552" i="3"/>
  <c r="L552" i="3"/>
  <c r="K552" i="3"/>
  <c r="J552" i="3"/>
  <c r="I552" i="3"/>
  <c r="H552" i="3"/>
  <c r="F552" i="3"/>
  <c r="E552" i="3"/>
  <c r="D552" i="3"/>
  <c r="C552" i="3"/>
  <c r="B552" i="3"/>
  <c r="A552" i="3"/>
  <c r="M551" i="3"/>
  <c r="L551" i="3"/>
  <c r="K551" i="3"/>
  <c r="J551" i="3"/>
  <c r="I551" i="3"/>
  <c r="H551" i="3"/>
  <c r="G551" i="3"/>
  <c r="F551" i="3"/>
  <c r="E551" i="3"/>
  <c r="D551" i="3"/>
  <c r="C551" i="3"/>
  <c r="B551" i="3"/>
  <c r="A551" i="3"/>
  <c r="M550" i="3"/>
  <c r="L550" i="3"/>
  <c r="K550" i="3"/>
  <c r="J550" i="3"/>
  <c r="I550" i="3"/>
  <c r="H550" i="3"/>
  <c r="F550" i="3"/>
  <c r="E550" i="3"/>
  <c r="D550" i="3"/>
  <c r="C550" i="3"/>
  <c r="B550" i="3"/>
  <c r="A550" i="3"/>
  <c r="M549" i="3"/>
  <c r="L549" i="3"/>
  <c r="K549" i="3"/>
  <c r="J549" i="3"/>
  <c r="I549" i="3"/>
  <c r="H549" i="3"/>
  <c r="F549" i="3"/>
  <c r="E549" i="3"/>
  <c r="D549" i="3"/>
  <c r="C549" i="3"/>
  <c r="B549" i="3"/>
  <c r="A549" i="3"/>
  <c r="M548" i="3"/>
  <c r="L548" i="3"/>
  <c r="K548" i="3"/>
  <c r="J548" i="3"/>
  <c r="I548" i="3"/>
  <c r="H548" i="3"/>
  <c r="F548" i="3"/>
  <c r="E548" i="3"/>
  <c r="D548" i="3"/>
  <c r="C548" i="3"/>
  <c r="B548" i="3"/>
  <c r="A548" i="3"/>
  <c r="M547" i="3"/>
  <c r="L547" i="3"/>
  <c r="K547" i="3"/>
  <c r="J547" i="3"/>
  <c r="I547" i="3"/>
  <c r="H547" i="3"/>
  <c r="F547" i="3"/>
  <c r="E547" i="3"/>
  <c r="D547" i="3"/>
  <c r="C547" i="3"/>
  <c r="B547" i="3"/>
  <c r="A547" i="3"/>
  <c r="M546" i="3"/>
  <c r="L546" i="3"/>
  <c r="K546" i="3"/>
  <c r="J546" i="3"/>
  <c r="I546" i="3"/>
  <c r="H546" i="3"/>
  <c r="F546" i="3"/>
  <c r="E546" i="3"/>
  <c r="D546" i="3"/>
  <c r="C546" i="3"/>
  <c r="B546" i="3"/>
  <c r="A546" i="3"/>
  <c r="M545" i="3"/>
  <c r="L545" i="3"/>
  <c r="K545" i="3"/>
  <c r="J545" i="3"/>
  <c r="I545" i="3"/>
  <c r="H545" i="3"/>
  <c r="F545" i="3"/>
  <c r="D545" i="3"/>
  <c r="C545" i="3"/>
  <c r="B545" i="3"/>
  <c r="A545" i="3"/>
  <c r="M544" i="3"/>
  <c r="L544" i="3"/>
  <c r="K544" i="3"/>
  <c r="J544" i="3"/>
  <c r="I544" i="3"/>
  <c r="H544" i="3"/>
  <c r="G544" i="3"/>
  <c r="F544" i="3"/>
  <c r="E544" i="3"/>
  <c r="D544" i="3"/>
  <c r="C544" i="3"/>
  <c r="B544" i="3"/>
  <c r="A544" i="3"/>
  <c r="M543" i="3"/>
  <c r="L543" i="3"/>
  <c r="K543" i="3"/>
  <c r="J543" i="3"/>
  <c r="I543" i="3"/>
  <c r="H543" i="3"/>
  <c r="G543" i="3"/>
  <c r="F543" i="3"/>
  <c r="E543" i="3"/>
  <c r="D543" i="3"/>
  <c r="C543" i="3"/>
  <c r="B543" i="3"/>
  <c r="A543" i="3"/>
  <c r="M542" i="3"/>
  <c r="L542" i="3"/>
  <c r="K542" i="3"/>
  <c r="J542" i="3"/>
  <c r="I542" i="3"/>
  <c r="H542" i="3"/>
  <c r="G542" i="3"/>
  <c r="F542" i="3"/>
  <c r="E542" i="3"/>
  <c r="D542" i="3"/>
  <c r="C542" i="3"/>
  <c r="B542" i="3"/>
  <c r="A542" i="3"/>
  <c r="M541" i="3"/>
  <c r="L541" i="3"/>
  <c r="K541" i="3"/>
  <c r="J541" i="3"/>
  <c r="I541" i="3"/>
  <c r="H541" i="3"/>
  <c r="G541" i="3"/>
  <c r="F541" i="3"/>
  <c r="E541" i="3"/>
  <c r="D541" i="3"/>
  <c r="C541" i="3"/>
  <c r="B541" i="3"/>
  <c r="A541" i="3"/>
  <c r="M540" i="3"/>
  <c r="L540" i="3"/>
  <c r="K540" i="3"/>
  <c r="J540" i="3"/>
  <c r="I540" i="3"/>
  <c r="H540" i="3"/>
  <c r="G540" i="3"/>
  <c r="F540" i="3"/>
  <c r="E540" i="3"/>
  <c r="D540" i="3"/>
  <c r="C540" i="3"/>
  <c r="B540" i="3"/>
  <c r="A540" i="3"/>
  <c r="M539" i="3"/>
  <c r="L539" i="3"/>
  <c r="K539" i="3"/>
  <c r="J539" i="3"/>
  <c r="I539" i="3"/>
  <c r="H539" i="3"/>
  <c r="G539" i="3"/>
  <c r="F539" i="3"/>
  <c r="E539" i="3"/>
  <c r="D539" i="3"/>
  <c r="C539" i="3"/>
  <c r="B539" i="3"/>
  <c r="A539" i="3"/>
  <c r="M538" i="3"/>
  <c r="L538" i="3"/>
  <c r="K538" i="3"/>
  <c r="J538" i="3"/>
  <c r="I538" i="3"/>
  <c r="H538" i="3"/>
  <c r="G538" i="3"/>
  <c r="F538" i="3"/>
  <c r="E538" i="3"/>
  <c r="D538" i="3"/>
  <c r="C538" i="3"/>
  <c r="B538" i="3"/>
  <c r="A538" i="3"/>
  <c r="M537" i="3"/>
  <c r="L537" i="3"/>
  <c r="K537" i="3"/>
  <c r="J537" i="3"/>
  <c r="I537" i="3"/>
  <c r="H537" i="3"/>
  <c r="G537" i="3"/>
  <c r="F537" i="3"/>
  <c r="E537" i="3"/>
  <c r="D537" i="3"/>
  <c r="C537" i="3"/>
  <c r="B537" i="3"/>
  <c r="A537" i="3"/>
  <c r="M536" i="3"/>
  <c r="L536" i="3"/>
  <c r="K536" i="3"/>
  <c r="J536" i="3"/>
  <c r="I536" i="3"/>
  <c r="H536" i="3"/>
  <c r="G536" i="3"/>
  <c r="F536" i="3"/>
  <c r="E536" i="3"/>
  <c r="D536" i="3"/>
  <c r="C536" i="3"/>
  <c r="B536" i="3"/>
  <c r="A536" i="3"/>
  <c r="M535" i="3"/>
  <c r="L535" i="3"/>
  <c r="K535" i="3"/>
  <c r="J535" i="3"/>
  <c r="I535" i="3"/>
  <c r="H535" i="3"/>
  <c r="G535" i="3"/>
  <c r="F535" i="3"/>
  <c r="E535" i="3"/>
  <c r="D535" i="3"/>
  <c r="C535" i="3"/>
  <c r="B535" i="3"/>
  <c r="A535" i="3"/>
  <c r="M534" i="3"/>
  <c r="L534" i="3"/>
  <c r="K534" i="3"/>
  <c r="J534" i="3"/>
  <c r="I534" i="3"/>
  <c r="H534" i="3"/>
  <c r="G534" i="3"/>
  <c r="F534" i="3"/>
  <c r="E534" i="3"/>
  <c r="D534" i="3"/>
  <c r="C534" i="3"/>
  <c r="B534" i="3"/>
  <c r="A534" i="3"/>
  <c r="M533" i="3"/>
  <c r="L533" i="3"/>
  <c r="K533" i="3"/>
  <c r="J533" i="3"/>
  <c r="I533" i="3"/>
  <c r="H533" i="3"/>
  <c r="G533" i="3"/>
  <c r="F533" i="3"/>
  <c r="E533" i="3"/>
  <c r="D533" i="3"/>
  <c r="C533" i="3"/>
  <c r="B533" i="3"/>
  <c r="A533" i="3"/>
  <c r="M532" i="3"/>
  <c r="L532" i="3"/>
  <c r="K532" i="3"/>
  <c r="J532" i="3"/>
  <c r="I532" i="3"/>
  <c r="H532" i="3"/>
  <c r="G532" i="3"/>
  <c r="F532" i="3"/>
  <c r="E532" i="3"/>
  <c r="D532" i="3"/>
  <c r="C532" i="3"/>
  <c r="B532" i="3"/>
  <c r="A532" i="3"/>
  <c r="M531" i="3"/>
  <c r="L531" i="3"/>
  <c r="K531" i="3"/>
  <c r="J531" i="3"/>
  <c r="I531" i="3"/>
  <c r="H531" i="3"/>
  <c r="G531" i="3"/>
  <c r="F531" i="3"/>
  <c r="E531" i="3"/>
  <c r="D531" i="3"/>
  <c r="C531" i="3"/>
  <c r="B531" i="3"/>
  <c r="A531" i="3"/>
  <c r="M530" i="3"/>
  <c r="L530" i="3"/>
  <c r="K530" i="3"/>
  <c r="J530" i="3"/>
  <c r="I530" i="3"/>
  <c r="H530" i="3"/>
  <c r="G530" i="3"/>
  <c r="F530" i="3"/>
  <c r="E530" i="3"/>
  <c r="D530" i="3"/>
  <c r="C530" i="3"/>
  <c r="B530" i="3"/>
  <c r="A530" i="3"/>
  <c r="M529" i="3"/>
  <c r="L529" i="3"/>
  <c r="K529" i="3"/>
  <c r="J529" i="3"/>
  <c r="I529" i="3"/>
  <c r="H529" i="3"/>
  <c r="G529" i="3"/>
  <c r="F529" i="3"/>
  <c r="E529" i="3"/>
  <c r="D529" i="3"/>
  <c r="C529" i="3"/>
  <c r="B529" i="3"/>
  <c r="A529" i="3"/>
  <c r="M528" i="3"/>
  <c r="L528" i="3"/>
  <c r="K528" i="3"/>
  <c r="J528" i="3"/>
  <c r="I528" i="3"/>
  <c r="H528" i="3"/>
  <c r="G528" i="3"/>
  <c r="F528" i="3"/>
  <c r="E528" i="3"/>
  <c r="D528" i="3"/>
  <c r="C528" i="3"/>
  <c r="B528" i="3"/>
  <c r="A528" i="3"/>
  <c r="M527" i="3"/>
  <c r="L527" i="3"/>
  <c r="K527" i="3"/>
  <c r="J527" i="3"/>
  <c r="I527" i="3"/>
  <c r="H527" i="3"/>
  <c r="G527" i="3"/>
  <c r="F527" i="3"/>
  <c r="E527" i="3"/>
  <c r="D527" i="3"/>
  <c r="C527" i="3"/>
  <c r="B527" i="3"/>
  <c r="A527" i="3"/>
  <c r="M526" i="3"/>
  <c r="L526" i="3"/>
  <c r="K526" i="3"/>
  <c r="J526" i="3"/>
  <c r="I526" i="3"/>
  <c r="H526" i="3"/>
  <c r="G526" i="3"/>
  <c r="F526" i="3"/>
  <c r="E526" i="3"/>
  <c r="D526" i="3"/>
  <c r="C526" i="3"/>
  <c r="B526" i="3"/>
  <c r="A526" i="3"/>
  <c r="M525" i="3"/>
  <c r="L525" i="3"/>
  <c r="K525" i="3"/>
  <c r="J525" i="3"/>
  <c r="I525" i="3"/>
  <c r="H525" i="3"/>
  <c r="G525" i="3"/>
  <c r="F525" i="3"/>
  <c r="D525" i="3"/>
  <c r="C525" i="3"/>
  <c r="B525" i="3"/>
  <c r="A525" i="3"/>
  <c r="M524" i="3"/>
  <c r="L524" i="3"/>
  <c r="K524" i="3"/>
  <c r="J524" i="3"/>
  <c r="I524" i="3"/>
  <c r="H524" i="3"/>
  <c r="G524" i="3"/>
  <c r="F524" i="3"/>
  <c r="E524" i="3"/>
  <c r="D524" i="3"/>
  <c r="C524" i="3"/>
  <c r="B524" i="3"/>
  <c r="A524" i="3"/>
  <c r="M523" i="3"/>
  <c r="L523" i="3"/>
  <c r="K523" i="3"/>
  <c r="J523" i="3"/>
  <c r="I523" i="3"/>
  <c r="H523" i="3"/>
  <c r="G523" i="3"/>
  <c r="F523" i="3"/>
  <c r="E523" i="3"/>
  <c r="D523" i="3"/>
  <c r="C523" i="3"/>
  <c r="B523" i="3"/>
  <c r="A523" i="3"/>
  <c r="M522" i="3"/>
  <c r="L522" i="3"/>
  <c r="K522" i="3"/>
  <c r="J522" i="3"/>
  <c r="I522" i="3"/>
  <c r="H522" i="3"/>
  <c r="G522" i="3"/>
  <c r="F522" i="3"/>
  <c r="E522" i="3"/>
  <c r="D522" i="3"/>
  <c r="C522" i="3"/>
  <c r="B522" i="3"/>
  <c r="A522" i="3"/>
  <c r="M521" i="3"/>
  <c r="L521" i="3"/>
  <c r="K521" i="3"/>
  <c r="J521" i="3"/>
  <c r="I521" i="3"/>
  <c r="H521" i="3"/>
  <c r="G521" i="3"/>
  <c r="F521" i="3"/>
  <c r="E521" i="3"/>
  <c r="D521" i="3"/>
  <c r="C521" i="3"/>
  <c r="B521" i="3"/>
  <c r="A521" i="3"/>
  <c r="M520" i="3"/>
  <c r="L520" i="3"/>
  <c r="K520" i="3"/>
  <c r="J520" i="3"/>
  <c r="I520" i="3"/>
  <c r="H520" i="3"/>
  <c r="G520" i="3"/>
  <c r="F520" i="3"/>
  <c r="E520" i="3"/>
  <c r="D520" i="3"/>
  <c r="C520" i="3"/>
  <c r="B520" i="3"/>
  <c r="A520" i="3"/>
  <c r="M519" i="3"/>
  <c r="L519" i="3"/>
  <c r="K519" i="3"/>
  <c r="J519" i="3"/>
  <c r="I519" i="3"/>
  <c r="H519" i="3"/>
  <c r="G519" i="3"/>
  <c r="F519" i="3"/>
  <c r="E519" i="3"/>
  <c r="D519" i="3"/>
  <c r="C519" i="3"/>
  <c r="B519" i="3"/>
  <c r="A519" i="3"/>
  <c r="M518" i="3"/>
  <c r="L518" i="3"/>
  <c r="K518" i="3"/>
  <c r="J518" i="3"/>
  <c r="I518" i="3"/>
  <c r="H518" i="3"/>
  <c r="G518" i="3"/>
  <c r="F518" i="3"/>
  <c r="E518" i="3"/>
  <c r="D518" i="3"/>
  <c r="C518" i="3"/>
  <c r="B518" i="3"/>
  <c r="A518" i="3"/>
  <c r="M517" i="3"/>
  <c r="L517" i="3"/>
  <c r="K517" i="3"/>
  <c r="J517" i="3"/>
  <c r="I517" i="3"/>
  <c r="H517" i="3"/>
  <c r="G517" i="3"/>
  <c r="F517" i="3"/>
  <c r="E517" i="3"/>
  <c r="D517" i="3"/>
  <c r="C517" i="3"/>
  <c r="B517" i="3"/>
  <c r="A517" i="3"/>
  <c r="M516" i="3"/>
  <c r="L516" i="3"/>
  <c r="K516" i="3"/>
  <c r="J516" i="3"/>
  <c r="I516" i="3"/>
  <c r="H516" i="3"/>
  <c r="G516" i="3"/>
  <c r="F516" i="3"/>
  <c r="E516" i="3"/>
  <c r="D516" i="3"/>
  <c r="C516" i="3"/>
  <c r="B516" i="3"/>
  <c r="A516" i="3"/>
  <c r="M515" i="3"/>
  <c r="L515" i="3"/>
  <c r="K515" i="3"/>
  <c r="J515" i="3"/>
  <c r="I515" i="3"/>
  <c r="H515" i="3"/>
  <c r="G515" i="3"/>
  <c r="F515" i="3"/>
  <c r="E515" i="3"/>
  <c r="D515" i="3"/>
  <c r="C515" i="3"/>
  <c r="B515" i="3"/>
  <c r="A515" i="3"/>
  <c r="M514" i="3"/>
  <c r="L514" i="3"/>
  <c r="K514" i="3"/>
  <c r="J514" i="3"/>
  <c r="I514" i="3"/>
  <c r="H514" i="3"/>
  <c r="G514" i="3"/>
  <c r="F514" i="3"/>
  <c r="E514" i="3"/>
  <c r="D514" i="3"/>
  <c r="C514" i="3"/>
  <c r="B514" i="3"/>
  <c r="A514" i="3"/>
  <c r="M513" i="3"/>
  <c r="L513" i="3"/>
  <c r="K513" i="3"/>
  <c r="J513" i="3"/>
  <c r="I513" i="3"/>
  <c r="H513" i="3"/>
  <c r="G513" i="3"/>
  <c r="F513" i="3"/>
  <c r="E513" i="3"/>
  <c r="D513" i="3"/>
  <c r="C513" i="3"/>
  <c r="B513" i="3"/>
  <c r="A513" i="3"/>
  <c r="M512" i="3"/>
  <c r="L512" i="3"/>
  <c r="K512" i="3"/>
  <c r="J512" i="3"/>
  <c r="I512" i="3"/>
  <c r="H512" i="3"/>
  <c r="G512" i="3"/>
  <c r="F512" i="3"/>
  <c r="E512" i="3"/>
  <c r="D512" i="3"/>
  <c r="C512" i="3"/>
  <c r="B512" i="3"/>
  <c r="A512" i="3"/>
  <c r="M511" i="3"/>
  <c r="L511" i="3"/>
  <c r="K511" i="3"/>
  <c r="J511" i="3"/>
  <c r="I511" i="3"/>
  <c r="H511" i="3"/>
  <c r="G511" i="3"/>
  <c r="F511" i="3"/>
  <c r="E511" i="3"/>
  <c r="D511" i="3"/>
  <c r="C511" i="3"/>
  <c r="B511" i="3"/>
  <c r="A511" i="3"/>
  <c r="M510" i="3"/>
  <c r="L510" i="3"/>
  <c r="K510" i="3"/>
  <c r="J510" i="3"/>
  <c r="I510" i="3"/>
  <c r="H510" i="3"/>
  <c r="G510" i="3"/>
  <c r="F510" i="3"/>
  <c r="E510" i="3"/>
  <c r="D510" i="3"/>
  <c r="C510" i="3"/>
  <c r="B510" i="3"/>
  <c r="A510" i="3"/>
  <c r="M509" i="3"/>
  <c r="L509" i="3"/>
  <c r="K509" i="3"/>
  <c r="J509" i="3"/>
  <c r="I509" i="3"/>
  <c r="H509" i="3"/>
  <c r="G509" i="3"/>
  <c r="F509" i="3"/>
  <c r="E509" i="3"/>
  <c r="D509" i="3"/>
  <c r="C509" i="3"/>
  <c r="B509" i="3"/>
  <c r="A509" i="3"/>
  <c r="M508" i="3"/>
  <c r="L508" i="3"/>
  <c r="K508" i="3"/>
  <c r="J508" i="3"/>
  <c r="I508" i="3"/>
  <c r="H508" i="3"/>
  <c r="G508" i="3"/>
  <c r="F508" i="3"/>
  <c r="E508" i="3"/>
  <c r="D508" i="3"/>
  <c r="C508" i="3"/>
  <c r="B508" i="3"/>
  <c r="A508" i="3"/>
  <c r="M507" i="3"/>
  <c r="L507" i="3"/>
  <c r="K507" i="3"/>
  <c r="J507" i="3"/>
  <c r="I507" i="3"/>
  <c r="H507" i="3"/>
  <c r="G507" i="3"/>
  <c r="F507" i="3"/>
  <c r="E507" i="3"/>
  <c r="D507" i="3"/>
  <c r="C507" i="3"/>
  <c r="B507" i="3"/>
  <c r="A507" i="3"/>
  <c r="M506" i="3"/>
  <c r="L506" i="3"/>
  <c r="K506" i="3"/>
  <c r="J506" i="3"/>
  <c r="I506" i="3"/>
  <c r="H506" i="3"/>
  <c r="G506" i="3"/>
  <c r="F506" i="3"/>
  <c r="E506" i="3"/>
  <c r="D506" i="3"/>
  <c r="C506" i="3"/>
  <c r="B506" i="3"/>
  <c r="A506" i="3"/>
  <c r="M505" i="3"/>
  <c r="L505" i="3"/>
  <c r="K505" i="3"/>
  <c r="J505" i="3"/>
  <c r="I505" i="3"/>
  <c r="H505" i="3"/>
  <c r="G505" i="3"/>
  <c r="F505" i="3"/>
  <c r="E505" i="3"/>
  <c r="D505" i="3"/>
  <c r="C505" i="3"/>
  <c r="B505" i="3"/>
  <c r="A505" i="3"/>
  <c r="M504" i="3"/>
  <c r="L504" i="3"/>
  <c r="K504" i="3"/>
  <c r="J504" i="3"/>
  <c r="I504" i="3"/>
  <c r="H504" i="3"/>
  <c r="G504" i="3"/>
  <c r="F504" i="3"/>
  <c r="E504" i="3"/>
  <c r="D504" i="3"/>
  <c r="C504" i="3"/>
  <c r="B504" i="3"/>
  <c r="A504" i="3"/>
  <c r="M503" i="3"/>
  <c r="L503" i="3"/>
  <c r="K503" i="3"/>
  <c r="J503" i="3"/>
  <c r="I503" i="3"/>
  <c r="H503" i="3"/>
  <c r="G503" i="3"/>
  <c r="F503" i="3"/>
  <c r="E503" i="3"/>
  <c r="D503" i="3"/>
  <c r="C503" i="3"/>
  <c r="B503" i="3"/>
  <c r="A503" i="3"/>
  <c r="M502" i="3"/>
  <c r="L502" i="3"/>
  <c r="K502" i="3"/>
  <c r="J502" i="3"/>
  <c r="I502" i="3"/>
  <c r="H502" i="3"/>
  <c r="G502" i="3"/>
  <c r="F502" i="3"/>
  <c r="E502" i="3"/>
  <c r="D502" i="3"/>
  <c r="C502" i="3"/>
  <c r="B502" i="3"/>
  <c r="A502" i="3"/>
  <c r="M501" i="3"/>
  <c r="L501" i="3"/>
  <c r="K501" i="3"/>
  <c r="J501" i="3"/>
  <c r="I501" i="3"/>
  <c r="H501" i="3"/>
  <c r="G501" i="3"/>
  <c r="F501" i="3"/>
  <c r="E501" i="3"/>
  <c r="D501" i="3"/>
  <c r="C501" i="3"/>
  <c r="B501" i="3"/>
  <c r="A501" i="3"/>
  <c r="M500" i="3"/>
  <c r="L500" i="3"/>
  <c r="K500" i="3"/>
  <c r="J500" i="3"/>
  <c r="I500" i="3"/>
  <c r="H500" i="3"/>
  <c r="G500" i="3"/>
  <c r="F500" i="3"/>
  <c r="E500" i="3"/>
  <c r="D500" i="3"/>
  <c r="C500" i="3"/>
  <c r="B500" i="3"/>
  <c r="A500" i="3"/>
  <c r="M499" i="3"/>
  <c r="L499" i="3"/>
  <c r="K499" i="3"/>
  <c r="J499" i="3"/>
  <c r="I499" i="3"/>
  <c r="H499" i="3"/>
  <c r="G499" i="3"/>
  <c r="F499" i="3"/>
  <c r="E499" i="3"/>
  <c r="D499" i="3"/>
  <c r="C499" i="3"/>
  <c r="B499" i="3"/>
  <c r="A499" i="3"/>
  <c r="M498" i="3"/>
  <c r="L498" i="3"/>
  <c r="K498" i="3"/>
  <c r="J498" i="3"/>
  <c r="I498" i="3"/>
  <c r="H498" i="3"/>
  <c r="G498" i="3"/>
  <c r="F498" i="3"/>
  <c r="E498" i="3"/>
  <c r="D498" i="3"/>
  <c r="C498" i="3"/>
  <c r="B498" i="3"/>
  <c r="A498" i="3"/>
  <c r="M497" i="3"/>
  <c r="L497" i="3"/>
  <c r="K497" i="3"/>
  <c r="J497" i="3"/>
  <c r="I497" i="3"/>
  <c r="H497" i="3"/>
  <c r="G497" i="3"/>
  <c r="F497" i="3"/>
  <c r="E497" i="3"/>
  <c r="D497" i="3"/>
  <c r="C497" i="3"/>
  <c r="B497" i="3"/>
  <c r="A497" i="3"/>
  <c r="M496" i="3"/>
  <c r="L496" i="3"/>
  <c r="K496" i="3"/>
  <c r="J496" i="3"/>
  <c r="I496" i="3"/>
  <c r="H496" i="3"/>
  <c r="G496" i="3"/>
  <c r="F496" i="3"/>
  <c r="E496" i="3"/>
  <c r="D496" i="3"/>
  <c r="C496" i="3"/>
  <c r="B496" i="3"/>
  <c r="A496" i="3"/>
  <c r="M495" i="3"/>
  <c r="L495" i="3"/>
  <c r="K495" i="3"/>
  <c r="J495" i="3"/>
  <c r="I495" i="3"/>
  <c r="H495" i="3"/>
  <c r="G495" i="3"/>
  <c r="F495" i="3"/>
  <c r="E495" i="3"/>
  <c r="D495" i="3"/>
  <c r="C495" i="3"/>
  <c r="B495" i="3"/>
  <c r="A495" i="3"/>
  <c r="M494" i="3"/>
  <c r="L494" i="3"/>
  <c r="K494" i="3"/>
  <c r="J494" i="3"/>
  <c r="I494" i="3"/>
  <c r="H494" i="3"/>
  <c r="G494" i="3"/>
  <c r="F494" i="3"/>
  <c r="E494" i="3"/>
  <c r="D494" i="3"/>
  <c r="C494" i="3"/>
  <c r="B494" i="3"/>
  <c r="A494" i="3"/>
  <c r="M493" i="3"/>
  <c r="L493" i="3"/>
  <c r="K493" i="3"/>
  <c r="J493" i="3"/>
  <c r="I493" i="3"/>
  <c r="H493" i="3"/>
  <c r="G493" i="3"/>
  <c r="F493" i="3"/>
  <c r="E493" i="3"/>
  <c r="D493" i="3"/>
  <c r="C493" i="3"/>
  <c r="B493" i="3"/>
  <c r="A493" i="3"/>
  <c r="M492" i="3"/>
  <c r="L492" i="3"/>
  <c r="K492" i="3"/>
  <c r="J492" i="3"/>
  <c r="I492" i="3"/>
  <c r="H492" i="3"/>
  <c r="G492" i="3"/>
  <c r="F492" i="3"/>
  <c r="E492" i="3"/>
  <c r="D492" i="3"/>
  <c r="C492" i="3"/>
  <c r="B492" i="3"/>
  <c r="A492" i="3"/>
  <c r="M491" i="3"/>
  <c r="L491" i="3"/>
  <c r="K491" i="3"/>
  <c r="J491" i="3"/>
  <c r="I491" i="3"/>
  <c r="H491" i="3"/>
  <c r="G491" i="3"/>
  <c r="F491" i="3"/>
  <c r="E491" i="3"/>
  <c r="D491" i="3"/>
  <c r="C491" i="3"/>
  <c r="B491" i="3"/>
  <c r="A491" i="3"/>
  <c r="M490" i="3"/>
  <c r="L490" i="3"/>
  <c r="K490" i="3"/>
  <c r="J490" i="3"/>
  <c r="I490" i="3"/>
  <c r="H490" i="3"/>
  <c r="G490" i="3"/>
  <c r="F490" i="3"/>
  <c r="E490" i="3"/>
  <c r="D490" i="3"/>
  <c r="C490" i="3"/>
  <c r="B490" i="3"/>
  <c r="A490" i="3"/>
  <c r="M489" i="3"/>
  <c r="L489" i="3"/>
  <c r="K489" i="3"/>
  <c r="J489" i="3"/>
  <c r="I489" i="3"/>
  <c r="H489" i="3"/>
  <c r="G489" i="3"/>
  <c r="F489" i="3"/>
  <c r="E489" i="3"/>
  <c r="D489" i="3"/>
  <c r="C489" i="3"/>
  <c r="B489" i="3"/>
  <c r="A489" i="3"/>
  <c r="M488" i="3"/>
  <c r="L488" i="3"/>
  <c r="K488" i="3"/>
  <c r="J488" i="3"/>
  <c r="I488" i="3"/>
  <c r="H488" i="3"/>
  <c r="G488" i="3"/>
  <c r="F488" i="3"/>
  <c r="E488" i="3"/>
  <c r="D488" i="3"/>
  <c r="C488" i="3"/>
  <c r="B488" i="3"/>
  <c r="A488" i="3"/>
  <c r="M487" i="3"/>
  <c r="L487" i="3"/>
  <c r="K487" i="3"/>
  <c r="J487" i="3"/>
  <c r="I487" i="3"/>
  <c r="H487" i="3"/>
  <c r="G487" i="3"/>
  <c r="F487" i="3"/>
  <c r="E487" i="3"/>
  <c r="D487" i="3"/>
  <c r="C487" i="3"/>
  <c r="B487" i="3"/>
  <c r="A487" i="3"/>
  <c r="M486" i="3"/>
  <c r="L486" i="3"/>
  <c r="K486" i="3"/>
  <c r="J486" i="3"/>
  <c r="I486" i="3"/>
  <c r="H486" i="3"/>
  <c r="G486" i="3"/>
  <c r="F486" i="3"/>
  <c r="E486" i="3"/>
  <c r="D486" i="3"/>
  <c r="C486" i="3"/>
  <c r="B486" i="3"/>
  <c r="A486" i="3"/>
  <c r="M485" i="3"/>
  <c r="L485" i="3"/>
  <c r="K485" i="3"/>
  <c r="J485" i="3"/>
  <c r="I485" i="3"/>
  <c r="H485" i="3"/>
  <c r="G485" i="3"/>
  <c r="F485" i="3"/>
  <c r="E485" i="3"/>
  <c r="D485" i="3"/>
  <c r="C485" i="3"/>
  <c r="B485" i="3"/>
  <c r="A485" i="3"/>
  <c r="M484" i="3"/>
  <c r="L484" i="3"/>
  <c r="K484" i="3"/>
  <c r="J484" i="3"/>
  <c r="I484" i="3"/>
  <c r="H484" i="3"/>
  <c r="G484" i="3"/>
  <c r="F484" i="3"/>
  <c r="E484" i="3"/>
  <c r="D484" i="3"/>
  <c r="C484" i="3"/>
  <c r="B484" i="3"/>
  <c r="A484" i="3"/>
  <c r="M483" i="3"/>
  <c r="L483" i="3"/>
  <c r="K483" i="3"/>
  <c r="J483" i="3"/>
  <c r="I483" i="3"/>
  <c r="H483" i="3"/>
  <c r="G483" i="3"/>
  <c r="F483" i="3"/>
  <c r="E483" i="3"/>
  <c r="D483" i="3"/>
  <c r="C483" i="3"/>
  <c r="B483" i="3"/>
  <c r="A483" i="3"/>
  <c r="M482" i="3"/>
  <c r="L482" i="3"/>
  <c r="K482" i="3"/>
  <c r="J482" i="3"/>
  <c r="I482" i="3"/>
  <c r="H482" i="3"/>
  <c r="G482" i="3"/>
  <c r="F482" i="3"/>
  <c r="E482" i="3"/>
  <c r="D482" i="3"/>
  <c r="C482" i="3"/>
  <c r="B482" i="3"/>
  <c r="A482" i="3"/>
  <c r="M481" i="3"/>
  <c r="L481" i="3"/>
  <c r="K481" i="3"/>
  <c r="J481" i="3"/>
  <c r="I481" i="3"/>
  <c r="H481" i="3"/>
  <c r="G481" i="3"/>
  <c r="F481" i="3"/>
  <c r="E481" i="3"/>
  <c r="D481" i="3"/>
  <c r="C481" i="3"/>
  <c r="B481" i="3"/>
  <c r="A481" i="3"/>
  <c r="M480" i="3"/>
  <c r="L480" i="3"/>
  <c r="K480" i="3"/>
  <c r="J480" i="3"/>
  <c r="I480" i="3"/>
  <c r="H480" i="3"/>
  <c r="G480" i="3"/>
  <c r="F480" i="3"/>
  <c r="E480" i="3"/>
  <c r="D480" i="3"/>
  <c r="C480" i="3"/>
  <c r="B480" i="3"/>
  <c r="A480" i="3"/>
  <c r="M479" i="3"/>
  <c r="L479" i="3"/>
  <c r="K479" i="3"/>
  <c r="J479" i="3"/>
  <c r="I479" i="3"/>
  <c r="H479" i="3"/>
  <c r="G479" i="3"/>
  <c r="F479" i="3"/>
  <c r="E479" i="3"/>
  <c r="D479" i="3"/>
  <c r="C479" i="3"/>
  <c r="B479" i="3"/>
  <c r="A479" i="3"/>
  <c r="M478" i="3"/>
  <c r="L478" i="3"/>
  <c r="K478" i="3"/>
  <c r="J478" i="3"/>
  <c r="I478" i="3"/>
  <c r="H478" i="3"/>
  <c r="G478" i="3"/>
  <c r="F478" i="3"/>
  <c r="E478" i="3"/>
  <c r="D478" i="3"/>
  <c r="C478" i="3"/>
  <c r="B478" i="3"/>
  <c r="A478" i="3"/>
  <c r="M477" i="3"/>
  <c r="L477" i="3"/>
  <c r="K477" i="3"/>
  <c r="J477" i="3"/>
  <c r="I477" i="3"/>
  <c r="H477" i="3"/>
  <c r="G477" i="3"/>
  <c r="F477" i="3"/>
  <c r="D477" i="3"/>
  <c r="C477" i="3"/>
  <c r="B477" i="3"/>
  <c r="A477" i="3"/>
  <c r="M476" i="3"/>
  <c r="L476" i="3"/>
  <c r="K476" i="3"/>
  <c r="J476" i="3"/>
  <c r="I476" i="3"/>
  <c r="H476" i="3"/>
  <c r="G476" i="3"/>
  <c r="F476" i="3"/>
  <c r="E476" i="3"/>
  <c r="D476" i="3"/>
  <c r="C476" i="3"/>
  <c r="B476" i="3"/>
  <c r="A476" i="3"/>
  <c r="M475" i="3"/>
  <c r="L475" i="3"/>
  <c r="K475" i="3"/>
  <c r="J475" i="3"/>
  <c r="I475" i="3"/>
  <c r="H475" i="3"/>
  <c r="G475" i="3"/>
  <c r="F475" i="3"/>
  <c r="E475" i="3"/>
  <c r="D475" i="3"/>
  <c r="C475" i="3"/>
  <c r="B475" i="3"/>
  <c r="A475" i="3"/>
  <c r="M474" i="3"/>
  <c r="L474" i="3"/>
  <c r="K474" i="3"/>
  <c r="J474" i="3"/>
  <c r="I474" i="3"/>
  <c r="H474" i="3"/>
  <c r="G474" i="3"/>
  <c r="F474" i="3"/>
  <c r="E474" i="3"/>
  <c r="D474" i="3"/>
  <c r="C474" i="3"/>
  <c r="B474" i="3"/>
  <c r="A474" i="3"/>
  <c r="M473" i="3"/>
  <c r="L473" i="3"/>
  <c r="K473" i="3"/>
  <c r="J473" i="3"/>
  <c r="I473" i="3"/>
  <c r="H473" i="3"/>
  <c r="G473" i="3"/>
  <c r="F473" i="3"/>
  <c r="E473" i="3"/>
  <c r="D473" i="3"/>
  <c r="C473" i="3"/>
  <c r="B473" i="3"/>
  <c r="A473" i="3"/>
  <c r="M472" i="3"/>
  <c r="L472" i="3"/>
  <c r="K472" i="3"/>
  <c r="J472" i="3"/>
  <c r="I472" i="3"/>
  <c r="H472" i="3"/>
  <c r="G472" i="3"/>
  <c r="F472" i="3"/>
  <c r="E472" i="3"/>
  <c r="D472" i="3"/>
  <c r="C472" i="3"/>
  <c r="B472" i="3"/>
  <c r="A472" i="3"/>
  <c r="M471" i="3"/>
  <c r="L471" i="3"/>
  <c r="K471" i="3"/>
  <c r="J471" i="3"/>
  <c r="I471" i="3"/>
  <c r="H471" i="3"/>
  <c r="G471" i="3"/>
  <c r="F471" i="3"/>
  <c r="E471" i="3"/>
  <c r="D471" i="3"/>
  <c r="C471" i="3"/>
  <c r="B471" i="3"/>
  <c r="A471" i="3"/>
  <c r="M470" i="3"/>
  <c r="L470" i="3"/>
  <c r="K470" i="3"/>
  <c r="J470" i="3"/>
  <c r="I470" i="3"/>
  <c r="H470" i="3"/>
  <c r="G470" i="3"/>
  <c r="F470" i="3"/>
  <c r="E470" i="3"/>
  <c r="D470" i="3"/>
  <c r="C470" i="3"/>
  <c r="B470" i="3"/>
  <c r="A470" i="3"/>
  <c r="M469" i="3"/>
  <c r="L469" i="3"/>
  <c r="K469" i="3"/>
  <c r="J469" i="3"/>
  <c r="I469" i="3"/>
  <c r="H469" i="3"/>
  <c r="G469" i="3"/>
  <c r="F469" i="3"/>
  <c r="E469" i="3"/>
  <c r="D469" i="3"/>
  <c r="C469" i="3"/>
  <c r="B469" i="3"/>
  <c r="A469" i="3"/>
  <c r="M468" i="3"/>
  <c r="L468" i="3"/>
  <c r="K468" i="3"/>
  <c r="J468" i="3"/>
  <c r="I468" i="3"/>
  <c r="H468" i="3"/>
  <c r="G468" i="3"/>
  <c r="F468" i="3"/>
  <c r="E468" i="3"/>
  <c r="D468" i="3"/>
  <c r="C468" i="3"/>
  <c r="B468" i="3"/>
  <c r="A468" i="3"/>
  <c r="M467" i="3"/>
  <c r="L467" i="3"/>
  <c r="K467" i="3"/>
  <c r="J467" i="3"/>
  <c r="I467" i="3"/>
  <c r="H467" i="3"/>
  <c r="G467" i="3"/>
  <c r="F467" i="3"/>
  <c r="E467" i="3"/>
  <c r="D467" i="3"/>
  <c r="C467" i="3"/>
  <c r="B467" i="3"/>
  <c r="A467" i="3"/>
  <c r="M466" i="3"/>
  <c r="L466" i="3"/>
  <c r="K466" i="3"/>
  <c r="J466" i="3"/>
  <c r="I466" i="3"/>
  <c r="H466" i="3"/>
  <c r="G466" i="3"/>
  <c r="F466" i="3"/>
  <c r="E466" i="3"/>
  <c r="D466" i="3"/>
  <c r="C466" i="3"/>
  <c r="B466" i="3"/>
  <c r="A466" i="3"/>
  <c r="M465" i="3"/>
  <c r="L465" i="3"/>
  <c r="K465" i="3"/>
  <c r="J465" i="3"/>
  <c r="I465" i="3"/>
  <c r="H465" i="3"/>
  <c r="G465" i="3"/>
  <c r="F465" i="3"/>
  <c r="D465" i="3"/>
  <c r="C465" i="3"/>
  <c r="B465" i="3"/>
  <c r="A465" i="3"/>
  <c r="M464" i="3"/>
  <c r="L464" i="3"/>
  <c r="K464" i="3"/>
  <c r="J464" i="3"/>
  <c r="I464" i="3"/>
  <c r="H464" i="3"/>
  <c r="G464" i="3"/>
  <c r="F464" i="3"/>
  <c r="E464" i="3"/>
  <c r="D464" i="3"/>
  <c r="C464" i="3"/>
  <c r="B464" i="3"/>
  <c r="A464" i="3"/>
  <c r="M463" i="3"/>
  <c r="L463" i="3"/>
  <c r="K463" i="3"/>
  <c r="J463" i="3"/>
  <c r="I463" i="3"/>
  <c r="H463" i="3"/>
  <c r="G463" i="3"/>
  <c r="F463" i="3"/>
  <c r="E463" i="3"/>
  <c r="D463" i="3"/>
  <c r="C463" i="3"/>
  <c r="B463" i="3"/>
  <c r="A463" i="3"/>
  <c r="M462" i="3"/>
  <c r="L462" i="3"/>
  <c r="K462" i="3"/>
  <c r="J462" i="3"/>
  <c r="I462" i="3"/>
  <c r="H462" i="3"/>
  <c r="G462" i="3"/>
  <c r="F462" i="3"/>
  <c r="E462" i="3"/>
  <c r="D462" i="3"/>
  <c r="C462" i="3"/>
  <c r="B462" i="3"/>
  <c r="A462" i="3"/>
  <c r="M461" i="3"/>
  <c r="L461" i="3"/>
  <c r="K461" i="3"/>
  <c r="J461" i="3"/>
  <c r="I461" i="3"/>
  <c r="H461" i="3"/>
  <c r="G461" i="3"/>
  <c r="F461" i="3"/>
  <c r="E461" i="3"/>
  <c r="D461" i="3"/>
  <c r="C461" i="3"/>
  <c r="B461" i="3"/>
  <c r="A461" i="3"/>
  <c r="M460" i="3"/>
  <c r="L460" i="3"/>
  <c r="K460" i="3"/>
  <c r="J460" i="3"/>
  <c r="I460" i="3"/>
  <c r="H460" i="3"/>
  <c r="G460" i="3"/>
  <c r="F460" i="3"/>
  <c r="E460" i="3"/>
  <c r="D460" i="3"/>
  <c r="C460" i="3"/>
  <c r="B460" i="3"/>
  <c r="A460" i="3"/>
  <c r="M459" i="3"/>
  <c r="L459" i="3"/>
  <c r="K459" i="3"/>
  <c r="J459" i="3"/>
  <c r="I459" i="3"/>
  <c r="H459" i="3"/>
  <c r="G459" i="3"/>
  <c r="F459" i="3"/>
  <c r="E459" i="3"/>
  <c r="D459" i="3"/>
  <c r="C459" i="3"/>
  <c r="B459" i="3"/>
  <c r="A459" i="3"/>
  <c r="M458" i="3"/>
  <c r="L458" i="3"/>
  <c r="K458" i="3"/>
  <c r="J458" i="3"/>
  <c r="I458" i="3"/>
  <c r="H458" i="3"/>
  <c r="G458" i="3"/>
  <c r="F458" i="3"/>
  <c r="E458" i="3"/>
  <c r="D458" i="3"/>
  <c r="C458" i="3"/>
  <c r="B458" i="3"/>
  <c r="A458" i="3"/>
  <c r="M457" i="3"/>
  <c r="L457" i="3"/>
  <c r="K457" i="3"/>
  <c r="J457" i="3"/>
  <c r="I457" i="3"/>
  <c r="H457" i="3"/>
  <c r="G457" i="3"/>
  <c r="F457" i="3"/>
  <c r="E457" i="3"/>
  <c r="D457" i="3"/>
  <c r="C457" i="3"/>
  <c r="B457" i="3"/>
  <c r="A457" i="3"/>
  <c r="M456" i="3"/>
  <c r="L456" i="3"/>
  <c r="K456" i="3"/>
  <c r="J456" i="3"/>
  <c r="I456" i="3"/>
  <c r="H456" i="3"/>
  <c r="G456" i="3"/>
  <c r="F456" i="3"/>
  <c r="E456" i="3"/>
  <c r="D456" i="3"/>
  <c r="C456" i="3"/>
  <c r="B456" i="3"/>
  <c r="A456" i="3"/>
  <c r="M455" i="3"/>
  <c r="L455" i="3"/>
  <c r="K455" i="3"/>
  <c r="J455" i="3"/>
  <c r="I455" i="3"/>
  <c r="H455" i="3"/>
  <c r="G455" i="3"/>
  <c r="F455" i="3"/>
  <c r="E455" i="3"/>
  <c r="D455" i="3"/>
  <c r="C455" i="3"/>
  <c r="B455" i="3"/>
  <c r="A455" i="3"/>
  <c r="M454" i="3"/>
  <c r="L454" i="3"/>
  <c r="K454" i="3"/>
  <c r="J454" i="3"/>
  <c r="I454" i="3"/>
  <c r="H454" i="3"/>
  <c r="G454" i="3"/>
  <c r="F454" i="3"/>
  <c r="E454" i="3"/>
  <c r="D454" i="3"/>
  <c r="C454" i="3"/>
  <c r="B454" i="3"/>
  <c r="A454" i="3"/>
  <c r="M453" i="3"/>
  <c r="L453" i="3"/>
  <c r="K453" i="3"/>
  <c r="J453" i="3"/>
  <c r="I453" i="3"/>
  <c r="H453" i="3"/>
  <c r="G453" i="3"/>
  <c r="F453" i="3"/>
  <c r="E453" i="3"/>
  <c r="D453" i="3"/>
  <c r="C453" i="3"/>
  <c r="B453" i="3"/>
  <c r="A453" i="3"/>
  <c r="M452" i="3"/>
  <c r="L452" i="3"/>
  <c r="K452" i="3"/>
  <c r="J452" i="3"/>
  <c r="I452" i="3"/>
  <c r="H452" i="3"/>
  <c r="G452" i="3"/>
  <c r="F452" i="3"/>
  <c r="E452" i="3"/>
  <c r="D452" i="3"/>
  <c r="C452" i="3"/>
  <c r="B452" i="3"/>
  <c r="A452" i="3"/>
  <c r="M451" i="3"/>
  <c r="L451" i="3"/>
  <c r="K451" i="3"/>
  <c r="J451" i="3"/>
  <c r="I451" i="3"/>
  <c r="H451" i="3"/>
  <c r="G451" i="3"/>
  <c r="F451" i="3"/>
  <c r="E451" i="3"/>
  <c r="D451" i="3"/>
  <c r="C451" i="3"/>
  <c r="B451" i="3"/>
  <c r="A451" i="3"/>
  <c r="M450" i="3"/>
  <c r="L450" i="3"/>
  <c r="K450" i="3"/>
  <c r="J450" i="3"/>
  <c r="I450" i="3"/>
  <c r="H450" i="3"/>
  <c r="G450" i="3"/>
  <c r="F450" i="3"/>
  <c r="E450" i="3"/>
  <c r="D450" i="3"/>
  <c r="C450" i="3"/>
  <c r="B450" i="3"/>
  <c r="A450" i="3"/>
  <c r="M449" i="3"/>
  <c r="L449" i="3"/>
  <c r="K449" i="3"/>
  <c r="J449" i="3"/>
  <c r="I449" i="3"/>
  <c r="H449" i="3"/>
  <c r="G449" i="3"/>
  <c r="F449" i="3"/>
  <c r="E449" i="3"/>
  <c r="D449" i="3"/>
  <c r="C449" i="3"/>
  <c r="B449" i="3"/>
  <c r="A449" i="3"/>
  <c r="M448" i="3"/>
  <c r="L448" i="3"/>
  <c r="K448" i="3"/>
  <c r="J448" i="3"/>
  <c r="I448" i="3"/>
  <c r="H448" i="3"/>
  <c r="G448" i="3"/>
  <c r="F448" i="3"/>
  <c r="E448" i="3"/>
  <c r="D448" i="3"/>
  <c r="C448" i="3"/>
  <c r="B448" i="3"/>
  <c r="A448" i="3"/>
  <c r="M447" i="3"/>
  <c r="L447" i="3"/>
  <c r="K447" i="3"/>
  <c r="J447" i="3"/>
  <c r="I447" i="3"/>
  <c r="H447" i="3"/>
  <c r="G447" i="3"/>
  <c r="F447" i="3"/>
  <c r="E447" i="3"/>
  <c r="D447" i="3"/>
  <c r="C447" i="3"/>
  <c r="B447" i="3"/>
  <c r="A447" i="3"/>
  <c r="M446" i="3"/>
  <c r="L446" i="3"/>
  <c r="K446" i="3"/>
  <c r="J446" i="3"/>
  <c r="I446" i="3"/>
  <c r="H446" i="3"/>
  <c r="G446" i="3"/>
  <c r="F446" i="3"/>
  <c r="E446" i="3"/>
  <c r="D446" i="3"/>
  <c r="C446" i="3"/>
  <c r="B446" i="3"/>
  <c r="A446" i="3"/>
  <c r="M445" i="3"/>
  <c r="L445" i="3"/>
  <c r="K445" i="3"/>
  <c r="J445" i="3"/>
  <c r="I445" i="3"/>
  <c r="H445" i="3"/>
  <c r="G445" i="3"/>
  <c r="F445" i="3"/>
  <c r="E445" i="3"/>
  <c r="D445" i="3"/>
  <c r="C445" i="3"/>
  <c r="B445" i="3"/>
  <c r="A445" i="3"/>
  <c r="M444" i="3"/>
  <c r="L444" i="3"/>
  <c r="K444" i="3"/>
  <c r="J444" i="3"/>
  <c r="I444" i="3"/>
  <c r="H444" i="3"/>
  <c r="G444" i="3"/>
  <c r="F444" i="3"/>
  <c r="E444" i="3"/>
  <c r="D444" i="3"/>
  <c r="C444" i="3"/>
  <c r="B444" i="3"/>
  <c r="A444" i="3"/>
  <c r="M443" i="3"/>
  <c r="L443" i="3"/>
  <c r="K443" i="3"/>
  <c r="J443" i="3"/>
  <c r="I443" i="3"/>
  <c r="H443" i="3"/>
  <c r="G443" i="3"/>
  <c r="F443" i="3"/>
  <c r="E443" i="3"/>
  <c r="D443" i="3"/>
  <c r="C443" i="3"/>
  <c r="B443" i="3"/>
  <c r="A443" i="3"/>
  <c r="M442" i="3"/>
  <c r="L442" i="3"/>
  <c r="K442" i="3"/>
  <c r="J442" i="3"/>
  <c r="I442" i="3"/>
  <c r="H442" i="3"/>
  <c r="G442" i="3"/>
  <c r="F442" i="3"/>
  <c r="E442" i="3"/>
  <c r="D442" i="3"/>
  <c r="C442" i="3"/>
  <c r="B442" i="3"/>
  <c r="A442" i="3"/>
  <c r="M441" i="3"/>
  <c r="L441" i="3"/>
  <c r="K441" i="3"/>
  <c r="J441" i="3"/>
  <c r="I441" i="3"/>
  <c r="H441" i="3"/>
  <c r="G441" i="3"/>
  <c r="F441" i="3"/>
  <c r="E441" i="3"/>
  <c r="D441" i="3"/>
  <c r="C441" i="3"/>
  <c r="B441" i="3"/>
  <c r="A441" i="3"/>
  <c r="M440" i="3"/>
  <c r="L440" i="3"/>
  <c r="K440" i="3"/>
  <c r="J440" i="3"/>
  <c r="I440" i="3"/>
  <c r="H440" i="3"/>
  <c r="G440" i="3"/>
  <c r="F440" i="3"/>
  <c r="E440" i="3"/>
  <c r="D440" i="3"/>
  <c r="C440" i="3"/>
  <c r="B440" i="3"/>
  <c r="A440" i="3"/>
  <c r="M439" i="3"/>
  <c r="L439" i="3"/>
  <c r="K439" i="3"/>
  <c r="J439" i="3"/>
  <c r="I439" i="3"/>
  <c r="H439" i="3"/>
  <c r="G439" i="3"/>
  <c r="F439" i="3"/>
  <c r="E439" i="3"/>
  <c r="D439" i="3"/>
  <c r="C439" i="3"/>
  <c r="B439" i="3"/>
  <c r="A439" i="3"/>
  <c r="M438" i="3"/>
  <c r="L438" i="3"/>
  <c r="K438" i="3"/>
  <c r="J438" i="3"/>
  <c r="I438" i="3"/>
  <c r="H438" i="3"/>
  <c r="G438" i="3"/>
  <c r="F438" i="3"/>
  <c r="E438" i="3"/>
  <c r="D438" i="3"/>
  <c r="C438" i="3"/>
  <c r="B438" i="3"/>
  <c r="A438" i="3"/>
  <c r="M437" i="3"/>
  <c r="L437" i="3"/>
  <c r="K437" i="3"/>
  <c r="J437" i="3"/>
  <c r="I437" i="3"/>
  <c r="H437" i="3"/>
  <c r="G437" i="3"/>
  <c r="F437" i="3"/>
  <c r="E437" i="3"/>
  <c r="D437" i="3"/>
  <c r="C437" i="3"/>
  <c r="B437" i="3"/>
  <c r="A437" i="3"/>
  <c r="M436" i="3"/>
  <c r="L436" i="3"/>
  <c r="K436" i="3"/>
  <c r="J436" i="3"/>
  <c r="I436" i="3"/>
  <c r="H436" i="3"/>
  <c r="G436" i="3"/>
  <c r="F436" i="3"/>
  <c r="E436" i="3"/>
  <c r="D436" i="3"/>
  <c r="C436" i="3"/>
  <c r="B436" i="3"/>
  <c r="A436" i="3"/>
  <c r="M435" i="3"/>
  <c r="L435" i="3"/>
  <c r="K435" i="3"/>
  <c r="J435" i="3"/>
  <c r="I435" i="3"/>
  <c r="H435" i="3"/>
  <c r="G435" i="3"/>
  <c r="F435" i="3"/>
  <c r="E435" i="3"/>
  <c r="D435" i="3"/>
  <c r="C435" i="3"/>
  <c r="B435" i="3"/>
  <c r="A435" i="3"/>
  <c r="M434" i="3"/>
  <c r="L434" i="3"/>
  <c r="K434" i="3"/>
  <c r="J434" i="3"/>
  <c r="I434" i="3"/>
  <c r="H434" i="3"/>
  <c r="G434" i="3"/>
  <c r="F434" i="3"/>
  <c r="E434" i="3"/>
  <c r="D434" i="3"/>
  <c r="C434" i="3"/>
  <c r="B434" i="3"/>
  <c r="A434" i="3"/>
  <c r="M433" i="3"/>
  <c r="L433" i="3"/>
  <c r="K433" i="3"/>
  <c r="J433" i="3"/>
  <c r="I433" i="3"/>
  <c r="H433" i="3"/>
  <c r="G433" i="3"/>
  <c r="F433" i="3"/>
  <c r="E433" i="3"/>
  <c r="D433" i="3"/>
  <c r="C433" i="3"/>
  <c r="B433" i="3"/>
  <c r="A433" i="3"/>
  <c r="M432" i="3"/>
  <c r="L432" i="3"/>
  <c r="K432" i="3"/>
  <c r="J432" i="3"/>
  <c r="I432" i="3"/>
  <c r="H432" i="3"/>
  <c r="G432" i="3"/>
  <c r="F432" i="3"/>
  <c r="E432" i="3"/>
  <c r="D432" i="3"/>
  <c r="C432" i="3"/>
  <c r="B432" i="3"/>
  <c r="A432" i="3"/>
  <c r="M431" i="3"/>
  <c r="L431" i="3"/>
  <c r="K431" i="3"/>
  <c r="J431" i="3"/>
  <c r="I431" i="3"/>
  <c r="H431" i="3"/>
  <c r="G431" i="3"/>
  <c r="F431" i="3"/>
  <c r="E431" i="3"/>
  <c r="D431" i="3"/>
  <c r="C431" i="3"/>
  <c r="B431" i="3"/>
  <c r="A431" i="3"/>
  <c r="M430" i="3"/>
  <c r="L430" i="3"/>
  <c r="K430" i="3"/>
  <c r="J430" i="3"/>
  <c r="I430" i="3"/>
  <c r="H430" i="3"/>
  <c r="G430" i="3"/>
  <c r="F430" i="3"/>
  <c r="E430" i="3"/>
  <c r="D430" i="3"/>
  <c r="C430" i="3"/>
  <c r="B430" i="3"/>
  <c r="A430" i="3"/>
  <c r="M429" i="3"/>
  <c r="L429" i="3"/>
  <c r="K429" i="3"/>
  <c r="J429" i="3"/>
  <c r="I429" i="3"/>
  <c r="H429" i="3"/>
  <c r="G429" i="3"/>
  <c r="F429" i="3"/>
  <c r="E429" i="3"/>
  <c r="D429" i="3"/>
  <c r="C429" i="3"/>
  <c r="B429" i="3"/>
  <c r="A429" i="3"/>
  <c r="M428" i="3"/>
  <c r="L428" i="3"/>
  <c r="K428" i="3"/>
  <c r="J428" i="3"/>
  <c r="I428" i="3"/>
  <c r="H428" i="3"/>
  <c r="G428" i="3"/>
  <c r="F428" i="3"/>
  <c r="E428" i="3"/>
  <c r="D428" i="3"/>
  <c r="C428" i="3"/>
  <c r="B428" i="3"/>
  <c r="A428" i="3"/>
  <c r="M427" i="3"/>
  <c r="L427" i="3"/>
  <c r="K427" i="3"/>
  <c r="J427" i="3"/>
  <c r="I427" i="3"/>
  <c r="H427" i="3"/>
  <c r="G427" i="3"/>
  <c r="F427" i="3"/>
  <c r="E427" i="3"/>
  <c r="D427" i="3"/>
  <c r="C427" i="3"/>
  <c r="B427" i="3"/>
  <c r="A427" i="3"/>
  <c r="M426" i="3"/>
  <c r="L426" i="3"/>
  <c r="K426" i="3"/>
  <c r="J426" i="3"/>
  <c r="I426" i="3"/>
  <c r="H426" i="3"/>
  <c r="G426" i="3"/>
  <c r="F426" i="3"/>
  <c r="E426" i="3"/>
  <c r="D426" i="3"/>
  <c r="C426" i="3"/>
  <c r="B426" i="3"/>
  <c r="A426" i="3"/>
  <c r="M425" i="3"/>
  <c r="L425" i="3"/>
  <c r="K425" i="3"/>
  <c r="J425" i="3"/>
  <c r="I425" i="3"/>
  <c r="H425" i="3"/>
  <c r="G425" i="3"/>
  <c r="F425" i="3"/>
  <c r="E425" i="3"/>
  <c r="D425" i="3"/>
  <c r="C425" i="3"/>
  <c r="B425" i="3"/>
  <c r="A425" i="3"/>
  <c r="M424" i="3"/>
  <c r="L424" i="3"/>
  <c r="K424" i="3"/>
  <c r="J424" i="3"/>
  <c r="I424" i="3"/>
  <c r="H424" i="3"/>
  <c r="G424" i="3"/>
  <c r="F424" i="3"/>
  <c r="E424" i="3"/>
  <c r="D424" i="3"/>
  <c r="C424" i="3"/>
  <c r="B424" i="3"/>
  <c r="A424" i="3"/>
  <c r="M423" i="3"/>
  <c r="L423" i="3"/>
  <c r="K423" i="3"/>
  <c r="J423" i="3"/>
  <c r="I423" i="3"/>
  <c r="H423" i="3"/>
  <c r="G423" i="3"/>
  <c r="F423" i="3"/>
  <c r="E423" i="3"/>
  <c r="D423" i="3"/>
  <c r="C423" i="3"/>
  <c r="B423" i="3"/>
  <c r="A423" i="3"/>
  <c r="M422" i="3"/>
  <c r="L422" i="3"/>
  <c r="K422" i="3"/>
  <c r="J422" i="3"/>
  <c r="I422" i="3"/>
  <c r="H422" i="3"/>
  <c r="G422" i="3"/>
  <c r="F422" i="3"/>
  <c r="E422" i="3"/>
  <c r="D422" i="3"/>
  <c r="C422" i="3"/>
  <c r="B422" i="3"/>
  <c r="A422" i="3"/>
  <c r="M421" i="3"/>
  <c r="L421" i="3"/>
  <c r="K421" i="3"/>
  <c r="J421" i="3"/>
  <c r="I421" i="3"/>
  <c r="H421" i="3"/>
  <c r="G421" i="3"/>
  <c r="F421" i="3"/>
  <c r="E421" i="3"/>
  <c r="D421" i="3"/>
  <c r="C421" i="3"/>
  <c r="B421" i="3"/>
  <c r="A421" i="3"/>
  <c r="M420" i="3"/>
  <c r="L420" i="3"/>
  <c r="K420" i="3"/>
  <c r="J420" i="3"/>
  <c r="I420" i="3"/>
  <c r="H420" i="3"/>
  <c r="G420" i="3"/>
  <c r="F420" i="3"/>
  <c r="E420" i="3"/>
  <c r="D420" i="3"/>
  <c r="C420" i="3"/>
  <c r="B420" i="3"/>
  <c r="A420" i="3"/>
  <c r="M419" i="3"/>
  <c r="L419" i="3"/>
  <c r="K419" i="3"/>
  <c r="J419" i="3"/>
  <c r="I419" i="3"/>
  <c r="H419" i="3"/>
  <c r="G419" i="3"/>
  <c r="F419" i="3"/>
  <c r="E419" i="3"/>
  <c r="D419" i="3"/>
  <c r="C419" i="3"/>
  <c r="B419" i="3"/>
  <c r="A419" i="3"/>
  <c r="M418" i="3"/>
  <c r="L418" i="3"/>
  <c r="K418" i="3"/>
  <c r="J418" i="3"/>
  <c r="I418" i="3"/>
  <c r="H418" i="3"/>
  <c r="G418" i="3"/>
  <c r="F418" i="3"/>
  <c r="E418" i="3"/>
  <c r="D418" i="3"/>
  <c r="C418" i="3"/>
  <c r="B418" i="3"/>
  <c r="A418" i="3"/>
  <c r="M417" i="3"/>
  <c r="L417" i="3"/>
  <c r="K417" i="3"/>
  <c r="J417" i="3"/>
  <c r="I417" i="3"/>
  <c r="H417" i="3"/>
  <c r="G417" i="3"/>
  <c r="F417" i="3"/>
  <c r="E417" i="3"/>
  <c r="D417" i="3"/>
  <c r="C417" i="3"/>
  <c r="B417" i="3"/>
  <c r="A417" i="3"/>
  <c r="M416" i="3"/>
  <c r="L416" i="3"/>
  <c r="K416" i="3"/>
  <c r="J416" i="3"/>
  <c r="I416" i="3"/>
  <c r="H416" i="3"/>
  <c r="G416" i="3"/>
  <c r="F416" i="3"/>
  <c r="E416" i="3"/>
  <c r="D416" i="3"/>
  <c r="C416" i="3"/>
  <c r="B416" i="3"/>
  <c r="A416" i="3"/>
  <c r="M415" i="3"/>
  <c r="L415" i="3"/>
  <c r="K415" i="3"/>
  <c r="J415" i="3"/>
  <c r="I415" i="3"/>
  <c r="H415" i="3"/>
  <c r="G415" i="3"/>
  <c r="F415" i="3"/>
  <c r="E415" i="3"/>
  <c r="D415" i="3"/>
  <c r="C415" i="3"/>
  <c r="B415" i="3"/>
  <c r="A415" i="3"/>
  <c r="M414" i="3"/>
  <c r="L414" i="3"/>
  <c r="K414" i="3"/>
  <c r="J414" i="3"/>
  <c r="I414" i="3"/>
  <c r="H414" i="3"/>
  <c r="G414" i="3"/>
  <c r="F414" i="3"/>
  <c r="E414" i="3"/>
  <c r="D414" i="3"/>
  <c r="C414" i="3"/>
  <c r="B414" i="3"/>
  <c r="A414" i="3"/>
  <c r="M413" i="3"/>
  <c r="L413" i="3"/>
  <c r="K413" i="3"/>
  <c r="J413" i="3"/>
  <c r="I413" i="3"/>
  <c r="H413" i="3"/>
  <c r="G413" i="3"/>
  <c r="F413" i="3"/>
  <c r="E413" i="3"/>
  <c r="D413" i="3"/>
  <c r="C413" i="3"/>
  <c r="B413" i="3"/>
  <c r="A413" i="3"/>
  <c r="M412" i="3"/>
  <c r="L412" i="3"/>
  <c r="K412" i="3"/>
  <c r="J412" i="3"/>
  <c r="I412" i="3"/>
  <c r="H412" i="3"/>
  <c r="G412" i="3"/>
  <c r="F412" i="3"/>
  <c r="E412" i="3"/>
  <c r="D412" i="3"/>
  <c r="C412" i="3"/>
  <c r="B412" i="3"/>
  <c r="A412" i="3"/>
  <c r="M411" i="3"/>
  <c r="L411" i="3"/>
  <c r="K411" i="3"/>
  <c r="J411" i="3"/>
  <c r="I411" i="3"/>
  <c r="H411" i="3"/>
  <c r="G411" i="3"/>
  <c r="F411" i="3"/>
  <c r="E411" i="3"/>
  <c r="D411" i="3"/>
  <c r="C411" i="3"/>
  <c r="B411" i="3"/>
  <c r="A411" i="3"/>
  <c r="M410" i="3"/>
  <c r="L410" i="3"/>
  <c r="K410" i="3"/>
  <c r="J410" i="3"/>
  <c r="I410" i="3"/>
  <c r="H410" i="3"/>
  <c r="G410" i="3"/>
  <c r="F410" i="3"/>
  <c r="E410" i="3"/>
  <c r="D410" i="3"/>
  <c r="C410" i="3"/>
  <c r="B410" i="3"/>
  <c r="A410" i="3"/>
  <c r="M409" i="3"/>
  <c r="L409" i="3"/>
  <c r="K409" i="3"/>
  <c r="J409" i="3"/>
  <c r="I409" i="3"/>
  <c r="H409" i="3"/>
  <c r="G409" i="3"/>
  <c r="F409" i="3"/>
  <c r="E409" i="3"/>
  <c r="D409" i="3"/>
  <c r="C409" i="3"/>
  <c r="B409" i="3"/>
  <c r="A409" i="3"/>
  <c r="M408" i="3"/>
  <c r="L408" i="3"/>
  <c r="K408" i="3"/>
  <c r="J408" i="3"/>
  <c r="I408" i="3"/>
  <c r="H408" i="3"/>
  <c r="G408" i="3"/>
  <c r="F408" i="3"/>
  <c r="E408" i="3"/>
  <c r="D408" i="3"/>
  <c r="C408" i="3"/>
  <c r="B408" i="3"/>
  <c r="A408" i="3"/>
  <c r="M407" i="3"/>
  <c r="L407" i="3"/>
  <c r="K407" i="3"/>
  <c r="J407" i="3"/>
  <c r="I407" i="3"/>
  <c r="H407" i="3"/>
  <c r="G407" i="3"/>
  <c r="F407" i="3"/>
  <c r="E407" i="3"/>
  <c r="D407" i="3"/>
  <c r="C407" i="3"/>
  <c r="B407" i="3"/>
  <c r="A407" i="3"/>
  <c r="M406" i="3"/>
  <c r="L406" i="3"/>
  <c r="K406" i="3"/>
  <c r="J406" i="3"/>
  <c r="I406" i="3"/>
  <c r="H406" i="3"/>
  <c r="G406" i="3"/>
  <c r="F406" i="3"/>
  <c r="E406" i="3"/>
  <c r="D406" i="3"/>
  <c r="C406" i="3"/>
  <c r="B406" i="3"/>
  <c r="A406" i="3"/>
  <c r="M405" i="3"/>
  <c r="L405" i="3"/>
  <c r="K405" i="3"/>
  <c r="J405" i="3"/>
  <c r="I405" i="3"/>
  <c r="H405" i="3"/>
  <c r="G405" i="3"/>
  <c r="F405" i="3"/>
  <c r="E405" i="3"/>
  <c r="D405" i="3"/>
  <c r="C405" i="3"/>
  <c r="B405" i="3"/>
  <c r="A405" i="3"/>
  <c r="M404" i="3"/>
  <c r="L404" i="3"/>
  <c r="K404" i="3"/>
  <c r="J404" i="3"/>
  <c r="I404" i="3"/>
  <c r="H404" i="3"/>
  <c r="G404" i="3"/>
  <c r="F404" i="3"/>
  <c r="E404" i="3"/>
  <c r="D404" i="3"/>
  <c r="C404" i="3"/>
  <c r="B404" i="3"/>
  <c r="A404" i="3"/>
  <c r="M403" i="3"/>
  <c r="L403" i="3"/>
  <c r="K403" i="3"/>
  <c r="J403" i="3"/>
  <c r="I403" i="3"/>
  <c r="H403" i="3"/>
  <c r="G403" i="3"/>
  <c r="F403" i="3"/>
  <c r="E403" i="3"/>
  <c r="D403" i="3"/>
  <c r="C403" i="3"/>
  <c r="B403" i="3"/>
  <c r="A403" i="3"/>
  <c r="M402" i="3"/>
  <c r="L402" i="3"/>
  <c r="K402" i="3"/>
  <c r="J402" i="3"/>
  <c r="I402" i="3"/>
  <c r="H402" i="3"/>
  <c r="G402" i="3"/>
  <c r="F402" i="3"/>
  <c r="E402" i="3"/>
  <c r="D402" i="3"/>
  <c r="C402" i="3"/>
  <c r="B402" i="3"/>
  <c r="A402" i="3"/>
  <c r="M401" i="3"/>
  <c r="L401" i="3"/>
  <c r="K401" i="3"/>
  <c r="J401" i="3"/>
  <c r="I401" i="3"/>
  <c r="H401" i="3"/>
  <c r="G401" i="3"/>
  <c r="F401" i="3"/>
  <c r="E401" i="3"/>
  <c r="D401" i="3"/>
  <c r="C401" i="3"/>
  <c r="B401" i="3"/>
  <c r="A401" i="3"/>
  <c r="M400" i="3"/>
  <c r="L400" i="3"/>
  <c r="K400" i="3"/>
  <c r="J400" i="3"/>
  <c r="I400" i="3"/>
  <c r="H400" i="3"/>
  <c r="G400" i="3"/>
  <c r="F400" i="3"/>
  <c r="E400" i="3"/>
  <c r="D400" i="3"/>
  <c r="C400" i="3"/>
  <c r="B400" i="3"/>
  <c r="A400" i="3"/>
  <c r="M399" i="3"/>
  <c r="L399" i="3"/>
  <c r="K399" i="3"/>
  <c r="J399" i="3"/>
  <c r="I399" i="3"/>
  <c r="H399" i="3"/>
  <c r="G399" i="3"/>
  <c r="F399" i="3"/>
  <c r="E399" i="3"/>
  <c r="D399" i="3"/>
  <c r="C399" i="3"/>
  <c r="B399" i="3"/>
  <c r="A399" i="3"/>
  <c r="M398" i="3"/>
  <c r="L398" i="3"/>
  <c r="K398" i="3"/>
  <c r="J398" i="3"/>
  <c r="I398" i="3"/>
  <c r="H398" i="3"/>
  <c r="G398" i="3"/>
  <c r="F398" i="3"/>
  <c r="E398" i="3"/>
  <c r="D398" i="3"/>
  <c r="C398" i="3"/>
  <c r="B398" i="3"/>
  <c r="A398" i="3"/>
  <c r="M397" i="3"/>
  <c r="L397" i="3"/>
  <c r="K397" i="3"/>
  <c r="J397" i="3"/>
  <c r="I397" i="3"/>
  <c r="H397" i="3"/>
  <c r="G397" i="3"/>
  <c r="F397" i="3"/>
  <c r="E397" i="3"/>
  <c r="D397" i="3"/>
  <c r="C397" i="3"/>
  <c r="B397" i="3"/>
  <c r="A397" i="3"/>
  <c r="M396" i="3"/>
  <c r="L396" i="3"/>
  <c r="K396" i="3"/>
  <c r="J396" i="3"/>
  <c r="I396" i="3"/>
  <c r="H396" i="3"/>
  <c r="G396" i="3"/>
  <c r="F396" i="3"/>
  <c r="E396" i="3"/>
  <c r="D396" i="3"/>
  <c r="C396" i="3"/>
  <c r="B396" i="3"/>
  <c r="A396" i="3"/>
  <c r="M395" i="3"/>
  <c r="L395" i="3"/>
  <c r="K395" i="3"/>
  <c r="J395" i="3"/>
  <c r="I395" i="3"/>
  <c r="H395" i="3"/>
  <c r="G395" i="3"/>
  <c r="F395" i="3"/>
  <c r="E395" i="3"/>
  <c r="D395" i="3"/>
  <c r="C395" i="3"/>
  <c r="B395" i="3"/>
  <c r="A395" i="3"/>
  <c r="M394" i="3"/>
  <c r="L394" i="3"/>
  <c r="K394" i="3"/>
  <c r="J394" i="3"/>
  <c r="I394" i="3"/>
  <c r="H394" i="3"/>
  <c r="G394" i="3"/>
  <c r="F394" i="3"/>
  <c r="E394" i="3"/>
  <c r="D394" i="3"/>
  <c r="C394" i="3"/>
  <c r="B394" i="3"/>
  <c r="A394" i="3"/>
  <c r="M393" i="3"/>
  <c r="L393" i="3"/>
  <c r="K393" i="3"/>
  <c r="J393" i="3"/>
  <c r="I393" i="3"/>
  <c r="H393" i="3"/>
  <c r="G393" i="3"/>
  <c r="E393" i="3"/>
  <c r="D393" i="3"/>
  <c r="C393" i="3"/>
  <c r="B393" i="3"/>
  <c r="A393" i="3"/>
  <c r="M392" i="3"/>
  <c r="L392" i="3"/>
  <c r="K392" i="3"/>
  <c r="J392" i="3"/>
  <c r="I392" i="3"/>
  <c r="H392" i="3"/>
  <c r="G392" i="3"/>
  <c r="F392" i="3"/>
  <c r="E392" i="3"/>
  <c r="D392" i="3"/>
  <c r="C392" i="3"/>
  <c r="B392" i="3"/>
  <c r="A392" i="3"/>
  <c r="M391" i="3"/>
  <c r="L391" i="3"/>
  <c r="K391" i="3"/>
  <c r="J391" i="3"/>
  <c r="I391" i="3"/>
  <c r="H391" i="3"/>
  <c r="F391" i="3"/>
  <c r="E391" i="3"/>
  <c r="D391" i="3"/>
  <c r="C391" i="3"/>
  <c r="B391" i="3"/>
  <c r="A391" i="3"/>
  <c r="M390" i="3"/>
  <c r="L390" i="3"/>
  <c r="K390" i="3"/>
  <c r="J390" i="3"/>
  <c r="I390" i="3"/>
  <c r="H390" i="3"/>
  <c r="G390" i="3"/>
  <c r="F390" i="3"/>
  <c r="E390" i="3"/>
  <c r="D390" i="3"/>
  <c r="C390" i="3"/>
  <c r="B390" i="3"/>
  <c r="A390" i="3"/>
  <c r="M389" i="3"/>
  <c r="L389" i="3"/>
  <c r="K389" i="3"/>
  <c r="J389" i="3"/>
  <c r="I389" i="3"/>
  <c r="H389" i="3"/>
  <c r="G389" i="3"/>
  <c r="F389" i="3"/>
  <c r="E389" i="3"/>
  <c r="D389" i="3"/>
  <c r="C389" i="3"/>
  <c r="B389" i="3"/>
  <c r="A389" i="3"/>
  <c r="M388" i="3"/>
  <c r="L388" i="3"/>
  <c r="K388" i="3"/>
  <c r="J388" i="3"/>
  <c r="I388" i="3"/>
  <c r="H388" i="3"/>
  <c r="G388" i="3"/>
  <c r="F388" i="3"/>
  <c r="E388" i="3"/>
  <c r="D388" i="3"/>
  <c r="C388" i="3"/>
  <c r="B388" i="3"/>
  <c r="A388" i="3"/>
  <c r="M387" i="3"/>
  <c r="L387" i="3"/>
  <c r="K387" i="3"/>
  <c r="J387" i="3"/>
  <c r="I387" i="3"/>
  <c r="H387" i="3"/>
  <c r="G387" i="3"/>
  <c r="F387" i="3"/>
  <c r="E387" i="3"/>
  <c r="D387" i="3"/>
  <c r="C387" i="3"/>
  <c r="B387" i="3"/>
  <c r="A387" i="3"/>
  <c r="M386" i="3"/>
  <c r="L386" i="3"/>
  <c r="K386" i="3"/>
  <c r="J386" i="3"/>
  <c r="I386" i="3"/>
  <c r="H386" i="3"/>
  <c r="G386" i="3"/>
  <c r="F386" i="3"/>
  <c r="E386" i="3"/>
  <c r="D386" i="3"/>
  <c r="C386" i="3"/>
  <c r="B386" i="3"/>
  <c r="A386" i="3"/>
  <c r="M385" i="3"/>
  <c r="L385" i="3"/>
  <c r="K385" i="3"/>
  <c r="J385" i="3"/>
  <c r="I385" i="3"/>
  <c r="H385" i="3"/>
  <c r="G385" i="3"/>
  <c r="F385" i="3"/>
  <c r="E385" i="3"/>
  <c r="D385" i="3"/>
  <c r="C385" i="3"/>
  <c r="B385" i="3"/>
  <c r="A385" i="3"/>
  <c r="M384" i="3"/>
  <c r="L384" i="3"/>
  <c r="K384" i="3"/>
  <c r="J384" i="3"/>
  <c r="I384" i="3"/>
  <c r="H384" i="3"/>
  <c r="F384" i="3"/>
  <c r="E384" i="3"/>
  <c r="D384" i="3"/>
  <c r="C384" i="3"/>
  <c r="B384" i="3"/>
  <c r="A384" i="3"/>
  <c r="M383" i="3"/>
  <c r="L383" i="3"/>
  <c r="K383" i="3"/>
  <c r="J383" i="3"/>
  <c r="I383" i="3"/>
  <c r="H383" i="3"/>
  <c r="G383" i="3"/>
  <c r="F383" i="3"/>
  <c r="E383" i="3"/>
  <c r="D383" i="3"/>
  <c r="C383" i="3"/>
  <c r="B383" i="3"/>
  <c r="A383" i="3"/>
  <c r="M382" i="3"/>
  <c r="L382" i="3"/>
  <c r="K382" i="3"/>
  <c r="J382" i="3"/>
  <c r="I382" i="3"/>
  <c r="H382" i="3"/>
  <c r="G382" i="3"/>
  <c r="F382" i="3"/>
  <c r="E382" i="3"/>
  <c r="D382" i="3"/>
  <c r="C382" i="3"/>
  <c r="B382" i="3"/>
  <c r="A382" i="3"/>
  <c r="M381" i="3"/>
  <c r="L381" i="3"/>
  <c r="K381" i="3"/>
  <c r="J381" i="3"/>
  <c r="I381" i="3"/>
  <c r="H381" i="3"/>
  <c r="G381" i="3"/>
  <c r="F381" i="3"/>
  <c r="E381" i="3"/>
  <c r="D381" i="3"/>
  <c r="C381" i="3"/>
  <c r="B381" i="3"/>
  <c r="A381" i="3"/>
  <c r="M380" i="3"/>
  <c r="L380" i="3"/>
  <c r="K380" i="3"/>
  <c r="J380" i="3"/>
  <c r="I380" i="3"/>
  <c r="H380" i="3"/>
  <c r="G380" i="3"/>
  <c r="F380" i="3"/>
  <c r="E380" i="3"/>
  <c r="D380" i="3"/>
  <c r="C380" i="3"/>
  <c r="B380" i="3"/>
  <c r="A380" i="3"/>
  <c r="M379" i="3"/>
  <c r="L379" i="3"/>
  <c r="K379" i="3"/>
  <c r="J379" i="3"/>
  <c r="I379" i="3"/>
  <c r="H379" i="3"/>
  <c r="G379" i="3"/>
  <c r="F379" i="3"/>
  <c r="E379" i="3"/>
  <c r="D379" i="3"/>
  <c r="C379" i="3"/>
  <c r="B379" i="3"/>
  <c r="A379" i="3"/>
  <c r="M378" i="3"/>
  <c r="L378" i="3"/>
  <c r="K378" i="3"/>
  <c r="J378" i="3"/>
  <c r="I378" i="3"/>
  <c r="H378" i="3"/>
  <c r="G378" i="3"/>
  <c r="F378" i="3"/>
  <c r="E378" i="3"/>
  <c r="D378" i="3"/>
  <c r="C378" i="3"/>
  <c r="B378" i="3"/>
  <c r="A378" i="3"/>
  <c r="M377" i="3"/>
  <c r="L377" i="3"/>
  <c r="K377" i="3"/>
  <c r="J377" i="3"/>
  <c r="I377" i="3"/>
  <c r="H377" i="3"/>
  <c r="G377" i="3"/>
  <c r="F377" i="3"/>
  <c r="E377" i="3"/>
  <c r="D377" i="3"/>
  <c r="C377" i="3"/>
  <c r="B377" i="3"/>
  <c r="A377" i="3"/>
  <c r="M376" i="3"/>
  <c r="L376" i="3"/>
  <c r="K376" i="3"/>
  <c r="J376" i="3"/>
  <c r="I376" i="3"/>
  <c r="H376" i="3"/>
  <c r="G376" i="3"/>
  <c r="F376" i="3"/>
  <c r="E376" i="3"/>
  <c r="D376" i="3"/>
  <c r="C376" i="3"/>
  <c r="B376" i="3"/>
  <c r="A376" i="3"/>
  <c r="M375" i="3"/>
  <c r="L375" i="3"/>
  <c r="K375" i="3"/>
  <c r="J375" i="3"/>
  <c r="I375" i="3"/>
  <c r="H375" i="3"/>
  <c r="G375" i="3"/>
  <c r="F375" i="3"/>
  <c r="E375" i="3"/>
  <c r="D375" i="3"/>
  <c r="C375" i="3"/>
  <c r="B375" i="3"/>
  <c r="A375" i="3"/>
  <c r="M374" i="3"/>
  <c r="L374" i="3"/>
  <c r="K374" i="3"/>
  <c r="J374" i="3"/>
  <c r="I374" i="3"/>
  <c r="H374" i="3"/>
  <c r="G374" i="3"/>
  <c r="F374" i="3"/>
  <c r="E374" i="3"/>
  <c r="D374" i="3"/>
  <c r="C374" i="3"/>
  <c r="B374" i="3"/>
  <c r="A374" i="3"/>
  <c r="M373" i="3"/>
  <c r="L373" i="3"/>
  <c r="K373" i="3"/>
  <c r="J373" i="3"/>
  <c r="I373" i="3"/>
  <c r="H373" i="3"/>
  <c r="G373" i="3"/>
  <c r="F373" i="3"/>
  <c r="E373" i="3"/>
  <c r="D373" i="3"/>
  <c r="C373" i="3"/>
  <c r="B373" i="3"/>
  <c r="A373" i="3"/>
  <c r="M372" i="3"/>
  <c r="L372" i="3"/>
  <c r="K372" i="3"/>
  <c r="J372" i="3"/>
  <c r="I372" i="3"/>
  <c r="H372" i="3"/>
  <c r="G372" i="3"/>
  <c r="F372" i="3"/>
  <c r="E372" i="3"/>
  <c r="D372" i="3"/>
  <c r="C372" i="3"/>
  <c r="B372" i="3"/>
  <c r="A372" i="3"/>
  <c r="M371" i="3"/>
  <c r="L371" i="3"/>
  <c r="K371" i="3"/>
  <c r="J371" i="3"/>
  <c r="I371" i="3"/>
  <c r="H371" i="3"/>
  <c r="G371" i="3"/>
  <c r="F371" i="3"/>
  <c r="E371" i="3"/>
  <c r="D371" i="3"/>
  <c r="C371" i="3"/>
  <c r="B371" i="3"/>
  <c r="A371" i="3"/>
  <c r="M370" i="3"/>
  <c r="L370" i="3"/>
  <c r="K370" i="3"/>
  <c r="J370" i="3"/>
  <c r="I370" i="3"/>
  <c r="H370" i="3"/>
  <c r="G370" i="3"/>
  <c r="F370" i="3"/>
  <c r="E370" i="3"/>
  <c r="D370" i="3"/>
  <c r="C370" i="3"/>
  <c r="B370" i="3"/>
  <c r="A370" i="3"/>
  <c r="M369" i="3"/>
  <c r="L369" i="3"/>
  <c r="K369" i="3"/>
  <c r="J369" i="3"/>
  <c r="I369" i="3"/>
  <c r="H369" i="3"/>
  <c r="G369" i="3"/>
  <c r="F369" i="3"/>
  <c r="E369" i="3"/>
  <c r="D369" i="3"/>
  <c r="C369" i="3"/>
  <c r="B369" i="3"/>
  <c r="A369" i="3"/>
  <c r="M368" i="3"/>
  <c r="L368" i="3"/>
  <c r="K368" i="3"/>
  <c r="J368" i="3"/>
  <c r="I368" i="3"/>
  <c r="H368" i="3"/>
  <c r="G368" i="3"/>
  <c r="F368" i="3"/>
  <c r="E368" i="3"/>
  <c r="D368" i="3"/>
  <c r="C368" i="3"/>
  <c r="B368" i="3"/>
  <c r="A368" i="3"/>
  <c r="M367" i="3"/>
  <c r="L367" i="3"/>
  <c r="K367" i="3"/>
  <c r="J367" i="3"/>
  <c r="I367" i="3"/>
  <c r="H367" i="3"/>
  <c r="G367" i="3"/>
  <c r="F367" i="3"/>
  <c r="E367" i="3"/>
  <c r="D367" i="3"/>
  <c r="C367" i="3"/>
  <c r="B367" i="3"/>
  <c r="A367" i="3"/>
  <c r="M366" i="3"/>
  <c r="L366" i="3"/>
  <c r="K366" i="3"/>
  <c r="J366" i="3"/>
  <c r="I366" i="3"/>
  <c r="H366" i="3"/>
  <c r="G366" i="3"/>
  <c r="F366" i="3"/>
  <c r="E366" i="3"/>
  <c r="D366" i="3"/>
  <c r="C366" i="3"/>
  <c r="B366" i="3"/>
  <c r="A366" i="3"/>
  <c r="M365" i="3"/>
  <c r="L365" i="3"/>
  <c r="K365" i="3"/>
  <c r="J365" i="3"/>
  <c r="I365" i="3"/>
  <c r="H365" i="3"/>
  <c r="G365" i="3"/>
  <c r="F365" i="3"/>
  <c r="E365" i="3"/>
  <c r="D365" i="3"/>
  <c r="C365" i="3"/>
  <c r="B365" i="3"/>
  <c r="A365" i="3"/>
  <c r="M364" i="3"/>
  <c r="L364" i="3"/>
  <c r="K364" i="3"/>
  <c r="J364" i="3"/>
  <c r="I364" i="3"/>
  <c r="H364" i="3"/>
  <c r="G364" i="3"/>
  <c r="F364" i="3"/>
  <c r="E364" i="3"/>
  <c r="D364" i="3"/>
  <c r="C364" i="3"/>
  <c r="B364" i="3"/>
  <c r="A364" i="3"/>
  <c r="M363" i="3"/>
  <c r="L363" i="3"/>
  <c r="K363" i="3"/>
  <c r="J363" i="3"/>
  <c r="I363" i="3"/>
  <c r="H363" i="3"/>
  <c r="G363" i="3"/>
  <c r="F363" i="3"/>
  <c r="E363" i="3"/>
  <c r="D363" i="3"/>
  <c r="C363" i="3"/>
  <c r="B363" i="3"/>
  <c r="A363" i="3"/>
  <c r="M362" i="3"/>
  <c r="L362" i="3"/>
  <c r="K362" i="3"/>
  <c r="J362" i="3"/>
  <c r="I362" i="3"/>
  <c r="H362" i="3"/>
  <c r="G362" i="3"/>
  <c r="F362" i="3"/>
  <c r="E362" i="3"/>
  <c r="D362" i="3"/>
  <c r="C362" i="3"/>
  <c r="B362" i="3"/>
  <c r="A362" i="3"/>
  <c r="M361" i="3"/>
  <c r="L361" i="3"/>
  <c r="K361" i="3"/>
  <c r="J361" i="3"/>
  <c r="I361" i="3"/>
  <c r="H361" i="3"/>
  <c r="G361" i="3"/>
  <c r="F361" i="3"/>
  <c r="E361" i="3"/>
  <c r="D361" i="3"/>
  <c r="C361" i="3"/>
  <c r="B361" i="3"/>
  <c r="A361" i="3"/>
  <c r="M360" i="3"/>
  <c r="L360" i="3"/>
  <c r="K360" i="3"/>
  <c r="J360" i="3"/>
  <c r="I360" i="3"/>
  <c r="H360" i="3"/>
  <c r="G360" i="3"/>
  <c r="F360" i="3"/>
  <c r="E360" i="3"/>
  <c r="D360" i="3"/>
  <c r="C360" i="3"/>
  <c r="B360" i="3"/>
  <c r="A360" i="3"/>
  <c r="M359" i="3"/>
  <c r="L359" i="3"/>
  <c r="K359" i="3"/>
  <c r="J359" i="3"/>
  <c r="I359" i="3"/>
  <c r="H359" i="3"/>
  <c r="G359" i="3"/>
  <c r="F359" i="3"/>
  <c r="E359" i="3"/>
  <c r="D359" i="3"/>
  <c r="C359" i="3"/>
  <c r="B359" i="3"/>
  <c r="A359" i="3"/>
  <c r="M358" i="3"/>
  <c r="L358" i="3"/>
  <c r="K358" i="3"/>
  <c r="J358" i="3"/>
  <c r="I358" i="3"/>
  <c r="H358" i="3"/>
  <c r="G358" i="3"/>
  <c r="F358" i="3"/>
  <c r="E358" i="3"/>
  <c r="D358" i="3"/>
  <c r="C358" i="3"/>
  <c r="B358" i="3"/>
  <c r="A358" i="3"/>
  <c r="M357" i="3"/>
  <c r="L357" i="3"/>
  <c r="K357" i="3"/>
  <c r="J357" i="3"/>
  <c r="I357" i="3"/>
  <c r="H357" i="3"/>
  <c r="G357" i="3"/>
  <c r="F357" i="3"/>
  <c r="E357" i="3"/>
  <c r="D357" i="3"/>
  <c r="C357" i="3"/>
  <c r="B357" i="3"/>
  <c r="A357" i="3"/>
  <c r="M356" i="3"/>
  <c r="L356" i="3"/>
  <c r="K356" i="3"/>
  <c r="J356" i="3"/>
  <c r="I356" i="3"/>
  <c r="H356" i="3"/>
  <c r="G356" i="3"/>
  <c r="F356" i="3"/>
  <c r="E356" i="3"/>
  <c r="D356" i="3"/>
  <c r="C356" i="3"/>
  <c r="B356" i="3"/>
  <c r="A356" i="3"/>
  <c r="M355" i="3"/>
  <c r="L355" i="3"/>
  <c r="K355" i="3"/>
  <c r="J355" i="3"/>
  <c r="I355" i="3"/>
  <c r="H355" i="3"/>
  <c r="G355" i="3"/>
  <c r="F355" i="3"/>
  <c r="E355" i="3"/>
  <c r="D355" i="3"/>
  <c r="C355" i="3"/>
  <c r="B355" i="3"/>
  <c r="A355" i="3"/>
  <c r="M354" i="3"/>
  <c r="L354" i="3"/>
  <c r="K354" i="3"/>
  <c r="J354" i="3"/>
  <c r="I354" i="3"/>
  <c r="H354" i="3"/>
  <c r="G354" i="3"/>
  <c r="F354" i="3"/>
  <c r="E354" i="3"/>
  <c r="D354" i="3"/>
  <c r="C354" i="3"/>
  <c r="B354" i="3"/>
  <c r="A354" i="3"/>
  <c r="M353" i="3"/>
  <c r="L353" i="3"/>
  <c r="K353" i="3"/>
  <c r="J353" i="3"/>
  <c r="I353" i="3"/>
  <c r="H353" i="3"/>
  <c r="G353" i="3"/>
  <c r="F353" i="3"/>
  <c r="E353" i="3"/>
  <c r="D353" i="3"/>
  <c r="C353" i="3"/>
  <c r="B353" i="3"/>
  <c r="A353" i="3"/>
  <c r="M352" i="3"/>
  <c r="L352" i="3"/>
  <c r="K352" i="3"/>
  <c r="J352" i="3"/>
  <c r="I352" i="3"/>
  <c r="H352" i="3"/>
  <c r="G352" i="3"/>
  <c r="F352" i="3"/>
  <c r="E352" i="3"/>
  <c r="D352" i="3"/>
  <c r="C352" i="3"/>
  <c r="B352" i="3"/>
  <c r="A352" i="3"/>
  <c r="M351" i="3"/>
  <c r="L351" i="3"/>
  <c r="K351" i="3"/>
  <c r="J351" i="3"/>
  <c r="I351" i="3"/>
  <c r="H351" i="3"/>
  <c r="G351" i="3"/>
  <c r="F351" i="3"/>
  <c r="E351" i="3"/>
  <c r="D351" i="3"/>
  <c r="C351" i="3"/>
  <c r="B351" i="3"/>
  <c r="A351" i="3"/>
  <c r="M350" i="3"/>
  <c r="L350" i="3"/>
  <c r="K350" i="3"/>
  <c r="J350" i="3"/>
  <c r="I350" i="3"/>
  <c r="H350" i="3"/>
  <c r="G350" i="3"/>
  <c r="F350" i="3"/>
  <c r="E350" i="3"/>
  <c r="D350" i="3"/>
  <c r="C350" i="3"/>
  <c r="B350" i="3"/>
  <c r="A350" i="3"/>
  <c r="M349" i="3"/>
  <c r="L349" i="3"/>
  <c r="K349" i="3"/>
  <c r="J349" i="3"/>
  <c r="I349" i="3"/>
  <c r="H349" i="3"/>
  <c r="G349" i="3"/>
  <c r="F349" i="3"/>
  <c r="E349" i="3"/>
  <c r="D349" i="3"/>
  <c r="C349" i="3"/>
  <c r="B349" i="3"/>
  <c r="A349" i="3"/>
  <c r="M348" i="3"/>
  <c r="L348" i="3"/>
  <c r="K348" i="3"/>
  <c r="J348" i="3"/>
  <c r="I348" i="3"/>
  <c r="H348" i="3"/>
  <c r="G348" i="3"/>
  <c r="F348" i="3"/>
  <c r="E348" i="3"/>
  <c r="D348" i="3"/>
  <c r="C348" i="3"/>
  <c r="B348" i="3"/>
  <c r="A348" i="3"/>
  <c r="M347" i="3"/>
  <c r="L347" i="3"/>
  <c r="K347" i="3"/>
  <c r="J347" i="3"/>
  <c r="I347" i="3"/>
  <c r="H347" i="3"/>
  <c r="G347" i="3"/>
  <c r="F347" i="3"/>
  <c r="E347" i="3"/>
  <c r="D347" i="3"/>
  <c r="C347" i="3"/>
  <c r="B347" i="3"/>
  <c r="A347" i="3"/>
  <c r="M346" i="3"/>
  <c r="L346" i="3"/>
  <c r="K346" i="3"/>
  <c r="J346" i="3"/>
  <c r="I346" i="3"/>
  <c r="H346" i="3"/>
  <c r="G346" i="3"/>
  <c r="F346" i="3"/>
  <c r="E346" i="3"/>
  <c r="D346" i="3"/>
  <c r="C346" i="3"/>
  <c r="B346" i="3"/>
  <c r="A346" i="3"/>
  <c r="M345" i="3"/>
  <c r="L345" i="3"/>
  <c r="K345" i="3"/>
  <c r="J345" i="3"/>
  <c r="I345" i="3"/>
  <c r="H345" i="3"/>
  <c r="G345" i="3"/>
  <c r="F345" i="3"/>
  <c r="E345" i="3"/>
  <c r="D345" i="3"/>
  <c r="C345" i="3"/>
  <c r="B345" i="3"/>
  <c r="A345" i="3"/>
  <c r="M344" i="3"/>
  <c r="L344" i="3"/>
  <c r="K344" i="3"/>
  <c r="J344" i="3"/>
  <c r="I344" i="3"/>
  <c r="H344" i="3"/>
  <c r="G344" i="3"/>
  <c r="F344" i="3"/>
  <c r="E344" i="3"/>
  <c r="D344" i="3"/>
  <c r="C344" i="3"/>
  <c r="B344" i="3"/>
  <c r="A344" i="3"/>
  <c r="M343" i="3"/>
  <c r="L343" i="3"/>
  <c r="K343" i="3"/>
  <c r="J343" i="3"/>
  <c r="I343" i="3"/>
  <c r="H343" i="3"/>
  <c r="G343" i="3"/>
  <c r="F343" i="3"/>
  <c r="E343" i="3"/>
  <c r="D343" i="3"/>
  <c r="C343" i="3"/>
  <c r="B343" i="3"/>
  <c r="A343" i="3"/>
  <c r="M342" i="3"/>
  <c r="L342" i="3"/>
  <c r="K342" i="3"/>
  <c r="J342" i="3"/>
  <c r="I342" i="3"/>
  <c r="H342" i="3"/>
  <c r="G342" i="3"/>
  <c r="F342" i="3"/>
  <c r="E342" i="3"/>
  <c r="D342" i="3"/>
  <c r="C342" i="3"/>
  <c r="B342" i="3"/>
  <c r="A342" i="3"/>
  <c r="M341" i="3"/>
  <c r="L341" i="3"/>
  <c r="K341" i="3"/>
  <c r="J341" i="3"/>
  <c r="I341" i="3"/>
  <c r="H341" i="3"/>
  <c r="G341" i="3"/>
  <c r="F341" i="3"/>
  <c r="E341" i="3"/>
  <c r="D341" i="3"/>
  <c r="C341" i="3"/>
  <c r="B341" i="3"/>
  <c r="A341" i="3"/>
  <c r="M340" i="3"/>
  <c r="L340" i="3"/>
  <c r="K340" i="3"/>
  <c r="J340" i="3"/>
  <c r="I340" i="3"/>
  <c r="H340" i="3"/>
  <c r="G340" i="3"/>
  <c r="F340" i="3"/>
  <c r="E340" i="3"/>
  <c r="D340" i="3"/>
  <c r="C340" i="3"/>
  <c r="B340" i="3"/>
  <c r="A340" i="3"/>
  <c r="M339" i="3"/>
  <c r="L339" i="3"/>
  <c r="K339" i="3"/>
  <c r="J339" i="3"/>
  <c r="I339" i="3"/>
  <c r="H339" i="3"/>
  <c r="G339" i="3"/>
  <c r="F339" i="3"/>
  <c r="E339" i="3"/>
  <c r="D339" i="3"/>
  <c r="C339" i="3"/>
  <c r="B339" i="3"/>
  <c r="A339" i="3"/>
  <c r="M338" i="3"/>
  <c r="L338" i="3"/>
  <c r="K338" i="3"/>
  <c r="J338" i="3"/>
  <c r="I338" i="3"/>
  <c r="H338" i="3"/>
  <c r="G338" i="3"/>
  <c r="F338" i="3"/>
  <c r="E338" i="3"/>
  <c r="D338" i="3"/>
  <c r="C338" i="3"/>
  <c r="B338" i="3"/>
  <c r="A338" i="3"/>
  <c r="M337" i="3"/>
  <c r="L337" i="3"/>
  <c r="K337" i="3"/>
  <c r="J337" i="3"/>
  <c r="I337" i="3"/>
  <c r="H337" i="3"/>
  <c r="G337" i="3"/>
  <c r="F337" i="3"/>
  <c r="E337" i="3"/>
  <c r="D337" i="3"/>
  <c r="C337" i="3"/>
  <c r="B337" i="3"/>
  <c r="A337" i="3"/>
  <c r="M336" i="3"/>
  <c r="L336" i="3"/>
  <c r="K336" i="3"/>
  <c r="J336" i="3"/>
  <c r="I336" i="3"/>
  <c r="H336" i="3"/>
  <c r="G336" i="3"/>
  <c r="F336" i="3"/>
  <c r="E336" i="3"/>
  <c r="D336" i="3"/>
  <c r="C336" i="3"/>
  <c r="B336" i="3"/>
  <c r="A336" i="3"/>
  <c r="M335" i="3"/>
  <c r="L335" i="3"/>
  <c r="K335" i="3"/>
  <c r="J335" i="3"/>
  <c r="I335" i="3"/>
  <c r="H335" i="3"/>
  <c r="G335" i="3"/>
  <c r="F335" i="3"/>
  <c r="E335" i="3"/>
  <c r="D335" i="3"/>
  <c r="C335" i="3"/>
  <c r="B335" i="3"/>
  <c r="A335" i="3"/>
  <c r="M334" i="3"/>
  <c r="L334" i="3"/>
  <c r="K334" i="3"/>
  <c r="J334" i="3"/>
  <c r="I334" i="3"/>
  <c r="H334" i="3"/>
  <c r="G334" i="3"/>
  <c r="F334" i="3"/>
  <c r="E334" i="3"/>
  <c r="D334" i="3"/>
  <c r="C334" i="3"/>
  <c r="B334" i="3"/>
  <c r="A334" i="3"/>
  <c r="M333" i="3"/>
  <c r="L333" i="3"/>
  <c r="K333" i="3"/>
  <c r="J333" i="3"/>
  <c r="I333" i="3"/>
  <c r="H333" i="3"/>
  <c r="G333" i="3"/>
  <c r="F333" i="3"/>
  <c r="E333" i="3"/>
  <c r="D333" i="3"/>
  <c r="C333" i="3"/>
  <c r="B333" i="3"/>
  <c r="A333" i="3"/>
  <c r="M332" i="3"/>
  <c r="L332" i="3"/>
  <c r="K332" i="3"/>
  <c r="J332" i="3"/>
  <c r="I332" i="3"/>
  <c r="H332" i="3"/>
  <c r="G332" i="3"/>
  <c r="F332" i="3"/>
  <c r="E332" i="3"/>
  <c r="D332" i="3"/>
  <c r="C332" i="3"/>
  <c r="B332" i="3"/>
  <c r="A332" i="3"/>
  <c r="M331" i="3"/>
  <c r="L331" i="3"/>
  <c r="K331" i="3"/>
  <c r="J331" i="3"/>
  <c r="I331" i="3"/>
  <c r="H331" i="3"/>
  <c r="G331" i="3"/>
  <c r="F331" i="3"/>
  <c r="E331" i="3"/>
  <c r="D331" i="3"/>
  <c r="C331" i="3"/>
  <c r="B331" i="3"/>
  <c r="A331" i="3"/>
  <c r="M330" i="3"/>
  <c r="L330" i="3"/>
  <c r="K330" i="3"/>
  <c r="J330" i="3"/>
  <c r="I330" i="3"/>
  <c r="H330" i="3"/>
  <c r="G330" i="3"/>
  <c r="F330" i="3"/>
  <c r="E330" i="3"/>
  <c r="D330" i="3"/>
  <c r="C330" i="3"/>
  <c r="B330" i="3"/>
  <c r="A330" i="3"/>
  <c r="M329" i="3"/>
  <c r="L329" i="3"/>
  <c r="K329" i="3"/>
  <c r="J329" i="3"/>
  <c r="I329" i="3"/>
  <c r="H329" i="3"/>
  <c r="G329" i="3"/>
  <c r="F329" i="3"/>
  <c r="E329" i="3"/>
  <c r="D329" i="3"/>
  <c r="C329" i="3"/>
  <c r="B329" i="3"/>
  <c r="A329" i="3"/>
  <c r="M328" i="3"/>
  <c r="L328" i="3"/>
  <c r="K328" i="3"/>
  <c r="J328" i="3"/>
  <c r="I328" i="3"/>
  <c r="H328" i="3"/>
  <c r="G328" i="3"/>
  <c r="F328" i="3"/>
  <c r="E328" i="3"/>
  <c r="D328" i="3"/>
  <c r="C328" i="3"/>
  <c r="B328" i="3"/>
  <c r="A328" i="3"/>
  <c r="M327" i="3"/>
  <c r="L327" i="3"/>
  <c r="K327" i="3"/>
  <c r="J327" i="3"/>
  <c r="I327" i="3"/>
  <c r="H327" i="3"/>
  <c r="G327" i="3"/>
  <c r="F327" i="3"/>
  <c r="E327" i="3"/>
  <c r="D327" i="3"/>
  <c r="C327" i="3"/>
  <c r="B327" i="3"/>
  <c r="A327" i="3"/>
  <c r="M326" i="3"/>
  <c r="L326" i="3"/>
  <c r="K326" i="3"/>
  <c r="J326" i="3"/>
  <c r="I326" i="3"/>
  <c r="H326" i="3"/>
  <c r="G326" i="3"/>
  <c r="F326" i="3"/>
  <c r="E326" i="3"/>
  <c r="D326" i="3"/>
  <c r="C326" i="3"/>
  <c r="B326" i="3"/>
  <c r="A326" i="3"/>
  <c r="M325" i="3"/>
  <c r="L325" i="3"/>
  <c r="K325" i="3"/>
  <c r="J325" i="3"/>
  <c r="I325" i="3"/>
  <c r="H325" i="3"/>
  <c r="G325" i="3"/>
  <c r="F325" i="3"/>
  <c r="E325" i="3"/>
  <c r="D325" i="3"/>
  <c r="C325" i="3"/>
  <c r="B325" i="3"/>
  <c r="A325" i="3"/>
  <c r="M324" i="3"/>
  <c r="L324" i="3"/>
  <c r="K324" i="3"/>
  <c r="J324" i="3"/>
  <c r="I324" i="3"/>
  <c r="H324" i="3"/>
  <c r="G324" i="3"/>
  <c r="F324" i="3"/>
  <c r="E324" i="3"/>
  <c r="D324" i="3"/>
  <c r="C324" i="3"/>
  <c r="B324" i="3"/>
  <c r="A324" i="3"/>
  <c r="M323" i="3"/>
  <c r="L323" i="3"/>
  <c r="K323" i="3"/>
  <c r="J323" i="3"/>
  <c r="I323" i="3"/>
  <c r="H323" i="3"/>
  <c r="G323" i="3"/>
  <c r="F323" i="3"/>
  <c r="E323" i="3"/>
  <c r="D323" i="3"/>
  <c r="C323" i="3"/>
  <c r="B323" i="3"/>
  <c r="A323" i="3"/>
  <c r="M322" i="3"/>
  <c r="L322" i="3"/>
  <c r="K322" i="3"/>
  <c r="J322" i="3"/>
  <c r="I322" i="3"/>
  <c r="H322" i="3"/>
  <c r="G322" i="3"/>
  <c r="F322" i="3"/>
  <c r="D322" i="3"/>
  <c r="C322" i="3"/>
  <c r="B322" i="3"/>
  <c r="A322" i="3"/>
  <c r="M321" i="3"/>
  <c r="L321" i="3"/>
  <c r="K321" i="3"/>
  <c r="J321" i="3"/>
  <c r="I321" i="3"/>
  <c r="H321" i="3"/>
  <c r="G321" i="3"/>
  <c r="F321" i="3"/>
  <c r="E321" i="3"/>
  <c r="D321" i="3"/>
  <c r="C321" i="3"/>
  <c r="B321" i="3"/>
  <c r="A321" i="3"/>
  <c r="M320" i="3"/>
  <c r="L320" i="3"/>
  <c r="K320" i="3"/>
  <c r="J320" i="3"/>
  <c r="I320" i="3"/>
  <c r="H320" i="3"/>
  <c r="G320" i="3"/>
  <c r="F320" i="3"/>
  <c r="E320" i="3"/>
  <c r="D320" i="3"/>
  <c r="C320" i="3"/>
  <c r="B320" i="3"/>
  <c r="A320" i="3"/>
  <c r="M319" i="3"/>
  <c r="L319" i="3"/>
  <c r="K319" i="3"/>
  <c r="J319" i="3"/>
  <c r="I319" i="3"/>
  <c r="H319" i="3"/>
  <c r="G319" i="3"/>
  <c r="F319" i="3"/>
  <c r="E319" i="3"/>
  <c r="D319" i="3"/>
  <c r="C319" i="3"/>
  <c r="B319" i="3"/>
  <c r="A319" i="3"/>
  <c r="M318" i="3"/>
  <c r="L318" i="3"/>
  <c r="K318" i="3"/>
  <c r="J318" i="3"/>
  <c r="I318" i="3"/>
  <c r="H318" i="3"/>
  <c r="G318" i="3"/>
  <c r="F318" i="3"/>
  <c r="E318" i="3"/>
  <c r="D318" i="3"/>
  <c r="C318" i="3"/>
  <c r="B318" i="3"/>
  <c r="A318" i="3"/>
  <c r="M317" i="3"/>
  <c r="L317" i="3"/>
  <c r="K317" i="3"/>
  <c r="J317" i="3"/>
  <c r="I317" i="3"/>
  <c r="H317" i="3"/>
  <c r="G317" i="3"/>
  <c r="F317" i="3"/>
  <c r="D317" i="3"/>
  <c r="C317" i="3"/>
  <c r="B317" i="3"/>
  <c r="A317" i="3"/>
  <c r="M316" i="3"/>
  <c r="L316" i="3"/>
  <c r="K316" i="3"/>
  <c r="J316" i="3"/>
  <c r="I316" i="3"/>
  <c r="H316" i="3"/>
  <c r="G316" i="3"/>
  <c r="F316" i="3"/>
  <c r="E316" i="3"/>
  <c r="D316" i="3"/>
  <c r="C316" i="3"/>
  <c r="B316" i="3"/>
  <c r="A316" i="3"/>
  <c r="M315" i="3"/>
  <c r="L315" i="3"/>
  <c r="K315" i="3"/>
  <c r="J315" i="3"/>
  <c r="I315" i="3"/>
  <c r="H315" i="3"/>
  <c r="G315" i="3"/>
  <c r="F315" i="3"/>
  <c r="E315" i="3"/>
  <c r="D315" i="3"/>
  <c r="C315" i="3"/>
  <c r="B315" i="3"/>
  <c r="A315" i="3"/>
  <c r="M314" i="3"/>
  <c r="L314" i="3"/>
  <c r="K314" i="3"/>
  <c r="J314" i="3"/>
  <c r="I314" i="3"/>
  <c r="H314" i="3"/>
  <c r="G314" i="3"/>
  <c r="F314" i="3"/>
  <c r="E314" i="3"/>
  <c r="D314" i="3"/>
  <c r="C314" i="3"/>
  <c r="B314" i="3"/>
  <c r="A314" i="3"/>
  <c r="M313" i="3"/>
  <c r="L313" i="3"/>
  <c r="K313" i="3"/>
  <c r="J313" i="3"/>
  <c r="I313" i="3"/>
  <c r="H313" i="3"/>
  <c r="G313" i="3"/>
  <c r="F313" i="3"/>
  <c r="E313" i="3"/>
  <c r="D313" i="3"/>
  <c r="C313" i="3"/>
  <c r="B313" i="3"/>
  <c r="A313" i="3"/>
  <c r="M312" i="3"/>
  <c r="L312" i="3"/>
  <c r="K312" i="3"/>
  <c r="J312" i="3"/>
  <c r="I312" i="3"/>
  <c r="H312" i="3"/>
  <c r="F312" i="3"/>
  <c r="D312" i="3"/>
  <c r="C312" i="3"/>
  <c r="B312" i="3"/>
  <c r="A312" i="3"/>
  <c r="M311" i="3"/>
  <c r="L311" i="3"/>
  <c r="K311" i="3"/>
  <c r="J311" i="3"/>
  <c r="I311" i="3"/>
  <c r="H311" i="3"/>
  <c r="F311" i="3"/>
  <c r="E311" i="3"/>
  <c r="D311" i="3"/>
  <c r="C311" i="3"/>
  <c r="B311" i="3"/>
  <c r="A311" i="3"/>
  <c r="M310" i="3"/>
  <c r="L310" i="3"/>
  <c r="K310" i="3"/>
  <c r="J310" i="3"/>
  <c r="I310" i="3"/>
  <c r="H310" i="3"/>
  <c r="G310" i="3"/>
  <c r="F310" i="3"/>
  <c r="E310" i="3"/>
  <c r="D310" i="3"/>
  <c r="C310" i="3"/>
  <c r="B310" i="3"/>
  <c r="A310" i="3"/>
  <c r="M309" i="3"/>
  <c r="L309" i="3"/>
  <c r="K309" i="3"/>
  <c r="J309" i="3"/>
  <c r="I309" i="3"/>
  <c r="H309" i="3"/>
  <c r="G309" i="3"/>
  <c r="F309" i="3"/>
  <c r="E309" i="3"/>
  <c r="D309" i="3"/>
  <c r="C309" i="3"/>
  <c r="B309" i="3"/>
  <c r="A309" i="3"/>
  <c r="M308" i="3"/>
  <c r="L308" i="3"/>
  <c r="K308" i="3"/>
  <c r="J308" i="3"/>
  <c r="I308" i="3"/>
  <c r="H308" i="3"/>
  <c r="G308" i="3"/>
  <c r="F308" i="3"/>
  <c r="E308" i="3"/>
  <c r="D308" i="3"/>
  <c r="C308" i="3"/>
  <c r="B308" i="3"/>
  <c r="A308" i="3"/>
  <c r="M307" i="3"/>
  <c r="L307" i="3"/>
  <c r="K307" i="3"/>
  <c r="J307" i="3"/>
  <c r="I307" i="3"/>
  <c r="H307" i="3"/>
  <c r="G307" i="3"/>
  <c r="F307" i="3"/>
  <c r="E307" i="3"/>
  <c r="D307" i="3"/>
  <c r="C307" i="3"/>
  <c r="B307" i="3"/>
  <c r="A307" i="3"/>
  <c r="M306" i="3"/>
  <c r="L306" i="3"/>
  <c r="K306" i="3"/>
  <c r="J306" i="3"/>
  <c r="I306" i="3"/>
  <c r="H306" i="3"/>
  <c r="G306" i="3"/>
  <c r="F306" i="3"/>
  <c r="E306" i="3"/>
  <c r="D306" i="3"/>
  <c r="C306" i="3"/>
  <c r="B306" i="3"/>
  <c r="A306" i="3"/>
  <c r="M305" i="3"/>
  <c r="L305" i="3"/>
  <c r="K305" i="3"/>
  <c r="J305" i="3"/>
  <c r="I305" i="3"/>
  <c r="H305" i="3"/>
  <c r="G305" i="3"/>
  <c r="F305" i="3"/>
  <c r="E305" i="3"/>
  <c r="D305" i="3"/>
  <c r="C305" i="3"/>
  <c r="B305" i="3"/>
  <c r="A305" i="3"/>
  <c r="M304" i="3"/>
  <c r="L304" i="3"/>
  <c r="K304" i="3"/>
  <c r="J304" i="3"/>
  <c r="I304" i="3"/>
  <c r="H304" i="3"/>
  <c r="G304" i="3"/>
  <c r="F304" i="3"/>
  <c r="E304" i="3"/>
  <c r="D304" i="3"/>
  <c r="C304" i="3"/>
  <c r="B304" i="3"/>
  <c r="A304" i="3"/>
  <c r="M303" i="3"/>
  <c r="L303" i="3"/>
  <c r="K303" i="3"/>
  <c r="J303" i="3"/>
  <c r="I303" i="3"/>
  <c r="H303" i="3"/>
  <c r="G303" i="3"/>
  <c r="F303" i="3"/>
  <c r="E303" i="3"/>
  <c r="D303" i="3"/>
  <c r="C303" i="3"/>
  <c r="B303" i="3"/>
  <c r="A303" i="3"/>
  <c r="M302" i="3"/>
  <c r="L302" i="3"/>
  <c r="K302" i="3"/>
  <c r="J302" i="3"/>
  <c r="I302" i="3"/>
  <c r="H302" i="3"/>
  <c r="G302" i="3"/>
  <c r="F302" i="3"/>
  <c r="E302" i="3"/>
  <c r="D302" i="3"/>
  <c r="C302" i="3"/>
  <c r="B302" i="3"/>
  <c r="A302" i="3"/>
  <c r="M301" i="3"/>
  <c r="L301" i="3"/>
  <c r="K301" i="3"/>
  <c r="J301" i="3"/>
  <c r="I301" i="3"/>
  <c r="H301" i="3"/>
  <c r="G301" i="3"/>
  <c r="F301" i="3"/>
  <c r="E301" i="3"/>
  <c r="D301" i="3"/>
  <c r="C301" i="3"/>
  <c r="B301" i="3"/>
  <c r="A301" i="3"/>
  <c r="M300" i="3"/>
  <c r="L300" i="3"/>
  <c r="K300" i="3"/>
  <c r="J300" i="3"/>
  <c r="I300" i="3"/>
  <c r="H300" i="3"/>
  <c r="G300" i="3"/>
  <c r="F300" i="3"/>
  <c r="E300" i="3"/>
  <c r="D300" i="3"/>
  <c r="C300" i="3"/>
  <c r="B300" i="3"/>
  <c r="A300" i="3"/>
  <c r="M299" i="3"/>
  <c r="L299" i="3"/>
  <c r="K299" i="3"/>
  <c r="J299" i="3"/>
  <c r="I299" i="3"/>
  <c r="H299" i="3"/>
  <c r="G299" i="3"/>
  <c r="F299" i="3"/>
  <c r="E299" i="3"/>
  <c r="D299" i="3"/>
  <c r="C299" i="3"/>
  <c r="B299" i="3"/>
  <c r="A299" i="3"/>
  <c r="M298" i="3"/>
  <c r="L298" i="3"/>
  <c r="K298" i="3"/>
  <c r="J298" i="3"/>
  <c r="I298" i="3"/>
  <c r="H298" i="3"/>
  <c r="G298" i="3"/>
  <c r="F298" i="3"/>
  <c r="E298" i="3"/>
  <c r="D298" i="3"/>
  <c r="C298" i="3"/>
  <c r="B298" i="3"/>
  <c r="A298" i="3"/>
  <c r="M297" i="3"/>
  <c r="L297" i="3"/>
  <c r="K297" i="3"/>
  <c r="J297" i="3"/>
  <c r="I297" i="3"/>
  <c r="H297" i="3"/>
  <c r="G297" i="3"/>
  <c r="F297" i="3"/>
  <c r="E297" i="3"/>
  <c r="D297" i="3"/>
  <c r="C297" i="3"/>
  <c r="B297" i="3"/>
  <c r="A297" i="3"/>
  <c r="M296" i="3"/>
  <c r="L296" i="3"/>
  <c r="K296" i="3"/>
  <c r="J296" i="3"/>
  <c r="I296" i="3"/>
  <c r="H296" i="3"/>
  <c r="G296" i="3"/>
  <c r="F296" i="3"/>
  <c r="E296" i="3"/>
  <c r="D296" i="3"/>
  <c r="C296" i="3"/>
  <c r="B296" i="3"/>
  <c r="A296" i="3"/>
  <c r="M295" i="3"/>
  <c r="L295" i="3"/>
  <c r="K295" i="3"/>
  <c r="J295" i="3"/>
  <c r="I295" i="3"/>
  <c r="H295" i="3"/>
  <c r="G295" i="3"/>
  <c r="F295" i="3"/>
  <c r="E295" i="3"/>
  <c r="D295" i="3"/>
  <c r="C295" i="3"/>
  <c r="B295" i="3"/>
  <c r="A295" i="3"/>
  <c r="M294" i="3"/>
  <c r="L294" i="3"/>
  <c r="K294" i="3"/>
  <c r="J294" i="3"/>
  <c r="I294" i="3"/>
  <c r="H294" i="3"/>
  <c r="G294" i="3"/>
  <c r="F294" i="3"/>
  <c r="E294" i="3"/>
  <c r="D294" i="3"/>
  <c r="C294" i="3"/>
  <c r="B294" i="3"/>
  <c r="A294" i="3"/>
  <c r="M293" i="3"/>
  <c r="L293" i="3"/>
  <c r="K293" i="3"/>
  <c r="J293" i="3"/>
  <c r="I293" i="3"/>
  <c r="H293" i="3"/>
  <c r="G293" i="3"/>
  <c r="F293" i="3"/>
  <c r="E293" i="3"/>
  <c r="D293" i="3"/>
  <c r="C293" i="3"/>
  <c r="B293" i="3"/>
  <c r="A293" i="3"/>
  <c r="M292" i="3"/>
  <c r="L292" i="3"/>
  <c r="K292" i="3"/>
  <c r="J292" i="3"/>
  <c r="I292" i="3"/>
  <c r="H292" i="3"/>
  <c r="G292" i="3"/>
  <c r="F292" i="3"/>
  <c r="E292" i="3"/>
  <c r="D292" i="3"/>
  <c r="C292" i="3"/>
  <c r="B292" i="3"/>
  <c r="A292" i="3"/>
  <c r="M291" i="3"/>
  <c r="L291" i="3"/>
  <c r="K291" i="3"/>
  <c r="J291" i="3"/>
  <c r="I291" i="3"/>
  <c r="H291" i="3"/>
  <c r="G291" i="3"/>
  <c r="F291" i="3"/>
  <c r="E291" i="3"/>
  <c r="D291" i="3"/>
  <c r="C291" i="3"/>
  <c r="B291" i="3"/>
  <c r="A291" i="3"/>
  <c r="M290" i="3"/>
  <c r="L290" i="3"/>
  <c r="K290" i="3"/>
  <c r="J290" i="3"/>
  <c r="I290" i="3"/>
  <c r="H290" i="3"/>
  <c r="F290" i="3"/>
  <c r="E290" i="3"/>
  <c r="D290" i="3"/>
  <c r="C290" i="3"/>
  <c r="B290" i="3"/>
  <c r="A290" i="3"/>
  <c r="M289" i="3"/>
  <c r="L289" i="3"/>
  <c r="K289" i="3"/>
  <c r="J289" i="3"/>
  <c r="I289" i="3"/>
  <c r="H289" i="3"/>
  <c r="G289" i="3"/>
  <c r="F289" i="3"/>
  <c r="E289" i="3"/>
  <c r="D289" i="3"/>
  <c r="C289" i="3"/>
  <c r="B289" i="3"/>
  <c r="A289" i="3"/>
  <c r="M288" i="3"/>
  <c r="L288" i="3"/>
  <c r="K288" i="3"/>
  <c r="J288" i="3"/>
  <c r="I288" i="3"/>
  <c r="H288" i="3"/>
  <c r="G288" i="3"/>
  <c r="F288" i="3"/>
  <c r="E288" i="3"/>
  <c r="D288" i="3"/>
  <c r="C288" i="3"/>
  <c r="B288" i="3"/>
  <c r="A288" i="3"/>
  <c r="M287" i="3"/>
  <c r="L287" i="3"/>
  <c r="K287" i="3"/>
  <c r="J287" i="3"/>
  <c r="I287" i="3"/>
  <c r="H287" i="3"/>
  <c r="G287" i="3"/>
  <c r="F287" i="3"/>
  <c r="E287" i="3"/>
  <c r="D287" i="3"/>
  <c r="C287" i="3"/>
  <c r="B287" i="3"/>
  <c r="A287" i="3"/>
  <c r="M286" i="3"/>
  <c r="L286" i="3"/>
  <c r="K286" i="3"/>
  <c r="J286" i="3"/>
  <c r="I286" i="3"/>
  <c r="H286" i="3"/>
  <c r="G286" i="3"/>
  <c r="F286" i="3"/>
  <c r="E286" i="3"/>
  <c r="D286" i="3"/>
  <c r="C286" i="3"/>
  <c r="B286" i="3"/>
  <c r="A286" i="3"/>
  <c r="M285" i="3"/>
  <c r="L285" i="3"/>
  <c r="K285" i="3"/>
  <c r="J285" i="3"/>
  <c r="I285" i="3"/>
  <c r="H285" i="3"/>
  <c r="G285" i="3"/>
  <c r="F285" i="3"/>
  <c r="E285" i="3"/>
  <c r="D285" i="3"/>
  <c r="C285" i="3"/>
  <c r="B285" i="3"/>
  <c r="A285" i="3"/>
  <c r="M284" i="3"/>
  <c r="L284" i="3"/>
  <c r="K284" i="3"/>
  <c r="J284" i="3"/>
  <c r="I284" i="3"/>
  <c r="H284" i="3"/>
  <c r="G284" i="3"/>
  <c r="F284" i="3"/>
  <c r="E284" i="3"/>
  <c r="D284" i="3"/>
  <c r="C284" i="3"/>
  <c r="B284" i="3"/>
  <c r="A284" i="3"/>
  <c r="M283" i="3"/>
  <c r="L283" i="3"/>
  <c r="K283" i="3"/>
  <c r="J283" i="3"/>
  <c r="I283" i="3"/>
  <c r="H283" i="3"/>
  <c r="G283" i="3"/>
  <c r="F283" i="3"/>
  <c r="E283" i="3"/>
  <c r="D283" i="3"/>
  <c r="C283" i="3"/>
  <c r="B283" i="3"/>
  <c r="A283" i="3"/>
  <c r="M282" i="3"/>
  <c r="L282" i="3"/>
  <c r="K282" i="3"/>
  <c r="J282" i="3"/>
  <c r="I282" i="3"/>
  <c r="H282" i="3"/>
  <c r="G282" i="3"/>
  <c r="F282" i="3"/>
  <c r="E282" i="3"/>
  <c r="D282" i="3"/>
  <c r="C282" i="3"/>
  <c r="B282" i="3"/>
  <c r="A282" i="3"/>
  <c r="M281" i="3"/>
  <c r="L281" i="3"/>
  <c r="K281" i="3"/>
  <c r="J281" i="3"/>
  <c r="I281" i="3"/>
  <c r="H281" i="3"/>
  <c r="G281" i="3"/>
  <c r="F281" i="3"/>
  <c r="E281" i="3"/>
  <c r="D281" i="3"/>
  <c r="C281" i="3"/>
  <c r="B281" i="3"/>
  <c r="A281" i="3"/>
  <c r="M280" i="3"/>
  <c r="L280" i="3"/>
  <c r="K280" i="3"/>
  <c r="J280" i="3"/>
  <c r="I280" i="3"/>
  <c r="H280" i="3"/>
  <c r="G280" i="3"/>
  <c r="F280" i="3"/>
  <c r="E280" i="3"/>
  <c r="D280" i="3"/>
  <c r="C280" i="3"/>
  <c r="B280" i="3"/>
  <c r="A280" i="3"/>
  <c r="M279" i="3"/>
  <c r="L279" i="3"/>
  <c r="K279" i="3"/>
  <c r="J279" i="3"/>
  <c r="I279" i="3"/>
  <c r="H279" i="3"/>
  <c r="G279" i="3"/>
  <c r="F279" i="3"/>
  <c r="E279" i="3"/>
  <c r="D279" i="3"/>
  <c r="C279" i="3"/>
  <c r="B279" i="3"/>
  <c r="A279" i="3"/>
  <c r="M278" i="3"/>
  <c r="L278" i="3"/>
  <c r="K278" i="3"/>
  <c r="J278" i="3"/>
  <c r="I278" i="3"/>
  <c r="H278" i="3"/>
  <c r="G278" i="3"/>
  <c r="F278" i="3"/>
  <c r="E278" i="3"/>
  <c r="D278" i="3"/>
  <c r="C278" i="3"/>
  <c r="B278" i="3"/>
  <c r="A278" i="3"/>
  <c r="M277" i="3"/>
  <c r="L277" i="3"/>
  <c r="K277" i="3"/>
  <c r="J277" i="3"/>
  <c r="I277" i="3"/>
  <c r="H277" i="3"/>
  <c r="G277" i="3"/>
  <c r="F277" i="3"/>
  <c r="E277" i="3"/>
  <c r="D277" i="3"/>
  <c r="C277" i="3"/>
  <c r="B277" i="3"/>
  <c r="A277" i="3"/>
  <c r="M276" i="3"/>
  <c r="L276" i="3"/>
  <c r="K276" i="3"/>
  <c r="J276" i="3"/>
  <c r="I276" i="3"/>
  <c r="H276" i="3"/>
  <c r="G276" i="3"/>
  <c r="F276" i="3"/>
  <c r="E276" i="3"/>
  <c r="D276" i="3"/>
  <c r="C276" i="3"/>
  <c r="B276" i="3"/>
  <c r="A276" i="3"/>
  <c r="M275" i="3"/>
  <c r="L275" i="3"/>
  <c r="K275" i="3"/>
  <c r="J275" i="3"/>
  <c r="I275" i="3"/>
  <c r="H275" i="3"/>
  <c r="G275" i="3"/>
  <c r="F275" i="3"/>
  <c r="E275" i="3"/>
  <c r="D275" i="3"/>
  <c r="C275" i="3"/>
  <c r="B275" i="3"/>
  <c r="A275" i="3"/>
  <c r="M274" i="3"/>
  <c r="L274" i="3"/>
  <c r="K274" i="3"/>
  <c r="J274" i="3"/>
  <c r="I274" i="3"/>
  <c r="H274" i="3"/>
  <c r="G274" i="3"/>
  <c r="F274" i="3"/>
  <c r="E274" i="3"/>
  <c r="D274" i="3"/>
  <c r="C274" i="3"/>
  <c r="B274" i="3"/>
  <c r="A274" i="3"/>
  <c r="M273" i="3"/>
  <c r="L273" i="3"/>
  <c r="K273" i="3"/>
  <c r="J273" i="3"/>
  <c r="I273" i="3"/>
  <c r="H273" i="3"/>
  <c r="G273" i="3"/>
  <c r="F273" i="3"/>
  <c r="E273" i="3"/>
  <c r="D273" i="3"/>
  <c r="C273" i="3"/>
  <c r="B273" i="3"/>
  <c r="A273" i="3"/>
  <c r="M272" i="3"/>
  <c r="L272" i="3"/>
  <c r="K272" i="3"/>
  <c r="J272" i="3"/>
  <c r="I272" i="3"/>
  <c r="H272" i="3"/>
  <c r="G272" i="3"/>
  <c r="F272" i="3"/>
  <c r="E272" i="3"/>
  <c r="D272" i="3"/>
  <c r="C272" i="3"/>
  <c r="B272" i="3"/>
  <c r="A272" i="3"/>
  <c r="M271" i="3"/>
  <c r="L271" i="3"/>
  <c r="K271" i="3"/>
  <c r="J271" i="3"/>
  <c r="I271" i="3"/>
  <c r="H271" i="3"/>
  <c r="G271" i="3"/>
  <c r="F271" i="3"/>
  <c r="E271" i="3"/>
  <c r="D271" i="3"/>
  <c r="C271" i="3"/>
  <c r="B271" i="3"/>
  <c r="A271" i="3"/>
  <c r="M270" i="3"/>
  <c r="L270" i="3"/>
  <c r="K270" i="3"/>
  <c r="J270" i="3"/>
  <c r="I270" i="3"/>
  <c r="H270" i="3"/>
  <c r="G270" i="3"/>
  <c r="F270" i="3"/>
  <c r="E270" i="3"/>
  <c r="D270" i="3"/>
  <c r="C270" i="3"/>
  <c r="B270" i="3"/>
  <c r="A270" i="3"/>
  <c r="M269" i="3"/>
  <c r="L269" i="3"/>
  <c r="K269" i="3"/>
  <c r="J269" i="3"/>
  <c r="I269" i="3"/>
  <c r="H269" i="3"/>
  <c r="G269" i="3"/>
  <c r="F269" i="3"/>
  <c r="E269" i="3"/>
  <c r="D269" i="3"/>
  <c r="C269" i="3"/>
  <c r="B269" i="3"/>
  <c r="A269" i="3"/>
  <c r="M268" i="3"/>
  <c r="L268" i="3"/>
  <c r="K268" i="3"/>
  <c r="J268" i="3"/>
  <c r="I268" i="3"/>
  <c r="H268" i="3"/>
  <c r="G268" i="3"/>
  <c r="F268" i="3"/>
  <c r="E268" i="3"/>
  <c r="D268" i="3"/>
  <c r="C268" i="3"/>
  <c r="B268" i="3"/>
  <c r="A268" i="3"/>
  <c r="M267" i="3"/>
  <c r="L267" i="3"/>
  <c r="K267" i="3"/>
  <c r="J267" i="3"/>
  <c r="I267" i="3"/>
  <c r="H267" i="3"/>
  <c r="G267" i="3"/>
  <c r="F267" i="3"/>
  <c r="E267" i="3"/>
  <c r="D267" i="3"/>
  <c r="C267" i="3"/>
  <c r="B267" i="3"/>
  <c r="A267" i="3"/>
  <c r="M266" i="3"/>
  <c r="L266" i="3"/>
  <c r="K266" i="3"/>
  <c r="J266" i="3"/>
  <c r="I266" i="3"/>
  <c r="H266" i="3"/>
  <c r="G266" i="3"/>
  <c r="F266" i="3"/>
  <c r="E266" i="3"/>
  <c r="D266" i="3"/>
  <c r="C266" i="3"/>
  <c r="B266" i="3"/>
  <c r="A266" i="3"/>
  <c r="M265" i="3"/>
  <c r="L265" i="3"/>
  <c r="K265" i="3"/>
  <c r="J265" i="3"/>
  <c r="I265" i="3"/>
  <c r="H265" i="3"/>
  <c r="G265" i="3"/>
  <c r="F265" i="3"/>
  <c r="E265" i="3"/>
  <c r="D265" i="3"/>
  <c r="C265" i="3"/>
  <c r="B265" i="3"/>
  <c r="A265" i="3"/>
  <c r="M264" i="3"/>
  <c r="L264" i="3"/>
  <c r="K264" i="3"/>
  <c r="J264" i="3"/>
  <c r="I264" i="3"/>
  <c r="H264" i="3"/>
  <c r="G264" i="3"/>
  <c r="F264" i="3"/>
  <c r="E264" i="3"/>
  <c r="D264" i="3"/>
  <c r="C264" i="3"/>
  <c r="B264" i="3"/>
  <c r="A264" i="3"/>
  <c r="M263" i="3"/>
  <c r="L263" i="3"/>
  <c r="K263" i="3"/>
  <c r="J263" i="3"/>
  <c r="I263" i="3"/>
  <c r="H263" i="3"/>
  <c r="G263" i="3"/>
  <c r="F263" i="3"/>
  <c r="E263" i="3"/>
  <c r="D263" i="3"/>
  <c r="C263" i="3"/>
  <c r="B263" i="3"/>
  <c r="A263" i="3"/>
  <c r="M262" i="3"/>
  <c r="L262" i="3"/>
  <c r="K262" i="3"/>
  <c r="J262" i="3"/>
  <c r="I262" i="3"/>
  <c r="H262" i="3"/>
  <c r="G262" i="3"/>
  <c r="F262" i="3"/>
  <c r="E262" i="3"/>
  <c r="D262" i="3"/>
  <c r="C262" i="3"/>
  <c r="B262" i="3"/>
  <c r="A262" i="3"/>
  <c r="M261" i="3"/>
  <c r="L261" i="3"/>
  <c r="K261" i="3"/>
  <c r="J261" i="3"/>
  <c r="I261" i="3"/>
  <c r="H261" i="3"/>
  <c r="G261" i="3"/>
  <c r="F261" i="3"/>
  <c r="E261" i="3"/>
  <c r="D261" i="3"/>
  <c r="C261" i="3"/>
  <c r="B261" i="3"/>
  <c r="A261" i="3"/>
  <c r="M260" i="3"/>
  <c r="L260" i="3"/>
  <c r="K260" i="3"/>
  <c r="J260" i="3"/>
  <c r="I260" i="3"/>
  <c r="H260" i="3"/>
  <c r="G260" i="3"/>
  <c r="F260" i="3"/>
  <c r="E260" i="3"/>
  <c r="D260" i="3"/>
  <c r="C260" i="3"/>
  <c r="B260" i="3"/>
  <c r="A260" i="3"/>
  <c r="M259" i="3"/>
  <c r="L259" i="3"/>
  <c r="K259" i="3"/>
  <c r="J259" i="3"/>
  <c r="I259" i="3"/>
  <c r="H259" i="3"/>
  <c r="G259" i="3"/>
  <c r="F259" i="3"/>
  <c r="E259" i="3"/>
  <c r="D259" i="3"/>
  <c r="C259" i="3"/>
  <c r="B259" i="3"/>
  <c r="A259" i="3"/>
  <c r="M258" i="3"/>
  <c r="L258" i="3"/>
  <c r="K258" i="3"/>
  <c r="J258" i="3"/>
  <c r="I258" i="3"/>
  <c r="H258" i="3"/>
  <c r="G258" i="3"/>
  <c r="F258" i="3"/>
  <c r="E258" i="3"/>
  <c r="D258" i="3"/>
  <c r="C258" i="3"/>
  <c r="B258" i="3"/>
  <c r="A258" i="3"/>
  <c r="M257" i="3"/>
  <c r="L257" i="3"/>
  <c r="K257" i="3"/>
  <c r="J257" i="3"/>
  <c r="I257" i="3"/>
  <c r="H257" i="3"/>
  <c r="G257" i="3"/>
  <c r="F257" i="3"/>
  <c r="E257" i="3"/>
  <c r="D257" i="3"/>
  <c r="C257" i="3"/>
  <c r="B257" i="3"/>
  <c r="A257" i="3"/>
  <c r="M256" i="3"/>
  <c r="L256" i="3"/>
  <c r="K256" i="3"/>
  <c r="J256" i="3"/>
  <c r="I256" i="3"/>
  <c r="H256" i="3"/>
  <c r="G256" i="3"/>
  <c r="F256" i="3"/>
  <c r="E256" i="3"/>
  <c r="D256" i="3"/>
  <c r="C256" i="3"/>
  <c r="B256" i="3"/>
  <c r="A256" i="3"/>
  <c r="M255" i="3"/>
  <c r="L255" i="3"/>
  <c r="K255" i="3"/>
  <c r="J255" i="3"/>
  <c r="I255" i="3"/>
  <c r="H255" i="3"/>
  <c r="G255" i="3"/>
  <c r="F255" i="3"/>
  <c r="E255" i="3"/>
  <c r="D255" i="3"/>
  <c r="C255" i="3"/>
  <c r="B255" i="3"/>
  <c r="A255" i="3"/>
  <c r="M254" i="3"/>
  <c r="L254" i="3"/>
  <c r="K254" i="3"/>
  <c r="J254" i="3"/>
  <c r="I254" i="3"/>
  <c r="H254" i="3"/>
  <c r="G254" i="3"/>
  <c r="F254" i="3"/>
  <c r="E254" i="3"/>
  <c r="D254" i="3"/>
  <c r="C254" i="3"/>
  <c r="B254" i="3"/>
  <c r="A254" i="3"/>
  <c r="M253" i="3"/>
  <c r="L253" i="3"/>
  <c r="K253" i="3"/>
  <c r="J253" i="3"/>
  <c r="I253" i="3"/>
  <c r="H253" i="3"/>
  <c r="G253" i="3"/>
  <c r="F253" i="3"/>
  <c r="E253" i="3"/>
  <c r="D253" i="3"/>
  <c r="C253" i="3"/>
  <c r="B253" i="3"/>
  <c r="A253" i="3"/>
  <c r="M252" i="3"/>
  <c r="L252" i="3"/>
  <c r="K252" i="3"/>
  <c r="J252" i="3"/>
  <c r="I252" i="3"/>
  <c r="H252" i="3"/>
  <c r="G252" i="3"/>
  <c r="F252" i="3"/>
  <c r="E252" i="3"/>
  <c r="D252" i="3"/>
  <c r="C252" i="3"/>
  <c r="B252" i="3"/>
  <c r="A252" i="3"/>
  <c r="M251" i="3"/>
  <c r="L251" i="3"/>
  <c r="K251" i="3"/>
  <c r="J251" i="3"/>
  <c r="I251" i="3"/>
  <c r="H251" i="3"/>
  <c r="F251" i="3"/>
  <c r="E251" i="3"/>
  <c r="D251" i="3"/>
  <c r="C251" i="3"/>
  <c r="B251" i="3"/>
  <c r="A251" i="3"/>
  <c r="M250" i="3"/>
  <c r="L250" i="3"/>
  <c r="K250" i="3"/>
  <c r="J250" i="3"/>
  <c r="I250" i="3"/>
  <c r="H250" i="3"/>
  <c r="G250" i="3"/>
  <c r="F250" i="3"/>
  <c r="E250" i="3"/>
  <c r="D250" i="3"/>
  <c r="C250" i="3"/>
  <c r="B250" i="3"/>
  <c r="A250" i="3"/>
  <c r="M249" i="3"/>
  <c r="L249" i="3"/>
  <c r="K249" i="3"/>
  <c r="J249" i="3"/>
  <c r="I249" i="3"/>
  <c r="H249" i="3"/>
  <c r="G249" i="3"/>
  <c r="F249" i="3"/>
  <c r="E249" i="3"/>
  <c r="D249" i="3"/>
  <c r="C249" i="3"/>
  <c r="B249" i="3"/>
  <c r="A249" i="3"/>
  <c r="M248" i="3"/>
  <c r="L248" i="3"/>
  <c r="K248" i="3"/>
  <c r="J248" i="3"/>
  <c r="I248" i="3"/>
  <c r="H248" i="3"/>
  <c r="G248" i="3"/>
  <c r="F248" i="3"/>
  <c r="E248" i="3"/>
  <c r="D248" i="3"/>
  <c r="C248" i="3"/>
  <c r="B248" i="3"/>
  <c r="A248" i="3"/>
  <c r="M247" i="3"/>
  <c r="L247" i="3"/>
  <c r="K247" i="3"/>
  <c r="J247" i="3"/>
  <c r="I247" i="3"/>
  <c r="H247" i="3"/>
  <c r="G247" i="3"/>
  <c r="F247" i="3"/>
  <c r="E247" i="3"/>
  <c r="D247" i="3"/>
  <c r="C247" i="3"/>
  <c r="B247" i="3"/>
  <c r="A247" i="3"/>
  <c r="M246" i="3"/>
  <c r="L246" i="3"/>
  <c r="K246" i="3"/>
  <c r="J246" i="3"/>
  <c r="I246" i="3"/>
  <c r="H246" i="3"/>
  <c r="G246" i="3"/>
  <c r="F246" i="3"/>
  <c r="E246" i="3"/>
  <c r="D246" i="3"/>
  <c r="C246" i="3"/>
  <c r="B246" i="3"/>
  <c r="A246" i="3"/>
  <c r="M245" i="3"/>
  <c r="L245" i="3"/>
  <c r="K245" i="3"/>
  <c r="J245" i="3"/>
  <c r="I245" i="3"/>
  <c r="H245" i="3"/>
  <c r="F245" i="3"/>
  <c r="E245" i="3"/>
  <c r="D245" i="3"/>
  <c r="C245" i="3"/>
  <c r="B245" i="3"/>
  <c r="A245" i="3"/>
  <c r="M244" i="3"/>
  <c r="L244" i="3"/>
  <c r="K244" i="3"/>
  <c r="J244" i="3"/>
  <c r="I244" i="3"/>
  <c r="H244" i="3"/>
  <c r="F244" i="3"/>
  <c r="E244" i="3"/>
  <c r="D244" i="3"/>
  <c r="C244" i="3"/>
  <c r="B244" i="3"/>
  <c r="A244" i="3"/>
  <c r="M243" i="3"/>
  <c r="L243" i="3"/>
  <c r="K243" i="3"/>
  <c r="J243" i="3"/>
  <c r="I243" i="3"/>
  <c r="H243" i="3"/>
  <c r="F243" i="3"/>
  <c r="E243" i="3"/>
  <c r="D243" i="3"/>
  <c r="C243" i="3"/>
  <c r="B243" i="3"/>
  <c r="A243" i="3"/>
  <c r="M242" i="3"/>
  <c r="L242" i="3"/>
  <c r="K242" i="3"/>
  <c r="J242" i="3"/>
  <c r="I242" i="3"/>
  <c r="H242" i="3"/>
  <c r="G242" i="3"/>
  <c r="F242" i="3"/>
  <c r="E242" i="3"/>
  <c r="D242" i="3"/>
  <c r="C242" i="3"/>
  <c r="B242" i="3"/>
  <c r="A242" i="3"/>
  <c r="M241" i="3"/>
  <c r="L241" i="3"/>
  <c r="K241" i="3"/>
  <c r="J241" i="3"/>
  <c r="I241" i="3"/>
  <c r="H241" i="3"/>
  <c r="G241" i="3"/>
  <c r="F241" i="3"/>
  <c r="E241" i="3"/>
  <c r="D241" i="3"/>
  <c r="C241" i="3"/>
  <c r="B241" i="3"/>
  <c r="A241" i="3"/>
  <c r="M240" i="3"/>
  <c r="L240" i="3"/>
  <c r="K240" i="3"/>
  <c r="J240" i="3"/>
  <c r="I240" i="3"/>
  <c r="H240" i="3"/>
  <c r="G240" i="3"/>
  <c r="F240" i="3"/>
  <c r="E240" i="3"/>
  <c r="D240" i="3"/>
  <c r="C240" i="3"/>
  <c r="B240" i="3"/>
  <c r="A240" i="3"/>
  <c r="M239" i="3"/>
  <c r="L239" i="3"/>
  <c r="K239" i="3"/>
  <c r="J239" i="3"/>
  <c r="I239" i="3"/>
  <c r="H239" i="3"/>
  <c r="G239" i="3"/>
  <c r="F239" i="3"/>
  <c r="E239" i="3"/>
  <c r="D239" i="3"/>
  <c r="C239" i="3"/>
  <c r="B239" i="3"/>
  <c r="A239" i="3"/>
  <c r="M238" i="3"/>
  <c r="L238" i="3"/>
  <c r="K238" i="3"/>
  <c r="J238" i="3"/>
  <c r="I238" i="3"/>
  <c r="H238" i="3"/>
  <c r="G238" i="3"/>
  <c r="F238" i="3"/>
  <c r="E238" i="3"/>
  <c r="D238" i="3"/>
  <c r="C238" i="3"/>
  <c r="B238" i="3"/>
  <c r="A238" i="3"/>
  <c r="M237" i="3"/>
  <c r="L237" i="3"/>
  <c r="K237" i="3"/>
  <c r="J237" i="3"/>
  <c r="I237" i="3"/>
  <c r="H237" i="3"/>
  <c r="G237" i="3"/>
  <c r="F237" i="3"/>
  <c r="E237" i="3"/>
  <c r="D237" i="3"/>
  <c r="C237" i="3"/>
  <c r="B237" i="3"/>
  <c r="A237" i="3"/>
  <c r="M236" i="3"/>
  <c r="L236" i="3"/>
  <c r="K236" i="3"/>
  <c r="J236" i="3"/>
  <c r="I236" i="3"/>
  <c r="H236" i="3"/>
  <c r="G236" i="3"/>
  <c r="F236" i="3"/>
  <c r="E236" i="3"/>
  <c r="D236" i="3"/>
  <c r="C236" i="3"/>
  <c r="B236" i="3"/>
  <c r="A236" i="3"/>
  <c r="M235" i="3"/>
  <c r="L235" i="3"/>
  <c r="K235" i="3"/>
  <c r="J235" i="3"/>
  <c r="I235" i="3"/>
  <c r="H235" i="3"/>
  <c r="G235" i="3"/>
  <c r="F235" i="3"/>
  <c r="E235" i="3"/>
  <c r="D235" i="3"/>
  <c r="C235" i="3"/>
  <c r="B235" i="3"/>
  <c r="A235" i="3"/>
  <c r="M234" i="3"/>
  <c r="L234" i="3"/>
  <c r="K234" i="3"/>
  <c r="J234" i="3"/>
  <c r="I234" i="3"/>
  <c r="H234" i="3"/>
  <c r="G234" i="3"/>
  <c r="F234" i="3"/>
  <c r="E234" i="3"/>
  <c r="D234" i="3"/>
  <c r="C234" i="3"/>
  <c r="B234" i="3"/>
  <c r="A234" i="3"/>
  <c r="M233" i="3"/>
  <c r="L233" i="3"/>
  <c r="K233" i="3"/>
  <c r="J233" i="3"/>
  <c r="I233" i="3"/>
  <c r="H233" i="3"/>
  <c r="G233" i="3"/>
  <c r="F233" i="3"/>
  <c r="E233" i="3"/>
  <c r="D233" i="3"/>
  <c r="C233" i="3"/>
  <c r="B233" i="3"/>
  <c r="A233" i="3"/>
  <c r="M232" i="3"/>
  <c r="L232" i="3"/>
  <c r="K232" i="3"/>
  <c r="J232" i="3"/>
  <c r="I232" i="3"/>
  <c r="H232" i="3"/>
  <c r="F232" i="3"/>
  <c r="E232" i="3"/>
  <c r="D232" i="3"/>
  <c r="C232" i="3"/>
  <c r="B232" i="3"/>
  <c r="A232" i="3"/>
  <c r="M231" i="3"/>
  <c r="L231" i="3"/>
  <c r="K231" i="3"/>
  <c r="J231" i="3"/>
  <c r="I231" i="3"/>
  <c r="H231" i="3"/>
  <c r="G231" i="3"/>
  <c r="F231" i="3"/>
  <c r="E231" i="3"/>
  <c r="D231" i="3"/>
  <c r="C231" i="3"/>
  <c r="B231" i="3"/>
  <c r="A231" i="3"/>
  <c r="M230" i="3"/>
  <c r="L230" i="3"/>
  <c r="K230" i="3"/>
  <c r="J230" i="3"/>
  <c r="I230" i="3"/>
  <c r="H230" i="3"/>
  <c r="G230" i="3"/>
  <c r="F230" i="3"/>
  <c r="E230" i="3"/>
  <c r="D230" i="3"/>
  <c r="C230" i="3"/>
  <c r="B230" i="3"/>
  <c r="A230" i="3"/>
  <c r="M229" i="3"/>
  <c r="L229" i="3"/>
  <c r="K229" i="3"/>
  <c r="J229" i="3"/>
  <c r="I229" i="3"/>
  <c r="H229" i="3"/>
  <c r="G229" i="3"/>
  <c r="F229" i="3"/>
  <c r="E229" i="3"/>
  <c r="D229" i="3"/>
  <c r="C229" i="3"/>
  <c r="B229" i="3"/>
  <c r="A229" i="3"/>
  <c r="M228" i="3"/>
  <c r="L228" i="3"/>
  <c r="K228" i="3"/>
  <c r="J228" i="3"/>
  <c r="I228" i="3"/>
  <c r="H228" i="3"/>
  <c r="G228" i="3"/>
  <c r="F228" i="3"/>
  <c r="E228" i="3"/>
  <c r="D228" i="3"/>
  <c r="C228" i="3"/>
  <c r="B228" i="3"/>
  <c r="A228" i="3"/>
  <c r="M227" i="3"/>
  <c r="L227" i="3"/>
  <c r="K227" i="3"/>
  <c r="J227" i="3"/>
  <c r="I227" i="3"/>
  <c r="H227" i="3"/>
  <c r="F227" i="3"/>
  <c r="E227" i="3"/>
  <c r="D227" i="3"/>
  <c r="C227" i="3"/>
  <c r="B227" i="3"/>
  <c r="A227" i="3"/>
  <c r="M226" i="3"/>
  <c r="L226" i="3"/>
  <c r="K226" i="3"/>
  <c r="J226" i="3"/>
  <c r="I226" i="3"/>
  <c r="H226" i="3"/>
  <c r="G226" i="3"/>
  <c r="F226" i="3"/>
  <c r="E226" i="3"/>
  <c r="D226" i="3"/>
  <c r="C226" i="3"/>
  <c r="B226" i="3"/>
  <c r="A226" i="3"/>
  <c r="M225" i="3"/>
  <c r="L225" i="3"/>
  <c r="K225" i="3"/>
  <c r="J225" i="3"/>
  <c r="I225" i="3"/>
  <c r="H225" i="3"/>
  <c r="G225" i="3"/>
  <c r="F225" i="3"/>
  <c r="E225" i="3"/>
  <c r="D225" i="3"/>
  <c r="C225" i="3"/>
  <c r="B225" i="3"/>
  <c r="A225" i="3"/>
  <c r="M224" i="3"/>
  <c r="L224" i="3"/>
  <c r="K224" i="3"/>
  <c r="J224" i="3"/>
  <c r="I224" i="3"/>
  <c r="H224" i="3"/>
  <c r="F224" i="3"/>
  <c r="E224" i="3"/>
  <c r="D224" i="3"/>
  <c r="C224" i="3"/>
  <c r="B224" i="3"/>
  <c r="A224" i="3"/>
  <c r="M223" i="3"/>
  <c r="L223" i="3"/>
  <c r="K223" i="3"/>
  <c r="J223" i="3"/>
  <c r="I223" i="3"/>
  <c r="H223" i="3"/>
  <c r="G223" i="3"/>
  <c r="F223" i="3"/>
  <c r="E223" i="3"/>
  <c r="D223" i="3"/>
  <c r="C223" i="3"/>
  <c r="B223" i="3"/>
  <c r="A223" i="3"/>
  <c r="M222" i="3"/>
  <c r="L222" i="3"/>
  <c r="K222" i="3"/>
  <c r="J222" i="3"/>
  <c r="I222" i="3"/>
  <c r="H222" i="3"/>
  <c r="G222" i="3"/>
  <c r="F222" i="3"/>
  <c r="E222" i="3"/>
  <c r="D222" i="3"/>
  <c r="C222" i="3"/>
  <c r="B222" i="3"/>
  <c r="A222" i="3"/>
  <c r="M221" i="3"/>
  <c r="L221" i="3"/>
  <c r="K221" i="3"/>
  <c r="J221" i="3"/>
  <c r="I221" i="3"/>
  <c r="H221" i="3"/>
  <c r="G221" i="3"/>
  <c r="F221" i="3"/>
  <c r="E221" i="3"/>
  <c r="D221" i="3"/>
  <c r="C221" i="3"/>
  <c r="B221" i="3"/>
  <c r="A221" i="3"/>
  <c r="M220" i="3"/>
  <c r="L220" i="3"/>
  <c r="K220" i="3"/>
  <c r="J220" i="3"/>
  <c r="I220" i="3"/>
  <c r="H220" i="3"/>
  <c r="G220" i="3"/>
  <c r="F220" i="3"/>
  <c r="E220" i="3"/>
  <c r="D220" i="3"/>
  <c r="C220" i="3"/>
  <c r="B220" i="3"/>
  <c r="A220" i="3"/>
  <c r="M219" i="3"/>
  <c r="L219" i="3"/>
  <c r="K219" i="3"/>
  <c r="J219" i="3"/>
  <c r="I219" i="3"/>
  <c r="H219" i="3"/>
  <c r="G219" i="3"/>
  <c r="F219" i="3"/>
  <c r="E219" i="3"/>
  <c r="D219" i="3"/>
  <c r="C219" i="3"/>
  <c r="B219" i="3"/>
  <c r="A219" i="3"/>
  <c r="M218" i="3"/>
  <c r="L218" i="3"/>
  <c r="K218" i="3"/>
  <c r="J218" i="3"/>
  <c r="I218" i="3"/>
  <c r="H218" i="3"/>
  <c r="G218" i="3"/>
  <c r="F218" i="3"/>
  <c r="E218" i="3"/>
  <c r="D218" i="3"/>
  <c r="C218" i="3"/>
  <c r="B218" i="3"/>
  <c r="A218" i="3"/>
  <c r="M217" i="3"/>
  <c r="L217" i="3"/>
  <c r="K217" i="3"/>
  <c r="J217" i="3"/>
  <c r="I217" i="3"/>
  <c r="H217" i="3"/>
  <c r="G217" i="3"/>
  <c r="F217" i="3"/>
  <c r="E217" i="3"/>
  <c r="D217" i="3"/>
  <c r="C217" i="3"/>
  <c r="B217" i="3"/>
  <c r="A217" i="3"/>
  <c r="M216" i="3"/>
  <c r="L216" i="3"/>
  <c r="K216" i="3"/>
  <c r="J216" i="3"/>
  <c r="I216" i="3"/>
  <c r="H216" i="3"/>
  <c r="G216" i="3"/>
  <c r="F216" i="3"/>
  <c r="E216" i="3"/>
  <c r="D216" i="3"/>
  <c r="C216" i="3"/>
  <c r="B216" i="3"/>
  <c r="A216" i="3"/>
  <c r="M215" i="3"/>
  <c r="L215" i="3"/>
  <c r="K215" i="3"/>
  <c r="J215" i="3"/>
  <c r="I215" i="3"/>
  <c r="H215" i="3"/>
  <c r="G215" i="3"/>
  <c r="F215" i="3"/>
  <c r="E215" i="3"/>
  <c r="D215" i="3"/>
  <c r="C215" i="3"/>
  <c r="B215" i="3"/>
  <c r="A215" i="3"/>
  <c r="M214" i="3"/>
  <c r="L214" i="3"/>
  <c r="K214" i="3"/>
  <c r="J214" i="3"/>
  <c r="I214" i="3"/>
  <c r="H214" i="3"/>
  <c r="F214" i="3"/>
  <c r="E214" i="3"/>
  <c r="D214" i="3"/>
  <c r="C214" i="3"/>
  <c r="B214" i="3"/>
  <c r="A214" i="3"/>
  <c r="M213" i="3"/>
  <c r="L213" i="3"/>
  <c r="K213" i="3"/>
  <c r="J213" i="3"/>
  <c r="I213" i="3"/>
  <c r="H213" i="3"/>
  <c r="G213" i="3"/>
  <c r="F213" i="3"/>
  <c r="E213" i="3"/>
  <c r="D213" i="3"/>
  <c r="C213" i="3"/>
  <c r="B213" i="3"/>
  <c r="A213" i="3"/>
  <c r="M212" i="3"/>
  <c r="L212" i="3"/>
  <c r="K212" i="3"/>
  <c r="J212" i="3"/>
  <c r="I212" i="3"/>
  <c r="H212" i="3"/>
  <c r="G212" i="3"/>
  <c r="F212" i="3"/>
  <c r="E212" i="3"/>
  <c r="D212" i="3"/>
  <c r="C212" i="3"/>
  <c r="B212" i="3"/>
  <c r="A212" i="3"/>
  <c r="M211" i="3"/>
  <c r="L211" i="3"/>
  <c r="K211" i="3"/>
  <c r="J211" i="3"/>
  <c r="I211" i="3"/>
  <c r="H211" i="3"/>
  <c r="G211" i="3"/>
  <c r="F211" i="3"/>
  <c r="E211" i="3"/>
  <c r="D211" i="3"/>
  <c r="C211" i="3"/>
  <c r="B211" i="3"/>
  <c r="A211" i="3"/>
  <c r="M210" i="3"/>
  <c r="L210" i="3"/>
  <c r="K210" i="3"/>
  <c r="J210" i="3"/>
  <c r="I210" i="3"/>
  <c r="H210" i="3"/>
  <c r="G210" i="3"/>
  <c r="F210" i="3"/>
  <c r="E210" i="3"/>
  <c r="D210" i="3"/>
  <c r="C210" i="3"/>
  <c r="B210" i="3"/>
  <c r="A210" i="3"/>
  <c r="M209" i="3"/>
  <c r="L209" i="3"/>
  <c r="K209" i="3"/>
  <c r="J209" i="3"/>
  <c r="I209" i="3"/>
  <c r="H209" i="3"/>
  <c r="G209" i="3"/>
  <c r="F209" i="3"/>
  <c r="E209" i="3"/>
  <c r="D209" i="3"/>
  <c r="C209" i="3"/>
  <c r="B209" i="3"/>
  <c r="A209" i="3"/>
  <c r="M208" i="3"/>
  <c r="L208" i="3"/>
  <c r="K208" i="3"/>
  <c r="J208" i="3"/>
  <c r="I208" i="3"/>
  <c r="H208" i="3"/>
  <c r="G208" i="3"/>
  <c r="F208" i="3"/>
  <c r="E208" i="3"/>
  <c r="D208" i="3"/>
  <c r="C208" i="3"/>
  <c r="B208" i="3"/>
  <c r="A208" i="3"/>
  <c r="M207" i="3"/>
  <c r="L207" i="3"/>
  <c r="K207" i="3"/>
  <c r="J207" i="3"/>
  <c r="I207" i="3"/>
  <c r="H207" i="3"/>
  <c r="G207" i="3"/>
  <c r="F207" i="3"/>
  <c r="E207" i="3"/>
  <c r="D207" i="3"/>
  <c r="C207" i="3"/>
  <c r="B207" i="3"/>
  <c r="A207" i="3"/>
  <c r="M206" i="3"/>
  <c r="L206" i="3"/>
  <c r="K206" i="3"/>
  <c r="J206" i="3"/>
  <c r="I206" i="3"/>
  <c r="H206" i="3"/>
  <c r="G206" i="3"/>
  <c r="F206" i="3"/>
  <c r="E206" i="3"/>
  <c r="D206" i="3"/>
  <c r="C206" i="3"/>
  <c r="B206" i="3"/>
  <c r="A206" i="3"/>
  <c r="M205" i="3"/>
  <c r="L205" i="3"/>
  <c r="K205" i="3"/>
  <c r="J205" i="3"/>
  <c r="I205" i="3"/>
  <c r="H205" i="3"/>
  <c r="G205" i="3"/>
  <c r="F205" i="3"/>
  <c r="E205" i="3"/>
  <c r="D205" i="3"/>
  <c r="C205" i="3"/>
  <c r="B205" i="3"/>
  <c r="A205" i="3"/>
  <c r="M204" i="3"/>
  <c r="L204" i="3"/>
  <c r="K204" i="3"/>
  <c r="J204" i="3"/>
  <c r="I204" i="3"/>
  <c r="H204" i="3"/>
  <c r="G204" i="3"/>
  <c r="F204" i="3"/>
  <c r="E204" i="3"/>
  <c r="D204" i="3"/>
  <c r="C204" i="3"/>
  <c r="B204" i="3"/>
  <c r="A204" i="3"/>
  <c r="M203" i="3"/>
  <c r="L203" i="3"/>
  <c r="K203" i="3"/>
  <c r="J203" i="3"/>
  <c r="I203" i="3"/>
  <c r="H203" i="3"/>
  <c r="G203" i="3"/>
  <c r="F203" i="3"/>
  <c r="E203" i="3"/>
  <c r="D203" i="3"/>
  <c r="C203" i="3"/>
  <c r="B203" i="3"/>
  <c r="A203" i="3"/>
  <c r="M202" i="3"/>
  <c r="L202" i="3"/>
  <c r="K202" i="3"/>
  <c r="J202" i="3"/>
  <c r="I202" i="3"/>
  <c r="H202" i="3"/>
  <c r="G202" i="3"/>
  <c r="F202" i="3"/>
  <c r="E202" i="3"/>
  <c r="D202" i="3"/>
  <c r="C202" i="3"/>
  <c r="B202" i="3"/>
  <c r="A202" i="3"/>
  <c r="M201" i="3"/>
  <c r="L201" i="3"/>
  <c r="K201" i="3"/>
  <c r="J201" i="3"/>
  <c r="I201" i="3"/>
  <c r="H201" i="3"/>
  <c r="G201" i="3"/>
  <c r="F201" i="3"/>
  <c r="E201" i="3"/>
  <c r="D201" i="3"/>
  <c r="C201" i="3"/>
  <c r="B201" i="3"/>
  <c r="A201" i="3"/>
  <c r="M200" i="3"/>
  <c r="L200" i="3"/>
  <c r="K200" i="3"/>
  <c r="J200" i="3"/>
  <c r="I200" i="3"/>
  <c r="H200" i="3"/>
  <c r="G200" i="3"/>
  <c r="F200" i="3"/>
  <c r="E200" i="3"/>
  <c r="D200" i="3"/>
  <c r="C200" i="3"/>
  <c r="B200" i="3"/>
  <c r="A200" i="3"/>
  <c r="M199" i="3"/>
  <c r="L199" i="3"/>
  <c r="K199" i="3"/>
  <c r="J199" i="3"/>
  <c r="I199" i="3"/>
  <c r="H199" i="3"/>
  <c r="F199" i="3"/>
  <c r="E199" i="3"/>
  <c r="D199" i="3"/>
  <c r="C199" i="3"/>
  <c r="B199" i="3"/>
  <c r="A199" i="3"/>
  <c r="M198" i="3"/>
  <c r="L198" i="3"/>
  <c r="K198" i="3"/>
  <c r="J198" i="3"/>
  <c r="I198" i="3"/>
  <c r="H198" i="3"/>
  <c r="F198" i="3"/>
  <c r="E198" i="3"/>
  <c r="D198" i="3"/>
  <c r="C198" i="3"/>
  <c r="B198" i="3"/>
  <c r="A198" i="3"/>
  <c r="M197" i="3"/>
  <c r="L197" i="3"/>
  <c r="K197" i="3"/>
  <c r="J197" i="3"/>
  <c r="I197" i="3"/>
  <c r="H197" i="3"/>
  <c r="G197" i="3"/>
  <c r="F197" i="3"/>
  <c r="E197" i="3"/>
  <c r="D197" i="3"/>
  <c r="C197" i="3"/>
  <c r="B197" i="3"/>
  <c r="A197" i="3"/>
  <c r="M196" i="3"/>
  <c r="L196" i="3"/>
  <c r="K196" i="3"/>
  <c r="J196" i="3"/>
  <c r="I196" i="3"/>
  <c r="H196" i="3"/>
  <c r="G196" i="3"/>
  <c r="F196" i="3"/>
  <c r="E196" i="3"/>
  <c r="D196" i="3"/>
  <c r="C196" i="3"/>
  <c r="B196" i="3"/>
  <c r="A196" i="3"/>
  <c r="M195" i="3"/>
  <c r="L195" i="3"/>
  <c r="K195" i="3"/>
  <c r="J195" i="3"/>
  <c r="I195" i="3"/>
  <c r="H195" i="3"/>
  <c r="G195" i="3"/>
  <c r="F195" i="3"/>
  <c r="E195" i="3"/>
  <c r="D195" i="3"/>
  <c r="C195" i="3"/>
  <c r="B195" i="3"/>
  <c r="A195" i="3"/>
  <c r="M194" i="3"/>
  <c r="L194" i="3"/>
  <c r="K194" i="3"/>
  <c r="J194" i="3"/>
  <c r="I194" i="3"/>
  <c r="H194" i="3"/>
  <c r="G194" i="3"/>
  <c r="F194" i="3"/>
  <c r="E194" i="3"/>
  <c r="D194" i="3"/>
  <c r="C194" i="3"/>
  <c r="B194" i="3"/>
  <c r="A194" i="3"/>
  <c r="M193" i="3"/>
  <c r="L193" i="3"/>
  <c r="K193" i="3"/>
  <c r="J193" i="3"/>
  <c r="I193" i="3"/>
  <c r="H193" i="3"/>
  <c r="G193" i="3"/>
  <c r="F193" i="3"/>
  <c r="E193" i="3"/>
  <c r="D193" i="3"/>
  <c r="C193" i="3"/>
  <c r="B193" i="3"/>
  <c r="A193" i="3"/>
  <c r="M192" i="3"/>
  <c r="L192" i="3"/>
  <c r="K192" i="3"/>
  <c r="J192" i="3"/>
  <c r="I192" i="3"/>
  <c r="H192" i="3"/>
  <c r="G192" i="3"/>
  <c r="F192" i="3"/>
  <c r="E192" i="3"/>
  <c r="D192" i="3"/>
  <c r="C192" i="3"/>
  <c r="B192" i="3"/>
  <c r="A192" i="3"/>
  <c r="M191" i="3"/>
  <c r="L191" i="3"/>
  <c r="K191" i="3"/>
  <c r="J191" i="3"/>
  <c r="I191" i="3"/>
  <c r="H191" i="3"/>
  <c r="G191" i="3"/>
  <c r="F191" i="3"/>
  <c r="E191" i="3"/>
  <c r="D191" i="3"/>
  <c r="C191" i="3"/>
  <c r="B191" i="3"/>
  <c r="A191" i="3"/>
  <c r="M190" i="3"/>
  <c r="L190" i="3"/>
  <c r="K190" i="3"/>
  <c r="J190" i="3"/>
  <c r="I190" i="3"/>
  <c r="H190" i="3"/>
  <c r="G190" i="3"/>
  <c r="F190" i="3"/>
  <c r="E190" i="3"/>
  <c r="D190" i="3"/>
  <c r="C190" i="3"/>
  <c r="B190" i="3"/>
  <c r="A190" i="3"/>
  <c r="M189" i="3"/>
  <c r="L189" i="3"/>
  <c r="K189" i="3"/>
  <c r="J189" i="3"/>
  <c r="I189" i="3"/>
  <c r="H189" i="3"/>
  <c r="G189" i="3"/>
  <c r="F189" i="3"/>
  <c r="E189" i="3"/>
  <c r="D189" i="3"/>
  <c r="C189" i="3"/>
  <c r="B189" i="3"/>
  <c r="A189" i="3"/>
  <c r="M188" i="3"/>
  <c r="L188" i="3"/>
  <c r="K188" i="3"/>
  <c r="J188" i="3"/>
  <c r="I188" i="3"/>
  <c r="H188" i="3"/>
  <c r="G188" i="3"/>
  <c r="F188" i="3"/>
  <c r="E188" i="3"/>
  <c r="D188" i="3"/>
  <c r="C188" i="3"/>
  <c r="B188" i="3"/>
  <c r="A188" i="3"/>
  <c r="M187" i="3"/>
  <c r="L187" i="3"/>
  <c r="K187" i="3"/>
  <c r="J187" i="3"/>
  <c r="I187" i="3"/>
  <c r="H187" i="3"/>
  <c r="G187" i="3"/>
  <c r="F187" i="3"/>
  <c r="E187" i="3"/>
  <c r="D187" i="3"/>
  <c r="C187" i="3"/>
  <c r="B187" i="3"/>
  <c r="A187" i="3"/>
  <c r="M186" i="3"/>
  <c r="L186" i="3"/>
  <c r="K186" i="3"/>
  <c r="J186" i="3"/>
  <c r="I186" i="3"/>
  <c r="H186" i="3"/>
  <c r="G186" i="3"/>
  <c r="F186" i="3"/>
  <c r="E186" i="3"/>
  <c r="D186" i="3"/>
  <c r="C186" i="3"/>
  <c r="B186" i="3"/>
  <c r="A186" i="3"/>
  <c r="M185" i="3"/>
  <c r="L185" i="3"/>
  <c r="K185" i="3"/>
  <c r="J185" i="3"/>
  <c r="I185" i="3"/>
  <c r="H185" i="3"/>
  <c r="G185" i="3"/>
  <c r="F185" i="3"/>
  <c r="E185" i="3"/>
  <c r="D185" i="3"/>
  <c r="C185" i="3"/>
  <c r="B185" i="3"/>
  <c r="A185" i="3"/>
  <c r="M184" i="3"/>
  <c r="L184" i="3"/>
  <c r="K184" i="3"/>
  <c r="J184" i="3"/>
  <c r="I184" i="3"/>
  <c r="H184" i="3"/>
  <c r="G184" i="3"/>
  <c r="F184" i="3"/>
  <c r="E184" i="3"/>
  <c r="D184" i="3"/>
  <c r="C184" i="3"/>
  <c r="B184" i="3"/>
  <c r="A184" i="3"/>
  <c r="M183" i="3"/>
  <c r="L183" i="3"/>
  <c r="K183" i="3"/>
  <c r="J183" i="3"/>
  <c r="I183" i="3"/>
  <c r="H183" i="3"/>
  <c r="G183" i="3"/>
  <c r="F183" i="3"/>
  <c r="E183" i="3"/>
  <c r="D183" i="3"/>
  <c r="C183" i="3"/>
  <c r="B183" i="3"/>
  <c r="A183" i="3"/>
  <c r="M182" i="3"/>
  <c r="L182" i="3"/>
  <c r="K182" i="3"/>
  <c r="J182" i="3"/>
  <c r="I182" i="3"/>
  <c r="H182" i="3"/>
  <c r="G182" i="3"/>
  <c r="F182" i="3"/>
  <c r="E182" i="3"/>
  <c r="D182" i="3"/>
  <c r="C182" i="3"/>
  <c r="B182" i="3"/>
  <c r="A182" i="3"/>
  <c r="M181" i="3"/>
  <c r="L181" i="3"/>
  <c r="K181" i="3"/>
  <c r="J181" i="3"/>
  <c r="I181" i="3"/>
  <c r="H181" i="3"/>
  <c r="G181" i="3"/>
  <c r="F181" i="3"/>
  <c r="E181" i="3"/>
  <c r="D181" i="3"/>
  <c r="C181" i="3"/>
  <c r="B181" i="3"/>
  <c r="A181" i="3"/>
  <c r="M180" i="3"/>
  <c r="L180" i="3"/>
  <c r="K180" i="3"/>
  <c r="J180" i="3"/>
  <c r="I180" i="3"/>
  <c r="H180" i="3"/>
  <c r="G180" i="3"/>
  <c r="F180" i="3"/>
  <c r="E180" i="3"/>
  <c r="D180" i="3"/>
  <c r="C180" i="3"/>
  <c r="B180" i="3"/>
  <c r="A180" i="3"/>
  <c r="M179" i="3"/>
  <c r="L179" i="3"/>
  <c r="K179" i="3"/>
  <c r="J179" i="3"/>
  <c r="I179" i="3"/>
  <c r="H179" i="3"/>
  <c r="G179" i="3"/>
  <c r="F179" i="3"/>
  <c r="E179" i="3"/>
  <c r="D179" i="3"/>
  <c r="C179" i="3"/>
  <c r="B179" i="3"/>
  <c r="A179" i="3"/>
  <c r="M178" i="3"/>
  <c r="L178" i="3"/>
  <c r="K178" i="3"/>
  <c r="J178" i="3"/>
  <c r="I178" i="3"/>
  <c r="H178" i="3"/>
  <c r="G178" i="3"/>
  <c r="F178" i="3"/>
  <c r="E178" i="3"/>
  <c r="D178" i="3"/>
  <c r="C178" i="3"/>
  <c r="B178" i="3"/>
  <c r="A178" i="3"/>
  <c r="M177" i="3"/>
  <c r="L177" i="3"/>
  <c r="K177" i="3"/>
  <c r="J177" i="3"/>
  <c r="I177" i="3"/>
  <c r="H177" i="3"/>
  <c r="G177" i="3"/>
  <c r="F177" i="3"/>
  <c r="E177" i="3"/>
  <c r="D177" i="3"/>
  <c r="C177" i="3"/>
  <c r="B177" i="3"/>
  <c r="A177" i="3"/>
  <c r="M176" i="3"/>
  <c r="L176" i="3"/>
  <c r="K176" i="3"/>
  <c r="J176" i="3"/>
  <c r="I176" i="3"/>
  <c r="H176" i="3"/>
  <c r="G176" i="3"/>
  <c r="F176" i="3"/>
  <c r="E176" i="3"/>
  <c r="D176" i="3"/>
  <c r="C176" i="3"/>
  <c r="B176" i="3"/>
  <c r="A176" i="3"/>
  <c r="M175" i="3"/>
  <c r="L175" i="3"/>
  <c r="K175" i="3"/>
  <c r="J175" i="3"/>
  <c r="I175" i="3"/>
  <c r="H175" i="3"/>
  <c r="G175" i="3"/>
  <c r="F175" i="3"/>
  <c r="E175" i="3"/>
  <c r="D175" i="3"/>
  <c r="C175" i="3"/>
  <c r="B175" i="3"/>
  <c r="A175" i="3"/>
  <c r="M174" i="3"/>
  <c r="L174" i="3"/>
  <c r="K174" i="3"/>
  <c r="J174" i="3"/>
  <c r="I174" i="3"/>
  <c r="H174" i="3"/>
  <c r="G174" i="3"/>
  <c r="F174" i="3"/>
  <c r="E174" i="3"/>
  <c r="D174" i="3"/>
  <c r="C174" i="3"/>
  <c r="B174" i="3"/>
  <c r="A174" i="3"/>
  <c r="M173" i="3"/>
  <c r="L173" i="3"/>
  <c r="K173" i="3"/>
  <c r="J173" i="3"/>
  <c r="I173" i="3"/>
  <c r="H173" i="3"/>
  <c r="G173" i="3"/>
  <c r="F173" i="3"/>
  <c r="E173" i="3"/>
  <c r="D173" i="3"/>
  <c r="C173" i="3"/>
  <c r="B173" i="3"/>
  <c r="A173" i="3"/>
  <c r="M172" i="3"/>
  <c r="L172" i="3"/>
  <c r="K172" i="3"/>
  <c r="J172" i="3"/>
  <c r="I172" i="3"/>
  <c r="H172" i="3"/>
  <c r="G172" i="3"/>
  <c r="F172" i="3"/>
  <c r="E172" i="3"/>
  <c r="D172" i="3"/>
  <c r="C172" i="3"/>
  <c r="B172" i="3"/>
  <c r="A172" i="3"/>
  <c r="M171" i="3"/>
  <c r="L171" i="3"/>
  <c r="K171" i="3"/>
  <c r="J171" i="3"/>
  <c r="I171" i="3"/>
  <c r="H171" i="3"/>
  <c r="G171" i="3"/>
  <c r="F171" i="3"/>
  <c r="E171" i="3"/>
  <c r="D171" i="3"/>
  <c r="C171" i="3"/>
  <c r="B171" i="3"/>
  <c r="A171" i="3"/>
  <c r="M170" i="3"/>
  <c r="L170" i="3"/>
  <c r="K170" i="3"/>
  <c r="J170" i="3"/>
  <c r="I170" i="3"/>
  <c r="H170" i="3"/>
  <c r="F170" i="3"/>
  <c r="E170" i="3"/>
  <c r="D170" i="3"/>
  <c r="C170" i="3"/>
  <c r="B170" i="3"/>
  <c r="A170" i="3"/>
  <c r="M169" i="3"/>
  <c r="L169" i="3"/>
  <c r="K169" i="3"/>
  <c r="J169" i="3"/>
  <c r="I169" i="3"/>
  <c r="H169" i="3"/>
  <c r="G169" i="3"/>
  <c r="F169" i="3"/>
  <c r="E169" i="3"/>
  <c r="D169" i="3"/>
  <c r="C169" i="3"/>
  <c r="B169" i="3"/>
  <c r="A169" i="3"/>
  <c r="M168" i="3"/>
  <c r="L168" i="3"/>
  <c r="K168" i="3"/>
  <c r="J168" i="3"/>
  <c r="I168" i="3"/>
  <c r="H168" i="3"/>
  <c r="G168" i="3"/>
  <c r="F168" i="3"/>
  <c r="E168" i="3"/>
  <c r="D168" i="3"/>
  <c r="C168" i="3"/>
  <c r="B168" i="3"/>
  <c r="A168" i="3"/>
  <c r="M167" i="3"/>
  <c r="L167" i="3"/>
  <c r="K167" i="3"/>
  <c r="J167" i="3"/>
  <c r="I167" i="3"/>
  <c r="H167" i="3"/>
  <c r="G167" i="3"/>
  <c r="F167" i="3"/>
  <c r="E167" i="3"/>
  <c r="D167" i="3"/>
  <c r="C167" i="3"/>
  <c r="B167" i="3"/>
  <c r="A167" i="3"/>
  <c r="M166" i="3"/>
  <c r="L166" i="3"/>
  <c r="K166" i="3"/>
  <c r="J166" i="3"/>
  <c r="I166" i="3"/>
  <c r="H166" i="3"/>
  <c r="G166" i="3"/>
  <c r="F166" i="3"/>
  <c r="E166" i="3"/>
  <c r="D166" i="3"/>
  <c r="C166" i="3"/>
  <c r="B166" i="3"/>
  <c r="A166" i="3"/>
  <c r="M165" i="3"/>
  <c r="L165" i="3"/>
  <c r="K165" i="3"/>
  <c r="J165" i="3"/>
  <c r="I165" i="3"/>
  <c r="H165" i="3"/>
  <c r="G165" i="3"/>
  <c r="F165" i="3"/>
  <c r="D165" i="3"/>
  <c r="C165" i="3"/>
  <c r="B165" i="3"/>
  <c r="A165" i="3"/>
  <c r="M164" i="3"/>
  <c r="L164" i="3"/>
  <c r="K164" i="3"/>
  <c r="J164" i="3"/>
  <c r="I164" i="3"/>
  <c r="H164" i="3"/>
  <c r="G164" i="3"/>
  <c r="F164" i="3"/>
  <c r="E164" i="3"/>
  <c r="D164" i="3"/>
  <c r="C164" i="3"/>
  <c r="B164" i="3"/>
  <c r="A164" i="3"/>
  <c r="M163" i="3"/>
  <c r="L163" i="3"/>
  <c r="K163" i="3"/>
  <c r="J163" i="3"/>
  <c r="I163" i="3"/>
  <c r="H163" i="3"/>
  <c r="G163" i="3"/>
  <c r="F163" i="3"/>
  <c r="E163" i="3"/>
  <c r="D163" i="3"/>
  <c r="C163" i="3"/>
  <c r="B163" i="3"/>
  <c r="A163" i="3"/>
  <c r="M162" i="3"/>
  <c r="L162" i="3"/>
  <c r="K162" i="3"/>
  <c r="J162" i="3"/>
  <c r="I162" i="3"/>
  <c r="H162" i="3"/>
  <c r="G162" i="3"/>
  <c r="F162" i="3"/>
  <c r="E162" i="3"/>
  <c r="D162" i="3"/>
  <c r="C162" i="3"/>
  <c r="B162" i="3"/>
  <c r="A162" i="3"/>
  <c r="M161" i="3"/>
  <c r="L161" i="3"/>
  <c r="K161" i="3"/>
  <c r="J161" i="3"/>
  <c r="I161" i="3"/>
  <c r="H161" i="3"/>
  <c r="G161" i="3"/>
  <c r="F161" i="3"/>
  <c r="E161" i="3"/>
  <c r="D161" i="3"/>
  <c r="C161" i="3"/>
  <c r="B161" i="3"/>
  <c r="A161" i="3"/>
  <c r="M160" i="3"/>
  <c r="L160" i="3"/>
  <c r="K160" i="3"/>
  <c r="J160" i="3"/>
  <c r="I160" i="3"/>
  <c r="H160" i="3"/>
  <c r="G160" i="3"/>
  <c r="F160" i="3"/>
  <c r="E160" i="3"/>
  <c r="D160" i="3"/>
  <c r="C160" i="3"/>
  <c r="B160" i="3"/>
  <c r="A160" i="3"/>
  <c r="M159" i="3"/>
  <c r="L159" i="3"/>
  <c r="K159" i="3"/>
  <c r="J159" i="3"/>
  <c r="I159" i="3"/>
  <c r="H159" i="3"/>
  <c r="G159" i="3"/>
  <c r="F159" i="3"/>
  <c r="E159" i="3"/>
  <c r="D159" i="3"/>
  <c r="C159" i="3"/>
  <c r="B159" i="3"/>
  <c r="A159" i="3"/>
  <c r="M158" i="3"/>
  <c r="L158" i="3"/>
  <c r="K158" i="3"/>
  <c r="J158" i="3"/>
  <c r="I158" i="3"/>
  <c r="H158" i="3"/>
  <c r="G158" i="3"/>
  <c r="F158" i="3"/>
  <c r="E158" i="3"/>
  <c r="D158" i="3"/>
  <c r="C158" i="3"/>
  <c r="B158" i="3"/>
  <c r="A158" i="3"/>
  <c r="M157" i="3"/>
  <c r="L157" i="3"/>
  <c r="K157" i="3"/>
  <c r="J157" i="3"/>
  <c r="I157" i="3"/>
  <c r="H157" i="3"/>
  <c r="G157" i="3"/>
  <c r="F157" i="3"/>
  <c r="E157" i="3"/>
  <c r="D157" i="3"/>
  <c r="C157" i="3"/>
  <c r="B157" i="3"/>
  <c r="A157" i="3"/>
  <c r="M156" i="3"/>
  <c r="L156" i="3"/>
  <c r="K156" i="3"/>
  <c r="J156" i="3"/>
  <c r="I156" i="3"/>
  <c r="H156" i="3"/>
  <c r="G156" i="3"/>
  <c r="F156" i="3"/>
  <c r="E156" i="3"/>
  <c r="D156" i="3"/>
  <c r="C156" i="3"/>
  <c r="B156" i="3"/>
  <c r="A156" i="3"/>
  <c r="M155" i="3"/>
  <c r="L155" i="3"/>
  <c r="K155" i="3"/>
  <c r="J155" i="3"/>
  <c r="I155" i="3"/>
  <c r="H155" i="3"/>
  <c r="G155" i="3"/>
  <c r="F155" i="3"/>
  <c r="E155" i="3"/>
  <c r="D155" i="3"/>
  <c r="C155" i="3"/>
  <c r="B155" i="3"/>
  <c r="A155" i="3"/>
  <c r="M154" i="3"/>
  <c r="L154" i="3"/>
  <c r="K154" i="3"/>
  <c r="J154" i="3"/>
  <c r="I154" i="3"/>
  <c r="H154" i="3"/>
  <c r="G154" i="3"/>
  <c r="F154" i="3"/>
  <c r="E154" i="3"/>
  <c r="D154" i="3"/>
  <c r="C154" i="3"/>
  <c r="B154" i="3"/>
  <c r="A154" i="3"/>
  <c r="M153" i="3"/>
  <c r="L153" i="3"/>
  <c r="K153" i="3"/>
  <c r="J153" i="3"/>
  <c r="I153" i="3"/>
  <c r="H153" i="3"/>
  <c r="G153" i="3"/>
  <c r="F153" i="3"/>
  <c r="E153" i="3"/>
  <c r="D153" i="3"/>
  <c r="C153" i="3"/>
  <c r="B153" i="3"/>
  <c r="A153" i="3"/>
  <c r="M152" i="3"/>
  <c r="L152" i="3"/>
  <c r="K152" i="3"/>
  <c r="J152" i="3"/>
  <c r="I152" i="3"/>
  <c r="H152" i="3"/>
  <c r="G152" i="3"/>
  <c r="F152" i="3"/>
  <c r="E152" i="3"/>
  <c r="D152" i="3"/>
  <c r="C152" i="3"/>
  <c r="B152" i="3"/>
  <c r="A152" i="3"/>
  <c r="M151" i="3"/>
  <c r="L151" i="3"/>
  <c r="K151" i="3"/>
  <c r="J151" i="3"/>
  <c r="I151" i="3"/>
  <c r="H151" i="3"/>
  <c r="F151" i="3"/>
  <c r="E151" i="3"/>
  <c r="D151" i="3"/>
  <c r="C151" i="3"/>
  <c r="B151" i="3"/>
  <c r="A151" i="3"/>
  <c r="M150" i="3"/>
  <c r="L150" i="3"/>
  <c r="K150" i="3"/>
  <c r="J150" i="3"/>
  <c r="I150" i="3"/>
  <c r="H150" i="3"/>
  <c r="G150" i="3"/>
  <c r="F150" i="3"/>
  <c r="E150" i="3"/>
  <c r="D150" i="3"/>
  <c r="C150" i="3"/>
  <c r="B150" i="3"/>
  <c r="A150" i="3"/>
  <c r="M149" i="3"/>
  <c r="L149" i="3"/>
  <c r="K149" i="3"/>
  <c r="J149" i="3"/>
  <c r="I149" i="3"/>
  <c r="H149" i="3"/>
  <c r="G149" i="3"/>
  <c r="F149" i="3"/>
  <c r="E149" i="3"/>
  <c r="D149" i="3"/>
  <c r="C149" i="3"/>
  <c r="B149" i="3"/>
  <c r="A149" i="3"/>
  <c r="M148" i="3"/>
  <c r="L148" i="3"/>
  <c r="K148" i="3"/>
  <c r="J148" i="3"/>
  <c r="I148" i="3"/>
  <c r="H148" i="3"/>
  <c r="G148" i="3"/>
  <c r="F148" i="3"/>
  <c r="E148" i="3"/>
  <c r="D148" i="3"/>
  <c r="C148" i="3"/>
  <c r="B148" i="3"/>
  <c r="A148" i="3"/>
  <c r="M147" i="3"/>
  <c r="L147" i="3"/>
  <c r="K147" i="3"/>
  <c r="J147" i="3"/>
  <c r="I147" i="3"/>
  <c r="H147" i="3"/>
  <c r="G147" i="3"/>
  <c r="F147" i="3"/>
  <c r="E147" i="3"/>
  <c r="D147" i="3"/>
  <c r="C147" i="3"/>
  <c r="B147" i="3"/>
  <c r="A147" i="3"/>
  <c r="M146" i="3"/>
  <c r="L146" i="3"/>
  <c r="K146" i="3"/>
  <c r="J146" i="3"/>
  <c r="I146" i="3"/>
  <c r="H146" i="3"/>
  <c r="G146" i="3"/>
  <c r="F146" i="3"/>
  <c r="E146" i="3"/>
  <c r="D146" i="3"/>
  <c r="C146" i="3"/>
  <c r="B146" i="3"/>
  <c r="A146" i="3"/>
  <c r="M145" i="3"/>
  <c r="L145" i="3"/>
  <c r="K145" i="3"/>
  <c r="J145" i="3"/>
  <c r="I145" i="3"/>
  <c r="H145" i="3"/>
  <c r="G145" i="3"/>
  <c r="F145" i="3"/>
  <c r="E145" i="3"/>
  <c r="D145" i="3"/>
  <c r="C145" i="3"/>
  <c r="B145" i="3"/>
  <c r="A145" i="3"/>
  <c r="M144" i="3"/>
  <c r="L144" i="3"/>
  <c r="K144" i="3"/>
  <c r="J144" i="3"/>
  <c r="I144" i="3"/>
  <c r="H144" i="3"/>
  <c r="G144" i="3"/>
  <c r="F144" i="3"/>
  <c r="E144" i="3"/>
  <c r="D144" i="3"/>
  <c r="C144" i="3"/>
  <c r="B144" i="3"/>
  <c r="A144" i="3"/>
  <c r="M143" i="3"/>
  <c r="L143" i="3"/>
  <c r="K143" i="3"/>
  <c r="J143" i="3"/>
  <c r="I143" i="3"/>
  <c r="H143" i="3"/>
  <c r="G143" i="3"/>
  <c r="F143" i="3"/>
  <c r="E143" i="3"/>
  <c r="D143" i="3"/>
  <c r="C143" i="3"/>
  <c r="B143" i="3"/>
  <c r="A143" i="3"/>
  <c r="M142" i="3"/>
  <c r="L142" i="3"/>
  <c r="K142" i="3"/>
  <c r="J142" i="3"/>
  <c r="I142" i="3"/>
  <c r="H142" i="3"/>
  <c r="G142" i="3"/>
  <c r="F142" i="3"/>
  <c r="E142" i="3"/>
  <c r="D142" i="3"/>
  <c r="C142" i="3"/>
  <c r="B142" i="3"/>
  <c r="A142" i="3"/>
  <c r="M141" i="3"/>
  <c r="L141" i="3"/>
  <c r="K141" i="3"/>
  <c r="J141" i="3"/>
  <c r="I141" i="3"/>
  <c r="H141" i="3"/>
  <c r="G141" i="3"/>
  <c r="F141" i="3"/>
  <c r="E141" i="3"/>
  <c r="D141" i="3"/>
  <c r="C141" i="3"/>
  <c r="B141" i="3"/>
  <c r="A141" i="3"/>
  <c r="M140" i="3"/>
  <c r="L140" i="3"/>
  <c r="K140" i="3"/>
  <c r="J140" i="3"/>
  <c r="I140" i="3"/>
  <c r="H140" i="3"/>
  <c r="G140" i="3"/>
  <c r="F140" i="3"/>
  <c r="E140" i="3"/>
  <c r="D140" i="3"/>
  <c r="C140" i="3"/>
  <c r="B140" i="3"/>
  <c r="A140" i="3"/>
  <c r="M139" i="3"/>
  <c r="L139" i="3"/>
  <c r="K139" i="3"/>
  <c r="J139" i="3"/>
  <c r="I139" i="3"/>
  <c r="H139" i="3"/>
  <c r="G139" i="3"/>
  <c r="F139" i="3"/>
  <c r="E139" i="3"/>
  <c r="D139" i="3"/>
  <c r="C139" i="3"/>
  <c r="B139" i="3"/>
  <c r="A139" i="3"/>
  <c r="M138" i="3"/>
  <c r="L138" i="3"/>
  <c r="K138" i="3"/>
  <c r="J138" i="3"/>
  <c r="I138" i="3"/>
  <c r="H138" i="3"/>
  <c r="G138" i="3"/>
  <c r="F138" i="3"/>
  <c r="E138" i="3"/>
  <c r="D138" i="3"/>
  <c r="C138" i="3"/>
  <c r="B138" i="3"/>
  <c r="A138" i="3"/>
  <c r="M137" i="3"/>
  <c r="L137" i="3"/>
  <c r="K137" i="3"/>
  <c r="J137" i="3"/>
  <c r="I137" i="3"/>
  <c r="H137" i="3"/>
  <c r="G137" i="3"/>
  <c r="F137" i="3"/>
  <c r="E137" i="3"/>
  <c r="D137" i="3"/>
  <c r="C137" i="3"/>
  <c r="B137" i="3"/>
  <c r="A137" i="3"/>
  <c r="M136" i="3"/>
  <c r="L136" i="3"/>
  <c r="K136" i="3"/>
  <c r="J136" i="3"/>
  <c r="I136" i="3"/>
  <c r="H136" i="3"/>
  <c r="G136" i="3"/>
  <c r="F136" i="3"/>
  <c r="E136" i="3"/>
  <c r="D136" i="3"/>
  <c r="C136" i="3"/>
  <c r="B136" i="3"/>
  <c r="A136" i="3"/>
  <c r="M135" i="3"/>
  <c r="L135" i="3"/>
  <c r="K135" i="3"/>
  <c r="J135" i="3"/>
  <c r="I135" i="3"/>
  <c r="H135" i="3"/>
  <c r="G135" i="3"/>
  <c r="F135" i="3"/>
  <c r="E135" i="3"/>
  <c r="D135" i="3"/>
  <c r="C135" i="3"/>
  <c r="B135" i="3"/>
  <c r="A135" i="3"/>
  <c r="M134" i="3"/>
  <c r="L134" i="3"/>
  <c r="K134" i="3"/>
  <c r="J134" i="3"/>
  <c r="I134" i="3"/>
  <c r="H134" i="3"/>
  <c r="G134" i="3"/>
  <c r="F134" i="3"/>
  <c r="E134" i="3"/>
  <c r="D134" i="3"/>
  <c r="C134" i="3"/>
  <c r="B134" i="3"/>
  <c r="A134" i="3"/>
  <c r="M133" i="3"/>
  <c r="L133" i="3"/>
  <c r="K133" i="3"/>
  <c r="J133" i="3"/>
  <c r="I133" i="3"/>
  <c r="H133" i="3"/>
  <c r="G133" i="3"/>
  <c r="F133" i="3"/>
  <c r="E133" i="3"/>
  <c r="D133" i="3"/>
  <c r="C133" i="3"/>
  <c r="B133" i="3"/>
  <c r="A133" i="3"/>
  <c r="M132" i="3"/>
  <c r="L132" i="3"/>
  <c r="K132" i="3"/>
  <c r="J132" i="3"/>
  <c r="I132" i="3"/>
  <c r="H132" i="3"/>
  <c r="G132" i="3"/>
  <c r="F132" i="3"/>
  <c r="E132" i="3"/>
  <c r="D132" i="3"/>
  <c r="C132" i="3"/>
  <c r="B132" i="3"/>
  <c r="A132" i="3"/>
  <c r="M131" i="3"/>
  <c r="L131" i="3"/>
  <c r="K131" i="3"/>
  <c r="J131" i="3"/>
  <c r="I131" i="3"/>
  <c r="H131" i="3"/>
  <c r="G131" i="3"/>
  <c r="F131" i="3"/>
  <c r="E131" i="3"/>
  <c r="D131" i="3"/>
  <c r="C131" i="3"/>
  <c r="B131" i="3"/>
  <c r="A131" i="3"/>
  <c r="M130" i="3"/>
  <c r="L130" i="3"/>
  <c r="K130" i="3"/>
  <c r="J130" i="3"/>
  <c r="I130" i="3"/>
  <c r="H130" i="3"/>
  <c r="G130" i="3"/>
  <c r="F130" i="3"/>
  <c r="E130" i="3"/>
  <c r="D130" i="3"/>
  <c r="C130" i="3"/>
  <c r="B130" i="3"/>
  <c r="A130" i="3"/>
  <c r="M129" i="3"/>
  <c r="L129" i="3"/>
  <c r="K129" i="3"/>
  <c r="J129" i="3"/>
  <c r="I129" i="3"/>
  <c r="H129" i="3"/>
  <c r="G129" i="3"/>
  <c r="F129" i="3"/>
  <c r="E129" i="3"/>
  <c r="D129" i="3"/>
  <c r="C129" i="3"/>
  <c r="B129" i="3"/>
  <c r="A129" i="3"/>
  <c r="M128" i="3"/>
  <c r="L128" i="3"/>
  <c r="K128" i="3"/>
  <c r="J128" i="3"/>
  <c r="I128" i="3"/>
  <c r="H128" i="3"/>
  <c r="G128" i="3"/>
  <c r="F128" i="3"/>
  <c r="E128" i="3"/>
  <c r="D128" i="3"/>
  <c r="C128" i="3"/>
  <c r="B128" i="3"/>
  <c r="A128" i="3"/>
  <c r="M127" i="3"/>
  <c r="L127" i="3"/>
  <c r="K127" i="3"/>
  <c r="J127" i="3"/>
  <c r="I127" i="3"/>
  <c r="H127" i="3"/>
  <c r="G127" i="3"/>
  <c r="F127" i="3"/>
  <c r="E127" i="3"/>
  <c r="D127" i="3"/>
  <c r="C127" i="3"/>
  <c r="B127" i="3"/>
  <c r="A127" i="3"/>
  <c r="M126" i="3"/>
  <c r="L126" i="3"/>
  <c r="K126" i="3"/>
  <c r="J126" i="3"/>
  <c r="I126" i="3"/>
  <c r="H126" i="3"/>
  <c r="G126" i="3"/>
  <c r="F126" i="3"/>
  <c r="E126" i="3"/>
  <c r="D126" i="3"/>
  <c r="C126" i="3"/>
  <c r="B126" i="3"/>
  <c r="A126" i="3"/>
  <c r="M125" i="3"/>
  <c r="L125" i="3"/>
  <c r="K125" i="3"/>
  <c r="J125" i="3"/>
  <c r="I125" i="3"/>
  <c r="H125" i="3"/>
  <c r="G125" i="3"/>
  <c r="F125" i="3"/>
  <c r="E125" i="3"/>
  <c r="D125" i="3"/>
  <c r="C125" i="3"/>
  <c r="B125" i="3"/>
  <c r="A125" i="3"/>
  <c r="M124" i="3"/>
  <c r="L124" i="3"/>
  <c r="K124" i="3"/>
  <c r="J124" i="3"/>
  <c r="I124" i="3"/>
  <c r="H124" i="3"/>
  <c r="G124" i="3"/>
  <c r="F124" i="3"/>
  <c r="E124" i="3"/>
  <c r="D124" i="3"/>
  <c r="C124" i="3"/>
  <c r="B124" i="3"/>
  <c r="A124" i="3"/>
  <c r="M123" i="3"/>
  <c r="L123" i="3"/>
  <c r="K123" i="3"/>
  <c r="J123" i="3"/>
  <c r="I123" i="3"/>
  <c r="H123" i="3"/>
  <c r="G123" i="3"/>
  <c r="F123" i="3"/>
  <c r="E123" i="3"/>
  <c r="D123" i="3"/>
  <c r="C123" i="3"/>
  <c r="B123" i="3"/>
  <c r="A123" i="3"/>
  <c r="M122" i="3"/>
  <c r="L122" i="3"/>
  <c r="K122" i="3"/>
  <c r="J122" i="3"/>
  <c r="I122" i="3"/>
  <c r="H122" i="3"/>
  <c r="G122" i="3"/>
  <c r="F122" i="3"/>
  <c r="E122" i="3"/>
  <c r="D122" i="3"/>
  <c r="C122" i="3"/>
  <c r="B122" i="3"/>
  <c r="A122" i="3"/>
  <c r="M121" i="3"/>
  <c r="L121" i="3"/>
  <c r="K121" i="3"/>
  <c r="J121" i="3"/>
  <c r="I121" i="3"/>
  <c r="H121" i="3"/>
  <c r="G121" i="3"/>
  <c r="F121" i="3"/>
  <c r="E121" i="3"/>
  <c r="D121" i="3"/>
  <c r="C121" i="3"/>
  <c r="B121" i="3"/>
  <c r="A121" i="3"/>
  <c r="M120" i="3"/>
  <c r="L120" i="3"/>
  <c r="K120" i="3"/>
  <c r="J120" i="3"/>
  <c r="I120" i="3"/>
  <c r="H120" i="3"/>
  <c r="G120" i="3"/>
  <c r="F120" i="3"/>
  <c r="E120" i="3"/>
  <c r="D120" i="3"/>
  <c r="C120" i="3"/>
  <c r="B120" i="3"/>
  <c r="A120" i="3"/>
  <c r="M119" i="3"/>
  <c r="L119" i="3"/>
  <c r="K119" i="3"/>
  <c r="J119" i="3"/>
  <c r="I119" i="3"/>
  <c r="H119" i="3"/>
  <c r="G119" i="3"/>
  <c r="F119" i="3"/>
  <c r="E119" i="3"/>
  <c r="D119" i="3"/>
  <c r="C119" i="3"/>
  <c r="B119" i="3"/>
  <c r="A119" i="3"/>
  <c r="M118" i="3"/>
  <c r="L118" i="3"/>
  <c r="K118" i="3"/>
  <c r="J118" i="3"/>
  <c r="I118" i="3"/>
  <c r="H118" i="3"/>
  <c r="G118" i="3"/>
  <c r="F118" i="3"/>
  <c r="E118" i="3"/>
  <c r="D118" i="3"/>
  <c r="C118" i="3"/>
  <c r="B118" i="3"/>
  <c r="A118" i="3"/>
  <c r="M117" i="3"/>
  <c r="L117" i="3"/>
  <c r="K117" i="3"/>
  <c r="J117" i="3"/>
  <c r="I117" i="3"/>
  <c r="H117" i="3"/>
  <c r="G117" i="3"/>
  <c r="F117" i="3"/>
  <c r="E117" i="3"/>
  <c r="D117" i="3"/>
  <c r="C117" i="3"/>
  <c r="B117" i="3"/>
  <c r="A117" i="3"/>
  <c r="M116" i="3"/>
  <c r="L116" i="3"/>
  <c r="K116" i="3"/>
  <c r="J116" i="3"/>
  <c r="I116" i="3"/>
  <c r="H116" i="3"/>
  <c r="G116" i="3"/>
  <c r="F116" i="3"/>
  <c r="D116" i="3"/>
  <c r="C116" i="3"/>
  <c r="B116" i="3"/>
  <c r="A116" i="3"/>
  <c r="M115" i="3"/>
  <c r="L115" i="3"/>
  <c r="K115" i="3"/>
  <c r="J115" i="3"/>
  <c r="I115" i="3"/>
  <c r="H115" i="3"/>
  <c r="G115" i="3"/>
  <c r="F115" i="3"/>
  <c r="E115" i="3"/>
  <c r="D115" i="3"/>
  <c r="C115" i="3"/>
  <c r="B115" i="3"/>
  <c r="A115" i="3"/>
  <c r="M114" i="3"/>
  <c r="L114" i="3"/>
  <c r="K114" i="3"/>
  <c r="J114" i="3"/>
  <c r="I114" i="3"/>
  <c r="H114" i="3"/>
  <c r="G114" i="3"/>
  <c r="F114" i="3"/>
  <c r="E114" i="3"/>
  <c r="D114" i="3"/>
  <c r="C114" i="3"/>
  <c r="B114" i="3"/>
  <c r="A114" i="3"/>
  <c r="M113" i="3"/>
  <c r="L113" i="3"/>
  <c r="K113" i="3"/>
  <c r="J113" i="3"/>
  <c r="I113" i="3"/>
  <c r="H113" i="3"/>
  <c r="G113" i="3"/>
  <c r="F113" i="3"/>
  <c r="E113" i="3"/>
  <c r="D113" i="3"/>
  <c r="C113" i="3"/>
  <c r="B113" i="3"/>
  <c r="A113" i="3"/>
  <c r="M112" i="3"/>
  <c r="L112" i="3"/>
  <c r="K112" i="3"/>
  <c r="J112" i="3"/>
  <c r="I112" i="3"/>
  <c r="H112" i="3"/>
  <c r="G112" i="3"/>
  <c r="F112" i="3"/>
  <c r="E112" i="3"/>
  <c r="D112" i="3"/>
  <c r="C112" i="3"/>
  <c r="B112" i="3"/>
  <c r="A112" i="3"/>
  <c r="M111" i="3"/>
  <c r="L111" i="3"/>
  <c r="K111" i="3"/>
  <c r="J111" i="3"/>
  <c r="I111" i="3"/>
  <c r="H111" i="3"/>
  <c r="G111" i="3"/>
  <c r="F111" i="3"/>
  <c r="E111" i="3"/>
  <c r="D111" i="3"/>
  <c r="C111" i="3"/>
  <c r="B111" i="3"/>
  <c r="A111" i="3"/>
  <c r="M110" i="3"/>
  <c r="L110" i="3"/>
  <c r="K110" i="3"/>
  <c r="J110" i="3"/>
  <c r="I110" i="3"/>
  <c r="H110" i="3"/>
  <c r="G110" i="3"/>
  <c r="F110" i="3"/>
  <c r="E110" i="3"/>
  <c r="D110" i="3"/>
  <c r="C110" i="3"/>
  <c r="B110" i="3"/>
  <c r="A110" i="3"/>
  <c r="M109" i="3"/>
  <c r="L109" i="3"/>
  <c r="K109" i="3"/>
  <c r="J109" i="3"/>
  <c r="I109" i="3"/>
  <c r="H109" i="3"/>
  <c r="G109" i="3"/>
  <c r="F109" i="3"/>
  <c r="E109" i="3"/>
  <c r="D109" i="3"/>
  <c r="C109" i="3"/>
  <c r="B109" i="3"/>
  <c r="A109" i="3"/>
  <c r="M108" i="3"/>
  <c r="L108" i="3"/>
  <c r="K108" i="3"/>
  <c r="J108" i="3"/>
  <c r="I108" i="3"/>
  <c r="H108" i="3"/>
  <c r="G108" i="3"/>
  <c r="F108" i="3"/>
  <c r="D108" i="3"/>
  <c r="C108" i="3"/>
  <c r="B108" i="3"/>
  <c r="A108" i="3"/>
  <c r="M107" i="3"/>
  <c r="L107" i="3"/>
  <c r="K107" i="3"/>
  <c r="J107" i="3"/>
  <c r="I107" i="3"/>
  <c r="H107" i="3"/>
  <c r="G107" i="3"/>
  <c r="F107" i="3"/>
  <c r="E107" i="3"/>
  <c r="D107" i="3"/>
  <c r="C107" i="3"/>
  <c r="B107" i="3"/>
  <c r="A107" i="3"/>
  <c r="M106" i="3"/>
  <c r="L106" i="3"/>
  <c r="K106" i="3"/>
  <c r="J106" i="3"/>
  <c r="I106" i="3"/>
  <c r="H106" i="3"/>
  <c r="G106" i="3"/>
  <c r="F106" i="3"/>
  <c r="E106" i="3"/>
  <c r="D106" i="3"/>
  <c r="C106" i="3"/>
  <c r="B106" i="3"/>
  <c r="A106" i="3"/>
  <c r="M105" i="3"/>
  <c r="L105" i="3"/>
  <c r="K105" i="3"/>
  <c r="J105" i="3"/>
  <c r="I105" i="3"/>
  <c r="H105" i="3"/>
  <c r="G105" i="3"/>
  <c r="F105" i="3"/>
  <c r="E105" i="3"/>
  <c r="D105" i="3"/>
  <c r="C105" i="3"/>
  <c r="B105" i="3"/>
  <c r="A105" i="3"/>
  <c r="M104" i="3"/>
  <c r="L104" i="3"/>
  <c r="K104" i="3"/>
  <c r="J104" i="3"/>
  <c r="I104" i="3"/>
  <c r="H104" i="3"/>
  <c r="G104" i="3"/>
  <c r="F104" i="3"/>
  <c r="E104" i="3"/>
  <c r="D104" i="3"/>
  <c r="C104" i="3"/>
  <c r="B104" i="3"/>
  <c r="A104" i="3"/>
  <c r="M103" i="3"/>
  <c r="L103" i="3"/>
  <c r="K103" i="3"/>
  <c r="J103" i="3"/>
  <c r="I103" i="3"/>
  <c r="H103" i="3"/>
  <c r="G103" i="3"/>
  <c r="F103" i="3"/>
  <c r="E103" i="3"/>
  <c r="D103" i="3"/>
  <c r="C103" i="3"/>
  <c r="B103" i="3"/>
  <c r="A103" i="3"/>
  <c r="M102" i="3"/>
  <c r="L102" i="3"/>
  <c r="K102" i="3"/>
  <c r="J102" i="3"/>
  <c r="I102" i="3"/>
  <c r="H102" i="3"/>
  <c r="G102" i="3"/>
  <c r="F102" i="3"/>
  <c r="E102" i="3"/>
  <c r="D102" i="3"/>
  <c r="C102" i="3"/>
  <c r="B102" i="3"/>
  <c r="A102" i="3"/>
  <c r="M101" i="3"/>
  <c r="L101" i="3"/>
  <c r="K101" i="3"/>
  <c r="J101" i="3"/>
  <c r="I101" i="3"/>
  <c r="H101" i="3"/>
  <c r="G101" i="3"/>
  <c r="F101" i="3"/>
  <c r="E101" i="3"/>
  <c r="D101" i="3"/>
  <c r="C101" i="3"/>
  <c r="B101" i="3"/>
  <c r="A101" i="3"/>
  <c r="M100" i="3"/>
  <c r="L100" i="3"/>
  <c r="K100" i="3"/>
  <c r="J100" i="3"/>
  <c r="I100" i="3"/>
  <c r="H100" i="3"/>
  <c r="G100" i="3"/>
  <c r="E100" i="3"/>
  <c r="D100" i="3"/>
  <c r="C100" i="3"/>
  <c r="B100" i="3"/>
  <c r="A100" i="3"/>
  <c r="M99" i="3"/>
  <c r="L99" i="3"/>
  <c r="K99" i="3"/>
  <c r="J99" i="3"/>
  <c r="I99" i="3"/>
  <c r="H99" i="3"/>
  <c r="G99" i="3"/>
  <c r="F99" i="3"/>
  <c r="E99" i="3"/>
  <c r="D99" i="3"/>
  <c r="C99" i="3"/>
  <c r="B99" i="3"/>
  <c r="A99" i="3"/>
  <c r="M98" i="3"/>
  <c r="L98" i="3"/>
  <c r="K98" i="3"/>
  <c r="J98" i="3"/>
  <c r="I98" i="3"/>
  <c r="H98" i="3"/>
  <c r="G98" i="3"/>
  <c r="F98" i="3"/>
  <c r="E98" i="3"/>
  <c r="D98" i="3"/>
  <c r="C98" i="3"/>
  <c r="B98" i="3"/>
  <c r="A98" i="3"/>
  <c r="M97" i="3"/>
  <c r="L97" i="3"/>
  <c r="K97" i="3"/>
  <c r="J97" i="3"/>
  <c r="I97" i="3"/>
  <c r="H97" i="3"/>
  <c r="G97" i="3"/>
  <c r="F97" i="3"/>
  <c r="E97" i="3"/>
  <c r="D97" i="3"/>
  <c r="C97" i="3"/>
  <c r="B97" i="3"/>
  <c r="A97" i="3"/>
  <c r="M96" i="3"/>
  <c r="L96" i="3"/>
  <c r="K96" i="3"/>
  <c r="J96" i="3"/>
  <c r="I96" i="3"/>
  <c r="H96" i="3"/>
  <c r="G96" i="3"/>
  <c r="F96" i="3"/>
  <c r="E96" i="3"/>
  <c r="D96" i="3"/>
  <c r="C96" i="3"/>
  <c r="B96" i="3"/>
  <c r="A96" i="3"/>
  <c r="M95" i="3"/>
  <c r="L95" i="3"/>
  <c r="K95" i="3"/>
  <c r="J95" i="3"/>
  <c r="I95" i="3"/>
  <c r="H95" i="3"/>
  <c r="G95" i="3"/>
  <c r="F95" i="3"/>
  <c r="E95" i="3"/>
  <c r="D95" i="3"/>
  <c r="C95" i="3"/>
  <c r="B95" i="3"/>
  <c r="A95" i="3"/>
  <c r="M94" i="3"/>
  <c r="L94" i="3"/>
  <c r="K94" i="3"/>
  <c r="J94" i="3"/>
  <c r="I94" i="3"/>
  <c r="H94" i="3"/>
  <c r="G94" i="3"/>
  <c r="F94" i="3"/>
  <c r="E94" i="3"/>
  <c r="D94" i="3"/>
  <c r="C94" i="3"/>
  <c r="B94" i="3"/>
  <c r="A94" i="3"/>
  <c r="M93" i="3"/>
  <c r="L93" i="3"/>
  <c r="K93" i="3"/>
  <c r="J93" i="3"/>
  <c r="I93" i="3"/>
  <c r="H93" i="3"/>
  <c r="G93" i="3"/>
  <c r="F93" i="3"/>
  <c r="E93" i="3"/>
  <c r="D93" i="3"/>
  <c r="C93" i="3"/>
  <c r="B93" i="3"/>
  <c r="A93" i="3"/>
  <c r="M92" i="3"/>
  <c r="L92" i="3"/>
  <c r="K92" i="3"/>
  <c r="J92" i="3"/>
  <c r="I92" i="3"/>
  <c r="H92" i="3"/>
  <c r="G92" i="3"/>
  <c r="F92" i="3"/>
  <c r="E92" i="3"/>
  <c r="D92" i="3"/>
  <c r="C92" i="3"/>
  <c r="B92" i="3"/>
  <c r="A92" i="3"/>
  <c r="M91" i="3"/>
  <c r="L91" i="3"/>
  <c r="K91" i="3"/>
  <c r="J91" i="3"/>
  <c r="I91" i="3"/>
  <c r="H91" i="3"/>
  <c r="G91" i="3"/>
  <c r="F91" i="3"/>
  <c r="E91" i="3"/>
  <c r="D91" i="3"/>
  <c r="C91" i="3"/>
  <c r="B91" i="3"/>
  <c r="A91" i="3"/>
  <c r="M90" i="3"/>
  <c r="L90" i="3"/>
  <c r="K90" i="3"/>
  <c r="J90" i="3"/>
  <c r="I90" i="3"/>
  <c r="H90" i="3"/>
  <c r="G90" i="3"/>
  <c r="F90" i="3"/>
  <c r="E90" i="3"/>
  <c r="D90" i="3"/>
  <c r="C90" i="3"/>
  <c r="B90" i="3"/>
  <c r="A90" i="3"/>
  <c r="M89" i="3"/>
  <c r="L89" i="3"/>
  <c r="K89" i="3"/>
  <c r="J89" i="3"/>
  <c r="I89" i="3"/>
  <c r="H89" i="3"/>
  <c r="G89" i="3"/>
  <c r="F89" i="3"/>
  <c r="E89" i="3"/>
  <c r="D89" i="3"/>
  <c r="C89" i="3"/>
  <c r="B89" i="3"/>
  <c r="A89" i="3"/>
  <c r="M88" i="3"/>
  <c r="L88" i="3"/>
  <c r="K88" i="3"/>
  <c r="J88" i="3"/>
  <c r="I88" i="3"/>
  <c r="H88" i="3"/>
  <c r="G88" i="3"/>
  <c r="F88" i="3"/>
  <c r="E88" i="3"/>
  <c r="D88" i="3"/>
  <c r="C88" i="3"/>
  <c r="B88" i="3"/>
  <c r="A88" i="3"/>
  <c r="M87" i="3"/>
  <c r="L87" i="3"/>
  <c r="K87" i="3"/>
  <c r="J87" i="3"/>
  <c r="I87" i="3"/>
  <c r="H87" i="3"/>
  <c r="G87" i="3"/>
  <c r="F87" i="3"/>
  <c r="E87" i="3"/>
  <c r="D87" i="3"/>
  <c r="C87" i="3"/>
  <c r="B87" i="3"/>
  <c r="A87" i="3"/>
  <c r="M86" i="3"/>
  <c r="L86" i="3"/>
  <c r="K86" i="3"/>
  <c r="J86" i="3"/>
  <c r="I86" i="3"/>
  <c r="H86" i="3"/>
  <c r="G86" i="3"/>
  <c r="F86" i="3"/>
  <c r="E86" i="3"/>
  <c r="D86" i="3"/>
  <c r="C86" i="3"/>
  <c r="B86" i="3"/>
  <c r="A86" i="3"/>
  <c r="M85" i="3"/>
  <c r="L85" i="3"/>
  <c r="K85" i="3"/>
  <c r="J85" i="3"/>
  <c r="I85" i="3"/>
  <c r="H85" i="3"/>
  <c r="G85" i="3"/>
  <c r="E85" i="3"/>
  <c r="D85" i="3"/>
  <c r="C85" i="3"/>
  <c r="B85" i="3"/>
  <c r="A85" i="3"/>
  <c r="M84" i="3"/>
  <c r="L84" i="3"/>
  <c r="K84" i="3"/>
  <c r="J84" i="3"/>
  <c r="I84" i="3"/>
  <c r="H84" i="3"/>
  <c r="G84" i="3"/>
  <c r="F84" i="3"/>
  <c r="E84" i="3"/>
  <c r="D84" i="3"/>
  <c r="C84" i="3"/>
  <c r="B84" i="3"/>
  <c r="A84" i="3"/>
  <c r="M83" i="3"/>
  <c r="L83" i="3"/>
  <c r="K83" i="3"/>
  <c r="J83" i="3"/>
  <c r="I83" i="3"/>
  <c r="H83" i="3"/>
  <c r="G83" i="3"/>
  <c r="F83" i="3"/>
  <c r="E83" i="3"/>
  <c r="D83" i="3"/>
  <c r="C83" i="3"/>
  <c r="B83" i="3"/>
  <c r="A83" i="3"/>
  <c r="M82" i="3"/>
  <c r="L82" i="3"/>
  <c r="K82" i="3"/>
  <c r="J82" i="3"/>
  <c r="I82" i="3"/>
  <c r="H82" i="3"/>
  <c r="F82" i="3"/>
  <c r="E82" i="3"/>
  <c r="D82" i="3"/>
  <c r="C82" i="3"/>
  <c r="B82" i="3"/>
  <c r="A82" i="3"/>
  <c r="M81" i="3"/>
  <c r="L81" i="3"/>
  <c r="K81" i="3"/>
  <c r="J81" i="3"/>
  <c r="I81" i="3"/>
  <c r="H81" i="3"/>
  <c r="F81" i="3"/>
  <c r="E81" i="3"/>
  <c r="D81" i="3"/>
  <c r="C81" i="3"/>
  <c r="B81" i="3"/>
  <c r="A81" i="3"/>
  <c r="M80" i="3"/>
  <c r="L80" i="3"/>
  <c r="K80" i="3"/>
  <c r="J80" i="3"/>
  <c r="I80" i="3"/>
  <c r="H80" i="3"/>
  <c r="G80" i="3"/>
  <c r="F80" i="3"/>
  <c r="E80" i="3"/>
  <c r="D80" i="3"/>
  <c r="C80" i="3"/>
  <c r="B80" i="3"/>
  <c r="A80" i="3"/>
  <c r="M79" i="3"/>
  <c r="L79" i="3"/>
  <c r="K79" i="3"/>
  <c r="J79" i="3"/>
  <c r="I79" i="3"/>
  <c r="H79" i="3"/>
  <c r="G79" i="3"/>
  <c r="F79" i="3"/>
  <c r="E79" i="3"/>
  <c r="D79" i="3"/>
  <c r="C79" i="3"/>
  <c r="B79" i="3"/>
  <c r="A79" i="3"/>
  <c r="M78" i="3"/>
  <c r="L78" i="3"/>
  <c r="K78" i="3"/>
  <c r="J78" i="3"/>
  <c r="I78" i="3"/>
  <c r="H78" i="3"/>
  <c r="G78" i="3"/>
  <c r="F78" i="3"/>
  <c r="E78" i="3"/>
  <c r="D78" i="3"/>
  <c r="C78" i="3"/>
  <c r="B78" i="3"/>
  <c r="A78" i="3"/>
  <c r="M77" i="3"/>
  <c r="L77" i="3"/>
  <c r="K77" i="3"/>
  <c r="J77" i="3"/>
  <c r="I77" i="3"/>
  <c r="H77" i="3"/>
  <c r="G77" i="3"/>
  <c r="F77" i="3"/>
  <c r="E77" i="3"/>
  <c r="D77" i="3"/>
  <c r="C77" i="3"/>
  <c r="B77" i="3"/>
  <c r="A77" i="3"/>
  <c r="M76" i="3"/>
  <c r="L76" i="3"/>
  <c r="K76" i="3"/>
  <c r="J76" i="3"/>
  <c r="I76" i="3"/>
  <c r="H76" i="3"/>
  <c r="G76" i="3"/>
  <c r="F76" i="3"/>
  <c r="E76" i="3"/>
  <c r="D76" i="3"/>
  <c r="C76" i="3"/>
  <c r="B76" i="3"/>
  <c r="A76" i="3"/>
  <c r="M75" i="3"/>
  <c r="L75" i="3"/>
  <c r="K75" i="3"/>
  <c r="J75" i="3"/>
  <c r="I75" i="3"/>
  <c r="H75" i="3"/>
  <c r="G75" i="3"/>
  <c r="F75" i="3"/>
  <c r="E75" i="3"/>
  <c r="D75" i="3"/>
  <c r="C75" i="3"/>
  <c r="B75" i="3"/>
  <c r="A75" i="3"/>
  <c r="M74" i="3"/>
  <c r="L74" i="3"/>
  <c r="K74" i="3"/>
  <c r="J74" i="3"/>
  <c r="I74" i="3"/>
  <c r="H74" i="3"/>
  <c r="G74" i="3"/>
  <c r="F74" i="3"/>
  <c r="E74" i="3"/>
  <c r="D74" i="3"/>
  <c r="C74" i="3"/>
  <c r="B74" i="3"/>
  <c r="A74" i="3"/>
  <c r="M73" i="3"/>
  <c r="L73" i="3"/>
  <c r="K73" i="3"/>
  <c r="J73" i="3"/>
  <c r="I73" i="3"/>
  <c r="H73" i="3"/>
  <c r="G73" i="3"/>
  <c r="F73" i="3"/>
  <c r="E73" i="3"/>
  <c r="D73" i="3"/>
  <c r="C73" i="3"/>
  <c r="B73" i="3"/>
  <c r="A73" i="3"/>
  <c r="M72" i="3"/>
  <c r="L72" i="3"/>
  <c r="K72" i="3"/>
  <c r="J72" i="3"/>
  <c r="I72" i="3"/>
  <c r="H72" i="3"/>
  <c r="G72" i="3"/>
  <c r="F72" i="3"/>
  <c r="E72" i="3"/>
  <c r="D72" i="3"/>
  <c r="C72" i="3"/>
  <c r="B72" i="3"/>
  <c r="A72" i="3"/>
  <c r="M71" i="3"/>
  <c r="L71" i="3"/>
  <c r="K71" i="3"/>
  <c r="J71" i="3"/>
  <c r="I71" i="3"/>
  <c r="H71" i="3"/>
  <c r="G71" i="3"/>
  <c r="F71" i="3"/>
  <c r="E71" i="3"/>
  <c r="D71" i="3"/>
  <c r="C71" i="3"/>
  <c r="B71" i="3"/>
  <c r="A71" i="3"/>
  <c r="M70" i="3"/>
  <c r="L70" i="3"/>
  <c r="K70" i="3"/>
  <c r="J70" i="3"/>
  <c r="I70" i="3"/>
  <c r="H70" i="3"/>
  <c r="G70" i="3"/>
  <c r="F70" i="3"/>
  <c r="E70" i="3"/>
  <c r="D70" i="3"/>
  <c r="C70" i="3"/>
  <c r="B70" i="3"/>
  <c r="A70" i="3"/>
  <c r="M69" i="3"/>
  <c r="L69" i="3"/>
  <c r="K69" i="3"/>
  <c r="J69" i="3"/>
  <c r="I69" i="3"/>
  <c r="H69" i="3"/>
  <c r="G69" i="3"/>
  <c r="F69" i="3"/>
  <c r="E69" i="3"/>
  <c r="D69" i="3"/>
  <c r="C69" i="3"/>
  <c r="B69" i="3"/>
  <c r="A69" i="3"/>
  <c r="M68" i="3"/>
  <c r="L68" i="3"/>
  <c r="K68" i="3"/>
  <c r="J68" i="3"/>
  <c r="I68" i="3"/>
  <c r="H68" i="3"/>
  <c r="G68" i="3"/>
  <c r="F68" i="3"/>
  <c r="E68" i="3"/>
  <c r="D68" i="3"/>
  <c r="C68" i="3"/>
  <c r="B68" i="3"/>
  <c r="A68" i="3"/>
  <c r="M67" i="3"/>
  <c r="L67" i="3"/>
  <c r="K67" i="3"/>
  <c r="J67" i="3"/>
  <c r="I67" i="3"/>
  <c r="H67" i="3"/>
  <c r="G67" i="3"/>
  <c r="F67" i="3"/>
  <c r="E67" i="3"/>
  <c r="D67" i="3"/>
  <c r="C67" i="3"/>
  <c r="B67" i="3"/>
  <c r="A67" i="3"/>
  <c r="M66" i="3"/>
  <c r="L66" i="3"/>
  <c r="K66" i="3"/>
  <c r="J66" i="3"/>
  <c r="I66" i="3"/>
  <c r="H66" i="3"/>
  <c r="G66" i="3"/>
  <c r="F66" i="3"/>
  <c r="E66" i="3"/>
  <c r="D66" i="3"/>
  <c r="C66" i="3"/>
  <c r="B66" i="3"/>
  <c r="A66" i="3"/>
  <c r="M65" i="3"/>
  <c r="L65" i="3"/>
  <c r="K65" i="3"/>
  <c r="J65" i="3"/>
  <c r="I65" i="3"/>
  <c r="H65" i="3"/>
  <c r="G65" i="3"/>
  <c r="F65" i="3"/>
  <c r="E65" i="3"/>
  <c r="D65" i="3"/>
  <c r="C65" i="3"/>
  <c r="B65" i="3"/>
  <c r="A65" i="3"/>
  <c r="M64" i="3"/>
  <c r="L64" i="3"/>
  <c r="K64" i="3"/>
  <c r="J64" i="3"/>
  <c r="I64" i="3"/>
  <c r="H64" i="3"/>
  <c r="G64" i="3"/>
  <c r="F64" i="3"/>
  <c r="E64" i="3"/>
  <c r="D64" i="3"/>
  <c r="C64" i="3"/>
  <c r="B64" i="3"/>
  <c r="A64" i="3"/>
  <c r="M63" i="3"/>
  <c r="L63" i="3"/>
  <c r="K63" i="3"/>
  <c r="J63" i="3"/>
  <c r="I63" i="3"/>
  <c r="H63" i="3"/>
  <c r="G63" i="3"/>
  <c r="F63" i="3"/>
  <c r="E63" i="3"/>
  <c r="D63" i="3"/>
  <c r="C63" i="3"/>
  <c r="B63" i="3"/>
  <c r="A63" i="3"/>
  <c r="M62" i="3"/>
  <c r="L62" i="3"/>
  <c r="K62" i="3"/>
  <c r="J62" i="3"/>
  <c r="I62" i="3"/>
  <c r="H62" i="3"/>
  <c r="G62" i="3"/>
  <c r="F62" i="3"/>
  <c r="E62" i="3"/>
  <c r="D62" i="3"/>
  <c r="C62" i="3"/>
  <c r="B62" i="3"/>
  <c r="A62" i="3"/>
  <c r="M61" i="3"/>
  <c r="L61" i="3"/>
  <c r="K61" i="3"/>
  <c r="J61" i="3"/>
  <c r="I61" i="3"/>
  <c r="H61" i="3"/>
  <c r="G61" i="3"/>
  <c r="F61" i="3"/>
  <c r="E61" i="3"/>
  <c r="D61" i="3"/>
  <c r="C61" i="3"/>
  <c r="B61" i="3"/>
  <c r="A61" i="3"/>
  <c r="M60" i="3"/>
  <c r="L60" i="3"/>
  <c r="K60" i="3"/>
  <c r="J60" i="3"/>
  <c r="I60" i="3"/>
  <c r="H60" i="3"/>
  <c r="G60" i="3"/>
  <c r="E60" i="3"/>
  <c r="D60" i="3"/>
  <c r="C60" i="3"/>
  <c r="B60" i="3"/>
  <c r="A60" i="3"/>
  <c r="M59" i="3"/>
  <c r="L59" i="3"/>
  <c r="K59" i="3"/>
  <c r="J59" i="3"/>
  <c r="I59" i="3"/>
  <c r="H59" i="3"/>
  <c r="G59" i="3"/>
  <c r="F59" i="3"/>
  <c r="E59" i="3"/>
  <c r="D59" i="3"/>
  <c r="C59" i="3"/>
  <c r="B59" i="3"/>
  <c r="A59" i="3"/>
  <c r="M58" i="3"/>
  <c r="L58" i="3"/>
  <c r="K58" i="3"/>
  <c r="J58" i="3"/>
  <c r="I58" i="3"/>
  <c r="H58" i="3"/>
  <c r="G58" i="3"/>
  <c r="F58" i="3"/>
  <c r="E58" i="3"/>
  <c r="D58" i="3"/>
  <c r="C58" i="3"/>
  <c r="B58" i="3"/>
  <c r="A58" i="3"/>
  <c r="M57" i="3"/>
  <c r="L57" i="3"/>
  <c r="K57" i="3"/>
  <c r="J57" i="3"/>
  <c r="I57" i="3"/>
  <c r="H57" i="3"/>
  <c r="G57" i="3"/>
  <c r="F57" i="3"/>
  <c r="E57" i="3"/>
  <c r="D57" i="3"/>
  <c r="C57" i="3"/>
  <c r="B57" i="3"/>
  <c r="A57" i="3"/>
  <c r="M56" i="3"/>
  <c r="L56" i="3"/>
  <c r="K56" i="3"/>
  <c r="J56" i="3"/>
  <c r="I56" i="3"/>
  <c r="H56" i="3"/>
  <c r="G56" i="3"/>
  <c r="F56" i="3"/>
  <c r="E56" i="3"/>
  <c r="D56" i="3"/>
  <c r="C56" i="3"/>
  <c r="B56" i="3"/>
  <c r="A56" i="3"/>
  <c r="M55" i="3"/>
  <c r="L55" i="3"/>
  <c r="K55" i="3"/>
  <c r="J55" i="3"/>
  <c r="I55" i="3"/>
  <c r="H55" i="3"/>
  <c r="G55" i="3"/>
  <c r="F55" i="3"/>
  <c r="E55" i="3"/>
  <c r="D55" i="3"/>
  <c r="C55" i="3"/>
  <c r="B55" i="3"/>
  <c r="A55" i="3"/>
  <c r="M54" i="3"/>
  <c r="L54" i="3"/>
  <c r="K54" i="3"/>
  <c r="J54" i="3"/>
  <c r="I54" i="3"/>
  <c r="H54" i="3"/>
  <c r="G54" i="3"/>
  <c r="F54" i="3"/>
  <c r="E54" i="3"/>
  <c r="D54" i="3"/>
  <c r="C54" i="3"/>
  <c r="B54" i="3"/>
  <c r="A54" i="3"/>
  <c r="M53" i="3"/>
  <c r="L53" i="3"/>
  <c r="K53" i="3"/>
  <c r="J53" i="3"/>
  <c r="I53" i="3"/>
  <c r="H53" i="3"/>
  <c r="G53" i="3"/>
  <c r="F53" i="3"/>
  <c r="E53" i="3"/>
  <c r="D53" i="3"/>
  <c r="C53" i="3"/>
  <c r="B53" i="3"/>
  <c r="A53" i="3"/>
  <c r="M52" i="3"/>
  <c r="L52" i="3"/>
  <c r="K52" i="3"/>
  <c r="J52" i="3"/>
  <c r="I52" i="3"/>
  <c r="H52" i="3"/>
  <c r="G52" i="3"/>
  <c r="F52" i="3"/>
  <c r="E52" i="3"/>
  <c r="D52" i="3"/>
  <c r="C52" i="3"/>
  <c r="B52" i="3"/>
  <c r="A52" i="3"/>
  <c r="M51" i="3"/>
  <c r="L51" i="3"/>
  <c r="K51" i="3"/>
  <c r="J51" i="3"/>
  <c r="I51" i="3"/>
  <c r="H51" i="3"/>
  <c r="G51" i="3"/>
  <c r="F51" i="3"/>
  <c r="E51" i="3"/>
  <c r="D51" i="3"/>
  <c r="C51" i="3"/>
  <c r="B51" i="3"/>
  <c r="A51" i="3"/>
  <c r="M50" i="3"/>
  <c r="L50" i="3"/>
  <c r="K50" i="3"/>
  <c r="J50" i="3"/>
  <c r="I50" i="3"/>
  <c r="H50" i="3"/>
  <c r="G50" i="3"/>
  <c r="F50" i="3"/>
  <c r="E50" i="3"/>
  <c r="D50" i="3"/>
  <c r="C50" i="3"/>
  <c r="B50" i="3"/>
  <c r="A50" i="3"/>
  <c r="M49" i="3"/>
  <c r="L49" i="3"/>
  <c r="K49" i="3"/>
  <c r="J49" i="3"/>
  <c r="I49" i="3"/>
  <c r="H49" i="3"/>
  <c r="G49" i="3"/>
  <c r="F49" i="3"/>
  <c r="E49" i="3"/>
  <c r="D49" i="3"/>
  <c r="C49" i="3"/>
  <c r="B49" i="3"/>
  <c r="A49" i="3"/>
  <c r="M48" i="3"/>
  <c r="L48" i="3"/>
  <c r="K48" i="3"/>
  <c r="J48" i="3"/>
  <c r="I48" i="3"/>
  <c r="H48" i="3"/>
  <c r="G48" i="3"/>
  <c r="F48" i="3"/>
  <c r="E48" i="3"/>
  <c r="D48" i="3"/>
  <c r="C48" i="3"/>
  <c r="B48" i="3"/>
  <c r="A48" i="3"/>
  <c r="M47" i="3"/>
  <c r="L47" i="3"/>
  <c r="K47" i="3"/>
  <c r="J47" i="3"/>
  <c r="I47" i="3"/>
  <c r="H47" i="3"/>
  <c r="G47" i="3"/>
  <c r="F47" i="3"/>
  <c r="E47" i="3"/>
  <c r="D47" i="3"/>
  <c r="C47" i="3"/>
  <c r="B47" i="3"/>
  <c r="A47" i="3"/>
  <c r="M46" i="3"/>
  <c r="L46" i="3"/>
  <c r="K46" i="3"/>
  <c r="J46" i="3"/>
  <c r="I46" i="3"/>
  <c r="H46" i="3"/>
  <c r="G46" i="3"/>
  <c r="F46" i="3"/>
  <c r="E46" i="3"/>
  <c r="D46" i="3"/>
  <c r="C46" i="3"/>
  <c r="B46" i="3"/>
  <c r="A46" i="3"/>
  <c r="M45" i="3"/>
  <c r="L45" i="3"/>
  <c r="K45" i="3"/>
  <c r="J45" i="3"/>
  <c r="I45" i="3"/>
  <c r="H45" i="3"/>
  <c r="G45" i="3"/>
  <c r="F45" i="3"/>
  <c r="E45" i="3"/>
  <c r="D45" i="3"/>
  <c r="C45" i="3"/>
  <c r="B45" i="3"/>
  <c r="A45" i="3"/>
  <c r="M44" i="3"/>
  <c r="L44" i="3"/>
  <c r="K44" i="3"/>
  <c r="J44" i="3"/>
  <c r="I44" i="3"/>
  <c r="H44" i="3"/>
  <c r="G44" i="3"/>
  <c r="F44" i="3"/>
  <c r="E44" i="3"/>
  <c r="D44" i="3"/>
  <c r="C44" i="3"/>
  <c r="B44" i="3"/>
  <c r="A44" i="3"/>
  <c r="M43" i="3"/>
  <c r="L43" i="3"/>
  <c r="K43" i="3"/>
  <c r="J43" i="3"/>
  <c r="I43" i="3"/>
  <c r="H43" i="3"/>
  <c r="G43" i="3"/>
  <c r="F43" i="3"/>
  <c r="E43" i="3"/>
  <c r="D43" i="3"/>
  <c r="C43" i="3"/>
  <c r="B43" i="3"/>
  <c r="A43" i="3"/>
  <c r="M42" i="3"/>
  <c r="L42" i="3"/>
  <c r="K42" i="3"/>
  <c r="J42" i="3"/>
  <c r="I42" i="3"/>
  <c r="H42" i="3"/>
  <c r="G42" i="3"/>
  <c r="F42" i="3"/>
  <c r="E42" i="3"/>
  <c r="D42" i="3"/>
  <c r="C42" i="3"/>
  <c r="B42" i="3"/>
  <c r="A42" i="3"/>
  <c r="M41" i="3"/>
  <c r="L41" i="3"/>
  <c r="K41" i="3"/>
  <c r="J41" i="3"/>
  <c r="I41" i="3"/>
  <c r="H41" i="3"/>
  <c r="G41" i="3"/>
  <c r="F41" i="3"/>
  <c r="E41" i="3"/>
  <c r="D41" i="3"/>
  <c r="C41" i="3"/>
  <c r="B41" i="3"/>
  <c r="A41" i="3"/>
  <c r="M40" i="3"/>
  <c r="L40" i="3"/>
  <c r="K40" i="3"/>
  <c r="J40" i="3"/>
  <c r="I40" i="3"/>
  <c r="H40" i="3"/>
  <c r="G40" i="3"/>
  <c r="F40" i="3"/>
  <c r="E40" i="3"/>
  <c r="D40" i="3"/>
  <c r="C40" i="3"/>
  <c r="B40" i="3"/>
  <c r="A40" i="3"/>
  <c r="M39" i="3"/>
  <c r="L39" i="3"/>
  <c r="K39" i="3"/>
  <c r="J39" i="3"/>
  <c r="I39" i="3"/>
  <c r="H39" i="3"/>
  <c r="G39" i="3"/>
  <c r="F39" i="3"/>
  <c r="E39" i="3"/>
  <c r="D39" i="3"/>
  <c r="C39" i="3"/>
  <c r="B39" i="3"/>
  <c r="A39" i="3"/>
  <c r="M38" i="3"/>
  <c r="L38" i="3"/>
  <c r="K38" i="3"/>
  <c r="J38" i="3"/>
  <c r="I38" i="3"/>
  <c r="H38" i="3"/>
  <c r="G38" i="3"/>
  <c r="F38" i="3"/>
  <c r="E38" i="3"/>
  <c r="D38" i="3"/>
  <c r="C38" i="3"/>
  <c r="B38" i="3"/>
  <c r="A38" i="3"/>
  <c r="M37" i="3"/>
  <c r="L37" i="3"/>
  <c r="K37" i="3"/>
  <c r="J37" i="3"/>
  <c r="I37" i="3"/>
  <c r="H37" i="3"/>
  <c r="G37" i="3"/>
  <c r="E37" i="3"/>
  <c r="D37" i="3"/>
  <c r="C37" i="3"/>
  <c r="B37" i="3"/>
  <c r="A37" i="3"/>
  <c r="M36" i="3"/>
  <c r="L36" i="3"/>
  <c r="K36" i="3"/>
  <c r="J36" i="3"/>
  <c r="I36" i="3"/>
  <c r="H36" i="3"/>
  <c r="F36" i="3"/>
  <c r="E36" i="3"/>
  <c r="D36" i="3"/>
  <c r="C36" i="3"/>
  <c r="B36" i="3"/>
  <c r="A36" i="3"/>
  <c r="M35" i="3"/>
  <c r="L35" i="3"/>
  <c r="K35" i="3"/>
  <c r="J35" i="3"/>
  <c r="I35" i="3"/>
  <c r="H35" i="3"/>
  <c r="G35" i="3"/>
  <c r="F35" i="3"/>
  <c r="E35" i="3"/>
  <c r="D35" i="3"/>
  <c r="C35" i="3"/>
  <c r="B35" i="3"/>
  <c r="A35" i="3"/>
  <c r="M34" i="3"/>
  <c r="L34" i="3"/>
  <c r="K34" i="3"/>
  <c r="J34" i="3"/>
  <c r="I34" i="3"/>
  <c r="H34" i="3"/>
  <c r="G34" i="3"/>
  <c r="F34" i="3"/>
  <c r="E34" i="3"/>
  <c r="D34" i="3"/>
  <c r="C34" i="3"/>
  <c r="B34" i="3"/>
  <c r="A34" i="3"/>
  <c r="M33" i="3"/>
  <c r="L33" i="3"/>
  <c r="K33" i="3"/>
  <c r="J33" i="3"/>
  <c r="I33" i="3"/>
  <c r="H33" i="3"/>
  <c r="G33" i="3"/>
  <c r="F33" i="3"/>
  <c r="E33" i="3"/>
  <c r="D33" i="3"/>
  <c r="C33" i="3"/>
  <c r="B33" i="3"/>
  <c r="A33" i="3"/>
  <c r="M32" i="3"/>
  <c r="L32" i="3"/>
  <c r="K32" i="3"/>
  <c r="J32" i="3"/>
  <c r="I32" i="3"/>
  <c r="H32" i="3"/>
  <c r="G32" i="3"/>
  <c r="F32" i="3"/>
  <c r="E32" i="3"/>
  <c r="D32" i="3"/>
  <c r="C32" i="3"/>
  <c r="B32" i="3"/>
  <c r="A32" i="3"/>
  <c r="M31" i="3"/>
  <c r="L31" i="3"/>
  <c r="K31" i="3"/>
  <c r="J31" i="3"/>
  <c r="I31" i="3"/>
  <c r="H31" i="3"/>
  <c r="F31" i="3"/>
  <c r="E31" i="3"/>
  <c r="D31" i="3"/>
  <c r="C31" i="3"/>
  <c r="B31" i="3"/>
  <c r="A31" i="3"/>
  <c r="M30" i="3"/>
  <c r="L30" i="3"/>
  <c r="K30" i="3"/>
  <c r="J30" i="3"/>
  <c r="I30" i="3"/>
  <c r="H30" i="3"/>
  <c r="G30" i="3"/>
  <c r="F30" i="3"/>
  <c r="E30" i="3"/>
  <c r="D30" i="3"/>
  <c r="C30" i="3"/>
  <c r="B30" i="3"/>
  <c r="A30" i="3"/>
  <c r="M29" i="3"/>
  <c r="L29" i="3"/>
  <c r="K29" i="3"/>
  <c r="J29" i="3"/>
  <c r="I29" i="3"/>
  <c r="H29" i="3"/>
  <c r="G29" i="3"/>
  <c r="F29" i="3"/>
  <c r="E29" i="3"/>
  <c r="D29" i="3"/>
  <c r="C29" i="3"/>
  <c r="B29" i="3"/>
  <c r="A29" i="3"/>
  <c r="M28" i="3"/>
  <c r="L28" i="3"/>
  <c r="K28" i="3"/>
  <c r="J28" i="3"/>
  <c r="I28" i="3"/>
  <c r="H28" i="3"/>
  <c r="G28" i="3"/>
  <c r="F28" i="3"/>
  <c r="E28" i="3"/>
  <c r="D28" i="3"/>
  <c r="C28" i="3"/>
  <c r="B28" i="3"/>
  <c r="A28" i="3"/>
  <c r="M27" i="3"/>
  <c r="L27" i="3"/>
  <c r="K27" i="3"/>
  <c r="J27" i="3"/>
  <c r="I27" i="3"/>
  <c r="H27" i="3"/>
  <c r="G27" i="3"/>
  <c r="F27" i="3"/>
  <c r="E27" i="3"/>
  <c r="D27" i="3"/>
  <c r="C27" i="3"/>
  <c r="B27" i="3"/>
  <c r="A27" i="3"/>
  <c r="M26" i="3"/>
  <c r="L26" i="3"/>
  <c r="K26" i="3"/>
  <c r="J26" i="3"/>
  <c r="I26" i="3"/>
  <c r="H26" i="3"/>
  <c r="G26" i="3"/>
  <c r="F26" i="3"/>
  <c r="E26" i="3"/>
  <c r="D26" i="3"/>
  <c r="C26" i="3"/>
  <c r="B26" i="3"/>
  <c r="A26" i="3"/>
  <c r="M25" i="3"/>
  <c r="L25" i="3"/>
  <c r="K25" i="3"/>
  <c r="J25" i="3"/>
  <c r="I25" i="3"/>
  <c r="H25" i="3"/>
  <c r="G25" i="3"/>
  <c r="F25" i="3"/>
  <c r="E25" i="3"/>
  <c r="D25" i="3"/>
  <c r="C25" i="3"/>
  <c r="B25" i="3"/>
  <c r="A25" i="3"/>
  <c r="M24" i="3"/>
  <c r="L24" i="3"/>
  <c r="K24" i="3"/>
  <c r="J24" i="3"/>
  <c r="I24" i="3"/>
  <c r="H24" i="3"/>
  <c r="G24" i="3"/>
  <c r="F24" i="3"/>
  <c r="E24" i="3"/>
  <c r="D24" i="3"/>
  <c r="C24" i="3"/>
  <c r="B24" i="3"/>
  <c r="A24" i="3"/>
  <c r="M23" i="3"/>
  <c r="L23" i="3"/>
  <c r="K23" i="3"/>
  <c r="J23" i="3"/>
  <c r="I23" i="3"/>
  <c r="H23" i="3"/>
  <c r="G23" i="3"/>
  <c r="F23" i="3"/>
  <c r="E23" i="3"/>
  <c r="D23" i="3"/>
  <c r="C23" i="3"/>
  <c r="B23" i="3"/>
  <c r="A23" i="3"/>
  <c r="M22" i="3"/>
  <c r="L22" i="3"/>
  <c r="K22" i="3"/>
  <c r="J22" i="3"/>
  <c r="I22" i="3"/>
  <c r="H22" i="3"/>
  <c r="G22" i="3"/>
  <c r="F22" i="3"/>
  <c r="E22" i="3"/>
  <c r="D22" i="3"/>
  <c r="C22" i="3"/>
  <c r="B22" i="3"/>
  <c r="A22" i="3"/>
  <c r="M21" i="3"/>
  <c r="L21" i="3"/>
  <c r="K21" i="3"/>
  <c r="J21" i="3"/>
  <c r="I21" i="3"/>
  <c r="H21" i="3"/>
  <c r="G21" i="3"/>
  <c r="F21" i="3"/>
  <c r="E21" i="3"/>
  <c r="D21" i="3"/>
  <c r="C21" i="3"/>
  <c r="B21" i="3"/>
  <c r="A21" i="3"/>
  <c r="M20" i="3"/>
  <c r="L20" i="3"/>
  <c r="K20" i="3"/>
  <c r="J20" i="3"/>
  <c r="I20" i="3"/>
  <c r="H20" i="3"/>
  <c r="G20" i="3"/>
  <c r="F20" i="3"/>
  <c r="E20" i="3"/>
  <c r="D20" i="3"/>
  <c r="C20" i="3"/>
  <c r="B20" i="3"/>
  <c r="A20" i="3"/>
  <c r="M19" i="3"/>
  <c r="L19" i="3"/>
  <c r="K19" i="3"/>
  <c r="J19" i="3"/>
  <c r="I19" i="3"/>
  <c r="H19" i="3"/>
  <c r="G19" i="3"/>
  <c r="F19" i="3"/>
  <c r="E19" i="3"/>
  <c r="D19" i="3"/>
  <c r="C19" i="3"/>
  <c r="B19" i="3"/>
  <c r="A19" i="3"/>
  <c r="M18" i="3"/>
  <c r="L18" i="3"/>
  <c r="K18" i="3"/>
  <c r="J18" i="3"/>
  <c r="I18" i="3"/>
  <c r="H18" i="3"/>
  <c r="G18" i="3"/>
  <c r="F18" i="3"/>
  <c r="E18" i="3"/>
  <c r="D18" i="3"/>
  <c r="C18" i="3"/>
  <c r="B18" i="3"/>
  <c r="A18" i="3"/>
  <c r="M17" i="3"/>
  <c r="L17" i="3"/>
  <c r="K17" i="3"/>
  <c r="J17" i="3"/>
  <c r="I17" i="3"/>
  <c r="H17" i="3"/>
  <c r="G17" i="3"/>
  <c r="F17" i="3"/>
  <c r="E17" i="3"/>
  <c r="D17" i="3"/>
  <c r="C17" i="3"/>
  <c r="B17" i="3"/>
  <c r="A17" i="3"/>
  <c r="M16" i="3"/>
  <c r="L16" i="3"/>
  <c r="K16" i="3"/>
  <c r="J16" i="3"/>
  <c r="I16" i="3"/>
  <c r="H16" i="3"/>
  <c r="G16" i="3"/>
  <c r="F16" i="3"/>
  <c r="E16" i="3"/>
  <c r="D16" i="3"/>
  <c r="C16" i="3"/>
  <c r="B16" i="3"/>
  <c r="A16" i="3"/>
  <c r="M15" i="3"/>
  <c r="L15" i="3"/>
  <c r="K15" i="3"/>
  <c r="J15" i="3"/>
  <c r="I15" i="3"/>
  <c r="H15" i="3"/>
  <c r="G15" i="3"/>
  <c r="F15" i="3"/>
  <c r="E15" i="3"/>
  <c r="D15" i="3"/>
  <c r="C15" i="3"/>
  <c r="B15" i="3"/>
  <c r="A15" i="3"/>
  <c r="M14" i="3"/>
  <c r="L14" i="3"/>
  <c r="K14" i="3"/>
  <c r="J14" i="3"/>
  <c r="I14" i="3"/>
  <c r="H14" i="3"/>
  <c r="G14" i="3"/>
  <c r="F14" i="3"/>
  <c r="E14" i="3"/>
  <c r="D14" i="3"/>
  <c r="C14" i="3"/>
  <c r="B14" i="3"/>
  <c r="A14" i="3"/>
  <c r="M13" i="3"/>
  <c r="L13" i="3"/>
  <c r="K13" i="3"/>
  <c r="J13" i="3"/>
  <c r="I13" i="3"/>
  <c r="H13" i="3"/>
  <c r="G13" i="3"/>
  <c r="F13" i="3"/>
  <c r="E13" i="3"/>
  <c r="D13" i="3"/>
  <c r="C13" i="3"/>
  <c r="B13" i="3"/>
  <c r="A13" i="3"/>
  <c r="M12" i="3"/>
  <c r="L12" i="3"/>
  <c r="K12" i="3"/>
  <c r="J12" i="3"/>
  <c r="I12" i="3"/>
  <c r="H12" i="3"/>
  <c r="G12" i="3"/>
  <c r="F12" i="3"/>
  <c r="E12" i="3"/>
  <c r="D12" i="3"/>
  <c r="C12" i="3"/>
  <c r="B12" i="3"/>
  <c r="A12" i="3"/>
  <c r="M11" i="3"/>
  <c r="L11" i="3"/>
  <c r="K11" i="3"/>
  <c r="J11" i="3"/>
  <c r="I11" i="3"/>
  <c r="H11" i="3"/>
  <c r="G11" i="3"/>
  <c r="F11" i="3"/>
  <c r="E11" i="3"/>
  <c r="D11" i="3"/>
  <c r="C11" i="3"/>
  <c r="B11" i="3"/>
  <c r="A11" i="3"/>
  <c r="M10" i="3"/>
  <c r="L10" i="3"/>
  <c r="K10" i="3"/>
  <c r="J10" i="3"/>
  <c r="I10" i="3"/>
  <c r="H10" i="3"/>
  <c r="G10" i="3"/>
  <c r="F10" i="3"/>
  <c r="E10" i="3"/>
  <c r="D10" i="3"/>
  <c r="C10" i="3"/>
  <c r="B10" i="3"/>
  <c r="A10" i="3"/>
  <c r="M9" i="3"/>
  <c r="L9" i="3"/>
  <c r="K9" i="3"/>
  <c r="J9" i="3"/>
  <c r="I9" i="3"/>
  <c r="H9" i="3"/>
  <c r="G9" i="3"/>
  <c r="F9" i="3"/>
  <c r="E9" i="3"/>
  <c r="D9" i="3"/>
  <c r="C9" i="3"/>
  <c r="B9" i="3"/>
  <c r="A9" i="3"/>
  <c r="M8" i="3"/>
  <c r="L8" i="3"/>
  <c r="K8" i="3"/>
  <c r="J8" i="3"/>
  <c r="I8" i="3"/>
  <c r="H8" i="3"/>
  <c r="G8" i="3"/>
  <c r="F8" i="3"/>
  <c r="E8" i="3"/>
  <c r="D8" i="3"/>
  <c r="C8" i="3"/>
  <c r="B8" i="3"/>
  <c r="A8" i="3"/>
  <c r="M7" i="3"/>
  <c r="L7" i="3"/>
  <c r="K7" i="3"/>
  <c r="J7" i="3"/>
  <c r="I7" i="3"/>
  <c r="H7" i="3"/>
  <c r="G7" i="3"/>
  <c r="F7" i="3"/>
  <c r="E7" i="3"/>
  <c r="D7" i="3"/>
  <c r="C7" i="3"/>
  <c r="B7" i="3"/>
  <c r="A7" i="3"/>
  <c r="M6" i="3"/>
  <c r="L6" i="3"/>
  <c r="K6" i="3"/>
  <c r="J6" i="3"/>
  <c r="I6" i="3"/>
  <c r="H6" i="3"/>
  <c r="G6" i="3"/>
  <c r="F6" i="3"/>
  <c r="E6" i="3"/>
  <c r="D6" i="3"/>
  <c r="C6" i="3"/>
  <c r="B6" i="3"/>
  <c r="A6" i="3"/>
  <c r="M5" i="3"/>
  <c r="L5" i="3"/>
  <c r="K5" i="3"/>
  <c r="J5" i="3"/>
  <c r="I5" i="3"/>
  <c r="H5" i="3"/>
  <c r="G5" i="3"/>
  <c r="F5" i="3"/>
  <c r="E5" i="3"/>
  <c r="D5" i="3"/>
  <c r="C5" i="3"/>
  <c r="B5" i="3"/>
  <c r="A5" i="3"/>
  <c r="M4" i="3"/>
  <c r="L4" i="3"/>
  <c r="K4" i="3"/>
  <c r="J4" i="3"/>
  <c r="I4" i="3"/>
  <c r="H4" i="3"/>
  <c r="G4" i="3"/>
  <c r="F4" i="3"/>
  <c r="E4" i="3"/>
  <c r="D4" i="3"/>
  <c r="C4" i="3"/>
  <c r="B4" i="3"/>
  <c r="A4" i="3"/>
  <c r="M3" i="3"/>
  <c r="L3" i="3"/>
  <c r="K3" i="3"/>
  <c r="J3" i="3"/>
  <c r="I3" i="3"/>
  <c r="H3" i="3"/>
  <c r="G3" i="3"/>
  <c r="F3" i="3"/>
  <c r="E3" i="3"/>
  <c r="D3" i="3"/>
  <c r="C3" i="3"/>
  <c r="B3" i="3"/>
  <c r="A3" i="3"/>
  <c r="M2" i="3"/>
  <c r="L2" i="3"/>
  <c r="K2" i="3"/>
  <c r="J2" i="3"/>
  <c r="I2" i="3"/>
  <c r="H2" i="3"/>
  <c r="G2" i="3"/>
  <c r="F2" i="3"/>
  <c r="E2" i="3"/>
  <c r="D2" i="3"/>
  <c r="C2" i="3"/>
  <c r="B2" i="3"/>
  <c r="A2" i="3"/>
  <c r="V1" i="3"/>
  <c r="U1" i="3"/>
  <c r="T1" i="3"/>
  <c r="S1" i="3"/>
  <c r="R1" i="3"/>
  <c r="Q1" i="3"/>
  <c r="P1" i="3"/>
  <c r="O1" i="3"/>
  <c r="N1" i="3"/>
  <c r="M1" i="3"/>
  <c r="L1" i="3"/>
  <c r="K1" i="3"/>
  <c r="J1" i="3"/>
  <c r="I1" i="3"/>
  <c r="H1" i="3"/>
  <c r="G1" i="3"/>
  <c r="F1" i="3"/>
  <c r="E1" i="3"/>
  <c r="D1" i="3"/>
  <c r="C1" i="3"/>
  <c r="B1" i="3"/>
  <c r="A1" i="3"/>
  <c r="D23" i="7"/>
  <c r="C23" i="7"/>
  <c r="B23" i="7"/>
</calcChain>
</file>

<file path=xl/sharedStrings.xml><?xml version="1.0" encoding="utf-8"?>
<sst xmlns="http://schemas.openxmlformats.org/spreadsheetml/2006/main" count="22398" uniqueCount="4132">
  <si>
    <t xml:space="preserve">PLAN DE AGUA PRIETA NO. 66, ESQ. CALZADA DE LOS GALLOS                          </t>
  </si>
  <si>
    <t xml:space="preserve">AV. MARINA NACIONAL NO. 263, PLANTA BAJA                                        </t>
  </si>
  <si>
    <t xml:space="preserve">AV. CUAUHTEMOC NO. 1242, PLANTA ALTA                                            </t>
  </si>
  <si>
    <t xml:space="preserve">CAIRO, PERSIA Y MARRUECOS S/N                                                   </t>
  </si>
  <si>
    <t xml:space="preserve">AV. MARINA NACIONAL NO. 329 C3, PLANTA BAJA                                     </t>
  </si>
  <si>
    <t xml:space="preserve">AV. MARINA NACIONAL NO. 263, PLANTA ALTA                                        </t>
  </si>
  <si>
    <t xml:space="preserve">SUMMERVILLE, SC                                                                                     </t>
  </si>
  <si>
    <t xml:space="preserve">CENDI PART COLEGIO CIBELES, S.C.                                                                    </t>
  </si>
  <si>
    <t xml:space="preserve">CDA. CAIMANERA NO. 1, M.0, LT.57                                                </t>
  </si>
  <si>
    <t xml:space="preserve">KINDER GYM AKARUI, A.C.                                                                             </t>
  </si>
  <si>
    <t xml:space="preserve">ANDERS CELSIUS INSTITUTE, S.C.                                                                      </t>
  </si>
  <si>
    <t xml:space="preserve">KHORIÍ, DESARROLLO INTEGRAL                                                                         </t>
  </si>
  <si>
    <t xml:space="preserve">CENTRO EDUCATIVO CAREPI, S.C.                                                                       </t>
  </si>
  <si>
    <t xml:space="preserve">AV. BERNARDO QUINTANA NO. 80 LOCALES 9, 10, 11, 12 Y 13                         </t>
  </si>
  <si>
    <t xml:space="preserve">INSTITUTO COMPROMISO CON LA NIÑEZ, S.C.                                                             </t>
  </si>
  <si>
    <r>
      <rPr>
        <b/>
        <i/>
        <u/>
        <sz val="10"/>
        <rFont val="Arial"/>
        <family val="2"/>
      </rPr>
      <t>GLOSARIO</t>
    </r>
    <r>
      <rPr>
        <b/>
        <i/>
        <sz val="10"/>
        <rFont val="Arial"/>
        <family val="2"/>
      </rPr>
      <t>:</t>
    </r>
  </si>
  <si>
    <t>CCT</t>
  </si>
  <si>
    <t>Catálogo de Centros de Trabajo.- Es el directorio que registra los centros de trabajo del Sistema Educativo Nacional, con sus características básicas relativas a su situación geográfica y administrativa</t>
  </si>
  <si>
    <t>CLAVECCT</t>
  </si>
  <si>
    <t>Es la llave de entrada al Catálogo de Centros de Trabajo (CCT); y además es el elemento de relación con todos los sistemas de la Secretaría de Educación Pública</t>
  </si>
  <si>
    <t>NOMBRE_CT</t>
  </si>
  <si>
    <t>Nombre  oficial  del  Centro  de  Trabajo</t>
  </si>
  <si>
    <t>TURNO</t>
  </si>
  <si>
    <t>Identifica el horario oficial con el que labora el Centro de Trabajo. Actualmente se consideran los turnos 1.-Matutino, 2.-Vespertino, 3.-Nocturno, 5.-Tiempo Completo y 7.-Jornada Ampliada</t>
  </si>
  <si>
    <t>DIRSERVREG</t>
  </si>
  <si>
    <t>Es una dependencia del organismo responsable de la educación en el estado con una delimitación física territorial que permite agrupar bajo una sola unidad las funciones administrativas, de planeación y programación que le compete</t>
  </si>
  <si>
    <t>DEPNORMTVA</t>
  </si>
  <si>
    <t>Es la unidad  responsable de verificar, proponer y actualizar las normas pedagógicas, contenidos, planes y programas de estudio, métodos, materiales y auxiliares didácticos e instrumentos para la evaluación del la educación que se imparte en el país</t>
  </si>
  <si>
    <t>DIR_GRAL</t>
  </si>
  <si>
    <t>Dirección General encargada del Centro de Trabajo</t>
  </si>
  <si>
    <t>SOSTENIMIENTO</t>
  </si>
  <si>
    <t>Concepto con el cual se identifica la fuente que proporciona los recursos financieros para el funcionamiento del centro de trabajo. Se utilizan los sostenimientos FEDERAL (Público), PARTICULAR (Privado) y AUTÓNOMO</t>
  </si>
  <si>
    <t>DGOSE:</t>
  </si>
  <si>
    <t>Dirección General de Operación de Servicios Educativos</t>
  </si>
  <si>
    <t xml:space="preserve">DGSEI: </t>
  </si>
  <si>
    <t>Dirección General de Servicios Educativos Iztapalapa</t>
  </si>
  <si>
    <t xml:space="preserve">DGENAM: </t>
  </si>
  <si>
    <t>Dirección General de Educación Normal y Actualización del Magisterio</t>
  </si>
  <si>
    <t>DGEST:</t>
  </si>
  <si>
    <t xml:space="preserve">Dirección General de Educación Secundaria Técnica </t>
  </si>
  <si>
    <t>INBA:</t>
  </si>
  <si>
    <t>Instituto Nacional de Bellas Artes</t>
  </si>
  <si>
    <t>UNAM:</t>
  </si>
  <si>
    <t>Universidad Nacional Autónoma de México</t>
  </si>
  <si>
    <t>CAM:</t>
  </si>
  <si>
    <t>Centro de Atención Múltiple</t>
  </si>
  <si>
    <t>USAER:</t>
  </si>
  <si>
    <t>Unidad de Servicios de Apoyo a la Educación Regular</t>
  </si>
  <si>
    <t>CUESTIONARIOS 911</t>
  </si>
  <si>
    <t>Formato en el cual se solicita información detallada del Centro de Trabajo; incluye variables relacionadas con la población infantil, el personal docente, el administrativo y los recursos existentes. Información disponible en Inicio y Fin de ciclo escolar</t>
  </si>
  <si>
    <t>Desglose de PERSONAL:</t>
  </si>
  <si>
    <t>NIVEL</t>
  </si>
  <si>
    <t>PERSONAL</t>
  </si>
  <si>
    <t>INICIAL</t>
  </si>
  <si>
    <t>- DIRECTOR</t>
  </si>
  <si>
    <t>- SERVICIOS PEDAGOGICOS:
                - JEFE DEL ÁREA PEDAGÓGICA
                - PROFESORES DE ENSEÑANZA MUSICAL
                - PROFESORES DE EDUCACIÓN FÍSICA
- PUERICULTORES
- EDUCADORES (LACTANTES Y MATERNALES)
- ASISTENTES EDUCATIVOS (LACTANTES Y MATERNALES)</t>
  </si>
  <si>
    <t>- ADMINISTRATIVOS:
                - SUBDIRECTORES
                - SECRETARIAS
                - ADTVO. Y AUXILIAR
- SERVICIOS ESPECIALES
- SERVICIOS DE NUTRICIÓN
- SERVICIOS GENERALES
- OTRO TIPO DE FUNCIONES</t>
  </si>
  <si>
    <t>ESPECIAL</t>
  </si>
  <si>
    <t>- DIRECTIVO SIN GRUPO</t>
  </si>
  <si>
    <t>- DIRECTIVO CON GRUPO
- DOCENTE (CAM)
- MAESTRO DE APOYO (USAER)</t>
  </si>
  <si>
    <t>- PARADOCENTES
- ADMINISTRATIVOS</t>
  </si>
  <si>
    <t>PREESCOLAR</t>
  </si>
  <si>
    <t>PREESCOLAR:
- DIRECTIVO CON GRUPO
- DOCENTE
INICIAL (DOCENTES):
- EDUCADORES (PREESCOLAR)
- ASISTENTES EDUCATIVOS (PREESCOLAR)</t>
  </si>
  <si>
    <t>- PROF. EDUC. FÍSICA
- PROF. ACT. ARTISTICAS
- PROF. DE IDIOMAS
- ADMINISTRATIVO
- INTENDENTE
- CONSERJE
- COCINERA
- AUX. DE COCINA
- OTROS</t>
  </si>
  <si>
    <t>PRIMARIA</t>
  </si>
  <si>
    <t>- DIRECTIVO CON GRUPO
- DOCENTE</t>
  </si>
  <si>
    <t>- PROF. EDUC. FÍSICA
- PROF. ACT. ARTISTICAS
- PROF. ACT. TECNOLÓGICAS
- PROF. DE IDIOMAS
- SECRETARIOS (AS)
- ADJUNTOS
- ADJUNTOS  CON CAMBIO DE ACTIVIDADES
- PROYECTOS
- ESPECIALES
- INTENDENTE
- CONSERJE
- OTROS</t>
  </si>
  <si>
    <t>SECUNDARIA</t>
  </si>
  <si>
    <t>- DIRECTIVO CON GRUPO
- DOCENTE
- PROF. EDUC. FÍSICA
- PROF. ACT. ARTISTICAS
- PROF. ACT. TECNOLÓGICAS</t>
  </si>
  <si>
    <t>- SECRETARIAS
- AUXILIAR DE INTENDENCIA
- VIGILANTE
- PREFECTO
- TRABAJO SOCIAL
- ORIENTADOR VOCACIONAL
- MÉDICO ESCOLAR
- AUXILIARES ADMINISTRATIVOS
- AUXILIARES CONTABLES (CONTRALOR)
- ALMACENISTA
- COORDINADORES DE ACTIVIDADES TECNOLÓGICAS
- COORDINADORES DE ACTIVIDADES ACADÉMICAS
- TÉCNICOS EN MANTENIMIENTO
- CONSERJE
- JEFE DE SERVICIOS ADMINISTRATIVOS
- BIBLIOTECARIO
- AYUDANTES DE LABORATORIO
- OTROS</t>
  </si>
  <si>
    <t>Notas:</t>
  </si>
  <si>
    <t>1. Se registra la cantidad de personal que realiza funciones de directivo (con y sin grupo), docente, docente especial (profesor de educación física, actividades artísticas y tecnológicas), administrativo, auxiliar y de servicios,</t>
  </si>
  <si>
    <t xml:space="preserve">    independientemente de su nombramiento, tipo y fuente de pago.</t>
  </si>
  <si>
    <t>2. Si una persona desempeña dos o más funciones, se  anota en aquella a la que dedique más tiempo.</t>
  </si>
  <si>
    <t>3. Se considera exclusivamente al personal que labora en el turno al que se refiere el cuestionario 911, independientemente de que labore en otro turno.</t>
  </si>
  <si>
    <t>PROGRAMA</t>
  </si>
  <si>
    <t>AUTÓNOMO</t>
  </si>
  <si>
    <t>FEDERAL</t>
  </si>
  <si>
    <t>PARTICULAR</t>
  </si>
  <si>
    <t>DGOSE</t>
  </si>
  <si>
    <t>DGSEI</t>
  </si>
  <si>
    <t xml:space="preserve">AVENIDA 8 S/N,                                                                  </t>
  </si>
  <si>
    <t xml:space="preserve">YAQUI S/N, ENTRE VILLA INFERIOR Y MAYA                                          </t>
  </si>
  <si>
    <t xml:space="preserve">CORAZON DEL BARRIO, SUPER MANZANA 1                                             </t>
  </si>
  <si>
    <t xml:space="preserve">INTERNADO INFANTIL GUADALUPANO,  A.C.                                                               </t>
  </si>
  <si>
    <t xml:space="preserve">PLANETAS, JACARADAS Y PESCADITOS                                                </t>
  </si>
  <si>
    <t xml:space="preserve">JOSE MARIA PARRAS 2DA., 3RA. Y 4TA. CDA.                                        </t>
  </si>
  <si>
    <t xml:space="preserve">J.ROSAS, AGUSTIN LARA Y PONIENTE NO. 10                                         </t>
  </si>
  <si>
    <t xml:space="preserve">INSTITUTO ASOCIADOS AMADO NERVO, S.C.                                                               </t>
  </si>
  <si>
    <t xml:space="preserve">CENTRO DE INTEGRACION EDUCATIVA,A.C.                                                                </t>
  </si>
  <si>
    <t xml:space="preserve">COLEGIO TIEMPO NUEVO, SOCIEDAD CIVIL                                                                </t>
  </si>
  <si>
    <t xml:space="preserve">COLEGIO ASPEN, S.C.                                                                                 </t>
  </si>
  <si>
    <t xml:space="preserve">ESCUELA OKANTI, S.C.                                                                                </t>
  </si>
  <si>
    <t xml:space="preserve">COLEGIO CIO DE MÉXICO, S.C.                                                                         </t>
  </si>
  <si>
    <t xml:space="preserve">ANTONIO SOLA NO. 61, 63 Y 65                                                    </t>
  </si>
  <si>
    <t xml:space="preserve">AV. PATRIOTISMO NO. 757, POUSSIN NO. 70 Y RUBENS NO. 39                         </t>
  </si>
  <si>
    <t xml:space="preserve">SAN MIGUEL EL ALTO S/N. MZA. 269,LT.4008                                        </t>
  </si>
  <si>
    <t xml:space="preserve">CHICONAUTLA S/N, MZA. 145, LT. 6                                                </t>
  </si>
  <si>
    <t xml:space="preserve">INDUSTRIA, COMERCIO Y TRABAJO NO. 3                                             </t>
  </si>
  <si>
    <t xml:space="preserve">REVOLUCION SOCIAL NO. 49, MZ. 8, SUPERMANZANA 7                                 </t>
  </si>
  <si>
    <t xml:space="preserve">CENTRO DE DESARROLLO INFANTIL SOCRATES, S.C.                                                        </t>
  </si>
  <si>
    <t xml:space="preserve">CENTRO EDUCATIVO PREESCOLAR MIMÍ, A.C.                                                              </t>
  </si>
  <si>
    <t xml:space="preserve">DULCE MARÍA, JARDÍN DE NIÑOS                                                                        </t>
  </si>
  <si>
    <t xml:space="preserve">INGRID COLLEGE SCHOOL, SOCIEDAD CIVIL                                                               </t>
  </si>
  <si>
    <t xml:space="preserve">AV. LA TURBA MZA.374, LT.7                                                      </t>
  </si>
  <si>
    <t xml:space="preserve">CALLE AREQUIPA NO. 112 Y MONTEVIDEO NO.132, ESQ. BOGOTA                         </t>
  </si>
  <si>
    <t xml:space="preserve">COLEGIO PEDREGAL DE SANTA FE, S.C.                                                                  </t>
  </si>
  <si>
    <t xml:space="preserve">EDUARDO C. GARCIA S/N, SUP. MANZ. 28, MZ. 4, LTS. 99 Y 100                      </t>
  </si>
  <si>
    <t xml:space="preserve">IGNACIO RAMOS PRASLOW NO. 98, 114 Y 116                                         </t>
  </si>
  <si>
    <t xml:space="preserve">CERRADA DE PAROTAS MZ. 124, LT. 74                                              </t>
  </si>
  <si>
    <t xml:space="preserve">AV. FF.CC. SAN RAFAEL ATLIXCO MZ.2, LT. 42                                      </t>
  </si>
  <si>
    <t xml:space="preserve">MAR DEL NECTAR MZA.197, LT.10 FRACCION 2                                        </t>
  </si>
  <si>
    <t xml:space="preserve">ANDADOR JOSE ANTONIO MOCTEZUMA, AGRUPAMIENTO A-6 CASA 4                         </t>
  </si>
  <si>
    <t xml:space="preserve">MIMOS, MI PRIMER COLE                                                                               </t>
  </si>
  <si>
    <t xml:space="preserve">IPANIMA (INTERACCIÓN: PADRES, NIÑOS Y MAESTROS)                                                     </t>
  </si>
  <si>
    <t xml:space="preserve">CENTRO DE DESARROLLO INFANTIL SIGLO XXII, PLANTEL  FERNANDO MONTES DE OCA                           </t>
  </si>
  <si>
    <t xml:space="preserve">COLEGIO SARA ALARCON, PLANTEL HELIOPOLIS                                                            </t>
  </si>
  <si>
    <t xml:space="preserve">GUADALUPE VICTORIA  MZA. 50, LT. 508                                            </t>
  </si>
  <si>
    <t xml:space="preserve">SUR 27 NO. 273, MZ. 28 LT. 273                                                  </t>
  </si>
  <si>
    <t xml:space="preserve">GABILONDO SOLER, CRICRI EL GRILLITO CANTOR                                                          </t>
  </si>
  <si>
    <t xml:space="preserve">ESCUELA MONTESSORI DE LA CIUDAD DE MEXICO, A. C.                                                    </t>
  </si>
  <si>
    <t xml:space="preserve">MAGNOLIA S/N.  MZA. 13, LT. 10                                                  </t>
  </si>
  <si>
    <t xml:space="preserve">CALLE 16 MZ. 47, LT. 476-E                                                      </t>
  </si>
  <si>
    <t xml:space="preserve">JALTIPA NO. 2, SECCION X                                                        </t>
  </si>
  <si>
    <t xml:space="preserve">OTTAWA SCHOOL, S.C.                                                                                 </t>
  </si>
  <si>
    <t xml:space="preserve">COLEGIO EINSTEIN, CARPE DIEM, EDUCARE                                                               </t>
  </si>
  <si>
    <t xml:space="preserve">CULTURA, EDUCACIÓN Y RECREACIÓN                                                                     </t>
  </si>
  <si>
    <t xml:space="preserve">AV. DE LAS TORRES MZA.52, LT9                                                   </t>
  </si>
  <si>
    <t xml:space="preserve">CENTRO EDUCATIVO PLOTINO RHODAKANATY, PREESCOLAR                                                    </t>
  </si>
  <si>
    <t xml:space="preserve">AV.BERNARDO QUINTANA NO. 80 LOC 09,10,11,12 Y 13                                </t>
  </si>
  <si>
    <t xml:space="preserve">AV. SUR DEL COMERCIO MZA.95, LT. 115                                            </t>
  </si>
  <si>
    <t xml:space="preserve">VILLA EDUCATIVA DEL BOSQUE, S.C.                                                                    </t>
  </si>
  <si>
    <t xml:space="preserve">COLEGIO HIDALGO AMERICANO, A.C.                                                                     </t>
  </si>
  <si>
    <t xml:space="preserve">INSTITUTO MEXICANO YANCUIC, A.C.                                                                    </t>
  </si>
  <si>
    <t xml:space="preserve">PASEO DE TETLALPA S/N MZ. 1 ZONA 3, LT. 20                                      </t>
  </si>
  <si>
    <t xml:space="preserve">CENTRO DE ESTIMULACIÓN TEMPRANA AMANECER, S.C.                                                      </t>
  </si>
  <si>
    <t xml:space="preserve">IMPULSO PEDAGOGICO MEXICANO, S.C.                                                                   </t>
  </si>
  <si>
    <t xml:space="preserve">VIA TAPO MZA. 20, LT. 29                                                        </t>
  </si>
  <si>
    <t xml:space="preserve">BOLIVAR NOS. 144, 146 Y 148                                                     </t>
  </si>
  <si>
    <t xml:space="preserve">SERVICIOS EDUCATIVOS PARA EL DESARROLLO INFANTIL SANTA FE, S.C.                                     </t>
  </si>
  <si>
    <t xml:space="preserve">NANI, S.C.                                                                                          </t>
  </si>
  <si>
    <t xml:space="preserve">COLEGIO DE EDUCACION Y DESARROLLO INTEGRAL, A.C.                                                    </t>
  </si>
  <si>
    <t xml:space="preserve">CAZIIDE, S.C.                                                                                       </t>
  </si>
  <si>
    <t xml:space="preserve">RENOVACIÓN,UNIÓN DE FUERZAS UNIÓN DE ESFUERZOS                                                      </t>
  </si>
  <si>
    <t xml:space="preserve">EFREN HERNANDEZ NO. 9 MZA.54, LT. 19                                            </t>
  </si>
  <si>
    <t xml:space="preserve">CENTRO DE EDUCACIÓN INFANTIL SOL DEL VALLE, S.C.                                                    </t>
  </si>
  <si>
    <t xml:space="preserve">CIRCULO INFANTIL VIVEROS, S.C.                                                                      </t>
  </si>
  <si>
    <t xml:space="preserve">JARDIN DE NIÑOS, A.N.D.A. DOLORES DEL RIO                                                           </t>
  </si>
  <si>
    <t xml:space="preserve">CENTRO EDUCATIVO ANAPALL , S.C.                                                                     </t>
  </si>
  <si>
    <t xml:space="preserve">KIDS IN MOTION DEL VALLE I, A.C.                                                                    </t>
  </si>
  <si>
    <t xml:space="preserve">BABY S &amp; TODDLERS, S.C.                                                                             </t>
  </si>
  <si>
    <t xml:space="preserve">SEDI LOMAS, S.C.                                                                                    </t>
  </si>
  <si>
    <t xml:space="preserve">LA PIEDAD Z 3 MZA.39, LT. 8                                                     </t>
  </si>
  <si>
    <t xml:space="preserve">CENTRO DE DESARROLLO AMOR, AMOR, AMOR                                                               </t>
  </si>
  <si>
    <t xml:space="preserve">KINDERGARDEN JÜRGEN HABERMAS, S.C.                                                                  </t>
  </si>
  <si>
    <t xml:space="preserve">CORAS MZA. 72, LT. 17                                                           </t>
  </si>
  <si>
    <t xml:space="preserve">CONTOY MZA. 11, LT.6                                                            </t>
  </si>
  <si>
    <t xml:space="preserve">COMUNA REGGIO, CENTRO EDUCATIVO                                                                     </t>
  </si>
  <si>
    <t xml:space="preserve">KENT NURSERY SCHOOL, S.C.                                                                           </t>
  </si>
  <si>
    <t xml:space="preserve">JARDÍN DE NIÑOS FERMON, S.C.                                                                        </t>
  </si>
  <si>
    <t xml:space="preserve">COATLICUE MZA.121, LT. 2                                                        </t>
  </si>
  <si>
    <t xml:space="preserve">HOGAR Y FUTURO, A.C.                                                                                </t>
  </si>
  <si>
    <t xml:space="preserve">CENTRO DE EDUCACION PREESCOLAR AZUL APRENDO CONSTRUYENDO, JUGANDO                                   </t>
  </si>
  <si>
    <t>DOMICILIO</t>
  </si>
  <si>
    <t>COLONIA</t>
  </si>
  <si>
    <t>DELEGACION</t>
  </si>
  <si>
    <t>ZONA</t>
  </si>
  <si>
    <t>SECTOR</t>
  </si>
  <si>
    <t>ALUMNOS</t>
  </si>
  <si>
    <t>HOMBRES</t>
  </si>
  <si>
    <t>MUJERES</t>
  </si>
  <si>
    <t>GRUPOS</t>
  </si>
  <si>
    <t>DIRECTORES</t>
  </si>
  <si>
    <t>DOCENTES</t>
  </si>
  <si>
    <t>APOYO</t>
  </si>
  <si>
    <t>TOTAL</t>
  </si>
  <si>
    <t>ESCUELAS</t>
  </si>
  <si>
    <t>09DDI0001A</t>
  </si>
  <si>
    <t xml:space="preserve">CENDI SEP NO. 01 ROSAURA ZAPATA                                                                     </t>
  </si>
  <si>
    <t>MATUTINO</t>
  </si>
  <si>
    <t xml:space="preserve">PUEBLA NO 66                                                                    </t>
  </si>
  <si>
    <t xml:space="preserve">ROMA NORTE                                                                                                                                  </t>
  </si>
  <si>
    <t xml:space="preserve">CUAUHTEMOC                                                                      </t>
  </si>
  <si>
    <t>052</t>
  </si>
  <si>
    <t>00</t>
  </si>
  <si>
    <t xml:space="preserve">31 </t>
  </si>
  <si>
    <t>EI</t>
  </si>
  <si>
    <t>09DDI0002Z</t>
  </si>
  <si>
    <t xml:space="preserve">CENDI SEP NO. 02 SIXTA CHAVEZ RAMIREZ                                                               </t>
  </si>
  <si>
    <t xml:space="preserve">ESCUELA S/N                                                                     </t>
  </si>
  <si>
    <t xml:space="preserve">EJIDOS DE HUIPULCO                                                                                                                          </t>
  </si>
  <si>
    <t xml:space="preserve">TLALPAN                                                                         </t>
  </si>
  <si>
    <t>071</t>
  </si>
  <si>
    <t xml:space="preserve">34 </t>
  </si>
  <si>
    <t>09DDI0003Z</t>
  </si>
  <si>
    <t xml:space="preserve">CENDI SEP NO. 03 ESTEFANIA CASTAÑEDA                                                                </t>
  </si>
  <si>
    <t xml:space="preserve">AV. PRIMERO DE MAYO NO. 83                                                      </t>
  </si>
  <si>
    <t xml:space="preserve">SAN PEDRO DE LOS PINOS                                                                                                                      </t>
  </si>
  <si>
    <t xml:space="preserve">BENITO JUAREZ                                                                   </t>
  </si>
  <si>
    <t>023</t>
  </si>
  <si>
    <t>09DDI0004Y</t>
  </si>
  <si>
    <t xml:space="preserve">CENDI SEP NO. 04 GABRIELA MISTRAL                                                                   </t>
  </si>
  <si>
    <t xml:space="preserve">ALLENDE NO 224                                                                  </t>
  </si>
  <si>
    <t xml:space="preserve">CLAVERIA                                                                                                                                    </t>
  </si>
  <si>
    <t xml:space="preserve">AZCAPOTZALCO                                                                    </t>
  </si>
  <si>
    <t>014</t>
  </si>
  <si>
    <t>09DDI0005X</t>
  </si>
  <si>
    <t xml:space="preserve">CENDI SEP NO. 05 ESTELA GALLARDO VALDERRABANO                                                       </t>
  </si>
  <si>
    <t xml:space="preserve">SATURNO NO 74                                                                   </t>
  </si>
  <si>
    <t xml:space="preserve">NUEVA INDUSTRIAL VALLEJO                                                                                                                    </t>
  </si>
  <si>
    <t xml:space="preserve">GUSTAVO A. MADERO                                                               </t>
  </si>
  <si>
    <t>040</t>
  </si>
  <si>
    <t>09DDI0006W</t>
  </si>
  <si>
    <t xml:space="preserve">CENDI SEP NO. 06 GENOVEVA CORTES                                                                    </t>
  </si>
  <si>
    <t xml:space="preserve">ALMANDINA NO 30                                                                 </t>
  </si>
  <si>
    <t xml:space="preserve">ESTRELLA                                                                                                                                    </t>
  </si>
  <si>
    <t>09DDI0007V</t>
  </si>
  <si>
    <t xml:space="preserve">CENDI SEP NO. 07 AGUSTINA RAMIREZ  RODRIGUEZ                                                        </t>
  </si>
  <si>
    <t>TIEMPO COMPLETO</t>
  </si>
  <si>
    <t xml:space="preserve">MANUEL GONZALEZ NO 86                                                           </t>
  </si>
  <si>
    <t xml:space="preserve">UNIDAD NONOALCO TLATELOLCO                                                                                                                  </t>
  </si>
  <si>
    <t>028</t>
  </si>
  <si>
    <t>09DDI0008U</t>
  </si>
  <si>
    <t xml:space="preserve">CENDI SEP NO. 08 LUIS G. URBINA                                                                     </t>
  </si>
  <si>
    <t xml:space="preserve">RETORNO 801 M-8 NO 18                                                           </t>
  </si>
  <si>
    <t xml:space="preserve">CENTINELA                                                                                                                                   </t>
  </si>
  <si>
    <t xml:space="preserve">COYOACAN                                                                        </t>
  </si>
  <si>
    <t>043</t>
  </si>
  <si>
    <t>09DDI0009T</t>
  </si>
  <si>
    <t xml:space="preserve">CENDI SEP NO. 09 RICARDO GARCIA ZAMUDIO                                                             </t>
  </si>
  <si>
    <t xml:space="preserve">ANAXAGORAS NO 223                                                               </t>
  </si>
  <si>
    <t xml:space="preserve">NARVARTE                                                                                                                                    </t>
  </si>
  <si>
    <t>09DDI0010I</t>
  </si>
  <si>
    <t xml:space="preserve">CENDI SEP NO. 10 ERNEST NEWMANN                                                                     </t>
  </si>
  <si>
    <t xml:space="preserve">AV. 3 NO. 293-62                                                                </t>
  </si>
  <si>
    <t xml:space="preserve">EDUCACION                                                                                                                                   </t>
  </si>
  <si>
    <t>09DDI0011H</t>
  </si>
  <si>
    <t xml:space="preserve">CENDI SEP NO. 11 HELLEN KELLER                                                                      </t>
  </si>
  <si>
    <t xml:space="preserve">ALTAMIRA NO 827                                                                 </t>
  </si>
  <si>
    <t xml:space="preserve">MIRAVALLE                                                                                                                                   </t>
  </si>
  <si>
    <t>09DDI0012G</t>
  </si>
  <si>
    <t xml:space="preserve">CENDI SEP NO. 12  JESUS REYES HEROLES                                                               </t>
  </si>
  <si>
    <t xml:space="preserve">AV. 505 Y 507 S/N                                                               </t>
  </si>
  <si>
    <t xml:space="preserve">SAN JUAN DE ARAGON                                                                                                                          </t>
  </si>
  <si>
    <t>09DDI0013F</t>
  </si>
  <si>
    <t xml:space="preserve">CENDI SEP NO. 13 RABINDRANATH TAGORE                                                                </t>
  </si>
  <si>
    <t xml:space="preserve">MORENA NO 215                                                                   </t>
  </si>
  <si>
    <t xml:space="preserve">DEL VALLE                                                                                                                                   </t>
  </si>
  <si>
    <t>09DDI0014E</t>
  </si>
  <si>
    <t xml:space="preserve">CENDI SEP NO. 14 GIBRAN JALIL GIBRAN                                                                </t>
  </si>
  <si>
    <t xml:space="preserve">JOSEFA ORTIZ DE DOMINGUEZ S/N                                                   </t>
  </si>
  <si>
    <t xml:space="preserve">LA GUADALUPITA                                                                                                                              </t>
  </si>
  <si>
    <t xml:space="preserve">XOCHIMILCO                                                                      </t>
  </si>
  <si>
    <t>09DDI0015D</t>
  </si>
  <si>
    <t xml:space="preserve">CENDI SEP No. 15 CAROLINA AGAZZI                                                                    </t>
  </si>
  <si>
    <t xml:space="preserve">ROSAS MORENO NO 25                                                              </t>
  </si>
  <si>
    <t xml:space="preserve">SANTA BARBARA                                                                                                                               </t>
  </si>
  <si>
    <t>09DDI0016C</t>
  </si>
  <si>
    <t xml:space="preserve">CENDI SEP NO. 16 JEAN PIAGET                                                                        </t>
  </si>
  <si>
    <t xml:space="preserve">SARATOGA NO 910                                                                 </t>
  </si>
  <si>
    <t xml:space="preserve">PORTALES                                                                                                                                    </t>
  </si>
  <si>
    <t>09DDI0018A</t>
  </si>
  <si>
    <t xml:space="preserve">CENDI SEP No. 18 MARGARITA MAZA DE JUAREZ                                                           </t>
  </si>
  <si>
    <t xml:space="preserve">CAMPO MARTE Y REFORMA (AUDITORIO NACIONAL)                                      </t>
  </si>
  <si>
    <t xml:space="preserve">POLANCO CHAPULTEPEC                                                                                                                         </t>
  </si>
  <si>
    <t xml:space="preserve">MIGUEL HIDALGO                                                                  </t>
  </si>
  <si>
    <t>09DDI0019Z</t>
  </si>
  <si>
    <t xml:space="preserve">CENDI SEP NO. 19 ANA SULLIVAN MACY                                                                  </t>
  </si>
  <si>
    <t xml:space="preserve">FERROCARRIL HIDALGO NO 1119                                                     </t>
  </si>
  <si>
    <t xml:space="preserve">GRANJAS MODERNAS                                                                                                                            </t>
  </si>
  <si>
    <t>09DDI0021O</t>
  </si>
  <si>
    <t xml:space="preserve">CENDI SEP NO. 21 HANS CHRISTIAN ANDERSEN                                                            </t>
  </si>
  <si>
    <t xml:space="preserve">JESUS CARRANZA NO 85                                                            </t>
  </si>
  <si>
    <t xml:space="preserve">MORELOS                                                                                                                                     </t>
  </si>
  <si>
    <t>09DDI0022N</t>
  </si>
  <si>
    <t xml:space="preserve">CENDI SEP No. 22 ANTON MAKARENKO                                                                    </t>
  </si>
  <si>
    <t xml:space="preserve">AZAFRAN NO. 152 ENTRE BREA Y CHICLE                                             </t>
  </si>
  <si>
    <t xml:space="preserve">GRANJAS MEXICO                                                                                                                              </t>
  </si>
  <si>
    <t xml:space="preserve">IZTACALCO                                                                       </t>
  </si>
  <si>
    <t>09DDI0023M</t>
  </si>
  <si>
    <t xml:space="preserve">CENDI SEP No. 23 VANGUARDIA REVOLUCIONARIA                                                          </t>
  </si>
  <si>
    <t xml:space="preserve">CALZ MEX TACUBA NO. 125 Y AV. DE LOS MAESTROS                                   </t>
  </si>
  <si>
    <t xml:space="preserve">SANTO TOMAS                                                                                                                                 </t>
  </si>
  <si>
    <t>09DDI0024L</t>
  </si>
  <si>
    <t xml:space="preserve">CENDI SEP NO. 24 CARMEN SERDAN                                                                      </t>
  </si>
  <si>
    <t>09DDI0025K</t>
  </si>
  <si>
    <t xml:space="preserve">CENDI SEP NO. 25 JOSE VASCONCELOS                                                                   </t>
  </si>
  <si>
    <t xml:space="preserve">CENTENARIO NO 341 ESQ PINITOS                                                   </t>
  </si>
  <si>
    <t xml:space="preserve">NEXTENGO                                                                                                                                    </t>
  </si>
  <si>
    <t>09DDI0026J</t>
  </si>
  <si>
    <t xml:space="preserve">ENRIQUE PESTALOZZI                                                                                  </t>
  </si>
  <si>
    <t xml:space="preserve">ALFONSO DEL TORO NO. 1714                                                       </t>
  </si>
  <si>
    <t xml:space="preserve">ESCUADRON 201                                                                                                                               </t>
  </si>
  <si>
    <t xml:space="preserve">IZTAPALAPA                                                                      </t>
  </si>
  <si>
    <t>002</t>
  </si>
  <si>
    <t xml:space="preserve">61 </t>
  </si>
  <si>
    <t>IZ</t>
  </si>
  <si>
    <t>09DDI0027I</t>
  </si>
  <si>
    <t xml:space="preserve">CENDI SEP NO. 27 GABINO BARREDA                                                                     </t>
  </si>
  <si>
    <t xml:space="preserve">LEONARDO DA VINCI NO. 170                                                       </t>
  </si>
  <si>
    <t xml:space="preserve">MIXCOAC                                                                                                                                     </t>
  </si>
  <si>
    <t>003</t>
  </si>
  <si>
    <t>09DDI0028H</t>
  </si>
  <si>
    <t xml:space="preserve">CENDI SEP NO. 28 BERTHA VON GLUMER                                                                  </t>
  </si>
  <si>
    <t xml:space="preserve">AV. IMAN S/N ESQ. INSURGENTES                                                   </t>
  </si>
  <si>
    <t xml:space="preserve">INSURGENTES CUICUILCO                                                                                                                       </t>
  </si>
  <si>
    <t>09DDI0029G</t>
  </si>
  <si>
    <t xml:space="preserve">CENDI SEP NO. 29 JUSTO SIERRA                                                                       </t>
  </si>
  <si>
    <t xml:space="preserve">AV. DEL PARQUE S/N                                                              </t>
  </si>
  <si>
    <t xml:space="preserve">AVANTE                                                                                                                                      </t>
  </si>
  <si>
    <t>09DDI0030W</t>
  </si>
  <si>
    <t xml:space="preserve">CENDI SEP NO. 30 OVIDIO DECROLY                                                                     </t>
  </si>
  <si>
    <t xml:space="preserve">NARANJO NO 10                                                                   </t>
  </si>
  <si>
    <t xml:space="preserve">SANTA MARIA LA RIBERA                                                                                                                       </t>
  </si>
  <si>
    <t>09DDI0031V</t>
  </si>
  <si>
    <t xml:space="preserve">CENDI SEP NO. 31 JUANA DE ASBAJE                                                                    </t>
  </si>
  <si>
    <t xml:space="preserve">CARRETERA AL AJUSCO NO. 24                                                      </t>
  </si>
  <si>
    <t xml:space="preserve">HEROES DE PADIERNA                                                                                                                          </t>
  </si>
  <si>
    <t>09DDI0033T</t>
  </si>
  <si>
    <t xml:space="preserve">CENDI IPN CASCO NO. 1 LAURA PEREZ DE BATIZ                                                          </t>
  </si>
  <si>
    <t xml:space="preserve">PLUTARCO ELIAS CALLES                                                                                                                       </t>
  </si>
  <si>
    <t>012</t>
  </si>
  <si>
    <t xml:space="preserve">02 </t>
  </si>
  <si>
    <t>09DDI0034S</t>
  </si>
  <si>
    <t xml:space="preserve">CENDI IPN. AMALIA SOLORZANO DE CARDENAS                                                             </t>
  </si>
  <si>
    <t xml:space="preserve">AV. OROYA NO. 760                                                               </t>
  </si>
  <si>
    <t xml:space="preserve">LINDAVISTA                                                                                                                                  </t>
  </si>
  <si>
    <t>041</t>
  </si>
  <si>
    <t>09DDI0035R</t>
  </si>
  <si>
    <t xml:space="preserve">CENDI IPN. SN. J. DE ARAGON EVA S.L.M.                                                              </t>
  </si>
  <si>
    <t xml:space="preserve">AV. JOSE LORETO FABELA Y AV. 506                                                </t>
  </si>
  <si>
    <t xml:space="preserve">UNIDAD SAN JUAN DE ARAGON 2A SECCIO                                                                                                         </t>
  </si>
  <si>
    <t>035</t>
  </si>
  <si>
    <t>09DDI0036Q</t>
  </si>
  <si>
    <t xml:space="preserve">CENDI IPN CASCO NO. 2 MARGARITA SALAZAR DE ERRO                                                     </t>
  </si>
  <si>
    <t xml:space="preserve">PLAN DE SAN LUIS Y CARPIO S/N                                                   </t>
  </si>
  <si>
    <t>09DDI0037P</t>
  </si>
  <si>
    <t xml:space="preserve">CENDI IPN ZACATENCO 2 CLEMENTINA B.                                                                 </t>
  </si>
  <si>
    <t xml:space="preserve">SIERRA VISTA Y AV. IPN S/N                                                      </t>
  </si>
  <si>
    <t>09DDI0038O</t>
  </si>
  <si>
    <t xml:space="preserve">CENDI IPN JARDIN INFANTIL CINVESTAV                                                                 </t>
  </si>
  <si>
    <t xml:space="preserve">AV. IPN NO. 2508                                                                </t>
  </si>
  <si>
    <t xml:space="preserve">SAN PEDRO ZACATENCO                                                                                                                         </t>
  </si>
  <si>
    <t>09DDI0039N</t>
  </si>
  <si>
    <t xml:space="preserve">CENDI SEP NO. 32 CITLALPILYOCAN                                                                     </t>
  </si>
  <si>
    <t xml:space="preserve">MAIZ S/N                                                                        </t>
  </si>
  <si>
    <t xml:space="preserve">JARDINES DEL SUR FRACCIONAMIENTO                                                                                                            </t>
  </si>
  <si>
    <t>09DDI0040C</t>
  </si>
  <si>
    <t xml:space="preserve">INDIRA GANDHI                                                                                       </t>
  </si>
  <si>
    <t xml:space="preserve">VALLE DE PARAISO S/N                                                            </t>
  </si>
  <si>
    <t xml:space="preserve">VALLE DE LUCES                                                                                                                              </t>
  </si>
  <si>
    <t>004</t>
  </si>
  <si>
    <t>09DDI0041B</t>
  </si>
  <si>
    <t xml:space="preserve">OLLIN CALLI                                                                                         </t>
  </si>
  <si>
    <t xml:space="preserve">CANAL DE GARAY NO. 20                                                           </t>
  </si>
  <si>
    <t xml:space="preserve">SAN NICOLAS TOLENTINO                                                                                                                       </t>
  </si>
  <si>
    <t>09NDI0001H</t>
  </si>
  <si>
    <t xml:space="preserve">CENDI ISSSTE E.B.D.I. NO. 16                                                                        </t>
  </si>
  <si>
    <t xml:space="preserve">AVENIDA DE LOS MAESTROS Y MANUEL CARPIO                                         </t>
  </si>
  <si>
    <t>017</t>
  </si>
  <si>
    <t>OB</t>
  </si>
  <si>
    <t>09NDI0002G</t>
  </si>
  <si>
    <t xml:space="preserve">CENDI ISSSTE E.B.D.I. NO. 15                                                                        </t>
  </si>
  <si>
    <t xml:space="preserve">COLECTOR NO. 13                                                                 </t>
  </si>
  <si>
    <t xml:space="preserve">MAGDALENA DE LAS SALINAS                                                                                                                    </t>
  </si>
  <si>
    <t>036</t>
  </si>
  <si>
    <t>09NDI0003F</t>
  </si>
  <si>
    <t xml:space="preserve">CENDI ISSSTE E.B.D.I. NO. 10                                                                        </t>
  </si>
  <si>
    <t xml:space="preserve">EZEQUIEL MONTES NO. 111                                                         </t>
  </si>
  <si>
    <t xml:space="preserve">TABACALERA                                                                                                                                  </t>
  </si>
  <si>
    <t>027</t>
  </si>
  <si>
    <t>09NDI0004E</t>
  </si>
  <si>
    <t xml:space="preserve">CENTRO PEDAGOGICO DE DESARROLLO INFANTIL (CEPDI)                                                    </t>
  </si>
  <si>
    <t xml:space="preserve">CONCEPCION BEISTEGUI NO. 1012                                                   </t>
  </si>
  <si>
    <t>022</t>
  </si>
  <si>
    <t xml:space="preserve">33 </t>
  </si>
  <si>
    <t>09NDI0005D</t>
  </si>
  <si>
    <t xml:space="preserve">CENDI SE S.R.E. ROSARIO CASTELLANOS                                                                 </t>
  </si>
  <si>
    <t xml:space="preserve">RICARDO FLORES MAGON NO. 2                                                      </t>
  </si>
  <si>
    <t xml:space="preserve">GUERRERO                                                                                                                                    </t>
  </si>
  <si>
    <t>034</t>
  </si>
  <si>
    <t>OS</t>
  </si>
  <si>
    <t>09NDI0006C</t>
  </si>
  <si>
    <t xml:space="preserve">CENDI SE SAGARPA No. 1 PAULITA AUN                                                                  </t>
  </si>
  <si>
    <t xml:space="preserve">CAROLINA 77                                                                     </t>
  </si>
  <si>
    <t xml:space="preserve">NAPOLES                                                                                                                                     </t>
  </si>
  <si>
    <t>020</t>
  </si>
  <si>
    <t>09NDI0007B</t>
  </si>
  <si>
    <t xml:space="preserve">CENDI SE SEDATU CARMEN SERDAN                                                                       </t>
  </si>
  <si>
    <t xml:space="preserve">OBRERA                                                                                                                                      </t>
  </si>
  <si>
    <t>029</t>
  </si>
  <si>
    <t>09NDI0008A</t>
  </si>
  <si>
    <t xml:space="preserve">CENDI ISSSTE E.B.D.I. NO. 96                                                                        </t>
  </si>
  <si>
    <t xml:space="preserve">CUMBRES DE ACUTZINGO S/N                                                        </t>
  </si>
  <si>
    <t xml:space="preserve">VERTIZ NARVARTE                                                                                                                             </t>
  </si>
  <si>
    <t>044</t>
  </si>
  <si>
    <t>09NDI0009Z</t>
  </si>
  <si>
    <t xml:space="preserve">CENDI ISSSTE E.B.D.I. NO. 95                                                                        </t>
  </si>
  <si>
    <t xml:space="preserve">ZARCO NO. 47                                                                    </t>
  </si>
  <si>
    <t>033</t>
  </si>
  <si>
    <t>09NDI0013M</t>
  </si>
  <si>
    <t xml:space="preserve">CENDI ISSSTE E.B.D.I. NO. 2                                                                         </t>
  </si>
  <si>
    <t xml:space="preserve">AV. COYOACAN Y FELIX CUEVAS                                                     </t>
  </si>
  <si>
    <t>021</t>
  </si>
  <si>
    <t>09NDI0016J</t>
  </si>
  <si>
    <t xml:space="preserve">CENDI ISSSTE E.B.D.I. NO. 6                                                                         </t>
  </si>
  <si>
    <t xml:space="preserve">CORUNA Y SUR 65 A                                                               </t>
  </si>
  <si>
    <t xml:space="preserve">VIADUCTO PIEDAD                                                                                                                             </t>
  </si>
  <si>
    <t>024</t>
  </si>
  <si>
    <t>09NDI0017I</t>
  </si>
  <si>
    <t xml:space="preserve">CENDI ISSSTE E.B.D.I. NO. 7                                                                         </t>
  </si>
  <si>
    <t xml:space="preserve">PELUQUEROS NO. 310                                                              </t>
  </si>
  <si>
    <t xml:space="preserve">MICHOACANA                                                                                                                                  </t>
  </si>
  <si>
    <t xml:space="preserve">VENUSTIANO CARRANZA                                                             </t>
  </si>
  <si>
    <t>054</t>
  </si>
  <si>
    <t>09NDI0018H</t>
  </si>
  <si>
    <t xml:space="preserve">CENDI ISSSTE E.B.D.I. NO. 8                                                                         </t>
  </si>
  <si>
    <t xml:space="preserve">PATRICIO SAINZ NO. 1818                                                         </t>
  </si>
  <si>
    <t>09NDI0019G</t>
  </si>
  <si>
    <t xml:space="preserve">CENDI ISSSTE E.B.D.I. NO. 11                                                                        </t>
  </si>
  <si>
    <t xml:space="preserve">MANUEL GONZALEZ NO. 430                                                         </t>
  </si>
  <si>
    <t>032</t>
  </si>
  <si>
    <t>09NDI0020W</t>
  </si>
  <si>
    <t xml:space="preserve">CENDI ISSSTE E.B.D.I. NO. 14                                                                        </t>
  </si>
  <si>
    <t xml:space="preserve">AV. SAN FERNANDO NO. 543                                                        </t>
  </si>
  <si>
    <t xml:space="preserve">TORIELLO GUERRA                                                                                                                             </t>
  </si>
  <si>
    <t>056</t>
  </si>
  <si>
    <t xml:space="preserve">35 </t>
  </si>
  <si>
    <t>09NDI0021V</t>
  </si>
  <si>
    <t xml:space="preserve">CENDI SP CONACYT                                                                                    </t>
  </si>
  <si>
    <t xml:space="preserve">PATRICIO SANZ NO. 1317                                                          </t>
  </si>
  <si>
    <t>018</t>
  </si>
  <si>
    <t>09NDI0022U</t>
  </si>
  <si>
    <t xml:space="preserve">CENDI IMSS 1 TIPO B                                                                                 </t>
  </si>
  <si>
    <t xml:space="preserve">PRINCIPAL NO 21                                                                 </t>
  </si>
  <si>
    <t xml:space="preserve">SANTA CRUZ AVIACION                                                                                                                         </t>
  </si>
  <si>
    <t>051</t>
  </si>
  <si>
    <t>09NDI0023T</t>
  </si>
  <si>
    <t xml:space="preserve">CENDI IMSS 3 TIPO B                                                                                 </t>
  </si>
  <si>
    <t xml:space="preserve">ALVARO OBREGON 217                                                              </t>
  </si>
  <si>
    <t>030</t>
  </si>
  <si>
    <t>09NDI0024S</t>
  </si>
  <si>
    <t xml:space="preserve">CENDI IMSS 4 TIPO B                                                                                 </t>
  </si>
  <si>
    <t xml:space="preserve">MARIANO ESCOBEDO 180                                                            </t>
  </si>
  <si>
    <t xml:space="preserve">ANAHUAC I                                                                                                                                   </t>
  </si>
  <si>
    <t>019</t>
  </si>
  <si>
    <t>09NDI0025R</t>
  </si>
  <si>
    <t xml:space="preserve">CENDI IMSS 7 TIPO B                                                                                 </t>
  </si>
  <si>
    <t xml:space="preserve">EJE LAZARO CARDENAS 630                                                         </t>
  </si>
  <si>
    <t xml:space="preserve">POSTAL                                                                                                                                      </t>
  </si>
  <si>
    <t>09NDI0027P</t>
  </si>
  <si>
    <t xml:space="preserve">CENDI ISSSTE E.B.D.I. NO. 55                                                                        </t>
  </si>
  <si>
    <t xml:space="preserve">JOAQUIN A. PEREZ NO. 7                                                          </t>
  </si>
  <si>
    <t xml:space="preserve">SAN MIGUEL CHAPULTEPEC SECCION I                                                                                                            </t>
  </si>
  <si>
    <t>09NDI0028O</t>
  </si>
  <si>
    <t xml:space="preserve">CENDI ISSSTE E.B.D.I. NO. 42                                                                        </t>
  </si>
  <si>
    <t xml:space="preserve">DR. J. VELASCO NO. 02                                                           </t>
  </si>
  <si>
    <t xml:space="preserve">DOCTORES                                                                                                                                    </t>
  </si>
  <si>
    <t>09NDI0030C</t>
  </si>
  <si>
    <t xml:space="preserve">CENDI ISSSTE E.B.D.I. NO. 50                                                                        </t>
  </si>
  <si>
    <t xml:space="preserve">DR GARCIADIEGO NO. 93                                                           </t>
  </si>
  <si>
    <t>026</t>
  </si>
  <si>
    <t>09NDI0031B</t>
  </si>
  <si>
    <t xml:space="preserve">CENDI ISSSTE E.B.D.I. NO. 45                                                                        </t>
  </si>
  <si>
    <t xml:space="preserve">COMPAS NO. 31                                                                   </t>
  </si>
  <si>
    <t xml:space="preserve">SEVILLA                                                                                                                                     </t>
  </si>
  <si>
    <t>053</t>
  </si>
  <si>
    <t>09NDI0034Z</t>
  </si>
  <si>
    <t xml:space="preserve">CENDI ISSSTE E.B.D.I. NO. 56                                                                        </t>
  </si>
  <si>
    <t xml:space="preserve">CEDRO III NO. 299                                                               </t>
  </si>
  <si>
    <t>09NDI0035Y</t>
  </si>
  <si>
    <t xml:space="preserve">CENDI ISSSTE E.B.D.I. NO. 41                                                                        </t>
  </si>
  <si>
    <t xml:space="preserve">AV. DE LOS MAESTROS NO. 114                                                     </t>
  </si>
  <si>
    <t>09NDI0036X</t>
  </si>
  <si>
    <t xml:space="preserve">CENDI ISSSTE E.B.D.I. NO. 48                                                                        </t>
  </si>
  <si>
    <t xml:space="preserve">HEROES NO. 38                                                                   </t>
  </si>
  <si>
    <t>09NDI0038V</t>
  </si>
  <si>
    <t xml:space="preserve">CENDI DIF 19                                                                                        </t>
  </si>
  <si>
    <t xml:space="preserve">FRESNO NO. 125                                                                  </t>
  </si>
  <si>
    <t>09NDI0047C</t>
  </si>
  <si>
    <t xml:space="preserve">CENDI IMSS 41                                                                                       </t>
  </si>
  <si>
    <t xml:space="preserve">SHAKESPEARE 36                                                                  </t>
  </si>
  <si>
    <t xml:space="preserve">ANZURES                                                                                                                                     </t>
  </si>
  <si>
    <t>09NDI0053N</t>
  </si>
  <si>
    <t xml:space="preserve">CENDI DIF 17 CLUB DE DAMAS DE SAN ANGEL                                                             </t>
  </si>
  <si>
    <t xml:space="preserve">MADERO No. 12                                                                   </t>
  </si>
  <si>
    <t xml:space="preserve">SAN ANGEL INN                                                                                                                               </t>
  </si>
  <si>
    <t xml:space="preserve">ALVARO OBREGON                                                                  </t>
  </si>
  <si>
    <t>09NDI0054M</t>
  </si>
  <si>
    <t xml:space="preserve">CENDI DIF NO. 31                                                                                    </t>
  </si>
  <si>
    <t xml:space="preserve">PELUQUEROS ESQ. HUICHAPAN  S/N                                                  </t>
  </si>
  <si>
    <t>09NDI0058I</t>
  </si>
  <si>
    <t xml:space="preserve">CENDI GDF NO. 1                                                                                     </t>
  </si>
  <si>
    <t xml:space="preserve">PROLONG SASTRERIA NO. 20                                                        </t>
  </si>
  <si>
    <t xml:space="preserve">10 DE MAYO                                                                                                                                  </t>
  </si>
  <si>
    <t>055</t>
  </si>
  <si>
    <t>09NDI0059H</t>
  </si>
  <si>
    <t xml:space="preserve">CENDI GDF 2 LUZ MA GOMEZ PEZUELA                                                                    </t>
  </si>
  <si>
    <t xml:space="preserve">CLAUDIO BERNARD Y DR LUCIO S/N                                                  </t>
  </si>
  <si>
    <t>09NDI0061W</t>
  </si>
  <si>
    <t xml:space="preserve">CENDI GDF JARDIN DE NIÑOS STA CRUZ MEYEHUALCO                                                       </t>
  </si>
  <si>
    <t xml:space="preserve">CALLE 55 Y AV. 4 S/N                                                            </t>
  </si>
  <si>
    <t xml:space="preserve">UNIDAD SANTA CRUZ MEYEHUALCO                                                                                                                </t>
  </si>
  <si>
    <t xml:space="preserve">64 </t>
  </si>
  <si>
    <t>09NDI0062V</t>
  </si>
  <si>
    <t xml:space="preserve">CENDI SE SDN NIÑOS HEROES DE CHAPULTEPEC                                                            </t>
  </si>
  <si>
    <t xml:space="preserve">JARDINES PONIENTE DEL HOSPITAL MILITAR                                          </t>
  </si>
  <si>
    <t xml:space="preserve">LOMAS DE SOTELO                                                                                                                             </t>
  </si>
  <si>
    <t>016</t>
  </si>
  <si>
    <t>09NDI0063U</t>
  </si>
  <si>
    <t xml:space="preserve">CENDI SE STPS                                                                                       </t>
  </si>
  <si>
    <t xml:space="preserve">AMORES No. 949                                                                  </t>
  </si>
  <si>
    <t>09NDI0065S</t>
  </si>
  <si>
    <t xml:space="preserve">CENDI ISSSTE E.B.D.I. NO. 157                                                                       </t>
  </si>
  <si>
    <t xml:space="preserve">MIER Y PESADO NO. 20                                                            </t>
  </si>
  <si>
    <t>09NDI0074Z</t>
  </si>
  <si>
    <t xml:space="preserve">CENDI SE HOSPITAL GENERAL DR. MANUEL GEA GONZALEZ (SSA)                                             </t>
  </si>
  <si>
    <t xml:space="preserve">CALZADA DE TLALPAN No. 4800                                                     </t>
  </si>
  <si>
    <t>060</t>
  </si>
  <si>
    <t>09NDI0075Z</t>
  </si>
  <si>
    <t xml:space="preserve">CENDI PEMEX AZCAPOTZALCO                                                                            </t>
  </si>
  <si>
    <t xml:space="preserve">CAMPO MATILLAS No. 52                                                           </t>
  </si>
  <si>
    <t xml:space="preserve">SAN ANTONIO                                                                                                                                 </t>
  </si>
  <si>
    <t>011</t>
  </si>
  <si>
    <t>09NDI0077X</t>
  </si>
  <si>
    <t xml:space="preserve">CENDI PEMEX OFICINAS CENTRALES MATERNALES                                                           </t>
  </si>
  <si>
    <t>015</t>
  </si>
  <si>
    <t>09NDI0078W</t>
  </si>
  <si>
    <t xml:space="preserve">CENDI ISSSTE E.B.D.I. NO. 155                                                                       </t>
  </si>
  <si>
    <t xml:space="preserve">CALZADA LEGARIA NO. 662-A                                                       </t>
  </si>
  <si>
    <t xml:space="preserve">IRRIGACION                                                                                                                                  </t>
  </si>
  <si>
    <t>09NDI0080K</t>
  </si>
  <si>
    <t xml:space="preserve">CENDI NIÑOS HEROES                                                                                  </t>
  </si>
  <si>
    <t xml:space="preserve">DR. NAVARRO NO. 202                                                             </t>
  </si>
  <si>
    <t>09NDI0081J</t>
  </si>
  <si>
    <t xml:space="preserve">CENDI ISSSTE E.B.D.I. NO. 153                                                                       </t>
  </si>
  <si>
    <t xml:space="preserve">CALZADA DE TLALPAN NO. 2775                                                     </t>
  </si>
  <si>
    <t xml:space="preserve">EL RELOJ                                                                                                                                    </t>
  </si>
  <si>
    <t>048</t>
  </si>
  <si>
    <t>09NDI0082I</t>
  </si>
  <si>
    <t xml:space="preserve">CENDI ISSSTE E.B.D.I. NO. 151                                                                       </t>
  </si>
  <si>
    <t xml:space="preserve">LUCAS ALAMAN NO. 178                                                            </t>
  </si>
  <si>
    <t>09NDI0083H</t>
  </si>
  <si>
    <t xml:space="preserve">CENDI IMSS 2 TIPO B                                                                                 </t>
  </si>
  <si>
    <t xml:space="preserve">CALZ IGNACIO ZARAGOZA 345                                                       </t>
  </si>
  <si>
    <t xml:space="preserve">VALENTIN GOMEZ FARIAS                                                                                                                       </t>
  </si>
  <si>
    <t>09NDI0084G</t>
  </si>
  <si>
    <t xml:space="preserve">CENDI IMSS 8 TIPO B                                                                                 </t>
  </si>
  <si>
    <t xml:space="preserve">MIGUEL CABRERA 44                                                               </t>
  </si>
  <si>
    <t>09NDI0085F</t>
  </si>
  <si>
    <t xml:space="preserve">CENDI IMSS 9 TIPO B                                                                                 </t>
  </si>
  <si>
    <t xml:space="preserve">PRESA SALINILLAS Y PRESA TEPUXTEPEC S/N                                         </t>
  </si>
  <si>
    <t>09NDI0086E</t>
  </si>
  <si>
    <t xml:space="preserve">CENDI IMSS 10 TIPO B                                                                                </t>
  </si>
  <si>
    <t xml:space="preserve">GUADALUPE VICTORIA NO. 9                                                        </t>
  </si>
  <si>
    <t xml:space="preserve">TLALPAN                                                                                                                                     </t>
  </si>
  <si>
    <t>09NDI0087D</t>
  </si>
  <si>
    <t xml:space="preserve">CENDI IMSS 11 TIPO B                                                                                </t>
  </si>
  <si>
    <t xml:space="preserve">CUITLAHUAC NO. 456                                                              </t>
  </si>
  <si>
    <t xml:space="preserve">HEROE DE NACOZARI                                                                                                                           </t>
  </si>
  <si>
    <t>09NDI0088C</t>
  </si>
  <si>
    <t xml:space="preserve">CENDI IMSS 13 TIPO B                                                                                </t>
  </si>
  <si>
    <t xml:space="preserve">MATAMOROS NO. 81 FONDO                                                          </t>
  </si>
  <si>
    <t>072</t>
  </si>
  <si>
    <t>09NDI0089B</t>
  </si>
  <si>
    <t xml:space="preserve">CENDI IMSS 14 TIPO B                                                                                </t>
  </si>
  <si>
    <t>09NDI0090R</t>
  </si>
  <si>
    <t xml:space="preserve">CENDI IMSS 15 TIPO B                                                                                </t>
  </si>
  <si>
    <t xml:space="preserve">AV. CENTENARIO NO. 2071                                                         </t>
  </si>
  <si>
    <t xml:space="preserve">ATZACOALCO                                                                                                                                  </t>
  </si>
  <si>
    <t>038</t>
  </si>
  <si>
    <t>09NDI0091Q</t>
  </si>
  <si>
    <t xml:space="preserve">CENDI IMSS 16 TIPO B                                                                                </t>
  </si>
  <si>
    <t xml:space="preserve">PEDRO LUIS OGAZON NO 80                                                         </t>
  </si>
  <si>
    <t>09NDI0092P</t>
  </si>
  <si>
    <t xml:space="preserve">CENDI IMSS 17 TIPO B                                                                                </t>
  </si>
  <si>
    <t xml:space="preserve">ORIENTE 253 Y RETORNO 1 DE SUR 12                                               </t>
  </si>
  <si>
    <t xml:space="preserve">AGRICOLA ORIENTAL                                                                                                                           </t>
  </si>
  <si>
    <t>050</t>
  </si>
  <si>
    <t>09NDI0093O</t>
  </si>
  <si>
    <t xml:space="preserve">CENDI IMSS 18 TIPO B                                                                                </t>
  </si>
  <si>
    <t xml:space="preserve">CALZADA MEXICO TACUBA 501                                                       </t>
  </si>
  <si>
    <t xml:space="preserve">POPOTLA                                                                                                                                     </t>
  </si>
  <si>
    <t>09NDI0094N</t>
  </si>
  <si>
    <t xml:space="preserve">CENDI IMSS 19 TIPO B                                                                                </t>
  </si>
  <si>
    <t xml:space="preserve">CALZ ERMITA IZTAPALAPA 407                                                      </t>
  </si>
  <si>
    <t xml:space="preserve">PRADO CHURUBUSCO                                                                                                                            </t>
  </si>
  <si>
    <t>09NDI0095M</t>
  </si>
  <si>
    <t xml:space="preserve">CENDI IMSS 20 TIPO B                                                                                </t>
  </si>
  <si>
    <t xml:space="preserve">AV. SAN FERNANDO NO. 279                                                        </t>
  </si>
  <si>
    <t>09NDI0096L</t>
  </si>
  <si>
    <t xml:space="preserve">GUARDERIA ORDINARIA E-0022                                                                          </t>
  </si>
  <si>
    <t xml:space="preserve">CALZADA ERMITA IZTAPALAPA No.94 ENTRE GRAL ANAYA Y LOS REYES                    </t>
  </si>
  <si>
    <t xml:space="preserve">SANTA BARBARA BARRIO                                                                                                                        </t>
  </si>
  <si>
    <t>001</t>
  </si>
  <si>
    <t>09NDI0097K</t>
  </si>
  <si>
    <t xml:space="preserve">CENDI IMSS 23 TIPO B                                                                                </t>
  </si>
  <si>
    <t xml:space="preserve">BALDERAS 126 A                                                                  </t>
  </si>
  <si>
    <t xml:space="preserve">CENTRO                                                                                                                                      </t>
  </si>
  <si>
    <t>09NDI0098J</t>
  </si>
  <si>
    <t xml:space="preserve">CENDI IMSS 24 TIPO B                                                                                </t>
  </si>
  <si>
    <t xml:space="preserve">CALZADA DE TLALPAN NO. 3329                                                     </t>
  </si>
  <si>
    <t xml:space="preserve">SANTA URSULA COAPA PUEBLO                                                                                                                   </t>
  </si>
  <si>
    <t>045</t>
  </si>
  <si>
    <t>09NDI0099I</t>
  </si>
  <si>
    <t xml:space="preserve">CENDI IMSS 25 TIPO B                                                                                </t>
  </si>
  <si>
    <t xml:space="preserve">AGUSTIN GUTIERREZ NO. 83                                                        </t>
  </si>
  <si>
    <t xml:space="preserve">GENERAL PEDRO MARIA ANAYA                                                                                                                   </t>
  </si>
  <si>
    <t>09NDI0100H</t>
  </si>
  <si>
    <t xml:space="preserve">CENDI IMSS 26 TIPO B                                                                                </t>
  </si>
  <si>
    <t xml:space="preserve">RICARDO F. MAGON S/N                                                            </t>
  </si>
  <si>
    <t>09NDI0101G</t>
  </si>
  <si>
    <t xml:space="preserve">CENDI IMSS 27 TIPO B                                                                                </t>
  </si>
  <si>
    <t xml:space="preserve">AV. MORELOS NO. 162                                                             </t>
  </si>
  <si>
    <t xml:space="preserve">JAMAICA                                                                                                                                     </t>
  </si>
  <si>
    <t>09NDI0102F</t>
  </si>
  <si>
    <t xml:space="preserve">CENDI IMSS 28 TIPO B                                                                                </t>
  </si>
  <si>
    <t xml:space="preserve">CALZ DE LA VIGA  NO. 157 A                                                      </t>
  </si>
  <si>
    <t xml:space="preserve">TRANSITO                                                                                                                                    </t>
  </si>
  <si>
    <t>09NDI0103E</t>
  </si>
  <si>
    <t xml:space="preserve">CENDI IMSS 29 TIPO B                                                                                </t>
  </si>
  <si>
    <t xml:space="preserve">EMILIANO ZAPATA NO. 6                                                           </t>
  </si>
  <si>
    <t xml:space="preserve">SANTA ANITA                                                                                                                                 </t>
  </si>
  <si>
    <t>049</t>
  </si>
  <si>
    <t>09NDI0104D</t>
  </si>
  <si>
    <t xml:space="preserve">CENDI IMSS 30 TIPO B                                                                                </t>
  </si>
  <si>
    <t xml:space="preserve">EUGENIA NO. 200                                                                 </t>
  </si>
  <si>
    <t>09NDI0105C</t>
  </si>
  <si>
    <t xml:space="preserve">CENDI IMSS 31 TIPO B                                                                                </t>
  </si>
  <si>
    <t xml:space="preserve">EJE LAZARO CARDENAS NO. 325 Y DR BARAJAS                                        </t>
  </si>
  <si>
    <t>09NDI0106B</t>
  </si>
  <si>
    <t xml:space="preserve">CENDI IMSS 32 TIPO B                                                                                </t>
  </si>
  <si>
    <t xml:space="preserve">RICARDO F MAGON Y ZARAGOZA NO. 298                                              </t>
  </si>
  <si>
    <t>09NDI0107A</t>
  </si>
  <si>
    <t xml:space="preserve">CENDI IMSS 33 TIPO B                                                                                </t>
  </si>
  <si>
    <t xml:space="preserve">SAN JERONIMO NO. 32                                                             </t>
  </si>
  <si>
    <t xml:space="preserve">SAN JERONIMO LIDICE                                                                                                                         </t>
  </si>
  <si>
    <t xml:space="preserve">LA MAGDALENA CONTRERAS                                                          </t>
  </si>
  <si>
    <t>057</t>
  </si>
  <si>
    <t>09NDI0108Z</t>
  </si>
  <si>
    <t xml:space="preserve">CENDI IMSS 34 TIPO B                                                                                </t>
  </si>
  <si>
    <t xml:space="preserve">AVENIDA 22 DE FEBRERO Y ESPERANZA S/N ESQUINA ESPERANZA                         </t>
  </si>
  <si>
    <t xml:space="preserve">REYES LOS                                                                                                                                   </t>
  </si>
  <si>
    <t>009</t>
  </si>
  <si>
    <t>09NDI0110O</t>
  </si>
  <si>
    <t xml:space="preserve">CENDI SP LOTERIA NACIONAL                                                                           </t>
  </si>
  <si>
    <t xml:space="preserve">ROSALES 15 PISOS 1 2 Y 3                                                        </t>
  </si>
  <si>
    <t>09NDI0113L</t>
  </si>
  <si>
    <t xml:space="preserve">CENDI GDF BENITO JUAREZ                                                                             </t>
  </si>
  <si>
    <t xml:space="preserve">AV. JALISCO S/N                                                                 </t>
  </si>
  <si>
    <t xml:space="preserve">VILLA MILPA ALTA                                                                                                                            </t>
  </si>
  <si>
    <t xml:space="preserve">MILPA ALTA                                                                      </t>
  </si>
  <si>
    <t>064</t>
  </si>
  <si>
    <t>09NDI0114K</t>
  </si>
  <si>
    <t xml:space="preserve">CENDI GDF LA MAGDALENA                                                                              </t>
  </si>
  <si>
    <t xml:space="preserve">JOSE MORENO SALIDO ESQ. FRESNO S/N                                              </t>
  </si>
  <si>
    <t xml:space="preserve">BARRANCA SECA                                                                                                                               </t>
  </si>
  <si>
    <t>061</t>
  </si>
  <si>
    <t>09NDI0115J</t>
  </si>
  <si>
    <t xml:space="preserve">CENDI GDF TLAHUAC                                                                                   </t>
  </si>
  <si>
    <t xml:space="preserve">HERMENEGILDO GALEANA NO. 122                                                    </t>
  </si>
  <si>
    <t xml:space="preserve">TLAHUAC                                                                                                                                     </t>
  </si>
  <si>
    <t xml:space="preserve">TLAHUAC                                                                         </t>
  </si>
  <si>
    <t>065</t>
  </si>
  <si>
    <t>09NDI0116I</t>
  </si>
  <si>
    <t xml:space="preserve">CENDI GDF STA CECILIA                                                                               </t>
  </si>
  <si>
    <t xml:space="preserve">ARNULFO MIRAMONTES S/N                                                          </t>
  </si>
  <si>
    <t xml:space="preserve">SANTA CECILIA                                                                                                                               </t>
  </si>
  <si>
    <t>09NDI0118G</t>
  </si>
  <si>
    <t xml:space="preserve">CENDI GDF MIGUEL HIDALGO                                                                            </t>
  </si>
  <si>
    <t xml:space="preserve">CORREGIDORA Y QUERETARO S/N                                                     </t>
  </si>
  <si>
    <t xml:space="preserve">MIGUEL HIDALGO                                                                                                                              </t>
  </si>
  <si>
    <t>09NDI0120V</t>
  </si>
  <si>
    <t xml:space="preserve">CENDI GDF 37                                                                                        </t>
  </si>
  <si>
    <t xml:space="preserve">AV. JUAREZ ESQ. VERACRUZ S/N                                                    </t>
  </si>
  <si>
    <t xml:space="preserve">CUAJIMALPA                                                                                                                                  </t>
  </si>
  <si>
    <t xml:space="preserve">CUAJIMALPA DE MORELOS                                                           </t>
  </si>
  <si>
    <t>008</t>
  </si>
  <si>
    <t>09NDI0121U</t>
  </si>
  <si>
    <t xml:space="preserve">CENDI GDF XOCHITL                                                                                   </t>
  </si>
  <si>
    <t xml:space="preserve">FRANCISCO I. MADERO S/N                                                         </t>
  </si>
  <si>
    <t xml:space="preserve">EL ROSARIO                                                                                                                                  </t>
  </si>
  <si>
    <t>068</t>
  </si>
  <si>
    <t>09NDI0122T</t>
  </si>
  <si>
    <t xml:space="preserve">CENDI GDF CONSTITUCION DE 1917                                                                      </t>
  </si>
  <si>
    <t xml:space="preserve">ANILLO PERIFERICO Y ANTONIO HGO S/N                                             </t>
  </si>
  <si>
    <t xml:space="preserve">CONSTITUCION 1917                                                                                                                           </t>
  </si>
  <si>
    <t>006</t>
  </si>
  <si>
    <t>09NDI0123S</t>
  </si>
  <si>
    <t xml:space="preserve">CENDI GDF PURISIMA                                                                                  </t>
  </si>
  <si>
    <t xml:space="preserve">HIDALGO Y QUETZAL S/N                                                           </t>
  </si>
  <si>
    <t xml:space="preserve">PURISIMA                                                                                                                                    </t>
  </si>
  <si>
    <t>09NDI0125Q</t>
  </si>
  <si>
    <t xml:space="preserve">CENDI GDF SAN LORENZO TEZONCO                                                                       </t>
  </si>
  <si>
    <t xml:space="preserve">CADELARIOS Y DESPOSORIOS S/N                                                    </t>
  </si>
  <si>
    <t xml:space="preserve">SAN LORENZO TEZONCO                                                                                                                         </t>
  </si>
  <si>
    <t xml:space="preserve">63 </t>
  </si>
  <si>
    <t>09NDI0126P</t>
  </si>
  <si>
    <t xml:space="preserve">CENDI GDF SN ANDRES TETEPILCO                                                                       </t>
  </si>
  <si>
    <t xml:space="preserve">NORMANDIA Y ANDRES MOLINA S/N                                                   </t>
  </si>
  <si>
    <t xml:space="preserve">SAN ANDRES TETEPILCO                                                                                                                        </t>
  </si>
  <si>
    <t>09NDI0127O</t>
  </si>
  <si>
    <t xml:space="preserve">CENDI GDF STA CRUZ MEYEHUALCO                                                                       </t>
  </si>
  <si>
    <t xml:space="preserve">CALLE 55 Y AV. 4   S/N                                                          </t>
  </si>
  <si>
    <t xml:space="preserve">SANTA CRUZ MEYEHUALCO                                                                                                                       </t>
  </si>
  <si>
    <t>09NDI0129M</t>
  </si>
  <si>
    <t xml:space="preserve">CENDI GDF STA MA AZTAHUACAN                                                                         </t>
  </si>
  <si>
    <t xml:space="preserve">EJIDO Y PALMA S/N                                                               </t>
  </si>
  <si>
    <t xml:space="preserve">SANTA MARIA AZTAHUACAN                                                                                                                      </t>
  </si>
  <si>
    <t>09NDI0130B</t>
  </si>
  <si>
    <t xml:space="preserve">CENDI GDF SECTOR POPULAR                                                                            </t>
  </si>
  <si>
    <t xml:space="preserve">SUR 101-A Y RIO CHURUBUSCO                                                      </t>
  </si>
  <si>
    <t xml:space="preserve">SECTOR POPULAR                                                                                                                              </t>
  </si>
  <si>
    <t>09NDI0131A</t>
  </si>
  <si>
    <t xml:space="preserve">CENDI SP CAMARA DE DIPUTADOS ANTONIA NAVA DE CATALAN                                                </t>
  </si>
  <si>
    <t xml:space="preserve">AV. CONGRESO DE LA UNION NO. 66                                                 </t>
  </si>
  <si>
    <t xml:space="preserve">EL PARQUE                                                                                                                                   </t>
  </si>
  <si>
    <t>09NDI0134Y</t>
  </si>
  <si>
    <t xml:space="preserve">CENDI GDF SAN JUANICO                                                                               </t>
  </si>
  <si>
    <t xml:space="preserve">CALZ. SAN JUANICO Y DIBUJANTES S/N                                              </t>
  </si>
  <si>
    <t xml:space="preserve">SAN JUANICO MEXTIPAC                                                                                                                        </t>
  </si>
  <si>
    <t>09NDI0136W</t>
  </si>
  <si>
    <t xml:space="preserve">CENDI GDF SOLUCIONES                                                                                </t>
  </si>
  <si>
    <t xml:space="preserve">MATIAS ROMERO NO. 250                                                           </t>
  </si>
  <si>
    <t xml:space="preserve">LETRAN VALLE                                                                                                                                </t>
  </si>
  <si>
    <t>09NDI0140I</t>
  </si>
  <si>
    <t xml:space="preserve">CENDI GDF SN PEDRO DE LOS PINOS                                                                     </t>
  </si>
  <si>
    <t xml:space="preserve">AV. 2 Y CALLE 7 S/N                                                             </t>
  </si>
  <si>
    <t>09NDI0141H</t>
  </si>
  <si>
    <t xml:space="preserve">CENDI "BICENTENARIO BENITO JUAREZ"                                                                  </t>
  </si>
  <si>
    <t xml:space="preserve">BOLIVAR NO. 139 ESQ ANGEL URRAZA (EJE 6 SUR)                                    </t>
  </si>
  <si>
    <t xml:space="preserve">INDEPENDENCIA                                                                                                                               </t>
  </si>
  <si>
    <t>09NDI0145D</t>
  </si>
  <si>
    <t xml:space="preserve">CENDI INTEGRA                                                                                       </t>
  </si>
  <si>
    <t xml:space="preserve">SANTA CRUZ ATOYAC                                                                                                                           </t>
  </si>
  <si>
    <t>09NDI0147B</t>
  </si>
  <si>
    <t xml:space="preserve">CENDI GDF DEL VALLE                                                                                 </t>
  </si>
  <si>
    <t xml:space="preserve">ROMERO DE TERREROS  Y COYOACAN                                                  </t>
  </si>
  <si>
    <t>09NDI0149Z</t>
  </si>
  <si>
    <t xml:space="preserve">CENDI GDF PRADO NORTE                                                                               </t>
  </si>
  <si>
    <t xml:space="preserve">PRADO NORTE Y EXPLANADA  S/N                                                    </t>
  </si>
  <si>
    <t xml:space="preserve">LOMAS DE CHAPULTEPEC                                                                                                                        </t>
  </si>
  <si>
    <t>09NDI0150P</t>
  </si>
  <si>
    <t xml:space="preserve">CENDI GDF MARGARITA MAZA DE JUAREZ                                                                  </t>
  </si>
  <si>
    <t xml:space="preserve">CALLE HEROES DE 1810 S/N                                                        </t>
  </si>
  <si>
    <t xml:space="preserve">TACUBAYA                                                                                                                                    </t>
  </si>
  <si>
    <t>09NDI0151O</t>
  </si>
  <si>
    <t xml:space="preserve">CENDI GDF AMERICA                                                                                   </t>
  </si>
  <si>
    <t xml:space="preserve">SUR 128 Y PTE 73                                                                </t>
  </si>
  <si>
    <t xml:space="preserve">AMERICA                                                                                                                                     </t>
  </si>
  <si>
    <t>09NDI0152N</t>
  </si>
  <si>
    <t xml:space="preserve">FARO-CENDI PARQUE LIRA                                                                              </t>
  </si>
  <si>
    <t xml:space="preserve">AV. PARQUE LIRA NO. 94                                                          </t>
  </si>
  <si>
    <t>09NDI0153M</t>
  </si>
  <si>
    <t xml:space="preserve">CENDI GDF LAGO GARDA                                                                                </t>
  </si>
  <si>
    <t xml:space="preserve">LAGO GARDA Y LAGO MAYOR S/N                                                     </t>
  </si>
  <si>
    <t>013</t>
  </si>
  <si>
    <t>09NDI0154L</t>
  </si>
  <si>
    <t xml:space="preserve">CENDI GDF 18 DE MARZO                                                                               </t>
  </si>
  <si>
    <t xml:space="preserve">LAGO ERNE No. 146 Y DANIEL CABRERA                                              </t>
  </si>
  <si>
    <t xml:space="preserve">PENSIL                                                                                                                                      </t>
  </si>
  <si>
    <t>09NDI0155K</t>
  </si>
  <si>
    <t xml:space="preserve">CENDI GDF GASCASONICA                                                                               </t>
  </si>
  <si>
    <t xml:space="preserve">LAGO GASCASONICA Y LAGO ESCLAVOS  S/N                                           </t>
  </si>
  <si>
    <t xml:space="preserve">HUICHAPAN                                                                                                                                   </t>
  </si>
  <si>
    <t>09NDI0156J</t>
  </si>
  <si>
    <t xml:space="preserve">CENDI GDF ZACATITO                                                                                  </t>
  </si>
  <si>
    <t xml:space="preserve">LAGO YAPURA Y RIO TLACOTALPAN S/N                                               </t>
  </si>
  <si>
    <t xml:space="preserve">ARGENTINA PONIENTE                                                                                                                          </t>
  </si>
  <si>
    <t>09NDI0157I</t>
  </si>
  <si>
    <t xml:space="preserve">CENDI GDF ANAHUAC                                                                                   </t>
  </si>
  <si>
    <t xml:space="preserve">CALLE TLALOC S/N                                                                </t>
  </si>
  <si>
    <t>09NDI0158H</t>
  </si>
  <si>
    <t xml:space="preserve">CENDI GDF GRANADA                                                                                   </t>
  </si>
  <si>
    <t xml:space="preserve">FF CC DE CUERNAVACA Y R. SAN JOAQUIN S/N                                        </t>
  </si>
  <si>
    <t xml:space="preserve">GRANADA                                                                                                                                     </t>
  </si>
  <si>
    <t>09NDI0159G</t>
  </si>
  <si>
    <t xml:space="preserve">CENDI GDF LEGARIA                                                                                   </t>
  </si>
  <si>
    <t xml:space="preserve">CALZ. LEGARIA NO. 373                                                           </t>
  </si>
  <si>
    <t xml:space="preserve">MEXICO NUEVO                                                                                                                                </t>
  </si>
  <si>
    <t>09NDI0160W</t>
  </si>
  <si>
    <t xml:space="preserve">CENDI GDF TACUBA                                                                                    </t>
  </si>
  <si>
    <t xml:space="preserve">CALZ MEX. TACUBA Y GOLFO DE BENGALA S/N                                         </t>
  </si>
  <si>
    <t xml:space="preserve">TACUBA                                                                                                                                      </t>
  </si>
  <si>
    <t>09NDI0164S</t>
  </si>
  <si>
    <t xml:space="preserve">CENDI GDF BERTHA VON GLUMER                                                                         </t>
  </si>
  <si>
    <t xml:space="preserve">ROMERO RUBIO                                                                                                                                </t>
  </si>
  <si>
    <t>025</t>
  </si>
  <si>
    <t>09NDI0165R</t>
  </si>
  <si>
    <t xml:space="preserve">CENDI GDF ROSA VILLANUEVA RAMOS                                                                     </t>
  </si>
  <si>
    <t xml:space="preserve">HORTELANOS Y FF CC INTEROCEANICO Y HERREROS                                     </t>
  </si>
  <si>
    <t>09NDI0167P</t>
  </si>
  <si>
    <t xml:space="preserve">CENDI GDF LUZ OLIVEROS SARMINA                                                                      </t>
  </si>
  <si>
    <t xml:space="preserve">20 DE NOVIEMBRE                                                                                                                             </t>
  </si>
  <si>
    <t>09NDI0168O</t>
  </si>
  <si>
    <t xml:space="preserve">CENDI GDF JOSE MARIA PINO SUAREZ                                                                    </t>
  </si>
  <si>
    <t xml:space="preserve">CALZADA DE LA VIGA Y GMO PRIETO S/N                                             </t>
  </si>
  <si>
    <t>09NDI0169N</t>
  </si>
  <si>
    <t xml:space="preserve">CENDI GDF GUADALUPE I. RAMIREZ                                                                      </t>
  </si>
  <si>
    <t xml:space="preserve">LUIS LARA PARDO S/N                                                             </t>
  </si>
  <si>
    <t xml:space="preserve">JARDIN BALBUENA                                                                                                                             </t>
  </si>
  <si>
    <t>09NDI0170C</t>
  </si>
  <si>
    <t xml:space="preserve">CENDI GDF ERNESTINA LATOUR                                                                          </t>
  </si>
  <si>
    <t xml:space="preserve">RETORNO 29 Y 27 DE FRAY SERVANDO T. MIER  S/N                                   </t>
  </si>
  <si>
    <t>09NDI0172A</t>
  </si>
  <si>
    <t xml:space="preserve">CENDI GDF ESTEFANIA CASTAÑEDA                                                                       </t>
  </si>
  <si>
    <t xml:space="preserve">AV.4 Y CALLE 65 Y 69                                                            </t>
  </si>
  <si>
    <t xml:space="preserve">PUEBLA                                                                                                                                      </t>
  </si>
  <si>
    <t>09NDI0173Z</t>
  </si>
  <si>
    <t xml:space="preserve">CENDI GDF ROSAURA ZAPATA                                                                            </t>
  </si>
  <si>
    <t xml:space="preserve">CARLOS AUGUSTO LINBERGH Y H RUIZ  S/N                                           </t>
  </si>
  <si>
    <t xml:space="preserve">AVIACION CIVIL                                                                                                                              </t>
  </si>
  <si>
    <t>09NDI0174Z</t>
  </si>
  <si>
    <t xml:space="preserve">CENDI GDF MARIA JOSEFA GARCIA DE GARCIA                                                             </t>
  </si>
  <si>
    <t xml:space="preserve">AV. UNIVERSIDAD Y SUPREMA CORTE DE J.                                           </t>
  </si>
  <si>
    <t xml:space="preserve">FEDERAL                                                                                                                                     </t>
  </si>
  <si>
    <t>09NDI0175Y</t>
  </si>
  <si>
    <t xml:space="preserve">CENDI GDF JOSEFA ORTIZ DE DOMINGUEZ                                                                 </t>
  </si>
  <si>
    <t xml:space="preserve">AV. 8 ENTRE CALLES 35 Y 39                                                      </t>
  </si>
  <si>
    <t xml:space="preserve">ZARAGOZA                                                                                                                                    </t>
  </si>
  <si>
    <t>09NDI0177W</t>
  </si>
  <si>
    <t xml:space="preserve">CENDI GDF SOR JUANA INES DE LA CRUZ                                                                 </t>
  </si>
  <si>
    <t xml:space="preserve">AGUSTIN OLACHEA Y ERNESTO P URUCHURTU  S/N                                      </t>
  </si>
  <si>
    <t xml:space="preserve">ADOLFO LOPEZ MATEOS                                                                                                                         </t>
  </si>
  <si>
    <t>09NDI0180J</t>
  </si>
  <si>
    <t xml:space="preserve">CENDI GDF AJUSCO MONSERRAT                                                                          </t>
  </si>
  <si>
    <t xml:space="preserve">CALLE TOTONACAS ESQ IZTLIXOCHITL S/N                                            </t>
  </si>
  <si>
    <t xml:space="preserve">AJUSCO                                                                                                                                      </t>
  </si>
  <si>
    <t>046</t>
  </si>
  <si>
    <t>09NDI0181I</t>
  </si>
  <si>
    <t xml:space="preserve">CENDI GDF COYOACAN                                                                                  </t>
  </si>
  <si>
    <t xml:space="preserve">ABASOLO Y XICOTENCATL S/N                                                       </t>
  </si>
  <si>
    <t xml:space="preserve">CARMEN SERDAN                                                                                                                               </t>
  </si>
  <si>
    <t>047</t>
  </si>
  <si>
    <t>09NDI0182H</t>
  </si>
  <si>
    <t xml:space="preserve">CENDI GDF CHURUBUSCO                                                                                </t>
  </si>
  <si>
    <t xml:space="preserve">MARTIRES IRLANDESES Y PAZ M. OCA  S/N                                           </t>
  </si>
  <si>
    <t xml:space="preserve">CHURUBUSCO                                                                                                                                  </t>
  </si>
  <si>
    <t>09NDI0184F</t>
  </si>
  <si>
    <t xml:space="preserve">CENDI GDF PRADOS CHURUBUSCO                                                                         </t>
  </si>
  <si>
    <t xml:space="preserve">ORION PEGASO Y OSA MENOR S/N                                                    </t>
  </si>
  <si>
    <t>09NDI0186D</t>
  </si>
  <si>
    <t xml:space="preserve">CENDI GDF PESCADITOS                                                                                </t>
  </si>
  <si>
    <t xml:space="preserve">SAN RAUL Y SAN CASTULO                                                          </t>
  </si>
  <si>
    <t xml:space="preserve">SANTA URSULA COAPA                                                                                                                          </t>
  </si>
  <si>
    <t>09NDI0188B</t>
  </si>
  <si>
    <t xml:space="preserve">CENDI GDF SN FCO CULHUACAN                                                                          </t>
  </si>
  <si>
    <t xml:space="preserve">ESC. NAVAL MILITAR No.51                                                        </t>
  </si>
  <si>
    <t xml:space="preserve">SAN FRANCISCO CULHUACAN                                                                                                                     </t>
  </si>
  <si>
    <t>09NDI0189A</t>
  </si>
  <si>
    <t xml:space="preserve">CENDI GDF XOTEPINGO                                                                                 </t>
  </si>
  <si>
    <t xml:space="preserve">AV. DE LAS ROSAS Y NOCHEBUENA S/N                                               </t>
  </si>
  <si>
    <t xml:space="preserve">CIUDAD JARDIN                                                                                                                               </t>
  </si>
  <si>
    <t>09NDI0193N</t>
  </si>
  <si>
    <t xml:space="preserve">CENDI GDF CARMEN SERDAN                                                                             </t>
  </si>
  <si>
    <t xml:space="preserve">CALZ DE LA VIRGEN S/N                                                           </t>
  </si>
  <si>
    <t>09NDI0194M</t>
  </si>
  <si>
    <t xml:space="preserve">CENDI GDF LAS NIEVES                                                                                </t>
  </si>
  <si>
    <t xml:space="preserve">SANTO TOMAS Y SAN CASTULO S/N                                                   </t>
  </si>
  <si>
    <t>09NDI0196K</t>
  </si>
  <si>
    <t xml:space="preserve">CENDI GDF STO DOMINGO                                                                               </t>
  </si>
  <si>
    <t xml:space="preserve">IZOTE ESQ. CANACUATE S/N                                                        </t>
  </si>
  <si>
    <t xml:space="preserve">PEDREGAL DE SANTO DOMINGO                                                                                                                   </t>
  </si>
  <si>
    <t>09NDI0197J</t>
  </si>
  <si>
    <t xml:space="preserve">CENDI GDF ANA MARIA HERNANDEZ                                                                       </t>
  </si>
  <si>
    <t xml:space="preserve">PACIFICO 181 BARRIO LA CONCHITA                                                 </t>
  </si>
  <si>
    <t xml:space="preserve">CONCEPCION                                                                                                                                  </t>
  </si>
  <si>
    <t>09NDI0200G</t>
  </si>
  <si>
    <t xml:space="preserve">CENDI GDF SAN PABLO TEPETLAPA                                                                       </t>
  </si>
  <si>
    <t xml:space="preserve">MOCTEZUMA Y EMILIANO ZAPATA S/N                                                 </t>
  </si>
  <si>
    <t xml:space="preserve">SAN PABLO TEPETLAPA EJIDO                                                                                                                   </t>
  </si>
  <si>
    <t>09NDI0201F</t>
  </si>
  <si>
    <t xml:space="preserve">CENDI GDF AJUSCO MOCTEZUMA                                                                          </t>
  </si>
  <si>
    <t xml:space="preserve">NETZAHUALPILLI Y CALLE CORAS                                                    </t>
  </si>
  <si>
    <t>09NDI0202E</t>
  </si>
  <si>
    <t xml:space="preserve">CENDI GDF AVANTE                                                                                    </t>
  </si>
  <si>
    <t xml:space="preserve">AV. DEL PARQUE Y ANDADOR S/N                                                    </t>
  </si>
  <si>
    <t>09NDI0212L</t>
  </si>
  <si>
    <t xml:space="preserve">CENDI GDF SANTA ROSA                                                                                </t>
  </si>
  <si>
    <t xml:space="preserve">CALLE 26A S/N                                                                   </t>
  </si>
  <si>
    <t xml:space="preserve">SANTA ROSA                                                                                                                                  </t>
  </si>
  <si>
    <t>042</t>
  </si>
  <si>
    <t>09NDI0213K</t>
  </si>
  <si>
    <t xml:space="preserve">CENDI GDF TRES ESTRELLAS GABILONDO SOLER                                                            </t>
  </si>
  <si>
    <t xml:space="preserve">TESORO Y ONIQUINA                                                               </t>
  </si>
  <si>
    <t xml:space="preserve">TRES ESTRELLAS                                                                                                                              </t>
  </si>
  <si>
    <t>039</t>
  </si>
  <si>
    <t>09NDI0214J</t>
  </si>
  <si>
    <t xml:space="preserve">CENDI GDF VASCO DE QUIROGA                                                                          </t>
  </si>
  <si>
    <t xml:space="preserve">SN. SEB. APARICIO Y. FRAY. DE OLMEDO S/N                                        </t>
  </si>
  <si>
    <t xml:space="preserve">VASCO DE QUIROGA                                                                                                                            </t>
  </si>
  <si>
    <t>09NDI0215I</t>
  </si>
  <si>
    <t xml:space="preserve">CENDI GDF SN PEDRO ZACATENCO                                                                        </t>
  </si>
  <si>
    <t xml:space="preserve">MANIZALES MANRIQUE Y RIOJA S/N                                                  </t>
  </si>
  <si>
    <t>09NDI0223R</t>
  </si>
  <si>
    <t xml:space="preserve">CENDI GDF MARTIN CARRERA                                                                            </t>
  </si>
  <si>
    <t xml:space="preserve">JOAQUIN HERRERA Y VICENTE GUERRERO                                              </t>
  </si>
  <si>
    <t xml:space="preserve">MARTIN CARRERA                                                                                                                              </t>
  </si>
  <si>
    <t>09NDI0226O</t>
  </si>
  <si>
    <t xml:space="preserve">CENDI GDF GERTRUDIS SANCHEZ                                                                         </t>
  </si>
  <si>
    <t xml:space="preserve">HENRY FORD Y NORTE 84  S/N                                                      </t>
  </si>
  <si>
    <t xml:space="preserve">GERTRUDIS SANCHEZ 1A SECCION                                                                                                                </t>
  </si>
  <si>
    <t>09NDI0227N</t>
  </si>
  <si>
    <t xml:space="preserve">CENDI GDF GABRIELA MISTRAL                                                                          </t>
  </si>
  <si>
    <t xml:space="preserve">AV. CENTENARIO 69                                                               </t>
  </si>
  <si>
    <t xml:space="preserve">GABRIEL HERNANDEZ                                                                                                                           </t>
  </si>
  <si>
    <t>09NDI0229L</t>
  </si>
  <si>
    <t xml:space="preserve">CENDI GDF EMILIANO ZAPATA                                                                           </t>
  </si>
  <si>
    <t xml:space="preserve">ORIENTE 95 Y NORTE 60 S/N                                                       </t>
  </si>
  <si>
    <t xml:space="preserve">TABLAS DE SAN AGUSTIN                                                                                                                       </t>
  </si>
  <si>
    <t>09NDI0230A</t>
  </si>
  <si>
    <t xml:space="preserve">CENDI GDF DIEZ DE MAYO                                                                              </t>
  </si>
  <si>
    <t xml:space="preserve">NORTE 84 Y ORIENTE 87                                                           </t>
  </si>
  <si>
    <t xml:space="preserve">NUEVA TENOCHTITLAN                                                                                                                          </t>
  </si>
  <si>
    <t>09NDI0232Z</t>
  </si>
  <si>
    <t xml:space="preserve">CENDI GDF CARRERA LARDIZABAL                                                                        </t>
  </si>
  <si>
    <t xml:space="preserve">LUIS DE LA ROSA Y LEON GUZMAN                                                   </t>
  </si>
  <si>
    <t xml:space="preserve">CONSTITUCION DE LA REPUBLICA                                                                                                                </t>
  </si>
  <si>
    <t>09NDI0233Y</t>
  </si>
  <si>
    <t xml:space="preserve">CENDI GDF BONDOJITO                                                                                 </t>
  </si>
  <si>
    <t xml:space="preserve">HENRY FORD Y NORTE 72-A  S/N                                                    </t>
  </si>
  <si>
    <t xml:space="preserve">BONDOJITO                                                                                                                                   </t>
  </si>
  <si>
    <t>09NDI0235W</t>
  </si>
  <si>
    <t xml:space="preserve">CENDI GDF CRISTO REY                                                                                </t>
  </si>
  <si>
    <t xml:space="preserve">ESC. 201 Y JAVIER MTZ.  Y C. REAL TOLUCA                                        </t>
  </si>
  <si>
    <t xml:space="preserve">CRISTO REY                                                                                                                                  </t>
  </si>
  <si>
    <t>005</t>
  </si>
  <si>
    <t>09NDI0236V</t>
  </si>
  <si>
    <t xml:space="preserve">GOLONDRINAS Y JILGUEROS S/N                                                     </t>
  </si>
  <si>
    <t xml:space="preserve">JOSE MARIA PINO SUAREZ                                                                                                                      </t>
  </si>
  <si>
    <t>09NDI0237U</t>
  </si>
  <si>
    <t xml:space="preserve">CENDI GDF OLIVAR DEL CONDE                                                                          </t>
  </si>
  <si>
    <t xml:space="preserve">URUCHURTO  Y A. LARA  S/N                                                       </t>
  </si>
  <si>
    <t xml:space="preserve">OLIVAR DEL CONDE 2A SECCION                                                                                                                 </t>
  </si>
  <si>
    <t>09NDI0238T</t>
  </si>
  <si>
    <t xml:space="preserve">CENDI GDF 6 DE ENERO 1915                                                                           </t>
  </si>
  <si>
    <t xml:space="preserve">AV. DEL ROSAL Y ROSA BLANCA                                                     </t>
  </si>
  <si>
    <t xml:space="preserve">MOLINO DE ROSAS                                                                                                                             </t>
  </si>
  <si>
    <t>09NDI0239S</t>
  </si>
  <si>
    <t xml:space="preserve">CENDI GDF TIZAPAN                                                                                   </t>
  </si>
  <si>
    <t xml:space="preserve">SAN LUIS POTOSI Y FRONTERA S/N                                                  </t>
  </si>
  <si>
    <t xml:space="preserve">TIZAPAN                                                                                                                                     </t>
  </si>
  <si>
    <t>09NDI0240H</t>
  </si>
  <si>
    <t xml:space="preserve">CENDI GDF MARIA GUADALUPE DE GARCIA RUIZ                                                            </t>
  </si>
  <si>
    <t xml:space="preserve">AUSTRIACOS Y ALEMANES S/N                                                       </t>
  </si>
  <si>
    <t xml:space="preserve">EL PARAISO                                                                                                                                  </t>
  </si>
  <si>
    <t>09NDI0242F</t>
  </si>
  <si>
    <t xml:space="preserve">CENTRO DE DESARROLLO INFANTIL BENITO JUAREZ GARCIA                                                  </t>
  </si>
  <si>
    <t xml:space="preserve">SANTA ESCUELA NO. 104                                                           </t>
  </si>
  <si>
    <t xml:space="preserve">MERCED BALBUENA                                                                                                                             </t>
  </si>
  <si>
    <t>09NDI0245C</t>
  </si>
  <si>
    <t xml:space="preserve">CENDI GDF LA DALIA                                                                                  </t>
  </si>
  <si>
    <t xml:space="preserve">FRESNO CARPIO Y E ANCONA S/N                                                    </t>
  </si>
  <si>
    <t>09NDI0246B</t>
  </si>
  <si>
    <t xml:space="preserve">CENDI GDF MELCHOR OCAMPO                                                                            </t>
  </si>
  <si>
    <t xml:space="preserve">MONTERREY Y CAMPECHE                                                            </t>
  </si>
  <si>
    <t xml:space="preserve">ROMA SUR                                                                                                                                    </t>
  </si>
  <si>
    <t>09NDI0247A</t>
  </si>
  <si>
    <t xml:space="preserve">CENDI GDF HIDALGO                                                                                   </t>
  </si>
  <si>
    <t xml:space="preserve">DR ARCE Y DR ANDRADE S/N                                                        </t>
  </si>
  <si>
    <t>09NDI0248Z</t>
  </si>
  <si>
    <t xml:space="preserve">CENDI GDF JUAREZ                                                                                    </t>
  </si>
  <si>
    <t xml:space="preserve">AV. CHAPULTEPEC Y A. GONZALEZ S/N                                               </t>
  </si>
  <si>
    <t xml:space="preserve">JUAREZ                                                                                                                                      </t>
  </si>
  <si>
    <t>09NDI0249Z</t>
  </si>
  <si>
    <t xml:space="preserve">CENDI GDF SAN COSME                                                                                 </t>
  </si>
  <si>
    <t xml:space="preserve">RVA. SAN COSME S/N  Y G. BARREDA                                                </t>
  </si>
  <si>
    <t xml:space="preserve">SAN RAFAEL                                                                                                                                  </t>
  </si>
  <si>
    <t>09NDI0250O</t>
  </si>
  <si>
    <t xml:space="preserve">CENDI GDF BUGAMBILIA                                                                                </t>
  </si>
  <si>
    <t xml:space="preserve">FLORES MAGON Y MARIANO AZUELA S/N                                               </t>
  </si>
  <si>
    <t>09NDI0251N</t>
  </si>
  <si>
    <t xml:space="preserve">CENDI GDF MIXCALCO                                                                                  </t>
  </si>
  <si>
    <t xml:space="preserve">MANUEL DOBLADO Y GUATEMALA  S/N                                                 </t>
  </si>
  <si>
    <t>031</t>
  </si>
  <si>
    <t>09NDI0254K</t>
  </si>
  <si>
    <t xml:space="preserve">CENDI GDF SAN JOAQUIN                                                                               </t>
  </si>
  <si>
    <t xml:space="preserve">SHUBERT S/N                                                                     </t>
  </si>
  <si>
    <t xml:space="preserve">PERALVILLO                                                                                                                                  </t>
  </si>
  <si>
    <t>09NDI0255J</t>
  </si>
  <si>
    <t xml:space="preserve">CENDI GDF BEETHOVEN                                                                                 </t>
  </si>
  <si>
    <t xml:space="preserve">BEETHOVEN Y WAGNER                                                              </t>
  </si>
  <si>
    <t xml:space="preserve">EX-HIPODROMO DE PERALVILLO                                                                                                                  </t>
  </si>
  <si>
    <t>09NDI0256I</t>
  </si>
  <si>
    <t xml:space="preserve">CENDI GDF SAN LUCAS                                                                                 </t>
  </si>
  <si>
    <t xml:space="preserve">NEZAHUALCOYOTL S/N ESQ. SAN MIGUEL                                              </t>
  </si>
  <si>
    <t>09NDI0257H</t>
  </si>
  <si>
    <t xml:space="preserve">CENDI GDF ISABEL LA CATOLICA                                                                        </t>
  </si>
  <si>
    <t xml:space="preserve">ISABEL LA CATOLICA 96                                                           </t>
  </si>
  <si>
    <t xml:space="preserve">ALGARIN                                                                                                                                     </t>
  </si>
  <si>
    <t>09NDI0258G</t>
  </si>
  <si>
    <t xml:space="preserve">CENDI GDF TEPITO 1 ROPA Y TELAS                                                                     </t>
  </si>
  <si>
    <t xml:space="preserve">HONDURAS NO. 43                                                                 </t>
  </si>
  <si>
    <t>09NDI0259F</t>
  </si>
  <si>
    <t xml:space="preserve">CENDI GDF MORELIA                                                                                   </t>
  </si>
  <si>
    <t xml:space="preserve">DR VERTIZ Y DR UGARTE                                                           </t>
  </si>
  <si>
    <t>09NDI0261U</t>
  </si>
  <si>
    <t xml:space="preserve">CENDI GDF INSURGENTES 13                                                                            </t>
  </si>
  <si>
    <t xml:space="preserve">LONDRES No. 154                                                                 </t>
  </si>
  <si>
    <t>09NDI0264R</t>
  </si>
  <si>
    <t xml:space="preserve">CENDI GDF LAGUNILLA 1 PEÑA MANTEROLA                                                                </t>
  </si>
  <si>
    <t xml:space="preserve">RAYON Y COMONFORT                                                               </t>
  </si>
  <si>
    <t>09NDI0265Q</t>
  </si>
  <si>
    <t xml:space="preserve">CENDI GDF TEPITO 2 VARIOS                                                                           </t>
  </si>
  <si>
    <t xml:space="preserve">FRANCISCO GONZALEZ BOCANEGRA NO. 82                                             </t>
  </si>
  <si>
    <t>09NDI0266P</t>
  </si>
  <si>
    <t xml:space="preserve">CENDI GDF PUGIBET                                                                                   </t>
  </si>
  <si>
    <t xml:space="preserve">PUGIBET No. 21                                                                  </t>
  </si>
  <si>
    <t>09NDI0267O</t>
  </si>
  <si>
    <t xml:space="preserve">CENDI GDF MARTINEZ DE LA TORRE                                                                      </t>
  </si>
  <si>
    <t xml:space="preserve">DEGOLLADO Y ZARCO S/N                                                           </t>
  </si>
  <si>
    <t>09NDI0273Z</t>
  </si>
  <si>
    <t xml:space="preserve">CENDI GDF REYNOSA TAMAULIPAS                                                                        </t>
  </si>
  <si>
    <t xml:space="preserve">REF. MINATITLAN Y CAMPOS TULILLOS                                               </t>
  </si>
  <si>
    <t xml:space="preserve">REYNOSA TAMAULIPAS                                                                                                                          </t>
  </si>
  <si>
    <t>09NDI0274Y</t>
  </si>
  <si>
    <t xml:space="preserve">RABAUL Y NORTE 81_A  S/N                                                        </t>
  </si>
  <si>
    <t xml:space="preserve">SINDICATO MEXICANO DE ELECTRICISTAS                                                                                                         </t>
  </si>
  <si>
    <t>09NDI0275X</t>
  </si>
  <si>
    <t xml:space="preserve">CENDI GDF NUEVA STA MARIA                                                                           </t>
  </si>
  <si>
    <t xml:space="preserve">MEMBRILLO Y VID S/N                                                             </t>
  </si>
  <si>
    <t xml:space="preserve">NUEVA SANTA MARIA                                                                                                                           </t>
  </si>
  <si>
    <t>09NDI0276W</t>
  </si>
  <si>
    <t xml:space="preserve">CENDI GDF VICTORIA DE LAS DEMOCRACIAS                                                               </t>
  </si>
  <si>
    <t xml:space="preserve">TORONJIL Y PEREJIL                                                              </t>
  </si>
  <si>
    <t xml:space="preserve">UNIDAD HABITACIONAL VICTORIA DE LAS                                                                                                         </t>
  </si>
  <si>
    <t>010</t>
  </si>
  <si>
    <t>09NDI0277V</t>
  </si>
  <si>
    <t xml:space="preserve">CENDI GDF COSMOPOLITA                                                                               </t>
  </si>
  <si>
    <t xml:space="preserve">AV. CEYLAN E ISLAS ALEUTIANAS S/N                                               </t>
  </si>
  <si>
    <t xml:space="preserve">COSMOPOLITA                                                                                                                                 </t>
  </si>
  <si>
    <t>09NDI0278U</t>
  </si>
  <si>
    <t xml:space="preserve">CENDI GDF STA LUCIA TOMATLAN                                                                        </t>
  </si>
  <si>
    <t xml:space="preserve">CENTEOTL Y ACATL                                                                </t>
  </si>
  <si>
    <t xml:space="preserve">SANTA LUCIA                                                                                                                                 </t>
  </si>
  <si>
    <t>09NDI0279T</t>
  </si>
  <si>
    <t xml:space="preserve">CENDI GDF PROHOGAR                                                                                  </t>
  </si>
  <si>
    <t xml:space="preserve">AV. CENTRAL Y CALLE 21-12                                                       </t>
  </si>
  <si>
    <t xml:space="preserve">PRO  HOGAR                                                                                                                                  </t>
  </si>
  <si>
    <t>09NDI0280I</t>
  </si>
  <si>
    <t xml:space="preserve">CENDI GDF ARENAL                                                                                    </t>
  </si>
  <si>
    <t xml:space="preserve">ALAMO Y OLIVO  S/N                                                              </t>
  </si>
  <si>
    <t xml:space="preserve">ARENAL                                                                                                                                      </t>
  </si>
  <si>
    <t>09NDI0283F</t>
  </si>
  <si>
    <t xml:space="preserve">CENDI S.E. SEDESOL                                                                                  </t>
  </si>
  <si>
    <t xml:space="preserve">CUMBRES DE ACULTZINGO  S/N                                                      </t>
  </si>
  <si>
    <t>09NDI0284E</t>
  </si>
  <si>
    <t xml:space="preserve">CENDI ISSSTE E.B.D.I. NO.152                                                                        </t>
  </si>
  <si>
    <t xml:space="preserve">RAMON PRIDA NO. 41                                                              </t>
  </si>
  <si>
    <t xml:space="preserve">ALVARO OBREGON                                                                                                                              </t>
  </si>
  <si>
    <t>09NDI0285D</t>
  </si>
  <si>
    <t xml:space="preserve">CENDI JOSE MARIA PINO SUAREZ                                                                        </t>
  </si>
  <si>
    <t xml:space="preserve">DR. JUAN NAVARRO NO. 100                                                        </t>
  </si>
  <si>
    <t>09NDI0306Z</t>
  </si>
  <si>
    <t xml:space="preserve">CENDI ING. FERNANDO ESPINO AREVALO                                                                  </t>
  </si>
  <si>
    <t xml:space="preserve">DELICIAS No.67                                                                  </t>
  </si>
  <si>
    <t>09NDI0308Y</t>
  </si>
  <si>
    <t xml:space="preserve">CENDI ISSSTE E.B.D.I. NO. 46                                                                        </t>
  </si>
  <si>
    <t xml:space="preserve">LAGO CUITZEO NO. 200                                                            </t>
  </si>
  <si>
    <t>09NDI0309X</t>
  </si>
  <si>
    <t xml:space="preserve">CENDI DIF 15 JUAN DUQUE DE ESTRADA                                                                  </t>
  </si>
  <si>
    <t xml:space="preserve">BOITO NO 69                                                                     </t>
  </si>
  <si>
    <t>09NDI0311L</t>
  </si>
  <si>
    <t xml:space="preserve">CENDI ISSSTE E.B.D.I. NO.44                                                                         </t>
  </si>
  <si>
    <t xml:space="preserve">ANTONIO VAN DICK NO. 44                                                         </t>
  </si>
  <si>
    <t>09NDI0312K</t>
  </si>
  <si>
    <t xml:space="preserve">CENDI ISSSTE E.B.D.I. NO. 54                                                                        </t>
  </si>
  <si>
    <t xml:space="preserve">DONIZZETTI NO. 104                                                              </t>
  </si>
  <si>
    <t xml:space="preserve">VALLEJO                                                                                                                                     </t>
  </si>
  <si>
    <t>059</t>
  </si>
  <si>
    <t>09NDI0319D</t>
  </si>
  <si>
    <t xml:space="preserve">CENDI DIF 20                                                                                        </t>
  </si>
  <si>
    <t xml:space="preserve">DR. MORONES PRIETO NO. 100 BIS                                                  </t>
  </si>
  <si>
    <t xml:space="preserve">BUENOS AIRES                                                                                                                                </t>
  </si>
  <si>
    <t>09NDI0321S</t>
  </si>
  <si>
    <t xml:space="preserve">CENDI ISSSTE E.B.D.I. NO. 43                                                                        </t>
  </si>
  <si>
    <t xml:space="preserve">STAND DE TIRO Y FCO MORAZAN                                                     </t>
  </si>
  <si>
    <t>09NDI0330Z</t>
  </si>
  <si>
    <t xml:space="preserve">CENDI ISSSTE E.B.D.I. NO. 118                                                                       </t>
  </si>
  <si>
    <t xml:space="preserve">OBRERO MUNDIAL NO. 338                                                          </t>
  </si>
  <si>
    <t>09NDI0331Z</t>
  </si>
  <si>
    <t xml:space="preserve">CENDI SE PRESIDENCIA DE LA REPUBLICA                                                                </t>
  </si>
  <si>
    <t xml:space="preserve">REPUBLICA DE GUATEMALA NO. 84                                                   </t>
  </si>
  <si>
    <t>09NDI0337T</t>
  </si>
  <si>
    <t xml:space="preserve">CENDI GDF MELCHOR MUZQUIZ                                                                           </t>
  </si>
  <si>
    <t xml:space="preserve">AV. REVOLUCION Y MELCHOR MUZQUIZ                                                </t>
  </si>
  <si>
    <t xml:space="preserve">SAN ANGEL                                                                                                                                   </t>
  </si>
  <si>
    <t>09NDI0339R</t>
  </si>
  <si>
    <t xml:space="preserve">CENDI GDF SALVADOR LECONA                                                                           </t>
  </si>
  <si>
    <t xml:space="preserve">AV. SN PABLO Y EJE 5 NTE S/N                                                    </t>
  </si>
  <si>
    <t>09NDI0340G</t>
  </si>
  <si>
    <t xml:space="preserve">CENDI GDF AQUILES SERDAN                                                                            </t>
  </si>
  <si>
    <t xml:space="preserve">CALZ TAXQUENA Y 16 DE SEPTIEMBRE NO. 7                                          </t>
  </si>
  <si>
    <t>09NDI0341F</t>
  </si>
  <si>
    <t xml:space="preserve">CENDI NUEVO LEÓN                                                                                    </t>
  </si>
  <si>
    <t xml:space="preserve">CERRADA FRESNOS S/N                                                             </t>
  </si>
  <si>
    <t xml:space="preserve">JESUS DEL MONTE                                                                                                                             </t>
  </si>
  <si>
    <t>09NDI0342E</t>
  </si>
  <si>
    <t xml:space="preserve">CENDI GDF AGRICOLA ORIENTAL                                                                         </t>
  </si>
  <si>
    <t xml:space="preserve">ORIENTE 237 Y SUR 16  S/N                                                       </t>
  </si>
  <si>
    <t>09NDI0343D</t>
  </si>
  <si>
    <t xml:space="preserve">CENDI GDF BRAMADERO 2                                                                               </t>
  </si>
  <si>
    <t xml:space="preserve">ORIENTE 108 Y 110 S/N                                                           </t>
  </si>
  <si>
    <t xml:space="preserve">GABRIEL RAMOS MILLAN                                                                                                                        </t>
  </si>
  <si>
    <t>09NDI0344C</t>
  </si>
  <si>
    <t xml:space="preserve">CENDI GDF EL TLACOTAL                                                                               </t>
  </si>
  <si>
    <t xml:space="preserve">ORIENTE 100 A Y AV. 5 S/N Y SUR 125                                             </t>
  </si>
  <si>
    <t xml:space="preserve">TLACOTAL                                                                                                                                    </t>
  </si>
  <si>
    <t>09NDI0345B</t>
  </si>
  <si>
    <t xml:space="preserve">CENDI GDF JUVENTINO ROSAS                                                                           </t>
  </si>
  <si>
    <t xml:space="preserve">SUR 117 Y AV. RECREO S/N                                                        </t>
  </si>
  <si>
    <t xml:space="preserve">JUVENTINO ROSAS                                                                                                                             </t>
  </si>
  <si>
    <t>09NDI0346A</t>
  </si>
  <si>
    <t xml:space="preserve">CENDI GDF LA CRUZ                                                                                   </t>
  </si>
  <si>
    <t xml:space="preserve">AV. COYUYA Y 1 DE MAYO  S/N                                                     </t>
  </si>
  <si>
    <t xml:space="preserve">LA CRUZ                                                                                                                                     </t>
  </si>
  <si>
    <t>09NDI0347Z</t>
  </si>
  <si>
    <t xml:space="preserve">CENDI GDF LEANDRO VALLE                                                                             </t>
  </si>
  <si>
    <t xml:space="preserve">ORIENTE 253 Y SUR 20 Y 22 S/N                                                   </t>
  </si>
  <si>
    <t>09NDI0348Z</t>
  </si>
  <si>
    <t xml:space="preserve">CENDI GDF MARTE                                                                                     </t>
  </si>
  <si>
    <t xml:space="preserve">PLAYA AZUL Y TABACHINES S/N                                                     </t>
  </si>
  <si>
    <t xml:space="preserve">MILITAR MARTE                                                                                                                               </t>
  </si>
  <si>
    <t>09NDI0349Y</t>
  </si>
  <si>
    <t xml:space="preserve">CENDI GDF PANTITLAN                                                                                 </t>
  </si>
  <si>
    <t xml:space="preserve">AV. NORTE Y CALLE 4 S/N                                                         </t>
  </si>
  <si>
    <t xml:space="preserve">AGRICOLA PANTITLAN                                                                                                                          </t>
  </si>
  <si>
    <t>09NDI0350N</t>
  </si>
  <si>
    <t xml:space="preserve">CENDI GDF SANTA ANITA                                                                               </t>
  </si>
  <si>
    <t xml:space="preserve">AV.STA. ANITA  202 Y ANDRES MOLINA                                              </t>
  </si>
  <si>
    <t>09NDI0353K</t>
  </si>
  <si>
    <t xml:space="preserve">CENDI GDF LA CONCENTRACION M MIXUCA                                                                 </t>
  </si>
  <si>
    <t xml:space="preserve">THE Y HORTALIZA  S/N                                                            </t>
  </si>
  <si>
    <t xml:space="preserve">MAGDALENA MIXHUCA EX-EJIDO                                                                                                                  </t>
  </si>
  <si>
    <t>09NDI0355I</t>
  </si>
  <si>
    <t xml:space="preserve">CENDI GDF LUCRECIA TORIZ                                                                            </t>
  </si>
  <si>
    <t xml:space="preserve">RODOLFO USIGLI Y RADAMES GAXIOLA                                                </t>
  </si>
  <si>
    <t>09NDI0356H</t>
  </si>
  <si>
    <t xml:space="preserve">CENDI GDF MAGDALENA ATLAZOLPA                                                                       </t>
  </si>
  <si>
    <t xml:space="preserve">AV. DEL ROSAL Y EJE 3 ORIENTE S/N                                               </t>
  </si>
  <si>
    <t xml:space="preserve">MAGDALENA ATLAZOLPA                                                                                                                         </t>
  </si>
  <si>
    <t>09NDI0357G</t>
  </si>
  <si>
    <t xml:space="preserve">CENDI GDF JUAN DE LA BARRERA                                                                        </t>
  </si>
  <si>
    <t xml:space="preserve">GRAL ENRIQUEZ S/N INTERIOR MERCADO                                              </t>
  </si>
  <si>
    <t xml:space="preserve">JUAN ESCUTIA                                                                                                                                </t>
  </si>
  <si>
    <t xml:space="preserve">62 </t>
  </si>
  <si>
    <t>09NDI0358F</t>
  </si>
  <si>
    <t xml:space="preserve">CENDI GDF IGNACIO ZARAGOZA                                                                          </t>
  </si>
  <si>
    <t xml:space="preserve">ALFONSO TORO Y JAVIER MARTINEZ S/N                                              </t>
  </si>
  <si>
    <t>09NDI0360U</t>
  </si>
  <si>
    <t xml:space="preserve">CENDI GDF SN LORENZO XICOTENCATL                                                                    </t>
  </si>
  <si>
    <t xml:space="preserve">TRINIDAD Y ZACANI S/N INTERIOR MERCADO                                          </t>
  </si>
  <si>
    <t xml:space="preserve">SAN LORENZO XICOTENCATL                                                                                                                     </t>
  </si>
  <si>
    <t>09NDI0361T</t>
  </si>
  <si>
    <t xml:space="preserve">CENDI GDF CASA POPULAR DE LA JUVENTUD                                                               </t>
  </si>
  <si>
    <t xml:space="preserve">LUIS CABRERA No. 1                                                              </t>
  </si>
  <si>
    <t>09NDI0362S</t>
  </si>
  <si>
    <t xml:space="preserve">SUR 128 NO. 53                                                                  </t>
  </si>
  <si>
    <t>09NDI0363R</t>
  </si>
  <si>
    <t xml:space="preserve">CENDI GDF JOSE MA. MORELOS Y PAVON                                                                  </t>
  </si>
  <si>
    <t xml:space="preserve">LAGO ERNE Y TRASIMERO  S/N                                                      </t>
  </si>
  <si>
    <t>09NDI0364Q</t>
  </si>
  <si>
    <t xml:space="preserve">CENDI GDF ESCANDON                                                                                  </t>
  </si>
  <si>
    <t xml:space="preserve">MARTI Y AGRICULTURA S/N                                                         </t>
  </si>
  <si>
    <t xml:space="preserve">ESCANDON                                                                                                                                    </t>
  </si>
  <si>
    <t>09NDI0365P</t>
  </si>
  <si>
    <t xml:space="preserve">CENDI GDF EL CHORRITO                                                                               </t>
  </si>
  <si>
    <t xml:space="preserve">PARQUE LIRA Y MELCHOR MUZQUIZ S/N                                               </t>
  </si>
  <si>
    <t xml:space="preserve">SAN MIGUEL CHAPULTEPEC                                                                                                                      </t>
  </si>
  <si>
    <t>09NDI0367N</t>
  </si>
  <si>
    <t xml:space="preserve">CENDI GDF MALINALXOCHITL                                                                            </t>
  </si>
  <si>
    <t xml:space="preserve">ALLENDE No. 10                                                                  </t>
  </si>
  <si>
    <t xml:space="preserve">SAN MATEO                                                                                                                                   </t>
  </si>
  <si>
    <t>09NDI0368M</t>
  </si>
  <si>
    <t xml:space="preserve">CENDI VILLA COAPA                                                                                   </t>
  </si>
  <si>
    <t xml:space="preserve">MARIA AUXILIADORA S/N                                                           </t>
  </si>
  <si>
    <t>09NDI0371Z</t>
  </si>
  <si>
    <t xml:space="preserve">CENDI IMSS II                                                                                       </t>
  </si>
  <si>
    <t xml:space="preserve">VILLALONGIN NO. 117                                                             </t>
  </si>
  <si>
    <t xml:space="preserve">CUAUHTEMOC                                                                                                                                  </t>
  </si>
  <si>
    <t>09NDI0372Z</t>
  </si>
  <si>
    <t xml:space="preserve">CENDI IMSS III TIPO A                                                                               </t>
  </si>
  <si>
    <t xml:space="preserve">NICOLAS SAN JUAN NO. 451                                                        </t>
  </si>
  <si>
    <t>09NDI0373Y</t>
  </si>
  <si>
    <t xml:space="preserve">CENDI IMSS IV TIPO A                                                                                </t>
  </si>
  <si>
    <t xml:space="preserve">SERIS Y ZAACHILA S/N 6TO PISO                                                   </t>
  </si>
  <si>
    <t>09NDI0374X</t>
  </si>
  <si>
    <t xml:space="preserve">CENDI IMSS V TIPO A                                                                                 </t>
  </si>
  <si>
    <t xml:space="preserve">PLAZA DE LAS FLORES S/N                                                         </t>
  </si>
  <si>
    <t xml:space="preserve">UNIDAD HABITACIONAL SANTA FE                                                                                                                </t>
  </si>
  <si>
    <t>09NDI0375W</t>
  </si>
  <si>
    <t xml:space="preserve">CENDI IMSS VI TIPO A                                                                                </t>
  </si>
  <si>
    <t xml:space="preserve">IZCALLI NO 5                                                                    </t>
  </si>
  <si>
    <t xml:space="preserve">UNIDAD INDEPENDENCIA                                                                                                                        </t>
  </si>
  <si>
    <t>09NDI0376V</t>
  </si>
  <si>
    <t xml:space="preserve">CENDI IMSS VII TIPO A                                                                               </t>
  </si>
  <si>
    <t xml:space="preserve">DR ANDRADE NO 401                                                               </t>
  </si>
  <si>
    <t>09NDI0377U</t>
  </si>
  <si>
    <t xml:space="preserve">CENDI P.G.R.                                                                                        </t>
  </si>
  <si>
    <t xml:space="preserve">PEDRO MORENO NO. 109                                                            </t>
  </si>
  <si>
    <t>09NDI0381G</t>
  </si>
  <si>
    <t xml:space="preserve">CENDI ISSSTE E.B.D.I. NO. 40                                                                        </t>
  </si>
  <si>
    <t xml:space="preserve">BULGARIA NO. 32                                                                 </t>
  </si>
  <si>
    <t>09NDI0382F</t>
  </si>
  <si>
    <t xml:space="preserve">CENDI SP BANOBRAS PAZ MORENO                                                                        </t>
  </si>
  <si>
    <t xml:space="preserve">MITLA 394                                                                       </t>
  </si>
  <si>
    <t>09NDI0389Z</t>
  </si>
  <si>
    <t xml:space="preserve">CENDI IMSS 6 TIPO B                                                                                 </t>
  </si>
  <si>
    <t xml:space="preserve">CALZ DE GUADALUPE 217                                                           </t>
  </si>
  <si>
    <t xml:space="preserve">7 DE NOVIEMBRE                                                                                                                              </t>
  </si>
  <si>
    <t>09NDI0390O</t>
  </si>
  <si>
    <t xml:space="preserve">CENDI IMSS 5 TIPO B                                                                                 </t>
  </si>
  <si>
    <t xml:space="preserve">GRAL RIQUELME S/N                                                               </t>
  </si>
  <si>
    <t>09NDI0391N</t>
  </si>
  <si>
    <t xml:space="preserve">CENDI ISSSTE E.B.D.I. NO. 12                                                                        </t>
  </si>
  <si>
    <t xml:space="preserve">LERDO ESQ FLORES MAGON                                                          </t>
  </si>
  <si>
    <t>09NDI0392M</t>
  </si>
  <si>
    <t xml:space="preserve">CENDI GDF IZTACALCO                                                                                 </t>
  </si>
  <si>
    <t xml:space="preserve">CALZ DE LA VIGA Y TEZONTLE                                                      </t>
  </si>
  <si>
    <t xml:space="preserve">IZTACALCO                                                                                                                                   </t>
  </si>
  <si>
    <t>09NDI0394K</t>
  </si>
  <si>
    <t xml:space="preserve">CENDI IMSS 39 TIPO B                                                                                </t>
  </si>
  <si>
    <t xml:space="preserve">AVENIDA MEXICO Y CALLE DOS S/N                                                  </t>
  </si>
  <si>
    <t>09NDI0395J</t>
  </si>
  <si>
    <t xml:space="preserve">CENDI IMSS 21 TIPO B                                                                                </t>
  </si>
  <si>
    <t xml:space="preserve">SADI CARNOT 113 Y 115                                                           </t>
  </si>
  <si>
    <t>09NDI0396I</t>
  </si>
  <si>
    <t xml:space="preserve">CENDI ISSSTE E.B.D.I. NO. 3                                                                         </t>
  </si>
  <si>
    <t xml:space="preserve">ANTONIO M. ANZA NO. 24                                                          </t>
  </si>
  <si>
    <t>09NDI0397H</t>
  </si>
  <si>
    <t xml:space="preserve">CENDI DIF FAM JUAREZ MAZA                                                                           </t>
  </si>
  <si>
    <t xml:space="preserve">ANACAHUITA Y ESCUINAPAN  S/N                                                    </t>
  </si>
  <si>
    <t>09NDI0398G</t>
  </si>
  <si>
    <t xml:space="preserve">CENDI DIF ADOLFO RUIZ CORTINEZ                                                                      </t>
  </si>
  <si>
    <t xml:space="preserve">TEJAMANIL Y ZIHUATLAN S/N                                                       </t>
  </si>
  <si>
    <t>09NDI0399F</t>
  </si>
  <si>
    <t xml:space="preserve">CENDI DIF FRANCISCO I. MADERO                                                                       </t>
  </si>
  <si>
    <t xml:space="preserve">CALLE MIXTECAS ESQ TOPILTZIN S/N                                                </t>
  </si>
  <si>
    <t>09NDI0400E</t>
  </si>
  <si>
    <t xml:space="preserve">CENDI DIF MIGUEL HIDALGO                                                                            </t>
  </si>
  <si>
    <t xml:space="preserve">AV. DE LAS TORRES Y JESUS LEUCONA S/N                                           </t>
  </si>
  <si>
    <t>09NDI0401D</t>
  </si>
  <si>
    <t xml:space="preserve">CADI DIF MILPA ALTA                                                                                 </t>
  </si>
  <si>
    <t xml:space="preserve">AV. NUEVO LEON S/N                                                              </t>
  </si>
  <si>
    <t xml:space="preserve">MILPA ALTA                                                                                                                                  </t>
  </si>
  <si>
    <t>09NDI0402C</t>
  </si>
  <si>
    <t xml:space="preserve">CENDI DIF TLAZOCIHUALPILLI                                                                          </t>
  </si>
  <si>
    <t xml:space="preserve">ISIDRO TAPIA S/N                                                                </t>
  </si>
  <si>
    <t xml:space="preserve">SAN SEBASTIAN                                                                                                                               </t>
  </si>
  <si>
    <t>069</t>
  </si>
  <si>
    <t>09NDI0403B</t>
  </si>
  <si>
    <t xml:space="preserve">CADI DIF QUETZALCOATL                                                                               </t>
  </si>
  <si>
    <t xml:space="preserve">CARLOS A. VIDAL Y QUINTANAROO S/N                                               </t>
  </si>
  <si>
    <t xml:space="preserve">SAN FRANCISCO TLALTENCO                                                                                                                     </t>
  </si>
  <si>
    <t>067</t>
  </si>
  <si>
    <t>09NDI0404A</t>
  </si>
  <si>
    <t xml:space="preserve">CADI DIF VICENTE GUERRERO                                                                           </t>
  </si>
  <si>
    <t xml:space="preserve">ANILLO PERIFERICO ESQ. LIC. DIAZ SOTO Y GAMA S/N                                </t>
  </si>
  <si>
    <t xml:space="preserve">UNIDAD HABITACIONAL VICENTE GUERRER                                                                                                         </t>
  </si>
  <si>
    <t xml:space="preserve">  </t>
  </si>
  <si>
    <t>09NDI0406Z</t>
  </si>
  <si>
    <t xml:space="preserve">C.A.D.I. CONSTITUCION DE 1917                                                                       </t>
  </si>
  <si>
    <t xml:space="preserve">3A. SECC DE U.H. ERMITA ZARAGOZA                                                </t>
  </si>
  <si>
    <t xml:space="preserve">UNIDAD HABITACIONAL ERMITA ZARAGOZA                                                                                                         </t>
  </si>
  <si>
    <t>09NDI0407Y</t>
  </si>
  <si>
    <t xml:space="preserve">CADI DIF IGNACIO ZARAGOZA                                                                           </t>
  </si>
  <si>
    <t xml:space="preserve">GRAL. ANTONIO DE LEON LOYOLA SUPER MANZANA 1                                    </t>
  </si>
  <si>
    <t xml:space="preserve">UNIDAD HABITACIONAL EJERCITO CONSTI                                                                                                         </t>
  </si>
  <si>
    <t>09NDI0408X</t>
  </si>
  <si>
    <t xml:space="preserve">CENDI DIF ADOLFO LOPEZ MATEOS                                                                       </t>
  </si>
  <si>
    <t xml:space="preserve">ROMAN LUGO Y EDUARDO BUSTAMANTE                                                 </t>
  </si>
  <si>
    <t>09NDI0409W</t>
  </si>
  <si>
    <t xml:space="preserve">CENDI DIF VENUSTIANO CARRANZA                                                                       </t>
  </si>
  <si>
    <t xml:space="preserve">SUR 111 Y LORENZO BOTURINI S/N                                                  </t>
  </si>
  <si>
    <t>09NDI0410L</t>
  </si>
  <si>
    <t xml:space="preserve">CENDI DIF RICARDO FLORES MAGON                                                                      </t>
  </si>
  <si>
    <t xml:space="preserve">ORIENTE 110  Y SUR 105 S/N                                                      </t>
  </si>
  <si>
    <t>09NDI0411K</t>
  </si>
  <si>
    <t xml:space="preserve">CENDI DIF FELIPE CARRILLO PUERTO                                                                    </t>
  </si>
  <si>
    <t xml:space="preserve">SUR 147 Y AV. TEZONTLE S/N                                                      </t>
  </si>
  <si>
    <t xml:space="preserve">GABRIEL RAMOS MILLAN AMPLIACION                                                                                                             </t>
  </si>
  <si>
    <t>09NDI0413I</t>
  </si>
  <si>
    <t xml:space="preserve">CENDI DIF XLIX LEGISLATURA                                                                          </t>
  </si>
  <si>
    <t xml:space="preserve">RUFINA S/N ENTRE TORDO Y GAVIOTA                                                </t>
  </si>
  <si>
    <t>09NDI0414H</t>
  </si>
  <si>
    <t xml:space="preserve">CADI DIF JOSE MARIA MORELOS Y PAVON                                                                 </t>
  </si>
  <si>
    <t xml:space="preserve">EBANO Y HERMANDAD S/N                                                           </t>
  </si>
  <si>
    <t xml:space="preserve">LA NAVIDAD                                                                                                                                  </t>
  </si>
  <si>
    <t>09NDI0416F</t>
  </si>
  <si>
    <t xml:space="preserve">CENDI DIF LAZARO CARDENAS                                                                           </t>
  </si>
  <si>
    <t xml:space="preserve">AV. ACUEDUCTO Y TEZOZOMOC S/N                                                   </t>
  </si>
  <si>
    <t xml:space="preserve">SANTA ISABEL TOLA                                                                                                                           </t>
  </si>
  <si>
    <t>09NDI0417E</t>
  </si>
  <si>
    <t xml:space="preserve">CENDI DIF ALVARO OBREGON                                                                            </t>
  </si>
  <si>
    <t xml:space="preserve">VOLCAN ACATENANGO Y POPOCATEPETL                                                </t>
  </si>
  <si>
    <t xml:space="preserve">PROVIDENCIA                                                                                                                                 </t>
  </si>
  <si>
    <t>037</t>
  </si>
  <si>
    <t>09NDI0418D</t>
  </si>
  <si>
    <t xml:space="preserve">CENDI DIF REPUBLICA ESPAÑOLA                                                                        </t>
  </si>
  <si>
    <t xml:space="preserve">PASEO DE LA REFORMA NO. 705                                                     </t>
  </si>
  <si>
    <t>09NDI0422Q</t>
  </si>
  <si>
    <t xml:space="preserve">CENDI SP AEROPUERTOS Y SERVICIOS AUXILIARES                                                         </t>
  </si>
  <si>
    <t xml:space="preserve">AV. 602 NO. 161                                                                 </t>
  </si>
  <si>
    <t>09NDI0450M</t>
  </si>
  <si>
    <t xml:space="preserve">CENDI DIF 76 RENOVACION                                                                             </t>
  </si>
  <si>
    <t xml:space="preserve">PUENTE NACIONAL No. 100                                                         </t>
  </si>
  <si>
    <t xml:space="preserve">PUENTE COLORADO                                                                                                                             </t>
  </si>
  <si>
    <t>063</t>
  </si>
  <si>
    <t>09NDI0454I</t>
  </si>
  <si>
    <t xml:space="preserve">CENDI CONAGUA                                                                                       </t>
  </si>
  <si>
    <t xml:space="preserve">JOSE LORETO FABELA No. 850                                                      </t>
  </si>
  <si>
    <t>09NDI0456G</t>
  </si>
  <si>
    <t xml:space="preserve">CENDI ISSSTE E.B.D.I. NO. 97                                                                        </t>
  </si>
  <si>
    <t xml:space="preserve">MORENA NO. 1534                                                                 </t>
  </si>
  <si>
    <t>09NDI0457F</t>
  </si>
  <si>
    <t xml:space="preserve">CENDI ISSSTE E.B.D.I. NO. 117                                                                       </t>
  </si>
  <si>
    <t>09NDI0459D</t>
  </si>
  <si>
    <t xml:space="preserve">CENDI GDF DR. RUBEN LEÑERO                                                                          </t>
  </si>
  <si>
    <t>09NDI0460T</t>
  </si>
  <si>
    <t xml:space="preserve">CENDI GDF S.G.P. Y V.N. NO. 1                                                                       </t>
  </si>
  <si>
    <t xml:space="preserve">CECILIO ROBELO S/N ENTRE CONGRESO Y ORIENTE                                     </t>
  </si>
  <si>
    <t>09NDI0461S</t>
  </si>
  <si>
    <t xml:space="preserve">CENDI PEMEX OFICINAS CENTRALES PREESCOLAR I                                                         </t>
  </si>
  <si>
    <t>09NDI0462R</t>
  </si>
  <si>
    <t xml:space="preserve">CENDI ARTICULO 123 CONSTITUCIONAL DE LA SCJ DE LA NACION                                            </t>
  </si>
  <si>
    <t xml:space="preserve">CHIMALPOPOCA NO. 112                                                            </t>
  </si>
  <si>
    <t>09NDI0463Q</t>
  </si>
  <si>
    <t xml:space="preserve">CENDI SP S.C.J. DE LA NACION GLORIA LEON ORANTES                                                    </t>
  </si>
  <si>
    <t xml:space="preserve">PROL. ING. EDUARDO MOLINA ESQ. I. ZARAGOZA 5A S/N                               </t>
  </si>
  <si>
    <t>09NDI0466N</t>
  </si>
  <si>
    <t xml:space="preserve">CENDI GDF LOS REYES                                                                                 </t>
  </si>
  <si>
    <t xml:space="preserve">PLAZUELA DE LOS REYES S/N                                                       </t>
  </si>
  <si>
    <t xml:space="preserve">LOS REYES                                                                                                                                   </t>
  </si>
  <si>
    <t>09NDI0469K</t>
  </si>
  <si>
    <t xml:space="preserve">CENDI GDF DELEGACION G.A.M. 33                                                                      </t>
  </si>
  <si>
    <t xml:space="preserve">5 DE FEBRERO S/N                                                                </t>
  </si>
  <si>
    <t xml:space="preserve">VALLE DE GUADALUPE                                                                                                                          </t>
  </si>
  <si>
    <t>09NDI0471Z</t>
  </si>
  <si>
    <t xml:space="preserve">CENDI GDF CSP LEANDRO VALLE                                                                         </t>
  </si>
  <si>
    <t xml:space="preserve">AV. J ROJO GOMEZ Y SUR 8                                                        </t>
  </si>
  <si>
    <t>09NDI0472Y</t>
  </si>
  <si>
    <t xml:space="preserve">CENDI GDF AÑO INTERNACIONAL DE LA MUJER                                                             </t>
  </si>
  <si>
    <t xml:space="preserve">AV. JUAREZ NO. 48                                                               </t>
  </si>
  <si>
    <t xml:space="preserve">PROGRESISTA                                                                                                                                 </t>
  </si>
  <si>
    <t>09NDI0473X</t>
  </si>
  <si>
    <t xml:space="preserve">CENDI GDF LOMAS HIDALGO                                                                             </t>
  </si>
  <si>
    <t xml:space="preserve">ADAGIO S/N                                                                      </t>
  </si>
  <si>
    <t>058</t>
  </si>
  <si>
    <t>09NDI0474W</t>
  </si>
  <si>
    <t xml:space="preserve">CENDI GDF INGENIERO EDUARDO MOLINA                                                                  </t>
  </si>
  <si>
    <t xml:space="preserve">EDUARDO MOLINA Y PELUQUEROS No. 81                                              </t>
  </si>
  <si>
    <t xml:space="preserve">20 DE NOVIEMBRE AMPLIACION                                                                                                                  </t>
  </si>
  <si>
    <t>09NDI0475V</t>
  </si>
  <si>
    <t xml:space="preserve">CENDI GDF CENTRO FAMILIAR ARENAL                                                                    </t>
  </si>
  <si>
    <t xml:space="preserve">XOCHISTLAHUACA No. 54 XOCHISTLAN NTE. Y SUR                                     </t>
  </si>
  <si>
    <t xml:space="preserve">ARENAL 4A SECCION                                                                                                                           </t>
  </si>
  <si>
    <t>09NDI0477T</t>
  </si>
  <si>
    <t xml:space="preserve">CENDI IMSS 35 TIPO B                                                                                </t>
  </si>
  <si>
    <t xml:space="preserve">RIO ATOYAC NO. 97                                                               </t>
  </si>
  <si>
    <t>09NDI0478S</t>
  </si>
  <si>
    <t xml:space="preserve">CENDI IMSS 38 TIPO B                                                                                </t>
  </si>
  <si>
    <t xml:space="preserve">AGRICULTURA 96                                                                  </t>
  </si>
  <si>
    <t>09NDI0479R</t>
  </si>
  <si>
    <t xml:space="preserve">CENDI IMSS 43 TIPO B                                                                                </t>
  </si>
  <si>
    <t xml:space="preserve">TRIUNFO A LOTE 19                                                               </t>
  </si>
  <si>
    <t xml:space="preserve">CAMPESTRE ARAGON                                                                                                                            </t>
  </si>
  <si>
    <t>09NDI0480G</t>
  </si>
  <si>
    <t xml:space="preserve">CENDI DIF ROSARIO CASTELLANOS                                                                       </t>
  </si>
  <si>
    <t xml:space="preserve">ASISTENCIA PUBLICA Y NORTE  3                                                   </t>
  </si>
  <si>
    <t>09NDI0481F</t>
  </si>
  <si>
    <t xml:space="preserve">CENDI DIF PACTO FEDERAL                                                                             </t>
  </si>
  <si>
    <t xml:space="preserve">HERREROS Y ASTRONOMIA S/N                                                       </t>
  </si>
  <si>
    <t xml:space="preserve">UNIDAD INFONAVIT EL ROSARIO                                                                                                                 </t>
  </si>
  <si>
    <t>09NDI0488Z</t>
  </si>
  <si>
    <t xml:space="preserve">CENDI SE GOBERNACION MARGARITA MAZA J.                                                              </t>
  </si>
  <si>
    <t xml:space="preserve">HEROES 44                                                                       </t>
  </si>
  <si>
    <t>09NDI0489Y</t>
  </si>
  <si>
    <t xml:space="preserve">CENDI ISSSTE E.B.D.I. NO. 47                                                                        </t>
  </si>
  <si>
    <t xml:space="preserve">DR. VERTIZ NO. 1374                                                             </t>
  </si>
  <si>
    <t>09NDI0496H</t>
  </si>
  <si>
    <t xml:space="preserve">CENDI ISSSTE E.B.D.I. NO. 156                                                                       </t>
  </si>
  <si>
    <t xml:space="preserve">ARISTOTELES NO. 135                                                             </t>
  </si>
  <si>
    <t>09NDI0498F</t>
  </si>
  <si>
    <t xml:space="preserve">CENDI GDF CTRO DE TRAB STA URSULA COAPA                                                             </t>
  </si>
  <si>
    <t xml:space="preserve">AV. DIAGONAL Y SAN PABLO S/N                                                    </t>
  </si>
  <si>
    <t xml:space="preserve">PEDREGAL DE SANTA URSULA                                                                                                                    </t>
  </si>
  <si>
    <t>09NDI0499E</t>
  </si>
  <si>
    <t xml:space="preserve">CENDI GDF NO. 4                                                                                     </t>
  </si>
  <si>
    <t xml:space="preserve">DR. LAVISTA No. 54 ESQ DR. ANDRADE                                              </t>
  </si>
  <si>
    <t>09NDI0502B</t>
  </si>
  <si>
    <t xml:space="preserve">CENDI GDF IZTAPALAPA                                                                                </t>
  </si>
  <si>
    <t xml:space="preserve">ESTRELLA NO. 18                                                                 </t>
  </si>
  <si>
    <t xml:space="preserve">SAN PABLO                                                                                                                                   </t>
  </si>
  <si>
    <t>09NDI0503A</t>
  </si>
  <si>
    <t xml:space="preserve">CENDI GDF SIFON                                                                                     </t>
  </si>
  <si>
    <t xml:space="preserve">AV. DEL ROSAL Y STA. MARIA S/N                                                  </t>
  </si>
  <si>
    <t>09NDI0504Z</t>
  </si>
  <si>
    <t xml:space="preserve">CENDI GDF DEL MAR                                                                                   </t>
  </si>
  <si>
    <t xml:space="preserve">TIBURON ESQ SIRENAS S/N                                                         </t>
  </si>
  <si>
    <t xml:space="preserve">DEL MAR                                                                                                                                     </t>
  </si>
  <si>
    <t>09NDI0505Z</t>
  </si>
  <si>
    <t xml:space="preserve">CENDI GDF LA NOPALERA                                                                               </t>
  </si>
  <si>
    <t xml:space="preserve">HANSEL Y GRETEL S/N                                                             </t>
  </si>
  <si>
    <t xml:space="preserve">LA NOPALERA                                                                                                                                 </t>
  </si>
  <si>
    <t>09NDI0507X</t>
  </si>
  <si>
    <t xml:space="preserve">CENDI ISSSTE E.B.D.I. NO. 25                                                                        </t>
  </si>
  <si>
    <t xml:space="preserve">PONIENTE 134 S/N                                                                </t>
  </si>
  <si>
    <t xml:space="preserve">SAN BARTOLO ATEPEHUACAN                                                                                                                     </t>
  </si>
  <si>
    <t>09NDI0508W</t>
  </si>
  <si>
    <t xml:space="preserve">CENDI ISSSTE E.B.D.I. NO. 26                                                                        </t>
  </si>
  <si>
    <t xml:space="preserve">AV. INSURGENTES SUR NO. 3700                                                    </t>
  </si>
  <si>
    <t>09NDI0509V</t>
  </si>
  <si>
    <t xml:space="preserve">CENDI ISSSTE E.B.D.I. NO. 27                                                                        </t>
  </si>
  <si>
    <t xml:space="preserve">MONTES URALES NO. 800                                                           </t>
  </si>
  <si>
    <t xml:space="preserve">LOMAS VIRREYES                                                                                                                              </t>
  </si>
  <si>
    <t>09NDI0510K</t>
  </si>
  <si>
    <t xml:space="preserve">CADI DIF JOSEFA ORTIZ DE DOMINGUEZ                                                                  </t>
  </si>
  <si>
    <t xml:space="preserve">PALMA S/N Y PREDIO CATEDRA                                                      </t>
  </si>
  <si>
    <t xml:space="preserve">SANTIAGO ACAHUALTEPEC 2A AMPLIACION                                                                                                         </t>
  </si>
  <si>
    <t>09NDI0513H</t>
  </si>
  <si>
    <t xml:space="preserve">AMUSGOS S/N                                                                     </t>
  </si>
  <si>
    <t>09NDI0514G</t>
  </si>
  <si>
    <t xml:space="preserve">IBIZA No. 57                                                                    </t>
  </si>
  <si>
    <t xml:space="preserve">POTRERO DEL LLANO                                                                                                                           </t>
  </si>
  <si>
    <t>09NDI0515F</t>
  </si>
  <si>
    <t xml:space="preserve">CENDI IMSS 12 TIPO B                                                                                </t>
  </si>
  <si>
    <t xml:space="preserve">AV. MORELOS NO. 124                                                             </t>
  </si>
  <si>
    <t xml:space="preserve">SAN PEDRO XALPA                                                                                                                             </t>
  </si>
  <si>
    <t>09NDI0516E</t>
  </si>
  <si>
    <t xml:space="preserve">CENDI GDF MARISOL                                                                                   </t>
  </si>
  <si>
    <t xml:space="preserve">JUAREZ Y ALLENDE  S/N                                                           </t>
  </si>
  <si>
    <t>09NDI0517D</t>
  </si>
  <si>
    <t xml:space="preserve">CENDI ISSSTE E.B.D.I. NO. 98                                                                        </t>
  </si>
  <si>
    <t xml:space="preserve">CALZADA DE LAS BOMBAS NO. 421                                                   </t>
  </si>
  <si>
    <t xml:space="preserve">CAMPESTRE COYOACAN                                                                                                                          </t>
  </si>
  <si>
    <t>09NDI0520R</t>
  </si>
  <si>
    <t xml:space="preserve">CENDI ISSSTE E.B.D.I. NO. 154                                                                       </t>
  </si>
  <si>
    <t xml:space="preserve">AV. SAN LORENZO NO. 252                                                         </t>
  </si>
  <si>
    <t xml:space="preserve">BOSQUE RESIDENCIAL DEL SUR                                                                                                                  </t>
  </si>
  <si>
    <t>070</t>
  </si>
  <si>
    <t>09NDI0521Q</t>
  </si>
  <si>
    <t xml:space="preserve">CENDI GDF FELIPE ANGELES                                                                            </t>
  </si>
  <si>
    <t xml:space="preserve">FELIPE ANGELES                                                                                                                              </t>
  </si>
  <si>
    <t>09NDI0523O</t>
  </si>
  <si>
    <t xml:space="preserve">CENDI GDF LA CANDELARIA                                                                             </t>
  </si>
  <si>
    <t xml:space="preserve">PANTEON NO. 5                                                                   </t>
  </si>
  <si>
    <t xml:space="preserve">LA CANDELARIA                                                                                                                               </t>
  </si>
  <si>
    <t>09NDI0525M</t>
  </si>
  <si>
    <t xml:space="preserve">CENDI PEMEX OFICINAS CENTRALES PREESCOLAR II                                                        </t>
  </si>
  <si>
    <t>09NDI0526L</t>
  </si>
  <si>
    <t xml:space="preserve">CENDI GDF 5 PLANTA ALTA                                                                             </t>
  </si>
  <si>
    <t xml:space="preserve">DR LUCIO Y CLAUDIO BERNARD S/N                                                  </t>
  </si>
  <si>
    <t>09NDI0529I</t>
  </si>
  <si>
    <t xml:space="preserve">CENDI NO. 4 NIÑOS HEROES DE CHAPULTEPEC                                                             </t>
  </si>
  <si>
    <t xml:space="preserve">CANAL DE GARAY NO. 100                                                          </t>
  </si>
  <si>
    <t xml:space="preserve">EL VERGEL                                                                                                                                   </t>
  </si>
  <si>
    <t>09NDI0535T</t>
  </si>
  <si>
    <t xml:space="preserve">CENDI GDF NO. 6                                                                                     </t>
  </si>
  <si>
    <t xml:space="preserve">LUIS D. COLOSIO Y JESUS GARCIA S/N                                              </t>
  </si>
  <si>
    <t>09NDI0540E</t>
  </si>
  <si>
    <t xml:space="preserve">CENDI GDF INDIRA GANDHI                                                                             </t>
  </si>
  <si>
    <t xml:space="preserve">LERDO DE TEJADA S/N ESQ MARTIN CARRERA                                          </t>
  </si>
  <si>
    <t xml:space="preserve">CAMPAMENTO 2 DE OCTUBRE                                                                                                                     </t>
  </si>
  <si>
    <t>09NDI0544A</t>
  </si>
  <si>
    <t xml:space="preserve">CENDI GDF MAPIMI                                                                                    </t>
  </si>
  <si>
    <t xml:space="preserve">MAPIMI NO. 19                                                                   </t>
  </si>
  <si>
    <t xml:space="preserve">VALLE GOMEZ                                                                                                                                 </t>
  </si>
  <si>
    <t>09NDI0546Z</t>
  </si>
  <si>
    <t xml:space="preserve">CENDI GDF NO. 7                                                                                     </t>
  </si>
  <si>
    <t xml:space="preserve">ORIENTE 42 NO.360                                                               </t>
  </si>
  <si>
    <t xml:space="preserve">24 DE ABRIL                                                                                                                                 </t>
  </si>
  <si>
    <t>09NDI0548X</t>
  </si>
  <si>
    <t xml:space="preserve">CENDI IMSS GUARDERIA VIII                                                                           </t>
  </si>
  <si>
    <t xml:space="preserve">HAMBURGO Y TOLEDO                                                               </t>
  </si>
  <si>
    <t>09NDI0549W</t>
  </si>
  <si>
    <t xml:space="preserve">CENDI ISSSTE E.B.D.I. NO. 24                                                                        </t>
  </si>
  <si>
    <t xml:space="preserve">PERIF. SUR Y VASCO DE QUIROGA                                                   </t>
  </si>
  <si>
    <t>09NDI0551K</t>
  </si>
  <si>
    <t xml:space="preserve">CENDI IMSS 40                                                                                       </t>
  </si>
  <si>
    <t xml:space="preserve">CALLE NO. 46                                                                    </t>
  </si>
  <si>
    <t xml:space="preserve">DEL CARMEN                                                                                                                                  </t>
  </si>
  <si>
    <t>09NDI0552J</t>
  </si>
  <si>
    <t xml:space="preserve">CENDI IMSS 52                                                                                       </t>
  </si>
  <si>
    <t xml:space="preserve">RIO LERMA NO. 8                                                                 </t>
  </si>
  <si>
    <t>09NDI0553I</t>
  </si>
  <si>
    <t xml:space="preserve">CENDI GDF 5 DE MAYO                                                                                 </t>
  </si>
  <si>
    <t>09NDI0556F</t>
  </si>
  <si>
    <t xml:space="preserve">CENDI PEMEX PICACHO                                                                                 </t>
  </si>
  <si>
    <t xml:space="preserve">PERIFERICO SUR NO. 4091                                                         </t>
  </si>
  <si>
    <t xml:space="preserve">FUENTES DEL PEDREGAL                                                                                                                        </t>
  </si>
  <si>
    <t>09NDI0558D</t>
  </si>
  <si>
    <t xml:space="preserve">CENDI GDF NONATZIN                                                                                  </t>
  </si>
  <si>
    <t xml:space="preserve">AV. LUIS CABRERA NO. 1                                                          </t>
  </si>
  <si>
    <t>09NDI0560S</t>
  </si>
  <si>
    <t xml:space="preserve">CENTRO DE DESARROLLO INFANTIL NAVAL DE MEXICO (CENDINMEX 1)                                         </t>
  </si>
  <si>
    <t xml:space="preserve">CALLEJON VIRGILIO URIBE S/N                                                     </t>
  </si>
  <si>
    <t>09NDI0563P</t>
  </si>
  <si>
    <t xml:space="preserve">CENDI GDF 20 DE ABRIL                                                                               </t>
  </si>
  <si>
    <t xml:space="preserve">OTE.168 Y 170 Y NORTE 13                                                        </t>
  </si>
  <si>
    <t xml:space="preserve">MOCTEZUMA 2A SECCION                                                                                                                        </t>
  </si>
  <si>
    <t>09NDI0565N</t>
  </si>
  <si>
    <t xml:space="preserve">CENDI IZTAPALAPA NO 2 SSP                                                                           </t>
  </si>
  <si>
    <t xml:space="preserve">CALLE 71 S/N                                                                    </t>
  </si>
  <si>
    <t>09NDI0566M</t>
  </si>
  <si>
    <t xml:space="preserve">CADI DIF NO. 79 SANTA MARIA AZTAHUACAN                                                              </t>
  </si>
  <si>
    <t xml:space="preserve">PALMITAS                                                                                                                                    </t>
  </si>
  <si>
    <t>000</t>
  </si>
  <si>
    <t>09NDI0567L</t>
  </si>
  <si>
    <t xml:space="preserve">EBDI NO. 83 ISSSTE                                                                                  </t>
  </si>
  <si>
    <t xml:space="preserve">TELECOMUNICACIONES ESQ. ENRIQUE CONTEL S/N                                      </t>
  </si>
  <si>
    <t>09NDI0569J</t>
  </si>
  <si>
    <t xml:space="preserve">CENDI HOSPITAL INFANTIL DE MEXICO FEDERICO GOMEZ                                                    </t>
  </si>
  <si>
    <t xml:space="preserve">DR. MARQUEZ NO. 162                                                             </t>
  </si>
  <si>
    <t>09NDI0572X</t>
  </si>
  <si>
    <t xml:space="preserve">CENDI GDF 8  CARMEN SERDAN                                                                          </t>
  </si>
  <si>
    <t xml:space="preserve">PLAZA BENITO JUAREZ S/N                                                         </t>
  </si>
  <si>
    <t>09NDI0575U</t>
  </si>
  <si>
    <t xml:space="preserve">CENDI GDF MEXICO NUEVO                                                                              </t>
  </si>
  <si>
    <t xml:space="preserve">LAGO XIMILPA S/N.                                                               </t>
  </si>
  <si>
    <t>09NDI0576T</t>
  </si>
  <si>
    <t xml:space="preserve">CENDI GDF SAN MIGUEL CHAPULTEPEC                                                                    </t>
  </si>
  <si>
    <t xml:space="preserve">AV. CONSITUYENTES  S/N                                                          </t>
  </si>
  <si>
    <t xml:space="preserve">LOMAS ALTAS                                                                                                                                 </t>
  </si>
  <si>
    <t>09NDI0577S</t>
  </si>
  <si>
    <t xml:space="preserve">EBDI ISSSTE NO. 101                                                                                 </t>
  </si>
  <si>
    <t xml:space="preserve">AV. TELECOMUNICACIONES S/N                                                      </t>
  </si>
  <si>
    <t xml:space="preserve">IZTAPALAPA ZONA URBANA EJIDAL                                                                                                               </t>
  </si>
  <si>
    <t>09NDI0578R</t>
  </si>
  <si>
    <t xml:space="preserve">CENDI ISSSTE E.B.D.I. NO. 107                                                                       </t>
  </si>
  <si>
    <t xml:space="preserve">SOR JUANA INES DE LA CRUZ NO. 89                                                </t>
  </si>
  <si>
    <t>09NDI0581E</t>
  </si>
  <si>
    <t xml:space="preserve">CENDI IMSS 46 TIPO B                                                                                </t>
  </si>
  <si>
    <t xml:space="preserve">GUILLERMO PRIETO NO 18                                                          </t>
  </si>
  <si>
    <t>09NDI0582D</t>
  </si>
  <si>
    <t xml:space="preserve">CENDI GDF IGNACIO MANUEL  ALTAMIRANO                                                                </t>
  </si>
  <si>
    <t xml:space="preserve">EBANO S/N                                                                       </t>
  </si>
  <si>
    <t xml:space="preserve">CONTADERO                                                                                                                                   </t>
  </si>
  <si>
    <t>09NDI0583C</t>
  </si>
  <si>
    <t xml:space="preserve">AV. JESUS DEL MONTE S/N                                                         </t>
  </si>
  <si>
    <t>09NDI0584B</t>
  </si>
  <si>
    <t xml:space="preserve">CENDI PEMEX OFICINAS CENTRALES LACTANTES                                                            </t>
  </si>
  <si>
    <t>09NDI0586Z</t>
  </si>
  <si>
    <t xml:space="preserve">CENDI DIF CENTRAL                                                                                   </t>
  </si>
  <si>
    <t xml:space="preserve">XOCHICALCO Y REPUBLICAS S/N                                                     </t>
  </si>
  <si>
    <t>09NDI0589X</t>
  </si>
  <si>
    <t xml:space="preserve">CENDI IMSS 49                                                                                       </t>
  </si>
  <si>
    <t xml:space="preserve">DR GARCIA DIEGO NO 175                                                          </t>
  </si>
  <si>
    <t>09NDI0591L</t>
  </si>
  <si>
    <t xml:space="preserve">CENDI GDF LAGUNILLA VARIOS                                                                          </t>
  </si>
  <si>
    <t xml:space="preserve">ALLENDE Y JUAN ALVAREZ S/N                                                      </t>
  </si>
  <si>
    <t>09NDI0596G</t>
  </si>
  <si>
    <t xml:space="preserve">CENDI GDF SUBDELEGACION NO 8                                                                        </t>
  </si>
  <si>
    <t xml:space="preserve">AV. SANTA TERESA NO. 1650                                                       </t>
  </si>
  <si>
    <t xml:space="preserve">JORGE NEGRETE                                                                                                                               </t>
  </si>
  <si>
    <t>09NDI0597F</t>
  </si>
  <si>
    <t xml:space="preserve">CENDI GDF SUBDELEGACION NO 10                                                                       </t>
  </si>
  <si>
    <t xml:space="preserve">DIAMANTE 1989                                                                   </t>
  </si>
  <si>
    <t xml:space="preserve">EL TEPETATAL                                                                                                                                </t>
  </si>
  <si>
    <t>09NDI0599D</t>
  </si>
  <si>
    <t xml:space="preserve">CENDI GDF SUBDELEGACION NO 1                                                                        </t>
  </si>
  <si>
    <t xml:space="preserve">CALLE 669 Y  604                                                                </t>
  </si>
  <si>
    <t xml:space="preserve">UNIDAD HABITACIONAL NARCISO BASSOLS                                                                                                         </t>
  </si>
  <si>
    <t>09NDI0600C</t>
  </si>
  <si>
    <t xml:space="preserve">CENDI GDF SUBDELEGACION 7 GAM                                                                       </t>
  </si>
  <si>
    <t xml:space="preserve">PLAN DE SAN LUIS No.50                                                          </t>
  </si>
  <si>
    <t xml:space="preserve">LA ESCALERA                                                                                                                                 </t>
  </si>
  <si>
    <t>09NDI0601B</t>
  </si>
  <si>
    <t xml:space="preserve">CENDI GDF AEROPUERTO ARENAL BENITA GALEANA                                                          </t>
  </si>
  <si>
    <t xml:space="preserve">XALTOCAN S/N ENTRE MOLOTE Y OCOZOLIN                                            </t>
  </si>
  <si>
    <t xml:space="preserve">ARENAL 1A SECCION                                                                                                                           </t>
  </si>
  <si>
    <t>09NDI0604Z</t>
  </si>
  <si>
    <t xml:space="preserve">CENDI GDF NO. 28                                                                                    </t>
  </si>
  <si>
    <t xml:space="preserve">FRAY S.T. DE MIER Y CONGRESO DE LA UNION                                        </t>
  </si>
  <si>
    <t>09NDI0606X</t>
  </si>
  <si>
    <t xml:space="preserve">CENDI GDF NO. 29                                                                                    </t>
  </si>
  <si>
    <t xml:space="preserve">AV. MORELOS ESQ. CONGRESO DE LA UNION                                           </t>
  </si>
  <si>
    <t>09NDI0607W</t>
  </si>
  <si>
    <t xml:space="preserve">CENDI GDF ALVARO OBREGON                                                                            </t>
  </si>
  <si>
    <t xml:space="preserve">PROLONGACION NO. 9 CALLE 4 S/N                                                  </t>
  </si>
  <si>
    <t xml:space="preserve">LA TOLTECA                                                                                                                                  </t>
  </si>
  <si>
    <t>09NDI0610J</t>
  </si>
  <si>
    <t xml:space="preserve">CENDI GDF CIPACTLI                                                                                  </t>
  </si>
  <si>
    <t xml:space="preserve">XOCOYOTE S/N                                                                    </t>
  </si>
  <si>
    <t>09NDI0612H</t>
  </si>
  <si>
    <t xml:space="preserve">CENDI GDF PROVIDENCIA-BENEMERITO DE LAS AMERICAS                                                    </t>
  </si>
  <si>
    <t xml:space="preserve">CALLE ESTADO DE NUEVO LEON Y ESTADO DE OAXACA                                   </t>
  </si>
  <si>
    <t xml:space="preserve">LA PROVIDENCIA                                                                                                                              </t>
  </si>
  <si>
    <t>09NDI0613G</t>
  </si>
  <si>
    <t xml:space="preserve">CENDI GDF JARDIN DE NIÑOS SAN LORENZO TEZONCO                                                       </t>
  </si>
  <si>
    <t xml:space="preserve">JUAN PATRICIO MORLETE RUIZ NUM. 44                                              </t>
  </si>
  <si>
    <t>09NDI0615E</t>
  </si>
  <si>
    <t xml:space="preserve">CENDI GDF LA CABAÑA ENCANTADA                                                                       </t>
  </si>
  <si>
    <t xml:space="preserve">CALLES DE CHEMAX Y CHICOASEN                                                    </t>
  </si>
  <si>
    <t xml:space="preserve">PEDREGAL DE SAN NICOLAS                                                                                                                     </t>
  </si>
  <si>
    <t>09NDI0620Q</t>
  </si>
  <si>
    <t xml:space="preserve">CONGRESO DE LA UNION ESQ. ORIENTE 95 S/N                                        </t>
  </si>
  <si>
    <t xml:space="preserve">MARTIRES DE RIO BLANCO AMPLIACION                                                                                                           </t>
  </si>
  <si>
    <t>09NDI0622O</t>
  </si>
  <si>
    <t xml:space="preserve">CENDI GDF PINGUI                                                                                    </t>
  </si>
  <si>
    <t xml:space="preserve">REPUBLICA DE VENEZUELA No. 72                                                   </t>
  </si>
  <si>
    <t>09NDI0623N</t>
  </si>
  <si>
    <t xml:space="preserve">CENDI GDF LOS DERECHOS DE LOS NIÑOS Y LAS NIÑAS                                                     </t>
  </si>
  <si>
    <t xml:space="preserve">CALZADA DE LA VIGA ESQ. TECNICAS MANUALES                                       </t>
  </si>
  <si>
    <t>09NDI0624M</t>
  </si>
  <si>
    <t xml:space="preserve">CENDI GDF LA SEMILLITA                                                                              </t>
  </si>
  <si>
    <t xml:space="preserve">RIO CHURUBUSCO Y VERACRUZ S/N                                                   </t>
  </si>
  <si>
    <t xml:space="preserve">SAN JOSE ACULCO                                                                                                                             </t>
  </si>
  <si>
    <t>09NDI0625L</t>
  </si>
  <si>
    <t xml:space="preserve">CENDI GDF YUNUEN                                                                                    </t>
  </si>
  <si>
    <t xml:space="preserve">CALLE AVELLANO SN ESQ. CON PLATEROS                                             </t>
  </si>
  <si>
    <t xml:space="preserve">MIGUEL DE LA MADRID HURTADO                                                                                                                 </t>
  </si>
  <si>
    <t>09NDI0626K</t>
  </si>
  <si>
    <t xml:space="preserve">IZTACCIHUATL S/N                                                                </t>
  </si>
  <si>
    <t>09NDI0627J</t>
  </si>
  <si>
    <t xml:space="preserve">CENDI SP CONSEJO DE LA JUDICATURA FEDERAL                                                           </t>
  </si>
  <si>
    <t xml:space="preserve">PERIFERICO SUR NO. 2321                                                         </t>
  </si>
  <si>
    <t>09NDI0628I</t>
  </si>
  <si>
    <t xml:space="preserve">CENDI GDF DANZA MAGICA                                                                              </t>
  </si>
  <si>
    <t xml:space="preserve">AV. ROJO GOMEZ Y SUR 12 S/N                                                     </t>
  </si>
  <si>
    <t>09NDI0629H</t>
  </si>
  <si>
    <t xml:space="preserve">CENDI ISSSTE E.B.D.I. NO. 135                                                                       </t>
  </si>
  <si>
    <t xml:space="preserve">EMILIANO ZAPATA NO. 12                                                          </t>
  </si>
  <si>
    <t xml:space="preserve">SAN JERONIMO ACULCO                                                                                                                         </t>
  </si>
  <si>
    <t>09NDI0630X</t>
  </si>
  <si>
    <t xml:space="preserve">REANUDACION                                                                                         </t>
  </si>
  <si>
    <t xml:space="preserve">ADOLFO LOPEZ MATEOS S/N                                                         </t>
  </si>
  <si>
    <t xml:space="preserve">BARRIO NORTE                                                                                                                                </t>
  </si>
  <si>
    <t>09NDI0633U</t>
  </si>
  <si>
    <t xml:space="preserve">CENDI GDF ANEXO ZONAL NO. 9                                                                         </t>
  </si>
  <si>
    <t xml:space="preserve">AV. ESTADO DE MEXICO NO. 200                                                    </t>
  </si>
  <si>
    <t xml:space="preserve">LOMA DE LA PALMA                                                                                                                            </t>
  </si>
  <si>
    <t>09NDI0634T</t>
  </si>
  <si>
    <t xml:space="preserve">CENDI GDF ESTANCIA INFANTIL CUAUHTENCO                                                              </t>
  </si>
  <si>
    <t xml:space="preserve">BENITO JUAREZ S/N                                                               </t>
  </si>
  <si>
    <t xml:space="preserve">SAN SALVADOR CUAUHTENCO                                                                                                                     </t>
  </si>
  <si>
    <t>09NDI0635S</t>
  </si>
  <si>
    <t xml:space="preserve">CENDI GDF ESTANCIA INFANTIL NOTLAZOHPILTZIN                                                         </t>
  </si>
  <si>
    <t xml:space="preserve">EMILIANO ZAPATA S/N                                                             </t>
  </si>
  <si>
    <t xml:space="preserve">SAN PABLO OZTOTEPEC                                                                                                                         </t>
  </si>
  <si>
    <t>09NDI0636R</t>
  </si>
  <si>
    <t xml:space="preserve">CENDI GDF AMACALLI                                                                                  </t>
  </si>
  <si>
    <t xml:space="preserve">SANTA ANA OTLI Y AV. BAJA CALIFORNIA S/N                                        </t>
  </si>
  <si>
    <t xml:space="preserve">SAN AGUSTIN BARRIO                                                                                                                          </t>
  </si>
  <si>
    <t>09NDI0637Q</t>
  </si>
  <si>
    <t xml:space="preserve">CENDI GDF ESTANCIA INFANTIL TOIHPILUAN CALLI                                                        </t>
  </si>
  <si>
    <t xml:space="preserve">RIO CONSULADO S/N                                                               </t>
  </si>
  <si>
    <t xml:space="preserve">SAN LORENZO TLACOYUCAN                                                                                                                      </t>
  </si>
  <si>
    <t>09NDI0638P</t>
  </si>
  <si>
    <t xml:space="preserve">CENDI CRISTINA PACHECO                                                                              </t>
  </si>
  <si>
    <t xml:space="preserve">RIO DE LA PLATA NO. 56                                                          </t>
  </si>
  <si>
    <t>09NDI0639O</t>
  </si>
  <si>
    <t xml:space="preserve">CENDI GDF 25 DE JULIO                                                                               </t>
  </si>
  <si>
    <t xml:space="preserve">20 DE NOVIEMBRE S/N                                                             </t>
  </si>
  <si>
    <t xml:space="preserve">25 DE JULIO                                                                                                                                 </t>
  </si>
  <si>
    <t>09NDI0640D</t>
  </si>
  <si>
    <t xml:space="preserve">CENDI GDF YOLCAYOTL IN TOCONEHUAN                                                                   </t>
  </si>
  <si>
    <t xml:space="preserve">AV. 5 DE MAYO S/N                                                               </t>
  </si>
  <si>
    <t xml:space="preserve">SAN ANTONIO TECOMITL                                                                                                                        </t>
  </si>
  <si>
    <t>09NDI0641C</t>
  </si>
  <si>
    <t xml:space="preserve">CENDI GDF ESTANCIA INFANTIL CALLI IN YULILICE                                                       </t>
  </si>
  <si>
    <t xml:space="preserve">NEZAHUALCOYOTL S/N                                                              </t>
  </si>
  <si>
    <t xml:space="preserve">SAN PEDRO ATOCPAN                                                                                                                           </t>
  </si>
  <si>
    <t>09NDI0642B</t>
  </si>
  <si>
    <t xml:space="preserve">ORTIZ TIRADO                                                                                        </t>
  </si>
  <si>
    <t xml:space="preserve">RIO FRIO S/N ESQ. ROJO GOMEZ                                                    </t>
  </si>
  <si>
    <t xml:space="preserve">DOCTOR ALFONSO ORTIZ TIRADO                                                                                                                 </t>
  </si>
  <si>
    <t>09NDI0643A</t>
  </si>
  <si>
    <t xml:space="preserve">PARAJE ZACATEPEC                                                                                    </t>
  </si>
  <si>
    <t xml:space="preserve">EJE 6 SUR NO. 726 SUR Y PISTON                                                  </t>
  </si>
  <si>
    <t xml:space="preserve">PARAJE ZACATEPEC                                                                                                                            </t>
  </si>
  <si>
    <t>09NDI0645Z</t>
  </si>
  <si>
    <t xml:space="preserve">SAN JUAN XALPA                                                                                      </t>
  </si>
  <si>
    <t xml:space="preserve">MANZANARES S/N ENTRE ESTRELLA Y NAUTLA                                          </t>
  </si>
  <si>
    <t xml:space="preserve">SAN JUAN XALPA                                                                                                                              </t>
  </si>
  <si>
    <t>09NDI0646Y</t>
  </si>
  <si>
    <t xml:space="preserve">GUSANITO FELIZ                                                                                      </t>
  </si>
  <si>
    <t xml:space="preserve">SILOS Y GANADEROS S/N                                                           </t>
  </si>
  <si>
    <t xml:space="preserve">MINERVA                                                                                                                                     </t>
  </si>
  <si>
    <t>09NDI0647X</t>
  </si>
  <si>
    <t xml:space="preserve">CENDI GDF NUEVA GENERACION                                                                          </t>
  </si>
  <si>
    <t xml:space="preserve">FRANCISCO JAMBRINA S/N                                                          </t>
  </si>
  <si>
    <t xml:space="preserve">LA FORESTAL                                                                                                                                 </t>
  </si>
  <si>
    <t>09NDI0648W</t>
  </si>
  <si>
    <t xml:space="preserve">CENDI GDF DEL. MIGUEL HIDALGO                                                                       </t>
  </si>
  <si>
    <t xml:space="preserve">AV. 517 NO. 143 1A SECCION                                                      </t>
  </si>
  <si>
    <t>09NDI0649V</t>
  </si>
  <si>
    <t xml:space="preserve">CENDI CADI EL MIRADOR                                                                               </t>
  </si>
  <si>
    <t xml:space="preserve">AV. RIO GUADALUPE S/N                                                           </t>
  </si>
  <si>
    <t xml:space="preserve">EL MIRADOR                                                                                                                                  </t>
  </si>
  <si>
    <t>09NDI0650K</t>
  </si>
  <si>
    <t xml:space="preserve">CENDI CADI JALALPA                                                                                  </t>
  </si>
  <si>
    <t xml:space="preserve">AV. DIAZ ORDAZ S/N                                                              </t>
  </si>
  <si>
    <t xml:space="preserve">JALALPA EL GRANDE                                                                                                                           </t>
  </si>
  <si>
    <t>007</t>
  </si>
  <si>
    <t>09NDI0652I</t>
  </si>
  <si>
    <t xml:space="preserve">CENDI CADI EL POCITO                                                                                </t>
  </si>
  <si>
    <t xml:space="preserve">AV. MINAS NO. 80                                                                </t>
  </si>
  <si>
    <t xml:space="preserve">EL POCITO                                                                                                                                   </t>
  </si>
  <si>
    <t>09NDI0653H</t>
  </si>
  <si>
    <t xml:space="preserve">CENDI DEL CORPUS CRISTY                                                                             </t>
  </si>
  <si>
    <t xml:space="preserve">PROLONGACION SAN FRANCISCO S/N                                                  </t>
  </si>
  <si>
    <t xml:space="preserve">CORPUS CHRISTI                                                                                                                              </t>
  </si>
  <si>
    <t>09NDI0654G</t>
  </si>
  <si>
    <t xml:space="preserve">CENDI GDF CADI PALMAS                                                                               </t>
  </si>
  <si>
    <t xml:space="preserve">FLORES MAGON S/N                                                                </t>
  </si>
  <si>
    <t xml:space="preserve">OLIVAR DEL CONDE 3A SECCION                                                                                                                 </t>
  </si>
  <si>
    <t>09NDI0657D</t>
  </si>
  <si>
    <t xml:space="preserve">CENDI GDF PATRIMONIO CULTURAL DE LA HUMANIDAD                                                       </t>
  </si>
  <si>
    <t xml:space="preserve">PEDRO RAMIREZ DEL CASTILLO NO. 7                                                </t>
  </si>
  <si>
    <t xml:space="preserve">SAN PEDRO                                                                                                                                   </t>
  </si>
  <si>
    <t>09NDI0658C</t>
  </si>
  <si>
    <t xml:space="preserve">CENDI GDF LA ROSITA                                                                                 </t>
  </si>
  <si>
    <t xml:space="preserve">ANTIGUA CALZADA AZCAPOTZALCO NO. 127                                            </t>
  </si>
  <si>
    <t>09NDI0660R</t>
  </si>
  <si>
    <t xml:space="preserve">NIÑOS HEROES                                                                                        </t>
  </si>
  <si>
    <t>09NDI0661Q</t>
  </si>
  <si>
    <t xml:space="preserve">PASTORCITO DE OAXACA                                                                                </t>
  </si>
  <si>
    <t xml:space="preserve">FRANCISCO VILLA ESQ. PLAN DE SAN LUIS                                           </t>
  </si>
  <si>
    <t xml:space="preserve">SANTA MARIA AZTAHUACAN ZONA URBANA                                                                                                          </t>
  </si>
  <si>
    <t>09NDI0662P</t>
  </si>
  <si>
    <t xml:space="preserve">CENDI GDF ESTANCIA INFANTIL HUAUHTLI                                                                </t>
  </si>
  <si>
    <t xml:space="preserve">HERMENEGILDO GALEANA NO. 52                                                     </t>
  </si>
  <si>
    <t>09NDI0663O</t>
  </si>
  <si>
    <t xml:space="preserve">CENDI GDF SAN FRANCISCO                                                                             </t>
  </si>
  <si>
    <t xml:space="preserve">CALLEJON DE RIVERA NO. 26                                                       </t>
  </si>
  <si>
    <t xml:space="preserve">SAN FRANCISCO TLALNEPANTLA                                                                                                                  </t>
  </si>
  <si>
    <t>09NDI0664N</t>
  </si>
  <si>
    <t xml:space="preserve">CENDI GDF ALEGRIA                                                                                   </t>
  </si>
  <si>
    <t xml:space="preserve">AHUALAPA S/N                                                                    </t>
  </si>
  <si>
    <t xml:space="preserve">XOCHIMILCO                                                                                                                                  </t>
  </si>
  <si>
    <t>09NDI0665M</t>
  </si>
  <si>
    <t xml:space="preserve">CENDI GDF SANTIAGO TEPALCATLALPAN                                                                   </t>
  </si>
  <si>
    <t xml:space="preserve">2DA. CERRADA DE AQUILES SERDAN NO. 10                                           </t>
  </si>
  <si>
    <t xml:space="preserve">SANTIAGO TEPALCATLAPAN                                                                                                                      </t>
  </si>
  <si>
    <t>09NDI0666L</t>
  </si>
  <si>
    <t xml:space="preserve">VILLA ESTRELLA                                                                                      </t>
  </si>
  <si>
    <t xml:space="preserve">CAMINO AL CERRO DE LA ESTRELLA S/N                                              </t>
  </si>
  <si>
    <t xml:space="preserve">EL SANTUARIO                                                                                                                                </t>
  </si>
  <si>
    <t>09NDI0667K</t>
  </si>
  <si>
    <t xml:space="preserve">APOLOCALCO                                                                                          </t>
  </si>
  <si>
    <t xml:space="preserve">CAMINO REAL ESQ. MICHOACAN S/N                                                  </t>
  </si>
  <si>
    <t xml:space="preserve">SAN FRANCISCO APOLOCALCO                                                                                                                    </t>
  </si>
  <si>
    <t>09NDI0668J</t>
  </si>
  <si>
    <t xml:space="preserve">LA NORMA                                                                                            </t>
  </si>
  <si>
    <t xml:space="preserve">CALLE MINA NO. 70                                                               </t>
  </si>
  <si>
    <t xml:space="preserve">SAN MIGUEL AMPLIACION                                                                                                                       </t>
  </si>
  <si>
    <t>09NDI0669I</t>
  </si>
  <si>
    <t xml:space="preserve">CENDI GDF CADI LA CONCHITA                                                                          </t>
  </si>
  <si>
    <t xml:space="preserve">PRIMERO DE NOVIEMBRE S/N                                                        </t>
  </si>
  <si>
    <t xml:space="preserve">LA CONCHITA                                                                                                                                 </t>
  </si>
  <si>
    <t>09NDI0670Y</t>
  </si>
  <si>
    <t xml:space="preserve">CENDI CADI DESARROLLO URBANO                                                                        </t>
  </si>
  <si>
    <t xml:space="preserve">NUEVO LEON S/N                                                                  </t>
  </si>
  <si>
    <t xml:space="preserve">EL PIRUL                                                                                                                                    </t>
  </si>
  <si>
    <t>09NDI0671X</t>
  </si>
  <si>
    <t xml:space="preserve">CENDI GDF CADI TEPEACA                                                                              </t>
  </si>
  <si>
    <t xml:space="preserve">CALLE TONATZIN Y CAHLCHITLICUE                                                  </t>
  </si>
  <si>
    <t xml:space="preserve">TEPEACA                                                                                                                                     </t>
  </si>
  <si>
    <t>09NDI0672W</t>
  </si>
  <si>
    <t xml:space="preserve">CENDI CADI GLORIA FLORES HERNANDEZ "ZENTLAPATL"                                                     </t>
  </si>
  <si>
    <t xml:space="preserve">AV. PUERTO MEXICO S/N                                                           </t>
  </si>
  <si>
    <t xml:space="preserve">ZENTLAPATL                                                                                                                                  </t>
  </si>
  <si>
    <t>09NDI0673V</t>
  </si>
  <si>
    <t xml:space="preserve">CENDI GDF CADI CHIMALPA                                                                             </t>
  </si>
  <si>
    <t xml:space="preserve">PORFIRIO DIAZ NO. 12                                                            </t>
  </si>
  <si>
    <t xml:space="preserve">CHIMALPA                                                                                                                                    </t>
  </si>
  <si>
    <t>09NDI0677R</t>
  </si>
  <si>
    <t xml:space="preserve">CENDI GDF TLATILCO                                                                                  </t>
  </si>
  <si>
    <t xml:space="preserve">AVENIDA TLATILCO S/N ANEXO AL MERCADO TLATILCO                                  </t>
  </si>
  <si>
    <t xml:space="preserve">TLATILCO                                                                                                                                    </t>
  </si>
  <si>
    <t>09NDI0681D</t>
  </si>
  <si>
    <t xml:space="preserve">GUARDERIA LOMAS ESTRELLA                                                                            </t>
  </si>
  <si>
    <t xml:space="preserve">PASEO DE ANTOQUIA NO. 14                                                        </t>
  </si>
  <si>
    <t xml:space="preserve">LOMAS ESTRELLA                                                                                                                              </t>
  </si>
  <si>
    <t>09NDI0683B</t>
  </si>
  <si>
    <t xml:space="preserve">CENDI GDF SANTA ANA                                                                                 </t>
  </si>
  <si>
    <t xml:space="preserve">PORVENIR NO. 140                                                                </t>
  </si>
  <si>
    <t xml:space="preserve">LOS OLIVOS 1A SECCION AMPLIACION                                                                                                            </t>
  </si>
  <si>
    <t>066</t>
  </si>
  <si>
    <t>09NDI0684A</t>
  </si>
  <si>
    <t xml:space="preserve">CENDI GDF EL MIRADOR                                                                                </t>
  </si>
  <si>
    <t xml:space="preserve">TEKIT ESQUINA POPOLNAH                                                          </t>
  </si>
  <si>
    <t>09NDI0685Z</t>
  </si>
  <si>
    <t xml:space="preserve">CENDI GDF ESTANCIA INFANTIL ATACAXCO                                                                </t>
  </si>
  <si>
    <t xml:space="preserve">PIAZTIC S/N                                                                     </t>
  </si>
  <si>
    <t xml:space="preserve">LAS PALMAS                                                                                                                                  </t>
  </si>
  <si>
    <t>09NDI0686Z</t>
  </si>
  <si>
    <t xml:space="preserve">CENDI GDF LOS OLIVOS                                                                                </t>
  </si>
  <si>
    <t xml:space="preserve">VENADO NO. 144                                                                  </t>
  </si>
  <si>
    <t xml:space="preserve">LOS OLIVOS                                                                                                                                  </t>
  </si>
  <si>
    <t>09NDI0687Y</t>
  </si>
  <si>
    <t xml:space="preserve">CERRADA CENICIENTA S/N                                                          </t>
  </si>
  <si>
    <t>09NDI0688X</t>
  </si>
  <si>
    <t xml:space="preserve">CENDI GLORIA LEDUC DE AGÜERO                                                                        </t>
  </si>
  <si>
    <t xml:space="preserve">AV. JUAREZ NO. 8                                                                </t>
  </si>
  <si>
    <t>09NDI0689W</t>
  </si>
  <si>
    <t xml:space="preserve">CENDI NIÑOS HEROES DE CHAPULTEPEC NO. TRES                                                          </t>
  </si>
  <si>
    <t xml:space="preserve">CAMPO MILITAR NO. 1-A                                                           </t>
  </si>
  <si>
    <t xml:space="preserve">CAMPO MILITAR NO 1                                                                                                                          </t>
  </si>
  <si>
    <t>09NDI0690L</t>
  </si>
  <si>
    <t xml:space="preserve">CENDI NIÑOS HEROES DE CHAPULTEPEC NO. DOS                                                           </t>
  </si>
  <si>
    <t xml:space="preserve">INT DE LA UNIDAD HABITACIONAL MILITAR INDELFONSO                                </t>
  </si>
  <si>
    <t xml:space="preserve">UNIDAD HABITACIONAL LOMAS DE SOTELO                                                                                                         </t>
  </si>
  <si>
    <t>09NDI0691K</t>
  </si>
  <si>
    <t xml:space="preserve">CENDI GDF ACOPILCO                                                                                  </t>
  </si>
  <si>
    <t xml:space="preserve">OCAMPO SIN NUMERO                                                               </t>
  </si>
  <si>
    <t xml:space="preserve">SAN LORENZO ACOPILCO                                                                                                                        </t>
  </si>
  <si>
    <t>09NDI0693I</t>
  </si>
  <si>
    <t xml:space="preserve">CENDI CANEGUIN                                                                                      </t>
  </si>
  <si>
    <t xml:space="preserve">LAGO CANEGUIN NO. 130                                                           </t>
  </si>
  <si>
    <t xml:space="preserve">ARGENTINA ANTIGUA                                                                                                                           </t>
  </si>
  <si>
    <t>09NDI0694H</t>
  </si>
  <si>
    <t xml:space="preserve">CENDI LEONA VICARIO                                                                                 </t>
  </si>
  <si>
    <t xml:space="preserve">ORIENTE 164 S/N                                                                 </t>
  </si>
  <si>
    <t>09NDI0695G</t>
  </si>
  <si>
    <t xml:space="preserve">CENDI GDF 20 DE NOVIEMBRE                                                                           </t>
  </si>
  <si>
    <t xml:space="preserve">CALZADA AZCAPOTZALCO LA VILLA NO. 127                                           </t>
  </si>
  <si>
    <t>09NDI0696F</t>
  </si>
  <si>
    <t xml:space="preserve">CENDI REFORMA SOCIAL                                                                                </t>
  </si>
  <si>
    <t xml:space="preserve">SIERRA SANTA ROSA S/N                                                           </t>
  </si>
  <si>
    <t xml:space="preserve">REFORMA SOCIAL                                                                                                                              </t>
  </si>
  <si>
    <t>09PDI0522N</t>
  </si>
  <si>
    <t xml:space="preserve">CENDI PART EDUCACION Y DES. DEL INFANTE                                                             </t>
  </si>
  <si>
    <t xml:space="preserve">GUTIERREZ ZAMORA 19                                                             </t>
  </si>
  <si>
    <t xml:space="preserve">LAS AGUILAS                                                                                                                                 </t>
  </si>
  <si>
    <t>09PDI0523M</t>
  </si>
  <si>
    <t xml:space="preserve">CENDI PART EDUC. Y DESARROLLO INTEGRAL                                                              </t>
  </si>
  <si>
    <t xml:space="preserve">LONDRES NO. 26                                                                  </t>
  </si>
  <si>
    <t>09PDI0529G</t>
  </si>
  <si>
    <t xml:space="preserve">CENDI PART LINDAVISTA                                                                               </t>
  </si>
  <si>
    <t xml:space="preserve">MATANZAS NO. 1013                                                               </t>
  </si>
  <si>
    <t xml:space="preserve">RESIDENCIAL ZACATENCO                                                                                                                       </t>
  </si>
  <si>
    <t>09PDI0538O</t>
  </si>
  <si>
    <t xml:space="preserve">CENDI PART J.N. IZKALOTL                                                                            </t>
  </si>
  <si>
    <t xml:space="preserve">TRIPOLI NO. 1010                                                                </t>
  </si>
  <si>
    <t>09PDI0547W</t>
  </si>
  <si>
    <t xml:space="preserve">CENDI PART MONTESSORI DEL BOSQUE                                                                    </t>
  </si>
  <si>
    <t xml:space="preserve">TIBURCIO MONTIEL 27                                                             </t>
  </si>
  <si>
    <t>09PDI0562O</t>
  </si>
  <si>
    <t xml:space="preserve">CENDI PART GANDHI                                                                                   </t>
  </si>
  <si>
    <t xml:space="preserve">COSCOMATE NO. 64                                                                </t>
  </si>
  <si>
    <t>062</t>
  </si>
  <si>
    <t>09PDI0578P</t>
  </si>
  <si>
    <t xml:space="preserve">CENDI PART BUTTERFLY                                                                                </t>
  </si>
  <si>
    <t xml:space="preserve">SILVESTRE REVUELTAS NO. 15                                                      </t>
  </si>
  <si>
    <t xml:space="preserve">GUADALUPE INN                                                                                                                               </t>
  </si>
  <si>
    <t>09PDI0595F</t>
  </si>
  <si>
    <t xml:space="preserve">MARIA DEL REFUGIO HUERTA POZOS                                                                      </t>
  </si>
  <si>
    <t xml:space="preserve">SUPERMANZANA 2 MZ 3 DE SEBASTIAN VARELA ALTOS S/N                               </t>
  </si>
  <si>
    <t>09PDI0603Y</t>
  </si>
  <si>
    <t xml:space="preserve">CENDI PART SEDI LOMAS                                                                               </t>
  </si>
  <si>
    <t xml:space="preserve">EXPLANADA No. 305                                                               </t>
  </si>
  <si>
    <t>09PDI0610H</t>
  </si>
  <si>
    <t xml:space="preserve">CENTRO DE DESARROLLO INFANTIL UNA SEMILLA DE LUZ S.C.                                               </t>
  </si>
  <si>
    <t xml:space="preserve">VICTOR HUGO NO. 33                                                              </t>
  </si>
  <si>
    <t>09PDI0616B</t>
  </si>
  <si>
    <t xml:space="preserve">CENDI PART DAYALTA                                                                                  </t>
  </si>
  <si>
    <t xml:space="preserve">SALVADOR DIAZ MIRON 178-2                                                       </t>
  </si>
  <si>
    <t>09PDI0618Z</t>
  </si>
  <si>
    <t xml:space="preserve">CENDI PART AMIGOS LA FLORIDA                                                                        </t>
  </si>
  <si>
    <t xml:space="preserve">HORTENCIA NO. 101                                                               </t>
  </si>
  <si>
    <t xml:space="preserve">FLORIDA                                                                                                                                     </t>
  </si>
  <si>
    <t>09PDI0620O</t>
  </si>
  <si>
    <t xml:space="preserve">CENDI PART NUEVA GENERACION                                                                         </t>
  </si>
  <si>
    <t xml:space="preserve">NARANJO 159                                                                     </t>
  </si>
  <si>
    <t>09PDI0621N</t>
  </si>
  <si>
    <t xml:space="preserve">CENDI SANTA ROSA                                                                                    </t>
  </si>
  <si>
    <t xml:space="preserve">RIO LERMA NO. 139                                                               </t>
  </si>
  <si>
    <t xml:space="preserve">SAN MIGUEL TEOTONGO SECCION MERCEDE                                                                                                         </t>
  </si>
  <si>
    <t>09PDI0625J</t>
  </si>
  <si>
    <t xml:space="preserve">CENDI PART AMERICAN CENTER FOR CHILDREN                                                             </t>
  </si>
  <si>
    <t xml:space="preserve">OBRERO MUNDIAL NO. 172                                                          </t>
  </si>
  <si>
    <t>09PDI0626I</t>
  </si>
  <si>
    <t xml:space="preserve">CENDI PART DE EDUCACION INFANTIL                                                                    </t>
  </si>
  <si>
    <t xml:space="preserve">AV. DEL IMAN NO. 787                                                            </t>
  </si>
  <si>
    <t xml:space="preserve">EL CARACOL                                                                                                                                  </t>
  </si>
  <si>
    <t>09PDI0628G</t>
  </si>
  <si>
    <t xml:space="preserve">CENDI PART ASOCIACION LEGITIMA COMERCIAL Y CIVICA AC                                                </t>
  </si>
  <si>
    <t xml:space="preserve">BOLIVIA NO. 14                                                                  </t>
  </si>
  <si>
    <t>09PDI0630V</t>
  </si>
  <si>
    <t xml:space="preserve">CENDI PART ECOLOGICO DE DESARROLLO INFANTIL S.C.                                                    </t>
  </si>
  <si>
    <t xml:space="preserve">CALVARIO NO. 122                                                                </t>
  </si>
  <si>
    <t>09PDI0631U</t>
  </si>
  <si>
    <t xml:space="preserve">CENDI PART BABY BEE S.C.                                                                            </t>
  </si>
  <si>
    <t xml:space="preserve">CAMPOS ELISEOS NO. 131                                                          </t>
  </si>
  <si>
    <t>09PDI0634R</t>
  </si>
  <si>
    <t xml:space="preserve">CENDI PART HOGAR Y FUTURO A.C.                                                                      </t>
  </si>
  <si>
    <t xml:space="preserve">PALMAS S/N                                                                      </t>
  </si>
  <si>
    <t xml:space="preserve">SAN BARTOLO AMEYALCO                                                                                                                        </t>
  </si>
  <si>
    <t>09PDI0645X</t>
  </si>
  <si>
    <t xml:space="preserve">CENDI PART IGNACIO ZARAGOZA                                                                         </t>
  </si>
  <si>
    <t xml:space="preserve">CALLE 63 NO. 42                                                                 </t>
  </si>
  <si>
    <t>09PDI0713D</t>
  </si>
  <si>
    <t xml:space="preserve">LEIBNITZ NO. 193                                                                </t>
  </si>
  <si>
    <t xml:space="preserve">NUEVA ANZURES                                                                                                                               </t>
  </si>
  <si>
    <t>NP</t>
  </si>
  <si>
    <t>09PDI0714C</t>
  </si>
  <si>
    <t xml:space="preserve">CENDI PART EL GRILLITO                                                                              </t>
  </si>
  <si>
    <t xml:space="preserve">AV. SAN LORENZO NO. 148A                                                        </t>
  </si>
  <si>
    <t xml:space="preserve">SAN JUAN TEPEPAN                                                                                                                            </t>
  </si>
  <si>
    <t>09PDI0715B</t>
  </si>
  <si>
    <t xml:space="preserve">FELICES HACIA EL FUTURO                                                                             </t>
  </si>
  <si>
    <t xml:space="preserve">XICOTENCATL NO 202                                                              </t>
  </si>
  <si>
    <t>09PDI0716A</t>
  </si>
  <si>
    <t xml:space="preserve">CENDI PART JARDIN DE NIÑOS "ALI"                                                                    </t>
  </si>
  <si>
    <t xml:space="preserve">AJUSCO NO 90                                                                    </t>
  </si>
  <si>
    <t>09PDI0717Z</t>
  </si>
  <si>
    <t xml:space="preserve">CENDI PART NANI S.C.                                                                                </t>
  </si>
  <si>
    <t xml:space="preserve">IGNACIO MARISCAL NO 133                                                         </t>
  </si>
  <si>
    <t>09PDI0729E</t>
  </si>
  <si>
    <t xml:space="preserve">CENDI PART LA CASITA                                                                                </t>
  </si>
  <si>
    <t xml:space="preserve">MAGDALENA NO 142                                                                </t>
  </si>
  <si>
    <t>09PDI0741Z</t>
  </si>
  <si>
    <t xml:space="preserve">CENDI PART SNOOPY                                                                                   </t>
  </si>
  <si>
    <t xml:space="preserve">LAGO GINEBRA NO 159                                                             </t>
  </si>
  <si>
    <t>09PDI0742Z</t>
  </si>
  <si>
    <t xml:space="preserve">CENDI PART BABY BEE                                                                                 </t>
  </si>
  <si>
    <t xml:space="preserve">CAMPOS ELISEOS NO. 136                                                          </t>
  </si>
  <si>
    <t>09PDI0743Y</t>
  </si>
  <si>
    <t xml:space="preserve">CENDI PART MI PEQUEÑO MUNDO S.C.                                                                    </t>
  </si>
  <si>
    <t xml:space="preserve">CDA DE AGRARISMO NO 41                                                          </t>
  </si>
  <si>
    <t>09PDI0752F</t>
  </si>
  <si>
    <t xml:space="preserve">YOLOTZIN                                                                                            </t>
  </si>
  <si>
    <t xml:space="preserve">PIRINEOS NO. 146                                                                </t>
  </si>
  <si>
    <t>09PDI0772T</t>
  </si>
  <si>
    <t xml:space="preserve">CENDI PART. CENTRO DE DESARROLLO INFANTIL MONTESSORI EL PAPALOTE                                    </t>
  </si>
  <si>
    <t xml:space="preserve">SEBASTIAN LERDO DE TEJADA NO. 42                                                </t>
  </si>
  <si>
    <t xml:space="preserve">PRESIDENTES                                                                                                                                 </t>
  </si>
  <si>
    <t>09PDI0773S</t>
  </si>
  <si>
    <t xml:space="preserve">CENDI PART COLEGIO PEDAGOGICO DE LA CD. DE MEXICO S.C. GORATONY                                     </t>
  </si>
  <si>
    <t xml:space="preserve">JUAN SANCHEZ AZCONA NO. 447                                                     </t>
  </si>
  <si>
    <t>09PDI0774R</t>
  </si>
  <si>
    <t xml:space="preserve">ARMONIA INFANTIL                                                                                    </t>
  </si>
  <si>
    <t xml:space="preserve">AV. SINATEL No 38 MZ. 4 LT. 21                                                  </t>
  </si>
  <si>
    <t xml:space="preserve">SINATEL AMPLIACION                                                                                                                          </t>
  </si>
  <si>
    <t>09PDI0776P</t>
  </si>
  <si>
    <t xml:space="preserve">CENDI ANDA DOLORES DEL RIO                                                                          </t>
  </si>
  <si>
    <t xml:space="preserve">ALENCASTRE NO 96                                                                </t>
  </si>
  <si>
    <t>09PDI0777O</t>
  </si>
  <si>
    <t xml:space="preserve">CENDI PART UNIDOS PARA CRECER S.C.                                                                  </t>
  </si>
  <si>
    <t xml:space="preserve">BECQUER NO.17                                                                   </t>
  </si>
  <si>
    <t>09PDI0781A</t>
  </si>
  <si>
    <t xml:space="preserve">CENDI PART. COLEGIO DE LAS BALEARES                                                                 </t>
  </si>
  <si>
    <t xml:space="preserve">JOSEFA ORTIZ DE DOMINGUEZ NO. 2                                                 </t>
  </si>
  <si>
    <t>09PDI0782Z</t>
  </si>
  <si>
    <t xml:space="preserve">COLEGIO BILINGÜE RICHARDSON                                                                         </t>
  </si>
  <si>
    <t xml:space="preserve">MARCOS CARRILLO NO. 351                                                         </t>
  </si>
  <si>
    <t>09PDI0786W</t>
  </si>
  <si>
    <t xml:space="preserve">RIO GRIJALVA NO. 27                                                             </t>
  </si>
  <si>
    <t>09PDI0789T</t>
  </si>
  <si>
    <t xml:space="preserve">CENDI PART COLEGIO DEL ANGEL                                                                        </t>
  </si>
  <si>
    <t xml:space="preserve">RIO NILO NO. 48                                                                 </t>
  </si>
  <si>
    <t>09PDI0790I</t>
  </si>
  <si>
    <t xml:space="preserve">CENDI PART ESTANCIA INFANTIL TERCER MILENIO S.C.                                                    </t>
  </si>
  <si>
    <t xml:space="preserve">ISABEL LA CATOLICA NO. 9                                                        </t>
  </si>
  <si>
    <t>09PDI0793F</t>
  </si>
  <si>
    <t xml:space="preserve">CENDI PART YUMKA S.C.                                                                               </t>
  </si>
  <si>
    <t xml:space="preserve">GUPIES NO. 46                                                                   </t>
  </si>
  <si>
    <t>09PDI0796C</t>
  </si>
  <si>
    <t xml:space="preserve">CENDI PART MI MUNDO FELIZ                                                                           </t>
  </si>
  <si>
    <t xml:space="preserve">CALZADA DE TLALPAN NO. 3515                                                     </t>
  </si>
  <si>
    <t xml:space="preserve">HUIPULCO                                                                                                                                    </t>
  </si>
  <si>
    <t>09PDI0798A</t>
  </si>
  <si>
    <t xml:space="preserve">CENDI PART. BAMBINELLO S.C.                                                                         </t>
  </si>
  <si>
    <t xml:space="preserve">LAS ROSAS NO. 70                                                                </t>
  </si>
  <si>
    <t xml:space="preserve">POTRERO DE SAN BERNARDINO                                                                                                                   </t>
  </si>
  <si>
    <t>09PDI0799Z</t>
  </si>
  <si>
    <t xml:space="preserve">CENDI PART INSTITUTO DE LAS BALEARES S.C.                                                           </t>
  </si>
  <si>
    <t xml:space="preserve">AV. GUADALUPE I. RAMIREZ NO. 616                                                </t>
  </si>
  <si>
    <t xml:space="preserve">TIERRA NUEVA                                                                                                                                </t>
  </si>
  <si>
    <t>09PDI0800Z</t>
  </si>
  <si>
    <t xml:space="preserve">CENDI PART RICHARDSON II                                                                            </t>
  </si>
  <si>
    <t xml:space="preserve">CALZADA DE TLALPAN 2364                                                         </t>
  </si>
  <si>
    <t>09PDI0802X</t>
  </si>
  <si>
    <t xml:space="preserve">CENDI PART SAYLU                                                                                    </t>
  </si>
  <si>
    <t xml:space="preserve">CACTUS NO. 16                                                                   </t>
  </si>
  <si>
    <t>09PDI0805U</t>
  </si>
  <si>
    <t xml:space="preserve">CENTRO DE DESARROLLO INFANTIL KINDERGARDEN                                                          </t>
  </si>
  <si>
    <t xml:space="preserve">CALLE 11 DE ENERO DE 1861 NO. 2114                                              </t>
  </si>
  <si>
    <t xml:space="preserve">LEYES DE REFORMA                                                                                                                            </t>
  </si>
  <si>
    <t>09PDI0816Z</t>
  </si>
  <si>
    <t xml:space="preserve">CENDI PART SERAFIN                                                                                  </t>
  </si>
  <si>
    <t xml:space="preserve">AV. 505 NO. 145                                                                 </t>
  </si>
  <si>
    <t>09PDI0817Z</t>
  </si>
  <si>
    <t xml:space="preserve">COLEGIO PEDAGOGICO MAK                                                                              </t>
  </si>
  <si>
    <t xml:space="preserve">AV. 5 DE MAYO NO. 66 ESQ. PALACIO                                               </t>
  </si>
  <si>
    <t xml:space="preserve">SAN LUCAS                                                                                                                                   </t>
  </si>
  <si>
    <t>09PDI0818Y</t>
  </si>
  <si>
    <t xml:space="preserve">ESTANCIA INFANTIL MAGICO DE LOS NIÑOS                                                               </t>
  </si>
  <si>
    <t xml:space="preserve">14 DE JULIO NO. 43 (ANTES CAPITELES)                                            </t>
  </si>
  <si>
    <t xml:space="preserve">SAN MARCOS                                                                                                                                  </t>
  </si>
  <si>
    <t>09PDI0819X</t>
  </si>
  <si>
    <t xml:space="preserve">COLEGIO SEPMA                                                                                       </t>
  </si>
  <si>
    <t xml:space="preserve">PIRULES No. 20                                                                  </t>
  </si>
  <si>
    <t xml:space="preserve">SAN ANDRES TOMATLAN                                                                                                                         </t>
  </si>
  <si>
    <t>09PDI0821L</t>
  </si>
  <si>
    <t xml:space="preserve">KINGS DOMINION ESTANCIA INFANTIL                                                                    </t>
  </si>
  <si>
    <t xml:space="preserve">AMERICA NO. 66                                                                  </t>
  </si>
  <si>
    <t xml:space="preserve">PARQUE SAN ANDRES                                                                                                                           </t>
  </si>
  <si>
    <t>09PDI0822K</t>
  </si>
  <si>
    <t xml:space="preserve">DASHEEN S.C                                                                                         </t>
  </si>
  <si>
    <t xml:space="preserve">AV. ALFREDO ROBLES DOMINGUEZ NO. 115                                            </t>
  </si>
  <si>
    <t xml:space="preserve">INDUSTRIAL                                                                                                                                  </t>
  </si>
  <si>
    <t>09PDI0823J</t>
  </si>
  <si>
    <t xml:space="preserve">ESTANCIA INFANTIL LINDAVISTA S.C. JUGANDO APRENDEMOS                                                </t>
  </si>
  <si>
    <t xml:space="preserve">CHOSICA NO. 695                                                                 </t>
  </si>
  <si>
    <t>09PDI0824I</t>
  </si>
  <si>
    <t xml:space="preserve">EL MUNDO FELIZ DE LOS BUKIS                                                                         </t>
  </si>
  <si>
    <t xml:space="preserve">INGRES NO. 120                                                                  </t>
  </si>
  <si>
    <t>09PDI0825H</t>
  </si>
  <si>
    <t xml:space="preserve">GUARDERIA COAPA                                                                                     </t>
  </si>
  <si>
    <t xml:space="preserve">CALZADA DE LOS TENORIOS NO. 38                                                  </t>
  </si>
  <si>
    <t xml:space="preserve">GRANJAS COAPA                                                                                                                               </t>
  </si>
  <si>
    <t>09PDI0826G</t>
  </si>
  <si>
    <t xml:space="preserve">LOS PEQUEÑOS GENIOS                                                                                 </t>
  </si>
  <si>
    <t xml:space="preserve">AV. MONTEVIDEO NO. 480                                                          </t>
  </si>
  <si>
    <t>09PDI0828E</t>
  </si>
  <si>
    <t xml:space="preserve">CENDI PART CENTINELA DE INFANTES S.C.                                                               </t>
  </si>
  <si>
    <t xml:space="preserve">SAN FRANCISCO NO. 303                                                           </t>
  </si>
  <si>
    <t>09PDI0829D</t>
  </si>
  <si>
    <t xml:space="preserve">CENTRO DE ATENCION Y ESTIMULACION PSICOPEDAGOGICA INFANTIL S.C.                                     </t>
  </si>
  <si>
    <t xml:space="preserve">CASAS GRANDES NO. 65                                                            </t>
  </si>
  <si>
    <t>09PDI0830T</t>
  </si>
  <si>
    <t xml:space="preserve">CENDI PART COLEGIO PEDAGOGICO DE LA CIUDAD DE MEXICO S.C. GORATONY II                               </t>
  </si>
  <si>
    <t xml:space="preserve">ANICETO ORTEGA NO. 639                                                          </t>
  </si>
  <si>
    <t>09PDI0831S</t>
  </si>
  <si>
    <t xml:space="preserve">CENDI PART CENTRO DE DESARROLLO INFANTIL PEDREGAL S.C.                                              </t>
  </si>
  <si>
    <t xml:space="preserve">CAMINO A SANTA TERESA NO. 877                                                   </t>
  </si>
  <si>
    <t xml:space="preserve">PARQUE DEL PEDREGAL                                                                                                                         </t>
  </si>
  <si>
    <t>09PDI0832R</t>
  </si>
  <si>
    <t xml:space="preserve">CENDI PART EL BOSQUE ANIMADO S.C.                                                                   </t>
  </si>
  <si>
    <t xml:space="preserve">CORREGIDORA NO. 105                                                             </t>
  </si>
  <si>
    <t xml:space="preserve">SAN MATEO TLALTENANGO                                                                                                                       </t>
  </si>
  <si>
    <t>09PDI0834P</t>
  </si>
  <si>
    <t xml:space="preserve">CENDI PART INSTITUTO SHAKESPEARE S.C.                                                               </t>
  </si>
  <si>
    <t xml:space="preserve">HEROES NO. 83                                                                   </t>
  </si>
  <si>
    <t>09PDI0836N</t>
  </si>
  <si>
    <t xml:space="preserve">CENDI PART SERVICIOS INTEGRALES PROINFANCIA S.C.                                                    </t>
  </si>
  <si>
    <t xml:space="preserve">AGUASCALIENTES NO. 111                                                          </t>
  </si>
  <si>
    <t>09PDI0838L</t>
  </si>
  <si>
    <t xml:space="preserve">MUNDO INFANTIL                                                                                      </t>
  </si>
  <si>
    <t xml:space="preserve">FERROCARRIL DE TERRAPLEN MZ. 10 LT. 12                                          </t>
  </si>
  <si>
    <t xml:space="preserve">LOS ANGELES APANOAYA                                                                                                                        </t>
  </si>
  <si>
    <t>09PDI0840Z</t>
  </si>
  <si>
    <t xml:space="preserve">CENDI PART IL MIO MONDO MONTESSORI                                                                  </t>
  </si>
  <si>
    <t xml:space="preserve">HERSCHEL NO. 100                                                                </t>
  </si>
  <si>
    <t>09PDI0841Z</t>
  </si>
  <si>
    <t xml:space="preserve">CENTRO DE DESARROLLO ABEJITAS                                                                       </t>
  </si>
  <si>
    <t xml:space="preserve">IZAMAL NO. 55                                                                   </t>
  </si>
  <si>
    <t xml:space="preserve">LOMAS DE PADIERNA                                                                                                                           </t>
  </si>
  <si>
    <t>09PDI0843X</t>
  </si>
  <si>
    <t xml:space="preserve">CENDI PART LOS PEQUEÑOS GENIOS II                                                                   </t>
  </si>
  <si>
    <t xml:space="preserve">AV. SAN JUAN ARAGON NO. 70                                                      </t>
  </si>
  <si>
    <t>09PDI0846U</t>
  </si>
  <si>
    <t xml:space="preserve">CENDI PART CENTRO EDUCATIVO INTERKIDS                                                               </t>
  </si>
  <si>
    <t xml:space="preserve">ACOXPA NO. 926                                                                  </t>
  </si>
  <si>
    <t xml:space="preserve">NARCISO MENDOZA                                                                                                                             </t>
  </si>
  <si>
    <t>09PDI0847T</t>
  </si>
  <si>
    <t xml:space="preserve">CENTRO DE DESARROLLO INFANTIL CUICALLI COPILCO                                                      </t>
  </si>
  <si>
    <t xml:space="preserve">CERRO TRES ZAPOTES NO. 9 MZ. 6 LT. 5                                            </t>
  </si>
  <si>
    <t xml:space="preserve">COPILCO UNIVERSIDAD                                                                                                                         </t>
  </si>
  <si>
    <t>09PDI0848S</t>
  </si>
  <si>
    <t xml:space="preserve">CENDI PART ISAAC NEWTON                                                                             </t>
  </si>
  <si>
    <t xml:space="preserve">RETORNO 1 DE SUR 16 NO. 64                                                      </t>
  </si>
  <si>
    <t>09PDI0849R</t>
  </si>
  <si>
    <t xml:space="preserve">CENDI PART CENTRO ECOLOGICO DE DESARROLLO INFANTIL                                                  </t>
  </si>
  <si>
    <t xml:space="preserve">BARRANCA DE PILARES NO. 24                                                      </t>
  </si>
  <si>
    <t xml:space="preserve">TLACOPAC                                                                                                                                    </t>
  </si>
  <si>
    <t>09PDI0850G</t>
  </si>
  <si>
    <t xml:space="preserve">CENDI PART CENTRO EDUCATIVO ANAPALL                                                                 </t>
  </si>
  <si>
    <t xml:space="preserve">GABRIEL MANCERA NO. 110                                                         </t>
  </si>
  <si>
    <t>09PDI0851F</t>
  </si>
  <si>
    <t xml:space="preserve">CENDI PART MAREN KIDS DESARROLLO INFANTIL                                                           </t>
  </si>
  <si>
    <t xml:space="preserve">DIVISION DEL NORTE NO. 3457                                                     </t>
  </si>
  <si>
    <t>09PDI0852E</t>
  </si>
  <si>
    <t xml:space="preserve">ESTANCIA INFANTIL ALKACINA                                                                          </t>
  </si>
  <si>
    <t>JORNADA AMPLIADA</t>
  </si>
  <si>
    <t xml:space="preserve">JOSE DEL RIO 171                                                                </t>
  </si>
  <si>
    <t xml:space="preserve">SANTA MARTHA ACATITLA AMPLIACION                                                                                                            </t>
  </si>
  <si>
    <t>09PDI0854C</t>
  </si>
  <si>
    <t xml:space="preserve">CENDI PART. CENTRO EDUCATIVO CARACOLETA                                                             </t>
  </si>
  <si>
    <t xml:space="preserve">PALO ALTO NO. 20                                                                </t>
  </si>
  <si>
    <t xml:space="preserve">PALO ALTO                                                                                                                                   </t>
  </si>
  <si>
    <t>09PDI0855B</t>
  </si>
  <si>
    <t xml:space="preserve">PROINFANCIA TERESITA                                                                                </t>
  </si>
  <si>
    <t xml:space="preserve">LAPLACE NO. 31                                                                  </t>
  </si>
  <si>
    <t>09PDI0856A</t>
  </si>
  <si>
    <t xml:space="preserve">MI MONTESSORI                                                                                       </t>
  </si>
  <si>
    <t xml:space="preserve">GALILEO NO. 329                                                                 </t>
  </si>
  <si>
    <t xml:space="preserve">POLANCO REFORMA                                                                                                                             </t>
  </si>
  <si>
    <t>09PDI0857Z</t>
  </si>
  <si>
    <t xml:space="preserve">CENTRO EDUCATIVO DEL VALLE                                                                          </t>
  </si>
  <si>
    <t xml:space="preserve">MORENA NO. 423                                                                  </t>
  </si>
  <si>
    <t>09PDI0859Y</t>
  </si>
  <si>
    <t xml:space="preserve">CENTRO DE DESARROLLO INFANTIL MIRAVALLE                                                             </t>
  </si>
  <si>
    <t xml:space="preserve">BALSAS NO. 13                                                                   </t>
  </si>
  <si>
    <t>09PDI0861M</t>
  </si>
  <si>
    <t xml:space="preserve">GUARDERIA YOLTZIN                                                                                   </t>
  </si>
  <si>
    <t xml:space="preserve">CALLE 557 NO. 131                                                               </t>
  </si>
  <si>
    <t xml:space="preserve">UNIDAD SAN JUAN DE ARAGON                                                                                                                   </t>
  </si>
  <si>
    <t>09PDI0863K</t>
  </si>
  <si>
    <t xml:space="preserve">CENDI PART COLEGIO BILBAO S.C.                                                                      </t>
  </si>
  <si>
    <t xml:space="preserve">NORTE 27 NO. 49                                                                 </t>
  </si>
  <si>
    <t xml:space="preserve">NUEVA VALLEJO                                                                                                                               </t>
  </si>
  <si>
    <t>09PDI0864J</t>
  </si>
  <si>
    <t xml:space="preserve">INSTITUTO DE APOYO AL NIÑO                                                                          </t>
  </si>
  <si>
    <t xml:space="preserve">CERRO TUERA NO. 7                                                               </t>
  </si>
  <si>
    <t xml:space="preserve">OXTOPULCO                                                                                                                                   </t>
  </si>
  <si>
    <t>09PDI0866H</t>
  </si>
  <si>
    <t xml:space="preserve">DREAMS HOUSE                                                                                        </t>
  </si>
  <si>
    <t xml:space="preserve">NEZAHUALPILLI NO. 14                                                            </t>
  </si>
  <si>
    <t>09PDI0869E</t>
  </si>
  <si>
    <t xml:space="preserve">MI KINDER                                                                                           </t>
  </si>
  <si>
    <t xml:space="preserve">BOULEVARD DE LA LUZ NO. 232                                                     </t>
  </si>
  <si>
    <t xml:space="preserve">JARDINES DEL PEDREGAL                                                                                                                       </t>
  </si>
  <si>
    <t>09PDI0870U</t>
  </si>
  <si>
    <t xml:space="preserve">CENDI PART. JARDIN DE NIÑOS VASCO DE QUIROGA                                                        </t>
  </si>
  <si>
    <t xml:space="preserve">CAMINO REAL A TOLUCA NO. 394                                                    </t>
  </si>
  <si>
    <t xml:space="preserve">BOSQUES DE TARANGO                                                                                                                          </t>
  </si>
  <si>
    <t>09PDI0872S</t>
  </si>
  <si>
    <t xml:space="preserve">CENTRO DE DESARROLLO INFANTIL KIDDY KER                                                             </t>
  </si>
  <si>
    <t xml:space="preserve">ALFREDO DE MUSSET NO. 10                                                        </t>
  </si>
  <si>
    <t>09PDI0873R</t>
  </si>
  <si>
    <t xml:space="preserve">CENDI PART. JARDIN DE NIÑOS ROSITA                                                                  </t>
  </si>
  <si>
    <t xml:space="preserve">BOLIVIANOS NO. 63                                                               </t>
  </si>
  <si>
    <t xml:space="preserve">MARIA G DE GARCIA RUIZ                                                                                                                      </t>
  </si>
  <si>
    <t>09PDI0874Q</t>
  </si>
  <si>
    <t xml:space="preserve">CENDI PART CAZIIDE                                                                                  </t>
  </si>
  <si>
    <t xml:space="preserve">PIEDRA NO. 199                                                                  </t>
  </si>
  <si>
    <t>09PDI0875P</t>
  </si>
  <si>
    <t xml:space="preserve">CENTRO DE DESARROLLO INFANTIL CARAMELO                                                              </t>
  </si>
  <si>
    <t xml:space="preserve">PIRINEOS NO. 173                                                                </t>
  </si>
  <si>
    <t>09PDI0876O</t>
  </si>
  <si>
    <t xml:space="preserve">INSTITUCION DE DESARROLLO INFANTIL LA CASITA DEL ARBOL                                              </t>
  </si>
  <si>
    <t xml:space="preserve">XOCHICALCO NO. 620                                                              </t>
  </si>
  <si>
    <t>09PDI0878M</t>
  </si>
  <si>
    <t xml:space="preserve">INSTITUTO PEDAGOGICO PAIDOS                                                                         </t>
  </si>
  <si>
    <t xml:space="preserve">ENRIQUE REBSAMEN NO. 721                                                        </t>
  </si>
  <si>
    <t xml:space="preserve">PIEDAD NARVARTE                                                                                                                             </t>
  </si>
  <si>
    <t>09PDI0879L</t>
  </si>
  <si>
    <t xml:space="preserve">LOS PEQUEÑOS GENIOS III                                                                             </t>
  </si>
  <si>
    <t xml:space="preserve">CALZADA DE GUADALUPE NO. 156                                                    </t>
  </si>
  <si>
    <t>09PDI0881Z</t>
  </si>
  <si>
    <t xml:space="preserve">MI MUNDO INFANTIL                                                                                   </t>
  </si>
  <si>
    <t xml:space="preserve">20 DE NOVIEMBRE NO. 35                                                          </t>
  </si>
  <si>
    <t xml:space="preserve">CUAUTEPEC EL ALTO                                                                                                                           </t>
  </si>
  <si>
    <t>09PDI0886V</t>
  </si>
  <si>
    <t xml:space="preserve">KINDERGYM                                                                                           </t>
  </si>
  <si>
    <t xml:space="preserve">GENARO GARCIA NO. 164 Y 166                                                     </t>
  </si>
  <si>
    <t>09PDI0887U</t>
  </si>
  <si>
    <t xml:space="preserve">CENTRO DE EDUCACION INTEGRAL SCHULENBURG                                                            </t>
  </si>
  <si>
    <t xml:space="preserve">FERNANDO IGLESIAS CALDERON NO. 133                                              </t>
  </si>
  <si>
    <t>09PDI0889S</t>
  </si>
  <si>
    <t xml:space="preserve">CENTRO EDUCATIVO MONTESSORI ISKU IREKHORENI                                                         </t>
  </si>
  <si>
    <t xml:space="preserve">DIVISION DEL NORTE NO. 35                                                       </t>
  </si>
  <si>
    <t>09PDI0890H</t>
  </si>
  <si>
    <t xml:space="preserve">CENTRO DE DESARROLLO INFANTIL MORA GUILLEN                                                          </t>
  </si>
  <si>
    <t xml:space="preserve">AVENIDA MEXICO NO. 1254                                                         </t>
  </si>
  <si>
    <t xml:space="preserve">SANTA TERESA                                                                                                                                </t>
  </si>
  <si>
    <t>09PDI0891G</t>
  </si>
  <si>
    <t xml:space="preserve">ROADS SCHOOL                                                                                        </t>
  </si>
  <si>
    <t xml:space="preserve">LUIS CABRERA NO. 670                                                            </t>
  </si>
  <si>
    <t xml:space="preserve">LOMAS QUEBRADAS                                                                                                                             </t>
  </si>
  <si>
    <t>09PDI0893E</t>
  </si>
  <si>
    <t xml:space="preserve">CENTRO DE ESTIMULACION TEMPRANA BABY TIME                                                           </t>
  </si>
  <si>
    <t xml:space="preserve">ALEJANDRIA NO. 47                                                               </t>
  </si>
  <si>
    <t>09PDI0894D</t>
  </si>
  <si>
    <t xml:space="preserve">JARDIN DE NIÑOS MI MUNDO                                                                            </t>
  </si>
  <si>
    <t xml:space="preserve">JUAN SANCHEZ AZCONA NO 1448                                                     </t>
  </si>
  <si>
    <t>09PDI0896B</t>
  </si>
  <si>
    <t xml:space="preserve">LERDO DE TEJADA NO. 79                                                          </t>
  </si>
  <si>
    <t>09PDI0897A</t>
  </si>
  <si>
    <t xml:space="preserve">CENDI PART. COLEGIO LOMAS HILL                                                                      </t>
  </si>
  <si>
    <t xml:space="preserve">GUILLERMO GONZALEZ CAMARENA NO. 1500                                            </t>
  </si>
  <si>
    <t xml:space="preserve">SANTA FE                                                                                                                                    </t>
  </si>
  <si>
    <t>09PDI0898Z</t>
  </si>
  <si>
    <t xml:space="preserve">CENDI PART. COMUNIDAD MONTESSORI BOSQUES                                                            </t>
  </si>
  <si>
    <t xml:space="preserve">AVENIDA STIM NO. 1340                                                           </t>
  </si>
  <si>
    <t xml:space="preserve">BOSQUES DE LAS LOMAS                                                                                                                        </t>
  </si>
  <si>
    <t>09PDI0900Y</t>
  </si>
  <si>
    <t xml:space="preserve">VILLA EDUCATIVA GREEN HILLS                                                                         </t>
  </si>
  <si>
    <t xml:space="preserve">DR. ATL NO. 96                                                                  </t>
  </si>
  <si>
    <t>09PDI0903V</t>
  </si>
  <si>
    <t xml:space="preserve">GRUPO EDUCATIVO GOKO                                                                                </t>
  </si>
  <si>
    <t xml:space="preserve">NORTE 66 NO. 3807                                                               </t>
  </si>
  <si>
    <t xml:space="preserve">MARTIRES DE RIO BLANCO                                                                                                                      </t>
  </si>
  <si>
    <t>09PDI0905T</t>
  </si>
  <si>
    <t xml:space="preserve">JARDIN DE NIÑOS BUCKINGHAM                                                                          </t>
  </si>
  <si>
    <t xml:space="preserve">ORIENTE 237 NO. 464                                                             </t>
  </si>
  <si>
    <t>09PDI0908Q</t>
  </si>
  <si>
    <t xml:space="preserve">PLAY AND LEARN                                                                                      </t>
  </si>
  <si>
    <t xml:space="preserve">AVENIDA SAN JERONIMO NO. 601                                                    </t>
  </si>
  <si>
    <t>09PDI0909P</t>
  </si>
  <si>
    <t xml:space="preserve">CENDI PARTICULAR INSTITUTO TONANTZIN                                                                </t>
  </si>
  <si>
    <t xml:space="preserve">AVENIDA NORTE NO. 9                                                             </t>
  </si>
  <si>
    <t>09PDI0910E</t>
  </si>
  <si>
    <t xml:space="preserve">JARDIN DE NIÑOS TOHUI                                                                               </t>
  </si>
  <si>
    <t xml:space="preserve">MACARIO GAXIOLA NO. 15                                                          </t>
  </si>
  <si>
    <t xml:space="preserve">SAN PEDRO XALPA AMPLIACION                                                                                                                  </t>
  </si>
  <si>
    <t>09PDI0913B</t>
  </si>
  <si>
    <t xml:space="preserve">CENDI PART. CIRCULO INFANTIL PERSONALIZADO S. C.                                                    </t>
  </si>
  <si>
    <t xml:space="preserve">JOSE MARIA CASTORENA NO. 672                                                    </t>
  </si>
  <si>
    <t xml:space="preserve">EL MOLINO                                                                                                                                   </t>
  </si>
  <si>
    <t>09PDI0915Z</t>
  </si>
  <si>
    <t xml:space="preserve">CENTRO DE DESARROLLO INFANTIL CASTORES                                                              </t>
  </si>
  <si>
    <t xml:space="preserve">AVENIDA 557 NO. 60                                                              </t>
  </si>
  <si>
    <t>09PDI0916Z</t>
  </si>
  <si>
    <t xml:space="preserve">CENTRO DE DESARROLLO INFANTIL HUITZILIN                                                             </t>
  </si>
  <si>
    <t xml:space="preserve">LA HABANA                                                                                                                                   </t>
  </si>
  <si>
    <t>09PDI0917Y</t>
  </si>
  <si>
    <t xml:space="preserve">CENTRO DE DESARROLLO INFANTIL KIN KANIK                                                             </t>
  </si>
  <si>
    <t xml:space="preserve">HEROES DEL 47 NO. 107                                                           </t>
  </si>
  <si>
    <t xml:space="preserve">SAN DIEGO CHURUBUSCO                                                                                                                        </t>
  </si>
  <si>
    <t>09PDI0918X</t>
  </si>
  <si>
    <t xml:space="preserve">LICEO MEXICANO JEAN PIAGET                                                                          </t>
  </si>
  <si>
    <t xml:space="preserve">ESTIO NO. 61                                                                    </t>
  </si>
  <si>
    <t xml:space="preserve">ANGEL ZIMBRON                                                                                                                               </t>
  </si>
  <si>
    <t>09PDI0920L</t>
  </si>
  <si>
    <t xml:space="preserve">CENTRO DE DESARROLLO INFANTIL EL RINCON DE LOS PEQUES                                               </t>
  </si>
  <si>
    <t xml:space="preserve">EGIPTO NO. 15                                                                   </t>
  </si>
  <si>
    <t>09PDI0921K</t>
  </si>
  <si>
    <t xml:space="preserve">CENDI PART INTEGRA CUIDADOS MATERNALES S.C.                                                         </t>
  </si>
  <si>
    <t xml:space="preserve">BOLIVAR NO. 146                                                                 </t>
  </si>
  <si>
    <t>09PDI0924H</t>
  </si>
  <si>
    <t xml:space="preserve">LICEO PEDAGOGICO INFANTIL MINERVA                                                                   </t>
  </si>
  <si>
    <t xml:space="preserve">FRAY JUAN DE TORQUEMADA NO. 115                                                 </t>
  </si>
  <si>
    <t>09PDI0925G</t>
  </si>
  <si>
    <t xml:space="preserve">INSTITUTO PEDAGOGICO DE EDUCACION INICIAL                                                           </t>
  </si>
  <si>
    <t xml:space="preserve">CALZ. ERMITA IZTAPALAPA NO. 2393 ENTRE ALTAMIRANO E HIDALGO                     </t>
  </si>
  <si>
    <t>09PDI0926F</t>
  </si>
  <si>
    <t xml:space="preserve">SERVICIOS EDUCATIVOS PARA EL DESARROLLO INFANTIL SANTA FE                                           </t>
  </si>
  <si>
    <t xml:space="preserve">GUILLERMO GONZALEZ CAMARENA NO. 1000-PB LOCAL 002                               </t>
  </si>
  <si>
    <t>09PDI0929C</t>
  </si>
  <si>
    <t xml:space="preserve">COKELUSH                                                                                            </t>
  </si>
  <si>
    <t xml:space="preserve">PALOMA S/N                                                                      </t>
  </si>
  <si>
    <t>09PDI0930S</t>
  </si>
  <si>
    <t xml:space="preserve">PROFESIONALES EN LA FORMACION INTEGRAL DEL NIÑO S.C.                                                </t>
  </si>
  <si>
    <t xml:space="preserve">FERRETERIA NO. 10                                                               </t>
  </si>
  <si>
    <t>09PDI0931R</t>
  </si>
  <si>
    <t xml:space="preserve">GUARDERIA IRRIGACION S.C.                                                                           </t>
  </si>
  <si>
    <t xml:space="preserve">VENUSTIANO CARRANZA NO. 83                                                      </t>
  </si>
  <si>
    <t xml:space="preserve">BENITO JUAREZ                                                                                                                               </t>
  </si>
  <si>
    <t>09PDI0932Q</t>
  </si>
  <si>
    <t xml:space="preserve">GRUPO EDUCATIVO KOGUS                                                                               </t>
  </si>
  <si>
    <t xml:space="preserve">PARANAGUA NO. 1136                                                              </t>
  </si>
  <si>
    <t>09PDI0933P</t>
  </si>
  <si>
    <t xml:space="preserve">ESTANCIA DE LA NIÑEZ MEXICANA S.C.                                                                  </t>
  </si>
  <si>
    <t xml:space="preserve">AV. NECAXA NO. 30                                                               </t>
  </si>
  <si>
    <t>09PDI0934O</t>
  </si>
  <si>
    <t xml:space="preserve">VILLA DE ARAGON NO. 15                                                          </t>
  </si>
  <si>
    <t xml:space="preserve">VILLA DE ARAGON                                                                                                                             </t>
  </si>
  <si>
    <t>09PDI0935N</t>
  </si>
  <si>
    <t xml:space="preserve">ESTANCIA INFANTIL CIRCULO DE AMOR                                                                   </t>
  </si>
  <si>
    <t xml:space="preserve">GRAL. MARIANO SALAS NO. 209                                                     </t>
  </si>
  <si>
    <t xml:space="preserve">ESTANZUELA                                                                                                                                  </t>
  </si>
  <si>
    <t>09PDI0937L</t>
  </si>
  <si>
    <t xml:space="preserve">PROINFANCIA TERESITA S.C.                                                                           </t>
  </si>
  <si>
    <t xml:space="preserve">EDGAR ALLAN POE NO. 314                                                         </t>
  </si>
  <si>
    <t>09PDI0938K</t>
  </si>
  <si>
    <t xml:space="preserve">LIC. MIGUEL ANGEL LANZ DURET NO. 21                                             </t>
  </si>
  <si>
    <t xml:space="preserve">PERIODISTA                                                                                                                                  </t>
  </si>
  <si>
    <t>09PDI0939J</t>
  </si>
  <si>
    <t xml:space="preserve">COLEGIO SAN AGUSTIN                                                                                 </t>
  </si>
  <si>
    <t xml:space="preserve">MUSSET NO. 218                                                                  </t>
  </si>
  <si>
    <t>09PDI0941Y</t>
  </si>
  <si>
    <t xml:space="preserve">CENDI PART LICEO MEXICANO JAPONES                                                                   </t>
  </si>
  <si>
    <t xml:space="preserve">CAMINO A SANTA TERESA NO. 1500                                                  </t>
  </si>
  <si>
    <t>09PDI0944V</t>
  </si>
  <si>
    <t xml:space="preserve">CENTRO PEDAGOGICO KARYMONY                                                                          </t>
  </si>
  <si>
    <t xml:space="preserve">JAVIER SORONDO NO. 319                                                          </t>
  </si>
  <si>
    <t xml:space="preserve">VILLA DE CORTES                                                                                                                             </t>
  </si>
  <si>
    <t>09PDI0945U</t>
  </si>
  <si>
    <t xml:space="preserve">CENDI PART KINDER KARE                                                                              </t>
  </si>
  <si>
    <t xml:space="preserve">AV. DE LOS CEDROS NO. 74                                                        </t>
  </si>
  <si>
    <t>09PDI0946T</t>
  </si>
  <si>
    <t xml:space="preserve">CENTRO EDUCATIVO MOZART INICIAL                                                                     </t>
  </si>
  <si>
    <t xml:space="preserve">ZOTITLA NO. 55                                                                  </t>
  </si>
  <si>
    <t xml:space="preserve">ABDIAS GARCIA SOTO                                                                                                                          </t>
  </si>
  <si>
    <t>09PDI0948R</t>
  </si>
  <si>
    <t xml:space="preserve">CENDI PART JARDIN ENCANTADO                                                                         </t>
  </si>
  <si>
    <t xml:space="preserve">RIO BAMBA NO. 713 Y 713A                                                        </t>
  </si>
  <si>
    <t>09PDI0949Q</t>
  </si>
  <si>
    <t xml:space="preserve">CENDI PARTICULAR AQUA KIDS                                                                          </t>
  </si>
  <si>
    <t xml:space="preserve">RIO BAMBA NO. 765                                                               </t>
  </si>
  <si>
    <t>09PDI0950F</t>
  </si>
  <si>
    <t xml:space="preserve">GABRIEL MANCERA NO. 1060                                                        </t>
  </si>
  <si>
    <t>09PDI0951E</t>
  </si>
  <si>
    <t xml:space="preserve">CENTRO DE EDUCACION INFANTIL M.I.A.                                                                 </t>
  </si>
  <si>
    <t xml:space="preserve">OKLAHOMA NO. 138                                                                </t>
  </si>
  <si>
    <t>09PDI0952D</t>
  </si>
  <si>
    <t xml:space="preserve">BLVR. ANILLO DE CIRCUNVALACION NO. 43                                           </t>
  </si>
  <si>
    <t xml:space="preserve">ATLANTIDA                                                                                                                                   </t>
  </si>
  <si>
    <t>09PDI0953C</t>
  </si>
  <si>
    <t xml:space="preserve">LA CARITA FELIZ                                                                                     </t>
  </si>
  <si>
    <t xml:space="preserve">AV. AQUILES SERDAN NO. 34                                                       </t>
  </si>
  <si>
    <t>09PDI0954O</t>
  </si>
  <si>
    <t xml:space="preserve">CENDI PART KID´S PLANET                                                                             </t>
  </si>
  <si>
    <t xml:space="preserve">PANABA NO. 63 MZ. 20 LT. 265                                                    </t>
  </si>
  <si>
    <t>09PDI0957Z</t>
  </si>
  <si>
    <t xml:space="preserve">ESCUELA BRITISH COLUMBIA                                                                            </t>
  </si>
  <si>
    <t xml:space="preserve">JOSE J. JASSO NO. 48                                                            </t>
  </si>
  <si>
    <t xml:space="preserve">MOCTEZUMA 1A SECCION                                                                                                                        </t>
  </si>
  <si>
    <t>09PDI0958Y</t>
  </si>
  <si>
    <t xml:space="preserve">GUARDERIA PETIT                                                                                     </t>
  </si>
  <si>
    <t xml:space="preserve">LUIS LARA PARDO NO. 19                                                          </t>
  </si>
  <si>
    <t>09PDI0959X</t>
  </si>
  <si>
    <t xml:space="preserve">INSTITUTO PEDAGOGICO SIMONE OHTLI                                                                   </t>
  </si>
  <si>
    <t xml:space="preserve">LACANDONES NO 108                                                               </t>
  </si>
  <si>
    <t>09PDI0960M</t>
  </si>
  <si>
    <t xml:space="preserve">BAMBINELLO                                                                                          </t>
  </si>
  <si>
    <t xml:space="preserve">CUAUHTEMOC NO. 149                                                              </t>
  </si>
  <si>
    <t>09PDI0961L</t>
  </si>
  <si>
    <t xml:space="preserve">CENTRO EDUCATIVO PARA PEQUES                                                                        </t>
  </si>
  <si>
    <t xml:space="preserve">BUENAVISTA NO. 119                                                              </t>
  </si>
  <si>
    <t xml:space="preserve">PUEBLO NUEVO BAJO                                                                                                                           </t>
  </si>
  <si>
    <t>09PDI0962K</t>
  </si>
  <si>
    <t xml:space="preserve">CHOSICA NO. 703                                                                 </t>
  </si>
  <si>
    <t>09PDI0963J</t>
  </si>
  <si>
    <t xml:space="preserve">AGUA NO. 787                                                                    </t>
  </si>
  <si>
    <t>09PDI0965H</t>
  </si>
  <si>
    <t xml:space="preserve">CENTRO DE DESARROLLO INFANTIL EL MUNDO DE LOS NIÑOS                                                 </t>
  </si>
  <si>
    <t xml:space="preserve">SEBASTIAN LERDO DE TEJADA NO. 8                                                 </t>
  </si>
  <si>
    <t xml:space="preserve">BELISARIO DOMINGUEZ                                                                                                                         </t>
  </si>
  <si>
    <t>09PDI0966G</t>
  </si>
  <si>
    <t xml:space="preserve">JARDIN DE NIÑOS YEYO                                                                                </t>
  </si>
  <si>
    <t xml:space="preserve">JOJUTLA NO. 130                                                                 </t>
  </si>
  <si>
    <t xml:space="preserve">LA JOYA                                                                                                                                     </t>
  </si>
  <si>
    <t>09PDI0967F</t>
  </si>
  <si>
    <t xml:space="preserve">JARDIN DE NIÑOS EDUCARTE                                                                            </t>
  </si>
  <si>
    <t xml:space="preserve">HACIENDA MAZATEPEC NO. 11 Y 17                                                  </t>
  </si>
  <si>
    <t xml:space="preserve">RINCONADA COAPA                                                                                                                             </t>
  </si>
  <si>
    <t>09PDI0968E</t>
  </si>
  <si>
    <t xml:space="preserve">BUCKINGHAM                                                                                          </t>
  </si>
  <si>
    <t xml:space="preserve">HUEXOTITLA NO. 30                                                               </t>
  </si>
  <si>
    <t xml:space="preserve">EJIDOS SAN PEDRO MARTIR                                                                                                                     </t>
  </si>
  <si>
    <t>09PDI0970T</t>
  </si>
  <si>
    <t xml:space="preserve">CENTRO MONTESSORIE NEXHIE                                                                           </t>
  </si>
  <si>
    <t xml:space="preserve">ENRIQUE REBSAMEN NO. 327                                                        </t>
  </si>
  <si>
    <t>09PDI0972R</t>
  </si>
  <si>
    <t xml:space="preserve">KINROS                                                                                              </t>
  </si>
  <si>
    <t>09PDI0973Q</t>
  </si>
  <si>
    <t xml:space="preserve">CENTRO DE EDUCACION PREESCOLAR EL ARLEQUIN                                                          </t>
  </si>
  <si>
    <t xml:space="preserve">NORTE 33 NO. 25                                                                 </t>
  </si>
  <si>
    <t>09PDI0974P</t>
  </si>
  <si>
    <t xml:space="preserve">CENTRO DE DESARROLLO INFANTIL LOS PATITOS                                                           </t>
  </si>
  <si>
    <t xml:space="preserve">NORTE 9 NO. 112                                                                 </t>
  </si>
  <si>
    <t>09PDI0975O</t>
  </si>
  <si>
    <t xml:space="preserve">SANTANDER CANTABRIA                                                                                 </t>
  </si>
  <si>
    <t xml:space="preserve">NORTE 13 NO. 58                                                                 </t>
  </si>
  <si>
    <t>09PDI0976N</t>
  </si>
  <si>
    <t xml:space="preserve">JOSE SANCHEZ TRUJILLO NO. 91                                                    </t>
  </si>
  <si>
    <t xml:space="preserve">SAN ALVARO                                                                                                                                  </t>
  </si>
  <si>
    <t>09PDI0978L</t>
  </si>
  <si>
    <t xml:space="preserve">COLEGIO O´FARRILL                                                                                   </t>
  </si>
  <si>
    <t xml:space="preserve">HORTENSIA NO. 11                                                                </t>
  </si>
  <si>
    <t xml:space="preserve">MIGUEL HIDALGO AMPLIACION                                                                                                                   </t>
  </si>
  <si>
    <t>09PDI0979K</t>
  </si>
  <si>
    <t xml:space="preserve">IMPULSO PEDAGOGICO MEXICANO                                                                         </t>
  </si>
  <si>
    <t>09PDI0980Z</t>
  </si>
  <si>
    <t xml:space="preserve">COLEGIO DEL ÁNGEL                                                                                   </t>
  </si>
  <si>
    <t>09PDI0981Z</t>
  </si>
  <si>
    <t xml:space="preserve">COLEGIO CIBELES                                                                                     </t>
  </si>
  <si>
    <t xml:space="preserve">RIO GANGES NO. 81                                                               </t>
  </si>
  <si>
    <t>09PDI0982Y</t>
  </si>
  <si>
    <t xml:space="preserve">RIO GUADALQUIVIR NO. 74                                                         </t>
  </si>
  <si>
    <t>09PDI0983X</t>
  </si>
  <si>
    <t xml:space="preserve">INSTITUTO ASUNCIÓN DE MÉXICO                                                                        </t>
  </si>
  <si>
    <t>09PDI0984W</t>
  </si>
  <si>
    <t xml:space="preserve">AMERICAN BRITISH SCHOOL LINDAVISTA                                                                  </t>
  </si>
  <si>
    <t xml:space="preserve">AREQUIPA NO. 606                                                                </t>
  </si>
  <si>
    <t>09PDI0985V</t>
  </si>
  <si>
    <t xml:space="preserve">HANS CHRISTIAN ANDERSEN                                                                             </t>
  </si>
  <si>
    <t xml:space="preserve">LINDAVISTA NO. 200                                                              </t>
  </si>
  <si>
    <t>09PDI0987T</t>
  </si>
  <si>
    <t xml:space="preserve">INSTITUTO CULTURAL SANTA FE                                                                         </t>
  </si>
  <si>
    <t xml:space="preserve">ESCUADRON 201 NO. 32                                                            </t>
  </si>
  <si>
    <t>09PDI0988S</t>
  </si>
  <si>
    <t xml:space="preserve">ESTANCIA MUNDO FELIZ                                                                                </t>
  </si>
  <si>
    <t xml:space="preserve">DESIERTO DE GOBI MZA. 1 LOTE 6                                                  </t>
  </si>
  <si>
    <t>09UDI0001R</t>
  </si>
  <si>
    <t xml:space="preserve">CENDI UNAM  C.U.                                                                                    </t>
  </si>
  <si>
    <t xml:space="preserve">CIRCUITO INSTITUTOS S/N                                                         </t>
  </si>
  <si>
    <t>NU</t>
  </si>
  <si>
    <t>09UDI0002Q</t>
  </si>
  <si>
    <t xml:space="preserve">CENDI MASCARONES UNAM                                                                               </t>
  </si>
  <si>
    <t xml:space="preserve">AMADO NERVO NO. 72                                                              </t>
  </si>
  <si>
    <t>09UDI0004O</t>
  </si>
  <si>
    <t xml:space="preserve">CENDI UAM NO 1                                                                                      </t>
  </si>
  <si>
    <t xml:space="preserve">AV. REAL DE SAN MARTIN 208                                                      </t>
  </si>
  <si>
    <t>09UDI0005N</t>
  </si>
  <si>
    <t xml:space="preserve">CENDI UAM No. 2                                                                                     </t>
  </si>
  <si>
    <t xml:space="preserve">AV LIC. JAVIER ROJO GOMEZ NUM 1223                                              </t>
  </si>
  <si>
    <t>09UDI0006M</t>
  </si>
  <si>
    <t xml:space="preserve"> CENDI  ZARAGOZA UNAM                                                                               </t>
  </si>
  <si>
    <t xml:space="preserve">GRAN DECADA NACIONAL S/N                                                        </t>
  </si>
  <si>
    <t xml:space="preserve">UNIDAD HABITACIONAL CABEZA DE JUARE                                                                                                         </t>
  </si>
  <si>
    <t>09UDI0007L</t>
  </si>
  <si>
    <t xml:space="preserve">CENDI 3 UAM                                                                                         </t>
  </si>
  <si>
    <t xml:space="preserve">AV. DE LAS BOMBAS NO. 860                                                       </t>
  </si>
  <si>
    <t xml:space="preserve">UNIDAD OBRERO HABITACIONAL CTM CULH                                                                                                         </t>
  </si>
  <si>
    <t>ESPECIAL-USAER</t>
  </si>
  <si>
    <t>09FUA0001X</t>
  </si>
  <si>
    <t xml:space="preserve">UNIDAD DE SERVICIOS DE APOYO A LA EDUCACIÓN REGULAR III-7                                           </t>
  </si>
  <si>
    <t xml:space="preserve">MORAS NO 634                                                                    </t>
  </si>
  <si>
    <t xml:space="preserve">13 </t>
  </si>
  <si>
    <t>EE</t>
  </si>
  <si>
    <t>09FUA0002W</t>
  </si>
  <si>
    <t xml:space="preserve">UNIDAD DE SERVICIOS DE APOYO A LA EDUCACIÓN REGULAR I-25                                            </t>
  </si>
  <si>
    <t>VESPERTINO</t>
  </si>
  <si>
    <t xml:space="preserve">ACATLE Y CENTEOTL S/N                                                           </t>
  </si>
  <si>
    <t xml:space="preserve">PLENITUD                                                                                                                                    </t>
  </si>
  <si>
    <t xml:space="preserve">11 </t>
  </si>
  <si>
    <t>09FUA0003V</t>
  </si>
  <si>
    <t xml:space="preserve">UNIDAD DE SERVICIOS DE APOYO A LA EDUCACIÓN REGULAR I-15                                            </t>
  </si>
  <si>
    <t xml:space="preserve">REFINERIA DE MINATITLAN Y CAMPO ACALAPA S/N                                     </t>
  </si>
  <si>
    <t>09FUA0004U</t>
  </si>
  <si>
    <t xml:space="preserve">UNIDAD DE SERVICIOS DE APOYO A LA EDUCACIÓN REGULAR I-20                                            </t>
  </si>
  <si>
    <t xml:space="preserve">CAMINO DE RECREO No. 40                                                         </t>
  </si>
  <si>
    <t xml:space="preserve">EL RECREO                                                                                                                                   </t>
  </si>
  <si>
    <t>09FUA0005T</t>
  </si>
  <si>
    <t xml:space="preserve">UNIDAD DE SERVICIOS DE APOYO A LA EDUCACIÓN REGULAR III-52                                          </t>
  </si>
  <si>
    <t>09FUA0006S</t>
  </si>
  <si>
    <t xml:space="preserve">UNIDAD DE SERVICIOS DE APOYO A LA EDUCACIÓN REGULAR I-6                                             </t>
  </si>
  <si>
    <t xml:space="preserve">AV. MARINA NACIONAL No. 222                                                     </t>
  </si>
  <si>
    <t>09FUA0007R</t>
  </si>
  <si>
    <t xml:space="preserve">UNIDAD DE SERVICIOS DE APOYO A LA EDUCACIÓN REGULAR III-51                                          </t>
  </si>
  <si>
    <t xml:space="preserve">CERRADA DE TEJOCOTE S/N                                                         </t>
  </si>
  <si>
    <t>09FUA0008Q</t>
  </si>
  <si>
    <t xml:space="preserve">UNIDAD DE SERVICIOS DE APOYO A LA EDUCACIÓN REGULAR I-4                                             </t>
  </si>
  <si>
    <t xml:space="preserve">DANIEL GARZA AMPLIACION                                                                                                                     </t>
  </si>
  <si>
    <t>09FUA0009P</t>
  </si>
  <si>
    <t xml:space="preserve">UNIDAD DE SERVICIOS DE APOYO A LA EDUCACIÓN REGULAR I-2                                             </t>
  </si>
  <si>
    <t xml:space="preserve">DOROTEO ARANGO S/N                                                              </t>
  </si>
  <si>
    <t xml:space="preserve">UNIDAD HABITACIONAL FRANCISCO I MAD                                                                                                         </t>
  </si>
  <si>
    <t>09FUA0010E</t>
  </si>
  <si>
    <t xml:space="preserve">UNIDAD DE SERVICIOS DE APOYO A LA EDUCACIÓN REGULAR I-11                                            </t>
  </si>
  <si>
    <t xml:space="preserve">SANTO DOMINGO                                                                                                                               </t>
  </si>
  <si>
    <t>09FUA0011D</t>
  </si>
  <si>
    <t xml:space="preserve">UNIDAD DE SERVICIOS DE APOYO A LA EDUCACIÓN REGULAR I-1                                             </t>
  </si>
  <si>
    <t xml:space="preserve">LAGO ERNE Y LAGO TRASIMENO S/N                                                  </t>
  </si>
  <si>
    <t xml:space="preserve">PENSIL NORTE                                                                                                                                </t>
  </si>
  <si>
    <t>09FUA0012C</t>
  </si>
  <si>
    <t xml:space="preserve">UNIDAD DE SERVICIOS DE APOYO A LA EDUCACIÓN REGULAR I-38                                            </t>
  </si>
  <si>
    <t xml:space="preserve">DEL GAS AMPLIACION                                                                                                                          </t>
  </si>
  <si>
    <t>09FUA0013B</t>
  </si>
  <si>
    <t xml:space="preserve">UNIDAD DE SERVICIOS DE APOYO A LA EDUCACIÓN REGULAR II-17                                           </t>
  </si>
  <si>
    <t xml:space="preserve">CALLE 14 Y AV. MONTE ALTO S/N                                                   </t>
  </si>
  <si>
    <t xml:space="preserve">PROGRESO NACIONAL AMPLIACION                                                                                                                </t>
  </si>
  <si>
    <t xml:space="preserve">12 </t>
  </si>
  <si>
    <t>09FUA0014A</t>
  </si>
  <si>
    <t xml:space="preserve">UNIDAD DE SERVICIOS DE APOYO A LA EDUCACIÓN REGULAR II-16                                           </t>
  </si>
  <si>
    <t xml:space="preserve">PUERTO ENSENADA Y JUAN FRANCISCO S/N                                            </t>
  </si>
  <si>
    <t xml:space="preserve">EL OLIVO                                                                                                                                    </t>
  </si>
  <si>
    <t>09FUA0015Z</t>
  </si>
  <si>
    <t xml:space="preserve">UNIDAD DE SERVICIOS DE APOYO A LA EDUCACIÓN REGULAR II-15                                           </t>
  </si>
  <si>
    <t xml:space="preserve">CIRIACO CRUZ Y AV. SAN JUANICO S/N                                              </t>
  </si>
  <si>
    <t>09FUA0016Z</t>
  </si>
  <si>
    <t xml:space="preserve">UNIDAD DE SERVICIOS DE APOYO A LA EDUCACIÓN REGULAR II-14                                           </t>
  </si>
  <si>
    <t xml:space="preserve">NORTE 82 Y ORIENTE 91 S/N                                                       </t>
  </si>
  <si>
    <t>09FUA0017Y</t>
  </si>
  <si>
    <t xml:space="preserve">UNIDAD DE SERVICIOS DE APOYO A LA EDUCACIÓN REGULAR II-13                                           </t>
  </si>
  <si>
    <t xml:space="preserve">CALLE 28-B Y AV CENTRAL                                                         </t>
  </si>
  <si>
    <t xml:space="preserve">SAN JOSE DE LA ESCALERA                                                                                                                     </t>
  </si>
  <si>
    <t>09FUA0018X</t>
  </si>
  <si>
    <t xml:space="preserve">UNIDAD DE SERVICIOS DE APOYO A LA EDUCACIÓN REGULAR II-12                                           </t>
  </si>
  <si>
    <t xml:space="preserve">GABRIEL GUERRA S/N                                                              </t>
  </si>
  <si>
    <t xml:space="preserve">CUAUTEPEC BARRIO BAJO                                                                                                                       </t>
  </si>
  <si>
    <t>09FUA0019W</t>
  </si>
  <si>
    <t xml:space="preserve">UNIDAD DE SERVICIOS DE APOYO A LA EDUCACIÓN REGULAR II-11                                           </t>
  </si>
  <si>
    <t xml:space="preserve">CERRADA DE ORIENTE 157 S/N                                                      </t>
  </si>
  <si>
    <t xml:space="preserve">UNIDAD HABITACIONAL EL COYOL                                                                                                                </t>
  </si>
  <si>
    <t>09FUA0020L</t>
  </si>
  <si>
    <t xml:space="preserve">UNIDAD DE SERVICIOS DE APOYO A LA EDUCACIÓN REGULAR II-10                                           </t>
  </si>
  <si>
    <t xml:space="preserve">SAN FELIPE DE JESUS                                                                                                                         </t>
  </si>
  <si>
    <t>09FUA0021K</t>
  </si>
  <si>
    <t xml:space="preserve">UNIDAD DE SERVICIOS DE APOYO A LA EDUCACIÓN REGULAR II-9                                            </t>
  </si>
  <si>
    <t xml:space="preserve">AV. MONTE ALTO Y CALLE 14 S/N                                                   </t>
  </si>
  <si>
    <t>09FUA0022J</t>
  </si>
  <si>
    <t xml:space="preserve">UNIDAD DE SERVICIOS DE APOYO A LA EDUCACIÓN REGULAR II-8                                            </t>
  </si>
  <si>
    <t xml:space="preserve">CALZADA VALLEJO NO 1111                                                         </t>
  </si>
  <si>
    <t xml:space="preserve">UNIDAD HABITACIONAL VALLEJO LA PATE                                                                                                         </t>
  </si>
  <si>
    <t>09FUA0023I</t>
  </si>
  <si>
    <t xml:space="preserve">UNIDAD DE SERVICIOS DE APOYO A LA EDUCACIÓN REGULAR II-7                                            </t>
  </si>
  <si>
    <t xml:space="preserve">CALLE 641 NO 50                                                                 </t>
  </si>
  <si>
    <t xml:space="preserve">UNIDAD SAN JUAN DE ARAGON 4A SECCIO                                                                                                         </t>
  </si>
  <si>
    <t>09FUA0024H</t>
  </si>
  <si>
    <t xml:space="preserve">UNIDAD DE SERVICIOS DE APOYO A LA EDUCACIÓN REGULAR II-6                                            </t>
  </si>
  <si>
    <t xml:space="preserve">AV. 5 DE MAYO No. 41                                                            </t>
  </si>
  <si>
    <t>09FUA0025G</t>
  </si>
  <si>
    <t xml:space="preserve">UNIDAD DE SERVICIOS DE APOYO A LA EDUCACIÓN REGULAR II-5                                            </t>
  </si>
  <si>
    <t xml:space="preserve">GUSTAVO A. MADERO                                                                                                                           </t>
  </si>
  <si>
    <t>09FUA0026F</t>
  </si>
  <si>
    <t xml:space="preserve">UNIDAD DE SERVICIOS DE APOYO A LA EDUCACIÓN REGULAR II-4                                            </t>
  </si>
  <si>
    <t>09FUA0027E</t>
  </si>
  <si>
    <t xml:space="preserve">UNIDAD DE SERVICIOS DE APOYO A LA EDUCACIÓN REGULAR II-3                                            </t>
  </si>
  <si>
    <t xml:space="preserve">UNIDAD ACUEDUCTO DE GUADALUPE                                                                                                               </t>
  </si>
  <si>
    <t>09FUA0028D</t>
  </si>
  <si>
    <t xml:space="preserve">UNIDAD DE SERVICIOS DE APOYO A LA EDUCACIÓN REGULAR II-2                                            </t>
  </si>
  <si>
    <t xml:space="preserve">MADRE SELVA NO 64                                                               </t>
  </si>
  <si>
    <t xml:space="preserve">JUAN GONZALEZ ROMERO                                                                                                                        </t>
  </si>
  <si>
    <t>09FUA0029C</t>
  </si>
  <si>
    <t xml:space="preserve">UNIDAD DE SERVICIOS DE APOYO A LA EDUCACIÓN REGULAR II-1                                            </t>
  </si>
  <si>
    <t>09FUA0030S</t>
  </si>
  <si>
    <t xml:space="preserve">UNIDAD DE SERVICIOS DE APOYO A LA EDUCACIÓN REGULAR I-55                                            </t>
  </si>
  <si>
    <t xml:space="preserve">CALZADA DE LA VIGA No. 97                                                       </t>
  </si>
  <si>
    <t xml:space="preserve">ESPERANZA                                                                                                                                   </t>
  </si>
  <si>
    <t>09FUA0031R</t>
  </si>
  <si>
    <t xml:space="preserve">UNIDAD DE SERVICIOS DE APOYO A LA EDUCACIÓN REGULAR IV-45                                           </t>
  </si>
  <si>
    <t xml:space="preserve">CALLE 4 NO 200                                                                  </t>
  </si>
  <si>
    <t xml:space="preserve">14 </t>
  </si>
  <si>
    <t>09FUA0032Q</t>
  </si>
  <si>
    <t xml:space="preserve">UNIDAD DE SERVICIOS DE APOYO A LA EDUCACIÓN REGULAR IV-44                                           </t>
  </si>
  <si>
    <t>09FUA0033P</t>
  </si>
  <si>
    <t xml:space="preserve">UNIDAD DE SERVICIOS DE APOYO A LA EDUCACIÓN REGULAR IV-53                                           </t>
  </si>
  <si>
    <t xml:space="preserve">ORIENTE 120 No. 2870                                                            </t>
  </si>
  <si>
    <t>09FUA0034O</t>
  </si>
  <si>
    <t xml:space="preserve">UNIDAD DE SERVICIOS DE APOYO A LA EDUCACIÓN REGULAR IV-64                                           </t>
  </si>
  <si>
    <t xml:space="preserve">COXCOX S/N                                                                      </t>
  </si>
  <si>
    <t xml:space="preserve">ARENAL 2A SECCION                                                                                                                           </t>
  </si>
  <si>
    <t>09FUA0035N</t>
  </si>
  <si>
    <t xml:space="preserve">UNIDAD DE SERVICIOS DE APOYO A LA EDUCACIÓN REGULAR IV-31                                           </t>
  </si>
  <si>
    <t xml:space="preserve">SANTOS DEGOLLADO NO 16                                                          </t>
  </si>
  <si>
    <t>09FUA0036M</t>
  </si>
  <si>
    <t xml:space="preserve">UNIDAD DE SERVICIOS DE APOYO A LA EDUCACIÓN REGULAR I-50                                            </t>
  </si>
  <si>
    <t xml:space="preserve">PERALVILLO No. 51                                                               </t>
  </si>
  <si>
    <t xml:space="preserve">MORELOS AMPLIACION                                                                                                                          </t>
  </si>
  <si>
    <t>09FUA0037L</t>
  </si>
  <si>
    <t xml:space="preserve">UNIDAD DE SERVICIOS DE APOYO A LA EDUCACIÓN REGULAR IV-52                                           </t>
  </si>
  <si>
    <t xml:space="preserve">SUR 183 NO 1701                                                                 </t>
  </si>
  <si>
    <t>09FUA0038K</t>
  </si>
  <si>
    <t xml:space="preserve">UNIDAD DE SERVICIOS DE APOYO A LA EDUCACIÓN REGULAR IV-38                                           </t>
  </si>
  <si>
    <t>09FUA0039J</t>
  </si>
  <si>
    <t xml:space="preserve">UNIDAD DE SERVICIOS DE APOYO A LA EDUCACIÓN REGULAR IV-37                                           </t>
  </si>
  <si>
    <t xml:space="preserve">ANDADOR NORTE 200 ESQ MAR TECOLUTLA                                             </t>
  </si>
  <si>
    <t>09FUA0040Z</t>
  </si>
  <si>
    <t xml:space="preserve">UNIDAD DE SERVICIOS DE APOYO A LA EDUCACIÓN REGULAR IV-85                                           </t>
  </si>
  <si>
    <t xml:space="preserve">AZTECA                                                                                                                                      </t>
  </si>
  <si>
    <t>09FUA0041Y</t>
  </si>
  <si>
    <t xml:space="preserve">UNIDAD DE SERVICIOS DE APOYO A LA EDUCACIÓN REGULAR IV-84                                           </t>
  </si>
  <si>
    <t xml:space="preserve">PRIMERO DE MAYO                                                                                                                             </t>
  </si>
  <si>
    <t>09FUA0042X</t>
  </si>
  <si>
    <t xml:space="preserve">UNIDAD DE SERVICIOS DE APOYO A LA EDUCACIÓN REGULAR IV-51                                           </t>
  </si>
  <si>
    <t xml:space="preserve">ANDADOR VEREDA No. 20                                                           </t>
  </si>
  <si>
    <t xml:space="preserve">UNIDAD HABITACIONAL INFONAVIT                                                                                                               </t>
  </si>
  <si>
    <t>09FUA0043W</t>
  </si>
  <si>
    <t xml:space="preserve">UNIDAD DE SERVICIOS DE APOYO A LA EDUCACIÓN REGULAR I-59                                            </t>
  </si>
  <si>
    <t xml:space="preserve">CALZADA DE GUADALUPE No. 166                                                    </t>
  </si>
  <si>
    <t>09FUA0044V</t>
  </si>
  <si>
    <t xml:space="preserve">UNIDAD DE SERVICIOS DE APOYO A LA EDUCACIÓN REGULAR I-62                                            </t>
  </si>
  <si>
    <t>09FUA0045U</t>
  </si>
  <si>
    <t xml:space="preserve">UNIDAD DE SERVICIOS DE APOYO A LA EDUCACIÓN REGULAR III-30                                          </t>
  </si>
  <si>
    <t xml:space="preserve">AV MEXICANOS NO 180                                                             </t>
  </si>
  <si>
    <t>09FUA0046T</t>
  </si>
  <si>
    <t xml:space="preserve">UNIDAD DE SERVICIOS DE APOYO A LA EDUCACIÓN REGULAR III-27                                          </t>
  </si>
  <si>
    <t>09FUA0047S</t>
  </si>
  <si>
    <t xml:space="preserve">UNIDAD DE SERVICIOS DE APOYO A LA EDUCACIÓN REGULAR III-46                                          </t>
  </si>
  <si>
    <t xml:space="preserve">MANZANA H-24                                                                    </t>
  </si>
  <si>
    <t xml:space="preserve">LOMAS DE PLATEROS                                                                                                                           </t>
  </si>
  <si>
    <t>09FUA0048R</t>
  </si>
  <si>
    <t xml:space="preserve">UNIDAD DE SERVICIOS DE APOYO A LA EDUCACIÓN REGULAR III-47                                          </t>
  </si>
  <si>
    <t xml:space="preserve">PROGRESO                                                                                                                                    </t>
  </si>
  <si>
    <t>09FUA0049Q</t>
  </si>
  <si>
    <t xml:space="preserve">UNIDAD DE SERVICIOS DE APOYO A LA EDUCACIÓN REGULAR V-30                                            </t>
  </si>
  <si>
    <t xml:space="preserve">CLUB DEPORTIVO UNIVERSIDAD NO. 300 MZ. 25                                       </t>
  </si>
  <si>
    <t xml:space="preserve">VILLA LAZARO CARDENAS                                                                                                                       </t>
  </si>
  <si>
    <t xml:space="preserve">15 </t>
  </si>
  <si>
    <t>09FUA0050F</t>
  </si>
  <si>
    <t xml:space="preserve">UNIDAD DE SERVICIOS DE APOYO A LA EDUCACIÓN REGULAR III-28                                          </t>
  </si>
  <si>
    <t xml:space="preserve">CALLE 10 Y CANARIOS S/N PARQUE DE LA JUVENTUD                                   </t>
  </si>
  <si>
    <t>09FUA0051E</t>
  </si>
  <si>
    <t xml:space="preserve">UNIDAD DE SERVICIOS DE APOYO A LA EDUCACIÓN REGULAR III-29                                          </t>
  </si>
  <si>
    <t>09FUA0052D</t>
  </si>
  <si>
    <t xml:space="preserve">UNIDAD DE SERVICIOS DE APOYO A LA EDUCACIÓN REGULAR III-60                                          </t>
  </si>
  <si>
    <t xml:space="preserve">AV. DEL ROSAL NO 58                                                             </t>
  </si>
  <si>
    <t>09FUA0053C</t>
  </si>
  <si>
    <t xml:space="preserve">UNIDAD DE SERVICIOS DE APOYO A LA EDUCACIÓN REGULAR V-15                                            </t>
  </si>
  <si>
    <t xml:space="preserve">CULTURA MAYA                                                                                                                                </t>
  </si>
  <si>
    <t>09FUA0054B</t>
  </si>
  <si>
    <t xml:space="preserve">UNIDAD DE SERVICIOS DE APOYO A LA EDUCACIÓN REGULAR III-45                                          </t>
  </si>
  <si>
    <t>09FUA0055A</t>
  </si>
  <si>
    <t xml:space="preserve">UNIDAD DE SERVICIOS DE APOYO A LA EDUCACIÓN REGULAR III-31                                          </t>
  </si>
  <si>
    <t xml:space="preserve">ANDADOR URANO S/N                                                               </t>
  </si>
  <si>
    <t xml:space="preserve">EL CUERNITO                                                                                                                                 </t>
  </si>
  <si>
    <t>09FUA0056Z</t>
  </si>
  <si>
    <t xml:space="preserve">UNIDAD DE SERVICIOS DE APOYO A LA EDUCACION REGULAR III-22                                          </t>
  </si>
  <si>
    <t xml:space="preserve">AV CENTENARIO 1519                                                              </t>
  </si>
  <si>
    <t xml:space="preserve">HERON PROAL                                                                                                                                 </t>
  </si>
  <si>
    <t>09FUA0057Z</t>
  </si>
  <si>
    <t xml:space="preserve">UNIDAD DE SERVICIOS DE APOYO A LA EDUCACIÓN REGULAR V-19                                            </t>
  </si>
  <si>
    <t xml:space="preserve">SINANCHE NO. 10                                                                 </t>
  </si>
  <si>
    <t>09FUA0058Y</t>
  </si>
  <si>
    <t xml:space="preserve">UNIDAD DE SERVICIOS DE APOYO A LA EDUCACIÓN REGULAR III-58                                          </t>
  </si>
  <si>
    <t>09FUA0059X</t>
  </si>
  <si>
    <t xml:space="preserve">UNIDAD DE SERVICIOS DE APOYO A LA EDUCACIÓN REGULAR V-12                                            </t>
  </si>
  <si>
    <t xml:space="preserve">CAMINO REAL AL AJUSCO No 24                                                     </t>
  </si>
  <si>
    <t xml:space="preserve">SAN ANDRES TOTOLTEPEC                                                                                                                       </t>
  </si>
  <si>
    <t>09FUA0060M</t>
  </si>
  <si>
    <t xml:space="preserve">UNIDAD DE SERVICIOS DE APOYO A LA EDUCACIÓN REGULAR III-34                                          </t>
  </si>
  <si>
    <t>09FUA0061L</t>
  </si>
  <si>
    <t xml:space="preserve">UNIDAD DE SERVICIOS DE APOYO A LA EDUCACIÓN REGULAR V-1                                             </t>
  </si>
  <si>
    <t xml:space="preserve">SINANCHE NO 10                                                                  </t>
  </si>
  <si>
    <t>09FUA0062K</t>
  </si>
  <si>
    <t xml:space="preserve">UNIDAD DE SERVICIOS DE APOYO A LA EDUCACIÓN REGULAR V-32                                            </t>
  </si>
  <si>
    <t>09FUA0063J</t>
  </si>
  <si>
    <t xml:space="preserve">UNIDAD DE SERVICIOS DE APOYO A LA EDUCACIÓN REGULAR III-59                                          </t>
  </si>
  <si>
    <t xml:space="preserve">LA GUADALUPE                                                                                                                                </t>
  </si>
  <si>
    <t>09FUA0064I</t>
  </si>
  <si>
    <t xml:space="preserve">UNIDAD DE SERVICIOS DE APOYO A LA EDUCACIÓN REGULAR III-40                                          </t>
  </si>
  <si>
    <t xml:space="preserve">OLIVAR DE LOS PADRES                                                                                                                        </t>
  </si>
  <si>
    <t>09FUA0065H</t>
  </si>
  <si>
    <t xml:space="preserve">UNIDAD DE SERVICIOS DE APOYO A LA EDUCACIÓN REGULAR I-12                                            </t>
  </si>
  <si>
    <t>09FUA0066G</t>
  </si>
  <si>
    <t xml:space="preserve">UNIDAD DE SERVICIOS DE APOYO A LA EDUCACIÓN REGULAR IV-24                                           </t>
  </si>
  <si>
    <t xml:space="preserve">UNIDAD HABITACIONAL VILLA PANAMERICANA 3RA SECC                                 </t>
  </si>
  <si>
    <t xml:space="preserve">PEDREGAL DE CARRASCO                                                                                                                        </t>
  </si>
  <si>
    <t>09FUA0067F</t>
  </si>
  <si>
    <t xml:space="preserve">UNIDAD DE SERVICIOS DE APOYO A LA EDUCACIÓN REGULAR IV-6                                            </t>
  </si>
  <si>
    <t xml:space="preserve">CALZADA DE TLALPAN No. 3352                                                     </t>
  </si>
  <si>
    <t>09FUA0068E</t>
  </si>
  <si>
    <t xml:space="preserve">UNIDAD DE SERVICIOS DE APOYO A LA EDUCACIÓN REGULAR IV-17                                           </t>
  </si>
  <si>
    <t xml:space="preserve">CALZADA DE TLALPAN NO 1728                                                      </t>
  </si>
  <si>
    <t xml:space="preserve">COUNTRY CLUB                                                                                                                                </t>
  </si>
  <si>
    <t>09FUA0069D</t>
  </si>
  <si>
    <t xml:space="preserve">UNIDAD DE SERVICIOS DE APOYO A LA EDUCACIÓN REGULAR IV-25                                           </t>
  </si>
  <si>
    <t xml:space="preserve">TEPEYAUCLE S/N                                                                  </t>
  </si>
  <si>
    <t>09FUA0070T</t>
  </si>
  <si>
    <t xml:space="preserve">UNIDAD DE SERVICIOS DE APOYO A LA EDUCACIÓN REGULAR IV-11                                           </t>
  </si>
  <si>
    <t xml:space="preserve">CERRO DE SAN FRANCISCO No. 97                                                   </t>
  </si>
  <si>
    <t xml:space="preserve">CAMPESTRE CHURUBUSCO                                                                                                                        </t>
  </si>
  <si>
    <t>09FUA0071S</t>
  </si>
  <si>
    <t xml:space="preserve">UNIDAD DE SERVICIOS DE APOYO A LA EDUCACIÓN REGULAR IV-26                                           </t>
  </si>
  <si>
    <t xml:space="preserve">ZAPOTECAS Y AV IXTLIXOCHITL S/N                                                 </t>
  </si>
  <si>
    <t>09FUA0072R</t>
  </si>
  <si>
    <t xml:space="preserve">UNIDAD DE SERVICIOS DE APOYO A LA EDUCACIÓN REGULAR IV-1                                            </t>
  </si>
  <si>
    <t xml:space="preserve">VICTORIA NO 17                                                                  </t>
  </si>
  <si>
    <t xml:space="preserve">COPILCO EL BAJO                                                                                                                             </t>
  </si>
  <si>
    <t>09FUA0073Q</t>
  </si>
  <si>
    <t xml:space="preserve">UNIDAD DE SERVICIOS DE APOYO A LA EDUCACIÓN REGULAR IV-12                                           </t>
  </si>
  <si>
    <t>09FUA0074P</t>
  </si>
  <si>
    <t xml:space="preserve">UNIDAD DE SERVICIOS DE APOYO A LA EDUCACIÓN REGULAR IV-27                                           </t>
  </si>
  <si>
    <t xml:space="preserve">CERRADA DE TIZAR S/N                                                            </t>
  </si>
  <si>
    <t>09FUA0075O</t>
  </si>
  <si>
    <t xml:space="preserve">UNIDAD DE SERVICIOS DE APOYO A LA EDUCACIÓN REGULAR III-14                                          </t>
  </si>
  <si>
    <t xml:space="preserve">ELISA NO 74                                                                     </t>
  </si>
  <si>
    <t xml:space="preserve">NATIVITAS                                                                                                                                   </t>
  </si>
  <si>
    <t>09FUA0076N</t>
  </si>
  <si>
    <t xml:space="preserve">UNIDAD DE SERVICIOS DE APOYO A LA EDUCACIÓN REGULAR V-59                                            </t>
  </si>
  <si>
    <t xml:space="preserve">AV. IGNACIO ZARAGOZA S/N                                                        </t>
  </si>
  <si>
    <t xml:space="preserve">SANTIAGO TULYEHUALCO                                                                                                                        </t>
  </si>
  <si>
    <t>09FUA0077M</t>
  </si>
  <si>
    <t xml:space="preserve">UNIDAD DE SERVICIOS DE APOYO A LA EDUCACIÓN REGULAR V-9                                             </t>
  </si>
  <si>
    <t xml:space="preserve">AV. HIDALGO Y ESQ. CUITLAHUAC S/N                                               </t>
  </si>
  <si>
    <t>09FUA0078L</t>
  </si>
  <si>
    <t xml:space="preserve">UNIDAD DE SERVICIOS DE APOYO A LA EDUCACIÓN REGULAR V-48                                            </t>
  </si>
  <si>
    <t xml:space="preserve">LA ASUNCION                                                                                                                                 </t>
  </si>
  <si>
    <t>09FUA0079K</t>
  </si>
  <si>
    <t xml:space="preserve">UNIDAD DE SERVICIOS DE APOYO A LA EDUCACIÓN REGULAR V-27                                            </t>
  </si>
  <si>
    <t xml:space="preserve">EMILIANO ZAPATA No. 50                                                          </t>
  </si>
  <si>
    <t>09FUA0080Z</t>
  </si>
  <si>
    <t xml:space="preserve">UNIDAD DE SERVICIOS DE APOYO A LA EDUCACIÓN REGULAR V-49                                            </t>
  </si>
  <si>
    <t xml:space="preserve">AV. MORELOS S/N                                                                 </t>
  </si>
  <si>
    <t>09FUA0081Z</t>
  </si>
  <si>
    <t xml:space="preserve">UNIDAD DE SERVICIOS DE APOYO A LA EDUCACIÓN REGULAR V-53                                            </t>
  </si>
  <si>
    <t xml:space="preserve">SANTA CRUZ XOCHITEPEC                                                                                                                       </t>
  </si>
  <si>
    <t>09FUA0082Y</t>
  </si>
  <si>
    <t xml:space="preserve">UNIDAD DE SERVICIOS DE APOYO A LA EDUCACIÓN REGULAR V-2                                             </t>
  </si>
  <si>
    <t>09FUA0083X</t>
  </si>
  <si>
    <t xml:space="preserve">UNIDAD DE SERVICIOS DE APOYO A LA EDUCACIÓN REGULAR V-35                                            </t>
  </si>
  <si>
    <t xml:space="preserve">FRANCISCO I. MADERO NO. 15                                                      </t>
  </si>
  <si>
    <t xml:space="preserve">SANTA ANA TLACOTENCO                                                                                                                        </t>
  </si>
  <si>
    <t>09FUA0084W</t>
  </si>
  <si>
    <t xml:space="preserve">UNIDAD DE SERVICIOS DE APOYO A LA EDUCACIÓN REGULAR V-36                                            </t>
  </si>
  <si>
    <t>09FUA0085V</t>
  </si>
  <si>
    <t xml:space="preserve">UNIDAD DE SERVICIOS DE APOYO A LA EDUCACIÓN REGULAR V-21                                            </t>
  </si>
  <si>
    <t xml:space="preserve">PLAN DE AYUTLA NO. 45                                                           </t>
  </si>
  <si>
    <t>09FUA0086U</t>
  </si>
  <si>
    <t xml:space="preserve">UNIDAD DE SERVICIOS DE APOYO A LA EDUCACIÓN REGULAR I-21                                            </t>
  </si>
  <si>
    <t xml:space="preserve">AMADO NERVO S/N                                                                 </t>
  </si>
  <si>
    <t xml:space="preserve">SAN FRANCISCO TETECALA                                                                                                                      </t>
  </si>
  <si>
    <t>09FUA0087T</t>
  </si>
  <si>
    <t xml:space="preserve">UNIDAD DE SERVICIOS DE APOYO A LA EDUCACIÓN REGULAR IV-57                                           </t>
  </si>
  <si>
    <t xml:space="preserve">CIENEGUILLAS Y ALUMINIO S/N                                                     </t>
  </si>
  <si>
    <t xml:space="preserve">POPULAR RASTRO                                                                                                                              </t>
  </si>
  <si>
    <t>09FUA0088S</t>
  </si>
  <si>
    <t xml:space="preserve">USAER 2                                                                                             </t>
  </si>
  <si>
    <t xml:space="preserve">SUR 103-A NO. 624                                                               </t>
  </si>
  <si>
    <t>09FUA0090G</t>
  </si>
  <si>
    <t xml:space="preserve">USAER 63                                                                                            </t>
  </si>
  <si>
    <t xml:space="preserve">GRAL. ABELARDO L. RODRIGUEZ NO. 31                                              </t>
  </si>
  <si>
    <t xml:space="preserve">PRESIDENTES DE MEXICO                                                                                                                       </t>
  </si>
  <si>
    <t>09FUA0091F</t>
  </si>
  <si>
    <t xml:space="preserve">USAER 15                                                                                            </t>
  </si>
  <si>
    <t xml:space="preserve">CONSTITUCION DE APATZINGAN NO. 65                                               </t>
  </si>
  <si>
    <t>09FUA0092E</t>
  </si>
  <si>
    <t xml:space="preserve">USAER 3                                                                                             </t>
  </si>
  <si>
    <t xml:space="preserve">SUR 107-A NO. 228                                                               </t>
  </si>
  <si>
    <t xml:space="preserve">MEXICALTZINGO                                                                                                                               </t>
  </si>
  <si>
    <t>09FUA0093D</t>
  </si>
  <si>
    <t xml:space="preserve">USAER 20                                                                                            </t>
  </si>
  <si>
    <t xml:space="preserve">ANTONIO CARBAJAL Y B. CARBAJAL S/N                                              </t>
  </si>
  <si>
    <t>09FUA0094C</t>
  </si>
  <si>
    <t xml:space="preserve">USAER 1                                                                                             </t>
  </si>
  <si>
    <t xml:space="preserve">PLAYA PIE DE LA CUESTA S/N                                                      </t>
  </si>
  <si>
    <t>09FUA0095B</t>
  </si>
  <si>
    <t xml:space="preserve">USAER 24                                                                                            </t>
  </si>
  <si>
    <t xml:space="preserve">JUAN MANUEL TORREA NO. 30                                                       </t>
  </si>
  <si>
    <t>09FUA0096A</t>
  </si>
  <si>
    <t xml:space="preserve">USAER 56                                                                                            </t>
  </si>
  <si>
    <t xml:space="preserve">CERRADA SIEMPREVIVA S/N                                                         </t>
  </si>
  <si>
    <t xml:space="preserve">LOMAS SAN LORENZO                                                                                                                           </t>
  </si>
  <si>
    <t>09FUA0097Z</t>
  </si>
  <si>
    <t xml:space="preserve">USAER 11                                                                                            </t>
  </si>
  <si>
    <t xml:space="preserve">AVENA NO. 60                                                                    </t>
  </si>
  <si>
    <t xml:space="preserve">GRANJAS MODELO                                                                                                                              </t>
  </si>
  <si>
    <t>09FUA0098Z</t>
  </si>
  <si>
    <t xml:space="preserve">USAER 57                                                                                            </t>
  </si>
  <si>
    <t xml:space="preserve">AREA DE SERVICIOS S/N MANZANA 4                                                 </t>
  </si>
  <si>
    <t xml:space="preserve">EL MOLINO  IZTAPALAPA                                                                                                                       </t>
  </si>
  <si>
    <t>09FUA0099Y</t>
  </si>
  <si>
    <t xml:space="preserve">USAER 6                                                                                             </t>
  </si>
  <si>
    <t xml:space="preserve">SANTA MARIA TOMATLAN                                                                                                                        </t>
  </si>
  <si>
    <t>09FUA0100X</t>
  </si>
  <si>
    <t xml:space="preserve">USAER 25                                                                                            </t>
  </si>
  <si>
    <t xml:space="preserve">BALBANERA NO. 4                                                                 </t>
  </si>
  <si>
    <t>09FUA0101W</t>
  </si>
  <si>
    <t xml:space="preserve">USAER 66                                                                                            </t>
  </si>
  <si>
    <t xml:space="preserve">PRIV. DE BENJAMIN HILL NO. 1                                                    </t>
  </si>
  <si>
    <t xml:space="preserve">FRANCISCO VILLA                                                                                                                             </t>
  </si>
  <si>
    <t>09FUA0102V</t>
  </si>
  <si>
    <t xml:space="preserve">USAER 18                                                                                            </t>
  </si>
  <si>
    <t>09FUA0106R</t>
  </si>
  <si>
    <t xml:space="preserve">USAER 43                                                                                            </t>
  </si>
  <si>
    <t xml:space="preserve">PRIV. SAN JUAN NO. 17                                                           </t>
  </si>
  <si>
    <t xml:space="preserve">RICARDO FLORES MAGON                                                                                                                        </t>
  </si>
  <si>
    <t>09FUA0107Q</t>
  </si>
  <si>
    <t xml:space="preserve">USAER 52                                                                                            </t>
  </si>
  <si>
    <t xml:space="preserve">CLAVELES S/N                                                                    </t>
  </si>
  <si>
    <t xml:space="preserve">JARDINES SAN LORENZO TEZONCO                                                                                                                </t>
  </si>
  <si>
    <t>09FUA0108P</t>
  </si>
  <si>
    <t xml:space="preserve">UNIDAD DE SERVICIOS DE APOYO A LA EDUCACIÓN REGULAR IV-13                                           </t>
  </si>
  <si>
    <t>09FUA0109O</t>
  </si>
  <si>
    <t xml:space="preserve">UNIDAD DE SERVICIOS DE APOYO A LA EDUCACIÓN REGULAR IV-28                                           </t>
  </si>
  <si>
    <t xml:space="preserve">ANDADOR DEIDADES S/N                                                            </t>
  </si>
  <si>
    <t>09FUA0110D</t>
  </si>
  <si>
    <t xml:space="preserve">UNIDAD DE SERVICIOS DE APOYO A LA EDUCACIÓN REGULAR III-2                                           </t>
  </si>
  <si>
    <t xml:space="preserve">ADOLFO PRIETO NO 1128                                                           </t>
  </si>
  <si>
    <t>09FUA0111C</t>
  </si>
  <si>
    <t xml:space="preserve">UNIDAD DE SERVICIOS DE APOYO A LA EDUCACIÓN REGULAR I-13                                            </t>
  </si>
  <si>
    <t xml:space="preserve">UN HOGAR PARA NOSOTROS                                                                                                                      </t>
  </si>
  <si>
    <t>09FUA0112B</t>
  </si>
  <si>
    <t xml:space="preserve">UNIDAD DE SERVICIOS DE APOYO A LA EDUCACIÓN REGULAR I-14                                            </t>
  </si>
  <si>
    <t xml:space="preserve">AV. MAESTRO RURAL No. 57                                                        </t>
  </si>
  <si>
    <t>09FUA0113A</t>
  </si>
  <si>
    <t xml:space="preserve">UNIDAD DE SERVICIOS DE APOYO A LA EDUCACIÓN REGULAR III-55                                          </t>
  </si>
  <si>
    <t>09FUA0114Z</t>
  </si>
  <si>
    <t xml:space="preserve">UNIDAD DE SERVICIOS DE APOYO A LA EDUCACIÓN REGULAR I-16                                            </t>
  </si>
  <si>
    <t>09FUA0115Z</t>
  </si>
  <si>
    <t xml:space="preserve">UNIDAD DE SERVICIOS DE APOYO A LA EDUCACIÓN REGULAR I-17                                            </t>
  </si>
  <si>
    <t xml:space="preserve">ANTONIO VALERIANO S/N                                                           </t>
  </si>
  <si>
    <t xml:space="preserve">SAN FRANCISCO XOCOTITLA                                                                                                                     </t>
  </si>
  <si>
    <t>09FUA0116Y</t>
  </si>
  <si>
    <t xml:space="preserve">UNIDAD DE SERVICIOS DE APOYO A LA EDUCACIÓN REGULAR I-18                                            </t>
  </si>
  <si>
    <t xml:space="preserve">GOLFO DE CALIFORNIA No. 15                                                      </t>
  </si>
  <si>
    <t>09FUA0117X</t>
  </si>
  <si>
    <t xml:space="preserve">UNIDAD DE SERVICIOS DE APOYO A LA EDUCACIÓN REGULAR III-56                                          </t>
  </si>
  <si>
    <t xml:space="preserve">GRANJAS NO 10-B                                                                 </t>
  </si>
  <si>
    <t>09FUA0118W</t>
  </si>
  <si>
    <t xml:space="preserve">UNIDAD DE SERVICIOS DE APOYO A LA EDUCACIÓN REGULAR I-23                                            </t>
  </si>
  <si>
    <t xml:space="preserve">SAN MIGUEL AMANTLA                                                                                                                          </t>
  </si>
  <si>
    <t>09FUA0119V</t>
  </si>
  <si>
    <t xml:space="preserve">UNIDAD DE SERVICIOS DE APOYO A LA EDUCACIÓN REGULAR I-3                                             </t>
  </si>
  <si>
    <t xml:space="preserve">PRIVADA DEL R0SARIO No. 5                                                       </t>
  </si>
  <si>
    <t xml:space="preserve">SAN MARTIN XOCHINAHUAC                                                                                                                      </t>
  </si>
  <si>
    <t>09FUA0120K</t>
  </si>
  <si>
    <t xml:space="preserve">UNIDAD DE SERVICIOS DE APOYO A LA EDUCACIÓN REGULAR II-18                                           </t>
  </si>
  <si>
    <t xml:space="preserve">AV. 17 DE MAYO Y MONTEVIDEO S/N                                                 </t>
  </si>
  <si>
    <t>09FUA0121J</t>
  </si>
  <si>
    <t xml:space="preserve">UNIDAD DE SERVICIOS DE APOYO A LA EDUCACIÓN REGULAR II-19                                           </t>
  </si>
  <si>
    <t xml:space="preserve">NORTE 70 S/N                                                                    </t>
  </si>
  <si>
    <t>09FUA0122I</t>
  </si>
  <si>
    <t xml:space="preserve">UNIDAD DE SERVICIOS DE APOYO A LA EDUCACIÓN REGULAR II-20                                           </t>
  </si>
  <si>
    <t xml:space="preserve">CARUSO S/N                                                                      </t>
  </si>
  <si>
    <t>09FUA0123H</t>
  </si>
  <si>
    <t xml:space="preserve">UNIDAD DE SERVICIOS DE APOYO A LA EDUCACIÓN REGULAR II-21                                           </t>
  </si>
  <si>
    <t xml:space="preserve">LA VICTORIA NO 203                                                              </t>
  </si>
  <si>
    <t>09FUA0124G</t>
  </si>
  <si>
    <t xml:space="preserve">UNIDAD DE SERVICIOS DE APOYO A LA EDUCACIÓN REGULAR II-22                                           </t>
  </si>
  <si>
    <t>09FUA0125F</t>
  </si>
  <si>
    <t xml:space="preserve">UNIDAD DE SERVICIOS DE APOYO A LA EDUCACIÓN REGULAR II-23                                           </t>
  </si>
  <si>
    <t xml:space="preserve">PUERTO TAMPICO S/N                                                              </t>
  </si>
  <si>
    <t xml:space="preserve">CASAS ALEMAN AMPLIACION                                                                                                                     </t>
  </si>
  <si>
    <t>09FUA0126E</t>
  </si>
  <si>
    <t xml:space="preserve">UNIDAD DE SERVICIOS DE APOYO A LA EDUCACIÓN REGULAR II-24                                           </t>
  </si>
  <si>
    <t xml:space="preserve">AV 585 NO 28 PLAZA 13                                                           </t>
  </si>
  <si>
    <t xml:space="preserve">UNIDAD SAN JUAN DE ARAGON 3A SECCIO                                                                                                         </t>
  </si>
  <si>
    <t>09FUA0127D</t>
  </si>
  <si>
    <t xml:space="preserve">UNIDAD DE SERVICIOS DE APOYO A LA EDUCACIÓN REGULAR II-25                                           </t>
  </si>
  <si>
    <t xml:space="preserve">ESTADO DE OAXACA S/N                                                            </t>
  </si>
  <si>
    <t>09FUA0128C</t>
  </si>
  <si>
    <t xml:space="preserve">UNIDAD DE SERVICIOS DE APOYO A LA EDUCACIÓN REGULAR I-53                                            </t>
  </si>
  <si>
    <t>09FUA0129B</t>
  </si>
  <si>
    <t xml:space="preserve">UNIDAD DE SERVICIOS DE APOYO A LA EDUCACIÓN REGULAR I-63                                            </t>
  </si>
  <si>
    <t>09FUA0130R</t>
  </si>
  <si>
    <t xml:space="preserve">UNIDAD DE SERVICIOS DE APOYO A LA EDUCACIÓN REGULAR IV-58                                           </t>
  </si>
  <si>
    <t xml:space="preserve">PELUQUEROS NO 168 BIS                                                           </t>
  </si>
  <si>
    <t>09FUA0131Q</t>
  </si>
  <si>
    <t xml:space="preserve">UNIDAD DE SERVICIOS DE APOYO A LA EDUCACIÓN REGULAR IV-70                                           </t>
  </si>
  <si>
    <t xml:space="preserve">SUR 105 S/N                                                                     </t>
  </si>
  <si>
    <t xml:space="preserve">AERONAUTICA MILITAR                                                                                                                         </t>
  </si>
  <si>
    <t>09FUA0132P</t>
  </si>
  <si>
    <t xml:space="preserve">UNIDAD DE SERVICIOS DE APOYO A LA EDUCACIÓN REGULAR IV-71                                           </t>
  </si>
  <si>
    <t>09FUA0133O</t>
  </si>
  <si>
    <t xml:space="preserve">UNIDAD DE SERVICIOS DE APOYO A LA EDUCACIÓN REGULAR I-46                                            </t>
  </si>
  <si>
    <t>09FUA0134N</t>
  </si>
  <si>
    <t xml:space="preserve">UNIDAD DE SERVICIOS DE APOYO A LA EDUCACIÓN REGULAR IV-72                                           </t>
  </si>
  <si>
    <t xml:space="preserve">INT PARQUE BALBUENA NO 34                                                       </t>
  </si>
  <si>
    <t>09FUA0135M</t>
  </si>
  <si>
    <t xml:space="preserve">UNIDAD DE SERVICIOS DE APOYO A LA EDUCACIÓN REGULAR I-47                                            </t>
  </si>
  <si>
    <t xml:space="preserve">ALMACENES No. 84                                                                </t>
  </si>
  <si>
    <t>09FUA0136L</t>
  </si>
  <si>
    <t xml:space="preserve">UNIDAD DE SERVICIOS DE APOYO A LA EDUCACIÓN REGULAR III-18                                          </t>
  </si>
  <si>
    <t xml:space="preserve">RAFAEL CHECA NO 2                                                               </t>
  </si>
  <si>
    <t xml:space="preserve">SANTA ROSA XOCHIAC                                                                                                                          </t>
  </si>
  <si>
    <t>09FUA0137K</t>
  </si>
  <si>
    <t xml:space="preserve">UNIDAD DE SERVICIOS DE APOYO A LA EDUCACIÓN REGULAR III-48                                          </t>
  </si>
  <si>
    <t>09FUA0138J</t>
  </si>
  <si>
    <t xml:space="preserve">UNIDAD DE SERVICIOS DE APOYO A LA EDUCACIÓN REGULAR III-49                                          </t>
  </si>
  <si>
    <t>09FUA0139I</t>
  </si>
  <si>
    <t xml:space="preserve">UNIDAD DE SERVICIOS DE APOYO A LA EDUCACIÓN REGULAR V-11                                            </t>
  </si>
  <si>
    <t>09FUA0140Y</t>
  </si>
  <si>
    <t xml:space="preserve">UNIDAD DE SERVICIOS DE APOYO A LA EDUCACIÓN REGULAR V-16                                            </t>
  </si>
  <si>
    <t xml:space="preserve">LACANDONES NO. 15                                                               </t>
  </si>
  <si>
    <t xml:space="preserve">PEDREGAL LAS AGUILAS                                                                                                                        </t>
  </si>
  <si>
    <t>09FUA0141X</t>
  </si>
  <si>
    <t xml:space="preserve">UNIDAD DE SERVICIOS DE APOYO A LA EDUCACIÓN REGULAR V-33                                            </t>
  </si>
  <si>
    <t xml:space="preserve">LAS FUENTES NO. 16                                                              </t>
  </si>
  <si>
    <t>09FUA0142W</t>
  </si>
  <si>
    <t xml:space="preserve">UNIDAD DE SERVICIOS DE APOYO A LA EDUCACIÓN REGULAR V-37                                            </t>
  </si>
  <si>
    <t xml:space="preserve">AV. LA CARRETA NO. 72 U. H. NARCISO MENDOZA                                     </t>
  </si>
  <si>
    <t xml:space="preserve">VILLA COAPA                                                                                                                                 </t>
  </si>
  <si>
    <t>09FUA0143V</t>
  </si>
  <si>
    <t xml:space="preserve">UNIDAD DE SERVICIOS DE APOYO A LA EDUCACIÓN REGULAR III-11                                          </t>
  </si>
  <si>
    <t xml:space="preserve">CALLE 7 NO 54                                                                   </t>
  </si>
  <si>
    <t>09FUA0144U</t>
  </si>
  <si>
    <t xml:space="preserve">UNIDAD DE SERVICIOS DE APOYO A LA EDUCACIÓN REGULAR III-8                                           </t>
  </si>
  <si>
    <t xml:space="preserve">NATAL PESADO No. 8                                                              </t>
  </si>
  <si>
    <t>09FUA0146S</t>
  </si>
  <si>
    <t xml:space="preserve">UNIDAD DE SERVICIOS DE APOYO A LA EDUCACIÓN REGULAR III-3                                           </t>
  </si>
  <si>
    <t xml:space="preserve">MAYORAZGO NO 80                                                                 </t>
  </si>
  <si>
    <t xml:space="preserve">XOCO                                                                                                                                        </t>
  </si>
  <si>
    <t>09FUA0147R</t>
  </si>
  <si>
    <t xml:space="preserve">UNIDAD DE SERVICIOS DE APOYO A LA EDUCACIÓN REGULAR III-4                                           </t>
  </si>
  <si>
    <t>09FUA0148Q</t>
  </si>
  <si>
    <t xml:space="preserve">UNIDAD DE SERVICIOS DE APOYO A LA EDUCACIÓN REGULAR IV-2                                            </t>
  </si>
  <si>
    <t xml:space="preserve">ABASOLO NO. 36                                                                  </t>
  </si>
  <si>
    <t>09FUA0149P</t>
  </si>
  <si>
    <t xml:space="preserve">UNIDAD DE SERVICIOS DE APOYO A LA EDUCACIÓN REGULAR IV-3                                            </t>
  </si>
  <si>
    <t xml:space="preserve">TORRESCO NO 7                                                                   </t>
  </si>
  <si>
    <t xml:space="preserve">SANTA CATARINA                                                                                                                              </t>
  </si>
  <si>
    <t>09FUA0150E</t>
  </si>
  <si>
    <t xml:space="preserve">UNIDAD DE SERVICIOS DE APOYO A LA EDUCACIÓN REGULAR IV-4                                            </t>
  </si>
  <si>
    <t>09FUA0151D</t>
  </si>
  <si>
    <t xml:space="preserve">UNIDAD DE SERVICIOS DE APOYO A LA EDUCACIÓN REGULAR IV-14                                           </t>
  </si>
  <si>
    <t xml:space="preserve">CERRO DE SAN FRANCISCO NO 97                                                    </t>
  </si>
  <si>
    <t>09FUA0152C</t>
  </si>
  <si>
    <t xml:space="preserve">UNIDAD DE SERVICIOS DE APOYO A LA EDUCACIÓN REGULAR IV-29                                           </t>
  </si>
  <si>
    <t xml:space="preserve">COYAMEL NO 178                                                                  </t>
  </si>
  <si>
    <t>09FUA0153B</t>
  </si>
  <si>
    <t xml:space="preserve">UNIDAD DE SERVICIOS DE APOYO A LA EDUCACIÓN REGULAR IV-7                                            </t>
  </si>
  <si>
    <t xml:space="preserve">SAN PASCASIO Y SAN HERMILO S/N                                                  </t>
  </si>
  <si>
    <t>09FUA0154A</t>
  </si>
  <si>
    <t xml:space="preserve">UNIDAD DE SERVICIOS DE APOYO A LA EDUCACIÓN REGULAR IV-18                                           </t>
  </si>
  <si>
    <t xml:space="preserve">10 DE ABRIL S/N                                                                 </t>
  </si>
  <si>
    <t xml:space="preserve">UNIDAD HABITACIONAL EMILIANO ZAPATA                                                                                                         </t>
  </si>
  <si>
    <t>09FUA0155Z</t>
  </si>
  <si>
    <t xml:space="preserve">UNIDAD DE SERVICIOS DE APOYO A LA EDUCACIÓN REGULAR IV-19                                           </t>
  </si>
  <si>
    <t xml:space="preserve">CALLE X S/N                                                                     </t>
  </si>
  <si>
    <t xml:space="preserve">UNIDAD HABITACIONAL ALIANZA POPULAR                                                                                                         </t>
  </si>
  <si>
    <t>09FUA0156Z</t>
  </si>
  <si>
    <t xml:space="preserve">UNIDAD DE SERVICIOS DE APOYO A LA EDUCACIÓN REGULAR III-10                                          </t>
  </si>
  <si>
    <t xml:space="preserve">MORAS No. 634                                                                   </t>
  </si>
  <si>
    <t>09FUA0157Y</t>
  </si>
  <si>
    <t xml:space="preserve">UNIDAD DE SERVICIOS DE APOYO A LA EDUCACIÓN REGULAR III-5                                           </t>
  </si>
  <si>
    <t>09FUA0158X</t>
  </si>
  <si>
    <t xml:space="preserve">UNIDAD DE SERVICIOS DE APOYO A LA EDUCACIÓN REGULAR III-15                                          </t>
  </si>
  <si>
    <t xml:space="preserve">ALAMOS                                                                                                                                      </t>
  </si>
  <si>
    <t>09FUA0159W</t>
  </si>
  <si>
    <t xml:space="preserve">UNIDAD DE SERVICIOS DE APOYO A LA EDUCACIÓN REGULAR V-60                                            </t>
  </si>
  <si>
    <t xml:space="preserve">SANTA CRUZ ACALPIXCA                                                                                                                        </t>
  </si>
  <si>
    <t>09FUA0160L</t>
  </si>
  <si>
    <t xml:space="preserve">UNIDAD DE SERVICIOS DE APOYO A LA EDUCACIÓN REGULAR V-38                                            </t>
  </si>
  <si>
    <t xml:space="preserve">BARRANCA SECA S/N                                                               </t>
  </si>
  <si>
    <t>09FUA0161K</t>
  </si>
  <si>
    <t xml:space="preserve">UNIDAD DE SERVICIOS DE APOYO A LA EDUCACIÓN REGULAR V-39                                            </t>
  </si>
  <si>
    <t>09FUA0162J</t>
  </si>
  <si>
    <t xml:space="preserve">UNIDAD DE SERVICIOS DE APOYO A LA EDUCACIÓN REGULAR V-22                                            </t>
  </si>
  <si>
    <t xml:space="preserve">MAR DE LOS VAPORES S/N                                                          </t>
  </si>
  <si>
    <t xml:space="preserve">SELENE AMPLIACION                                                                                                                           </t>
  </si>
  <si>
    <t>09FUA0163I</t>
  </si>
  <si>
    <t xml:space="preserve">UNIDAD DE SERVICIOS DE APOYO A LA EDUCACIÓN REGULAR V-23                                            </t>
  </si>
  <si>
    <t>09FUA0164H</t>
  </si>
  <si>
    <t xml:space="preserve">UNIDAD DE SERVICIOS DE APOYO A LA EDUCACIÓN REGULAR V-64                                            </t>
  </si>
  <si>
    <t xml:space="preserve">AV. HIDALGO S/N                                                                 </t>
  </si>
  <si>
    <t xml:space="preserve">SAN LORENZO ATEMOAYA                                                                                                                        </t>
  </si>
  <si>
    <t>09FUA0165G</t>
  </si>
  <si>
    <t xml:space="preserve">UNIDAD DE SERVICIOS DE APOYO A LA EDUCACIÓN REGULAR V-65                                            </t>
  </si>
  <si>
    <t xml:space="preserve">ANTIGUO CAMINO A SAN LUCAS Y PROL. 16 DE SEPTIEMBRE                             </t>
  </si>
  <si>
    <t xml:space="preserve">UNIDAD INFONAVIT NATIVITAS                                                                                                                  </t>
  </si>
  <si>
    <t>09FUA0166F</t>
  </si>
  <si>
    <t xml:space="preserve">UNIDAD DE SERVICIOS DE APOYO A LA EDUCACIÓN REGULAR V-50                                            </t>
  </si>
  <si>
    <t>09FUA0167E</t>
  </si>
  <si>
    <t xml:space="preserve">UNIDAD DE SERVICIOS DE APOYO A LA EDUCACIÓN REGULAR V-66                                            </t>
  </si>
  <si>
    <t>09FUA0168D</t>
  </si>
  <si>
    <t xml:space="preserve">UNIDAD DE SERVICIOS DE APOYO A LA EDUCACIÓN REGULAR V-51                                            </t>
  </si>
  <si>
    <t>09FUA0169C</t>
  </si>
  <si>
    <t xml:space="preserve">UNIDAD DE SERVICIOS DE APOYO A LA EDUCACIÓN REGULAR V-52                                            </t>
  </si>
  <si>
    <t>09FUA0170S</t>
  </si>
  <si>
    <t xml:space="preserve">UNIDAD DE SERVICIOS DE APOYO A LA EDUCACIÓN REGULAR III-41                                          </t>
  </si>
  <si>
    <t>09FUA0171R</t>
  </si>
  <si>
    <t xml:space="preserve">UNIDAD DE SERVICIOS DE APOYO A LA EDUCACIÓN REGULAR III-24                                          </t>
  </si>
  <si>
    <t xml:space="preserve">AV HIDALGO Y CALLE 36 S/N                                                       </t>
  </si>
  <si>
    <t xml:space="preserve">COLINAS DEL SUR                                                                                                                             </t>
  </si>
  <si>
    <t>09FUA0172Q</t>
  </si>
  <si>
    <t xml:space="preserve">UNIDAD DE SERVICIOS DE APOYO A LA EDUCACIÓN REGULAR III-25                                          </t>
  </si>
  <si>
    <t>09FUA0173P</t>
  </si>
  <si>
    <t xml:space="preserve">UNIDAD DE SERVICIOS DE APOYO A LA EDUCACIÓN REGULAR IV-8                                            </t>
  </si>
  <si>
    <t xml:space="preserve">SAN ALEJANDRO S/N                                                               </t>
  </si>
  <si>
    <t xml:space="preserve">JARDINES DE COYOACAN                                                                                                                        </t>
  </si>
  <si>
    <t>09FUA0174O</t>
  </si>
  <si>
    <t xml:space="preserve">UNIDAD DE SERVICIOS DE APOYO A LA EDUCACIÓN REGULAR III-6                                           </t>
  </si>
  <si>
    <t>09FUA0176M</t>
  </si>
  <si>
    <t xml:space="preserve">UNIDAD DE SERVICIOS DE APOYO A LA EDUCACIÓN REGULAR III-26                                          </t>
  </si>
  <si>
    <t>09FUA0177L</t>
  </si>
  <si>
    <t xml:space="preserve">UNIDAD DE SERVICIOS DE APOYO A LA EDUCACIÓN REGULAR V-31                                            </t>
  </si>
  <si>
    <t xml:space="preserve">MAGUEY S/N                                                                      </t>
  </si>
  <si>
    <t xml:space="preserve">CRUZ DEL FAROL                                                                                                                              </t>
  </si>
  <si>
    <t>09FUA0178K</t>
  </si>
  <si>
    <t xml:space="preserve">UNIDAD DE SERVICIOS DE APOYO A LA EDUCACIÓN REGULAR III-62                                          </t>
  </si>
  <si>
    <t xml:space="preserve">AV. OAXACA NO 18                                                                </t>
  </si>
  <si>
    <t>09FUA0179J</t>
  </si>
  <si>
    <t xml:space="preserve">UNIDAD DE SERVICIOS DE APOYO A LA EDUCACIÓN REGULAR V-18                                            </t>
  </si>
  <si>
    <t xml:space="preserve">LACANDONES No. 15                                                               </t>
  </si>
  <si>
    <t>09FUA0180Z</t>
  </si>
  <si>
    <t xml:space="preserve">UNIDAD DE SERVICIOS DE APOYO A LA EDUCACIÓN REGULAR V-17                                            </t>
  </si>
  <si>
    <t>09FUA0181Y</t>
  </si>
  <si>
    <t xml:space="preserve">UNIDAD DE SERVICIOS DE APOYO A LA EDUCACIÓN REGULAR III-37                                          </t>
  </si>
  <si>
    <t xml:space="preserve">ROSA VULCANO NO 2                                                               </t>
  </si>
  <si>
    <t>09FUA0182X</t>
  </si>
  <si>
    <t xml:space="preserve">UNIDAD DE SERVICIOS DE APOYO A LA EDUCACIÓN REGULAR III-33                                          </t>
  </si>
  <si>
    <t>09FUA0183W</t>
  </si>
  <si>
    <t xml:space="preserve">UNIDAD DE SERVICIOS DE APOYO A LA EDUCACIÓN REGULAR III-19                                          </t>
  </si>
  <si>
    <t>09FUA0184V</t>
  </si>
  <si>
    <t xml:space="preserve">UNIDAD DE SERVICIOS DE APOYO A LA EDUCACIÓN REGULAR III-42                                          </t>
  </si>
  <si>
    <t xml:space="preserve">CARMEN No. 3                                                                    </t>
  </si>
  <si>
    <t>09FUA0185U</t>
  </si>
  <si>
    <t xml:space="preserve">UNIDAD DE SERVICIOS DE APOYO A LA EDUCACIÓN REGULAR II-26                                           </t>
  </si>
  <si>
    <t xml:space="preserve">VOLCAN IZTACCIHUATL No. 90                                                      </t>
  </si>
  <si>
    <t xml:space="preserve">LA PRADERA                                                                                                                                  </t>
  </si>
  <si>
    <t>09FUA0186T</t>
  </si>
  <si>
    <t xml:space="preserve">USAER 69                                                                                            </t>
  </si>
  <si>
    <t>09FUA0187S</t>
  </si>
  <si>
    <t xml:space="preserve">UNIDAD DE SERVICIOS DE APOYO A LA EDUCACIÓN REGULAR I-22                                            </t>
  </si>
  <si>
    <t>09FUA0188R</t>
  </si>
  <si>
    <t xml:space="preserve">UNIDAD DE SERVICIOS DE APOYO A LA EDUCACIÓN REGULAR I-19                                            </t>
  </si>
  <si>
    <t xml:space="preserve">AV. CENTRAL NO. 39                                                              </t>
  </si>
  <si>
    <t>09FUA0189Q</t>
  </si>
  <si>
    <t xml:space="preserve">UNIDAD DE SERVICIOS DE APOYO A LA EDUCACIÓN REGULAR III-53                                          </t>
  </si>
  <si>
    <t xml:space="preserve">LA PILA                                                                                                                                     </t>
  </si>
  <si>
    <t>09FUA0190F</t>
  </si>
  <si>
    <t xml:space="preserve">UNIDAD DE SERVICIOS DE APOYO A LA EDUCACIÓN REGULAR I-5                                             </t>
  </si>
  <si>
    <t>09FUA0191E</t>
  </si>
  <si>
    <t xml:space="preserve">UNIDAD DE SERVICIOS DE APOYO A LA EDUCACIÓN REGULAR II-27                                           </t>
  </si>
  <si>
    <t xml:space="preserve">VOLCAN ACATENANGO Y VOLCAN ZUNIL S/N                                            </t>
  </si>
  <si>
    <t>09FUA0192D</t>
  </si>
  <si>
    <t xml:space="preserve">UNIDAD DE SERVICIOS DE APOYO A LA EDUCACIÓN REGULAR II-28                                           </t>
  </si>
  <si>
    <t xml:space="preserve">CALZADA DE LOS MISTERIOS No. 795                                                </t>
  </si>
  <si>
    <t>09FUA0193C</t>
  </si>
  <si>
    <t xml:space="preserve">UNIDAD DE SERVICIOS DE APOYO A LA EDUCACIÓN REGULAR II-29                                           </t>
  </si>
  <si>
    <t xml:space="preserve">AV.POLITECNICO NACIONAL NO 4847                                                 </t>
  </si>
  <si>
    <t xml:space="preserve">TLACAMACA                                                                                                                                   </t>
  </si>
  <si>
    <t>09FUA0194B</t>
  </si>
  <si>
    <t xml:space="preserve">UNIDAD DE SERVICIOS DE APOYO A LA EDUCACIÓN REGULAR IV-59                                           </t>
  </si>
  <si>
    <t>09FUA0195A</t>
  </si>
  <si>
    <t xml:space="preserve">UNIDAD DE SERVICIOS DE APOYO A LA EDUCACIÓN REGULAR I-45                                            </t>
  </si>
  <si>
    <t>09FUA0196Z</t>
  </si>
  <si>
    <t xml:space="preserve">UNIDAD DE SERVICIOS DE APOYO A LA EDUCACIÓN REGULAR IV-65                                           </t>
  </si>
  <si>
    <t xml:space="preserve">GOBERNACION NO 72                                                               </t>
  </si>
  <si>
    <t>09FUA0197Z</t>
  </si>
  <si>
    <t xml:space="preserve">UNIDAD DE SERVICIOS DE APOYO A LA EDUCACIÓN REGULAR IV-43                                           </t>
  </si>
  <si>
    <t xml:space="preserve">CUCHILLA AGRICOLA PANTITLAN                                                                                                                 </t>
  </si>
  <si>
    <t>09FUA0198Y</t>
  </si>
  <si>
    <t xml:space="preserve">UNIDAD DE SERVICIOS DE APOYO A LA EDUCACIÓN REGULAR IV-62                                           </t>
  </si>
  <si>
    <t>09FUA0199X</t>
  </si>
  <si>
    <t xml:space="preserve">UNIDAD DE SERVICIOS DE APOYO A LA EDUCACIÓN REGULAR IV-63                                           </t>
  </si>
  <si>
    <t>09FUA0200W</t>
  </si>
  <si>
    <t xml:space="preserve">UNIDAD DE SERVICIOS DE APOYO A LA EDUCACIÓN REGULAR I-51                                            </t>
  </si>
  <si>
    <t>09FUA0201V</t>
  </si>
  <si>
    <t xml:space="preserve">UNIDAD DE SERVICIOS DE APOYO A LA EDUCACIÓN REGULAR III-43                                          </t>
  </si>
  <si>
    <t>09FUA0202U</t>
  </si>
  <si>
    <t xml:space="preserve">UNIDAD DE SERVICIOS DE APOYO A LA EDUCACIÓN REGULAR V-41                                            </t>
  </si>
  <si>
    <t xml:space="preserve">MAGISTERIO NACIONAL NO. 102                                                     </t>
  </si>
  <si>
    <t>09FUA0203T</t>
  </si>
  <si>
    <t xml:space="preserve">UNIDAD DE SERVICIOS DE APOYO A LA EDUCACIÓN REGULAR II-30                                           </t>
  </si>
  <si>
    <t xml:space="preserve">LUIS DE LA ROSA S/N                                                             </t>
  </si>
  <si>
    <t>09FUA0204S</t>
  </si>
  <si>
    <t xml:space="preserve">UNIDAD DE SERVICIOS DE APOYO A LA EDUCACIÓN REGULAR II-31                                           </t>
  </si>
  <si>
    <t xml:space="preserve">NORTE 3 S/N                                                                     </t>
  </si>
  <si>
    <t xml:space="preserve">DEFENSORES DE LA REPUBLICA                                                                                                                  </t>
  </si>
  <si>
    <t>09FUA0205R</t>
  </si>
  <si>
    <t xml:space="preserve">UNIDAD DE SERVICIOS DE APOYO A LA EDUCACIÓN REGULAR II-32                                           </t>
  </si>
  <si>
    <t>09FUA0206Q</t>
  </si>
  <si>
    <t xml:space="preserve">UNIDAD DE SERVICIOS DE APOYO A LA EDUCACIÓN REGULAR IV-86                                           </t>
  </si>
  <si>
    <t>09FUA0207P</t>
  </si>
  <si>
    <t xml:space="preserve">UNIDAD DE SERVICIOS DE APOYO A LA EDUCACIÓN REGULAR IV-87                                           </t>
  </si>
  <si>
    <t>09FUA0208O</t>
  </si>
  <si>
    <t xml:space="preserve">UNIDAD DE SERVICIOS DE APOYO A LA EDUCACIÓN REGULAR IV-32                                           </t>
  </si>
  <si>
    <t xml:space="preserve">ORIENTE 110 No. 1999                                                            </t>
  </si>
  <si>
    <t>09FUA0209N</t>
  </si>
  <si>
    <t xml:space="preserve">UNIDAD DE SERVICIOS DE APOYO A LA EDUCACIÓN REGULAR IV-33                                           </t>
  </si>
  <si>
    <t xml:space="preserve">ORIENTE 102 S/N ESQUINA SUR 119                                                 </t>
  </si>
  <si>
    <t>09FUA0210C</t>
  </si>
  <si>
    <t xml:space="preserve">UNIDAD DE SERVICIOS DE APOYO A LA EDUCACIÓN REGULAR IV-76                                           </t>
  </si>
  <si>
    <t>09FUA0211B</t>
  </si>
  <si>
    <t xml:space="preserve">UNIDAD DE SERVICIOS DE APOYO A LA EDUCACIÓN REGULAR I-56                                            </t>
  </si>
  <si>
    <t>09FUA0212A</t>
  </si>
  <si>
    <t xml:space="preserve">UNIDAD DE SERVICIOS DE APOYO A LA EDUCACIÓN REGULAR IV-21                                           </t>
  </si>
  <si>
    <t xml:space="preserve">MANUELA MEDINA Y EST. DOLORES GUERRERO S/N                                      </t>
  </si>
  <si>
    <t xml:space="preserve">UNIDAD HABITACIONAL CTM OCHO                                                                                                                </t>
  </si>
  <si>
    <t>09FUA0213Z</t>
  </si>
  <si>
    <t xml:space="preserve">UNIDAD DE SERVICIOS DE APOYO A LA EDUCACIÓN REGULAR IV-20                                           </t>
  </si>
  <si>
    <t xml:space="preserve">UNIDAD HABITACIONAL CTM NUEVE                                                                                                               </t>
  </si>
  <si>
    <t>09FUA0214Z</t>
  </si>
  <si>
    <t xml:space="preserve">UNIDAD DE SERVICIOS DE APOYO A LA EDUCACIÓN REGULAR II-33                                           </t>
  </si>
  <si>
    <t xml:space="preserve">ANTONIO CASO S/N                                                                </t>
  </si>
  <si>
    <t xml:space="preserve">ZONA ESCOLAR                                                                                                                                </t>
  </si>
  <si>
    <t>09FUA0215Y</t>
  </si>
  <si>
    <t xml:space="preserve">UNIDAD DE SERVICIOS DE APOYO A LA EDUCACIÓN REGULAR II-34                                           </t>
  </si>
  <si>
    <t xml:space="preserve">CALLE 22 S/N                                                                    </t>
  </si>
  <si>
    <t xml:space="preserve">GUADALUPE PROLETARIA                                                                                                                        </t>
  </si>
  <si>
    <t>09FUA0216X</t>
  </si>
  <si>
    <t xml:space="preserve">UNIDAD DE SERVICIOS DE APOYO A LA EDUCACIÓN REGULAR II-35                                           </t>
  </si>
  <si>
    <t>09FUA0217W</t>
  </si>
  <si>
    <t xml:space="preserve">USAER 65 "IXTLAMACHILIZTLI"                                                                         </t>
  </si>
  <si>
    <t xml:space="preserve">AV. BENITO JUAREZ S/N                                                           </t>
  </si>
  <si>
    <t xml:space="preserve">MIXCOATL                                                                                                                                    </t>
  </si>
  <si>
    <t>09FUA0218V</t>
  </si>
  <si>
    <t xml:space="preserve">USAER 64 "IXTLAMACHILIZTLI"                                                                         </t>
  </si>
  <si>
    <t>09FUA0219U</t>
  </si>
  <si>
    <t xml:space="preserve">USAER 46                                                                                            </t>
  </si>
  <si>
    <t xml:space="preserve">CARRIL 11 S/N                                                                   </t>
  </si>
  <si>
    <t>09FUA0220J</t>
  </si>
  <si>
    <t xml:space="preserve">USAER 51                                                                                            </t>
  </si>
  <si>
    <t xml:space="preserve">CERRADA DE SIEMPREVIVA S/N                                                      </t>
  </si>
  <si>
    <t>09FUA0221I</t>
  </si>
  <si>
    <t xml:space="preserve">UNIDAD DE SERVICIOS DE APOYO A LA EDUCACIÓN REGULAR I-26                                            </t>
  </si>
  <si>
    <t>09FUA0222H</t>
  </si>
  <si>
    <t xml:space="preserve">UNIDAD DE SERVICIOS DE APOYO A LA EDUCACIÓN REGULAR I-27                                            </t>
  </si>
  <si>
    <t xml:space="preserve">GRANADA AMPLIACION                                                                                                                          </t>
  </si>
  <si>
    <t>09FUA0223G</t>
  </si>
  <si>
    <t xml:space="preserve">UNIDAD DE SERVICIOS DE APOYO A LA EDUCACIÓN REGULAR I-28                                            </t>
  </si>
  <si>
    <t>09FUA0224F</t>
  </si>
  <si>
    <t xml:space="preserve">UNIDAD DE SERVICIOS DE APOYO A LA EDUCACIÓN REGULAR I-29                                            </t>
  </si>
  <si>
    <t>09FUA0225E</t>
  </si>
  <si>
    <t xml:space="preserve">UNIDAD DE SERVICIOS DE APOYO A LA EDUCACIÓN REGULAR I-30                                            </t>
  </si>
  <si>
    <t xml:space="preserve">LAGO ONTARIO Y LAGO WINNIPEG S/N                                                </t>
  </si>
  <si>
    <t xml:space="preserve">LEGARIA                                                                                                                                     </t>
  </si>
  <si>
    <t>09FUA0226D</t>
  </si>
  <si>
    <t xml:space="preserve">UNIDAD DE SERVICIOS DE APOYO A LA EDUCACIÓN REGULAR I-31                                            </t>
  </si>
  <si>
    <t xml:space="preserve">MELCHOR MUZQUIZ No. 18                                                          </t>
  </si>
  <si>
    <t>09FUA0227C</t>
  </si>
  <si>
    <t xml:space="preserve">UNIDAD DE SERVICIOS DE APOYO A LA EDUCACIÓN REGULAR III-54                                          </t>
  </si>
  <si>
    <t xml:space="preserve">HERMANDAD NO 313                                                                </t>
  </si>
  <si>
    <t xml:space="preserve">GRANJAS DE NAVIDAD                                                                                                                          </t>
  </si>
  <si>
    <t>09FUA0228B</t>
  </si>
  <si>
    <t xml:space="preserve">UNIDAD DE SERVICIOS DE APOYO A LA EDUCACIÓN REGULAR I-39                                            </t>
  </si>
  <si>
    <t xml:space="preserve">CALLE 5 NO 279                                                                  </t>
  </si>
  <si>
    <t xml:space="preserve">ALDANA                                                                                                                                      </t>
  </si>
  <si>
    <t>09FUA0229A</t>
  </si>
  <si>
    <t xml:space="preserve">UNIDAD DE SERVICIOS DE APOYO A LA EDUCACIÓN REGULAR I-24                                            </t>
  </si>
  <si>
    <t xml:space="preserve">CALZADA SAN ISIDRO Y FRANCITA S/N                                               </t>
  </si>
  <si>
    <t xml:space="preserve">PETROLERA                                                                                                                                   </t>
  </si>
  <si>
    <t>09FUA0230Q</t>
  </si>
  <si>
    <t xml:space="preserve">UNIDAD DE SERVICIOS DE APOYO A LA EDUCACIÓN REGULAR II-36                                           </t>
  </si>
  <si>
    <t xml:space="preserve">PUERTO MATAMOROS S/N                                                            </t>
  </si>
  <si>
    <t>09FUA0231P</t>
  </si>
  <si>
    <t xml:space="preserve">UNIDAD DE SERVICIOS DE APOYO A LA EDUCACIÓN REGULAR II-37                                           </t>
  </si>
  <si>
    <t xml:space="preserve">AV. 483 S/N                                                                     </t>
  </si>
  <si>
    <t>09FUA0232O</t>
  </si>
  <si>
    <t xml:space="preserve">UNIDAD DE SERVICIOS DE APOYO A LA EDUCACIÓN REGULAR II-38                                           </t>
  </si>
  <si>
    <t xml:space="preserve">NORTE 3 No. 4609                                                                </t>
  </si>
  <si>
    <t>09FUA0233N</t>
  </si>
  <si>
    <t xml:space="preserve">UNIDAD DE SERVICIOS DE APOYO A LA EDUCACIÓN REGULAR II-39                                           </t>
  </si>
  <si>
    <t>09FUA0234M</t>
  </si>
  <si>
    <t xml:space="preserve">UNIDAD DE SERVICIOS DE APOYO A LA EDUCACIÓN REGULAR II-40                                           </t>
  </si>
  <si>
    <t xml:space="preserve">AV. EDUARDO MOLINA NO. 1722                                                     </t>
  </si>
  <si>
    <t>09FUA0235L</t>
  </si>
  <si>
    <t xml:space="preserve">UNIDAD DE SERVICIOS DE APOYO A LA EDUCACIÓN REGULAR II-41                                           </t>
  </si>
  <si>
    <t xml:space="preserve">TERCER ANDADOR TENAYUCA S/N                                                     </t>
  </si>
  <si>
    <t xml:space="preserve">EL ARBOLILLO                                                                                                                                </t>
  </si>
  <si>
    <t>09FUA0236K</t>
  </si>
  <si>
    <t xml:space="preserve">UNIDAD DE SERVICIOS DE APOYO A LA EDUCACIÓN REGULAR II-42                                           </t>
  </si>
  <si>
    <t xml:space="preserve">AV. 606                                                                         </t>
  </si>
  <si>
    <t>09FUA0237J</t>
  </si>
  <si>
    <t xml:space="preserve">UNIDAD DE SERVICIOS DE APOYO A LA EDUCACIÓN REGULAR II-43                                           </t>
  </si>
  <si>
    <t xml:space="preserve">AV. SAN JUAN No. 652                                                            </t>
  </si>
  <si>
    <t>09FUA0238I</t>
  </si>
  <si>
    <t xml:space="preserve">UNIDAD DE SERVICIOS DE APOYO A LA EDUCACIÓN REGULAR II-44                                           </t>
  </si>
  <si>
    <t xml:space="preserve">JOAQUIN HERRERA S/N                                                             </t>
  </si>
  <si>
    <t>09FUA0239H</t>
  </si>
  <si>
    <t xml:space="preserve">UNIDAD DE SERVICIOS DE APOYO A LA EDUCACIÓN REGULAR II-45                                           </t>
  </si>
  <si>
    <t xml:space="preserve">NORTE 74-A NO 5836                                                              </t>
  </si>
  <si>
    <t xml:space="preserve">FAJA DE ORO                                                                                                                                 </t>
  </si>
  <si>
    <t>09FUA0240X</t>
  </si>
  <si>
    <t xml:space="preserve">UNIDAD DE SERVICIOS DE APOYO A LA EDUCACIÓN REGULAR IV-54                                           </t>
  </si>
  <si>
    <t xml:space="preserve">EL RODEO                                                                                                                                    </t>
  </si>
  <si>
    <t>09FUA0241W</t>
  </si>
  <si>
    <t xml:space="preserve">UNIDAD DE SERVICIOS DE APOYO A LA EDUCACIÓN REGULAR I-52                                            </t>
  </si>
  <si>
    <t>09FUA0242V</t>
  </si>
  <si>
    <t xml:space="preserve">UNIDAD DE SERVICIOS DE APOYO A LA EDUCACIÓN REGULAR I-54                                            </t>
  </si>
  <si>
    <t>09FUA0243U</t>
  </si>
  <si>
    <t xml:space="preserve">UNIDAD DE SERVICIOS DE APOYO A LA EDUCACIÓN REGULAR I-57                                            </t>
  </si>
  <si>
    <t>09FUA0244T</t>
  </si>
  <si>
    <t xml:space="preserve">UNIDAD DE SERVICIOS DE APOYO A LA EDUCACIÓN REGULAR III-20                                          </t>
  </si>
  <si>
    <t xml:space="preserve">TORRES DE POTRERO                                                                                                                           </t>
  </si>
  <si>
    <t>09FUA0245S</t>
  </si>
  <si>
    <t xml:space="preserve">UNIDAD DE SERVICIOS DE APOYO A LA EDUCACIÓN REGULAR III-21                                          </t>
  </si>
  <si>
    <t>09FUA0246R</t>
  </si>
  <si>
    <t xml:space="preserve">UNIDAD DE SERVICIOS DE APOYO A LA EDUCACIÓN REGULAR III-50                                          </t>
  </si>
  <si>
    <t xml:space="preserve">ROSA DE BENGALA Y DOCTOR J. MONRROY                                             </t>
  </si>
  <si>
    <t>09FUA0247Q</t>
  </si>
  <si>
    <t xml:space="preserve">UNIDAD DE SERVICIOS DE APOYO A LA EDUCACIÓN REGULAR III-35                                          </t>
  </si>
  <si>
    <t xml:space="preserve">HACIENDA DE LA FLOR S/N                                                         </t>
  </si>
  <si>
    <t xml:space="preserve">PRESIDENTES AMPLIACION                                                                                                                      </t>
  </si>
  <si>
    <t>09FUA0248P</t>
  </si>
  <si>
    <t xml:space="preserve">UNIDAD DE SERVICIOS DE APOYO A LA EDUCACIÓN REGULAR III-23                                          </t>
  </si>
  <si>
    <t>09FUA0249O</t>
  </si>
  <si>
    <t xml:space="preserve">UNIDAD DE SERVICIOS DE APOYO A LA EDUCACIÓN REGULAR III-36                                          </t>
  </si>
  <si>
    <t>09FUA0250D</t>
  </si>
  <si>
    <t xml:space="preserve">UNIDAD DE SERVICIOS DE APOYO A LA EDUCACIÓN REGULAR III-32                                          </t>
  </si>
  <si>
    <t xml:space="preserve">FAISAN No. 8                                                                    </t>
  </si>
  <si>
    <t xml:space="preserve">BELLA VISTA                                                                                                                                 </t>
  </si>
  <si>
    <t>09FUA0251C</t>
  </si>
  <si>
    <t xml:space="preserve">UNIDAD DE SERVICIOS DE APOYO A LA EDUCACIÓN REGULAR III-38                                          </t>
  </si>
  <si>
    <t xml:space="preserve">JALALPA                                                                                                                                     </t>
  </si>
  <si>
    <t>09FUA0252B</t>
  </si>
  <si>
    <t xml:space="preserve">UNIDAD DE SERVICIOS DE APOYO A LA EDUCACIÓN REGULAR V-20                                            </t>
  </si>
  <si>
    <t xml:space="preserve">MAGDALENA PETLACALCO                                                                                                                        </t>
  </si>
  <si>
    <t>09FUA0253A</t>
  </si>
  <si>
    <t xml:space="preserve">UNIDAD DE SERVICIOS DE APOYO A LA EDUCACIÓN REGULAR V-29                                            </t>
  </si>
  <si>
    <t xml:space="preserve">CERRO TETENCO NO. 1                                                             </t>
  </si>
  <si>
    <t xml:space="preserve">MARIA ESTHER ZUNO DE ECHEVERRIA                                                                                                             </t>
  </si>
  <si>
    <t>09FUA0254Z</t>
  </si>
  <si>
    <t xml:space="preserve">UNIDAD DE SERVICIOS DE APOYO A LA EDUCACIÓN REGULAR V-40                                            </t>
  </si>
  <si>
    <t xml:space="preserve">MAGISTERIO NACIONAL NO. 119                                                     </t>
  </si>
  <si>
    <t>09FUA0255Z</t>
  </si>
  <si>
    <t xml:space="preserve">UNIDAD DE SERVICIOS DE APOYO A LA EDUCACIÓN REGULAR III-61                                          </t>
  </si>
  <si>
    <t xml:space="preserve">CALLE MANZANITOS NO 14                                                          </t>
  </si>
  <si>
    <t>09FUA0256Y</t>
  </si>
  <si>
    <t xml:space="preserve">UNIDAD DE SERVICIOS DE APOYO A LA EDUCACIÓN REGULAR III-63                                          </t>
  </si>
  <si>
    <t>09FUA0257X</t>
  </si>
  <si>
    <t xml:space="preserve">UNIDAD DE SERVICIOS DE APOYO A LA EDUCACIÓN REGULAR V-28                                            </t>
  </si>
  <si>
    <t xml:space="preserve">TLACATECPAC S/N                                                                 </t>
  </si>
  <si>
    <t xml:space="preserve">SAN BARTOLOME XICOMULCO                                                                                                                     </t>
  </si>
  <si>
    <t>09FUA0258W</t>
  </si>
  <si>
    <t xml:space="preserve">UNIDAD DE SERVICIOS DE APOYO A LA EDUCACIÓN REGULAR V-10                                            </t>
  </si>
  <si>
    <t xml:space="preserve">IGNACIO ZARAGOZA S/N                                                            </t>
  </si>
  <si>
    <t xml:space="preserve">SAN JUAN IXTAYOPAN                                                                                                                          </t>
  </si>
  <si>
    <t>09FUA0259V</t>
  </si>
  <si>
    <t xml:space="preserve">UNIDAD DE SERVICIOS DE APOYO A LA EDUCACIÓN REGULAR V-3                                             </t>
  </si>
  <si>
    <t>09FUA0260K</t>
  </si>
  <si>
    <t xml:space="preserve">UNIDAD DE SERVICIOS DE APOYO A LA EDUCACIÓN REGULAR V-54                                            </t>
  </si>
  <si>
    <t>09FUA0261J</t>
  </si>
  <si>
    <t xml:space="preserve">UNIDAD DE SERVICIOS DE APOYO A LA EDUCACIÓN REGULAR V-56                                            </t>
  </si>
  <si>
    <t>09FUA0262I</t>
  </si>
  <si>
    <t xml:space="preserve">UNIDAD DE SERVICIOS DE APOYO A LA EDUCACIÓN REGULAR V-61                                            </t>
  </si>
  <si>
    <t>09FUA0263H</t>
  </si>
  <si>
    <t xml:space="preserve">UNIDAD DE SERVICIOS DE APOYO A LA EDUCACIÓN REGULAR V-62                                            </t>
  </si>
  <si>
    <t xml:space="preserve">16 </t>
  </si>
  <si>
    <t>09FUA0264G</t>
  </si>
  <si>
    <t xml:space="preserve">UNIDAD DE SERVICIOS DE APOYO A LA EDUCACIÓN REGULAR III-1                                           </t>
  </si>
  <si>
    <t xml:space="preserve">MITLA NO 650                                                                    </t>
  </si>
  <si>
    <t>09FUA0265F</t>
  </si>
  <si>
    <t xml:space="preserve">UNIDAD DE SERVICIOS DE APOYO A LA EDUCACIÓN REGULAR IV-9                                            </t>
  </si>
  <si>
    <t xml:space="preserve">CALZ DE TLALPAN NO 2822                                                         </t>
  </si>
  <si>
    <t xml:space="preserve">SAN PABLO TEPETLAPA PUEBLO                                                                                                                  </t>
  </si>
  <si>
    <t>09FUA0266E</t>
  </si>
  <si>
    <t xml:space="preserve">UNIDAD DE SERVICIOS DE APOYO A LA EDUCACIÓN REGULAR IV-22                                           </t>
  </si>
  <si>
    <t xml:space="preserve">AV. ROSARIO CASTELLANOS S/N                                                     </t>
  </si>
  <si>
    <t>09FUA0267D</t>
  </si>
  <si>
    <t xml:space="preserve">UNIDAD DE SERVICIOS DE APOYO A LA EDUCACIÓN REGULAR II-46                                           </t>
  </si>
  <si>
    <t xml:space="preserve">CERRADA CORNELIO LARIOS S/N                                                     </t>
  </si>
  <si>
    <t xml:space="preserve">PALMATITLA                                                                                                                                  </t>
  </si>
  <si>
    <t>09FUA0268C</t>
  </si>
  <si>
    <t xml:space="preserve">UNIDAD DE SERVICIOS DE APOYO A LA EDUCACIÓN REGULAR III-9                                           </t>
  </si>
  <si>
    <t>09FUA0269B</t>
  </si>
  <si>
    <t xml:space="preserve">UNIDAD DE SERVICIOS DE APOYO A LA EDUCACIÓN REGULAR III-13                                          </t>
  </si>
  <si>
    <t xml:space="preserve">MUNICIPIO LIBRE No 1301                                                         </t>
  </si>
  <si>
    <t>09FUA0270R</t>
  </si>
  <si>
    <t xml:space="preserve">UNIDAD DE SERVICIOS DE APOYO A LA EDUCACIÓN REGULAR I-60                                            </t>
  </si>
  <si>
    <t xml:space="preserve">CONSTANTINO No. 35                                                              </t>
  </si>
  <si>
    <t>09FUA0271Q</t>
  </si>
  <si>
    <t xml:space="preserve">USAER 44                                                                                            </t>
  </si>
  <si>
    <t xml:space="preserve">ESTRELLA S/N                                                                    </t>
  </si>
  <si>
    <t xml:space="preserve">BARRIO SAN PABLO                                                                                                                            </t>
  </si>
  <si>
    <t>09FUA0273O</t>
  </si>
  <si>
    <t xml:space="preserve">USAER 23                                                                                            </t>
  </si>
  <si>
    <t xml:space="preserve">GUERRA DE REFORMA NO. 38                                                        </t>
  </si>
  <si>
    <t>09FUA0274N</t>
  </si>
  <si>
    <t xml:space="preserve">USAER 9                                                                                             </t>
  </si>
  <si>
    <t xml:space="preserve">ARQUEOLOGOS S/N.                                                                </t>
  </si>
  <si>
    <t>09FUA0275M</t>
  </si>
  <si>
    <t xml:space="preserve">USAER 5                                                                                             </t>
  </si>
  <si>
    <t xml:space="preserve">SIMON ELIAS GONZALEZ No. 35                                                     </t>
  </si>
  <si>
    <t>09FUA0276L</t>
  </si>
  <si>
    <t xml:space="preserve">USAER 8                                                                                             </t>
  </si>
  <si>
    <t xml:space="preserve">AV. 18 DE MARZO NO. 50                                                          </t>
  </si>
  <si>
    <t xml:space="preserve">SAN MIGUEL TEOTONGO                                                                                                                         </t>
  </si>
  <si>
    <t>09FUA0279I</t>
  </si>
  <si>
    <t xml:space="preserve">UNIDAD DE SERVICIOS DE APOYO A LA EDUCACIÓN REGULAR III-39                                          </t>
  </si>
  <si>
    <t>09FUA0280Y</t>
  </si>
  <si>
    <t xml:space="preserve">UNIDAD DE SERVICIOS DE APOYO A LA EDUCACIÓN REGULAR III-44                                          </t>
  </si>
  <si>
    <t xml:space="preserve">GALEANA NO 53                                                                   </t>
  </si>
  <si>
    <t>09FUA0281X</t>
  </si>
  <si>
    <t xml:space="preserve">UNIDAD DE SERVICIOS DE APOYO A LA EDUCACIÓN REGULAR V-4                                             </t>
  </si>
  <si>
    <t xml:space="preserve">CECILIO ACOSTA S/N                                                              </t>
  </si>
  <si>
    <t xml:space="preserve">ZAPOTITLA                                                                                                                                   </t>
  </si>
  <si>
    <t>09FUA0283V</t>
  </si>
  <si>
    <t xml:space="preserve">UNIDAD DE SERVICIOS DE APOYO A LA EDUCACIÓN REGULAR V-5                                             </t>
  </si>
  <si>
    <t xml:space="preserve">GITANA Y MANTARRAYA S/N                                                         </t>
  </si>
  <si>
    <t>09FUA0284U</t>
  </si>
  <si>
    <t xml:space="preserve">UNIDAD DE SERVICIOS DE APOYO A LA EDUCACIÓN REGULAR V-6                                             </t>
  </si>
  <si>
    <t xml:space="preserve">FERROCARRIL ATLIXCO S/N                                                         </t>
  </si>
  <si>
    <t xml:space="preserve">SANTIAGO ZAPOTITLAN                                                                                                                         </t>
  </si>
  <si>
    <t>09FUA0285T</t>
  </si>
  <si>
    <t xml:space="preserve">UNIDAD DE SERVICIOS DE APOYO A LA EDUCACIÓN REGULAR V-42                                            </t>
  </si>
  <si>
    <t>09FUA0286S</t>
  </si>
  <si>
    <t xml:space="preserve">UNIDAD DE SERVICIOS DE APOYO A LA EDUCACIÓN REGULAR IV-77                                           </t>
  </si>
  <si>
    <t xml:space="preserve">ORIENTE 138 NO 134                                                              </t>
  </si>
  <si>
    <t>09FUA0287R</t>
  </si>
  <si>
    <t xml:space="preserve">UNIDAD DE SERVICIOS DE APOYO A LA EDUCACIÓN REGULAR II-47                                           </t>
  </si>
  <si>
    <t>09FUA0288Q</t>
  </si>
  <si>
    <t xml:space="preserve">UNIDAD DE SERVICIOS DE APOYO A LA EDUCACIÓN REGULAR IV-78                                           </t>
  </si>
  <si>
    <t xml:space="preserve">RETORNO 52 DE CECILIO ROBELO S/N                                                </t>
  </si>
  <si>
    <t>09FUA0289P</t>
  </si>
  <si>
    <t xml:space="preserve">UNIDAD DE SERVICIOS DE APOYO A LA EDUCACIÓN REGULAR V-43                                            </t>
  </si>
  <si>
    <t xml:space="preserve">SAN MIGUEL TOPILEJO                                                                                                                         </t>
  </si>
  <si>
    <t>09FUA0290E</t>
  </si>
  <si>
    <t xml:space="preserve">UNIDAD DE SERVICIOS DE APOYO A LA EDUCACIÓN REGULAR II-48                                           </t>
  </si>
  <si>
    <t xml:space="preserve">AV. 507 S/N PLAZA 2                                                             </t>
  </si>
  <si>
    <t xml:space="preserve">UNIDAD SAN JUAN DE ARAGON 1A SECCIO                                                                                                         </t>
  </si>
  <si>
    <t>09FUA0291D</t>
  </si>
  <si>
    <t xml:space="preserve">UNIDAD DE SERVICIOS DE APOYO A LA EDUCACIÓN REGULAR II-49                                           </t>
  </si>
  <si>
    <t xml:space="preserve">AV. 529 S/N PLAZA 5                                                             </t>
  </si>
  <si>
    <t>09FUA0292C</t>
  </si>
  <si>
    <t xml:space="preserve">UNIDAD DE SERVICIOS DE APOYO A LA EDUCACIÓN REGULAR II-50                                           </t>
  </si>
  <si>
    <t xml:space="preserve">ORIENTE 91 NO 3132                                                              </t>
  </si>
  <si>
    <t>09FUA0293B</t>
  </si>
  <si>
    <t xml:space="preserve">UNIDAD DE SERVICIOS DE APOYO A LA EDUCACIÓN REGULAR II-51                                           </t>
  </si>
  <si>
    <t xml:space="preserve">BONAO NO 88                                                                     </t>
  </si>
  <si>
    <t>09FUA0294A</t>
  </si>
  <si>
    <t xml:space="preserve">UNIDAD DE SERVICIOS DE APOYO A LA EDUCACIÓN REGULAR II-52                                           </t>
  </si>
  <si>
    <t xml:space="preserve">PLAZOLETA II S/N                                                                </t>
  </si>
  <si>
    <t xml:space="preserve">UNIDAD HABITACIONAL EL RISCO CTM                                                                                                            </t>
  </si>
  <si>
    <t>09FUA0295Z</t>
  </si>
  <si>
    <t xml:space="preserve">USAER 67                                                                                            </t>
  </si>
  <si>
    <t xml:space="preserve">CALLE 17 Y AVENIDA 2 NO. 25                                                     </t>
  </si>
  <si>
    <t>09FUA0296Z</t>
  </si>
  <si>
    <t xml:space="preserve">USAER 73                                                                                            </t>
  </si>
  <si>
    <t xml:space="preserve">BANDERA NACIONAL NO. 18                                                         </t>
  </si>
  <si>
    <t xml:space="preserve">LOMAS DE ZARAGOZA                                                                                                                           </t>
  </si>
  <si>
    <t>09FUA0297Y</t>
  </si>
  <si>
    <t xml:space="preserve">USAER 74                                                                                            </t>
  </si>
  <si>
    <t xml:space="preserve">DIEGO RIVERA E ISIDRO FABELA S/N                                                </t>
  </si>
  <si>
    <t>09FUA0298X</t>
  </si>
  <si>
    <t xml:space="preserve">USAER 68                                                                                            </t>
  </si>
  <si>
    <t>09FUA0299W</t>
  </si>
  <si>
    <t xml:space="preserve">USAER 75                                                                                            </t>
  </si>
  <si>
    <t xml:space="preserve">CDA. DE VENUS NO. 14                                                            </t>
  </si>
  <si>
    <t xml:space="preserve">LOMAS DE LA ESTANCIA                                                                                                                        </t>
  </si>
  <si>
    <t>09FUA0300V</t>
  </si>
  <si>
    <t xml:space="preserve">USAER 76                                                                                            </t>
  </si>
  <si>
    <t>09FUA0301U</t>
  </si>
  <si>
    <t xml:space="preserve">USAER 13                                                                                            </t>
  </si>
  <si>
    <t xml:space="preserve">CERRO DE ESTRELLA S/N                                                           </t>
  </si>
  <si>
    <t xml:space="preserve">PARAJE SAN JUAN                                                                                                                             </t>
  </si>
  <si>
    <t>09FUA0302T</t>
  </si>
  <si>
    <t xml:space="preserve">USAER 7                                                                                             </t>
  </si>
  <si>
    <t xml:space="preserve">SUPERMANZANA 5                                                                  </t>
  </si>
  <si>
    <t>09FUA0303S</t>
  </si>
  <si>
    <t xml:space="preserve">USAER 14                                                                                            </t>
  </si>
  <si>
    <t>09FUA0304R</t>
  </si>
  <si>
    <t xml:space="preserve">USAER 10                                                                                            </t>
  </si>
  <si>
    <t xml:space="preserve">ALFONSO TORO S/N.                                                               </t>
  </si>
  <si>
    <t>09FUA0305Q</t>
  </si>
  <si>
    <t xml:space="preserve">USAER 17                                                                                            </t>
  </si>
  <si>
    <t xml:space="preserve">PLAZA DEL ARBOL NO. 28 Y PLAZA MAYOR                                            </t>
  </si>
  <si>
    <t>09FUA0306P</t>
  </si>
  <si>
    <t xml:space="preserve">USAER 16                                                                                            </t>
  </si>
  <si>
    <t xml:space="preserve">UNIDAD HABITACIONAL S/N                                                         </t>
  </si>
  <si>
    <t xml:space="preserve">UNIDAD HABITACIONAL TULYEHUALCO M.                                                                                                          </t>
  </si>
  <si>
    <t>09FUA0307O</t>
  </si>
  <si>
    <t xml:space="preserve">USAER 19                                                                                            </t>
  </si>
  <si>
    <t>09FUA0308N</t>
  </si>
  <si>
    <t xml:space="preserve">USAER 27                                                                                            </t>
  </si>
  <si>
    <t xml:space="preserve">CHILPANCINGO SUR NO. 60                                                         </t>
  </si>
  <si>
    <t xml:space="preserve">CONJUNTO URBANO POPULAR ERMITA ZARA                                                                                                         </t>
  </si>
  <si>
    <t>09FUA0309M</t>
  </si>
  <si>
    <t xml:space="preserve">USAER 26                                                                                            </t>
  </si>
  <si>
    <t xml:space="preserve">ANTONIO CARBAJAL Y B CARBAJAL S/N                                               </t>
  </si>
  <si>
    <t xml:space="preserve">UNIDAD HABITACIONAL EJERCITO DE ORI                                                                                                         </t>
  </si>
  <si>
    <t>09FUA0310B</t>
  </si>
  <si>
    <t xml:space="preserve">USAER 42                                                                                            </t>
  </si>
  <si>
    <t xml:space="preserve">TOLTECA 22 Y 26                                                                 </t>
  </si>
  <si>
    <t>09FUA0311A</t>
  </si>
  <si>
    <t xml:space="preserve">USAER 49                                                                                            </t>
  </si>
  <si>
    <t xml:space="preserve">CALZ. SAN LORENZO S/N                                                           </t>
  </si>
  <si>
    <t xml:space="preserve">UNIDAD HABITACIONAL BELLAVISTA                                                                                                              </t>
  </si>
  <si>
    <t>09FUA0312Z</t>
  </si>
  <si>
    <t xml:space="preserve">USAER 62                                                                                            </t>
  </si>
  <si>
    <t>09FUA0313Z</t>
  </si>
  <si>
    <t xml:space="preserve">USAER 50                                                                                            </t>
  </si>
  <si>
    <t xml:space="preserve">TLEPANQUELTZATZIN NO. 123                                                       </t>
  </si>
  <si>
    <t xml:space="preserve">LOS REYES AMPLIACION                                                                                                                        </t>
  </si>
  <si>
    <t>09FUA0314Y</t>
  </si>
  <si>
    <t xml:space="preserve">USAER 55                                                                                            </t>
  </si>
  <si>
    <t xml:space="preserve">IGNACIO COMONFORT S/N                                                           </t>
  </si>
  <si>
    <t>09FUA0315X</t>
  </si>
  <si>
    <t xml:space="preserve">UNIDAD DE SERVICIOS DE APOYO A LA EDUCACIÓN REGULAR V-7                                             </t>
  </si>
  <si>
    <t xml:space="preserve">LA TURBA No. 198-B                                                              </t>
  </si>
  <si>
    <t xml:space="preserve">GRANJAS CABRERA                                                                                                                             </t>
  </si>
  <si>
    <t>09FUA0316W</t>
  </si>
  <si>
    <t xml:space="preserve">UNIDAD DE SERVICIOS DE APOYO A LA EDUCACIÓN REGULAR IV-79                                           </t>
  </si>
  <si>
    <t xml:space="preserve">ORIENTE 176 S/N                                                                 </t>
  </si>
  <si>
    <t>09FUA0317V</t>
  </si>
  <si>
    <t xml:space="preserve">UNIDAD DE SERVICIOS DE APOYO A LA EDUCACIÓN REGULAR II-54                                           </t>
  </si>
  <si>
    <t xml:space="preserve">AV. SAN MIGUEL S/N                                                              </t>
  </si>
  <si>
    <t xml:space="preserve">LOMAS DE CUAUTEPEC                                                                                                                          </t>
  </si>
  <si>
    <t>09FUA0318U</t>
  </si>
  <si>
    <t xml:space="preserve">UNIDAD DE SERVICIOS DE APOYO A LA EDUCACIÓN REGULAR II-53                                           </t>
  </si>
  <si>
    <t xml:space="preserve">AV FRANCISCO VILLA Y 5 DE MAYO                                                  </t>
  </si>
  <si>
    <t xml:space="preserve">CUAUTEPEC DE MADERO                                                                                                                         </t>
  </si>
  <si>
    <t>09FUA0319T</t>
  </si>
  <si>
    <t xml:space="preserve">UNIDAD DE SERVICIOS DE APOYO A LA EDUCACIÓN REGULAR I-32                                            </t>
  </si>
  <si>
    <t xml:space="preserve">GENERAL VICTORIANO CEPEDA No. 63                                                </t>
  </si>
  <si>
    <t xml:space="preserve">OBSERVATORIO                                                                                                                                </t>
  </si>
  <si>
    <t>09FUA0320I</t>
  </si>
  <si>
    <t xml:space="preserve">UNIDAD DE SERVICIOS DE APOYO A LA EDUCACIÓN REGULAR I-33                                            </t>
  </si>
  <si>
    <t xml:space="preserve">LAGO ALBERTO No. 431                                                            </t>
  </si>
  <si>
    <t>09FUA0321H</t>
  </si>
  <si>
    <t xml:space="preserve">UNIDAD DE SERVICIOS DE APOYO A LA EDUCACIÓN REGULAR I-34                                            </t>
  </si>
  <si>
    <t xml:space="preserve">AV. LAS PALOMAS S/N                                                             </t>
  </si>
  <si>
    <t>09FUA0322G</t>
  </si>
  <si>
    <t xml:space="preserve">UNIDAD DE SERVICIOS DE APOYO A LA EDUCACIÓN REGULAR II-55                                           </t>
  </si>
  <si>
    <t xml:space="preserve">FELIPE BERRIOZABAL S/N                                                          </t>
  </si>
  <si>
    <t xml:space="preserve">GENERAL FELIPE BERRIOZABAL                                                                                                                  </t>
  </si>
  <si>
    <t>09FUA0323F</t>
  </si>
  <si>
    <t xml:space="preserve">UNIDAD DE SERVICIOS DE APOYO A LA EDUCACIÓN REGULAR V-57                                            </t>
  </si>
  <si>
    <t xml:space="preserve">AV. LAS TORRES S/N                                                              </t>
  </si>
  <si>
    <t xml:space="preserve">TEPEPAN                                                                                                                                     </t>
  </si>
  <si>
    <t>09FUA0324E</t>
  </si>
  <si>
    <t xml:space="preserve">UNIDAD DE SERVICIOS DE APOYO A LA EDUCACIÓN REGULAR V-34                                            </t>
  </si>
  <si>
    <t>09FUA0325D</t>
  </si>
  <si>
    <t xml:space="preserve">UNIDAD DE SERVICIOS DE APOYO A LA EDUCACIÓN REGULAR IV-46                                           </t>
  </si>
  <si>
    <t>09FUA0326C</t>
  </si>
  <si>
    <t xml:space="preserve">UNIDAD DE SERVICIOS DE APOYO A LA EDUCACIÓN REGULAR IV-39                                           </t>
  </si>
  <si>
    <t xml:space="preserve">CALZADA DE LA VIGA NO 865                                                       </t>
  </si>
  <si>
    <t xml:space="preserve">SANTIAGO NORTE BARRIO                                                                                                                       </t>
  </si>
  <si>
    <t>09FUA0327B</t>
  </si>
  <si>
    <t xml:space="preserve">UNIDAD DE SERVICIOS DE APOYO A LA EDUCACIÓN REGULAR V-44                                            </t>
  </si>
  <si>
    <t>09FUA0328A</t>
  </si>
  <si>
    <t xml:space="preserve">UNIDAD DE SERVICIOS DE APOYO A LA EDUCACIÓN REGULAR IV-60                                           </t>
  </si>
  <si>
    <t xml:space="preserve">PLOMO NO 113                                                                    </t>
  </si>
  <si>
    <t>09FUA0329Z</t>
  </si>
  <si>
    <t xml:space="preserve">UNIDAD DE SERVICIOS DE APOYO A LA EDUCACIÓN REGULAR II-56                                           </t>
  </si>
  <si>
    <t>09FUA0330P</t>
  </si>
  <si>
    <t xml:space="preserve">UNIDAD DE SERVICIOS DE APOYO A LA EDUCACIÓN REGULAR V-13                                            </t>
  </si>
  <si>
    <t xml:space="preserve">SAN ANDRES MIXQUIC                                                                                                                          </t>
  </si>
  <si>
    <t>09FUA0331O</t>
  </si>
  <si>
    <t xml:space="preserve">UNIDAD DE SERVICIOS DE APOYO A LA EDUCACIÓN REGULAR II-57                                           </t>
  </si>
  <si>
    <t xml:space="preserve">AV. MIGUEL BERNARD NO 41                                                        </t>
  </si>
  <si>
    <t xml:space="preserve">LA PURISIMA TICOMAN                                                                                                                         </t>
  </si>
  <si>
    <t>09FUA0332N</t>
  </si>
  <si>
    <t xml:space="preserve">UNIDAD DE SERVICIOS DE APOYO A LA EDUCACIÓN REGULAR II-58                                           </t>
  </si>
  <si>
    <t xml:space="preserve">ARTURO CASTRO S/N                                                               </t>
  </si>
  <si>
    <t>09FUA0333M</t>
  </si>
  <si>
    <t xml:space="preserve">UNIDAD DE SERVICIOS DE APOYO A LA EDUCACIÓN REGULAR II-59                                           </t>
  </si>
  <si>
    <t xml:space="preserve">LA CANDELARIA TICOMAN                                                                                                                       </t>
  </si>
  <si>
    <t>09FUA0334L</t>
  </si>
  <si>
    <t xml:space="preserve">UNIDAD DE SERVICIOS DE APOYO A LA EDUCACIÓN REGULAR II-60                                           </t>
  </si>
  <si>
    <t xml:space="preserve">CALLE PUERTO ENSENADA Y JUAN FRANCISCO S/N                                      </t>
  </si>
  <si>
    <t>09FUA0335K</t>
  </si>
  <si>
    <t xml:space="preserve">UNIDAD DE SERVICIOS DE APOYO A LA EDUCACIÓN REGULAR II-61                                           </t>
  </si>
  <si>
    <t>09FUA0336J</t>
  </si>
  <si>
    <t xml:space="preserve">UNIDAD DE SERVICIOS DE APOYO A LA EDUCACIÓN REGULAR II-62                                           </t>
  </si>
  <si>
    <t xml:space="preserve">AV. GRAN CANAL ORIENTE No. 6900                                                 </t>
  </si>
  <si>
    <t xml:space="preserve">LA ESMERALDA I                                                                                                                              </t>
  </si>
  <si>
    <t>09FUA0337I</t>
  </si>
  <si>
    <t xml:space="preserve">UNIDAD DE SERVICIOS DE APOYO A LA EDUCACIÓN REGULAR II-63                                           </t>
  </si>
  <si>
    <t xml:space="preserve">SALABERRY NO 1132                                                               </t>
  </si>
  <si>
    <t>09FUA0338H</t>
  </si>
  <si>
    <t xml:space="preserve">UNIDAD DE SERVICIOS DE APOYO A LA EDUCACIÓN REGULAR IV-34                                           </t>
  </si>
  <si>
    <t xml:space="preserve">LOS PICOS DE IZTACALCO                                                                                                                      </t>
  </si>
  <si>
    <t>09FUA0339G</t>
  </si>
  <si>
    <t xml:space="preserve">UNIDAD DE SERVICIOS DE APOYO A LA EDUCACIÓN REGULAR III-57                                          </t>
  </si>
  <si>
    <t>09FUA0340W</t>
  </si>
  <si>
    <t xml:space="preserve">UNIDAD DE SERVICIOS DE APOYO A LA EDUCACIÓN REGULAR IV-88                                           </t>
  </si>
  <si>
    <t xml:space="preserve">NORTE 176  No. 576                                                              </t>
  </si>
  <si>
    <t xml:space="preserve">PENSADOR MEXICANO                                                                                                                           </t>
  </si>
  <si>
    <t>09FUA0341V</t>
  </si>
  <si>
    <t xml:space="preserve">UNIDAD DE SERVICIOS DE APOYO A LA EDUCACIÓN REGULAR IV-80                                           </t>
  </si>
  <si>
    <t xml:space="preserve">NORTE 21 No. 110 BIS                                                            </t>
  </si>
  <si>
    <t>09FUA0342U</t>
  </si>
  <si>
    <t xml:space="preserve">UNIDAD DE SERVICIOS DE APOYO A LA EDUCACIÓN REGULAR IV-66                                           </t>
  </si>
  <si>
    <t>09FUA0343T</t>
  </si>
  <si>
    <t xml:space="preserve">UNIDAD DE SERVICIOS DE APOYO A LA EDUCACIÓN REGULAR II-64                                           </t>
  </si>
  <si>
    <t xml:space="preserve">ACUEDUCTO NO 643                                                                </t>
  </si>
  <si>
    <t>09FUA0344S</t>
  </si>
  <si>
    <t xml:space="preserve">UNIDAD DE SERVICIOS DE APOYO A LA EDUCACIÓN REGULAR II-65                                           </t>
  </si>
  <si>
    <t xml:space="preserve">CIRIACO CRUZ S/N                                                                </t>
  </si>
  <si>
    <t xml:space="preserve">GABRIEL HERNANDEZ AMPLIACION                                                                                                                </t>
  </si>
  <si>
    <t>09FUA0345R</t>
  </si>
  <si>
    <t xml:space="preserve">UNIDAD DE SERVICIOS DE APOYO A LA EDUCACIÓN REGULAR IV-73                                           </t>
  </si>
  <si>
    <t>09FUA0346Q</t>
  </si>
  <si>
    <t xml:space="preserve">UNIDAD DE SERVICIOS DE APOYO A LA EDUCACIÓN REGULAR II-66                                           </t>
  </si>
  <si>
    <t>09FUA0347P</t>
  </si>
  <si>
    <t xml:space="preserve">UNIDAD DE SERVICIOS DE APOYO A LA EDUCACIÓN REGULAR V-67                                            </t>
  </si>
  <si>
    <t>09FUA0348O</t>
  </si>
  <si>
    <t xml:space="preserve">UNIDAD DE SERVICIOS DE APOYO A LA EDUCACIÓN REGULAR I-40                                            </t>
  </si>
  <si>
    <t xml:space="preserve">LATONEROS No. 71                                                                </t>
  </si>
  <si>
    <t xml:space="preserve">TRABAJADORES DEL HIERRO                                                                                                                     </t>
  </si>
  <si>
    <t>09FUA0349N</t>
  </si>
  <si>
    <t xml:space="preserve">UNIDAD DE SERVICIOS DE APOYO A LA EDUCACIÓN REGULAR I-8                                             </t>
  </si>
  <si>
    <t>09FUA0350C</t>
  </si>
  <si>
    <t xml:space="preserve">UNIDAD DE SERVICIOS DE APOYO A LA EDUCACIÓN REGULAR I-7                                             </t>
  </si>
  <si>
    <t>09FUA0351B</t>
  </si>
  <si>
    <t xml:space="preserve">UNIDAD DE SERVICIOS DE APOYO A LA EDUCACIÓN REGULAR V-63                                            </t>
  </si>
  <si>
    <t xml:space="preserve">HIDALGO NO. 4                                                                   </t>
  </si>
  <si>
    <t xml:space="preserve">SAN GREGORIO ATLAPULCO                                                                                                                      </t>
  </si>
  <si>
    <t>09FUA0352A</t>
  </si>
  <si>
    <t xml:space="preserve">UNIDAD DE SERVICIOS DE APOYO A LA EDUCACIÓN REGULAR I-44                                            </t>
  </si>
  <si>
    <t xml:space="preserve">CALLE 9 No. 347                                                                 </t>
  </si>
  <si>
    <t xml:space="preserve">AGUILERA                                                                                                                                    </t>
  </si>
  <si>
    <t>09FUA0353Z</t>
  </si>
  <si>
    <t xml:space="preserve">UNIDAD DE SERVICIOS DE APOYO A LA EDUCACIÓN REGULAR V-45                                            </t>
  </si>
  <si>
    <t xml:space="preserve">CALLE ESCUELA NO. 127                                                           </t>
  </si>
  <si>
    <t>09FUA0354Z</t>
  </si>
  <si>
    <t xml:space="preserve">UNIDAD DE SERVICIOS DE APOYO A LA EDUCACIÓN REGULAR I-61                                            </t>
  </si>
  <si>
    <t xml:space="preserve">CALZADA VALLEJO No 1                                                            </t>
  </si>
  <si>
    <t xml:space="preserve">SAN SIMON TOLNAHUAC                                                                                                                         </t>
  </si>
  <si>
    <t>09FUA0355Y</t>
  </si>
  <si>
    <t xml:space="preserve">UNIDAD DE SERVICIOS DE APOYO A LA EDUCACIÓN REGULAR I-49                                            </t>
  </si>
  <si>
    <t xml:space="preserve">LUNA No. 131                                                                    </t>
  </si>
  <si>
    <t>09FUA0356X</t>
  </si>
  <si>
    <t xml:space="preserve">UNIDAD DE SERVICIOS DE APOYO A LA EDUCACIÓN REGULAR I-37                                            </t>
  </si>
  <si>
    <t>09FUA0357W</t>
  </si>
  <si>
    <t xml:space="preserve">UNIDAD DE SERVICIOS DE APOYO A LA EDUCACIÓN REGULAR III-12                                          </t>
  </si>
  <si>
    <t>09FUA0358V</t>
  </si>
  <si>
    <t xml:space="preserve">UNIDAD DE SERVICIOS DE APOYO A LA EDUCACIÓN REGULAR I-42                                            </t>
  </si>
  <si>
    <t xml:space="preserve">LAGO ZURICH Y LAGO GINEBRA S/N                                                  </t>
  </si>
  <si>
    <t xml:space="preserve">5 DE MAYO                                                                                                                                   </t>
  </si>
  <si>
    <t>09FUA0359U</t>
  </si>
  <si>
    <t xml:space="preserve">UNIDAD DE SERVICIOS DE APOYO A LA EDUCACIÓN REGULAR V-46                                            </t>
  </si>
  <si>
    <t>09FUA0360J</t>
  </si>
  <si>
    <t xml:space="preserve">UNIDAD DE SERVICIOS DE APOYO A LA EDUCACIÓN REGULAR V-47                                            </t>
  </si>
  <si>
    <t xml:space="preserve">BLOQUE I UNIDAD HABITACIONAL FUENTES BROTANTES                                  </t>
  </si>
  <si>
    <t>09FUA0362H</t>
  </si>
  <si>
    <t xml:space="preserve">UNIDAD DE SERVICIOS DE APOYO A LA EDUCACIÓN REGULAR I-41                                            </t>
  </si>
  <si>
    <t>09FUA0363G</t>
  </si>
  <si>
    <t xml:space="preserve">UNIDAD DE SERVICIOS DE APOYO A LA EDUCACIÓN REGULAR I-35                                            </t>
  </si>
  <si>
    <t xml:space="preserve">COMERCIO S/N Y PARQUE MORELOS                                                   </t>
  </si>
  <si>
    <t>09FUA0364F</t>
  </si>
  <si>
    <t xml:space="preserve">UNIDAD DE SERVICIOS DE APOYO A LA EDUCACIÓN REGULAR I-48                                            </t>
  </si>
  <si>
    <t>09FUA0365E</t>
  </si>
  <si>
    <t xml:space="preserve">UNIDAD DE SERVICIOS DE APOYO A LA EDUCACIÓN REGULAR I-36                                            </t>
  </si>
  <si>
    <t>09FUA0366D</t>
  </si>
  <si>
    <t xml:space="preserve">UNIDAD DE SERVICIOS DE APOYO A LA EDUCACIÓN REGULAR III-16                                          </t>
  </si>
  <si>
    <t xml:space="preserve">RUMANIA NO 703                                                                  </t>
  </si>
  <si>
    <t>09FUA0367C</t>
  </si>
  <si>
    <t xml:space="preserve">UNIDAD DE SERVICIOS DE APOYO A LA EDUCACIÓN REGULAR I-58                                            </t>
  </si>
  <si>
    <t>09FUA0369A</t>
  </si>
  <si>
    <t xml:space="preserve">UNIDAD DE SERVICIOS DE APOYO A LA EDUCACIÓN REGULAR IV-15                                           </t>
  </si>
  <si>
    <t>09FUA0370Q</t>
  </si>
  <si>
    <t xml:space="preserve">UNIDAD DE SERVICIOS DE APOYO A LA EDUCACIÓN REGULAR II-67                                           </t>
  </si>
  <si>
    <t>09FUA0371P</t>
  </si>
  <si>
    <t xml:space="preserve">UNIDAD DE SERVICIOS DE APOYO A LA EDUCACIÓN REGULAR III-17                                          </t>
  </si>
  <si>
    <t xml:space="preserve">MODERNA                                                                                                                                     </t>
  </si>
  <si>
    <t>09FUA0372O</t>
  </si>
  <si>
    <t xml:space="preserve">UNIDAD DE SERVICIOS DE APOYO A LA EDUCACIÓN REGULAR IV-30                                           </t>
  </si>
  <si>
    <t xml:space="preserve">COATL S/N                                                                       </t>
  </si>
  <si>
    <t>09FUA0373N</t>
  </si>
  <si>
    <t xml:space="preserve">UNIDAD DE SERVICIOS DE APOYO A LA EDUCACIÓN REGULAR IV-10                                           </t>
  </si>
  <si>
    <t xml:space="preserve">CALZADA DE TLALPAN NO 3352                                                      </t>
  </si>
  <si>
    <t>09FUA0374M</t>
  </si>
  <si>
    <t xml:space="preserve">UNIDAD DE SERVICIOS DE APOYO A LA EDUCACIÓN REGULAR IV-81                                           </t>
  </si>
  <si>
    <t xml:space="preserve">AV. 10 No. 119                                                                  </t>
  </si>
  <si>
    <t>09FUA0375L</t>
  </si>
  <si>
    <t xml:space="preserve">UNIDAD DE SERVICIOS DE APOYO A LA EDUCACIÓN REGULAR I-43                                            </t>
  </si>
  <si>
    <t>09FUA0376K</t>
  </si>
  <si>
    <t xml:space="preserve">UNIDAD DE SERVICIOS DE APOYO A LA EDUCACIÓN REGULAR IV-23                                           </t>
  </si>
  <si>
    <t xml:space="preserve">AZTECAS Y TEPEHUANES S/N                                                        </t>
  </si>
  <si>
    <t>09FUA0377J</t>
  </si>
  <si>
    <t xml:space="preserve">UNIDAD DE SERVICIOS DE APOYO A LA EDUCACIÓN REGULAR IV-5                                            </t>
  </si>
  <si>
    <t>09FUA0378I</t>
  </si>
  <si>
    <t xml:space="preserve">UNIDAD DE SERVICIOS DE APOYO A LA EDUCACIÓN REGULAR IV-16                                           </t>
  </si>
  <si>
    <t>09FUA0379H</t>
  </si>
  <si>
    <t xml:space="preserve">UNIDAD DE SERVICIOS DE APOYO A LA EDUCACIÓN REGULAR II-68                                           </t>
  </si>
  <si>
    <t xml:space="preserve">AV. 562 S/N PLAZA 10                                                            </t>
  </si>
  <si>
    <t>09FUA0380X</t>
  </si>
  <si>
    <t xml:space="preserve">UNIDAD DE SERVICIOS DE APOYO A LA EDUCACIÓN REGULAR IV-40                                           </t>
  </si>
  <si>
    <t xml:space="preserve">AV COYUYA NO 22                                                                 </t>
  </si>
  <si>
    <t>09FUA0381W</t>
  </si>
  <si>
    <t xml:space="preserve">UNIDAD DE SERVICIOS DE APOYO A LA EDUCACIÓN REGULAR II-69                                           </t>
  </si>
  <si>
    <t xml:space="preserve">CALLE 7 S/N Y CORONA DEL ROSAL                                                  </t>
  </si>
  <si>
    <t>09FUA0382V</t>
  </si>
  <si>
    <t xml:space="preserve">UNIDAD DE SERVICIOS DE APOYO A LA EDUCACIÓN REGULAR IV-89                                           </t>
  </si>
  <si>
    <t>09FUA0383U</t>
  </si>
  <si>
    <t xml:space="preserve">UNIDAD DE SERVICIOS DE APOYO A LA EDUCACIÓN REGULAR IV-67                                           </t>
  </si>
  <si>
    <t xml:space="preserve">MALINCHE Y ATZACAYATL                                                           </t>
  </si>
  <si>
    <t>09FUA0384T</t>
  </si>
  <si>
    <t xml:space="preserve">UNIDAD DE SERVICIOS DE APOYO A LA EDUCACIÓN REGULAR V-26                                            </t>
  </si>
  <si>
    <t>09FUA0385S</t>
  </si>
  <si>
    <t xml:space="preserve">UNIDAD DE SERVICIOS DE APOYO A LA EDUCACIÓN REGULAR V-25                                            </t>
  </si>
  <si>
    <t xml:space="preserve">GUILLERMO PRIETO Y JOSE TARTINI S/N                                             </t>
  </si>
  <si>
    <t>09FUA0386R</t>
  </si>
  <si>
    <t xml:space="preserve">UNIDAD DE SERVICIOS DE APOYO A LA EDUCACIÓN REGULAR V-24                                            </t>
  </si>
  <si>
    <t xml:space="preserve">JOSE TARTINI S/N                                                                </t>
  </si>
  <si>
    <t>09FUA0387Q</t>
  </si>
  <si>
    <t xml:space="preserve">UNIDAD DE SERVICIOS DE APOYO A LA EDUCACIÓN REGULAR V-8                                             </t>
  </si>
  <si>
    <t>09FUA0388P</t>
  </si>
  <si>
    <t xml:space="preserve">UNIDAD DE SERVICIOS DE APOYO A LA EDUCACIÓN REGULAR V-14                                            </t>
  </si>
  <si>
    <t xml:space="preserve">HIDALGO Y CUITLAHUAC S/N                                                        </t>
  </si>
  <si>
    <t>09FUA0389O</t>
  </si>
  <si>
    <t xml:space="preserve">UNIDAD DE SERVICIOS DE APOYO A LA EDUCACIÓN REGULAR IV-74                                           </t>
  </si>
  <si>
    <t>09FUA0390D</t>
  </si>
  <si>
    <t xml:space="preserve">UNIDAD DE SERVICIOS DE APOYO A LA EDUCACIÓN REGULAR IV-90                                           </t>
  </si>
  <si>
    <t xml:space="preserve">CANTON Y CORONAS S/N                                                            </t>
  </si>
  <si>
    <t xml:space="preserve">SIMON BOLIVAR                                                                                                                               </t>
  </si>
  <si>
    <t>09FUA0391C</t>
  </si>
  <si>
    <t xml:space="preserve">UNIDAD DE SERVICIOS DE APOYO A LA EDUCACIÓN REGULAR IV-35                                           </t>
  </si>
  <si>
    <t xml:space="preserve">SUR 117 A NO 2209                                                               </t>
  </si>
  <si>
    <t>09FUA0392B</t>
  </si>
  <si>
    <t xml:space="preserve">UNIDAD DE SERVICIOS DE APOYO A LA EDUCACIÓN REGULAR IV-91                                           </t>
  </si>
  <si>
    <t xml:space="preserve">NORTE 178 S/N                                                                   </t>
  </si>
  <si>
    <t>09FUA0393A</t>
  </si>
  <si>
    <t xml:space="preserve">UNIDAD DE SERVICIOS DE APOYO A LA EDUCACIÓN REGULAR IV-75                                           </t>
  </si>
  <si>
    <t xml:space="preserve">MAGDALENA MIXHUCA                                                                                                                           </t>
  </si>
  <si>
    <t>09FUA0394Z</t>
  </si>
  <si>
    <t xml:space="preserve">UNIDAD DE SERVICIOS DE APOYO A LA EDUCACIÓN REGULAR II-70                                           </t>
  </si>
  <si>
    <t xml:space="preserve">NORTE 1 H NO 4521                                                               </t>
  </si>
  <si>
    <t xml:space="preserve">GUADALUPE VICTORIA                                                                                                                          </t>
  </si>
  <si>
    <t>09FUA0395Z</t>
  </si>
  <si>
    <t xml:space="preserve">UNIDAD DE SERVICIOS DE APOYO A LA EDUCACIÓN REGULAR IV-41                                           </t>
  </si>
  <si>
    <t xml:space="preserve">SAN FRANCISCO XICALTONGO BARRIO                                                                                                             </t>
  </si>
  <si>
    <t>09FUA0396Y</t>
  </si>
  <si>
    <t xml:space="preserve">UNIDAD DE SERVICIOS DE APOYO A LA EDUCACIÓN REGULAR V-58                                            </t>
  </si>
  <si>
    <t xml:space="preserve">COMERCIO NO. 43                                                                 </t>
  </si>
  <si>
    <t>09FUA0397X</t>
  </si>
  <si>
    <t xml:space="preserve">UNIDAD DE SERVICIOS DE APOYO A LA EDUCACIÓN REGULAR IV-47                                           </t>
  </si>
  <si>
    <t>09FUA0398W</t>
  </si>
  <si>
    <t xml:space="preserve">UNIDAD DE SERVICIOS DE APOYO A LA EDUCACIÓN REGULAR IV-48                                           </t>
  </si>
  <si>
    <t>09FUA0399V</t>
  </si>
  <si>
    <t xml:space="preserve">UNIDAD DE SERVICIOS DE APOYO A LA EDUCACIÓN REGULAR IV-55                                           </t>
  </si>
  <si>
    <t xml:space="preserve">ORIENTE 120 NO 2870                                                             </t>
  </si>
  <si>
    <t>09FUA0400U</t>
  </si>
  <si>
    <t xml:space="preserve">UNIDAD DE SERVICIOS DE APOYO A LA EDUCACIÓN REGULAR IV-82                                           </t>
  </si>
  <si>
    <t xml:space="preserve">RETORNO 31 DE GENARO GARCIA S/N                                                 </t>
  </si>
  <si>
    <t>09FUA0401T</t>
  </si>
  <si>
    <t xml:space="preserve">UNIDAD DE SERVICIOS DE APOYO A LA EDUCACIÓN REGULAR II-71                                           </t>
  </si>
  <si>
    <t xml:space="preserve">1a CERRADA DE EMILIANO ZAPATA S/N                                               </t>
  </si>
  <si>
    <t>09FUA0402S</t>
  </si>
  <si>
    <t xml:space="preserve">UNIDAD DE SERVICIOS DE APOYO A LA EDUCACIÓN REGULAR IV-68                                           </t>
  </si>
  <si>
    <t>09FUA0403R</t>
  </si>
  <si>
    <t xml:space="preserve">UNIDAD DE SERVICIOS DE APOYO A LA EDUCACIÓN REGULAR IV-69                                           </t>
  </si>
  <si>
    <t xml:space="preserve">CALLE 3 S/N                                                                     </t>
  </si>
  <si>
    <t xml:space="preserve">CUCHILLA PANTITLAN                                                                                                                          </t>
  </si>
  <si>
    <t>09FUA0404Q</t>
  </si>
  <si>
    <t xml:space="preserve">UNIDAD DE SERVICIOS DE APOYO A LA EDUCACIÓN REGULAR IV-42                                           </t>
  </si>
  <si>
    <t xml:space="preserve">GOMA 163 ESQUINA CENTENO                                                        </t>
  </si>
  <si>
    <t>09FUA0405P</t>
  </si>
  <si>
    <t xml:space="preserve">UNIDAD DE SERVICIOS DE APOYO A LA EDUCACIÓN REGULAR I-9                                             </t>
  </si>
  <si>
    <t>09FUA0406O</t>
  </si>
  <si>
    <t xml:space="preserve">UNIDAD DE SERVICIOS DE APOYO A LA EDUCACIÓN REGULAR IV-61                                           </t>
  </si>
  <si>
    <t xml:space="preserve">AVENIDA DEL TRABAJO Y JARDINEROS S/N                                            </t>
  </si>
  <si>
    <t>09FUA0407N</t>
  </si>
  <si>
    <t xml:space="preserve">UNIDAD DE SERVICIOS DE APOYO A LA EDUCACIÓN REGULAR V-55                                            </t>
  </si>
  <si>
    <t>09FUA0408M</t>
  </si>
  <si>
    <t xml:space="preserve">UNIDAD DE SERVICIOS DE APOYO A LA EDUCACIÓN REGULAR IV-83                                           </t>
  </si>
  <si>
    <t xml:space="preserve">RETORNO 5 DE MANUEL RIVERA CAMBAS S/N                                           </t>
  </si>
  <si>
    <t>09FUA0409L</t>
  </si>
  <si>
    <t xml:space="preserve">UNIDAD DE SERVICIOS DE APOYO A LA EDUCACIÓN REGULAR IV-36                                           </t>
  </si>
  <si>
    <t>09FUA0410A</t>
  </si>
  <si>
    <t xml:space="preserve">UNIDAD DE SERVICIOS DE APOYO A LA EDUCACIÓN REGULAR IV-56                                           </t>
  </si>
  <si>
    <t xml:space="preserve">TRIGO NO 100                                                                    </t>
  </si>
  <si>
    <t>09FUA0411Z</t>
  </si>
  <si>
    <t xml:space="preserve">UNIDAD DE SERVICIOS DE APOYO A LA EDUCACIÓN REGULAR IV-49                                           </t>
  </si>
  <si>
    <t xml:space="preserve">CALLE 2 S/N                                                                     </t>
  </si>
  <si>
    <t>09FUA0412Z</t>
  </si>
  <si>
    <t xml:space="preserve">UNIDAD DE SERVICIOS DE APOYO A LA EDUCACIÓN REGULAR IV-50                                           </t>
  </si>
  <si>
    <t>09FUA0413Y</t>
  </si>
  <si>
    <t xml:space="preserve">UNIDAD DE SERVICIOS DE APOYO A LA EDUCACIÓN REGULAR I-10                                            </t>
  </si>
  <si>
    <t xml:space="preserve">OSA MAYOR S/N                                                                   </t>
  </si>
  <si>
    <t>09FUA0414X</t>
  </si>
  <si>
    <t xml:space="preserve">USAER 61                                                                                            </t>
  </si>
  <si>
    <t xml:space="preserve">CALLE VILLA ELOISA No. 20                                                       </t>
  </si>
  <si>
    <t xml:space="preserve">DESARROLLO URBANO QUETZALCOATL                                                                                                              </t>
  </si>
  <si>
    <t>09FUA0415W</t>
  </si>
  <si>
    <t xml:space="preserve">USAER 72                                                                                            </t>
  </si>
  <si>
    <t xml:space="preserve">MA. ESTHER ZUNO DE ECHEVERRIA NO. 52                                            </t>
  </si>
  <si>
    <t>09FUA0416V</t>
  </si>
  <si>
    <t xml:space="preserve">USAER 71                                                                                            </t>
  </si>
  <si>
    <t xml:space="preserve">CARRIL Y CLAVEL                                                                 </t>
  </si>
  <si>
    <t>09FUA0417U</t>
  </si>
  <si>
    <t xml:space="preserve">USAER 70                                                                                            </t>
  </si>
  <si>
    <t xml:space="preserve">FRANCISCO VILLA NO. 1                                                           </t>
  </si>
  <si>
    <t xml:space="preserve">IXTLAHUACAN                                                                                                                                 </t>
  </si>
  <si>
    <t>09FUA0418T</t>
  </si>
  <si>
    <t xml:space="preserve">USAER 54                                                                                            </t>
  </si>
  <si>
    <t xml:space="preserve">ROBERTO FULTON S/N                                                              </t>
  </si>
  <si>
    <t>09FUA0419S</t>
  </si>
  <si>
    <t xml:space="preserve">USAER 53                                                                                            </t>
  </si>
  <si>
    <t xml:space="preserve">JOSE LOPEZ PORTILLO                                                                                                                         </t>
  </si>
  <si>
    <t>09FUA0420H</t>
  </si>
  <si>
    <t xml:space="preserve">USAER 48                                                                                            </t>
  </si>
  <si>
    <t xml:space="preserve">AVENIDA 8 S/N                                                                   </t>
  </si>
  <si>
    <t>09FUA0421G</t>
  </si>
  <si>
    <t xml:space="preserve">USAER 41                                                                                            </t>
  </si>
  <si>
    <t>09FUA0422F</t>
  </si>
  <si>
    <t xml:space="preserve">USAER 40                                                                                            </t>
  </si>
  <si>
    <t xml:space="preserve">RAFAEL SIERRA NO. 79                                                            </t>
  </si>
  <si>
    <t>09FUA0423E</t>
  </si>
  <si>
    <t xml:space="preserve">USAER 47                                                                                            </t>
  </si>
  <si>
    <t xml:space="preserve">EMILIANO ZAPATA NO. 1770                                                        </t>
  </si>
  <si>
    <t>09FUA0424D</t>
  </si>
  <si>
    <t xml:space="preserve">USAER 60                                                                                            </t>
  </si>
  <si>
    <t>09FUA0425C</t>
  </si>
  <si>
    <t xml:space="preserve">USAER 59                                                                                            </t>
  </si>
  <si>
    <t xml:space="preserve">DEGOLLADO                                                                                                                                   </t>
  </si>
  <si>
    <t>09FUA0426B</t>
  </si>
  <si>
    <t xml:space="preserve">USAER 58                                                                                            </t>
  </si>
  <si>
    <t>09FUA0427A</t>
  </si>
  <si>
    <t xml:space="preserve">USAER 21                                                                                            </t>
  </si>
  <si>
    <t xml:space="preserve">ANDADOR CHITO VILLAGRAN NO. 36 2DA. SECCION                                     </t>
  </si>
  <si>
    <t>09FUA0428Z</t>
  </si>
  <si>
    <t xml:space="preserve">USAER 22                                                                                            </t>
  </si>
  <si>
    <t xml:space="preserve">C. MATIAS R. S/N.Y RAFAEL CURIEL                                                </t>
  </si>
  <si>
    <t>09FUA0429Z</t>
  </si>
  <si>
    <t xml:space="preserve">USAER 12                                                                                            </t>
  </si>
  <si>
    <t xml:space="preserve">QUETZAL NO. 25                                                                  </t>
  </si>
  <si>
    <t xml:space="preserve">LA PURISIMA                                                                                                                                 </t>
  </si>
  <si>
    <t>09FUA0430O</t>
  </si>
  <si>
    <t xml:space="preserve">USAER 4                                                                                             </t>
  </si>
  <si>
    <t xml:space="preserve">CTO. MIXTECO NO. 85 Y ESQ. SOTO MARINA                                          </t>
  </si>
  <si>
    <t xml:space="preserve">PASEOS DE CHURUBUSCO                                                                                                                        </t>
  </si>
  <si>
    <t>09FUA0431N</t>
  </si>
  <si>
    <t xml:space="preserve">USAER 45                                                                                            </t>
  </si>
  <si>
    <t xml:space="preserve">AV. DEL ROSAL NO. 6                                                             </t>
  </si>
  <si>
    <t>09FUA0432M</t>
  </si>
  <si>
    <t xml:space="preserve">USAER 30                                                                                            </t>
  </si>
  <si>
    <t>09FUA0433L</t>
  </si>
  <si>
    <t xml:space="preserve">USAER 31                                                                                            </t>
  </si>
  <si>
    <t xml:space="preserve">ANTONIO ESTEVEZ S/N                                                             </t>
  </si>
  <si>
    <t>09FUA0434K</t>
  </si>
  <si>
    <t xml:space="preserve">USAER 32                                                                                            </t>
  </si>
  <si>
    <t xml:space="preserve">AV. YUCATAN No. 30                                                              </t>
  </si>
  <si>
    <t xml:space="preserve">SAN SEBASTIAN TECOLOXTITLAN                                                                                                                 </t>
  </si>
  <si>
    <t>09FUA0435J</t>
  </si>
  <si>
    <t xml:space="preserve">USAER 33                                                                                            </t>
  </si>
  <si>
    <t xml:space="preserve">SUPER MANZANA 4 S/N                                                             </t>
  </si>
  <si>
    <t>09FUA0436I</t>
  </si>
  <si>
    <t xml:space="preserve">USAER 34                                                                                            </t>
  </si>
  <si>
    <t>09FUA0437H</t>
  </si>
  <si>
    <t xml:space="preserve">USAER 35                                                                                            </t>
  </si>
  <si>
    <t xml:space="preserve">AV. MEXICO NO. 1                                                                </t>
  </si>
  <si>
    <t>09FUA0438G</t>
  </si>
  <si>
    <t xml:space="preserve">USAER 36                                                                                            </t>
  </si>
  <si>
    <t xml:space="preserve">AREA DE SERVICIO SUPER MANZANA 3                                                </t>
  </si>
  <si>
    <t>09FUA0439F</t>
  </si>
  <si>
    <t xml:space="preserve">USAER 37                                                                                            </t>
  </si>
  <si>
    <t xml:space="preserve">GRAL. JESUS ALMANZA No. 4                                                       </t>
  </si>
  <si>
    <t xml:space="preserve">TEPALCATES                                                                                                                                  </t>
  </si>
  <si>
    <t>09FUA0440V</t>
  </si>
  <si>
    <t xml:space="preserve">USAER 38                                                                                            </t>
  </si>
  <si>
    <t>09FUA0441U</t>
  </si>
  <si>
    <t xml:space="preserve">USAER 39                                                                                            </t>
  </si>
  <si>
    <t xml:space="preserve">DR. ARTURO MENDEZ NO. 44                                                        </t>
  </si>
  <si>
    <t>09FUA0442T</t>
  </si>
  <si>
    <t xml:space="preserve">USAER 28                                                                                            </t>
  </si>
  <si>
    <t xml:space="preserve">GRAL.MANUEL CEPEDA PERAZA NO.41                                                 </t>
  </si>
  <si>
    <t>09FUA0443S</t>
  </si>
  <si>
    <t xml:space="preserve">USAER 78                                                                                            </t>
  </si>
  <si>
    <t>09FUA0445Q</t>
  </si>
  <si>
    <t xml:space="preserve">USAER 29                                                                                            </t>
  </si>
  <si>
    <t>09FUA0446P</t>
  </si>
  <si>
    <t xml:space="preserve">UNIDAD DE SERVICIOS DE APOYO A LA EDUCACION REGULAR I-64                                            </t>
  </si>
  <si>
    <t xml:space="preserve">TRIQUIS Y TOTONACAS S/N                                                         </t>
  </si>
  <si>
    <t xml:space="preserve">TEZOZOMOC                                                                                                                                   </t>
  </si>
  <si>
    <t>09FUA0447O</t>
  </si>
  <si>
    <t xml:space="preserve">UNIDAD DE SERVICIOS DE APOYO A LA EDUCACION REGULAR III-64                                          </t>
  </si>
  <si>
    <t xml:space="preserve">MITLA Y SERAFIN OLARTE S/N                                                      </t>
  </si>
  <si>
    <t>09FUA0448N</t>
  </si>
  <si>
    <t xml:space="preserve">UNIDAD DE SERVICIOS DE APOYO A LA EDUCACION REGULAR I-65                                            </t>
  </si>
  <si>
    <t xml:space="preserve">WAGNER NO 34                                                                    </t>
  </si>
  <si>
    <t xml:space="preserve">17 </t>
  </si>
  <si>
    <t>09FUA0449M</t>
  </si>
  <si>
    <t xml:space="preserve">UNIDAD DE SERVICIOS DE APOYO A LA EDUCACION REGULAR V-68                                            </t>
  </si>
  <si>
    <t xml:space="preserve">TEMIXCO S/N                                                                     </t>
  </si>
  <si>
    <t>ESPECIAL-CAM</t>
  </si>
  <si>
    <t>09DCO0007G</t>
  </si>
  <si>
    <t xml:space="preserve">REFORMA NO. 71                                                                  </t>
  </si>
  <si>
    <t>09DCO0010U</t>
  </si>
  <si>
    <t xml:space="preserve">LAS NIEVES                                                                                          </t>
  </si>
  <si>
    <t xml:space="preserve">CHICA NO 12                                                                     </t>
  </si>
  <si>
    <t>09DML0001W</t>
  </si>
  <si>
    <t xml:space="preserve">CENTRO DE ATENCIÓN MÚLTIPLE No. 44                                                                  </t>
  </si>
  <si>
    <t xml:space="preserve">ZARAGOZA S/N                                                                    </t>
  </si>
  <si>
    <t>09DML0003U</t>
  </si>
  <si>
    <t xml:space="preserve">CENTRO DE ATENCIÓN MÚLTIPLE No. 48                                                                  </t>
  </si>
  <si>
    <t xml:space="preserve">CAMPOS ELISEOS NO 477                                                           </t>
  </si>
  <si>
    <t>09DML0005S</t>
  </si>
  <si>
    <t xml:space="preserve">CENTRO DE ATENCIÓN MÚLTIPLE No. 100 "CONFE"                                                         </t>
  </si>
  <si>
    <t xml:space="preserve">EL YAQUI                                                                                                                                    </t>
  </si>
  <si>
    <t>09DML0006R</t>
  </si>
  <si>
    <t xml:space="preserve">CAM 29 PEDRO PONCE DE LEON                                                                          </t>
  </si>
  <si>
    <t xml:space="preserve">EMILIO AZCARRAGA VIDAURRETA Y AV GUELATAO                                       </t>
  </si>
  <si>
    <t xml:space="preserve">UNIDAD HABITACIONAL IGNACIO ZARAGOZ                                                                                                         </t>
  </si>
  <si>
    <t>09DML0008P</t>
  </si>
  <si>
    <t xml:space="preserve">CENTRO DE ATENCIÓN MÚLTIPLE No. 35                                                                  </t>
  </si>
  <si>
    <t xml:space="preserve">CALLE 667 S/N                                                                   </t>
  </si>
  <si>
    <t>09DML0011C</t>
  </si>
  <si>
    <t xml:space="preserve">CENTRO DE ATENCIÓN MÚLTIPLE No. 64                                                                  </t>
  </si>
  <si>
    <t xml:space="preserve">POPULAR SANTA TERESA                                                                                                                        </t>
  </si>
  <si>
    <t>09DML0013A</t>
  </si>
  <si>
    <t xml:space="preserve">CENTRO DE ATENCIÓN MÚLTIPLE No. 40                                                                  </t>
  </si>
  <si>
    <t xml:space="preserve">MELCHOR OCAMPO NO 1                                                             </t>
  </si>
  <si>
    <t xml:space="preserve">SANTO TOMAS AJUSCO                                                                                                                          </t>
  </si>
  <si>
    <t>09DML0017X</t>
  </si>
  <si>
    <t xml:space="preserve">CENTRO DE ATENCIÓN MÚLTIPLE No. 67                                                                  </t>
  </si>
  <si>
    <t xml:space="preserve">PINOS Y CAMINO VECINAL S/N                                                      </t>
  </si>
  <si>
    <t>09DML0022I</t>
  </si>
  <si>
    <t xml:space="preserve">CENTRO DE ATENCIÓN MÚLTIPLE No. 68                                                                  </t>
  </si>
  <si>
    <t xml:space="preserve">APANGO S/N                                                                      </t>
  </si>
  <si>
    <t>09DML0023H</t>
  </si>
  <si>
    <t xml:space="preserve">CAM 71 JUAN HUARTE DE SAN JUAN                                                                      </t>
  </si>
  <si>
    <t xml:space="preserve">CAMINO AL CERRO DE LA ESTRELLA S/N EDIF. 5                                      </t>
  </si>
  <si>
    <t>09DML0024G</t>
  </si>
  <si>
    <t xml:space="preserve">CENTRO DE ATENCIÓN MÚLTIPLE No. 69                                                                  </t>
  </si>
  <si>
    <t xml:space="preserve">SAN MIGUEL XICALCO                                                                                                                          </t>
  </si>
  <si>
    <t>09DML0025F</t>
  </si>
  <si>
    <t xml:space="preserve">CENTRO DE ATENCIÓN MÚLTIPLE No. 66                                                                  </t>
  </si>
  <si>
    <t xml:space="preserve">AV. RAFAEL DEL CASTILLO Y AV. CHALCO S/N                                        </t>
  </si>
  <si>
    <t xml:space="preserve">LA MAGDALENA                                                                                                                                </t>
  </si>
  <si>
    <t>09DML0027D</t>
  </si>
  <si>
    <t xml:space="preserve">CENTRO DE ATENCIÓN MÚLTIPLE No. 72                                                                  </t>
  </si>
  <si>
    <t xml:space="preserve">MINILLAS S/N                                                                    </t>
  </si>
  <si>
    <t>09DML0029B</t>
  </si>
  <si>
    <t xml:space="preserve">CENTRO DE ATENCIÓN MÚLTIPLE No. 28                                                                  </t>
  </si>
  <si>
    <t xml:space="preserve">COLEGIO SALESIANO NO 40                                                         </t>
  </si>
  <si>
    <t>09DML0031Q</t>
  </si>
  <si>
    <t xml:space="preserve">CENTRO DE ATENCIÓN MÚLTIPLE No. 23                                                                  </t>
  </si>
  <si>
    <t xml:space="preserve">HONORIO SEGURA S/N                                                              </t>
  </si>
  <si>
    <t xml:space="preserve">HUIZACHITO LA PALMA                                                                                                                         </t>
  </si>
  <si>
    <t>09DML0033O</t>
  </si>
  <si>
    <t xml:space="preserve">CENTRO DE ATENCIÓN MÚLTIPLE No. 31                                                                  </t>
  </si>
  <si>
    <t xml:space="preserve">MANUELA MEDINA Y EST. DOLORES GUERRERO S/N SECC. 8                              </t>
  </si>
  <si>
    <t>09DML0034N</t>
  </si>
  <si>
    <t xml:space="preserve">INSTITUTO NACIONAL PARA LA REHABILITACIÓN DE NIÑOS CIEGOS Y DÉBILES VISUALES                        </t>
  </si>
  <si>
    <t xml:space="preserve">VIENA NO 121                                                                    </t>
  </si>
  <si>
    <t>09DML0035M</t>
  </si>
  <si>
    <t xml:space="preserve">CENTRO DE ATENCIÓN MÚLTIPLE No. 34                                                                  </t>
  </si>
  <si>
    <t>09DML0036L</t>
  </si>
  <si>
    <t xml:space="preserve">CENTRO DE ATENCIÓN MÚLTIPLE No. 17                                                                  </t>
  </si>
  <si>
    <t>09DML0037K</t>
  </si>
  <si>
    <t>09DML0038J</t>
  </si>
  <si>
    <t xml:space="preserve">EMILIO AZCARRAGA VIDAURRETA Y AV. GUELATAO                                      </t>
  </si>
  <si>
    <t>09DML0040Y</t>
  </si>
  <si>
    <t xml:space="preserve">CAM HELLEN KELLER                                                                                   </t>
  </si>
  <si>
    <t>09DML0041X</t>
  </si>
  <si>
    <t xml:space="preserve">CAM 8 PROFRA. AMELIA GARCIA Y RUBIO                                                                 </t>
  </si>
  <si>
    <t xml:space="preserve">CAMIONEROS ESQ. GUELATAO S/N                                                    </t>
  </si>
  <si>
    <t>09DML0042W</t>
  </si>
  <si>
    <t>09DML0043V</t>
  </si>
  <si>
    <t xml:space="preserve">CAM NO. 51                                                                                          </t>
  </si>
  <si>
    <t>09DML0044U</t>
  </si>
  <si>
    <t>09DML0045T</t>
  </si>
  <si>
    <t xml:space="preserve">CAM 9 CLUB ROTARIO IZTAPALAPA                                                                       </t>
  </si>
  <si>
    <t xml:space="preserve">SAMUEL GOMPERS Y CALLE 39                                                       </t>
  </si>
  <si>
    <t>09DML0047R</t>
  </si>
  <si>
    <t xml:space="preserve">CAM 38 ALEXANDER GRAHAM BELL                                                                        </t>
  </si>
  <si>
    <t xml:space="preserve">RADIODIFUSION S/N                                                               </t>
  </si>
  <si>
    <t xml:space="preserve">CHINAMPAC DE JUAREZ                                                                                                                         </t>
  </si>
  <si>
    <t>09DML0048Q</t>
  </si>
  <si>
    <t xml:space="preserve">CENTRO DE ATENCIÓN MÚLTIPLE No. 19                                                                  </t>
  </si>
  <si>
    <t xml:space="preserve">CAMINO ANCHO NO 34                                                              </t>
  </si>
  <si>
    <t xml:space="preserve">CERRILLOS                                                                                                                                   </t>
  </si>
  <si>
    <t>09DML0050E</t>
  </si>
  <si>
    <t xml:space="preserve">CENTRO DE ATENCIÓN MÚLTIPLE No. 41                                                                  </t>
  </si>
  <si>
    <t xml:space="preserve">MUYUGUARDA S/N                                                                  </t>
  </si>
  <si>
    <t xml:space="preserve">BARRIO 18                                                                                                                                   </t>
  </si>
  <si>
    <t>09DML0053B</t>
  </si>
  <si>
    <t xml:space="preserve">CENTRO DE ATENCIÓN MÚLTIPLE No. 81                                                                  </t>
  </si>
  <si>
    <t>09DML0054A</t>
  </si>
  <si>
    <t xml:space="preserve">CENTRO DE ATENCIÓN MÚLTIPLE No. 85                                                                  </t>
  </si>
  <si>
    <t xml:space="preserve">TETRAZZINI NO 15                                                                </t>
  </si>
  <si>
    <t>09DML0056Z</t>
  </si>
  <si>
    <t xml:space="preserve">CENTRO DE ATENCIÓN MÚLTIPLE No. 86                                                                  </t>
  </si>
  <si>
    <t>09DML0058X</t>
  </si>
  <si>
    <t xml:space="preserve">CENTRO DE ATENCIÓN MÚLTIPLE No. 87                                                                  </t>
  </si>
  <si>
    <t>09DML0059W</t>
  </si>
  <si>
    <t xml:space="preserve">CENTRO DE ATENCIÓN MÚLTIPLE No. 6                                                                   </t>
  </si>
  <si>
    <t xml:space="preserve">ANTIGUO CAMINO ACAPULCO No. 128                                                 </t>
  </si>
  <si>
    <t>09DML0060L</t>
  </si>
  <si>
    <t xml:space="preserve">CENTRO DE ATENCIÓN MÚLTIPLE No. 7                                                                   </t>
  </si>
  <si>
    <t xml:space="preserve">LOMAS DE AXOMIATLA                                                                                                                          </t>
  </si>
  <si>
    <t>09DML0061K</t>
  </si>
  <si>
    <t xml:space="preserve">CENTRO DE ATENCIÓN MÚLTIPLE No. 54                                                                  </t>
  </si>
  <si>
    <t xml:space="preserve">AV. CONTRERAS NO 428                                                            </t>
  </si>
  <si>
    <t>09DML0062J</t>
  </si>
  <si>
    <t xml:space="preserve">CENTRO DE ATENCIÓN MÚLTIPLE No. 15                                                                  </t>
  </si>
  <si>
    <t>09DML0064H</t>
  </si>
  <si>
    <t xml:space="preserve">CENTRO DE ATENCIÓN MÚLTIPLE No. 10                                                                  </t>
  </si>
  <si>
    <t xml:space="preserve">NITLA NO 24                                                                     </t>
  </si>
  <si>
    <t xml:space="preserve">TLAZINTLA                                                                                                                                   </t>
  </si>
  <si>
    <t>09DML0065G</t>
  </si>
  <si>
    <t xml:space="preserve">CENTRO DE ATENCIÓN MÚLTIPLE No. 30                                                                  </t>
  </si>
  <si>
    <t xml:space="preserve">PIMA ALTO S/N ESQ. CANAL DE TEZONTLE                                            </t>
  </si>
  <si>
    <t xml:space="preserve">CARLOS ZAPATA VELA                                                                                                                          </t>
  </si>
  <si>
    <t>09DML0067E</t>
  </si>
  <si>
    <t xml:space="preserve">CENTRO DE ATENCIÓN MÚLTIPLE No. 45 "APAC"                                                           </t>
  </si>
  <si>
    <t xml:space="preserve">DR. ARCE No. 104-105                                                            </t>
  </si>
  <si>
    <t>09DML0068D</t>
  </si>
  <si>
    <t xml:space="preserve">CENTRO DE ATENCIÓN MÚLTIPLE No. 33                                                                  </t>
  </si>
  <si>
    <t xml:space="preserve">ALMACENES NO 84                                                                 </t>
  </si>
  <si>
    <t>09DML0072Q</t>
  </si>
  <si>
    <t xml:space="preserve">ESCUELA NACIONAL PARA CIEGOS "LIC IGNACIO TRIGUEROS"                                                </t>
  </si>
  <si>
    <t xml:space="preserve">MIXCALCO NO 6                                                                   </t>
  </si>
  <si>
    <t>09DML0073P</t>
  </si>
  <si>
    <t xml:space="preserve">CENTRO DE ATENCIÓN MÚLTIPLE No. 83                                                                  </t>
  </si>
  <si>
    <t>09DML0074O</t>
  </si>
  <si>
    <t xml:space="preserve">CENTRO DE ATENCIÓN MÚLTIPLE No. 82                                                                  </t>
  </si>
  <si>
    <t xml:space="preserve">AV. TEZONTLE S/N                                                                </t>
  </si>
  <si>
    <t>09DML0075N</t>
  </si>
  <si>
    <t xml:space="preserve">CENTRO DE ATENCIÓN MÚLTIPLE No. 76                                                                  </t>
  </si>
  <si>
    <t>09DML0076M</t>
  </si>
  <si>
    <t xml:space="preserve">CENTRO DE ATENCIÓN MÚLTIPLE No. 77                                                                  </t>
  </si>
  <si>
    <t xml:space="preserve">CAMPO ENCANTADO S/N                                                             </t>
  </si>
  <si>
    <t xml:space="preserve">PETROLERA AMPLIACION                                                                                                                        </t>
  </si>
  <si>
    <t>09DML0077L</t>
  </si>
  <si>
    <t xml:space="preserve">CENTRO DE ATENCIÓN MÚLTIPLE No. 3                                                                   </t>
  </si>
  <si>
    <t>09DML0079J</t>
  </si>
  <si>
    <t xml:space="preserve">CENTRO DE ATENCIÓN MÚLTIPLE No. 5                                                                   </t>
  </si>
  <si>
    <t xml:space="preserve">FRAY PEDRO DE GANTE NO 43                                                       </t>
  </si>
  <si>
    <t>09DML0081Y</t>
  </si>
  <si>
    <t xml:space="preserve">CENTRO DE ATENCIÓN MÚLTIPLE No. 18                                                                  </t>
  </si>
  <si>
    <t xml:space="preserve">GENERAL MARIANO SALAS S/N AV. CANTERA                                           </t>
  </si>
  <si>
    <t>09DML0083W</t>
  </si>
  <si>
    <t xml:space="preserve">CENTRO DE ATENCIÓN MÚLTIPLE No. 24                                                                  </t>
  </si>
  <si>
    <t xml:space="preserve">LA PATERA VALLEJO                                                                                                                           </t>
  </si>
  <si>
    <t>09DML0084V</t>
  </si>
  <si>
    <t xml:space="preserve">CENTRO DE ATENCIÓN MÚLTIPLE No. 52                                                                  </t>
  </si>
  <si>
    <t xml:space="preserve">CENTENERIO NO 1100                                                              </t>
  </si>
  <si>
    <t>09DML0085U</t>
  </si>
  <si>
    <t xml:space="preserve">CENTRO DE ATENCIÓN MÚLTIPLE No. 79                                                                  </t>
  </si>
  <si>
    <t>09DML0087S</t>
  </si>
  <si>
    <t xml:space="preserve">CENTRO DE ATENCIÓN MÚLTIPLE No. 92                                                                  </t>
  </si>
  <si>
    <t>09DML0089Q</t>
  </si>
  <si>
    <t xml:space="preserve">CENTRO DE ATENCIÓN MÚLTIPLE No. 93                                                                  </t>
  </si>
  <si>
    <t>09DML0090F</t>
  </si>
  <si>
    <t xml:space="preserve">CENTRO DE ATENCIÓN MÚLTIPLE No. 95                                                                  </t>
  </si>
  <si>
    <t xml:space="preserve">COMERCIO NO 43                                                                  </t>
  </si>
  <si>
    <t>09DML0092D</t>
  </si>
  <si>
    <t xml:space="preserve">CENTRO DE ATENCIÓN MÚLTIPLE No. 1                                                                   </t>
  </si>
  <si>
    <t xml:space="preserve">LAGO BANGUEOLO NO 24-A PLANTA BAJA                                              </t>
  </si>
  <si>
    <t>09DML0093C</t>
  </si>
  <si>
    <t xml:space="preserve">CENTRO DE ATENCIÓN MÚLTIPLE No. 4                                                                   </t>
  </si>
  <si>
    <t xml:space="preserve">AV. DE LAS GRANJAS No. 590                                                      </t>
  </si>
  <si>
    <t>09DML0095A</t>
  </si>
  <si>
    <t xml:space="preserve">CENTRO DE ATENCIÓN MÚLTIPLE No. 12                                                                  </t>
  </si>
  <si>
    <t xml:space="preserve">11 DE ABRIL NO 188                                                              </t>
  </si>
  <si>
    <t>09DML0096Z</t>
  </si>
  <si>
    <t>09DML0097Z</t>
  </si>
  <si>
    <t xml:space="preserve">CENTRO DE ATENCIÓN MÚLTIPLE No. 16                                                                  </t>
  </si>
  <si>
    <t xml:space="preserve">LAGUNA DEL CARMEN Y LAGO TEXCOCO                                                </t>
  </si>
  <si>
    <t>09DML0102U</t>
  </si>
  <si>
    <t xml:space="preserve">CENTRO DE ATENCIÓN MÚLTIPLE No. 55                                                                  </t>
  </si>
  <si>
    <t xml:space="preserve">IRIS S/N                                                                        </t>
  </si>
  <si>
    <t>09DML0103T</t>
  </si>
  <si>
    <t xml:space="preserve">CENTRO DE ATENCIÓN MÚLTIPLE No. 11                                                                  </t>
  </si>
  <si>
    <t xml:space="preserve">EMILIANO ZAPATA NO 300                                                          </t>
  </si>
  <si>
    <t>09DML0104S</t>
  </si>
  <si>
    <t xml:space="preserve">CENTRO DE ATENCIÓN MÚLTIPLE No. 39                                                                  </t>
  </si>
  <si>
    <t xml:space="preserve">MUNICIPIO LIBRE NO 59 BIS                                                       </t>
  </si>
  <si>
    <t>09DML0107P</t>
  </si>
  <si>
    <t xml:space="preserve">CENTRO DE ATENCIÓN MÚLTIPLE No. 88                                                                  </t>
  </si>
  <si>
    <t>09DML0108O</t>
  </si>
  <si>
    <t xml:space="preserve">CENTRO DE ATENCIÓN MÚLTIPLE No. 90                                                                  </t>
  </si>
  <si>
    <t xml:space="preserve">EL ROSEDAL                                                                                                                                  </t>
  </si>
  <si>
    <t>09DML0110C</t>
  </si>
  <si>
    <t xml:space="preserve">CENTRO DE ATENCIÓN MÚLTIPLE No. 22                                                                  </t>
  </si>
  <si>
    <t xml:space="preserve">CATAZAJA S/N ESQUINA DZIBALCHEN                                                 </t>
  </si>
  <si>
    <t xml:space="preserve">CUCHILLA DE PADIERNA                                                                                                                        </t>
  </si>
  <si>
    <t>09DML0111B</t>
  </si>
  <si>
    <t xml:space="preserve">CENTRO DE ATENCIÓN MÚLTIPLE No. 37                                                                  </t>
  </si>
  <si>
    <t>09DML0113Z</t>
  </si>
  <si>
    <t xml:space="preserve">CENTRO DE ATENCIÓN MÚLTIPLE No. 2                                                                   </t>
  </si>
  <si>
    <t xml:space="preserve">CASTILLA NO 148                                                                 </t>
  </si>
  <si>
    <t>09DML0114Z</t>
  </si>
  <si>
    <t xml:space="preserve">CENTRO DE ATENCIÓN MÚLTIPLE No. 27                                                                  </t>
  </si>
  <si>
    <t>09DML0116X</t>
  </si>
  <si>
    <t xml:space="preserve">CENTRO DE ATENCIÓN MÚLTIPLE No. 36                                                                  </t>
  </si>
  <si>
    <t xml:space="preserve">ZAPOTECAS S/N MANZANA 77                                                        </t>
  </si>
  <si>
    <t>09DML0117W</t>
  </si>
  <si>
    <t xml:space="preserve">CENTRO DE ATENCIÓN MÚLTIPLE No. 97                                                                  </t>
  </si>
  <si>
    <t xml:space="preserve">MELCHOR OCAMPO NO 91                                                            </t>
  </si>
  <si>
    <t xml:space="preserve">TLAXPANA                                                                                                                                    </t>
  </si>
  <si>
    <t>09DML0119U</t>
  </si>
  <si>
    <t xml:space="preserve">CENTRO DE ATENCIÓN MÚLTIPLE No. 99                                                                  </t>
  </si>
  <si>
    <t xml:space="preserve">ALDAMA NO 28                                                                    </t>
  </si>
  <si>
    <t xml:space="preserve">COSMOPOLITA AMPLIACION                                                                                                                      </t>
  </si>
  <si>
    <t>09DML0121I</t>
  </si>
  <si>
    <t xml:space="preserve">CENTRO DE ATENCIÓN MÚLTIPLE No. 102 (CLINICA DE ORTOLALIA)                                          </t>
  </si>
  <si>
    <t xml:space="preserve">PRESIDENTE MASARIK NO 526 2DO PISO                                              </t>
  </si>
  <si>
    <t>09DML0122H</t>
  </si>
  <si>
    <t xml:space="preserve">CENTRO DE ATENCIÓN MÚLTIPLE No. 101 (CLINICA DE CONDUCTA)                                           </t>
  </si>
  <si>
    <t xml:space="preserve">PRESIDENTE MASARIK NO 526                                                       </t>
  </si>
  <si>
    <t>09DML0123G</t>
  </si>
  <si>
    <t>09DML0124F</t>
  </si>
  <si>
    <t>09DML0125E</t>
  </si>
  <si>
    <t xml:space="preserve">CENTRO DE ATENCIÓN MÚLTIPLE No. 14                                                                  </t>
  </si>
  <si>
    <t>09DML0126D</t>
  </si>
  <si>
    <t xml:space="preserve">CENTRO DE ATENCIÓN MÚLTIPLE No. 103                                                                 </t>
  </si>
  <si>
    <t>09DML0128B</t>
  </si>
  <si>
    <t>09DML0130Q</t>
  </si>
  <si>
    <t xml:space="preserve">CAM 11                                                                                              </t>
  </si>
  <si>
    <t xml:space="preserve">BENITO JUAREZ Y CHIMALPOPOCA                                                    </t>
  </si>
  <si>
    <t>09DML0132O</t>
  </si>
  <si>
    <t xml:space="preserve">CAM 58                                                                                              </t>
  </si>
  <si>
    <t xml:space="preserve">CAMINO CERRO DE LA ESTRELLA S/N                                                 </t>
  </si>
  <si>
    <t>09DML0138I</t>
  </si>
  <si>
    <t xml:space="preserve">DR. ROBERTO SOLIS QUIROGA                                                                           </t>
  </si>
  <si>
    <t xml:space="preserve">CALLE ENNA S/N                                                                  </t>
  </si>
  <si>
    <t>09DML0139H</t>
  </si>
  <si>
    <t xml:space="preserve">CENTRO DE ATENCIÓN MÚLTIPLE No. 105                                                                 </t>
  </si>
  <si>
    <t xml:space="preserve">CALLE 2 No. 97                                                                  </t>
  </si>
  <si>
    <t>09PDM0001S</t>
  </si>
  <si>
    <t xml:space="preserve">ESCUELA DE EDUCACION ESPECIAL SANTA MARIA                                                           </t>
  </si>
  <si>
    <t xml:space="preserve">DR ENRIQUE GONZALEZ M NO 139                                                    </t>
  </si>
  <si>
    <t>09PML0003Z</t>
  </si>
  <si>
    <t xml:space="preserve">COMUNIDAD EDUCATIVA Y PSICOPEDAGOGICA INTEGRAL                                                      </t>
  </si>
  <si>
    <t xml:space="preserve">MIMOSA NO. 33                                                                   </t>
  </si>
  <si>
    <t>09PML0009T</t>
  </si>
  <si>
    <t xml:space="preserve">ESCUELA "BEATRIZ VELASCO DE ALEMAN"                                                                 </t>
  </si>
  <si>
    <t xml:space="preserve">PROLONGACION LUCAS ALAMAN S/N                                                   </t>
  </si>
  <si>
    <t>09PML0011H</t>
  </si>
  <si>
    <t xml:space="preserve">COMUNIDAD EDUCATIVA ATELIER INDIGO                                                                  </t>
  </si>
  <si>
    <t xml:space="preserve">CANADA NO 95                                                                    </t>
  </si>
  <si>
    <t>09PML0012G</t>
  </si>
  <si>
    <t xml:space="preserve">CENTRO DE ESTIMULACION TEMPRANA LA GAVIOTA                                                          </t>
  </si>
  <si>
    <t xml:space="preserve">SUR 136 NO 24                                                                   </t>
  </si>
  <si>
    <t>09PML0013F</t>
  </si>
  <si>
    <t xml:space="preserve">INSTITUTO PEDAGOGICO PARA PROBLEMAS DE LENGUAJE I A P                                               </t>
  </si>
  <si>
    <t xml:space="preserve">POUSSIN NO 63                                                                   </t>
  </si>
  <si>
    <t xml:space="preserve">SAN JUAN                                                                                                                                    </t>
  </si>
  <si>
    <t>09PML0014E</t>
  </si>
  <si>
    <t xml:space="preserve">COLEGIO WISSENSPLATZ                                                                                </t>
  </si>
  <si>
    <t xml:space="preserve">ALDANA No. 5 ANTES LOTE No. 1                                                   </t>
  </si>
  <si>
    <t>09PML0015D</t>
  </si>
  <si>
    <t xml:space="preserve">THE MONARCH SCHOOL MEXICO                                                                           </t>
  </si>
  <si>
    <t xml:space="preserve">CALLE ANTONIO ANCONA NO 19                                                      </t>
  </si>
  <si>
    <t>09TIN0001Z</t>
  </si>
  <si>
    <t xml:space="preserve">INDUSTRIAS PROTEGIDAS 1 PROFRA. FLORENTINA GONZALEZ CIPRE                                           </t>
  </si>
  <si>
    <t xml:space="preserve">AV. RIO CHURUBUSCO NO. 374                                                      </t>
  </si>
  <si>
    <t>PREESCOLAR-INICIAL</t>
  </si>
  <si>
    <t xml:space="preserve">FERNANDO CELADA, CLUB DE LEONES DE LA CIUDAD DE MEXICO No 5                                         </t>
  </si>
  <si>
    <t xml:space="preserve">RET. CUARACUARO ERMITA NO. 42, IV SECCION                                       </t>
  </si>
  <si>
    <t xml:space="preserve">"FUNDACION COLEGIO LUZ SAVIÑON, I.A.P."                                                             </t>
  </si>
  <si>
    <t xml:space="preserve">COLEGIO DE EDUCACION INTEGRAL, HUMANIDADES Y CIENCIAS                                               </t>
  </si>
  <si>
    <t xml:space="preserve">COLEGIO PEDAGOGICO AMERICAS, S.C.                                                                   </t>
  </si>
  <si>
    <t xml:space="preserve">INSTITUTO BRITANNIA DE MEXICO, S. C.                                                                </t>
  </si>
  <si>
    <t xml:space="preserve">CENTRO INFANTIL MARIA TERESA, S. C.                                                                 </t>
  </si>
  <si>
    <t xml:space="preserve">COLEGIO ETON, S. C.                                                                                 </t>
  </si>
  <si>
    <t xml:space="preserve">EDUARDO C. GARCIA S/N, SUP. MZ.28 MZ. 4 LTS. 99 Y 100                           </t>
  </si>
  <si>
    <t xml:space="preserve">CENTRO DE ESTIMULACION Y RECREACION INFANTIL, SECCION PRIMARIA                                      </t>
  </si>
  <si>
    <t xml:space="preserve">TRUENO S/N LT. 9 Y ZN. 01, MZ. 55 LT.10                                         </t>
  </si>
  <si>
    <t>FUENTE: Estadística 911 de Inicio de ciclo 2013-2014 e información publicada por la Dirección General de Administración (DGA) en el portal de la AFSEDF</t>
  </si>
  <si>
    <t>NOTA: Se considera información de los CENDIS (estrato de Preescolar) del nivel de Educación INICIAL</t>
  </si>
  <si>
    <t xml:space="preserve">AV 1525,1527 Y CALLE 414                                                        </t>
  </si>
  <si>
    <t xml:space="preserve">NORTE 72, ORIENTE 153-A Y NORTE 72-B                                            </t>
  </si>
  <si>
    <t xml:space="preserve">URUCHURTU, TORRES BODET Y ROMAN LUGO                                            </t>
  </si>
  <si>
    <t xml:space="preserve">RANCHO TAMACOCO S/N, AMERICAS Y ELOY CAVAZOS                                    </t>
  </si>
  <si>
    <t xml:space="preserve"> AVS. 549, 506, 553 Y 504 SECC. VECINAL DOS                                     </t>
  </si>
  <si>
    <t xml:space="preserve">CALLE 31, 6 Y 29                                                                </t>
  </si>
  <si>
    <t xml:space="preserve">COLEGIO O´FARRILL, SECUNDARIA Y PREPARATORIA SOCIEDAD CIVIL                                         </t>
  </si>
  <si>
    <t xml:space="preserve">"COLEGIO MANUEL EDUARDO DE GOROSTIZA , S.C. "                                                       </t>
  </si>
  <si>
    <t xml:space="preserve">"COLEGIO AZCAPOTZALCO, SECCION SECUNDARIA"                                                          </t>
  </si>
  <si>
    <t xml:space="preserve">"COLEGIO LINDAVISTA, A.C."                                                                          </t>
  </si>
  <si>
    <t xml:space="preserve">"COLEGIO MARGARITA GALINDO DE RUIZ , A.C."                                                          </t>
  </si>
  <si>
    <t xml:space="preserve">SUR 25 LT 69 MZ 7 INT A, C Y D                                                  </t>
  </si>
  <si>
    <t xml:space="preserve">"CENTRO EDUCATIVO PLOTINO RHODAKANATY, SECUNDARIA"                                                  </t>
  </si>
  <si>
    <t xml:space="preserve">INSTITUTO DE HUMANIDADES Y CIENCIAS, A.C. (INHUMYC)                                                 </t>
  </si>
  <si>
    <t xml:space="preserve">COLEGIO RODOLFO USIGLI, PLANTEL IZTAPALAPA                                                          </t>
  </si>
  <si>
    <t xml:space="preserve">AÑIL S/N ANEXO AL CONADE ESQ. RIO CHURUBUSCO                                    </t>
  </si>
  <si>
    <t xml:space="preserve">RAFAEL ANGEL DE LA PEÑA NO. 43                                                  </t>
  </si>
  <si>
    <t xml:space="preserve">ING. EDUARDO MOLINA,ESTAÑO Y ALUMINIO S/N                                       </t>
  </si>
  <si>
    <t xml:space="preserve">PLAN DE SAN LUIS Y DIAZ MIRON S/N 2O PISO                                       </t>
  </si>
  <si>
    <t xml:space="preserve">AV. INGUARAN Y ESTAÑO S/N                                                       </t>
  </si>
  <si>
    <t xml:space="preserve">AV. PEÑON DE LOS BAÑOS S/N ESQ PTO AEREO                                        </t>
  </si>
  <si>
    <t xml:space="preserve">MANUEL ACUÑA NO. 43                                                             </t>
  </si>
  <si>
    <t xml:space="preserve">CAMPAÑA DEL EBANO S/N ESQ.ANTONIO DIAZ Y GAMA                                   </t>
  </si>
  <si>
    <t xml:space="preserve">EUGENIO SUE NO. 125                                                             </t>
  </si>
  <si>
    <t xml:space="preserve">RIO TIGRIS NO. 87                                                               </t>
  </si>
  <si>
    <t xml:space="preserve">CALZADA DE LAS AGUILAS NO. 181 Y 219                                            </t>
  </si>
  <si>
    <t xml:space="preserve">PEÑON DE LOS BAÑOS                                                                                                                          </t>
  </si>
  <si>
    <t xml:space="preserve">CONSTITUYENTE HECTOR VICTORIA Y CAMAPANITA S/N                                  </t>
  </si>
  <si>
    <t xml:space="preserve">GENERAL JOSE MORAN No. 36                                                       </t>
  </si>
  <si>
    <t xml:space="preserve">2A CERRADA DE AQUILES SERDAN S/N                                                </t>
  </si>
  <si>
    <t xml:space="preserve">PROLONGACION CIPRES No. 601                                                     </t>
  </si>
  <si>
    <t xml:space="preserve">AV. LEON DE LOS ALDAMA S/N                                                      </t>
  </si>
  <si>
    <t xml:space="preserve">AV. DE LA CIMA Y RIO SAN JAVIER S/N                                             </t>
  </si>
  <si>
    <t xml:space="preserve">AV. JAVIER ROJO GOMEZ No. 103                                                   </t>
  </si>
  <si>
    <t xml:space="preserve">AV CORUÑA NO 325                                                                </t>
  </si>
  <si>
    <t xml:space="preserve">CALZADA DEL PEÑON Y REFINERIA S/N                                               </t>
  </si>
  <si>
    <t xml:space="preserve">FELIX GOMEZ S/N                                                                 </t>
  </si>
  <si>
    <t xml:space="preserve">JOSE MARIA BUSTILLOS No. 60                                                     </t>
  </si>
  <si>
    <t xml:space="preserve">JOSE ESPINOSA FUENTES S/N                                                       </t>
  </si>
  <si>
    <t xml:space="preserve">AV. SAN JERONIMO S/N                                                            </t>
  </si>
  <si>
    <t xml:space="preserve">YOBAIN No. 659                                                                  </t>
  </si>
  <si>
    <t xml:space="preserve">AV. SAN BERNABE NO 95                                                           </t>
  </si>
  <si>
    <t xml:space="preserve">JESUS ROCHA S/N                                                                 </t>
  </si>
  <si>
    <t xml:space="preserve">SOR JUANA INES DE LA CRUZ NO. 35                                                </t>
  </si>
  <si>
    <t xml:space="preserve">ALVARO OBREGON NO 74                                                            </t>
  </si>
  <si>
    <t xml:space="preserve">CERRADA DE SAN JOSE S/N                                                         </t>
  </si>
  <si>
    <t xml:space="preserve">CAÑITO S/N                                                                      </t>
  </si>
  <si>
    <t xml:space="preserve">CALZADA TAXQUEÑA No. 1811                                                       </t>
  </si>
  <si>
    <t xml:space="preserve">PROLONGACION COMERCIO No. 43                                                    </t>
  </si>
  <si>
    <t xml:space="preserve">DON GIOVANNI Y NICOLAS CHAMPION S/N                                             </t>
  </si>
  <si>
    <t xml:space="preserve">CERRO DE SAN FRANCISCO No. 97 4O PISO                                           </t>
  </si>
  <si>
    <t xml:space="preserve">CALZADA MEXICO TACUBA No. 215                                                   </t>
  </si>
  <si>
    <t xml:space="preserve">CARRETERA MEXICO TOLUCA KM 21.5                                                 </t>
  </si>
  <si>
    <t xml:space="preserve">CAMINO REAL DE SAN MARTIN S/N                                                   </t>
  </si>
  <si>
    <t xml:space="preserve">AV.  LEON DE LOS ALDAMA S/N                                                     </t>
  </si>
  <si>
    <t xml:space="preserve">REPUBLICA DE ARGENTINA No. 68 y 70                                              </t>
  </si>
  <si>
    <t xml:space="preserve">JARDIN RAMON LOPEZ VELARDE No. 272                                              </t>
  </si>
  <si>
    <t xml:space="preserve">SUR 105 Y PROLONGACION LUCAS ALAMAN S/N                                         </t>
  </si>
  <si>
    <t xml:space="preserve">HEROES No. 25                                                                   </t>
  </si>
  <si>
    <t xml:space="preserve">AV. JUAREZ NO 11                                                                </t>
  </si>
  <si>
    <t xml:space="preserve">TULUM No. 162                                                                   </t>
  </si>
  <si>
    <t xml:space="preserve">EJE CENTRAL LAZARO CARDENAS No. 1110                                            </t>
  </si>
  <si>
    <t xml:space="preserve">BOLIVAR NO 628                                                                  </t>
  </si>
  <si>
    <t xml:space="preserve">PROLONGACION 2 DE ABRIL S/N                                                     </t>
  </si>
  <si>
    <t xml:space="preserve">AV. PEDRO RAMIREZ DEL CASTILLO S/N                                              </t>
  </si>
  <si>
    <t xml:space="preserve">ANILLO PERIFERICO No. 2811                                                      </t>
  </si>
  <si>
    <t xml:space="preserve">CALZADA DE LAS AGUILAS S/N                                                      </t>
  </si>
  <si>
    <t xml:space="preserve">PURISIMA S/N                                                                    </t>
  </si>
  <si>
    <t xml:space="preserve">AV. REVOLUCION No. 313                                                          </t>
  </si>
  <si>
    <t xml:space="preserve">CARRETERA MEXICO TOLUCA KM 29.5 S/N                                             </t>
  </si>
  <si>
    <t xml:space="preserve">MARISCAL ROMMEL Y SANCHEZ COLON S/N                                             </t>
  </si>
  <si>
    <t xml:space="preserve">FERNANDO ROMAN LUGO S/N                                                         </t>
  </si>
  <si>
    <t xml:space="preserve">SECRETARIA DEL TRABAJO Y PREVISION SOCIAL                                       </t>
  </si>
  <si>
    <t xml:space="preserve">REPUBLICA DE BOLIVIA No. 56                                                     </t>
  </si>
  <si>
    <t xml:space="preserve">CERRADA SAN JOSE S/N                                                            </t>
  </si>
  <si>
    <t xml:space="preserve">FELIX ROMERO No. 60                                                             </t>
  </si>
  <si>
    <t xml:space="preserve">GERTRUDIS SANCHEZ No. 102                                                       </t>
  </si>
  <si>
    <t xml:space="preserve">FELIX URESTI GOMEZ S/N                                                          </t>
  </si>
  <si>
    <t xml:space="preserve">AV. FRANCISCO MORAZAN S/N                                                       </t>
  </si>
  <si>
    <t xml:space="preserve">GABRIEL HERNANDEZ NO. 18                                                        </t>
  </si>
  <si>
    <t xml:space="preserve">AV. REVOLUCION No. 120                                                          </t>
  </si>
  <si>
    <t xml:space="preserve">LAGO SAN JOSE No. 16 BIS                                                        </t>
  </si>
  <si>
    <t xml:space="preserve">CALZADA MEXICO TACUBA No. 75                                                    </t>
  </si>
  <si>
    <t xml:space="preserve">AV. CUITLAHUAC Y MAR MEDITERRANEO S/N                                           </t>
  </si>
  <si>
    <t xml:space="preserve">CALLE 16 NO 19                                                                  </t>
  </si>
  <si>
    <t xml:space="preserve">FLORIDA NO. 10, 2O PISO                                                         </t>
  </si>
  <si>
    <t xml:space="preserve">BOLIVAR No. 162                                                                 </t>
  </si>
  <si>
    <t xml:space="preserve">ORQUIDEA S/N                                                                    </t>
  </si>
  <si>
    <t xml:space="preserve">AV. GUSTAVO DIAZ ORDAZ S/N                                                      </t>
  </si>
  <si>
    <t xml:space="preserve">AV. MEXICO AJUSCO NO. 25                                                        </t>
  </si>
  <si>
    <t xml:space="preserve">CUAUHTEMOC NO 95                                                                </t>
  </si>
  <si>
    <t xml:space="preserve">NICOLAS CHAMPION S/N                                                            </t>
  </si>
  <si>
    <t xml:space="preserve">MARTIRES DE RIO BLANCO Y AV. MEXICO S/N                                         </t>
  </si>
  <si>
    <t xml:space="preserve">JARDIN LAZARO CARDENAS S/N                                                      </t>
  </si>
  <si>
    <t xml:space="preserve">PATRICIO SANZ No. 1415                                                          </t>
  </si>
  <si>
    <t xml:space="preserve">CUAUHTEMOC S/N                                                                  </t>
  </si>
  <si>
    <t xml:space="preserve">PLAZA JUAREZ No. 28                                                             </t>
  </si>
  <si>
    <t xml:space="preserve">AV. JAVIER ROJO GOMEZ No. 22                                                    </t>
  </si>
  <si>
    <t xml:space="preserve">SUR 16 NO 1234                                                                  </t>
  </si>
  <si>
    <t xml:space="preserve">CALLE 317 Y 302                                                                </t>
  </si>
  <si>
    <t xml:space="preserve">PLAZA JUAREZ No. 17                                                             </t>
  </si>
  <si>
    <t xml:space="preserve">ACUEDUCTO Y TICOMAN S/N                                                         </t>
  </si>
  <si>
    <t xml:space="preserve">LATERAL PERIFERICO No. 13590                                                    </t>
  </si>
  <si>
    <t xml:space="preserve">CALLEJON DE TEZONTLE NO 10                                                      </t>
  </si>
  <si>
    <t xml:space="preserve">AV DEL TALLER NO 344                                                            </t>
  </si>
  <si>
    <t xml:space="preserve">HIDROGENO No. 1 II F                                                            </t>
  </si>
  <si>
    <t xml:space="preserve">FEDERICO DAVALOS Y AV. PERIFERICO S/N                                           </t>
  </si>
  <si>
    <t xml:space="preserve">CALZADA MEXICO TACUBA NO 75                                                     </t>
  </si>
  <si>
    <t xml:space="preserve">RIO URUGUAY S/N                                                                 </t>
  </si>
  <si>
    <t xml:space="preserve">CONSTANCIA No. 68 Y JESUS CARRANZA                                              </t>
  </si>
  <si>
    <t xml:space="preserve">ARCOS DE BELEN No. 45                                                           </t>
  </si>
  <si>
    <t xml:space="preserve">EX EJIDO HEROES DE PADIERNA S/N                                                 </t>
  </si>
  <si>
    <t xml:space="preserve">JOSE MOJICA S/N                                                                 </t>
  </si>
  <si>
    <t xml:space="preserve">AMERICAS No. 155                                                                </t>
  </si>
  <si>
    <t xml:space="preserve">AV. TORRES ELETRICAS Y 3er. ANILLO DE CIRCUNVALACION                            </t>
  </si>
  <si>
    <t xml:space="preserve">AV CENTRAL NO 78                                                                </t>
  </si>
  <si>
    <t xml:space="preserve">AV. RIO CONSULADO Y QUETZALCOATL S/N                                            </t>
  </si>
  <si>
    <t xml:space="preserve">PROLONGACION GUILLERMO PRIETO S/N                                               </t>
  </si>
  <si>
    <t xml:space="preserve">AV. DEL TALLER NO 344                                                           </t>
  </si>
  <si>
    <t xml:space="preserve">RIO FRIO S/N                                                                    </t>
  </si>
  <si>
    <t xml:space="preserve">MANUEL ACUÑA NO 225                                                             </t>
  </si>
  <si>
    <t xml:space="preserve">AV SUR 20 NO 380                                                                </t>
  </si>
  <si>
    <t xml:space="preserve">ENRIQUE AÑORVE No. 50                                                           </t>
  </si>
  <si>
    <t xml:space="preserve">MANUEL CAÑAS Y VILLA FEDERAL S/N                                                </t>
  </si>
  <si>
    <t xml:space="preserve">CARRETERA MEXICO-TOLUCA No. 5218                                                </t>
  </si>
  <si>
    <t xml:space="preserve">YOBAIN S/N MZA. 26                                                              </t>
  </si>
  <si>
    <t xml:space="preserve">GENERAL JOSE MORAN NO 36                                                        </t>
  </si>
  <si>
    <t xml:space="preserve">CONGRESO DE LA UNION No. 15                                                     </t>
  </si>
  <si>
    <t xml:space="preserve">WALDO MARTIN DEL CAMPO NO 49                                                    </t>
  </si>
  <si>
    <t xml:space="preserve">AV. SAN FERNANDO NO 86                                                          </t>
  </si>
  <si>
    <t xml:space="preserve">AV. REVOLUCION NO 313                                                           </t>
  </si>
  <si>
    <t xml:space="preserve">COLCHAHUAC Y HUITZILIHUITL S/N                                                  </t>
  </si>
  <si>
    <t xml:space="preserve">AV. MARGARITA MAZA DE JUAREZ NO 150                                             </t>
  </si>
  <si>
    <t xml:space="preserve">ANAHUAC Y LAS ROSAS S/N                                                         </t>
  </si>
  <si>
    <t xml:space="preserve">HERIBERTO FRIAS NO 531                                                          </t>
  </si>
  <si>
    <t xml:space="preserve">AV. DIVISION DEL NORTE NO 3229                                                  </t>
  </si>
  <si>
    <t xml:space="preserve">LIC. FRANCISCO BENITEZ NO 82                                                    </t>
  </si>
  <si>
    <t xml:space="preserve">AV. DIVISION DEL NORTE NO 3226                                                  </t>
  </si>
  <si>
    <t xml:space="preserve">GABRIEL HERNANDEZ NO 18                                                         </t>
  </si>
  <si>
    <t xml:space="preserve">FLORIDA NO 10 2O PISO                                                           </t>
  </si>
  <si>
    <t xml:space="preserve">EL RETOÑO                                                                                                                                   </t>
  </si>
  <si>
    <t xml:space="preserve">CUAUHTEMOC                                                                     </t>
  </si>
  <si>
    <t xml:space="preserve">CAMINO VIEJO A ZAPOTITLA S/N, ESQ. MISAEL NUÑEZ                                 </t>
  </si>
  <si>
    <t>CUAUHTEMOC</t>
  </si>
  <si>
    <t xml:space="preserve">2A CERRADA DE ARTES NUM, 2                                                      </t>
  </si>
  <si>
    <t xml:space="preserve">URANIO, ARAGON Y ALBAÑILES SIIF                                                 </t>
  </si>
  <si>
    <t xml:space="preserve">EUGENIO AVIÑA No.79,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</si>
</sst>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* #,##0_-;\-* #,##0_-;_-* &quot;-&quot;??_-;_-@_-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i/>
      <u/>
      <sz val="10"/>
      <name val="Arial"/>
      <family val="2"/>
    </font>
    <font>
      <b/>
      <i/>
      <sz val="10"/>
      <name val="Arial"/>
      <family val="2"/>
    </font>
    <font>
      <sz val="10"/>
      <color rgb="FF434D2A"/>
      <name val="Arial"/>
      <family val="2"/>
    </font>
    <font>
      <b/>
      <i/>
      <sz val="11"/>
      <color theme="1"/>
      <name val="Calibri"/>
      <family val="2"/>
      <scheme val="minor"/>
    </font>
    <font>
      <b/>
      <i/>
      <sz val="8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0" tint="-0.34998626667073579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</cellStyleXfs>
  <cellXfs count="34">
    <xf numFmtId="0" fontId="0" fillId="0" borderId="0" xfId="0"/>
    <xf numFmtId="0" fontId="19" fillId="33" borderId="10" xfId="42" applyFont="1" applyFill="1" applyBorder="1" applyAlignment="1">
      <alignment horizontal="center"/>
    </xf>
    <xf numFmtId="0" fontId="18" fillId="0" borderId="0" xfId="42"/>
    <xf numFmtId="0" fontId="19" fillId="0" borderId="0" xfId="42" applyFont="1" applyFill="1" applyBorder="1" applyAlignment="1">
      <alignment vertical="center"/>
    </xf>
    <xf numFmtId="0" fontId="18" fillId="0" borderId="0" xfId="42" applyFill="1"/>
    <xf numFmtId="0" fontId="19" fillId="0" borderId="0" xfId="42" applyFont="1"/>
    <xf numFmtId="0" fontId="22" fillId="0" borderId="0" xfId="42" applyFont="1"/>
    <xf numFmtId="0" fontId="18" fillId="0" borderId="0" xfId="42" applyFont="1"/>
    <xf numFmtId="0" fontId="19" fillId="0" borderId="16" xfId="42" applyFont="1" applyBorder="1" applyAlignment="1">
      <alignment vertical="center"/>
    </xf>
    <xf numFmtId="0" fontId="18" fillId="0" borderId="17" xfId="42" quotePrefix="1" applyFont="1" applyBorder="1" applyAlignment="1">
      <alignment vertical="center"/>
    </xf>
    <xf numFmtId="0" fontId="18" fillId="0" borderId="17" xfId="42" quotePrefix="1" applyFont="1" applyBorder="1" applyAlignment="1">
      <alignment vertical="center" wrapText="1"/>
    </xf>
    <xf numFmtId="0" fontId="18" fillId="0" borderId="18" xfId="42" quotePrefix="1" applyFont="1" applyBorder="1" applyAlignment="1">
      <alignment vertical="center" wrapText="1"/>
    </xf>
    <xf numFmtId="0" fontId="19" fillId="0" borderId="19" xfId="42" applyFont="1" applyBorder="1" applyAlignment="1">
      <alignment vertical="center"/>
    </xf>
    <xf numFmtId="0" fontId="18" fillId="0" borderId="20" xfId="42" quotePrefix="1" applyFont="1" applyBorder="1" applyAlignment="1">
      <alignment vertical="center"/>
    </xf>
    <xf numFmtId="0" fontId="18" fillId="0" borderId="20" xfId="42" quotePrefix="1" applyFont="1" applyBorder="1" applyAlignment="1">
      <alignment vertical="center" wrapText="1"/>
    </xf>
    <xf numFmtId="0" fontId="18" fillId="0" borderId="21" xfId="42" quotePrefix="1" applyFont="1" applyBorder="1" applyAlignment="1">
      <alignment vertical="center" wrapText="1"/>
    </xf>
    <xf numFmtId="0" fontId="18" fillId="0" borderId="20" xfId="42" applyFont="1" applyBorder="1" applyAlignment="1">
      <alignment vertical="center" wrapText="1"/>
    </xf>
    <xf numFmtId="0" fontId="19" fillId="0" borderId="19" xfId="42" applyFont="1" applyFill="1" applyBorder="1" applyAlignment="1">
      <alignment vertical="center"/>
    </xf>
    <xf numFmtId="0" fontId="19" fillId="0" borderId="22" xfId="42" applyFont="1" applyFill="1" applyBorder="1" applyAlignment="1">
      <alignment vertical="center"/>
    </xf>
    <xf numFmtId="0" fontId="18" fillId="0" borderId="23" xfId="42" quotePrefix="1" applyFont="1" applyBorder="1" applyAlignment="1">
      <alignment vertical="center"/>
    </xf>
    <xf numFmtId="0" fontId="18" fillId="0" borderId="23" xfId="42" quotePrefix="1" applyFont="1" applyBorder="1" applyAlignment="1">
      <alignment vertical="center" wrapText="1"/>
    </xf>
    <xf numFmtId="0" fontId="18" fillId="0" borderId="24" xfId="42" quotePrefix="1" applyFont="1" applyBorder="1" applyAlignment="1">
      <alignment vertical="center" wrapText="1"/>
    </xf>
    <xf numFmtId="0" fontId="18" fillId="0" borderId="0" xfId="42" quotePrefix="1" applyFont="1" applyBorder="1" applyAlignment="1">
      <alignment vertical="center"/>
    </xf>
    <xf numFmtId="0" fontId="18" fillId="0" borderId="0" xfId="42" quotePrefix="1" applyFont="1" applyBorder="1" applyAlignment="1">
      <alignment vertical="center" wrapText="1"/>
    </xf>
    <xf numFmtId="0" fontId="23" fillId="34" borderId="20" xfId="0" applyFont="1" applyFill="1" applyBorder="1" applyAlignment="1">
      <alignment horizontal="center"/>
    </xf>
    <xf numFmtId="0" fontId="23" fillId="34" borderId="20" xfId="0" applyFont="1" applyFill="1" applyBorder="1" applyAlignment="1">
      <alignment horizontal="left"/>
    </xf>
    <xf numFmtId="0" fontId="0" fillId="0" borderId="20" xfId="0" applyBorder="1"/>
    <xf numFmtId="0" fontId="24" fillId="0" borderId="0" xfId="0" applyFont="1"/>
    <xf numFmtId="0" fontId="0" fillId="0" borderId="0" xfId="0" applyBorder="1"/>
    <xf numFmtId="0" fontId="19" fillId="33" borderId="11" xfId="42" applyFont="1" applyFill="1" applyBorder="1" applyAlignment="1">
      <alignment horizontal="center" vertical="center"/>
    </xf>
    <xf numFmtId="0" fontId="19" fillId="33" borderId="15" xfId="42" applyFont="1" applyFill="1" applyBorder="1" applyAlignment="1">
      <alignment horizontal="center" vertical="center"/>
    </xf>
    <xf numFmtId="164" fontId="19" fillId="33" borderId="12" xfId="43" applyNumberFormat="1" applyFont="1" applyFill="1" applyBorder="1" applyAlignment="1">
      <alignment horizontal="center"/>
    </xf>
    <xf numFmtId="164" fontId="19" fillId="33" borderId="13" xfId="43" applyNumberFormat="1" applyFont="1" applyFill="1" applyBorder="1" applyAlignment="1">
      <alignment horizontal="center"/>
    </xf>
    <xf numFmtId="164" fontId="19" fillId="33" borderId="14" xfId="43" applyNumberFormat="1" applyFont="1" applyFill="1" applyBorder="1" applyAlignment="1">
      <alignment horizontal="center"/>
    </xf>
  </cellXfs>
  <cellStyles count="44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 2" xfId="43"/>
    <cellStyle name="Neutral" xfId="8" builtinId="28" customBuiltin="1"/>
    <cellStyle name="Normal" xfId="0" builtinId="0"/>
    <cellStyle name="Normal 2" xfId="42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10"/>
  <sheetViews>
    <sheetView showGridLines="0" tabSelected="1" workbookViewId="0"/>
  </sheetViews>
  <sheetFormatPr baseColWidth="10" defaultRowHeight="15" x14ac:dyDescent="0.25"/>
  <cols>
    <col min="3" max="3" width="11.42578125" customWidth="1"/>
    <col min="5" max="5" width="11.42578125" customWidth="1"/>
  </cols>
  <sheetData>
    <row r="1" spans="1:23" x14ac:dyDescent="0.25">
      <c r="A1" s="24" t="s">
        <v>51</v>
      </c>
      <c r="B1" s="24" t="s">
        <v>18</v>
      </c>
      <c r="C1" s="24" t="s">
        <v>20</v>
      </c>
      <c r="D1" s="24" t="s">
        <v>22</v>
      </c>
      <c r="E1" s="24" t="s">
        <v>163</v>
      </c>
      <c r="F1" s="24" t="s">
        <v>164</v>
      </c>
      <c r="G1" s="24" t="s">
        <v>165</v>
      </c>
      <c r="H1" s="24" t="s">
        <v>166</v>
      </c>
      <c r="I1" s="24" t="s">
        <v>167</v>
      </c>
      <c r="J1" s="24" t="s">
        <v>24</v>
      </c>
      <c r="K1" s="24" t="s">
        <v>26</v>
      </c>
      <c r="L1" s="24" t="s">
        <v>28</v>
      </c>
      <c r="M1" s="24" t="s">
        <v>30</v>
      </c>
      <c r="N1" s="24" t="s">
        <v>168</v>
      </c>
      <c r="O1" s="24" t="s">
        <v>169</v>
      </c>
      <c r="P1" s="24" t="s">
        <v>170</v>
      </c>
      <c r="Q1" s="24" t="s">
        <v>171</v>
      </c>
      <c r="R1" s="24" t="s">
        <v>172</v>
      </c>
      <c r="S1" s="24" t="s">
        <v>173</v>
      </c>
      <c r="T1" s="24" t="s">
        <v>174</v>
      </c>
      <c r="U1" s="24" t="s">
        <v>175</v>
      </c>
      <c r="V1" s="24" t="s">
        <v>176</v>
      </c>
      <c r="W1" s="25" t="s">
        <v>75</v>
      </c>
    </row>
    <row r="2" spans="1:23" x14ac:dyDescent="0.25">
      <c r="A2" s="26" t="s">
        <v>53</v>
      </c>
      <c r="B2" s="26" t="s">
        <v>177</v>
      </c>
      <c r="C2" s="26" t="s">
        <v>178</v>
      </c>
      <c r="D2" s="26" t="s">
        <v>179</v>
      </c>
      <c r="E2" s="26" t="s">
        <v>180</v>
      </c>
      <c r="F2" s="26" t="s">
        <v>181</v>
      </c>
      <c r="G2" s="26" t="s">
        <v>182</v>
      </c>
      <c r="H2" s="26" t="s">
        <v>183</v>
      </c>
      <c r="I2" s="26" t="s">
        <v>184</v>
      </c>
      <c r="J2" s="26" t="s">
        <v>185</v>
      </c>
      <c r="K2" s="26" t="s">
        <v>186</v>
      </c>
      <c r="L2" s="26" t="s">
        <v>79</v>
      </c>
      <c r="M2" s="26" t="s">
        <v>77</v>
      </c>
      <c r="N2" s="26">
        <v>39</v>
      </c>
      <c r="O2" s="26">
        <v>14</v>
      </c>
      <c r="P2" s="26">
        <v>25</v>
      </c>
      <c r="Q2" s="26">
        <v>3</v>
      </c>
      <c r="R2" s="26">
        <v>1</v>
      </c>
      <c r="S2" s="26">
        <v>16</v>
      </c>
      <c r="T2" s="26">
        <v>24</v>
      </c>
      <c r="U2" s="26">
        <v>41</v>
      </c>
      <c r="V2" s="26">
        <v>1</v>
      </c>
      <c r="W2" s="26" t="s">
        <v>218</v>
      </c>
    </row>
    <row r="3" spans="1:23" x14ac:dyDescent="0.25">
      <c r="A3" s="26" t="s">
        <v>53</v>
      </c>
      <c r="B3" s="26" t="s">
        <v>187</v>
      </c>
      <c r="C3" s="26" t="s">
        <v>188</v>
      </c>
      <c r="D3" s="26" t="s">
        <v>179</v>
      </c>
      <c r="E3" s="26" t="s">
        <v>189</v>
      </c>
      <c r="F3" s="26" t="s">
        <v>190</v>
      </c>
      <c r="G3" s="26" t="s">
        <v>191</v>
      </c>
      <c r="H3" s="26" t="s">
        <v>192</v>
      </c>
      <c r="I3" s="26" t="s">
        <v>184</v>
      </c>
      <c r="J3" s="26" t="s">
        <v>193</v>
      </c>
      <c r="K3" s="26" t="s">
        <v>186</v>
      </c>
      <c r="L3" s="26" t="s">
        <v>79</v>
      </c>
      <c r="M3" s="26" t="s">
        <v>77</v>
      </c>
      <c r="N3" s="26">
        <v>46</v>
      </c>
      <c r="O3" s="26">
        <v>23</v>
      </c>
      <c r="P3" s="26">
        <v>23</v>
      </c>
      <c r="Q3" s="26">
        <v>3</v>
      </c>
      <c r="R3" s="26">
        <v>1</v>
      </c>
      <c r="S3" s="26">
        <v>16</v>
      </c>
      <c r="T3" s="26">
        <v>24</v>
      </c>
      <c r="U3" s="26">
        <v>41</v>
      </c>
      <c r="V3" s="26">
        <v>1</v>
      </c>
      <c r="W3" s="26" t="s">
        <v>218</v>
      </c>
    </row>
    <row r="4" spans="1:23" x14ac:dyDescent="0.25">
      <c r="A4" s="26" t="s">
        <v>53</v>
      </c>
      <c r="B4" s="26" t="s">
        <v>194</v>
      </c>
      <c r="C4" s="26" t="s">
        <v>195</v>
      </c>
      <c r="D4" s="26" t="s">
        <v>179</v>
      </c>
      <c r="E4" s="26" t="s">
        <v>196</v>
      </c>
      <c r="F4" s="26" t="s">
        <v>197</v>
      </c>
      <c r="G4" s="26" t="s">
        <v>198</v>
      </c>
      <c r="H4" s="26" t="s">
        <v>199</v>
      </c>
      <c r="I4" s="26" t="s">
        <v>184</v>
      </c>
      <c r="J4" s="26" t="s">
        <v>193</v>
      </c>
      <c r="K4" s="26" t="s">
        <v>186</v>
      </c>
      <c r="L4" s="26" t="s">
        <v>79</v>
      </c>
      <c r="M4" s="26" t="s">
        <v>77</v>
      </c>
      <c r="N4" s="26">
        <v>32</v>
      </c>
      <c r="O4" s="26">
        <v>15</v>
      </c>
      <c r="P4" s="26">
        <v>17</v>
      </c>
      <c r="Q4" s="26">
        <v>4</v>
      </c>
      <c r="R4" s="26">
        <v>1</v>
      </c>
      <c r="S4" s="26">
        <v>12</v>
      </c>
      <c r="T4" s="26">
        <v>23</v>
      </c>
      <c r="U4" s="26">
        <v>36</v>
      </c>
      <c r="V4" s="26">
        <v>1</v>
      </c>
      <c r="W4" s="26" t="s">
        <v>218</v>
      </c>
    </row>
    <row r="5" spans="1:23" x14ac:dyDescent="0.25">
      <c r="A5" s="26" t="s">
        <v>53</v>
      </c>
      <c r="B5" s="26" t="s">
        <v>200</v>
      </c>
      <c r="C5" s="26" t="s">
        <v>201</v>
      </c>
      <c r="D5" s="26" t="s">
        <v>179</v>
      </c>
      <c r="E5" s="26" t="s">
        <v>202</v>
      </c>
      <c r="F5" s="26" t="s">
        <v>203</v>
      </c>
      <c r="G5" s="26" t="s">
        <v>204</v>
      </c>
      <c r="H5" s="26" t="s">
        <v>205</v>
      </c>
      <c r="I5" s="26" t="s">
        <v>184</v>
      </c>
      <c r="J5" s="26" t="s">
        <v>185</v>
      </c>
      <c r="K5" s="26" t="s">
        <v>186</v>
      </c>
      <c r="L5" s="26" t="s">
        <v>79</v>
      </c>
      <c r="M5" s="26" t="s">
        <v>77</v>
      </c>
      <c r="N5" s="26">
        <v>46</v>
      </c>
      <c r="O5" s="26">
        <v>27</v>
      </c>
      <c r="P5" s="26">
        <v>19</v>
      </c>
      <c r="Q5" s="26">
        <v>3</v>
      </c>
      <c r="R5" s="26">
        <v>1</v>
      </c>
      <c r="S5" s="26">
        <v>12</v>
      </c>
      <c r="T5" s="26">
        <v>21</v>
      </c>
      <c r="U5" s="26">
        <v>34</v>
      </c>
      <c r="V5" s="26">
        <v>1</v>
      </c>
      <c r="W5" s="26" t="s">
        <v>218</v>
      </c>
    </row>
    <row r="6" spans="1:23" x14ac:dyDescent="0.25">
      <c r="A6" s="26" t="s">
        <v>53</v>
      </c>
      <c r="B6" s="26" t="s">
        <v>206</v>
      </c>
      <c r="C6" s="26" t="s">
        <v>207</v>
      </c>
      <c r="D6" s="26" t="s">
        <v>179</v>
      </c>
      <c r="E6" s="26" t="s">
        <v>208</v>
      </c>
      <c r="F6" s="26" t="s">
        <v>209</v>
      </c>
      <c r="G6" s="26" t="s">
        <v>210</v>
      </c>
      <c r="H6" s="26" t="s">
        <v>211</v>
      </c>
      <c r="I6" s="26" t="s">
        <v>184</v>
      </c>
      <c r="J6" s="26" t="s">
        <v>185</v>
      </c>
      <c r="K6" s="26" t="s">
        <v>186</v>
      </c>
      <c r="L6" s="26" t="s">
        <v>79</v>
      </c>
      <c r="M6" s="26" t="s">
        <v>77</v>
      </c>
      <c r="N6" s="26">
        <v>76</v>
      </c>
      <c r="O6" s="26">
        <v>37</v>
      </c>
      <c r="P6" s="26">
        <v>39</v>
      </c>
      <c r="Q6" s="26">
        <v>5</v>
      </c>
      <c r="R6" s="26">
        <v>1</v>
      </c>
      <c r="S6" s="26">
        <v>18</v>
      </c>
      <c r="T6" s="26">
        <v>24</v>
      </c>
      <c r="U6" s="26">
        <v>43</v>
      </c>
      <c r="V6" s="26">
        <v>1</v>
      </c>
      <c r="W6" s="26" t="s">
        <v>218</v>
      </c>
    </row>
    <row r="7" spans="1:23" x14ac:dyDescent="0.25">
      <c r="A7" s="26" t="s">
        <v>53</v>
      </c>
      <c r="B7" s="26" t="s">
        <v>212</v>
      </c>
      <c r="C7" s="26" t="s">
        <v>213</v>
      </c>
      <c r="D7" s="26" t="s">
        <v>179</v>
      </c>
      <c r="E7" s="26" t="s">
        <v>214</v>
      </c>
      <c r="F7" s="26" t="s">
        <v>215</v>
      </c>
      <c r="G7" s="26" t="s">
        <v>210</v>
      </c>
      <c r="H7" s="26" t="s">
        <v>211</v>
      </c>
      <c r="I7" s="26" t="s">
        <v>184</v>
      </c>
      <c r="J7" s="26" t="s">
        <v>185</v>
      </c>
      <c r="K7" s="26" t="s">
        <v>186</v>
      </c>
      <c r="L7" s="26" t="s">
        <v>79</v>
      </c>
      <c r="M7" s="26" t="s">
        <v>77</v>
      </c>
      <c r="N7" s="26">
        <v>39</v>
      </c>
      <c r="O7" s="26">
        <v>20</v>
      </c>
      <c r="P7" s="26">
        <v>19</v>
      </c>
      <c r="Q7" s="26">
        <v>3</v>
      </c>
      <c r="R7" s="26">
        <v>1</v>
      </c>
      <c r="S7" s="26">
        <v>11</v>
      </c>
      <c r="T7" s="26">
        <v>22</v>
      </c>
      <c r="U7" s="26">
        <v>34</v>
      </c>
      <c r="V7" s="26">
        <v>1</v>
      </c>
      <c r="W7" s="26" t="s">
        <v>218</v>
      </c>
    </row>
    <row r="8" spans="1:23" x14ac:dyDescent="0.25">
      <c r="A8" s="26" t="s">
        <v>53</v>
      </c>
      <c r="B8" s="26" t="s">
        <v>216</v>
      </c>
      <c r="C8" s="26" t="s">
        <v>217</v>
      </c>
      <c r="D8" s="26" t="s">
        <v>218</v>
      </c>
      <c r="E8" s="26" t="s">
        <v>219</v>
      </c>
      <c r="F8" s="26" t="s">
        <v>220</v>
      </c>
      <c r="G8" s="26" t="s">
        <v>182</v>
      </c>
      <c r="H8" s="26" t="s">
        <v>221</v>
      </c>
      <c r="I8" s="26" t="s">
        <v>184</v>
      </c>
      <c r="J8" s="26" t="s">
        <v>185</v>
      </c>
      <c r="K8" s="26" t="s">
        <v>186</v>
      </c>
      <c r="L8" s="26" t="s">
        <v>79</v>
      </c>
      <c r="M8" s="26" t="s">
        <v>77</v>
      </c>
      <c r="N8" s="26">
        <v>99</v>
      </c>
      <c r="O8" s="26">
        <v>56</v>
      </c>
      <c r="P8" s="26">
        <v>43</v>
      </c>
      <c r="Q8" s="26">
        <v>4</v>
      </c>
      <c r="R8" s="26">
        <v>1</v>
      </c>
      <c r="S8" s="26">
        <v>28</v>
      </c>
      <c r="T8" s="26">
        <v>42</v>
      </c>
      <c r="U8" s="26">
        <v>71</v>
      </c>
      <c r="V8" s="26">
        <v>1</v>
      </c>
      <c r="W8" s="26" t="s">
        <v>218</v>
      </c>
    </row>
    <row r="9" spans="1:23" x14ac:dyDescent="0.25">
      <c r="A9" s="26" t="s">
        <v>53</v>
      </c>
      <c r="B9" s="26" t="s">
        <v>222</v>
      </c>
      <c r="C9" s="26" t="s">
        <v>223</v>
      </c>
      <c r="D9" s="26" t="s">
        <v>179</v>
      </c>
      <c r="E9" s="26" t="s">
        <v>224</v>
      </c>
      <c r="F9" s="26" t="s">
        <v>225</v>
      </c>
      <c r="G9" s="26" t="s">
        <v>226</v>
      </c>
      <c r="H9" s="26" t="s">
        <v>227</v>
      </c>
      <c r="I9" s="26" t="s">
        <v>184</v>
      </c>
      <c r="J9" s="26" t="s">
        <v>193</v>
      </c>
      <c r="K9" s="26" t="s">
        <v>186</v>
      </c>
      <c r="L9" s="26" t="s">
        <v>79</v>
      </c>
      <c r="M9" s="26" t="s">
        <v>77</v>
      </c>
      <c r="N9" s="26">
        <v>0</v>
      </c>
      <c r="O9" s="26">
        <v>0</v>
      </c>
      <c r="P9" s="26">
        <v>0</v>
      </c>
      <c r="Q9" s="26">
        <v>0</v>
      </c>
      <c r="R9" s="26">
        <v>1</v>
      </c>
      <c r="S9" s="26">
        <v>3</v>
      </c>
      <c r="T9" s="26">
        <v>21</v>
      </c>
      <c r="U9" s="26">
        <v>25</v>
      </c>
      <c r="V9" s="26">
        <v>1</v>
      </c>
      <c r="W9" s="26" t="s">
        <v>218</v>
      </c>
    </row>
    <row r="10" spans="1:23" x14ac:dyDescent="0.25">
      <c r="A10" s="26" t="s">
        <v>53</v>
      </c>
      <c r="B10" s="26" t="s">
        <v>228</v>
      </c>
      <c r="C10" s="26" t="s">
        <v>229</v>
      </c>
      <c r="D10" s="26" t="s">
        <v>179</v>
      </c>
      <c r="E10" s="26" t="s">
        <v>230</v>
      </c>
      <c r="F10" s="26" t="s">
        <v>231</v>
      </c>
      <c r="G10" s="26" t="s">
        <v>198</v>
      </c>
      <c r="H10" s="26" t="s">
        <v>199</v>
      </c>
      <c r="I10" s="26" t="s">
        <v>184</v>
      </c>
      <c r="J10" s="26" t="s">
        <v>193</v>
      </c>
      <c r="K10" s="26" t="s">
        <v>186</v>
      </c>
      <c r="L10" s="26" t="s">
        <v>79</v>
      </c>
      <c r="M10" s="26" t="s">
        <v>77</v>
      </c>
      <c r="N10" s="26">
        <v>40</v>
      </c>
      <c r="O10" s="26">
        <v>30</v>
      </c>
      <c r="P10" s="26">
        <v>10</v>
      </c>
      <c r="Q10" s="26">
        <v>4</v>
      </c>
      <c r="R10" s="26">
        <v>1</v>
      </c>
      <c r="S10" s="26">
        <v>15</v>
      </c>
      <c r="T10" s="26">
        <v>26</v>
      </c>
      <c r="U10" s="26">
        <v>42</v>
      </c>
      <c r="V10" s="26">
        <v>1</v>
      </c>
      <c r="W10" s="26" t="s">
        <v>218</v>
      </c>
    </row>
    <row r="11" spans="1:23" x14ac:dyDescent="0.25">
      <c r="A11" s="26" t="s">
        <v>53</v>
      </c>
      <c r="B11" s="26" t="s">
        <v>232</v>
      </c>
      <c r="C11" s="26" t="s">
        <v>233</v>
      </c>
      <c r="D11" s="26" t="s">
        <v>179</v>
      </c>
      <c r="E11" s="26" t="s">
        <v>234</v>
      </c>
      <c r="F11" s="26" t="s">
        <v>235</v>
      </c>
      <c r="G11" s="26" t="s">
        <v>226</v>
      </c>
      <c r="H11" s="26" t="s">
        <v>227</v>
      </c>
      <c r="I11" s="26" t="s">
        <v>184</v>
      </c>
      <c r="J11" s="26" t="s">
        <v>193</v>
      </c>
      <c r="K11" s="26" t="s">
        <v>186</v>
      </c>
      <c r="L11" s="26" t="s">
        <v>79</v>
      </c>
      <c r="M11" s="26" t="s">
        <v>77</v>
      </c>
      <c r="N11" s="26">
        <v>33</v>
      </c>
      <c r="O11" s="26">
        <v>17</v>
      </c>
      <c r="P11" s="26">
        <v>16</v>
      </c>
      <c r="Q11" s="26">
        <v>4</v>
      </c>
      <c r="R11" s="26">
        <v>1</v>
      </c>
      <c r="S11" s="26">
        <v>15</v>
      </c>
      <c r="T11" s="26">
        <v>20</v>
      </c>
      <c r="U11" s="26">
        <v>36</v>
      </c>
      <c r="V11" s="26">
        <v>1</v>
      </c>
      <c r="W11" s="26"/>
    </row>
    <row r="12" spans="1:23" x14ac:dyDescent="0.25">
      <c r="A12" s="26" t="s">
        <v>53</v>
      </c>
      <c r="B12" s="26" t="s">
        <v>236</v>
      </c>
      <c r="C12" s="26" t="s">
        <v>237</v>
      </c>
      <c r="D12" s="26" t="s">
        <v>179</v>
      </c>
      <c r="E12" s="26" t="s">
        <v>238</v>
      </c>
      <c r="F12" s="26" t="s">
        <v>239</v>
      </c>
      <c r="G12" s="26" t="s">
        <v>198</v>
      </c>
      <c r="H12" s="26" t="s">
        <v>227</v>
      </c>
      <c r="I12" s="26" t="s">
        <v>184</v>
      </c>
      <c r="J12" s="26" t="s">
        <v>193</v>
      </c>
      <c r="K12" s="26" t="s">
        <v>186</v>
      </c>
      <c r="L12" s="26" t="s">
        <v>79</v>
      </c>
      <c r="M12" s="26" t="s">
        <v>77</v>
      </c>
      <c r="N12" s="26">
        <v>37</v>
      </c>
      <c r="O12" s="26">
        <v>23</v>
      </c>
      <c r="P12" s="26">
        <v>14</v>
      </c>
      <c r="Q12" s="26">
        <v>3</v>
      </c>
      <c r="R12" s="26">
        <v>1</v>
      </c>
      <c r="S12" s="26">
        <v>13</v>
      </c>
      <c r="T12" s="26">
        <v>21</v>
      </c>
      <c r="U12" s="26">
        <v>35</v>
      </c>
      <c r="V12" s="26">
        <v>1</v>
      </c>
      <c r="W12" s="26" t="s">
        <v>218</v>
      </c>
    </row>
    <row r="13" spans="1:23" x14ac:dyDescent="0.25">
      <c r="A13" s="26" t="s">
        <v>53</v>
      </c>
      <c r="B13" s="26" t="s">
        <v>240</v>
      </c>
      <c r="C13" s="26" t="s">
        <v>241</v>
      </c>
      <c r="D13" s="26" t="s">
        <v>179</v>
      </c>
      <c r="E13" s="26" t="s">
        <v>242</v>
      </c>
      <c r="F13" s="26" t="s">
        <v>243</v>
      </c>
      <c r="G13" s="26" t="s">
        <v>210</v>
      </c>
      <c r="H13" s="26" t="s">
        <v>211</v>
      </c>
      <c r="I13" s="26" t="s">
        <v>184</v>
      </c>
      <c r="J13" s="26" t="s">
        <v>185</v>
      </c>
      <c r="K13" s="26" t="s">
        <v>186</v>
      </c>
      <c r="L13" s="26" t="s">
        <v>79</v>
      </c>
      <c r="M13" s="26" t="s">
        <v>77</v>
      </c>
      <c r="N13" s="26">
        <v>110</v>
      </c>
      <c r="O13" s="26">
        <v>48</v>
      </c>
      <c r="P13" s="26">
        <v>62</v>
      </c>
      <c r="Q13" s="26">
        <v>4</v>
      </c>
      <c r="R13" s="26">
        <v>1</v>
      </c>
      <c r="S13" s="26">
        <v>21</v>
      </c>
      <c r="T13" s="26">
        <v>33</v>
      </c>
      <c r="U13" s="26">
        <v>55</v>
      </c>
      <c r="V13" s="26">
        <v>1</v>
      </c>
      <c r="W13" s="26" t="s">
        <v>218</v>
      </c>
    </row>
    <row r="14" spans="1:23" x14ac:dyDescent="0.25">
      <c r="A14" s="26" t="s">
        <v>53</v>
      </c>
      <c r="B14" s="26" t="s">
        <v>244</v>
      </c>
      <c r="C14" s="26" t="s">
        <v>245</v>
      </c>
      <c r="D14" s="26" t="s">
        <v>179</v>
      </c>
      <c r="E14" s="26" t="s">
        <v>246</v>
      </c>
      <c r="F14" s="26" t="s">
        <v>247</v>
      </c>
      <c r="G14" s="26" t="s">
        <v>198</v>
      </c>
      <c r="H14" s="26" t="s">
        <v>199</v>
      </c>
      <c r="I14" s="26" t="s">
        <v>184</v>
      </c>
      <c r="J14" s="26" t="s">
        <v>193</v>
      </c>
      <c r="K14" s="26" t="s">
        <v>186</v>
      </c>
      <c r="L14" s="26" t="s">
        <v>79</v>
      </c>
      <c r="M14" s="26" t="s">
        <v>77</v>
      </c>
      <c r="N14" s="26">
        <v>31</v>
      </c>
      <c r="O14" s="26">
        <v>15</v>
      </c>
      <c r="P14" s="26">
        <v>16</v>
      </c>
      <c r="Q14" s="26">
        <v>4</v>
      </c>
      <c r="R14" s="26">
        <v>1</v>
      </c>
      <c r="S14" s="26">
        <v>20</v>
      </c>
      <c r="T14" s="26">
        <v>24</v>
      </c>
      <c r="U14" s="26">
        <v>45</v>
      </c>
      <c r="V14" s="26">
        <v>1</v>
      </c>
      <c r="W14" s="26" t="s">
        <v>218</v>
      </c>
    </row>
    <row r="15" spans="1:23" x14ac:dyDescent="0.25">
      <c r="A15" s="26" t="s">
        <v>53</v>
      </c>
      <c r="B15" s="26" t="s">
        <v>248</v>
      </c>
      <c r="C15" s="26" t="s">
        <v>249</v>
      </c>
      <c r="D15" s="26" t="s">
        <v>179</v>
      </c>
      <c r="E15" s="26" t="s">
        <v>250</v>
      </c>
      <c r="F15" s="26" t="s">
        <v>251</v>
      </c>
      <c r="G15" s="26" t="s">
        <v>252</v>
      </c>
      <c r="H15" s="26" t="s">
        <v>192</v>
      </c>
      <c r="I15" s="26" t="s">
        <v>184</v>
      </c>
      <c r="J15" s="26" t="s">
        <v>193</v>
      </c>
      <c r="K15" s="26" t="s">
        <v>186</v>
      </c>
      <c r="L15" s="26" t="s">
        <v>79</v>
      </c>
      <c r="M15" s="26" t="s">
        <v>77</v>
      </c>
      <c r="N15" s="26">
        <v>37</v>
      </c>
      <c r="O15" s="26">
        <v>24</v>
      </c>
      <c r="P15" s="26">
        <v>13</v>
      </c>
      <c r="Q15" s="26">
        <v>3</v>
      </c>
      <c r="R15" s="26">
        <v>1</v>
      </c>
      <c r="S15" s="26">
        <v>16</v>
      </c>
      <c r="T15" s="26">
        <v>18</v>
      </c>
      <c r="U15" s="26">
        <v>35</v>
      </c>
      <c r="V15" s="26">
        <v>1</v>
      </c>
      <c r="W15" s="26" t="s">
        <v>218</v>
      </c>
    </row>
    <row r="16" spans="1:23" x14ac:dyDescent="0.25">
      <c r="A16" s="26" t="s">
        <v>53</v>
      </c>
      <c r="B16" s="26" t="s">
        <v>253</v>
      </c>
      <c r="C16" s="26" t="s">
        <v>254</v>
      </c>
      <c r="D16" s="26" t="s">
        <v>179</v>
      </c>
      <c r="E16" s="26" t="s">
        <v>255</v>
      </c>
      <c r="F16" s="26" t="s">
        <v>256</v>
      </c>
      <c r="G16" s="26" t="s">
        <v>204</v>
      </c>
      <c r="H16" s="26" t="s">
        <v>205</v>
      </c>
      <c r="I16" s="26" t="s">
        <v>184</v>
      </c>
      <c r="J16" s="26" t="s">
        <v>185</v>
      </c>
      <c r="K16" s="26" t="s">
        <v>186</v>
      </c>
      <c r="L16" s="26" t="s">
        <v>79</v>
      </c>
      <c r="M16" s="26" t="s">
        <v>77</v>
      </c>
      <c r="N16" s="26">
        <v>48</v>
      </c>
      <c r="O16" s="26">
        <v>23</v>
      </c>
      <c r="P16" s="26">
        <v>25</v>
      </c>
      <c r="Q16" s="26">
        <v>3</v>
      </c>
      <c r="R16" s="26">
        <v>1</v>
      </c>
      <c r="S16" s="26">
        <v>11</v>
      </c>
      <c r="T16" s="26">
        <v>21</v>
      </c>
      <c r="U16" s="26">
        <v>33</v>
      </c>
      <c r="V16" s="26">
        <v>1</v>
      </c>
      <c r="W16" s="26" t="s">
        <v>218</v>
      </c>
    </row>
    <row r="17" spans="1:23" x14ac:dyDescent="0.25">
      <c r="A17" s="26" t="s">
        <v>53</v>
      </c>
      <c r="B17" s="26" t="s">
        <v>257</v>
      </c>
      <c r="C17" s="26" t="s">
        <v>258</v>
      </c>
      <c r="D17" s="26" t="s">
        <v>179</v>
      </c>
      <c r="E17" s="26" t="s">
        <v>259</v>
      </c>
      <c r="F17" s="26" t="s">
        <v>260</v>
      </c>
      <c r="G17" s="26" t="s">
        <v>198</v>
      </c>
      <c r="H17" s="26" t="s">
        <v>199</v>
      </c>
      <c r="I17" s="26" t="s">
        <v>184</v>
      </c>
      <c r="J17" s="26" t="s">
        <v>193</v>
      </c>
      <c r="K17" s="26" t="s">
        <v>186</v>
      </c>
      <c r="L17" s="26" t="s">
        <v>79</v>
      </c>
      <c r="M17" s="26" t="s">
        <v>77</v>
      </c>
      <c r="N17" s="26">
        <v>34</v>
      </c>
      <c r="O17" s="26">
        <v>18</v>
      </c>
      <c r="P17" s="26">
        <v>16</v>
      </c>
      <c r="Q17" s="26">
        <v>3</v>
      </c>
      <c r="R17" s="26">
        <v>1</v>
      </c>
      <c r="S17" s="26">
        <v>15</v>
      </c>
      <c r="T17" s="26">
        <v>25</v>
      </c>
      <c r="U17" s="26">
        <v>41</v>
      </c>
      <c r="V17" s="26">
        <v>1</v>
      </c>
      <c r="W17" s="26" t="s">
        <v>218</v>
      </c>
    </row>
    <row r="18" spans="1:23" x14ac:dyDescent="0.25">
      <c r="A18" s="26" t="s">
        <v>53</v>
      </c>
      <c r="B18" s="26" t="s">
        <v>261</v>
      </c>
      <c r="C18" s="26" t="s">
        <v>262</v>
      </c>
      <c r="D18" s="26" t="s">
        <v>179</v>
      </c>
      <c r="E18" s="26" t="s">
        <v>263</v>
      </c>
      <c r="F18" s="26" t="s">
        <v>264</v>
      </c>
      <c r="G18" s="26" t="s">
        <v>265</v>
      </c>
      <c r="H18" s="26" t="s">
        <v>205</v>
      </c>
      <c r="I18" s="26" t="s">
        <v>184</v>
      </c>
      <c r="J18" s="26" t="s">
        <v>185</v>
      </c>
      <c r="K18" s="26" t="s">
        <v>186</v>
      </c>
      <c r="L18" s="26" t="s">
        <v>79</v>
      </c>
      <c r="M18" s="26" t="s">
        <v>77</v>
      </c>
      <c r="N18" s="26">
        <v>36</v>
      </c>
      <c r="O18" s="26">
        <v>18</v>
      </c>
      <c r="P18" s="26">
        <v>18</v>
      </c>
      <c r="Q18" s="26">
        <v>4</v>
      </c>
      <c r="R18" s="26">
        <v>1</v>
      </c>
      <c r="S18" s="26">
        <v>17</v>
      </c>
      <c r="T18" s="26">
        <v>32</v>
      </c>
      <c r="U18" s="26">
        <v>50</v>
      </c>
      <c r="V18" s="26">
        <v>1</v>
      </c>
      <c r="W18" s="26" t="s">
        <v>218</v>
      </c>
    </row>
    <row r="19" spans="1:23" x14ac:dyDescent="0.25">
      <c r="A19" s="26" t="s">
        <v>53</v>
      </c>
      <c r="B19" s="26" t="s">
        <v>266</v>
      </c>
      <c r="C19" s="26" t="s">
        <v>267</v>
      </c>
      <c r="D19" s="26" t="s">
        <v>179</v>
      </c>
      <c r="E19" s="26" t="s">
        <v>268</v>
      </c>
      <c r="F19" s="26" t="s">
        <v>269</v>
      </c>
      <c r="G19" s="26" t="s">
        <v>210</v>
      </c>
      <c r="H19" s="26" t="s">
        <v>211</v>
      </c>
      <c r="I19" s="26" t="s">
        <v>184</v>
      </c>
      <c r="J19" s="26" t="s">
        <v>185</v>
      </c>
      <c r="K19" s="26" t="s">
        <v>186</v>
      </c>
      <c r="L19" s="26" t="s">
        <v>79</v>
      </c>
      <c r="M19" s="26" t="s">
        <v>77</v>
      </c>
      <c r="N19" s="26">
        <v>88</v>
      </c>
      <c r="O19" s="26">
        <v>47</v>
      </c>
      <c r="P19" s="26">
        <v>41</v>
      </c>
      <c r="Q19" s="26">
        <v>4</v>
      </c>
      <c r="R19" s="26">
        <v>1</v>
      </c>
      <c r="S19" s="26">
        <v>18</v>
      </c>
      <c r="T19" s="26">
        <v>28</v>
      </c>
      <c r="U19" s="26">
        <v>47</v>
      </c>
      <c r="V19" s="26">
        <v>1</v>
      </c>
      <c r="W19" s="26" t="s">
        <v>218</v>
      </c>
    </row>
    <row r="20" spans="1:23" x14ac:dyDescent="0.25">
      <c r="A20" s="26" t="s">
        <v>53</v>
      </c>
      <c r="B20" s="26" t="s">
        <v>270</v>
      </c>
      <c r="C20" s="26" t="s">
        <v>271</v>
      </c>
      <c r="D20" s="26" t="s">
        <v>179</v>
      </c>
      <c r="E20" s="26" t="s">
        <v>272</v>
      </c>
      <c r="F20" s="26" t="s">
        <v>273</v>
      </c>
      <c r="G20" s="26" t="s">
        <v>182</v>
      </c>
      <c r="H20" s="26" t="s">
        <v>221</v>
      </c>
      <c r="I20" s="26" t="s">
        <v>184</v>
      </c>
      <c r="J20" s="26" t="s">
        <v>185</v>
      </c>
      <c r="K20" s="26" t="s">
        <v>186</v>
      </c>
      <c r="L20" s="26" t="s">
        <v>79</v>
      </c>
      <c r="M20" s="26" t="s">
        <v>77</v>
      </c>
      <c r="N20" s="26">
        <v>70</v>
      </c>
      <c r="O20" s="26">
        <v>33</v>
      </c>
      <c r="P20" s="26">
        <v>37</v>
      </c>
      <c r="Q20" s="26">
        <v>3</v>
      </c>
      <c r="R20" s="26">
        <v>1</v>
      </c>
      <c r="S20" s="26">
        <v>14</v>
      </c>
      <c r="T20" s="26">
        <v>27</v>
      </c>
      <c r="U20" s="26">
        <v>42</v>
      </c>
      <c r="V20" s="26">
        <v>1</v>
      </c>
      <c r="W20" s="26" t="s">
        <v>218</v>
      </c>
    </row>
    <row r="21" spans="1:23" x14ac:dyDescent="0.25">
      <c r="A21" s="26" t="s">
        <v>53</v>
      </c>
      <c r="B21" s="26" t="s">
        <v>274</v>
      </c>
      <c r="C21" s="26" t="s">
        <v>275</v>
      </c>
      <c r="D21" s="26" t="s">
        <v>179</v>
      </c>
      <c r="E21" s="26" t="s">
        <v>276</v>
      </c>
      <c r="F21" s="26" t="s">
        <v>277</v>
      </c>
      <c r="G21" s="26" t="s">
        <v>278</v>
      </c>
      <c r="H21" s="26" t="s">
        <v>183</v>
      </c>
      <c r="I21" s="26" t="s">
        <v>184</v>
      </c>
      <c r="J21" s="26" t="s">
        <v>185</v>
      </c>
      <c r="K21" s="26" t="s">
        <v>186</v>
      </c>
      <c r="L21" s="26" t="s">
        <v>79</v>
      </c>
      <c r="M21" s="26" t="s">
        <v>77</v>
      </c>
      <c r="N21" s="26">
        <v>68</v>
      </c>
      <c r="O21" s="26">
        <v>36</v>
      </c>
      <c r="P21" s="26">
        <v>32</v>
      </c>
      <c r="Q21" s="26">
        <v>4</v>
      </c>
      <c r="R21" s="26">
        <v>1</v>
      </c>
      <c r="S21" s="26">
        <v>18</v>
      </c>
      <c r="T21" s="26">
        <v>30</v>
      </c>
      <c r="U21" s="26">
        <v>49</v>
      </c>
      <c r="V21" s="26">
        <v>1</v>
      </c>
      <c r="W21" s="26" t="s">
        <v>218</v>
      </c>
    </row>
    <row r="22" spans="1:23" x14ac:dyDescent="0.25">
      <c r="A22" s="26" t="s">
        <v>53</v>
      </c>
      <c r="B22" s="26" t="s">
        <v>279</v>
      </c>
      <c r="C22" s="26" t="s">
        <v>280</v>
      </c>
      <c r="D22" s="26" t="s">
        <v>218</v>
      </c>
      <c r="E22" s="26" t="s">
        <v>281</v>
      </c>
      <c r="F22" s="26" t="s">
        <v>282</v>
      </c>
      <c r="G22" s="26" t="s">
        <v>265</v>
      </c>
      <c r="H22" s="26" t="s">
        <v>221</v>
      </c>
      <c r="I22" s="26" t="s">
        <v>184</v>
      </c>
      <c r="J22" s="26" t="s">
        <v>185</v>
      </c>
      <c r="K22" s="26" t="s">
        <v>186</v>
      </c>
      <c r="L22" s="26" t="s">
        <v>79</v>
      </c>
      <c r="M22" s="26" t="s">
        <v>77</v>
      </c>
      <c r="N22" s="26">
        <v>100</v>
      </c>
      <c r="O22" s="26">
        <v>55</v>
      </c>
      <c r="P22" s="26">
        <v>45</v>
      </c>
      <c r="Q22" s="26">
        <v>4</v>
      </c>
      <c r="R22" s="26">
        <v>1</v>
      </c>
      <c r="S22" s="26">
        <v>34</v>
      </c>
      <c r="T22" s="26">
        <v>43</v>
      </c>
      <c r="U22" s="26">
        <v>78</v>
      </c>
      <c r="V22" s="26">
        <v>1</v>
      </c>
      <c r="W22" s="26" t="s">
        <v>218</v>
      </c>
    </row>
    <row r="23" spans="1:23" x14ac:dyDescent="0.25">
      <c r="A23" s="26" t="s">
        <v>53</v>
      </c>
      <c r="B23" s="26" t="s">
        <v>283</v>
      </c>
      <c r="C23" s="26" t="s">
        <v>284</v>
      </c>
      <c r="D23" s="26" t="s">
        <v>218</v>
      </c>
      <c r="E23" s="26" t="s">
        <v>4000</v>
      </c>
      <c r="F23" s="26" t="s">
        <v>277</v>
      </c>
      <c r="G23" s="26" t="s">
        <v>278</v>
      </c>
      <c r="H23" s="26" t="s">
        <v>183</v>
      </c>
      <c r="I23" s="26" t="s">
        <v>184</v>
      </c>
      <c r="J23" s="26" t="s">
        <v>185</v>
      </c>
      <c r="K23" s="26" t="s">
        <v>186</v>
      </c>
      <c r="L23" s="26" t="s">
        <v>79</v>
      </c>
      <c r="M23" s="26" t="s">
        <v>77</v>
      </c>
      <c r="N23" s="26">
        <v>138</v>
      </c>
      <c r="O23" s="26">
        <v>74</v>
      </c>
      <c r="P23" s="26">
        <v>64</v>
      </c>
      <c r="Q23" s="26">
        <v>5</v>
      </c>
      <c r="R23" s="26">
        <v>1</v>
      </c>
      <c r="S23" s="26">
        <v>35</v>
      </c>
      <c r="T23" s="26">
        <v>57</v>
      </c>
      <c r="U23" s="26">
        <v>93</v>
      </c>
      <c r="V23" s="26">
        <v>1</v>
      </c>
      <c r="W23" s="26" t="s">
        <v>218</v>
      </c>
    </row>
    <row r="24" spans="1:23" x14ac:dyDescent="0.25">
      <c r="A24" s="26" t="s">
        <v>53</v>
      </c>
      <c r="B24" s="26" t="s">
        <v>285</v>
      </c>
      <c r="C24" s="26" t="s">
        <v>286</v>
      </c>
      <c r="D24" s="26" t="s">
        <v>179</v>
      </c>
      <c r="E24" s="26" t="s">
        <v>287</v>
      </c>
      <c r="F24" s="26" t="s">
        <v>288</v>
      </c>
      <c r="G24" s="26" t="s">
        <v>204</v>
      </c>
      <c r="H24" s="26" t="s">
        <v>205</v>
      </c>
      <c r="I24" s="26" t="s">
        <v>184</v>
      </c>
      <c r="J24" s="26" t="s">
        <v>185</v>
      </c>
      <c r="K24" s="26" t="s">
        <v>186</v>
      </c>
      <c r="L24" s="26" t="s">
        <v>79</v>
      </c>
      <c r="M24" s="26" t="s">
        <v>77</v>
      </c>
      <c r="N24" s="26">
        <v>51</v>
      </c>
      <c r="O24" s="26">
        <v>25</v>
      </c>
      <c r="P24" s="26">
        <v>26</v>
      </c>
      <c r="Q24" s="26">
        <v>3</v>
      </c>
      <c r="R24" s="26">
        <v>1</v>
      </c>
      <c r="S24" s="26">
        <v>12</v>
      </c>
      <c r="T24" s="26">
        <v>22</v>
      </c>
      <c r="U24" s="26">
        <v>35</v>
      </c>
      <c r="V24" s="26">
        <v>1</v>
      </c>
      <c r="W24" s="26" t="s">
        <v>218</v>
      </c>
    </row>
    <row r="25" spans="1:23" x14ac:dyDescent="0.25">
      <c r="A25" s="26" t="s">
        <v>53</v>
      </c>
      <c r="B25" s="26" t="s">
        <v>289</v>
      </c>
      <c r="C25" s="26" t="s">
        <v>290</v>
      </c>
      <c r="D25" s="26" t="s">
        <v>218</v>
      </c>
      <c r="E25" s="26" t="s">
        <v>291</v>
      </c>
      <c r="F25" s="26" t="s">
        <v>292</v>
      </c>
      <c r="G25" s="26" t="s">
        <v>293</v>
      </c>
      <c r="H25" s="26" t="s">
        <v>294</v>
      </c>
      <c r="I25" s="26" t="s">
        <v>184</v>
      </c>
      <c r="J25" s="26" t="s">
        <v>295</v>
      </c>
      <c r="K25" s="26" t="s">
        <v>296</v>
      </c>
      <c r="L25" s="26" t="s">
        <v>80</v>
      </c>
      <c r="M25" s="26" t="s">
        <v>77</v>
      </c>
      <c r="N25" s="26">
        <v>69</v>
      </c>
      <c r="O25" s="26">
        <v>41</v>
      </c>
      <c r="P25" s="26">
        <v>28</v>
      </c>
      <c r="Q25" s="26">
        <v>3</v>
      </c>
      <c r="R25" s="26">
        <v>1</v>
      </c>
      <c r="S25" s="26">
        <v>23</v>
      </c>
      <c r="T25" s="26">
        <v>35</v>
      </c>
      <c r="U25" s="26">
        <v>59</v>
      </c>
      <c r="V25" s="26">
        <v>1</v>
      </c>
      <c r="W25" s="26" t="s">
        <v>218</v>
      </c>
    </row>
    <row r="26" spans="1:23" x14ac:dyDescent="0.25">
      <c r="A26" s="26" t="s">
        <v>53</v>
      </c>
      <c r="B26" s="26" t="s">
        <v>297</v>
      </c>
      <c r="C26" s="26" t="s">
        <v>298</v>
      </c>
      <c r="D26" s="26" t="s">
        <v>179</v>
      </c>
      <c r="E26" s="26" t="s">
        <v>299</v>
      </c>
      <c r="F26" s="26" t="s">
        <v>300</v>
      </c>
      <c r="G26" s="26" t="s">
        <v>198</v>
      </c>
      <c r="H26" s="26" t="s">
        <v>301</v>
      </c>
      <c r="I26" s="26" t="s">
        <v>184</v>
      </c>
      <c r="J26" s="26" t="s">
        <v>193</v>
      </c>
      <c r="K26" s="26" t="s">
        <v>186</v>
      </c>
      <c r="L26" s="26" t="s">
        <v>79</v>
      </c>
      <c r="M26" s="26" t="s">
        <v>77</v>
      </c>
      <c r="N26" s="26">
        <v>60</v>
      </c>
      <c r="O26" s="26">
        <v>30</v>
      </c>
      <c r="P26" s="26">
        <v>30</v>
      </c>
      <c r="Q26" s="26">
        <v>4</v>
      </c>
      <c r="R26" s="26">
        <v>1</v>
      </c>
      <c r="S26" s="26">
        <v>15</v>
      </c>
      <c r="T26" s="26">
        <v>23</v>
      </c>
      <c r="U26" s="26">
        <v>39</v>
      </c>
      <c r="V26" s="26">
        <v>1</v>
      </c>
      <c r="W26" s="26" t="s">
        <v>218</v>
      </c>
    </row>
    <row r="27" spans="1:23" x14ac:dyDescent="0.25">
      <c r="A27" s="26" t="s">
        <v>53</v>
      </c>
      <c r="B27" s="26" t="s">
        <v>302</v>
      </c>
      <c r="C27" s="26" t="s">
        <v>303</v>
      </c>
      <c r="D27" s="26" t="s">
        <v>218</v>
      </c>
      <c r="E27" s="26" t="s">
        <v>304</v>
      </c>
      <c r="F27" s="26" t="s">
        <v>305</v>
      </c>
      <c r="G27" s="26" t="s">
        <v>226</v>
      </c>
      <c r="H27" s="26" t="s">
        <v>192</v>
      </c>
      <c r="I27" s="26" t="s">
        <v>184</v>
      </c>
      <c r="J27" s="26" t="s">
        <v>193</v>
      </c>
      <c r="K27" s="26" t="s">
        <v>186</v>
      </c>
      <c r="L27" s="26" t="s">
        <v>79</v>
      </c>
      <c r="M27" s="26" t="s">
        <v>77</v>
      </c>
      <c r="N27" s="26">
        <v>88</v>
      </c>
      <c r="O27" s="26">
        <v>53</v>
      </c>
      <c r="P27" s="26">
        <v>35</v>
      </c>
      <c r="Q27" s="26">
        <v>5</v>
      </c>
      <c r="R27" s="26">
        <v>1</v>
      </c>
      <c r="S27" s="26">
        <v>32</v>
      </c>
      <c r="T27" s="26">
        <v>48</v>
      </c>
      <c r="U27" s="26">
        <v>81</v>
      </c>
      <c r="V27" s="26">
        <v>1</v>
      </c>
      <c r="W27" s="26" t="s">
        <v>218</v>
      </c>
    </row>
    <row r="28" spans="1:23" x14ac:dyDescent="0.25">
      <c r="A28" s="26" t="s">
        <v>53</v>
      </c>
      <c r="B28" s="26" t="s">
        <v>306</v>
      </c>
      <c r="C28" s="26" t="s">
        <v>307</v>
      </c>
      <c r="D28" s="26" t="s">
        <v>179</v>
      </c>
      <c r="E28" s="26" t="s">
        <v>308</v>
      </c>
      <c r="F28" s="26" t="s">
        <v>309</v>
      </c>
      <c r="G28" s="26" t="s">
        <v>226</v>
      </c>
      <c r="H28" s="26" t="s">
        <v>227</v>
      </c>
      <c r="I28" s="26" t="s">
        <v>184</v>
      </c>
      <c r="J28" s="26" t="s">
        <v>193</v>
      </c>
      <c r="K28" s="26" t="s">
        <v>186</v>
      </c>
      <c r="L28" s="26" t="s">
        <v>79</v>
      </c>
      <c r="M28" s="26" t="s">
        <v>77</v>
      </c>
      <c r="N28" s="26">
        <v>70</v>
      </c>
      <c r="O28" s="26">
        <v>30</v>
      </c>
      <c r="P28" s="26">
        <v>40</v>
      </c>
      <c r="Q28" s="26">
        <v>4</v>
      </c>
      <c r="R28" s="26">
        <v>1</v>
      </c>
      <c r="S28" s="26">
        <v>21</v>
      </c>
      <c r="T28" s="26">
        <v>27</v>
      </c>
      <c r="U28" s="26">
        <v>49</v>
      </c>
      <c r="V28" s="26">
        <v>1</v>
      </c>
      <c r="W28" s="26" t="s">
        <v>218</v>
      </c>
    </row>
    <row r="29" spans="1:23" x14ac:dyDescent="0.25">
      <c r="A29" s="26" t="s">
        <v>53</v>
      </c>
      <c r="B29" s="26" t="s">
        <v>310</v>
      </c>
      <c r="C29" s="26" t="s">
        <v>311</v>
      </c>
      <c r="D29" s="26" t="s">
        <v>218</v>
      </c>
      <c r="E29" s="26" t="s">
        <v>312</v>
      </c>
      <c r="F29" s="26" t="s">
        <v>313</v>
      </c>
      <c r="G29" s="26" t="s">
        <v>182</v>
      </c>
      <c r="H29" s="26" t="s">
        <v>221</v>
      </c>
      <c r="I29" s="26" t="s">
        <v>184</v>
      </c>
      <c r="J29" s="26" t="s">
        <v>185</v>
      </c>
      <c r="K29" s="26" t="s">
        <v>186</v>
      </c>
      <c r="L29" s="26" t="s">
        <v>79</v>
      </c>
      <c r="M29" s="26" t="s">
        <v>77</v>
      </c>
      <c r="N29" s="26">
        <v>95</v>
      </c>
      <c r="O29" s="26">
        <v>50</v>
      </c>
      <c r="P29" s="26">
        <v>45</v>
      </c>
      <c r="Q29" s="26">
        <v>8</v>
      </c>
      <c r="R29" s="26">
        <v>1</v>
      </c>
      <c r="S29" s="26">
        <v>25</v>
      </c>
      <c r="T29" s="26">
        <v>41</v>
      </c>
      <c r="U29" s="26">
        <v>67</v>
      </c>
      <c r="V29" s="26">
        <v>1</v>
      </c>
      <c r="W29" s="26" t="s">
        <v>218</v>
      </c>
    </row>
    <row r="30" spans="1:23" x14ac:dyDescent="0.25">
      <c r="A30" s="26" t="s">
        <v>53</v>
      </c>
      <c r="B30" s="26" t="s">
        <v>314</v>
      </c>
      <c r="C30" s="26" t="s">
        <v>315</v>
      </c>
      <c r="D30" s="26" t="s">
        <v>179</v>
      </c>
      <c r="E30" s="26" t="s">
        <v>316</v>
      </c>
      <c r="F30" s="26" t="s">
        <v>317</v>
      </c>
      <c r="G30" s="26" t="s">
        <v>191</v>
      </c>
      <c r="H30" s="26" t="s">
        <v>301</v>
      </c>
      <c r="I30" s="26" t="s">
        <v>184</v>
      </c>
      <c r="J30" s="26" t="s">
        <v>193</v>
      </c>
      <c r="K30" s="26" t="s">
        <v>186</v>
      </c>
      <c r="L30" s="26" t="s">
        <v>79</v>
      </c>
      <c r="M30" s="26" t="s">
        <v>77</v>
      </c>
      <c r="N30" s="26">
        <v>64</v>
      </c>
      <c r="O30" s="26">
        <v>34</v>
      </c>
      <c r="P30" s="26">
        <v>30</v>
      </c>
      <c r="Q30" s="26">
        <v>5</v>
      </c>
      <c r="R30" s="26">
        <v>1</v>
      </c>
      <c r="S30" s="26">
        <v>19</v>
      </c>
      <c r="T30" s="26">
        <v>28</v>
      </c>
      <c r="U30" s="26">
        <v>48</v>
      </c>
      <c r="V30" s="26">
        <v>1</v>
      </c>
      <c r="W30" s="26" t="s">
        <v>218</v>
      </c>
    </row>
    <row r="31" spans="1:23" x14ac:dyDescent="0.25">
      <c r="A31" s="26" t="s">
        <v>53</v>
      </c>
      <c r="B31" s="26" t="s">
        <v>318</v>
      </c>
      <c r="C31" s="26" t="s">
        <v>319</v>
      </c>
      <c r="D31" s="26" t="s">
        <v>179</v>
      </c>
      <c r="E31" s="26" t="s">
        <v>0</v>
      </c>
      <c r="F31" s="26" t="s">
        <v>320</v>
      </c>
      <c r="G31" s="26" t="s">
        <v>265</v>
      </c>
      <c r="H31" s="26" t="s">
        <v>321</v>
      </c>
      <c r="I31" s="26" t="s">
        <v>184</v>
      </c>
      <c r="J31" s="26" t="s">
        <v>322</v>
      </c>
      <c r="K31" s="26" t="s">
        <v>186</v>
      </c>
      <c r="L31" s="26" t="s">
        <v>79</v>
      </c>
      <c r="M31" s="26" t="s">
        <v>77</v>
      </c>
      <c r="N31" s="26">
        <v>39</v>
      </c>
      <c r="O31" s="26">
        <v>20</v>
      </c>
      <c r="P31" s="26">
        <v>19</v>
      </c>
      <c r="Q31" s="26">
        <v>4</v>
      </c>
      <c r="R31" s="26">
        <v>1</v>
      </c>
      <c r="S31" s="26">
        <v>16</v>
      </c>
      <c r="T31" s="26">
        <v>29</v>
      </c>
      <c r="U31" s="26">
        <v>46</v>
      </c>
      <c r="V31" s="26">
        <v>1</v>
      </c>
      <c r="W31" s="26"/>
    </row>
    <row r="32" spans="1:23" x14ac:dyDescent="0.25">
      <c r="A32" s="26" t="s">
        <v>53</v>
      </c>
      <c r="B32" s="26" t="s">
        <v>323</v>
      </c>
      <c r="C32" s="26" t="s">
        <v>324</v>
      </c>
      <c r="D32" s="26" t="s">
        <v>179</v>
      </c>
      <c r="E32" s="26" t="s">
        <v>325</v>
      </c>
      <c r="F32" s="26" t="s">
        <v>326</v>
      </c>
      <c r="G32" s="26" t="s">
        <v>210</v>
      </c>
      <c r="H32" s="26" t="s">
        <v>327</v>
      </c>
      <c r="I32" s="26" t="s">
        <v>184</v>
      </c>
      <c r="J32" s="26" t="s">
        <v>322</v>
      </c>
      <c r="K32" s="26" t="s">
        <v>186</v>
      </c>
      <c r="L32" s="26" t="s">
        <v>79</v>
      </c>
      <c r="M32" s="26" t="s">
        <v>77</v>
      </c>
      <c r="N32" s="26">
        <v>49</v>
      </c>
      <c r="O32" s="26">
        <v>24</v>
      </c>
      <c r="P32" s="26">
        <v>25</v>
      </c>
      <c r="Q32" s="26">
        <v>4</v>
      </c>
      <c r="R32" s="26">
        <v>1</v>
      </c>
      <c r="S32" s="26">
        <v>15</v>
      </c>
      <c r="T32" s="26">
        <v>27</v>
      </c>
      <c r="U32" s="26">
        <v>43</v>
      </c>
      <c r="V32" s="26">
        <v>1</v>
      </c>
      <c r="W32" s="26"/>
    </row>
    <row r="33" spans="1:23" x14ac:dyDescent="0.25">
      <c r="A33" s="26" t="s">
        <v>53</v>
      </c>
      <c r="B33" s="26" t="s">
        <v>328</v>
      </c>
      <c r="C33" s="26" t="s">
        <v>329</v>
      </c>
      <c r="D33" s="26" t="s">
        <v>179</v>
      </c>
      <c r="E33" s="26" t="s">
        <v>330</v>
      </c>
      <c r="F33" s="26" t="s">
        <v>331</v>
      </c>
      <c r="G33" s="26" t="s">
        <v>210</v>
      </c>
      <c r="H33" s="26" t="s">
        <v>332</v>
      </c>
      <c r="I33" s="26" t="s">
        <v>184</v>
      </c>
      <c r="J33" s="26" t="s">
        <v>322</v>
      </c>
      <c r="K33" s="26" t="s">
        <v>186</v>
      </c>
      <c r="L33" s="26" t="s">
        <v>79</v>
      </c>
      <c r="M33" s="26" t="s">
        <v>77</v>
      </c>
      <c r="N33" s="26">
        <v>30</v>
      </c>
      <c r="O33" s="26">
        <v>10</v>
      </c>
      <c r="P33" s="26">
        <v>20</v>
      </c>
      <c r="Q33" s="26">
        <v>4</v>
      </c>
      <c r="R33" s="26">
        <v>1</v>
      </c>
      <c r="S33" s="26">
        <v>17</v>
      </c>
      <c r="T33" s="26">
        <v>26</v>
      </c>
      <c r="U33" s="26">
        <v>44</v>
      </c>
      <c r="V33" s="26">
        <v>1</v>
      </c>
      <c r="W33" s="26"/>
    </row>
    <row r="34" spans="1:23" x14ac:dyDescent="0.25">
      <c r="A34" s="26" t="s">
        <v>53</v>
      </c>
      <c r="B34" s="26" t="s">
        <v>333</v>
      </c>
      <c r="C34" s="26" t="s">
        <v>334</v>
      </c>
      <c r="D34" s="26" t="s">
        <v>179</v>
      </c>
      <c r="E34" s="26" t="s">
        <v>335</v>
      </c>
      <c r="F34" s="26" t="s">
        <v>282</v>
      </c>
      <c r="G34" s="26" t="s">
        <v>265</v>
      </c>
      <c r="H34" s="26" t="s">
        <v>321</v>
      </c>
      <c r="I34" s="26" t="s">
        <v>184</v>
      </c>
      <c r="J34" s="26" t="s">
        <v>322</v>
      </c>
      <c r="K34" s="26" t="s">
        <v>186</v>
      </c>
      <c r="L34" s="26" t="s">
        <v>79</v>
      </c>
      <c r="M34" s="26" t="s">
        <v>77</v>
      </c>
      <c r="N34" s="26">
        <v>42</v>
      </c>
      <c r="O34" s="26">
        <v>20</v>
      </c>
      <c r="P34" s="26">
        <v>22</v>
      </c>
      <c r="Q34" s="26">
        <v>4</v>
      </c>
      <c r="R34" s="26">
        <v>1</v>
      </c>
      <c r="S34" s="26">
        <v>17</v>
      </c>
      <c r="T34" s="26">
        <v>31</v>
      </c>
      <c r="U34" s="26">
        <v>49</v>
      </c>
      <c r="V34" s="26">
        <v>1</v>
      </c>
      <c r="W34" s="26"/>
    </row>
    <row r="35" spans="1:23" x14ac:dyDescent="0.25">
      <c r="A35" s="26" t="s">
        <v>53</v>
      </c>
      <c r="B35" s="26" t="s">
        <v>336</v>
      </c>
      <c r="C35" s="26" t="s">
        <v>337</v>
      </c>
      <c r="D35" s="26" t="s">
        <v>179</v>
      </c>
      <c r="E35" s="26" t="s">
        <v>338</v>
      </c>
      <c r="F35" s="26" t="s">
        <v>326</v>
      </c>
      <c r="G35" s="26" t="s">
        <v>210</v>
      </c>
      <c r="H35" s="26" t="s">
        <v>327</v>
      </c>
      <c r="I35" s="26" t="s">
        <v>184</v>
      </c>
      <c r="J35" s="26" t="s">
        <v>322</v>
      </c>
      <c r="K35" s="26" t="s">
        <v>186</v>
      </c>
      <c r="L35" s="26" t="s">
        <v>79</v>
      </c>
      <c r="M35" s="26" t="s">
        <v>77</v>
      </c>
      <c r="N35" s="26">
        <v>69</v>
      </c>
      <c r="O35" s="26">
        <v>33</v>
      </c>
      <c r="P35" s="26">
        <v>36</v>
      </c>
      <c r="Q35" s="26">
        <v>4</v>
      </c>
      <c r="R35" s="26">
        <v>0</v>
      </c>
      <c r="S35" s="26">
        <v>18</v>
      </c>
      <c r="T35" s="26">
        <v>31</v>
      </c>
      <c r="U35" s="26">
        <v>49</v>
      </c>
      <c r="V35" s="26">
        <v>1</v>
      </c>
      <c r="W35" s="26"/>
    </row>
    <row r="36" spans="1:23" x14ac:dyDescent="0.25">
      <c r="A36" s="26" t="s">
        <v>53</v>
      </c>
      <c r="B36" s="26" t="s">
        <v>339</v>
      </c>
      <c r="C36" s="26" t="s">
        <v>340</v>
      </c>
      <c r="D36" s="26" t="s">
        <v>218</v>
      </c>
      <c r="E36" s="26" t="s">
        <v>341</v>
      </c>
      <c r="F36" s="26" t="s">
        <v>342</v>
      </c>
      <c r="G36" s="26" t="s">
        <v>210</v>
      </c>
      <c r="H36" s="26" t="s">
        <v>327</v>
      </c>
      <c r="I36" s="26" t="s">
        <v>184</v>
      </c>
      <c r="J36" s="26" t="s">
        <v>322</v>
      </c>
      <c r="K36" s="26" t="s">
        <v>186</v>
      </c>
      <c r="L36" s="26" t="s">
        <v>79</v>
      </c>
      <c r="M36" s="26" t="s">
        <v>77</v>
      </c>
      <c r="N36" s="26">
        <v>52</v>
      </c>
      <c r="O36" s="26">
        <v>24</v>
      </c>
      <c r="P36" s="26">
        <v>28</v>
      </c>
      <c r="Q36" s="26">
        <v>5</v>
      </c>
      <c r="R36" s="26">
        <v>1</v>
      </c>
      <c r="S36" s="26">
        <v>25</v>
      </c>
      <c r="T36" s="26">
        <v>23</v>
      </c>
      <c r="U36" s="26">
        <v>49</v>
      </c>
      <c r="V36" s="26">
        <v>1</v>
      </c>
      <c r="W36" s="26"/>
    </row>
    <row r="37" spans="1:23" x14ac:dyDescent="0.25">
      <c r="A37" s="26" t="s">
        <v>53</v>
      </c>
      <c r="B37" s="26" t="s">
        <v>343</v>
      </c>
      <c r="C37" s="26" t="s">
        <v>344</v>
      </c>
      <c r="D37" s="26" t="s">
        <v>179</v>
      </c>
      <c r="E37" s="26" t="s">
        <v>345</v>
      </c>
      <c r="F37" s="26" t="s">
        <v>346</v>
      </c>
      <c r="G37" s="26" t="s">
        <v>252</v>
      </c>
      <c r="H37" s="26" t="s">
        <v>192</v>
      </c>
      <c r="I37" s="26" t="s">
        <v>184</v>
      </c>
      <c r="J37" s="26" t="s">
        <v>193</v>
      </c>
      <c r="K37" s="26" t="s">
        <v>186</v>
      </c>
      <c r="L37" s="26" t="s">
        <v>79</v>
      </c>
      <c r="M37" s="26" t="s">
        <v>77</v>
      </c>
      <c r="N37" s="26">
        <v>69</v>
      </c>
      <c r="O37" s="26">
        <v>43</v>
      </c>
      <c r="P37" s="26">
        <v>26</v>
      </c>
      <c r="Q37" s="26">
        <v>4</v>
      </c>
      <c r="R37" s="26">
        <v>1</v>
      </c>
      <c r="S37" s="26">
        <v>18</v>
      </c>
      <c r="T37" s="26">
        <v>25</v>
      </c>
      <c r="U37" s="26">
        <v>44</v>
      </c>
      <c r="V37" s="26">
        <v>1</v>
      </c>
      <c r="W37" s="26" t="s">
        <v>218</v>
      </c>
    </row>
    <row r="38" spans="1:23" x14ac:dyDescent="0.25">
      <c r="A38" s="26" t="s">
        <v>53</v>
      </c>
      <c r="B38" s="26" t="s">
        <v>347</v>
      </c>
      <c r="C38" s="26" t="s">
        <v>348</v>
      </c>
      <c r="D38" s="26" t="s">
        <v>218</v>
      </c>
      <c r="E38" s="26" t="s">
        <v>349</v>
      </c>
      <c r="F38" s="26" t="s">
        <v>350</v>
      </c>
      <c r="G38" s="26" t="s">
        <v>293</v>
      </c>
      <c r="H38" s="26" t="s">
        <v>351</v>
      </c>
      <c r="I38" s="26" t="s">
        <v>184</v>
      </c>
      <c r="J38" s="26" t="s">
        <v>295</v>
      </c>
      <c r="K38" s="26" t="s">
        <v>296</v>
      </c>
      <c r="L38" s="26" t="s">
        <v>80</v>
      </c>
      <c r="M38" s="26" t="s">
        <v>77</v>
      </c>
      <c r="N38" s="26">
        <v>38</v>
      </c>
      <c r="O38" s="26">
        <v>19</v>
      </c>
      <c r="P38" s="26">
        <v>19</v>
      </c>
      <c r="Q38" s="26">
        <v>5</v>
      </c>
      <c r="R38" s="26">
        <v>1</v>
      </c>
      <c r="S38" s="26">
        <v>15</v>
      </c>
      <c r="T38" s="26">
        <v>21</v>
      </c>
      <c r="U38" s="26">
        <v>37</v>
      </c>
      <c r="V38" s="26">
        <v>1</v>
      </c>
      <c r="W38" s="26" t="s">
        <v>218</v>
      </c>
    </row>
    <row r="39" spans="1:23" x14ac:dyDescent="0.25">
      <c r="A39" s="26" t="s">
        <v>53</v>
      </c>
      <c r="B39" s="26" t="s">
        <v>352</v>
      </c>
      <c r="C39" s="26" t="s">
        <v>353</v>
      </c>
      <c r="D39" s="26" t="s">
        <v>218</v>
      </c>
      <c r="E39" s="26" t="s">
        <v>354</v>
      </c>
      <c r="F39" s="26" t="s">
        <v>355</v>
      </c>
      <c r="G39" s="26" t="s">
        <v>293</v>
      </c>
      <c r="H39" s="26" t="s">
        <v>301</v>
      </c>
      <c r="I39" s="26" t="s">
        <v>184</v>
      </c>
      <c r="J39" s="26" t="s">
        <v>295</v>
      </c>
      <c r="K39" s="26" t="s">
        <v>296</v>
      </c>
      <c r="L39" s="26" t="s">
        <v>80</v>
      </c>
      <c r="M39" s="26" t="s">
        <v>77</v>
      </c>
      <c r="N39" s="26">
        <v>47</v>
      </c>
      <c r="O39" s="26">
        <v>28</v>
      </c>
      <c r="P39" s="26">
        <v>19</v>
      </c>
      <c r="Q39" s="26">
        <v>5</v>
      </c>
      <c r="R39" s="26">
        <v>1</v>
      </c>
      <c r="S39" s="26">
        <v>13</v>
      </c>
      <c r="T39" s="26">
        <v>12</v>
      </c>
      <c r="U39" s="26">
        <v>26</v>
      </c>
      <c r="V39" s="26">
        <v>1</v>
      </c>
      <c r="W39" s="26" t="s">
        <v>218</v>
      </c>
    </row>
    <row r="40" spans="1:23" x14ac:dyDescent="0.25">
      <c r="A40" s="26" t="s">
        <v>53</v>
      </c>
      <c r="B40" s="26" t="s">
        <v>356</v>
      </c>
      <c r="C40" s="26" t="s">
        <v>357</v>
      </c>
      <c r="D40" s="26" t="s">
        <v>179</v>
      </c>
      <c r="E40" s="26" t="s">
        <v>358</v>
      </c>
      <c r="F40" s="26" t="s">
        <v>282</v>
      </c>
      <c r="G40" s="26" t="s">
        <v>265</v>
      </c>
      <c r="H40" s="26" t="s">
        <v>359</v>
      </c>
      <c r="I40" s="26" t="s">
        <v>184</v>
      </c>
      <c r="J40" s="26" t="s">
        <v>322</v>
      </c>
      <c r="K40" s="26" t="s">
        <v>360</v>
      </c>
      <c r="L40" s="26" t="s">
        <v>79</v>
      </c>
      <c r="M40" s="26" t="s">
        <v>77</v>
      </c>
      <c r="N40" s="26">
        <v>37</v>
      </c>
      <c r="O40" s="26">
        <v>24</v>
      </c>
      <c r="P40" s="26">
        <v>13</v>
      </c>
      <c r="Q40" s="26">
        <v>2</v>
      </c>
      <c r="R40" s="26">
        <v>1</v>
      </c>
      <c r="S40" s="26">
        <v>13</v>
      </c>
      <c r="T40" s="26">
        <v>34</v>
      </c>
      <c r="U40" s="26">
        <v>48</v>
      </c>
      <c r="V40" s="26">
        <v>1</v>
      </c>
      <c r="W40" s="26"/>
    </row>
    <row r="41" spans="1:23" x14ac:dyDescent="0.25">
      <c r="A41" s="26" t="s">
        <v>53</v>
      </c>
      <c r="B41" s="26" t="s">
        <v>361</v>
      </c>
      <c r="C41" s="26" t="s">
        <v>362</v>
      </c>
      <c r="D41" s="26" t="s">
        <v>218</v>
      </c>
      <c r="E41" s="26" t="s">
        <v>363</v>
      </c>
      <c r="F41" s="26" t="s">
        <v>364</v>
      </c>
      <c r="G41" s="26" t="s">
        <v>210</v>
      </c>
      <c r="H41" s="26" t="s">
        <v>365</v>
      </c>
      <c r="I41" s="26" t="s">
        <v>184</v>
      </c>
      <c r="J41" s="26" t="s">
        <v>322</v>
      </c>
      <c r="K41" s="26" t="s">
        <v>360</v>
      </c>
      <c r="L41" s="26" t="s">
        <v>79</v>
      </c>
      <c r="M41" s="26" t="s">
        <v>77</v>
      </c>
      <c r="N41" s="26">
        <v>104</v>
      </c>
      <c r="O41" s="26">
        <v>60</v>
      </c>
      <c r="P41" s="26">
        <v>44</v>
      </c>
      <c r="Q41" s="26">
        <v>6</v>
      </c>
      <c r="R41" s="26">
        <v>1</v>
      </c>
      <c r="S41" s="26">
        <v>29</v>
      </c>
      <c r="T41" s="26">
        <v>39</v>
      </c>
      <c r="U41" s="26">
        <v>69</v>
      </c>
      <c r="V41" s="26">
        <v>1</v>
      </c>
      <c r="W41" s="26"/>
    </row>
    <row r="42" spans="1:23" x14ac:dyDescent="0.25">
      <c r="A42" s="26" t="s">
        <v>53</v>
      </c>
      <c r="B42" s="26" t="s">
        <v>366</v>
      </c>
      <c r="C42" s="26" t="s">
        <v>367</v>
      </c>
      <c r="D42" s="26" t="s">
        <v>218</v>
      </c>
      <c r="E42" s="26" t="s">
        <v>368</v>
      </c>
      <c r="F42" s="26" t="s">
        <v>369</v>
      </c>
      <c r="G42" s="26" t="s">
        <v>182</v>
      </c>
      <c r="H42" s="26" t="s">
        <v>370</v>
      </c>
      <c r="I42" s="26" t="s">
        <v>184</v>
      </c>
      <c r="J42" s="26" t="s">
        <v>322</v>
      </c>
      <c r="K42" s="26" t="s">
        <v>360</v>
      </c>
      <c r="L42" s="26" t="s">
        <v>79</v>
      </c>
      <c r="M42" s="26" t="s">
        <v>77</v>
      </c>
      <c r="N42" s="26">
        <v>60</v>
      </c>
      <c r="O42" s="26">
        <v>33</v>
      </c>
      <c r="P42" s="26">
        <v>27</v>
      </c>
      <c r="Q42" s="26">
        <v>4</v>
      </c>
      <c r="R42" s="26">
        <v>1</v>
      </c>
      <c r="S42" s="26">
        <v>23</v>
      </c>
      <c r="T42" s="26">
        <v>29</v>
      </c>
      <c r="U42" s="26">
        <v>53</v>
      </c>
      <c r="V42" s="26">
        <v>1</v>
      </c>
      <c r="W42" s="26"/>
    </row>
    <row r="43" spans="1:23" x14ac:dyDescent="0.25">
      <c r="A43" s="26" t="s">
        <v>53</v>
      </c>
      <c r="B43" s="26" t="s">
        <v>371</v>
      </c>
      <c r="C43" s="26" t="s">
        <v>372</v>
      </c>
      <c r="D43" s="26" t="s">
        <v>218</v>
      </c>
      <c r="E43" s="26" t="s">
        <v>373</v>
      </c>
      <c r="F43" s="26" t="s">
        <v>247</v>
      </c>
      <c r="G43" s="26" t="s">
        <v>198</v>
      </c>
      <c r="H43" s="26" t="s">
        <v>374</v>
      </c>
      <c r="I43" s="26" t="s">
        <v>184</v>
      </c>
      <c r="J43" s="26" t="s">
        <v>375</v>
      </c>
      <c r="K43" s="26" t="s">
        <v>360</v>
      </c>
      <c r="L43" s="26" t="s">
        <v>79</v>
      </c>
      <c r="M43" s="26" t="s">
        <v>77</v>
      </c>
      <c r="N43" s="26">
        <v>25</v>
      </c>
      <c r="O43" s="26">
        <v>14</v>
      </c>
      <c r="P43" s="26">
        <v>11</v>
      </c>
      <c r="Q43" s="26">
        <v>4</v>
      </c>
      <c r="R43" s="26">
        <v>1</v>
      </c>
      <c r="S43" s="26">
        <v>9</v>
      </c>
      <c r="T43" s="26">
        <v>30</v>
      </c>
      <c r="U43" s="26">
        <v>40</v>
      </c>
      <c r="V43" s="26">
        <v>1</v>
      </c>
      <c r="W43" s="26"/>
    </row>
    <row r="44" spans="1:23" x14ac:dyDescent="0.25">
      <c r="A44" s="26" t="s">
        <v>53</v>
      </c>
      <c r="B44" s="26" t="s">
        <v>376</v>
      </c>
      <c r="C44" s="26" t="s">
        <v>377</v>
      </c>
      <c r="D44" s="26" t="s">
        <v>179</v>
      </c>
      <c r="E44" s="26" t="s">
        <v>378</v>
      </c>
      <c r="F44" s="26" t="s">
        <v>379</v>
      </c>
      <c r="G44" s="26" t="s">
        <v>182</v>
      </c>
      <c r="H44" s="26" t="s">
        <v>380</v>
      </c>
      <c r="I44" s="26" t="s">
        <v>184</v>
      </c>
      <c r="J44" s="26" t="s">
        <v>322</v>
      </c>
      <c r="K44" s="26" t="s">
        <v>381</v>
      </c>
      <c r="L44" s="26" t="s">
        <v>79</v>
      </c>
      <c r="M44" s="26" t="s">
        <v>77</v>
      </c>
      <c r="N44" s="26">
        <v>30</v>
      </c>
      <c r="O44" s="26">
        <v>20</v>
      </c>
      <c r="P44" s="26">
        <v>10</v>
      </c>
      <c r="Q44" s="26">
        <v>6</v>
      </c>
      <c r="R44" s="26">
        <v>1</v>
      </c>
      <c r="S44" s="26">
        <v>14</v>
      </c>
      <c r="T44" s="26">
        <v>22</v>
      </c>
      <c r="U44" s="26">
        <v>37</v>
      </c>
      <c r="V44" s="26">
        <v>1</v>
      </c>
      <c r="W44" s="26"/>
    </row>
    <row r="45" spans="1:23" x14ac:dyDescent="0.25">
      <c r="A45" s="26" t="s">
        <v>53</v>
      </c>
      <c r="B45" s="26" t="s">
        <v>382</v>
      </c>
      <c r="C45" s="26" t="s">
        <v>383</v>
      </c>
      <c r="D45" s="26" t="s">
        <v>179</v>
      </c>
      <c r="E45" s="26" t="s">
        <v>384</v>
      </c>
      <c r="F45" s="26" t="s">
        <v>385</v>
      </c>
      <c r="G45" s="26" t="s">
        <v>198</v>
      </c>
      <c r="H45" s="26" t="s">
        <v>386</v>
      </c>
      <c r="I45" s="26" t="s">
        <v>184</v>
      </c>
      <c r="J45" s="26" t="s">
        <v>375</v>
      </c>
      <c r="K45" s="26" t="s">
        <v>381</v>
      </c>
      <c r="L45" s="26" t="s">
        <v>79</v>
      </c>
      <c r="M45" s="26" t="s">
        <v>77</v>
      </c>
      <c r="N45" s="26">
        <v>14</v>
      </c>
      <c r="O45" s="26">
        <v>8</v>
      </c>
      <c r="P45" s="26">
        <v>6</v>
      </c>
      <c r="Q45" s="26">
        <v>3</v>
      </c>
      <c r="R45" s="26">
        <v>1</v>
      </c>
      <c r="S45" s="26">
        <v>8</v>
      </c>
      <c r="T45" s="26">
        <v>21</v>
      </c>
      <c r="U45" s="26">
        <v>30</v>
      </c>
      <c r="V45" s="26">
        <v>1</v>
      </c>
      <c r="W45" s="26"/>
    </row>
    <row r="46" spans="1:23" x14ac:dyDescent="0.25">
      <c r="A46" s="26" t="s">
        <v>53</v>
      </c>
      <c r="B46" s="26" t="s">
        <v>387</v>
      </c>
      <c r="C46" s="26" t="s">
        <v>388</v>
      </c>
      <c r="D46" s="26" t="s">
        <v>179</v>
      </c>
      <c r="E46" s="26" t="s">
        <v>4001</v>
      </c>
      <c r="F46" s="26" t="s">
        <v>389</v>
      </c>
      <c r="G46" s="26" t="s">
        <v>182</v>
      </c>
      <c r="H46" s="26" t="s">
        <v>390</v>
      </c>
      <c r="I46" s="26" t="s">
        <v>184</v>
      </c>
      <c r="J46" s="26" t="s">
        <v>322</v>
      </c>
      <c r="K46" s="26" t="s">
        <v>381</v>
      </c>
      <c r="L46" s="26" t="s">
        <v>79</v>
      </c>
      <c r="M46" s="26" t="s">
        <v>77</v>
      </c>
      <c r="N46" s="26">
        <v>0</v>
      </c>
      <c r="O46" s="26">
        <v>0</v>
      </c>
      <c r="P46" s="26">
        <v>0</v>
      </c>
      <c r="Q46" s="26">
        <v>0</v>
      </c>
      <c r="R46" s="26">
        <v>1</v>
      </c>
      <c r="S46" s="26">
        <v>0</v>
      </c>
      <c r="T46" s="26">
        <v>14</v>
      </c>
      <c r="U46" s="26">
        <v>15</v>
      </c>
      <c r="V46" s="26">
        <v>1</v>
      </c>
      <c r="W46" s="26"/>
    </row>
    <row r="47" spans="1:23" x14ac:dyDescent="0.25">
      <c r="A47" s="26" t="s">
        <v>53</v>
      </c>
      <c r="B47" s="26" t="s">
        <v>391</v>
      </c>
      <c r="C47" s="26" t="s">
        <v>392</v>
      </c>
      <c r="D47" s="26" t="s">
        <v>179</v>
      </c>
      <c r="E47" s="26" t="s">
        <v>393</v>
      </c>
      <c r="F47" s="26" t="s">
        <v>394</v>
      </c>
      <c r="G47" s="26" t="s">
        <v>198</v>
      </c>
      <c r="H47" s="26" t="s">
        <v>395</v>
      </c>
      <c r="I47" s="26" t="s">
        <v>184</v>
      </c>
      <c r="J47" s="26" t="s">
        <v>375</v>
      </c>
      <c r="K47" s="26" t="s">
        <v>360</v>
      </c>
      <c r="L47" s="26" t="s">
        <v>79</v>
      </c>
      <c r="M47" s="26" t="s">
        <v>77</v>
      </c>
      <c r="N47" s="26">
        <v>43</v>
      </c>
      <c r="O47" s="26">
        <v>18</v>
      </c>
      <c r="P47" s="26">
        <v>25</v>
      </c>
      <c r="Q47" s="26">
        <v>5</v>
      </c>
      <c r="R47" s="26">
        <v>1</v>
      </c>
      <c r="S47" s="26">
        <v>19</v>
      </c>
      <c r="T47" s="26">
        <v>31</v>
      </c>
      <c r="U47" s="26">
        <v>51</v>
      </c>
      <c r="V47" s="26">
        <v>1</v>
      </c>
      <c r="W47" s="26"/>
    </row>
    <row r="48" spans="1:23" x14ac:dyDescent="0.25">
      <c r="A48" s="26" t="s">
        <v>53</v>
      </c>
      <c r="B48" s="26" t="s">
        <v>396</v>
      </c>
      <c r="C48" s="26" t="s">
        <v>397</v>
      </c>
      <c r="D48" s="26" t="s">
        <v>218</v>
      </c>
      <c r="E48" s="26" t="s">
        <v>398</v>
      </c>
      <c r="F48" s="26" t="s">
        <v>379</v>
      </c>
      <c r="G48" s="26" t="s">
        <v>182</v>
      </c>
      <c r="H48" s="26" t="s">
        <v>399</v>
      </c>
      <c r="I48" s="26" t="s">
        <v>184</v>
      </c>
      <c r="J48" s="26" t="s">
        <v>322</v>
      </c>
      <c r="K48" s="26" t="s">
        <v>360</v>
      </c>
      <c r="L48" s="26" t="s">
        <v>79</v>
      </c>
      <c r="M48" s="26" t="s">
        <v>77</v>
      </c>
      <c r="N48" s="26">
        <v>63</v>
      </c>
      <c r="O48" s="26">
        <v>30</v>
      </c>
      <c r="P48" s="26">
        <v>33</v>
      </c>
      <c r="Q48" s="26">
        <v>6</v>
      </c>
      <c r="R48" s="26">
        <v>1</v>
      </c>
      <c r="S48" s="26">
        <v>29</v>
      </c>
      <c r="T48" s="26">
        <v>50</v>
      </c>
      <c r="U48" s="26">
        <v>80</v>
      </c>
      <c r="V48" s="26">
        <v>1</v>
      </c>
      <c r="W48" s="26"/>
    </row>
    <row r="49" spans="1:23" x14ac:dyDescent="0.25">
      <c r="A49" s="26" t="s">
        <v>53</v>
      </c>
      <c r="B49" s="26" t="s">
        <v>400</v>
      </c>
      <c r="C49" s="26" t="s">
        <v>401</v>
      </c>
      <c r="D49" s="26" t="s">
        <v>179</v>
      </c>
      <c r="E49" s="26" t="s">
        <v>402</v>
      </c>
      <c r="F49" s="26" t="s">
        <v>247</v>
      </c>
      <c r="G49" s="26" t="s">
        <v>198</v>
      </c>
      <c r="H49" s="26" t="s">
        <v>403</v>
      </c>
      <c r="I49" s="26" t="s">
        <v>184</v>
      </c>
      <c r="J49" s="26" t="s">
        <v>375</v>
      </c>
      <c r="K49" s="26" t="s">
        <v>360</v>
      </c>
      <c r="L49" s="26" t="s">
        <v>79</v>
      </c>
      <c r="M49" s="26" t="s">
        <v>77</v>
      </c>
      <c r="N49" s="26">
        <v>41</v>
      </c>
      <c r="O49" s="26">
        <v>23</v>
      </c>
      <c r="P49" s="26">
        <v>18</v>
      </c>
      <c r="Q49" s="26">
        <v>3</v>
      </c>
      <c r="R49" s="26">
        <v>1</v>
      </c>
      <c r="S49" s="26">
        <v>19</v>
      </c>
      <c r="T49" s="26">
        <v>37</v>
      </c>
      <c r="U49" s="26">
        <v>57</v>
      </c>
      <c r="V49" s="26">
        <v>1</v>
      </c>
      <c r="W49" s="26"/>
    </row>
    <row r="50" spans="1:23" x14ac:dyDescent="0.25">
      <c r="A50" s="26" t="s">
        <v>53</v>
      </c>
      <c r="B50" s="26" t="s">
        <v>404</v>
      </c>
      <c r="C50" s="26" t="s">
        <v>405</v>
      </c>
      <c r="D50" s="26" t="s">
        <v>179</v>
      </c>
      <c r="E50" s="26" t="s">
        <v>406</v>
      </c>
      <c r="F50" s="26" t="s">
        <v>407</v>
      </c>
      <c r="G50" s="26" t="s">
        <v>278</v>
      </c>
      <c r="H50" s="26" t="s">
        <v>408</v>
      </c>
      <c r="I50" s="26" t="s">
        <v>184</v>
      </c>
      <c r="J50" s="26" t="s">
        <v>375</v>
      </c>
      <c r="K50" s="26" t="s">
        <v>360</v>
      </c>
      <c r="L50" s="26" t="s">
        <v>79</v>
      </c>
      <c r="M50" s="26" t="s">
        <v>77</v>
      </c>
      <c r="N50" s="26">
        <v>42</v>
      </c>
      <c r="O50" s="26">
        <v>19</v>
      </c>
      <c r="P50" s="26">
        <v>23</v>
      </c>
      <c r="Q50" s="26">
        <v>5</v>
      </c>
      <c r="R50" s="26">
        <v>1</v>
      </c>
      <c r="S50" s="26">
        <v>8</v>
      </c>
      <c r="T50" s="26">
        <v>21</v>
      </c>
      <c r="U50" s="26">
        <v>30</v>
      </c>
      <c r="V50" s="26">
        <v>1</v>
      </c>
      <c r="W50" s="26"/>
    </row>
    <row r="51" spans="1:23" x14ac:dyDescent="0.25">
      <c r="A51" s="26" t="s">
        <v>53</v>
      </c>
      <c r="B51" s="26" t="s">
        <v>409</v>
      </c>
      <c r="C51" s="26" t="s">
        <v>410</v>
      </c>
      <c r="D51" s="26" t="s">
        <v>179</v>
      </c>
      <c r="E51" s="26" t="s">
        <v>411</v>
      </c>
      <c r="F51" s="26" t="s">
        <v>412</v>
      </c>
      <c r="G51" s="26" t="s">
        <v>413</v>
      </c>
      <c r="H51" s="26" t="s">
        <v>414</v>
      </c>
      <c r="I51" s="26" t="s">
        <v>184</v>
      </c>
      <c r="J51" s="26" t="s">
        <v>375</v>
      </c>
      <c r="K51" s="26" t="s">
        <v>360</v>
      </c>
      <c r="L51" s="26" t="s">
        <v>79</v>
      </c>
      <c r="M51" s="26" t="s">
        <v>77</v>
      </c>
      <c r="N51" s="26">
        <v>30</v>
      </c>
      <c r="O51" s="26">
        <v>14</v>
      </c>
      <c r="P51" s="26">
        <v>16</v>
      </c>
      <c r="Q51" s="26">
        <v>4</v>
      </c>
      <c r="R51" s="26">
        <v>1</v>
      </c>
      <c r="S51" s="26">
        <v>10</v>
      </c>
      <c r="T51" s="26">
        <v>24</v>
      </c>
      <c r="U51" s="26">
        <v>35</v>
      </c>
      <c r="V51" s="26">
        <v>1</v>
      </c>
      <c r="W51" s="26"/>
    </row>
    <row r="52" spans="1:23" x14ac:dyDescent="0.25">
      <c r="A52" s="26" t="s">
        <v>53</v>
      </c>
      <c r="B52" s="26" t="s">
        <v>415</v>
      </c>
      <c r="C52" s="26" t="s">
        <v>416</v>
      </c>
      <c r="D52" s="26" t="s">
        <v>218</v>
      </c>
      <c r="E52" s="26" t="s">
        <v>417</v>
      </c>
      <c r="F52" s="26" t="s">
        <v>247</v>
      </c>
      <c r="G52" s="26" t="s">
        <v>198</v>
      </c>
      <c r="H52" s="26" t="s">
        <v>403</v>
      </c>
      <c r="I52" s="26" t="s">
        <v>184</v>
      </c>
      <c r="J52" s="26" t="s">
        <v>375</v>
      </c>
      <c r="K52" s="26" t="s">
        <v>360</v>
      </c>
      <c r="L52" s="26" t="s">
        <v>79</v>
      </c>
      <c r="M52" s="26" t="s">
        <v>77</v>
      </c>
      <c r="N52" s="26">
        <v>71</v>
      </c>
      <c r="O52" s="26">
        <v>36</v>
      </c>
      <c r="P52" s="26">
        <v>35</v>
      </c>
      <c r="Q52" s="26">
        <v>6</v>
      </c>
      <c r="R52" s="26">
        <v>1</v>
      </c>
      <c r="S52" s="26">
        <v>26</v>
      </c>
      <c r="T52" s="26">
        <v>52</v>
      </c>
      <c r="U52" s="26">
        <v>79</v>
      </c>
      <c r="V52" s="26">
        <v>1</v>
      </c>
      <c r="W52" s="26"/>
    </row>
    <row r="53" spans="1:23" x14ac:dyDescent="0.25">
      <c r="A53" s="26" t="s">
        <v>53</v>
      </c>
      <c r="B53" s="26" t="s">
        <v>418</v>
      </c>
      <c r="C53" s="26" t="s">
        <v>419</v>
      </c>
      <c r="D53" s="26" t="s">
        <v>218</v>
      </c>
      <c r="E53" s="26" t="s">
        <v>420</v>
      </c>
      <c r="F53" s="26" t="s">
        <v>220</v>
      </c>
      <c r="G53" s="26" t="s">
        <v>182</v>
      </c>
      <c r="H53" s="26" t="s">
        <v>421</v>
      </c>
      <c r="I53" s="26" t="s">
        <v>184</v>
      </c>
      <c r="J53" s="26" t="s">
        <v>322</v>
      </c>
      <c r="K53" s="26" t="s">
        <v>360</v>
      </c>
      <c r="L53" s="26" t="s">
        <v>79</v>
      </c>
      <c r="M53" s="26" t="s">
        <v>77</v>
      </c>
      <c r="N53" s="26">
        <v>54</v>
      </c>
      <c r="O53" s="26">
        <v>24</v>
      </c>
      <c r="P53" s="26">
        <v>30</v>
      </c>
      <c r="Q53" s="26">
        <v>5</v>
      </c>
      <c r="R53" s="26">
        <v>1</v>
      </c>
      <c r="S53" s="26">
        <v>12</v>
      </c>
      <c r="T53" s="26">
        <v>26</v>
      </c>
      <c r="U53" s="26">
        <v>39</v>
      </c>
      <c r="V53" s="26">
        <v>1</v>
      </c>
      <c r="W53" s="26"/>
    </row>
    <row r="54" spans="1:23" x14ac:dyDescent="0.25">
      <c r="A54" s="26" t="s">
        <v>53</v>
      </c>
      <c r="B54" s="26" t="s">
        <v>422</v>
      </c>
      <c r="C54" s="26" t="s">
        <v>423</v>
      </c>
      <c r="D54" s="26" t="s">
        <v>218</v>
      </c>
      <c r="E54" s="26" t="s">
        <v>424</v>
      </c>
      <c r="F54" s="26" t="s">
        <v>425</v>
      </c>
      <c r="G54" s="26" t="s">
        <v>191</v>
      </c>
      <c r="H54" s="26" t="s">
        <v>426</v>
      </c>
      <c r="I54" s="26" t="s">
        <v>184</v>
      </c>
      <c r="J54" s="26" t="s">
        <v>427</v>
      </c>
      <c r="K54" s="26" t="s">
        <v>360</v>
      </c>
      <c r="L54" s="26" t="s">
        <v>79</v>
      </c>
      <c r="M54" s="26" t="s">
        <v>77</v>
      </c>
      <c r="N54" s="26">
        <v>88</v>
      </c>
      <c r="O54" s="26">
        <v>43</v>
      </c>
      <c r="P54" s="26">
        <v>45</v>
      </c>
      <c r="Q54" s="26">
        <v>5</v>
      </c>
      <c r="R54" s="26">
        <v>1</v>
      </c>
      <c r="S54" s="26">
        <v>24</v>
      </c>
      <c r="T54" s="26">
        <v>39</v>
      </c>
      <c r="U54" s="26">
        <v>64</v>
      </c>
      <c r="V54" s="26">
        <v>1</v>
      </c>
      <c r="W54" s="26"/>
    </row>
    <row r="55" spans="1:23" x14ac:dyDescent="0.25">
      <c r="A55" s="26" t="s">
        <v>53</v>
      </c>
      <c r="B55" s="26" t="s">
        <v>428</v>
      </c>
      <c r="C55" s="26" t="s">
        <v>429</v>
      </c>
      <c r="D55" s="26" t="s">
        <v>179</v>
      </c>
      <c r="E55" s="26" t="s">
        <v>430</v>
      </c>
      <c r="F55" s="26" t="s">
        <v>247</v>
      </c>
      <c r="G55" s="26" t="s">
        <v>198</v>
      </c>
      <c r="H55" s="26" t="s">
        <v>431</v>
      </c>
      <c r="I55" s="26" t="s">
        <v>184</v>
      </c>
      <c r="J55" s="26" t="s">
        <v>375</v>
      </c>
      <c r="K55" s="26" t="s">
        <v>360</v>
      </c>
      <c r="L55" s="26" t="s">
        <v>79</v>
      </c>
      <c r="M55" s="26" t="s">
        <v>77</v>
      </c>
      <c r="N55" s="26">
        <v>25</v>
      </c>
      <c r="O55" s="26">
        <v>12</v>
      </c>
      <c r="P55" s="26">
        <v>13</v>
      </c>
      <c r="Q55" s="26">
        <v>5</v>
      </c>
      <c r="R55" s="26">
        <v>1</v>
      </c>
      <c r="S55" s="26">
        <v>10</v>
      </c>
      <c r="T55" s="26">
        <v>19</v>
      </c>
      <c r="U55" s="26">
        <v>30</v>
      </c>
      <c r="V55" s="26">
        <v>1</v>
      </c>
      <c r="W55" s="26"/>
    </row>
    <row r="56" spans="1:23" x14ac:dyDescent="0.25">
      <c r="A56" s="26" t="s">
        <v>53</v>
      </c>
      <c r="B56" s="26" t="s">
        <v>432</v>
      </c>
      <c r="C56" s="26" t="s">
        <v>433</v>
      </c>
      <c r="D56" s="26" t="s">
        <v>179</v>
      </c>
      <c r="E56" s="26" t="s">
        <v>434</v>
      </c>
      <c r="F56" s="26" t="s">
        <v>435</v>
      </c>
      <c r="G56" s="26" t="s">
        <v>413</v>
      </c>
      <c r="H56" s="26" t="s">
        <v>436</v>
      </c>
      <c r="I56" s="26" t="s">
        <v>184</v>
      </c>
      <c r="J56" s="26" t="s">
        <v>375</v>
      </c>
      <c r="K56" s="26" t="s">
        <v>360</v>
      </c>
      <c r="L56" s="26" t="s">
        <v>79</v>
      </c>
      <c r="M56" s="26" t="s">
        <v>77</v>
      </c>
      <c r="N56" s="26">
        <v>131</v>
      </c>
      <c r="O56" s="26">
        <v>60</v>
      </c>
      <c r="P56" s="26">
        <v>71</v>
      </c>
      <c r="Q56" s="26">
        <v>6</v>
      </c>
      <c r="R56" s="26">
        <v>1</v>
      </c>
      <c r="S56" s="26">
        <v>93</v>
      </c>
      <c r="T56" s="26">
        <v>22</v>
      </c>
      <c r="U56" s="26">
        <v>116</v>
      </c>
      <c r="V56" s="26">
        <v>1</v>
      </c>
      <c r="W56" s="26"/>
    </row>
    <row r="57" spans="1:23" x14ac:dyDescent="0.25">
      <c r="A57" s="26" t="s">
        <v>53</v>
      </c>
      <c r="B57" s="26" t="s">
        <v>437</v>
      </c>
      <c r="C57" s="26" t="s">
        <v>438</v>
      </c>
      <c r="D57" s="26" t="s">
        <v>179</v>
      </c>
      <c r="E57" s="26" t="s">
        <v>439</v>
      </c>
      <c r="F57" s="26" t="s">
        <v>181</v>
      </c>
      <c r="G57" s="26" t="s">
        <v>182</v>
      </c>
      <c r="H57" s="26" t="s">
        <v>440</v>
      </c>
      <c r="I57" s="26" t="s">
        <v>184</v>
      </c>
      <c r="J57" s="26" t="s">
        <v>322</v>
      </c>
      <c r="K57" s="26" t="s">
        <v>360</v>
      </c>
      <c r="L57" s="26" t="s">
        <v>79</v>
      </c>
      <c r="M57" s="26" t="s">
        <v>77</v>
      </c>
      <c r="N57" s="26">
        <v>182</v>
      </c>
      <c r="O57" s="26">
        <v>100</v>
      </c>
      <c r="P57" s="26">
        <v>82</v>
      </c>
      <c r="Q57" s="26">
        <v>6</v>
      </c>
      <c r="R57" s="26">
        <v>1</v>
      </c>
      <c r="S57" s="26">
        <v>45</v>
      </c>
      <c r="T57" s="26">
        <v>23</v>
      </c>
      <c r="U57" s="26">
        <v>69</v>
      </c>
      <c r="V57" s="26">
        <v>1</v>
      </c>
      <c r="W57" s="26"/>
    </row>
    <row r="58" spans="1:23" x14ac:dyDescent="0.25">
      <c r="A58" s="26" t="s">
        <v>53</v>
      </c>
      <c r="B58" s="26" t="s">
        <v>441</v>
      </c>
      <c r="C58" s="26" t="s">
        <v>442</v>
      </c>
      <c r="D58" s="26" t="s">
        <v>218</v>
      </c>
      <c r="E58" s="26" t="s">
        <v>443</v>
      </c>
      <c r="F58" s="26" t="s">
        <v>444</v>
      </c>
      <c r="G58" s="26" t="s">
        <v>265</v>
      </c>
      <c r="H58" s="26" t="s">
        <v>445</v>
      </c>
      <c r="I58" s="26" t="s">
        <v>184</v>
      </c>
      <c r="J58" s="26" t="s">
        <v>322</v>
      </c>
      <c r="K58" s="26" t="s">
        <v>360</v>
      </c>
      <c r="L58" s="26" t="s">
        <v>79</v>
      </c>
      <c r="M58" s="26" t="s">
        <v>77</v>
      </c>
      <c r="N58" s="26">
        <v>143</v>
      </c>
      <c r="O58" s="26">
        <v>62</v>
      </c>
      <c r="P58" s="26">
        <v>81</v>
      </c>
      <c r="Q58" s="26">
        <v>6</v>
      </c>
      <c r="R58" s="26">
        <v>1</v>
      </c>
      <c r="S58" s="26">
        <v>87</v>
      </c>
      <c r="T58" s="26">
        <v>22</v>
      </c>
      <c r="U58" s="26">
        <v>110</v>
      </c>
      <c r="V58" s="26">
        <v>1</v>
      </c>
      <c r="W58" s="26"/>
    </row>
    <row r="59" spans="1:23" x14ac:dyDescent="0.25">
      <c r="A59" s="26" t="s">
        <v>53</v>
      </c>
      <c r="B59" s="26" t="s">
        <v>446</v>
      </c>
      <c r="C59" s="26" t="s">
        <v>447</v>
      </c>
      <c r="D59" s="26" t="s">
        <v>218</v>
      </c>
      <c r="E59" s="26" t="s">
        <v>448</v>
      </c>
      <c r="F59" s="26" t="s">
        <v>449</v>
      </c>
      <c r="G59" s="26" t="s">
        <v>198</v>
      </c>
      <c r="H59" s="26" t="s">
        <v>395</v>
      </c>
      <c r="I59" s="26" t="s">
        <v>184</v>
      </c>
      <c r="J59" s="26" t="s">
        <v>375</v>
      </c>
      <c r="K59" s="26" t="s">
        <v>360</v>
      </c>
      <c r="L59" s="26" t="s">
        <v>79</v>
      </c>
      <c r="M59" s="26" t="s">
        <v>77</v>
      </c>
      <c r="N59" s="26">
        <v>151</v>
      </c>
      <c r="O59" s="26">
        <v>71</v>
      </c>
      <c r="P59" s="26">
        <v>80</v>
      </c>
      <c r="Q59" s="26">
        <v>6</v>
      </c>
      <c r="R59" s="26">
        <v>1</v>
      </c>
      <c r="S59" s="26">
        <v>52</v>
      </c>
      <c r="T59" s="26">
        <v>20</v>
      </c>
      <c r="U59" s="26">
        <v>73</v>
      </c>
      <c r="V59" s="26">
        <v>1</v>
      </c>
      <c r="W59" s="26"/>
    </row>
    <row r="60" spans="1:23" x14ac:dyDescent="0.25">
      <c r="A60" s="26" t="s">
        <v>53</v>
      </c>
      <c r="B60" s="26" t="s">
        <v>450</v>
      </c>
      <c r="C60" s="26" t="s">
        <v>451</v>
      </c>
      <c r="D60" s="26" t="s">
        <v>218</v>
      </c>
      <c r="E60" s="26" t="s">
        <v>452</v>
      </c>
      <c r="F60" s="26" t="s">
        <v>453</v>
      </c>
      <c r="G60" s="26" t="s">
        <v>265</v>
      </c>
      <c r="H60" s="26" t="s">
        <v>445</v>
      </c>
      <c r="I60" s="26" t="s">
        <v>184</v>
      </c>
      <c r="J60" s="26" t="s">
        <v>322</v>
      </c>
      <c r="K60" s="26" t="s">
        <v>360</v>
      </c>
      <c r="L60" s="26" t="s">
        <v>79</v>
      </c>
      <c r="M60" s="26" t="s">
        <v>77</v>
      </c>
      <c r="N60" s="26">
        <v>38</v>
      </c>
      <c r="O60" s="26">
        <v>19</v>
      </c>
      <c r="P60" s="26">
        <v>19</v>
      </c>
      <c r="Q60" s="26">
        <v>5</v>
      </c>
      <c r="R60" s="26">
        <v>1</v>
      </c>
      <c r="S60" s="26">
        <v>13</v>
      </c>
      <c r="T60" s="26">
        <v>24</v>
      </c>
      <c r="U60" s="26">
        <v>38</v>
      </c>
      <c r="V60" s="26">
        <v>1</v>
      </c>
      <c r="W60" s="26"/>
    </row>
    <row r="61" spans="1:23" x14ac:dyDescent="0.25">
      <c r="A61" s="26" t="s">
        <v>53</v>
      </c>
      <c r="B61" s="26" t="s">
        <v>454</v>
      </c>
      <c r="C61" s="26" t="s">
        <v>455</v>
      </c>
      <c r="D61" s="26" t="s">
        <v>218</v>
      </c>
      <c r="E61" s="26" t="s">
        <v>456</v>
      </c>
      <c r="F61" s="26" t="s">
        <v>457</v>
      </c>
      <c r="G61" s="26" t="s">
        <v>182</v>
      </c>
      <c r="H61" s="26" t="s">
        <v>390</v>
      </c>
      <c r="I61" s="26" t="s">
        <v>184</v>
      </c>
      <c r="J61" s="26" t="s">
        <v>322</v>
      </c>
      <c r="K61" s="26" t="s">
        <v>360</v>
      </c>
      <c r="L61" s="26" t="s">
        <v>79</v>
      </c>
      <c r="M61" s="26" t="s">
        <v>77</v>
      </c>
      <c r="N61" s="26">
        <v>0</v>
      </c>
      <c r="O61" s="26">
        <v>0</v>
      </c>
      <c r="P61" s="26">
        <v>0</v>
      </c>
      <c r="Q61" s="26">
        <v>0</v>
      </c>
      <c r="R61" s="26">
        <v>1</v>
      </c>
      <c r="S61" s="26">
        <v>2</v>
      </c>
      <c r="T61" s="26">
        <v>13</v>
      </c>
      <c r="U61" s="26">
        <v>16</v>
      </c>
      <c r="V61" s="26">
        <v>1</v>
      </c>
      <c r="W61" s="26"/>
    </row>
    <row r="62" spans="1:23" x14ac:dyDescent="0.25">
      <c r="A62" s="26" t="s">
        <v>53</v>
      </c>
      <c r="B62" s="26" t="s">
        <v>458</v>
      </c>
      <c r="C62" s="26" t="s">
        <v>459</v>
      </c>
      <c r="D62" s="26" t="s">
        <v>218</v>
      </c>
      <c r="E62" s="26" t="s">
        <v>460</v>
      </c>
      <c r="F62" s="26" t="s">
        <v>457</v>
      </c>
      <c r="G62" s="26" t="s">
        <v>182</v>
      </c>
      <c r="H62" s="26" t="s">
        <v>461</v>
      </c>
      <c r="I62" s="26" t="s">
        <v>184</v>
      </c>
      <c r="J62" s="26" t="s">
        <v>322</v>
      </c>
      <c r="K62" s="26" t="s">
        <v>360</v>
      </c>
      <c r="L62" s="26" t="s">
        <v>79</v>
      </c>
      <c r="M62" s="26" t="s">
        <v>77</v>
      </c>
      <c r="N62" s="26">
        <v>37</v>
      </c>
      <c r="O62" s="26">
        <v>19</v>
      </c>
      <c r="P62" s="26">
        <v>18</v>
      </c>
      <c r="Q62" s="26">
        <v>5</v>
      </c>
      <c r="R62" s="26">
        <v>1</v>
      </c>
      <c r="S62" s="26">
        <v>16</v>
      </c>
      <c r="T62" s="26">
        <v>24</v>
      </c>
      <c r="U62" s="26">
        <v>41</v>
      </c>
      <c r="V62" s="26">
        <v>1</v>
      </c>
      <c r="W62" s="26"/>
    </row>
    <row r="63" spans="1:23" x14ac:dyDescent="0.25">
      <c r="A63" s="26" t="s">
        <v>53</v>
      </c>
      <c r="B63" s="26" t="s">
        <v>462</v>
      </c>
      <c r="C63" s="26" t="s">
        <v>463</v>
      </c>
      <c r="D63" s="26" t="s">
        <v>218</v>
      </c>
      <c r="E63" s="26" t="s">
        <v>464</v>
      </c>
      <c r="F63" s="26" t="s">
        <v>465</v>
      </c>
      <c r="G63" s="26" t="s">
        <v>413</v>
      </c>
      <c r="H63" s="26" t="s">
        <v>466</v>
      </c>
      <c r="I63" s="26" t="s">
        <v>184</v>
      </c>
      <c r="J63" s="26" t="s">
        <v>375</v>
      </c>
      <c r="K63" s="26" t="s">
        <v>360</v>
      </c>
      <c r="L63" s="26" t="s">
        <v>79</v>
      </c>
      <c r="M63" s="26" t="s">
        <v>77</v>
      </c>
      <c r="N63" s="26">
        <v>50</v>
      </c>
      <c r="O63" s="26">
        <v>24</v>
      </c>
      <c r="P63" s="26">
        <v>26</v>
      </c>
      <c r="Q63" s="26">
        <v>5</v>
      </c>
      <c r="R63" s="26">
        <v>1</v>
      </c>
      <c r="S63" s="26">
        <v>14</v>
      </c>
      <c r="T63" s="26">
        <v>26</v>
      </c>
      <c r="U63" s="26">
        <v>41</v>
      </c>
      <c r="V63" s="26">
        <v>1</v>
      </c>
      <c r="W63" s="26"/>
    </row>
    <row r="64" spans="1:23" x14ac:dyDescent="0.25">
      <c r="A64" s="26" t="s">
        <v>53</v>
      </c>
      <c r="B64" s="26" t="s">
        <v>467</v>
      </c>
      <c r="C64" s="26" t="s">
        <v>468</v>
      </c>
      <c r="D64" s="26" t="s">
        <v>218</v>
      </c>
      <c r="E64" s="26" t="s">
        <v>469</v>
      </c>
      <c r="F64" s="26" t="s">
        <v>313</v>
      </c>
      <c r="G64" s="26" t="s">
        <v>182</v>
      </c>
      <c r="H64" s="26" t="s">
        <v>370</v>
      </c>
      <c r="I64" s="26" t="s">
        <v>184</v>
      </c>
      <c r="J64" s="26" t="s">
        <v>322</v>
      </c>
      <c r="K64" s="26" t="s">
        <v>360</v>
      </c>
      <c r="L64" s="26" t="s">
        <v>79</v>
      </c>
      <c r="M64" s="26" t="s">
        <v>77</v>
      </c>
      <c r="N64" s="26">
        <v>26</v>
      </c>
      <c r="O64" s="26">
        <v>17</v>
      </c>
      <c r="P64" s="26">
        <v>9</v>
      </c>
      <c r="Q64" s="26">
        <v>4</v>
      </c>
      <c r="R64" s="26">
        <v>1</v>
      </c>
      <c r="S64" s="26">
        <v>9</v>
      </c>
      <c r="T64" s="26">
        <v>23</v>
      </c>
      <c r="U64" s="26">
        <v>33</v>
      </c>
      <c r="V64" s="26">
        <v>1</v>
      </c>
      <c r="W64" s="26"/>
    </row>
    <row r="65" spans="1:23" x14ac:dyDescent="0.25">
      <c r="A65" s="26" t="s">
        <v>53</v>
      </c>
      <c r="B65" s="26" t="s">
        <v>470</v>
      </c>
      <c r="C65" s="26" t="s">
        <v>471</v>
      </c>
      <c r="D65" s="26" t="s">
        <v>218</v>
      </c>
      <c r="E65" s="26" t="s">
        <v>472</v>
      </c>
      <c r="F65" s="26" t="s">
        <v>282</v>
      </c>
      <c r="G65" s="26" t="s">
        <v>265</v>
      </c>
      <c r="H65" s="26" t="s">
        <v>445</v>
      </c>
      <c r="I65" s="26" t="s">
        <v>184</v>
      </c>
      <c r="J65" s="26" t="s">
        <v>322</v>
      </c>
      <c r="K65" s="26" t="s">
        <v>360</v>
      </c>
      <c r="L65" s="26" t="s">
        <v>79</v>
      </c>
      <c r="M65" s="26" t="s">
        <v>77</v>
      </c>
      <c r="N65" s="26">
        <v>50</v>
      </c>
      <c r="O65" s="26">
        <v>17</v>
      </c>
      <c r="P65" s="26">
        <v>33</v>
      </c>
      <c r="Q65" s="26">
        <v>5</v>
      </c>
      <c r="R65" s="26">
        <v>1</v>
      </c>
      <c r="S65" s="26">
        <v>9</v>
      </c>
      <c r="T65" s="26">
        <v>24</v>
      </c>
      <c r="U65" s="26">
        <v>34</v>
      </c>
      <c r="V65" s="26">
        <v>1</v>
      </c>
      <c r="W65" s="26"/>
    </row>
    <row r="66" spans="1:23" x14ac:dyDescent="0.25">
      <c r="A66" s="26" t="s">
        <v>53</v>
      </c>
      <c r="B66" s="26" t="s">
        <v>473</v>
      </c>
      <c r="C66" s="26" t="s">
        <v>474</v>
      </c>
      <c r="D66" s="26" t="s">
        <v>218</v>
      </c>
      <c r="E66" s="26" t="s">
        <v>475</v>
      </c>
      <c r="F66" s="26" t="s">
        <v>379</v>
      </c>
      <c r="G66" s="26" t="s">
        <v>182</v>
      </c>
      <c r="H66" s="26" t="s">
        <v>399</v>
      </c>
      <c r="I66" s="26" t="s">
        <v>184</v>
      </c>
      <c r="J66" s="26" t="s">
        <v>322</v>
      </c>
      <c r="K66" s="26" t="s">
        <v>360</v>
      </c>
      <c r="L66" s="26" t="s">
        <v>79</v>
      </c>
      <c r="M66" s="26" t="s">
        <v>77</v>
      </c>
      <c r="N66" s="26">
        <v>68</v>
      </c>
      <c r="O66" s="26">
        <v>34</v>
      </c>
      <c r="P66" s="26">
        <v>34</v>
      </c>
      <c r="Q66" s="26">
        <v>5</v>
      </c>
      <c r="R66" s="26">
        <v>1</v>
      </c>
      <c r="S66" s="26">
        <v>15</v>
      </c>
      <c r="T66" s="26">
        <v>18</v>
      </c>
      <c r="U66" s="26">
        <v>34</v>
      </c>
      <c r="V66" s="26">
        <v>1</v>
      </c>
      <c r="W66" s="26"/>
    </row>
    <row r="67" spans="1:23" x14ac:dyDescent="0.25">
      <c r="A67" s="26" t="s">
        <v>53</v>
      </c>
      <c r="B67" s="26" t="s">
        <v>476</v>
      </c>
      <c r="C67" s="26" t="s">
        <v>477</v>
      </c>
      <c r="D67" s="26" t="s">
        <v>218</v>
      </c>
      <c r="E67" s="26" t="s">
        <v>478</v>
      </c>
      <c r="F67" s="26" t="s">
        <v>313</v>
      </c>
      <c r="G67" s="26" t="s">
        <v>182</v>
      </c>
      <c r="H67" s="26" t="s">
        <v>399</v>
      </c>
      <c r="I67" s="26" t="s">
        <v>184</v>
      </c>
      <c r="J67" s="26" t="s">
        <v>322</v>
      </c>
      <c r="K67" s="26" t="s">
        <v>360</v>
      </c>
      <c r="L67" s="26" t="s">
        <v>79</v>
      </c>
      <c r="M67" s="26" t="s">
        <v>77</v>
      </c>
      <c r="N67" s="26">
        <v>27</v>
      </c>
      <c r="O67" s="26">
        <v>12</v>
      </c>
      <c r="P67" s="26">
        <v>15</v>
      </c>
      <c r="Q67" s="26">
        <v>2</v>
      </c>
      <c r="R67" s="26">
        <v>1</v>
      </c>
      <c r="S67" s="26">
        <v>5</v>
      </c>
      <c r="T67" s="26">
        <v>12</v>
      </c>
      <c r="U67" s="26">
        <v>18</v>
      </c>
      <c r="V67" s="26">
        <v>1</v>
      </c>
      <c r="W67" s="26"/>
    </row>
    <row r="68" spans="1:23" x14ac:dyDescent="0.25">
      <c r="A68" s="26" t="s">
        <v>53</v>
      </c>
      <c r="B68" s="26" t="s">
        <v>479</v>
      </c>
      <c r="C68" s="26" t="s">
        <v>480</v>
      </c>
      <c r="D68" s="26" t="s">
        <v>218</v>
      </c>
      <c r="E68" s="26" t="s">
        <v>481</v>
      </c>
      <c r="F68" s="26" t="s">
        <v>482</v>
      </c>
      <c r="G68" s="26" t="s">
        <v>265</v>
      </c>
      <c r="H68" s="26" t="s">
        <v>359</v>
      </c>
      <c r="I68" s="26" t="s">
        <v>184</v>
      </c>
      <c r="J68" s="26" t="s">
        <v>322</v>
      </c>
      <c r="K68" s="26" t="s">
        <v>360</v>
      </c>
      <c r="L68" s="26" t="s">
        <v>79</v>
      </c>
      <c r="M68" s="26" t="s">
        <v>77</v>
      </c>
      <c r="N68" s="26">
        <v>44</v>
      </c>
      <c r="O68" s="26">
        <v>23</v>
      </c>
      <c r="P68" s="26">
        <v>21</v>
      </c>
      <c r="Q68" s="26">
        <v>6</v>
      </c>
      <c r="R68" s="26">
        <v>1</v>
      </c>
      <c r="S68" s="26">
        <v>17</v>
      </c>
      <c r="T68" s="26">
        <v>15</v>
      </c>
      <c r="U68" s="26">
        <v>33</v>
      </c>
      <c r="V68" s="26">
        <v>1</v>
      </c>
      <c r="W68" s="26"/>
    </row>
    <row r="69" spans="1:23" x14ac:dyDescent="0.25">
      <c r="A69" s="26" t="s">
        <v>53</v>
      </c>
      <c r="B69" s="26" t="s">
        <v>483</v>
      </c>
      <c r="C69" s="26" t="s">
        <v>484</v>
      </c>
      <c r="D69" s="26" t="s">
        <v>218</v>
      </c>
      <c r="E69" s="26" t="s">
        <v>485</v>
      </c>
      <c r="F69" s="26" t="s">
        <v>486</v>
      </c>
      <c r="G69" s="26" t="s">
        <v>487</v>
      </c>
      <c r="H69" s="26" t="s">
        <v>294</v>
      </c>
      <c r="I69" s="26" t="s">
        <v>184</v>
      </c>
      <c r="J69" s="26" t="s">
        <v>375</v>
      </c>
      <c r="K69" s="26" t="s">
        <v>360</v>
      </c>
      <c r="L69" s="26" t="s">
        <v>79</v>
      </c>
      <c r="M69" s="26" t="s">
        <v>77</v>
      </c>
      <c r="N69" s="26">
        <v>46</v>
      </c>
      <c r="O69" s="26">
        <v>16</v>
      </c>
      <c r="P69" s="26">
        <v>30</v>
      </c>
      <c r="Q69" s="26">
        <v>4</v>
      </c>
      <c r="R69" s="26">
        <v>1</v>
      </c>
      <c r="S69" s="26">
        <v>8</v>
      </c>
      <c r="T69" s="26">
        <v>15</v>
      </c>
      <c r="U69" s="26">
        <v>24</v>
      </c>
      <c r="V69" s="26">
        <v>1</v>
      </c>
      <c r="W69" s="26"/>
    </row>
    <row r="70" spans="1:23" x14ac:dyDescent="0.25">
      <c r="A70" s="26" t="s">
        <v>53</v>
      </c>
      <c r="B70" s="26" t="s">
        <v>488</v>
      </c>
      <c r="C70" s="26" t="s">
        <v>489</v>
      </c>
      <c r="D70" s="26" t="s">
        <v>218</v>
      </c>
      <c r="E70" s="26" t="s">
        <v>490</v>
      </c>
      <c r="F70" s="26" t="s">
        <v>412</v>
      </c>
      <c r="G70" s="26" t="s">
        <v>413</v>
      </c>
      <c r="H70" s="26" t="s">
        <v>414</v>
      </c>
      <c r="I70" s="26" t="s">
        <v>184</v>
      </c>
      <c r="J70" s="26" t="s">
        <v>375</v>
      </c>
      <c r="K70" s="26" t="s">
        <v>360</v>
      </c>
      <c r="L70" s="26" t="s">
        <v>79</v>
      </c>
      <c r="M70" s="26" t="s">
        <v>77</v>
      </c>
      <c r="N70" s="26">
        <v>18</v>
      </c>
      <c r="O70" s="26">
        <v>8</v>
      </c>
      <c r="P70" s="26">
        <v>10</v>
      </c>
      <c r="Q70" s="26">
        <v>2</v>
      </c>
      <c r="R70" s="26">
        <v>1</v>
      </c>
      <c r="S70" s="26">
        <v>3</v>
      </c>
      <c r="T70" s="26">
        <v>15</v>
      </c>
      <c r="U70" s="26">
        <v>19</v>
      </c>
      <c r="V70" s="26">
        <v>1</v>
      </c>
      <c r="W70" s="26"/>
    </row>
    <row r="71" spans="1:23" x14ac:dyDescent="0.25">
      <c r="A71" s="26" t="s">
        <v>53</v>
      </c>
      <c r="B71" s="26" t="s">
        <v>491</v>
      </c>
      <c r="C71" s="26" t="s">
        <v>492</v>
      </c>
      <c r="D71" s="26" t="s">
        <v>179</v>
      </c>
      <c r="E71" s="26" t="s">
        <v>493</v>
      </c>
      <c r="F71" s="26" t="s">
        <v>494</v>
      </c>
      <c r="G71" s="26" t="s">
        <v>413</v>
      </c>
      <c r="H71" s="26" t="s">
        <v>495</v>
      </c>
      <c r="I71" s="26" t="s">
        <v>184</v>
      </c>
      <c r="J71" s="26" t="s">
        <v>375</v>
      </c>
      <c r="K71" s="26" t="s">
        <v>360</v>
      </c>
      <c r="L71" s="26" t="s">
        <v>79</v>
      </c>
      <c r="M71" s="26" t="s">
        <v>77</v>
      </c>
      <c r="N71" s="26">
        <v>25</v>
      </c>
      <c r="O71" s="26">
        <v>16</v>
      </c>
      <c r="P71" s="26">
        <v>9</v>
      </c>
      <c r="Q71" s="26">
        <v>4</v>
      </c>
      <c r="R71" s="26">
        <v>1</v>
      </c>
      <c r="S71" s="26">
        <v>11</v>
      </c>
      <c r="T71" s="26">
        <v>20</v>
      </c>
      <c r="U71" s="26">
        <v>32</v>
      </c>
      <c r="V71" s="26">
        <v>1</v>
      </c>
      <c r="W71" s="26"/>
    </row>
    <row r="72" spans="1:23" x14ac:dyDescent="0.25">
      <c r="A72" s="26" t="s">
        <v>53</v>
      </c>
      <c r="B72" s="26" t="s">
        <v>496</v>
      </c>
      <c r="C72" s="26" t="s">
        <v>497</v>
      </c>
      <c r="D72" s="26" t="s">
        <v>179</v>
      </c>
      <c r="E72" s="26" t="s">
        <v>498</v>
      </c>
      <c r="F72" s="26" t="s">
        <v>457</v>
      </c>
      <c r="G72" s="26" t="s">
        <v>182</v>
      </c>
      <c r="H72" s="26" t="s">
        <v>380</v>
      </c>
      <c r="I72" s="26" t="s">
        <v>184</v>
      </c>
      <c r="J72" s="26" t="s">
        <v>322</v>
      </c>
      <c r="K72" s="26" t="s">
        <v>360</v>
      </c>
      <c r="L72" s="26" t="s">
        <v>79</v>
      </c>
      <c r="M72" s="26" t="s">
        <v>77</v>
      </c>
      <c r="N72" s="26">
        <v>14</v>
      </c>
      <c r="O72" s="26">
        <v>12</v>
      </c>
      <c r="P72" s="26">
        <v>2</v>
      </c>
      <c r="Q72" s="26">
        <v>2</v>
      </c>
      <c r="R72" s="26">
        <v>1</v>
      </c>
      <c r="S72" s="26">
        <v>7</v>
      </c>
      <c r="T72" s="26">
        <v>21</v>
      </c>
      <c r="U72" s="26">
        <v>29</v>
      </c>
      <c r="V72" s="26">
        <v>1</v>
      </c>
      <c r="W72" s="26"/>
    </row>
    <row r="73" spans="1:23" x14ac:dyDescent="0.25">
      <c r="A73" s="26" t="s">
        <v>53</v>
      </c>
      <c r="B73" s="26" t="s">
        <v>499</v>
      </c>
      <c r="C73" s="26" t="s">
        <v>500</v>
      </c>
      <c r="D73" s="26" t="s">
        <v>179</v>
      </c>
      <c r="E73" s="26" t="s">
        <v>501</v>
      </c>
      <c r="F73" s="26" t="s">
        <v>502</v>
      </c>
      <c r="G73" s="26" t="s">
        <v>293</v>
      </c>
      <c r="H73" s="26" t="s">
        <v>351</v>
      </c>
      <c r="I73" s="26" t="s">
        <v>184</v>
      </c>
      <c r="J73" s="26" t="s">
        <v>503</v>
      </c>
      <c r="K73" s="26" t="s">
        <v>296</v>
      </c>
      <c r="L73" s="26" t="s">
        <v>80</v>
      </c>
      <c r="M73" s="26" t="s">
        <v>77</v>
      </c>
      <c r="N73" s="26">
        <v>0</v>
      </c>
      <c r="O73" s="26">
        <v>0</v>
      </c>
      <c r="P73" s="26">
        <v>0</v>
      </c>
      <c r="Q73" s="26">
        <v>0</v>
      </c>
      <c r="R73" s="26">
        <v>1</v>
      </c>
      <c r="S73" s="26">
        <v>0</v>
      </c>
      <c r="T73" s="26">
        <v>6</v>
      </c>
      <c r="U73" s="26">
        <v>7</v>
      </c>
      <c r="V73" s="26">
        <v>1</v>
      </c>
      <c r="W73" s="26"/>
    </row>
    <row r="74" spans="1:23" x14ac:dyDescent="0.25">
      <c r="A74" s="26" t="s">
        <v>53</v>
      </c>
      <c r="B74" s="26" t="s">
        <v>504</v>
      </c>
      <c r="C74" s="26" t="s">
        <v>505</v>
      </c>
      <c r="D74" s="26" t="s">
        <v>218</v>
      </c>
      <c r="E74" s="26" t="s">
        <v>506</v>
      </c>
      <c r="F74" s="26" t="s">
        <v>507</v>
      </c>
      <c r="G74" s="26" t="s">
        <v>265</v>
      </c>
      <c r="H74" s="26" t="s">
        <v>508</v>
      </c>
      <c r="I74" s="26" t="s">
        <v>184</v>
      </c>
      <c r="J74" s="26" t="s">
        <v>322</v>
      </c>
      <c r="K74" s="26" t="s">
        <v>381</v>
      </c>
      <c r="L74" s="26" t="s">
        <v>79</v>
      </c>
      <c r="M74" s="26" t="s">
        <v>77</v>
      </c>
      <c r="N74" s="26">
        <v>132</v>
      </c>
      <c r="O74" s="26">
        <v>72</v>
      </c>
      <c r="P74" s="26">
        <v>60</v>
      </c>
      <c r="Q74" s="26">
        <v>6</v>
      </c>
      <c r="R74" s="26">
        <v>1</v>
      </c>
      <c r="S74" s="26">
        <v>35</v>
      </c>
      <c r="T74" s="26">
        <v>39</v>
      </c>
      <c r="U74" s="26">
        <v>75</v>
      </c>
      <c r="V74" s="26">
        <v>1</v>
      </c>
      <c r="W74" s="26"/>
    </row>
    <row r="75" spans="1:23" x14ac:dyDescent="0.25">
      <c r="A75" s="26" t="s">
        <v>53</v>
      </c>
      <c r="B75" s="26" t="s">
        <v>509</v>
      </c>
      <c r="C75" s="26" t="s">
        <v>510</v>
      </c>
      <c r="D75" s="26" t="s">
        <v>179</v>
      </c>
      <c r="E75" s="26" t="s">
        <v>511</v>
      </c>
      <c r="F75" s="26" t="s">
        <v>247</v>
      </c>
      <c r="G75" s="26" t="s">
        <v>198</v>
      </c>
      <c r="H75" s="26" t="s">
        <v>403</v>
      </c>
      <c r="I75" s="26" t="s">
        <v>184</v>
      </c>
      <c r="J75" s="26" t="s">
        <v>375</v>
      </c>
      <c r="K75" s="26" t="s">
        <v>381</v>
      </c>
      <c r="L75" s="26" t="s">
        <v>79</v>
      </c>
      <c r="M75" s="26" t="s">
        <v>77</v>
      </c>
      <c r="N75" s="26">
        <v>9</v>
      </c>
      <c r="O75" s="26">
        <v>6</v>
      </c>
      <c r="P75" s="26">
        <v>3</v>
      </c>
      <c r="Q75" s="26">
        <v>2</v>
      </c>
      <c r="R75" s="26">
        <v>1</v>
      </c>
      <c r="S75" s="26">
        <v>10</v>
      </c>
      <c r="T75" s="26">
        <v>16</v>
      </c>
      <c r="U75" s="26">
        <v>27</v>
      </c>
      <c r="V75" s="26">
        <v>1</v>
      </c>
      <c r="W75" s="26"/>
    </row>
    <row r="76" spans="1:23" x14ac:dyDescent="0.25">
      <c r="A76" s="26" t="s">
        <v>53</v>
      </c>
      <c r="B76" s="26" t="s">
        <v>512</v>
      </c>
      <c r="C76" s="26" t="s">
        <v>513</v>
      </c>
      <c r="D76" s="26" t="s">
        <v>179</v>
      </c>
      <c r="E76" s="26" t="s">
        <v>514</v>
      </c>
      <c r="F76" s="26" t="s">
        <v>247</v>
      </c>
      <c r="G76" s="26" t="s">
        <v>198</v>
      </c>
      <c r="H76" s="26" t="s">
        <v>386</v>
      </c>
      <c r="I76" s="26" t="s">
        <v>184</v>
      </c>
      <c r="J76" s="26" t="s">
        <v>375</v>
      </c>
      <c r="K76" s="26" t="s">
        <v>360</v>
      </c>
      <c r="L76" s="26" t="s">
        <v>79</v>
      </c>
      <c r="M76" s="26" t="s">
        <v>77</v>
      </c>
      <c r="N76" s="26">
        <v>24</v>
      </c>
      <c r="O76" s="26">
        <v>7</v>
      </c>
      <c r="P76" s="26">
        <v>17</v>
      </c>
      <c r="Q76" s="26">
        <v>4</v>
      </c>
      <c r="R76" s="26">
        <v>1</v>
      </c>
      <c r="S76" s="26">
        <v>7</v>
      </c>
      <c r="T76" s="26">
        <v>25</v>
      </c>
      <c r="U76" s="26">
        <v>33</v>
      </c>
      <c r="V76" s="26">
        <v>1</v>
      </c>
      <c r="W76" s="26"/>
    </row>
    <row r="77" spans="1:23" x14ac:dyDescent="0.25">
      <c r="A77" s="26" t="s">
        <v>53</v>
      </c>
      <c r="B77" s="26" t="s">
        <v>515</v>
      </c>
      <c r="C77" s="26" t="s">
        <v>516</v>
      </c>
      <c r="D77" s="26" t="s">
        <v>218</v>
      </c>
      <c r="E77" s="26" t="s">
        <v>517</v>
      </c>
      <c r="F77" s="26" t="s">
        <v>425</v>
      </c>
      <c r="G77" s="26" t="s">
        <v>191</v>
      </c>
      <c r="H77" s="26" t="s">
        <v>518</v>
      </c>
      <c r="I77" s="26" t="s">
        <v>184</v>
      </c>
      <c r="J77" s="26" t="s">
        <v>427</v>
      </c>
      <c r="K77" s="26" t="s">
        <v>381</v>
      </c>
      <c r="L77" s="26" t="s">
        <v>79</v>
      </c>
      <c r="M77" s="26" t="s">
        <v>77</v>
      </c>
      <c r="N77" s="26">
        <v>35</v>
      </c>
      <c r="O77" s="26">
        <v>14</v>
      </c>
      <c r="P77" s="26">
        <v>21</v>
      </c>
      <c r="Q77" s="26">
        <v>4</v>
      </c>
      <c r="R77" s="26">
        <v>1</v>
      </c>
      <c r="S77" s="26">
        <v>16</v>
      </c>
      <c r="T77" s="26">
        <v>15</v>
      </c>
      <c r="U77" s="26">
        <v>32</v>
      </c>
      <c r="V77" s="26">
        <v>1</v>
      </c>
      <c r="W77" s="26"/>
    </row>
    <row r="78" spans="1:23" x14ac:dyDescent="0.25">
      <c r="A78" s="26" t="s">
        <v>53</v>
      </c>
      <c r="B78" s="26" t="s">
        <v>519</v>
      </c>
      <c r="C78" s="26" t="s">
        <v>520</v>
      </c>
      <c r="D78" s="26" t="s">
        <v>179</v>
      </c>
      <c r="E78" s="26" t="s">
        <v>521</v>
      </c>
      <c r="F78" s="26" t="s">
        <v>522</v>
      </c>
      <c r="G78" s="26" t="s">
        <v>204</v>
      </c>
      <c r="H78" s="26" t="s">
        <v>523</v>
      </c>
      <c r="I78" s="26" t="s">
        <v>184</v>
      </c>
      <c r="J78" s="26" t="s">
        <v>322</v>
      </c>
      <c r="K78" s="26" t="s">
        <v>360</v>
      </c>
      <c r="L78" s="26" t="s">
        <v>79</v>
      </c>
      <c r="M78" s="26" t="s">
        <v>77</v>
      </c>
      <c r="N78" s="26">
        <v>52</v>
      </c>
      <c r="O78" s="26">
        <v>30</v>
      </c>
      <c r="P78" s="26">
        <v>22</v>
      </c>
      <c r="Q78" s="26">
        <v>2</v>
      </c>
      <c r="R78" s="26">
        <v>1</v>
      </c>
      <c r="S78" s="26">
        <v>11</v>
      </c>
      <c r="T78" s="26">
        <v>23</v>
      </c>
      <c r="U78" s="26">
        <v>35</v>
      </c>
      <c r="V78" s="26">
        <v>1</v>
      </c>
      <c r="W78" s="26"/>
    </row>
    <row r="79" spans="1:23" x14ac:dyDescent="0.25">
      <c r="A79" s="26" t="s">
        <v>53</v>
      </c>
      <c r="B79" s="26" t="s">
        <v>524</v>
      </c>
      <c r="C79" s="26" t="s">
        <v>525</v>
      </c>
      <c r="D79" s="26" t="s">
        <v>218</v>
      </c>
      <c r="E79" s="26" t="s">
        <v>1</v>
      </c>
      <c r="F79" s="26" t="s">
        <v>444</v>
      </c>
      <c r="G79" s="26" t="s">
        <v>265</v>
      </c>
      <c r="H79" s="26" t="s">
        <v>526</v>
      </c>
      <c r="I79" s="26" t="s">
        <v>184</v>
      </c>
      <c r="J79" s="26" t="s">
        <v>322</v>
      </c>
      <c r="K79" s="26" t="s">
        <v>360</v>
      </c>
      <c r="L79" s="26" t="s">
        <v>79</v>
      </c>
      <c r="M79" s="26" t="s">
        <v>77</v>
      </c>
      <c r="N79" s="26">
        <v>110</v>
      </c>
      <c r="O79" s="26">
        <v>59</v>
      </c>
      <c r="P79" s="26">
        <v>51</v>
      </c>
      <c r="Q79" s="26">
        <v>5</v>
      </c>
      <c r="R79" s="26">
        <v>1</v>
      </c>
      <c r="S79" s="26">
        <v>20</v>
      </c>
      <c r="T79" s="26">
        <v>26</v>
      </c>
      <c r="U79" s="26">
        <v>47</v>
      </c>
      <c r="V79" s="26">
        <v>1</v>
      </c>
      <c r="W79" s="26"/>
    </row>
    <row r="80" spans="1:23" x14ac:dyDescent="0.25">
      <c r="A80" s="26" t="s">
        <v>53</v>
      </c>
      <c r="B80" s="26" t="s">
        <v>527</v>
      </c>
      <c r="C80" s="26" t="s">
        <v>528</v>
      </c>
      <c r="D80" s="26" t="s">
        <v>218</v>
      </c>
      <c r="E80" s="26" t="s">
        <v>529</v>
      </c>
      <c r="F80" s="26" t="s">
        <v>530</v>
      </c>
      <c r="G80" s="26" t="s">
        <v>265</v>
      </c>
      <c r="H80" s="26" t="s">
        <v>359</v>
      </c>
      <c r="I80" s="26" t="s">
        <v>184</v>
      </c>
      <c r="J80" s="26" t="s">
        <v>322</v>
      </c>
      <c r="K80" s="26" t="s">
        <v>360</v>
      </c>
      <c r="L80" s="26" t="s">
        <v>79</v>
      </c>
      <c r="M80" s="26" t="s">
        <v>77</v>
      </c>
      <c r="N80" s="26">
        <v>31</v>
      </c>
      <c r="O80" s="26">
        <v>16</v>
      </c>
      <c r="P80" s="26">
        <v>15</v>
      </c>
      <c r="Q80" s="26">
        <v>20</v>
      </c>
      <c r="R80" s="26">
        <v>1</v>
      </c>
      <c r="S80" s="26">
        <v>11</v>
      </c>
      <c r="T80" s="26">
        <v>21</v>
      </c>
      <c r="U80" s="26">
        <v>33</v>
      </c>
      <c r="V80" s="26">
        <v>1</v>
      </c>
      <c r="W80" s="26"/>
    </row>
    <row r="81" spans="1:23" x14ac:dyDescent="0.25">
      <c r="A81" s="26" t="s">
        <v>53</v>
      </c>
      <c r="B81" s="26" t="s">
        <v>531</v>
      </c>
      <c r="C81" s="26" t="s">
        <v>532</v>
      </c>
      <c r="D81" s="26" t="s">
        <v>179</v>
      </c>
      <c r="E81" s="26" t="s">
        <v>533</v>
      </c>
      <c r="F81" s="26" t="s">
        <v>457</v>
      </c>
      <c r="G81" s="26" t="s">
        <v>182</v>
      </c>
      <c r="H81" s="26" t="s">
        <v>380</v>
      </c>
      <c r="I81" s="26" t="s">
        <v>184</v>
      </c>
      <c r="J81" s="26" t="s">
        <v>322</v>
      </c>
      <c r="K81" s="26" t="s">
        <v>360</v>
      </c>
      <c r="L81" s="26" t="s">
        <v>79</v>
      </c>
      <c r="M81" s="26" t="s">
        <v>77</v>
      </c>
      <c r="N81" s="26">
        <v>37</v>
      </c>
      <c r="O81" s="26">
        <v>15</v>
      </c>
      <c r="P81" s="26">
        <v>22</v>
      </c>
      <c r="Q81" s="26">
        <v>3</v>
      </c>
      <c r="R81" s="26">
        <v>1</v>
      </c>
      <c r="S81" s="26">
        <v>11</v>
      </c>
      <c r="T81" s="26">
        <v>25</v>
      </c>
      <c r="U81" s="26">
        <v>37</v>
      </c>
      <c r="V81" s="26">
        <v>1</v>
      </c>
      <c r="W81" s="26"/>
    </row>
    <row r="82" spans="1:23" x14ac:dyDescent="0.25">
      <c r="A82" s="26" t="s">
        <v>53</v>
      </c>
      <c r="B82" s="26" t="s">
        <v>534</v>
      </c>
      <c r="C82" s="26" t="s">
        <v>535</v>
      </c>
      <c r="D82" s="26" t="s">
        <v>218</v>
      </c>
      <c r="E82" s="26" t="s">
        <v>536</v>
      </c>
      <c r="F82" s="26" t="s">
        <v>537</v>
      </c>
      <c r="G82" s="26" t="s">
        <v>226</v>
      </c>
      <c r="H82" s="26" t="s">
        <v>538</v>
      </c>
      <c r="I82" s="26" t="s">
        <v>184</v>
      </c>
      <c r="J82" s="26" t="s">
        <v>427</v>
      </c>
      <c r="K82" s="26" t="s">
        <v>360</v>
      </c>
      <c r="L82" s="26" t="s">
        <v>79</v>
      </c>
      <c r="M82" s="26" t="s">
        <v>77</v>
      </c>
      <c r="N82" s="26">
        <v>43</v>
      </c>
      <c r="O82" s="26">
        <v>26</v>
      </c>
      <c r="P82" s="26">
        <v>17</v>
      </c>
      <c r="Q82" s="26">
        <v>5</v>
      </c>
      <c r="R82" s="26">
        <v>1</v>
      </c>
      <c r="S82" s="26">
        <v>15</v>
      </c>
      <c r="T82" s="26">
        <v>27</v>
      </c>
      <c r="U82" s="26">
        <v>43</v>
      </c>
      <c r="V82" s="26">
        <v>1</v>
      </c>
      <c r="W82" s="26"/>
    </row>
    <row r="83" spans="1:23" x14ac:dyDescent="0.25">
      <c r="A83" s="26" t="s">
        <v>53</v>
      </c>
      <c r="B83" s="26" t="s">
        <v>539</v>
      </c>
      <c r="C83" s="26" t="s">
        <v>540</v>
      </c>
      <c r="D83" s="26" t="s">
        <v>218</v>
      </c>
      <c r="E83" s="26" t="s">
        <v>541</v>
      </c>
      <c r="F83" s="26" t="s">
        <v>389</v>
      </c>
      <c r="G83" s="26" t="s">
        <v>182</v>
      </c>
      <c r="H83" s="26" t="s">
        <v>390</v>
      </c>
      <c r="I83" s="26" t="s">
        <v>184</v>
      </c>
      <c r="J83" s="26" t="s">
        <v>322</v>
      </c>
      <c r="K83" s="26" t="s">
        <v>360</v>
      </c>
      <c r="L83" s="26" t="s">
        <v>79</v>
      </c>
      <c r="M83" s="26" t="s">
        <v>77</v>
      </c>
      <c r="N83" s="26">
        <v>0</v>
      </c>
      <c r="O83" s="26">
        <v>0</v>
      </c>
      <c r="P83" s="26">
        <v>0</v>
      </c>
      <c r="Q83" s="26">
        <v>0</v>
      </c>
      <c r="R83" s="26">
        <v>1</v>
      </c>
      <c r="S83" s="26">
        <v>0</v>
      </c>
      <c r="T83" s="26">
        <v>25</v>
      </c>
      <c r="U83" s="26">
        <v>26</v>
      </c>
      <c r="V83" s="26">
        <v>1</v>
      </c>
      <c r="W83" s="26"/>
    </row>
    <row r="84" spans="1:23" x14ac:dyDescent="0.25">
      <c r="A84" s="26" t="s">
        <v>53</v>
      </c>
      <c r="B84" s="26" t="s">
        <v>542</v>
      </c>
      <c r="C84" s="26" t="s">
        <v>543</v>
      </c>
      <c r="D84" s="26" t="s">
        <v>218</v>
      </c>
      <c r="E84" s="26" t="s">
        <v>544</v>
      </c>
      <c r="F84" s="26" t="s">
        <v>545</v>
      </c>
      <c r="G84" s="26" t="s">
        <v>413</v>
      </c>
      <c r="H84" s="26" t="s">
        <v>436</v>
      </c>
      <c r="I84" s="26" t="s">
        <v>184</v>
      </c>
      <c r="J84" s="26" t="s">
        <v>375</v>
      </c>
      <c r="K84" s="26" t="s">
        <v>360</v>
      </c>
      <c r="L84" s="26" t="s">
        <v>79</v>
      </c>
      <c r="M84" s="26" t="s">
        <v>77</v>
      </c>
      <c r="N84" s="26">
        <v>154</v>
      </c>
      <c r="O84" s="26">
        <v>86</v>
      </c>
      <c r="P84" s="26">
        <v>68</v>
      </c>
      <c r="Q84" s="26">
        <v>6</v>
      </c>
      <c r="R84" s="26">
        <v>1</v>
      </c>
      <c r="S84" s="26">
        <v>48</v>
      </c>
      <c r="T84" s="26">
        <v>22</v>
      </c>
      <c r="U84" s="26">
        <v>71</v>
      </c>
      <c r="V84" s="26">
        <v>1</v>
      </c>
      <c r="W84" s="26"/>
    </row>
    <row r="85" spans="1:23" x14ac:dyDescent="0.25">
      <c r="A85" s="26" t="s">
        <v>53</v>
      </c>
      <c r="B85" s="26" t="s">
        <v>546</v>
      </c>
      <c r="C85" s="26" t="s">
        <v>547</v>
      </c>
      <c r="D85" s="26" t="s">
        <v>218</v>
      </c>
      <c r="E85" s="26" t="s">
        <v>548</v>
      </c>
      <c r="F85" s="26" t="s">
        <v>300</v>
      </c>
      <c r="G85" s="26" t="s">
        <v>198</v>
      </c>
      <c r="H85" s="26" t="s">
        <v>374</v>
      </c>
      <c r="I85" s="26" t="s">
        <v>184</v>
      </c>
      <c r="J85" s="26" t="s">
        <v>375</v>
      </c>
      <c r="K85" s="26" t="s">
        <v>360</v>
      </c>
      <c r="L85" s="26" t="s">
        <v>79</v>
      </c>
      <c r="M85" s="26" t="s">
        <v>77</v>
      </c>
      <c r="N85" s="26">
        <v>231</v>
      </c>
      <c r="O85" s="26">
        <v>129</v>
      </c>
      <c r="P85" s="26">
        <v>102</v>
      </c>
      <c r="Q85" s="26">
        <v>6</v>
      </c>
      <c r="R85" s="26">
        <v>1</v>
      </c>
      <c r="S85" s="26">
        <v>62</v>
      </c>
      <c r="T85" s="26">
        <v>11</v>
      </c>
      <c r="U85" s="26">
        <v>74</v>
      </c>
      <c r="V85" s="26">
        <v>1</v>
      </c>
      <c r="W85" s="26"/>
    </row>
    <row r="86" spans="1:23" x14ac:dyDescent="0.25">
      <c r="A86" s="26" t="s">
        <v>53</v>
      </c>
      <c r="B86" s="26" t="s">
        <v>549</v>
      </c>
      <c r="C86" s="26" t="s">
        <v>550</v>
      </c>
      <c r="D86" s="26" t="s">
        <v>218</v>
      </c>
      <c r="E86" s="26" t="s">
        <v>551</v>
      </c>
      <c r="F86" s="26" t="s">
        <v>530</v>
      </c>
      <c r="G86" s="26" t="s">
        <v>265</v>
      </c>
      <c r="H86" s="26" t="s">
        <v>359</v>
      </c>
      <c r="I86" s="26" t="s">
        <v>184</v>
      </c>
      <c r="J86" s="26" t="s">
        <v>322</v>
      </c>
      <c r="K86" s="26" t="s">
        <v>360</v>
      </c>
      <c r="L86" s="26" t="s">
        <v>79</v>
      </c>
      <c r="M86" s="26" t="s">
        <v>77</v>
      </c>
      <c r="N86" s="26">
        <v>149</v>
      </c>
      <c r="O86" s="26">
        <v>74</v>
      </c>
      <c r="P86" s="26">
        <v>75</v>
      </c>
      <c r="Q86" s="26">
        <v>6</v>
      </c>
      <c r="R86" s="26">
        <v>1</v>
      </c>
      <c r="S86" s="26">
        <v>43</v>
      </c>
      <c r="T86" s="26">
        <v>22</v>
      </c>
      <c r="U86" s="26">
        <v>66</v>
      </c>
      <c r="V86" s="26">
        <v>1</v>
      </c>
      <c r="W86" s="26"/>
    </row>
    <row r="87" spans="1:23" x14ac:dyDescent="0.25">
      <c r="A87" s="26" t="s">
        <v>53</v>
      </c>
      <c r="B87" s="26" t="s">
        <v>552</v>
      </c>
      <c r="C87" s="26" t="s">
        <v>553</v>
      </c>
      <c r="D87" s="26" t="s">
        <v>218</v>
      </c>
      <c r="E87" s="26" t="s">
        <v>554</v>
      </c>
      <c r="F87" s="26" t="s">
        <v>555</v>
      </c>
      <c r="G87" s="26" t="s">
        <v>191</v>
      </c>
      <c r="H87" s="26" t="s">
        <v>426</v>
      </c>
      <c r="I87" s="26" t="s">
        <v>184</v>
      </c>
      <c r="J87" s="26" t="s">
        <v>427</v>
      </c>
      <c r="K87" s="26" t="s">
        <v>360</v>
      </c>
      <c r="L87" s="26" t="s">
        <v>79</v>
      </c>
      <c r="M87" s="26" t="s">
        <v>77</v>
      </c>
      <c r="N87" s="26">
        <v>142</v>
      </c>
      <c r="O87" s="26">
        <v>66</v>
      </c>
      <c r="P87" s="26">
        <v>76</v>
      </c>
      <c r="Q87" s="26">
        <v>6</v>
      </c>
      <c r="R87" s="26">
        <v>1</v>
      </c>
      <c r="S87" s="26">
        <v>47</v>
      </c>
      <c r="T87" s="26">
        <v>14</v>
      </c>
      <c r="U87" s="26">
        <v>62</v>
      </c>
      <c r="V87" s="26">
        <v>1</v>
      </c>
      <c r="W87" s="26"/>
    </row>
    <row r="88" spans="1:23" x14ac:dyDescent="0.25">
      <c r="A88" s="26" t="s">
        <v>53</v>
      </c>
      <c r="B88" s="26" t="s">
        <v>556</v>
      </c>
      <c r="C88" s="26" t="s">
        <v>557</v>
      </c>
      <c r="D88" s="26" t="s">
        <v>218</v>
      </c>
      <c r="E88" s="26" t="s">
        <v>558</v>
      </c>
      <c r="F88" s="26" t="s">
        <v>559</v>
      </c>
      <c r="G88" s="26" t="s">
        <v>210</v>
      </c>
      <c r="H88" s="26" t="s">
        <v>365</v>
      </c>
      <c r="I88" s="26" t="s">
        <v>184</v>
      </c>
      <c r="J88" s="26" t="s">
        <v>322</v>
      </c>
      <c r="K88" s="26" t="s">
        <v>360</v>
      </c>
      <c r="L88" s="26" t="s">
        <v>79</v>
      </c>
      <c r="M88" s="26" t="s">
        <v>77</v>
      </c>
      <c r="N88" s="26">
        <v>202</v>
      </c>
      <c r="O88" s="26">
        <v>115</v>
      </c>
      <c r="P88" s="26">
        <v>87</v>
      </c>
      <c r="Q88" s="26">
        <v>6</v>
      </c>
      <c r="R88" s="26">
        <v>1</v>
      </c>
      <c r="S88" s="26">
        <v>70</v>
      </c>
      <c r="T88" s="26">
        <v>24</v>
      </c>
      <c r="U88" s="26">
        <v>95</v>
      </c>
      <c r="V88" s="26">
        <v>1</v>
      </c>
      <c r="W88" s="26"/>
    </row>
    <row r="89" spans="1:23" x14ac:dyDescent="0.25">
      <c r="A89" s="26" t="s">
        <v>53</v>
      </c>
      <c r="B89" s="26" t="s">
        <v>560</v>
      </c>
      <c r="C89" s="26" t="s">
        <v>561</v>
      </c>
      <c r="D89" s="26" t="s">
        <v>218</v>
      </c>
      <c r="E89" s="26" t="s">
        <v>562</v>
      </c>
      <c r="F89" s="26" t="s">
        <v>273</v>
      </c>
      <c r="G89" s="26" t="s">
        <v>182</v>
      </c>
      <c r="H89" s="26" t="s">
        <v>563</v>
      </c>
      <c r="I89" s="26" t="s">
        <v>184</v>
      </c>
      <c r="J89" s="26" t="s">
        <v>322</v>
      </c>
      <c r="K89" s="26" t="s">
        <v>360</v>
      </c>
      <c r="L89" s="26" t="s">
        <v>79</v>
      </c>
      <c r="M89" s="26" t="s">
        <v>77</v>
      </c>
      <c r="N89" s="26">
        <v>92</v>
      </c>
      <c r="O89" s="26">
        <v>45</v>
      </c>
      <c r="P89" s="26">
        <v>47</v>
      </c>
      <c r="Q89" s="26">
        <v>6</v>
      </c>
      <c r="R89" s="26">
        <v>1</v>
      </c>
      <c r="S89" s="26">
        <v>115</v>
      </c>
      <c r="T89" s="26">
        <v>22</v>
      </c>
      <c r="U89" s="26">
        <v>138</v>
      </c>
      <c r="V89" s="26">
        <v>1</v>
      </c>
      <c r="W89" s="26"/>
    </row>
    <row r="90" spans="1:23" x14ac:dyDescent="0.25">
      <c r="A90" s="26" t="s">
        <v>53</v>
      </c>
      <c r="B90" s="26" t="s">
        <v>564</v>
      </c>
      <c r="C90" s="26" t="s">
        <v>565</v>
      </c>
      <c r="D90" s="26" t="s">
        <v>218</v>
      </c>
      <c r="E90" s="26" t="s">
        <v>562</v>
      </c>
      <c r="F90" s="26" t="s">
        <v>273</v>
      </c>
      <c r="G90" s="26" t="s">
        <v>182</v>
      </c>
      <c r="H90" s="26" t="s">
        <v>563</v>
      </c>
      <c r="I90" s="26" t="s">
        <v>184</v>
      </c>
      <c r="J90" s="26" t="s">
        <v>322</v>
      </c>
      <c r="K90" s="26" t="s">
        <v>360</v>
      </c>
      <c r="L90" s="26" t="s">
        <v>79</v>
      </c>
      <c r="M90" s="26" t="s">
        <v>77</v>
      </c>
      <c r="N90" s="26">
        <v>92</v>
      </c>
      <c r="O90" s="26">
        <v>42</v>
      </c>
      <c r="P90" s="26">
        <v>50</v>
      </c>
      <c r="Q90" s="26">
        <v>6</v>
      </c>
      <c r="R90" s="26">
        <v>1</v>
      </c>
      <c r="S90" s="26">
        <v>42</v>
      </c>
      <c r="T90" s="26">
        <v>19</v>
      </c>
      <c r="U90" s="26">
        <v>62</v>
      </c>
      <c r="V90" s="26">
        <v>1</v>
      </c>
      <c r="W90" s="26"/>
    </row>
    <row r="91" spans="1:23" x14ac:dyDescent="0.25">
      <c r="A91" s="26" t="s">
        <v>53</v>
      </c>
      <c r="B91" s="26" t="s">
        <v>566</v>
      </c>
      <c r="C91" s="26" t="s">
        <v>567</v>
      </c>
      <c r="D91" s="26" t="s">
        <v>218</v>
      </c>
      <c r="E91" s="26" t="s">
        <v>568</v>
      </c>
      <c r="F91" s="26" t="s">
        <v>569</v>
      </c>
      <c r="G91" s="26" t="s">
        <v>210</v>
      </c>
      <c r="H91" s="26" t="s">
        <v>570</v>
      </c>
      <c r="I91" s="26" t="s">
        <v>184</v>
      </c>
      <c r="J91" s="26" t="s">
        <v>322</v>
      </c>
      <c r="K91" s="26" t="s">
        <v>360</v>
      </c>
      <c r="L91" s="26" t="s">
        <v>79</v>
      </c>
      <c r="M91" s="26" t="s">
        <v>77</v>
      </c>
      <c r="N91" s="26">
        <v>139</v>
      </c>
      <c r="O91" s="26">
        <v>76</v>
      </c>
      <c r="P91" s="26">
        <v>63</v>
      </c>
      <c r="Q91" s="26">
        <v>6</v>
      </c>
      <c r="R91" s="26">
        <v>1</v>
      </c>
      <c r="S91" s="26">
        <v>46</v>
      </c>
      <c r="T91" s="26">
        <v>21</v>
      </c>
      <c r="U91" s="26">
        <v>68</v>
      </c>
      <c r="V91" s="26">
        <v>1</v>
      </c>
      <c r="W91" s="26"/>
    </row>
    <row r="92" spans="1:23" x14ac:dyDescent="0.25">
      <c r="A92" s="26" t="s">
        <v>53</v>
      </c>
      <c r="B92" s="26" t="s">
        <v>571</v>
      </c>
      <c r="C92" s="26" t="s">
        <v>572</v>
      </c>
      <c r="D92" s="26" t="s">
        <v>218</v>
      </c>
      <c r="E92" s="26" t="s">
        <v>573</v>
      </c>
      <c r="F92" s="26" t="s">
        <v>486</v>
      </c>
      <c r="G92" s="26" t="s">
        <v>487</v>
      </c>
      <c r="H92" s="26" t="s">
        <v>301</v>
      </c>
      <c r="I92" s="26" t="s">
        <v>184</v>
      </c>
      <c r="J92" s="26" t="s">
        <v>375</v>
      </c>
      <c r="K92" s="26" t="s">
        <v>360</v>
      </c>
      <c r="L92" s="26" t="s">
        <v>79</v>
      </c>
      <c r="M92" s="26" t="s">
        <v>77</v>
      </c>
      <c r="N92" s="26">
        <v>89</v>
      </c>
      <c r="O92" s="26">
        <v>46</v>
      </c>
      <c r="P92" s="26">
        <v>43</v>
      </c>
      <c r="Q92" s="26">
        <v>6</v>
      </c>
      <c r="R92" s="26">
        <v>1</v>
      </c>
      <c r="S92" s="26">
        <v>28</v>
      </c>
      <c r="T92" s="26">
        <v>17</v>
      </c>
      <c r="U92" s="26">
        <v>46</v>
      </c>
      <c r="V92" s="26">
        <v>1</v>
      </c>
      <c r="W92" s="26"/>
    </row>
    <row r="93" spans="1:23" x14ac:dyDescent="0.25">
      <c r="A93" s="26" t="s">
        <v>53</v>
      </c>
      <c r="B93" s="26" t="s">
        <v>574</v>
      </c>
      <c r="C93" s="26" t="s">
        <v>575</v>
      </c>
      <c r="D93" s="26" t="s">
        <v>218</v>
      </c>
      <c r="E93" s="26" t="s">
        <v>576</v>
      </c>
      <c r="F93" s="26" t="s">
        <v>577</v>
      </c>
      <c r="G93" s="26" t="s">
        <v>278</v>
      </c>
      <c r="H93" s="26" t="s">
        <v>578</v>
      </c>
      <c r="I93" s="26" t="s">
        <v>184</v>
      </c>
      <c r="J93" s="26" t="s">
        <v>375</v>
      </c>
      <c r="K93" s="26" t="s">
        <v>360</v>
      </c>
      <c r="L93" s="26" t="s">
        <v>79</v>
      </c>
      <c r="M93" s="26" t="s">
        <v>77</v>
      </c>
      <c r="N93" s="26">
        <v>143</v>
      </c>
      <c r="O93" s="26">
        <v>58</v>
      </c>
      <c r="P93" s="26">
        <v>85</v>
      </c>
      <c r="Q93" s="26">
        <v>6</v>
      </c>
      <c r="R93" s="26">
        <v>1</v>
      </c>
      <c r="S93" s="26">
        <v>51</v>
      </c>
      <c r="T93" s="26">
        <v>23</v>
      </c>
      <c r="U93" s="26">
        <v>75</v>
      </c>
      <c r="V93" s="26">
        <v>1</v>
      </c>
      <c r="W93" s="26"/>
    </row>
    <row r="94" spans="1:23" x14ac:dyDescent="0.25">
      <c r="A94" s="26" t="s">
        <v>53</v>
      </c>
      <c r="B94" s="26" t="s">
        <v>579</v>
      </c>
      <c r="C94" s="26" t="s">
        <v>580</v>
      </c>
      <c r="D94" s="26" t="s">
        <v>218</v>
      </c>
      <c r="E94" s="26" t="s">
        <v>581</v>
      </c>
      <c r="F94" s="26" t="s">
        <v>582</v>
      </c>
      <c r="G94" s="26" t="s">
        <v>265</v>
      </c>
      <c r="H94" s="26" t="s">
        <v>321</v>
      </c>
      <c r="I94" s="26" t="s">
        <v>184</v>
      </c>
      <c r="J94" s="26" t="s">
        <v>322</v>
      </c>
      <c r="K94" s="26" t="s">
        <v>360</v>
      </c>
      <c r="L94" s="26" t="s">
        <v>79</v>
      </c>
      <c r="M94" s="26" t="s">
        <v>77</v>
      </c>
      <c r="N94" s="26">
        <v>149</v>
      </c>
      <c r="O94" s="26">
        <v>77</v>
      </c>
      <c r="P94" s="26">
        <v>72</v>
      </c>
      <c r="Q94" s="26">
        <v>6</v>
      </c>
      <c r="R94" s="26">
        <v>1</v>
      </c>
      <c r="S94" s="26">
        <v>48</v>
      </c>
      <c r="T94" s="26">
        <v>22</v>
      </c>
      <c r="U94" s="26">
        <v>71</v>
      </c>
      <c r="V94" s="26">
        <v>1</v>
      </c>
      <c r="W94" s="26"/>
    </row>
    <row r="95" spans="1:23" x14ac:dyDescent="0.25">
      <c r="A95" s="26" t="s">
        <v>53</v>
      </c>
      <c r="B95" s="26" t="s">
        <v>583</v>
      </c>
      <c r="C95" s="26" t="s">
        <v>584</v>
      </c>
      <c r="D95" s="26" t="s">
        <v>218</v>
      </c>
      <c r="E95" s="26" t="s">
        <v>585</v>
      </c>
      <c r="F95" s="26" t="s">
        <v>586</v>
      </c>
      <c r="G95" s="26" t="s">
        <v>226</v>
      </c>
      <c r="H95" s="26" t="s">
        <v>538</v>
      </c>
      <c r="I95" s="26" t="s">
        <v>184</v>
      </c>
      <c r="J95" s="26" t="s">
        <v>427</v>
      </c>
      <c r="K95" s="26" t="s">
        <v>360</v>
      </c>
      <c r="L95" s="26" t="s">
        <v>79</v>
      </c>
      <c r="M95" s="26" t="s">
        <v>77</v>
      </c>
      <c r="N95" s="26">
        <v>155</v>
      </c>
      <c r="O95" s="26">
        <v>81</v>
      </c>
      <c r="P95" s="26">
        <v>74</v>
      </c>
      <c r="Q95" s="26">
        <v>6</v>
      </c>
      <c r="R95" s="26">
        <v>1</v>
      </c>
      <c r="S95" s="26">
        <v>37</v>
      </c>
      <c r="T95" s="26">
        <v>23</v>
      </c>
      <c r="U95" s="26">
        <v>61</v>
      </c>
      <c r="V95" s="26">
        <v>1</v>
      </c>
      <c r="W95" s="26"/>
    </row>
    <row r="96" spans="1:23" x14ac:dyDescent="0.25">
      <c r="A96" s="26" t="s">
        <v>53</v>
      </c>
      <c r="B96" s="26" t="s">
        <v>587</v>
      </c>
      <c r="C96" s="26" t="s">
        <v>588</v>
      </c>
      <c r="D96" s="26" t="s">
        <v>218</v>
      </c>
      <c r="E96" s="26" t="s">
        <v>589</v>
      </c>
      <c r="F96" s="26" t="s">
        <v>555</v>
      </c>
      <c r="G96" s="26" t="s">
        <v>191</v>
      </c>
      <c r="H96" s="26" t="s">
        <v>426</v>
      </c>
      <c r="I96" s="26" t="s">
        <v>184</v>
      </c>
      <c r="J96" s="26" t="s">
        <v>427</v>
      </c>
      <c r="K96" s="26" t="s">
        <v>360</v>
      </c>
      <c r="L96" s="26" t="s">
        <v>79</v>
      </c>
      <c r="M96" s="26" t="s">
        <v>77</v>
      </c>
      <c r="N96" s="26">
        <v>178</v>
      </c>
      <c r="O96" s="26">
        <v>93</v>
      </c>
      <c r="P96" s="26">
        <v>85</v>
      </c>
      <c r="Q96" s="26">
        <v>6</v>
      </c>
      <c r="R96" s="26">
        <v>1</v>
      </c>
      <c r="S96" s="26">
        <v>47</v>
      </c>
      <c r="T96" s="26">
        <v>23</v>
      </c>
      <c r="U96" s="26">
        <v>71</v>
      </c>
      <c r="V96" s="26">
        <v>1</v>
      </c>
      <c r="W96" s="26"/>
    </row>
    <row r="97" spans="1:23" x14ac:dyDescent="0.25">
      <c r="A97" s="26" t="s">
        <v>53</v>
      </c>
      <c r="B97" s="26" t="s">
        <v>590</v>
      </c>
      <c r="C97" s="26" t="s">
        <v>591</v>
      </c>
      <c r="D97" s="26" t="s">
        <v>218</v>
      </c>
      <c r="E97" s="26" t="s">
        <v>592</v>
      </c>
      <c r="F97" s="26" t="s">
        <v>593</v>
      </c>
      <c r="G97" s="26" t="s">
        <v>293</v>
      </c>
      <c r="H97" s="26" t="s">
        <v>594</v>
      </c>
      <c r="I97" s="26" t="s">
        <v>184</v>
      </c>
      <c r="J97" s="26" t="s">
        <v>295</v>
      </c>
      <c r="K97" s="26" t="s">
        <v>296</v>
      </c>
      <c r="L97" s="26" t="s">
        <v>80</v>
      </c>
      <c r="M97" s="26" t="s">
        <v>77</v>
      </c>
      <c r="N97" s="26">
        <v>120</v>
      </c>
      <c r="O97" s="26">
        <v>55</v>
      </c>
      <c r="P97" s="26">
        <v>65</v>
      </c>
      <c r="Q97" s="26">
        <v>5</v>
      </c>
      <c r="R97" s="26">
        <v>1</v>
      </c>
      <c r="S97" s="26">
        <v>39</v>
      </c>
      <c r="T97" s="26">
        <v>40</v>
      </c>
      <c r="U97" s="26">
        <v>80</v>
      </c>
      <c r="V97" s="26">
        <v>1</v>
      </c>
      <c r="W97" s="26"/>
    </row>
    <row r="98" spans="1:23" x14ac:dyDescent="0.25">
      <c r="A98" s="26" t="s">
        <v>53</v>
      </c>
      <c r="B98" s="26" t="s">
        <v>595</v>
      </c>
      <c r="C98" s="26" t="s">
        <v>596</v>
      </c>
      <c r="D98" s="26" t="s">
        <v>218</v>
      </c>
      <c r="E98" s="26" t="s">
        <v>597</v>
      </c>
      <c r="F98" s="26" t="s">
        <v>598</v>
      </c>
      <c r="G98" s="26" t="s">
        <v>182</v>
      </c>
      <c r="H98" s="26" t="s">
        <v>380</v>
      </c>
      <c r="I98" s="26" t="s">
        <v>184</v>
      </c>
      <c r="J98" s="26" t="s">
        <v>322</v>
      </c>
      <c r="K98" s="26" t="s">
        <v>360</v>
      </c>
      <c r="L98" s="26" t="s">
        <v>79</v>
      </c>
      <c r="M98" s="26" t="s">
        <v>77</v>
      </c>
      <c r="N98" s="26">
        <v>161</v>
      </c>
      <c r="O98" s="26">
        <v>72</v>
      </c>
      <c r="P98" s="26">
        <v>89</v>
      </c>
      <c r="Q98" s="26">
        <v>6</v>
      </c>
      <c r="R98" s="26">
        <v>1</v>
      </c>
      <c r="S98" s="26">
        <v>59</v>
      </c>
      <c r="T98" s="26">
        <v>31</v>
      </c>
      <c r="U98" s="26">
        <v>91</v>
      </c>
      <c r="V98" s="26">
        <v>1</v>
      </c>
      <c r="W98" s="26"/>
    </row>
    <row r="99" spans="1:23" x14ac:dyDescent="0.25">
      <c r="A99" s="26" t="s">
        <v>53</v>
      </c>
      <c r="B99" s="26" t="s">
        <v>599</v>
      </c>
      <c r="C99" s="26" t="s">
        <v>600</v>
      </c>
      <c r="D99" s="26" t="s">
        <v>218</v>
      </c>
      <c r="E99" s="26" t="s">
        <v>601</v>
      </c>
      <c r="F99" s="26" t="s">
        <v>602</v>
      </c>
      <c r="G99" s="26" t="s">
        <v>226</v>
      </c>
      <c r="H99" s="26" t="s">
        <v>603</v>
      </c>
      <c r="I99" s="26" t="s">
        <v>184</v>
      </c>
      <c r="J99" s="26" t="s">
        <v>427</v>
      </c>
      <c r="K99" s="26" t="s">
        <v>360</v>
      </c>
      <c r="L99" s="26" t="s">
        <v>79</v>
      </c>
      <c r="M99" s="26" t="s">
        <v>77</v>
      </c>
      <c r="N99" s="26">
        <v>183</v>
      </c>
      <c r="O99" s="26">
        <v>99</v>
      </c>
      <c r="P99" s="26">
        <v>84</v>
      </c>
      <c r="Q99" s="26">
        <v>6</v>
      </c>
      <c r="R99" s="26">
        <v>1</v>
      </c>
      <c r="S99" s="26">
        <v>73</v>
      </c>
      <c r="T99" s="26">
        <v>26</v>
      </c>
      <c r="U99" s="26">
        <v>100</v>
      </c>
      <c r="V99" s="26">
        <v>1</v>
      </c>
      <c r="W99" s="26"/>
    </row>
    <row r="100" spans="1:23" x14ac:dyDescent="0.25">
      <c r="A100" s="26" t="s">
        <v>53</v>
      </c>
      <c r="B100" s="26" t="s">
        <v>604</v>
      </c>
      <c r="C100" s="26" t="s">
        <v>605</v>
      </c>
      <c r="D100" s="26" t="s">
        <v>218</v>
      </c>
      <c r="E100" s="26" t="s">
        <v>606</v>
      </c>
      <c r="F100" s="26" t="s">
        <v>607</v>
      </c>
      <c r="G100" s="26" t="s">
        <v>198</v>
      </c>
      <c r="H100" s="26" t="s">
        <v>431</v>
      </c>
      <c r="I100" s="26" t="s">
        <v>184</v>
      </c>
      <c r="J100" s="26" t="s">
        <v>375</v>
      </c>
      <c r="K100" s="26" t="s">
        <v>360</v>
      </c>
      <c r="L100" s="26" t="s">
        <v>79</v>
      </c>
      <c r="M100" s="26" t="s">
        <v>77</v>
      </c>
      <c r="N100" s="26">
        <v>131</v>
      </c>
      <c r="O100" s="26">
        <v>73</v>
      </c>
      <c r="P100" s="26">
        <v>58</v>
      </c>
      <c r="Q100" s="26">
        <v>6</v>
      </c>
      <c r="R100" s="26">
        <v>1</v>
      </c>
      <c r="S100" s="26">
        <v>54</v>
      </c>
      <c r="T100" s="26">
        <v>21</v>
      </c>
      <c r="U100" s="26">
        <v>76</v>
      </c>
      <c r="V100" s="26">
        <v>1</v>
      </c>
      <c r="W100" s="26"/>
    </row>
    <row r="101" spans="1:23" x14ac:dyDescent="0.25">
      <c r="A101" s="26" t="s">
        <v>53</v>
      </c>
      <c r="B101" s="26" t="s">
        <v>608</v>
      </c>
      <c r="C101" s="26" t="s">
        <v>609</v>
      </c>
      <c r="D101" s="26" t="s">
        <v>218</v>
      </c>
      <c r="E101" s="26" t="s">
        <v>610</v>
      </c>
      <c r="F101" s="26" t="s">
        <v>220</v>
      </c>
      <c r="G101" s="26" t="s">
        <v>182</v>
      </c>
      <c r="H101" s="26" t="s">
        <v>563</v>
      </c>
      <c r="I101" s="26" t="s">
        <v>184</v>
      </c>
      <c r="J101" s="26" t="s">
        <v>322</v>
      </c>
      <c r="K101" s="26" t="s">
        <v>360</v>
      </c>
      <c r="L101" s="26" t="s">
        <v>79</v>
      </c>
      <c r="M101" s="26" t="s">
        <v>77</v>
      </c>
      <c r="N101" s="26">
        <v>81</v>
      </c>
      <c r="O101" s="26">
        <v>53</v>
      </c>
      <c r="P101" s="26">
        <v>28</v>
      </c>
      <c r="Q101" s="26">
        <v>6</v>
      </c>
      <c r="R101" s="26">
        <v>1</v>
      </c>
      <c r="S101" s="26">
        <v>27</v>
      </c>
      <c r="T101" s="26">
        <v>16</v>
      </c>
      <c r="U101" s="26">
        <v>44</v>
      </c>
      <c r="V101" s="26">
        <v>1</v>
      </c>
      <c r="W101" s="26"/>
    </row>
    <row r="102" spans="1:23" x14ac:dyDescent="0.25">
      <c r="A102" s="26" t="s">
        <v>53</v>
      </c>
      <c r="B102" s="26" t="s">
        <v>611</v>
      </c>
      <c r="C102" s="26" t="s">
        <v>612</v>
      </c>
      <c r="D102" s="26" t="s">
        <v>218</v>
      </c>
      <c r="E102" s="26" t="s">
        <v>613</v>
      </c>
      <c r="F102" s="26" t="s">
        <v>614</v>
      </c>
      <c r="G102" s="26" t="s">
        <v>413</v>
      </c>
      <c r="H102" s="26" t="s">
        <v>466</v>
      </c>
      <c r="I102" s="26" t="s">
        <v>184</v>
      </c>
      <c r="J102" s="26" t="s">
        <v>375</v>
      </c>
      <c r="K102" s="26" t="s">
        <v>360</v>
      </c>
      <c r="L102" s="26" t="s">
        <v>79</v>
      </c>
      <c r="M102" s="26" t="s">
        <v>77</v>
      </c>
      <c r="N102" s="26">
        <v>153</v>
      </c>
      <c r="O102" s="26">
        <v>78</v>
      </c>
      <c r="P102" s="26">
        <v>75</v>
      </c>
      <c r="Q102" s="26">
        <v>6</v>
      </c>
      <c r="R102" s="26">
        <v>0</v>
      </c>
      <c r="S102" s="26">
        <v>46</v>
      </c>
      <c r="T102" s="26">
        <v>22</v>
      </c>
      <c r="U102" s="26">
        <v>68</v>
      </c>
      <c r="V102" s="26">
        <v>1</v>
      </c>
      <c r="W102" s="26"/>
    </row>
    <row r="103" spans="1:23" x14ac:dyDescent="0.25">
      <c r="A103" s="26" t="s">
        <v>53</v>
      </c>
      <c r="B103" s="26" t="s">
        <v>615</v>
      </c>
      <c r="C103" s="26" t="s">
        <v>616</v>
      </c>
      <c r="D103" s="26" t="s">
        <v>218</v>
      </c>
      <c r="E103" s="26" t="s">
        <v>617</v>
      </c>
      <c r="F103" s="26" t="s">
        <v>618</v>
      </c>
      <c r="G103" s="26" t="s">
        <v>182</v>
      </c>
      <c r="H103" s="26" t="s">
        <v>390</v>
      </c>
      <c r="I103" s="26" t="s">
        <v>184</v>
      </c>
      <c r="J103" s="26" t="s">
        <v>322</v>
      </c>
      <c r="K103" s="26" t="s">
        <v>360</v>
      </c>
      <c r="L103" s="26" t="s">
        <v>79</v>
      </c>
      <c r="M103" s="26" t="s">
        <v>77</v>
      </c>
      <c r="N103" s="26">
        <v>40</v>
      </c>
      <c r="O103" s="26">
        <v>27</v>
      </c>
      <c r="P103" s="26">
        <v>13</v>
      </c>
      <c r="Q103" s="26">
        <v>3</v>
      </c>
      <c r="R103" s="26">
        <v>1</v>
      </c>
      <c r="S103" s="26">
        <v>79</v>
      </c>
      <c r="T103" s="26">
        <v>17</v>
      </c>
      <c r="U103" s="26">
        <v>97</v>
      </c>
      <c r="V103" s="26">
        <v>1</v>
      </c>
      <c r="W103" s="26"/>
    </row>
    <row r="104" spans="1:23" x14ac:dyDescent="0.25">
      <c r="A104" s="26" t="s">
        <v>53</v>
      </c>
      <c r="B104" s="26" t="s">
        <v>619</v>
      </c>
      <c r="C104" s="26" t="s">
        <v>620</v>
      </c>
      <c r="D104" s="26" t="s">
        <v>218</v>
      </c>
      <c r="E104" s="26" t="s">
        <v>621</v>
      </c>
      <c r="F104" s="26" t="s">
        <v>622</v>
      </c>
      <c r="G104" s="26" t="s">
        <v>278</v>
      </c>
      <c r="H104" s="26" t="s">
        <v>623</v>
      </c>
      <c r="I104" s="26" t="s">
        <v>184</v>
      </c>
      <c r="J104" s="26" t="s">
        <v>375</v>
      </c>
      <c r="K104" s="26" t="s">
        <v>360</v>
      </c>
      <c r="L104" s="26" t="s">
        <v>79</v>
      </c>
      <c r="M104" s="26" t="s">
        <v>77</v>
      </c>
      <c r="N104" s="26">
        <v>179</v>
      </c>
      <c r="O104" s="26">
        <v>90</v>
      </c>
      <c r="P104" s="26">
        <v>89</v>
      </c>
      <c r="Q104" s="26">
        <v>6</v>
      </c>
      <c r="R104" s="26">
        <v>1</v>
      </c>
      <c r="S104" s="26">
        <v>48</v>
      </c>
      <c r="T104" s="26">
        <v>22</v>
      </c>
      <c r="U104" s="26">
        <v>71</v>
      </c>
      <c r="V104" s="26">
        <v>1</v>
      </c>
      <c r="W104" s="26"/>
    </row>
    <row r="105" spans="1:23" x14ac:dyDescent="0.25">
      <c r="A105" s="26" t="s">
        <v>53</v>
      </c>
      <c r="B105" s="26" t="s">
        <v>624</v>
      </c>
      <c r="C105" s="26" t="s">
        <v>625</v>
      </c>
      <c r="D105" s="26" t="s">
        <v>218</v>
      </c>
      <c r="E105" s="26" t="s">
        <v>626</v>
      </c>
      <c r="F105" s="26" t="s">
        <v>394</v>
      </c>
      <c r="G105" s="26" t="s">
        <v>198</v>
      </c>
      <c r="H105" s="26" t="s">
        <v>403</v>
      </c>
      <c r="I105" s="26" t="s">
        <v>184</v>
      </c>
      <c r="J105" s="26" t="s">
        <v>375</v>
      </c>
      <c r="K105" s="26" t="s">
        <v>360</v>
      </c>
      <c r="L105" s="26" t="s">
        <v>79</v>
      </c>
      <c r="M105" s="26" t="s">
        <v>77</v>
      </c>
      <c r="N105" s="26">
        <v>192</v>
      </c>
      <c r="O105" s="26">
        <v>99</v>
      </c>
      <c r="P105" s="26">
        <v>93</v>
      </c>
      <c r="Q105" s="26">
        <v>6</v>
      </c>
      <c r="R105" s="26">
        <v>1</v>
      </c>
      <c r="S105" s="26">
        <v>111</v>
      </c>
      <c r="T105" s="26">
        <v>25</v>
      </c>
      <c r="U105" s="26">
        <v>137</v>
      </c>
      <c r="V105" s="26">
        <v>1</v>
      </c>
      <c r="W105" s="26"/>
    </row>
    <row r="106" spans="1:23" x14ac:dyDescent="0.25">
      <c r="A106" s="26" t="s">
        <v>53</v>
      </c>
      <c r="B106" s="26" t="s">
        <v>627</v>
      </c>
      <c r="C106" s="26" t="s">
        <v>628</v>
      </c>
      <c r="D106" s="26" t="s">
        <v>218</v>
      </c>
      <c r="E106" s="26" t="s">
        <v>629</v>
      </c>
      <c r="F106" s="26" t="s">
        <v>598</v>
      </c>
      <c r="G106" s="26" t="s">
        <v>182</v>
      </c>
      <c r="H106" s="26" t="s">
        <v>461</v>
      </c>
      <c r="I106" s="26" t="s">
        <v>184</v>
      </c>
      <c r="J106" s="26" t="s">
        <v>322</v>
      </c>
      <c r="K106" s="26" t="s">
        <v>360</v>
      </c>
      <c r="L106" s="26" t="s">
        <v>79</v>
      </c>
      <c r="M106" s="26" t="s">
        <v>77</v>
      </c>
      <c r="N106" s="26">
        <v>125</v>
      </c>
      <c r="O106" s="26">
        <v>61</v>
      </c>
      <c r="P106" s="26">
        <v>64</v>
      </c>
      <c r="Q106" s="26">
        <v>6</v>
      </c>
      <c r="R106" s="26">
        <v>1</v>
      </c>
      <c r="S106" s="26">
        <v>48</v>
      </c>
      <c r="T106" s="26">
        <v>23</v>
      </c>
      <c r="U106" s="26">
        <v>72</v>
      </c>
      <c r="V106" s="26">
        <v>1</v>
      </c>
      <c r="W106" s="26"/>
    </row>
    <row r="107" spans="1:23" x14ac:dyDescent="0.25">
      <c r="A107" s="26" t="s">
        <v>53</v>
      </c>
      <c r="B107" s="26" t="s">
        <v>630</v>
      </c>
      <c r="C107" s="26" t="s">
        <v>631</v>
      </c>
      <c r="D107" s="26" t="s">
        <v>218</v>
      </c>
      <c r="E107" s="26" t="s">
        <v>632</v>
      </c>
      <c r="F107" s="26" t="s">
        <v>379</v>
      </c>
      <c r="G107" s="26" t="s">
        <v>182</v>
      </c>
      <c r="H107" s="26" t="s">
        <v>563</v>
      </c>
      <c r="I107" s="26" t="s">
        <v>184</v>
      </c>
      <c r="J107" s="26" t="s">
        <v>322</v>
      </c>
      <c r="K107" s="26" t="s">
        <v>360</v>
      </c>
      <c r="L107" s="26" t="s">
        <v>79</v>
      </c>
      <c r="M107" s="26" t="s">
        <v>77</v>
      </c>
      <c r="N107" s="26">
        <v>134</v>
      </c>
      <c r="O107" s="26">
        <v>70</v>
      </c>
      <c r="P107" s="26">
        <v>64</v>
      </c>
      <c r="Q107" s="26">
        <v>6</v>
      </c>
      <c r="R107" s="26">
        <v>1</v>
      </c>
      <c r="S107" s="26">
        <v>55</v>
      </c>
      <c r="T107" s="26">
        <v>21</v>
      </c>
      <c r="U107" s="26">
        <v>77</v>
      </c>
      <c r="V107" s="26">
        <v>1</v>
      </c>
      <c r="W107" s="26"/>
    </row>
    <row r="108" spans="1:23" x14ac:dyDescent="0.25">
      <c r="A108" s="26" t="s">
        <v>53</v>
      </c>
      <c r="B108" s="26" t="s">
        <v>633</v>
      </c>
      <c r="C108" s="26" t="s">
        <v>634</v>
      </c>
      <c r="D108" s="26" t="s">
        <v>218</v>
      </c>
      <c r="E108" s="26" t="s">
        <v>635</v>
      </c>
      <c r="F108" s="26" t="s">
        <v>636</v>
      </c>
      <c r="G108" s="26" t="s">
        <v>637</v>
      </c>
      <c r="H108" s="26" t="s">
        <v>638</v>
      </c>
      <c r="I108" s="26" t="s">
        <v>184</v>
      </c>
      <c r="J108" s="26" t="s">
        <v>427</v>
      </c>
      <c r="K108" s="26" t="s">
        <v>360</v>
      </c>
      <c r="L108" s="26" t="s">
        <v>79</v>
      </c>
      <c r="M108" s="26" t="s">
        <v>77</v>
      </c>
      <c r="N108" s="26">
        <v>140</v>
      </c>
      <c r="O108" s="26">
        <v>69</v>
      </c>
      <c r="P108" s="26">
        <v>71</v>
      </c>
      <c r="Q108" s="26">
        <v>6</v>
      </c>
      <c r="R108" s="26">
        <v>1</v>
      </c>
      <c r="S108" s="26">
        <v>131</v>
      </c>
      <c r="T108" s="26">
        <v>19</v>
      </c>
      <c r="U108" s="26">
        <v>151</v>
      </c>
      <c r="V108" s="26">
        <v>1</v>
      </c>
      <c r="W108" s="26"/>
    </row>
    <row r="109" spans="1:23" x14ac:dyDescent="0.25">
      <c r="A109" s="26" t="s">
        <v>53</v>
      </c>
      <c r="B109" s="26" t="s">
        <v>639</v>
      </c>
      <c r="C109" s="26" t="s">
        <v>640</v>
      </c>
      <c r="D109" s="26" t="s">
        <v>218</v>
      </c>
      <c r="E109" s="26" t="s">
        <v>641</v>
      </c>
      <c r="F109" s="26" t="s">
        <v>642</v>
      </c>
      <c r="G109" s="26" t="s">
        <v>204</v>
      </c>
      <c r="H109" s="26" t="s">
        <v>643</v>
      </c>
      <c r="I109" s="26" t="s">
        <v>184</v>
      </c>
      <c r="J109" s="26" t="s">
        <v>322</v>
      </c>
      <c r="K109" s="26" t="s">
        <v>360</v>
      </c>
      <c r="L109" s="26" t="s">
        <v>79</v>
      </c>
      <c r="M109" s="26" t="s">
        <v>77</v>
      </c>
      <c r="N109" s="26">
        <v>158</v>
      </c>
      <c r="O109" s="26">
        <v>71</v>
      </c>
      <c r="P109" s="26">
        <v>87</v>
      </c>
      <c r="Q109" s="26">
        <v>6</v>
      </c>
      <c r="R109" s="26">
        <v>1</v>
      </c>
      <c r="S109" s="26">
        <v>68</v>
      </c>
      <c r="T109" s="26">
        <v>24</v>
      </c>
      <c r="U109" s="26">
        <v>93</v>
      </c>
      <c r="V109" s="26">
        <v>1</v>
      </c>
      <c r="W109" s="26"/>
    </row>
    <row r="110" spans="1:23" x14ac:dyDescent="0.25">
      <c r="A110" s="26" t="s">
        <v>53</v>
      </c>
      <c r="B110" s="26" t="s">
        <v>644</v>
      </c>
      <c r="C110" s="26" t="s">
        <v>645</v>
      </c>
      <c r="D110" s="26" t="s">
        <v>179</v>
      </c>
      <c r="E110" s="26" t="s">
        <v>646</v>
      </c>
      <c r="F110" s="26" t="s">
        <v>369</v>
      </c>
      <c r="G110" s="26" t="s">
        <v>182</v>
      </c>
      <c r="H110" s="26" t="s">
        <v>370</v>
      </c>
      <c r="I110" s="26" t="s">
        <v>184</v>
      </c>
      <c r="J110" s="26" t="s">
        <v>322</v>
      </c>
      <c r="K110" s="26" t="s">
        <v>360</v>
      </c>
      <c r="L110" s="26" t="s">
        <v>79</v>
      </c>
      <c r="M110" s="26" t="s">
        <v>77</v>
      </c>
      <c r="N110" s="26">
        <v>16</v>
      </c>
      <c r="O110" s="26">
        <v>10</v>
      </c>
      <c r="P110" s="26">
        <v>6</v>
      </c>
      <c r="Q110" s="26">
        <v>3</v>
      </c>
      <c r="R110" s="26">
        <v>1</v>
      </c>
      <c r="S110" s="26">
        <v>7</v>
      </c>
      <c r="T110" s="26">
        <v>11</v>
      </c>
      <c r="U110" s="26">
        <v>19</v>
      </c>
      <c r="V110" s="26">
        <v>1</v>
      </c>
      <c r="W110" s="26"/>
    </row>
    <row r="111" spans="1:23" x14ac:dyDescent="0.25">
      <c r="A111" s="26" t="s">
        <v>53</v>
      </c>
      <c r="B111" s="26" t="s">
        <v>647</v>
      </c>
      <c r="C111" s="26" t="s">
        <v>648</v>
      </c>
      <c r="D111" s="26" t="s">
        <v>179</v>
      </c>
      <c r="E111" s="26" t="s">
        <v>649</v>
      </c>
      <c r="F111" s="26" t="s">
        <v>650</v>
      </c>
      <c r="G111" s="26" t="s">
        <v>651</v>
      </c>
      <c r="H111" s="26" t="s">
        <v>652</v>
      </c>
      <c r="I111" s="26" t="s">
        <v>184</v>
      </c>
      <c r="J111" s="26" t="s">
        <v>427</v>
      </c>
      <c r="K111" s="26" t="s">
        <v>360</v>
      </c>
      <c r="L111" s="26" t="s">
        <v>79</v>
      </c>
      <c r="M111" s="26" t="s">
        <v>77</v>
      </c>
      <c r="N111" s="26">
        <v>62</v>
      </c>
      <c r="O111" s="26">
        <v>27</v>
      </c>
      <c r="P111" s="26">
        <v>35</v>
      </c>
      <c r="Q111" s="26">
        <v>4</v>
      </c>
      <c r="R111" s="26">
        <v>1</v>
      </c>
      <c r="S111" s="26">
        <v>7</v>
      </c>
      <c r="T111" s="26">
        <v>14</v>
      </c>
      <c r="U111" s="26">
        <v>22</v>
      </c>
      <c r="V111" s="26">
        <v>1</v>
      </c>
      <c r="W111" s="26"/>
    </row>
    <row r="112" spans="1:23" x14ac:dyDescent="0.25">
      <c r="A112" s="26" t="s">
        <v>53</v>
      </c>
      <c r="B112" s="26" t="s">
        <v>653</v>
      </c>
      <c r="C112" s="26" t="s">
        <v>654</v>
      </c>
      <c r="D112" s="26" t="s">
        <v>179</v>
      </c>
      <c r="E112" s="26" t="s">
        <v>655</v>
      </c>
      <c r="F112" s="26" t="s">
        <v>656</v>
      </c>
      <c r="G112" s="26" t="s">
        <v>637</v>
      </c>
      <c r="H112" s="26" t="s">
        <v>657</v>
      </c>
      <c r="I112" s="26" t="s">
        <v>184</v>
      </c>
      <c r="J112" s="26" t="s">
        <v>427</v>
      </c>
      <c r="K112" s="26" t="s">
        <v>360</v>
      </c>
      <c r="L112" s="26" t="s">
        <v>79</v>
      </c>
      <c r="M112" s="26" t="s">
        <v>77</v>
      </c>
      <c r="N112" s="26">
        <v>28</v>
      </c>
      <c r="O112" s="26">
        <v>18</v>
      </c>
      <c r="P112" s="26">
        <v>10</v>
      </c>
      <c r="Q112" s="26">
        <v>4</v>
      </c>
      <c r="R112" s="26">
        <v>1</v>
      </c>
      <c r="S112" s="26">
        <v>10</v>
      </c>
      <c r="T112" s="26">
        <v>11</v>
      </c>
      <c r="U112" s="26">
        <v>22</v>
      </c>
      <c r="V112" s="26">
        <v>1</v>
      </c>
      <c r="W112" s="26"/>
    </row>
    <row r="113" spans="1:23" x14ac:dyDescent="0.25">
      <c r="A113" s="26" t="s">
        <v>53</v>
      </c>
      <c r="B113" s="26" t="s">
        <v>658</v>
      </c>
      <c r="C113" s="26" t="s">
        <v>659</v>
      </c>
      <c r="D113" s="26" t="s">
        <v>179</v>
      </c>
      <c r="E113" s="26" t="s">
        <v>660</v>
      </c>
      <c r="F113" s="26" t="s">
        <v>661</v>
      </c>
      <c r="G113" s="26" t="s">
        <v>662</v>
      </c>
      <c r="H113" s="26" t="s">
        <v>663</v>
      </c>
      <c r="I113" s="26" t="s">
        <v>184</v>
      </c>
      <c r="J113" s="26" t="s">
        <v>427</v>
      </c>
      <c r="K113" s="26" t="s">
        <v>360</v>
      </c>
      <c r="L113" s="26" t="s">
        <v>79</v>
      </c>
      <c r="M113" s="26" t="s">
        <v>77</v>
      </c>
      <c r="N113" s="26">
        <v>25</v>
      </c>
      <c r="O113" s="26">
        <v>11</v>
      </c>
      <c r="P113" s="26">
        <v>14</v>
      </c>
      <c r="Q113" s="26">
        <v>2</v>
      </c>
      <c r="R113" s="26">
        <v>1</v>
      </c>
      <c r="S113" s="26">
        <v>5</v>
      </c>
      <c r="T113" s="26">
        <v>10</v>
      </c>
      <c r="U113" s="26">
        <v>16</v>
      </c>
      <c r="V113" s="26">
        <v>1</v>
      </c>
      <c r="W113" s="26"/>
    </row>
    <row r="114" spans="1:23" x14ac:dyDescent="0.25">
      <c r="A114" s="26" t="s">
        <v>53</v>
      </c>
      <c r="B114" s="26" t="s">
        <v>664</v>
      </c>
      <c r="C114" s="26" t="s">
        <v>665</v>
      </c>
      <c r="D114" s="26" t="s">
        <v>179</v>
      </c>
      <c r="E114" s="26" t="s">
        <v>666</v>
      </c>
      <c r="F114" s="26" t="s">
        <v>667</v>
      </c>
      <c r="G114" s="26" t="s">
        <v>662</v>
      </c>
      <c r="H114" s="26" t="s">
        <v>663</v>
      </c>
      <c r="I114" s="26" t="s">
        <v>184</v>
      </c>
      <c r="J114" s="26" t="s">
        <v>427</v>
      </c>
      <c r="K114" s="26" t="s">
        <v>360</v>
      </c>
      <c r="L114" s="26" t="s">
        <v>79</v>
      </c>
      <c r="M114" s="26" t="s">
        <v>77</v>
      </c>
      <c r="N114" s="26">
        <v>21</v>
      </c>
      <c r="O114" s="26">
        <v>13</v>
      </c>
      <c r="P114" s="26">
        <v>8</v>
      </c>
      <c r="Q114" s="26">
        <v>3</v>
      </c>
      <c r="R114" s="26">
        <v>1</v>
      </c>
      <c r="S114" s="26">
        <v>5</v>
      </c>
      <c r="T114" s="26">
        <v>7</v>
      </c>
      <c r="U114" s="26">
        <v>13</v>
      </c>
      <c r="V114" s="26">
        <v>1</v>
      </c>
      <c r="W114" s="26"/>
    </row>
    <row r="115" spans="1:23" x14ac:dyDescent="0.25">
      <c r="A115" s="26" t="s">
        <v>53</v>
      </c>
      <c r="B115" s="26" t="s">
        <v>668</v>
      </c>
      <c r="C115" s="26" t="s">
        <v>669</v>
      </c>
      <c r="D115" s="26" t="s">
        <v>179</v>
      </c>
      <c r="E115" s="26" t="s">
        <v>670</v>
      </c>
      <c r="F115" s="26" t="s">
        <v>671</v>
      </c>
      <c r="G115" s="26" t="s">
        <v>191</v>
      </c>
      <c r="H115" s="26" t="s">
        <v>518</v>
      </c>
      <c r="I115" s="26" t="s">
        <v>184</v>
      </c>
      <c r="J115" s="26" t="s">
        <v>427</v>
      </c>
      <c r="K115" s="26" t="s">
        <v>360</v>
      </c>
      <c r="L115" s="26" t="s">
        <v>79</v>
      </c>
      <c r="M115" s="26" t="s">
        <v>77</v>
      </c>
      <c r="N115" s="26">
        <v>12</v>
      </c>
      <c r="O115" s="26">
        <v>5</v>
      </c>
      <c r="P115" s="26">
        <v>7</v>
      </c>
      <c r="Q115" s="26">
        <v>1</v>
      </c>
      <c r="R115" s="26">
        <v>1</v>
      </c>
      <c r="S115" s="26">
        <v>3</v>
      </c>
      <c r="T115" s="26">
        <v>5</v>
      </c>
      <c r="U115" s="26">
        <v>9</v>
      </c>
      <c r="V115" s="26">
        <v>1</v>
      </c>
      <c r="W115" s="26"/>
    </row>
    <row r="116" spans="1:23" x14ac:dyDescent="0.25">
      <c r="A116" s="26" t="s">
        <v>53</v>
      </c>
      <c r="B116" s="26" t="s">
        <v>672</v>
      </c>
      <c r="C116" s="26" t="s">
        <v>673</v>
      </c>
      <c r="D116" s="26" t="s">
        <v>179</v>
      </c>
      <c r="E116" s="26" t="s">
        <v>674</v>
      </c>
      <c r="F116" s="26" t="s">
        <v>675</v>
      </c>
      <c r="G116" s="26" t="s">
        <v>676</v>
      </c>
      <c r="H116" s="26" t="s">
        <v>677</v>
      </c>
      <c r="I116" s="26" t="s">
        <v>184</v>
      </c>
      <c r="J116" s="26" t="s">
        <v>375</v>
      </c>
      <c r="K116" s="26" t="s">
        <v>360</v>
      </c>
      <c r="L116" s="26" t="s">
        <v>79</v>
      </c>
      <c r="M116" s="26" t="s">
        <v>77</v>
      </c>
      <c r="N116" s="26">
        <v>20</v>
      </c>
      <c r="O116" s="26">
        <v>11</v>
      </c>
      <c r="P116" s="26">
        <v>9</v>
      </c>
      <c r="Q116" s="26">
        <v>1</v>
      </c>
      <c r="R116" s="26">
        <v>1</v>
      </c>
      <c r="S116" s="26">
        <v>3</v>
      </c>
      <c r="T116" s="26">
        <v>6</v>
      </c>
      <c r="U116" s="26">
        <v>10</v>
      </c>
      <c r="V116" s="26">
        <v>1</v>
      </c>
      <c r="W116" s="26"/>
    </row>
    <row r="117" spans="1:23" x14ac:dyDescent="0.25">
      <c r="A117" s="26" t="s">
        <v>53</v>
      </c>
      <c r="B117" s="26" t="s">
        <v>678</v>
      </c>
      <c r="C117" s="26" t="s">
        <v>679</v>
      </c>
      <c r="D117" s="26" t="s">
        <v>179</v>
      </c>
      <c r="E117" s="26" t="s">
        <v>680</v>
      </c>
      <c r="F117" s="26" t="s">
        <v>681</v>
      </c>
      <c r="G117" s="26" t="s">
        <v>252</v>
      </c>
      <c r="H117" s="26" t="s">
        <v>682</v>
      </c>
      <c r="I117" s="26" t="s">
        <v>184</v>
      </c>
      <c r="J117" s="26" t="s">
        <v>427</v>
      </c>
      <c r="K117" s="26" t="s">
        <v>360</v>
      </c>
      <c r="L117" s="26" t="s">
        <v>79</v>
      </c>
      <c r="M117" s="26" t="s">
        <v>77</v>
      </c>
      <c r="N117" s="26">
        <v>7</v>
      </c>
      <c r="O117" s="26">
        <v>4</v>
      </c>
      <c r="P117" s="26">
        <v>3</v>
      </c>
      <c r="Q117" s="26">
        <v>1</v>
      </c>
      <c r="R117" s="26">
        <v>1</v>
      </c>
      <c r="S117" s="26">
        <v>3</v>
      </c>
      <c r="T117" s="26">
        <v>10</v>
      </c>
      <c r="U117" s="26">
        <v>14</v>
      </c>
      <c r="V117" s="26">
        <v>1</v>
      </c>
      <c r="W117" s="26"/>
    </row>
    <row r="118" spans="1:23" x14ac:dyDescent="0.25">
      <c r="A118" s="26" t="s">
        <v>53</v>
      </c>
      <c r="B118" s="26" t="s">
        <v>683</v>
      </c>
      <c r="C118" s="26" t="s">
        <v>684</v>
      </c>
      <c r="D118" s="26" t="s">
        <v>179</v>
      </c>
      <c r="E118" s="26" t="s">
        <v>685</v>
      </c>
      <c r="F118" s="26" t="s">
        <v>686</v>
      </c>
      <c r="G118" s="26" t="s">
        <v>293</v>
      </c>
      <c r="H118" s="26" t="s">
        <v>687</v>
      </c>
      <c r="I118" s="26" t="s">
        <v>184</v>
      </c>
      <c r="J118" s="26" t="s">
        <v>295</v>
      </c>
      <c r="K118" s="26" t="s">
        <v>296</v>
      </c>
      <c r="L118" s="26" t="s">
        <v>80</v>
      </c>
      <c r="M118" s="26" t="s">
        <v>77</v>
      </c>
      <c r="N118" s="26">
        <v>26</v>
      </c>
      <c r="O118" s="26">
        <v>12</v>
      </c>
      <c r="P118" s="26">
        <v>14</v>
      </c>
      <c r="Q118" s="26">
        <v>3</v>
      </c>
      <c r="R118" s="26">
        <v>1</v>
      </c>
      <c r="S118" s="26">
        <v>4</v>
      </c>
      <c r="T118" s="26">
        <v>8</v>
      </c>
      <c r="U118" s="26">
        <v>13</v>
      </c>
      <c r="V118" s="26">
        <v>1</v>
      </c>
      <c r="W118" s="26"/>
    </row>
    <row r="119" spans="1:23" x14ac:dyDescent="0.25">
      <c r="A119" s="26" t="s">
        <v>53</v>
      </c>
      <c r="B119" s="26" t="s">
        <v>688</v>
      </c>
      <c r="C119" s="26" t="s">
        <v>689</v>
      </c>
      <c r="D119" s="26" t="s">
        <v>179</v>
      </c>
      <c r="E119" s="26" t="s">
        <v>690</v>
      </c>
      <c r="F119" s="26" t="s">
        <v>691</v>
      </c>
      <c r="G119" s="26" t="s">
        <v>293</v>
      </c>
      <c r="H119" s="26" t="s">
        <v>594</v>
      </c>
      <c r="I119" s="26" t="s">
        <v>184</v>
      </c>
      <c r="J119" s="26" t="s">
        <v>295</v>
      </c>
      <c r="K119" s="26" t="s">
        <v>296</v>
      </c>
      <c r="L119" s="26" t="s">
        <v>80</v>
      </c>
      <c r="M119" s="26" t="s">
        <v>77</v>
      </c>
      <c r="N119" s="26">
        <v>11</v>
      </c>
      <c r="O119" s="26">
        <v>7</v>
      </c>
      <c r="P119" s="26">
        <v>4</v>
      </c>
      <c r="Q119" s="26">
        <v>1</v>
      </c>
      <c r="R119" s="26">
        <v>1</v>
      </c>
      <c r="S119" s="26">
        <v>1</v>
      </c>
      <c r="T119" s="26">
        <v>4</v>
      </c>
      <c r="U119" s="26">
        <v>6</v>
      </c>
      <c r="V119" s="26">
        <v>1</v>
      </c>
      <c r="W119" s="26"/>
    </row>
    <row r="120" spans="1:23" x14ac:dyDescent="0.25">
      <c r="A120" s="26" t="s">
        <v>53</v>
      </c>
      <c r="B120" s="26" t="s">
        <v>692</v>
      </c>
      <c r="C120" s="26" t="s">
        <v>693</v>
      </c>
      <c r="D120" s="26" t="s">
        <v>179</v>
      </c>
      <c r="E120" s="26" t="s">
        <v>694</v>
      </c>
      <c r="F120" s="26" t="s">
        <v>695</v>
      </c>
      <c r="G120" s="26" t="s">
        <v>293</v>
      </c>
      <c r="H120" s="26" t="s">
        <v>301</v>
      </c>
      <c r="I120" s="26" t="s">
        <v>184</v>
      </c>
      <c r="J120" s="26" t="s">
        <v>696</v>
      </c>
      <c r="K120" s="26" t="s">
        <v>296</v>
      </c>
      <c r="L120" s="26" t="s">
        <v>80</v>
      </c>
      <c r="M120" s="26" t="s">
        <v>77</v>
      </c>
      <c r="N120" s="26">
        <v>30</v>
      </c>
      <c r="O120" s="26">
        <v>19</v>
      </c>
      <c r="P120" s="26">
        <v>11</v>
      </c>
      <c r="Q120" s="26">
        <v>2</v>
      </c>
      <c r="R120" s="26">
        <v>1</v>
      </c>
      <c r="S120" s="26">
        <v>4</v>
      </c>
      <c r="T120" s="26">
        <v>5</v>
      </c>
      <c r="U120" s="26">
        <v>10</v>
      </c>
      <c r="V120" s="26">
        <v>1</v>
      </c>
      <c r="W120" s="26"/>
    </row>
    <row r="121" spans="1:23" x14ac:dyDescent="0.25">
      <c r="A121" s="26" t="s">
        <v>53</v>
      </c>
      <c r="B121" s="26" t="s">
        <v>697</v>
      </c>
      <c r="C121" s="26" t="s">
        <v>698</v>
      </c>
      <c r="D121" s="26" t="s">
        <v>179</v>
      </c>
      <c r="E121" s="26" t="s">
        <v>699</v>
      </c>
      <c r="F121" s="26" t="s">
        <v>700</v>
      </c>
      <c r="G121" s="26" t="s">
        <v>293</v>
      </c>
      <c r="H121" s="26" t="s">
        <v>594</v>
      </c>
      <c r="I121" s="26" t="s">
        <v>184</v>
      </c>
      <c r="J121" s="26" t="s">
        <v>295</v>
      </c>
      <c r="K121" s="26" t="s">
        <v>296</v>
      </c>
      <c r="L121" s="26" t="s">
        <v>80</v>
      </c>
      <c r="M121" s="26" t="s">
        <v>77</v>
      </c>
      <c r="N121" s="26">
        <v>24</v>
      </c>
      <c r="O121" s="26">
        <v>10</v>
      </c>
      <c r="P121" s="26">
        <v>14</v>
      </c>
      <c r="Q121" s="26">
        <v>2</v>
      </c>
      <c r="R121" s="26">
        <v>1</v>
      </c>
      <c r="S121" s="26">
        <v>3</v>
      </c>
      <c r="T121" s="26">
        <v>3</v>
      </c>
      <c r="U121" s="26">
        <v>7</v>
      </c>
      <c r="V121" s="26">
        <v>1</v>
      </c>
      <c r="W121" s="26"/>
    </row>
    <row r="122" spans="1:23" x14ac:dyDescent="0.25">
      <c r="A122" s="26" t="s">
        <v>53</v>
      </c>
      <c r="B122" s="26" t="s">
        <v>701</v>
      </c>
      <c r="C122" s="26" t="s">
        <v>702</v>
      </c>
      <c r="D122" s="26" t="s">
        <v>179</v>
      </c>
      <c r="E122" s="26" t="s">
        <v>703</v>
      </c>
      <c r="F122" s="26" t="s">
        <v>704</v>
      </c>
      <c r="G122" s="26" t="s">
        <v>293</v>
      </c>
      <c r="H122" s="26" t="s">
        <v>351</v>
      </c>
      <c r="I122" s="26" t="s">
        <v>184</v>
      </c>
      <c r="J122" s="26" t="s">
        <v>503</v>
      </c>
      <c r="K122" s="26" t="s">
        <v>296</v>
      </c>
      <c r="L122" s="26" t="s">
        <v>80</v>
      </c>
      <c r="M122" s="26" t="s">
        <v>77</v>
      </c>
      <c r="N122" s="26">
        <v>52</v>
      </c>
      <c r="O122" s="26">
        <v>28</v>
      </c>
      <c r="P122" s="26">
        <v>24</v>
      </c>
      <c r="Q122" s="26">
        <v>4</v>
      </c>
      <c r="R122" s="26">
        <v>1</v>
      </c>
      <c r="S122" s="26">
        <v>9</v>
      </c>
      <c r="T122" s="26">
        <v>4</v>
      </c>
      <c r="U122" s="26">
        <v>14</v>
      </c>
      <c r="V122" s="26">
        <v>1</v>
      </c>
      <c r="W122" s="26"/>
    </row>
    <row r="123" spans="1:23" x14ac:dyDescent="0.25">
      <c r="A123" s="26" t="s">
        <v>53</v>
      </c>
      <c r="B123" s="26" t="s">
        <v>705</v>
      </c>
      <c r="C123" s="26" t="s">
        <v>706</v>
      </c>
      <c r="D123" s="26" t="s">
        <v>179</v>
      </c>
      <c r="E123" s="26" t="s">
        <v>707</v>
      </c>
      <c r="F123" s="26" t="s">
        <v>708</v>
      </c>
      <c r="G123" s="26" t="s">
        <v>293</v>
      </c>
      <c r="H123" s="26" t="s">
        <v>351</v>
      </c>
      <c r="I123" s="26" t="s">
        <v>184</v>
      </c>
      <c r="J123" s="26" t="s">
        <v>503</v>
      </c>
      <c r="K123" s="26" t="s">
        <v>296</v>
      </c>
      <c r="L123" s="26" t="s">
        <v>80</v>
      </c>
      <c r="M123" s="26" t="s">
        <v>77</v>
      </c>
      <c r="N123" s="26">
        <v>17</v>
      </c>
      <c r="O123" s="26">
        <v>6</v>
      </c>
      <c r="P123" s="26">
        <v>11</v>
      </c>
      <c r="Q123" s="26">
        <v>2</v>
      </c>
      <c r="R123" s="26">
        <v>1</v>
      </c>
      <c r="S123" s="26">
        <v>3</v>
      </c>
      <c r="T123" s="26">
        <v>4</v>
      </c>
      <c r="U123" s="26">
        <v>8</v>
      </c>
      <c r="V123" s="26">
        <v>1</v>
      </c>
      <c r="W123" s="26"/>
    </row>
    <row r="124" spans="1:23" x14ac:dyDescent="0.25">
      <c r="A124" s="26" t="s">
        <v>53</v>
      </c>
      <c r="B124" s="26" t="s">
        <v>709</v>
      </c>
      <c r="C124" s="26" t="s">
        <v>710</v>
      </c>
      <c r="D124" s="26" t="s">
        <v>179</v>
      </c>
      <c r="E124" s="26" t="s">
        <v>711</v>
      </c>
      <c r="F124" s="26" t="s">
        <v>712</v>
      </c>
      <c r="G124" s="26" t="s">
        <v>293</v>
      </c>
      <c r="H124" s="26" t="s">
        <v>594</v>
      </c>
      <c r="I124" s="26" t="s">
        <v>184</v>
      </c>
      <c r="J124" s="26" t="s">
        <v>295</v>
      </c>
      <c r="K124" s="26" t="s">
        <v>296</v>
      </c>
      <c r="L124" s="26" t="s">
        <v>80</v>
      </c>
      <c r="M124" s="26" t="s">
        <v>77</v>
      </c>
      <c r="N124" s="26">
        <v>10</v>
      </c>
      <c r="O124" s="26">
        <v>5</v>
      </c>
      <c r="P124" s="26">
        <v>5</v>
      </c>
      <c r="Q124" s="26">
        <v>1</v>
      </c>
      <c r="R124" s="26">
        <v>1</v>
      </c>
      <c r="S124" s="26">
        <v>2</v>
      </c>
      <c r="T124" s="26">
        <v>4</v>
      </c>
      <c r="U124" s="26">
        <v>7</v>
      </c>
      <c r="V124" s="26">
        <v>1</v>
      </c>
      <c r="W124" s="26"/>
    </row>
    <row r="125" spans="1:23" x14ac:dyDescent="0.25">
      <c r="A125" s="26" t="s">
        <v>53</v>
      </c>
      <c r="B125" s="26" t="s">
        <v>713</v>
      </c>
      <c r="C125" s="26" t="s">
        <v>714</v>
      </c>
      <c r="D125" s="26" t="s">
        <v>179</v>
      </c>
      <c r="E125" s="26" t="s">
        <v>715</v>
      </c>
      <c r="F125" s="26" t="s">
        <v>716</v>
      </c>
      <c r="G125" s="26" t="s">
        <v>413</v>
      </c>
      <c r="H125" s="26" t="s">
        <v>495</v>
      </c>
      <c r="I125" s="26" t="s">
        <v>184</v>
      </c>
      <c r="J125" s="26" t="s">
        <v>375</v>
      </c>
      <c r="K125" s="26" t="s">
        <v>360</v>
      </c>
      <c r="L125" s="26" t="s">
        <v>79</v>
      </c>
      <c r="M125" s="26" t="s">
        <v>77</v>
      </c>
      <c r="N125" s="26">
        <v>60</v>
      </c>
      <c r="O125" s="26">
        <v>33</v>
      </c>
      <c r="P125" s="26">
        <v>27</v>
      </c>
      <c r="Q125" s="26">
        <v>6</v>
      </c>
      <c r="R125" s="26">
        <v>1</v>
      </c>
      <c r="S125" s="26">
        <v>25</v>
      </c>
      <c r="T125" s="26">
        <v>29</v>
      </c>
      <c r="U125" s="26">
        <v>55</v>
      </c>
      <c r="V125" s="26">
        <v>1</v>
      </c>
      <c r="W125" s="26"/>
    </row>
    <row r="126" spans="1:23" x14ac:dyDescent="0.25">
      <c r="A126" s="26" t="s">
        <v>53</v>
      </c>
      <c r="B126" s="26" t="s">
        <v>717</v>
      </c>
      <c r="C126" s="26" t="s">
        <v>718</v>
      </c>
      <c r="D126" s="26" t="s">
        <v>179</v>
      </c>
      <c r="E126" s="26" t="s">
        <v>719</v>
      </c>
      <c r="F126" s="26" t="s">
        <v>720</v>
      </c>
      <c r="G126" s="26" t="s">
        <v>293</v>
      </c>
      <c r="H126" s="26" t="s">
        <v>594</v>
      </c>
      <c r="I126" s="26" t="s">
        <v>184</v>
      </c>
      <c r="J126" s="26" t="s">
        <v>295</v>
      </c>
      <c r="K126" s="26" t="s">
        <v>296</v>
      </c>
      <c r="L126" s="26" t="s">
        <v>80</v>
      </c>
      <c r="M126" s="26" t="s">
        <v>77</v>
      </c>
      <c r="N126" s="26">
        <v>12</v>
      </c>
      <c r="O126" s="26">
        <v>7</v>
      </c>
      <c r="P126" s="26">
        <v>5</v>
      </c>
      <c r="Q126" s="26">
        <v>1</v>
      </c>
      <c r="R126" s="26">
        <v>1</v>
      </c>
      <c r="S126" s="26">
        <v>1</v>
      </c>
      <c r="T126" s="26">
        <v>4</v>
      </c>
      <c r="U126" s="26">
        <v>6</v>
      </c>
      <c r="V126" s="26">
        <v>1</v>
      </c>
      <c r="W126" s="26"/>
    </row>
    <row r="127" spans="1:23" x14ac:dyDescent="0.25">
      <c r="A127" s="26" t="s">
        <v>53</v>
      </c>
      <c r="B127" s="26" t="s">
        <v>721</v>
      </c>
      <c r="C127" s="26" t="s">
        <v>722</v>
      </c>
      <c r="D127" s="26" t="s">
        <v>179</v>
      </c>
      <c r="E127" s="26" t="s">
        <v>723</v>
      </c>
      <c r="F127" s="26" t="s">
        <v>724</v>
      </c>
      <c r="G127" s="26" t="s">
        <v>198</v>
      </c>
      <c r="H127" s="26" t="s">
        <v>431</v>
      </c>
      <c r="I127" s="26" t="s">
        <v>184</v>
      </c>
      <c r="J127" s="26" t="s">
        <v>375</v>
      </c>
      <c r="K127" s="26" t="s">
        <v>360</v>
      </c>
      <c r="L127" s="26" t="s">
        <v>79</v>
      </c>
      <c r="M127" s="26" t="s">
        <v>77</v>
      </c>
      <c r="N127" s="26">
        <v>47</v>
      </c>
      <c r="O127" s="26">
        <v>26</v>
      </c>
      <c r="P127" s="26">
        <v>21</v>
      </c>
      <c r="Q127" s="26">
        <v>3</v>
      </c>
      <c r="R127" s="26">
        <v>1</v>
      </c>
      <c r="S127" s="26">
        <v>6</v>
      </c>
      <c r="T127" s="26">
        <v>9</v>
      </c>
      <c r="U127" s="26">
        <v>16</v>
      </c>
      <c r="V127" s="26">
        <v>1</v>
      </c>
      <c r="W127" s="26"/>
    </row>
    <row r="128" spans="1:23" x14ac:dyDescent="0.25">
      <c r="A128" s="26" t="s">
        <v>53</v>
      </c>
      <c r="B128" s="26" t="s">
        <v>725</v>
      </c>
      <c r="C128" s="26" t="s">
        <v>726</v>
      </c>
      <c r="D128" s="26" t="s">
        <v>218</v>
      </c>
      <c r="E128" s="26" t="s">
        <v>727</v>
      </c>
      <c r="F128" s="26" t="s">
        <v>197</v>
      </c>
      <c r="G128" s="26" t="s">
        <v>198</v>
      </c>
      <c r="H128" s="26" t="s">
        <v>386</v>
      </c>
      <c r="I128" s="26" t="s">
        <v>184</v>
      </c>
      <c r="J128" s="26" t="s">
        <v>375</v>
      </c>
      <c r="K128" s="26" t="s">
        <v>360</v>
      </c>
      <c r="L128" s="26" t="s">
        <v>79</v>
      </c>
      <c r="M128" s="26" t="s">
        <v>77</v>
      </c>
      <c r="N128" s="26">
        <v>30</v>
      </c>
      <c r="O128" s="26">
        <v>17</v>
      </c>
      <c r="P128" s="26">
        <v>13</v>
      </c>
      <c r="Q128" s="26">
        <v>3</v>
      </c>
      <c r="R128" s="26">
        <v>1</v>
      </c>
      <c r="S128" s="26">
        <v>6</v>
      </c>
      <c r="T128" s="26">
        <v>8</v>
      </c>
      <c r="U128" s="26">
        <v>15</v>
      </c>
      <c r="V128" s="26">
        <v>1</v>
      </c>
      <c r="W128" s="26"/>
    </row>
    <row r="129" spans="1:23" x14ac:dyDescent="0.25">
      <c r="A129" s="26" t="s">
        <v>53</v>
      </c>
      <c r="B129" s="26" t="s">
        <v>728</v>
      </c>
      <c r="C129" s="26" t="s">
        <v>729</v>
      </c>
      <c r="D129" s="26" t="s">
        <v>218</v>
      </c>
      <c r="E129" s="26" t="s">
        <v>730</v>
      </c>
      <c r="F129" s="26" t="s">
        <v>731</v>
      </c>
      <c r="G129" s="26" t="s">
        <v>198</v>
      </c>
      <c r="H129" s="26" t="s">
        <v>403</v>
      </c>
      <c r="I129" s="26" t="s">
        <v>184</v>
      </c>
      <c r="J129" s="26" t="s">
        <v>375</v>
      </c>
      <c r="K129" s="26" t="s">
        <v>360</v>
      </c>
      <c r="L129" s="26" t="s">
        <v>79</v>
      </c>
      <c r="M129" s="26" t="s">
        <v>77</v>
      </c>
      <c r="N129" s="26">
        <v>28</v>
      </c>
      <c r="O129" s="26">
        <v>12</v>
      </c>
      <c r="P129" s="26">
        <v>16</v>
      </c>
      <c r="Q129" s="26">
        <v>3</v>
      </c>
      <c r="R129" s="26">
        <v>1</v>
      </c>
      <c r="S129" s="26">
        <v>8</v>
      </c>
      <c r="T129" s="26">
        <v>9</v>
      </c>
      <c r="U129" s="26">
        <v>18</v>
      </c>
      <c r="V129" s="26">
        <v>1</v>
      </c>
      <c r="W129" s="26"/>
    </row>
    <row r="130" spans="1:23" x14ac:dyDescent="0.25">
      <c r="A130" s="26" t="s">
        <v>53</v>
      </c>
      <c r="B130" s="26" t="s">
        <v>732</v>
      </c>
      <c r="C130" s="26" t="s">
        <v>733</v>
      </c>
      <c r="D130" s="26" t="s">
        <v>179</v>
      </c>
      <c r="E130" s="26" t="s">
        <v>2</v>
      </c>
      <c r="F130" s="26" t="s">
        <v>734</v>
      </c>
      <c r="G130" s="26" t="s">
        <v>198</v>
      </c>
      <c r="H130" s="26" t="s">
        <v>431</v>
      </c>
      <c r="I130" s="26" t="s">
        <v>184</v>
      </c>
      <c r="J130" s="26" t="s">
        <v>375</v>
      </c>
      <c r="K130" s="26" t="s">
        <v>360</v>
      </c>
      <c r="L130" s="26" t="s">
        <v>79</v>
      </c>
      <c r="M130" s="26" t="s">
        <v>77</v>
      </c>
      <c r="N130" s="26">
        <v>45</v>
      </c>
      <c r="O130" s="26">
        <v>21</v>
      </c>
      <c r="P130" s="26">
        <v>24</v>
      </c>
      <c r="Q130" s="26">
        <v>3</v>
      </c>
      <c r="R130" s="26">
        <v>1</v>
      </c>
      <c r="S130" s="26">
        <v>7</v>
      </c>
      <c r="T130" s="26">
        <v>7</v>
      </c>
      <c r="U130" s="26">
        <v>15</v>
      </c>
      <c r="V130" s="26">
        <v>1</v>
      </c>
      <c r="W130" s="26"/>
    </row>
    <row r="131" spans="1:23" x14ac:dyDescent="0.25">
      <c r="A131" s="26" t="s">
        <v>53</v>
      </c>
      <c r="B131" s="26" t="s">
        <v>735</v>
      </c>
      <c r="C131" s="26" t="s">
        <v>736</v>
      </c>
      <c r="D131" s="26" t="s">
        <v>179</v>
      </c>
      <c r="E131" s="26" t="s">
        <v>737</v>
      </c>
      <c r="F131" s="26" t="s">
        <v>247</v>
      </c>
      <c r="G131" s="26" t="s">
        <v>198</v>
      </c>
      <c r="H131" s="26" t="s">
        <v>386</v>
      </c>
      <c r="I131" s="26" t="s">
        <v>184</v>
      </c>
      <c r="J131" s="26" t="s">
        <v>375</v>
      </c>
      <c r="K131" s="26" t="s">
        <v>360</v>
      </c>
      <c r="L131" s="26" t="s">
        <v>79</v>
      </c>
      <c r="M131" s="26" t="s">
        <v>77</v>
      </c>
      <c r="N131" s="26">
        <v>26</v>
      </c>
      <c r="O131" s="26">
        <v>14</v>
      </c>
      <c r="P131" s="26">
        <v>12</v>
      </c>
      <c r="Q131" s="26">
        <v>3</v>
      </c>
      <c r="R131" s="26">
        <v>1</v>
      </c>
      <c r="S131" s="26">
        <v>4</v>
      </c>
      <c r="T131" s="26">
        <v>6</v>
      </c>
      <c r="U131" s="26">
        <v>11</v>
      </c>
      <c r="V131" s="26">
        <v>1</v>
      </c>
      <c r="W131" s="26"/>
    </row>
    <row r="132" spans="1:23" x14ac:dyDescent="0.25">
      <c r="A132" s="26" t="s">
        <v>53</v>
      </c>
      <c r="B132" s="26" t="s">
        <v>738</v>
      </c>
      <c r="C132" s="26" t="s">
        <v>739</v>
      </c>
      <c r="D132" s="26" t="s">
        <v>179</v>
      </c>
      <c r="E132" s="26" t="s">
        <v>740</v>
      </c>
      <c r="F132" s="26" t="s">
        <v>741</v>
      </c>
      <c r="G132" s="26" t="s">
        <v>265</v>
      </c>
      <c r="H132" s="26" t="s">
        <v>508</v>
      </c>
      <c r="I132" s="26" t="s">
        <v>184</v>
      </c>
      <c r="J132" s="26" t="s">
        <v>322</v>
      </c>
      <c r="K132" s="26" t="s">
        <v>360</v>
      </c>
      <c r="L132" s="26" t="s">
        <v>79</v>
      </c>
      <c r="M132" s="26" t="s">
        <v>77</v>
      </c>
      <c r="N132" s="26">
        <v>3</v>
      </c>
      <c r="O132" s="26">
        <v>2</v>
      </c>
      <c r="P132" s="26">
        <v>1</v>
      </c>
      <c r="Q132" s="26">
        <v>1</v>
      </c>
      <c r="R132" s="26">
        <v>1</v>
      </c>
      <c r="S132" s="26">
        <v>1</v>
      </c>
      <c r="T132" s="26">
        <v>2</v>
      </c>
      <c r="U132" s="26">
        <v>4</v>
      </c>
      <c r="V132" s="26">
        <v>1</v>
      </c>
      <c r="W132" s="26"/>
    </row>
    <row r="133" spans="1:23" x14ac:dyDescent="0.25">
      <c r="A133" s="26" t="s">
        <v>53</v>
      </c>
      <c r="B133" s="26" t="s">
        <v>742</v>
      </c>
      <c r="C133" s="26" t="s">
        <v>743</v>
      </c>
      <c r="D133" s="26" t="s">
        <v>179</v>
      </c>
      <c r="E133" s="26" t="s">
        <v>744</v>
      </c>
      <c r="F133" s="26" t="s">
        <v>745</v>
      </c>
      <c r="G133" s="26" t="s">
        <v>265</v>
      </c>
      <c r="H133" s="26" t="s">
        <v>526</v>
      </c>
      <c r="I133" s="26" t="s">
        <v>184</v>
      </c>
      <c r="J133" s="26" t="s">
        <v>322</v>
      </c>
      <c r="K133" s="26" t="s">
        <v>360</v>
      </c>
      <c r="L133" s="26" t="s">
        <v>79</v>
      </c>
      <c r="M133" s="26" t="s">
        <v>77</v>
      </c>
      <c r="N133" s="26">
        <v>15</v>
      </c>
      <c r="O133" s="26">
        <v>8</v>
      </c>
      <c r="P133" s="26">
        <v>7</v>
      </c>
      <c r="Q133" s="26">
        <v>1</v>
      </c>
      <c r="R133" s="26">
        <v>1</v>
      </c>
      <c r="S133" s="26">
        <v>2</v>
      </c>
      <c r="T133" s="26">
        <v>3</v>
      </c>
      <c r="U133" s="26">
        <v>6</v>
      </c>
      <c r="V133" s="26">
        <v>1</v>
      </c>
      <c r="W133" s="26"/>
    </row>
    <row r="134" spans="1:23" x14ac:dyDescent="0.25">
      <c r="A134" s="26" t="s">
        <v>53</v>
      </c>
      <c r="B134" s="26" t="s">
        <v>746</v>
      </c>
      <c r="C134" s="26" t="s">
        <v>747</v>
      </c>
      <c r="D134" s="26" t="s">
        <v>179</v>
      </c>
      <c r="E134" s="26" t="s">
        <v>748</v>
      </c>
      <c r="F134" s="26" t="s">
        <v>749</v>
      </c>
      <c r="G134" s="26" t="s">
        <v>265</v>
      </c>
      <c r="H134" s="26" t="s">
        <v>526</v>
      </c>
      <c r="I134" s="26" t="s">
        <v>184</v>
      </c>
      <c r="J134" s="26" t="s">
        <v>322</v>
      </c>
      <c r="K134" s="26" t="s">
        <v>360</v>
      </c>
      <c r="L134" s="26" t="s">
        <v>79</v>
      </c>
      <c r="M134" s="26" t="s">
        <v>77</v>
      </c>
      <c r="N134" s="26">
        <v>6</v>
      </c>
      <c r="O134" s="26">
        <v>3</v>
      </c>
      <c r="P134" s="26">
        <v>3</v>
      </c>
      <c r="Q134" s="26">
        <v>1</v>
      </c>
      <c r="R134" s="26">
        <v>1</v>
      </c>
      <c r="S134" s="26">
        <v>1</v>
      </c>
      <c r="T134" s="26">
        <v>3</v>
      </c>
      <c r="U134" s="26">
        <v>5</v>
      </c>
      <c r="V134" s="26">
        <v>1</v>
      </c>
      <c r="W134" s="26"/>
    </row>
    <row r="135" spans="1:23" x14ac:dyDescent="0.25">
      <c r="A135" s="26" t="s">
        <v>53</v>
      </c>
      <c r="B135" s="26" t="s">
        <v>750</v>
      </c>
      <c r="C135" s="26" t="s">
        <v>751</v>
      </c>
      <c r="D135" s="26" t="s">
        <v>179</v>
      </c>
      <c r="E135" s="26" t="s">
        <v>752</v>
      </c>
      <c r="F135" s="26" t="s">
        <v>745</v>
      </c>
      <c r="G135" s="26" t="s">
        <v>265</v>
      </c>
      <c r="H135" s="26" t="s">
        <v>321</v>
      </c>
      <c r="I135" s="26" t="s">
        <v>184</v>
      </c>
      <c r="J135" s="26" t="s">
        <v>322</v>
      </c>
      <c r="K135" s="26" t="s">
        <v>360</v>
      </c>
      <c r="L135" s="26" t="s">
        <v>79</v>
      </c>
      <c r="M135" s="26" t="s">
        <v>77</v>
      </c>
      <c r="N135" s="26">
        <v>10</v>
      </c>
      <c r="O135" s="26">
        <v>5</v>
      </c>
      <c r="P135" s="26">
        <v>5</v>
      </c>
      <c r="Q135" s="26">
        <v>1</v>
      </c>
      <c r="R135" s="26">
        <v>1</v>
      </c>
      <c r="S135" s="26">
        <v>1</v>
      </c>
      <c r="T135" s="26">
        <v>5</v>
      </c>
      <c r="U135" s="26">
        <v>7</v>
      </c>
      <c r="V135" s="26">
        <v>1</v>
      </c>
      <c r="W135" s="26"/>
    </row>
    <row r="136" spans="1:23" x14ac:dyDescent="0.25">
      <c r="A136" s="26" t="s">
        <v>53</v>
      </c>
      <c r="B136" s="26" t="s">
        <v>753</v>
      </c>
      <c r="C136" s="26" t="s">
        <v>754</v>
      </c>
      <c r="D136" s="26" t="s">
        <v>179</v>
      </c>
      <c r="E136" s="26" t="s">
        <v>755</v>
      </c>
      <c r="F136" s="26" t="s">
        <v>444</v>
      </c>
      <c r="G136" s="26" t="s">
        <v>265</v>
      </c>
      <c r="H136" s="26" t="s">
        <v>756</v>
      </c>
      <c r="I136" s="26" t="s">
        <v>184</v>
      </c>
      <c r="J136" s="26" t="s">
        <v>322</v>
      </c>
      <c r="K136" s="26" t="s">
        <v>360</v>
      </c>
      <c r="L136" s="26" t="s">
        <v>79</v>
      </c>
      <c r="M136" s="26" t="s">
        <v>77</v>
      </c>
      <c r="N136" s="26">
        <v>9</v>
      </c>
      <c r="O136" s="26">
        <v>3</v>
      </c>
      <c r="P136" s="26">
        <v>6</v>
      </c>
      <c r="Q136" s="26">
        <v>1</v>
      </c>
      <c r="R136" s="26">
        <v>1</v>
      </c>
      <c r="S136" s="26">
        <v>1</v>
      </c>
      <c r="T136" s="26">
        <v>4</v>
      </c>
      <c r="U136" s="26">
        <v>6</v>
      </c>
      <c r="V136" s="26">
        <v>1</v>
      </c>
      <c r="W136" s="26"/>
    </row>
    <row r="137" spans="1:23" x14ac:dyDescent="0.25">
      <c r="A137" s="26" t="s">
        <v>53</v>
      </c>
      <c r="B137" s="26" t="s">
        <v>757</v>
      </c>
      <c r="C137" s="26" t="s">
        <v>758</v>
      </c>
      <c r="D137" s="26" t="s">
        <v>179</v>
      </c>
      <c r="E137" s="26" t="s">
        <v>759</v>
      </c>
      <c r="F137" s="26" t="s">
        <v>760</v>
      </c>
      <c r="G137" s="26" t="s">
        <v>265</v>
      </c>
      <c r="H137" s="26" t="s">
        <v>756</v>
      </c>
      <c r="I137" s="26" t="s">
        <v>184</v>
      </c>
      <c r="J137" s="26" t="s">
        <v>322</v>
      </c>
      <c r="K137" s="26" t="s">
        <v>360</v>
      </c>
      <c r="L137" s="26" t="s">
        <v>79</v>
      </c>
      <c r="M137" s="26" t="s">
        <v>77</v>
      </c>
      <c r="N137" s="26">
        <v>0</v>
      </c>
      <c r="O137" s="26">
        <v>0</v>
      </c>
      <c r="P137" s="26">
        <v>0</v>
      </c>
      <c r="Q137" s="26">
        <v>0</v>
      </c>
      <c r="R137" s="26">
        <v>1</v>
      </c>
      <c r="S137" s="26">
        <v>0</v>
      </c>
      <c r="T137" s="26">
        <v>4</v>
      </c>
      <c r="U137" s="26">
        <v>5</v>
      </c>
      <c r="V137" s="26">
        <v>1</v>
      </c>
      <c r="W137" s="26"/>
    </row>
    <row r="138" spans="1:23" x14ac:dyDescent="0.25">
      <c r="A138" s="26" t="s">
        <v>53</v>
      </c>
      <c r="B138" s="26" t="s">
        <v>761</v>
      </c>
      <c r="C138" s="26" t="s">
        <v>762</v>
      </c>
      <c r="D138" s="26" t="s">
        <v>179</v>
      </c>
      <c r="E138" s="26" t="s">
        <v>763</v>
      </c>
      <c r="F138" s="26" t="s">
        <v>764</v>
      </c>
      <c r="G138" s="26" t="s">
        <v>265</v>
      </c>
      <c r="H138" s="26" t="s">
        <v>756</v>
      </c>
      <c r="I138" s="26" t="s">
        <v>184</v>
      </c>
      <c r="J138" s="26" t="s">
        <v>322</v>
      </c>
      <c r="K138" s="26" t="s">
        <v>360</v>
      </c>
      <c r="L138" s="26" t="s">
        <v>79</v>
      </c>
      <c r="M138" s="26" t="s">
        <v>77</v>
      </c>
      <c r="N138" s="26">
        <v>5</v>
      </c>
      <c r="O138" s="26">
        <v>1</v>
      </c>
      <c r="P138" s="26">
        <v>4</v>
      </c>
      <c r="Q138" s="26">
        <v>1</v>
      </c>
      <c r="R138" s="26">
        <v>1</v>
      </c>
      <c r="S138" s="26">
        <v>1</v>
      </c>
      <c r="T138" s="26">
        <v>1</v>
      </c>
      <c r="U138" s="26">
        <v>3</v>
      </c>
      <c r="V138" s="26">
        <v>1</v>
      </c>
      <c r="W138" s="26"/>
    </row>
    <row r="139" spans="1:23" x14ac:dyDescent="0.25">
      <c r="A139" s="26" t="s">
        <v>53</v>
      </c>
      <c r="B139" s="26" t="s">
        <v>765</v>
      </c>
      <c r="C139" s="26" t="s">
        <v>766</v>
      </c>
      <c r="D139" s="26" t="s">
        <v>179</v>
      </c>
      <c r="E139" s="26" t="s">
        <v>767</v>
      </c>
      <c r="F139" s="26" t="s">
        <v>768</v>
      </c>
      <c r="G139" s="26" t="s">
        <v>265</v>
      </c>
      <c r="H139" s="26" t="s">
        <v>508</v>
      </c>
      <c r="I139" s="26" t="s">
        <v>184</v>
      </c>
      <c r="J139" s="26" t="s">
        <v>322</v>
      </c>
      <c r="K139" s="26" t="s">
        <v>360</v>
      </c>
      <c r="L139" s="26" t="s">
        <v>79</v>
      </c>
      <c r="M139" s="26" t="s">
        <v>77</v>
      </c>
      <c r="N139" s="26">
        <v>5</v>
      </c>
      <c r="O139" s="26">
        <v>5</v>
      </c>
      <c r="P139" s="26">
        <v>0</v>
      </c>
      <c r="Q139" s="26">
        <v>1</v>
      </c>
      <c r="R139" s="26">
        <v>1</v>
      </c>
      <c r="S139" s="26">
        <v>1</v>
      </c>
      <c r="T139" s="26">
        <v>1</v>
      </c>
      <c r="U139" s="26">
        <v>3</v>
      </c>
      <c r="V139" s="26">
        <v>1</v>
      </c>
      <c r="W139" s="26"/>
    </row>
    <row r="140" spans="1:23" x14ac:dyDescent="0.25">
      <c r="A140" s="26" t="s">
        <v>53</v>
      </c>
      <c r="B140" s="26" t="s">
        <v>769</v>
      </c>
      <c r="C140" s="26" t="s">
        <v>770</v>
      </c>
      <c r="D140" s="26" t="s">
        <v>179</v>
      </c>
      <c r="E140" s="26" t="s">
        <v>771</v>
      </c>
      <c r="F140" s="26" t="s">
        <v>444</v>
      </c>
      <c r="G140" s="26" t="s">
        <v>265</v>
      </c>
      <c r="H140" s="26" t="s">
        <v>321</v>
      </c>
      <c r="I140" s="26" t="s">
        <v>184</v>
      </c>
      <c r="J140" s="26" t="s">
        <v>322</v>
      </c>
      <c r="K140" s="26" t="s">
        <v>360</v>
      </c>
      <c r="L140" s="26" t="s">
        <v>79</v>
      </c>
      <c r="M140" s="26" t="s">
        <v>77</v>
      </c>
      <c r="N140" s="26">
        <v>13</v>
      </c>
      <c r="O140" s="26">
        <v>8</v>
      </c>
      <c r="P140" s="26">
        <v>5</v>
      </c>
      <c r="Q140" s="26">
        <v>1</v>
      </c>
      <c r="R140" s="26">
        <v>1</v>
      </c>
      <c r="S140" s="26">
        <v>1</v>
      </c>
      <c r="T140" s="26">
        <v>3</v>
      </c>
      <c r="U140" s="26">
        <v>5</v>
      </c>
      <c r="V140" s="26">
        <v>1</v>
      </c>
      <c r="W140" s="26"/>
    </row>
    <row r="141" spans="1:23" x14ac:dyDescent="0.25">
      <c r="A141" s="26" t="s">
        <v>53</v>
      </c>
      <c r="B141" s="26" t="s">
        <v>772</v>
      </c>
      <c r="C141" s="26" t="s">
        <v>773</v>
      </c>
      <c r="D141" s="26" t="s">
        <v>179</v>
      </c>
      <c r="E141" s="26" t="s">
        <v>774</v>
      </c>
      <c r="F141" s="26" t="s">
        <v>775</v>
      </c>
      <c r="G141" s="26" t="s">
        <v>265</v>
      </c>
      <c r="H141" s="26" t="s">
        <v>321</v>
      </c>
      <c r="I141" s="26" t="s">
        <v>184</v>
      </c>
      <c r="J141" s="26" t="s">
        <v>322</v>
      </c>
      <c r="K141" s="26" t="s">
        <v>360</v>
      </c>
      <c r="L141" s="26" t="s">
        <v>79</v>
      </c>
      <c r="M141" s="26" t="s">
        <v>77</v>
      </c>
      <c r="N141" s="26">
        <v>11</v>
      </c>
      <c r="O141" s="26">
        <v>7</v>
      </c>
      <c r="P141" s="26">
        <v>4</v>
      </c>
      <c r="Q141" s="26">
        <v>1</v>
      </c>
      <c r="R141" s="26">
        <v>1</v>
      </c>
      <c r="S141" s="26">
        <v>3</v>
      </c>
      <c r="T141" s="26">
        <v>0</v>
      </c>
      <c r="U141" s="26">
        <v>4</v>
      </c>
      <c r="V141" s="26">
        <v>1</v>
      </c>
      <c r="W141" s="26"/>
    </row>
    <row r="142" spans="1:23" x14ac:dyDescent="0.25">
      <c r="A142" s="26" t="s">
        <v>53</v>
      </c>
      <c r="B142" s="26" t="s">
        <v>776</v>
      </c>
      <c r="C142" s="26" t="s">
        <v>777</v>
      </c>
      <c r="D142" s="26" t="s">
        <v>179</v>
      </c>
      <c r="E142" s="26" t="s">
        <v>778</v>
      </c>
      <c r="F142" s="26" t="s">
        <v>779</v>
      </c>
      <c r="G142" s="26" t="s">
        <v>265</v>
      </c>
      <c r="H142" s="26" t="s">
        <v>756</v>
      </c>
      <c r="I142" s="26" t="s">
        <v>184</v>
      </c>
      <c r="J142" s="26" t="s">
        <v>322</v>
      </c>
      <c r="K142" s="26" t="s">
        <v>360</v>
      </c>
      <c r="L142" s="26" t="s">
        <v>79</v>
      </c>
      <c r="M142" s="26" t="s">
        <v>77</v>
      </c>
      <c r="N142" s="26">
        <v>11</v>
      </c>
      <c r="O142" s="26">
        <v>6</v>
      </c>
      <c r="P142" s="26">
        <v>5</v>
      </c>
      <c r="Q142" s="26">
        <v>1</v>
      </c>
      <c r="R142" s="26">
        <v>1</v>
      </c>
      <c r="S142" s="26">
        <v>1</v>
      </c>
      <c r="T142" s="26">
        <v>4</v>
      </c>
      <c r="U142" s="26">
        <v>6</v>
      </c>
      <c r="V142" s="26">
        <v>1</v>
      </c>
      <c r="W142" s="26"/>
    </row>
    <row r="143" spans="1:23" x14ac:dyDescent="0.25">
      <c r="A143" s="26" t="s">
        <v>53</v>
      </c>
      <c r="B143" s="26" t="s">
        <v>780</v>
      </c>
      <c r="C143" s="26" t="s">
        <v>781</v>
      </c>
      <c r="D143" s="26" t="s">
        <v>179</v>
      </c>
      <c r="E143" s="26" t="s">
        <v>782</v>
      </c>
      <c r="F143" s="26" t="s">
        <v>783</v>
      </c>
      <c r="G143" s="26" t="s">
        <v>265</v>
      </c>
      <c r="H143" s="26" t="s">
        <v>756</v>
      </c>
      <c r="I143" s="26" t="s">
        <v>184</v>
      </c>
      <c r="J143" s="26" t="s">
        <v>322</v>
      </c>
      <c r="K143" s="26" t="s">
        <v>360</v>
      </c>
      <c r="L143" s="26" t="s">
        <v>79</v>
      </c>
      <c r="M143" s="26" t="s">
        <v>77</v>
      </c>
      <c r="N143" s="26">
        <v>9</v>
      </c>
      <c r="O143" s="26">
        <v>6</v>
      </c>
      <c r="P143" s="26">
        <v>3</v>
      </c>
      <c r="Q143" s="26">
        <v>1</v>
      </c>
      <c r="R143" s="26">
        <v>1</v>
      </c>
      <c r="S143" s="26">
        <v>1</v>
      </c>
      <c r="T143" s="26">
        <v>4</v>
      </c>
      <c r="U143" s="26">
        <v>6</v>
      </c>
      <c r="V143" s="26">
        <v>1</v>
      </c>
      <c r="W143" s="26"/>
    </row>
    <row r="144" spans="1:23" x14ac:dyDescent="0.25">
      <c r="A144" s="26" t="s">
        <v>53</v>
      </c>
      <c r="B144" s="26" t="s">
        <v>784</v>
      </c>
      <c r="C144" s="26" t="s">
        <v>785</v>
      </c>
      <c r="D144" s="26" t="s">
        <v>179</v>
      </c>
      <c r="E144" s="26" t="s">
        <v>3</v>
      </c>
      <c r="F144" s="26" t="s">
        <v>786</v>
      </c>
      <c r="G144" s="26" t="s">
        <v>413</v>
      </c>
      <c r="H144" s="26" t="s">
        <v>787</v>
      </c>
      <c r="I144" s="26" t="s">
        <v>184</v>
      </c>
      <c r="J144" s="26" t="s">
        <v>375</v>
      </c>
      <c r="K144" s="26" t="s">
        <v>360</v>
      </c>
      <c r="L144" s="26" t="s">
        <v>79</v>
      </c>
      <c r="M144" s="26" t="s">
        <v>77</v>
      </c>
      <c r="N144" s="26">
        <v>9</v>
      </c>
      <c r="O144" s="26">
        <v>3</v>
      </c>
      <c r="P144" s="26">
        <v>6</v>
      </c>
      <c r="Q144" s="26">
        <v>1</v>
      </c>
      <c r="R144" s="26">
        <v>1</v>
      </c>
      <c r="S144" s="26">
        <v>2</v>
      </c>
      <c r="T144" s="26">
        <v>6</v>
      </c>
      <c r="U144" s="26">
        <v>9</v>
      </c>
      <c r="V144" s="26">
        <v>1</v>
      </c>
      <c r="W144" s="26"/>
    </row>
    <row r="145" spans="1:23" x14ac:dyDescent="0.25">
      <c r="A145" s="26" t="s">
        <v>53</v>
      </c>
      <c r="B145" s="26" t="s">
        <v>788</v>
      </c>
      <c r="C145" s="26" t="s">
        <v>789</v>
      </c>
      <c r="D145" s="26" t="s">
        <v>179</v>
      </c>
      <c r="E145" s="26" t="s">
        <v>790</v>
      </c>
      <c r="F145" s="26" t="s">
        <v>273</v>
      </c>
      <c r="G145" s="26" t="s">
        <v>413</v>
      </c>
      <c r="H145" s="26" t="s">
        <v>414</v>
      </c>
      <c r="I145" s="26" t="s">
        <v>184</v>
      </c>
      <c r="J145" s="26" t="s">
        <v>375</v>
      </c>
      <c r="K145" s="26" t="s">
        <v>360</v>
      </c>
      <c r="L145" s="26" t="s">
        <v>79</v>
      </c>
      <c r="M145" s="26" t="s">
        <v>77</v>
      </c>
      <c r="N145" s="26">
        <v>16</v>
      </c>
      <c r="O145" s="26">
        <v>5</v>
      </c>
      <c r="P145" s="26">
        <v>11</v>
      </c>
      <c r="Q145" s="26">
        <v>1</v>
      </c>
      <c r="R145" s="26">
        <v>1</v>
      </c>
      <c r="S145" s="26">
        <v>2</v>
      </c>
      <c r="T145" s="26">
        <v>4</v>
      </c>
      <c r="U145" s="26">
        <v>7</v>
      </c>
      <c r="V145" s="26">
        <v>1</v>
      </c>
      <c r="W145" s="26"/>
    </row>
    <row r="146" spans="1:23" x14ac:dyDescent="0.25">
      <c r="A146" s="26" t="s">
        <v>53</v>
      </c>
      <c r="B146" s="26" t="s">
        <v>791</v>
      </c>
      <c r="C146" s="26" t="s">
        <v>792</v>
      </c>
      <c r="D146" s="26" t="s">
        <v>179</v>
      </c>
      <c r="E146" s="26" t="s">
        <v>4002</v>
      </c>
      <c r="F146" s="26" t="s">
        <v>793</v>
      </c>
      <c r="G146" s="26" t="s">
        <v>413</v>
      </c>
      <c r="H146" s="26" t="s">
        <v>414</v>
      </c>
      <c r="I146" s="26" t="s">
        <v>184</v>
      </c>
      <c r="J146" s="26" t="s">
        <v>375</v>
      </c>
      <c r="K146" s="26" t="s">
        <v>360</v>
      </c>
      <c r="L146" s="26" t="s">
        <v>79</v>
      </c>
      <c r="M146" s="26" t="s">
        <v>77</v>
      </c>
      <c r="N146" s="26">
        <v>10</v>
      </c>
      <c r="O146" s="26">
        <v>6</v>
      </c>
      <c r="P146" s="26">
        <v>4</v>
      </c>
      <c r="Q146" s="26">
        <v>1</v>
      </c>
      <c r="R146" s="26">
        <v>1</v>
      </c>
      <c r="S146" s="26">
        <v>4</v>
      </c>
      <c r="T146" s="26">
        <v>9</v>
      </c>
      <c r="U146" s="26">
        <v>14</v>
      </c>
      <c r="V146" s="26">
        <v>1</v>
      </c>
      <c r="W146" s="26"/>
    </row>
    <row r="147" spans="1:23" x14ac:dyDescent="0.25">
      <c r="A147" s="26" t="s">
        <v>53</v>
      </c>
      <c r="B147" s="26" t="s">
        <v>794</v>
      </c>
      <c r="C147" s="26" t="s">
        <v>795</v>
      </c>
      <c r="D147" s="26" t="s">
        <v>179</v>
      </c>
      <c r="E147" s="26" t="s">
        <v>796</v>
      </c>
      <c r="F147" s="26" t="s">
        <v>614</v>
      </c>
      <c r="G147" s="26" t="s">
        <v>413</v>
      </c>
      <c r="H147" s="26" t="s">
        <v>466</v>
      </c>
      <c r="I147" s="26" t="s">
        <v>184</v>
      </c>
      <c r="J147" s="26" t="s">
        <v>375</v>
      </c>
      <c r="K147" s="26" t="s">
        <v>360</v>
      </c>
      <c r="L147" s="26" t="s">
        <v>79</v>
      </c>
      <c r="M147" s="26" t="s">
        <v>77</v>
      </c>
      <c r="N147" s="26">
        <v>1</v>
      </c>
      <c r="O147" s="26">
        <v>0</v>
      </c>
      <c r="P147" s="26">
        <v>1</v>
      </c>
      <c r="Q147" s="26">
        <v>1</v>
      </c>
      <c r="R147" s="26">
        <v>1</v>
      </c>
      <c r="S147" s="26">
        <v>1</v>
      </c>
      <c r="T147" s="26">
        <v>6</v>
      </c>
      <c r="U147" s="26">
        <v>8</v>
      </c>
      <c r="V147" s="26">
        <v>1</v>
      </c>
      <c r="W147" s="26"/>
    </row>
    <row r="148" spans="1:23" x14ac:dyDescent="0.25">
      <c r="A148" s="26" t="s">
        <v>53</v>
      </c>
      <c r="B148" s="26" t="s">
        <v>797</v>
      </c>
      <c r="C148" s="26" t="s">
        <v>798</v>
      </c>
      <c r="D148" s="26" t="s">
        <v>218</v>
      </c>
      <c r="E148" s="26" t="s">
        <v>799</v>
      </c>
      <c r="F148" s="26" t="s">
        <v>800</v>
      </c>
      <c r="G148" s="26" t="s">
        <v>413</v>
      </c>
      <c r="H148" s="26" t="s">
        <v>466</v>
      </c>
      <c r="I148" s="26" t="s">
        <v>184</v>
      </c>
      <c r="J148" s="26" t="s">
        <v>375</v>
      </c>
      <c r="K148" s="26" t="s">
        <v>360</v>
      </c>
      <c r="L148" s="26" t="s">
        <v>79</v>
      </c>
      <c r="M148" s="26" t="s">
        <v>77</v>
      </c>
      <c r="N148" s="26">
        <v>31</v>
      </c>
      <c r="O148" s="26">
        <v>15</v>
      </c>
      <c r="P148" s="26">
        <v>16</v>
      </c>
      <c r="Q148" s="26">
        <v>1</v>
      </c>
      <c r="R148" s="26">
        <v>1</v>
      </c>
      <c r="S148" s="26">
        <v>3</v>
      </c>
      <c r="T148" s="26">
        <v>8</v>
      </c>
      <c r="U148" s="26">
        <v>12</v>
      </c>
      <c r="V148" s="26">
        <v>1</v>
      </c>
      <c r="W148" s="26"/>
    </row>
    <row r="149" spans="1:23" x14ac:dyDescent="0.25">
      <c r="A149" s="26" t="s">
        <v>53</v>
      </c>
      <c r="B149" s="26" t="s">
        <v>801</v>
      </c>
      <c r="C149" s="26" t="s">
        <v>802</v>
      </c>
      <c r="D149" s="26" t="s">
        <v>179</v>
      </c>
      <c r="E149" s="26" t="s">
        <v>803</v>
      </c>
      <c r="F149" s="26" t="s">
        <v>800</v>
      </c>
      <c r="G149" s="26" t="s">
        <v>413</v>
      </c>
      <c r="H149" s="26" t="s">
        <v>495</v>
      </c>
      <c r="I149" s="26" t="s">
        <v>184</v>
      </c>
      <c r="J149" s="26" t="s">
        <v>375</v>
      </c>
      <c r="K149" s="26" t="s">
        <v>360</v>
      </c>
      <c r="L149" s="26" t="s">
        <v>79</v>
      </c>
      <c r="M149" s="26" t="s">
        <v>77</v>
      </c>
      <c r="N149" s="26">
        <v>0</v>
      </c>
      <c r="O149" s="26">
        <v>0</v>
      </c>
      <c r="P149" s="26">
        <v>0</v>
      </c>
      <c r="Q149" s="26">
        <v>0</v>
      </c>
      <c r="R149" s="26">
        <v>1</v>
      </c>
      <c r="S149" s="26">
        <v>1</v>
      </c>
      <c r="T149" s="26">
        <v>5</v>
      </c>
      <c r="U149" s="26">
        <v>7</v>
      </c>
      <c r="V149" s="26">
        <v>1</v>
      </c>
      <c r="W149" s="26"/>
    </row>
    <row r="150" spans="1:23" x14ac:dyDescent="0.25">
      <c r="A150" s="26" t="s">
        <v>53</v>
      </c>
      <c r="B150" s="26" t="s">
        <v>804</v>
      </c>
      <c r="C150" s="26" t="s">
        <v>805</v>
      </c>
      <c r="D150" s="26" t="s">
        <v>179</v>
      </c>
      <c r="E150" s="26" t="s">
        <v>806</v>
      </c>
      <c r="F150" s="26" t="s">
        <v>807</v>
      </c>
      <c r="G150" s="26" t="s">
        <v>413</v>
      </c>
      <c r="H150" s="26" t="s">
        <v>787</v>
      </c>
      <c r="I150" s="26" t="s">
        <v>184</v>
      </c>
      <c r="J150" s="26" t="s">
        <v>375</v>
      </c>
      <c r="K150" s="26" t="s">
        <v>360</v>
      </c>
      <c r="L150" s="26" t="s">
        <v>79</v>
      </c>
      <c r="M150" s="26" t="s">
        <v>77</v>
      </c>
      <c r="N150" s="26">
        <v>0</v>
      </c>
      <c r="O150" s="26">
        <v>0</v>
      </c>
      <c r="P150" s="26">
        <v>0</v>
      </c>
      <c r="Q150" s="26">
        <v>0</v>
      </c>
      <c r="R150" s="26">
        <v>1</v>
      </c>
      <c r="S150" s="26">
        <v>0</v>
      </c>
      <c r="T150" s="26">
        <v>7</v>
      </c>
      <c r="U150" s="26">
        <v>8</v>
      </c>
      <c r="V150" s="26">
        <v>1</v>
      </c>
      <c r="W150" s="26"/>
    </row>
    <row r="151" spans="1:23" x14ac:dyDescent="0.25">
      <c r="A151" s="26" t="s">
        <v>53</v>
      </c>
      <c r="B151" s="26" t="s">
        <v>808</v>
      </c>
      <c r="C151" s="26" t="s">
        <v>809</v>
      </c>
      <c r="D151" s="26" t="s">
        <v>179</v>
      </c>
      <c r="E151" s="26" t="s">
        <v>810</v>
      </c>
      <c r="F151" s="26" t="s">
        <v>811</v>
      </c>
      <c r="G151" s="26" t="s">
        <v>413</v>
      </c>
      <c r="H151" s="26" t="s">
        <v>787</v>
      </c>
      <c r="I151" s="26" t="s">
        <v>184</v>
      </c>
      <c r="J151" s="26" t="s">
        <v>375</v>
      </c>
      <c r="K151" s="26" t="s">
        <v>360</v>
      </c>
      <c r="L151" s="26" t="s">
        <v>79</v>
      </c>
      <c r="M151" s="26" t="s">
        <v>77</v>
      </c>
      <c r="N151" s="26">
        <v>0</v>
      </c>
      <c r="O151" s="26">
        <v>0</v>
      </c>
      <c r="P151" s="26">
        <v>0</v>
      </c>
      <c r="Q151" s="26">
        <v>0</v>
      </c>
      <c r="R151" s="26">
        <v>1</v>
      </c>
      <c r="S151" s="26">
        <v>0</v>
      </c>
      <c r="T151" s="26">
        <v>2</v>
      </c>
      <c r="U151" s="26">
        <v>3</v>
      </c>
      <c r="V151" s="26">
        <v>1</v>
      </c>
      <c r="W151" s="26"/>
    </row>
    <row r="152" spans="1:23" x14ac:dyDescent="0.25">
      <c r="A152" s="26" t="s">
        <v>53</v>
      </c>
      <c r="B152" s="26" t="s">
        <v>812</v>
      </c>
      <c r="C152" s="26" t="s">
        <v>813</v>
      </c>
      <c r="D152" s="26" t="s">
        <v>179</v>
      </c>
      <c r="E152" s="26" t="s">
        <v>814</v>
      </c>
      <c r="F152" s="26" t="s">
        <v>815</v>
      </c>
      <c r="G152" s="26" t="s">
        <v>413</v>
      </c>
      <c r="H152" s="26" t="s">
        <v>787</v>
      </c>
      <c r="I152" s="26" t="s">
        <v>184</v>
      </c>
      <c r="J152" s="26" t="s">
        <v>375</v>
      </c>
      <c r="K152" s="26" t="s">
        <v>360</v>
      </c>
      <c r="L152" s="26" t="s">
        <v>79</v>
      </c>
      <c r="M152" s="26" t="s">
        <v>77</v>
      </c>
      <c r="N152" s="26">
        <v>0</v>
      </c>
      <c r="O152" s="26">
        <v>0</v>
      </c>
      <c r="P152" s="26">
        <v>0</v>
      </c>
      <c r="Q152" s="26">
        <v>0</v>
      </c>
      <c r="R152" s="26">
        <v>1</v>
      </c>
      <c r="S152" s="26">
        <v>0</v>
      </c>
      <c r="T152" s="26">
        <v>1</v>
      </c>
      <c r="U152" s="26">
        <v>2</v>
      </c>
      <c r="V152" s="26">
        <v>1</v>
      </c>
      <c r="W152" s="26"/>
    </row>
    <row r="153" spans="1:23" x14ac:dyDescent="0.25">
      <c r="A153" s="26" t="s">
        <v>53</v>
      </c>
      <c r="B153" s="26" t="s">
        <v>816</v>
      </c>
      <c r="C153" s="26" t="s">
        <v>817</v>
      </c>
      <c r="D153" s="26" t="s">
        <v>179</v>
      </c>
      <c r="E153" s="26" t="s">
        <v>818</v>
      </c>
      <c r="F153" s="26" t="s">
        <v>819</v>
      </c>
      <c r="G153" s="26" t="s">
        <v>413</v>
      </c>
      <c r="H153" s="26" t="s">
        <v>787</v>
      </c>
      <c r="I153" s="26" t="s">
        <v>184</v>
      </c>
      <c r="J153" s="26" t="s">
        <v>375</v>
      </c>
      <c r="K153" s="26" t="s">
        <v>360</v>
      </c>
      <c r="L153" s="26" t="s">
        <v>79</v>
      </c>
      <c r="M153" s="26" t="s">
        <v>77</v>
      </c>
      <c r="N153" s="26">
        <v>5</v>
      </c>
      <c r="O153" s="26">
        <v>3</v>
      </c>
      <c r="P153" s="26">
        <v>2</v>
      </c>
      <c r="Q153" s="26">
        <v>0</v>
      </c>
      <c r="R153" s="26">
        <v>1</v>
      </c>
      <c r="S153" s="26">
        <v>0</v>
      </c>
      <c r="T153" s="26">
        <v>5</v>
      </c>
      <c r="U153" s="26">
        <v>6</v>
      </c>
      <c r="V153" s="26">
        <v>1</v>
      </c>
      <c r="W153" s="26"/>
    </row>
    <row r="154" spans="1:23" x14ac:dyDescent="0.25">
      <c r="A154" s="26" t="s">
        <v>53</v>
      </c>
      <c r="B154" s="26" t="s">
        <v>820</v>
      </c>
      <c r="C154" s="26" t="s">
        <v>821</v>
      </c>
      <c r="D154" s="26" t="s">
        <v>179</v>
      </c>
      <c r="E154" s="26" t="s">
        <v>822</v>
      </c>
      <c r="F154" s="26" t="s">
        <v>823</v>
      </c>
      <c r="G154" s="26" t="s">
        <v>413</v>
      </c>
      <c r="H154" s="26" t="s">
        <v>436</v>
      </c>
      <c r="I154" s="26" t="s">
        <v>184</v>
      </c>
      <c r="J154" s="26" t="s">
        <v>375</v>
      </c>
      <c r="K154" s="26" t="s">
        <v>360</v>
      </c>
      <c r="L154" s="26" t="s">
        <v>79</v>
      </c>
      <c r="M154" s="26" t="s">
        <v>77</v>
      </c>
      <c r="N154" s="26">
        <v>15</v>
      </c>
      <c r="O154" s="26">
        <v>10</v>
      </c>
      <c r="P154" s="26">
        <v>5</v>
      </c>
      <c r="Q154" s="26">
        <v>1</v>
      </c>
      <c r="R154" s="26">
        <v>1</v>
      </c>
      <c r="S154" s="26">
        <v>3</v>
      </c>
      <c r="T154" s="26">
        <v>7</v>
      </c>
      <c r="U154" s="26">
        <v>11</v>
      </c>
      <c r="V154" s="26">
        <v>1</v>
      </c>
      <c r="W154" s="26"/>
    </row>
    <row r="155" spans="1:23" x14ac:dyDescent="0.25">
      <c r="A155" s="26" t="s">
        <v>53</v>
      </c>
      <c r="B155" s="26" t="s">
        <v>824</v>
      </c>
      <c r="C155" s="26" t="s">
        <v>825</v>
      </c>
      <c r="D155" s="26" t="s">
        <v>179</v>
      </c>
      <c r="E155" s="26" t="s">
        <v>826</v>
      </c>
      <c r="F155" s="26" t="s">
        <v>827</v>
      </c>
      <c r="G155" s="26" t="s">
        <v>226</v>
      </c>
      <c r="H155" s="26" t="s">
        <v>828</v>
      </c>
      <c r="I155" s="26" t="s">
        <v>184</v>
      </c>
      <c r="J155" s="26" t="s">
        <v>427</v>
      </c>
      <c r="K155" s="26" t="s">
        <v>360</v>
      </c>
      <c r="L155" s="26" t="s">
        <v>79</v>
      </c>
      <c r="M155" s="26" t="s">
        <v>77</v>
      </c>
      <c r="N155" s="26">
        <v>16</v>
      </c>
      <c r="O155" s="26">
        <v>8</v>
      </c>
      <c r="P155" s="26">
        <v>8</v>
      </c>
      <c r="Q155" s="26">
        <v>1</v>
      </c>
      <c r="R155" s="26">
        <v>1</v>
      </c>
      <c r="S155" s="26">
        <v>1</v>
      </c>
      <c r="T155" s="26">
        <v>4</v>
      </c>
      <c r="U155" s="26">
        <v>6</v>
      </c>
      <c r="V155" s="26">
        <v>1</v>
      </c>
      <c r="W155" s="26"/>
    </row>
    <row r="156" spans="1:23" x14ac:dyDescent="0.25">
      <c r="A156" s="26" t="s">
        <v>53</v>
      </c>
      <c r="B156" s="26" t="s">
        <v>829</v>
      </c>
      <c r="C156" s="26" t="s">
        <v>830</v>
      </c>
      <c r="D156" s="26" t="s">
        <v>179</v>
      </c>
      <c r="E156" s="26" t="s">
        <v>831</v>
      </c>
      <c r="F156" s="26" t="s">
        <v>832</v>
      </c>
      <c r="G156" s="26" t="s">
        <v>226</v>
      </c>
      <c r="H156" s="26" t="s">
        <v>833</v>
      </c>
      <c r="I156" s="26" t="s">
        <v>184</v>
      </c>
      <c r="J156" s="26" t="s">
        <v>427</v>
      </c>
      <c r="K156" s="26" t="s">
        <v>360</v>
      </c>
      <c r="L156" s="26" t="s">
        <v>79</v>
      </c>
      <c r="M156" s="26" t="s">
        <v>77</v>
      </c>
      <c r="N156" s="26">
        <v>13</v>
      </c>
      <c r="O156" s="26">
        <v>5</v>
      </c>
      <c r="P156" s="26">
        <v>8</v>
      </c>
      <c r="Q156" s="26">
        <v>1</v>
      </c>
      <c r="R156" s="26">
        <v>1</v>
      </c>
      <c r="S156" s="26">
        <v>2</v>
      </c>
      <c r="T156" s="26">
        <v>5</v>
      </c>
      <c r="U156" s="26">
        <v>8</v>
      </c>
      <c r="V156" s="26">
        <v>1</v>
      </c>
      <c r="W156" s="26"/>
    </row>
    <row r="157" spans="1:23" x14ac:dyDescent="0.25">
      <c r="A157" s="26" t="s">
        <v>53</v>
      </c>
      <c r="B157" s="26" t="s">
        <v>834</v>
      </c>
      <c r="C157" s="26" t="s">
        <v>835</v>
      </c>
      <c r="D157" s="26" t="s">
        <v>179</v>
      </c>
      <c r="E157" s="26" t="s">
        <v>836</v>
      </c>
      <c r="F157" s="26" t="s">
        <v>837</v>
      </c>
      <c r="G157" s="26" t="s">
        <v>226</v>
      </c>
      <c r="H157" s="26" t="s">
        <v>833</v>
      </c>
      <c r="I157" s="26" t="s">
        <v>184</v>
      </c>
      <c r="J157" s="26" t="s">
        <v>427</v>
      </c>
      <c r="K157" s="26" t="s">
        <v>360</v>
      </c>
      <c r="L157" s="26" t="s">
        <v>79</v>
      </c>
      <c r="M157" s="26" t="s">
        <v>77</v>
      </c>
      <c r="N157" s="26">
        <v>0</v>
      </c>
      <c r="O157" s="26">
        <v>0</v>
      </c>
      <c r="P157" s="26">
        <v>0</v>
      </c>
      <c r="Q157" s="26">
        <v>0</v>
      </c>
      <c r="R157" s="26">
        <v>1</v>
      </c>
      <c r="S157" s="26">
        <v>0</v>
      </c>
      <c r="T157" s="26">
        <v>2</v>
      </c>
      <c r="U157" s="26">
        <v>3</v>
      </c>
      <c r="V157" s="26">
        <v>1</v>
      </c>
      <c r="W157" s="26"/>
    </row>
    <row r="158" spans="1:23" x14ac:dyDescent="0.25">
      <c r="A158" s="26" t="s">
        <v>53</v>
      </c>
      <c r="B158" s="26" t="s">
        <v>838</v>
      </c>
      <c r="C158" s="26" t="s">
        <v>839</v>
      </c>
      <c r="D158" s="26" t="s">
        <v>179</v>
      </c>
      <c r="E158" s="26" t="s">
        <v>840</v>
      </c>
      <c r="F158" s="26" t="s">
        <v>586</v>
      </c>
      <c r="G158" s="26" t="s">
        <v>226</v>
      </c>
      <c r="H158" s="26" t="s">
        <v>538</v>
      </c>
      <c r="I158" s="26" t="s">
        <v>184</v>
      </c>
      <c r="J158" s="26" t="s">
        <v>427</v>
      </c>
      <c r="K158" s="26" t="s">
        <v>360</v>
      </c>
      <c r="L158" s="26" t="s">
        <v>79</v>
      </c>
      <c r="M158" s="26" t="s">
        <v>77</v>
      </c>
      <c r="N158" s="26">
        <v>10</v>
      </c>
      <c r="O158" s="26">
        <v>6</v>
      </c>
      <c r="P158" s="26">
        <v>4</v>
      </c>
      <c r="Q158" s="26">
        <v>1</v>
      </c>
      <c r="R158" s="26">
        <v>1</v>
      </c>
      <c r="S158" s="26">
        <v>2</v>
      </c>
      <c r="T158" s="26">
        <v>3</v>
      </c>
      <c r="U158" s="26">
        <v>6</v>
      </c>
      <c r="V158" s="26">
        <v>1</v>
      </c>
      <c r="W158" s="26"/>
    </row>
    <row r="159" spans="1:23" x14ac:dyDescent="0.25">
      <c r="A159" s="26" t="s">
        <v>53</v>
      </c>
      <c r="B159" s="26" t="s">
        <v>841</v>
      </c>
      <c r="C159" s="26" t="s">
        <v>842</v>
      </c>
      <c r="D159" s="26" t="s">
        <v>179</v>
      </c>
      <c r="E159" s="26" t="s">
        <v>843</v>
      </c>
      <c r="F159" s="26" t="s">
        <v>844</v>
      </c>
      <c r="G159" s="26" t="s">
        <v>226</v>
      </c>
      <c r="H159" s="26" t="s">
        <v>828</v>
      </c>
      <c r="I159" s="26" t="s">
        <v>184</v>
      </c>
      <c r="J159" s="26" t="s">
        <v>427</v>
      </c>
      <c r="K159" s="26" t="s">
        <v>360</v>
      </c>
      <c r="L159" s="26" t="s">
        <v>79</v>
      </c>
      <c r="M159" s="26" t="s">
        <v>77</v>
      </c>
      <c r="N159" s="26">
        <v>10</v>
      </c>
      <c r="O159" s="26">
        <v>6</v>
      </c>
      <c r="P159" s="26">
        <v>4</v>
      </c>
      <c r="Q159" s="26">
        <v>1</v>
      </c>
      <c r="R159" s="26">
        <v>1</v>
      </c>
      <c r="S159" s="26">
        <v>1</v>
      </c>
      <c r="T159" s="26">
        <v>7</v>
      </c>
      <c r="U159" s="26">
        <v>9</v>
      </c>
      <c r="V159" s="26">
        <v>1</v>
      </c>
      <c r="W159" s="26"/>
    </row>
    <row r="160" spans="1:23" x14ac:dyDescent="0.25">
      <c r="A160" s="26" t="s">
        <v>53</v>
      </c>
      <c r="B160" s="26" t="s">
        <v>845</v>
      </c>
      <c r="C160" s="26" t="s">
        <v>846</v>
      </c>
      <c r="D160" s="26" t="s">
        <v>179</v>
      </c>
      <c r="E160" s="26" t="s">
        <v>847</v>
      </c>
      <c r="F160" s="26" t="s">
        <v>848</v>
      </c>
      <c r="G160" s="26" t="s">
        <v>226</v>
      </c>
      <c r="H160" s="26" t="s">
        <v>538</v>
      </c>
      <c r="I160" s="26" t="s">
        <v>184</v>
      </c>
      <c r="J160" s="26" t="s">
        <v>427</v>
      </c>
      <c r="K160" s="26" t="s">
        <v>360</v>
      </c>
      <c r="L160" s="26" t="s">
        <v>79</v>
      </c>
      <c r="M160" s="26" t="s">
        <v>77</v>
      </c>
      <c r="N160" s="26">
        <v>6</v>
      </c>
      <c r="O160" s="26">
        <v>4</v>
      </c>
      <c r="P160" s="26">
        <v>2</v>
      </c>
      <c r="Q160" s="26">
        <v>1</v>
      </c>
      <c r="R160" s="26">
        <v>1</v>
      </c>
      <c r="S160" s="26">
        <v>1</v>
      </c>
      <c r="T160" s="26">
        <v>5</v>
      </c>
      <c r="U160" s="26">
        <v>7</v>
      </c>
      <c r="V160" s="26">
        <v>1</v>
      </c>
      <c r="W160" s="26"/>
    </row>
    <row r="161" spans="1:23" x14ac:dyDescent="0.25">
      <c r="A161" s="26" t="s">
        <v>53</v>
      </c>
      <c r="B161" s="26" t="s">
        <v>849</v>
      </c>
      <c r="C161" s="26" t="s">
        <v>850</v>
      </c>
      <c r="D161" s="26" t="s">
        <v>179</v>
      </c>
      <c r="E161" s="26" t="s">
        <v>851</v>
      </c>
      <c r="F161" s="26" t="s">
        <v>852</v>
      </c>
      <c r="G161" s="26" t="s">
        <v>226</v>
      </c>
      <c r="H161" s="26" t="s">
        <v>833</v>
      </c>
      <c r="I161" s="26" t="s">
        <v>184</v>
      </c>
      <c r="J161" s="26" t="s">
        <v>427</v>
      </c>
      <c r="K161" s="26" t="s">
        <v>360</v>
      </c>
      <c r="L161" s="26" t="s">
        <v>79</v>
      </c>
      <c r="M161" s="26" t="s">
        <v>77</v>
      </c>
      <c r="N161" s="26">
        <v>0</v>
      </c>
      <c r="O161" s="26">
        <v>0</v>
      </c>
      <c r="P161" s="26">
        <v>0</v>
      </c>
      <c r="Q161" s="26">
        <v>0</v>
      </c>
      <c r="R161" s="26">
        <v>1</v>
      </c>
      <c r="S161" s="26">
        <v>1</v>
      </c>
      <c r="T161" s="26">
        <v>3</v>
      </c>
      <c r="U161" s="26">
        <v>5</v>
      </c>
      <c r="V161" s="26">
        <v>1</v>
      </c>
      <c r="W161" s="26"/>
    </row>
    <row r="162" spans="1:23" x14ac:dyDescent="0.25">
      <c r="A162" s="26" t="s">
        <v>53</v>
      </c>
      <c r="B162" s="26" t="s">
        <v>853</v>
      </c>
      <c r="C162" s="26" t="s">
        <v>854</v>
      </c>
      <c r="D162" s="26" t="s">
        <v>179</v>
      </c>
      <c r="E162" s="26" t="s">
        <v>855</v>
      </c>
      <c r="F162" s="26" t="s">
        <v>832</v>
      </c>
      <c r="G162" s="26" t="s">
        <v>226</v>
      </c>
      <c r="H162" s="26" t="s">
        <v>538</v>
      </c>
      <c r="I162" s="26" t="s">
        <v>184</v>
      </c>
      <c r="J162" s="26" t="s">
        <v>427</v>
      </c>
      <c r="K162" s="26" t="s">
        <v>360</v>
      </c>
      <c r="L162" s="26" t="s">
        <v>79</v>
      </c>
      <c r="M162" s="26" t="s">
        <v>77</v>
      </c>
      <c r="N162" s="26">
        <v>10</v>
      </c>
      <c r="O162" s="26">
        <v>4</v>
      </c>
      <c r="P162" s="26">
        <v>6</v>
      </c>
      <c r="Q162" s="26">
        <v>1</v>
      </c>
      <c r="R162" s="26">
        <v>1</v>
      </c>
      <c r="S162" s="26">
        <v>3</v>
      </c>
      <c r="T162" s="26">
        <v>7</v>
      </c>
      <c r="U162" s="26">
        <v>11</v>
      </c>
      <c r="V162" s="26">
        <v>1</v>
      </c>
      <c r="W162" s="26"/>
    </row>
    <row r="163" spans="1:23" x14ac:dyDescent="0.25">
      <c r="A163" s="26" t="s">
        <v>53</v>
      </c>
      <c r="B163" s="26" t="s">
        <v>856</v>
      </c>
      <c r="C163" s="26" t="s">
        <v>857</v>
      </c>
      <c r="D163" s="26" t="s">
        <v>179</v>
      </c>
      <c r="E163" s="26" t="s">
        <v>858</v>
      </c>
      <c r="F163" s="26" t="s">
        <v>844</v>
      </c>
      <c r="G163" s="26" t="s">
        <v>226</v>
      </c>
      <c r="H163" s="26" t="s">
        <v>828</v>
      </c>
      <c r="I163" s="26" t="s">
        <v>184</v>
      </c>
      <c r="J163" s="26" t="s">
        <v>427</v>
      </c>
      <c r="K163" s="26" t="s">
        <v>360</v>
      </c>
      <c r="L163" s="26" t="s">
        <v>79</v>
      </c>
      <c r="M163" s="26" t="s">
        <v>77</v>
      </c>
      <c r="N163" s="26">
        <v>10</v>
      </c>
      <c r="O163" s="26">
        <v>6</v>
      </c>
      <c r="P163" s="26">
        <v>4</v>
      </c>
      <c r="Q163" s="26">
        <v>1</v>
      </c>
      <c r="R163" s="26">
        <v>1</v>
      </c>
      <c r="S163" s="26">
        <v>1</v>
      </c>
      <c r="T163" s="26">
        <v>5</v>
      </c>
      <c r="U163" s="26">
        <v>7</v>
      </c>
      <c r="V163" s="26">
        <v>1</v>
      </c>
      <c r="W163" s="26"/>
    </row>
    <row r="164" spans="1:23" x14ac:dyDescent="0.25">
      <c r="A164" s="26" t="s">
        <v>53</v>
      </c>
      <c r="B164" s="26" t="s">
        <v>859</v>
      </c>
      <c r="C164" s="26" t="s">
        <v>860</v>
      </c>
      <c r="D164" s="26" t="s">
        <v>179</v>
      </c>
      <c r="E164" s="26" t="s">
        <v>861</v>
      </c>
      <c r="F164" s="26" t="s">
        <v>862</v>
      </c>
      <c r="G164" s="26" t="s">
        <v>226</v>
      </c>
      <c r="H164" s="26" t="s">
        <v>828</v>
      </c>
      <c r="I164" s="26" t="s">
        <v>184</v>
      </c>
      <c r="J164" s="26" t="s">
        <v>427</v>
      </c>
      <c r="K164" s="26" t="s">
        <v>360</v>
      </c>
      <c r="L164" s="26" t="s">
        <v>79</v>
      </c>
      <c r="M164" s="26" t="s">
        <v>77</v>
      </c>
      <c r="N164" s="26">
        <v>10</v>
      </c>
      <c r="O164" s="26">
        <v>4</v>
      </c>
      <c r="P164" s="26">
        <v>6</v>
      </c>
      <c r="Q164" s="26">
        <v>1</v>
      </c>
      <c r="R164" s="26">
        <v>1</v>
      </c>
      <c r="S164" s="26">
        <v>2</v>
      </c>
      <c r="T164" s="26">
        <v>4</v>
      </c>
      <c r="U164" s="26">
        <v>7</v>
      </c>
      <c r="V164" s="26">
        <v>1</v>
      </c>
      <c r="W164" s="26"/>
    </row>
    <row r="165" spans="1:23" x14ac:dyDescent="0.25">
      <c r="A165" s="26" t="s">
        <v>53</v>
      </c>
      <c r="B165" s="26" t="s">
        <v>863</v>
      </c>
      <c r="C165" s="26" t="s">
        <v>864</v>
      </c>
      <c r="D165" s="26" t="s">
        <v>179</v>
      </c>
      <c r="E165" s="26" t="s">
        <v>865</v>
      </c>
      <c r="F165" s="26" t="s">
        <v>866</v>
      </c>
      <c r="G165" s="26" t="s">
        <v>226</v>
      </c>
      <c r="H165" s="26" t="s">
        <v>833</v>
      </c>
      <c r="I165" s="26" t="s">
        <v>184</v>
      </c>
      <c r="J165" s="26" t="s">
        <v>427</v>
      </c>
      <c r="K165" s="26" t="s">
        <v>360</v>
      </c>
      <c r="L165" s="26" t="s">
        <v>79</v>
      </c>
      <c r="M165" s="26" t="s">
        <v>77</v>
      </c>
      <c r="N165" s="26">
        <v>13</v>
      </c>
      <c r="O165" s="26">
        <v>7</v>
      </c>
      <c r="P165" s="26">
        <v>6</v>
      </c>
      <c r="Q165" s="26">
        <v>1</v>
      </c>
      <c r="R165" s="26">
        <v>1</v>
      </c>
      <c r="S165" s="26">
        <v>2</v>
      </c>
      <c r="T165" s="26">
        <v>8</v>
      </c>
      <c r="U165" s="26">
        <v>11</v>
      </c>
      <c r="V165" s="26">
        <v>1</v>
      </c>
      <c r="W165" s="26"/>
    </row>
    <row r="166" spans="1:23" x14ac:dyDescent="0.25">
      <c r="A166" s="26" t="s">
        <v>53</v>
      </c>
      <c r="B166" s="26" t="s">
        <v>867</v>
      </c>
      <c r="C166" s="26" t="s">
        <v>868</v>
      </c>
      <c r="D166" s="26" t="s">
        <v>179</v>
      </c>
      <c r="E166" s="26" t="s">
        <v>869</v>
      </c>
      <c r="F166" s="26" t="s">
        <v>870</v>
      </c>
      <c r="G166" s="26" t="s">
        <v>226</v>
      </c>
      <c r="H166" s="26" t="s">
        <v>603</v>
      </c>
      <c r="I166" s="26" t="s">
        <v>184</v>
      </c>
      <c r="J166" s="26" t="s">
        <v>427</v>
      </c>
      <c r="K166" s="26" t="s">
        <v>360</v>
      </c>
      <c r="L166" s="26" t="s">
        <v>79</v>
      </c>
      <c r="M166" s="26" t="s">
        <v>77</v>
      </c>
      <c r="N166" s="26">
        <v>13</v>
      </c>
      <c r="O166" s="26">
        <v>7</v>
      </c>
      <c r="P166" s="26">
        <v>6</v>
      </c>
      <c r="Q166" s="26">
        <v>0</v>
      </c>
      <c r="R166" s="26">
        <v>1</v>
      </c>
      <c r="S166" s="26">
        <v>3</v>
      </c>
      <c r="T166" s="26">
        <v>4</v>
      </c>
      <c r="U166" s="26">
        <v>8</v>
      </c>
      <c r="V166" s="26">
        <v>1</v>
      </c>
      <c r="W166" s="26"/>
    </row>
    <row r="167" spans="1:23" x14ac:dyDescent="0.25">
      <c r="A167" s="26" t="s">
        <v>53</v>
      </c>
      <c r="B167" s="26" t="s">
        <v>871</v>
      </c>
      <c r="C167" s="26" t="s">
        <v>872</v>
      </c>
      <c r="D167" s="26" t="s">
        <v>179</v>
      </c>
      <c r="E167" s="26" t="s">
        <v>873</v>
      </c>
      <c r="F167" s="26" t="s">
        <v>827</v>
      </c>
      <c r="G167" s="26" t="s">
        <v>226</v>
      </c>
      <c r="H167" s="26" t="s">
        <v>828</v>
      </c>
      <c r="I167" s="26" t="s">
        <v>184</v>
      </c>
      <c r="J167" s="26" t="s">
        <v>427</v>
      </c>
      <c r="K167" s="26" t="s">
        <v>360</v>
      </c>
      <c r="L167" s="26" t="s">
        <v>79</v>
      </c>
      <c r="M167" s="26" t="s">
        <v>77</v>
      </c>
      <c r="N167" s="26">
        <v>0</v>
      </c>
      <c r="O167" s="26">
        <v>0</v>
      </c>
      <c r="P167" s="26">
        <v>0</v>
      </c>
      <c r="Q167" s="26">
        <v>0</v>
      </c>
      <c r="R167" s="26">
        <v>1</v>
      </c>
      <c r="S167" s="26">
        <v>0</v>
      </c>
      <c r="T167" s="26">
        <v>3</v>
      </c>
      <c r="U167" s="26">
        <v>4</v>
      </c>
      <c r="V167" s="26">
        <v>1</v>
      </c>
      <c r="W167" s="26"/>
    </row>
    <row r="168" spans="1:23" x14ac:dyDescent="0.25">
      <c r="A168" s="26" t="s">
        <v>53</v>
      </c>
      <c r="B168" s="26" t="s">
        <v>874</v>
      </c>
      <c r="C168" s="26" t="s">
        <v>875</v>
      </c>
      <c r="D168" s="26" t="s">
        <v>179</v>
      </c>
      <c r="E168" s="26" t="s">
        <v>876</v>
      </c>
      <c r="F168" s="26" t="s">
        <v>309</v>
      </c>
      <c r="G168" s="26" t="s">
        <v>226</v>
      </c>
      <c r="H168" s="26" t="s">
        <v>538</v>
      </c>
      <c r="I168" s="26" t="s">
        <v>184</v>
      </c>
      <c r="J168" s="26" t="s">
        <v>427</v>
      </c>
      <c r="K168" s="26" t="s">
        <v>360</v>
      </c>
      <c r="L168" s="26" t="s">
        <v>79</v>
      </c>
      <c r="M168" s="26" t="s">
        <v>77</v>
      </c>
      <c r="N168" s="26">
        <v>12</v>
      </c>
      <c r="O168" s="26">
        <v>7</v>
      </c>
      <c r="P168" s="26">
        <v>5</v>
      </c>
      <c r="Q168" s="26">
        <v>1</v>
      </c>
      <c r="R168" s="26">
        <v>1</v>
      </c>
      <c r="S168" s="26">
        <v>2</v>
      </c>
      <c r="T168" s="26">
        <v>2</v>
      </c>
      <c r="U168" s="26">
        <v>5</v>
      </c>
      <c r="V168" s="26">
        <v>1</v>
      </c>
      <c r="W168" s="26"/>
    </row>
    <row r="169" spans="1:23" x14ac:dyDescent="0.25">
      <c r="A169" s="26" t="s">
        <v>53</v>
      </c>
      <c r="B169" s="26" t="s">
        <v>877</v>
      </c>
      <c r="C169" s="26" t="s">
        <v>878</v>
      </c>
      <c r="D169" s="26" t="s">
        <v>179</v>
      </c>
      <c r="E169" s="26" t="s">
        <v>879</v>
      </c>
      <c r="F169" s="26" t="s">
        <v>880</v>
      </c>
      <c r="G169" s="26" t="s">
        <v>210</v>
      </c>
      <c r="H169" s="26" t="s">
        <v>881</v>
      </c>
      <c r="I169" s="26" t="s">
        <v>184</v>
      </c>
      <c r="J169" s="26" t="s">
        <v>322</v>
      </c>
      <c r="K169" s="26" t="s">
        <v>360</v>
      </c>
      <c r="L169" s="26" t="s">
        <v>79</v>
      </c>
      <c r="M169" s="26" t="s">
        <v>77</v>
      </c>
      <c r="N169" s="26">
        <v>0</v>
      </c>
      <c r="O169" s="26">
        <v>0</v>
      </c>
      <c r="P169" s="26">
        <v>0</v>
      </c>
      <c r="Q169" s="26">
        <v>0</v>
      </c>
      <c r="R169" s="26">
        <v>1</v>
      </c>
      <c r="S169" s="26">
        <v>1</v>
      </c>
      <c r="T169" s="26">
        <v>3</v>
      </c>
      <c r="U169" s="26">
        <v>5</v>
      </c>
      <c r="V169" s="26">
        <v>1</v>
      </c>
      <c r="W169" s="26"/>
    </row>
    <row r="170" spans="1:23" x14ac:dyDescent="0.25">
      <c r="A170" s="26" t="s">
        <v>53</v>
      </c>
      <c r="B170" s="26" t="s">
        <v>882</v>
      </c>
      <c r="C170" s="26" t="s">
        <v>883</v>
      </c>
      <c r="D170" s="26" t="s">
        <v>179</v>
      </c>
      <c r="E170" s="26" t="s">
        <v>884</v>
      </c>
      <c r="F170" s="26" t="s">
        <v>885</v>
      </c>
      <c r="G170" s="26" t="s">
        <v>210</v>
      </c>
      <c r="H170" s="26" t="s">
        <v>886</v>
      </c>
      <c r="I170" s="26" t="s">
        <v>184</v>
      </c>
      <c r="J170" s="26" t="s">
        <v>322</v>
      </c>
      <c r="K170" s="26" t="s">
        <v>360</v>
      </c>
      <c r="L170" s="26" t="s">
        <v>79</v>
      </c>
      <c r="M170" s="26" t="s">
        <v>77</v>
      </c>
      <c r="N170" s="26">
        <v>0</v>
      </c>
      <c r="O170" s="26">
        <v>0</v>
      </c>
      <c r="P170" s="26">
        <v>0</v>
      </c>
      <c r="Q170" s="26">
        <v>0</v>
      </c>
      <c r="R170" s="26">
        <v>1</v>
      </c>
      <c r="S170" s="26">
        <v>0</v>
      </c>
      <c r="T170" s="26">
        <v>5</v>
      </c>
      <c r="U170" s="26">
        <v>6</v>
      </c>
      <c r="V170" s="26">
        <v>1</v>
      </c>
      <c r="W170" s="26"/>
    </row>
    <row r="171" spans="1:23" x14ac:dyDescent="0.25">
      <c r="A171" s="26" t="s">
        <v>53</v>
      </c>
      <c r="B171" s="26" t="s">
        <v>887</v>
      </c>
      <c r="C171" s="26" t="s">
        <v>888</v>
      </c>
      <c r="D171" s="26" t="s">
        <v>179</v>
      </c>
      <c r="E171" s="26" t="s">
        <v>889</v>
      </c>
      <c r="F171" s="26" t="s">
        <v>890</v>
      </c>
      <c r="G171" s="26" t="s">
        <v>210</v>
      </c>
      <c r="H171" s="26" t="s">
        <v>570</v>
      </c>
      <c r="I171" s="26" t="s">
        <v>184</v>
      </c>
      <c r="J171" s="26" t="s">
        <v>322</v>
      </c>
      <c r="K171" s="26" t="s">
        <v>360</v>
      </c>
      <c r="L171" s="26" t="s">
        <v>79</v>
      </c>
      <c r="M171" s="26" t="s">
        <v>77</v>
      </c>
      <c r="N171" s="26">
        <v>0</v>
      </c>
      <c r="O171" s="26">
        <v>0</v>
      </c>
      <c r="P171" s="26">
        <v>0</v>
      </c>
      <c r="Q171" s="26">
        <v>0</v>
      </c>
      <c r="R171" s="26">
        <v>1</v>
      </c>
      <c r="S171" s="26">
        <v>0</v>
      </c>
      <c r="T171" s="26">
        <v>3</v>
      </c>
      <c r="U171" s="26">
        <v>4</v>
      </c>
      <c r="V171" s="26">
        <v>1</v>
      </c>
      <c r="W171" s="26"/>
    </row>
    <row r="172" spans="1:23" x14ac:dyDescent="0.25">
      <c r="A172" s="26" t="s">
        <v>53</v>
      </c>
      <c r="B172" s="26" t="s">
        <v>891</v>
      </c>
      <c r="C172" s="26" t="s">
        <v>892</v>
      </c>
      <c r="D172" s="26" t="s">
        <v>179</v>
      </c>
      <c r="E172" s="26" t="s">
        <v>893</v>
      </c>
      <c r="F172" s="26" t="s">
        <v>342</v>
      </c>
      <c r="G172" s="26" t="s">
        <v>210</v>
      </c>
      <c r="H172" s="26" t="s">
        <v>365</v>
      </c>
      <c r="I172" s="26" t="s">
        <v>184</v>
      </c>
      <c r="J172" s="26" t="s">
        <v>322</v>
      </c>
      <c r="K172" s="26" t="s">
        <v>360</v>
      </c>
      <c r="L172" s="26" t="s">
        <v>79</v>
      </c>
      <c r="M172" s="26" t="s">
        <v>77</v>
      </c>
      <c r="N172" s="26">
        <v>0</v>
      </c>
      <c r="O172" s="26">
        <v>0</v>
      </c>
      <c r="P172" s="26">
        <v>0</v>
      </c>
      <c r="Q172" s="26">
        <v>0</v>
      </c>
      <c r="R172" s="26">
        <v>1</v>
      </c>
      <c r="S172" s="26">
        <v>0</v>
      </c>
      <c r="T172" s="26">
        <v>3</v>
      </c>
      <c r="U172" s="26">
        <v>4</v>
      </c>
      <c r="V172" s="26">
        <v>1</v>
      </c>
      <c r="W172" s="26"/>
    </row>
    <row r="173" spans="1:23" x14ac:dyDescent="0.25">
      <c r="A173" s="26" t="s">
        <v>53</v>
      </c>
      <c r="B173" s="26" t="s">
        <v>894</v>
      </c>
      <c r="C173" s="26" t="s">
        <v>895</v>
      </c>
      <c r="D173" s="26" t="s">
        <v>179</v>
      </c>
      <c r="E173" s="26" t="s">
        <v>896</v>
      </c>
      <c r="F173" s="26" t="s">
        <v>897</v>
      </c>
      <c r="G173" s="26" t="s">
        <v>210</v>
      </c>
      <c r="H173" s="26" t="s">
        <v>570</v>
      </c>
      <c r="I173" s="26" t="s">
        <v>184</v>
      </c>
      <c r="J173" s="26" t="s">
        <v>322</v>
      </c>
      <c r="K173" s="26" t="s">
        <v>360</v>
      </c>
      <c r="L173" s="26" t="s">
        <v>79</v>
      </c>
      <c r="M173" s="26" t="s">
        <v>77</v>
      </c>
      <c r="N173" s="26">
        <v>0</v>
      </c>
      <c r="O173" s="26">
        <v>0</v>
      </c>
      <c r="P173" s="26">
        <v>0</v>
      </c>
      <c r="Q173" s="26">
        <v>0</v>
      </c>
      <c r="R173" s="26">
        <v>0</v>
      </c>
      <c r="S173" s="26">
        <v>0</v>
      </c>
      <c r="T173" s="26">
        <v>2</v>
      </c>
      <c r="U173" s="26">
        <v>2</v>
      </c>
      <c r="V173" s="26">
        <v>1</v>
      </c>
      <c r="W173" s="26"/>
    </row>
    <row r="174" spans="1:23" x14ac:dyDescent="0.25">
      <c r="A174" s="26" t="s">
        <v>53</v>
      </c>
      <c r="B174" s="26" t="s">
        <v>898</v>
      </c>
      <c r="C174" s="26" t="s">
        <v>899</v>
      </c>
      <c r="D174" s="26" t="s">
        <v>179</v>
      </c>
      <c r="E174" s="26" t="s">
        <v>900</v>
      </c>
      <c r="F174" s="26" t="s">
        <v>901</v>
      </c>
      <c r="G174" s="26" t="s">
        <v>210</v>
      </c>
      <c r="H174" s="26" t="s">
        <v>332</v>
      </c>
      <c r="I174" s="26" t="s">
        <v>184</v>
      </c>
      <c r="J174" s="26" t="s">
        <v>322</v>
      </c>
      <c r="K174" s="26" t="s">
        <v>360</v>
      </c>
      <c r="L174" s="26" t="s">
        <v>79</v>
      </c>
      <c r="M174" s="26" t="s">
        <v>77</v>
      </c>
      <c r="N174" s="26">
        <v>0</v>
      </c>
      <c r="O174" s="26">
        <v>0</v>
      </c>
      <c r="P174" s="26">
        <v>0</v>
      </c>
      <c r="Q174" s="26">
        <v>0</v>
      </c>
      <c r="R174" s="26">
        <v>1</v>
      </c>
      <c r="S174" s="26">
        <v>0</v>
      </c>
      <c r="T174" s="26">
        <v>2</v>
      </c>
      <c r="U174" s="26">
        <v>3</v>
      </c>
      <c r="V174" s="26">
        <v>1</v>
      </c>
      <c r="W174" s="26"/>
    </row>
    <row r="175" spans="1:23" x14ac:dyDescent="0.25">
      <c r="A175" s="26" t="s">
        <v>53</v>
      </c>
      <c r="B175" s="26" t="s">
        <v>902</v>
      </c>
      <c r="C175" s="26" t="s">
        <v>903</v>
      </c>
      <c r="D175" s="26" t="s">
        <v>179</v>
      </c>
      <c r="E175" s="26" t="s">
        <v>904</v>
      </c>
      <c r="F175" s="26" t="s">
        <v>905</v>
      </c>
      <c r="G175" s="26" t="s">
        <v>210</v>
      </c>
      <c r="H175" s="26" t="s">
        <v>570</v>
      </c>
      <c r="I175" s="26" t="s">
        <v>184</v>
      </c>
      <c r="J175" s="26" t="s">
        <v>322</v>
      </c>
      <c r="K175" s="26" t="s">
        <v>360</v>
      </c>
      <c r="L175" s="26" t="s">
        <v>79</v>
      </c>
      <c r="M175" s="26" t="s">
        <v>77</v>
      </c>
      <c r="N175" s="26">
        <v>0</v>
      </c>
      <c r="O175" s="26">
        <v>0</v>
      </c>
      <c r="P175" s="26">
        <v>0</v>
      </c>
      <c r="Q175" s="26">
        <v>0</v>
      </c>
      <c r="R175" s="26">
        <v>1</v>
      </c>
      <c r="S175" s="26">
        <v>0</v>
      </c>
      <c r="T175" s="26">
        <v>2</v>
      </c>
      <c r="U175" s="26">
        <v>3</v>
      </c>
      <c r="V175" s="26">
        <v>1</v>
      </c>
      <c r="W175" s="26"/>
    </row>
    <row r="176" spans="1:23" x14ac:dyDescent="0.25">
      <c r="A176" s="26" t="s">
        <v>53</v>
      </c>
      <c r="B176" s="26" t="s">
        <v>906</v>
      </c>
      <c r="C176" s="26" t="s">
        <v>907</v>
      </c>
      <c r="D176" s="26" t="s">
        <v>179</v>
      </c>
      <c r="E176" s="26" t="s">
        <v>908</v>
      </c>
      <c r="F176" s="26" t="s">
        <v>909</v>
      </c>
      <c r="G176" s="26" t="s">
        <v>210</v>
      </c>
      <c r="H176" s="26" t="s">
        <v>886</v>
      </c>
      <c r="I176" s="26" t="s">
        <v>184</v>
      </c>
      <c r="J176" s="26" t="s">
        <v>322</v>
      </c>
      <c r="K176" s="26" t="s">
        <v>360</v>
      </c>
      <c r="L176" s="26" t="s">
        <v>79</v>
      </c>
      <c r="M176" s="26" t="s">
        <v>77</v>
      </c>
      <c r="N176" s="26">
        <v>0</v>
      </c>
      <c r="O176" s="26">
        <v>0</v>
      </c>
      <c r="P176" s="26">
        <v>0</v>
      </c>
      <c r="Q176" s="26">
        <v>0</v>
      </c>
      <c r="R176" s="26">
        <v>1</v>
      </c>
      <c r="S176" s="26">
        <v>0</v>
      </c>
      <c r="T176" s="26">
        <v>4</v>
      </c>
      <c r="U176" s="26">
        <v>5</v>
      </c>
      <c r="V176" s="26">
        <v>1</v>
      </c>
      <c r="W176" s="26"/>
    </row>
    <row r="177" spans="1:23" x14ac:dyDescent="0.25">
      <c r="A177" s="26" t="s">
        <v>53</v>
      </c>
      <c r="B177" s="26" t="s">
        <v>910</v>
      </c>
      <c r="C177" s="26" t="s">
        <v>911</v>
      </c>
      <c r="D177" s="26" t="s">
        <v>179</v>
      </c>
      <c r="E177" s="26" t="s">
        <v>912</v>
      </c>
      <c r="F177" s="26" t="s">
        <v>913</v>
      </c>
      <c r="G177" s="26" t="s">
        <v>210</v>
      </c>
      <c r="H177" s="26" t="s">
        <v>332</v>
      </c>
      <c r="I177" s="26" t="s">
        <v>184</v>
      </c>
      <c r="J177" s="26" t="s">
        <v>322</v>
      </c>
      <c r="K177" s="26" t="s">
        <v>360</v>
      </c>
      <c r="L177" s="26" t="s">
        <v>79</v>
      </c>
      <c r="M177" s="26" t="s">
        <v>77</v>
      </c>
      <c r="N177" s="26">
        <v>0</v>
      </c>
      <c r="O177" s="26">
        <v>0</v>
      </c>
      <c r="P177" s="26">
        <v>0</v>
      </c>
      <c r="Q177" s="26">
        <v>0</v>
      </c>
      <c r="R177" s="26">
        <v>1</v>
      </c>
      <c r="S177" s="26">
        <v>0</v>
      </c>
      <c r="T177" s="26">
        <v>3</v>
      </c>
      <c r="U177" s="26">
        <v>4</v>
      </c>
      <c r="V177" s="26">
        <v>1</v>
      </c>
      <c r="W177" s="26"/>
    </row>
    <row r="178" spans="1:23" x14ac:dyDescent="0.25">
      <c r="A178" s="26" t="s">
        <v>53</v>
      </c>
      <c r="B178" s="26" t="s">
        <v>914</v>
      </c>
      <c r="C178" s="26" t="s">
        <v>915</v>
      </c>
      <c r="D178" s="26" t="s">
        <v>179</v>
      </c>
      <c r="E178" s="26" t="s">
        <v>916</v>
      </c>
      <c r="F178" s="26" t="s">
        <v>917</v>
      </c>
      <c r="G178" s="26" t="s">
        <v>210</v>
      </c>
      <c r="H178" s="26" t="s">
        <v>570</v>
      </c>
      <c r="I178" s="26" t="s">
        <v>184</v>
      </c>
      <c r="J178" s="26" t="s">
        <v>322</v>
      </c>
      <c r="K178" s="26" t="s">
        <v>360</v>
      </c>
      <c r="L178" s="26" t="s">
        <v>79</v>
      </c>
      <c r="M178" s="26" t="s">
        <v>77</v>
      </c>
      <c r="N178" s="26">
        <v>0</v>
      </c>
      <c r="O178" s="26">
        <v>0</v>
      </c>
      <c r="P178" s="26">
        <v>0</v>
      </c>
      <c r="Q178" s="26">
        <v>0</v>
      </c>
      <c r="R178" s="26">
        <v>1</v>
      </c>
      <c r="S178" s="26">
        <v>0</v>
      </c>
      <c r="T178" s="26">
        <v>3</v>
      </c>
      <c r="U178" s="26">
        <v>4</v>
      </c>
      <c r="V178" s="26">
        <v>1</v>
      </c>
      <c r="W178" s="26"/>
    </row>
    <row r="179" spans="1:23" x14ac:dyDescent="0.25">
      <c r="A179" s="26" t="s">
        <v>53</v>
      </c>
      <c r="B179" s="26" t="s">
        <v>918</v>
      </c>
      <c r="C179" s="26" t="s">
        <v>919</v>
      </c>
      <c r="D179" s="26" t="s">
        <v>179</v>
      </c>
      <c r="E179" s="26" t="s">
        <v>920</v>
      </c>
      <c r="F179" s="26" t="s">
        <v>921</v>
      </c>
      <c r="G179" s="26" t="s">
        <v>210</v>
      </c>
      <c r="H179" s="26" t="s">
        <v>886</v>
      </c>
      <c r="I179" s="26" t="s">
        <v>184</v>
      </c>
      <c r="J179" s="26" t="s">
        <v>322</v>
      </c>
      <c r="K179" s="26" t="s">
        <v>360</v>
      </c>
      <c r="L179" s="26" t="s">
        <v>79</v>
      </c>
      <c r="M179" s="26" t="s">
        <v>77</v>
      </c>
      <c r="N179" s="26">
        <v>0</v>
      </c>
      <c r="O179" s="26">
        <v>0</v>
      </c>
      <c r="P179" s="26">
        <v>0</v>
      </c>
      <c r="Q179" s="26">
        <v>0</v>
      </c>
      <c r="R179" s="26">
        <v>1</v>
      </c>
      <c r="S179" s="26">
        <v>0</v>
      </c>
      <c r="T179" s="26">
        <v>2</v>
      </c>
      <c r="U179" s="26">
        <v>3</v>
      </c>
      <c r="V179" s="26">
        <v>1</v>
      </c>
      <c r="W179" s="26"/>
    </row>
    <row r="180" spans="1:23" x14ac:dyDescent="0.25">
      <c r="A180" s="26" t="s">
        <v>53</v>
      </c>
      <c r="B180" s="26" t="s">
        <v>922</v>
      </c>
      <c r="C180" s="26" t="s">
        <v>923</v>
      </c>
      <c r="D180" s="26" t="s">
        <v>179</v>
      </c>
      <c r="E180" s="26" t="s">
        <v>924</v>
      </c>
      <c r="F180" s="26" t="s">
        <v>925</v>
      </c>
      <c r="G180" s="26" t="s">
        <v>487</v>
      </c>
      <c r="H180" s="26" t="s">
        <v>926</v>
      </c>
      <c r="I180" s="26" t="s">
        <v>184</v>
      </c>
      <c r="J180" s="26" t="s">
        <v>375</v>
      </c>
      <c r="K180" s="26" t="s">
        <v>360</v>
      </c>
      <c r="L180" s="26" t="s">
        <v>79</v>
      </c>
      <c r="M180" s="26" t="s">
        <v>77</v>
      </c>
      <c r="N180" s="26">
        <v>16</v>
      </c>
      <c r="O180" s="26">
        <v>10</v>
      </c>
      <c r="P180" s="26">
        <v>6</v>
      </c>
      <c r="Q180" s="26">
        <v>2</v>
      </c>
      <c r="R180" s="26">
        <v>1</v>
      </c>
      <c r="S180" s="26">
        <v>4</v>
      </c>
      <c r="T180" s="26">
        <v>4</v>
      </c>
      <c r="U180" s="26">
        <v>9</v>
      </c>
      <c r="V180" s="26">
        <v>1</v>
      </c>
      <c r="W180" s="26"/>
    </row>
    <row r="181" spans="1:23" x14ac:dyDescent="0.25">
      <c r="A181" s="26" t="s">
        <v>53</v>
      </c>
      <c r="B181" s="26" t="s">
        <v>927</v>
      </c>
      <c r="C181" s="26" t="s">
        <v>795</v>
      </c>
      <c r="D181" s="26" t="s">
        <v>179</v>
      </c>
      <c r="E181" s="26" t="s">
        <v>928</v>
      </c>
      <c r="F181" s="26" t="s">
        <v>929</v>
      </c>
      <c r="G181" s="26" t="s">
        <v>487</v>
      </c>
      <c r="H181" s="26" t="s">
        <v>926</v>
      </c>
      <c r="I181" s="26" t="s">
        <v>184</v>
      </c>
      <c r="J181" s="26" t="s">
        <v>375</v>
      </c>
      <c r="K181" s="26" t="s">
        <v>360</v>
      </c>
      <c r="L181" s="26" t="s">
        <v>79</v>
      </c>
      <c r="M181" s="26" t="s">
        <v>77</v>
      </c>
      <c r="N181" s="26">
        <v>18</v>
      </c>
      <c r="O181" s="26">
        <v>10</v>
      </c>
      <c r="P181" s="26">
        <v>8</v>
      </c>
      <c r="Q181" s="26">
        <v>2</v>
      </c>
      <c r="R181" s="26">
        <v>1</v>
      </c>
      <c r="S181" s="26">
        <v>3</v>
      </c>
      <c r="T181" s="26">
        <v>6</v>
      </c>
      <c r="U181" s="26">
        <v>10</v>
      </c>
      <c r="V181" s="26">
        <v>1</v>
      </c>
      <c r="W181" s="26"/>
    </row>
    <row r="182" spans="1:23" x14ac:dyDescent="0.25">
      <c r="A182" s="26" t="s">
        <v>53</v>
      </c>
      <c r="B182" s="26" t="s">
        <v>930</v>
      </c>
      <c r="C182" s="26" t="s">
        <v>931</v>
      </c>
      <c r="D182" s="26" t="s">
        <v>179</v>
      </c>
      <c r="E182" s="26" t="s">
        <v>932</v>
      </c>
      <c r="F182" s="26" t="s">
        <v>933</v>
      </c>
      <c r="G182" s="26" t="s">
        <v>487</v>
      </c>
      <c r="H182" s="26" t="s">
        <v>351</v>
      </c>
      <c r="I182" s="26" t="s">
        <v>184</v>
      </c>
      <c r="J182" s="26" t="s">
        <v>375</v>
      </c>
      <c r="K182" s="26" t="s">
        <v>360</v>
      </c>
      <c r="L182" s="26" t="s">
        <v>79</v>
      </c>
      <c r="M182" s="26" t="s">
        <v>77</v>
      </c>
      <c r="N182" s="26">
        <v>17</v>
      </c>
      <c r="O182" s="26">
        <v>9</v>
      </c>
      <c r="P182" s="26">
        <v>8</v>
      </c>
      <c r="Q182" s="26">
        <v>1</v>
      </c>
      <c r="R182" s="26">
        <v>1</v>
      </c>
      <c r="S182" s="26">
        <v>3</v>
      </c>
      <c r="T182" s="26">
        <v>2</v>
      </c>
      <c r="U182" s="26">
        <v>6</v>
      </c>
      <c r="V182" s="26">
        <v>1</v>
      </c>
      <c r="W182" s="26"/>
    </row>
    <row r="183" spans="1:23" x14ac:dyDescent="0.25">
      <c r="A183" s="26" t="s">
        <v>53</v>
      </c>
      <c r="B183" s="26" t="s">
        <v>934</v>
      </c>
      <c r="C183" s="26" t="s">
        <v>935</v>
      </c>
      <c r="D183" s="26" t="s">
        <v>179</v>
      </c>
      <c r="E183" s="26" t="s">
        <v>936</v>
      </c>
      <c r="F183" s="26" t="s">
        <v>937</v>
      </c>
      <c r="G183" s="26" t="s">
        <v>487</v>
      </c>
      <c r="H183" s="26" t="s">
        <v>351</v>
      </c>
      <c r="I183" s="26" t="s">
        <v>184</v>
      </c>
      <c r="J183" s="26" t="s">
        <v>375</v>
      </c>
      <c r="K183" s="26" t="s">
        <v>360</v>
      </c>
      <c r="L183" s="26" t="s">
        <v>79</v>
      </c>
      <c r="M183" s="26" t="s">
        <v>77</v>
      </c>
      <c r="N183" s="26">
        <v>12</v>
      </c>
      <c r="O183" s="26">
        <v>5</v>
      </c>
      <c r="P183" s="26">
        <v>7</v>
      </c>
      <c r="Q183" s="26">
        <v>1</v>
      </c>
      <c r="R183" s="26">
        <v>1</v>
      </c>
      <c r="S183" s="26">
        <v>2</v>
      </c>
      <c r="T183" s="26">
        <v>2</v>
      </c>
      <c r="U183" s="26">
        <v>5</v>
      </c>
      <c r="V183" s="26">
        <v>1</v>
      </c>
      <c r="W183" s="26"/>
    </row>
    <row r="184" spans="1:23" x14ac:dyDescent="0.25">
      <c r="A184" s="26" t="s">
        <v>53</v>
      </c>
      <c r="B184" s="26" t="s">
        <v>938</v>
      </c>
      <c r="C184" s="26" t="s">
        <v>939</v>
      </c>
      <c r="D184" s="26" t="s">
        <v>179</v>
      </c>
      <c r="E184" s="26" t="s">
        <v>940</v>
      </c>
      <c r="F184" s="26" t="s">
        <v>941</v>
      </c>
      <c r="G184" s="26" t="s">
        <v>487</v>
      </c>
      <c r="H184" s="26" t="s">
        <v>294</v>
      </c>
      <c r="I184" s="26" t="s">
        <v>184</v>
      </c>
      <c r="J184" s="26" t="s">
        <v>375</v>
      </c>
      <c r="K184" s="26" t="s">
        <v>360</v>
      </c>
      <c r="L184" s="26" t="s">
        <v>79</v>
      </c>
      <c r="M184" s="26" t="s">
        <v>77</v>
      </c>
      <c r="N184" s="26">
        <v>8</v>
      </c>
      <c r="O184" s="26">
        <v>4</v>
      </c>
      <c r="P184" s="26">
        <v>4</v>
      </c>
      <c r="Q184" s="26">
        <v>1</v>
      </c>
      <c r="R184" s="26">
        <v>1</v>
      </c>
      <c r="S184" s="26">
        <v>2</v>
      </c>
      <c r="T184" s="26">
        <v>2</v>
      </c>
      <c r="U184" s="26">
        <v>5</v>
      </c>
      <c r="V184" s="26">
        <v>1</v>
      </c>
      <c r="W184" s="26"/>
    </row>
    <row r="185" spans="1:23" x14ac:dyDescent="0.25">
      <c r="A185" s="26" t="s">
        <v>53</v>
      </c>
      <c r="B185" s="26" t="s">
        <v>942</v>
      </c>
      <c r="C185" s="26" t="s">
        <v>943</v>
      </c>
      <c r="D185" s="26" t="s">
        <v>179</v>
      </c>
      <c r="E185" s="26" t="s">
        <v>944</v>
      </c>
      <c r="F185" s="26" t="s">
        <v>945</v>
      </c>
      <c r="G185" s="26" t="s">
        <v>487</v>
      </c>
      <c r="H185" s="26" t="s">
        <v>926</v>
      </c>
      <c r="I185" s="26" t="s">
        <v>184</v>
      </c>
      <c r="J185" s="26" t="s">
        <v>375</v>
      </c>
      <c r="K185" s="26" t="s">
        <v>360</v>
      </c>
      <c r="L185" s="26" t="s">
        <v>79</v>
      </c>
      <c r="M185" s="26" t="s">
        <v>77</v>
      </c>
      <c r="N185" s="26">
        <v>7</v>
      </c>
      <c r="O185" s="26">
        <v>4</v>
      </c>
      <c r="P185" s="26">
        <v>3</v>
      </c>
      <c r="Q185" s="26">
        <v>1</v>
      </c>
      <c r="R185" s="26">
        <v>1</v>
      </c>
      <c r="S185" s="26">
        <v>2</v>
      </c>
      <c r="T185" s="26">
        <v>5</v>
      </c>
      <c r="U185" s="26">
        <v>8</v>
      </c>
      <c r="V185" s="26">
        <v>1</v>
      </c>
      <c r="W185" s="26"/>
    </row>
    <row r="186" spans="1:23" x14ac:dyDescent="0.25">
      <c r="A186" s="26" t="s">
        <v>53</v>
      </c>
      <c r="B186" s="26" t="s">
        <v>946</v>
      </c>
      <c r="C186" s="26" t="s">
        <v>947</v>
      </c>
      <c r="D186" s="26" t="s">
        <v>179</v>
      </c>
      <c r="E186" s="26" t="s">
        <v>948</v>
      </c>
      <c r="F186" s="26" t="s">
        <v>949</v>
      </c>
      <c r="G186" s="26" t="s">
        <v>413</v>
      </c>
      <c r="H186" s="26" t="s">
        <v>414</v>
      </c>
      <c r="I186" s="26" t="s">
        <v>184</v>
      </c>
      <c r="J186" s="26" t="s">
        <v>375</v>
      </c>
      <c r="K186" s="26" t="s">
        <v>360</v>
      </c>
      <c r="L186" s="26" t="s">
        <v>79</v>
      </c>
      <c r="M186" s="26" t="s">
        <v>77</v>
      </c>
      <c r="N186" s="26">
        <v>18</v>
      </c>
      <c r="O186" s="26">
        <v>5</v>
      </c>
      <c r="P186" s="26">
        <v>13</v>
      </c>
      <c r="Q186" s="26">
        <v>1</v>
      </c>
      <c r="R186" s="26">
        <v>1</v>
      </c>
      <c r="S186" s="26">
        <v>3</v>
      </c>
      <c r="T186" s="26">
        <v>9</v>
      </c>
      <c r="U186" s="26">
        <v>13</v>
      </c>
      <c r="V186" s="26">
        <v>1</v>
      </c>
      <c r="W186" s="26"/>
    </row>
    <row r="187" spans="1:23" x14ac:dyDescent="0.25">
      <c r="A187" s="26" t="s">
        <v>53</v>
      </c>
      <c r="B187" s="26" t="s">
        <v>950</v>
      </c>
      <c r="C187" s="26" t="s">
        <v>951</v>
      </c>
      <c r="D187" s="26" t="s">
        <v>179</v>
      </c>
      <c r="E187" s="26" t="s">
        <v>952</v>
      </c>
      <c r="F187" s="26" t="s">
        <v>313</v>
      </c>
      <c r="G187" s="26" t="s">
        <v>182</v>
      </c>
      <c r="H187" s="26" t="s">
        <v>421</v>
      </c>
      <c r="I187" s="26" t="s">
        <v>184</v>
      </c>
      <c r="J187" s="26" t="s">
        <v>322</v>
      </c>
      <c r="K187" s="26" t="s">
        <v>360</v>
      </c>
      <c r="L187" s="26" t="s">
        <v>79</v>
      </c>
      <c r="M187" s="26" t="s">
        <v>77</v>
      </c>
      <c r="N187" s="26">
        <v>0</v>
      </c>
      <c r="O187" s="26">
        <v>0</v>
      </c>
      <c r="P187" s="26">
        <v>0</v>
      </c>
      <c r="Q187" s="26">
        <v>0</v>
      </c>
      <c r="R187" s="26">
        <v>1</v>
      </c>
      <c r="S187" s="26">
        <v>0</v>
      </c>
      <c r="T187" s="26">
        <v>5</v>
      </c>
      <c r="U187" s="26">
        <v>6</v>
      </c>
      <c r="V187" s="26">
        <v>1</v>
      </c>
      <c r="W187" s="26"/>
    </row>
    <row r="188" spans="1:23" x14ac:dyDescent="0.25">
      <c r="A188" s="26" t="s">
        <v>53</v>
      </c>
      <c r="B188" s="26" t="s">
        <v>953</v>
      </c>
      <c r="C188" s="26" t="s">
        <v>954</v>
      </c>
      <c r="D188" s="26" t="s">
        <v>179</v>
      </c>
      <c r="E188" s="26" t="s">
        <v>955</v>
      </c>
      <c r="F188" s="26" t="s">
        <v>956</v>
      </c>
      <c r="G188" s="26" t="s">
        <v>182</v>
      </c>
      <c r="H188" s="26" t="s">
        <v>440</v>
      </c>
      <c r="I188" s="26" t="s">
        <v>184</v>
      </c>
      <c r="J188" s="26" t="s">
        <v>322</v>
      </c>
      <c r="K188" s="26" t="s">
        <v>360</v>
      </c>
      <c r="L188" s="26" t="s">
        <v>79</v>
      </c>
      <c r="M188" s="26" t="s">
        <v>77</v>
      </c>
      <c r="N188" s="26">
        <v>0</v>
      </c>
      <c r="O188" s="26">
        <v>0</v>
      </c>
      <c r="P188" s="26">
        <v>0</v>
      </c>
      <c r="Q188" s="26">
        <v>0</v>
      </c>
      <c r="R188" s="26">
        <v>1</v>
      </c>
      <c r="S188" s="26">
        <v>1</v>
      </c>
      <c r="T188" s="26">
        <v>3</v>
      </c>
      <c r="U188" s="26">
        <v>5</v>
      </c>
      <c r="V188" s="26">
        <v>1</v>
      </c>
      <c r="W188" s="26"/>
    </row>
    <row r="189" spans="1:23" x14ac:dyDescent="0.25">
      <c r="A189" s="26" t="s">
        <v>53</v>
      </c>
      <c r="B189" s="26" t="s">
        <v>957</v>
      </c>
      <c r="C189" s="26" t="s">
        <v>958</v>
      </c>
      <c r="D189" s="26" t="s">
        <v>179</v>
      </c>
      <c r="E189" s="26" t="s">
        <v>959</v>
      </c>
      <c r="F189" s="26" t="s">
        <v>457</v>
      </c>
      <c r="G189" s="26" t="s">
        <v>182</v>
      </c>
      <c r="H189" s="26" t="s">
        <v>461</v>
      </c>
      <c r="I189" s="26" t="s">
        <v>184</v>
      </c>
      <c r="J189" s="26" t="s">
        <v>322</v>
      </c>
      <c r="K189" s="26" t="s">
        <v>360</v>
      </c>
      <c r="L189" s="26" t="s">
        <v>79</v>
      </c>
      <c r="M189" s="26" t="s">
        <v>77</v>
      </c>
      <c r="N189" s="26">
        <v>0</v>
      </c>
      <c r="O189" s="26">
        <v>0</v>
      </c>
      <c r="P189" s="26">
        <v>0</v>
      </c>
      <c r="Q189" s="26">
        <v>0</v>
      </c>
      <c r="R189" s="26">
        <v>1</v>
      </c>
      <c r="S189" s="26">
        <v>0</v>
      </c>
      <c r="T189" s="26">
        <v>5</v>
      </c>
      <c r="U189" s="26">
        <v>6</v>
      </c>
      <c r="V189" s="26">
        <v>1</v>
      </c>
      <c r="W189" s="26"/>
    </row>
    <row r="190" spans="1:23" x14ac:dyDescent="0.25">
      <c r="A190" s="26" t="s">
        <v>53</v>
      </c>
      <c r="B190" s="26" t="s">
        <v>960</v>
      </c>
      <c r="C190" s="26" t="s">
        <v>961</v>
      </c>
      <c r="D190" s="26" t="s">
        <v>179</v>
      </c>
      <c r="E190" s="26" t="s">
        <v>962</v>
      </c>
      <c r="F190" s="26" t="s">
        <v>963</v>
      </c>
      <c r="G190" s="26" t="s">
        <v>182</v>
      </c>
      <c r="H190" s="26" t="s">
        <v>380</v>
      </c>
      <c r="I190" s="26" t="s">
        <v>184</v>
      </c>
      <c r="J190" s="26" t="s">
        <v>322</v>
      </c>
      <c r="K190" s="26" t="s">
        <v>360</v>
      </c>
      <c r="L190" s="26" t="s">
        <v>79</v>
      </c>
      <c r="M190" s="26" t="s">
        <v>77</v>
      </c>
      <c r="N190" s="26">
        <v>16</v>
      </c>
      <c r="O190" s="26">
        <v>9</v>
      </c>
      <c r="P190" s="26">
        <v>7</v>
      </c>
      <c r="Q190" s="26">
        <v>1</v>
      </c>
      <c r="R190" s="26">
        <v>1</v>
      </c>
      <c r="S190" s="26">
        <v>4</v>
      </c>
      <c r="T190" s="26">
        <v>6</v>
      </c>
      <c r="U190" s="26">
        <v>11</v>
      </c>
      <c r="V190" s="26">
        <v>1</v>
      </c>
      <c r="W190" s="26"/>
    </row>
    <row r="191" spans="1:23" x14ac:dyDescent="0.25">
      <c r="A191" s="26" t="s">
        <v>53</v>
      </c>
      <c r="B191" s="26" t="s">
        <v>964</v>
      </c>
      <c r="C191" s="26" t="s">
        <v>965</v>
      </c>
      <c r="D191" s="26" t="s">
        <v>179</v>
      </c>
      <c r="E191" s="26" t="s">
        <v>966</v>
      </c>
      <c r="F191" s="26" t="s">
        <v>967</v>
      </c>
      <c r="G191" s="26" t="s">
        <v>182</v>
      </c>
      <c r="H191" s="26" t="s">
        <v>370</v>
      </c>
      <c r="I191" s="26" t="s">
        <v>184</v>
      </c>
      <c r="J191" s="26" t="s">
        <v>322</v>
      </c>
      <c r="K191" s="26" t="s">
        <v>360</v>
      </c>
      <c r="L191" s="26" t="s">
        <v>79</v>
      </c>
      <c r="M191" s="26" t="s">
        <v>77</v>
      </c>
      <c r="N191" s="26">
        <v>0</v>
      </c>
      <c r="O191" s="26">
        <v>0</v>
      </c>
      <c r="P191" s="26">
        <v>0</v>
      </c>
      <c r="Q191" s="26">
        <v>0</v>
      </c>
      <c r="R191" s="26">
        <v>1</v>
      </c>
      <c r="S191" s="26">
        <v>0</v>
      </c>
      <c r="T191" s="26">
        <v>4</v>
      </c>
      <c r="U191" s="26">
        <v>5</v>
      </c>
      <c r="V191" s="26">
        <v>1</v>
      </c>
      <c r="W191" s="26"/>
    </row>
    <row r="192" spans="1:23" x14ac:dyDescent="0.25">
      <c r="A192" s="26" t="s">
        <v>53</v>
      </c>
      <c r="B192" s="26" t="s">
        <v>968</v>
      </c>
      <c r="C192" s="26" t="s">
        <v>969</v>
      </c>
      <c r="D192" s="26" t="s">
        <v>179</v>
      </c>
      <c r="E192" s="26" t="s">
        <v>970</v>
      </c>
      <c r="F192" s="26" t="s">
        <v>313</v>
      </c>
      <c r="G192" s="26" t="s">
        <v>182</v>
      </c>
      <c r="H192" s="26" t="s">
        <v>421</v>
      </c>
      <c r="I192" s="26" t="s">
        <v>184</v>
      </c>
      <c r="J192" s="26" t="s">
        <v>322</v>
      </c>
      <c r="K192" s="26" t="s">
        <v>360</v>
      </c>
      <c r="L192" s="26" t="s">
        <v>79</v>
      </c>
      <c r="M192" s="26" t="s">
        <v>77</v>
      </c>
      <c r="N192" s="26">
        <v>0</v>
      </c>
      <c r="O192" s="26">
        <v>0</v>
      </c>
      <c r="P192" s="26">
        <v>0</v>
      </c>
      <c r="Q192" s="26">
        <v>0</v>
      </c>
      <c r="R192" s="26">
        <v>1</v>
      </c>
      <c r="S192" s="26">
        <v>0</v>
      </c>
      <c r="T192" s="26">
        <v>3</v>
      </c>
      <c r="U192" s="26">
        <v>4</v>
      </c>
      <c r="V192" s="26">
        <v>1</v>
      </c>
      <c r="W192" s="26"/>
    </row>
    <row r="193" spans="1:23" x14ac:dyDescent="0.25">
      <c r="A193" s="26" t="s">
        <v>53</v>
      </c>
      <c r="B193" s="26" t="s">
        <v>971</v>
      </c>
      <c r="C193" s="26" t="s">
        <v>972</v>
      </c>
      <c r="D193" s="26" t="s">
        <v>179</v>
      </c>
      <c r="E193" s="26" t="s">
        <v>973</v>
      </c>
      <c r="F193" s="26" t="s">
        <v>598</v>
      </c>
      <c r="G193" s="26" t="s">
        <v>182</v>
      </c>
      <c r="H193" s="26" t="s">
        <v>974</v>
      </c>
      <c r="I193" s="26" t="s">
        <v>184</v>
      </c>
      <c r="J193" s="26" t="s">
        <v>322</v>
      </c>
      <c r="K193" s="26" t="s">
        <v>360</v>
      </c>
      <c r="L193" s="26" t="s">
        <v>79</v>
      </c>
      <c r="M193" s="26" t="s">
        <v>77</v>
      </c>
      <c r="N193" s="26">
        <v>0</v>
      </c>
      <c r="O193" s="26">
        <v>0</v>
      </c>
      <c r="P193" s="26">
        <v>0</v>
      </c>
      <c r="Q193" s="26">
        <v>0</v>
      </c>
      <c r="R193" s="26">
        <v>1</v>
      </c>
      <c r="S193" s="26">
        <v>1</v>
      </c>
      <c r="T193" s="26">
        <v>4</v>
      </c>
      <c r="U193" s="26">
        <v>6</v>
      </c>
      <c r="V193" s="26">
        <v>1</v>
      </c>
      <c r="W193" s="26"/>
    </row>
    <row r="194" spans="1:23" x14ac:dyDescent="0.25">
      <c r="A194" s="26" t="s">
        <v>53</v>
      </c>
      <c r="B194" s="26" t="s">
        <v>975</v>
      </c>
      <c r="C194" s="26" t="s">
        <v>976</v>
      </c>
      <c r="D194" s="26" t="s">
        <v>179</v>
      </c>
      <c r="E194" s="26" t="s">
        <v>977</v>
      </c>
      <c r="F194" s="26" t="s">
        <v>978</v>
      </c>
      <c r="G194" s="26" t="s">
        <v>182</v>
      </c>
      <c r="H194" s="26" t="s">
        <v>421</v>
      </c>
      <c r="I194" s="26" t="s">
        <v>184</v>
      </c>
      <c r="J194" s="26" t="s">
        <v>322</v>
      </c>
      <c r="K194" s="26" t="s">
        <v>360</v>
      </c>
      <c r="L194" s="26" t="s">
        <v>79</v>
      </c>
      <c r="M194" s="26" t="s">
        <v>77</v>
      </c>
      <c r="N194" s="26">
        <v>0</v>
      </c>
      <c r="O194" s="26">
        <v>0</v>
      </c>
      <c r="P194" s="26">
        <v>0</v>
      </c>
      <c r="Q194" s="26">
        <v>0</v>
      </c>
      <c r="R194" s="26">
        <v>1</v>
      </c>
      <c r="S194" s="26">
        <v>0</v>
      </c>
      <c r="T194" s="26">
        <v>3</v>
      </c>
      <c r="U194" s="26">
        <v>4</v>
      </c>
      <c r="V194" s="26">
        <v>1</v>
      </c>
      <c r="W194" s="26"/>
    </row>
    <row r="195" spans="1:23" x14ac:dyDescent="0.25">
      <c r="A195" s="26" t="s">
        <v>53</v>
      </c>
      <c r="B195" s="26" t="s">
        <v>979</v>
      </c>
      <c r="C195" s="26" t="s">
        <v>980</v>
      </c>
      <c r="D195" s="26" t="s">
        <v>179</v>
      </c>
      <c r="E195" s="26" t="s">
        <v>981</v>
      </c>
      <c r="F195" s="26" t="s">
        <v>982</v>
      </c>
      <c r="G195" s="26" t="s">
        <v>182</v>
      </c>
      <c r="H195" s="26" t="s">
        <v>421</v>
      </c>
      <c r="I195" s="26" t="s">
        <v>184</v>
      </c>
      <c r="J195" s="26" t="s">
        <v>322</v>
      </c>
      <c r="K195" s="26" t="s">
        <v>360</v>
      </c>
      <c r="L195" s="26" t="s">
        <v>79</v>
      </c>
      <c r="M195" s="26" t="s">
        <v>77</v>
      </c>
      <c r="N195" s="26">
        <v>0</v>
      </c>
      <c r="O195" s="26">
        <v>0</v>
      </c>
      <c r="P195" s="26">
        <v>0</v>
      </c>
      <c r="Q195" s="26">
        <v>0</v>
      </c>
      <c r="R195" s="26">
        <v>1</v>
      </c>
      <c r="S195" s="26">
        <v>0</v>
      </c>
      <c r="T195" s="26">
        <v>5</v>
      </c>
      <c r="U195" s="26">
        <v>6</v>
      </c>
      <c r="V195" s="26">
        <v>1</v>
      </c>
      <c r="W195" s="26"/>
    </row>
    <row r="196" spans="1:23" x14ac:dyDescent="0.25">
      <c r="A196" s="26" t="s">
        <v>53</v>
      </c>
      <c r="B196" s="26" t="s">
        <v>983</v>
      </c>
      <c r="C196" s="26" t="s">
        <v>984</v>
      </c>
      <c r="D196" s="26" t="s">
        <v>179</v>
      </c>
      <c r="E196" s="26" t="s">
        <v>985</v>
      </c>
      <c r="F196" s="26" t="s">
        <v>598</v>
      </c>
      <c r="G196" s="26" t="s">
        <v>182</v>
      </c>
      <c r="H196" s="26" t="s">
        <v>390</v>
      </c>
      <c r="I196" s="26" t="s">
        <v>184</v>
      </c>
      <c r="J196" s="26" t="s">
        <v>322</v>
      </c>
      <c r="K196" s="26" t="s">
        <v>360</v>
      </c>
      <c r="L196" s="26" t="s">
        <v>79</v>
      </c>
      <c r="M196" s="26" t="s">
        <v>77</v>
      </c>
      <c r="N196" s="26">
        <v>0</v>
      </c>
      <c r="O196" s="26">
        <v>0</v>
      </c>
      <c r="P196" s="26">
        <v>0</v>
      </c>
      <c r="Q196" s="26">
        <v>0</v>
      </c>
      <c r="R196" s="26">
        <v>1</v>
      </c>
      <c r="S196" s="26">
        <v>0</v>
      </c>
      <c r="T196" s="26">
        <v>3</v>
      </c>
      <c r="U196" s="26">
        <v>4</v>
      </c>
      <c r="V196" s="26">
        <v>1</v>
      </c>
      <c r="W196" s="26"/>
    </row>
    <row r="197" spans="1:23" x14ac:dyDescent="0.25">
      <c r="A197" s="26" t="s">
        <v>53</v>
      </c>
      <c r="B197" s="26" t="s">
        <v>986</v>
      </c>
      <c r="C197" s="26" t="s">
        <v>987</v>
      </c>
      <c r="D197" s="26" t="s">
        <v>179</v>
      </c>
      <c r="E197" s="26" t="s">
        <v>988</v>
      </c>
      <c r="F197" s="26" t="s">
        <v>989</v>
      </c>
      <c r="G197" s="26" t="s">
        <v>182</v>
      </c>
      <c r="H197" s="26" t="s">
        <v>461</v>
      </c>
      <c r="I197" s="26" t="s">
        <v>184</v>
      </c>
      <c r="J197" s="26" t="s">
        <v>322</v>
      </c>
      <c r="K197" s="26" t="s">
        <v>360</v>
      </c>
      <c r="L197" s="26" t="s">
        <v>79</v>
      </c>
      <c r="M197" s="26" t="s">
        <v>77</v>
      </c>
      <c r="N197" s="26">
        <v>0</v>
      </c>
      <c r="O197" s="26">
        <v>0</v>
      </c>
      <c r="P197" s="26">
        <v>0</v>
      </c>
      <c r="Q197" s="26">
        <v>0</v>
      </c>
      <c r="R197" s="26">
        <v>1</v>
      </c>
      <c r="S197" s="26">
        <v>0</v>
      </c>
      <c r="T197" s="26">
        <v>4</v>
      </c>
      <c r="U197" s="26">
        <v>5</v>
      </c>
      <c r="V197" s="26">
        <v>1</v>
      </c>
      <c r="W197" s="26"/>
    </row>
    <row r="198" spans="1:23" x14ac:dyDescent="0.25">
      <c r="A198" s="26" t="s">
        <v>53</v>
      </c>
      <c r="B198" s="26" t="s">
        <v>990</v>
      </c>
      <c r="C198" s="26" t="s">
        <v>991</v>
      </c>
      <c r="D198" s="26" t="s">
        <v>179</v>
      </c>
      <c r="E198" s="26" t="s">
        <v>992</v>
      </c>
      <c r="F198" s="26" t="s">
        <v>598</v>
      </c>
      <c r="G198" s="26" t="s">
        <v>182</v>
      </c>
      <c r="H198" s="26" t="s">
        <v>974</v>
      </c>
      <c r="I198" s="26" t="s">
        <v>184</v>
      </c>
      <c r="J198" s="26" t="s">
        <v>322</v>
      </c>
      <c r="K198" s="26" t="s">
        <v>360</v>
      </c>
      <c r="L198" s="26" t="s">
        <v>79</v>
      </c>
      <c r="M198" s="26" t="s">
        <v>77</v>
      </c>
      <c r="N198" s="26">
        <v>0</v>
      </c>
      <c r="O198" s="26">
        <v>0</v>
      </c>
      <c r="P198" s="26">
        <v>0</v>
      </c>
      <c r="Q198" s="26">
        <v>0</v>
      </c>
      <c r="R198" s="26">
        <v>1</v>
      </c>
      <c r="S198" s="26">
        <v>0</v>
      </c>
      <c r="T198" s="26">
        <v>8</v>
      </c>
      <c r="U198" s="26">
        <v>9</v>
      </c>
      <c r="V198" s="26">
        <v>1</v>
      </c>
      <c r="W198" s="26"/>
    </row>
    <row r="199" spans="1:23" x14ac:dyDescent="0.25">
      <c r="A199" s="26" t="s">
        <v>53</v>
      </c>
      <c r="B199" s="26" t="s">
        <v>993</v>
      </c>
      <c r="C199" s="26" t="s">
        <v>994</v>
      </c>
      <c r="D199" s="26" t="s">
        <v>179</v>
      </c>
      <c r="E199" s="26" t="s">
        <v>995</v>
      </c>
      <c r="F199" s="26" t="s">
        <v>457</v>
      </c>
      <c r="G199" s="26" t="s">
        <v>182</v>
      </c>
      <c r="H199" s="26" t="s">
        <v>461</v>
      </c>
      <c r="I199" s="26" t="s">
        <v>184</v>
      </c>
      <c r="J199" s="26" t="s">
        <v>322</v>
      </c>
      <c r="K199" s="26" t="s">
        <v>360</v>
      </c>
      <c r="L199" s="26" t="s">
        <v>79</v>
      </c>
      <c r="M199" s="26" t="s">
        <v>77</v>
      </c>
      <c r="N199" s="26">
        <v>0</v>
      </c>
      <c r="O199" s="26">
        <v>0</v>
      </c>
      <c r="P199" s="26">
        <v>0</v>
      </c>
      <c r="Q199" s="26">
        <v>0</v>
      </c>
      <c r="R199" s="26">
        <v>1</v>
      </c>
      <c r="S199" s="26">
        <v>0</v>
      </c>
      <c r="T199" s="26">
        <v>2</v>
      </c>
      <c r="U199" s="26">
        <v>3</v>
      </c>
      <c r="V199" s="26">
        <v>1</v>
      </c>
      <c r="W199" s="26"/>
    </row>
    <row r="200" spans="1:23" x14ac:dyDescent="0.25">
      <c r="A200" s="26" t="s">
        <v>53</v>
      </c>
      <c r="B200" s="26" t="s">
        <v>996</v>
      </c>
      <c r="C200" s="26" t="s">
        <v>997</v>
      </c>
      <c r="D200" s="26" t="s">
        <v>179</v>
      </c>
      <c r="E200" s="26" t="s">
        <v>998</v>
      </c>
      <c r="F200" s="26" t="s">
        <v>963</v>
      </c>
      <c r="G200" s="26" t="s">
        <v>182</v>
      </c>
      <c r="H200" s="26" t="s">
        <v>440</v>
      </c>
      <c r="I200" s="26" t="s">
        <v>184</v>
      </c>
      <c r="J200" s="26" t="s">
        <v>322</v>
      </c>
      <c r="K200" s="26" t="s">
        <v>360</v>
      </c>
      <c r="L200" s="26" t="s">
        <v>79</v>
      </c>
      <c r="M200" s="26" t="s">
        <v>77</v>
      </c>
      <c r="N200" s="26">
        <v>0</v>
      </c>
      <c r="O200" s="26">
        <v>0</v>
      </c>
      <c r="P200" s="26">
        <v>0</v>
      </c>
      <c r="Q200" s="26">
        <v>0</v>
      </c>
      <c r="R200" s="26">
        <v>1</v>
      </c>
      <c r="S200" s="26">
        <v>1</v>
      </c>
      <c r="T200" s="26">
        <v>5</v>
      </c>
      <c r="U200" s="26">
        <v>7</v>
      </c>
      <c r="V200" s="26">
        <v>1</v>
      </c>
      <c r="W200" s="26"/>
    </row>
    <row r="201" spans="1:23" x14ac:dyDescent="0.25">
      <c r="A201" s="26" t="s">
        <v>53</v>
      </c>
      <c r="B201" s="26" t="s">
        <v>999</v>
      </c>
      <c r="C201" s="26" t="s">
        <v>1000</v>
      </c>
      <c r="D201" s="26" t="s">
        <v>179</v>
      </c>
      <c r="E201" s="26" t="s">
        <v>1001</v>
      </c>
      <c r="F201" s="26" t="s">
        <v>598</v>
      </c>
      <c r="G201" s="26" t="s">
        <v>182</v>
      </c>
      <c r="H201" s="26" t="s">
        <v>974</v>
      </c>
      <c r="I201" s="26" t="s">
        <v>184</v>
      </c>
      <c r="J201" s="26" t="s">
        <v>322</v>
      </c>
      <c r="K201" s="26" t="s">
        <v>360</v>
      </c>
      <c r="L201" s="26" t="s">
        <v>79</v>
      </c>
      <c r="M201" s="26" t="s">
        <v>77</v>
      </c>
      <c r="N201" s="26">
        <v>0</v>
      </c>
      <c r="O201" s="26">
        <v>0</v>
      </c>
      <c r="P201" s="26">
        <v>0</v>
      </c>
      <c r="Q201" s="26">
        <v>0</v>
      </c>
      <c r="R201" s="26">
        <v>1</v>
      </c>
      <c r="S201" s="26">
        <v>1</v>
      </c>
      <c r="T201" s="26">
        <v>7</v>
      </c>
      <c r="U201" s="26">
        <v>9</v>
      </c>
      <c r="V201" s="26">
        <v>1</v>
      </c>
      <c r="W201" s="26"/>
    </row>
    <row r="202" spans="1:23" x14ac:dyDescent="0.25">
      <c r="A202" s="26" t="s">
        <v>53</v>
      </c>
      <c r="B202" s="26" t="s">
        <v>1002</v>
      </c>
      <c r="C202" s="26" t="s">
        <v>1003</v>
      </c>
      <c r="D202" s="26" t="s">
        <v>179</v>
      </c>
      <c r="E202" s="26" t="s">
        <v>1004</v>
      </c>
      <c r="F202" s="26" t="s">
        <v>273</v>
      </c>
      <c r="G202" s="26" t="s">
        <v>182</v>
      </c>
      <c r="H202" s="26" t="s">
        <v>563</v>
      </c>
      <c r="I202" s="26" t="s">
        <v>184</v>
      </c>
      <c r="J202" s="26" t="s">
        <v>322</v>
      </c>
      <c r="K202" s="26" t="s">
        <v>360</v>
      </c>
      <c r="L202" s="26" t="s">
        <v>79</v>
      </c>
      <c r="M202" s="26" t="s">
        <v>77</v>
      </c>
      <c r="N202" s="26">
        <v>0</v>
      </c>
      <c r="O202" s="26">
        <v>0</v>
      </c>
      <c r="P202" s="26">
        <v>0</v>
      </c>
      <c r="Q202" s="26">
        <v>0</v>
      </c>
      <c r="R202" s="26">
        <v>1</v>
      </c>
      <c r="S202" s="26">
        <v>1</v>
      </c>
      <c r="T202" s="26">
        <v>9</v>
      </c>
      <c r="U202" s="26">
        <v>11</v>
      </c>
      <c r="V202" s="26">
        <v>1</v>
      </c>
      <c r="W202" s="26"/>
    </row>
    <row r="203" spans="1:23" x14ac:dyDescent="0.25">
      <c r="A203" s="26" t="s">
        <v>53</v>
      </c>
      <c r="B203" s="26" t="s">
        <v>1005</v>
      </c>
      <c r="C203" s="26" t="s">
        <v>1006</v>
      </c>
      <c r="D203" s="26" t="s">
        <v>179</v>
      </c>
      <c r="E203" s="26" t="s">
        <v>1007</v>
      </c>
      <c r="F203" s="26" t="s">
        <v>598</v>
      </c>
      <c r="G203" s="26" t="s">
        <v>182</v>
      </c>
      <c r="H203" s="26" t="s">
        <v>380</v>
      </c>
      <c r="I203" s="26" t="s">
        <v>184</v>
      </c>
      <c r="J203" s="26" t="s">
        <v>322</v>
      </c>
      <c r="K203" s="26" t="s">
        <v>360</v>
      </c>
      <c r="L203" s="26" t="s">
        <v>79</v>
      </c>
      <c r="M203" s="26" t="s">
        <v>77</v>
      </c>
      <c r="N203" s="26">
        <v>0</v>
      </c>
      <c r="O203" s="26">
        <v>0</v>
      </c>
      <c r="P203" s="26">
        <v>0</v>
      </c>
      <c r="Q203" s="26">
        <v>0</v>
      </c>
      <c r="R203" s="26">
        <v>1</v>
      </c>
      <c r="S203" s="26">
        <v>1</v>
      </c>
      <c r="T203" s="26">
        <v>7</v>
      </c>
      <c r="U203" s="26">
        <v>9</v>
      </c>
      <c r="V203" s="26">
        <v>1</v>
      </c>
      <c r="W203" s="26"/>
    </row>
    <row r="204" spans="1:23" x14ac:dyDescent="0.25">
      <c r="A204" s="26" t="s">
        <v>53</v>
      </c>
      <c r="B204" s="26" t="s">
        <v>1008</v>
      </c>
      <c r="C204" s="26" t="s">
        <v>1009</v>
      </c>
      <c r="D204" s="26" t="s">
        <v>179</v>
      </c>
      <c r="E204" s="26" t="s">
        <v>1010</v>
      </c>
      <c r="F204" s="26" t="s">
        <v>379</v>
      </c>
      <c r="G204" s="26" t="s">
        <v>182</v>
      </c>
      <c r="H204" s="26" t="s">
        <v>563</v>
      </c>
      <c r="I204" s="26" t="s">
        <v>184</v>
      </c>
      <c r="J204" s="26" t="s">
        <v>322</v>
      </c>
      <c r="K204" s="26" t="s">
        <v>360</v>
      </c>
      <c r="L204" s="26" t="s">
        <v>79</v>
      </c>
      <c r="M204" s="26" t="s">
        <v>77</v>
      </c>
      <c r="N204" s="26">
        <v>0</v>
      </c>
      <c r="O204" s="26">
        <v>0</v>
      </c>
      <c r="P204" s="26">
        <v>0</v>
      </c>
      <c r="Q204" s="26">
        <v>0</v>
      </c>
      <c r="R204" s="26">
        <v>1</v>
      </c>
      <c r="S204" s="26">
        <v>1</v>
      </c>
      <c r="T204" s="26">
        <v>8</v>
      </c>
      <c r="U204" s="26">
        <v>10</v>
      </c>
      <c r="V204" s="26">
        <v>1</v>
      </c>
      <c r="W204" s="26"/>
    </row>
    <row r="205" spans="1:23" x14ac:dyDescent="0.25">
      <c r="A205" s="26" t="s">
        <v>53</v>
      </c>
      <c r="B205" s="26" t="s">
        <v>1011</v>
      </c>
      <c r="C205" s="26" t="s">
        <v>1012</v>
      </c>
      <c r="D205" s="26" t="s">
        <v>179</v>
      </c>
      <c r="E205" s="26" t="s">
        <v>1013</v>
      </c>
      <c r="F205" s="26" t="s">
        <v>1014</v>
      </c>
      <c r="G205" s="26" t="s">
        <v>204</v>
      </c>
      <c r="H205" s="26" t="s">
        <v>643</v>
      </c>
      <c r="I205" s="26" t="s">
        <v>184</v>
      </c>
      <c r="J205" s="26" t="s">
        <v>322</v>
      </c>
      <c r="K205" s="26" t="s">
        <v>360</v>
      </c>
      <c r="L205" s="26" t="s">
        <v>79</v>
      </c>
      <c r="M205" s="26" t="s">
        <v>77</v>
      </c>
      <c r="N205" s="26">
        <v>19</v>
      </c>
      <c r="O205" s="26">
        <v>10</v>
      </c>
      <c r="P205" s="26">
        <v>9</v>
      </c>
      <c r="Q205" s="26">
        <v>3</v>
      </c>
      <c r="R205" s="26">
        <v>1</v>
      </c>
      <c r="S205" s="26">
        <v>4</v>
      </c>
      <c r="T205" s="26">
        <v>3</v>
      </c>
      <c r="U205" s="26">
        <v>8</v>
      </c>
      <c r="V205" s="26">
        <v>1</v>
      </c>
      <c r="W205" s="26"/>
    </row>
    <row r="206" spans="1:23" x14ac:dyDescent="0.25">
      <c r="A206" s="26" t="s">
        <v>53</v>
      </c>
      <c r="B206" s="26" t="s">
        <v>1015</v>
      </c>
      <c r="C206" s="26" t="s">
        <v>648</v>
      </c>
      <c r="D206" s="26" t="s">
        <v>179</v>
      </c>
      <c r="E206" s="26" t="s">
        <v>1016</v>
      </c>
      <c r="F206" s="26" t="s">
        <v>1017</v>
      </c>
      <c r="G206" s="26" t="s">
        <v>204</v>
      </c>
      <c r="H206" s="26" t="s">
        <v>643</v>
      </c>
      <c r="I206" s="26" t="s">
        <v>184</v>
      </c>
      <c r="J206" s="26" t="s">
        <v>322</v>
      </c>
      <c r="K206" s="26" t="s">
        <v>360</v>
      </c>
      <c r="L206" s="26" t="s">
        <v>79</v>
      </c>
      <c r="M206" s="26" t="s">
        <v>77</v>
      </c>
      <c r="N206" s="26">
        <v>10</v>
      </c>
      <c r="O206" s="26">
        <v>4</v>
      </c>
      <c r="P206" s="26">
        <v>6</v>
      </c>
      <c r="Q206" s="26">
        <v>2</v>
      </c>
      <c r="R206" s="26">
        <v>1</v>
      </c>
      <c r="S206" s="26">
        <v>1</v>
      </c>
      <c r="T206" s="26">
        <v>2</v>
      </c>
      <c r="U206" s="26">
        <v>4</v>
      </c>
      <c r="V206" s="26">
        <v>1</v>
      </c>
      <c r="W206" s="26"/>
    </row>
    <row r="207" spans="1:23" x14ac:dyDescent="0.25">
      <c r="A207" s="26" t="s">
        <v>53</v>
      </c>
      <c r="B207" s="26" t="s">
        <v>1018</v>
      </c>
      <c r="C207" s="26" t="s">
        <v>1019</v>
      </c>
      <c r="D207" s="26" t="s">
        <v>179</v>
      </c>
      <c r="E207" s="26" t="s">
        <v>1020</v>
      </c>
      <c r="F207" s="26" t="s">
        <v>1021</v>
      </c>
      <c r="G207" s="26" t="s">
        <v>204</v>
      </c>
      <c r="H207" s="26" t="s">
        <v>643</v>
      </c>
      <c r="I207" s="26" t="s">
        <v>184</v>
      </c>
      <c r="J207" s="26" t="s">
        <v>322</v>
      </c>
      <c r="K207" s="26" t="s">
        <v>360</v>
      </c>
      <c r="L207" s="26" t="s">
        <v>79</v>
      </c>
      <c r="M207" s="26" t="s">
        <v>77</v>
      </c>
      <c r="N207" s="26">
        <v>13</v>
      </c>
      <c r="O207" s="26">
        <v>10</v>
      </c>
      <c r="P207" s="26">
        <v>3</v>
      </c>
      <c r="Q207" s="26">
        <v>2</v>
      </c>
      <c r="R207" s="26">
        <v>1</v>
      </c>
      <c r="S207" s="26">
        <v>3</v>
      </c>
      <c r="T207" s="26">
        <v>1</v>
      </c>
      <c r="U207" s="26">
        <v>5</v>
      </c>
      <c r="V207" s="26">
        <v>1</v>
      </c>
      <c r="W207" s="26"/>
    </row>
    <row r="208" spans="1:23" x14ac:dyDescent="0.25">
      <c r="A208" s="26" t="s">
        <v>53</v>
      </c>
      <c r="B208" s="26" t="s">
        <v>1022</v>
      </c>
      <c r="C208" s="26" t="s">
        <v>1023</v>
      </c>
      <c r="D208" s="26" t="s">
        <v>179</v>
      </c>
      <c r="E208" s="26" t="s">
        <v>1024</v>
      </c>
      <c r="F208" s="26" t="s">
        <v>1025</v>
      </c>
      <c r="G208" s="26" t="s">
        <v>204</v>
      </c>
      <c r="H208" s="26" t="s">
        <v>1026</v>
      </c>
      <c r="I208" s="26" t="s">
        <v>184</v>
      </c>
      <c r="J208" s="26" t="s">
        <v>322</v>
      </c>
      <c r="K208" s="26" t="s">
        <v>360</v>
      </c>
      <c r="L208" s="26" t="s">
        <v>79</v>
      </c>
      <c r="M208" s="26" t="s">
        <v>77</v>
      </c>
      <c r="N208" s="26">
        <v>10</v>
      </c>
      <c r="O208" s="26">
        <v>4</v>
      </c>
      <c r="P208" s="26">
        <v>6</v>
      </c>
      <c r="Q208" s="26">
        <v>1</v>
      </c>
      <c r="R208" s="26">
        <v>1</v>
      </c>
      <c r="S208" s="26">
        <v>1</v>
      </c>
      <c r="T208" s="26">
        <v>1</v>
      </c>
      <c r="U208" s="26">
        <v>3</v>
      </c>
      <c r="V208" s="26">
        <v>1</v>
      </c>
      <c r="W208" s="26"/>
    </row>
    <row r="209" spans="1:23" x14ac:dyDescent="0.25">
      <c r="A209" s="26" t="s">
        <v>53</v>
      </c>
      <c r="B209" s="26" t="s">
        <v>1027</v>
      </c>
      <c r="C209" s="26" t="s">
        <v>1028</v>
      </c>
      <c r="D209" s="26" t="s">
        <v>179</v>
      </c>
      <c r="E209" s="26" t="s">
        <v>1029</v>
      </c>
      <c r="F209" s="26" t="s">
        <v>1030</v>
      </c>
      <c r="G209" s="26" t="s">
        <v>204</v>
      </c>
      <c r="H209" s="26" t="s">
        <v>1026</v>
      </c>
      <c r="I209" s="26" t="s">
        <v>184</v>
      </c>
      <c r="J209" s="26" t="s">
        <v>322</v>
      </c>
      <c r="K209" s="26" t="s">
        <v>360</v>
      </c>
      <c r="L209" s="26" t="s">
        <v>79</v>
      </c>
      <c r="M209" s="26" t="s">
        <v>77</v>
      </c>
      <c r="N209" s="26">
        <v>8</v>
      </c>
      <c r="O209" s="26">
        <v>3</v>
      </c>
      <c r="P209" s="26">
        <v>5</v>
      </c>
      <c r="Q209" s="26">
        <v>1</v>
      </c>
      <c r="R209" s="26">
        <v>1</v>
      </c>
      <c r="S209" s="26">
        <v>2</v>
      </c>
      <c r="T209" s="26">
        <v>4</v>
      </c>
      <c r="U209" s="26">
        <v>7</v>
      </c>
      <c r="V209" s="26">
        <v>1</v>
      </c>
      <c r="W209" s="26"/>
    </row>
    <row r="210" spans="1:23" x14ac:dyDescent="0.25">
      <c r="A210" s="26" t="s">
        <v>53</v>
      </c>
      <c r="B210" s="26" t="s">
        <v>1031</v>
      </c>
      <c r="C210" s="26" t="s">
        <v>1032</v>
      </c>
      <c r="D210" s="26" t="s">
        <v>179</v>
      </c>
      <c r="E210" s="26" t="s">
        <v>1033</v>
      </c>
      <c r="F210" s="26" t="s">
        <v>1034</v>
      </c>
      <c r="G210" s="26" t="s">
        <v>204</v>
      </c>
      <c r="H210" s="26" t="s">
        <v>643</v>
      </c>
      <c r="I210" s="26" t="s">
        <v>184</v>
      </c>
      <c r="J210" s="26" t="s">
        <v>322</v>
      </c>
      <c r="K210" s="26" t="s">
        <v>360</v>
      </c>
      <c r="L210" s="26" t="s">
        <v>79</v>
      </c>
      <c r="M210" s="26" t="s">
        <v>77</v>
      </c>
      <c r="N210" s="26">
        <v>11</v>
      </c>
      <c r="O210" s="26">
        <v>6</v>
      </c>
      <c r="P210" s="26">
        <v>5</v>
      </c>
      <c r="Q210" s="26">
        <v>1</v>
      </c>
      <c r="R210" s="26">
        <v>1</v>
      </c>
      <c r="S210" s="26">
        <v>1</v>
      </c>
      <c r="T210" s="26">
        <v>1</v>
      </c>
      <c r="U210" s="26">
        <v>3</v>
      </c>
      <c r="V210" s="26">
        <v>1</v>
      </c>
      <c r="W210" s="26"/>
    </row>
    <row r="211" spans="1:23" x14ac:dyDescent="0.25">
      <c r="A211" s="26" t="s">
        <v>53</v>
      </c>
      <c r="B211" s="26" t="s">
        <v>1035</v>
      </c>
      <c r="C211" s="26" t="s">
        <v>1036</v>
      </c>
      <c r="D211" s="26" t="s">
        <v>179</v>
      </c>
      <c r="E211" s="26" t="s">
        <v>1037</v>
      </c>
      <c r="F211" s="26" t="s">
        <v>1038</v>
      </c>
      <c r="G211" s="26" t="s">
        <v>204</v>
      </c>
      <c r="H211" s="26" t="s">
        <v>1026</v>
      </c>
      <c r="I211" s="26" t="s">
        <v>184</v>
      </c>
      <c r="J211" s="26" t="s">
        <v>322</v>
      </c>
      <c r="K211" s="26" t="s">
        <v>360</v>
      </c>
      <c r="L211" s="26" t="s">
        <v>79</v>
      </c>
      <c r="M211" s="26" t="s">
        <v>77</v>
      </c>
      <c r="N211" s="26">
        <v>0</v>
      </c>
      <c r="O211" s="26">
        <v>0</v>
      </c>
      <c r="P211" s="26">
        <v>0</v>
      </c>
      <c r="Q211" s="26">
        <v>0</v>
      </c>
      <c r="R211" s="26">
        <v>1</v>
      </c>
      <c r="S211" s="26">
        <v>0</v>
      </c>
      <c r="T211" s="26">
        <v>3</v>
      </c>
      <c r="U211" s="26">
        <v>4</v>
      </c>
      <c r="V211" s="26">
        <v>1</v>
      </c>
      <c r="W211" s="26"/>
    </row>
    <row r="212" spans="1:23" x14ac:dyDescent="0.25">
      <c r="A212" s="26" t="s">
        <v>53</v>
      </c>
      <c r="B212" s="26" t="s">
        <v>1039</v>
      </c>
      <c r="C212" s="26" t="s">
        <v>1040</v>
      </c>
      <c r="D212" s="26" t="s">
        <v>179</v>
      </c>
      <c r="E212" s="26" t="s">
        <v>1041</v>
      </c>
      <c r="F212" s="26" t="s">
        <v>1042</v>
      </c>
      <c r="G212" s="26" t="s">
        <v>204</v>
      </c>
      <c r="H212" s="26" t="s">
        <v>1026</v>
      </c>
      <c r="I212" s="26" t="s">
        <v>184</v>
      </c>
      <c r="J212" s="26" t="s">
        <v>322</v>
      </c>
      <c r="K212" s="26" t="s">
        <v>360</v>
      </c>
      <c r="L212" s="26" t="s">
        <v>79</v>
      </c>
      <c r="M212" s="26" t="s">
        <v>77</v>
      </c>
      <c r="N212" s="26">
        <v>8</v>
      </c>
      <c r="O212" s="26">
        <v>5</v>
      </c>
      <c r="P212" s="26">
        <v>3</v>
      </c>
      <c r="Q212" s="26">
        <v>1</v>
      </c>
      <c r="R212" s="26">
        <v>1</v>
      </c>
      <c r="S212" s="26">
        <v>1</v>
      </c>
      <c r="T212" s="26">
        <v>3</v>
      </c>
      <c r="U212" s="26">
        <v>5</v>
      </c>
      <c r="V212" s="26">
        <v>1</v>
      </c>
      <c r="W212" s="26"/>
    </row>
    <row r="213" spans="1:23" x14ac:dyDescent="0.25">
      <c r="A213" s="26" t="s">
        <v>53</v>
      </c>
      <c r="B213" s="26" t="s">
        <v>1043</v>
      </c>
      <c r="C213" s="26" t="s">
        <v>1044</v>
      </c>
      <c r="D213" s="26" t="s">
        <v>179</v>
      </c>
      <c r="E213" s="26" t="s">
        <v>1045</v>
      </c>
      <c r="F213" s="26" t="s">
        <v>231</v>
      </c>
      <c r="G213" s="26" t="s">
        <v>198</v>
      </c>
      <c r="H213" s="26" t="s">
        <v>395</v>
      </c>
      <c r="I213" s="26" t="s">
        <v>184</v>
      </c>
      <c r="J213" s="26" t="s">
        <v>375</v>
      </c>
      <c r="K213" s="26" t="s">
        <v>381</v>
      </c>
      <c r="L213" s="26" t="s">
        <v>79</v>
      </c>
      <c r="M213" s="26" t="s">
        <v>77</v>
      </c>
      <c r="N213" s="26">
        <v>19</v>
      </c>
      <c r="O213" s="26">
        <v>9</v>
      </c>
      <c r="P213" s="26">
        <v>10</v>
      </c>
      <c r="Q213" s="26">
        <v>5</v>
      </c>
      <c r="R213" s="26">
        <v>1</v>
      </c>
      <c r="S213" s="26">
        <v>13</v>
      </c>
      <c r="T213" s="26">
        <v>34</v>
      </c>
      <c r="U213" s="26">
        <v>48</v>
      </c>
      <c r="V213" s="26">
        <v>1</v>
      </c>
      <c r="W213" s="26"/>
    </row>
    <row r="214" spans="1:23" x14ac:dyDescent="0.25">
      <c r="A214" s="26" t="s">
        <v>53</v>
      </c>
      <c r="B214" s="26" t="s">
        <v>1046</v>
      </c>
      <c r="C214" s="26" t="s">
        <v>1047</v>
      </c>
      <c r="D214" s="26" t="s">
        <v>218</v>
      </c>
      <c r="E214" s="26" t="s">
        <v>1048</v>
      </c>
      <c r="F214" s="26" t="s">
        <v>1049</v>
      </c>
      <c r="G214" s="26" t="s">
        <v>413</v>
      </c>
      <c r="H214" s="26" t="s">
        <v>466</v>
      </c>
      <c r="I214" s="26" t="s">
        <v>184</v>
      </c>
      <c r="J214" s="26" t="s">
        <v>375</v>
      </c>
      <c r="K214" s="26" t="s">
        <v>360</v>
      </c>
      <c r="L214" s="26" t="s">
        <v>79</v>
      </c>
      <c r="M214" s="26" t="s">
        <v>77</v>
      </c>
      <c r="N214" s="26">
        <v>92</v>
      </c>
      <c r="O214" s="26">
        <v>54</v>
      </c>
      <c r="P214" s="26">
        <v>38</v>
      </c>
      <c r="Q214" s="26">
        <v>5</v>
      </c>
      <c r="R214" s="26">
        <v>1</v>
      </c>
      <c r="S214" s="26">
        <v>20</v>
      </c>
      <c r="T214" s="26">
        <v>46</v>
      </c>
      <c r="U214" s="26">
        <v>67</v>
      </c>
      <c r="V214" s="26">
        <v>1</v>
      </c>
      <c r="W214" s="26"/>
    </row>
    <row r="215" spans="1:23" x14ac:dyDescent="0.25">
      <c r="A215" s="26" t="s">
        <v>53</v>
      </c>
      <c r="B215" s="26" t="s">
        <v>1050</v>
      </c>
      <c r="C215" s="26" t="s">
        <v>1051</v>
      </c>
      <c r="D215" s="26" t="s">
        <v>179</v>
      </c>
      <c r="E215" s="26" t="s">
        <v>1052</v>
      </c>
      <c r="F215" s="26" t="s">
        <v>457</v>
      </c>
      <c r="G215" s="26" t="s">
        <v>182</v>
      </c>
      <c r="H215" s="26" t="s">
        <v>380</v>
      </c>
      <c r="I215" s="26" t="s">
        <v>184</v>
      </c>
      <c r="J215" s="26" t="s">
        <v>322</v>
      </c>
      <c r="K215" s="26" t="s">
        <v>360</v>
      </c>
      <c r="L215" s="26" t="s">
        <v>79</v>
      </c>
      <c r="M215" s="26" t="s">
        <v>77</v>
      </c>
      <c r="N215" s="26">
        <v>28</v>
      </c>
      <c r="O215" s="26">
        <v>12</v>
      </c>
      <c r="P215" s="26">
        <v>16</v>
      </c>
      <c r="Q215" s="26">
        <v>3</v>
      </c>
      <c r="R215" s="26">
        <v>1</v>
      </c>
      <c r="S215" s="26">
        <v>10</v>
      </c>
      <c r="T215" s="26">
        <v>23</v>
      </c>
      <c r="U215" s="26">
        <v>34</v>
      </c>
      <c r="V215" s="26">
        <v>1</v>
      </c>
      <c r="W215" s="26"/>
    </row>
    <row r="216" spans="1:23" x14ac:dyDescent="0.25">
      <c r="A216" s="26" t="s">
        <v>53</v>
      </c>
      <c r="B216" s="26" t="s">
        <v>1053</v>
      </c>
      <c r="C216" s="26" t="s">
        <v>1054</v>
      </c>
      <c r="D216" s="26" t="s">
        <v>218</v>
      </c>
      <c r="E216" s="26" t="s">
        <v>1055</v>
      </c>
      <c r="F216" s="26" t="s">
        <v>598</v>
      </c>
      <c r="G216" s="26" t="s">
        <v>182</v>
      </c>
      <c r="H216" s="26" t="s">
        <v>370</v>
      </c>
      <c r="I216" s="26" t="s">
        <v>184</v>
      </c>
      <c r="J216" s="26" t="s">
        <v>322</v>
      </c>
      <c r="K216" s="26" t="s">
        <v>360</v>
      </c>
      <c r="L216" s="26" t="s">
        <v>79</v>
      </c>
      <c r="M216" s="26" t="s">
        <v>77</v>
      </c>
      <c r="N216" s="26">
        <v>95</v>
      </c>
      <c r="O216" s="26">
        <v>45</v>
      </c>
      <c r="P216" s="26">
        <v>50</v>
      </c>
      <c r="Q216" s="26">
        <v>8</v>
      </c>
      <c r="R216" s="26">
        <v>1</v>
      </c>
      <c r="S216" s="26">
        <v>35</v>
      </c>
      <c r="T216" s="26">
        <v>42</v>
      </c>
      <c r="U216" s="26">
        <v>78</v>
      </c>
      <c r="V216" s="26">
        <v>1</v>
      </c>
      <c r="W216" s="26"/>
    </row>
    <row r="217" spans="1:23" x14ac:dyDescent="0.25">
      <c r="A217" s="26" t="s">
        <v>53</v>
      </c>
      <c r="B217" s="26" t="s">
        <v>1056</v>
      </c>
      <c r="C217" s="26" t="s">
        <v>1057</v>
      </c>
      <c r="D217" s="26" t="s">
        <v>218</v>
      </c>
      <c r="E217" s="26" t="s">
        <v>1058</v>
      </c>
      <c r="F217" s="26" t="s">
        <v>444</v>
      </c>
      <c r="G217" s="26" t="s">
        <v>265</v>
      </c>
      <c r="H217" s="26" t="s">
        <v>359</v>
      </c>
      <c r="I217" s="26" t="s">
        <v>184</v>
      </c>
      <c r="J217" s="26" t="s">
        <v>322</v>
      </c>
      <c r="K217" s="26" t="s">
        <v>360</v>
      </c>
      <c r="L217" s="26" t="s">
        <v>79</v>
      </c>
      <c r="M217" s="26" t="s">
        <v>77</v>
      </c>
      <c r="N217" s="26">
        <v>21</v>
      </c>
      <c r="O217" s="26">
        <v>9</v>
      </c>
      <c r="P217" s="26">
        <v>12</v>
      </c>
      <c r="Q217" s="26">
        <v>3</v>
      </c>
      <c r="R217" s="26">
        <v>1</v>
      </c>
      <c r="S217" s="26">
        <v>7</v>
      </c>
      <c r="T217" s="26">
        <v>21</v>
      </c>
      <c r="U217" s="26">
        <v>29</v>
      </c>
      <c r="V217" s="26">
        <v>1</v>
      </c>
      <c r="W217" s="26"/>
    </row>
    <row r="218" spans="1:23" x14ac:dyDescent="0.25">
      <c r="A218" s="26" t="s">
        <v>53</v>
      </c>
      <c r="B218" s="26" t="s">
        <v>1059</v>
      </c>
      <c r="C218" s="26" t="s">
        <v>1060</v>
      </c>
      <c r="D218" s="26" t="s">
        <v>218</v>
      </c>
      <c r="E218" s="26" t="s">
        <v>1061</v>
      </c>
      <c r="F218" s="26" t="s">
        <v>982</v>
      </c>
      <c r="G218" s="26" t="s">
        <v>182</v>
      </c>
      <c r="H218" s="26" t="s">
        <v>421</v>
      </c>
      <c r="I218" s="26" t="s">
        <v>184</v>
      </c>
      <c r="J218" s="26" t="s">
        <v>322</v>
      </c>
      <c r="K218" s="26" t="s">
        <v>360</v>
      </c>
      <c r="L218" s="26" t="s">
        <v>79</v>
      </c>
      <c r="M218" s="26" t="s">
        <v>77</v>
      </c>
      <c r="N218" s="26">
        <v>40</v>
      </c>
      <c r="O218" s="26">
        <v>17</v>
      </c>
      <c r="P218" s="26">
        <v>23</v>
      </c>
      <c r="Q218" s="26">
        <v>4</v>
      </c>
      <c r="R218" s="26">
        <v>1</v>
      </c>
      <c r="S218" s="26">
        <v>11</v>
      </c>
      <c r="T218" s="26">
        <v>13</v>
      </c>
      <c r="U218" s="26">
        <v>25</v>
      </c>
      <c r="V218" s="26">
        <v>1</v>
      </c>
      <c r="W218" s="26"/>
    </row>
    <row r="219" spans="1:23" x14ac:dyDescent="0.25">
      <c r="A219" s="26" t="s">
        <v>53</v>
      </c>
      <c r="B219" s="26" t="s">
        <v>1062</v>
      </c>
      <c r="C219" s="26" t="s">
        <v>1063</v>
      </c>
      <c r="D219" s="26" t="s">
        <v>179</v>
      </c>
      <c r="E219" s="26" t="s">
        <v>1064</v>
      </c>
      <c r="F219" s="26" t="s">
        <v>300</v>
      </c>
      <c r="G219" s="26" t="s">
        <v>198</v>
      </c>
      <c r="H219" s="26" t="s">
        <v>374</v>
      </c>
      <c r="I219" s="26" t="s">
        <v>184</v>
      </c>
      <c r="J219" s="26" t="s">
        <v>375</v>
      </c>
      <c r="K219" s="26" t="s">
        <v>360</v>
      </c>
      <c r="L219" s="26" t="s">
        <v>79</v>
      </c>
      <c r="M219" s="26" t="s">
        <v>77</v>
      </c>
      <c r="N219" s="26">
        <v>62</v>
      </c>
      <c r="O219" s="26">
        <v>43</v>
      </c>
      <c r="P219" s="26">
        <v>19</v>
      </c>
      <c r="Q219" s="26">
        <v>4</v>
      </c>
      <c r="R219" s="26">
        <v>1</v>
      </c>
      <c r="S219" s="26">
        <v>13</v>
      </c>
      <c r="T219" s="26">
        <v>28</v>
      </c>
      <c r="U219" s="26">
        <v>42</v>
      </c>
      <c r="V219" s="26">
        <v>1</v>
      </c>
      <c r="W219" s="26"/>
    </row>
    <row r="220" spans="1:23" x14ac:dyDescent="0.25">
      <c r="A220" s="26" t="s">
        <v>53</v>
      </c>
      <c r="B220" s="26" t="s">
        <v>1065</v>
      </c>
      <c r="C220" s="26" t="s">
        <v>1066</v>
      </c>
      <c r="D220" s="26" t="s">
        <v>218</v>
      </c>
      <c r="E220" s="26" t="s">
        <v>1067</v>
      </c>
      <c r="F220" s="26" t="s">
        <v>1068</v>
      </c>
      <c r="G220" s="26" t="s">
        <v>210</v>
      </c>
      <c r="H220" s="26" t="s">
        <v>1069</v>
      </c>
      <c r="I220" s="26" t="s">
        <v>184</v>
      </c>
      <c r="J220" s="26" t="s">
        <v>322</v>
      </c>
      <c r="K220" s="26" t="s">
        <v>360</v>
      </c>
      <c r="L220" s="26" t="s">
        <v>79</v>
      </c>
      <c r="M220" s="26" t="s">
        <v>77</v>
      </c>
      <c r="N220" s="26">
        <v>28</v>
      </c>
      <c r="O220" s="26">
        <v>17</v>
      </c>
      <c r="P220" s="26">
        <v>11</v>
      </c>
      <c r="Q220" s="26">
        <v>4</v>
      </c>
      <c r="R220" s="26">
        <v>1</v>
      </c>
      <c r="S220" s="26">
        <v>9</v>
      </c>
      <c r="T220" s="26">
        <v>28</v>
      </c>
      <c r="U220" s="26">
        <v>38</v>
      </c>
      <c r="V220" s="26">
        <v>1</v>
      </c>
      <c r="W220" s="26"/>
    </row>
    <row r="221" spans="1:23" x14ac:dyDescent="0.25">
      <c r="A221" s="26" t="s">
        <v>53</v>
      </c>
      <c r="B221" s="26" t="s">
        <v>1070</v>
      </c>
      <c r="C221" s="26" t="s">
        <v>1071</v>
      </c>
      <c r="D221" s="26" t="s">
        <v>218</v>
      </c>
      <c r="E221" s="26" t="s">
        <v>1072</v>
      </c>
      <c r="F221" s="26" t="s">
        <v>1073</v>
      </c>
      <c r="G221" s="26" t="s">
        <v>182</v>
      </c>
      <c r="H221" s="26" t="s">
        <v>461</v>
      </c>
      <c r="I221" s="26" t="s">
        <v>184</v>
      </c>
      <c r="J221" s="26" t="s">
        <v>322</v>
      </c>
      <c r="K221" s="26" t="s">
        <v>360</v>
      </c>
      <c r="L221" s="26" t="s">
        <v>79</v>
      </c>
      <c r="M221" s="26" t="s">
        <v>77</v>
      </c>
      <c r="N221" s="26">
        <v>22</v>
      </c>
      <c r="O221" s="26">
        <v>8</v>
      </c>
      <c r="P221" s="26">
        <v>14</v>
      </c>
      <c r="Q221" s="26">
        <v>2</v>
      </c>
      <c r="R221" s="26">
        <v>1</v>
      </c>
      <c r="S221" s="26">
        <v>5</v>
      </c>
      <c r="T221" s="26">
        <v>10</v>
      </c>
      <c r="U221" s="26">
        <v>16</v>
      </c>
      <c r="V221" s="26">
        <v>1</v>
      </c>
      <c r="W221" s="26"/>
    </row>
    <row r="222" spans="1:23" x14ac:dyDescent="0.25">
      <c r="A222" s="26" t="s">
        <v>53</v>
      </c>
      <c r="B222" s="26" t="s">
        <v>1074</v>
      </c>
      <c r="C222" s="26" t="s">
        <v>1075</v>
      </c>
      <c r="D222" s="26" t="s">
        <v>218</v>
      </c>
      <c r="E222" s="26" t="s">
        <v>1076</v>
      </c>
      <c r="F222" s="26" t="s">
        <v>949</v>
      </c>
      <c r="G222" s="26" t="s">
        <v>413</v>
      </c>
      <c r="H222" s="26" t="s">
        <v>495</v>
      </c>
      <c r="I222" s="26" t="s">
        <v>184</v>
      </c>
      <c r="J222" s="26" t="s">
        <v>375</v>
      </c>
      <c r="K222" s="26" t="s">
        <v>360</v>
      </c>
      <c r="L222" s="26" t="s">
        <v>79</v>
      </c>
      <c r="M222" s="26" t="s">
        <v>77</v>
      </c>
      <c r="N222" s="26">
        <v>28</v>
      </c>
      <c r="O222" s="26">
        <v>10</v>
      </c>
      <c r="P222" s="26">
        <v>18</v>
      </c>
      <c r="Q222" s="26">
        <v>5</v>
      </c>
      <c r="R222" s="26">
        <v>1</v>
      </c>
      <c r="S222" s="26">
        <v>10</v>
      </c>
      <c r="T222" s="26">
        <v>27</v>
      </c>
      <c r="U222" s="26">
        <v>38</v>
      </c>
      <c r="V222" s="26">
        <v>1</v>
      </c>
      <c r="W222" s="26"/>
    </row>
    <row r="223" spans="1:23" x14ac:dyDescent="0.25">
      <c r="A223" s="26" t="s">
        <v>53</v>
      </c>
      <c r="B223" s="26" t="s">
        <v>1077</v>
      </c>
      <c r="C223" s="26" t="s">
        <v>1078</v>
      </c>
      <c r="D223" s="26" t="s">
        <v>218</v>
      </c>
      <c r="E223" s="26" t="s">
        <v>1079</v>
      </c>
      <c r="F223" s="26" t="s">
        <v>231</v>
      </c>
      <c r="G223" s="26" t="s">
        <v>198</v>
      </c>
      <c r="H223" s="26" t="s">
        <v>386</v>
      </c>
      <c r="I223" s="26" t="s">
        <v>184</v>
      </c>
      <c r="J223" s="26" t="s">
        <v>375</v>
      </c>
      <c r="K223" s="26" t="s">
        <v>360</v>
      </c>
      <c r="L223" s="26" t="s">
        <v>79</v>
      </c>
      <c r="M223" s="26" t="s">
        <v>77</v>
      </c>
      <c r="N223" s="26">
        <v>0</v>
      </c>
      <c r="O223" s="26">
        <v>0</v>
      </c>
      <c r="P223" s="26">
        <v>0</v>
      </c>
      <c r="Q223" s="26">
        <v>0</v>
      </c>
      <c r="R223" s="26">
        <v>1</v>
      </c>
      <c r="S223" s="26">
        <v>4</v>
      </c>
      <c r="T223" s="26">
        <v>25</v>
      </c>
      <c r="U223" s="26">
        <v>30</v>
      </c>
      <c r="V223" s="26">
        <v>1</v>
      </c>
      <c r="W223" s="26"/>
    </row>
    <row r="224" spans="1:23" x14ac:dyDescent="0.25">
      <c r="A224" s="26" t="s">
        <v>53</v>
      </c>
      <c r="B224" s="26" t="s">
        <v>1080</v>
      </c>
      <c r="C224" s="26" t="s">
        <v>1081</v>
      </c>
      <c r="D224" s="26" t="s">
        <v>218</v>
      </c>
      <c r="E224" s="26" t="s">
        <v>1082</v>
      </c>
      <c r="F224" s="26" t="s">
        <v>598</v>
      </c>
      <c r="G224" s="26" t="s">
        <v>182</v>
      </c>
      <c r="H224" s="26" t="s">
        <v>390</v>
      </c>
      <c r="I224" s="26" t="s">
        <v>184</v>
      </c>
      <c r="J224" s="26" t="s">
        <v>322</v>
      </c>
      <c r="K224" s="26" t="s">
        <v>360</v>
      </c>
      <c r="L224" s="26" t="s">
        <v>79</v>
      </c>
      <c r="M224" s="26" t="s">
        <v>77</v>
      </c>
      <c r="N224" s="26">
        <v>9</v>
      </c>
      <c r="O224" s="26">
        <v>6</v>
      </c>
      <c r="P224" s="26">
        <v>3</v>
      </c>
      <c r="Q224" s="26">
        <v>2</v>
      </c>
      <c r="R224" s="26">
        <v>1</v>
      </c>
      <c r="S224" s="26">
        <v>3</v>
      </c>
      <c r="T224" s="26">
        <v>17</v>
      </c>
      <c r="U224" s="26">
        <v>21</v>
      </c>
      <c r="V224" s="26">
        <v>1</v>
      </c>
      <c r="W224" s="26"/>
    </row>
    <row r="225" spans="1:23" x14ac:dyDescent="0.25">
      <c r="A225" s="26" t="s">
        <v>53</v>
      </c>
      <c r="B225" s="26" t="s">
        <v>1083</v>
      </c>
      <c r="C225" s="26" t="s">
        <v>1084</v>
      </c>
      <c r="D225" s="26" t="s">
        <v>179</v>
      </c>
      <c r="E225" s="26" t="s">
        <v>1085</v>
      </c>
      <c r="F225" s="26" t="s">
        <v>1086</v>
      </c>
      <c r="G225" s="26" t="s">
        <v>487</v>
      </c>
      <c r="H225" s="26" t="s">
        <v>294</v>
      </c>
      <c r="I225" s="26" t="s">
        <v>184</v>
      </c>
      <c r="J225" s="26" t="s">
        <v>375</v>
      </c>
      <c r="K225" s="26" t="s">
        <v>360</v>
      </c>
      <c r="L225" s="26" t="s">
        <v>79</v>
      </c>
      <c r="M225" s="26" t="s">
        <v>77</v>
      </c>
      <c r="N225" s="26">
        <v>0</v>
      </c>
      <c r="O225" s="26">
        <v>0</v>
      </c>
      <c r="P225" s="26">
        <v>0</v>
      </c>
      <c r="Q225" s="26">
        <v>0</v>
      </c>
      <c r="R225" s="26">
        <v>1</v>
      </c>
      <c r="S225" s="26">
        <v>1</v>
      </c>
      <c r="T225" s="26">
        <v>4</v>
      </c>
      <c r="U225" s="26">
        <v>6</v>
      </c>
      <c r="V225" s="26">
        <v>1</v>
      </c>
      <c r="W225" s="26"/>
    </row>
    <row r="226" spans="1:23" x14ac:dyDescent="0.25">
      <c r="A226" s="26" t="s">
        <v>53</v>
      </c>
      <c r="B226" s="26" t="s">
        <v>1087</v>
      </c>
      <c r="C226" s="26" t="s">
        <v>1088</v>
      </c>
      <c r="D226" s="26" t="s">
        <v>179</v>
      </c>
      <c r="E226" s="26" t="s">
        <v>1089</v>
      </c>
      <c r="F226" s="26" t="s">
        <v>1014</v>
      </c>
      <c r="G226" s="26" t="s">
        <v>204</v>
      </c>
      <c r="H226" s="26" t="s">
        <v>643</v>
      </c>
      <c r="I226" s="26" t="s">
        <v>184</v>
      </c>
      <c r="J226" s="26" t="s">
        <v>322</v>
      </c>
      <c r="K226" s="26" t="s">
        <v>360</v>
      </c>
      <c r="L226" s="26" t="s">
        <v>79</v>
      </c>
      <c r="M226" s="26" t="s">
        <v>77</v>
      </c>
      <c r="N226" s="26">
        <v>14</v>
      </c>
      <c r="O226" s="26">
        <v>6</v>
      </c>
      <c r="P226" s="26">
        <v>8</v>
      </c>
      <c r="Q226" s="26">
        <v>1</v>
      </c>
      <c r="R226" s="26">
        <v>1</v>
      </c>
      <c r="S226" s="26">
        <v>2</v>
      </c>
      <c r="T226" s="26">
        <v>6</v>
      </c>
      <c r="U226" s="26">
        <v>9</v>
      </c>
      <c r="V226" s="26">
        <v>1</v>
      </c>
      <c r="W226" s="26"/>
    </row>
    <row r="227" spans="1:23" x14ac:dyDescent="0.25">
      <c r="A227" s="26" t="s">
        <v>53</v>
      </c>
      <c r="B227" s="26" t="s">
        <v>1090</v>
      </c>
      <c r="C227" s="26" t="s">
        <v>1091</v>
      </c>
      <c r="D227" s="26" t="s">
        <v>179</v>
      </c>
      <c r="E227" s="26" t="s">
        <v>1092</v>
      </c>
      <c r="F227" s="26" t="s">
        <v>848</v>
      </c>
      <c r="G227" s="26" t="s">
        <v>226</v>
      </c>
      <c r="H227" s="26" t="s">
        <v>538</v>
      </c>
      <c r="I227" s="26" t="s">
        <v>184</v>
      </c>
      <c r="J227" s="26" t="s">
        <v>427</v>
      </c>
      <c r="K227" s="26" t="s">
        <v>360</v>
      </c>
      <c r="L227" s="26" t="s">
        <v>79</v>
      </c>
      <c r="M227" s="26" t="s">
        <v>77</v>
      </c>
      <c r="N227" s="26">
        <v>0</v>
      </c>
      <c r="O227" s="26">
        <v>0</v>
      </c>
      <c r="P227" s="26">
        <v>0</v>
      </c>
      <c r="Q227" s="26">
        <v>0</v>
      </c>
      <c r="R227" s="26">
        <v>1</v>
      </c>
      <c r="S227" s="26">
        <v>0</v>
      </c>
      <c r="T227" s="26">
        <v>8</v>
      </c>
      <c r="U227" s="26">
        <v>9</v>
      </c>
      <c r="V227" s="26">
        <v>1</v>
      </c>
      <c r="W227" s="26"/>
    </row>
    <row r="228" spans="1:23" x14ac:dyDescent="0.25">
      <c r="A228" s="26" t="s">
        <v>53</v>
      </c>
      <c r="B228" s="26" t="s">
        <v>1093</v>
      </c>
      <c r="C228" s="26" t="s">
        <v>1094</v>
      </c>
      <c r="D228" s="26" t="s">
        <v>218</v>
      </c>
      <c r="E228" s="26" t="s">
        <v>1095</v>
      </c>
      <c r="F228" s="26" t="s">
        <v>1096</v>
      </c>
      <c r="G228" s="26" t="s">
        <v>676</v>
      </c>
      <c r="H228" s="26" t="s">
        <v>687</v>
      </c>
      <c r="I228" s="26" t="s">
        <v>184</v>
      </c>
      <c r="J228" s="26" t="s">
        <v>375</v>
      </c>
      <c r="K228" s="26" t="s">
        <v>360</v>
      </c>
      <c r="L228" s="26" t="s">
        <v>79</v>
      </c>
      <c r="M228" s="26" t="s">
        <v>77</v>
      </c>
      <c r="N228" s="26">
        <v>29</v>
      </c>
      <c r="O228" s="26">
        <v>18</v>
      </c>
      <c r="P228" s="26">
        <v>11</v>
      </c>
      <c r="Q228" s="26">
        <v>2</v>
      </c>
      <c r="R228" s="26">
        <v>1</v>
      </c>
      <c r="S228" s="26">
        <v>4</v>
      </c>
      <c r="T228" s="26">
        <v>6</v>
      </c>
      <c r="U228" s="26">
        <v>11</v>
      </c>
      <c r="V228" s="26">
        <v>1</v>
      </c>
      <c r="W228" s="26"/>
    </row>
    <row r="229" spans="1:23" x14ac:dyDescent="0.25">
      <c r="A229" s="26" t="s">
        <v>53</v>
      </c>
      <c r="B229" s="26" t="s">
        <v>1097</v>
      </c>
      <c r="C229" s="26" t="s">
        <v>1098</v>
      </c>
      <c r="D229" s="26" t="s">
        <v>179</v>
      </c>
      <c r="E229" s="26" t="s">
        <v>1099</v>
      </c>
      <c r="F229" s="26" t="s">
        <v>577</v>
      </c>
      <c r="G229" s="26" t="s">
        <v>278</v>
      </c>
      <c r="H229" s="26" t="s">
        <v>578</v>
      </c>
      <c r="I229" s="26" t="s">
        <v>184</v>
      </c>
      <c r="J229" s="26" t="s">
        <v>375</v>
      </c>
      <c r="K229" s="26" t="s">
        <v>360</v>
      </c>
      <c r="L229" s="26" t="s">
        <v>79</v>
      </c>
      <c r="M229" s="26" t="s">
        <v>77</v>
      </c>
      <c r="N229" s="26">
        <v>10</v>
      </c>
      <c r="O229" s="26">
        <v>6</v>
      </c>
      <c r="P229" s="26">
        <v>4</v>
      </c>
      <c r="Q229" s="26">
        <v>1</v>
      </c>
      <c r="R229" s="26">
        <v>1</v>
      </c>
      <c r="S229" s="26">
        <v>2</v>
      </c>
      <c r="T229" s="26">
        <v>3</v>
      </c>
      <c r="U229" s="26">
        <v>6</v>
      </c>
      <c r="V229" s="26">
        <v>1</v>
      </c>
      <c r="W229" s="26"/>
    </row>
    <row r="230" spans="1:23" x14ac:dyDescent="0.25">
      <c r="A230" s="26" t="s">
        <v>53</v>
      </c>
      <c r="B230" s="26" t="s">
        <v>1100</v>
      </c>
      <c r="C230" s="26" t="s">
        <v>1101</v>
      </c>
      <c r="D230" s="26" t="s">
        <v>179</v>
      </c>
      <c r="E230" s="26" t="s">
        <v>1102</v>
      </c>
      <c r="F230" s="26" t="s">
        <v>1103</v>
      </c>
      <c r="G230" s="26" t="s">
        <v>278</v>
      </c>
      <c r="H230" s="26" t="s">
        <v>623</v>
      </c>
      <c r="I230" s="26" t="s">
        <v>184</v>
      </c>
      <c r="J230" s="26" t="s">
        <v>375</v>
      </c>
      <c r="K230" s="26" t="s">
        <v>360</v>
      </c>
      <c r="L230" s="26" t="s">
        <v>79</v>
      </c>
      <c r="M230" s="26" t="s">
        <v>77</v>
      </c>
      <c r="N230" s="26">
        <v>9</v>
      </c>
      <c r="O230" s="26">
        <v>5</v>
      </c>
      <c r="P230" s="26">
        <v>4</v>
      </c>
      <c r="Q230" s="26">
        <v>1</v>
      </c>
      <c r="R230" s="26">
        <v>1</v>
      </c>
      <c r="S230" s="26">
        <v>1</v>
      </c>
      <c r="T230" s="26">
        <v>4</v>
      </c>
      <c r="U230" s="26">
        <v>6</v>
      </c>
      <c r="V230" s="26">
        <v>1</v>
      </c>
      <c r="W230" s="26"/>
    </row>
    <row r="231" spans="1:23" x14ac:dyDescent="0.25">
      <c r="A231" s="26" t="s">
        <v>53</v>
      </c>
      <c r="B231" s="26" t="s">
        <v>1104</v>
      </c>
      <c r="C231" s="26" t="s">
        <v>1105</v>
      </c>
      <c r="D231" s="26" t="s">
        <v>179</v>
      </c>
      <c r="E231" s="26" t="s">
        <v>1106</v>
      </c>
      <c r="F231" s="26" t="s">
        <v>1107</v>
      </c>
      <c r="G231" s="26" t="s">
        <v>278</v>
      </c>
      <c r="H231" s="26" t="s">
        <v>408</v>
      </c>
      <c r="I231" s="26" t="s">
        <v>184</v>
      </c>
      <c r="J231" s="26" t="s">
        <v>375</v>
      </c>
      <c r="K231" s="26" t="s">
        <v>360</v>
      </c>
      <c r="L231" s="26" t="s">
        <v>79</v>
      </c>
      <c r="M231" s="26" t="s">
        <v>77</v>
      </c>
      <c r="N231" s="26">
        <v>18</v>
      </c>
      <c r="O231" s="26">
        <v>5</v>
      </c>
      <c r="P231" s="26">
        <v>13</v>
      </c>
      <c r="Q231" s="26">
        <v>1</v>
      </c>
      <c r="R231" s="26">
        <v>1</v>
      </c>
      <c r="S231" s="26">
        <v>3</v>
      </c>
      <c r="T231" s="26">
        <v>5</v>
      </c>
      <c r="U231" s="26">
        <v>9</v>
      </c>
      <c r="V231" s="26">
        <v>1</v>
      </c>
      <c r="W231" s="26"/>
    </row>
    <row r="232" spans="1:23" x14ac:dyDescent="0.25">
      <c r="A232" s="26" t="s">
        <v>53</v>
      </c>
      <c r="B232" s="26" t="s">
        <v>1108</v>
      </c>
      <c r="C232" s="26" t="s">
        <v>1109</v>
      </c>
      <c r="D232" s="26" t="s">
        <v>179</v>
      </c>
      <c r="E232" s="26" t="s">
        <v>1110</v>
      </c>
      <c r="F232" s="26" t="s">
        <v>1111</v>
      </c>
      <c r="G232" s="26" t="s">
        <v>278</v>
      </c>
      <c r="H232" s="26" t="s">
        <v>408</v>
      </c>
      <c r="I232" s="26" t="s">
        <v>184</v>
      </c>
      <c r="J232" s="26" t="s">
        <v>375</v>
      </c>
      <c r="K232" s="26" t="s">
        <v>360</v>
      </c>
      <c r="L232" s="26" t="s">
        <v>79</v>
      </c>
      <c r="M232" s="26" t="s">
        <v>77</v>
      </c>
      <c r="N232" s="26">
        <v>0</v>
      </c>
      <c r="O232" s="26">
        <v>0</v>
      </c>
      <c r="P232" s="26">
        <v>0</v>
      </c>
      <c r="Q232" s="26">
        <v>0</v>
      </c>
      <c r="R232" s="26">
        <v>1</v>
      </c>
      <c r="S232" s="26">
        <v>2</v>
      </c>
      <c r="T232" s="26">
        <v>3</v>
      </c>
      <c r="U232" s="26">
        <v>6</v>
      </c>
      <c r="V232" s="26">
        <v>1</v>
      </c>
      <c r="W232" s="26"/>
    </row>
    <row r="233" spans="1:23" x14ac:dyDescent="0.25">
      <c r="A233" s="26" t="s">
        <v>53</v>
      </c>
      <c r="B233" s="26" t="s">
        <v>1112</v>
      </c>
      <c r="C233" s="26" t="s">
        <v>1113</v>
      </c>
      <c r="D233" s="26" t="s">
        <v>218</v>
      </c>
      <c r="E233" s="26" t="s">
        <v>1114</v>
      </c>
      <c r="F233" s="26" t="s">
        <v>1115</v>
      </c>
      <c r="G233" s="26" t="s">
        <v>278</v>
      </c>
      <c r="H233" s="26" t="s">
        <v>408</v>
      </c>
      <c r="I233" s="26" t="s">
        <v>184</v>
      </c>
      <c r="J233" s="26" t="s">
        <v>375</v>
      </c>
      <c r="K233" s="26" t="s">
        <v>360</v>
      </c>
      <c r="L233" s="26" t="s">
        <v>79</v>
      </c>
      <c r="M233" s="26" t="s">
        <v>77</v>
      </c>
      <c r="N233" s="26">
        <v>0</v>
      </c>
      <c r="O233" s="26">
        <v>0</v>
      </c>
      <c r="P233" s="26">
        <v>0</v>
      </c>
      <c r="Q233" s="26">
        <v>0</v>
      </c>
      <c r="R233" s="26">
        <v>1</v>
      </c>
      <c r="S233" s="26">
        <v>1</v>
      </c>
      <c r="T233" s="26">
        <v>3</v>
      </c>
      <c r="U233" s="26">
        <v>5</v>
      </c>
      <c r="V233" s="26">
        <v>1</v>
      </c>
      <c r="W233" s="26"/>
    </row>
    <row r="234" spans="1:23" x14ac:dyDescent="0.25">
      <c r="A234" s="26" t="s">
        <v>53</v>
      </c>
      <c r="B234" s="26" t="s">
        <v>1116</v>
      </c>
      <c r="C234" s="26" t="s">
        <v>1117</v>
      </c>
      <c r="D234" s="26" t="s">
        <v>179</v>
      </c>
      <c r="E234" s="26" t="s">
        <v>1118</v>
      </c>
      <c r="F234" s="26" t="s">
        <v>577</v>
      </c>
      <c r="G234" s="26" t="s">
        <v>278</v>
      </c>
      <c r="H234" s="26" t="s">
        <v>578</v>
      </c>
      <c r="I234" s="26" t="s">
        <v>184</v>
      </c>
      <c r="J234" s="26" t="s">
        <v>375</v>
      </c>
      <c r="K234" s="26" t="s">
        <v>360</v>
      </c>
      <c r="L234" s="26" t="s">
        <v>79</v>
      </c>
      <c r="M234" s="26" t="s">
        <v>77</v>
      </c>
      <c r="N234" s="26">
        <v>9</v>
      </c>
      <c r="O234" s="26">
        <v>6</v>
      </c>
      <c r="P234" s="26">
        <v>3</v>
      </c>
      <c r="Q234" s="26">
        <v>1</v>
      </c>
      <c r="R234" s="26">
        <v>1</v>
      </c>
      <c r="S234" s="26">
        <v>1</v>
      </c>
      <c r="T234" s="26">
        <v>3</v>
      </c>
      <c r="U234" s="26">
        <v>5</v>
      </c>
      <c r="V234" s="26">
        <v>1</v>
      </c>
      <c r="W234" s="26"/>
    </row>
    <row r="235" spans="1:23" x14ac:dyDescent="0.25">
      <c r="A235" s="26" t="s">
        <v>53</v>
      </c>
      <c r="B235" s="26" t="s">
        <v>1119</v>
      </c>
      <c r="C235" s="26" t="s">
        <v>1120</v>
      </c>
      <c r="D235" s="26" t="s">
        <v>218</v>
      </c>
      <c r="E235" s="26" t="s">
        <v>1121</v>
      </c>
      <c r="F235" s="26" t="s">
        <v>1122</v>
      </c>
      <c r="G235" s="26" t="s">
        <v>278</v>
      </c>
      <c r="H235" s="26" t="s">
        <v>408</v>
      </c>
      <c r="I235" s="26" t="s">
        <v>184</v>
      </c>
      <c r="J235" s="26" t="s">
        <v>375</v>
      </c>
      <c r="K235" s="26" t="s">
        <v>360</v>
      </c>
      <c r="L235" s="26" t="s">
        <v>79</v>
      </c>
      <c r="M235" s="26" t="s">
        <v>77</v>
      </c>
      <c r="N235" s="26">
        <v>14</v>
      </c>
      <c r="O235" s="26">
        <v>6</v>
      </c>
      <c r="P235" s="26">
        <v>8</v>
      </c>
      <c r="Q235" s="26">
        <v>1</v>
      </c>
      <c r="R235" s="26">
        <v>1</v>
      </c>
      <c r="S235" s="26">
        <v>2</v>
      </c>
      <c r="T235" s="26">
        <v>4</v>
      </c>
      <c r="U235" s="26">
        <v>7</v>
      </c>
      <c r="V235" s="26">
        <v>1</v>
      </c>
      <c r="W235" s="26"/>
    </row>
    <row r="236" spans="1:23" x14ac:dyDescent="0.25">
      <c r="A236" s="26" t="s">
        <v>53</v>
      </c>
      <c r="B236" s="26" t="s">
        <v>1123</v>
      </c>
      <c r="C236" s="26" t="s">
        <v>1124</v>
      </c>
      <c r="D236" s="26" t="s">
        <v>179</v>
      </c>
      <c r="E236" s="26" t="s">
        <v>1125</v>
      </c>
      <c r="F236" s="26" t="s">
        <v>1126</v>
      </c>
      <c r="G236" s="26" t="s">
        <v>278</v>
      </c>
      <c r="H236" s="26" t="s">
        <v>578</v>
      </c>
      <c r="I236" s="26" t="s">
        <v>184</v>
      </c>
      <c r="J236" s="26" t="s">
        <v>375</v>
      </c>
      <c r="K236" s="26" t="s">
        <v>360</v>
      </c>
      <c r="L236" s="26" t="s">
        <v>79</v>
      </c>
      <c r="M236" s="26" t="s">
        <v>77</v>
      </c>
      <c r="N236" s="26">
        <v>10</v>
      </c>
      <c r="O236" s="26">
        <v>6</v>
      </c>
      <c r="P236" s="26">
        <v>4</v>
      </c>
      <c r="Q236" s="26">
        <v>1</v>
      </c>
      <c r="R236" s="26">
        <v>1</v>
      </c>
      <c r="S236" s="26">
        <v>3</v>
      </c>
      <c r="T236" s="26">
        <v>4</v>
      </c>
      <c r="U236" s="26">
        <v>8</v>
      </c>
      <c r="V236" s="26">
        <v>1</v>
      </c>
      <c r="W236" s="26"/>
    </row>
    <row r="237" spans="1:23" x14ac:dyDescent="0.25">
      <c r="A237" s="26" t="s">
        <v>53</v>
      </c>
      <c r="B237" s="26" t="s">
        <v>1127</v>
      </c>
      <c r="C237" s="26" t="s">
        <v>1128</v>
      </c>
      <c r="D237" s="26" t="s">
        <v>179</v>
      </c>
      <c r="E237" s="26" t="s">
        <v>1129</v>
      </c>
      <c r="F237" s="26" t="s">
        <v>622</v>
      </c>
      <c r="G237" s="26" t="s">
        <v>278</v>
      </c>
      <c r="H237" s="26" t="s">
        <v>408</v>
      </c>
      <c r="I237" s="26" t="s">
        <v>184</v>
      </c>
      <c r="J237" s="26" t="s">
        <v>375</v>
      </c>
      <c r="K237" s="26" t="s">
        <v>360</v>
      </c>
      <c r="L237" s="26" t="s">
        <v>79</v>
      </c>
      <c r="M237" s="26" t="s">
        <v>77</v>
      </c>
      <c r="N237" s="26">
        <v>0</v>
      </c>
      <c r="O237" s="26">
        <v>0</v>
      </c>
      <c r="P237" s="26">
        <v>0</v>
      </c>
      <c r="Q237" s="26">
        <v>0</v>
      </c>
      <c r="R237" s="26">
        <v>1</v>
      </c>
      <c r="S237" s="26">
        <v>0</v>
      </c>
      <c r="T237" s="26">
        <v>3</v>
      </c>
      <c r="U237" s="26">
        <v>4</v>
      </c>
      <c r="V237" s="26">
        <v>1</v>
      </c>
      <c r="W237" s="26"/>
    </row>
    <row r="238" spans="1:23" x14ac:dyDescent="0.25">
      <c r="A238" s="26" t="s">
        <v>53</v>
      </c>
      <c r="B238" s="26" t="s">
        <v>1130</v>
      </c>
      <c r="C238" s="26" t="s">
        <v>1131</v>
      </c>
      <c r="D238" s="26" t="s">
        <v>179</v>
      </c>
      <c r="E238" s="26" t="s">
        <v>1132</v>
      </c>
      <c r="F238" s="26" t="s">
        <v>1133</v>
      </c>
      <c r="G238" s="26" t="s">
        <v>278</v>
      </c>
      <c r="H238" s="26" t="s">
        <v>623</v>
      </c>
      <c r="I238" s="26" t="s">
        <v>184</v>
      </c>
      <c r="J238" s="26" t="s">
        <v>375</v>
      </c>
      <c r="K238" s="26" t="s">
        <v>360</v>
      </c>
      <c r="L238" s="26" t="s">
        <v>79</v>
      </c>
      <c r="M238" s="26" t="s">
        <v>77</v>
      </c>
      <c r="N238" s="26">
        <v>0</v>
      </c>
      <c r="O238" s="26">
        <v>0</v>
      </c>
      <c r="P238" s="26">
        <v>0</v>
      </c>
      <c r="Q238" s="26">
        <v>0</v>
      </c>
      <c r="R238" s="26">
        <v>1</v>
      </c>
      <c r="S238" s="26">
        <v>0</v>
      </c>
      <c r="T238" s="26">
        <v>3</v>
      </c>
      <c r="U238" s="26">
        <v>4</v>
      </c>
      <c r="V238" s="26">
        <v>1</v>
      </c>
      <c r="W238" s="26"/>
    </row>
    <row r="239" spans="1:23" x14ac:dyDescent="0.25">
      <c r="A239" s="26" t="s">
        <v>53</v>
      </c>
      <c r="B239" s="26" t="s">
        <v>1134</v>
      </c>
      <c r="C239" s="26" t="s">
        <v>1135</v>
      </c>
      <c r="D239" s="26" t="s">
        <v>179</v>
      </c>
      <c r="E239" s="26" t="s">
        <v>1136</v>
      </c>
      <c r="F239" s="26" t="s">
        <v>292</v>
      </c>
      <c r="G239" s="26" t="s">
        <v>293</v>
      </c>
      <c r="H239" s="26" t="s">
        <v>594</v>
      </c>
      <c r="I239" s="26" t="s">
        <v>184</v>
      </c>
      <c r="J239" s="26" t="s">
        <v>295</v>
      </c>
      <c r="K239" s="26" t="s">
        <v>296</v>
      </c>
      <c r="L239" s="26" t="s">
        <v>80</v>
      </c>
      <c r="M239" s="26" t="s">
        <v>77</v>
      </c>
      <c r="N239" s="26">
        <v>36</v>
      </c>
      <c r="O239" s="26">
        <v>12</v>
      </c>
      <c r="P239" s="26">
        <v>24</v>
      </c>
      <c r="Q239" s="26">
        <v>3</v>
      </c>
      <c r="R239" s="26">
        <v>1</v>
      </c>
      <c r="S239" s="26">
        <v>6</v>
      </c>
      <c r="T239" s="26">
        <v>6</v>
      </c>
      <c r="U239" s="26">
        <v>13</v>
      </c>
      <c r="V239" s="26">
        <v>1</v>
      </c>
      <c r="W239" s="26"/>
    </row>
    <row r="240" spans="1:23" x14ac:dyDescent="0.25">
      <c r="A240" s="26" t="s">
        <v>53</v>
      </c>
      <c r="B240" s="26" t="s">
        <v>1137</v>
      </c>
      <c r="C240" s="26" t="s">
        <v>1138</v>
      </c>
      <c r="D240" s="26" t="s">
        <v>218</v>
      </c>
      <c r="E240" s="26" t="s">
        <v>1139</v>
      </c>
      <c r="F240" s="26" t="s">
        <v>1140</v>
      </c>
      <c r="G240" s="26" t="s">
        <v>293</v>
      </c>
      <c r="H240" s="26" t="s">
        <v>594</v>
      </c>
      <c r="I240" s="26" t="s">
        <v>184</v>
      </c>
      <c r="J240" s="26" t="s">
        <v>295</v>
      </c>
      <c r="K240" s="26" t="s">
        <v>296</v>
      </c>
      <c r="L240" s="26" t="s">
        <v>80</v>
      </c>
      <c r="M240" s="26" t="s">
        <v>77</v>
      </c>
      <c r="N240" s="26">
        <v>24</v>
      </c>
      <c r="O240" s="26">
        <v>12</v>
      </c>
      <c r="P240" s="26">
        <v>12</v>
      </c>
      <c r="Q240" s="26">
        <v>2</v>
      </c>
      <c r="R240" s="26">
        <v>1</v>
      </c>
      <c r="S240" s="26">
        <v>3</v>
      </c>
      <c r="T240" s="26">
        <v>7</v>
      </c>
      <c r="U240" s="26">
        <v>11</v>
      </c>
      <c r="V240" s="26">
        <v>1</v>
      </c>
      <c r="W240" s="26"/>
    </row>
    <row r="241" spans="1:23" x14ac:dyDescent="0.25">
      <c r="A241" s="26" t="s">
        <v>53</v>
      </c>
      <c r="B241" s="26" t="s">
        <v>1141</v>
      </c>
      <c r="C241" s="26" t="s">
        <v>1142</v>
      </c>
      <c r="D241" s="26" t="s">
        <v>179</v>
      </c>
      <c r="E241" s="26" t="s">
        <v>1143</v>
      </c>
      <c r="F241" s="26" t="s">
        <v>1144</v>
      </c>
      <c r="G241" s="26" t="s">
        <v>293</v>
      </c>
      <c r="H241" s="26" t="s">
        <v>294</v>
      </c>
      <c r="I241" s="26" t="s">
        <v>184</v>
      </c>
      <c r="J241" s="26" t="s">
        <v>1145</v>
      </c>
      <c r="K241" s="26" t="s">
        <v>296</v>
      </c>
      <c r="L241" s="26" t="s">
        <v>80</v>
      </c>
      <c r="M241" s="26" t="s">
        <v>77</v>
      </c>
      <c r="N241" s="26">
        <v>0</v>
      </c>
      <c r="O241" s="26">
        <v>0</v>
      </c>
      <c r="P241" s="26">
        <v>0</v>
      </c>
      <c r="Q241" s="26">
        <v>0</v>
      </c>
      <c r="R241" s="26">
        <v>1</v>
      </c>
      <c r="S241" s="26">
        <v>0</v>
      </c>
      <c r="T241" s="26">
        <v>4</v>
      </c>
      <c r="U241" s="26">
        <v>5</v>
      </c>
      <c r="V241" s="26">
        <v>1</v>
      </c>
      <c r="W241" s="26"/>
    </row>
    <row r="242" spans="1:23" x14ac:dyDescent="0.25">
      <c r="A242" s="26" t="s">
        <v>53</v>
      </c>
      <c r="B242" s="26" t="s">
        <v>1146</v>
      </c>
      <c r="C242" s="26" t="s">
        <v>1147</v>
      </c>
      <c r="D242" s="26" t="s">
        <v>179</v>
      </c>
      <c r="E242" s="26" t="s">
        <v>1148</v>
      </c>
      <c r="F242" s="26" t="s">
        <v>292</v>
      </c>
      <c r="G242" s="26" t="s">
        <v>293</v>
      </c>
      <c r="H242" s="26" t="s">
        <v>594</v>
      </c>
      <c r="I242" s="26" t="s">
        <v>184</v>
      </c>
      <c r="J242" s="26" t="s">
        <v>295</v>
      </c>
      <c r="K242" s="26" t="s">
        <v>296</v>
      </c>
      <c r="L242" s="26" t="s">
        <v>80</v>
      </c>
      <c r="M242" s="26" t="s">
        <v>77</v>
      </c>
      <c r="N242" s="26">
        <v>10</v>
      </c>
      <c r="O242" s="26">
        <v>6</v>
      </c>
      <c r="P242" s="26">
        <v>4</v>
      </c>
      <c r="Q242" s="26">
        <v>1</v>
      </c>
      <c r="R242" s="26">
        <v>1</v>
      </c>
      <c r="S242" s="26">
        <v>1</v>
      </c>
      <c r="T242" s="26">
        <v>4</v>
      </c>
      <c r="U242" s="26">
        <v>6</v>
      </c>
      <c r="V242" s="26">
        <v>1</v>
      </c>
      <c r="W242" s="26"/>
    </row>
    <row r="243" spans="1:23" x14ac:dyDescent="0.25">
      <c r="A243" s="26" t="s">
        <v>53</v>
      </c>
      <c r="B243" s="26" t="s">
        <v>1149</v>
      </c>
      <c r="C243" s="26" t="s">
        <v>1150</v>
      </c>
      <c r="D243" s="26" t="s">
        <v>179</v>
      </c>
      <c r="E243" s="26" t="s">
        <v>1151</v>
      </c>
      <c r="F243" s="26" t="s">
        <v>1152</v>
      </c>
      <c r="G243" s="26" t="s">
        <v>293</v>
      </c>
      <c r="H243" s="26" t="s">
        <v>294</v>
      </c>
      <c r="I243" s="26" t="s">
        <v>184</v>
      </c>
      <c r="J243" s="26" t="s">
        <v>1145</v>
      </c>
      <c r="K243" s="26" t="s">
        <v>296</v>
      </c>
      <c r="L243" s="26" t="s">
        <v>80</v>
      </c>
      <c r="M243" s="26" t="s">
        <v>77</v>
      </c>
      <c r="N243" s="26">
        <v>0</v>
      </c>
      <c r="O243" s="26">
        <v>0</v>
      </c>
      <c r="P243" s="26">
        <v>0</v>
      </c>
      <c r="Q243" s="26">
        <v>0</v>
      </c>
      <c r="R243" s="26">
        <v>1</v>
      </c>
      <c r="S243" s="26">
        <v>0</v>
      </c>
      <c r="T243" s="26">
        <v>4</v>
      </c>
      <c r="U243" s="26">
        <v>5</v>
      </c>
      <c r="V243" s="26">
        <v>1</v>
      </c>
      <c r="W243" s="26"/>
    </row>
    <row r="244" spans="1:23" x14ac:dyDescent="0.25">
      <c r="A244" s="26" t="s">
        <v>53</v>
      </c>
      <c r="B244" s="26" t="s">
        <v>1153</v>
      </c>
      <c r="C244" s="26" t="s">
        <v>1154</v>
      </c>
      <c r="D244" s="26" t="s">
        <v>179</v>
      </c>
      <c r="E244" s="26" t="s">
        <v>1155</v>
      </c>
      <c r="F244" s="26" t="s">
        <v>636</v>
      </c>
      <c r="G244" s="26" t="s">
        <v>637</v>
      </c>
      <c r="H244" s="26" t="s">
        <v>657</v>
      </c>
      <c r="I244" s="26" t="s">
        <v>184</v>
      </c>
      <c r="J244" s="26" t="s">
        <v>427</v>
      </c>
      <c r="K244" s="26" t="s">
        <v>360</v>
      </c>
      <c r="L244" s="26" t="s">
        <v>79</v>
      </c>
      <c r="M244" s="26" t="s">
        <v>77</v>
      </c>
      <c r="N244" s="26">
        <v>70</v>
      </c>
      <c r="O244" s="26">
        <v>35</v>
      </c>
      <c r="P244" s="26">
        <v>35</v>
      </c>
      <c r="Q244" s="26">
        <v>4</v>
      </c>
      <c r="R244" s="26">
        <v>1</v>
      </c>
      <c r="S244" s="26">
        <v>11</v>
      </c>
      <c r="T244" s="26">
        <v>10</v>
      </c>
      <c r="U244" s="26">
        <v>22</v>
      </c>
      <c r="V244" s="26">
        <v>1</v>
      </c>
      <c r="W244" s="26"/>
    </row>
    <row r="245" spans="1:23" x14ac:dyDescent="0.25">
      <c r="A245" s="26" t="s">
        <v>53</v>
      </c>
      <c r="B245" s="26" t="s">
        <v>1156</v>
      </c>
      <c r="C245" s="26" t="s">
        <v>854</v>
      </c>
      <c r="D245" s="26" t="s">
        <v>179</v>
      </c>
      <c r="E245" s="26" t="s">
        <v>1157</v>
      </c>
      <c r="F245" s="26" t="s">
        <v>749</v>
      </c>
      <c r="G245" s="26" t="s">
        <v>265</v>
      </c>
      <c r="H245" s="26" t="s">
        <v>526</v>
      </c>
      <c r="I245" s="26" t="s">
        <v>184</v>
      </c>
      <c r="J245" s="26" t="s">
        <v>322</v>
      </c>
      <c r="K245" s="26" t="s">
        <v>360</v>
      </c>
      <c r="L245" s="26" t="s">
        <v>79</v>
      </c>
      <c r="M245" s="26" t="s">
        <v>77</v>
      </c>
      <c r="N245" s="26">
        <v>8</v>
      </c>
      <c r="O245" s="26">
        <v>3</v>
      </c>
      <c r="P245" s="26">
        <v>5</v>
      </c>
      <c r="Q245" s="26">
        <v>1</v>
      </c>
      <c r="R245" s="26">
        <v>1</v>
      </c>
      <c r="S245" s="26">
        <v>2</v>
      </c>
      <c r="T245" s="26">
        <v>1</v>
      </c>
      <c r="U245" s="26">
        <v>4</v>
      </c>
      <c r="V245" s="26">
        <v>1</v>
      </c>
      <c r="W245" s="26"/>
    </row>
    <row r="246" spans="1:23" x14ac:dyDescent="0.25">
      <c r="A246" s="26" t="s">
        <v>53</v>
      </c>
      <c r="B246" s="26" t="s">
        <v>1158</v>
      </c>
      <c r="C246" s="26" t="s">
        <v>1159</v>
      </c>
      <c r="D246" s="26" t="s">
        <v>179</v>
      </c>
      <c r="E246" s="26" t="s">
        <v>1160</v>
      </c>
      <c r="F246" s="26" t="s">
        <v>760</v>
      </c>
      <c r="G246" s="26" t="s">
        <v>265</v>
      </c>
      <c r="H246" s="26" t="s">
        <v>756</v>
      </c>
      <c r="I246" s="26" t="s">
        <v>184</v>
      </c>
      <c r="J246" s="26" t="s">
        <v>322</v>
      </c>
      <c r="K246" s="26" t="s">
        <v>360</v>
      </c>
      <c r="L246" s="26" t="s">
        <v>79</v>
      </c>
      <c r="M246" s="26" t="s">
        <v>77</v>
      </c>
      <c r="N246" s="26">
        <v>13</v>
      </c>
      <c r="O246" s="26">
        <v>6</v>
      </c>
      <c r="P246" s="26">
        <v>7</v>
      </c>
      <c r="Q246" s="26">
        <v>1</v>
      </c>
      <c r="R246" s="26">
        <v>1</v>
      </c>
      <c r="S246" s="26">
        <v>1</v>
      </c>
      <c r="T246" s="26">
        <v>4</v>
      </c>
      <c r="U246" s="26">
        <v>6</v>
      </c>
      <c r="V246" s="26">
        <v>1</v>
      </c>
      <c r="W246" s="26"/>
    </row>
    <row r="247" spans="1:23" x14ac:dyDescent="0.25">
      <c r="A247" s="26" t="s">
        <v>53</v>
      </c>
      <c r="B247" s="26" t="s">
        <v>1161</v>
      </c>
      <c r="C247" s="26" t="s">
        <v>1162</v>
      </c>
      <c r="D247" s="26" t="s">
        <v>179</v>
      </c>
      <c r="E247" s="26" t="s">
        <v>1163</v>
      </c>
      <c r="F247" s="26" t="s">
        <v>1164</v>
      </c>
      <c r="G247" s="26" t="s">
        <v>265</v>
      </c>
      <c r="H247" s="26" t="s">
        <v>321</v>
      </c>
      <c r="I247" s="26" t="s">
        <v>184</v>
      </c>
      <c r="J247" s="26" t="s">
        <v>322</v>
      </c>
      <c r="K247" s="26" t="s">
        <v>360</v>
      </c>
      <c r="L247" s="26" t="s">
        <v>79</v>
      </c>
      <c r="M247" s="26" t="s">
        <v>77</v>
      </c>
      <c r="N247" s="26">
        <v>13</v>
      </c>
      <c r="O247" s="26">
        <v>5</v>
      </c>
      <c r="P247" s="26">
        <v>8</v>
      </c>
      <c r="Q247" s="26">
        <v>1</v>
      </c>
      <c r="R247" s="26">
        <v>1</v>
      </c>
      <c r="S247" s="26">
        <v>1</v>
      </c>
      <c r="T247" s="26">
        <v>2</v>
      </c>
      <c r="U247" s="26">
        <v>4</v>
      </c>
      <c r="V247" s="26">
        <v>1</v>
      </c>
      <c r="W247" s="26"/>
    </row>
    <row r="248" spans="1:23" x14ac:dyDescent="0.25">
      <c r="A248" s="26" t="s">
        <v>53</v>
      </c>
      <c r="B248" s="26" t="s">
        <v>1165</v>
      </c>
      <c r="C248" s="26" t="s">
        <v>1166</v>
      </c>
      <c r="D248" s="26" t="s">
        <v>179</v>
      </c>
      <c r="E248" s="26" t="s">
        <v>1167</v>
      </c>
      <c r="F248" s="26" t="s">
        <v>1168</v>
      </c>
      <c r="G248" s="26" t="s">
        <v>265</v>
      </c>
      <c r="H248" s="26" t="s">
        <v>321</v>
      </c>
      <c r="I248" s="26" t="s">
        <v>184</v>
      </c>
      <c r="J248" s="26" t="s">
        <v>322</v>
      </c>
      <c r="K248" s="26" t="s">
        <v>360</v>
      </c>
      <c r="L248" s="26" t="s">
        <v>79</v>
      </c>
      <c r="M248" s="26" t="s">
        <v>77</v>
      </c>
      <c r="N248" s="26">
        <v>14</v>
      </c>
      <c r="O248" s="26">
        <v>6</v>
      </c>
      <c r="P248" s="26">
        <v>8</v>
      </c>
      <c r="Q248" s="26">
        <v>1</v>
      </c>
      <c r="R248" s="26">
        <v>1</v>
      </c>
      <c r="S248" s="26">
        <v>2</v>
      </c>
      <c r="T248" s="26">
        <v>5</v>
      </c>
      <c r="U248" s="26">
        <v>8</v>
      </c>
      <c r="V248" s="26">
        <v>1</v>
      </c>
      <c r="W248" s="26"/>
    </row>
    <row r="249" spans="1:23" x14ac:dyDescent="0.25">
      <c r="A249" s="26" t="s">
        <v>53</v>
      </c>
      <c r="B249" s="26" t="s">
        <v>1169</v>
      </c>
      <c r="C249" s="26" t="s">
        <v>1170</v>
      </c>
      <c r="D249" s="26" t="s">
        <v>179</v>
      </c>
      <c r="E249" s="26" t="s">
        <v>1171</v>
      </c>
      <c r="F249" s="26" t="s">
        <v>1172</v>
      </c>
      <c r="G249" s="26" t="s">
        <v>662</v>
      </c>
      <c r="H249" s="26" t="s">
        <v>663</v>
      </c>
      <c r="I249" s="26" t="s">
        <v>184</v>
      </c>
      <c r="J249" s="26" t="s">
        <v>427</v>
      </c>
      <c r="K249" s="26" t="s">
        <v>360</v>
      </c>
      <c r="L249" s="26" t="s">
        <v>79</v>
      </c>
      <c r="M249" s="26" t="s">
        <v>77</v>
      </c>
      <c r="N249" s="26">
        <v>36</v>
      </c>
      <c r="O249" s="26">
        <v>17</v>
      </c>
      <c r="P249" s="26">
        <v>19</v>
      </c>
      <c r="Q249" s="26">
        <v>3</v>
      </c>
      <c r="R249" s="26">
        <v>1</v>
      </c>
      <c r="S249" s="26">
        <v>5</v>
      </c>
      <c r="T249" s="26">
        <v>8</v>
      </c>
      <c r="U249" s="26">
        <v>14</v>
      </c>
      <c r="V249" s="26">
        <v>1</v>
      </c>
      <c r="W249" s="26"/>
    </row>
    <row r="250" spans="1:23" x14ac:dyDescent="0.25">
      <c r="A250" s="26" t="s">
        <v>53</v>
      </c>
      <c r="B250" s="26" t="s">
        <v>1173</v>
      </c>
      <c r="C250" s="26" t="s">
        <v>1174</v>
      </c>
      <c r="D250" s="26" t="s">
        <v>179</v>
      </c>
      <c r="E250" s="26" t="s">
        <v>1175</v>
      </c>
      <c r="F250" s="26" t="s">
        <v>190</v>
      </c>
      <c r="G250" s="26" t="s">
        <v>191</v>
      </c>
      <c r="H250" s="26" t="s">
        <v>518</v>
      </c>
      <c r="I250" s="26" t="s">
        <v>184</v>
      </c>
      <c r="J250" s="26" t="s">
        <v>427</v>
      </c>
      <c r="K250" s="26" t="s">
        <v>360</v>
      </c>
      <c r="L250" s="26" t="s">
        <v>79</v>
      </c>
      <c r="M250" s="26" t="s">
        <v>77</v>
      </c>
      <c r="N250" s="26">
        <v>35</v>
      </c>
      <c r="O250" s="26">
        <v>21</v>
      </c>
      <c r="P250" s="26">
        <v>14</v>
      </c>
      <c r="Q250" s="26">
        <v>2</v>
      </c>
      <c r="R250" s="26">
        <v>1</v>
      </c>
      <c r="S250" s="26">
        <v>6</v>
      </c>
      <c r="T250" s="26">
        <v>6</v>
      </c>
      <c r="U250" s="26">
        <v>13</v>
      </c>
      <c r="V250" s="26">
        <v>1</v>
      </c>
      <c r="W250" s="26"/>
    </row>
    <row r="251" spans="1:23" x14ac:dyDescent="0.25">
      <c r="A251" s="26" t="s">
        <v>53</v>
      </c>
      <c r="B251" s="26" t="s">
        <v>1176</v>
      </c>
      <c r="C251" s="26" t="s">
        <v>1177</v>
      </c>
      <c r="D251" s="26" t="s">
        <v>218</v>
      </c>
      <c r="E251" s="26" t="s">
        <v>1178</v>
      </c>
      <c r="F251" s="26" t="s">
        <v>1179</v>
      </c>
      <c r="G251" s="26" t="s">
        <v>182</v>
      </c>
      <c r="H251" s="26" t="s">
        <v>370</v>
      </c>
      <c r="I251" s="26" t="s">
        <v>184</v>
      </c>
      <c r="J251" s="26" t="s">
        <v>322</v>
      </c>
      <c r="K251" s="26" t="s">
        <v>360</v>
      </c>
      <c r="L251" s="26" t="s">
        <v>79</v>
      </c>
      <c r="M251" s="26" t="s">
        <v>77</v>
      </c>
      <c r="N251" s="26">
        <v>83</v>
      </c>
      <c r="O251" s="26">
        <v>45</v>
      </c>
      <c r="P251" s="26">
        <v>38</v>
      </c>
      <c r="Q251" s="26">
        <v>6</v>
      </c>
      <c r="R251" s="26">
        <v>1</v>
      </c>
      <c r="S251" s="26">
        <v>36</v>
      </c>
      <c r="T251" s="26">
        <v>39</v>
      </c>
      <c r="U251" s="26">
        <v>76</v>
      </c>
      <c r="V251" s="26">
        <v>1</v>
      </c>
      <c r="W251" s="26"/>
    </row>
    <row r="252" spans="1:23" x14ac:dyDescent="0.25">
      <c r="A252" s="26" t="s">
        <v>53</v>
      </c>
      <c r="B252" s="26" t="s">
        <v>1180</v>
      </c>
      <c r="C252" s="26" t="s">
        <v>1181</v>
      </c>
      <c r="D252" s="26" t="s">
        <v>218</v>
      </c>
      <c r="E252" s="26" t="s">
        <v>1182</v>
      </c>
      <c r="F252" s="26" t="s">
        <v>247</v>
      </c>
      <c r="G252" s="26" t="s">
        <v>198</v>
      </c>
      <c r="H252" s="26" t="s">
        <v>395</v>
      </c>
      <c r="I252" s="26" t="s">
        <v>184</v>
      </c>
      <c r="J252" s="26" t="s">
        <v>375</v>
      </c>
      <c r="K252" s="26" t="s">
        <v>360</v>
      </c>
      <c r="L252" s="26" t="s">
        <v>79</v>
      </c>
      <c r="M252" s="26" t="s">
        <v>77</v>
      </c>
      <c r="N252" s="26">
        <v>67</v>
      </c>
      <c r="O252" s="26">
        <v>36</v>
      </c>
      <c r="P252" s="26">
        <v>31</v>
      </c>
      <c r="Q252" s="26">
        <v>6</v>
      </c>
      <c r="R252" s="26">
        <v>1</v>
      </c>
      <c r="S252" s="26">
        <v>35</v>
      </c>
      <c r="T252" s="26">
        <v>28</v>
      </c>
      <c r="U252" s="26">
        <v>64</v>
      </c>
      <c r="V252" s="26">
        <v>1</v>
      </c>
      <c r="W252" s="26"/>
    </row>
    <row r="253" spans="1:23" x14ac:dyDescent="0.25">
      <c r="A253" s="26" t="s">
        <v>53</v>
      </c>
      <c r="B253" s="26" t="s">
        <v>1183</v>
      </c>
      <c r="C253" s="26" t="s">
        <v>1184</v>
      </c>
      <c r="D253" s="26" t="s">
        <v>218</v>
      </c>
      <c r="E253" s="26" t="s">
        <v>1185</v>
      </c>
      <c r="F253" s="26" t="s">
        <v>1025</v>
      </c>
      <c r="G253" s="26" t="s">
        <v>204</v>
      </c>
      <c r="H253" s="26" t="s">
        <v>1026</v>
      </c>
      <c r="I253" s="26" t="s">
        <v>184</v>
      </c>
      <c r="J253" s="26" t="s">
        <v>322</v>
      </c>
      <c r="K253" s="26" t="s">
        <v>360</v>
      </c>
      <c r="L253" s="26" t="s">
        <v>79</v>
      </c>
      <c r="M253" s="26" t="s">
        <v>77</v>
      </c>
      <c r="N253" s="26">
        <v>106</v>
      </c>
      <c r="O253" s="26">
        <v>63</v>
      </c>
      <c r="P253" s="26">
        <v>43</v>
      </c>
      <c r="Q253" s="26">
        <v>6</v>
      </c>
      <c r="R253" s="26">
        <v>1</v>
      </c>
      <c r="S253" s="26">
        <v>122</v>
      </c>
      <c r="T253" s="26">
        <v>51</v>
      </c>
      <c r="U253" s="26">
        <v>174</v>
      </c>
      <c r="V253" s="26">
        <v>1</v>
      </c>
      <c r="W253" s="26"/>
    </row>
    <row r="254" spans="1:23" x14ac:dyDescent="0.25">
      <c r="A254" s="26" t="s">
        <v>53</v>
      </c>
      <c r="B254" s="26" t="s">
        <v>1186</v>
      </c>
      <c r="C254" s="26" t="s">
        <v>1187</v>
      </c>
      <c r="D254" s="26" t="s">
        <v>218</v>
      </c>
      <c r="E254" s="26" t="s">
        <v>1188</v>
      </c>
      <c r="F254" s="26" t="s">
        <v>1189</v>
      </c>
      <c r="G254" s="26" t="s">
        <v>487</v>
      </c>
      <c r="H254" s="26" t="s">
        <v>926</v>
      </c>
      <c r="I254" s="26" t="s">
        <v>184</v>
      </c>
      <c r="J254" s="26" t="s">
        <v>375</v>
      </c>
      <c r="K254" s="26" t="s">
        <v>360</v>
      </c>
      <c r="L254" s="26" t="s">
        <v>79</v>
      </c>
      <c r="M254" s="26" t="s">
        <v>77</v>
      </c>
      <c r="N254" s="26">
        <v>77</v>
      </c>
      <c r="O254" s="26">
        <v>35</v>
      </c>
      <c r="P254" s="26">
        <v>42</v>
      </c>
      <c r="Q254" s="26">
        <v>6</v>
      </c>
      <c r="R254" s="26">
        <v>1</v>
      </c>
      <c r="S254" s="26">
        <v>31</v>
      </c>
      <c r="T254" s="26">
        <v>19</v>
      </c>
      <c r="U254" s="26">
        <v>51</v>
      </c>
      <c r="V254" s="26">
        <v>1</v>
      </c>
      <c r="W254" s="26"/>
    </row>
    <row r="255" spans="1:23" x14ac:dyDescent="0.25">
      <c r="A255" s="26" t="s">
        <v>53</v>
      </c>
      <c r="B255" s="26" t="s">
        <v>1190</v>
      </c>
      <c r="C255" s="26" t="s">
        <v>1191</v>
      </c>
      <c r="D255" s="26" t="s">
        <v>218</v>
      </c>
      <c r="E255" s="26" t="s">
        <v>1192</v>
      </c>
      <c r="F255" s="26" t="s">
        <v>1193</v>
      </c>
      <c r="G255" s="26" t="s">
        <v>637</v>
      </c>
      <c r="H255" s="26" t="s">
        <v>638</v>
      </c>
      <c r="I255" s="26" t="s">
        <v>184</v>
      </c>
      <c r="J255" s="26" t="s">
        <v>427</v>
      </c>
      <c r="K255" s="26" t="s">
        <v>360</v>
      </c>
      <c r="L255" s="26" t="s">
        <v>79</v>
      </c>
      <c r="M255" s="26" t="s">
        <v>77</v>
      </c>
      <c r="N255" s="26">
        <v>65</v>
      </c>
      <c r="O255" s="26">
        <v>35</v>
      </c>
      <c r="P255" s="26">
        <v>30</v>
      </c>
      <c r="Q255" s="26">
        <v>6</v>
      </c>
      <c r="R255" s="26">
        <v>1</v>
      </c>
      <c r="S255" s="26">
        <v>21</v>
      </c>
      <c r="T255" s="26">
        <v>24</v>
      </c>
      <c r="U255" s="26">
        <v>46</v>
      </c>
      <c r="V255" s="26">
        <v>1</v>
      </c>
      <c r="W255" s="26"/>
    </row>
    <row r="256" spans="1:23" x14ac:dyDescent="0.25">
      <c r="A256" s="26" t="s">
        <v>53</v>
      </c>
      <c r="B256" s="26" t="s">
        <v>1194</v>
      </c>
      <c r="C256" s="26" t="s">
        <v>1195</v>
      </c>
      <c r="D256" s="26" t="s">
        <v>218</v>
      </c>
      <c r="E256" s="26" t="s">
        <v>1196</v>
      </c>
      <c r="F256" s="26" t="s">
        <v>1073</v>
      </c>
      <c r="G256" s="26" t="s">
        <v>182</v>
      </c>
      <c r="H256" s="26" t="s">
        <v>461</v>
      </c>
      <c r="I256" s="26" t="s">
        <v>184</v>
      </c>
      <c r="J256" s="26" t="s">
        <v>322</v>
      </c>
      <c r="K256" s="26" t="s">
        <v>360</v>
      </c>
      <c r="L256" s="26" t="s">
        <v>79</v>
      </c>
      <c r="M256" s="26" t="s">
        <v>77</v>
      </c>
      <c r="N256" s="26">
        <v>76</v>
      </c>
      <c r="O256" s="26">
        <v>42</v>
      </c>
      <c r="P256" s="26">
        <v>34</v>
      </c>
      <c r="Q256" s="26">
        <v>6</v>
      </c>
      <c r="R256" s="26">
        <v>0</v>
      </c>
      <c r="S256" s="26">
        <v>50</v>
      </c>
      <c r="T256" s="26">
        <v>31</v>
      </c>
      <c r="U256" s="26">
        <v>81</v>
      </c>
      <c r="V256" s="26">
        <v>1</v>
      </c>
      <c r="W256" s="26"/>
    </row>
    <row r="257" spans="1:23" x14ac:dyDescent="0.25">
      <c r="A257" s="26" t="s">
        <v>53</v>
      </c>
      <c r="B257" s="26" t="s">
        <v>1197</v>
      </c>
      <c r="C257" s="26" t="s">
        <v>1198</v>
      </c>
      <c r="D257" s="26" t="s">
        <v>179</v>
      </c>
      <c r="E257" s="26" t="s">
        <v>1199</v>
      </c>
      <c r="F257" s="26" t="s">
        <v>379</v>
      </c>
      <c r="G257" s="26" t="s">
        <v>182</v>
      </c>
      <c r="H257" s="26" t="s">
        <v>399</v>
      </c>
      <c r="I257" s="26" t="s">
        <v>184</v>
      </c>
      <c r="J257" s="26" t="s">
        <v>322</v>
      </c>
      <c r="K257" s="26" t="s">
        <v>360</v>
      </c>
      <c r="L257" s="26" t="s">
        <v>79</v>
      </c>
      <c r="M257" s="26" t="s">
        <v>77</v>
      </c>
      <c r="N257" s="26">
        <v>63</v>
      </c>
      <c r="O257" s="26">
        <v>37</v>
      </c>
      <c r="P257" s="26">
        <v>26</v>
      </c>
      <c r="Q257" s="26">
        <v>7</v>
      </c>
      <c r="R257" s="26">
        <v>1</v>
      </c>
      <c r="S257" s="26">
        <v>19</v>
      </c>
      <c r="T257" s="26">
        <v>19</v>
      </c>
      <c r="U257" s="26">
        <v>39</v>
      </c>
      <c r="V257" s="26">
        <v>1</v>
      </c>
      <c r="W257" s="26"/>
    </row>
    <row r="258" spans="1:23" x14ac:dyDescent="0.25">
      <c r="A258" s="26" t="s">
        <v>53</v>
      </c>
      <c r="B258" s="26" t="s">
        <v>1200</v>
      </c>
      <c r="C258" s="26" t="s">
        <v>1201</v>
      </c>
      <c r="D258" s="26" t="s">
        <v>179</v>
      </c>
      <c r="E258" s="26" t="s">
        <v>1202</v>
      </c>
      <c r="F258" s="26" t="s">
        <v>260</v>
      </c>
      <c r="G258" s="26" t="s">
        <v>198</v>
      </c>
      <c r="H258" s="26" t="s">
        <v>431</v>
      </c>
      <c r="I258" s="26" t="s">
        <v>184</v>
      </c>
      <c r="J258" s="26" t="s">
        <v>375</v>
      </c>
      <c r="K258" s="26" t="s">
        <v>360</v>
      </c>
      <c r="L258" s="26" t="s">
        <v>79</v>
      </c>
      <c r="M258" s="26" t="s">
        <v>77</v>
      </c>
      <c r="N258" s="26">
        <v>15</v>
      </c>
      <c r="O258" s="26">
        <v>8</v>
      </c>
      <c r="P258" s="26">
        <v>7</v>
      </c>
      <c r="Q258" s="26">
        <v>3</v>
      </c>
      <c r="R258" s="26">
        <v>1</v>
      </c>
      <c r="S258" s="26">
        <v>10</v>
      </c>
      <c r="T258" s="26">
        <v>23</v>
      </c>
      <c r="U258" s="26">
        <v>34</v>
      </c>
      <c r="V258" s="26">
        <v>1</v>
      </c>
      <c r="W258" s="26"/>
    </row>
    <row r="259" spans="1:23" x14ac:dyDescent="0.25">
      <c r="A259" s="26" t="s">
        <v>53</v>
      </c>
      <c r="B259" s="26" t="s">
        <v>1203</v>
      </c>
      <c r="C259" s="26" t="s">
        <v>1204</v>
      </c>
      <c r="D259" s="26" t="s">
        <v>179</v>
      </c>
      <c r="E259" s="26" t="s">
        <v>1205</v>
      </c>
      <c r="F259" s="26" t="s">
        <v>231</v>
      </c>
      <c r="G259" s="26" t="s">
        <v>198</v>
      </c>
      <c r="H259" s="26" t="s">
        <v>403</v>
      </c>
      <c r="I259" s="26" t="s">
        <v>184</v>
      </c>
      <c r="J259" s="26" t="s">
        <v>375</v>
      </c>
      <c r="K259" s="26" t="s">
        <v>360</v>
      </c>
      <c r="L259" s="26" t="s">
        <v>79</v>
      </c>
      <c r="M259" s="26" t="s">
        <v>77</v>
      </c>
      <c r="N259" s="26">
        <v>22</v>
      </c>
      <c r="O259" s="26">
        <v>12</v>
      </c>
      <c r="P259" s="26">
        <v>10</v>
      </c>
      <c r="Q259" s="26">
        <v>4</v>
      </c>
      <c r="R259" s="26">
        <v>1</v>
      </c>
      <c r="S259" s="26">
        <v>13</v>
      </c>
      <c r="T259" s="26">
        <v>17</v>
      </c>
      <c r="U259" s="26">
        <v>31</v>
      </c>
      <c r="V259" s="26">
        <v>1</v>
      </c>
      <c r="W259" s="26"/>
    </row>
    <row r="260" spans="1:23" x14ac:dyDescent="0.25">
      <c r="A260" s="26" t="s">
        <v>53</v>
      </c>
      <c r="B260" s="26" t="s">
        <v>1206</v>
      </c>
      <c r="C260" s="26" t="s">
        <v>1207</v>
      </c>
      <c r="D260" s="26" t="s">
        <v>218</v>
      </c>
      <c r="E260" s="26" t="s">
        <v>1208</v>
      </c>
      <c r="F260" s="26" t="s">
        <v>1209</v>
      </c>
      <c r="G260" s="26" t="s">
        <v>210</v>
      </c>
      <c r="H260" s="26" t="s">
        <v>1069</v>
      </c>
      <c r="I260" s="26" t="s">
        <v>184</v>
      </c>
      <c r="J260" s="26" t="s">
        <v>322</v>
      </c>
      <c r="K260" s="26" t="s">
        <v>360</v>
      </c>
      <c r="L260" s="26" t="s">
        <v>79</v>
      </c>
      <c r="M260" s="26" t="s">
        <v>77</v>
      </c>
      <c r="N260" s="26">
        <v>156</v>
      </c>
      <c r="O260" s="26">
        <v>90</v>
      </c>
      <c r="P260" s="26">
        <v>66</v>
      </c>
      <c r="Q260" s="26">
        <v>6</v>
      </c>
      <c r="R260" s="26">
        <v>1</v>
      </c>
      <c r="S260" s="26">
        <v>48</v>
      </c>
      <c r="T260" s="26">
        <v>27</v>
      </c>
      <c r="U260" s="26">
        <v>76</v>
      </c>
      <c r="V260" s="26">
        <v>1</v>
      </c>
      <c r="W260" s="26"/>
    </row>
    <row r="261" spans="1:23" x14ac:dyDescent="0.25">
      <c r="A261" s="26" t="s">
        <v>53</v>
      </c>
      <c r="B261" s="26" t="s">
        <v>1210</v>
      </c>
      <c r="C261" s="26" t="s">
        <v>1211</v>
      </c>
      <c r="D261" s="26" t="s">
        <v>218</v>
      </c>
      <c r="E261" s="26" t="s">
        <v>1212</v>
      </c>
      <c r="F261" s="26" t="s">
        <v>1209</v>
      </c>
      <c r="G261" s="26" t="s">
        <v>210</v>
      </c>
      <c r="H261" s="26" t="s">
        <v>1069</v>
      </c>
      <c r="I261" s="26" t="s">
        <v>184</v>
      </c>
      <c r="J261" s="26" t="s">
        <v>322</v>
      </c>
      <c r="K261" s="26" t="s">
        <v>360</v>
      </c>
      <c r="L261" s="26" t="s">
        <v>79</v>
      </c>
      <c r="M261" s="26" t="s">
        <v>77</v>
      </c>
      <c r="N261" s="26">
        <v>150</v>
      </c>
      <c r="O261" s="26">
        <v>77</v>
      </c>
      <c r="P261" s="26">
        <v>73</v>
      </c>
      <c r="Q261" s="26">
        <v>6</v>
      </c>
      <c r="R261" s="26">
        <v>1</v>
      </c>
      <c r="S261" s="26">
        <v>44</v>
      </c>
      <c r="T261" s="26">
        <v>26</v>
      </c>
      <c r="U261" s="26">
        <v>71</v>
      </c>
      <c r="V261" s="26">
        <v>1</v>
      </c>
      <c r="W261" s="26"/>
    </row>
    <row r="262" spans="1:23" x14ac:dyDescent="0.25">
      <c r="A262" s="26" t="s">
        <v>53</v>
      </c>
      <c r="B262" s="26" t="s">
        <v>1213</v>
      </c>
      <c r="C262" s="26" t="s">
        <v>1214</v>
      </c>
      <c r="D262" s="26" t="s">
        <v>179</v>
      </c>
      <c r="E262" s="26" t="s">
        <v>1215</v>
      </c>
      <c r="F262" s="26" t="s">
        <v>220</v>
      </c>
      <c r="G262" s="26" t="s">
        <v>182</v>
      </c>
      <c r="H262" s="26" t="s">
        <v>563</v>
      </c>
      <c r="I262" s="26" t="s">
        <v>184</v>
      </c>
      <c r="J262" s="26" t="s">
        <v>322</v>
      </c>
      <c r="K262" s="26" t="s">
        <v>360</v>
      </c>
      <c r="L262" s="26" t="s">
        <v>79</v>
      </c>
      <c r="M262" s="26" t="s">
        <v>77</v>
      </c>
      <c r="N262" s="26">
        <v>38</v>
      </c>
      <c r="O262" s="26">
        <v>20</v>
      </c>
      <c r="P262" s="26">
        <v>18</v>
      </c>
      <c r="Q262" s="26">
        <v>4</v>
      </c>
      <c r="R262" s="26">
        <v>1</v>
      </c>
      <c r="S262" s="26">
        <v>13</v>
      </c>
      <c r="T262" s="26">
        <v>27</v>
      </c>
      <c r="U262" s="26">
        <v>41</v>
      </c>
      <c r="V262" s="26">
        <v>1</v>
      </c>
      <c r="W262" s="26"/>
    </row>
    <row r="263" spans="1:23" x14ac:dyDescent="0.25">
      <c r="A263" s="26" t="s">
        <v>53</v>
      </c>
      <c r="B263" s="26" t="s">
        <v>1216</v>
      </c>
      <c r="C263" s="26" t="s">
        <v>1217</v>
      </c>
      <c r="D263" s="26" t="s">
        <v>179</v>
      </c>
      <c r="E263" s="26" t="s">
        <v>1218</v>
      </c>
      <c r="F263" s="26" t="s">
        <v>1219</v>
      </c>
      <c r="G263" s="26" t="s">
        <v>278</v>
      </c>
      <c r="H263" s="26" t="s">
        <v>623</v>
      </c>
      <c r="I263" s="26" t="s">
        <v>184</v>
      </c>
      <c r="J263" s="26" t="s">
        <v>375</v>
      </c>
      <c r="K263" s="26" t="s">
        <v>360</v>
      </c>
      <c r="L263" s="26" t="s">
        <v>79</v>
      </c>
      <c r="M263" s="26" t="s">
        <v>77</v>
      </c>
      <c r="N263" s="26">
        <v>0</v>
      </c>
      <c r="O263" s="26">
        <v>0</v>
      </c>
      <c r="P263" s="26">
        <v>0</v>
      </c>
      <c r="Q263" s="26">
        <v>0</v>
      </c>
      <c r="R263" s="26">
        <v>1</v>
      </c>
      <c r="S263" s="26">
        <v>0</v>
      </c>
      <c r="T263" s="26">
        <v>2</v>
      </c>
      <c r="U263" s="26">
        <v>3</v>
      </c>
      <c r="V263" s="26">
        <v>1</v>
      </c>
      <c r="W263" s="26"/>
    </row>
    <row r="264" spans="1:23" x14ac:dyDescent="0.25">
      <c r="A264" s="26" t="s">
        <v>53</v>
      </c>
      <c r="B264" s="26" t="s">
        <v>1220</v>
      </c>
      <c r="C264" s="26" t="s">
        <v>1221</v>
      </c>
      <c r="D264" s="26" t="s">
        <v>218</v>
      </c>
      <c r="E264" s="26" t="s">
        <v>1222</v>
      </c>
      <c r="F264" s="26" t="s">
        <v>1126</v>
      </c>
      <c r="G264" s="26" t="s">
        <v>278</v>
      </c>
      <c r="H264" s="26" t="s">
        <v>578</v>
      </c>
      <c r="I264" s="26" t="s">
        <v>184</v>
      </c>
      <c r="J264" s="26" t="s">
        <v>375</v>
      </c>
      <c r="K264" s="26" t="s">
        <v>360</v>
      </c>
      <c r="L264" s="26" t="s">
        <v>79</v>
      </c>
      <c r="M264" s="26" t="s">
        <v>77</v>
      </c>
      <c r="N264" s="26">
        <v>134</v>
      </c>
      <c r="O264" s="26">
        <v>77</v>
      </c>
      <c r="P264" s="26">
        <v>57</v>
      </c>
      <c r="Q264" s="26">
        <v>6</v>
      </c>
      <c r="R264" s="26">
        <v>1</v>
      </c>
      <c r="S264" s="26">
        <v>72</v>
      </c>
      <c r="T264" s="26">
        <v>14</v>
      </c>
      <c r="U264" s="26">
        <v>87</v>
      </c>
      <c r="V264" s="26">
        <v>1</v>
      </c>
      <c r="W264" s="26"/>
    </row>
    <row r="265" spans="1:23" x14ac:dyDescent="0.25">
      <c r="A265" s="26" t="s">
        <v>53</v>
      </c>
      <c r="B265" s="26" t="s">
        <v>1223</v>
      </c>
      <c r="C265" s="26" t="s">
        <v>1224</v>
      </c>
      <c r="D265" s="26" t="s">
        <v>218</v>
      </c>
      <c r="E265" s="26" t="s">
        <v>1225</v>
      </c>
      <c r="F265" s="26" t="s">
        <v>967</v>
      </c>
      <c r="G265" s="26" t="s">
        <v>182</v>
      </c>
      <c r="H265" s="26" t="s">
        <v>370</v>
      </c>
      <c r="I265" s="26" t="s">
        <v>184</v>
      </c>
      <c r="J265" s="26" t="s">
        <v>322</v>
      </c>
      <c r="K265" s="26" t="s">
        <v>360</v>
      </c>
      <c r="L265" s="26" t="s">
        <v>79</v>
      </c>
      <c r="M265" s="26" t="s">
        <v>77</v>
      </c>
      <c r="N265" s="26">
        <v>144</v>
      </c>
      <c r="O265" s="26">
        <v>78</v>
      </c>
      <c r="P265" s="26">
        <v>66</v>
      </c>
      <c r="Q265" s="26">
        <v>6</v>
      </c>
      <c r="R265" s="26">
        <v>1</v>
      </c>
      <c r="S265" s="26">
        <v>46</v>
      </c>
      <c r="T265" s="26">
        <v>24</v>
      </c>
      <c r="U265" s="26">
        <v>71</v>
      </c>
      <c r="V265" s="26">
        <v>1</v>
      </c>
      <c r="W265" s="26"/>
    </row>
    <row r="266" spans="1:23" x14ac:dyDescent="0.25">
      <c r="A266" s="26" t="s">
        <v>53</v>
      </c>
      <c r="B266" s="26" t="s">
        <v>1226</v>
      </c>
      <c r="C266" s="26" t="s">
        <v>1227</v>
      </c>
      <c r="D266" s="26" t="s">
        <v>179</v>
      </c>
      <c r="E266" s="26" t="s">
        <v>1228</v>
      </c>
      <c r="F266" s="26" t="s">
        <v>181</v>
      </c>
      <c r="G266" s="26" t="s">
        <v>182</v>
      </c>
      <c r="H266" s="26" t="s">
        <v>440</v>
      </c>
      <c r="I266" s="26" t="s">
        <v>184</v>
      </c>
      <c r="J266" s="26" t="s">
        <v>322</v>
      </c>
      <c r="K266" s="26" t="s">
        <v>360</v>
      </c>
      <c r="L266" s="26" t="s">
        <v>79</v>
      </c>
      <c r="M266" s="26" t="s">
        <v>77</v>
      </c>
      <c r="N266" s="26">
        <v>0</v>
      </c>
      <c r="O266" s="26">
        <v>0</v>
      </c>
      <c r="P266" s="26">
        <v>0</v>
      </c>
      <c r="Q266" s="26">
        <v>0</v>
      </c>
      <c r="R266" s="26">
        <v>1</v>
      </c>
      <c r="S266" s="26">
        <v>2</v>
      </c>
      <c r="T266" s="26">
        <v>28</v>
      </c>
      <c r="U266" s="26">
        <v>31</v>
      </c>
      <c r="V266" s="26">
        <v>1</v>
      </c>
      <c r="W266" s="26"/>
    </row>
    <row r="267" spans="1:23" x14ac:dyDescent="0.25">
      <c r="A267" s="26" t="s">
        <v>53</v>
      </c>
      <c r="B267" s="26" t="s">
        <v>1229</v>
      </c>
      <c r="C267" s="26" t="s">
        <v>1230</v>
      </c>
      <c r="D267" s="26" t="s">
        <v>218</v>
      </c>
      <c r="E267" s="26" t="s">
        <v>1231</v>
      </c>
      <c r="F267" s="26" t="s">
        <v>862</v>
      </c>
      <c r="G267" s="26" t="s">
        <v>226</v>
      </c>
      <c r="H267" s="26" t="s">
        <v>828</v>
      </c>
      <c r="I267" s="26" t="s">
        <v>184</v>
      </c>
      <c r="J267" s="26" t="s">
        <v>427</v>
      </c>
      <c r="K267" s="26" t="s">
        <v>360</v>
      </c>
      <c r="L267" s="26" t="s">
        <v>79</v>
      </c>
      <c r="M267" s="26" t="s">
        <v>77</v>
      </c>
      <c r="N267" s="26">
        <v>22</v>
      </c>
      <c r="O267" s="26">
        <v>6</v>
      </c>
      <c r="P267" s="26">
        <v>16</v>
      </c>
      <c r="Q267" s="26">
        <v>3</v>
      </c>
      <c r="R267" s="26">
        <v>1</v>
      </c>
      <c r="S267" s="26">
        <v>5</v>
      </c>
      <c r="T267" s="26">
        <v>3</v>
      </c>
      <c r="U267" s="26">
        <v>9</v>
      </c>
      <c r="V267" s="26">
        <v>1</v>
      </c>
      <c r="W267" s="26"/>
    </row>
    <row r="268" spans="1:23" x14ac:dyDescent="0.25">
      <c r="A268" s="26" t="s">
        <v>53</v>
      </c>
      <c r="B268" s="26" t="s">
        <v>1232</v>
      </c>
      <c r="C268" s="26" t="s">
        <v>1233</v>
      </c>
      <c r="D268" s="26" t="s">
        <v>218</v>
      </c>
      <c r="E268" s="26" t="s">
        <v>1234</v>
      </c>
      <c r="F268" s="26" t="s">
        <v>862</v>
      </c>
      <c r="G268" s="26" t="s">
        <v>226</v>
      </c>
      <c r="H268" s="26" t="s">
        <v>828</v>
      </c>
      <c r="I268" s="26" t="s">
        <v>184</v>
      </c>
      <c r="J268" s="26" t="s">
        <v>427</v>
      </c>
      <c r="K268" s="26" t="s">
        <v>360</v>
      </c>
      <c r="L268" s="26" t="s">
        <v>79</v>
      </c>
      <c r="M268" s="26" t="s">
        <v>77</v>
      </c>
      <c r="N268" s="26">
        <v>14</v>
      </c>
      <c r="O268" s="26">
        <v>13</v>
      </c>
      <c r="P268" s="26">
        <v>1</v>
      </c>
      <c r="Q268" s="26">
        <v>3</v>
      </c>
      <c r="R268" s="26">
        <v>1</v>
      </c>
      <c r="S268" s="26">
        <v>5</v>
      </c>
      <c r="T268" s="26">
        <v>7</v>
      </c>
      <c r="U268" s="26">
        <v>13</v>
      </c>
      <c r="V268" s="26">
        <v>1</v>
      </c>
      <c r="W268" s="26"/>
    </row>
    <row r="269" spans="1:23" x14ac:dyDescent="0.25">
      <c r="A269" s="26" t="s">
        <v>53</v>
      </c>
      <c r="B269" s="26" t="s">
        <v>1235</v>
      </c>
      <c r="C269" s="26" t="s">
        <v>1236</v>
      </c>
      <c r="D269" s="26" t="s">
        <v>218</v>
      </c>
      <c r="E269" s="26" t="s">
        <v>1237</v>
      </c>
      <c r="F269" s="26" t="s">
        <v>827</v>
      </c>
      <c r="G269" s="26" t="s">
        <v>226</v>
      </c>
      <c r="H269" s="26" t="s">
        <v>828</v>
      </c>
      <c r="I269" s="26" t="s">
        <v>184</v>
      </c>
      <c r="J269" s="26" t="s">
        <v>427</v>
      </c>
      <c r="K269" s="26" t="s">
        <v>360</v>
      </c>
      <c r="L269" s="26" t="s">
        <v>79</v>
      </c>
      <c r="M269" s="26" t="s">
        <v>77</v>
      </c>
      <c r="N269" s="26">
        <v>16</v>
      </c>
      <c r="O269" s="26">
        <v>10</v>
      </c>
      <c r="P269" s="26">
        <v>6</v>
      </c>
      <c r="Q269" s="26">
        <v>2</v>
      </c>
      <c r="R269" s="26">
        <v>1</v>
      </c>
      <c r="S269" s="26">
        <v>4</v>
      </c>
      <c r="T269" s="26">
        <v>3</v>
      </c>
      <c r="U269" s="26">
        <v>8</v>
      </c>
      <c r="V269" s="26">
        <v>1</v>
      </c>
      <c r="W269" s="26"/>
    </row>
    <row r="270" spans="1:23" x14ac:dyDescent="0.25">
      <c r="A270" s="26" t="s">
        <v>53</v>
      </c>
      <c r="B270" s="26" t="s">
        <v>1238</v>
      </c>
      <c r="C270" s="26" t="s">
        <v>1239</v>
      </c>
      <c r="D270" s="26" t="s">
        <v>218</v>
      </c>
      <c r="E270" s="26" t="s">
        <v>1240</v>
      </c>
      <c r="F270" s="26" t="s">
        <v>671</v>
      </c>
      <c r="G270" s="26" t="s">
        <v>191</v>
      </c>
      <c r="H270" s="26" t="s">
        <v>426</v>
      </c>
      <c r="I270" s="26" t="s">
        <v>184</v>
      </c>
      <c r="J270" s="26" t="s">
        <v>427</v>
      </c>
      <c r="K270" s="26" t="s">
        <v>360</v>
      </c>
      <c r="L270" s="26" t="s">
        <v>79</v>
      </c>
      <c r="M270" s="26" t="s">
        <v>77</v>
      </c>
      <c r="N270" s="26">
        <v>22</v>
      </c>
      <c r="O270" s="26">
        <v>14</v>
      </c>
      <c r="P270" s="26">
        <v>8</v>
      </c>
      <c r="Q270" s="26">
        <v>2</v>
      </c>
      <c r="R270" s="26">
        <v>1</v>
      </c>
      <c r="S270" s="26">
        <v>5</v>
      </c>
      <c r="T270" s="26">
        <v>6</v>
      </c>
      <c r="U270" s="26">
        <v>12</v>
      </c>
      <c r="V270" s="26">
        <v>1</v>
      </c>
      <c r="W270" s="26"/>
    </row>
    <row r="271" spans="1:23" x14ac:dyDescent="0.25">
      <c r="A271" s="26" t="s">
        <v>53</v>
      </c>
      <c r="B271" s="26" t="s">
        <v>1241</v>
      </c>
      <c r="C271" s="26" t="s">
        <v>1242</v>
      </c>
      <c r="D271" s="26" t="s">
        <v>218</v>
      </c>
      <c r="E271" s="26" t="s">
        <v>1243</v>
      </c>
      <c r="F271" s="26" t="s">
        <v>1244</v>
      </c>
      <c r="G271" s="26" t="s">
        <v>651</v>
      </c>
      <c r="H271" s="26" t="s">
        <v>652</v>
      </c>
      <c r="I271" s="26" t="s">
        <v>184</v>
      </c>
      <c r="J271" s="26" t="s">
        <v>427</v>
      </c>
      <c r="K271" s="26" t="s">
        <v>360</v>
      </c>
      <c r="L271" s="26" t="s">
        <v>79</v>
      </c>
      <c r="M271" s="26" t="s">
        <v>77</v>
      </c>
      <c r="N271" s="26">
        <v>26</v>
      </c>
      <c r="O271" s="26">
        <v>9</v>
      </c>
      <c r="P271" s="26">
        <v>17</v>
      </c>
      <c r="Q271" s="26">
        <v>3</v>
      </c>
      <c r="R271" s="26">
        <v>1</v>
      </c>
      <c r="S271" s="26">
        <v>3</v>
      </c>
      <c r="T271" s="26">
        <v>6</v>
      </c>
      <c r="U271" s="26">
        <v>10</v>
      </c>
      <c r="V271" s="26">
        <v>1</v>
      </c>
      <c r="W271" s="26"/>
    </row>
    <row r="272" spans="1:23" x14ac:dyDescent="0.25">
      <c r="A272" s="26" t="s">
        <v>53</v>
      </c>
      <c r="B272" s="26" t="s">
        <v>1245</v>
      </c>
      <c r="C272" s="26" t="s">
        <v>1246</v>
      </c>
      <c r="D272" s="26" t="s">
        <v>218</v>
      </c>
      <c r="E272" s="26" t="s">
        <v>1247</v>
      </c>
      <c r="F272" s="26" t="s">
        <v>1248</v>
      </c>
      <c r="G272" s="26" t="s">
        <v>252</v>
      </c>
      <c r="H272" s="26" t="s">
        <v>1249</v>
      </c>
      <c r="I272" s="26" t="s">
        <v>184</v>
      </c>
      <c r="J272" s="26" t="s">
        <v>427</v>
      </c>
      <c r="K272" s="26" t="s">
        <v>360</v>
      </c>
      <c r="L272" s="26" t="s">
        <v>79</v>
      </c>
      <c r="M272" s="26" t="s">
        <v>77</v>
      </c>
      <c r="N272" s="26">
        <v>32</v>
      </c>
      <c r="O272" s="26">
        <v>18</v>
      </c>
      <c r="P272" s="26">
        <v>14</v>
      </c>
      <c r="Q272" s="26">
        <v>3</v>
      </c>
      <c r="R272" s="26">
        <v>1</v>
      </c>
      <c r="S272" s="26">
        <v>6</v>
      </c>
      <c r="T272" s="26">
        <v>12</v>
      </c>
      <c r="U272" s="26">
        <v>19</v>
      </c>
      <c r="V272" s="26">
        <v>1</v>
      </c>
      <c r="W272" s="26"/>
    </row>
    <row r="273" spans="1:23" x14ac:dyDescent="0.25">
      <c r="A273" s="26" t="s">
        <v>53</v>
      </c>
      <c r="B273" s="26" t="s">
        <v>1250</v>
      </c>
      <c r="C273" s="26" t="s">
        <v>1251</v>
      </c>
      <c r="D273" s="26" t="s">
        <v>218</v>
      </c>
      <c r="E273" s="26" t="s">
        <v>1252</v>
      </c>
      <c r="F273" s="26" t="s">
        <v>1253</v>
      </c>
      <c r="G273" s="26" t="s">
        <v>662</v>
      </c>
      <c r="H273" s="26" t="s">
        <v>1254</v>
      </c>
      <c r="I273" s="26" t="s">
        <v>184</v>
      </c>
      <c r="J273" s="26" t="s">
        <v>427</v>
      </c>
      <c r="K273" s="26" t="s">
        <v>360</v>
      </c>
      <c r="L273" s="26" t="s">
        <v>79</v>
      </c>
      <c r="M273" s="26" t="s">
        <v>77</v>
      </c>
      <c r="N273" s="26">
        <v>24</v>
      </c>
      <c r="O273" s="26">
        <v>14</v>
      </c>
      <c r="P273" s="26">
        <v>10</v>
      </c>
      <c r="Q273" s="26">
        <v>2</v>
      </c>
      <c r="R273" s="26">
        <v>1</v>
      </c>
      <c r="S273" s="26">
        <v>4</v>
      </c>
      <c r="T273" s="26">
        <v>3</v>
      </c>
      <c r="U273" s="26">
        <v>8</v>
      </c>
      <c r="V273" s="26">
        <v>1</v>
      </c>
      <c r="W273" s="26"/>
    </row>
    <row r="274" spans="1:23" x14ac:dyDescent="0.25">
      <c r="A274" s="26" t="s">
        <v>53</v>
      </c>
      <c r="B274" s="26" t="s">
        <v>1255</v>
      </c>
      <c r="C274" s="26" t="s">
        <v>1256</v>
      </c>
      <c r="D274" s="26" t="s">
        <v>218</v>
      </c>
      <c r="E274" s="26" t="s">
        <v>1257</v>
      </c>
      <c r="F274" s="26" t="s">
        <v>1258</v>
      </c>
      <c r="G274" s="26" t="s">
        <v>293</v>
      </c>
      <c r="H274" s="26" t="s">
        <v>351</v>
      </c>
      <c r="I274" s="26" t="s">
        <v>1259</v>
      </c>
      <c r="J274" s="26" t="s">
        <v>503</v>
      </c>
      <c r="K274" s="26" t="s">
        <v>296</v>
      </c>
      <c r="L274" s="26" t="s">
        <v>80</v>
      </c>
      <c r="M274" s="26" t="s">
        <v>77</v>
      </c>
      <c r="N274" s="26">
        <v>18</v>
      </c>
      <c r="O274" s="26">
        <v>8</v>
      </c>
      <c r="P274" s="26">
        <v>10</v>
      </c>
      <c r="Q274" s="26">
        <v>2</v>
      </c>
      <c r="R274" s="26">
        <v>1</v>
      </c>
      <c r="S274" s="26">
        <v>2</v>
      </c>
      <c r="T274" s="26">
        <v>8</v>
      </c>
      <c r="U274" s="26">
        <v>11</v>
      </c>
      <c r="V274" s="26">
        <v>1</v>
      </c>
      <c r="W274" s="26"/>
    </row>
    <row r="275" spans="1:23" x14ac:dyDescent="0.25">
      <c r="A275" s="26" t="s">
        <v>53</v>
      </c>
      <c r="B275" s="26" t="s">
        <v>1260</v>
      </c>
      <c r="C275" s="26" t="s">
        <v>1261</v>
      </c>
      <c r="D275" s="26" t="s">
        <v>218</v>
      </c>
      <c r="E275" s="26" t="s">
        <v>1262</v>
      </c>
      <c r="F275" s="26" t="s">
        <v>1263</v>
      </c>
      <c r="G275" s="26" t="s">
        <v>293</v>
      </c>
      <c r="H275" s="26" t="s">
        <v>294</v>
      </c>
      <c r="I275" s="26" t="s">
        <v>1259</v>
      </c>
      <c r="J275" s="26" t="s">
        <v>1145</v>
      </c>
      <c r="K275" s="26" t="s">
        <v>296</v>
      </c>
      <c r="L275" s="26" t="s">
        <v>80</v>
      </c>
      <c r="M275" s="26" t="s">
        <v>77</v>
      </c>
      <c r="N275" s="26">
        <v>29</v>
      </c>
      <c r="O275" s="26">
        <v>16</v>
      </c>
      <c r="P275" s="26">
        <v>13</v>
      </c>
      <c r="Q275" s="26">
        <v>3</v>
      </c>
      <c r="R275" s="26">
        <v>0</v>
      </c>
      <c r="S275" s="26">
        <v>3</v>
      </c>
      <c r="T275" s="26">
        <v>11</v>
      </c>
      <c r="U275" s="26">
        <v>14</v>
      </c>
      <c r="V275" s="26">
        <v>1</v>
      </c>
      <c r="W275" s="26"/>
    </row>
    <row r="276" spans="1:23" x14ac:dyDescent="0.25">
      <c r="A276" s="26" t="s">
        <v>53</v>
      </c>
      <c r="B276" s="26" t="s">
        <v>1264</v>
      </c>
      <c r="C276" s="26" t="s">
        <v>1265</v>
      </c>
      <c r="D276" s="26" t="s">
        <v>218</v>
      </c>
      <c r="E276" s="26" t="s">
        <v>1266</v>
      </c>
      <c r="F276" s="26" t="s">
        <v>1267</v>
      </c>
      <c r="G276" s="26" t="s">
        <v>293</v>
      </c>
      <c r="H276" s="26" t="s">
        <v>294</v>
      </c>
      <c r="I276" s="26" t="s">
        <v>1259</v>
      </c>
      <c r="J276" s="26" t="s">
        <v>1145</v>
      </c>
      <c r="K276" s="26" t="s">
        <v>296</v>
      </c>
      <c r="L276" s="26" t="s">
        <v>80</v>
      </c>
      <c r="M276" s="26" t="s">
        <v>77</v>
      </c>
      <c r="N276" s="26">
        <v>29</v>
      </c>
      <c r="O276" s="26">
        <v>19</v>
      </c>
      <c r="P276" s="26">
        <v>10</v>
      </c>
      <c r="Q276" s="26">
        <v>2</v>
      </c>
      <c r="R276" s="26">
        <v>0</v>
      </c>
      <c r="S276" s="26">
        <v>1</v>
      </c>
      <c r="T276" s="26">
        <v>14</v>
      </c>
      <c r="U276" s="26">
        <v>15</v>
      </c>
      <c r="V276" s="26">
        <v>1</v>
      </c>
      <c r="W276" s="26"/>
    </row>
    <row r="277" spans="1:23" x14ac:dyDescent="0.25">
      <c r="A277" s="26" t="s">
        <v>53</v>
      </c>
      <c r="B277" s="26" t="s">
        <v>1268</v>
      </c>
      <c r="C277" s="26" t="s">
        <v>1269</v>
      </c>
      <c r="D277" s="26" t="s">
        <v>218</v>
      </c>
      <c r="E277" s="26" t="s">
        <v>1270</v>
      </c>
      <c r="F277" s="26" t="s">
        <v>823</v>
      </c>
      <c r="G277" s="26" t="s">
        <v>413</v>
      </c>
      <c r="H277" s="26" t="s">
        <v>436</v>
      </c>
      <c r="I277" s="26" t="s">
        <v>184</v>
      </c>
      <c r="J277" s="26" t="s">
        <v>375</v>
      </c>
      <c r="K277" s="26" t="s">
        <v>360</v>
      </c>
      <c r="L277" s="26" t="s">
        <v>79</v>
      </c>
      <c r="M277" s="26" t="s">
        <v>77</v>
      </c>
      <c r="N277" s="26">
        <v>23</v>
      </c>
      <c r="O277" s="26">
        <v>11</v>
      </c>
      <c r="P277" s="26">
        <v>12</v>
      </c>
      <c r="Q277" s="26">
        <v>2</v>
      </c>
      <c r="R277" s="26">
        <v>1</v>
      </c>
      <c r="S277" s="26">
        <v>6</v>
      </c>
      <c r="T277" s="26">
        <v>5</v>
      </c>
      <c r="U277" s="26">
        <v>12</v>
      </c>
      <c r="V277" s="26">
        <v>1</v>
      </c>
      <c r="W277" s="26"/>
    </row>
    <row r="278" spans="1:23" x14ac:dyDescent="0.25">
      <c r="A278" s="26" t="s">
        <v>53</v>
      </c>
      <c r="B278" s="26" t="s">
        <v>1271</v>
      </c>
      <c r="C278" s="26" t="s">
        <v>1272</v>
      </c>
      <c r="D278" s="26" t="s">
        <v>218</v>
      </c>
      <c r="E278" s="26" t="s">
        <v>1273</v>
      </c>
      <c r="F278" s="26" t="s">
        <v>800</v>
      </c>
      <c r="G278" s="26" t="s">
        <v>413</v>
      </c>
      <c r="H278" s="26" t="s">
        <v>466</v>
      </c>
      <c r="I278" s="26" t="s">
        <v>184</v>
      </c>
      <c r="J278" s="26" t="s">
        <v>375</v>
      </c>
      <c r="K278" s="26" t="s">
        <v>360</v>
      </c>
      <c r="L278" s="26" t="s">
        <v>79</v>
      </c>
      <c r="M278" s="26" t="s">
        <v>77</v>
      </c>
      <c r="N278" s="26">
        <v>32</v>
      </c>
      <c r="O278" s="26">
        <v>16</v>
      </c>
      <c r="P278" s="26">
        <v>16</v>
      </c>
      <c r="Q278" s="26">
        <v>3</v>
      </c>
      <c r="R278" s="26">
        <v>1</v>
      </c>
      <c r="S278" s="26">
        <v>8</v>
      </c>
      <c r="T278" s="26">
        <v>8</v>
      </c>
      <c r="U278" s="26">
        <v>17</v>
      </c>
      <c r="V278" s="26">
        <v>1</v>
      </c>
      <c r="W278" s="26"/>
    </row>
    <row r="279" spans="1:23" x14ac:dyDescent="0.25">
      <c r="A279" s="26" t="s">
        <v>53</v>
      </c>
      <c r="B279" s="26" t="s">
        <v>1274</v>
      </c>
      <c r="C279" s="26" t="s">
        <v>1275</v>
      </c>
      <c r="D279" s="26" t="s">
        <v>218</v>
      </c>
      <c r="E279" s="26" t="s">
        <v>1276</v>
      </c>
      <c r="F279" s="26" t="s">
        <v>1111</v>
      </c>
      <c r="G279" s="26" t="s">
        <v>278</v>
      </c>
      <c r="H279" s="26" t="s">
        <v>408</v>
      </c>
      <c r="I279" s="26" t="s">
        <v>184</v>
      </c>
      <c r="J279" s="26" t="s">
        <v>375</v>
      </c>
      <c r="K279" s="26" t="s">
        <v>360</v>
      </c>
      <c r="L279" s="26" t="s">
        <v>79</v>
      </c>
      <c r="M279" s="26" t="s">
        <v>77</v>
      </c>
      <c r="N279" s="26">
        <v>25</v>
      </c>
      <c r="O279" s="26">
        <v>18</v>
      </c>
      <c r="P279" s="26">
        <v>7</v>
      </c>
      <c r="Q279" s="26">
        <v>2</v>
      </c>
      <c r="R279" s="26">
        <v>1</v>
      </c>
      <c r="S279" s="26">
        <v>4</v>
      </c>
      <c r="T279" s="26">
        <v>7</v>
      </c>
      <c r="U279" s="26">
        <v>12</v>
      </c>
      <c r="V279" s="26">
        <v>1</v>
      </c>
      <c r="W279" s="26"/>
    </row>
    <row r="280" spans="1:23" x14ac:dyDescent="0.25">
      <c r="A280" s="26" t="s">
        <v>53</v>
      </c>
      <c r="B280" s="26" t="s">
        <v>1277</v>
      </c>
      <c r="C280" s="26" t="s">
        <v>1278</v>
      </c>
      <c r="D280" s="26" t="s">
        <v>218</v>
      </c>
      <c r="E280" s="26" t="s">
        <v>1279</v>
      </c>
      <c r="F280" s="26" t="s">
        <v>1280</v>
      </c>
      <c r="G280" s="26" t="s">
        <v>278</v>
      </c>
      <c r="H280" s="26" t="s">
        <v>623</v>
      </c>
      <c r="I280" s="26" t="s">
        <v>184</v>
      </c>
      <c r="J280" s="26" t="s">
        <v>375</v>
      </c>
      <c r="K280" s="26" t="s">
        <v>360</v>
      </c>
      <c r="L280" s="26" t="s">
        <v>79</v>
      </c>
      <c r="M280" s="26" t="s">
        <v>77</v>
      </c>
      <c r="N280" s="26">
        <v>33</v>
      </c>
      <c r="O280" s="26">
        <v>20</v>
      </c>
      <c r="P280" s="26">
        <v>13</v>
      </c>
      <c r="Q280" s="26">
        <v>2</v>
      </c>
      <c r="R280" s="26">
        <v>1</v>
      </c>
      <c r="S280" s="26">
        <v>5</v>
      </c>
      <c r="T280" s="26">
        <v>6</v>
      </c>
      <c r="U280" s="26">
        <v>12</v>
      </c>
      <c r="V280" s="26">
        <v>1</v>
      </c>
      <c r="W280" s="26"/>
    </row>
    <row r="281" spans="1:23" x14ac:dyDescent="0.25">
      <c r="A281" s="26" t="s">
        <v>53</v>
      </c>
      <c r="B281" s="26" t="s">
        <v>1281</v>
      </c>
      <c r="C281" s="26" t="s">
        <v>1282</v>
      </c>
      <c r="D281" s="26" t="s">
        <v>218</v>
      </c>
      <c r="E281" s="26" t="s">
        <v>1283</v>
      </c>
      <c r="F281" s="26" t="s">
        <v>745</v>
      </c>
      <c r="G281" s="26" t="s">
        <v>265</v>
      </c>
      <c r="H281" s="26" t="s">
        <v>445</v>
      </c>
      <c r="I281" s="26" t="s">
        <v>184</v>
      </c>
      <c r="J281" s="26" t="s">
        <v>322</v>
      </c>
      <c r="K281" s="26" t="s">
        <v>360</v>
      </c>
      <c r="L281" s="26" t="s">
        <v>79</v>
      </c>
      <c r="M281" s="26" t="s">
        <v>77</v>
      </c>
      <c r="N281" s="26">
        <v>32</v>
      </c>
      <c r="O281" s="26">
        <v>18</v>
      </c>
      <c r="P281" s="26">
        <v>14</v>
      </c>
      <c r="Q281" s="26">
        <v>4</v>
      </c>
      <c r="R281" s="26">
        <v>1</v>
      </c>
      <c r="S281" s="26">
        <v>8</v>
      </c>
      <c r="T281" s="26">
        <v>6</v>
      </c>
      <c r="U281" s="26">
        <v>15</v>
      </c>
      <c r="V281" s="26">
        <v>1</v>
      </c>
      <c r="W281" s="26"/>
    </row>
    <row r="282" spans="1:23" x14ac:dyDescent="0.25">
      <c r="A282" s="26" t="s">
        <v>53</v>
      </c>
      <c r="B282" s="26" t="s">
        <v>1284</v>
      </c>
      <c r="C282" s="26" t="s">
        <v>1285</v>
      </c>
      <c r="D282" s="26" t="s">
        <v>179</v>
      </c>
      <c r="E282" s="26" t="s">
        <v>1286</v>
      </c>
      <c r="F282" s="26" t="s">
        <v>1287</v>
      </c>
      <c r="G282" s="26" t="s">
        <v>676</v>
      </c>
      <c r="H282" s="26" t="s">
        <v>677</v>
      </c>
      <c r="I282" s="26" t="s">
        <v>184</v>
      </c>
      <c r="J282" s="26" t="s">
        <v>375</v>
      </c>
      <c r="K282" s="26" t="s">
        <v>360</v>
      </c>
      <c r="L282" s="26" t="s">
        <v>79</v>
      </c>
      <c r="M282" s="26" t="s">
        <v>77</v>
      </c>
      <c r="N282" s="26">
        <v>24</v>
      </c>
      <c r="O282" s="26">
        <v>17</v>
      </c>
      <c r="P282" s="26">
        <v>7</v>
      </c>
      <c r="Q282" s="26">
        <v>2</v>
      </c>
      <c r="R282" s="26">
        <v>1</v>
      </c>
      <c r="S282" s="26">
        <v>2</v>
      </c>
      <c r="T282" s="26">
        <v>11</v>
      </c>
      <c r="U282" s="26">
        <v>14</v>
      </c>
      <c r="V282" s="26">
        <v>1</v>
      </c>
      <c r="W282" s="26"/>
    </row>
    <row r="283" spans="1:23" x14ac:dyDescent="0.25">
      <c r="A283" s="26" t="s">
        <v>53</v>
      </c>
      <c r="B283" s="26" t="s">
        <v>1288</v>
      </c>
      <c r="C283" s="26" t="s">
        <v>1289</v>
      </c>
      <c r="D283" s="26" t="s">
        <v>218</v>
      </c>
      <c r="E283" s="26" t="s">
        <v>1290</v>
      </c>
      <c r="F283" s="26" t="s">
        <v>1291</v>
      </c>
      <c r="G283" s="26" t="s">
        <v>210</v>
      </c>
      <c r="H283" s="26" t="s">
        <v>570</v>
      </c>
      <c r="I283" s="26" t="s">
        <v>184</v>
      </c>
      <c r="J283" s="26" t="s">
        <v>322</v>
      </c>
      <c r="K283" s="26" t="s">
        <v>360</v>
      </c>
      <c r="L283" s="26" t="s">
        <v>79</v>
      </c>
      <c r="M283" s="26" t="s">
        <v>77</v>
      </c>
      <c r="N283" s="26">
        <v>26</v>
      </c>
      <c r="O283" s="26">
        <v>8</v>
      </c>
      <c r="P283" s="26">
        <v>18</v>
      </c>
      <c r="Q283" s="26">
        <v>3</v>
      </c>
      <c r="R283" s="26">
        <v>1</v>
      </c>
      <c r="S283" s="26">
        <v>7</v>
      </c>
      <c r="T283" s="26">
        <v>9</v>
      </c>
      <c r="U283" s="26">
        <v>17</v>
      </c>
      <c r="V283" s="26">
        <v>1</v>
      </c>
      <c r="W283" s="26"/>
    </row>
    <row r="284" spans="1:23" x14ac:dyDescent="0.25">
      <c r="A284" s="26" t="s">
        <v>53</v>
      </c>
      <c r="B284" s="26" t="s">
        <v>1292</v>
      </c>
      <c r="C284" s="26" t="s">
        <v>1293</v>
      </c>
      <c r="D284" s="26" t="s">
        <v>218</v>
      </c>
      <c r="E284" s="26" t="s">
        <v>1294</v>
      </c>
      <c r="F284" s="26" t="s">
        <v>1295</v>
      </c>
      <c r="G284" s="26" t="s">
        <v>210</v>
      </c>
      <c r="H284" s="26" t="s">
        <v>1296</v>
      </c>
      <c r="I284" s="26" t="s">
        <v>184</v>
      </c>
      <c r="J284" s="26" t="s">
        <v>322</v>
      </c>
      <c r="K284" s="26" t="s">
        <v>360</v>
      </c>
      <c r="L284" s="26" t="s">
        <v>79</v>
      </c>
      <c r="M284" s="26" t="s">
        <v>77</v>
      </c>
      <c r="N284" s="26">
        <v>29</v>
      </c>
      <c r="O284" s="26">
        <v>12</v>
      </c>
      <c r="P284" s="26">
        <v>17</v>
      </c>
      <c r="Q284" s="26">
        <v>3</v>
      </c>
      <c r="R284" s="26">
        <v>1</v>
      </c>
      <c r="S284" s="26">
        <v>6</v>
      </c>
      <c r="T284" s="26">
        <v>6</v>
      </c>
      <c r="U284" s="26">
        <v>13</v>
      </c>
      <c r="V284" s="26">
        <v>1</v>
      </c>
      <c r="W284" s="26"/>
    </row>
    <row r="285" spans="1:23" x14ac:dyDescent="0.25">
      <c r="A285" s="26" t="s">
        <v>53</v>
      </c>
      <c r="B285" s="26" t="s">
        <v>1297</v>
      </c>
      <c r="C285" s="26" t="s">
        <v>1298</v>
      </c>
      <c r="D285" s="26" t="s">
        <v>218</v>
      </c>
      <c r="E285" s="26" t="s">
        <v>1299</v>
      </c>
      <c r="F285" s="26" t="s">
        <v>978</v>
      </c>
      <c r="G285" s="26" t="s">
        <v>182</v>
      </c>
      <c r="H285" s="26" t="s">
        <v>421</v>
      </c>
      <c r="I285" s="26" t="s">
        <v>184</v>
      </c>
      <c r="J285" s="26" t="s">
        <v>322</v>
      </c>
      <c r="K285" s="26" t="s">
        <v>360</v>
      </c>
      <c r="L285" s="26" t="s">
        <v>79</v>
      </c>
      <c r="M285" s="26" t="s">
        <v>77</v>
      </c>
      <c r="N285" s="26">
        <v>42</v>
      </c>
      <c r="O285" s="26">
        <v>23</v>
      </c>
      <c r="P285" s="26">
        <v>19</v>
      </c>
      <c r="Q285" s="26">
        <v>4</v>
      </c>
      <c r="R285" s="26">
        <v>1</v>
      </c>
      <c r="S285" s="26">
        <v>8</v>
      </c>
      <c r="T285" s="26">
        <v>6</v>
      </c>
      <c r="U285" s="26">
        <v>15</v>
      </c>
      <c r="V285" s="26">
        <v>1</v>
      </c>
      <c r="W285" s="26"/>
    </row>
    <row r="286" spans="1:23" x14ac:dyDescent="0.25">
      <c r="A286" s="26" t="s">
        <v>53</v>
      </c>
      <c r="B286" s="26" t="s">
        <v>1300</v>
      </c>
      <c r="C286" s="26" t="s">
        <v>1301</v>
      </c>
      <c r="D286" s="26" t="s">
        <v>179</v>
      </c>
      <c r="E286" s="26" t="s">
        <v>1302</v>
      </c>
      <c r="F286" s="26" t="s">
        <v>815</v>
      </c>
      <c r="G286" s="26" t="s">
        <v>413</v>
      </c>
      <c r="H286" s="26" t="s">
        <v>787</v>
      </c>
      <c r="I286" s="26" t="s">
        <v>184</v>
      </c>
      <c r="J286" s="26" t="s">
        <v>375</v>
      </c>
      <c r="K286" s="26" t="s">
        <v>360</v>
      </c>
      <c r="L286" s="26" t="s">
        <v>79</v>
      </c>
      <c r="M286" s="26" t="s">
        <v>77</v>
      </c>
      <c r="N286" s="26">
        <v>50</v>
      </c>
      <c r="O286" s="26">
        <v>29</v>
      </c>
      <c r="P286" s="26">
        <v>21</v>
      </c>
      <c r="Q286" s="26">
        <v>5</v>
      </c>
      <c r="R286" s="26">
        <v>1</v>
      </c>
      <c r="S286" s="26">
        <v>12</v>
      </c>
      <c r="T286" s="26">
        <v>9</v>
      </c>
      <c r="U286" s="26">
        <v>22</v>
      </c>
      <c r="V286" s="26">
        <v>1</v>
      </c>
      <c r="W286" s="26"/>
    </row>
    <row r="287" spans="1:23" x14ac:dyDescent="0.25">
      <c r="A287" s="26" t="s">
        <v>53</v>
      </c>
      <c r="B287" s="26" t="s">
        <v>1303</v>
      </c>
      <c r="C287" s="26" t="s">
        <v>1304</v>
      </c>
      <c r="D287" s="26" t="s">
        <v>218</v>
      </c>
      <c r="E287" s="26" t="s">
        <v>1305</v>
      </c>
      <c r="F287" s="26" t="s">
        <v>1306</v>
      </c>
      <c r="G287" s="26" t="s">
        <v>487</v>
      </c>
      <c r="H287" s="26" t="s">
        <v>1307</v>
      </c>
      <c r="I287" s="26" t="s">
        <v>184</v>
      </c>
      <c r="J287" s="26" t="s">
        <v>375</v>
      </c>
      <c r="K287" s="26" t="s">
        <v>360</v>
      </c>
      <c r="L287" s="26" t="s">
        <v>79</v>
      </c>
      <c r="M287" s="26" t="s">
        <v>77</v>
      </c>
      <c r="N287" s="26">
        <v>118</v>
      </c>
      <c r="O287" s="26">
        <v>69</v>
      </c>
      <c r="P287" s="26">
        <v>49</v>
      </c>
      <c r="Q287" s="26">
        <v>5</v>
      </c>
      <c r="R287" s="26">
        <v>1</v>
      </c>
      <c r="S287" s="26">
        <v>27</v>
      </c>
      <c r="T287" s="26">
        <v>26</v>
      </c>
      <c r="U287" s="26">
        <v>54</v>
      </c>
      <c r="V287" s="26">
        <v>1</v>
      </c>
      <c r="W287" s="26"/>
    </row>
    <row r="288" spans="1:23" x14ac:dyDescent="0.25">
      <c r="A288" s="26" t="s">
        <v>53</v>
      </c>
      <c r="B288" s="26" t="s">
        <v>1308</v>
      </c>
      <c r="C288" s="26" t="s">
        <v>1309</v>
      </c>
      <c r="D288" s="26" t="s">
        <v>179</v>
      </c>
      <c r="E288" s="26" t="s">
        <v>1310</v>
      </c>
      <c r="F288" s="26" t="s">
        <v>243</v>
      </c>
      <c r="G288" s="26" t="s">
        <v>210</v>
      </c>
      <c r="H288" s="26" t="s">
        <v>332</v>
      </c>
      <c r="I288" s="26" t="s">
        <v>184</v>
      </c>
      <c r="J288" s="26" t="s">
        <v>322</v>
      </c>
      <c r="K288" s="26" t="s">
        <v>381</v>
      </c>
      <c r="L288" s="26" t="s">
        <v>79</v>
      </c>
      <c r="M288" s="26" t="s">
        <v>77</v>
      </c>
      <c r="N288" s="26">
        <v>18</v>
      </c>
      <c r="O288" s="26">
        <v>11</v>
      </c>
      <c r="P288" s="26">
        <v>7</v>
      </c>
      <c r="Q288" s="26">
        <v>3</v>
      </c>
      <c r="R288" s="26">
        <v>1</v>
      </c>
      <c r="S288" s="26">
        <v>6</v>
      </c>
      <c r="T288" s="26">
        <v>18</v>
      </c>
      <c r="U288" s="26">
        <v>25</v>
      </c>
      <c r="V288" s="26">
        <v>1</v>
      </c>
      <c r="W288" s="26"/>
    </row>
    <row r="289" spans="1:23" x14ac:dyDescent="0.25">
      <c r="A289" s="26" t="s">
        <v>53</v>
      </c>
      <c r="B289" s="26" t="s">
        <v>1311</v>
      </c>
      <c r="C289" s="26" t="s">
        <v>1312</v>
      </c>
      <c r="D289" s="26" t="s">
        <v>179</v>
      </c>
      <c r="E289" s="26" t="s">
        <v>1313</v>
      </c>
      <c r="F289" s="26" t="s">
        <v>231</v>
      </c>
      <c r="G289" s="26" t="s">
        <v>198</v>
      </c>
      <c r="H289" s="26" t="s">
        <v>395</v>
      </c>
      <c r="I289" s="26" t="s">
        <v>184</v>
      </c>
      <c r="J289" s="26" t="s">
        <v>375</v>
      </c>
      <c r="K289" s="26" t="s">
        <v>360</v>
      </c>
      <c r="L289" s="26" t="s">
        <v>79</v>
      </c>
      <c r="M289" s="26" t="s">
        <v>77</v>
      </c>
      <c r="N289" s="26">
        <v>32</v>
      </c>
      <c r="O289" s="26">
        <v>15</v>
      </c>
      <c r="P289" s="26">
        <v>17</v>
      </c>
      <c r="Q289" s="26">
        <v>5</v>
      </c>
      <c r="R289" s="26">
        <v>1</v>
      </c>
      <c r="S289" s="26">
        <v>17</v>
      </c>
      <c r="T289" s="26">
        <v>33</v>
      </c>
      <c r="U289" s="26">
        <v>51</v>
      </c>
      <c r="V289" s="26">
        <v>1</v>
      </c>
      <c r="W289" s="26"/>
    </row>
    <row r="290" spans="1:23" x14ac:dyDescent="0.25">
      <c r="A290" s="26" t="s">
        <v>53</v>
      </c>
      <c r="B290" s="26" t="s">
        <v>1314</v>
      </c>
      <c r="C290" s="26" t="s">
        <v>1315</v>
      </c>
      <c r="D290" s="26" t="s">
        <v>179</v>
      </c>
      <c r="E290" s="26" t="s">
        <v>1079</v>
      </c>
      <c r="F290" s="26" t="s">
        <v>231</v>
      </c>
      <c r="G290" s="26" t="s">
        <v>198</v>
      </c>
      <c r="H290" s="26" t="s">
        <v>386</v>
      </c>
      <c r="I290" s="26" t="s">
        <v>184</v>
      </c>
      <c r="J290" s="26" t="s">
        <v>375</v>
      </c>
      <c r="K290" s="26" t="s">
        <v>360</v>
      </c>
      <c r="L290" s="26" t="s">
        <v>79</v>
      </c>
      <c r="M290" s="26" t="s">
        <v>77</v>
      </c>
      <c r="N290" s="26">
        <v>57</v>
      </c>
      <c r="O290" s="26">
        <v>29</v>
      </c>
      <c r="P290" s="26">
        <v>28</v>
      </c>
      <c r="Q290" s="26">
        <v>5</v>
      </c>
      <c r="R290" s="26">
        <v>1</v>
      </c>
      <c r="S290" s="26">
        <v>22</v>
      </c>
      <c r="T290" s="26">
        <v>25</v>
      </c>
      <c r="U290" s="26">
        <v>48</v>
      </c>
      <c r="V290" s="26">
        <v>1</v>
      </c>
      <c r="W290" s="26"/>
    </row>
    <row r="291" spans="1:23" x14ac:dyDescent="0.25">
      <c r="A291" s="26" t="s">
        <v>53</v>
      </c>
      <c r="B291" s="26" t="s">
        <v>1316</v>
      </c>
      <c r="C291" s="26" t="s">
        <v>1317</v>
      </c>
      <c r="D291" s="26" t="s">
        <v>179</v>
      </c>
      <c r="E291" s="26" t="s">
        <v>4003</v>
      </c>
      <c r="F291" s="26" t="s">
        <v>282</v>
      </c>
      <c r="G291" s="26" t="s">
        <v>265</v>
      </c>
      <c r="H291" s="26" t="s">
        <v>756</v>
      </c>
      <c r="I291" s="26" t="s">
        <v>184</v>
      </c>
      <c r="J291" s="26" t="s">
        <v>322</v>
      </c>
      <c r="K291" s="26" t="s">
        <v>360</v>
      </c>
      <c r="L291" s="26" t="s">
        <v>79</v>
      </c>
      <c r="M291" s="26" t="s">
        <v>77</v>
      </c>
      <c r="N291" s="26">
        <v>12</v>
      </c>
      <c r="O291" s="26">
        <v>4</v>
      </c>
      <c r="P291" s="26">
        <v>8</v>
      </c>
      <c r="Q291" s="26">
        <v>3</v>
      </c>
      <c r="R291" s="26">
        <v>1</v>
      </c>
      <c r="S291" s="26">
        <v>4</v>
      </c>
      <c r="T291" s="26">
        <v>11</v>
      </c>
      <c r="U291" s="26">
        <v>16</v>
      </c>
      <c r="V291" s="26">
        <v>1</v>
      </c>
      <c r="W291" s="26"/>
    </row>
    <row r="292" spans="1:23" x14ac:dyDescent="0.25">
      <c r="A292" s="26" t="s">
        <v>53</v>
      </c>
      <c r="B292" s="26" t="s">
        <v>1318</v>
      </c>
      <c r="C292" s="26" t="s">
        <v>1319</v>
      </c>
      <c r="D292" s="26" t="s">
        <v>179</v>
      </c>
      <c r="E292" s="26" t="s">
        <v>1320</v>
      </c>
      <c r="F292" s="26" t="s">
        <v>800</v>
      </c>
      <c r="G292" s="26" t="s">
        <v>413</v>
      </c>
      <c r="H292" s="26" t="s">
        <v>495</v>
      </c>
      <c r="I292" s="26" t="s">
        <v>184</v>
      </c>
      <c r="J292" s="26" t="s">
        <v>375</v>
      </c>
      <c r="K292" s="26" t="s">
        <v>360</v>
      </c>
      <c r="L292" s="26" t="s">
        <v>79</v>
      </c>
      <c r="M292" s="26" t="s">
        <v>77</v>
      </c>
      <c r="N292" s="26">
        <v>41</v>
      </c>
      <c r="O292" s="26">
        <v>19</v>
      </c>
      <c r="P292" s="26">
        <v>22</v>
      </c>
      <c r="Q292" s="26">
        <v>5</v>
      </c>
      <c r="R292" s="26">
        <v>1</v>
      </c>
      <c r="S292" s="26">
        <v>21</v>
      </c>
      <c r="T292" s="26">
        <v>27</v>
      </c>
      <c r="U292" s="26">
        <v>49</v>
      </c>
      <c r="V292" s="26">
        <v>1</v>
      </c>
      <c r="W292" s="26"/>
    </row>
    <row r="293" spans="1:23" x14ac:dyDescent="0.25">
      <c r="A293" s="26" t="s">
        <v>53</v>
      </c>
      <c r="B293" s="26" t="s">
        <v>1321</v>
      </c>
      <c r="C293" s="26" t="s">
        <v>1322</v>
      </c>
      <c r="D293" s="26" t="s">
        <v>218</v>
      </c>
      <c r="E293" s="26" t="s">
        <v>4</v>
      </c>
      <c r="F293" s="26" t="s">
        <v>444</v>
      </c>
      <c r="G293" s="26" t="s">
        <v>265</v>
      </c>
      <c r="H293" s="26" t="s">
        <v>526</v>
      </c>
      <c r="I293" s="26" t="s">
        <v>184</v>
      </c>
      <c r="J293" s="26" t="s">
        <v>322</v>
      </c>
      <c r="K293" s="26" t="s">
        <v>360</v>
      </c>
      <c r="L293" s="26" t="s">
        <v>79</v>
      </c>
      <c r="M293" s="26" t="s">
        <v>77</v>
      </c>
      <c r="N293" s="26">
        <v>0</v>
      </c>
      <c r="O293" s="26">
        <v>0</v>
      </c>
      <c r="P293" s="26">
        <v>0</v>
      </c>
      <c r="Q293" s="26">
        <v>0</v>
      </c>
      <c r="R293" s="26">
        <v>1</v>
      </c>
      <c r="S293" s="26">
        <v>0</v>
      </c>
      <c r="T293" s="26">
        <v>24</v>
      </c>
      <c r="U293" s="26">
        <v>25</v>
      </c>
      <c r="V293" s="26">
        <v>1</v>
      </c>
      <c r="W293" s="26"/>
    </row>
    <row r="294" spans="1:23" x14ac:dyDescent="0.25">
      <c r="A294" s="26" t="s">
        <v>53</v>
      </c>
      <c r="B294" s="26" t="s">
        <v>1323</v>
      </c>
      <c r="C294" s="26" t="s">
        <v>1324</v>
      </c>
      <c r="D294" s="26" t="s">
        <v>179</v>
      </c>
      <c r="E294" s="26" t="s">
        <v>1325</v>
      </c>
      <c r="F294" s="26" t="s">
        <v>598</v>
      </c>
      <c r="G294" s="26" t="s">
        <v>182</v>
      </c>
      <c r="H294" s="26" t="s">
        <v>390</v>
      </c>
      <c r="I294" s="26" t="s">
        <v>184</v>
      </c>
      <c r="J294" s="26" t="s">
        <v>322</v>
      </c>
      <c r="K294" s="26" t="s">
        <v>360</v>
      </c>
      <c r="L294" s="26" t="s">
        <v>79</v>
      </c>
      <c r="M294" s="26" t="s">
        <v>77</v>
      </c>
      <c r="N294" s="26">
        <v>71</v>
      </c>
      <c r="O294" s="26">
        <v>28</v>
      </c>
      <c r="P294" s="26">
        <v>43</v>
      </c>
      <c r="Q294" s="26">
        <v>6</v>
      </c>
      <c r="R294" s="26">
        <v>1</v>
      </c>
      <c r="S294" s="26">
        <v>19</v>
      </c>
      <c r="T294" s="26">
        <v>32</v>
      </c>
      <c r="U294" s="26">
        <v>52</v>
      </c>
      <c r="V294" s="26">
        <v>1</v>
      </c>
      <c r="W294" s="26"/>
    </row>
    <row r="295" spans="1:23" x14ac:dyDescent="0.25">
      <c r="A295" s="26" t="s">
        <v>53</v>
      </c>
      <c r="B295" s="26" t="s">
        <v>1326</v>
      </c>
      <c r="C295" s="26" t="s">
        <v>1327</v>
      </c>
      <c r="D295" s="26" t="s">
        <v>179</v>
      </c>
      <c r="E295" s="26" t="s">
        <v>1328</v>
      </c>
      <c r="F295" s="26" t="s">
        <v>716</v>
      </c>
      <c r="G295" s="26" t="s">
        <v>413</v>
      </c>
      <c r="H295" s="26" t="s">
        <v>495</v>
      </c>
      <c r="I295" s="26" t="s">
        <v>184</v>
      </c>
      <c r="J295" s="26" t="s">
        <v>375</v>
      </c>
      <c r="K295" s="26" t="s">
        <v>360</v>
      </c>
      <c r="L295" s="26" t="s">
        <v>79</v>
      </c>
      <c r="M295" s="26" t="s">
        <v>77</v>
      </c>
      <c r="N295" s="26">
        <v>85</v>
      </c>
      <c r="O295" s="26">
        <v>33</v>
      </c>
      <c r="P295" s="26">
        <v>52</v>
      </c>
      <c r="Q295" s="26">
        <v>5</v>
      </c>
      <c r="R295" s="26">
        <v>1</v>
      </c>
      <c r="S295" s="26">
        <v>19</v>
      </c>
      <c r="T295" s="26">
        <v>34</v>
      </c>
      <c r="U295" s="26">
        <v>54</v>
      </c>
      <c r="V295" s="26">
        <v>1</v>
      </c>
      <c r="W295" s="26"/>
    </row>
    <row r="296" spans="1:23" x14ac:dyDescent="0.25">
      <c r="A296" s="26" t="s">
        <v>53</v>
      </c>
      <c r="B296" s="26" t="s">
        <v>1329</v>
      </c>
      <c r="C296" s="26" t="s">
        <v>1330</v>
      </c>
      <c r="D296" s="26" t="s">
        <v>179</v>
      </c>
      <c r="E296" s="26" t="s">
        <v>1331</v>
      </c>
      <c r="F296" s="26" t="s">
        <v>1332</v>
      </c>
      <c r="G296" s="26" t="s">
        <v>226</v>
      </c>
      <c r="H296" s="26" t="s">
        <v>833</v>
      </c>
      <c r="I296" s="26" t="s">
        <v>184</v>
      </c>
      <c r="J296" s="26" t="s">
        <v>427</v>
      </c>
      <c r="K296" s="26" t="s">
        <v>360</v>
      </c>
      <c r="L296" s="26" t="s">
        <v>79</v>
      </c>
      <c r="M296" s="26" t="s">
        <v>77</v>
      </c>
      <c r="N296" s="26">
        <v>14</v>
      </c>
      <c r="O296" s="26">
        <v>7</v>
      </c>
      <c r="P296" s="26">
        <v>7</v>
      </c>
      <c r="Q296" s="26">
        <v>1</v>
      </c>
      <c r="R296" s="26">
        <v>1</v>
      </c>
      <c r="S296" s="26">
        <v>3</v>
      </c>
      <c r="T296" s="26">
        <v>6</v>
      </c>
      <c r="U296" s="26">
        <v>10</v>
      </c>
      <c r="V296" s="26">
        <v>1</v>
      </c>
      <c r="W296" s="26"/>
    </row>
    <row r="297" spans="1:23" x14ac:dyDescent="0.25">
      <c r="A297" s="26" t="s">
        <v>53</v>
      </c>
      <c r="B297" s="26" t="s">
        <v>1333</v>
      </c>
      <c r="C297" s="26" t="s">
        <v>1334</v>
      </c>
      <c r="D297" s="26" t="s">
        <v>179</v>
      </c>
      <c r="E297" s="26" t="s">
        <v>1335</v>
      </c>
      <c r="F297" s="26" t="s">
        <v>1336</v>
      </c>
      <c r="G297" s="26" t="s">
        <v>210</v>
      </c>
      <c r="H297" s="26" t="s">
        <v>886</v>
      </c>
      <c r="I297" s="26" t="s">
        <v>184</v>
      </c>
      <c r="J297" s="26" t="s">
        <v>322</v>
      </c>
      <c r="K297" s="26" t="s">
        <v>360</v>
      </c>
      <c r="L297" s="26" t="s">
        <v>79</v>
      </c>
      <c r="M297" s="26" t="s">
        <v>77</v>
      </c>
      <c r="N297" s="26">
        <v>0</v>
      </c>
      <c r="O297" s="26">
        <v>0</v>
      </c>
      <c r="P297" s="26">
        <v>0</v>
      </c>
      <c r="Q297" s="26">
        <v>0</v>
      </c>
      <c r="R297" s="26">
        <v>1</v>
      </c>
      <c r="S297" s="26">
        <v>0</v>
      </c>
      <c r="T297" s="26">
        <v>4</v>
      </c>
      <c r="U297" s="26">
        <v>5</v>
      </c>
      <c r="V297" s="26">
        <v>1</v>
      </c>
      <c r="W297" s="26"/>
    </row>
    <row r="298" spans="1:23" x14ac:dyDescent="0.25">
      <c r="A298" s="26" t="s">
        <v>53</v>
      </c>
      <c r="B298" s="26" t="s">
        <v>1337</v>
      </c>
      <c r="C298" s="26" t="s">
        <v>1338</v>
      </c>
      <c r="D298" s="26" t="s">
        <v>179</v>
      </c>
      <c r="E298" s="26" t="s">
        <v>1339</v>
      </c>
      <c r="F298" s="26" t="s">
        <v>577</v>
      </c>
      <c r="G298" s="26" t="s">
        <v>278</v>
      </c>
      <c r="H298" s="26" t="s">
        <v>578</v>
      </c>
      <c r="I298" s="26" t="s">
        <v>184</v>
      </c>
      <c r="J298" s="26" t="s">
        <v>375</v>
      </c>
      <c r="K298" s="26" t="s">
        <v>360</v>
      </c>
      <c r="L298" s="26" t="s">
        <v>79</v>
      </c>
      <c r="M298" s="26" t="s">
        <v>77</v>
      </c>
      <c r="N298" s="26">
        <v>0</v>
      </c>
      <c r="O298" s="26">
        <v>0</v>
      </c>
      <c r="P298" s="26">
        <v>0</v>
      </c>
      <c r="Q298" s="26">
        <v>0</v>
      </c>
      <c r="R298" s="26">
        <v>1</v>
      </c>
      <c r="S298" s="26">
        <v>0</v>
      </c>
      <c r="T298" s="26">
        <v>0</v>
      </c>
      <c r="U298" s="26">
        <v>1</v>
      </c>
      <c r="V298" s="26">
        <v>1</v>
      </c>
      <c r="W298" s="26"/>
    </row>
    <row r="299" spans="1:23" x14ac:dyDescent="0.25">
      <c r="A299" s="26" t="s">
        <v>53</v>
      </c>
      <c r="B299" s="26" t="s">
        <v>1340</v>
      </c>
      <c r="C299" s="26" t="s">
        <v>1341</v>
      </c>
      <c r="D299" s="26" t="s">
        <v>179</v>
      </c>
      <c r="E299" s="26" t="s">
        <v>1342</v>
      </c>
      <c r="F299" s="26" t="s">
        <v>1343</v>
      </c>
      <c r="G299" s="26" t="s">
        <v>293</v>
      </c>
      <c r="H299" s="26" t="s">
        <v>294</v>
      </c>
      <c r="I299" s="26" t="s">
        <v>184</v>
      </c>
      <c r="J299" s="26" t="s">
        <v>1145</v>
      </c>
      <c r="K299" s="26" t="s">
        <v>296</v>
      </c>
      <c r="L299" s="26" t="s">
        <v>80</v>
      </c>
      <c r="M299" s="26" t="s">
        <v>77</v>
      </c>
      <c r="N299" s="26">
        <v>12</v>
      </c>
      <c r="O299" s="26">
        <v>5</v>
      </c>
      <c r="P299" s="26">
        <v>7</v>
      </c>
      <c r="Q299" s="26">
        <v>1</v>
      </c>
      <c r="R299" s="26">
        <v>1</v>
      </c>
      <c r="S299" s="26">
        <v>1</v>
      </c>
      <c r="T299" s="26">
        <v>5</v>
      </c>
      <c r="U299" s="26">
        <v>7</v>
      </c>
      <c r="V299" s="26">
        <v>1</v>
      </c>
      <c r="W299" s="26"/>
    </row>
    <row r="300" spans="1:23" x14ac:dyDescent="0.25">
      <c r="A300" s="26" t="s">
        <v>53</v>
      </c>
      <c r="B300" s="26" t="s">
        <v>1344</v>
      </c>
      <c r="C300" s="26" t="s">
        <v>1345</v>
      </c>
      <c r="D300" s="26" t="s">
        <v>179</v>
      </c>
      <c r="E300" s="26" t="s">
        <v>1346</v>
      </c>
      <c r="F300" s="26" t="s">
        <v>555</v>
      </c>
      <c r="G300" s="26" t="s">
        <v>191</v>
      </c>
      <c r="H300" s="26" t="s">
        <v>1347</v>
      </c>
      <c r="I300" s="26" t="s">
        <v>184</v>
      </c>
      <c r="J300" s="26" t="s">
        <v>427</v>
      </c>
      <c r="K300" s="26" t="s">
        <v>360</v>
      </c>
      <c r="L300" s="26" t="s">
        <v>79</v>
      </c>
      <c r="M300" s="26" t="s">
        <v>77</v>
      </c>
      <c r="N300" s="26">
        <v>22</v>
      </c>
      <c r="O300" s="26">
        <v>15</v>
      </c>
      <c r="P300" s="26">
        <v>7</v>
      </c>
      <c r="Q300" s="26">
        <v>2</v>
      </c>
      <c r="R300" s="26">
        <v>1</v>
      </c>
      <c r="S300" s="26">
        <v>8</v>
      </c>
      <c r="T300" s="26">
        <v>12</v>
      </c>
      <c r="U300" s="26">
        <v>21</v>
      </c>
      <c r="V300" s="26">
        <v>1</v>
      </c>
      <c r="W300" s="26"/>
    </row>
    <row r="301" spans="1:23" x14ac:dyDescent="0.25">
      <c r="A301" s="26" t="s">
        <v>53</v>
      </c>
      <c r="B301" s="26" t="s">
        <v>1348</v>
      </c>
      <c r="C301" s="26" t="s">
        <v>1349</v>
      </c>
      <c r="D301" s="26" t="s">
        <v>179</v>
      </c>
      <c r="E301" s="26" t="s">
        <v>1350</v>
      </c>
      <c r="F301" s="26" t="s">
        <v>1351</v>
      </c>
      <c r="G301" s="26" t="s">
        <v>413</v>
      </c>
      <c r="H301" s="26" t="s">
        <v>414</v>
      </c>
      <c r="I301" s="26" t="s">
        <v>184</v>
      </c>
      <c r="J301" s="26" t="s">
        <v>375</v>
      </c>
      <c r="K301" s="26" t="s">
        <v>360</v>
      </c>
      <c r="L301" s="26" t="s">
        <v>79</v>
      </c>
      <c r="M301" s="26" t="s">
        <v>77</v>
      </c>
      <c r="N301" s="26">
        <v>0</v>
      </c>
      <c r="O301" s="26">
        <v>0</v>
      </c>
      <c r="P301" s="26">
        <v>0</v>
      </c>
      <c r="Q301" s="26">
        <v>0</v>
      </c>
      <c r="R301" s="26">
        <v>1</v>
      </c>
      <c r="S301" s="26">
        <v>0</v>
      </c>
      <c r="T301" s="26">
        <v>2</v>
      </c>
      <c r="U301" s="26">
        <v>3</v>
      </c>
      <c r="V301" s="26">
        <v>1</v>
      </c>
      <c r="W301" s="26"/>
    </row>
    <row r="302" spans="1:23" x14ac:dyDescent="0.25">
      <c r="A302" s="26" t="s">
        <v>53</v>
      </c>
      <c r="B302" s="26" t="s">
        <v>1352</v>
      </c>
      <c r="C302" s="26" t="s">
        <v>1353</v>
      </c>
      <c r="D302" s="26" t="s">
        <v>179</v>
      </c>
      <c r="E302" s="26" t="s">
        <v>1354</v>
      </c>
      <c r="F302" s="26" t="s">
        <v>1355</v>
      </c>
      <c r="G302" s="26" t="s">
        <v>413</v>
      </c>
      <c r="H302" s="26" t="s">
        <v>436</v>
      </c>
      <c r="I302" s="26" t="s">
        <v>184</v>
      </c>
      <c r="J302" s="26" t="s">
        <v>375</v>
      </c>
      <c r="K302" s="26" t="s">
        <v>360</v>
      </c>
      <c r="L302" s="26" t="s">
        <v>79</v>
      </c>
      <c r="M302" s="26" t="s">
        <v>77</v>
      </c>
      <c r="N302" s="26">
        <v>0</v>
      </c>
      <c r="O302" s="26">
        <v>0</v>
      </c>
      <c r="P302" s="26">
        <v>0</v>
      </c>
      <c r="Q302" s="26">
        <v>0</v>
      </c>
      <c r="R302" s="26">
        <v>1</v>
      </c>
      <c r="S302" s="26">
        <v>0</v>
      </c>
      <c r="T302" s="26">
        <v>8</v>
      </c>
      <c r="U302" s="26">
        <v>9</v>
      </c>
      <c r="V302" s="26">
        <v>1</v>
      </c>
      <c r="W302" s="26"/>
    </row>
    <row r="303" spans="1:23" x14ac:dyDescent="0.25">
      <c r="A303" s="26" t="s">
        <v>53</v>
      </c>
      <c r="B303" s="26" t="s">
        <v>1356</v>
      </c>
      <c r="C303" s="26" t="s">
        <v>1357</v>
      </c>
      <c r="D303" s="26" t="s">
        <v>218</v>
      </c>
      <c r="E303" s="26" t="s">
        <v>1358</v>
      </c>
      <c r="F303" s="26" t="s">
        <v>1179</v>
      </c>
      <c r="G303" s="26" t="s">
        <v>182</v>
      </c>
      <c r="H303" s="26" t="s">
        <v>440</v>
      </c>
      <c r="I303" s="26" t="s">
        <v>184</v>
      </c>
      <c r="J303" s="26" t="s">
        <v>322</v>
      </c>
      <c r="K303" s="26" t="s">
        <v>360</v>
      </c>
      <c r="L303" s="26" t="s">
        <v>79</v>
      </c>
      <c r="M303" s="26" t="s">
        <v>77</v>
      </c>
      <c r="N303" s="26">
        <v>99</v>
      </c>
      <c r="O303" s="26">
        <v>51</v>
      </c>
      <c r="P303" s="26">
        <v>48</v>
      </c>
      <c r="Q303" s="26">
        <v>6</v>
      </c>
      <c r="R303" s="26">
        <v>0</v>
      </c>
      <c r="S303" s="26">
        <v>43</v>
      </c>
      <c r="T303" s="26">
        <v>24</v>
      </c>
      <c r="U303" s="26">
        <v>67</v>
      </c>
      <c r="V303" s="26">
        <v>1</v>
      </c>
      <c r="W303" s="26"/>
    </row>
    <row r="304" spans="1:23" x14ac:dyDescent="0.25">
      <c r="A304" s="26" t="s">
        <v>53</v>
      </c>
      <c r="B304" s="26" t="s">
        <v>1359</v>
      </c>
      <c r="C304" s="26" t="s">
        <v>1360</v>
      </c>
      <c r="D304" s="26" t="s">
        <v>218</v>
      </c>
      <c r="E304" s="26" t="s">
        <v>1361</v>
      </c>
      <c r="F304" s="26" t="s">
        <v>1164</v>
      </c>
      <c r="G304" s="26" t="s">
        <v>265</v>
      </c>
      <c r="H304" s="26" t="s">
        <v>445</v>
      </c>
      <c r="I304" s="26" t="s">
        <v>184</v>
      </c>
      <c r="J304" s="26" t="s">
        <v>322</v>
      </c>
      <c r="K304" s="26" t="s">
        <v>360</v>
      </c>
      <c r="L304" s="26" t="s">
        <v>79</v>
      </c>
      <c r="M304" s="26" t="s">
        <v>77</v>
      </c>
      <c r="N304" s="26">
        <v>165</v>
      </c>
      <c r="O304" s="26">
        <v>84</v>
      </c>
      <c r="P304" s="26">
        <v>81</v>
      </c>
      <c r="Q304" s="26">
        <v>6</v>
      </c>
      <c r="R304" s="26">
        <v>1</v>
      </c>
      <c r="S304" s="26">
        <v>52</v>
      </c>
      <c r="T304" s="26">
        <v>15</v>
      </c>
      <c r="U304" s="26">
        <v>68</v>
      </c>
      <c r="V304" s="26">
        <v>1</v>
      </c>
      <c r="W304" s="26"/>
    </row>
    <row r="305" spans="1:23" x14ac:dyDescent="0.25">
      <c r="A305" s="26" t="s">
        <v>53</v>
      </c>
      <c r="B305" s="26" t="s">
        <v>1362</v>
      </c>
      <c r="C305" s="26" t="s">
        <v>1363</v>
      </c>
      <c r="D305" s="26" t="s">
        <v>218</v>
      </c>
      <c r="E305" s="26" t="s">
        <v>1364</v>
      </c>
      <c r="F305" s="26" t="s">
        <v>1365</v>
      </c>
      <c r="G305" s="26" t="s">
        <v>210</v>
      </c>
      <c r="H305" s="26" t="s">
        <v>570</v>
      </c>
      <c r="I305" s="26" t="s">
        <v>184</v>
      </c>
      <c r="J305" s="26" t="s">
        <v>322</v>
      </c>
      <c r="K305" s="26" t="s">
        <v>360</v>
      </c>
      <c r="L305" s="26" t="s">
        <v>79</v>
      </c>
      <c r="M305" s="26" t="s">
        <v>77</v>
      </c>
      <c r="N305" s="26">
        <v>156</v>
      </c>
      <c r="O305" s="26">
        <v>75</v>
      </c>
      <c r="P305" s="26">
        <v>81</v>
      </c>
      <c r="Q305" s="26">
        <v>6</v>
      </c>
      <c r="R305" s="26">
        <v>1</v>
      </c>
      <c r="S305" s="26">
        <v>36</v>
      </c>
      <c r="T305" s="26">
        <v>18</v>
      </c>
      <c r="U305" s="26">
        <v>55</v>
      </c>
      <c r="V305" s="26">
        <v>1</v>
      </c>
      <c r="W305" s="26"/>
    </row>
    <row r="306" spans="1:23" x14ac:dyDescent="0.25">
      <c r="A306" s="26" t="s">
        <v>53</v>
      </c>
      <c r="B306" s="26" t="s">
        <v>1366</v>
      </c>
      <c r="C306" s="26" t="s">
        <v>1367</v>
      </c>
      <c r="D306" s="26" t="s">
        <v>218</v>
      </c>
      <c r="E306" s="26" t="s">
        <v>1368</v>
      </c>
      <c r="F306" s="26" t="s">
        <v>815</v>
      </c>
      <c r="G306" s="26" t="s">
        <v>413</v>
      </c>
      <c r="H306" s="26" t="s">
        <v>787</v>
      </c>
      <c r="I306" s="26" t="s">
        <v>184</v>
      </c>
      <c r="J306" s="26" t="s">
        <v>375</v>
      </c>
      <c r="K306" s="26" t="s">
        <v>360</v>
      </c>
      <c r="L306" s="26" t="s">
        <v>79</v>
      </c>
      <c r="M306" s="26" t="s">
        <v>77</v>
      </c>
      <c r="N306" s="26">
        <v>23</v>
      </c>
      <c r="O306" s="26">
        <v>14</v>
      </c>
      <c r="P306" s="26">
        <v>9</v>
      </c>
      <c r="Q306" s="26">
        <v>2</v>
      </c>
      <c r="R306" s="26">
        <v>1</v>
      </c>
      <c r="S306" s="26">
        <v>5</v>
      </c>
      <c r="T306" s="26">
        <v>8</v>
      </c>
      <c r="U306" s="26">
        <v>14</v>
      </c>
      <c r="V306" s="26">
        <v>1</v>
      </c>
      <c r="W306" s="26"/>
    </row>
    <row r="307" spans="1:23" x14ac:dyDescent="0.25">
      <c r="A307" s="26" t="s">
        <v>53</v>
      </c>
      <c r="B307" s="26" t="s">
        <v>1369</v>
      </c>
      <c r="C307" s="26" t="s">
        <v>1370</v>
      </c>
      <c r="D307" s="26" t="s">
        <v>218</v>
      </c>
      <c r="E307" s="26" t="s">
        <v>1371</v>
      </c>
      <c r="F307" s="26" t="s">
        <v>1372</v>
      </c>
      <c r="G307" s="26" t="s">
        <v>204</v>
      </c>
      <c r="H307" s="26" t="s">
        <v>523</v>
      </c>
      <c r="I307" s="26" t="s">
        <v>184</v>
      </c>
      <c r="J307" s="26" t="s">
        <v>322</v>
      </c>
      <c r="K307" s="26" t="s">
        <v>360</v>
      </c>
      <c r="L307" s="26" t="s">
        <v>79</v>
      </c>
      <c r="M307" s="26" t="s">
        <v>77</v>
      </c>
      <c r="N307" s="26">
        <v>30</v>
      </c>
      <c r="O307" s="26">
        <v>13</v>
      </c>
      <c r="P307" s="26">
        <v>17</v>
      </c>
      <c r="Q307" s="26">
        <v>3</v>
      </c>
      <c r="R307" s="26">
        <v>1</v>
      </c>
      <c r="S307" s="26">
        <v>7</v>
      </c>
      <c r="T307" s="26">
        <v>7</v>
      </c>
      <c r="U307" s="26">
        <v>15</v>
      </c>
      <c r="V307" s="26">
        <v>1</v>
      </c>
      <c r="W307" s="26"/>
    </row>
    <row r="308" spans="1:23" x14ac:dyDescent="0.25">
      <c r="A308" s="26" t="s">
        <v>53</v>
      </c>
      <c r="B308" s="26" t="s">
        <v>1373</v>
      </c>
      <c r="C308" s="26" t="s">
        <v>1374</v>
      </c>
      <c r="D308" s="26" t="s">
        <v>179</v>
      </c>
      <c r="E308" s="26" t="s">
        <v>1375</v>
      </c>
      <c r="F308" s="26" t="s">
        <v>379</v>
      </c>
      <c r="G308" s="26" t="s">
        <v>182</v>
      </c>
      <c r="H308" s="26" t="s">
        <v>421</v>
      </c>
      <c r="I308" s="26" t="s">
        <v>184</v>
      </c>
      <c r="J308" s="26" t="s">
        <v>322</v>
      </c>
      <c r="K308" s="26" t="s">
        <v>381</v>
      </c>
      <c r="L308" s="26" t="s">
        <v>79</v>
      </c>
      <c r="M308" s="26" t="s">
        <v>77</v>
      </c>
      <c r="N308" s="26">
        <v>27</v>
      </c>
      <c r="O308" s="26">
        <v>12</v>
      </c>
      <c r="P308" s="26">
        <v>15</v>
      </c>
      <c r="Q308" s="26">
        <v>3</v>
      </c>
      <c r="R308" s="26">
        <v>1</v>
      </c>
      <c r="S308" s="26">
        <v>10</v>
      </c>
      <c r="T308" s="26">
        <v>31</v>
      </c>
      <c r="U308" s="26">
        <v>42</v>
      </c>
      <c r="V308" s="26">
        <v>1</v>
      </c>
      <c r="W308" s="26"/>
    </row>
    <row r="309" spans="1:23" x14ac:dyDescent="0.25">
      <c r="A309" s="26" t="s">
        <v>53</v>
      </c>
      <c r="B309" s="26" t="s">
        <v>1376</v>
      </c>
      <c r="C309" s="26" t="s">
        <v>1377</v>
      </c>
      <c r="D309" s="26" t="s">
        <v>218</v>
      </c>
      <c r="E309" s="26" t="s">
        <v>1378</v>
      </c>
      <c r="F309" s="26" t="s">
        <v>260</v>
      </c>
      <c r="G309" s="26" t="s">
        <v>198</v>
      </c>
      <c r="H309" s="26" t="s">
        <v>403</v>
      </c>
      <c r="I309" s="26" t="s">
        <v>184</v>
      </c>
      <c r="J309" s="26" t="s">
        <v>375</v>
      </c>
      <c r="K309" s="26" t="s">
        <v>360</v>
      </c>
      <c r="L309" s="26" t="s">
        <v>79</v>
      </c>
      <c r="M309" s="26" t="s">
        <v>77</v>
      </c>
      <c r="N309" s="26">
        <v>25</v>
      </c>
      <c r="O309" s="26">
        <v>15</v>
      </c>
      <c r="P309" s="26">
        <v>10</v>
      </c>
      <c r="Q309" s="26">
        <v>4</v>
      </c>
      <c r="R309" s="26">
        <v>1</v>
      </c>
      <c r="S309" s="26">
        <v>13</v>
      </c>
      <c r="T309" s="26">
        <v>23</v>
      </c>
      <c r="U309" s="26">
        <v>37</v>
      </c>
      <c r="V309" s="26">
        <v>1</v>
      </c>
      <c r="W309" s="26"/>
    </row>
    <row r="310" spans="1:23" x14ac:dyDescent="0.25">
      <c r="A310" s="26" t="s">
        <v>53</v>
      </c>
      <c r="B310" s="26" t="s">
        <v>1379</v>
      </c>
      <c r="C310" s="26" t="s">
        <v>1380</v>
      </c>
      <c r="D310" s="26" t="s">
        <v>179</v>
      </c>
      <c r="E310" s="26" t="s">
        <v>1381</v>
      </c>
      <c r="F310" s="26" t="s">
        <v>264</v>
      </c>
      <c r="G310" s="26" t="s">
        <v>265</v>
      </c>
      <c r="H310" s="26" t="s">
        <v>359</v>
      </c>
      <c r="I310" s="26" t="s">
        <v>184</v>
      </c>
      <c r="J310" s="26" t="s">
        <v>322</v>
      </c>
      <c r="K310" s="26" t="s">
        <v>360</v>
      </c>
      <c r="L310" s="26" t="s">
        <v>79</v>
      </c>
      <c r="M310" s="26" t="s">
        <v>77</v>
      </c>
      <c r="N310" s="26">
        <v>28</v>
      </c>
      <c r="O310" s="26">
        <v>14</v>
      </c>
      <c r="P310" s="26">
        <v>14</v>
      </c>
      <c r="Q310" s="26">
        <v>4</v>
      </c>
      <c r="R310" s="26">
        <v>1</v>
      </c>
      <c r="S310" s="26">
        <v>12</v>
      </c>
      <c r="T310" s="26">
        <v>22</v>
      </c>
      <c r="U310" s="26">
        <v>35</v>
      </c>
      <c r="V310" s="26">
        <v>1</v>
      </c>
      <c r="W310" s="26"/>
    </row>
    <row r="311" spans="1:23" x14ac:dyDescent="0.25">
      <c r="A311" s="26" t="s">
        <v>53</v>
      </c>
      <c r="B311" s="26" t="s">
        <v>1382</v>
      </c>
      <c r="C311" s="26" t="s">
        <v>1383</v>
      </c>
      <c r="D311" s="26" t="s">
        <v>218</v>
      </c>
      <c r="E311" s="26" t="s">
        <v>1384</v>
      </c>
      <c r="F311" s="26" t="s">
        <v>1385</v>
      </c>
      <c r="G311" s="26" t="s">
        <v>226</v>
      </c>
      <c r="H311" s="26" t="s">
        <v>828</v>
      </c>
      <c r="I311" s="26" t="s">
        <v>184</v>
      </c>
      <c r="J311" s="26" t="s">
        <v>427</v>
      </c>
      <c r="K311" s="26" t="s">
        <v>360</v>
      </c>
      <c r="L311" s="26" t="s">
        <v>79</v>
      </c>
      <c r="M311" s="26" t="s">
        <v>77</v>
      </c>
      <c r="N311" s="26">
        <v>6</v>
      </c>
      <c r="O311" s="26">
        <v>5</v>
      </c>
      <c r="P311" s="26">
        <v>1</v>
      </c>
      <c r="Q311" s="26">
        <v>1</v>
      </c>
      <c r="R311" s="26">
        <v>1</v>
      </c>
      <c r="S311" s="26">
        <v>1</v>
      </c>
      <c r="T311" s="26">
        <v>5</v>
      </c>
      <c r="U311" s="26">
        <v>7</v>
      </c>
      <c r="V311" s="26">
        <v>1</v>
      </c>
      <c r="W311" s="26"/>
    </row>
    <row r="312" spans="1:23" x14ac:dyDescent="0.25">
      <c r="A312" s="26" t="s">
        <v>53</v>
      </c>
      <c r="B312" s="26" t="s">
        <v>1386</v>
      </c>
      <c r="C312" s="26" t="s">
        <v>1387</v>
      </c>
      <c r="D312" s="26" t="s">
        <v>179</v>
      </c>
      <c r="E312" s="26" t="s">
        <v>1388</v>
      </c>
      <c r="F312" s="26" t="s">
        <v>457</v>
      </c>
      <c r="G312" s="26" t="s">
        <v>182</v>
      </c>
      <c r="H312" s="26" t="s">
        <v>380</v>
      </c>
      <c r="I312" s="26" t="s">
        <v>184</v>
      </c>
      <c r="J312" s="26" t="s">
        <v>322</v>
      </c>
      <c r="K312" s="26" t="s">
        <v>360</v>
      </c>
      <c r="L312" s="26" t="s">
        <v>79</v>
      </c>
      <c r="M312" s="26" t="s">
        <v>77</v>
      </c>
      <c r="N312" s="26">
        <v>31</v>
      </c>
      <c r="O312" s="26">
        <v>20</v>
      </c>
      <c r="P312" s="26">
        <v>11</v>
      </c>
      <c r="Q312" s="26">
        <v>4</v>
      </c>
      <c r="R312" s="26">
        <v>1</v>
      </c>
      <c r="S312" s="26">
        <v>12</v>
      </c>
      <c r="T312" s="26">
        <v>19</v>
      </c>
      <c r="U312" s="26">
        <v>32</v>
      </c>
      <c r="V312" s="26">
        <v>1</v>
      </c>
      <c r="W312" s="26"/>
    </row>
    <row r="313" spans="1:23" x14ac:dyDescent="0.25">
      <c r="A313" s="26" t="s">
        <v>53</v>
      </c>
      <c r="B313" s="26" t="s">
        <v>1389</v>
      </c>
      <c r="C313" s="26" t="s">
        <v>1390</v>
      </c>
      <c r="D313" s="26" t="s">
        <v>179</v>
      </c>
      <c r="E313" s="26" t="s">
        <v>1391</v>
      </c>
      <c r="F313" s="26" t="s">
        <v>1392</v>
      </c>
      <c r="G313" s="26" t="s">
        <v>293</v>
      </c>
      <c r="H313" s="26" t="s">
        <v>594</v>
      </c>
      <c r="I313" s="26" t="s">
        <v>184</v>
      </c>
      <c r="J313" s="26" t="s">
        <v>295</v>
      </c>
      <c r="K313" s="26" t="s">
        <v>296</v>
      </c>
      <c r="L313" s="26" t="s">
        <v>80</v>
      </c>
      <c r="M313" s="26" t="s">
        <v>77</v>
      </c>
      <c r="N313" s="26">
        <v>17</v>
      </c>
      <c r="O313" s="26">
        <v>7</v>
      </c>
      <c r="P313" s="26">
        <v>10</v>
      </c>
      <c r="Q313" s="26">
        <v>1</v>
      </c>
      <c r="R313" s="26">
        <v>1</v>
      </c>
      <c r="S313" s="26">
        <v>2</v>
      </c>
      <c r="T313" s="26">
        <v>4</v>
      </c>
      <c r="U313" s="26">
        <v>7</v>
      </c>
      <c r="V313" s="26">
        <v>1</v>
      </c>
      <c r="W313" s="26"/>
    </row>
    <row r="314" spans="1:23" x14ac:dyDescent="0.25">
      <c r="A314" s="26" t="s">
        <v>53</v>
      </c>
      <c r="B314" s="26" t="s">
        <v>1393</v>
      </c>
      <c r="C314" s="26" t="s">
        <v>1394</v>
      </c>
      <c r="D314" s="26" t="s">
        <v>179</v>
      </c>
      <c r="E314" s="26" t="s">
        <v>1395</v>
      </c>
      <c r="F314" s="26" t="s">
        <v>1140</v>
      </c>
      <c r="G314" s="26" t="s">
        <v>293</v>
      </c>
      <c r="H314" s="26" t="s">
        <v>594</v>
      </c>
      <c r="I314" s="26" t="s">
        <v>184</v>
      </c>
      <c r="J314" s="26" t="s">
        <v>295</v>
      </c>
      <c r="K314" s="26" t="s">
        <v>296</v>
      </c>
      <c r="L314" s="26" t="s">
        <v>80</v>
      </c>
      <c r="M314" s="26" t="s">
        <v>77</v>
      </c>
      <c r="N314" s="26">
        <v>12</v>
      </c>
      <c r="O314" s="26">
        <v>5</v>
      </c>
      <c r="P314" s="26">
        <v>7</v>
      </c>
      <c r="Q314" s="26">
        <v>1</v>
      </c>
      <c r="R314" s="26">
        <v>1</v>
      </c>
      <c r="S314" s="26">
        <v>1</v>
      </c>
      <c r="T314" s="26">
        <v>4</v>
      </c>
      <c r="U314" s="26">
        <v>6</v>
      </c>
      <c r="V314" s="26">
        <v>1</v>
      </c>
      <c r="W314" s="26"/>
    </row>
    <row r="315" spans="1:23" x14ac:dyDescent="0.25">
      <c r="A315" s="26" t="s">
        <v>53</v>
      </c>
      <c r="B315" s="26" t="s">
        <v>1396</v>
      </c>
      <c r="C315" s="26" t="s">
        <v>1397</v>
      </c>
      <c r="D315" s="26" t="s">
        <v>179</v>
      </c>
      <c r="E315" s="26" t="s">
        <v>1398</v>
      </c>
      <c r="F315" s="26" t="s">
        <v>1399</v>
      </c>
      <c r="G315" s="26" t="s">
        <v>662</v>
      </c>
      <c r="H315" s="26" t="s">
        <v>663</v>
      </c>
      <c r="I315" s="26" t="s">
        <v>184</v>
      </c>
      <c r="J315" s="26" t="s">
        <v>427</v>
      </c>
      <c r="K315" s="26" t="s">
        <v>360</v>
      </c>
      <c r="L315" s="26" t="s">
        <v>79</v>
      </c>
      <c r="M315" s="26" t="s">
        <v>77</v>
      </c>
      <c r="N315" s="26">
        <v>12</v>
      </c>
      <c r="O315" s="26">
        <v>6</v>
      </c>
      <c r="P315" s="26">
        <v>6</v>
      </c>
      <c r="Q315" s="26">
        <v>1</v>
      </c>
      <c r="R315" s="26">
        <v>1</v>
      </c>
      <c r="S315" s="26">
        <v>1</v>
      </c>
      <c r="T315" s="26">
        <v>6</v>
      </c>
      <c r="U315" s="26">
        <v>8</v>
      </c>
      <c r="V315" s="26">
        <v>1</v>
      </c>
      <c r="W315" s="26"/>
    </row>
    <row r="316" spans="1:23" x14ac:dyDescent="0.25">
      <c r="A316" s="26" t="s">
        <v>53</v>
      </c>
      <c r="B316" s="26" t="s">
        <v>1400</v>
      </c>
      <c r="C316" s="26" t="s">
        <v>1401</v>
      </c>
      <c r="D316" s="26" t="s">
        <v>179</v>
      </c>
      <c r="E316" s="26" t="s">
        <v>1402</v>
      </c>
      <c r="F316" s="26" t="s">
        <v>1403</v>
      </c>
      <c r="G316" s="26" t="s">
        <v>662</v>
      </c>
      <c r="H316" s="26" t="s">
        <v>663</v>
      </c>
      <c r="I316" s="26" t="s">
        <v>184</v>
      </c>
      <c r="J316" s="26" t="s">
        <v>427</v>
      </c>
      <c r="K316" s="26" t="s">
        <v>360</v>
      </c>
      <c r="L316" s="26" t="s">
        <v>79</v>
      </c>
      <c r="M316" s="26" t="s">
        <v>77</v>
      </c>
      <c r="N316" s="26">
        <v>8</v>
      </c>
      <c r="O316" s="26">
        <v>4</v>
      </c>
      <c r="P316" s="26">
        <v>4</v>
      </c>
      <c r="Q316" s="26">
        <v>2</v>
      </c>
      <c r="R316" s="26">
        <v>1</v>
      </c>
      <c r="S316" s="26">
        <v>2</v>
      </c>
      <c r="T316" s="26">
        <v>6</v>
      </c>
      <c r="U316" s="26">
        <v>9</v>
      </c>
      <c r="V316" s="26">
        <v>1</v>
      </c>
      <c r="W316" s="26"/>
    </row>
    <row r="317" spans="1:23" x14ac:dyDescent="0.25">
      <c r="A317" s="26" t="s">
        <v>53</v>
      </c>
      <c r="B317" s="26" t="s">
        <v>1404</v>
      </c>
      <c r="C317" s="26" t="s">
        <v>1405</v>
      </c>
      <c r="D317" s="26" t="s">
        <v>218</v>
      </c>
      <c r="E317" s="26" t="s">
        <v>1406</v>
      </c>
      <c r="F317" s="26" t="s">
        <v>1407</v>
      </c>
      <c r="G317" s="26" t="s">
        <v>210</v>
      </c>
      <c r="H317" s="26" t="s">
        <v>365</v>
      </c>
      <c r="I317" s="26" t="s">
        <v>184</v>
      </c>
      <c r="J317" s="26" t="s">
        <v>322</v>
      </c>
      <c r="K317" s="26" t="s">
        <v>360</v>
      </c>
      <c r="L317" s="26" t="s">
        <v>79</v>
      </c>
      <c r="M317" s="26" t="s">
        <v>77</v>
      </c>
      <c r="N317" s="26">
        <v>103</v>
      </c>
      <c r="O317" s="26">
        <v>49</v>
      </c>
      <c r="P317" s="26">
        <v>54</v>
      </c>
      <c r="Q317" s="26">
        <v>6</v>
      </c>
      <c r="R317" s="26">
        <v>1</v>
      </c>
      <c r="S317" s="26">
        <v>22</v>
      </c>
      <c r="T317" s="26">
        <v>42</v>
      </c>
      <c r="U317" s="26">
        <v>65</v>
      </c>
      <c r="V317" s="26">
        <v>1</v>
      </c>
      <c r="W317" s="26"/>
    </row>
    <row r="318" spans="1:23" x14ac:dyDescent="0.25">
      <c r="A318" s="26" t="s">
        <v>53</v>
      </c>
      <c r="B318" s="26" t="s">
        <v>1408</v>
      </c>
      <c r="C318" s="26" t="s">
        <v>1409</v>
      </c>
      <c r="D318" s="26" t="s">
        <v>179</v>
      </c>
      <c r="E318" s="26" t="s">
        <v>1410</v>
      </c>
      <c r="F318" s="26" t="s">
        <v>305</v>
      </c>
      <c r="G318" s="26" t="s">
        <v>226</v>
      </c>
      <c r="H318" s="26" t="s">
        <v>828</v>
      </c>
      <c r="I318" s="26" t="s">
        <v>184</v>
      </c>
      <c r="J318" s="26" t="s">
        <v>427</v>
      </c>
      <c r="K318" s="26" t="s">
        <v>360</v>
      </c>
      <c r="L318" s="26" t="s">
        <v>79</v>
      </c>
      <c r="M318" s="26" t="s">
        <v>77</v>
      </c>
      <c r="N318" s="26">
        <v>28</v>
      </c>
      <c r="O318" s="26">
        <v>17</v>
      </c>
      <c r="P318" s="26">
        <v>11</v>
      </c>
      <c r="Q318" s="26">
        <v>5</v>
      </c>
      <c r="R318" s="26">
        <v>1</v>
      </c>
      <c r="S318" s="26">
        <v>31</v>
      </c>
      <c r="T318" s="26">
        <v>25</v>
      </c>
      <c r="U318" s="26">
        <v>57</v>
      </c>
      <c r="V318" s="26">
        <v>1</v>
      </c>
      <c r="W318" s="26"/>
    </row>
    <row r="319" spans="1:23" x14ac:dyDescent="0.25">
      <c r="A319" s="26" t="s">
        <v>53</v>
      </c>
      <c r="B319" s="26" t="s">
        <v>1411</v>
      </c>
      <c r="C319" s="26" t="s">
        <v>1412</v>
      </c>
      <c r="D319" s="26" t="s">
        <v>179</v>
      </c>
      <c r="E319" s="26" t="s">
        <v>1413</v>
      </c>
      <c r="F319" s="26" t="s">
        <v>1414</v>
      </c>
      <c r="G319" s="26" t="s">
        <v>265</v>
      </c>
      <c r="H319" s="26" t="s">
        <v>445</v>
      </c>
      <c r="I319" s="26" t="s">
        <v>184</v>
      </c>
      <c r="J319" s="26" t="s">
        <v>322</v>
      </c>
      <c r="K319" s="26" t="s">
        <v>360</v>
      </c>
      <c r="L319" s="26" t="s">
        <v>79</v>
      </c>
      <c r="M319" s="26" t="s">
        <v>77</v>
      </c>
      <c r="N319" s="26">
        <v>39</v>
      </c>
      <c r="O319" s="26">
        <v>23</v>
      </c>
      <c r="P319" s="26">
        <v>16</v>
      </c>
      <c r="Q319" s="26">
        <v>3</v>
      </c>
      <c r="R319" s="26">
        <v>1</v>
      </c>
      <c r="S319" s="26">
        <v>10</v>
      </c>
      <c r="T319" s="26">
        <v>22</v>
      </c>
      <c r="U319" s="26">
        <v>33</v>
      </c>
      <c r="V319" s="26">
        <v>1</v>
      </c>
      <c r="W319" s="26"/>
    </row>
    <row r="320" spans="1:23" x14ac:dyDescent="0.25">
      <c r="A320" s="26" t="s">
        <v>53</v>
      </c>
      <c r="B320" s="26" t="s">
        <v>1415</v>
      </c>
      <c r="C320" s="26" t="s">
        <v>1416</v>
      </c>
      <c r="D320" s="26" t="s">
        <v>218</v>
      </c>
      <c r="E320" s="26" t="s">
        <v>1417</v>
      </c>
      <c r="F320" s="26" t="s">
        <v>1418</v>
      </c>
      <c r="G320" s="26" t="s">
        <v>293</v>
      </c>
      <c r="H320" s="26" t="s">
        <v>351</v>
      </c>
      <c r="I320" s="26" t="s">
        <v>1259</v>
      </c>
      <c r="J320" s="26" t="s">
        <v>503</v>
      </c>
      <c r="K320" s="26" t="s">
        <v>296</v>
      </c>
      <c r="L320" s="26" t="s">
        <v>80</v>
      </c>
      <c r="M320" s="26" t="s">
        <v>77</v>
      </c>
      <c r="N320" s="26">
        <v>22</v>
      </c>
      <c r="O320" s="26">
        <v>14</v>
      </c>
      <c r="P320" s="26">
        <v>8</v>
      </c>
      <c r="Q320" s="26">
        <v>3</v>
      </c>
      <c r="R320" s="26">
        <v>1</v>
      </c>
      <c r="S320" s="26">
        <v>3</v>
      </c>
      <c r="T320" s="26">
        <v>10</v>
      </c>
      <c r="U320" s="26">
        <v>14</v>
      </c>
      <c r="V320" s="26">
        <v>1</v>
      </c>
      <c r="W320" s="26"/>
    </row>
    <row r="321" spans="1:23" x14ac:dyDescent="0.25">
      <c r="A321" s="26" t="s">
        <v>53</v>
      </c>
      <c r="B321" s="26" t="s">
        <v>1419</v>
      </c>
      <c r="C321" s="26" t="s">
        <v>743</v>
      </c>
      <c r="D321" s="26" t="s">
        <v>179</v>
      </c>
      <c r="E321" s="26" t="s">
        <v>1420</v>
      </c>
      <c r="F321" s="26" t="s">
        <v>1030</v>
      </c>
      <c r="G321" s="26" t="s">
        <v>204</v>
      </c>
      <c r="H321" s="26" t="s">
        <v>523</v>
      </c>
      <c r="I321" s="26" t="s">
        <v>184</v>
      </c>
      <c r="J321" s="26" t="s">
        <v>322</v>
      </c>
      <c r="K321" s="26" t="s">
        <v>360</v>
      </c>
      <c r="L321" s="26" t="s">
        <v>79</v>
      </c>
      <c r="M321" s="26" t="s">
        <v>77</v>
      </c>
      <c r="N321" s="26">
        <v>9</v>
      </c>
      <c r="O321" s="26">
        <v>4</v>
      </c>
      <c r="P321" s="26">
        <v>5</v>
      </c>
      <c r="Q321" s="26">
        <v>1</v>
      </c>
      <c r="R321" s="26">
        <v>1</v>
      </c>
      <c r="S321" s="26">
        <v>1</v>
      </c>
      <c r="T321" s="26">
        <v>4</v>
      </c>
      <c r="U321" s="26">
        <v>6</v>
      </c>
      <c r="V321" s="26">
        <v>1</v>
      </c>
      <c r="W321" s="26"/>
    </row>
    <row r="322" spans="1:23" x14ac:dyDescent="0.25">
      <c r="A322" s="26" t="s">
        <v>53</v>
      </c>
      <c r="B322" s="26" t="s">
        <v>1421</v>
      </c>
      <c r="C322" s="26" t="s">
        <v>817</v>
      </c>
      <c r="D322" s="26" t="s">
        <v>218</v>
      </c>
      <c r="E322" s="26" t="s">
        <v>1422</v>
      </c>
      <c r="F322" s="26" t="s">
        <v>1423</v>
      </c>
      <c r="G322" s="26" t="s">
        <v>204</v>
      </c>
      <c r="H322" s="26" t="s">
        <v>1026</v>
      </c>
      <c r="I322" s="26" t="s">
        <v>184</v>
      </c>
      <c r="J322" s="26" t="s">
        <v>322</v>
      </c>
      <c r="K322" s="26" t="s">
        <v>360</v>
      </c>
      <c r="L322" s="26" t="s">
        <v>79</v>
      </c>
      <c r="M322" s="26" t="s">
        <v>77</v>
      </c>
      <c r="N322" s="26">
        <v>0</v>
      </c>
      <c r="O322" s="26">
        <v>0</v>
      </c>
      <c r="P322" s="26">
        <v>0</v>
      </c>
      <c r="Q322" s="26">
        <v>0</v>
      </c>
      <c r="R322" s="26">
        <v>1</v>
      </c>
      <c r="S322" s="26">
        <v>0</v>
      </c>
      <c r="T322" s="26">
        <v>1</v>
      </c>
      <c r="U322" s="26">
        <v>2</v>
      </c>
      <c r="V322" s="26">
        <v>1</v>
      </c>
      <c r="W322" s="26"/>
    </row>
    <row r="323" spans="1:23" x14ac:dyDescent="0.25">
      <c r="A323" s="26" t="s">
        <v>53</v>
      </c>
      <c r="B323" s="26" t="s">
        <v>1424</v>
      </c>
      <c r="C323" s="26" t="s">
        <v>1425</v>
      </c>
      <c r="D323" s="26" t="s">
        <v>218</v>
      </c>
      <c r="E323" s="26" t="s">
        <v>1426</v>
      </c>
      <c r="F323" s="26" t="s">
        <v>1427</v>
      </c>
      <c r="G323" s="26" t="s">
        <v>204</v>
      </c>
      <c r="H323" s="26" t="s">
        <v>523</v>
      </c>
      <c r="I323" s="26" t="s">
        <v>184</v>
      </c>
      <c r="J323" s="26" t="s">
        <v>322</v>
      </c>
      <c r="K323" s="26" t="s">
        <v>360</v>
      </c>
      <c r="L323" s="26" t="s">
        <v>79</v>
      </c>
      <c r="M323" s="26" t="s">
        <v>77</v>
      </c>
      <c r="N323" s="26">
        <v>167</v>
      </c>
      <c r="O323" s="26">
        <v>85</v>
      </c>
      <c r="P323" s="26">
        <v>82</v>
      </c>
      <c r="Q323" s="26">
        <v>6</v>
      </c>
      <c r="R323" s="26">
        <v>0</v>
      </c>
      <c r="S323" s="26">
        <v>43</v>
      </c>
      <c r="T323" s="26">
        <v>22</v>
      </c>
      <c r="U323" s="26">
        <v>65</v>
      </c>
      <c r="V323" s="26">
        <v>1</v>
      </c>
      <c r="W323" s="26"/>
    </row>
    <row r="324" spans="1:23" x14ac:dyDescent="0.25">
      <c r="A324" s="26" t="s">
        <v>53</v>
      </c>
      <c r="B324" s="26" t="s">
        <v>1428</v>
      </c>
      <c r="C324" s="26" t="s">
        <v>1429</v>
      </c>
      <c r="D324" s="26" t="s">
        <v>179</v>
      </c>
      <c r="E324" s="26" t="s">
        <v>1430</v>
      </c>
      <c r="F324" s="26" t="s">
        <v>602</v>
      </c>
      <c r="G324" s="26" t="s">
        <v>226</v>
      </c>
      <c r="H324" s="26" t="s">
        <v>603</v>
      </c>
      <c r="I324" s="26" t="s">
        <v>184</v>
      </c>
      <c r="J324" s="26" t="s">
        <v>427</v>
      </c>
      <c r="K324" s="26" t="s">
        <v>360</v>
      </c>
      <c r="L324" s="26" t="s">
        <v>79</v>
      </c>
      <c r="M324" s="26" t="s">
        <v>77</v>
      </c>
      <c r="N324" s="26">
        <v>0</v>
      </c>
      <c r="O324" s="26">
        <v>0</v>
      </c>
      <c r="P324" s="26">
        <v>0</v>
      </c>
      <c r="Q324" s="26">
        <v>0</v>
      </c>
      <c r="R324" s="26">
        <v>1</v>
      </c>
      <c r="S324" s="26">
        <v>0</v>
      </c>
      <c r="T324" s="26">
        <v>1</v>
      </c>
      <c r="U324" s="26">
        <v>2</v>
      </c>
      <c r="V324" s="26">
        <v>1</v>
      </c>
      <c r="W324" s="26"/>
    </row>
    <row r="325" spans="1:23" x14ac:dyDescent="0.25">
      <c r="A325" s="26" t="s">
        <v>53</v>
      </c>
      <c r="B325" s="26" t="s">
        <v>1431</v>
      </c>
      <c r="C325" s="26" t="s">
        <v>1432</v>
      </c>
      <c r="D325" s="26" t="s">
        <v>179</v>
      </c>
      <c r="E325" s="26" t="s">
        <v>1433</v>
      </c>
      <c r="F325" s="26" t="s">
        <v>1434</v>
      </c>
      <c r="G325" s="26" t="s">
        <v>226</v>
      </c>
      <c r="H325" s="26" t="s">
        <v>603</v>
      </c>
      <c r="I325" s="26" t="s">
        <v>184</v>
      </c>
      <c r="J325" s="26" t="s">
        <v>427</v>
      </c>
      <c r="K325" s="26" t="s">
        <v>360</v>
      </c>
      <c r="L325" s="26" t="s">
        <v>79</v>
      </c>
      <c r="M325" s="26" t="s">
        <v>77</v>
      </c>
      <c r="N325" s="26">
        <v>67</v>
      </c>
      <c r="O325" s="26">
        <v>38</v>
      </c>
      <c r="P325" s="26">
        <v>29</v>
      </c>
      <c r="Q325" s="26">
        <v>5</v>
      </c>
      <c r="R325" s="26">
        <v>1</v>
      </c>
      <c r="S325" s="26">
        <v>16</v>
      </c>
      <c r="T325" s="26">
        <v>20</v>
      </c>
      <c r="U325" s="26">
        <v>37</v>
      </c>
      <c r="V325" s="26">
        <v>1</v>
      </c>
      <c r="W325" s="26"/>
    </row>
    <row r="326" spans="1:23" x14ac:dyDescent="0.25">
      <c r="A326" s="26" t="s">
        <v>53</v>
      </c>
      <c r="B326" s="26" t="s">
        <v>1435</v>
      </c>
      <c r="C326" s="26" t="s">
        <v>1436</v>
      </c>
      <c r="D326" s="26" t="s">
        <v>179</v>
      </c>
      <c r="E326" s="26" t="s">
        <v>1437</v>
      </c>
      <c r="F326" s="26" t="s">
        <v>1438</v>
      </c>
      <c r="G326" s="26" t="s">
        <v>252</v>
      </c>
      <c r="H326" s="26" t="s">
        <v>1439</v>
      </c>
      <c r="I326" s="26" t="s">
        <v>184</v>
      </c>
      <c r="J326" s="26" t="s">
        <v>427</v>
      </c>
      <c r="K326" s="26" t="s">
        <v>360</v>
      </c>
      <c r="L326" s="26" t="s">
        <v>79</v>
      </c>
      <c r="M326" s="26" t="s">
        <v>77</v>
      </c>
      <c r="N326" s="26">
        <v>37</v>
      </c>
      <c r="O326" s="26">
        <v>18</v>
      </c>
      <c r="P326" s="26">
        <v>19</v>
      </c>
      <c r="Q326" s="26">
        <v>5</v>
      </c>
      <c r="R326" s="26">
        <v>1</v>
      </c>
      <c r="S326" s="26">
        <v>11</v>
      </c>
      <c r="T326" s="26">
        <v>25</v>
      </c>
      <c r="U326" s="26">
        <v>37</v>
      </c>
      <c r="V326" s="26">
        <v>1</v>
      </c>
      <c r="W326" s="26"/>
    </row>
    <row r="327" spans="1:23" x14ac:dyDescent="0.25">
      <c r="A327" s="26" t="s">
        <v>53</v>
      </c>
      <c r="B327" s="26" t="s">
        <v>1440</v>
      </c>
      <c r="C327" s="26" t="s">
        <v>1441</v>
      </c>
      <c r="D327" s="26" t="s">
        <v>179</v>
      </c>
      <c r="E327" s="26" t="s">
        <v>4004</v>
      </c>
      <c r="F327" s="26" t="s">
        <v>1442</v>
      </c>
      <c r="G327" s="26" t="s">
        <v>413</v>
      </c>
      <c r="H327" s="26" t="s">
        <v>414</v>
      </c>
      <c r="I327" s="26" t="s">
        <v>184</v>
      </c>
      <c r="J327" s="26" t="s">
        <v>375</v>
      </c>
      <c r="K327" s="26" t="s">
        <v>360</v>
      </c>
      <c r="L327" s="26" t="s">
        <v>79</v>
      </c>
      <c r="M327" s="26" t="s">
        <v>77</v>
      </c>
      <c r="N327" s="26">
        <v>15</v>
      </c>
      <c r="O327" s="26">
        <v>5</v>
      </c>
      <c r="P327" s="26">
        <v>10</v>
      </c>
      <c r="Q327" s="26">
        <v>1</v>
      </c>
      <c r="R327" s="26">
        <v>1</v>
      </c>
      <c r="S327" s="26">
        <v>4</v>
      </c>
      <c r="T327" s="26">
        <v>6</v>
      </c>
      <c r="U327" s="26">
        <v>11</v>
      </c>
      <c r="V327" s="26">
        <v>1</v>
      </c>
      <c r="W327" s="26"/>
    </row>
    <row r="328" spans="1:23" x14ac:dyDescent="0.25">
      <c r="A328" s="26" t="s">
        <v>53</v>
      </c>
      <c r="B328" s="26" t="s">
        <v>1443</v>
      </c>
      <c r="C328" s="26" t="s">
        <v>1444</v>
      </c>
      <c r="D328" s="26" t="s">
        <v>179</v>
      </c>
      <c r="E328" s="26" t="s">
        <v>1445</v>
      </c>
      <c r="F328" s="26" t="s">
        <v>1446</v>
      </c>
      <c r="G328" s="26" t="s">
        <v>226</v>
      </c>
      <c r="H328" s="26" t="s">
        <v>603</v>
      </c>
      <c r="I328" s="26" t="s">
        <v>184</v>
      </c>
      <c r="J328" s="26" t="s">
        <v>427</v>
      </c>
      <c r="K328" s="26" t="s">
        <v>360</v>
      </c>
      <c r="L328" s="26" t="s">
        <v>79</v>
      </c>
      <c r="M328" s="26" t="s">
        <v>77</v>
      </c>
      <c r="N328" s="26">
        <v>0</v>
      </c>
      <c r="O328" s="26">
        <v>0</v>
      </c>
      <c r="P328" s="26">
        <v>0</v>
      </c>
      <c r="Q328" s="26">
        <v>0</v>
      </c>
      <c r="R328" s="26">
        <v>1</v>
      </c>
      <c r="S328" s="26">
        <v>1</v>
      </c>
      <c r="T328" s="26">
        <v>2</v>
      </c>
      <c r="U328" s="26">
        <v>4</v>
      </c>
      <c r="V328" s="26">
        <v>1</v>
      </c>
      <c r="W328" s="26"/>
    </row>
    <row r="329" spans="1:23" x14ac:dyDescent="0.25">
      <c r="A329" s="26" t="s">
        <v>53</v>
      </c>
      <c r="B329" s="26" t="s">
        <v>1447</v>
      </c>
      <c r="C329" s="26" t="s">
        <v>1448</v>
      </c>
      <c r="D329" s="26" t="s">
        <v>218</v>
      </c>
      <c r="E329" s="26" t="s">
        <v>4</v>
      </c>
      <c r="F329" s="26" t="s">
        <v>444</v>
      </c>
      <c r="G329" s="26" t="s">
        <v>265</v>
      </c>
      <c r="H329" s="26" t="s">
        <v>526</v>
      </c>
      <c r="I329" s="26" t="s">
        <v>184</v>
      </c>
      <c r="J329" s="26" t="s">
        <v>322</v>
      </c>
      <c r="K329" s="26" t="s">
        <v>360</v>
      </c>
      <c r="L329" s="26" t="s">
        <v>79</v>
      </c>
      <c r="M329" s="26" t="s">
        <v>77</v>
      </c>
      <c r="N329" s="26">
        <v>0</v>
      </c>
      <c r="O329" s="26">
        <v>0</v>
      </c>
      <c r="P329" s="26">
        <v>0</v>
      </c>
      <c r="Q329" s="26">
        <v>0</v>
      </c>
      <c r="R329" s="26">
        <v>1</v>
      </c>
      <c r="S329" s="26">
        <v>0</v>
      </c>
      <c r="T329" s="26">
        <v>27</v>
      </c>
      <c r="U329" s="26">
        <v>28</v>
      </c>
      <c r="V329" s="26">
        <v>1</v>
      </c>
      <c r="W329" s="26"/>
    </row>
    <row r="330" spans="1:23" x14ac:dyDescent="0.25">
      <c r="A330" s="26" t="s">
        <v>53</v>
      </c>
      <c r="B330" s="26" t="s">
        <v>1449</v>
      </c>
      <c r="C330" s="26" t="s">
        <v>1450</v>
      </c>
      <c r="D330" s="26" t="s">
        <v>179</v>
      </c>
      <c r="E330" s="26" t="s">
        <v>1451</v>
      </c>
      <c r="F330" s="26" t="s">
        <v>457</v>
      </c>
      <c r="G330" s="26" t="s">
        <v>182</v>
      </c>
      <c r="H330" s="26" t="s">
        <v>380</v>
      </c>
      <c r="I330" s="26" t="s">
        <v>184</v>
      </c>
      <c r="J330" s="26" t="s">
        <v>322</v>
      </c>
      <c r="K330" s="26" t="s">
        <v>360</v>
      </c>
      <c r="L330" s="26" t="s">
        <v>79</v>
      </c>
      <c r="M330" s="26" t="s">
        <v>77</v>
      </c>
      <c r="N330" s="26">
        <v>13</v>
      </c>
      <c r="O330" s="26">
        <v>6</v>
      </c>
      <c r="P330" s="26">
        <v>7</v>
      </c>
      <c r="Q330" s="26">
        <v>3</v>
      </c>
      <c r="R330" s="26">
        <v>1</v>
      </c>
      <c r="S330" s="26">
        <v>9</v>
      </c>
      <c r="T330" s="26">
        <v>21</v>
      </c>
      <c r="U330" s="26">
        <v>31</v>
      </c>
      <c r="V330" s="26">
        <v>1</v>
      </c>
      <c r="W330" s="26"/>
    </row>
    <row r="331" spans="1:23" x14ac:dyDescent="0.25">
      <c r="A331" s="26" t="s">
        <v>53</v>
      </c>
      <c r="B331" s="26" t="s">
        <v>1452</v>
      </c>
      <c r="C331" s="26" t="s">
        <v>1453</v>
      </c>
      <c r="D331" s="26" t="s">
        <v>218</v>
      </c>
      <c r="E331" s="26" t="s">
        <v>1454</v>
      </c>
      <c r="F331" s="26" t="s">
        <v>1455</v>
      </c>
      <c r="G331" s="26" t="s">
        <v>293</v>
      </c>
      <c r="H331" s="26" t="s">
        <v>301</v>
      </c>
      <c r="I331" s="26" t="s">
        <v>1259</v>
      </c>
      <c r="J331" s="26" t="s">
        <v>696</v>
      </c>
      <c r="K331" s="26" t="s">
        <v>296</v>
      </c>
      <c r="L331" s="26" t="s">
        <v>80</v>
      </c>
      <c r="M331" s="26" t="s">
        <v>77</v>
      </c>
      <c r="N331" s="26">
        <v>106</v>
      </c>
      <c r="O331" s="26">
        <v>50</v>
      </c>
      <c r="P331" s="26">
        <v>56</v>
      </c>
      <c r="Q331" s="26">
        <v>6</v>
      </c>
      <c r="R331" s="26">
        <v>1</v>
      </c>
      <c r="S331" s="26">
        <v>41</v>
      </c>
      <c r="T331" s="26">
        <v>50</v>
      </c>
      <c r="U331" s="26">
        <v>92</v>
      </c>
      <c r="V331" s="26">
        <v>1</v>
      </c>
      <c r="W331" s="26"/>
    </row>
    <row r="332" spans="1:23" x14ac:dyDescent="0.25">
      <c r="A332" s="26" t="s">
        <v>53</v>
      </c>
      <c r="B332" s="26" t="s">
        <v>1456</v>
      </c>
      <c r="C332" s="26" t="s">
        <v>1457</v>
      </c>
      <c r="D332" s="26" t="s">
        <v>179</v>
      </c>
      <c r="E332" s="26" t="s">
        <v>1458</v>
      </c>
      <c r="F332" s="26" t="s">
        <v>379</v>
      </c>
      <c r="G332" s="26" t="s">
        <v>182</v>
      </c>
      <c r="H332" s="26" t="s">
        <v>399</v>
      </c>
      <c r="I332" s="26" t="s">
        <v>184</v>
      </c>
      <c r="J332" s="26" t="s">
        <v>322</v>
      </c>
      <c r="K332" s="26" t="s">
        <v>360</v>
      </c>
      <c r="L332" s="26" t="s">
        <v>79</v>
      </c>
      <c r="M332" s="26" t="s">
        <v>77</v>
      </c>
      <c r="N332" s="26">
        <v>32</v>
      </c>
      <c r="O332" s="26">
        <v>16</v>
      </c>
      <c r="P332" s="26">
        <v>16</v>
      </c>
      <c r="Q332" s="26">
        <v>4</v>
      </c>
      <c r="R332" s="26">
        <v>1</v>
      </c>
      <c r="S332" s="26">
        <v>11</v>
      </c>
      <c r="T332" s="26">
        <v>20</v>
      </c>
      <c r="U332" s="26">
        <v>32</v>
      </c>
      <c r="V332" s="26">
        <v>1</v>
      </c>
      <c r="W332" s="26"/>
    </row>
    <row r="333" spans="1:23" x14ac:dyDescent="0.25">
      <c r="A333" s="26" t="s">
        <v>53</v>
      </c>
      <c r="B333" s="26" t="s">
        <v>1459</v>
      </c>
      <c r="C333" s="26" t="s">
        <v>1460</v>
      </c>
      <c r="D333" s="26" t="s">
        <v>179</v>
      </c>
      <c r="E333" s="26" t="s">
        <v>1461</v>
      </c>
      <c r="F333" s="26" t="s">
        <v>1462</v>
      </c>
      <c r="G333" s="26" t="s">
        <v>278</v>
      </c>
      <c r="H333" s="26" t="s">
        <v>408</v>
      </c>
      <c r="I333" s="26" t="s">
        <v>184</v>
      </c>
      <c r="J333" s="26" t="s">
        <v>375</v>
      </c>
      <c r="K333" s="26" t="s">
        <v>360</v>
      </c>
      <c r="L333" s="26" t="s">
        <v>79</v>
      </c>
      <c r="M333" s="26" t="s">
        <v>77</v>
      </c>
      <c r="N333" s="26">
        <v>0</v>
      </c>
      <c r="O333" s="26">
        <v>0</v>
      </c>
      <c r="P333" s="26">
        <v>0</v>
      </c>
      <c r="Q333" s="26">
        <v>0</v>
      </c>
      <c r="R333" s="26">
        <v>1</v>
      </c>
      <c r="S333" s="26">
        <v>0</v>
      </c>
      <c r="T333" s="26">
        <v>3</v>
      </c>
      <c r="U333" s="26">
        <v>4</v>
      </c>
      <c r="V333" s="26">
        <v>1</v>
      </c>
      <c r="W333" s="26"/>
    </row>
    <row r="334" spans="1:23" x14ac:dyDescent="0.25">
      <c r="A334" s="26" t="s">
        <v>53</v>
      </c>
      <c r="B334" s="26" t="s">
        <v>1463</v>
      </c>
      <c r="C334" s="26" t="s">
        <v>1464</v>
      </c>
      <c r="D334" s="26" t="s">
        <v>179</v>
      </c>
      <c r="E334" s="26" t="s">
        <v>1465</v>
      </c>
      <c r="F334" s="26" t="s">
        <v>1466</v>
      </c>
      <c r="G334" s="26" t="s">
        <v>182</v>
      </c>
      <c r="H334" s="26" t="s">
        <v>421</v>
      </c>
      <c r="I334" s="26" t="s">
        <v>184</v>
      </c>
      <c r="J334" s="26" t="s">
        <v>322</v>
      </c>
      <c r="K334" s="26" t="s">
        <v>360</v>
      </c>
      <c r="L334" s="26" t="s">
        <v>79</v>
      </c>
      <c r="M334" s="26" t="s">
        <v>77</v>
      </c>
      <c r="N334" s="26">
        <v>0</v>
      </c>
      <c r="O334" s="26">
        <v>0</v>
      </c>
      <c r="P334" s="26">
        <v>0</v>
      </c>
      <c r="Q334" s="26">
        <v>0</v>
      </c>
      <c r="R334" s="26">
        <v>1</v>
      </c>
      <c r="S334" s="26">
        <v>0</v>
      </c>
      <c r="T334" s="26">
        <v>1</v>
      </c>
      <c r="U334" s="26">
        <v>2</v>
      </c>
      <c r="V334" s="26">
        <v>1</v>
      </c>
      <c r="W334" s="26"/>
    </row>
    <row r="335" spans="1:23" x14ac:dyDescent="0.25">
      <c r="A335" s="26" t="s">
        <v>53</v>
      </c>
      <c r="B335" s="26" t="s">
        <v>1467</v>
      </c>
      <c r="C335" s="26" t="s">
        <v>1468</v>
      </c>
      <c r="D335" s="26" t="s">
        <v>179</v>
      </c>
      <c r="E335" s="26" t="s">
        <v>1469</v>
      </c>
      <c r="F335" s="26" t="s">
        <v>1470</v>
      </c>
      <c r="G335" s="26" t="s">
        <v>413</v>
      </c>
      <c r="H335" s="26" t="s">
        <v>466</v>
      </c>
      <c r="I335" s="26" t="s">
        <v>184</v>
      </c>
      <c r="J335" s="26" t="s">
        <v>375</v>
      </c>
      <c r="K335" s="26" t="s">
        <v>360</v>
      </c>
      <c r="L335" s="26" t="s">
        <v>79</v>
      </c>
      <c r="M335" s="26" t="s">
        <v>77</v>
      </c>
      <c r="N335" s="26">
        <v>23</v>
      </c>
      <c r="O335" s="26">
        <v>15</v>
      </c>
      <c r="P335" s="26">
        <v>8</v>
      </c>
      <c r="Q335" s="26">
        <v>2</v>
      </c>
      <c r="R335" s="26">
        <v>1</v>
      </c>
      <c r="S335" s="26">
        <v>10</v>
      </c>
      <c r="T335" s="26">
        <v>26</v>
      </c>
      <c r="U335" s="26">
        <v>37</v>
      </c>
      <c r="V335" s="26">
        <v>1</v>
      </c>
      <c r="W335" s="26"/>
    </row>
    <row r="336" spans="1:23" x14ac:dyDescent="0.25">
      <c r="A336" s="26" t="s">
        <v>53</v>
      </c>
      <c r="B336" s="26" t="s">
        <v>1471</v>
      </c>
      <c r="C336" s="26" t="s">
        <v>1472</v>
      </c>
      <c r="D336" s="26" t="s">
        <v>179</v>
      </c>
      <c r="E336" s="26" t="s">
        <v>1473</v>
      </c>
      <c r="F336" s="26" t="s">
        <v>963</v>
      </c>
      <c r="G336" s="26" t="s">
        <v>182</v>
      </c>
      <c r="H336" s="26" t="s">
        <v>440</v>
      </c>
      <c r="I336" s="26" t="s">
        <v>184</v>
      </c>
      <c r="J336" s="26" t="s">
        <v>322</v>
      </c>
      <c r="K336" s="26" t="s">
        <v>360</v>
      </c>
      <c r="L336" s="26" t="s">
        <v>79</v>
      </c>
      <c r="M336" s="26" t="s">
        <v>77</v>
      </c>
      <c r="N336" s="26">
        <v>37</v>
      </c>
      <c r="O336" s="26">
        <v>21</v>
      </c>
      <c r="P336" s="26">
        <v>16</v>
      </c>
      <c r="Q336" s="26">
        <v>6</v>
      </c>
      <c r="R336" s="26">
        <v>1</v>
      </c>
      <c r="S336" s="26">
        <v>19</v>
      </c>
      <c r="T336" s="26">
        <v>17</v>
      </c>
      <c r="U336" s="26">
        <v>37</v>
      </c>
      <c r="V336" s="26">
        <v>1</v>
      </c>
      <c r="W336" s="26"/>
    </row>
    <row r="337" spans="1:23" x14ac:dyDescent="0.25">
      <c r="A337" s="26" t="s">
        <v>53</v>
      </c>
      <c r="B337" s="26" t="s">
        <v>1474</v>
      </c>
      <c r="C337" s="26" t="s">
        <v>1475</v>
      </c>
      <c r="D337" s="26" t="s">
        <v>218</v>
      </c>
      <c r="E337" s="26" t="s">
        <v>1476</v>
      </c>
      <c r="F337" s="26" t="s">
        <v>555</v>
      </c>
      <c r="G337" s="26" t="s">
        <v>191</v>
      </c>
      <c r="H337" s="26" t="s">
        <v>426</v>
      </c>
      <c r="I337" s="26" t="s">
        <v>184</v>
      </c>
      <c r="J337" s="26" t="s">
        <v>427</v>
      </c>
      <c r="K337" s="26" t="s">
        <v>360</v>
      </c>
      <c r="L337" s="26" t="s">
        <v>79</v>
      </c>
      <c r="M337" s="26" t="s">
        <v>77</v>
      </c>
      <c r="N337" s="26">
        <v>48</v>
      </c>
      <c r="O337" s="26">
        <v>29</v>
      </c>
      <c r="P337" s="26">
        <v>19</v>
      </c>
      <c r="Q337" s="26">
        <v>5</v>
      </c>
      <c r="R337" s="26">
        <v>1</v>
      </c>
      <c r="S337" s="26">
        <v>18</v>
      </c>
      <c r="T337" s="26">
        <v>35</v>
      </c>
      <c r="U337" s="26">
        <v>54</v>
      </c>
      <c r="V337" s="26">
        <v>1</v>
      </c>
      <c r="W337" s="26"/>
    </row>
    <row r="338" spans="1:23" x14ac:dyDescent="0.25">
      <c r="A338" s="26" t="s">
        <v>53</v>
      </c>
      <c r="B338" s="26" t="s">
        <v>1477</v>
      </c>
      <c r="C338" s="26" t="s">
        <v>1478</v>
      </c>
      <c r="D338" s="26" t="s">
        <v>218</v>
      </c>
      <c r="E338" s="26" t="s">
        <v>1479</v>
      </c>
      <c r="F338" s="26" t="s">
        <v>1480</v>
      </c>
      <c r="G338" s="26" t="s">
        <v>226</v>
      </c>
      <c r="H338" s="26" t="s">
        <v>833</v>
      </c>
      <c r="I338" s="26" t="s">
        <v>184</v>
      </c>
      <c r="J338" s="26" t="s">
        <v>427</v>
      </c>
      <c r="K338" s="26" t="s">
        <v>360</v>
      </c>
      <c r="L338" s="26" t="s">
        <v>79</v>
      </c>
      <c r="M338" s="26" t="s">
        <v>77</v>
      </c>
      <c r="N338" s="26">
        <v>51</v>
      </c>
      <c r="O338" s="26">
        <v>28</v>
      </c>
      <c r="P338" s="26">
        <v>23</v>
      </c>
      <c r="Q338" s="26">
        <v>6</v>
      </c>
      <c r="R338" s="26">
        <v>1</v>
      </c>
      <c r="S338" s="26">
        <v>19</v>
      </c>
      <c r="T338" s="26">
        <v>16</v>
      </c>
      <c r="U338" s="26">
        <v>36</v>
      </c>
      <c r="V338" s="26">
        <v>1</v>
      </c>
      <c r="W338" s="26"/>
    </row>
    <row r="339" spans="1:23" x14ac:dyDescent="0.25">
      <c r="A339" s="26" t="s">
        <v>53</v>
      </c>
      <c r="B339" s="26" t="s">
        <v>1481</v>
      </c>
      <c r="C339" s="26" t="s">
        <v>1482</v>
      </c>
      <c r="D339" s="26" t="s">
        <v>218</v>
      </c>
      <c r="E339" s="26" t="s">
        <v>1483</v>
      </c>
      <c r="F339" s="26" t="s">
        <v>1179</v>
      </c>
      <c r="G339" s="26" t="s">
        <v>182</v>
      </c>
      <c r="H339" s="26" t="s">
        <v>370</v>
      </c>
      <c r="I339" s="26" t="s">
        <v>184</v>
      </c>
      <c r="J339" s="26" t="s">
        <v>322</v>
      </c>
      <c r="K339" s="26" t="s">
        <v>360</v>
      </c>
      <c r="L339" s="26" t="s">
        <v>79</v>
      </c>
      <c r="M339" s="26" t="s">
        <v>77</v>
      </c>
      <c r="N339" s="26">
        <v>87</v>
      </c>
      <c r="O339" s="26">
        <v>46</v>
      </c>
      <c r="P339" s="26">
        <v>41</v>
      </c>
      <c r="Q339" s="26">
        <v>6</v>
      </c>
      <c r="R339" s="26">
        <v>1</v>
      </c>
      <c r="S339" s="26">
        <v>36</v>
      </c>
      <c r="T339" s="26">
        <v>24</v>
      </c>
      <c r="U339" s="26">
        <v>61</v>
      </c>
      <c r="V339" s="26">
        <v>1</v>
      </c>
      <c r="W339" s="26"/>
    </row>
    <row r="340" spans="1:23" x14ac:dyDescent="0.25">
      <c r="A340" s="26" t="s">
        <v>53</v>
      </c>
      <c r="B340" s="26" t="s">
        <v>1484</v>
      </c>
      <c r="C340" s="26" t="s">
        <v>1485</v>
      </c>
      <c r="D340" s="26" t="s">
        <v>179</v>
      </c>
      <c r="E340" s="26" t="s">
        <v>4005</v>
      </c>
      <c r="F340" s="26" t="s">
        <v>4011</v>
      </c>
      <c r="G340" s="26" t="s">
        <v>413</v>
      </c>
      <c r="H340" s="26" t="s">
        <v>787</v>
      </c>
      <c r="I340" s="26" t="s">
        <v>184</v>
      </c>
      <c r="J340" s="26" t="s">
        <v>375</v>
      </c>
      <c r="K340" s="26" t="s">
        <v>360</v>
      </c>
      <c r="L340" s="26" t="s">
        <v>79</v>
      </c>
      <c r="M340" s="26" t="s">
        <v>77</v>
      </c>
      <c r="N340" s="26">
        <v>0</v>
      </c>
      <c r="O340" s="26">
        <v>0</v>
      </c>
      <c r="P340" s="26">
        <v>0</v>
      </c>
      <c r="Q340" s="26">
        <v>0</v>
      </c>
      <c r="R340" s="26">
        <v>1</v>
      </c>
      <c r="S340" s="26">
        <v>0</v>
      </c>
      <c r="T340" s="26">
        <v>2</v>
      </c>
      <c r="U340" s="26">
        <v>3</v>
      </c>
      <c r="V340" s="26">
        <v>1</v>
      </c>
      <c r="W340" s="26"/>
    </row>
    <row r="341" spans="1:23" x14ac:dyDescent="0.25">
      <c r="A341" s="26" t="s">
        <v>53</v>
      </c>
      <c r="B341" s="26" t="s">
        <v>1486</v>
      </c>
      <c r="C341" s="26" t="s">
        <v>1487</v>
      </c>
      <c r="D341" s="26" t="s">
        <v>179</v>
      </c>
      <c r="E341" s="26" t="s">
        <v>1488</v>
      </c>
      <c r="F341" s="26" t="s">
        <v>1489</v>
      </c>
      <c r="G341" s="26" t="s">
        <v>191</v>
      </c>
      <c r="H341" s="26" t="s">
        <v>1347</v>
      </c>
      <c r="I341" s="26" t="s">
        <v>184</v>
      </c>
      <c r="J341" s="26" t="s">
        <v>427</v>
      </c>
      <c r="K341" s="26" t="s">
        <v>360</v>
      </c>
      <c r="L341" s="26" t="s">
        <v>79</v>
      </c>
      <c r="M341" s="26" t="s">
        <v>77</v>
      </c>
      <c r="N341" s="26">
        <v>27</v>
      </c>
      <c r="O341" s="26">
        <v>14</v>
      </c>
      <c r="P341" s="26">
        <v>13</v>
      </c>
      <c r="Q341" s="26">
        <v>3</v>
      </c>
      <c r="R341" s="26">
        <v>1</v>
      </c>
      <c r="S341" s="26">
        <v>12</v>
      </c>
      <c r="T341" s="26">
        <v>18</v>
      </c>
      <c r="U341" s="26">
        <v>31</v>
      </c>
      <c r="V341" s="26">
        <v>1</v>
      </c>
      <c r="W341" s="26"/>
    </row>
    <row r="342" spans="1:23" x14ac:dyDescent="0.25">
      <c r="A342" s="26" t="s">
        <v>53</v>
      </c>
      <c r="B342" s="26" t="s">
        <v>1490</v>
      </c>
      <c r="C342" s="26" t="s">
        <v>1491</v>
      </c>
      <c r="D342" s="26" t="s">
        <v>179</v>
      </c>
      <c r="E342" s="26" t="s">
        <v>1492</v>
      </c>
      <c r="F342" s="26" t="s">
        <v>636</v>
      </c>
      <c r="G342" s="26" t="s">
        <v>637</v>
      </c>
      <c r="H342" s="26" t="s">
        <v>657</v>
      </c>
      <c r="I342" s="26" t="s">
        <v>184</v>
      </c>
      <c r="J342" s="26" t="s">
        <v>427</v>
      </c>
      <c r="K342" s="26" t="s">
        <v>360</v>
      </c>
      <c r="L342" s="26" t="s">
        <v>79</v>
      </c>
      <c r="M342" s="26" t="s">
        <v>77</v>
      </c>
      <c r="N342" s="26">
        <v>0</v>
      </c>
      <c r="O342" s="26">
        <v>0</v>
      </c>
      <c r="P342" s="26">
        <v>0</v>
      </c>
      <c r="Q342" s="26">
        <v>0</v>
      </c>
      <c r="R342" s="26">
        <v>1</v>
      </c>
      <c r="S342" s="26">
        <v>1</v>
      </c>
      <c r="T342" s="26">
        <v>11</v>
      </c>
      <c r="U342" s="26">
        <v>13</v>
      </c>
      <c r="V342" s="26">
        <v>1</v>
      </c>
      <c r="W342" s="26"/>
    </row>
    <row r="343" spans="1:23" x14ac:dyDescent="0.25">
      <c r="A343" s="26" t="s">
        <v>53</v>
      </c>
      <c r="B343" s="26" t="s">
        <v>1493</v>
      </c>
      <c r="C343" s="26" t="s">
        <v>1494</v>
      </c>
      <c r="D343" s="26" t="s">
        <v>218</v>
      </c>
      <c r="E343" s="26" t="s">
        <v>1495</v>
      </c>
      <c r="F343" s="26" t="s">
        <v>870</v>
      </c>
      <c r="G343" s="26" t="s">
        <v>226</v>
      </c>
      <c r="H343" s="26" t="s">
        <v>603</v>
      </c>
      <c r="I343" s="26" t="s">
        <v>184</v>
      </c>
      <c r="J343" s="26" t="s">
        <v>427</v>
      </c>
      <c r="K343" s="26" t="s">
        <v>381</v>
      </c>
      <c r="L343" s="26" t="s">
        <v>79</v>
      </c>
      <c r="M343" s="26" t="s">
        <v>77</v>
      </c>
      <c r="N343" s="26">
        <v>142</v>
      </c>
      <c r="O343" s="26">
        <v>62</v>
      </c>
      <c r="P343" s="26">
        <v>80</v>
      </c>
      <c r="Q343" s="26">
        <v>6</v>
      </c>
      <c r="R343" s="26">
        <v>1</v>
      </c>
      <c r="S343" s="26">
        <v>32</v>
      </c>
      <c r="T343" s="26">
        <v>43</v>
      </c>
      <c r="U343" s="26">
        <v>76</v>
      </c>
      <c r="V343" s="26">
        <v>1</v>
      </c>
      <c r="W343" s="26"/>
    </row>
    <row r="344" spans="1:23" x14ac:dyDescent="0.25">
      <c r="A344" s="26" t="s">
        <v>53</v>
      </c>
      <c r="B344" s="26" t="s">
        <v>1496</v>
      </c>
      <c r="C344" s="26" t="s">
        <v>1497</v>
      </c>
      <c r="D344" s="26" t="s">
        <v>179</v>
      </c>
      <c r="E344" s="26" t="s">
        <v>1498</v>
      </c>
      <c r="F344" s="26" t="s">
        <v>1499</v>
      </c>
      <c r="G344" s="26" t="s">
        <v>413</v>
      </c>
      <c r="H344" s="26" t="s">
        <v>787</v>
      </c>
      <c r="I344" s="26" t="s">
        <v>184</v>
      </c>
      <c r="J344" s="26" t="s">
        <v>375</v>
      </c>
      <c r="K344" s="26" t="s">
        <v>360</v>
      </c>
      <c r="L344" s="26" t="s">
        <v>79</v>
      </c>
      <c r="M344" s="26" t="s">
        <v>77</v>
      </c>
      <c r="N344" s="26">
        <v>0</v>
      </c>
      <c r="O344" s="26">
        <v>0</v>
      </c>
      <c r="P344" s="26">
        <v>0</v>
      </c>
      <c r="Q344" s="26">
        <v>0</v>
      </c>
      <c r="R344" s="26">
        <v>1</v>
      </c>
      <c r="S344" s="26">
        <v>0</v>
      </c>
      <c r="T344" s="26">
        <v>5</v>
      </c>
      <c r="U344" s="26">
        <v>6</v>
      </c>
      <c r="V344" s="26">
        <v>1</v>
      </c>
      <c r="W344" s="26"/>
    </row>
    <row r="345" spans="1:23" x14ac:dyDescent="0.25">
      <c r="A345" s="26" t="s">
        <v>53</v>
      </c>
      <c r="B345" s="26" t="s">
        <v>1500</v>
      </c>
      <c r="C345" s="26" t="s">
        <v>1501</v>
      </c>
      <c r="D345" s="26" t="s">
        <v>218</v>
      </c>
      <c r="E345" s="26" t="s">
        <v>1502</v>
      </c>
      <c r="F345" s="26" t="s">
        <v>502</v>
      </c>
      <c r="G345" s="26" t="s">
        <v>293</v>
      </c>
      <c r="H345" s="26" t="s">
        <v>351</v>
      </c>
      <c r="I345" s="26" t="s">
        <v>1259</v>
      </c>
      <c r="J345" s="26" t="s">
        <v>503</v>
      </c>
      <c r="K345" s="26" t="s">
        <v>296</v>
      </c>
      <c r="L345" s="26" t="s">
        <v>80</v>
      </c>
      <c r="M345" s="26" t="s">
        <v>77</v>
      </c>
      <c r="N345" s="26">
        <v>29</v>
      </c>
      <c r="O345" s="26">
        <v>17</v>
      </c>
      <c r="P345" s="26">
        <v>12</v>
      </c>
      <c r="Q345" s="26">
        <v>5</v>
      </c>
      <c r="R345" s="26">
        <v>1</v>
      </c>
      <c r="S345" s="26">
        <v>9</v>
      </c>
      <c r="T345" s="26">
        <v>35</v>
      </c>
      <c r="U345" s="26">
        <v>45</v>
      </c>
      <c r="V345" s="26">
        <v>1</v>
      </c>
      <c r="W345" s="26"/>
    </row>
    <row r="346" spans="1:23" x14ac:dyDescent="0.25">
      <c r="A346" s="26" t="s">
        <v>53</v>
      </c>
      <c r="B346" s="26" t="s">
        <v>1503</v>
      </c>
      <c r="C346" s="26" t="s">
        <v>1504</v>
      </c>
      <c r="D346" s="26" t="s">
        <v>179</v>
      </c>
      <c r="E346" s="26" t="s">
        <v>4006</v>
      </c>
      <c r="F346" s="26" t="s">
        <v>1505</v>
      </c>
      <c r="G346" s="26" t="s">
        <v>293</v>
      </c>
      <c r="H346" s="26" t="s">
        <v>1506</v>
      </c>
      <c r="I346" s="26" t="s">
        <v>1259</v>
      </c>
      <c r="J346" s="26" t="s">
        <v>503</v>
      </c>
      <c r="K346" s="26" t="s">
        <v>296</v>
      </c>
      <c r="L346" s="26" t="s">
        <v>80</v>
      </c>
      <c r="M346" s="26" t="s">
        <v>77</v>
      </c>
      <c r="N346" s="26">
        <v>22</v>
      </c>
      <c r="O346" s="26">
        <v>9</v>
      </c>
      <c r="P346" s="26">
        <v>13</v>
      </c>
      <c r="Q346" s="26">
        <v>2</v>
      </c>
      <c r="R346" s="26">
        <v>1</v>
      </c>
      <c r="S346" s="26">
        <v>19</v>
      </c>
      <c r="T346" s="26">
        <v>5</v>
      </c>
      <c r="U346" s="26">
        <v>25</v>
      </c>
      <c r="V346" s="26">
        <v>1</v>
      </c>
      <c r="W346" s="26"/>
    </row>
    <row r="347" spans="1:23" x14ac:dyDescent="0.25">
      <c r="A347" s="26" t="s">
        <v>53</v>
      </c>
      <c r="B347" s="26" t="s">
        <v>1507</v>
      </c>
      <c r="C347" s="26" t="s">
        <v>1508</v>
      </c>
      <c r="D347" s="26" t="s">
        <v>218</v>
      </c>
      <c r="E347" s="26" t="s">
        <v>1509</v>
      </c>
      <c r="F347" s="26" t="s">
        <v>1267</v>
      </c>
      <c r="G347" s="26" t="s">
        <v>293</v>
      </c>
      <c r="H347" s="26" t="s">
        <v>294</v>
      </c>
      <c r="I347" s="26" t="s">
        <v>1259</v>
      </c>
      <c r="J347" s="26" t="s">
        <v>1145</v>
      </c>
      <c r="K347" s="26" t="s">
        <v>296</v>
      </c>
      <c r="L347" s="26" t="s">
        <v>80</v>
      </c>
      <c r="M347" s="26" t="s">
        <v>77</v>
      </c>
      <c r="N347" s="26">
        <v>105</v>
      </c>
      <c r="O347" s="26">
        <v>54</v>
      </c>
      <c r="P347" s="26">
        <v>51</v>
      </c>
      <c r="Q347" s="26">
        <v>6</v>
      </c>
      <c r="R347" s="26">
        <v>1</v>
      </c>
      <c r="S347" s="26">
        <v>21</v>
      </c>
      <c r="T347" s="26">
        <v>37</v>
      </c>
      <c r="U347" s="26">
        <v>59</v>
      </c>
      <c r="V347" s="26">
        <v>1</v>
      </c>
      <c r="W347" s="26"/>
    </row>
    <row r="348" spans="1:23" x14ac:dyDescent="0.25">
      <c r="A348" s="26" t="s">
        <v>53</v>
      </c>
      <c r="B348" s="26" t="s">
        <v>1510</v>
      </c>
      <c r="C348" s="26" t="s">
        <v>1511</v>
      </c>
      <c r="D348" s="26" t="s">
        <v>218</v>
      </c>
      <c r="E348" s="26" t="s">
        <v>1512</v>
      </c>
      <c r="F348" s="26" t="s">
        <v>457</v>
      </c>
      <c r="G348" s="26" t="s">
        <v>182</v>
      </c>
      <c r="H348" s="26" t="s">
        <v>461</v>
      </c>
      <c r="I348" s="26" t="s">
        <v>184</v>
      </c>
      <c r="J348" s="26" t="s">
        <v>322</v>
      </c>
      <c r="K348" s="26" t="s">
        <v>360</v>
      </c>
      <c r="L348" s="26" t="s">
        <v>79</v>
      </c>
      <c r="M348" s="26" t="s">
        <v>77</v>
      </c>
      <c r="N348" s="26">
        <v>51</v>
      </c>
      <c r="O348" s="26">
        <v>28</v>
      </c>
      <c r="P348" s="26">
        <v>23</v>
      </c>
      <c r="Q348" s="26">
        <v>3</v>
      </c>
      <c r="R348" s="26">
        <v>1</v>
      </c>
      <c r="S348" s="26">
        <v>12</v>
      </c>
      <c r="T348" s="26">
        <v>11</v>
      </c>
      <c r="U348" s="26">
        <v>24</v>
      </c>
      <c r="V348" s="26">
        <v>1</v>
      </c>
      <c r="W348" s="26"/>
    </row>
    <row r="349" spans="1:23" x14ac:dyDescent="0.25">
      <c r="A349" s="26" t="s">
        <v>53</v>
      </c>
      <c r="B349" s="26" t="s">
        <v>1513</v>
      </c>
      <c r="C349" s="26" t="s">
        <v>1514</v>
      </c>
      <c r="D349" s="26" t="s">
        <v>179</v>
      </c>
      <c r="E349" s="26" t="s">
        <v>1515</v>
      </c>
      <c r="F349" s="26" t="s">
        <v>1103</v>
      </c>
      <c r="G349" s="26" t="s">
        <v>278</v>
      </c>
      <c r="H349" s="26" t="s">
        <v>623</v>
      </c>
      <c r="I349" s="26" t="s">
        <v>184</v>
      </c>
      <c r="J349" s="26" t="s">
        <v>375</v>
      </c>
      <c r="K349" s="26" t="s">
        <v>360</v>
      </c>
      <c r="L349" s="26" t="s">
        <v>79</v>
      </c>
      <c r="M349" s="26" t="s">
        <v>77</v>
      </c>
      <c r="N349" s="26">
        <v>61</v>
      </c>
      <c r="O349" s="26">
        <v>30</v>
      </c>
      <c r="P349" s="26">
        <v>31</v>
      </c>
      <c r="Q349" s="26">
        <v>3</v>
      </c>
      <c r="R349" s="26">
        <v>1</v>
      </c>
      <c r="S349" s="26">
        <v>13</v>
      </c>
      <c r="T349" s="26">
        <v>24</v>
      </c>
      <c r="U349" s="26">
        <v>38</v>
      </c>
      <c r="V349" s="26">
        <v>1</v>
      </c>
      <c r="W349" s="26"/>
    </row>
    <row r="350" spans="1:23" x14ac:dyDescent="0.25">
      <c r="A350" s="26" t="s">
        <v>53</v>
      </c>
      <c r="B350" s="26" t="s">
        <v>1516</v>
      </c>
      <c r="C350" s="26" t="s">
        <v>1517</v>
      </c>
      <c r="D350" s="26" t="s">
        <v>179</v>
      </c>
      <c r="E350" s="26" t="s">
        <v>1518</v>
      </c>
      <c r="F350" s="26" t="s">
        <v>779</v>
      </c>
      <c r="G350" s="26" t="s">
        <v>265</v>
      </c>
      <c r="H350" s="26" t="s">
        <v>321</v>
      </c>
      <c r="I350" s="26" t="s">
        <v>184</v>
      </c>
      <c r="J350" s="26" t="s">
        <v>322</v>
      </c>
      <c r="K350" s="26" t="s">
        <v>360</v>
      </c>
      <c r="L350" s="26" t="s">
        <v>79</v>
      </c>
      <c r="M350" s="26" t="s">
        <v>77</v>
      </c>
      <c r="N350" s="26">
        <v>11</v>
      </c>
      <c r="O350" s="26">
        <v>6</v>
      </c>
      <c r="P350" s="26">
        <v>5</v>
      </c>
      <c r="Q350" s="26">
        <v>1</v>
      </c>
      <c r="R350" s="26">
        <v>1</v>
      </c>
      <c r="S350" s="26">
        <v>1</v>
      </c>
      <c r="T350" s="26">
        <v>3</v>
      </c>
      <c r="U350" s="26">
        <v>5</v>
      </c>
      <c r="V350" s="26">
        <v>1</v>
      </c>
      <c r="W350" s="26"/>
    </row>
    <row r="351" spans="1:23" x14ac:dyDescent="0.25">
      <c r="A351" s="26" t="s">
        <v>53</v>
      </c>
      <c r="B351" s="26" t="s">
        <v>1519</v>
      </c>
      <c r="C351" s="26" t="s">
        <v>1520</v>
      </c>
      <c r="D351" s="26" t="s">
        <v>179</v>
      </c>
      <c r="E351" s="26" t="s">
        <v>1521</v>
      </c>
      <c r="F351" s="26" t="s">
        <v>1522</v>
      </c>
      <c r="G351" s="26" t="s">
        <v>265</v>
      </c>
      <c r="H351" s="26" t="s">
        <v>508</v>
      </c>
      <c r="I351" s="26" t="s">
        <v>184</v>
      </c>
      <c r="J351" s="26" t="s">
        <v>322</v>
      </c>
      <c r="K351" s="26" t="s">
        <v>360</v>
      </c>
      <c r="L351" s="26" t="s">
        <v>79</v>
      </c>
      <c r="M351" s="26" t="s">
        <v>77</v>
      </c>
      <c r="N351" s="26">
        <v>5</v>
      </c>
      <c r="O351" s="26">
        <v>2</v>
      </c>
      <c r="P351" s="26">
        <v>3</v>
      </c>
      <c r="Q351" s="26">
        <v>1</v>
      </c>
      <c r="R351" s="26">
        <v>1</v>
      </c>
      <c r="S351" s="26">
        <v>1</v>
      </c>
      <c r="T351" s="26">
        <v>9</v>
      </c>
      <c r="U351" s="26">
        <v>11</v>
      </c>
      <c r="V351" s="26">
        <v>1</v>
      </c>
      <c r="W351" s="26"/>
    </row>
    <row r="352" spans="1:23" x14ac:dyDescent="0.25">
      <c r="A352" s="26" t="s">
        <v>53</v>
      </c>
      <c r="B352" s="26" t="s">
        <v>1523</v>
      </c>
      <c r="C352" s="26" t="s">
        <v>1524</v>
      </c>
      <c r="D352" s="26" t="s">
        <v>179</v>
      </c>
      <c r="E352" s="26" t="s">
        <v>1525</v>
      </c>
      <c r="F352" s="26" t="s">
        <v>1526</v>
      </c>
      <c r="G352" s="26" t="s">
        <v>293</v>
      </c>
      <c r="H352" s="26" t="s">
        <v>294</v>
      </c>
      <c r="I352" s="26" t="s">
        <v>1259</v>
      </c>
      <c r="J352" s="26" t="s">
        <v>295</v>
      </c>
      <c r="K352" s="26" t="s">
        <v>296</v>
      </c>
      <c r="L352" s="26" t="s">
        <v>80</v>
      </c>
      <c r="M352" s="26" t="s">
        <v>77</v>
      </c>
      <c r="N352" s="26">
        <v>61</v>
      </c>
      <c r="O352" s="26">
        <v>25</v>
      </c>
      <c r="P352" s="26">
        <v>36</v>
      </c>
      <c r="Q352" s="26">
        <v>5</v>
      </c>
      <c r="R352" s="26">
        <v>1</v>
      </c>
      <c r="S352" s="26">
        <v>10</v>
      </c>
      <c r="T352" s="26">
        <v>22</v>
      </c>
      <c r="U352" s="26">
        <v>33</v>
      </c>
      <c r="V352" s="26">
        <v>1</v>
      </c>
      <c r="W352" s="26"/>
    </row>
    <row r="353" spans="1:23" x14ac:dyDescent="0.25">
      <c r="A353" s="26" t="s">
        <v>53</v>
      </c>
      <c r="B353" s="26" t="s">
        <v>1527</v>
      </c>
      <c r="C353" s="26" t="s">
        <v>1528</v>
      </c>
      <c r="D353" s="26" t="s">
        <v>218</v>
      </c>
      <c r="E353" s="26" t="s">
        <v>1529</v>
      </c>
      <c r="F353" s="26" t="s">
        <v>671</v>
      </c>
      <c r="G353" s="26" t="s">
        <v>191</v>
      </c>
      <c r="H353" s="26" t="s">
        <v>426</v>
      </c>
      <c r="I353" s="26" t="s">
        <v>184</v>
      </c>
      <c r="J353" s="26" t="s">
        <v>427</v>
      </c>
      <c r="K353" s="26" t="s">
        <v>360</v>
      </c>
      <c r="L353" s="26" t="s">
        <v>79</v>
      </c>
      <c r="M353" s="26" t="s">
        <v>77</v>
      </c>
      <c r="N353" s="26">
        <v>34</v>
      </c>
      <c r="O353" s="26">
        <v>21</v>
      </c>
      <c r="P353" s="26">
        <v>13</v>
      </c>
      <c r="Q353" s="26">
        <v>4</v>
      </c>
      <c r="R353" s="26">
        <v>1</v>
      </c>
      <c r="S353" s="26">
        <v>15</v>
      </c>
      <c r="T353" s="26">
        <v>24</v>
      </c>
      <c r="U353" s="26">
        <v>40</v>
      </c>
      <c r="V353" s="26">
        <v>1</v>
      </c>
      <c r="W353" s="26"/>
    </row>
    <row r="354" spans="1:23" x14ac:dyDescent="0.25">
      <c r="A354" s="26" t="s">
        <v>53</v>
      </c>
      <c r="B354" s="26" t="s">
        <v>1530</v>
      </c>
      <c r="C354" s="26" t="s">
        <v>1531</v>
      </c>
      <c r="D354" s="26" t="s">
        <v>179</v>
      </c>
      <c r="E354" s="26" t="s">
        <v>1532</v>
      </c>
      <c r="F354" s="26" t="s">
        <v>1179</v>
      </c>
      <c r="G354" s="26" t="s">
        <v>182</v>
      </c>
      <c r="H354" s="26" t="s">
        <v>399</v>
      </c>
      <c r="I354" s="26" t="s">
        <v>184</v>
      </c>
      <c r="J354" s="26" t="s">
        <v>322</v>
      </c>
      <c r="K354" s="26" t="s">
        <v>360</v>
      </c>
      <c r="L354" s="26" t="s">
        <v>79</v>
      </c>
      <c r="M354" s="26" t="s">
        <v>77</v>
      </c>
      <c r="N354" s="26">
        <v>110</v>
      </c>
      <c r="O354" s="26">
        <v>57</v>
      </c>
      <c r="P354" s="26">
        <v>53</v>
      </c>
      <c r="Q354" s="26">
        <v>6</v>
      </c>
      <c r="R354" s="26">
        <v>1</v>
      </c>
      <c r="S354" s="26">
        <v>37</v>
      </c>
      <c r="T354" s="26">
        <v>20</v>
      </c>
      <c r="U354" s="26">
        <v>58</v>
      </c>
      <c r="V354" s="26">
        <v>1</v>
      </c>
      <c r="W354" s="26"/>
    </row>
    <row r="355" spans="1:23" x14ac:dyDescent="0.25">
      <c r="A355" s="26" t="s">
        <v>53</v>
      </c>
      <c r="B355" s="26" t="s">
        <v>1533</v>
      </c>
      <c r="C355" s="26" t="s">
        <v>1534</v>
      </c>
      <c r="D355" s="26" t="s">
        <v>179</v>
      </c>
      <c r="E355" s="26" t="s">
        <v>1535</v>
      </c>
      <c r="F355" s="26" t="s">
        <v>1536</v>
      </c>
      <c r="G355" s="26" t="s">
        <v>676</v>
      </c>
      <c r="H355" s="26" t="s">
        <v>687</v>
      </c>
      <c r="I355" s="26" t="s">
        <v>184</v>
      </c>
      <c r="J355" s="26" t="s">
        <v>375</v>
      </c>
      <c r="K355" s="26" t="s">
        <v>360</v>
      </c>
      <c r="L355" s="26" t="s">
        <v>79</v>
      </c>
      <c r="M355" s="26" t="s">
        <v>77</v>
      </c>
      <c r="N355" s="26">
        <v>43</v>
      </c>
      <c r="O355" s="26">
        <v>18</v>
      </c>
      <c r="P355" s="26">
        <v>25</v>
      </c>
      <c r="Q355" s="26">
        <v>2</v>
      </c>
      <c r="R355" s="26">
        <v>1</v>
      </c>
      <c r="S355" s="26">
        <v>4</v>
      </c>
      <c r="T355" s="26">
        <v>7</v>
      </c>
      <c r="U355" s="26">
        <v>12</v>
      </c>
      <c r="V355" s="26">
        <v>1</v>
      </c>
      <c r="W355" s="26"/>
    </row>
    <row r="356" spans="1:23" x14ac:dyDescent="0.25">
      <c r="A356" s="26" t="s">
        <v>53</v>
      </c>
      <c r="B356" s="26" t="s">
        <v>1537</v>
      </c>
      <c r="C356" s="26" t="s">
        <v>821</v>
      </c>
      <c r="D356" s="26" t="s">
        <v>179</v>
      </c>
      <c r="E356" s="26" t="s">
        <v>1538</v>
      </c>
      <c r="F356" s="26" t="s">
        <v>1096</v>
      </c>
      <c r="G356" s="26" t="s">
        <v>676</v>
      </c>
      <c r="H356" s="26" t="s">
        <v>687</v>
      </c>
      <c r="I356" s="26" t="s">
        <v>184</v>
      </c>
      <c r="J356" s="26" t="s">
        <v>375</v>
      </c>
      <c r="K356" s="26" t="s">
        <v>360</v>
      </c>
      <c r="L356" s="26" t="s">
        <v>79</v>
      </c>
      <c r="M356" s="26" t="s">
        <v>77</v>
      </c>
      <c r="N356" s="26">
        <v>31</v>
      </c>
      <c r="O356" s="26">
        <v>18</v>
      </c>
      <c r="P356" s="26">
        <v>13</v>
      </c>
      <c r="Q356" s="26">
        <v>2</v>
      </c>
      <c r="R356" s="26">
        <v>1</v>
      </c>
      <c r="S356" s="26">
        <v>4</v>
      </c>
      <c r="T356" s="26">
        <v>8</v>
      </c>
      <c r="U356" s="26">
        <v>13</v>
      </c>
      <c r="V356" s="26">
        <v>1</v>
      </c>
      <c r="W356" s="26"/>
    </row>
    <row r="357" spans="1:23" x14ac:dyDescent="0.25">
      <c r="A357" s="26" t="s">
        <v>53</v>
      </c>
      <c r="B357" s="26" t="s">
        <v>1539</v>
      </c>
      <c r="C357" s="26" t="s">
        <v>1540</v>
      </c>
      <c r="D357" s="26" t="s">
        <v>218</v>
      </c>
      <c r="E357" s="26" t="s">
        <v>5</v>
      </c>
      <c r="F357" s="26" t="s">
        <v>444</v>
      </c>
      <c r="G357" s="26" t="s">
        <v>265</v>
      </c>
      <c r="H357" s="26" t="s">
        <v>526</v>
      </c>
      <c r="I357" s="26" t="s">
        <v>184</v>
      </c>
      <c r="J357" s="26" t="s">
        <v>322</v>
      </c>
      <c r="K357" s="26" t="s">
        <v>360</v>
      </c>
      <c r="L357" s="26" t="s">
        <v>79</v>
      </c>
      <c r="M357" s="26" t="s">
        <v>77</v>
      </c>
      <c r="N357" s="26">
        <v>69</v>
      </c>
      <c r="O357" s="26">
        <v>32</v>
      </c>
      <c r="P357" s="26">
        <v>37</v>
      </c>
      <c r="Q357" s="26">
        <v>6</v>
      </c>
      <c r="R357" s="26">
        <v>1</v>
      </c>
      <c r="S357" s="26">
        <v>25</v>
      </c>
      <c r="T357" s="26">
        <v>25</v>
      </c>
      <c r="U357" s="26">
        <v>51</v>
      </c>
      <c r="V357" s="26">
        <v>1</v>
      </c>
      <c r="W357" s="26"/>
    </row>
    <row r="358" spans="1:23" x14ac:dyDescent="0.25">
      <c r="A358" s="26" t="s">
        <v>53</v>
      </c>
      <c r="B358" s="26" t="s">
        <v>1541</v>
      </c>
      <c r="C358" s="26" t="s">
        <v>1542</v>
      </c>
      <c r="D358" s="26" t="s">
        <v>179</v>
      </c>
      <c r="E358" s="26" t="s">
        <v>1543</v>
      </c>
      <c r="F358" s="26" t="s">
        <v>734</v>
      </c>
      <c r="G358" s="26" t="s">
        <v>198</v>
      </c>
      <c r="H358" s="26" t="s">
        <v>431</v>
      </c>
      <c r="I358" s="26" t="s">
        <v>184</v>
      </c>
      <c r="J358" s="26" t="s">
        <v>375</v>
      </c>
      <c r="K358" s="26" t="s">
        <v>360</v>
      </c>
      <c r="L358" s="26" t="s">
        <v>79</v>
      </c>
      <c r="M358" s="26" t="s">
        <v>77</v>
      </c>
      <c r="N358" s="26">
        <v>70</v>
      </c>
      <c r="O358" s="26">
        <v>39</v>
      </c>
      <c r="P358" s="26">
        <v>31</v>
      </c>
      <c r="Q358" s="26">
        <v>6</v>
      </c>
      <c r="R358" s="26">
        <v>1</v>
      </c>
      <c r="S358" s="26">
        <v>22</v>
      </c>
      <c r="T358" s="26">
        <v>31</v>
      </c>
      <c r="U358" s="26">
        <v>54</v>
      </c>
      <c r="V358" s="26">
        <v>1</v>
      </c>
      <c r="W358" s="26"/>
    </row>
    <row r="359" spans="1:23" x14ac:dyDescent="0.25">
      <c r="A359" s="26" t="s">
        <v>53</v>
      </c>
      <c r="B359" s="26" t="s">
        <v>1544</v>
      </c>
      <c r="C359" s="26" t="s">
        <v>1545</v>
      </c>
      <c r="D359" s="26" t="s">
        <v>218</v>
      </c>
      <c r="E359" s="26" t="s">
        <v>1546</v>
      </c>
      <c r="F359" s="26" t="s">
        <v>457</v>
      </c>
      <c r="G359" s="26" t="s">
        <v>182</v>
      </c>
      <c r="H359" s="26" t="s">
        <v>461</v>
      </c>
      <c r="I359" s="26" t="s">
        <v>184</v>
      </c>
      <c r="J359" s="26" t="s">
        <v>322</v>
      </c>
      <c r="K359" s="26" t="s">
        <v>360</v>
      </c>
      <c r="L359" s="26" t="s">
        <v>79</v>
      </c>
      <c r="M359" s="26" t="s">
        <v>77</v>
      </c>
      <c r="N359" s="26">
        <v>129</v>
      </c>
      <c r="O359" s="26">
        <v>55</v>
      </c>
      <c r="P359" s="26">
        <v>74</v>
      </c>
      <c r="Q359" s="26">
        <v>6</v>
      </c>
      <c r="R359" s="26">
        <v>1</v>
      </c>
      <c r="S359" s="26">
        <v>25</v>
      </c>
      <c r="T359" s="26">
        <v>23</v>
      </c>
      <c r="U359" s="26">
        <v>49</v>
      </c>
      <c r="V359" s="26">
        <v>1</v>
      </c>
      <c r="W359" s="26"/>
    </row>
    <row r="360" spans="1:23" x14ac:dyDescent="0.25">
      <c r="A360" s="26" t="s">
        <v>53</v>
      </c>
      <c r="B360" s="26" t="s">
        <v>1547</v>
      </c>
      <c r="C360" s="26" t="s">
        <v>1548</v>
      </c>
      <c r="D360" s="26" t="s">
        <v>179</v>
      </c>
      <c r="E360" s="26" t="s">
        <v>1549</v>
      </c>
      <c r="F360" s="26" t="s">
        <v>598</v>
      </c>
      <c r="G360" s="26" t="s">
        <v>182</v>
      </c>
      <c r="H360" s="26" t="s">
        <v>974</v>
      </c>
      <c r="I360" s="26" t="s">
        <v>184</v>
      </c>
      <c r="J360" s="26" t="s">
        <v>322</v>
      </c>
      <c r="K360" s="26" t="s">
        <v>360</v>
      </c>
      <c r="L360" s="26" t="s">
        <v>79</v>
      </c>
      <c r="M360" s="26" t="s">
        <v>77</v>
      </c>
      <c r="N360" s="26">
        <v>0</v>
      </c>
      <c r="O360" s="26">
        <v>0</v>
      </c>
      <c r="P360" s="26">
        <v>0</v>
      </c>
      <c r="Q360" s="26">
        <v>0</v>
      </c>
      <c r="R360" s="26">
        <v>1</v>
      </c>
      <c r="S360" s="26">
        <v>1</v>
      </c>
      <c r="T360" s="26">
        <v>5</v>
      </c>
      <c r="U360" s="26">
        <v>7</v>
      </c>
      <c r="V360" s="26">
        <v>1</v>
      </c>
      <c r="W360" s="26"/>
    </row>
    <row r="361" spans="1:23" x14ac:dyDescent="0.25">
      <c r="A361" s="26" t="s">
        <v>53</v>
      </c>
      <c r="B361" s="26" t="s">
        <v>1550</v>
      </c>
      <c r="C361" s="26" t="s">
        <v>1551</v>
      </c>
      <c r="D361" s="26" t="s">
        <v>179</v>
      </c>
      <c r="E361" s="26" t="s">
        <v>1552</v>
      </c>
      <c r="F361" s="26" t="s">
        <v>1553</v>
      </c>
      <c r="G361" s="26" t="s">
        <v>210</v>
      </c>
      <c r="H361" s="26" t="s">
        <v>881</v>
      </c>
      <c r="I361" s="26" t="s">
        <v>184</v>
      </c>
      <c r="J361" s="26" t="s">
        <v>322</v>
      </c>
      <c r="K361" s="26" t="s">
        <v>360</v>
      </c>
      <c r="L361" s="26" t="s">
        <v>79</v>
      </c>
      <c r="M361" s="26" t="s">
        <v>77</v>
      </c>
      <c r="N361" s="26">
        <v>0</v>
      </c>
      <c r="O361" s="26">
        <v>0</v>
      </c>
      <c r="P361" s="26">
        <v>0</v>
      </c>
      <c r="Q361" s="26">
        <v>0</v>
      </c>
      <c r="R361" s="26">
        <v>1</v>
      </c>
      <c r="S361" s="26">
        <v>0</v>
      </c>
      <c r="T361" s="26">
        <v>7</v>
      </c>
      <c r="U361" s="26">
        <v>8</v>
      </c>
      <c r="V361" s="26">
        <v>1</v>
      </c>
      <c r="W361" s="26"/>
    </row>
    <row r="362" spans="1:23" x14ac:dyDescent="0.25">
      <c r="A362" s="26" t="s">
        <v>53</v>
      </c>
      <c r="B362" s="26" t="s">
        <v>1554</v>
      </c>
      <c r="C362" s="26" t="s">
        <v>1555</v>
      </c>
      <c r="D362" s="26" t="s">
        <v>179</v>
      </c>
      <c r="E362" s="26" t="s">
        <v>1556</v>
      </c>
      <c r="F362" s="26" t="s">
        <v>1557</v>
      </c>
      <c r="G362" s="26" t="s">
        <v>210</v>
      </c>
      <c r="H362" s="26" t="s">
        <v>881</v>
      </c>
      <c r="I362" s="26" t="s">
        <v>184</v>
      </c>
      <c r="J362" s="26" t="s">
        <v>322</v>
      </c>
      <c r="K362" s="26" t="s">
        <v>360</v>
      </c>
      <c r="L362" s="26" t="s">
        <v>79</v>
      </c>
      <c r="M362" s="26" t="s">
        <v>77</v>
      </c>
      <c r="N362" s="26">
        <v>0</v>
      </c>
      <c r="O362" s="26">
        <v>0</v>
      </c>
      <c r="P362" s="26">
        <v>0</v>
      </c>
      <c r="Q362" s="26">
        <v>0</v>
      </c>
      <c r="R362" s="26">
        <v>1</v>
      </c>
      <c r="S362" s="26">
        <v>0</v>
      </c>
      <c r="T362" s="26">
        <v>3</v>
      </c>
      <c r="U362" s="26">
        <v>4</v>
      </c>
      <c r="V362" s="26">
        <v>1</v>
      </c>
      <c r="W362" s="26"/>
    </row>
    <row r="363" spans="1:23" x14ac:dyDescent="0.25">
      <c r="A363" s="26" t="s">
        <v>53</v>
      </c>
      <c r="B363" s="26" t="s">
        <v>1558</v>
      </c>
      <c r="C363" s="26" t="s">
        <v>1559</v>
      </c>
      <c r="D363" s="26" t="s">
        <v>179</v>
      </c>
      <c r="E363" s="26" t="s">
        <v>1560</v>
      </c>
      <c r="F363" s="26" t="s">
        <v>1561</v>
      </c>
      <c r="G363" s="26" t="s">
        <v>210</v>
      </c>
      <c r="H363" s="26" t="s">
        <v>1296</v>
      </c>
      <c r="I363" s="26" t="s">
        <v>184</v>
      </c>
      <c r="J363" s="26" t="s">
        <v>322</v>
      </c>
      <c r="K363" s="26" t="s">
        <v>360</v>
      </c>
      <c r="L363" s="26" t="s">
        <v>79</v>
      </c>
      <c r="M363" s="26" t="s">
        <v>77</v>
      </c>
      <c r="N363" s="26">
        <v>0</v>
      </c>
      <c r="O363" s="26">
        <v>0</v>
      </c>
      <c r="P363" s="26">
        <v>0</v>
      </c>
      <c r="Q363" s="26">
        <v>0</v>
      </c>
      <c r="R363" s="26">
        <v>1</v>
      </c>
      <c r="S363" s="26">
        <v>0</v>
      </c>
      <c r="T363" s="26">
        <v>1</v>
      </c>
      <c r="U363" s="26">
        <v>2</v>
      </c>
      <c r="V363" s="26">
        <v>1</v>
      </c>
      <c r="W363" s="26"/>
    </row>
    <row r="364" spans="1:23" x14ac:dyDescent="0.25">
      <c r="A364" s="26" t="s">
        <v>53</v>
      </c>
      <c r="B364" s="26" t="s">
        <v>1562</v>
      </c>
      <c r="C364" s="26" t="s">
        <v>1563</v>
      </c>
      <c r="D364" s="26" t="s">
        <v>179</v>
      </c>
      <c r="E364" s="26" t="s">
        <v>1564</v>
      </c>
      <c r="F364" s="26" t="s">
        <v>1565</v>
      </c>
      <c r="G364" s="26" t="s">
        <v>210</v>
      </c>
      <c r="H364" s="26" t="s">
        <v>881</v>
      </c>
      <c r="I364" s="26" t="s">
        <v>184</v>
      </c>
      <c r="J364" s="26" t="s">
        <v>322</v>
      </c>
      <c r="K364" s="26" t="s">
        <v>360</v>
      </c>
      <c r="L364" s="26" t="s">
        <v>79</v>
      </c>
      <c r="M364" s="26" t="s">
        <v>77</v>
      </c>
      <c r="N364" s="26">
        <v>0</v>
      </c>
      <c r="O364" s="26">
        <v>0</v>
      </c>
      <c r="P364" s="26">
        <v>0</v>
      </c>
      <c r="Q364" s="26">
        <v>0</v>
      </c>
      <c r="R364" s="26">
        <v>1</v>
      </c>
      <c r="S364" s="26">
        <v>1</v>
      </c>
      <c r="T364" s="26">
        <v>3</v>
      </c>
      <c r="U364" s="26">
        <v>5</v>
      </c>
      <c r="V364" s="26">
        <v>1</v>
      </c>
      <c r="W364" s="26"/>
    </row>
    <row r="365" spans="1:23" x14ac:dyDescent="0.25">
      <c r="A365" s="26" t="s">
        <v>53</v>
      </c>
      <c r="B365" s="26" t="s">
        <v>1566</v>
      </c>
      <c r="C365" s="26" t="s">
        <v>1567</v>
      </c>
      <c r="D365" s="26" t="s">
        <v>179</v>
      </c>
      <c r="E365" s="26" t="s">
        <v>1568</v>
      </c>
      <c r="F365" s="26" t="s">
        <v>1569</v>
      </c>
      <c r="G365" s="26" t="s">
        <v>413</v>
      </c>
      <c r="H365" s="26" t="s">
        <v>436</v>
      </c>
      <c r="I365" s="26" t="s">
        <v>184</v>
      </c>
      <c r="J365" s="26" t="s">
        <v>375</v>
      </c>
      <c r="K365" s="26" t="s">
        <v>360</v>
      </c>
      <c r="L365" s="26" t="s">
        <v>79</v>
      </c>
      <c r="M365" s="26" t="s">
        <v>77</v>
      </c>
      <c r="N365" s="26">
        <v>8</v>
      </c>
      <c r="O365" s="26">
        <v>2</v>
      </c>
      <c r="P365" s="26">
        <v>6</v>
      </c>
      <c r="Q365" s="26">
        <v>1</v>
      </c>
      <c r="R365" s="26">
        <v>1</v>
      </c>
      <c r="S365" s="26">
        <v>2</v>
      </c>
      <c r="T365" s="26">
        <v>4</v>
      </c>
      <c r="U365" s="26">
        <v>7</v>
      </c>
      <c r="V365" s="26">
        <v>1</v>
      </c>
      <c r="W365" s="26"/>
    </row>
    <row r="366" spans="1:23" x14ac:dyDescent="0.25">
      <c r="A366" s="26" t="s">
        <v>53</v>
      </c>
      <c r="B366" s="26" t="s">
        <v>1570</v>
      </c>
      <c r="C366" s="26" t="s">
        <v>1571</v>
      </c>
      <c r="D366" s="26" t="s">
        <v>218</v>
      </c>
      <c r="E366" s="26" t="s">
        <v>1572</v>
      </c>
      <c r="F366" s="26" t="s">
        <v>949</v>
      </c>
      <c r="G366" s="26" t="s">
        <v>413</v>
      </c>
      <c r="H366" s="26" t="s">
        <v>466</v>
      </c>
      <c r="I366" s="26" t="s">
        <v>184</v>
      </c>
      <c r="J366" s="26" t="s">
        <v>375</v>
      </c>
      <c r="K366" s="26" t="s">
        <v>360</v>
      </c>
      <c r="L366" s="26" t="s">
        <v>79</v>
      </c>
      <c r="M366" s="26" t="s">
        <v>77</v>
      </c>
      <c r="N366" s="26">
        <v>10</v>
      </c>
      <c r="O366" s="26">
        <v>2</v>
      </c>
      <c r="P366" s="26">
        <v>8</v>
      </c>
      <c r="Q366" s="26">
        <v>1</v>
      </c>
      <c r="R366" s="26">
        <v>1</v>
      </c>
      <c r="S366" s="26">
        <v>2</v>
      </c>
      <c r="T366" s="26">
        <v>7</v>
      </c>
      <c r="U366" s="26">
        <v>10</v>
      </c>
      <c r="V366" s="26">
        <v>1</v>
      </c>
      <c r="W366" s="26"/>
    </row>
    <row r="367" spans="1:23" x14ac:dyDescent="0.25">
      <c r="A367" s="26" t="s">
        <v>53</v>
      </c>
      <c r="B367" s="26" t="s">
        <v>1573</v>
      </c>
      <c r="C367" s="26" t="s">
        <v>1574</v>
      </c>
      <c r="D367" s="26" t="s">
        <v>179</v>
      </c>
      <c r="E367" s="26" t="s">
        <v>1575</v>
      </c>
      <c r="F367" s="26" t="s">
        <v>614</v>
      </c>
      <c r="G367" s="26" t="s">
        <v>413</v>
      </c>
      <c r="H367" s="26" t="s">
        <v>466</v>
      </c>
      <c r="I367" s="26" t="s">
        <v>184</v>
      </c>
      <c r="J367" s="26" t="s">
        <v>375</v>
      </c>
      <c r="K367" s="26" t="s">
        <v>360</v>
      </c>
      <c r="L367" s="26" t="s">
        <v>79</v>
      </c>
      <c r="M367" s="26" t="s">
        <v>77</v>
      </c>
      <c r="N367" s="26">
        <v>10</v>
      </c>
      <c r="O367" s="26">
        <v>2</v>
      </c>
      <c r="P367" s="26">
        <v>8</v>
      </c>
      <c r="Q367" s="26">
        <v>1</v>
      </c>
      <c r="R367" s="26">
        <v>1</v>
      </c>
      <c r="S367" s="26">
        <v>2</v>
      </c>
      <c r="T367" s="26">
        <v>7</v>
      </c>
      <c r="U367" s="26">
        <v>10</v>
      </c>
      <c r="V367" s="26">
        <v>1</v>
      </c>
      <c r="W367" s="26"/>
    </row>
    <row r="368" spans="1:23" x14ac:dyDescent="0.25">
      <c r="A368" s="26" t="s">
        <v>53</v>
      </c>
      <c r="B368" s="26" t="s">
        <v>1576</v>
      </c>
      <c r="C368" s="26" t="s">
        <v>1577</v>
      </c>
      <c r="D368" s="26" t="s">
        <v>179</v>
      </c>
      <c r="E368" s="26" t="s">
        <v>1578</v>
      </c>
      <c r="F368" s="26" t="s">
        <v>1579</v>
      </c>
      <c r="G368" s="26" t="s">
        <v>487</v>
      </c>
      <c r="H368" s="26" t="s">
        <v>926</v>
      </c>
      <c r="I368" s="26" t="s">
        <v>184</v>
      </c>
      <c r="J368" s="26" t="s">
        <v>375</v>
      </c>
      <c r="K368" s="26" t="s">
        <v>360</v>
      </c>
      <c r="L368" s="26" t="s">
        <v>79</v>
      </c>
      <c r="M368" s="26" t="s">
        <v>77</v>
      </c>
      <c r="N368" s="26">
        <v>28</v>
      </c>
      <c r="O368" s="26">
        <v>16</v>
      </c>
      <c r="P368" s="26">
        <v>12</v>
      </c>
      <c r="Q368" s="26">
        <v>3</v>
      </c>
      <c r="R368" s="26">
        <v>1</v>
      </c>
      <c r="S368" s="26">
        <v>6</v>
      </c>
      <c r="T368" s="26">
        <v>9</v>
      </c>
      <c r="U368" s="26">
        <v>16</v>
      </c>
      <c r="V368" s="26">
        <v>1</v>
      </c>
      <c r="W368" s="26"/>
    </row>
    <row r="369" spans="1:23" x14ac:dyDescent="0.25">
      <c r="A369" s="26" t="s">
        <v>53</v>
      </c>
      <c r="B369" s="26" t="s">
        <v>1580</v>
      </c>
      <c r="C369" s="26" t="s">
        <v>1581</v>
      </c>
      <c r="D369" s="26" t="s">
        <v>179</v>
      </c>
      <c r="E369" s="26" t="s">
        <v>1582</v>
      </c>
      <c r="F369" s="26" t="s">
        <v>1355</v>
      </c>
      <c r="G369" s="26" t="s">
        <v>413</v>
      </c>
      <c r="H369" s="26" t="s">
        <v>436</v>
      </c>
      <c r="I369" s="26" t="s">
        <v>184</v>
      </c>
      <c r="J369" s="26" t="s">
        <v>375</v>
      </c>
      <c r="K369" s="26" t="s">
        <v>360</v>
      </c>
      <c r="L369" s="26" t="s">
        <v>79</v>
      </c>
      <c r="M369" s="26" t="s">
        <v>77</v>
      </c>
      <c r="N369" s="26">
        <v>0</v>
      </c>
      <c r="O369" s="26">
        <v>0</v>
      </c>
      <c r="P369" s="26">
        <v>0</v>
      </c>
      <c r="Q369" s="26">
        <v>0</v>
      </c>
      <c r="R369" s="26">
        <v>1</v>
      </c>
      <c r="S369" s="26">
        <v>1</v>
      </c>
      <c r="T369" s="26">
        <v>8</v>
      </c>
      <c r="U369" s="26">
        <v>10</v>
      </c>
      <c r="V369" s="26">
        <v>1</v>
      </c>
      <c r="W369" s="26"/>
    </row>
    <row r="370" spans="1:23" x14ac:dyDescent="0.25">
      <c r="A370" s="26" t="s">
        <v>53</v>
      </c>
      <c r="B370" s="26" t="s">
        <v>1583</v>
      </c>
      <c r="C370" s="26" t="s">
        <v>1584</v>
      </c>
      <c r="D370" s="26" t="s">
        <v>179</v>
      </c>
      <c r="E370" s="26" t="s">
        <v>1585</v>
      </c>
      <c r="F370" s="26" t="s">
        <v>1586</v>
      </c>
      <c r="G370" s="26" t="s">
        <v>210</v>
      </c>
      <c r="H370" s="26" t="s">
        <v>1296</v>
      </c>
      <c r="I370" s="26" t="s">
        <v>184</v>
      </c>
      <c r="J370" s="26" t="s">
        <v>322</v>
      </c>
      <c r="K370" s="26" t="s">
        <v>360</v>
      </c>
      <c r="L370" s="26" t="s">
        <v>79</v>
      </c>
      <c r="M370" s="26" t="s">
        <v>77</v>
      </c>
      <c r="N370" s="26">
        <v>0</v>
      </c>
      <c r="O370" s="26">
        <v>0</v>
      </c>
      <c r="P370" s="26">
        <v>0</v>
      </c>
      <c r="Q370" s="26">
        <v>0</v>
      </c>
      <c r="R370" s="26">
        <v>1</v>
      </c>
      <c r="S370" s="26">
        <v>0</v>
      </c>
      <c r="T370" s="26">
        <v>13</v>
      </c>
      <c r="U370" s="26">
        <v>14</v>
      </c>
      <c r="V370" s="26">
        <v>1</v>
      </c>
      <c r="W370" s="26"/>
    </row>
    <row r="371" spans="1:23" x14ac:dyDescent="0.25">
      <c r="A371" s="26" t="s">
        <v>53</v>
      </c>
      <c r="B371" s="26" t="s">
        <v>1587</v>
      </c>
      <c r="C371" s="26" t="s">
        <v>1588</v>
      </c>
      <c r="D371" s="26" t="s">
        <v>179</v>
      </c>
      <c r="E371" s="26" t="s">
        <v>1589</v>
      </c>
      <c r="F371" s="26" t="s">
        <v>681</v>
      </c>
      <c r="G371" s="26" t="s">
        <v>293</v>
      </c>
      <c r="H371" s="26" t="s">
        <v>301</v>
      </c>
      <c r="I371" s="26" t="s">
        <v>184</v>
      </c>
      <c r="J371" s="26" t="s">
        <v>696</v>
      </c>
      <c r="K371" s="26" t="s">
        <v>296</v>
      </c>
      <c r="L371" s="26" t="s">
        <v>80</v>
      </c>
      <c r="M371" s="26" t="s">
        <v>77</v>
      </c>
      <c r="N371" s="26">
        <v>0</v>
      </c>
      <c r="O371" s="26">
        <v>0</v>
      </c>
      <c r="P371" s="26">
        <v>0</v>
      </c>
      <c r="Q371" s="26">
        <v>0</v>
      </c>
      <c r="R371" s="26">
        <v>1</v>
      </c>
      <c r="S371" s="26">
        <v>0</v>
      </c>
      <c r="T371" s="26">
        <v>2</v>
      </c>
      <c r="U371" s="26">
        <v>3</v>
      </c>
      <c r="V371" s="26">
        <v>1</v>
      </c>
      <c r="W371" s="26"/>
    </row>
    <row r="372" spans="1:23" x14ac:dyDescent="0.25">
      <c r="A372" s="26" t="s">
        <v>53</v>
      </c>
      <c r="B372" s="26" t="s">
        <v>1590</v>
      </c>
      <c r="C372" s="26" t="s">
        <v>1591</v>
      </c>
      <c r="D372" s="26" t="s">
        <v>179</v>
      </c>
      <c r="E372" s="26" t="s">
        <v>1592</v>
      </c>
      <c r="F372" s="26" t="s">
        <v>1593</v>
      </c>
      <c r="G372" s="26" t="s">
        <v>191</v>
      </c>
      <c r="H372" s="26" t="s">
        <v>1347</v>
      </c>
      <c r="I372" s="26" t="s">
        <v>184</v>
      </c>
      <c r="J372" s="26" t="s">
        <v>427</v>
      </c>
      <c r="K372" s="26" t="s">
        <v>360</v>
      </c>
      <c r="L372" s="26" t="s">
        <v>79</v>
      </c>
      <c r="M372" s="26" t="s">
        <v>77</v>
      </c>
      <c r="N372" s="26">
        <v>13</v>
      </c>
      <c r="O372" s="26">
        <v>7</v>
      </c>
      <c r="P372" s="26">
        <v>6</v>
      </c>
      <c r="Q372" s="26">
        <v>1</v>
      </c>
      <c r="R372" s="26">
        <v>1</v>
      </c>
      <c r="S372" s="26">
        <v>3</v>
      </c>
      <c r="T372" s="26">
        <v>10</v>
      </c>
      <c r="U372" s="26">
        <v>14</v>
      </c>
      <c r="V372" s="26">
        <v>1</v>
      </c>
      <c r="W372" s="26"/>
    </row>
    <row r="373" spans="1:23" x14ac:dyDescent="0.25">
      <c r="A373" s="26" t="s">
        <v>53</v>
      </c>
      <c r="B373" s="26" t="s">
        <v>1594</v>
      </c>
      <c r="C373" s="26" t="s">
        <v>1387</v>
      </c>
      <c r="D373" s="26" t="s">
        <v>179</v>
      </c>
      <c r="E373" s="26" t="s">
        <v>1595</v>
      </c>
      <c r="F373" s="26" t="s">
        <v>1596</v>
      </c>
      <c r="G373" s="26" t="s">
        <v>210</v>
      </c>
      <c r="H373" s="26" t="s">
        <v>886</v>
      </c>
      <c r="I373" s="26" t="s">
        <v>184</v>
      </c>
      <c r="J373" s="26" t="s">
        <v>322</v>
      </c>
      <c r="K373" s="26" t="s">
        <v>360</v>
      </c>
      <c r="L373" s="26" t="s">
        <v>79</v>
      </c>
      <c r="M373" s="26" t="s">
        <v>77</v>
      </c>
      <c r="N373" s="26">
        <v>0</v>
      </c>
      <c r="O373" s="26">
        <v>0</v>
      </c>
      <c r="P373" s="26">
        <v>0</v>
      </c>
      <c r="Q373" s="26">
        <v>0</v>
      </c>
      <c r="R373" s="26">
        <v>1</v>
      </c>
      <c r="S373" s="26">
        <v>0</v>
      </c>
      <c r="T373" s="26">
        <v>7</v>
      </c>
      <c r="U373" s="26">
        <v>8</v>
      </c>
      <c r="V373" s="26">
        <v>1</v>
      </c>
      <c r="W373" s="26"/>
    </row>
    <row r="374" spans="1:23" x14ac:dyDescent="0.25">
      <c r="A374" s="26" t="s">
        <v>53</v>
      </c>
      <c r="B374" s="26" t="s">
        <v>1597</v>
      </c>
      <c r="C374" s="26" t="s">
        <v>1598</v>
      </c>
      <c r="D374" s="26" t="s">
        <v>179</v>
      </c>
      <c r="E374" s="26" t="s">
        <v>1599</v>
      </c>
      <c r="F374" s="26" t="s">
        <v>598</v>
      </c>
      <c r="G374" s="26" t="s">
        <v>182</v>
      </c>
      <c r="H374" s="26" t="s">
        <v>974</v>
      </c>
      <c r="I374" s="26" t="s">
        <v>184</v>
      </c>
      <c r="J374" s="26" t="s">
        <v>322</v>
      </c>
      <c r="K374" s="26" t="s">
        <v>360</v>
      </c>
      <c r="L374" s="26" t="s">
        <v>79</v>
      </c>
      <c r="M374" s="26" t="s">
        <v>77</v>
      </c>
      <c r="N374" s="26">
        <v>12</v>
      </c>
      <c r="O374" s="26">
        <v>6</v>
      </c>
      <c r="P374" s="26">
        <v>6</v>
      </c>
      <c r="Q374" s="26">
        <v>2</v>
      </c>
      <c r="R374" s="26">
        <v>1</v>
      </c>
      <c r="S374" s="26">
        <v>4</v>
      </c>
      <c r="T374" s="26">
        <v>4</v>
      </c>
      <c r="U374" s="26">
        <v>9</v>
      </c>
      <c r="V374" s="26">
        <v>1</v>
      </c>
      <c r="W374" s="26"/>
    </row>
    <row r="375" spans="1:23" x14ac:dyDescent="0.25">
      <c r="A375" s="26" t="s">
        <v>53</v>
      </c>
      <c r="B375" s="26" t="s">
        <v>1600</v>
      </c>
      <c r="C375" s="26" t="s">
        <v>1601</v>
      </c>
      <c r="D375" s="26" t="s">
        <v>179</v>
      </c>
      <c r="E375" s="26" t="s">
        <v>1602</v>
      </c>
      <c r="F375" s="26" t="s">
        <v>1462</v>
      </c>
      <c r="G375" s="26" t="s">
        <v>278</v>
      </c>
      <c r="H375" s="26" t="s">
        <v>408</v>
      </c>
      <c r="I375" s="26" t="s">
        <v>184</v>
      </c>
      <c r="J375" s="26" t="s">
        <v>375</v>
      </c>
      <c r="K375" s="26" t="s">
        <v>360</v>
      </c>
      <c r="L375" s="26" t="s">
        <v>79</v>
      </c>
      <c r="M375" s="26" t="s">
        <v>77</v>
      </c>
      <c r="N375" s="26">
        <v>0</v>
      </c>
      <c r="O375" s="26">
        <v>0</v>
      </c>
      <c r="P375" s="26">
        <v>0</v>
      </c>
      <c r="Q375" s="26">
        <v>0</v>
      </c>
      <c r="R375" s="26">
        <v>1</v>
      </c>
      <c r="S375" s="26">
        <v>0</v>
      </c>
      <c r="T375" s="26">
        <v>3</v>
      </c>
      <c r="U375" s="26">
        <v>4</v>
      </c>
      <c r="V375" s="26">
        <v>1</v>
      </c>
      <c r="W375" s="26"/>
    </row>
    <row r="376" spans="1:23" x14ac:dyDescent="0.25">
      <c r="A376" s="26" t="s">
        <v>53</v>
      </c>
      <c r="B376" s="26" t="s">
        <v>1603</v>
      </c>
      <c r="C376" s="26" t="s">
        <v>1604</v>
      </c>
      <c r="D376" s="26" t="s">
        <v>179</v>
      </c>
      <c r="E376" s="26" t="s">
        <v>1605</v>
      </c>
      <c r="F376" s="26" t="s">
        <v>1606</v>
      </c>
      <c r="G376" s="26" t="s">
        <v>293</v>
      </c>
      <c r="H376" s="26" t="s">
        <v>594</v>
      </c>
      <c r="I376" s="26" t="s">
        <v>184</v>
      </c>
      <c r="J376" s="26" t="s">
        <v>295</v>
      </c>
      <c r="K376" s="26" t="s">
        <v>296</v>
      </c>
      <c r="L376" s="26" t="s">
        <v>80</v>
      </c>
      <c r="M376" s="26" t="s">
        <v>77</v>
      </c>
      <c r="N376" s="26">
        <v>5</v>
      </c>
      <c r="O376" s="26">
        <v>3</v>
      </c>
      <c r="P376" s="26">
        <v>2</v>
      </c>
      <c r="Q376" s="26">
        <v>1</v>
      </c>
      <c r="R376" s="26">
        <v>1</v>
      </c>
      <c r="S376" s="26">
        <v>1</v>
      </c>
      <c r="T376" s="26">
        <v>4</v>
      </c>
      <c r="U376" s="26">
        <v>6</v>
      </c>
      <c r="V376" s="26">
        <v>1</v>
      </c>
      <c r="W376" s="26"/>
    </row>
    <row r="377" spans="1:23" x14ac:dyDescent="0.25">
      <c r="A377" s="26" t="s">
        <v>53</v>
      </c>
      <c r="B377" s="26" t="s">
        <v>1607</v>
      </c>
      <c r="C377" s="26" t="s">
        <v>1608</v>
      </c>
      <c r="D377" s="26" t="s">
        <v>179</v>
      </c>
      <c r="E377" s="26" t="s">
        <v>1609</v>
      </c>
      <c r="F377" s="26" t="s">
        <v>1610</v>
      </c>
      <c r="G377" s="26" t="s">
        <v>293</v>
      </c>
      <c r="H377" s="26" t="s">
        <v>351</v>
      </c>
      <c r="I377" s="26" t="s">
        <v>184</v>
      </c>
      <c r="J377" s="26" t="s">
        <v>503</v>
      </c>
      <c r="K377" s="26" t="s">
        <v>296</v>
      </c>
      <c r="L377" s="26" t="s">
        <v>80</v>
      </c>
      <c r="M377" s="26" t="s">
        <v>77</v>
      </c>
      <c r="N377" s="26">
        <v>0</v>
      </c>
      <c r="O377" s="26">
        <v>0</v>
      </c>
      <c r="P377" s="26">
        <v>0</v>
      </c>
      <c r="Q377" s="26">
        <v>0</v>
      </c>
      <c r="R377" s="26">
        <v>1</v>
      </c>
      <c r="S377" s="26">
        <v>1</v>
      </c>
      <c r="T377" s="26">
        <v>6</v>
      </c>
      <c r="U377" s="26">
        <v>8</v>
      </c>
      <c r="V377" s="26">
        <v>1</v>
      </c>
      <c r="W377" s="26"/>
    </row>
    <row r="378" spans="1:23" x14ac:dyDescent="0.25">
      <c r="A378" s="26" t="s">
        <v>53</v>
      </c>
      <c r="B378" s="26" t="s">
        <v>1611</v>
      </c>
      <c r="C378" s="26" t="s">
        <v>648</v>
      </c>
      <c r="D378" s="26" t="s">
        <v>179</v>
      </c>
      <c r="E378" s="26" t="s">
        <v>1612</v>
      </c>
      <c r="F378" s="26" t="s">
        <v>522</v>
      </c>
      <c r="G378" s="26" t="s">
        <v>293</v>
      </c>
      <c r="H378" s="26" t="s">
        <v>301</v>
      </c>
      <c r="I378" s="26" t="s">
        <v>184</v>
      </c>
      <c r="J378" s="26" t="s">
        <v>696</v>
      </c>
      <c r="K378" s="26" t="s">
        <v>296</v>
      </c>
      <c r="L378" s="26" t="s">
        <v>80</v>
      </c>
      <c r="M378" s="26" t="s">
        <v>77</v>
      </c>
      <c r="N378" s="26">
        <v>11</v>
      </c>
      <c r="O378" s="26">
        <v>6</v>
      </c>
      <c r="P378" s="26">
        <v>5</v>
      </c>
      <c r="Q378" s="26">
        <v>1</v>
      </c>
      <c r="R378" s="26">
        <v>1</v>
      </c>
      <c r="S378" s="26">
        <v>2</v>
      </c>
      <c r="T378" s="26">
        <v>4</v>
      </c>
      <c r="U378" s="26">
        <v>7</v>
      </c>
      <c r="V378" s="26">
        <v>1</v>
      </c>
      <c r="W378" s="26"/>
    </row>
    <row r="379" spans="1:23" x14ac:dyDescent="0.25">
      <c r="A379" s="26" t="s">
        <v>53</v>
      </c>
      <c r="B379" s="26" t="s">
        <v>1613</v>
      </c>
      <c r="C379" s="26" t="s">
        <v>1614</v>
      </c>
      <c r="D379" s="26" t="s">
        <v>179</v>
      </c>
      <c r="E379" s="26" t="s">
        <v>1615</v>
      </c>
      <c r="F379" s="26" t="s">
        <v>1086</v>
      </c>
      <c r="G379" s="26" t="s">
        <v>487</v>
      </c>
      <c r="H379" s="26" t="s">
        <v>1307</v>
      </c>
      <c r="I379" s="26" t="s">
        <v>184</v>
      </c>
      <c r="J379" s="26" t="s">
        <v>375</v>
      </c>
      <c r="K379" s="26" t="s">
        <v>360</v>
      </c>
      <c r="L379" s="26" t="s">
        <v>79</v>
      </c>
      <c r="M379" s="26" t="s">
        <v>77</v>
      </c>
      <c r="N379" s="26">
        <v>43</v>
      </c>
      <c r="O379" s="26">
        <v>21</v>
      </c>
      <c r="P379" s="26">
        <v>22</v>
      </c>
      <c r="Q379" s="26">
        <v>3</v>
      </c>
      <c r="R379" s="26">
        <v>1</v>
      </c>
      <c r="S379" s="26">
        <v>11</v>
      </c>
      <c r="T379" s="26">
        <v>17</v>
      </c>
      <c r="U379" s="26">
        <v>29</v>
      </c>
      <c r="V379" s="26">
        <v>1</v>
      </c>
      <c r="W379" s="26"/>
    </row>
    <row r="380" spans="1:23" x14ac:dyDescent="0.25">
      <c r="A380" s="26" t="s">
        <v>53</v>
      </c>
      <c r="B380" s="26" t="s">
        <v>1616</v>
      </c>
      <c r="C380" s="26" t="s">
        <v>1617</v>
      </c>
      <c r="D380" s="26" t="s">
        <v>179</v>
      </c>
      <c r="E380" s="26" t="s">
        <v>1618</v>
      </c>
      <c r="F380" s="26" t="s">
        <v>577</v>
      </c>
      <c r="G380" s="26" t="s">
        <v>278</v>
      </c>
      <c r="H380" s="26" t="s">
        <v>623</v>
      </c>
      <c r="I380" s="26" t="s">
        <v>184</v>
      </c>
      <c r="J380" s="26" t="s">
        <v>375</v>
      </c>
      <c r="K380" s="26" t="s">
        <v>360</v>
      </c>
      <c r="L380" s="26" t="s">
        <v>79</v>
      </c>
      <c r="M380" s="26" t="s">
        <v>77</v>
      </c>
      <c r="N380" s="26">
        <v>59</v>
      </c>
      <c r="O380" s="26">
        <v>35</v>
      </c>
      <c r="P380" s="26">
        <v>24</v>
      </c>
      <c r="Q380" s="26">
        <v>3</v>
      </c>
      <c r="R380" s="26">
        <v>1</v>
      </c>
      <c r="S380" s="26">
        <v>7</v>
      </c>
      <c r="T380" s="26">
        <v>18</v>
      </c>
      <c r="U380" s="26">
        <v>26</v>
      </c>
      <c r="V380" s="26">
        <v>1</v>
      </c>
      <c r="W380" s="26"/>
    </row>
    <row r="381" spans="1:23" x14ac:dyDescent="0.25">
      <c r="A381" s="26" t="s">
        <v>53</v>
      </c>
      <c r="B381" s="26" t="s">
        <v>1619</v>
      </c>
      <c r="C381" s="26" t="s">
        <v>1620</v>
      </c>
      <c r="D381" s="26" t="s">
        <v>179</v>
      </c>
      <c r="E381" s="26" t="s">
        <v>1621</v>
      </c>
      <c r="F381" s="26" t="s">
        <v>1622</v>
      </c>
      <c r="G381" s="26" t="s">
        <v>637</v>
      </c>
      <c r="H381" s="26" t="s">
        <v>638</v>
      </c>
      <c r="I381" s="26" t="s">
        <v>184</v>
      </c>
      <c r="J381" s="26" t="s">
        <v>427</v>
      </c>
      <c r="K381" s="26" t="s">
        <v>360</v>
      </c>
      <c r="L381" s="26" t="s">
        <v>79</v>
      </c>
      <c r="M381" s="26" t="s">
        <v>77</v>
      </c>
      <c r="N381" s="26">
        <v>37</v>
      </c>
      <c r="O381" s="26">
        <v>22</v>
      </c>
      <c r="P381" s="26">
        <v>15</v>
      </c>
      <c r="Q381" s="26">
        <v>5</v>
      </c>
      <c r="R381" s="26">
        <v>1</v>
      </c>
      <c r="S381" s="26">
        <v>11</v>
      </c>
      <c r="T381" s="26">
        <v>21</v>
      </c>
      <c r="U381" s="26">
        <v>33</v>
      </c>
      <c r="V381" s="26">
        <v>1</v>
      </c>
      <c r="W381" s="26"/>
    </row>
    <row r="382" spans="1:23" x14ac:dyDescent="0.25">
      <c r="A382" s="26" t="s">
        <v>53</v>
      </c>
      <c r="B382" s="26" t="s">
        <v>1623</v>
      </c>
      <c r="C382" s="26" t="s">
        <v>1624</v>
      </c>
      <c r="D382" s="26" t="s">
        <v>179</v>
      </c>
      <c r="E382" s="26" t="s">
        <v>1625</v>
      </c>
      <c r="F382" s="26" t="s">
        <v>1626</v>
      </c>
      <c r="G382" s="26" t="s">
        <v>487</v>
      </c>
      <c r="H382" s="26" t="s">
        <v>926</v>
      </c>
      <c r="I382" s="26" t="s">
        <v>184</v>
      </c>
      <c r="J382" s="26" t="s">
        <v>322</v>
      </c>
      <c r="K382" s="26" t="s">
        <v>360</v>
      </c>
      <c r="L382" s="26" t="s">
        <v>79</v>
      </c>
      <c r="M382" s="26" t="s">
        <v>77</v>
      </c>
      <c r="N382" s="26">
        <v>19</v>
      </c>
      <c r="O382" s="26">
        <v>8</v>
      </c>
      <c r="P382" s="26">
        <v>11</v>
      </c>
      <c r="Q382" s="26">
        <v>1</v>
      </c>
      <c r="R382" s="26">
        <v>1</v>
      </c>
      <c r="S382" s="26">
        <v>2</v>
      </c>
      <c r="T382" s="26">
        <v>4</v>
      </c>
      <c r="U382" s="26">
        <v>7</v>
      </c>
      <c r="V382" s="26">
        <v>1</v>
      </c>
      <c r="W382" s="26"/>
    </row>
    <row r="383" spans="1:23" x14ac:dyDescent="0.25">
      <c r="A383" s="26" t="s">
        <v>53</v>
      </c>
      <c r="B383" s="26" t="s">
        <v>1627</v>
      </c>
      <c r="C383" s="26" t="s">
        <v>1628</v>
      </c>
      <c r="D383" s="26" t="s">
        <v>179</v>
      </c>
      <c r="E383" s="26" t="s">
        <v>1629</v>
      </c>
      <c r="F383" s="26" t="s">
        <v>1630</v>
      </c>
      <c r="G383" s="26" t="s">
        <v>210</v>
      </c>
      <c r="H383" s="26" t="s">
        <v>881</v>
      </c>
      <c r="I383" s="26" t="s">
        <v>184</v>
      </c>
      <c r="J383" s="26" t="s">
        <v>322</v>
      </c>
      <c r="K383" s="26" t="s">
        <v>360</v>
      </c>
      <c r="L383" s="26" t="s">
        <v>79</v>
      </c>
      <c r="M383" s="26" t="s">
        <v>77</v>
      </c>
      <c r="N383" s="26">
        <v>0</v>
      </c>
      <c r="O383" s="26">
        <v>0</v>
      </c>
      <c r="P383" s="26">
        <v>0</v>
      </c>
      <c r="Q383" s="26">
        <v>0</v>
      </c>
      <c r="R383" s="26">
        <v>1</v>
      </c>
      <c r="S383" s="26">
        <v>0</v>
      </c>
      <c r="T383" s="26">
        <v>2</v>
      </c>
      <c r="U383" s="26">
        <v>3</v>
      </c>
      <c r="V383" s="26">
        <v>1</v>
      </c>
      <c r="W383" s="26"/>
    </row>
    <row r="384" spans="1:23" x14ac:dyDescent="0.25">
      <c r="A384" s="26" t="s">
        <v>53</v>
      </c>
      <c r="B384" s="26" t="s">
        <v>1631</v>
      </c>
      <c r="C384" s="26" t="s">
        <v>1632</v>
      </c>
      <c r="D384" s="26" t="s">
        <v>179</v>
      </c>
      <c r="E384" s="26" t="s">
        <v>1633</v>
      </c>
      <c r="F384" s="26" t="s">
        <v>1634</v>
      </c>
      <c r="G384" s="26" t="s">
        <v>651</v>
      </c>
      <c r="H384" s="26" t="s">
        <v>652</v>
      </c>
      <c r="I384" s="26" t="s">
        <v>184</v>
      </c>
      <c r="J384" s="26" t="s">
        <v>427</v>
      </c>
      <c r="K384" s="26" t="s">
        <v>360</v>
      </c>
      <c r="L384" s="26" t="s">
        <v>79</v>
      </c>
      <c r="M384" s="26" t="s">
        <v>77</v>
      </c>
      <c r="N384" s="26">
        <v>24</v>
      </c>
      <c r="O384" s="26">
        <v>11</v>
      </c>
      <c r="P384" s="26">
        <v>13</v>
      </c>
      <c r="Q384" s="26">
        <v>1</v>
      </c>
      <c r="R384" s="26">
        <v>1</v>
      </c>
      <c r="S384" s="26">
        <v>2</v>
      </c>
      <c r="T384" s="26">
        <v>12</v>
      </c>
      <c r="U384" s="26">
        <v>15</v>
      </c>
      <c r="V384" s="26">
        <v>1</v>
      </c>
      <c r="W384" s="26"/>
    </row>
    <row r="385" spans="1:23" x14ac:dyDescent="0.25">
      <c r="A385" s="26" t="s">
        <v>53</v>
      </c>
      <c r="B385" s="26" t="s">
        <v>1635</v>
      </c>
      <c r="C385" s="26" t="s">
        <v>1636</v>
      </c>
      <c r="D385" s="26" t="s">
        <v>179</v>
      </c>
      <c r="E385" s="26" t="s">
        <v>1637</v>
      </c>
      <c r="F385" s="26" t="s">
        <v>1638</v>
      </c>
      <c r="G385" s="26" t="s">
        <v>651</v>
      </c>
      <c r="H385" s="26" t="s">
        <v>652</v>
      </c>
      <c r="I385" s="26" t="s">
        <v>184</v>
      </c>
      <c r="J385" s="26" t="s">
        <v>427</v>
      </c>
      <c r="K385" s="26" t="s">
        <v>360</v>
      </c>
      <c r="L385" s="26" t="s">
        <v>79</v>
      </c>
      <c r="M385" s="26" t="s">
        <v>77</v>
      </c>
      <c r="N385" s="26">
        <v>10</v>
      </c>
      <c r="O385" s="26">
        <v>8</v>
      </c>
      <c r="P385" s="26">
        <v>2</v>
      </c>
      <c r="Q385" s="26">
        <v>1</v>
      </c>
      <c r="R385" s="26">
        <v>1</v>
      </c>
      <c r="S385" s="26">
        <v>1</v>
      </c>
      <c r="T385" s="26">
        <v>9</v>
      </c>
      <c r="U385" s="26">
        <v>11</v>
      </c>
      <c r="V385" s="26">
        <v>1</v>
      </c>
      <c r="W385" s="26"/>
    </row>
    <row r="386" spans="1:23" x14ac:dyDescent="0.25">
      <c r="A386" s="26" t="s">
        <v>53</v>
      </c>
      <c r="B386" s="26" t="s">
        <v>1639</v>
      </c>
      <c r="C386" s="26" t="s">
        <v>1640</v>
      </c>
      <c r="D386" s="26" t="s">
        <v>179</v>
      </c>
      <c r="E386" s="26" t="s">
        <v>1641</v>
      </c>
      <c r="F386" s="26" t="s">
        <v>1642</v>
      </c>
      <c r="G386" s="26" t="s">
        <v>651</v>
      </c>
      <c r="H386" s="26" t="s">
        <v>652</v>
      </c>
      <c r="I386" s="26" t="s">
        <v>184</v>
      </c>
      <c r="J386" s="26" t="s">
        <v>427</v>
      </c>
      <c r="K386" s="26" t="s">
        <v>360</v>
      </c>
      <c r="L386" s="26" t="s">
        <v>79</v>
      </c>
      <c r="M386" s="26" t="s">
        <v>77</v>
      </c>
      <c r="N386" s="26">
        <v>17</v>
      </c>
      <c r="O386" s="26">
        <v>13</v>
      </c>
      <c r="P386" s="26">
        <v>4</v>
      </c>
      <c r="Q386" s="26">
        <v>1</v>
      </c>
      <c r="R386" s="26">
        <v>1</v>
      </c>
      <c r="S386" s="26">
        <v>2</v>
      </c>
      <c r="T386" s="26">
        <v>11</v>
      </c>
      <c r="U386" s="26">
        <v>14</v>
      </c>
      <c r="V386" s="26">
        <v>1</v>
      </c>
      <c r="W386" s="26"/>
    </row>
    <row r="387" spans="1:23" x14ac:dyDescent="0.25">
      <c r="A387" s="26" t="s">
        <v>53</v>
      </c>
      <c r="B387" s="26" t="s">
        <v>1643</v>
      </c>
      <c r="C387" s="26" t="s">
        <v>1644</v>
      </c>
      <c r="D387" s="26" t="s">
        <v>179</v>
      </c>
      <c r="E387" s="26" t="s">
        <v>1645</v>
      </c>
      <c r="F387" s="26" t="s">
        <v>1646</v>
      </c>
      <c r="G387" s="26" t="s">
        <v>651</v>
      </c>
      <c r="H387" s="26" t="s">
        <v>652</v>
      </c>
      <c r="I387" s="26" t="s">
        <v>184</v>
      </c>
      <c r="J387" s="26" t="s">
        <v>427</v>
      </c>
      <c r="K387" s="26" t="s">
        <v>360</v>
      </c>
      <c r="L387" s="26" t="s">
        <v>79</v>
      </c>
      <c r="M387" s="26" t="s">
        <v>77</v>
      </c>
      <c r="N387" s="26">
        <v>6</v>
      </c>
      <c r="O387" s="26">
        <v>2</v>
      </c>
      <c r="P387" s="26">
        <v>4</v>
      </c>
      <c r="Q387" s="26">
        <v>1</v>
      </c>
      <c r="R387" s="26">
        <v>1</v>
      </c>
      <c r="S387" s="26">
        <v>1</v>
      </c>
      <c r="T387" s="26">
        <v>9</v>
      </c>
      <c r="U387" s="26">
        <v>11</v>
      </c>
      <c r="V387" s="26">
        <v>1</v>
      </c>
      <c r="W387" s="26"/>
    </row>
    <row r="388" spans="1:23" x14ac:dyDescent="0.25">
      <c r="A388" s="26" t="s">
        <v>53</v>
      </c>
      <c r="B388" s="26" t="s">
        <v>1647</v>
      </c>
      <c r="C388" s="26" t="s">
        <v>1648</v>
      </c>
      <c r="D388" s="26" t="s">
        <v>179</v>
      </c>
      <c r="E388" s="26" t="s">
        <v>1649</v>
      </c>
      <c r="F388" s="26" t="s">
        <v>1179</v>
      </c>
      <c r="G388" s="26" t="s">
        <v>182</v>
      </c>
      <c r="H388" s="26" t="s">
        <v>380</v>
      </c>
      <c r="I388" s="26" t="s">
        <v>184</v>
      </c>
      <c r="J388" s="26" t="s">
        <v>322</v>
      </c>
      <c r="K388" s="26" t="s">
        <v>360</v>
      </c>
      <c r="L388" s="26" t="s">
        <v>79</v>
      </c>
      <c r="M388" s="26" t="s">
        <v>77</v>
      </c>
      <c r="N388" s="26">
        <v>16</v>
      </c>
      <c r="O388" s="26">
        <v>7</v>
      </c>
      <c r="P388" s="26">
        <v>9</v>
      </c>
      <c r="Q388" s="26">
        <v>2</v>
      </c>
      <c r="R388" s="26">
        <v>1</v>
      </c>
      <c r="S388" s="26">
        <v>7</v>
      </c>
      <c r="T388" s="26">
        <v>15</v>
      </c>
      <c r="U388" s="26">
        <v>23</v>
      </c>
      <c r="V388" s="26">
        <v>1</v>
      </c>
      <c r="W388" s="26"/>
    </row>
    <row r="389" spans="1:23" x14ac:dyDescent="0.25">
      <c r="A389" s="26" t="s">
        <v>53</v>
      </c>
      <c r="B389" s="26" t="s">
        <v>1650</v>
      </c>
      <c r="C389" s="26" t="s">
        <v>1651</v>
      </c>
      <c r="D389" s="26" t="s">
        <v>179</v>
      </c>
      <c r="E389" s="26" t="s">
        <v>1652</v>
      </c>
      <c r="F389" s="26" t="s">
        <v>1653</v>
      </c>
      <c r="G389" s="26" t="s">
        <v>210</v>
      </c>
      <c r="H389" s="26" t="s">
        <v>1296</v>
      </c>
      <c r="I389" s="26" t="s">
        <v>184</v>
      </c>
      <c r="J389" s="26" t="s">
        <v>322</v>
      </c>
      <c r="K389" s="26" t="s">
        <v>360</v>
      </c>
      <c r="L389" s="26" t="s">
        <v>79</v>
      </c>
      <c r="M389" s="26" t="s">
        <v>77</v>
      </c>
      <c r="N389" s="26">
        <v>0</v>
      </c>
      <c r="O389" s="26">
        <v>0</v>
      </c>
      <c r="P389" s="26">
        <v>0</v>
      </c>
      <c r="Q389" s="26">
        <v>0</v>
      </c>
      <c r="R389" s="26">
        <v>1</v>
      </c>
      <c r="S389" s="26">
        <v>0</v>
      </c>
      <c r="T389" s="26">
        <v>4</v>
      </c>
      <c r="U389" s="26">
        <v>5</v>
      </c>
      <c r="V389" s="26">
        <v>1</v>
      </c>
      <c r="W389" s="26"/>
    </row>
    <row r="390" spans="1:23" x14ac:dyDescent="0.25">
      <c r="A390" s="26" t="s">
        <v>53</v>
      </c>
      <c r="B390" s="26" t="s">
        <v>1654</v>
      </c>
      <c r="C390" s="26" t="s">
        <v>1655</v>
      </c>
      <c r="D390" s="26" t="s">
        <v>179</v>
      </c>
      <c r="E390" s="26" t="s">
        <v>1656</v>
      </c>
      <c r="F390" s="26" t="s">
        <v>1657</v>
      </c>
      <c r="G390" s="26" t="s">
        <v>651</v>
      </c>
      <c r="H390" s="26" t="s">
        <v>652</v>
      </c>
      <c r="I390" s="26" t="s">
        <v>184</v>
      </c>
      <c r="J390" s="26" t="s">
        <v>427</v>
      </c>
      <c r="K390" s="26" t="s">
        <v>360</v>
      </c>
      <c r="L390" s="26" t="s">
        <v>79</v>
      </c>
      <c r="M390" s="26" t="s">
        <v>77</v>
      </c>
      <c r="N390" s="26">
        <v>35</v>
      </c>
      <c r="O390" s="26">
        <v>13</v>
      </c>
      <c r="P390" s="26">
        <v>22</v>
      </c>
      <c r="Q390" s="26">
        <v>2</v>
      </c>
      <c r="R390" s="26">
        <v>1</v>
      </c>
      <c r="S390" s="26">
        <v>2</v>
      </c>
      <c r="T390" s="26">
        <v>9</v>
      </c>
      <c r="U390" s="26">
        <v>12</v>
      </c>
      <c r="V390" s="26">
        <v>1</v>
      </c>
      <c r="W390" s="26"/>
    </row>
    <row r="391" spans="1:23" x14ac:dyDescent="0.25">
      <c r="A391" s="26" t="s">
        <v>53</v>
      </c>
      <c r="B391" s="26" t="s">
        <v>1658</v>
      </c>
      <c r="C391" s="26" t="s">
        <v>1659</v>
      </c>
      <c r="D391" s="26" t="s">
        <v>179</v>
      </c>
      <c r="E391" s="26" t="s">
        <v>1660</v>
      </c>
      <c r="F391" s="26" t="s">
        <v>1661</v>
      </c>
      <c r="G391" s="26" t="s">
        <v>651</v>
      </c>
      <c r="H391" s="26" t="s">
        <v>652</v>
      </c>
      <c r="I391" s="26" t="s">
        <v>184</v>
      </c>
      <c r="J391" s="26" t="s">
        <v>427</v>
      </c>
      <c r="K391" s="26" t="s">
        <v>360</v>
      </c>
      <c r="L391" s="26" t="s">
        <v>79</v>
      </c>
      <c r="M391" s="26" t="s">
        <v>77</v>
      </c>
      <c r="N391" s="26">
        <v>23</v>
      </c>
      <c r="O391" s="26">
        <v>9</v>
      </c>
      <c r="P391" s="26">
        <v>14</v>
      </c>
      <c r="Q391" s="26">
        <v>1</v>
      </c>
      <c r="R391" s="26">
        <v>1</v>
      </c>
      <c r="S391" s="26">
        <v>2</v>
      </c>
      <c r="T391" s="26">
        <v>10</v>
      </c>
      <c r="U391" s="26">
        <v>13</v>
      </c>
      <c r="V391" s="26">
        <v>1</v>
      </c>
      <c r="W391" s="26"/>
    </row>
    <row r="392" spans="1:23" x14ac:dyDescent="0.25">
      <c r="A392" s="26" t="s">
        <v>53</v>
      </c>
      <c r="B392" s="26" t="s">
        <v>1662</v>
      </c>
      <c r="C392" s="26" t="s">
        <v>1663</v>
      </c>
      <c r="D392" s="26" t="s">
        <v>218</v>
      </c>
      <c r="E392" s="26" t="s">
        <v>1664</v>
      </c>
      <c r="F392" s="26" t="s">
        <v>1665</v>
      </c>
      <c r="G392" s="26" t="s">
        <v>293</v>
      </c>
      <c r="H392" s="26" t="s">
        <v>594</v>
      </c>
      <c r="I392" s="26" t="s">
        <v>184</v>
      </c>
      <c r="J392" s="26" t="s">
        <v>295</v>
      </c>
      <c r="K392" s="26" t="s">
        <v>296</v>
      </c>
      <c r="L392" s="26" t="s">
        <v>80</v>
      </c>
      <c r="M392" s="26" t="s">
        <v>77</v>
      </c>
      <c r="N392" s="26">
        <v>0</v>
      </c>
      <c r="O392" s="26">
        <v>0</v>
      </c>
      <c r="P392" s="26">
        <v>0</v>
      </c>
      <c r="Q392" s="26">
        <v>0</v>
      </c>
      <c r="R392" s="26">
        <v>1</v>
      </c>
      <c r="S392" s="26">
        <v>0</v>
      </c>
      <c r="T392" s="26">
        <v>6</v>
      </c>
      <c r="U392" s="26">
        <v>7</v>
      </c>
      <c r="V392" s="26">
        <v>1</v>
      </c>
      <c r="W392" s="26"/>
    </row>
    <row r="393" spans="1:23" x14ac:dyDescent="0.25">
      <c r="A393" s="26" t="s">
        <v>53</v>
      </c>
      <c r="B393" s="26" t="s">
        <v>1666</v>
      </c>
      <c r="C393" s="26" t="s">
        <v>1667</v>
      </c>
      <c r="D393" s="26" t="s">
        <v>218</v>
      </c>
      <c r="E393" s="26" t="s">
        <v>1668</v>
      </c>
      <c r="F393" s="26" t="s">
        <v>1669</v>
      </c>
      <c r="G393" s="26" t="s">
        <v>293</v>
      </c>
      <c r="H393" s="26" t="s">
        <v>351</v>
      </c>
      <c r="I393" s="26" t="s">
        <v>184</v>
      </c>
      <c r="J393" s="26" t="s">
        <v>503</v>
      </c>
      <c r="K393" s="26" t="s">
        <v>296</v>
      </c>
      <c r="L393" s="26" t="s">
        <v>80</v>
      </c>
      <c r="M393" s="26" t="s">
        <v>77</v>
      </c>
      <c r="N393" s="26">
        <v>0</v>
      </c>
      <c r="O393" s="26">
        <v>0</v>
      </c>
      <c r="P393" s="26">
        <v>0</v>
      </c>
      <c r="Q393" s="26">
        <v>0</v>
      </c>
      <c r="R393" s="26">
        <v>1</v>
      </c>
      <c r="S393" s="26">
        <v>1</v>
      </c>
      <c r="T393" s="26">
        <v>12</v>
      </c>
      <c r="U393" s="26">
        <v>14</v>
      </c>
      <c r="V393" s="26">
        <v>1</v>
      </c>
      <c r="W393" s="26"/>
    </row>
    <row r="394" spans="1:23" x14ac:dyDescent="0.25">
      <c r="A394" s="26" t="s">
        <v>53</v>
      </c>
      <c r="B394" s="26" t="s">
        <v>1670</v>
      </c>
      <c r="C394" s="26" t="s">
        <v>1671</v>
      </c>
      <c r="D394" s="26" t="s">
        <v>218</v>
      </c>
      <c r="E394" s="26" t="s">
        <v>1672</v>
      </c>
      <c r="F394" s="26" t="s">
        <v>1673</v>
      </c>
      <c r="G394" s="26" t="s">
        <v>293</v>
      </c>
      <c r="H394" s="26" t="s">
        <v>301</v>
      </c>
      <c r="I394" s="26" t="s">
        <v>184</v>
      </c>
      <c r="J394" s="26" t="s">
        <v>696</v>
      </c>
      <c r="K394" s="26" t="s">
        <v>296</v>
      </c>
      <c r="L394" s="26" t="s">
        <v>80</v>
      </c>
      <c r="M394" s="26" t="s">
        <v>77</v>
      </c>
      <c r="N394" s="26">
        <v>0</v>
      </c>
      <c r="O394" s="26">
        <v>0</v>
      </c>
      <c r="P394" s="26">
        <v>0</v>
      </c>
      <c r="Q394" s="26">
        <v>0</v>
      </c>
      <c r="R394" s="26">
        <v>1</v>
      </c>
      <c r="S394" s="26">
        <v>0</v>
      </c>
      <c r="T394" s="26">
        <v>6</v>
      </c>
      <c r="U394" s="26">
        <v>7</v>
      </c>
      <c r="V394" s="26">
        <v>1</v>
      </c>
      <c r="W394" s="26"/>
    </row>
    <row r="395" spans="1:23" x14ac:dyDescent="0.25">
      <c r="A395" s="26" t="s">
        <v>53</v>
      </c>
      <c r="B395" s="26" t="s">
        <v>1674</v>
      </c>
      <c r="C395" s="26" t="s">
        <v>1675</v>
      </c>
      <c r="D395" s="26" t="s">
        <v>218</v>
      </c>
      <c r="E395" s="26" t="s">
        <v>1676</v>
      </c>
      <c r="F395" s="26" t="s">
        <v>1677</v>
      </c>
      <c r="G395" s="26" t="s">
        <v>293</v>
      </c>
      <c r="H395" s="26" t="s">
        <v>594</v>
      </c>
      <c r="I395" s="26" t="s">
        <v>184</v>
      </c>
      <c r="J395" s="26" t="s">
        <v>295</v>
      </c>
      <c r="K395" s="26" t="s">
        <v>296</v>
      </c>
      <c r="L395" s="26" t="s">
        <v>80</v>
      </c>
      <c r="M395" s="26" t="s">
        <v>77</v>
      </c>
      <c r="N395" s="26">
        <v>0</v>
      </c>
      <c r="O395" s="26">
        <v>0</v>
      </c>
      <c r="P395" s="26">
        <v>0</v>
      </c>
      <c r="Q395" s="26">
        <v>0</v>
      </c>
      <c r="R395" s="26">
        <v>1</v>
      </c>
      <c r="S395" s="26">
        <v>0</v>
      </c>
      <c r="T395" s="26">
        <v>2</v>
      </c>
      <c r="U395" s="26">
        <v>3</v>
      </c>
      <c r="V395" s="26">
        <v>1</v>
      </c>
      <c r="W395" s="26"/>
    </row>
    <row r="396" spans="1:23" x14ac:dyDescent="0.25">
      <c r="A396" s="26" t="s">
        <v>53</v>
      </c>
      <c r="B396" s="26" t="s">
        <v>1678</v>
      </c>
      <c r="C396" s="26" t="s">
        <v>1679</v>
      </c>
      <c r="D396" s="26" t="s">
        <v>179</v>
      </c>
      <c r="E396" s="26" t="s">
        <v>1680</v>
      </c>
      <c r="F396" s="26" t="s">
        <v>1681</v>
      </c>
      <c r="G396" s="26" t="s">
        <v>210</v>
      </c>
      <c r="H396" s="26" t="s">
        <v>881</v>
      </c>
      <c r="I396" s="26" t="s">
        <v>184</v>
      </c>
      <c r="J396" s="26" t="s">
        <v>322</v>
      </c>
      <c r="K396" s="26" t="s">
        <v>360</v>
      </c>
      <c r="L396" s="26" t="s">
        <v>79</v>
      </c>
      <c r="M396" s="26" t="s">
        <v>77</v>
      </c>
      <c r="N396" s="26">
        <v>0</v>
      </c>
      <c r="O396" s="26">
        <v>0</v>
      </c>
      <c r="P396" s="26">
        <v>0</v>
      </c>
      <c r="Q396" s="26">
        <v>0</v>
      </c>
      <c r="R396" s="26">
        <v>1</v>
      </c>
      <c r="S396" s="26">
        <v>1</v>
      </c>
      <c r="T396" s="26">
        <v>4</v>
      </c>
      <c r="U396" s="26">
        <v>6</v>
      </c>
      <c r="V396" s="26">
        <v>1</v>
      </c>
      <c r="W396" s="26"/>
    </row>
    <row r="397" spans="1:23" x14ac:dyDescent="0.25">
      <c r="A397" s="26" t="s">
        <v>53</v>
      </c>
      <c r="B397" s="26" t="s">
        <v>1682</v>
      </c>
      <c r="C397" s="26" t="s">
        <v>1683</v>
      </c>
      <c r="D397" s="26" t="s">
        <v>179</v>
      </c>
      <c r="E397" s="26" t="s">
        <v>1684</v>
      </c>
      <c r="F397" s="26" t="s">
        <v>243</v>
      </c>
      <c r="G397" s="26" t="s">
        <v>210</v>
      </c>
      <c r="H397" s="26" t="s">
        <v>332</v>
      </c>
      <c r="I397" s="26" t="s">
        <v>184</v>
      </c>
      <c r="J397" s="26" t="s">
        <v>322</v>
      </c>
      <c r="K397" s="26" t="s">
        <v>360</v>
      </c>
      <c r="L397" s="26" t="s">
        <v>79</v>
      </c>
      <c r="M397" s="26" t="s">
        <v>77</v>
      </c>
      <c r="N397" s="26">
        <v>0</v>
      </c>
      <c r="O397" s="26">
        <v>0</v>
      </c>
      <c r="P397" s="26">
        <v>0</v>
      </c>
      <c r="Q397" s="26">
        <v>0</v>
      </c>
      <c r="R397" s="26">
        <v>1</v>
      </c>
      <c r="S397" s="26">
        <v>0</v>
      </c>
      <c r="T397" s="26">
        <v>5</v>
      </c>
      <c r="U397" s="26">
        <v>6</v>
      </c>
      <c r="V397" s="26">
        <v>1</v>
      </c>
      <c r="W397" s="26"/>
    </row>
    <row r="398" spans="1:23" x14ac:dyDescent="0.25">
      <c r="A398" s="26" t="s">
        <v>53</v>
      </c>
      <c r="B398" s="26" t="s">
        <v>1685</v>
      </c>
      <c r="C398" s="26" t="s">
        <v>1686</v>
      </c>
      <c r="D398" s="26" t="s">
        <v>179</v>
      </c>
      <c r="E398" s="26" t="s">
        <v>1687</v>
      </c>
      <c r="F398" s="26" t="s">
        <v>1688</v>
      </c>
      <c r="G398" s="26" t="s">
        <v>487</v>
      </c>
      <c r="H398" s="26" t="s">
        <v>1307</v>
      </c>
      <c r="I398" s="26" t="s">
        <v>184</v>
      </c>
      <c r="J398" s="26" t="s">
        <v>375</v>
      </c>
      <c r="K398" s="26" t="s">
        <v>360</v>
      </c>
      <c r="L398" s="26" t="s">
        <v>79</v>
      </c>
      <c r="M398" s="26" t="s">
        <v>77</v>
      </c>
      <c r="N398" s="26">
        <v>12</v>
      </c>
      <c r="O398" s="26">
        <v>8</v>
      </c>
      <c r="P398" s="26">
        <v>4</v>
      </c>
      <c r="Q398" s="26">
        <v>1</v>
      </c>
      <c r="R398" s="26">
        <v>1</v>
      </c>
      <c r="S398" s="26">
        <v>1</v>
      </c>
      <c r="T398" s="26">
        <v>4</v>
      </c>
      <c r="U398" s="26">
        <v>6</v>
      </c>
      <c r="V398" s="26">
        <v>1</v>
      </c>
      <c r="W398" s="26"/>
    </row>
    <row r="399" spans="1:23" x14ac:dyDescent="0.25">
      <c r="A399" s="26" t="s">
        <v>53</v>
      </c>
      <c r="B399" s="26" t="s">
        <v>1689</v>
      </c>
      <c r="C399" s="26" t="s">
        <v>1690</v>
      </c>
      <c r="D399" s="26" t="s">
        <v>179</v>
      </c>
      <c r="E399" s="26" t="s">
        <v>1691</v>
      </c>
      <c r="F399" s="26" t="s">
        <v>1692</v>
      </c>
      <c r="G399" s="26" t="s">
        <v>487</v>
      </c>
      <c r="H399" s="26" t="s">
        <v>1693</v>
      </c>
      <c r="I399" s="26" t="s">
        <v>184</v>
      </c>
      <c r="J399" s="26" t="s">
        <v>375</v>
      </c>
      <c r="K399" s="26" t="s">
        <v>360</v>
      </c>
      <c r="L399" s="26" t="s">
        <v>79</v>
      </c>
      <c r="M399" s="26" t="s">
        <v>77</v>
      </c>
      <c r="N399" s="26">
        <v>0</v>
      </c>
      <c r="O399" s="26">
        <v>0</v>
      </c>
      <c r="P399" s="26">
        <v>0</v>
      </c>
      <c r="Q399" s="26">
        <v>0</v>
      </c>
      <c r="R399" s="26">
        <v>1</v>
      </c>
      <c r="S399" s="26">
        <v>1</v>
      </c>
      <c r="T399" s="26">
        <v>3</v>
      </c>
      <c r="U399" s="26">
        <v>5</v>
      </c>
      <c r="V399" s="26">
        <v>1</v>
      </c>
      <c r="W399" s="26"/>
    </row>
    <row r="400" spans="1:23" x14ac:dyDescent="0.25">
      <c r="A400" s="26" t="s">
        <v>53</v>
      </c>
      <c r="B400" s="26" t="s">
        <v>1694</v>
      </c>
      <c r="C400" s="26" t="s">
        <v>1695</v>
      </c>
      <c r="D400" s="26" t="s">
        <v>179</v>
      </c>
      <c r="E400" s="26" t="s">
        <v>1696</v>
      </c>
      <c r="F400" s="26" t="s">
        <v>1697</v>
      </c>
      <c r="G400" s="26" t="s">
        <v>487</v>
      </c>
      <c r="H400" s="26" t="s">
        <v>1693</v>
      </c>
      <c r="I400" s="26" t="s">
        <v>184</v>
      </c>
      <c r="J400" s="26" t="s">
        <v>375</v>
      </c>
      <c r="K400" s="26" t="s">
        <v>360</v>
      </c>
      <c r="L400" s="26" t="s">
        <v>79</v>
      </c>
      <c r="M400" s="26" t="s">
        <v>77</v>
      </c>
      <c r="N400" s="26">
        <v>0</v>
      </c>
      <c r="O400" s="26">
        <v>0</v>
      </c>
      <c r="P400" s="26">
        <v>0</v>
      </c>
      <c r="Q400" s="26">
        <v>0</v>
      </c>
      <c r="R400" s="26">
        <v>1</v>
      </c>
      <c r="S400" s="26">
        <v>0</v>
      </c>
      <c r="T400" s="26">
        <v>2</v>
      </c>
      <c r="U400" s="26">
        <v>3</v>
      </c>
      <c r="V400" s="26">
        <v>1</v>
      </c>
      <c r="W400" s="26"/>
    </row>
    <row r="401" spans="1:23" x14ac:dyDescent="0.25">
      <c r="A401" s="26" t="s">
        <v>53</v>
      </c>
      <c r="B401" s="26" t="s">
        <v>1698</v>
      </c>
      <c r="C401" s="26" t="s">
        <v>1699</v>
      </c>
      <c r="D401" s="26" t="s">
        <v>179</v>
      </c>
      <c r="E401" s="26" t="s">
        <v>1700</v>
      </c>
      <c r="F401" s="26" t="s">
        <v>1701</v>
      </c>
      <c r="G401" s="26" t="s">
        <v>487</v>
      </c>
      <c r="H401" s="26" t="s">
        <v>351</v>
      </c>
      <c r="I401" s="26" t="s">
        <v>184</v>
      </c>
      <c r="J401" s="26" t="s">
        <v>375</v>
      </c>
      <c r="K401" s="26" t="s">
        <v>360</v>
      </c>
      <c r="L401" s="26" t="s">
        <v>79</v>
      </c>
      <c r="M401" s="26" t="s">
        <v>77</v>
      </c>
      <c r="N401" s="26">
        <v>23</v>
      </c>
      <c r="O401" s="26">
        <v>9</v>
      </c>
      <c r="P401" s="26">
        <v>14</v>
      </c>
      <c r="Q401" s="26">
        <v>2</v>
      </c>
      <c r="R401" s="26">
        <v>1</v>
      </c>
      <c r="S401" s="26">
        <v>4</v>
      </c>
      <c r="T401" s="26">
        <v>6</v>
      </c>
      <c r="U401" s="26">
        <v>11</v>
      </c>
      <c r="V401" s="26">
        <v>1</v>
      </c>
      <c r="W401" s="26"/>
    </row>
    <row r="402" spans="1:23" x14ac:dyDescent="0.25">
      <c r="A402" s="26" t="s">
        <v>53</v>
      </c>
      <c r="B402" s="26" t="s">
        <v>1702</v>
      </c>
      <c r="C402" s="26" t="s">
        <v>1703</v>
      </c>
      <c r="D402" s="26" t="s">
        <v>179</v>
      </c>
      <c r="E402" s="26" t="s">
        <v>1704</v>
      </c>
      <c r="F402" s="26" t="s">
        <v>1705</v>
      </c>
      <c r="G402" s="26" t="s">
        <v>487</v>
      </c>
      <c r="H402" s="26" t="s">
        <v>351</v>
      </c>
      <c r="I402" s="26" t="s">
        <v>184</v>
      </c>
      <c r="J402" s="26" t="s">
        <v>375</v>
      </c>
      <c r="K402" s="26" t="s">
        <v>360</v>
      </c>
      <c r="L402" s="26" t="s">
        <v>79</v>
      </c>
      <c r="M402" s="26" t="s">
        <v>77</v>
      </c>
      <c r="N402" s="26">
        <v>0</v>
      </c>
      <c r="O402" s="26">
        <v>0</v>
      </c>
      <c r="P402" s="26">
        <v>0</v>
      </c>
      <c r="Q402" s="26">
        <v>0</v>
      </c>
      <c r="R402" s="26">
        <v>1</v>
      </c>
      <c r="S402" s="26">
        <v>0</v>
      </c>
      <c r="T402" s="26">
        <v>4</v>
      </c>
      <c r="U402" s="26">
        <v>5</v>
      </c>
      <c r="V402" s="26">
        <v>1</v>
      </c>
      <c r="W402" s="26"/>
    </row>
    <row r="403" spans="1:23" x14ac:dyDescent="0.25">
      <c r="A403" s="26" t="s">
        <v>53</v>
      </c>
      <c r="B403" s="26" t="s">
        <v>1706</v>
      </c>
      <c r="C403" s="26" t="s">
        <v>1707</v>
      </c>
      <c r="D403" s="26" t="s">
        <v>179</v>
      </c>
      <c r="E403" s="26" t="s">
        <v>1708</v>
      </c>
      <c r="F403" s="26" t="s">
        <v>1709</v>
      </c>
      <c r="G403" s="26" t="s">
        <v>252</v>
      </c>
      <c r="H403" s="26" t="s">
        <v>682</v>
      </c>
      <c r="I403" s="26" t="s">
        <v>184</v>
      </c>
      <c r="J403" s="26" t="s">
        <v>427</v>
      </c>
      <c r="K403" s="26" t="s">
        <v>360</v>
      </c>
      <c r="L403" s="26" t="s">
        <v>79</v>
      </c>
      <c r="M403" s="26" t="s">
        <v>77</v>
      </c>
      <c r="N403" s="26">
        <v>19</v>
      </c>
      <c r="O403" s="26">
        <v>12</v>
      </c>
      <c r="P403" s="26">
        <v>7</v>
      </c>
      <c r="Q403" s="26">
        <v>2</v>
      </c>
      <c r="R403" s="26">
        <v>1</v>
      </c>
      <c r="S403" s="26">
        <v>5</v>
      </c>
      <c r="T403" s="26">
        <v>8</v>
      </c>
      <c r="U403" s="26">
        <v>14</v>
      </c>
      <c r="V403" s="26">
        <v>1</v>
      </c>
      <c r="W403" s="26"/>
    </row>
    <row r="404" spans="1:23" x14ac:dyDescent="0.25">
      <c r="A404" s="26" t="s">
        <v>53</v>
      </c>
      <c r="B404" s="26" t="s">
        <v>1710</v>
      </c>
      <c r="C404" s="26" t="s">
        <v>1711</v>
      </c>
      <c r="D404" s="26" t="s">
        <v>218</v>
      </c>
      <c r="E404" s="26" t="s">
        <v>1712</v>
      </c>
      <c r="F404" s="26" t="s">
        <v>282</v>
      </c>
      <c r="G404" s="26" t="s">
        <v>204</v>
      </c>
      <c r="H404" s="26" t="s">
        <v>643</v>
      </c>
      <c r="I404" s="26" t="s">
        <v>184</v>
      </c>
      <c r="J404" s="26" t="s">
        <v>322</v>
      </c>
      <c r="K404" s="26" t="s">
        <v>360</v>
      </c>
      <c r="L404" s="26" t="s">
        <v>79</v>
      </c>
      <c r="M404" s="26" t="s">
        <v>77</v>
      </c>
      <c r="N404" s="26">
        <v>37</v>
      </c>
      <c r="O404" s="26">
        <v>16</v>
      </c>
      <c r="P404" s="26">
        <v>21</v>
      </c>
      <c r="Q404" s="26">
        <v>5</v>
      </c>
      <c r="R404" s="26">
        <v>1</v>
      </c>
      <c r="S404" s="26">
        <v>8</v>
      </c>
      <c r="T404" s="26">
        <v>10</v>
      </c>
      <c r="U404" s="26">
        <v>19</v>
      </c>
      <c r="V404" s="26">
        <v>1</v>
      </c>
      <c r="W404" s="26"/>
    </row>
    <row r="405" spans="1:23" x14ac:dyDescent="0.25">
      <c r="A405" s="26" t="s">
        <v>53</v>
      </c>
      <c r="B405" s="26" t="s">
        <v>1713</v>
      </c>
      <c r="C405" s="26" t="s">
        <v>1714</v>
      </c>
      <c r="D405" s="26" t="s">
        <v>179</v>
      </c>
      <c r="E405" s="26" t="s">
        <v>4007</v>
      </c>
      <c r="F405" s="26" t="s">
        <v>1258</v>
      </c>
      <c r="G405" s="26" t="s">
        <v>293</v>
      </c>
      <c r="H405" s="26" t="s">
        <v>351</v>
      </c>
      <c r="I405" s="26" t="s">
        <v>184</v>
      </c>
      <c r="J405" s="26" t="s">
        <v>503</v>
      </c>
      <c r="K405" s="26" t="s">
        <v>296</v>
      </c>
      <c r="L405" s="26" t="s">
        <v>80</v>
      </c>
      <c r="M405" s="26" t="s">
        <v>77</v>
      </c>
      <c r="N405" s="26">
        <v>8</v>
      </c>
      <c r="O405" s="26">
        <v>5</v>
      </c>
      <c r="P405" s="26">
        <v>3</v>
      </c>
      <c r="Q405" s="26">
        <v>1</v>
      </c>
      <c r="R405" s="26">
        <v>1</v>
      </c>
      <c r="S405" s="26">
        <v>1</v>
      </c>
      <c r="T405" s="26">
        <v>5</v>
      </c>
      <c r="U405" s="26">
        <v>7</v>
      </c>
      <c r="V405" s="26">
        <v>1</v>
      </c>
      <c r="W405" s="26"/>
    </row>
    <row r="406" spans="1:23" x14ac:dyDescent="0.25">
      <c r="A406" s="26" t="s">
        <v>53</v>
      </c>
      <c r="B406" s="26" t="s">
        <v>1715</v>
      </c>
      <c r="C406" s="26" t="s">
        <v>1716</v>
      </c>
      <c r="D406" s="26" t="s">
        <v>179</v>
      </c>
      <c r="E406" s="26" t="s">
        <v>1717</v>
      </c>
      <c r="F406" s="26" t="s">
        <v>1718</v>
      </c>
      <c r="G406" s="26" t="s">
        <v>293</v>
      </c>
      <c r="H406" s="26" t="s">
        <v>351</v>
      </c>
      <c r="I406" s="26" t="s">
        <v>184</v>
      </c>
      <c r="J406" s="26" t="s">
        <v>503</v>
      </c>
      <c r="K406" s="26" t="s">
        <v>296</v>
      </c>
      <c r="L406" s="26" t="s">
        <v>80</v>
      </c>
      <c r="M406" s="26" t="s">
        <v>77</v>
      </c>
      <c r="N406" s="26">
        <v>0</v>
      </c>
      <c r="O406" s="26">
        <v>0</v>
      </c>
      <c r="P406" s="26">
        <v>0</v>
      </c>
      <c r="Q406" s="26">
        <v>0</v>
      </c>
      <c r="R406" s="26">
        <v>1</v>
      </c>
      <c r="S406" s="26">
        <v>0</v>
      </c>
      <c r="T406" s="26">
        <v>4</v>
      </c>
      <c r="U406" s="26">
        <v>5</v>
      </c>
      <c r="V406" s="26">
        <v>1</v>
      </c>
      <c r="W406" s="26"/>
    </row>
    <row r="407" spans="1:23" x14ac:dyDescent="0.25">
      <c r="A407" s="26" t="s">
        <v>53</v>
      </c>
      <c r="B407" s="26" t="s">
        <v>1719</v>
      </c>
      <c r="C407" s="26" t="s">
        <v>1720</v>
      </c>
      <c r="D407" s="26" t="s">
        <v>218</v>
      </c>
      <c r="E407" s="26" t="s">
        <v>1721</v>
      </c>
      <c r="F407" s="26" t="s">
        <v>251</v>
      </c>
      <c r="G407" s="26" t="s">
        <v>252</v>
      </c>
      <c r="H407" s="26" t="s">
        <v>1439</v>
      </c>
      <c r="I407" s="26" t="s">
        <v>184</v>
      </c>
      <c r="J407" s="26" t="s">
        <v>427</v>
      </c>
      <c r="K407" s="26" t="s">
        <v>360</v>
      </c>
      <c r="L407" s="26" t="s">
        <v>79</v>
      </c>
      <c r="M407" s="26" t="s">
        <v>77</v>
      </c>
      <c r="N407" s="26">
        <v>12</v>
      </c>
      <c r="O407" s="26">
        <v>7</v>
      </c>
      <c r="P407" s="26">
        <v>5</v>
      </c>
      <c r="Q407" s="26">
        <v>1</v>
      </c>
      <c r="R407" s="26">
        <v>1</v>
      </c>
      <c r="S407" s="26">
        <v>2</v>
      </c>
      <c r="T407" s="26">
        <v>7</v>
      </c>
      <c r="U407" s="26">
        <v>10</v>
      </c>
      <c r="V407" s="26">
        <v>1</v>
      </c>
      <c r="W407" s="26"/>
    </row>
    <row r="408" spans="1:23" x14ac:dyDescent="0.25">
      <c r="A408" s="26" t="s">
        <v>53</v>
      </c>
      <c r="B408" s="26" t="s">
        <v>1722</v>
      </c>
      <c r="C408" s="26" t="s">
        <v>1723</v>
      </c>
      <c r="D408" s="26" t="s">
        <v>218</v>
      </c>
      <c r="E408" s="26" t="s">
        <v>1724</v>
      </c>
      <c r="F408" s="26" t="s">
        <v>1725</v>
      </c>
      <c r="G408" s="26" t="s">
        <v>252</v>
      </c>
      <c r="H408" s="26" t="s">
        <v>1439</v>
      </c>
      <c r="I408" s="26" t="s">
        <v>184</v>
      </c>
      <c r="J408" s="26" t="s">
        <v>427</v>
      </c>
      <c r="K408" s="26" t="s">
        <v>360</v>
      </c>
      <c r="L408" s="26" t="s">
        <v>79</v>
      </c>
      <c r="M408" s="26" t="s">
        <v>77</v>
      </c>
      <c r="N408" s="26">
        <v>3</v>
      </c>
      <c r="O408" s="26">
        <v>2</v>
      </c>
      <c r="P408" s="26">
        <v>1</v>
      </c>
      <c r="Q408" s="26">
        <v>1</v>
      </c>
      <c r="R408" s="26">
        <v>1</v>
      </c>
      <c r="S408" s="26">
        <v>2</v>
      </c>
      <c r="T408" s="26">
        <v>8</v>
      </c>
      <c r="U408" s="26">
        <v>11</v>
      </c>
      <c r="V408" s="26">
        <v>1</v>
      </c>
      <c r="W408" s="26"/>
    </row>
    <row r="409" spans="1:23" x14ac:dyDescent="0.25">
      <c r="A409" s="26" t="s">
        <v>53</v>
      </c>
      <c r="B409" s="26" t="s">
        <v>1726</v>
      </c>
      <c r="C409" s="26" t="s">
        <v>1727</v>
      </c>
      <c r="D409" s="26" t="s">
        <v>218</v>
      </c>
      <c r="E409" s="26" t="s">
        <v>1728</v>
      </c>
      <c r="F409" s="26" t="s">
        <v>1729</v>
      </c>
      <c r="G409" s="26" t="s">
        <v>252</v>
      </c>
      <c r="H409" s="26" t="s">
        <v>682</v>
      </c>
      <c r="I409" s="26" t="s">
        <v>184</v>
      </c>
      <c r="J409" s="26" t="s">
        <v>427</v>
      </c>
      <c r="K409" s="26" t="s">
        <v>360</v>
      </c>
      <c r="L409" s="26" t="s">
        <v>79</v>
      </c>
      <c r="M409" s="26" t="s">
        <v>77</v>
      </c>
      <c r="N409" s="26">
        <v>23</v>
      </c>
      <c r="O409" s="26">
        <v>15</v>
      </c>
      <c r="P409" s="26">
        <v>8</v>
      </c>
      <c r="Q409" s="26">
        <v>2</v>
      </c>
      <c r="R409" s="26">
        <v>1</v>
      </c>
      <c r="S409" s="26">
        <v>3</v>
      </c>
      <c r="T409" s="26">
        <v>8</v>
      </c>
      <c r="U409" s="26">
        <v>12</v>
      </c>
      <c r="V409" s="26">
        <v>1</v>
      </c>
      <c r="W409" s="26"/>
    </row>
    <row r="410" spans="1:23" x14ac:dyDescent="0.25">
      <c r="A410" s="26" t="s">
        <v>53</v>
      </c>
      <c r="B410" s="26" t="s">
        <v>1730</v>
      </c>
      <c r="C410" s="26" t="s">
        <v>1731</v>
      </c>
      <c r="D410" s="26" t="s">
        <v>218</v>
      </c>
      <c r="E410" s="26" t="s">
        <v>1732</v>
      </c>
      <c r="F410" s="26" t="s">
        <v>1733</v>
      </c>
      <c r="G410" s="26" t="s">
        <v>252</v>
      </c>
      <c r="H410" s="26" t="s">
        <v>1439</v>
      </c>
      <c r="I410" s="26" t="s">
        <v>184</v>
      </c>
      <c r="J410" s="26" t="s">
        <v>427</v>
      </c>
      <c r="K410" s="26" t="s">
        <v>360</v>
      </c>
      <c r="L410" s="26" t="s">
        <v>79</v>
      </c>
      <c r="M410" s="26" t="s">
        <v>77</v>
      </c>
      <c r="N410" s="26">
        <v>17</v>
      </c>
      <c r="O410" s="26">
        <v>7</v>
      </c>
      <c r="P410" s="26">
        <v>10</v>
      </c>
      <c r="Q410" s="26">
        <v>1</v>
      </c>
      <c r="R410" s="26">
        <v>1</v>
      </c>
      <c r="S410" s="26">
        <v>3</v>
      </c>
      <c r="T410" s="26">
        <v>8</v>
      </c>
      <c r="U410" s="26">
        <v>12</v>
      </c>
      <c r="V410" s="26">
        <v>1</v>
      </c>
      <c r="W410" s="26"/>
    </row>
    <row r="411" spans="1:23" x14ac:dyDescent="0.25">
      <c r="A411" s="26" t="s">
        <v>53</v>
      </c>
      <c r="B411" s="26" t="s">
        <v>1734</v>
      </c>
      <c r="C411" s="26" t="s">
        <v>1735</v>
      </c>
      <c r="D411" s="26" t="s">
        <v>218</v>
      </c>
      <c r="E411" s="26" t="s">
        <v>1736</v>
      </c>
      <c r="F411" s="26" t="s">
        <v>1737</v>
      </c>
      <c r="G411" s="26" t="s">
        <v>293</v>
      </c>
      <c r="H411" s="26" t="s">
        <v>594</v>
      </c>
      <c r="I411" s="26" t="s">
        <v>184</v>
      </c>
      <c r="J411" s="26" t="s">
        <v>295</v>
      </c>
      <c r="K411" s="26" t="s">
        <v>296</v>
      </c>
      <c r="L411" s="26" t="s">
        <v>80</v>
      </c>
      <c r="M411" s="26" t="s">
        <v>77</v>
      </c>
      <c r="N411" s="26">
        <v>0</v>
      </c>
      <c r="O411" s="26">
        <v>0</v>
      </c>
      <c r="P411" s="26">
        <v>0</v>
      </c>
      <c r="Q411" s="26">
        <v>0</v>
      </c>
      <c r="R411" s="26">
        <v>1</v>
      </c>
      <c r="S411" s="26">
        <v>0</v>
      </c>
      <c r="T411" s="26">
        <v>4</v>
      </c>
      <c r="U411" s="26">
        <v>5</v>
      </c>
      <c r="V411" s="26">
        <v>1</v>
      </c>
      <c r="W411" s="26"/>
    </row>
    <row r="412" spans="1:23" x14ac:dyDescent="0.25">
      <c r="A412" s="26" t="s">
        <v>53</v>
      </c>
      <c r="B412" s="26" t="s">
        <v>1738</v>
      </c>
      <c r="C412" s="26" t="s">
        <v>1739</v>
      </c>
      <c r="D412" s="26" t="s">
        <v>218</v>
      </c>
      <c r="E412" s="26" t="s">
        <v>1740</v>
      </c>
      <c r="F412" s="26" t="s">
        <v>1741</v>
      </c>
      <c r="G412" s="26" t="s">
        <v>293</v>
      </c>
      <c r="H412" s="26" t="s">
        <v>351</v>
      </c>
      <c r="I412" s="26" t="s">
        <v>184</v>
      </c>
      <c r="J412" s="26" t="s">
        <v>503</v>
      </c>
      <c r="K412" s="26" t="s">
        <v>296</v>
      </c>
      <c r="L412" s="26" t="s">
        <v>80</v>
      </c>
      <c r="M412" s="26" t="s">
        <v>77</v>
      </c>
      <c r="N412" s="26">
        <v>0</v>
      </c>
      <c r="O412" s="26">
        <v>0</v>
      </c>
      <c r="P412" s="26">
        <v>0</v>
      </c>
      <c r="Q412" s="26">
        <v>0</v>
      </c>
      <c r="R412" s="26">
        <v>1</v>
      </c>
      <c r="S412" s="26">
        <v>0</v>
      </c>
      <c r="T412" s="26">
        <v>2</v>
      </c>
      <c r="U412" s="26">
        <v>3</v>
      </c>
      <c r="V412" s="26">
        <v>1</v>
      </c>
      <c r="W412" s="26"/>
    </row>
    <row r="413" spans="1:23" x14ac:dyDescent="0.25">
      <c r="A413" s="26" t="s">
        <v>53</v>
      </c>
      <c r="B413" s="26" t="s">
        <v>1742</v>
      </c>
      <c r="C413" s="26" t="s">
        <v>1743</v>
      </c>
      <c r="D413" s="26" t="s">
        <v>218</v>
      </c>
      <c r="E413" s="26" t="s">
        <v>1744</v>
      </c>
      <c r="F413" s="26" t="s">
        <v>1745</v>
      </c>
      <c r="G413" s="26" t="s">
        <v>293</v>
      </c>
      <c r="H413" s="26" t="s">
        <v>594</v>
      </c>
      <c r="I413" s="26" t="s">
        <v>184</v>
      </c>
      <c r="J413" s="26" t="s">
        <v>295</v>
      </c>
      <c r="K413" s="26" t="s">
        <v>296</v>
      </c>
      <c r="L413" s="26" t="s">
        <v>80</v>
      </c>
      <c r="M413" s="26" t="s">
        <v>77</v>
      </c>
      <c r="N413" s="26">
        <v>20</v>
      </c>
      <c r="O413" s="26">
        <v>12</v>
      </c>
      <c r="P413" s="26">
        <v>8</v>
      </c>
      <c r="Q413" s="26">
        <v>1</v>
      </c>
      <c r="R413" s="26">
        <v>1</v>
      </c>
      <c r="S413" s="26">
        <v>2</v>
      </c>
      <c r="T413" s="26">
        <v>16</v>
      </c>
      <c r="U413" s="26">
        <v>19</v>
      </c>
      <c r="V413" s="26">
        <v>1</v>
      </c>
      <c r="W413" s="26"/>
    </row>
    <row r="414" spans="1:23" x14ac:dyDescent="0.25">
      <c r="A414" s="26" t="s">
        <v>53</v>
      </c>
      <c r="B414" s="26" t="s">
        <v>1746</v>
      </c>
      <c r="C414" s="26" t="s">
        <v>1747</v>
      </c>
      <c r="D414" s="26" t="s">
        <v>179</v>
      </c>
      <c r="E414" s="26" t="s">
        <v>1748</v>
      </c>
      <c r="F414" s="26" t="s">
        <v>1749</v>
      </c>
      <c r="G414" s="26" t="s">
        <v>487</v>
      </c>
      <c r="H414" s="26" t="s">
        <v>926</v>
      </c>
      <c r="I414" s="26" t="s">
        <v>184</v>
      </c>
      <c r="J414" s="26" t="s">
        <v>375</v>
      </c>
      <c r="K414" s="26" t="s">
        <v>360</v>
      </c>
      <c r="L414" s="26" t="s">
        <v>79</v>
      </c>
      <c r="M414" s="26" t="s">
        <v>77</v>
      </c>
      <c r="N414" s="26">
        <v>0</v>
      </c>
      <c r="O414" s="26">
        <v>0</v>
      </c>
      <c r="P414" s="26">
        <v>0</v>
      </c>
      <c r="Q414" s="26">
        <v>0</v>
      </c>
      <c r="R414" s="26">
        <v>1</v>
      </c>
      <c r="S414" s="26">
        <v>1</v>
      </c>
      <c r="T414" s="26">
        <v>4</v>
      </c>
      <c r="U414" s="26">
        <v>6</v>
      </c>
      <c r="V414" s="26">
        <v>1</v>
      </c>
      <c r="W414" s="26"/>
    </row>
    <row r="415" spans="1:23" x14ac:dyDescent="0.25">
      <c r="A415" s="26" t="s">
        <v>53</v>
      </c>
      <c r="B415" s="26" t="s">
        <v>1750</v>
      </c>
      <c r="C415" s="26" t="s">
        <v>1751</v>
      </c>
      <c r="D415" s="26" t="s">
        <v>179</v>
      </c>
      <c r="E415" s="26" t="s">
        <v>1752</v>
      </c>
      <c r="F415" s="26" t="s">
        <v>1753</v>
      </c>
      <c r="G415" s="26" t="s">
        <v>487</v>
      </c>
      <c r="H415" s="26" t="s">
        <v>1693</v>
      </c>
      <c r="I415" s="26" t="s">
        <v>184</v>
      </c>
      <c r="J415" s="26" t="s">
        <v>375</v>
      </c>
      <c r="K415" s="26" t="s">
        <v>360</v>
      </c>
      <c r="L415" s="26" t="s">
        <v>79</v>
      </c>
      <c r="M415" s="26" t="s">
        <v>77</v>
      </c>
      <c r="N415" s="26">
        <v>0</v>
      </c>
      <c r="O415" s="26">
        <v>0</v>
      </c>
      <c r="P415" s="26">
        <v>0</v>
      </c>
      <c r="Q415" s="26">
        <v>0</v>
      </c>
      <c r="R415" s="26">
        <v>1</v>
      </c>
      <c r="S415" s="26">
        <v>0</v>
      </c>
      <c r="T415" s="26">
        <v>4</v>
      </c>
      <c r="U415" s="26">
        <v>5</v>
      </c>
      <c r="V415" s="26">
        <v>1</v>
      </c>
      <c r="W415" s="26"/>
    </row>
    <row r="416" spans="1:23" x14ac:dyDescent="0.25">
      <c r="A416" s="26" t="s">
        <v>53</v>
      </c>
      <c r="B416" s="26" t="s">
        <v>1754</v>
      </c>
      <c r="C416" s="26" t="s">
        <v>1755</v>
      </c>
      <c r="D416" s="26" t="s">
        <v>179</v>
      </c>
      <c r="E416" s="26" t="s">
        <v>1756</v>
      </c>
      <c r="F416" s="26" t="s">
        <v>1757</v>
      </c>
      <c r="G416" s="26" t="s">
        <v>487</v>
      </c>
      <c r="H416" s="26" t="s">
        <v>351</v>
      </c>
      <c r="I416" s="26" t="s">
        <v>184</v>
      </c>
      <c r="J416" s="26" t="s">
        <v>375</v>
      </c>
      <c r="K416" s="26" t="s">
        <v>360</v>
      </c>
      <c r="L416" s="26" t="s">
        <v>79</v>
      </c>
      <c r="M416" s="26" t="s">
        <v>77</v>
      </c>
      <c r="N416" s="26">
        <v>34</v>
      </c>
      <c r="O416" s="26">
        <v>16</v>
      </c>
      <c r="P416" s="26">
        <v>18</v>
      </c>
      <c r="Q416" s="26">
        <v>3</v>
      </c>
      <c r="R416" s="26">
        <v>1</v>
      </c>
      <c r="S416" s="26">
        <v>4</v>
      </c>
      <c r="T416" s="26">
        <v>8</v>
      </c>
      <c r="U416" s="26">
        <v>13</v>
      </c>
      <c r="V416" s="26">
        <v>1</v>
      </c>
      <c r="W416" s="26"/>
    </row>
    <row r="417" spans="1:23" x14ac:dyDescent="0.25">
      <c r="A417" s="26" t="s">
        <v>53</v>
      </c>
      <c r="B417" s="26" t="s">
        <v>1758</v>
      </c>
      <c r="C417" s="26" t="s">
        <v>1759</v>
      </c>
      <c r="D417" s="26" t="s">
        <v>179</v>
      </c>
      <c r="E417" s="26" t="s">
        <v>1760</v>
      </c>
      <c r="F417" s="26" t="s">
        <v>1761</v>
      </c>
      <c r="G417" s="26" t="s">
        <v>676</v>
      </c>
      <c r="H417" s="26" t="s">
        <v>677</v>
      </c>
      <c r="I417" s="26" t="s">
        <v>184</v>
      </c>
      <c r="J417" s="26" t="s">
        <v>375</v>
      </c>
      <c r="K417" s="26" t="s">
        <v>360</v>
      </c>
      <c r="L417" s="26" t="s">
        <v>79</v>
      </c>
      <c r="M417" s="26" t="s">
        <v>77</v>
      </c>
      <c r="N417" s="26">
        <v>22</v>
      </c>
      <c r="O417" s="26">
        <v>6</v>
      </c>
      <c r="P417" s="26">
        <v>16</v>
      </c>
      <c r="Q417" s="26">
        <v>2</v>
      </c>
      <c r="R417" s="26">
        <v>1</v>
      </c>
      <c r="S417" s="26">
        <v>3</v>
      </c>
      <c r="T417" s="26">
        <v>5</v>
      </c>
      <c r="U417" s="26">
        <v>9</v>
      </c>
      <c r="V417" s="26">
        <v>1</v>
      </c>
      <c r="W417" s="26"/>
    </row>
    <row r="418" spans="1:23" x14ac:dyDescent="0.25">
      <c r="A418" s="26" t="s">
        <v>53</v>
      </c>
      <c r="B418" s="26" t="s">
        <v>1762</v>
      </c>
      <c r="C418" s="26" t="s">
        <v>1763</v>
      </c>
      <c r="D418" s="26" t="s">
        <v>179</v>
      </c>
      <c r="E418" s="26" t="s">
        <v>1764</v>
      </c>
      <c r="F418" s="26" t="s">
        <v>1765</v>
      </c>
      <c r="G418" s="26" t="s">
        <v>676</v>
      </c>
      <c r="H418" s="26" t="s">
        <v>677</v>
      </c>
      <c r="I418" s="26" t="s">
        <v>184</v>
      </c>
      <c r="J418" s="26" t="s">
        <v>375</v>
      </c>
      <c r="K418" s="26" t="s">
        <v>360</v>
      </c>
      <c r="L418" s="26" t="s">
        <v>79</v>
      </c>
      <c r="M418" s="26" t="s">
        <v>77</v>
      </c>
      <c r="N418" s="26">
        <v>8</v>
      </c>
      <c r="O418" s="26">
        <v>4</v>
      </c>
      <c r="P418" s="26">
        <v>4</v>
      </c>
      <c r="Q418" s="26">
        <v>1</v>
      </c>
      <c r="R418" s="26">
        <v>1</v>
      </c>
      <c r="S418" s="26">
        <v>1</v>
      </c>
      <c r="T418" s="26">
        <v>6</v>
      </c>
      <c r="U418" s="26">
        <v>8</v>
      </c>
      <c r="V418" s="26">
        <v>1</v>
      </c>
      <c r="W418" s="26"/>
    </row>
    <row r="419" spans="1:23" x14ac:dyDescent="0.25">
      <c r="A419" s="26" t="s">
        <v>53</v>
      </c>
      <c r="B419" s="26" t="s">
        <v>1766</v>
      </c>
      <c r="C419" s="26" t="s">
        <v>1767</v>
      </c>
      <c r="D419" s="26" t="s">
        <v>179</v>
      </c>
      <c r="E419" s="26" t="s">
        <v>1768</v>
      </c>
      <c r="F419" s="26" t="s">
        <v>1769</v>
      </c>
      <c r="G419" s="26" t="s">
        <v>204</v>
      </c>
      <c r="H419" s="26" t="s">
        <v>1026</v>
      </c>
      <c r="I419" s="26" t="s">
        <v>184</v>
      </c>
      <c r="J419" s="26" t="s">
        <v>322</v>
      </c>
      <c r="K419" s="26" t="s">
        <v>360</v>
      </c>
      <c r="L419" s="26" t="s">
        <v>79</v>
      </c>
      <c r="M419" s="26" t="s">
        <v>77</v>
      </c>
      <c r="N419" s="26">
        <v>9</v>
      </c>
      <c r="O419" s="26">
        <v>3</v>
      </c>
      <c r="P419" s="26">
        <v>6</v>
      </c>
      <c r="Q419" s="26">
        <v>1</v>
      </c>
      <c r="R419" s="26">
        <v>1</v>
      </c>
      <c r="S419" s="26">
        <v>2</v>
      </c>
      <c r="T419" s="26">
        <v>2</v>
      </c>
      <c r="U419" s="26">
        <v>5</v>
      </c>
      <c r="V419" s="26">
        <v>1</v>
      </c>
      <c r="W419" s="26"/>
    </row>
    <row r="420" spans="1:23" x14ac:dyDescent="0.25">
      <c r="A420" s="26" t="s">
        <v>53</v>
      </c>
      <c r="B420" s="26" t="s">
        <v>1770</v>
      </c>
      <c r="C420" s="26" t="s">
        <v>1771</v>
      </c>
      <c r="D420" s="26" t="s">
        <v>218</v>
      </c>
      <c r="E420" s="26" t="s">
        <v>1772</v>
      </c>
      <c r="F420" s="26" t="s">
        <v>1773</v>
      </c>
      <c r="G420" s="26" t="s">
        <v>293</v>
      </c>
      <c r="H420" s="26" t="s">
        <v>1506</v>
      </c>
      <c r="I420" s="26" t="s">
        <v>1259</v>
      </c>
      <c r="J420" s="26" t="s">
        <v>696</v>
      </c>
      <c r="K420" s="26" t="s">
        <v>296</v>
      </c>
      <c r="L420" s="26" t="s">
        <v>80</v>
      </c>
      <c r="M420" s="26" t="s">
        <v>77</v>
      </c>
      <c r="N420" s="26">
        <v>146</v>
      </c>
      <c r="O420" s="26">
        <v>69</v>
      </c>
      <c r="P420" s="26">
        <v>77</v>
      </c>
      <c r="Q420" s="26">
        <v>5</v>
      </c>
      <c r="R420" s="26">
        <v>1</v>
      </c>
      <c r="S420" s="26">
        <v>14</v>
      </c>
      <c r="T420" s="26">
        <v>1</v>
      </c>
      <c r="U420" s="26">
        <v>16</v>
      </c>
      <c r="V420" s="26">
        <v>1</v>
      </c>
      <c r="W420" s="26"/>
    </row>
    <row r="421" spans="1:23" x14ac:dyDescent="0.25">
      <c r="A421" s="26" t="s">
        <v>53</v>
      </c>
      <c r="B421" s="26" t="s">
        <v>1774</v>
      </c>
      <c r="C421" s="26" t="s">
        <v>1775</v>
      </c>
      <c r="D421" s="26" t="s">
        <v>179</v>
      </c>
      <c r="E421" s="26" t="s">
        <v>1776</v>
      </c>
      <c r="F421" s="26" t="s">
        <v>1777</v>
      </c>
      <c r="G421" s="26" t="s">
        <v>662</v>
      </c>
      <c r="H421" s="26" t="s">
        <v>1778</v>
      </c>
      <c r="I421" s="26" t="s">
        <v>184</v>
      </c>
      <c r="J421" s="26" t="s">
        <v>427</v>
      </c>
      <c r="K421" s="26" t="s">
        <v>360</v>
      </c>
      <c r="L421" s="26" t="s">
        <v>79</v>
      </c>
      <c r="M421" s="26" t="s">
        <v>77</v>
      </c>
      <c r="N421" s="26">
        <v>20</v>
      </c>
      <c r="O421" s="26">
        <v>10</v>
      </c>
      <c r="P421" s="26">
        <v>10</v>
      </c>
      <c r="Q421" s="26">
        <v>2</v>
      </c>
      <c r="R421" s="26">
        <v>1</v>
      </c>
      <c r="S421" s="26">
        <v>2</v>
      </c>
      <c r="T421" s="26">
        <v>4</v>
      </c>
      <c r="U421" s="26">
        <v>7</v>
      </c>
      <c r="V421" s="26">
        <v>1</v>
      </c>
      <c r="W421" s="26"/>
    </row>
    <row r="422" spans="1:23" x14ac:dyDescent="0.25">
      <c r="A422" s="26" t="s">
        <v>53</v>
      </c>
      <c r="B422" s="26" t="s">
        <v>1779</v>
      </c>
      <c r="C422" s="26" t="s">
        <v>1780</v>
      </c>
      <c r="D422" s="26" t="s">
        <v>179</v>
      </c>
      <c r="E422" s="26" t="s">
        <v>1781</v>
      </c>
      <c r="F422" s="26" t="s">
        <v>317</v>
      </c>
      <c r="G422" s="26" t="s">
        <v>191</v>
      </c>
      <c r="H422" s="26" t="s">
        <v>1347</v>
      </c>
      <c r="I422" s="26" t="s">
        <v>184</v>
      </c>
      <c r="J422" s="26" t="s">
        <v>427</v>
      </c>
      <c r="K422" s="26" t="s">
        <v>360</v>
      </c>
      <c r="L422" s="26" t="s">
        <v>79</v>
      </c>
      <c r="M422" s="26" t="s">
        <v>77</v>
      </c>
      <c r="N422" s="26">
        <v>22</v>
      </c>
      <c r="O422" s="26">
        <v>10</v>
      </c>
      <c r="P422" s="26">
        <v>12</v>
      </c>
      <c r="Q422" s="26">
        <v>1</v>
      </c>
      <c r="R422" s="26">
        <v>1</v>
      </c>
      <c r="S422" s="26">
        <v>6</v>
      </c>
      <c r="T422" s="26">
        <v>14</v>
      </c>
      <c r="U422" s="26">
        <v>21</v>
      </c>
      <c r="V422" s="26">
        <v>1</v>
      </c>
      <c r="W422" s="26"/>
    </row>
    <row r="423" spans="1:23" x14ac:dyDescent="0.25">
      <c r="A423" s="26" t="s">
        <v>53</v>
      </c>
      <c r="B423" s="26" t="s">
        <v>1782</v>
      </c>
      <c r="C423" s="26" t="s">
        <v>1783</v>
      </c>
      <c r="D423" s="26" t="s">
        <v>179</v>
      </c>
      <c r="E423" s="26" t="s">
        <v>1784</v>
      </c>
      <c r="F423" s="26" t="s">
        <v>1785</v>
      </c>
      <c r="G423" s="26" t="s">
        <v>637</v>
      </c>
      <c r="H423" s="26" t="s">
        <v>657</v>
      </c>
      <c r="I423" s="26" t="s">
        <v>184</v>
      </c>
      <c r="J423" s="26" t="s">
        <v>427</v>
      </c>
      <c r="K423" s="26" t="s">
        <v>360</v>
      </c>
      <c r="L423" s="26" t="s">
        <v>79</v>
      </c>
      <c r="M423" s="26" t="s">
        <v>77</v>
      </c>
      <c r="N423" s="26">
        <v>14</v>
      </c>
      <c r="O423" s="26">
        <v>10</v>
      </c>
      <c r="P423" s="26">
        <v>4</v>
      </c>
      <c r="Q423" s="26">
        <v>2</v>
      </c>
      <c r="R423" s="26">
        <v>1</v>
      </c>
      <c r="S423" s="26">
        <v>4</v>
      </c>
      <c r="T423" s="26">
        <v>5</v>
      </c>
      <c r="U423" s="26">
        <v>10</v>
      </c>
      <c r="V423" s="26">
        <v>1</v>
      </c>
      <c r="W423" s="26"/>
    </row>
    <row r="424" spans="1:23" x14ac:dyDescent="0.25">
      <c r="A424" s="26" t="s">
        <v>53</v>
      </c>
      <c r="B424" s="26" t="s">
        <v>1786</v>
      </c>
      <c r="C424" s="26" t="s">
        <v>1787</v>
      </c>
      <c r="D424" s="26" t="s">
        <v>179</v>
      </c>
      <c r="E424" s="26" t="s">
        <v>1788</v>
      </c>
      <c r="F424" s="26" t="s">
        <v>1789</v>
      </c>
      <c r="G424" s="26" t="s">
        <v>662</v>
      </c>
      <c r="H424" s="26" t="s">
        <v>1778</v>
      </c>
      <c r="I424" s="26" t="s">
        <v>184</v>
      </c>
      <c r="J424" s="26" t="s">
        <v>427</v>
      </c>
      <c r="K424" s="26" t="s">
        <v>360</v>
      </c>
      <c r="L424" s="26" t="s">
        <v>79</v>
      </c>
      <c r="M424" s="26" t="s">
        <v>77</v>
      </c>
      <c r="N424" s="26">
        <v>18</v>
      </c>
      <c r="O424" s="26">
        <v>9</v>
      </c>
      <c r="P424" s="26">
        <v>9</v>
      </c>
      <c r="Q424" s="26">
        <v>2</v>
      </c>
      <c r="R424" s="26">
        <v>1</v>
      </c>
      <c r="S424" s="26">
        <v>4</v>
      </c>
      <c r="T424" s="26">
        <v>5</v>
      </c>
      <c r="U424" s="26">
        <v>10</v>
      </c>
      <c r="V424" s="26">
        <v>1</v>
      </c>
      <c r="W424" s="26"/>
    </row>
    <row r="425" spans="1:23" x14ac:dyDescent="0.25">
      <c r="A425" s="26" t="s">
        <v>53</v>
      </c>
      <c r="B425" s="26" t="s">
        <v>1790</v>
      </c>
      <c r="C425" s="26" t="s">
        <v>669</v>
      </c>
      <c r="D425" s="26" t="s">
        <v>179</v>
      </c>
      <c r="E425" s="26" t="s">
        <v>1791</v>
      </c>
      <c r="F425" s="26" t="s">
        <v>671</v>
      </c>
      <c r="G425" s="26" t="s">
        <v>662</v>
      </c>
      <c r="H425" s="26" t="s">
        <v>1778</v>
      </c>
      <c r="I425" s="26" t="s">
        <v>184</v>
      </c>
      <c r="J425" s="26" t="s">
        <v>427</v>
      </c>
      <c r="K425" s="26" t="s">
        <v>360</v>
      </c>
      <c r="L425" s="26" t="s">
        <v>79</v>
      </c>
      <c r="M425" s="26" t="s">
        <v>77</v>
      </c>
      <c r="N425" s="26">
        <v>18</v>
      </c>
      <c r="O425" s="26">
        <v>9</v>
      </c>
      <c r="P425" s="26">
        <v>9</v>
      </c>
      <c r="Q425" s="26">
        <v>1</v>
      </c>
      <c r="R425" s="26">
        <v>1</v>
      </c>
      <c r="S425" s="26">
        <v>2</v>
      </c>
      <c r="T425" s="26">
        <v>11</v>
      </c>
      <c r="U425" s="26">
        <v>14</v>
      </c>
      <c r="V425" s="26">
        <v>1</v>
      </c>
      <c r="W425" s="26"/>
    </row>
    <row r="426" spans="1:23" x14ac:dyDescent="0.25">
      <c r="A426" s="26" t="s">
        <v>53</v>
      </c>
      <c r="B426" s="26" t="s">
        <v>1792</v>
      </c>
      <c r="C426" s="26" t="s">
        <v>1793</v>
      </c>
      <c r="D426" s="26" t="s">
        <v>179</v>
      </c>
      <c r="E426" s="26" t="s">
        <v>1794</v>
      </c>
      <c r="F426" s="26" t="s">
        <v>598</v>
      </c>
      <c r="G426" s="26" t="s">
        <v>182</v>
      </c>
      <c r="H426" s="26" t="s">
        <v>380</v>
      </c>
      <c r="I426" s="26" t="s">
        <v>184</v>
      </c>
      <c r="J426" s="26" t="s">
        <v>322</v>
      </c>
      <c r="K426" s="26" t="s">
        <v>381</v>
      </c>
      <c r="L426" s="26" t="s">
        <v>79</v>
      </c>
      <c r="M426" s="26" t="s">
        <v>77</v>
      </c>
      <c r="N426" s="26">
        <v>31</v>
      </c>
      <c r="O426" s="26">
        <v>17</v>
      </c>
      <c r="P426" s="26">
        <v>14</v>
      </c>
      <c r="Q426" s="26">
        <v>2</v>
      </c>
      <c r="R426" s="26">
        <v>1</v>
      </c>
      <c r="S426" s="26">
        <v>8</v>
      </c>
      <c r="T426" s="26">
        <v>19</v>
      </c>
      <c r="U426" s="26">
        <v>28</v>
      </c>
      <c r="V426" s="26">
        <v>1</v>
      </c>
      <c r="W426" s="26"/>
    </row>
    <row r="427" spans="1:23" x14ac:dyDescent="0.25">
      <c r="A427" s="26" t="s">
        <v>53</v>
      </c>
      <c r="B427" s="26" t="s">
        <v>1795</v>
      </c>
      <c r="C427" s="26" t="s">
        <v>1796</v>
      </c>
      <c r="D427" s="26" t="s">
        <v>218</v>
      </c>
      <c r="E427" s="26" t="s">
        <v>1797</v>
      </c>
      <c r="F427" s="26" t="s">
        <v>1798</v>
      </c>
      <c r="G427" s="26" t="s">
        <v>265</v>
      </c>
      <c r="H427" s="26" t="s">
        <v>508</v>
      </c>
      <c r="I427" s="26" t="s">
        <v>184</v>
      </c>
      <c r="J427" s="26" t="s">
        <v>322</v>
      </c>
      <c r="K427" s="26" t="s">
        <v>381</v>
      </c>
      <c r="L427" s="26" t="s">
        <v>79</v>
      </c>
      <c r="M427" s="26" t="s">
        <v>77</v>
      </c>
      <c r="N427" s="26">
        <v>128</v>
      </c>
      <c r="O427" s="26">
        <v>76</v>
      </c>
      <c r="P427" s="26">
        <v>52</v>
      </c>
      <c r="Q427" s="26">
        <v>6</v>
      </c>
      <c r="R427" s="26">
        <v>1</v>
      </c>
      <c r="S427" s="26">
        <v>34</v>
      </c>
      <c r="T427" s="26">
        <v>48</v>
      </c>
      <c r="U427" s="26">
        <v>83</v>
      </c>
      <c r="V427" s="26">
        <v>1</v>
      </c>
      <c r="W427" s="26"/>
    </row>
    <row r="428" spans="1:23" x14ac:dyDescent="0.25">
      <c r="A428" s="26" t="s">
        <v>53</v>
      </c>
      <c r="B428" s="26" t="s">
        <v>1799</v>
      </c>
      <c r="C428" s="26" t="s">
        <v>1800</v>
      </c>
      <c r="D428" s="26" t="s">
        <v>218</v>
      </c>
      <c r="E428" s="26" t="s">
        <v>1801</v>
      </c>
      <c r="F428" s="26" t="s">
        <v>1802</v>
      </c>
      <c r="G428" s="26" t="s">
        <v>265</v>
      </c>
      <c r="H428" s="26" t="s">
        <v>508</v>
      </c>
      <c r="I428" s="26" t="s">
        <v>184</v>
      </c>
      <c r="J428" s="26" t="s">
        <v>322</v>
      </c>
      <c r="K428" s="26" t="s">
        <v>381</v>
      </c>
      <c r="L428" s="26" t="s">
        <v>79</v>
      </c>
      <c r="M428" s="26" t="s">
        <v>77</v>
      </c>
      <c r="N428" s="26">
        <v>96</v>
      </c>
      <c r="O428" s="26">
        <v>52</v>
      </c>
      <c r="P428" s="26">
        <v>44</v>
      </c>
      <c r="Q428" s="26">
        <v>5</v>
      </c>
      <c r="R428" s="26">
        <v>1</v>
      </c>
      <c r="S428" s="26">
        <v>35</v>
      </c>
      <c r="T428" s="26">
        <v>41</v>
      </c>
      <c r="U428" s="26">
        <v>77</v>
      </c>
      <c r="V428" s="26">
        <v>1</v>
      </c>
      <c r="W428" s="26"/>
    </row>
    <row r="429" spans="1:23" x14ac:dyDescent="0.25">
      <c r="A429" s="26" t="s">
        <v>53</v>
      </c>
      <c r="B429" s="26" t="s">
        <v>1803</v>
      </c>
      <c r="C429" s="26" t="s">
        <v>1804</v>
      </c>
      <c r="D429" s="26" t="s">
        <v>179</v>
      </c>
      <c r="E429" s="26" t="s">
        <v>1805</v>
      </c>
      <c r="F429" s="26" t="s">
        <v>1806</v>
      </c>
      <c r="G429" s="26" t="s">
        <v>676</v>
      </c>
      <c r="H429" s="26" t="s">
        <v>677</v>
      </c>
      <c r="I429" s="26" t="s">
        <v>184</v>
      </c>
      <c r="J429" s="26" t="s">
        <v>375</v>
      </c>
      <c r="K429" s="26" t="s">
        <v>360</v>
      </c>
      <c r="L429" s="26" t="s">
        <v>79</v>
      </c>
      <c r="M429" s="26" t="s">
        <v>77</v>
      </c>
      <c r="N429" s="26">
        <v>19</v>
      </c>
      <c r="O429" s="26">
        <v>13</v>
      </c>
      <c r="P429" s="26">
        <v>6</v>
      </c>
      <c r="Q429" s="26">
        <v>2</v>
      </c>
      <c r="R429" s="26">
        <v>1</v>
      </c>
      <c r="S429" s="26">
        <v>5</v>
      </c>
      <c r="T429" s="26">
        <v>4</v>
      </c>
      <c r="U429" s="26">
        <v>10</v>
      </c>
      <c r="V429" s="26">
        <v>1</v>
      </c>
      <c r="W429" s="26"/>
    </row>
    <row r="430" spans="1:23" x14ac:dyDescent="0.25">
      <c r="A430" s="26" t="s">
        <v>53</v>
      </c>
      <c r="B430" s="26" t="s">
        <v>1807</v>
      </c>
      <c r="C430" s="26" t="s">
        <v>1808</v>
      </c>
      <c r="D430" s="26" t="s">
        <v>179</v>
      </c>
      <c r="E430" s="26" t="s">
        <v>1809</v>
      </c>
      <c r="F430" s="26" t="s">
        <v>1810</v>
      </c>
      <c r="G430" s="26" t="s">
        <v>265</v>
      </c>
      <c r="H430" s="26" t="s">
        <v>321</v>
      </c>
      <c r="I430" s="26" t="s">
        <v>184</v>
      </c>
      <c r="J430" s="26" t="s">
        <v>322</v>
      </c>
      <c r="K430" s="26" t="s">
        <v>360</v>
      </c>
      <c r="L430" s="26" t="s">
        <v>79</v>
      </c>
      <c r="M430" s="26" t="s">
        <v>77</v>
      </c>
      <c r="N430" s="26">
        <v>11</v>
      </c>
      <c r="O430" s="26">
        <v>6</v>
      </c>
      <c r="P430" s="26">
        <v>5</v>
      </c>
      <c r="Q430" s="26">
        <v>1</v>
      </c>
      <c r="R430" s="26">
        <v>1</v>
      </c>
      <c r="S430" s="26">
        <v>1</v>
      </c>
      <c r="T430" s="26">
        <v>3</v>
      </c>
      <c r="U430" s="26">
        <v>5</v>
      </c>
      <c r="V430" s="26">
        <v>1</v>
      </c>
      <c r="W430" s="26"/>
    </row>
    <row r="431" spans="1:23" x14ac:dyDescent="0.25">
      <c r="A431" s="26" t="s">
        <v>53</v>
      </c>
      <c r="B431" s="26" t="s">
        <v>1811</v>
      </c>
      <c r="C431" s="26" t="s">
        <v>1812</v>
      </c>
      <c r="D431" s="26" t="s">
        <v>179</v>
      </c>
      <c r="E431" s="26" t="s">
        <v>1813</v>
      </c>
      <c r="F431" s="26" t="s">
        <v>1499</v>
      </c>
      <c r="G431" s="26" t="s">
        <v>413</v>
      </c>
      <c r="H431" s="26" t="s">
        <v>495</v>
      </c>
      <c r="I431" s="26" t="s">
        <v>184</v>
      </c>
      <c r="J431" s="26" t="s">
        <v>375</v>
      </c>
      <c r="K431" s="26" t="s">
        <v>360</v>
      </c>
      <c r="L431" s="26" t="s">
        <v>79</v>
      </c>
      <c r="M431" s="26" t="s">
        <v>77</v>
      </c>
      <c r="N431" s="26">
        <v>13</v>
      </c>
      <c r="O431" s="26">
        <v>5</v>
      </c>
      <c r="P431" s="26">
        <v>8</v>
      </c>
      <c r="Q431" s="26">
        <v>1</v>
      </c>
      <c r="R431" s="26">
        <v>1</v>
      </c>
      <c r="S431" s="26">
        <v>2</v>
      </c>
      <c r="T431" s="26">
        <v>9</v>
      </c>
      <c r="U431" s="26">
        <v>12</v>
      </c>
      <c r="V431" s="26">
        <v>1</v>
      </c>
      <c r="W431" s="26"/>
    </row>
    <row r="432" spans="1:23" x14ac:dyDescent="0.25">
      <c r="A432" s="26" t="s">
        <v>53</v>
      </c>
      <c r="B432" s="26" t="s">
        <v>1814</v>
      </c>
      <c r="C432" s="26" t="s">
        <v>1815</v>
      </c>
      <c r="D432" s="26" t="s">
        <v>179</v>
      </c>
      <c r="E432" s="26" t="s">
        <v>1816</v>
      </c>
      <c r="F432" s="26" t="s">
        <v>282</v>
      </c>
      <c r="G432" s="26" t="s">
        <v>204</v>
      </c>
      <c r="H432" s="26" t="s">
        <v>643</v>
      </c>
      <c r="I432" s="26" t="s">
        <v>184</v>
      </c>
      <c r="J432" s="26" t="s">
        <v>322</v>
      </c>
      <c r="K432" s="26" t="s">
        <v>360</v>
      </c>
      <c r="L432" s="26" t="s">
        <v>79</v>
      </c>
      <c r="M432" s="26" t="s">
        <v>77</v>
      </c>
      <c r="N432" s="26">
        <v>30</v>
      </c>
      <c r="O432" s="26">
        <v>14</v>
      </c>
      <c r="P432" s="26">
        <v>16</v>
      </c>
      <c r="Q432" s="26">
        <v>3</v>
      </c>
      <c r="R432" s="26">
        <v>1</v>
      </c>
      <c r="S432" s="26">
        <v>6</v>
      </c>
      <c r="T432" s="26">
        <v>5</v>
      </c>
      <c r="U432" s="26">
        <v>12</v>
      </c>
      <c r="V432" s="26">
        <v>1</v>
      </c>
      <c r="W432" s="26"/>
    </row>
    <row r="433" spans="1:23" x14ac:dyDescent="0.25">
      <c r="A433" s="26" t="s">
        <v>53</v>
      </c>
      <c r="B433" s="26" t="s">
        <v>1817</v>
      </c>
      <c r="C433" s="26" t="s">
        <v>1818</v>
      </c>
      <c r="D433" s="26" t="s">
        <v>179</v>
      </c>
      <c r="E433" s="26" t="s">
        <v>1819</v>
      </c>
      <c r="F433" s="26" t="s">
        <v>1820</v>
      </c>
      <c r="G433" s="26" t="s">
        <v>265</v>
      </c>
      <c r="H433" s="26" t="s">
        <v>321</v>
      </c>
      <c r="I433" s="26" t="s">
        <v>184</v>
      </c>
      <c r="J433" s="26" t="s">
        <v>322</v>
      </c>
      <c r="K433" s="26" t="s">
        <v>360</v>
      </c>
      <c r="L433" s="26" t="s">
        <v>79</v>
      </c>
      <c r="M433" s="26" t="s">
        <v>77</v>
      </c>
      <c r="N433" s="26">
        <v>15</v>
      </c>
      <c r="O433" s="26">
        <v>9</v>
      </c>
      <c r="P433" s="26">
        <v>6</v>
      </c>
      <c r="Q433" s="26">
        <v>1</v>
      </c>
      <c r="R433" s="26">
        <v>1</v>
      </c>
      <c r="S433" s="26">
        <v>2</v>
      </c>
      <c r="T433" s="26">
        <v>3</v>
      </c>
      <c r="U433" s="26">
        <v>6</v>
      </c>
      <c r="V433" s="26">
        <v>1</v>
      </c>
      <c r="W433" s="26"/>
    </row>
    <row r="434" spans="1:23" x14ac:dyDescent="0.25">
      <c r="A434" s="26" t="s">
        <v>53</v>
      </c>
      <c r="B434" s="26" t="s">
        <v>1821</v>
      </c>
      <c r="C434" s="26" t="s">
        <v>1822</v>
      </c>
      <c r="D434" s="26" t="s">
        <v>179</v>
      </c>
      <c r="E434" s="26" t="s">
        <v>1823</v>
      </c>
      <c r="F434" s="26" t="s">
        <v>1824</v>
      </c>
      <c r="G434" s="26" t="s">
        <v>487</v>
      </c>
      <c r="H434" s="26" t="s">
        <v>1307</v>
      </c>
      <c r="I434" s="26" t="s">
        <v>184</v>
      </c>
      <c r="J434" s="26" t="s">
        <v>375</v>
      </c>
      <c r="K434" s="26" t="s">
        <v>186</v>
      </c>
      <c r="L434" s="26" t="s">
        <v>79</v>
      </c>
      <c r="M434" s="26" t="s">
        <v>78</v>
      </c>
      <c r="N434" s="26">
        <v>29</v>
      </c>
      <c r="O434" s="26">
        <v>19</v>
      </c>
      <c r="P434" s="26">
        <v>10</v>
      </c>
      <c r="Q434" s="26">
        <v>4</v>
      </c>
      <c r="R434" s="26">
        <v>1</v>
      </c>
      <c r="S434" s="26">
        <v>12</v>
      </c>
      <c r="T434" s="26">
        <v>11</v>
      </c>
      <c r="U434" s="26">
        <v>24</v>
      </c>
      <c r="V434" s="26">
        <v>1</v>
      </c>
      <c r="W434" s="26"/>
    </row>
    <row r="435" spans="1:23" x14ac:dyDescent="0.25">
      <c r="A435" s="26" t="s">
        <v>53</v>
      </c>
      <c r="B435" s="26" t="s">
        <v>1825</v>
      </c>
      <c r="C435" s="26" t="s">
        <v>1826</v>
      </c>
      <c r="D435" s="26" t="s">
        <v>179</v>
      </c>
      <c r="E435" s="26" t="s">
        <v>1827</v>
      </c>
      <c r="F435" s="26" t="s">
        <v>1480</v>
      </c>
      <c r="G435" s="26" t="s">
        <v>226</v>
      </c>
      <c r="H435" s="26" t="s">
        <v>833</v>
      </c>
      <c r="I435" s="26" t="s">
        <v>184</v>
      </c>
      <c r="J435" s="26" t="s">
        <v>427</v>
      </c>
      <c r="K435" s="26" t="s">
        <v>186</v>
      </c>
      <c r="L435" s="26" t="s">
        <v>79</v>
      </c>
      <c r="M435" s="26" t="s">
        <v>78</v>
      </c>
      <c r="N435" s="26">
        <v>17</v>
      </c>
      <c r="O435" s="26">
        <v>9</v>
      </c>
      <c r="P435" s="26">
        <v>8</v>
      </c>
      <c r="Q435" s="26">
        <v>3</v>
      </c>
      <c r="R435" s="26">
        <v>1</v>
      </c>
      <c r="S435" s="26">
        <v>5</v>
      </c>
      <c r="T435" s="26">
        <v>5</v>
      </c>
      <c r="U435" s="26">
        <v>11</v>
      </c>
      <c r="V435" s="26">
        <v>1</v>
      </c>
      <c r="W435" s="26"/>
    </row>
    <row r="436" spans="1:23" x14ac:dyDescent="0.25">
      <c r="A436" s="26" t="s">
        <v>53</v>
      </c>
      <c r="B436" s="26" t="s">
        <v>1828</v>
      </c>
      <c r="C436" s="26" t="s">
        <v>1829</v>
      </c>
      <c r="D436" s="26" t="s">
        <v>218</v>
      </c>
      <c r="E436" s="26" t="s">
        <v>1830</v>
      </c>
      <c r="F436" s="26" t="s">
        <v>1831</v>
      </c>
      <c r="G436" s="26" t="s">
        <v>210</v>
      </c>
      <c r="H436" s="26" t="s">
        <v>327</v>
      </c>
      <c r="I436" s="26" t="s">
        <v>184</v>
      </c>
      <c r="J436" s="26" t="s">
        <v>322</v>
      </c>
      <c r="K436" s="26" t="s">
        <v>186</v>
      </c>
      <c r="L436" s="26" t="s">
        <v>79</v>
      </c>
      <c r="M436" s="26" t="s">
        <v>78</v>
      </c>
      <c r="N436" s="26">
        <v>22</v>
      </c>
      <c r="O436" s="26">
        <v>10</v>
      </c>
      <c r="P436" s="26">
        <v>12</v>
      </c>
      <c r="Q436" s="26">
        <v>3</v>
      </c>
      <c r="R436" s="26">
        <v>1</v>
      </c>
      <c r="S436" s="26">
        <v>5</v>
      </c>
      <c r="T436" s="26">
        <v>5</v>
      </c>
      <c r="U436" s="26">
        <v>11</v>
      </c>
      <c r="V436" s="26">
        <v>1</v>
      </c>
      <c r="W436" s="26"/>
    </row>
    <row r="437" spans="1:23" x14ac:dyDescent="0.25">
      <c r="A437" s="26" t="s">
        <v>53</v>
      </c>
      <c r="B437" s="26" t="s">
        <v>1832</v>
      </c>
      <c r="C437" s="26" t="s">
        <v>1833</v>
      </c>
      <c r="D437" s="26" t="s">
        <v>179</v>
      </c>
      <c r="E437" s="26" t="s">
        <v>1834</v>
      </c>
      <c r="F437" s="26" t="s">
        <v>607</v>
      </c>
      <c r="G437" s="26" t="s">
        <v>198</v>
      </c>
      <c r="H437" s="26" t="s">
        <v>431</v>
      </c>
      <c r="I437" s="26" t="s">
        <v>184</v>
      </c>
      <c r="J437" s="26" t="s">
        <v>375</v>
      </c>
      <c r="K437" s="26" t="s">
        <v>186</v>
      </c>
      <c r="L437" s="26" t="s">
        <v>79</v>
      </c>
      <c r="M437" s="26" t="s">
        <v>78</v>
      </c>
      <c r="N437" s="26">
        <v>77</v>
      </c>
      <c r="O437" s="26">
        <v>29</v>
      </c>
      <c r="P437" s="26">
        <v>48</v>
      </c>
      <c r="Q437" s="26">
        <v>6</v>
      </c>
      <c r="R437" s="26">
        <v>1</v>
      </c>
      <c r="S437" s="26">
        <v>16</v>
      </c>
      <c r="T437" s="26">
        <v>10</v>
      </c>
      <c r="U437" s="26">
        <v>27</v>
      </c>
      <c r="V437" s="26">
        <v>1</v>
      </c>
      <c r="W437" s="26"/>
    </row>
    <row r="438" spans="1:23" x14ac:dyDescent="0.25">
      <c r="A438" s="26" t="s">
        <v>53</v>
      </c>
      <c r="B438" s="26" t="s">
        <v>1835</v>
      </c>
      <c r="C438" s="26" t="s">
        <v>1836</v>
      </c>
      <c r="D438" s="26" t="s">
        <v>179</v>
      </c>
      <c r="E438" s="26" t="s">
        <v>1837</v>
      </c>
      <c r="F438" s="26" t="s">
        <v>1168</v>
      </c>
      <c r="G438" s="26" t="s">
        <v>265</v>
      </c>
      <c r="H438" s="26" t="s">
        <v>508</v>
      </c>
      <c r="I438" s="26" t="s">
        <v>184</v>
      </c>
      <c r="J438" s="26" t="s">
        <v>322</v>
      </c>
      <c r="K438" s="26" t="s">
        <v>186</v>
      </c>
      <c r="L438" s="26" t="s">
        <v>79</v>
      </c>
      <c r="M438" s="26" t="s">
        <v>78</v>
      </c>
      <c r="N438" s="26">
        <v>25</v>
      </c>
      <c r="O438" s="26">
        <v>13</v>
      </c>
      <c r="P438" s="26">
        <v>12</v>
      </c>
      <c r="Q438" s="26">
        <v>2</v>
      </c>
      <c r="R438" s="26">
        <v>2</v>
      </c>
      <c r="S438" s="26">
        <v>6</v>
      </c>
      <c r="T438" s="26">
        <v>6</v>
      </c>
      <c r="U438" s="26">
        <v>14</v>
      </c>
      <c r="V438" s="26">
        <v>1</v>
      </c>
      <c r="W438" s="26"/>
    </row>
    <row r="439" spans="1:23" x14ac:dyDescent="0.25">
      <c r="A439" s="26" t="s">
        <v>53</v>
      </c>
      <c r="B439" s="26" t="s">
        <v>1838</v>
      </c>
      <c r="C439" s="26" t="s">
        <v>1839</v>
      </c>
      <c r="D439" s="26" t="s">
        <v>218</v>
      </c>
      <c r="E439" s="26" t="s">
        <v>1840</v>
      </c>
      <c r="F439" s="26" t="s">
        <v>425</v>
      </c>
      <c r="G439" s="26" t="s">
        <v>191</v>
      </c>
      <c r="H439" s="26" t="s">
        <v>1841</v>
      </c>
      <c r="I439" s="26" t="s">
        <v>184</v>
      </c>
      <c r="J439" s="26" t="s">
        <v>427</v>
      </c>
      <c r="K439" s="26" t="s">
        <v>186</v>
      </c>
      <c r="L439" s="26" t="s">
        <v>79</v>
      </c>
      <c r="M439" s="26" t="s">
        <v>78</v>
      </c>
      <c r="N439" s="26">
        <v>16</v>
      </c>
      <c r="O439" s="26">
        <v>9</v>
      </c>
      <c r="P439" s="26">
        <v>7</v>
      </c>
      <c r="Q439" s="26">
        <v>2</v>
      </c>
      <c r="R439" s="26">
        <v>1</v>
      </c>
      <c r="S439" s="26">
        <v>5</v>
      </c>
      <c r="T439" s="26">
        <v>4</v>
      </c>
      <c r="U439" s="26">
        <v>10</v>
      </c>
      <c r="V439" s="26">
        <v>1</v>
      </c>
      <c r="W439" s="26"/>
    </row>
    <row r="440" spans="1:23" x14ac:dyDescent="0.25">
      <c r="A440" s="26" t="s">
        <v>53</v>
      </c>
      <c r="B440" s="26" t="s">
        <v>1842</v>
      </c>
      <c r="C440" s="26" t="s">
        <v>1843</v>
      </c>
      <c r="D440" s="26" t="s">
        <v>218</v>
      </c>
      <c r="E440" s="26" t="s">
        <v>1844</v>
      </c>
      <c r="F440" s="26" t="s">
        <v>1845</v>
      </c>
      <c r="G440" s="26" t="s">
        <v>487</v>
      </c>
      <c r="H440" s="26" t="s">
        <v>594</v>
      </c>
      <c r="I440" s="26" t="s">
        <v>184</v>
      </c>
      <c r="J440" s="26" t="s">
        <v>375</v>
      </c>
      <c r="K440" s="26" t="s">
        <v>186</v>
      </c>
      <c r="L440" s="26" t="s">
        <v>79</v>
      </c>
      <c r="M440" s="26" t="s">
        <v>78</v>
      </c>
      <c r="N440" s="26">
        <v>10</v>
      </c>
      <c r="O440" s="26">
        <v>5</v>
      </c>
      <c r="P440" s="26">
        <v>5</v>
      </c>
      <c r="Q440" s="26">
        <v>3</v>
      </c>
      <c r="R440" s="26">
        <v>1</v>
      </c>
      <c r="S440" s="26">
        <v>6</v>
      </c>
      <c r="T440" s="26">
        <v>6</v>
      </c>
      <c r="U440" s="26">
        <v>13</v>
      </c>
      <c r="V440" s="26">
        <v>1</v>
      </c>
      <c r="W440" s="26"/>
    </row>
    <row r="441" spans="1:23" x14ac:dyDescent="0.25">
      <c r="A441" s="26" t="s">
        <v>53</v>
      </c>
      <c r="B441" s="26" t="s">
        <v>1846</v>
      </c>
      <c r="C441" s="26" t="s">
        <v>1847</v>
      </c>
      <c r="D441" s="26" t="s">
        <v>179</v>
      </c>
      <c r="E441" s="26" t="s">
        <v>1848</v>
      </c>
      <c r="F441" s="26" t="s">
        <v>1258</v>
      </c>
      <c r="G441" s="26" t="s">
        <v>293</v>
      </c>
      <c r="H441" s="26" t="s">
        <v>1506</v>
      </c>
      <c r="I441" s="26" t="s">
        <v>1259</v>
      </c>
      <c r="J441" s="26" t="s">
        <v>1145</v>
      </c>
      <c r="K441" s="26" t="s">
        <v>296</v>
      </c>
      <c r="L441" s="26" t="s">
        <v>80</v>
      </c>
      <c r="M441" s="26" t="s">
        <v>78</v>
      </c>
      <c r="N441" s="26">
        <v>7</v>
      </c>
      <c r="O441" s="26">
        <v>2</v>
      </c>
      <c r="P441" s="26">
        <v>5</v>
      </c>
      <c r="Q441" s="26">
        <v>2</v>
      </c>
      <c r="R441" s="26">
        <v>1</v>
      </c>
      <c r="S441" s="26">
        <v>2</v>
      </c>
      <c r="T441" s="26">
        <v>2</v>
      </c>
      <c r="U441" s="26">
        <v>5</v>
      </c>
      <c r="V441" s="26">
        <v>1</v>
      </c>
      <c r="W441" s="26"/>
    </row>
    <row r="442" spans="1:23" x14ac:dyDescent="0.25">
      <c r="A442" s="26" t="s">
        <v>53</v>
      </c>
      <c r="B442" s="26" t="s">
        <v>1849</v>
      </c>
      <c r="C442" s="26" t="s">
        <v>1850</v>
      </c>
      <c r="D442" s="26" t="s">
        <v>179</v>
      </c>
      <c r="E442" s="26" t="s">
        <v>1851</v>
      </c>
      <c r="F442" s="26" t="s">
        <v>741</v>
      </c>
      <c r="G442" s="26" t="s">
        <v>265</v>
      </c>
      <c r="H442" s="26" t="s">
        <v>526</v>
      </c>
      <c r="I442" s="26" t="s">
        <v>184</v>
      </c>
      <c r="J442" s="26" t="s">
        <v>322</v>
      </c>
      <c r="K442" s="26" t="s">
        <v>186</v>
      </c>
      <c r="L442" s="26" t="s">
        <v>79</v>
      </c>
      <c r="M442" s="26" t="s">
        <v>78</v>
      </c>
      <c r="N442" s="26">
        <v>109</v>
      </c>
      <c r="O442" s="26">
        <v>59</v>
      </c>
      <c r="P442" s="26">
        <v>50</v>
      </c>
      <c r="Q442" s="26">
        <v>11</v>
      </c>
      <c r="R442" s="26">
        <v>1</v>
      </c>
      <c r="S442" s="26">
        <v>24</v>
      </c>
      <c r="T442" s="26">
        <v>16</v>
      </c>
      <c r="U442" s="26">
        <v>41</v>
      </c>
      <c r="V442" s="26">
        <v>1</v>
      </c>
      <c r="W442" s="26"/>
    </row>
    <row r="443" spans="1:23" x14ac:dyDescent="0.25">
      <c r="A443" s="26" t="s">
        <v>53</v>
      </c>
      <c r="B443" s="26" t="s">
        <v>1852</v>
      </c>
      <c r="C443" s="26" t="s">
        <v>1853</v>
      </c>
      <c r="D443" s="26" t="s">
        <v>218</v>
      </c>
      <c r="E443" s="26" t="s">
        <v>1854</v>
      </c>
      <c r="F443" s="26" t="s">
        <v>482</v>
      </c>
      <c r="G443" s="26" t="s">
        <v>265</v>
      </c>
      <c r="H443" s="26" t="s">
        <v>359</v>
      </c>
      <c r="I443" s="26" t="s">
        <v>184</v>
      </c>
      <c r="J443" s="26" t="s">
        <v>322</v>
      </c>
      <c r="K443" s="26" t="s">
        <v>186</v>
      </c>
      <c r="L443" s="26" t="s">
        <v>79</v>
      </c>
      <c r="M443" s="26" t="s">
        <v>78</v>
      </c>
      <c r="N443" s="26">
        <v>67</v>
      </c>
      <c r="O443" s="26">
        <v>35</v>
      </c>
      <c r="P443" s="26">
        <v>32</v>
      </c>
      <c r="Q443" s="26">
        <v>5</v>
      </c>
      <c r="R443" s="26">
        <v>1</v>
      </c>
      <c r="S443" s="26">
        <v>16</v>
      </c>
      <c r="T443" s="26">
        <v>11</v>
      </c>
      <c r="U443" s="26">
        <v>28</v>
      </c>
      <c r="V443" s="26">
        <v>1</v>
      </c>
      <c r="W443" s="26"/>
    </row>
    <row r="444" spans="1:23" x14ac:dyDescent="0.25">
      <c r="A444" s="26" t="s">
        <v>53</v>
      </c>
      <c r="B444" s="26" t="s">
        <v>1855</v>
      </c>
      <c r="C444" s="26" t="s">
        <v>1856</v>
      </c>
      <c r="D444" s="26" t="s">
        <v>218</v>
      </c>
      <c r="E444" s="26" t="s">
        <v>1857</v>
      </c>
      <c r="F444" s="26" t="s">
        <v>313</v>
      </c>
      <c r="G444" s="26" t="s">
        <v>182</v>
      </c>
      <c r="H444" s="26" t="s">
        <v>399</v>
      </c>
      <c r="I444" s="26" t="s">
        <v>184</v>
      </c>
      <c r="J444" s="26" t="s">
        <v>322</v>
      </c>
      <c r="K444" s="26" t="s">
        <v>186</v>
      </c>
      <c r="L444" s="26" t="s">
        <v>79</v>
      </c>
      <c r="M444" s="26" t="s">
        <v>78</v>
      </c>
      <c r="N444" s="26">
        <v>25</v>
      </c>
      <c r="O444" s="26">
        <v>15</v>
      </c>
      <c r="P444" s="26">
        <v>10</v>
      </c>
      <c r="Q444" s="26">
        <v>2</v>
      </c>
      <c r="R444" s="26">
        <v>1</v>
      </c>
      <c r="S444" s="26">
        <v>6</v>
      </c>
      <c r="T444" s="26">
        <v>7</v>
      </c>
      <c r="U444" s="26">
        <v>14</v>
      </c>
      <c r="V444" s="26">
        <v>1</v>
      </c>
      <c r="W444" s="26"/>
    </row>
    <row r="445" spans="1:23" x14ac:dyDescent="0.25">
      <c r="A445" s="26" t="s">
        <v>53</v>
      </c>
      <c r="B445" s="26" t="s">
        <v>1858</v>
      </c>
      <c r="C445" s="26" t="s">
        <v>1859</v>
      </c>
      <c r="D445" s="26" t="s">
        <v>179</v>
      </c>
      <c r="E445" s="26" t="s">
        <v>1860</v>
      </c>
      <c r="F445" s="26" t="s">
        <v>1861</v>
      </c>
      <c r="G445" s="26" t="s">
        <v>487</v>
      </c>
      <c r="H445" s="26" t="s">
        <v>301</v>
      </c>
      <c r="I445" s="26" t="s">
        <v>184</v>
      </c>
      <c r="J445" s="26" t="s">
        <v>375</v>
      </c>
      <c r="K445" s="26" t="s">
        <v>186</v>
      </c>
      <c r="L445" s="26" t="s">
        <v>79</v>
      </c>
      <c r="M445" s="26" t="s">
        <v>78</v>
      </c>
      <c r="N445" s="26">
        <v>26</v>
      </c>
      <c r="O445" s="26">
        <v>16</v>
      </c>
      <c r="P445" s="26">
        <v>10</v>
      </c>
      <c r="Q445" s="26">
        <v>3</v>
      </c>
      <c r="R445" s="26">
        <v>1</v>
      </c>
      <c r="S445" s="26">
        <v>9</v>
      </c>
      <c r="T445" s="26">
        <v>10</v>
      </c>
      <c r="U445" s="26">
        <v>20</v>
      </c>
      <c r="V445" s="26">
        <v>1</v>
      </c>
      <c r="W445" s="26"/>
    </row>
    <row r="446" spans="1:23" x14ac:dyDescent="0.25">
      <c r="A446" s="26" t="s">
        <v>53</v>
      </c>
      <c r="B446" s="26" t="s">
        <v>1862</v>
      </c>
      <c r="C446" s="26" t="s">
        <v>1863</v>
      </c>
      <c r="D446" s="26" t="s">
        <v>218</v>
      </c>
      <c r="E446" s="26" t="s">
        <v>1864</v>
      </c>
      <c r="F446" s="26" t="s">
        <v>313</v>
      </c>
      <c r="G446" s="26" t="s">
        <v>182</v>
      </c>
      <c r="H446" s="26" t="s">
        <v>399</v>
      </c>
      <c r="I446" s="26" t="s">
        <v>184</v>
      </c>
      <c r="J446" s="26" t="s">
        <v>322</v>
      </c>
      <c r="K446" s="26" t="s">
        <v>186</v>
      </c>
      <c r="L446" s="26" t="s">
        <v>79</v>
      </c>
      <c r="M446" s="26" t="s">
        <v>78</v>
      </c>
      <c r="N446" s="26">
        <v>65</v>
      </c>
      <c r="O446" s="26">
        <v>24</v>
      </c>
      <c r="P446" s="26">
        <v>41</v>
      </c>
      <c r="Q446" s="26">
        <v>5</v>
      </c>
      <c r="R446" s="26">
        <v>1</v>
      </c>
      <c r="S446" s="26">
        <v>11</v>
      </c>
      <c r="T446" s="26">
        <v>5</v>
      </c>
      <c r="U446" s="26">
        <v>17</v>
      </c>
      <c r="V446" s="26">
        <v>1</v>
      </c>
      <c r="W446" s="26"/>
    </row>
    <row r="447" spans="1:23" x14ac:dyDescent="0.25">
      <c r="A447" s="26" t="s">
        <v>53</v>
      </c>
      <c r="B447" s="26" t="s">
        <v>1865</v>
      </c>
      <c r="C447" s="26" t="s">
        <v>1866</v>
      </c>
      <c r="D447" s="26" t="s">
        <v>218</v>
      </c>
      <c r="E447" s="26" t="s">
        <v>1867</v>
      </c>
      <c r="F447" s="26" t="s">
        <v>1868</v>
      </c>
      <c r="G447" s="26" t="s">
        <v>293</v>
      </c>
      <c r="H447" s="26" t="s">
        <v>1506</v>
      </c>
      <c r="I447" s="26" t="s">
        <v>1259</v>
      </c>
      <c r="J447" s="26" t="s">
        <v>503</v>
      </c>
      <c r="K447" s="26" t="s">
        <v>296</v>
      </c>
      <c r="L447" s="26" t="s">
        <v>80</v>
      </c>
      <c r="M447" s="26" t="s">
        <v>78</v>
      </c>
      <c r="N447" s="26">
        <v>42</v>
      </c>
      <c r="O447" s="26">
        <v>19</v>
      </c>
      <c r="P447" s="26">
        <v>23</v>
      </c>
      <c r="Q447" s="26">
        <v>5</v>
      </c>
      <c r="R447" s="26">
        <v>1</v>
      </c>
      <c r="S447" s="26">
        <v>11</v>
      </c>
      <c r="T447" s="26">
        <v>2</v>
      </c>
      <c r="U447" s="26">
        <v>14</v>
      </c>
      <c r="V447" s="26">
        <v>1</v>
      </c>
      <c r="W447" s="26"/>
    </row>
    <row r="448" spans="1:23" x14ac:dyDescent="0.25">
      <c r="A448" s="26" t="s">
        <v>53</v>
      </c>
      <c r="B448" s="26" t="s">
        <v>1869</v>
      </c>
      <c r="C448" s="26" t="s">
        <v>1870</v>
      </c>
      <c r="D448" s="26" t="s">
        <v>179</v>
      </c>
      <c r="E448" s="26" t="s">
        <v>1871</v>
      </c>
      <c r="F448" s="26" t="s">
        <v>247</v>
      </c>
      <c r="G448" s="26" t="s">
        <v>198</v>
      </c>
      <c r="H448" s="26" t="s">
        <v>395</v>
      </c>
      <c r="I448" s="26" t="s">
        <v>184</v>
      </c>
      <c r="J448" s="26" t="s">
        <v>375</v>
      </c>
      <c r="K448" s="26" t="s">
        <v>186</v>
      </c>
      <c r="L448" s="26" t="s">
        <v>79</v>
      </c>
      <c r="M448" s="26" t="s">
        <v>78</v>
      </c>
      <c r="N448" s="26">
        <v>3</v>
      </c>
      <c r="O448" s="26">
        <v>1</v>
      </c>
      <c r="P448" s="26">
        <v>2</v>
      </c>
      <c r="Q448" s="26">
        <v>1</v>
      </c>
      <c r="R448" s="26">
        <v>1</v>
      </c>
      <c r="S448" s="26">
        <v>2</v>
      </c>
      <c r="T448" s="26">
        <v>5</v>
      </c>
      <c r="U448" s="26">
        <v>8</v>
      </c>
      <c r="V448" s="26">
        <v>1</v>
      </c>
      <c r="W448" s="26"/>
    </row>
    <row r="449" spans="1:23" x14ac:dyDescent="0.25">
      <c r="A449" s="26" t="s">
        <v>53</v>
      </c>
      <c r="B449" s="26" t="s">
        <v>1872</v>
      </c>
      <c r="C449" s="26" t="s">
        <v>1873</v>
      </c>
      <c r="D449" s="26" t="s">
        <v>179</v>
      </c>
      <c r="E449" s="26" t="s">
        <v>1874</v>
      </c>
      <c r="F449" s="26" t="s">
        <v>1875</v>
      </c>
      <c r="G449" s="26" t="s">
        <v>226</v>
      </c>
      <c r="H449" s="26" t="s">
        <v>828</v>
      </c>
      <c r="I449" s="26" t="s">
        <v>184</v>
      </c>
      <c r="J449" s="26" t="s">
        <v>427</v>
      </c>
      <c r="K449" s="26" t="s">
        <v>186</v>
      </c>
      <c r="L449" s="26" t="s">
        <v>79</v>
      </c>
      <c r="M449" s="26" t="s">
        <v>78</v>
      </c>
      <c r="N449" s="26">
        <v>7</v>
      </c>
      <c r="O449" s="26">
        <v>4</v>
      </c>
      <c r="P449" s="26">
        <v>3</v>
      </c>
      <c r="Q449" s="26">
        <v>1</v>
      </c>
      <c r="R449" s="26">
        <v>1</v>
      </c>
      <c r="S449" s="26">
        <v>2</v>
      </c>
      <c r="T449" s="26">
        <v>1</v>
      </c>
      <c r="U449" s="26">
        <v>4</v>
      </c>
      <c r="V449" s="26">
        <v>1</v>
      </c>
      <c r="W449" s="26"/>
    </row>
    <row r="450" spans="1:23" x14ac:dyDescent="0.25">
      <c r="A450" s="26" t="s">
        <v>53</v>
      </c>
      <c r="B450" s="26" t="s">
        <v>1876</v>
      </c>
      <c r="C450" s="26" t="s">
        <v>1877</v>
      </c>
      <c r="D450" s="26" t="s">
        <v>218</v>
      </c>
      <c r="E450" s="26" t="s">
        <v>1878</v>
      </c>
      <c r="F450" s="26" t="s">
        <v>598</v>
      </c>
      <c r="G450" s="26" t="s">
        <v>182</v>
      </c>
      <c r="H450" s="26" t="s">
        <v>974</v>
      </c>
      <c r="I450" s="26" t="s">
        <v>184</v>
      </c>
      <c r="J450" s="26" t="s">
        <v>322</v>
      </c>
      <c r="K450" s="26" t="s">
        <v>186</v>
      </c>
      <c r="L450" s="26" t="s">
        <v>79</v>
      </c>
      <c r="M450" s="26" t="s">
        <v>78</v>
      </c>
      <c r="N450" s="26">
        <v>31</v>
      </c>
      <c r="O450" s="26">
        <v>14</v>
      </c>
      <c r="P450" s="26">
        <v>17</v>
      </c>
      <c r="Q450" s="26">
        <v>3</v>
      </c>
      <c r="R450" s="26">
        <v>1</v>
      </c>
      <c r="S450" s="26">
        <v>0</v>
      </c>
      <c r="T450" s="26">
        <v>7</v>
      </c>
      <c r="U450" s="26">
        <v>8</v>
      </c>
      <c r="V450" s="26">
        <v>1</v>
      </c>
      <c r="W450" s="26"/>
    </row>
    <row r="451" spans="1:23" x14ac:dyDescent="0.25">
      <c r="A451" s="26" t="s">
        <v>53</v>
      </c>
      <c r="B451" s="26" t="s">
        <v>1879</v>
      </c>
      <c r="C451" s="26" t="s">
        <v>1880</v>
      </c>
      <c r="D451" s="26" t="s">
        <v>218</v>
      </c>
      <c r="E451" s="26" t="s">
        <v>1881</v>
      </c>
      <c r="F451" s="26" t="s">
        <v>555</v>
      </c>
      <c r="G451" s="26" t="s">
        <v>191</v>
      </c>
      <c r="H451" s="26" t="s">
        <v>518</v>
      </c>
      <c r="I451" s="26" t="s">
        <v>184</v>
      </c>
      <c r="J451" s="26" t="s">
        <v>427</v>
      </c>
      <c r="K451" s="26" t="s">
        <v>186</v>
      </c>
      <c r="L451" s="26" t="s">
        <v>79</v>
      </c>
      <c r="M451" s="26" t="s">
        <v>78</v>
      </c>
      <c r="N451" s="26">
        <v>149</v>
      </c>
      <c r="O451" s="26">
        <v>74</v>
      </c>
      <c r="P451" s="26">
        <v>75</v>
      </c>
      <c r="Q451" s="26">
        <v>5</v>
      </c>
      <c r="R451" s="26">
        <v>1</v>
      </c>
      <c r="S451" s="26">
        <v>28</v>
      </c>
      <c r="T451" s="26">
        <v>14</v>
      </c>
      <c r="U451" s="26">
        <v>43</v>
      </c>
      <c r="V451" s="26">
        <v>1</v>
      </c>
      <c r="W451" s="26"/>
    </row>
    <row r="452" spans="1:23" x14ac:dyDescent="0.25">
      <c r="A452" s="26" t="s">
        <v>53</v>
      </c>
      <c r="B452" s="26" t="s">
        <v>1882</v>
      </c>
      <c r="C452" s="26" t="s">
        <v>1883</v>
      </c>
      <c r="D452" s="26" t="s">
        <v>218</v>
      </c>
      <c r="E452" s="26" t="s">
        <v>1884</v>
      </c>
      <c r="F452" s="26" t="s">
        <v>264</v>
      </c>
      <c r="G452" s="26" t="s">
        <v>265</v>
      </c>
      <c r="H452" s="26" t="s">
        <v>508</v>
      </c>
      <c r="I452" s="26" t="s">
        <v>184</v>
      </c>
      <c r="J452" s="26" t="s">
        <v>322</v>
      </c>
      <c r="K452" s="26" t="s">
        <v>186</v>
      </c>
      <c r="L452" s="26" t="s">
        <v>79</v>
      </c>
      <c r="M452" s="26" t="s">
        <v>78</v>
      </c>
      <c r="N452" s="26">
        <v>67</v>
      </c>
      <c r="O452" s="26">
        <v>35</v>
      </c>
      <c r="P452" s="26">
        <v>32</v>
      </c>
      <c r="Q452" s="26">
        <v>4</v>
      </c>
      <c r="R452" s="26">
        <v>1</v>
      </c>
      <c r="S452" s="26">
        <v>20</v>
      </c>
      <c r="T452" s="26">
        <v>21</v>
      </c>
      <c r="U452" s="26">
        <v>42</v>
      </c>
      <c r="V452" s="26">
        <v>1</v>
      </c>
      <c r="W452" s="26"/>
    </row>
    <row r="453" spans="1:23" x14ac:dyDescent="0.25">
      <c r="A453" s="26" t="s">
        <v>53</v>
      </c>
      <c r="B453" s="26" t="s">
        <v>1885</v>
      </c>
      <c r="C453" s="26" t="s">
        <v>1886</v>
      </c>
      <c r="D453" s="26" t="s">
        <v>218</v>
      </c>
      <c r="E453" s="26" t="s">
        <v>1887</v>
      </c>
      <c r="F453" s="26" t="s">
        <v>1888</v>
      </c>
      <c r="G453" s="26" t="s">
        <v>487</v>
      </c>
      <c r="H453" s="26" t="s">
        <v>1307</v>
      </c>
      <c r="I453" s="26" t="s">
        <v>184</v>
      </c>
      <c r="J453" s="26" t="s">
        <v>375</v>
      </c>
      <c r="K453" s="26" t="s">
        <v>186</v>
      </c>
      <c r="L453" s="26" t="s">
        <v>79</v>
      </c>
      <c r="M453" s="26" t="s">
        <v>78</v>
      </c>
      <c r="N453" s="26">
        <v>43</v>
      </c>
      <c r="O453" s="26">
        <v>18</v>
      </c>
      <c r="P453" s="26">
        <v>25</v>
      </c>
      <c r="Q453" s="26">
        <v>3</v>
      </c>
      <c r="R453" s="26">
        <v>1</v>
      </c>
      <c r="S453" s="26">
        <v>7</v>
      </c>
      <c r="T453" s="26">
        <v>13</v>
      </c>
      <c r="U453" s="26">
        <v>21</v>
      </c>
      <c r="V453" s="26">
        <v>1</v>
      </c>
      <c r="W453" s="26"/>
    </row>
    <row r="454" spans="1:23" x14ac:dyDescent="0.25">
      <c r="A454" s="26" t="s">
        <v>53</v>
      </c>
      <c r="B454" s="26" t="s">
        <v>1889</v>
      </c>
      <c r="C454" s="26" t="s">
        <v>1890</v>
      </c>
      <c r="D454" s="26" t="s">
        <v>218</v>
      </c>
      <c r="E454" s="26" t="s">
        <v>1891</v>
      </c>
      <c r="F454" s="26" t="s">
        <v>807</v>
      </c>
      <c r="G454" s="26" t="s">
        <v>413</v>
      </c>
      <c r="H454" s="26" t="s">
        <v>787</v>
      </c>
      <c r="I454" s="26" t="s">
        <v>184</v>
      </c>
      <c r="J454" s="26" t="s">
        <v>375</v>
      </c>
      <c r="K454" s="26" t="s">
        <v>186</v>
      </c>
      <c r="L454" s="26" t="s">
        <v>79</v>
      </c>
      <c r="M454" s="26" t="s">
        <v>78</v>
      </c>
      <c r="N454" s="26">
        <v>39</v>
      </c>
      <c r="O454" s="26">
        <v>19</v>
      </c>
      <c r="P454" s="26">
        <v>20</v>
      </c>
      <c r="Q454" s="26">
        <v>4</v>
      </c>
      <c r="R454" s="26">
        <v>1</v>
      </c>
      <c r="S454" s="26">
        <v>11</v>
      </c>
      <c r="T454" s="26">
        <v>10</v>
      </c>
      <c r="U454" s="26">
        <v>22</v>
      </c>
      <c r="V454" s="26">
        <v>1</v>
      </c>
      <c r="W454" s="26"/>
    </row>
    <row r="455" spans="1:23" x14ac:dyDescent="0.25">
      <c r="A455" s="26" t="s">
        <v>53</v>
      </c>
      <c r="B455" s="26" t="s">
        <v>1892</v>
      </c>
      <c r="C455" s="26" t="s">
        <v>6</v>
      </c>
      <c r="D455" s="26" t="s">
        <v>218</v>
      </c>
      <c r="E455" s="26" t="s">
        <v>1893</v>
      </c>
      <c r="F455" s="26" t="s">
        <v>1894</v>
      </c>
      <c r="G455" s="26" t="s">
        <v>265</v>
      </c>
      <c r="H455" s="26" t="s">
        <v>445</v>
      </c>
      <c r="I455" s="26" t="s">
        <v>184</v>
      </c>
      <c r="J455" s="26" t="s">
        <v>322</v>
      </c>
      <c r="K455" s="26" t="s">
        <v>1895</v>
      </c>
      <c r="L455" s="26" t="s">
        <v>79</v>
      </c>
      <c r="M455" s="26" t="s">
        <v>78</v>
      </c>
      <c r="N455" s="26">
        <v>25</v>
      </c>
      <c r="O455" s="26">
        <v>15</v>
      </c>
      <c r="P455" s="26">
        <v>10</v>
      </c>
      <c r="Q455" s="26">
        <v>3</v>
      </c>
      <c r="R455" s="26">
        <v>1</v>
      </c>
      <c r="S455" s="26">
        <v>11</v>
      </c>
      <c r="T455" s="26">
        <v>9</v>
      </c>
      <c r="U455" s="26">
        <v>21</v>
      </c>
      <c r="V455" s="26">
        <v>1</v>
      </c>
      <c r="W455" s="26"/>
    </row>
    <row r="456" spans="1:23" x14ac:dyDescent="0.25">
      <c r="A456" s="26" t="s">
        <v>53</v>
      </c>
      <c r="B456" s="26" t="s">
        <v>1896</v>
      </c>
      <c r="C456" s="26" t="s">
        <v>1897</v>
      </c>
      <c r="D456" s="26" t="s">
        <v>179</v>
      </c>
      <c r="E456" s="26" t="s">
        <v>1898</v>
      </c>
      <c r="F456" s="26" t="s">
        <v>1899</v>
      </c>
      <c r="G456" s="26" t="s">
        <v>252</v>
      </c>
      <c r="H456" s="26" t="s">
        <v>1439</v>
      </c>
      <c r="I456" s="26" t="s">
        <v>184</v>
      </c>
      <c r="J456" s="26" t="s">
        <v>427</v>
      </c>
      <c r="K456" s="26" t="s">
        <v>186</v>
      </c>
      <c r="L456" s="26" t="s">
        <v>79</v>
      </c>
      <c r="M456" s="26" t="s">
        <v>78</v>
      </c>
      <c r="N456" s="26">
        <v>3</v>
      </c>
      <c r="O456" s="26">
        <v>3</v>
      </c>
      <c r="P456" s="26">
        <v>0</v>
      </c>
      <c r="Q456" s="26">
        <v>2</v>
      </c>
      <c r="R456" s="26">
        <v>1</v>
      </c>
      <c r="S456" s="26">
        <v>2</v>
      </c>
      <c r="T456" s="26">
        <v>0</v>
      </c>
      <c r="U456" s="26">
        <v>3</v>
      </c>
      <c r="V456" s="26">
        <v>1</v>
      </c>
      <c r="W456" s="26"/>
    </row>
    <row r="457" spans="1:23" x14ac:dyDescent="0.25">
      <c r="A457" s="26" t="s">
        <v>53</v>
      </c>
      <c r="B457" s="26" t="s">
        <v>1900</v>
      </c>
      <c r="C457" s="26" t="s">
        <v>1901</v>
      </c>
      <c r="D457" s="26" t="s">
        <v>179</v>
      </c>
      <c r="E457" s="26" t="s">
        <v>1902</v>
      </c>
      <c r="F457" s="26" t="s">
        <v>1480</v>
      </c>
      <c r="G457" s="26" t="s">
        <v>226</v>
      </c>
      <c r="H457" s="26" t="s">
        <v>833</v>
      </c>
      <c r="I457" s="26" t="s">
        <v>184</v>
      </c>
      <c r="J457" s="26" t="s">
        <v>427</v>
      </c>
      <c r="K457" s="26" t="s">
        <v>1895</v>
      </c>
      <c r="L457" s="26" t="s">
        <v>79</v>
      </c>
      <c r="M457" s="26" t="s">
        <v>78</v>
      </c>
      <c r="N457" s="26">
        <v>85</v>
      </c>
      <c r="O457" s="26">
        <v>45</v>
      </c>
      <c r="P457" s="26">
        <v>40</v>
      </c>
      <c r="Q457" s="26">
        <v>4</v>
      </c>
      <c r="R457" s="26">
        <v>1</v>
      </c>
      <c r="S457" s="26">
        <v>23</v>
      </c>
      <c r="T457" s="26">
        <v>18</v>
      </c>
      <c r="U457" s="26">
        <v>42</v>
      </c>
      <c r="V457" s="26">
        <v>1</v>
      </c>
      <c r="W457" s="26"/>
    </row>
    <row r="458" spans="1:23" x14ac:dyDescent="0.25">
      <c r="A458" s="26" t="s">
        <v>53</v>
      </c>
      <c r="B458" s="26" t="s">
        <v>1903</v>
      </c>
      <c r="C458" s="26" t="s">
        <v>1904</v>
      </c>
      <c r="D458" s="26" t="s">
        <v>179</v>
      </c>
      <c r="E458" s="26" t="s">
        <v>1905</v>
      </c>
      <c r="F458" s="26" t="s">
        <v>425</v>
      </c>
      <c r="G458" s="26" t="s">
        <v>191</v>
      </c>
      <c r="H458" s="26" t="s">
        <v>1841</v>
      </c>
      <c r="I458" s="26" t="s">
        <v>184</v>
      </c>
      <c r="J458" s="26" t="s">
        <v>427</v>
      </c>
      <c r="K458" s="26" t="s">
        <v>186</v>
      </c>
      <c r="L458" s="26" t="s">
        <v>79</v>
      </c>
      <c r="M458" s="26" t="s">
        <v>78</v>
      </c>
      <c r="N458" s="26">
        <v>108</v>
      </c>
      <c r="O458" s="26">
        <v>58</v>
      </c>
      <c r="P458" s="26">
        <v>50</v>
      </c>
      <c r="Q458" s="26">
        <v>7</v>
      </c>
      <c r="R458" s="26">
        <v>1</v>
      </c>
      <c r="S458" s="26">
        <v>20</v>
      </c>
      <c r="T458" s="26">
        <v>12</v>
      </c>
      <c r="U458" s="26">
        <v>33</v>
      </c>
      <c r="V458" s="26">
        <v>1</v>
      </c>
      <c r="W458" s="26"/>
    </row>
    <row r="459" spans="1:23" x14ac:dyDescent="0.25">
      <c r="A459" s="26" t="s">
        <v>53</v>
      </c>
      <c r="B459" s="26" t="s">
        <v>1906</v>
      </c>
      <c r="C459" s="26" t="s">
        <v>1907</v>
      </c>
      <c r="D459" s="26" t="s">
        <v>179</v>
      </c>
      <c r="E459" s="26" t="s">
        <v>1908</v>
      </c>
      <c r="F459" s="26" t="s">
        <v>369</v>
      </c>
      <c r="G459" s="26" t="s">
        <v>182</v>
      </c>
      <c r="H459" s="26" t="s">
        <v>370</v>
      </c>
      <c r="I459" s="26" t="s">
        <v>184</v>
      </c>
      <c r="J459" s="26" t="s">
        <v>322</v>
      </c>
      <c r="K459" s="26" t="s">
        <v>186</v>
      </c>
      <c r="L459" s="26" t="s">
        <v>79</v>
      </c>
      <c r="M459" s="26" t="s">
        <v>78</v>
      </c>
      <c r="N459" s="26">
        <v>57</v>
      </c>
      <c r="O459" s="26">
        <v>31</v>
      </c>
      <c r="P459" s="26">
        <v>26</v>
      </c>
      <c r="Q459" s="26">
        <v>4</v>
      </c>
      <c r="R459" s="26">
        <v>1</v>
      </c>
      <c r="S459" s="26">
        <v>11</v>
      </c>
      <c r="T459" s="26">
        <v>7</v>
      </c>
      <c r="U459" s="26">
        <v>19</v>
      </c>
      <c r="V459" s="26">
        <v>1</v>
      </c>
      <c r="W459" s="26"/>
    </row>
    <row r="460" spans="1:23" x14ac:dyDescent="0.25">
      <c r="A460" s="26" t="s">
        <v>53</v>
      </c>
      <c r="B460" s="26" t="s">
        <v>1909</v>
      </c>
      <c r="C460" s="26" t="s">
        <v>1910</v>
      </c>
      <c r="D460" s="26" t="s">
        <v>179</v>
      </c>
      <c r="E460" s="26" t="s">
        <v>1911</v>
      </c>
      <c r="F460" s="26" t="s">
        <v>247</v>
      </c>
      <c r="G460" s="26" t="s">
        <v>198</v>
      </c>
      <c r="H460" s="26" t="s">
        <v>395</v>
      </c>
      <c r="I460" s="26" t="s">
        <v>184</v>
      </c>
      <c r="J460" s="26" t="s">
        <v>375</v>
      </c>
      <c r="K460" s="26" t="s">
        <v>1895</v>
      </c>
      <c r="L460" s="26" t="s">
        <v>79</v>
      </c>
      <c r="M460" s="26" t="s">
        <v>78</v>
      </c>
      <c r="N460" s="26">
        <v>18</v>
      </c>
      <c r="O460" s="26">
        <v>9</v>
      </c>
      <c r="P460" s="26">
        <v>9</v>
      </c>
      <c r="Q460" s="26">
        <v>4</v>
      </c>
      <c r="R460" s="26">
        <v>1</v>
      </c>
      <c r="S460" s="26">
        <v>4</v>
      </c>
      <c r="T460" s="26">
        <v>3</v>
      </c>
      <c r="U460" s="26">
        <v>8</v>
      </c>
      <c r="V460" s="26">
        <v>1</v>
      </c>
      <c r="W460" s="26"/>
    </row>
    <row r="461" spans="1:23" x14ac:dyDescent="0.25">
      <c r="A461" s="26" t="s">
        <v>53</v>
      </c>
      <c r="B461" s="26" t="s">
        <v>1912</v>
      </c>
      <c r="C461" s="26" t="s">
        <v>1913</v>
      </c>
      <c r="D461" s="26" t="s">
        <v>179</v>
      </c>
      <c r="E461" s="26" t="s">
        <v>1914</v>
      </c>
      <c r="F461" s="26" t="s">
        <v>760</v>
      </c>
      <c r="G461" s="26" t="s">
        <v>265</v>
      </c>
      <c r="H461" s="26" t="s">
        <v>756</v>
      </c>
      <c r="I461" s="26" t="s">
        <v>184</v>
      </c>
      <c r="J461" s="26" t="s">
        <v>322</v>
      </c>
      <c r="K461" s="26" t="s">
        <v>186</v>
      </c>
      <c r="L461" s="26" t="s">
        <v>79</v>
      </c>
      <c r="M461" s="26" t="s">
        <v>78</v>
      </c>
      <c r="N461" s="26">
        <v>7</v>
      </c>
      <c r="O461" s="26">
        <v>5</v>
      </c>
      <c r="P461" s="26">
        <v>2</v>
      </c>
      <c r="Q461" s="26">
        <v>2</v>
      </c>
      <c r="R461" s="26">
        <v>1</v>
      </c>
      <c r="S461" s="26">
        <v>3</v>
      </c>
      <c r="T461" s="26">
        <v>2</v>
      </c>
      <c r="U461" s="26">
        <v>6</v>
      </c>
      <c r="V461" s="26">
        <v>1</v>
      </c>
      <c r="W461" s="26"/>
    </row>
    <row r="462" spans="1:23" x14ac:dyDescent="0.25">
      <c r="A462" s="26" t="s">
        <v>53</v>
      </c>
      <c r="B462" s="26" t="s">
        <v>1915</v>
      </c>
      <c r="C462" s="26" t="s">
        <v>1916</v>
      </c>
      <c r="D462" s="26" t="s">
        <v>218</v>
      </c>
      <c r="E462" s="26" t="s">
        <v>1917</v>
      </c>
      <c r="F462" s="26" t="s">
        <v>264</v>
      </c>
      <c r="G462" s="26" t="s">
        <v>265</v>
      </c>
      <c r="H462" s="26" t="s">
        <v>508</v>
      </c>
      <c r="I462" s="26" t="s">
        <v>184</v>
      </c>
      <c r="J462" s="26" t="s">
        <v>322</v>
      </c>
      <c r="K462" s="26" t="s">
        <v>186</v>
      </c>
      <c r="L462" s="26" t="s">
        <v>79</v>
      </c>
      <c r="M462" s="26" t="s">
        <v>78</v>
      </c>
      <c r="N462" s="26">
        <v>23</v>
      </c>
      <c r="O462" s="26">
        <v>17</v>
      </c>
      <c r="P462" s="26">
        <v>6</v>
      </c>
      <c r="Q462" s="26">
        <v>3</v>
      </c>
      <c r="R462" s="26">
        <v>1</v>
      </c>
      <c r="S462" s="26">
        <v>10</v>
      </c>
      <c r="T462" s="26">
        <v>20</v>
      </c>
      <c r="U462" s="26">
        <v>31</v>
      </c>
      <c r="V462" s="26">
        <v>1</v>
      </c>
      <c r="W462" s="26"/>
    </row>
    <row r="463" spans="1:23" x14ac:dyDescent="0.25">
      <c r="A463" s="26" t="s">
        <v>53</v>
      </c>
      <c r="B463" s="26" t="s">
        <v>1918</v>
      </c>
      <c r="C463" s="26" t="s">
        <v>1919</v>
      </c>
      <c r="D463" s="26" t="s">
        <v>179</v>
      </c>
      <c r="E463" s="26" t="s">
        <v>1920</v>
      </c>
      <c r="F463" s="26" t="s">
        <v>1164</v>
      </c>
      <c r="G463" s="26" t="s">
        <v>265</v>
      </c>
      <c r="H463" s="26" t="s">
        <v>359</v>
      </c>
      <c r="I463" s="26" t="s">
        <v>184</v>
      </c>
      <c r="J463" s="26" t="s">
        <v>322</v>
      </c>
      <c r="K463" s="26" t="s">
        <v>186</v>
      </c>
      <c r="L463" s="26" t="s">
        <v>79</v>
      </c>
      <c r="M463" s="26" t="s">
        <v>78</v>
      </c>
      <c r="N463" s="26">
        <v>64</v>
      </c>
      <c r="O463" s="26">
        <v>26</v>
      </c>
      <c r="P463" s="26">
        <v>38</v>
      </c>
      <c r="Q463" s="26">
        <v>5</v>
      </c>
      <c r="R463" s="26">
        <v>1</v>
      </c>
      <c r="S463" s="26">
        <v>15</v>
      </c>
      <c r="T463" s="26">
        <v>9</v>
      </c>
      <c r="U463" s="26">
        <v>25</v>
      </c>
      <c r="V463" s="26">
        <v>1</v>
      </c>
      <c r="W463" s="26"/>
    </row>
    <row r="464" spans="1:23" x14ac:dyDescent="0.25">
      <c r="A464" s="26" t="s">
        <v>53</v>
      </c>
      <c r="B464" s="26" t="s">
        <v>1921</v>
      </c>
      <c r="C464" s="26" t="s">
        <v>1922</v>
      </c>
      <c r="D464" s="26" t="s">
        <v>179</v>
      </c>
      <c r="E464" s="26" t="s">
        <v>1923</v>
      </c>
      <c r="F464" s="26" t="s">
        <v>260</v>
      </c>
      <c r="G464" s="26" t="s">
        <v>198</v>
      </c>
      <c r="H464" s="26" t="s">
        <v>431</v>
      </c>
      <c r="I464" s="26" t="s">
        <v>184</v>
      </c>
      <c r="J464" s="26" t="s">
        <v>375</v>
      </c>
      <c r="K464" s="26" t="s">
        <v>1895</v>
      </c>
      <c r="L464" s="26" t="s">
        <v>79</v>
      </c>
      <c r="M464" s="26" t="s">
        <v>78</v>
      </c>
      <c r="N464" s="26">
        <v>2</v>
      </c>
      <c r="O464" s="26">
        <v>1</v>
      </c>
      <c r="P464" s="26">
        <v>1</v>
      </c>
      <c r="Q464" s="26">
        <v>1</v>
      </c>
      <c r="R464" s="26">
        <v>1</v>
      </c>
      <c r="S464" s="26">
        <v>1</v>
      </c>
      <c r="T464" s="26">
        <v>0</v>
      </c>
      <c r="U464" s="26">
        <v>2</v>
      </c>
      <c r="V464" s="26">
        <v>1</v>
      </c>
      <c r="W464" s="26"/>
    </row>
    <row r="465" spans="1:23" x14ac:dyDescent="0.25">
      <c r="A465" s="26" t="s">
        <v>53</v>
      </c>
      <c r="B465" s="26" t="s">
        <v>1924</v>
      </c>
      <c r="C465" s="26" t="s">
        <v>1925</v>
      </c>
      <c r="D465" s="26" t="s">
        <v>179</v>
      </c>
      <c r="E465" s="26" t="s">
        <v>1926</v>
      </c>
      <c r="F465" s="26" t="s">
        <v>1927</v>
      </c>
      <c r="G465" s="26" t="s">
        <v>487</v>
      </c>
      <c r="H465" s="26" t="s">
        <v>1693</v>
      </c>
      <c r="I465" s="26" t="s">
        <v>184</v>
      </c>
      <c r="J465" s="26" t="s">
        <v>375</v>
      </c>
      <c r="K465" s="26" t="s">
        <v>186</v>
      </c>
      <c r="L465" s="26" t="s">
        <v>79</v>
      </c>
      <c r="M465" s="26" t="s">
        <v>78</v>
      </c>
      <c r="N465" s="26">
        <v>16</v>
      </c>
      <c r="O465" s="26">
        <v>8</v>
      </c>
      <c r="P465" s="26">
        <v>8</v>
      </c>
      <c r="Q465" s="26">
        <v>2</v>
      </c>
      <c r="R465" s="26">
        <v>1</v>
      </c>
      <c r="S465" s="26">
        <v>3</v>
      </c>
      <c r="T465" s="26">
        <v>2</v>
      </c>
      <c r="U465" s="26">
        <v>6</v>
      </c>
      <c r="V465" s="26">
        <v>1</v>
      </c>
      <c r="W465" s="26"/>
    </row>
    <row r="466" spans="1:23" x14ac:dyDescent="0.25">
      <c r="A466" s="26" t="s">
        <v>53</v>
      </c>
      <c r="B466" s="26" t="s">
        <v>1928</v>
      </c>
      <c r="C466" s="26" t="s">
        <v>1929</v>
      </c>
      <c r="D466" s="26" t="s">
        <v>179</v>
      </c>
      <c r="E466" s="26" t="s">
        <v>1930</v>
      </c>
      <c r="F466" s="26" t="s">
        <v>231</v>
      </c>
      <c r="G466" s="26" t="s">
        <v>198</v>
      </c>
      <c r="H466" s="26" t="s">
        <v>395</v>
      </c>
      <c r="I466" s="26" t="s">
        <v>184</v>
      </c>
      <c r="J466" s="26" t="s">
        <v>375</v>
      </c>
      <c r="K466" s="26" t="s">
        <v>186</v>
      </c>
      <c r="L466" s="26" t="s">
        <v>79</v>
      </c>
      <c r="M466" s="26" t="s">
        <v>78</v>
      </c>
      <c r="N466" s="26">
        <v>65</v>
      </c>
      <c r="O466" s="26">
        <v>29</v>
      </c>
      <c r="P466" s="26">
        <v>36</v>
      </c>
      <c r="Q466" s="26">
        <v>5</v>
      </c>
      <c r="R466" s="26">
        <v>1</v>
      </c>
      <c r="S466" s="26">
        <v>17</v>
      </c>
      <c r="T466" s="26">
        <v>11</v>
      </c>
      <c r="U466" s="26">
        <v>29</v>
      </c>
      <c r="V466" s="26">
        <v>1</v>
      </c>
      <c r="W466" s="26"/>
    </row>
    <row r="467" spans="1:23" x14ac:dyDescent="0.25">
      <c r="A467" s="26" t="s">
        <v>53</v>
      </c>
      <c r="B467" s="26" t="s">
        <v>1931</v>
      </c>
      <c r="C467" s="26" t="s">
        <v>1932</v>
      </c>
      <c r="D467" s="26" t="s">
        <v>179</v>
      </c>
      <c r="E467" s="26" t="s">
        <v>1933</v>
      </c>
      <c r="F467" s="26" t="s">
        <v>1934</v>
      </c>
      <c r="G467" s="26" t="s">
        <v>293</v>
      </c>
      <c r="H467" s="26" t="s">
        <v>1506</v>
      </c>
      <c r="I467" s="26" t="s">
        <v>1259</v>
      </c>
      <c r="J467" s="26" t="s">
        <v>295</v>
      </c>
      <c r="K467" s="26" t="s">
        <v>296</v>
      </c>
      <c r="L467" s="26" t="s">
        <v>80</v>
      </c>
      <c r="M467" s="26" t="s">
        <v>78</v>
      </c>
      <c r="N467" s="26">
        <v>52</v>
      </c>
      <c r="O467" s="26">
        <v>27</v>
      </c>
      <c r="P467" s="26">
        <v>25</v>
      </c>
      <c r="Q467" s="26">
        <v>4</v>
      </c>
      <c r="R467" s="26">
        <v>1</v>
      </c>
      <c r="S467" s="26">
        <v>10</v>
      </c>
      <c r="T467" s="26">
        <v>9</v>
      </c>
      <c r="U467" s="26">
        <v>20</v>
      </c>
      <c r="V467" s="26">
        <v>1</v>
      </c>
      <c r="W467" s="26"/>
    </row>
    <row r="468" spans="1:23" x14ac:dyDescent="0.25">
      <c r="A468" s="26" t="s">
        <v>53</v>
      </c>
      <c r="B468" s="26" t="s">
        <v>1935</v>
      </c>
      <c r="C468" s="26" t="s">
        <v>1936</v>
      </c>
      <c r="D468" s="26" t="s">
        <v>179</v>
      </c>
      <c r="E468" s="26" t="s">
        <v>1937</v>
      </c>
      <c r="F468" s="26" t="s">
        <v>1414</v>
      </c>
      <c r="G468" s="26" t="s">
        <v>265</v>
      </c>
      <c r="H468" s="26" t="s">
        <v>526</v>
      </c>
      <c r="I468" s="26" t="s">
        <v>184</v>
      </c>
      <c r="J468" s="26" t="s">
        <v>322</v>
      </c>
      <c r="K468" s="26" t="s">
        <v>186</v>
      </c>
      <c r="L468" s="26" t="s">
        <v>79</v>
      </c>
      <c r="M468" s="26" t="s">
        <v>78</v>
      </c>
      <c r="N468" s="26">
        <v>24</v>
      </c>
      <c r="O468" s="26">
        <v>12</v>
      </c>
      <c r="P468" s="26">
        <v>12</v>
      </c>
      <c r="Q468" s="26">
        <v>3</v>
      </c>
      <c r="R468" s="26">
        <v>1</v>
      </c>
      <c r="S468" s="26">
        <v>9</v>
      </c>
      <c r="T468" s="26">
        <v>26</v>
      </c>
      <c r="U468" s="26">
        <v>36</v>
      </c>
      <c r="V468" s="26">
        <v>1</v>
      </c>
      <c r="W468" s="26"/>
    </row>
    <row r="469" spans="1:23" x14ac:dyDescent="0.25">
      <c r="A469" s="26" t="s">
        <v>53</v>
      </c>
      <c r="B469" s="26" t="s">
        <v>1938</v>
      </c>
      <c r="C469" s="26" t="s">
        <v>1939</v>
      </c>
      <c r="D469" s="26" t="s">
        <v>179</v>
      </c>
      <c r="E469" s="26" t="s">
        <v>1940</v>
      </c>
      <c r="F469" s="26" t="s">
        <v>482</v>
      </c>
      <c r="G469" s="26" t="s">
        <v>265</v>
      </c>
      <c r="H469" s="26" t="s">
        <v>756</v>
      </c>
      <c r="I469" s="26" t="s">
        <v>184</v>
      </c>
      <c r="J469" s="26" t="s">
        <v>322</v>
      </c>
      <c r="K469" s="26" t="s">
        <v>186</v>
      </c>
      <c r="L469" s="26" t="s">
        <v>79</v>
      </c>
      <c r="M469" s="26" t="s">
        <v>78</v>
      </c>
      <c r="N469" s="26">
        <v>31</v>
      </c>
      <c r="O469" s="26">
        <v>17</v>
      </c>
      <c r="P469" s="26">
        <v>14</v>
      </c>
      <c r="Q469" s="26">
        <v>3</v>
      </c>
      <c r="R469" s="26">
        <v>1</v>
      </c>
      <c r="S469" s="26">
        <v>9</v>
      </c>
      <c r="T469" s="26">
        <v>6</v>
      </c>
      <c r="U469" s="26">
        <v>16</v>
      </c>
      <c r="V469" s="26">
        <v>1</v>
      </c>
      <c r="W469" s="26"/>
    </row>
    <row r="470" spans="1:23" x14ac:dyDescent="0.25">
      <c r="A470" s="26" t="s">
        <v>53</v>
      </c>
      <c r="B470" s="26" t="s">
        <v>1941</v>
      </c>
      <c r="C470" s="26" t="s">
        <v>1942</v>
      </c>
      <c r="D470" s="26" t="s">
        <v>218</v>
      </c>
      <c r="E470" s="26" t="s">
        <v>1943</v>
      </c>
      <c r="F470" s="26" t="s">
        <v>941</v>
      </c>
      <c r="G470" s="26" t="s">
        <v>487</v>
      </c>
      <c r="H470" s="26" t="s">
        <v>294</v>
      </c>
      <c r="I470" s="26" t="s">
        <v>184</v>
      </c>
      <c r="J470" s="26" t="s">
        <v>375</v>
      </c>
      <c r="K470" s="26" t="s">
        <v>186</v>
      </c>
      <c r="L470" s="26" t="s">
        <v>79</v>
      </c>
      <c r="M470" s="26" t="s">
        <v>78</v>
      </c>
      <c r="N470" s="26">
        <v>150</v>
      </c>
      <c r="O470" s="26">
        <v>72</v>
      </c>
      <c r="P470" s="26">
        <v>78</v>
      </c>
      <c r="Q470" s="26">
        <v>6</v>
      </c>
      <c r="R470" s="26">
        <v>1</v>
      </c>
      <c r="S470" s="26">
        <v>28</v>
      </c>
      <c r="T470" s="26">
        <v>20</v>
      </c>
      <c r="U470" s="26">
        <v>49</v>
      </c>
      <c r="V470" s="26">
        <v>1</v>
      </c>
      <c r="W470" s="26"/>
    </row>
    <row r="471" spans="1:23" x14ac:dyDescent="0.25">
      <c r="A471" s="26" t="s">
        <v>53</v>
      </c>
      <c r="B471" s="26" t="s">
        <v>1944</v>
      </c>
      <c r="C471" s="26" t="s">
        <v>1945</v>
      </c>
      <c r="D471" s="26" t="s">
        <v>179</v>
      </c>
      <c r="E471" s="26" t="s">
        <v>1946</v>
      </c>
      <c r="F471" s="26" t="s">
        <v>407</v>
      </c>
      <c r="G471" s="26" t="s">
        <v>278</v>
      </c>
      <c r="H471" s="26" t="s">
        <v>408</v>
      </c>
      <c r="I471" s="26" t="s">
        <v>184</v>
      </c>
      <c r="J471" s="26" t="s">
        <v>375</v>
      </c>
      <c r="K471" s="26" t="s">
        <v>186</v>
      </c>
      <c r="L471" s="26" t="s">
        <v>79</v>
      </c>
      <c r="M471" s="26" t="s">
        <v>78</v>
      </c>
      <c r="N471" s="26">
        <v>70</v>
      </c>
      <c r="O471" s="26">
        <v>33</v>
      </c>
      <c r="P471" s="26">
        <v>37</v>
      </c>
      <c r="Q471" s="26">
        <v>8</v>
      </c>
      <c r="R471" s="26">
        <v>1</v>
      </c>
      <c r="S471" s="26">
        <v>14</v>
      </c>
      <c r="T471" s="26">
        <v>12</v>
      </c>
      <c r="U471" s="26">
        <v>27</v>
      </c>
      <c r="V471" s="26">
        <v>1</v>
      </c>
      <c r="W471" s="26"/>
    </row>
    <row r="472" spans="1:23" x14ac:dyDescent="0.25">
      <c r="A472" s="26" t="s">
        <v>53</v>
      </c>
      <c r="B472" s="26" t="s">
        <v>1947</v>
      </c>
      <c r="C472" s="26" t="s">
        <v>7</v>
      </c>
      <c r="D472" s="26" t="s">
        <v>179</v>
      </c>
      <c r="E472" s="26" t="s">
        <v>1948</v>
      </c>
      <c r="F472" s="26" t="s">
        <v>1179</v>
      </c>
      <c r="G472" s="26" t="s">
        <v>182</v>
      </c>
      <c r="H472" s="26" t="s">
        <v>370</v>
      </c>
      <c r="I472" s="26" t="s">
        <v>184</v>
      </c>
      <c r="J472" s="26" t="s">
        <v>322</v>
      </c>
      <c r="K472" s="26" t="s">
        <v>186</v>
      </c>
      <c r="L472" s="26" t="s">
        <v>79</v>
      </c>
      <c r="M472" s="26" t="s">
        <v>78</v>
      </c>
      <c r="N472" s="26">
        <v>167</v>
      </c>
      <c r="O472" s="26">
        <v>82</v>
      </c>
      <c r="P472" s="26">
        <v>85</v>
      </c>
      <c r="Q472" s="26">
        <v>6</v>
      </c>
      <c r="R472" s="26">
        <v>1</v>
      </c>
      <c r="S472" s="26">
        <v>34</v>
      </c>
      <c r="T472" s="26">
        <v>20</v>
      </c>
      <c r="U472" s="26">
        <v>55</v>
      </c>
      <c r="V472" s="26">
        <v>1</v>
      </c>
      <c r="W472" s="26"/>
    </row>
    <row r="473" spans="1:23" x14ac:dyDescent="0.25">
      <c r="A473" s="26" t="s">
        <v>53</v>
      </c>
      <c r="B473" s="26" t="s">
        <v>1949</v>
      </c>
      <c r="C473" s="26" t="s">
        <v>1950</v>
      </c>
      <c r="D473" s="26" t="s">
        <v>179</v>
      </c>
      <c r="E473" s="26" t="s">
        <v>1951</v>
      </c>
      <c r="F473" s="26" t="s">
        <v>1179</v>
      </c>
      <c r="G473" s="26" t="s">
        <v>182</v>
      </c>
      <c r="H473" s="26" t="s">
        <v>440</v>
      </c>
      <c r="I473" s="26" t="s">
        <v>184</v>
      </c>
      <c r="J473" s="26" t="s">
        <v>322</v>
      </c>
      <c r="K473" s="26" t="s">
        <v>186</v>
      </c>
      <c r="L473" s="26" t="s">
        <v>79</v>
      </c>
      <c r="M473" s="26" t="s">
        <v>78</v>
      </c>
      <c r="N473" s="26">
        <v>50</v>
      </c>
      <c r="O473" s="26">
        <v>26</v>
      </c>
      <c r="P473" s="26">
        <v>24</v>
      </c>
      <c r="Q473" s="26">
        <v>6</v>
      </c>
      <c r="R473" s="26">
        <v>1</v>
      </c>
      <c r="S473" s="26">
        <v>16</v>
      </c>
      <c r="T473" s="26">
        <v>10</v>
      </c>
      <c r="U473" s="26">
        <v>27</v>
      </c>
      <c r="V473" s="26">
        <v>1</v>
      </c>
      <c r="W473" s="26"/>
    </row>
    <row r="474" spans="1:23" x14ac:dyDescent="0.25">
      <c r="A474" s="26" t="s">
        <v>53</v>
      </c>
      <c r="B474" s="26" t="s">
        <v>1952</v>
      </c>
      <c r="C474" s="26" t="s">
        <v>1953</v>
      </c>
      <c r="D474" s="26" t="s">
        <v>179</v>
      </c>
      <c r="E474" s="26" t="s">
        <v>1954</v>
      </c>
      <c r="F474" s="26" t="s">
        <v>1253</v>
      </c>
      <c r="G474" s="26" t="s">
        <v>662</v>
      </c>
      <c r="H474" s="26" t="s">
        <v>1254</v>
      </c>
      <c r="I474" s="26" t="s">
        <v>184</v>
      </c>
      <c r="J474" s="26" t="s">
        <v>427</v>
      </c>
      <c r="K474" s="26" t="s">
        <v>186</v>
      </c>
      <c r="L474" s="26" t="s">
        <v>79</v>
      </c>
      <c r="M474" s="26" t="s">
        <v>78</v>
      </c>
      <c r="N474" s="26">
        <v>20</v>
      </c>
      <c r="O474" s="26">
        <v>10</v>
      </c>
      <c r="P474" s="26">
        <v>10</v>
      </c>
      <c r="Q474" s="26">
        <v>4</v>
      </c>
      <c r="R474" s="26">
        <v>1</v>
      </c>
      <c r="S474" s="26">
        <v>12</v>
      </c>
      <c r="T474" s="26">
        <v>7</v>
      </c>
      <c r="U474" s="26">
        <v>20</v>
      </c>
      <c r="V474" s="26">
        <v>1</v>
      </c>
      <c r="W474" s="26"/>
    </row>
    <row r="475" spans="1:23" x14ac:dyDescent="0.25">
      <c r="A475" s="26" t="s">
        <v>53</v>
      </c>
      <c r="B475" s="26" t="s">
        <v>1955</v>
      </c>
      <c r="C475" s="26" t="s">
        <v>1956</v>
      </c>
      <c r="D475" s="26" t="s">
        <v>179</v>
      </c>
      <c r="E475" s="26" t="s">
        <v>1957</v>
      </c>
      <c r="F475" s="26" t="s">
        <v>1789</v>
      </c>
      <c r="G475" s="26" t="s">
        <v>662</v>
      </c>
      <c r="H475" s="26" t="s">
        <v>1254</v>
      </c>
      <c r="I475" s="26" t="s">
        <v>184</v>
      </c>
      <c r="J475" s="26" t="s">
        <v>427</v>
      </c>
      <c r="K475" s="26" t="s">
        <v>1895</v>
      </c>
      <c r="L475" s="26" t="s">
        <v>79</v>
      </c>
      <c r="M475" s="26" t="s">
        <v>78</v>
      </c>
      <c r="N475" s="26">
        <v>103</v>
      </c>
      <c r="O475" s="26">
        <v>54</v>
      </c>
      <c r="P475" s="26">
        <v>49</v>
      </c>
      <c r="Q475" s="26">
        <v>5</v>
      </c>
      <c r="R475" s="26">
        <v>1</v>
      </c>
      <c r="S475" s="26">
        <v>18</v>
      </c>
      <c r="T475" s="26">
        <v>11</v>
      </c>
      <c r="U475" s="26">
        <v>30</v>
      </c>
      <c r="V475" s="26">
        <v>1</v>
      </c>
      <c r="W475" s="26"/>
    </row>
    <row r="476" spans="1:23" x14ac:dyDescent="0.25">
      <c r="A476" s="26" t="s">
        <v>53</v>
      </c>
      <c r="B476" s="26" t="s">
        <v>1958</v>
      </c>
      <c r="C476" s="26" t="s">
        <v>1959</v>
      </c>
      <c r="D476" s="26" t="s">
        <v>179</v>
      </c>
      <c r="E476" s="26" t="s">
        <v>1960</v>
      </c>
      <c r="F476" s="26" t="s">
        <v>1961</v>
      </c>
      <c r="G476" s="26" t="s">
        <v>191</v>
      </c>
      <c r="H476" s="26" t="s">
        <v>603</v>
      </c>
      <c r="I476" s="26" t="s">
        <v>184</v>
      </c>
      <c r="J476" s="26" t="s">
        <v>427</v>
      </c>
      <c r="K476" s="26" t="s">
        <v>186</v>
      </c>
      <c r="L476" s="26" t="s">
        <v>79</v>
      </c>
      <c r="M476" s="26" t="s">
        <v>78</v>
      </c>
      <c r="N476" s="26">
        <v>163</v>
      </c>
      <c r="O476" s="26">
        <v>66</v>
      </c>
      <c r="P476" s="26">
        <v>97</v>
      </c>
      <c r="Q476" s="26">
        <v>6</v>
      </c>
      <c r="R476" s="26">
        <v>1</v>
      </c>
      <c r="S476" s="26">
        <v>33</v>
      </c>
      <c r="T476" s="26">
        <v>21</v>
      </c>
      <c r="U476" s="26">
        <v>55</v>
      </c>
      <c r="V476" s="26">
        <v>1</v>
      </c>
      <c r="W476" s="26"/>
    </row>
    <row r="477" spans="1:23" x14ac:dyDescent="0.25">
      <c r="A477" s="26" t="s">
        <v>53</v>
      </c>
      <c r="B477" s="26" t="s">
        <v>1962</v>
      </c>
      <c r="C477" s="26" t="s">
        <v>1963</v>
      </c>
      <c r="D477" s="26" t="s">
        <v>179</v>
      </c>
      <c r="E477" s="26" t="s">
        <v>1964</v>
      </c>
      <c r="F477" s="26" t="s">
        <v>1965</v>
      </c>
      <c r="G477" s="26" t="s">
        <v>252</v>
      </c>
      <c r="H477" s="26" t="s">
        <v>682</v>
      </c>
      <c r="I477" s="26" t="s">
        <v>184</v>
      </c>
      <c r="J477" s="26" t="s">
        <v>427</v>
      </c>
      <c r="K477" s="26" t="s">
        <v>186</v>
      </c>
      <c r="L477" s="26" t="s">
        <v>79</v>
      </c>
      <c r="M477" s="26" t="s">
        <v>78</v>
      </c>
      <c r="N477" s="26">
        <v>54</v>
      </c>
      <c r="O477" s="26">
        <v>31</v>
      </c>
      <c r="P477" s="26">
        <v>23</v>
      </c>
      <c r="Q477" s="26">
        <v>6</v>
      </c>
      <c r="R477" s="26">
        <v>1</v>
      </c>
      <c r="S477" s="26">
        <v>11</v>
      </c>
      <c r="T477" s="26">
        <v>17</v>
      </c>
      <c r="U477" s="26">
        <v>29</v>
      </c>
      <c r="V477" s="26">
        <v>1</v>
      </c>
      <c r="W477" s="26"/>
    </row>
    <row r="478" spans="1:23" x14ac:dyDescent="0.25">
      <c r="A478" s="26" t="s">
        <v>53</v>
      </c>
      <c r="B478" s="26" t="s">
        <v>1966</v>
      </c>
      <c r="C478" s="26" t="s">
        <v>1967</v>
      </c>
      <c r="D478" s="26" t="s">
        <v>179</v>
      </c>
      <c r="E478" s="26" t="s">
        <v>1968</v>
      </c>
      <c r="F478" s="26" t="s">
        <v>1969</v>
      </c>
      <c r="G478" s="26" t="s">
        <v>252</v>
      </c>
      <c r="H478" s="26" t="s">
        <v>682</v>
      </c>
      <c r="I478" s="26" t="s">
        <v>184</v>
      </c>
      <c r="J478" s="26" t="s">
        <v>427</v>
      </c>
      <c r="K478" s="26" t="s">
        <v>186</v>
      </c>
      <c r="L478" s="26" t="s">
        <v>79</v>
      </c>
      <c r="M478" s="26" t="s">
        <v>78</v>
      </c>
      <c r="N478" s="26">
        <v>88</v>
      </c>
      <c r="O478" s="26">
        <v>51</v>
      </c>
      <c r="P478" s="26">
        <v>37</v>
      </c>
      <c r="Q478" s="26">
        <v>5</v>
      </c>
      <c r="R478" s="26">
        <v>1</v>
      </c>
      <c r="S478" s="26">
        <v>24</v>
      </c>
      <c r="T478" s="26">
        <v>15</v>
      </c>
      <c r="U478" s="26">
        <v>40</v>
      </c>
      <c r="V478" s="26">
        <v>1</v>
      </c>
      <c r="W478" s="26"/>
    </row>
    <row r="479" spans="1:23" x14ac:dyDescent="0.25">
      <c r="A479" s="26" t="s">
        <v>53</v>
      </c>
      <c r="B479" s="26" t="s">
        <v>1970</v>
      </c>
      <c r="C479" s="26" t="s">
        <v>1971</v>
      </c>
      <c r="D479" s="26" t="s">
        <v>179</v>
      </c>
      <c r="E479" s="26" t="s">
        <v>1972</v>
      </c>
      <c r="F479" s="26" t="s">
        <v>309</v>
      </c>
      <c r="G479" s="26" t="s">
        <v>226</v>
      </c>
      <c r="H479" s="26" t="s">
        <v>538</v>
      </c>
      <c r="I479" s="26" t="s">
        <v>184</v>
      </c>
      <c r="J479" s="26" t="s">
        <v>427</v>
      </c>
      <c r="K479" s="26" t="s">
        <v>186</v>
      </c>
      <c r="L479" s="26" t="s">
        <v>79</v>
      </c>
      <c r="M479" s="26" t="s">
        <v>78</v>
      </c>
      <c r="N479" s="26">
        <v>36</v>
      </c>
      <c r="O479" s="26">
        <v>18</v>
      </c>
      <c r="P479" s="26">
        <v>18</v>
      </c>
      <c r="Q479" s="26">
        <v>4</v>
      </c>
      <c r="R479" s="26">
        <v>1</v>
      </c>
      <c r="S479" s="26">
        <v>10</v>
      </c>
      <c r="T479" s="26">
        <v>9</v>
      </c>
      <c r="U479" s="26">
        <v>20</v>
      </c>
      <c r="V479" s="26">
        <v>1</v>
      </c>
      <c r="W479" s="26"/>
    </row>
    <row r="480" spans="1:23" x14ac:dyDescent="0.25">
      <c r="A480" s="26" t="s">
        <v>53</v>
      </c>
      <c r="B480" s="26" t="s">
        <v>1973</v>
      </c>
      <c r="C480" s="26" t="s">
        <v>1974</v>
      </c>
      <c r="D480" s="26" t="s">
        <v>218</v>
      </c>
      <c r="E480" s="26" t="s">
        <v>1975</v>
      </c>
      <c r="F480" s="26" t="s">
        <v>852</v>
      </c>
      <c r="G480" s="26" t="s">
        <v>226</v>
      </c>
      <c r="H480" s="26" t="s">
        <v>538</v>
      </c>
      <c r="I480" s="26" t="s">
        <v>184</v>
      </c>
      <c r="J480" s="26" t="s">
        <v>427</v>
      </c>
      <c r="K480" s="26" t="s">
        <v>186</v>
      </c>
      <c r="L480" s="26" t="s">
        <v>79</v>
      </c>
      <c r="M480" s="26" t="s">
        <v>78</v>
      </c>
      <c r="N480" s="26">
        <v>30</v>
      </c>
      <c r="O480" s="26">
        <v>14</v>
      </c>
      <c r="P480" s="26">
        <v>16</v>
      </c>
      <c r="Q480" s="26">
        <v>4</v>
      </c>
      <c r="R480" s="26">
        <v>1</v>
      </c>
      <c r="S480" s="26">
        <v>9</v>
      </c>
      <c r="T480" s="26">
        <v>7</v>
      </c>
      <c r="U480" s="26">
        <v>17</v>
      </c>
      <c r="V480" s="26">
        <v>1</v>
      </c>
      <c r="W480" s="26"/>
    </row>
    <row r="481" spans="1:23" x14ac:dyDescent="0.25">
      <c r="A481" s="26" t="s">
        <v>53</v>
      </c>
      <c r="B481" s="26" t="s">
        <v>1976</v>
      </c>
      <c r="C481" s="26" t="s">
        <v>1977</v>
      </c>
      <c r="D481" s="26" t="s">
        <v>218</v>
      </c>
      <c r="E481" s="26" t="s">
        <v>1978</v>
      </c>
      <c r="F481" s="26" t="s">
        <v>1979</v>
      </c>
      <c r="G481" s="26" t="s">
        <v>293</v>
      </c>
      <c r="H481" s="26" t="s">
        <v>1506</v>
      </c>
      <c r="I481" s="26" t="s">
        <v>1259</v>
      </c>
      <c r="J481" s="26" t="s">
        <v>295</v>
      </c>
      <c r="K481" s="26" t="s">
        <v>296</v>
      </c>
      <c r="L481" s="26" t="s">
        <v>80</v>
      </c>
      <c r="M481" s="26" t="s">
        <v>78</v>
      </c>
      <c r="N481" s="26">
        <v>122</v>
      </c>
      <c r="O481" s="26">
        <v>58</v>
      </c>
      <c r="P481" s="26">
        <v>64</v>
      </c>
      <c r="Q481" s="26">
        <v>5</v>
      </c>
      <c r="R481" s="26">
        <v>1</v>
      </c>
      <c r="S481" s="26">
        <v>14</v>
      </c>
      <c r="T481" s="26">
        <v>7</v>
      </c>
      <c r="U481" s="26">
        <v>22</v>
      </c>
      <c r="V481" s="26">
        <v>1</v>
      </c>
      <c r="W481" s="26"/>
    </row>
    <row r="482" spans="1:23" x14ac:dyDescent="0.25">
      <c r="A482" s="26" t="s">
        <v>53</v>
      </c>
      <c r="B482" s="26" t="s">
        <v>1980</v>
      </c>
      <c r="C482" s="26" t="s">
        <v>1981</v>
      </c>
      <c r="D482" s="26" t="s">
        <v>218</v>
      </c>
      <c r="E482" s="26" t="s">
        <v>1982</v>
      </c>
      <c r="F482" s="26" t="s">
        <v>243</v>
      </c>
      <c r="G482" s="26" t="s">
        <v>210</v>
      </c>
      <c r="H482" s="26" t="s">
        <v>332</v>
      </c>
      <c r="I482" s="26" t="s">
        <v>184</v>
      </c>
      <c r="J482" s="26" t="s">
        <v>322</v>
      </c>
      <c r="K482" s="26" t="s">
        <v>186</v>
      </c>
      <c r="L482" s="26" t="s">
        <v>79</v>
      </c>
      <c r="M482" s="26" t="s">
        <v>78</v>
      </c>
      <c r="N482" s="26">
        <v>72</v>
      </c>
      <c r="O482" s="26">
        <v>34</v>
      </c>
      <c r="P482" s="26">
        <v>38</v>
      </c>
      <c r="Q482" s="26">
        <v>5</v>
      </c>
      <c r="R482" s="26">
        <v>1</v>
      </c>
      <c r="S482" s="26">
        <v>13</v>
      </c>
      <c r="T482" s="26">
        <v>9</v>
      </c>
      <c r="U482" s="26">
        <v>23</v>
      </c>
      <c r="V482" s="26">
        <v>1</v>
      </c>
      <c r="W482" s="26"/>
    </row>
    <row r="483" spans="1:23" x14ac:dyDescent="0.25">
      <c r="A483" s="26" t="s">
        <v>53</v>
      </c>
      <c r="B483" s="26" t="s">
        <v>1983</v>
      </c>
      <c r="C483" s="26" t="s">
        <v>1984</v>
      </c>
      <c r="D483" s="26" t="s">
        <v>218</v>
      </c>
      <c r="E483" s="26" t="s">
        <v>1985</v>
      </c>
      <c r="F483" s="26" t="s">
        <v>1986</v>
      </c>
      <c r="G483" s="26" t="s">
        <v>293</v>
      </c>
      <c r="H483" s="26" t="s">
        <v>1506</v>
      </c>
      <c r="I483" s="26" t="s">
        <v>1259</v>
      </c>
      <c r="J483" s="26" t="s">
        <v>295</v>
      </c>
      <c r="K483" s="26" t="s">
        <v>296</v>
      </c>
      <c r="L483" s="26" t="s">
        <v>80</v>
      </c>
      <c r="M483" s="26" t="s">
        <v>78</v>
      </c>
      <c r="N483" s="26">
        <v>18</v>
      </c>
      <c r="O483" s="26">
        <v>11</v>
      </c>
      <c r="P483" s="26">
        <v>7</v>
      </c>
      <c r="Q483" s="26">
        <v>1</v>
      </c>
      <c r="R483" s="26">
        <v>1</v>
      </c>
      <c r="S483" s="26">
        <v>2</v>
      </c>
      <c r="T483" s="26">
        <v>8</v>
      </c>
      <c r="U483" s="26">
        <v>11</v>
      </c>
      <c r="V483" s="26">
        <v>1</v>
      </c>
      <c r="W483" s="26"/>
    </row>
    <row r="484" spans="1:23" x14ac:dyDescent="0.25">
      <c r="A484" s="26" t="s">
        <v>53</v>
      </c>
      <c r="B484" s="26" t="s">
        <v>1987</v>
      </c>
      <c r="C484" s="26" t="s">
        <v>1988</v>
      </c>
      <c r="D484" s="26" t="s">
        <v>218</v>
      </c>
      <c r="E484" s="26" t="s">
        <v>1989</v>
      </c>
      <c r="F484" s="26" t="s">
        <v>1990</v>
      </c>
      <c r="G484" s="26" t="s">
        <v>252</v>
      </c>
      <c r="H484" s="26" t="s">
        <v>682</v>
      </c>
      <c r="I484" s="26" t="s">
        <v>184</v>
      </c>
      <c r="J484" s="26" t="s">
        <v>427</v>
      </c>
      <c r="K484" s="26" t="s">
        <v>186</v>
      </c>
      <c r="L484" s="26" t="s">
        <v>79</v>
      </c>
      <c r="M484" s="26" t="s">
        <v>78</v>
      </c>
      <c r="N484" s="26">
        <v>68</v>
      </c>
      <c r="O484" s="26">
        <v>35</v>
      </c>
      <c r="P484" s="26">
        <v>33</v>
      </c>
      <c r="Q484" s="26">
        <v>6</v>
      </c>
      <c r="R484" s="26">
        <v>1</v>
      </c>
      <c r="S484" s="26">
        <v>15</v>
      </c>
      <c r="T484" s="26">
        <v>12</v>
      </c>
      <c r="U484" s="26">
        <v>28</v>
      </c>
      <c r="V484" s="26">
        <v>1</v>
      </c>
      <c r="W484" s="26"/>
    </row>
    <row r="485" spans="1:23" x14ac:dyDescent="0.25">
      <c r="A485" s="26" t="s">
        <v>53</v>
      </c>
      <c r="B485" s="26" t="s">
        <v>1991</v>
      </c>
      <c r="C485" s="26" t="s">
        <v>1992</v>
      </c>
      <c r="D485" s="26" t="s">
        <v>218</v>
      </c>
      <c r="E485" s="26" t="s">
        <v>1993</v>
      </c>
      <c r="F485" s="26" t="s">
        <v>1994</v>
      </c>
      <c r="G485" s="26" t="s">
        <v>293</v>
      </c>
      <c r="H485" s="26" t="s">
        <v>1506</v>
      </c>
      <c r="I485" s="26" t="s">
        <v>1259</v>
      </c>
      <c r="J485" s="26" t="s">
        <v>696</v>
      </c>
      <c r="K485" s="26" t="s">
        <v>296</v>
      </c>
      <c r="L485" s="26" t="s">
        <v>80</v>
      </c>
      <c r="M485" s="26" t="s">
        <v>78</v>
      </c>
      <c r="N485" s="26">
        <v>13</v>
      </c>
      <c r="O485" s="26">
        <v>4</v>
      </c>
      <c r="P485" s="26">
        <v>9</v>
      </c>
      <c r="Q485" s="26">
        <v>3</v>
      </c>
      <c r="R485" s="26">
        <v>1</v>
      </c>
      <c r="S485" s="26">
        <v>1</v>
      </c>
      <c r="T485" s="26">
        <v>6</v>
      </c>
      <c r="U485" s="26">
        <v>8</v>
      </c>
      <c r="V485" s="26">
        <v>1</v>
      </c>
      <c r="W485" s="26"/>
    </row>
    <row r="486" spans="1:23" x14ac:dyDescent="0.25">
      <c r="A486" s="26" t="s">
        <v>53</v>
      </c>
      <c r="B486" s="26" t="s">
        <v>1995</v>
      </c>
      <c r="C486" s="26" t="s">
        <v>1996</v>
      </c>
      <c r="D486" s="26" t="s">
        <v>218</v>
      </c>
      <c r="E486" s="26" t="s">
        <v>1997</v>
      </c>
      <c r="F486" s="26" t="s">
        <v>1998</v>
      </c>
      <c r="G486" s="26" t="s">
        <v>226</v>
      </c>
      <c r="H486" s="26" t="s">
        <v>833</v>
      </c>
      <c r="I486" s="26" t="s">
        <v>184</v>
      </c>
      <c r="J486" s="26" t="s">
        <v>427</v>
      </c>
      <c r="K486" s="26" t="s">
        <v>1895</v>
      </c>
      <c r="L486" s="26" t="s">
        <v>79</v>
      </c>
      <c r="M486" s="26" t="s">
        <v>78</v>
      </c>
      <c r="N486" s="26">
        <v>70</v>
      </c>
      <c r="O486" s="26">
        <v>39</v>
      </c>
      <c r="P486" s="26">
        <v>31</v>
      </c>
      <c r="Q486" s="26">
        <v>5</v>
      </c>
      <c r="R486" s="26">
        <v>1</v>
      </c>
      <c r="S486" s="26">
        <v>18</v>
      </c>
      <c r="T486" s="26">
        <v>12</v>
      </c>
      <c r="U486" s="26">
        <v>31</v>
      </c>
      <c r="V486" s="26">
        <v>1</v>
      </c>
      <c r="W486" s="26"/>
    </row>
    <row r="487" spans="1:23" x14ac:dyDescent="0.25">
      <c r="A487" s="26" t="s">
        <v>53</v>
      </c>
      <c r="B487" s="26" t="s">
        <v>1999</v>
      </c>
      <c r="C487" s="26" t="s">
        <v>2000</v>
      </c>
      <c r="D487" s="26" t="s">
        <v>218</v>
      </c>
      <c r="E487" s="26" t="s">
        <v>2001</v>
      </c>
      <c r="F487" s="26" t="s">
        <v>2002</v>
      </c>
      <c r="G487" s="26" t="s">
        <v>210</v>
      </c>
      <c r="H487" s="26" t="s">
        <v>1069</v>
      </c>
      <c r="I487" s="26" t="s">
        <v>184</v>
      </c>
      <c r="J487" s="26" t="s">
        <v>322</v>
      </c>
      <c r="K487" s="26" t="s">
        <v>1895</v>
      </c>
      <c r="L487" s="26" t="s">
        <v>79</v>
      </c>
      <c r="M487" s="26" t="s">
        <v>78</v>
      </c>
      <c r="N487" s="26">
        <v>120</v>
      </c>
      <c r="O487" s="26">
        <v>69</v>
      </c>
      <c r="P487" s="26">
        <v>51</v>
      </c>
      <c r="Q487" s="26">
        <v>4</v>
      </c>
      <c r="R487" s="26">
        <v>1</v>
      </c>
      <c r="S487" s="26">
        <v>21</v>
      </c>
      <c r="T487" s="26">
        <v>15</v>
      </c>
      <c r="U487" s="26">
        <v>37</v>
      </c>
      <c r="V487" s="26">
        <v>1</v>
      </c>
      <c r="W487" s="26"/>
    </row>
    <row r="488" spans="1:23" x14ac:dyDescent="0.25">
      <c r="A488" s="26" t="s">
        <v>53</v>
      </c>
      <c r="B488" s="26" t="s">
        <v>2003</v>
      </c>
      <c r="C488" s="26" t="s">
        <v>2004</v>
      </c>
      <c r="D488" s="26" t="s">
        <v>218</v>
      </c>
      <c r="E488" s="26" t="s">
        <v>2005</v>
      </c>
      <c r="F488" s="26" t="s">
        <v>326</v>
      </c>
      <c r="G488" s="26" t="s">
        <v>210</v>
      </c>
      <c r="H488" s="26" t="s">
        <v>327</v>
      </c>
      <c r="I488" s="26" t="s">
        <v>184</v>
      </c>
      <c r="J488" s="26" t="s">
        <v>322</v>
      </c>
      <c r="K488" s="26" t="s">
        <v>186</v>
      </c>
      <c r="L488" s="26" t="s">
        <v>79</v>
      </c>
      <c r="M488" s="26" t="s">
        <v>78</v>
      </c>
      <c r="N488" s="26">
        <v>83</v>
      </c>
      <c r="O488" s="26">
        <v>41</v>
      </c>
      <c r="P488" s="26">
        <v>42</v>
      </c>
      <c r="Q488" s="26">
        <v>5</v>
      </c>
      <c r="R488" s="26">
        <v>1</v>
      </c>
      <c r="S488" s="26">
        <v>13</v>
      </c>
      <c r="T488" s="26">
        <v>10</v>
      </c>
      <c r="U488" s="26">
        <v>24</v>
      </c>
      <c r="V488" s="26">
        <v>1</v>
      </c>
      <c r="W488" s="26"/>
    </row>
    <row r="489" spans="1:23" x14ac:dyDescent="0.25">
      <c r="A489" s="26" t="s">
        <v>53</v>
      </c>
      <c r="B489" s="26" t="s">
        <v>2006</v>
      </c>
      <c r="C489" s="26" t="s">
        <v>2007</v>
      </c>
      <c r="D489" s="26" t="s">
        <v>218</v>
      </c>
      <c r="E489" s="26" t="s">
        <v>2008</v>
      </c>
      <c r="F489" s="26" t="s">
        <v>300</v>
      </c>
      <c r="G489" s="26" t="s">
        <v>198</v>
      </c>
      <c r="H489" s="26" t="s">
        <v>374</v>
      </c>
      <c r="I489" s="26" t="s">
        <v>184</v>
      </c>
      <c r="J489" s="26" t="s">
        <v>375</v>
      </c>
      <c r="K489" s="26" t="s">
        <v>186</v>
      </c>
      <c r="L489" s="26" t="s">
        <v>79</v>
      </c>
      <c r="M489" s="26" t="s">
        <v>78</v>
      </c>
      <c r="N489" s="26">
        <v>168</v>
      </c>
      <c r="O489" s="26">
        <v>72</v>
      </c>
      <c r="P489" s="26">
        <v>96</v>
      </c>
      <c r="Q489" s="26">
        <v>6</v>
      </c>
      <c r="R489" s="26">
        <v>1</v>
      </c>
      <c r="S489" s="26">
        <v>37</v>
      </c>
      <c r="T489" s="26">
        <v>22</v>
      </c>
      <c r="U489" s="26">
        <v>60</v>
      </c>
      <c r="V489" s="26">
        <v>1</v>
      </c>
      <c r="W489" s="26"/>
    </row>
    <row r="490" spans="1:23" x14ac:dyDescent="0.25">
      <c r="A490" s="26" t="s">
        <v>53</v>
      </c>
      <c r="B490" s="26" t="s">
        <v>2009</v>
      </c>
      <c r="C490" s="26" t="s">
        <v>2010</v>
      </c>
      <c r="D490" s="26" t="s">
        <v>179</v>
      </c>
      <c r="E490" s="26" t="s">
        <v>2011</v>
      </c>
      <c r="F490" s="26" t="s">
        <v>2012</v>
      </c>
      <c r="G490" s="26" t="s">
        <v>191</v>
      </c>
      <c r="H490" s="26" t="s">
        <v>518</v>
      </c>
      <c r="I490" s="26" t="s">
        <v>184</v>
      </c>
      <c r="J490" s="26" t="s">
        <v>427</v>
      </c>
      <c r="K490" s="26" t="s">
        <v>186</v>
      </c>
      <c r="L490" s="26" t="s">
        <v>79</v>
      </c>
      <c r="M490" s="26" t="s">
        <v>78</v>
      </c>
      <c r="N490" s="26">
        <v>179</v>
      </c>
      <c r="O490" s="26">
        <v>105</v>
      </c>
      <c r="P490" s="26">
        <v>74</v>
      </c>
      <c r="Q490" s="26">
        <v>8</v>
      </c>
      <c r="R490" s="26">
        <v>1</v>
      </c>
      <c r="S490" s="26">
        <v>30</v>
      </c>
      <c r="T490" s="26">
        <v>18</v>
      </c>
      <c r="U490" s="26">
        <v>49</v>
      </c>
      <c r="V490" s="26">
        <v>1</v>
      </c>
      <c r="W490" s="26"/>
    </row>
    <row r="491" spans="1:23" x14ac:dyDescent="0.25">
      <c r="A491" s="26" t="s">
        <v>53</v>
      </c>
      <c r="B491" s="26" t="s">
        <v>2013</v>
      </c>
      <c r="C491" s="26" t="s">
        <v>2014</v>
      </c>
      <c r="D491" s="26" t="s">
        <v>179</v>
      </c>
      <c r="E491" s="26" t="s">
        <v>2015</v>
      </c>
      <c r="F491" s="26" t="s">
        <v>1407</v>
      </c>
      <c r="G491" s="26" t="s">
        <v>210</v>
      </c>
      <c r="H491" s="26" t="s">
        <v>365</v>
      </c>
      <c r="I491" s="26" t="s">
        <v>184</v>
      </c>
      <c r="J491" s="26" t="s">
        <v>322</v>
      </c>
      <c r="K491" s="26" t="s">
        <v>186</v>
      </c>
      <c r="L491" s="26" t="s">
        <v>79</v>
      </c>
      <c r="M491" s="26" t="s">
        <v>78</v>
      </c>
      <c r="N491" s="26">
        <v>148</v>
      </c>
      <c r="O491" s="26">
        <v>78</v>
      </c>
      <c r="P491" s="26">
        <v>70</v>
      </c>
      <c r="Q491" s="26">
        <v>7</v>
      </c>
      <c r="R491" s="26">
        <v>1</v>
      </c>
      <c r="S491" s="26">
        <v>20</v>
      </c>
      <c r="T491" s="26">
        <v>19</v>
      </c>
      <c r="U491" s="26">
        <v>40</v>
      </c>
      <c r="V491" s="26">
        <v>1</v>
      </c>
      <c r="W491" s="26"/>
    </row>
    <row r="492" spans="1:23" x14ac:dyDescent="0.25">
      <c r="A492" s="26" t="s">
        <v>53</v>
      </c>
      <c r="B492" s="26" t="s">
        <v>2016</v>
      </c>
      <c r="C492" s="26" t="s">
        <v>2017</v>
      </c>
      <c r="D492" s="26" t="s">
        <v>218</v>
      </c>
      <c r="E492" s="26" t="s">
        <v>2018</v>
      </c>
      <c r="F492" s="26" t="s">
        <v>247</v>
      </c>
      <c r="G492" s="26" t="s">
        <v>198</v>
      </c>
      <c r="H492" s="26" t="s">
        <v>386</v>
      </c>
      <c r="I492" s="26" t="s">
        <v>184</v>
      </c>
      <c r="J492" s="26" t="s">
        <v>375</v>
      </c>
      <c r="K492" s="26" t="s">
        <v>186</v>
      </c>
      <c r="L492" s="26" t="s">
        <v>79</v>
      </c>
      <c r="M492" s="26" t="s">
        <v>78</v>
      </c>
      <c r="N492" s="26">
        <v>72</v>
      </c>
      <c r="O492" s="26">
        <v>33</v>
      </c>
      <c r="P492" s="26">
        <v>39</v>
      </c>
      <c r="Q492" s="26">
        <v>6</v>
      </c>
      <c r="R492" s="26">
        <v>1</v>
      </c>
      <c r="S492" s="26">
        <v>16</v>
      </c>
      <c r="T492" s="26">
        <v>11</v>
      </c>
      <c r="U492" s="26">
        <v>28</v>
      </c>
      <c r="V492" s="26">
        <v>1</v>
      </c>
      <c r="W492" s="26"/>
    </row>
    <row r="493" spans="1:23" x14ac:dyDescent="0.25">
      <c r="A493" s="26" t="s">
        <v>53</v>
      </c>
      <c r="B493" s="26" t="s">
        <v>2019</v>
      </c>
      <c r="C493" s="26" t="s">
        <v>2020</v>
      </c>
      <c r="D493" s="26" t="s">
        <v>218</v>
      </c>
      <c r="E493" s="26" t="s">
        <v>2021</v>
      </c>
      <c r="F493" s="26" t="s">
        <v>231</v>
      </c>
      <c r="G493" s="26" t="s">
        <v>198</v>
      </c>
      <c r="H493" s="26" t="s">
        <v>395</v>
      </c>
      <c r="I493" s="26" t="s">
        <v>184</v>
      </c>
      <c r="J493" s="26" t="s">
        <v>375</v>
      </c>
      <c r="K493" s="26" t="s">
        <v>186</v>
      </c>
      <c r="L493" s="26" t="s">
        <v>79</v>
      </c>
      <c r="M493" s="26" t="s">
        <v>78</v>
      </c>
      <c r="N493" s="26">
        <v>83</v>
      </c>
      <c r="O493" s="26">
        <v>40</v>
      </c>
      <c r="P493" s="26">
        <v>43</v>
      </c>
      <c r="Q493" s="26">
        <v>7</v>
      </c>
      <c r="R493" s="26">
        <v>1</v>
      </c>
      <c r="S493" s="26">
        <v>17</v>
      </c>
      <c r="T493" s="26">
        <v>7</v>
      </c>
      <c r="U493" s="26">
        <v>25</v>
      </c>
      <c r="V493" s="26">
        <v>1</v>
      </c>
      <c r="W493" s="26"/>
    </row>
    <row r="494" spans="1:23" x14ac:dyDescent="0.25">
      <c r="A494" s="26" t="s">
        <v>53</v>
      </c>
      <c r="B494" s="26" t="s">
        <v>2022</v>
      </c>
      <c r="C494" s="26" t="s">
        <v>2023</v>
      </c>
      <c r="D494" s="26" t="s">
        <v>218</v>
      </c>
      <c r="E494" s="26" t="s">
        <v>2024</v>
      </c>
      <c r="F494" s="26" t="s">
        <v>247</v>
      </c>
      <c r="G494" s="26" t="s">
        <v>198</v>
      </c>
      <c r="H494" s="26" t="s">
        <v>403</v>
      </c>
      <c r="I494" s="26" t="s">
        <v>184</v>
      </c>
      <c r="J494" s="26" t="s">
        <v>375</v>
      </c>
      <c r="K494" s="26" t="s">
        <v>186</v>
      </c>
      <c r="L494" s="26" t="s">
        <v>79</v>
      </c>
      <c r="M494" s="26" t="s">
        <v>78</v>
      </c>
      <c r="N494" s="26">
        <v>130</v>
      </c>
      <c r="O494" s="26">
        <v>63</v>
      </c>
      <c r="P494" s="26">
        <v>67</v>
      </c>
      <c r="Q494" s="26">
        <v>6</v>
      </c>
      <c r="R494" s="26">
        <v>1</v>
      </c>
      <c r="S494" s="26">
        <v>17</v>
      </c>
      <c r="T494" s="26">
        <v>10</v>
      </c>
      <c r="U494" s="26">
        <v>28</v>
      </c>
      <c r="V494" s="26">
        <v>1</v>
      </c>
      <c r="W494" s="26"/>
    </row>
    <row r="495" spans="1:23" x14ac:dyDescent="0.25">
      <c r="A495" s="26" t="s">
        <v>53</v>
      </c>
      <c r="B495" s="26" t="s">
        <v>2025</v>
      </c>
      <c r="C495" s="26" t="s">
        <v>2026</v>
      </c>
      <c r="D495" s="26" t="s">
        <v>218</v>
      </c>
      <c r="E495" s="26" t="s">
        <v>2027</v>
      </c>
      <c r="F495" s="26" t="s">
        <v>2028</v>
      </c>
      <c r="G495" s="26" t="s">
        <v>191</v>
      </c>
      <c r="H495" s="26" t="s">
        <v>1841</v>
      </c>
      <c r="I495" s="26" t="s">
        <v>184</v>
      </c>
      <c r="J495" s="26" t="s">
        <v>427</v>
      </c>
      <c r="K495" s="26" t="s">
        <v>186</v>
      </c>
      <c r="L495" s="26" t="s">
        <v>79</v>
      </c>
      <c r="M495" s="26" t="s">
        <v>78</v>
      </c>
      <c r="N495" s="26">
        <v>153</v>
      </c>
      <c r="O495" s="26">
        <v>77</v>
      </c>
      <c r="P495" s="26">
        <v>76</v>
      </c>
      <c r="Q495" s="26">
        <v>6</v>
      </c>
      <c r="R495" s="26">
        <v>1</v>
      </c>
      <c r="S495" s="26">
        <v>32</v>
      </c>
      <c r="T495" s="26">
        <v>18</v>
      </c>
      <c r="U495" s="26">
        <v>51</v>
      </c>
      <c r="V495" s="26">
        <v>1</v>
      </c>
      <c r="W495" s="26"/>
    </row>
    <row r="496" spans="1:23" x14ac:dyDescent="0.25">
      <c r="A496" s="26" t="s">
        <v>53</v>
      </c>
      <c r="B496" s="26" t="s">
        <v>2029</v>
      </c>
      <c r="C496" s="26" t="s">
        <v>2030</v>
      </c>
      <c r="D496" s="26" t="s">
        <v>218</v>
      </c>
      <c r="E496" s="26" t="s">
        <v>2031</v>
      </c>
      <c r="F496" s="26" t="s">
        <v>2032</v>
      </c>
      <c r="G496" s="26" t="s">
        <v>676</v>
      </c>
      <c r="H496" s="26" t="s">
        <v>687</v>
      </c>
      <c r="I496" s="26" t="s">
        <v>184</v>
      </c>
      <c r="J496" s="26" t="s">
        <v>375</v>
      </c>
      <c r="K496" s="26" t="s">
        <v>186</v>
      </c>
      <c r="L496" s="26" t="s">
        <v>79</v>
      </c>
      <c r="M496" s="26" t="s">
        <v>78</v>
      </c>
      <c r="N496" s="26">
        <v>179</v>
      </c>
      <c r="O496" s="26">
        <v>98</v>
      </c>
      <c r="P496" s="26">
        <v>81</v>
      </c>
      <c r="Q496" s="26">
        <v>5</v>
      </c>
      <c r="R496" s="26">
        <v>1</v>
      </c>
      <c r="S496" s="26">
        <v>33</v>
      </c>
      <c r="T496" s="26">
        <v>17</v>
      </c>
      <c r="U496" s="26">
        <v>51</v>
      </c>
      <c r="V496" s="26">
        <v>1</v>
      </c>
      <c r="W496" s="26"/>
    </row>
    <row r="497" spans="1:23" x14ac:dyDescent="0.25">
      <c r="A497" s="26" t="s">
        <v>53</v>
      </c>
      <c r="B497" s="26" t="s">
        <v>2033</v>
      </c>
      <c r="C497" s="26" t="s">
        <v>2034</v>
      </c>
      <c r="D497" s="26" t="s">
        <v>218</v>
      </c>
      <c r="E497" s="26" t="s">
        <v>2035</v>
      </c>
      <c r="F497" s="26" t="s">
        <v>379</v>
      </c>
      <c r="G497" s="26" t="s">
        <v>182</v>
      </c>
      <c r="H497" s="26" t="s">
        <v>399</v>
      </c>
      <c r="I497" s="26" t="s">
        <v>184</v>
      </c>
      <c r="J497" s="26" t="s">
        <v>322</v>
      </c>
      <c r="K497" s="26" t="s">
        <v>186</v>
      </c>
      <c r="L497" s="26" t="s">
        <v>79</v>
      </c>
      <c r="M497" s="26" t="s">
        <v>78</v>
      </c>
      <c r="N497" s="26">
        <v>128</v>
      </c>
      <c r="O497" s="26">
        <v>68</v>
      </c>
      <c r="P497" s="26">
        <v>60</v>
      </c>
      <c r="Q497" s="26">
        <v>5</v>
      </c>
      <c r="R497" s="26">
        <v>1</v>
      </c>
      <c r="S497" s="26">
        <v>21</v>
      </c>
      <c r="T497" s="26">
        <v>14</v>
      </c>
      <c r="U497" s="26">
        <v>36</v>
      </c>
      <c r="V497" s="26">
        <v>1</v>
      </c>
      <c r="W497" s="26"/>
    </row>
    <row r="498" spans="1:23" x14ac:dyDescent="0.25">
      <c r="A498" s="26" t="s">
        <v>53</v>
      </c>
      <c r="B498" s="26" t="s">
        <v>2036</v>
      </c>
      <c r="C498" s="26" t="s">
        <v>2037</v>
      </c>
      <c r="D498" s="26" t="s">
        <v>218</v>
      </c>
      <c r="E498" s="26" t="s">
        <v>2038</v>
      </c>
      <c r="F498" s="26" t="s">
        <v>956</v>
      </c>
      <c r="G498" s="26" t="s">
        <v>182</v>
      </c>
      <c r="H498" s="26" t="s">
        <v>440</v>
      </c>
      <c r="I498" s="26" t="s">
        <v>184</v>
      </c>
      <c r="J498" s="26" t="s">
        <v>322</v>
      </c>
      <c r="K498" s="26" t="s">
        <v>186</v>
      </c>
      <c r="L498" s="26" t="s">
        <v>79</v>
      </c>
      <c r="M498" s="26" t="s">
        <v>78</v>
      </c>
      <c r="N498" s="26">
        <v>103</v>
      </c>
      <c r="O498" s="26">
        <v>56</v>
      </c>
      <c r="P498" s="26">
        <v>47</v>
      </c>
      <c r="Q498" s="26">
        <v>7</v>
      </c>
      <c r="R498" s="26">
        <v>1</v>
      </c>
      <c r="S498" s="26">
        <v>18</v>
      </c>
      <c r="T498" s="26">
        <v>10</v>
      </c>
      <c r="U498" s="26">
        <v>29</v>
      </c>
      <c r="V498" s="26">
        <v>1</v>
      </c>
      <c r="W498" s="26"/>
    </row>
    <row r="499" spans="1:23" x14ac:dyDescent="0.25">
      <c r="A499" s="26" t="s">
        <v>53</v>
      </c>
      <c r="B499" s="26" t="s">
        <v>2039</v>
      </c>
      <c r="C499" s="26" t="s">
        <v>2040</v>
      </c>
      <c r="D499" s="26" t="s">
        <v>218</v>
      </c>
      <c r="E499" s="26" t="s">
        <v>2041</v>
      </c>
      <c r="F499" s="26" t="s">
        <v>2042</v>
      </c>
      <c r="G499" s="26" t="s">
        <v>293</v>
      </c>
      <c r="H499" s="26" t="s">
        <v>1506</v>
      </c>
      <c r="I499" s="26" t="s">
        <v>1259</v>
      </c>
      <c r="J499" s="26" t="s">
        <v>696</v>
      </c>
      <c r="K499" s="26" t="s">
        <v>296</v>
      </c>
      <c r="L499" s="26" t="s">
        <v>80</v>
      </c>
      <c r="M499" s="26" t="s">
        <v>78</v>
      </c>
      <c r="N499" s="26">
        <v>22</v>
      </c>
      <c r="O499" s="26">
        <v>14</v>
      </c>
      <c r="P499" s="26">
        <v>8</v>
      </c>
      <c r="Q499" s="26">
        <v>4</v>
      </c>
      <c r="R499" s="26">
        <v>1</v>
      </c>
      <c r="S499" s="26">
        <v>1</v>
      </c>
      <c r="T499" s="26">
        <v>6</v>
      </c>
      <c r="U499" s="26">
        <v>8</v>
      </c>
      <c r="V499" s="26">
        <v>1</v>
      </c>
      <c r="W499" s="26"/>
    </row>
    <row r="500" spans="1:23" x14ac:dyDescent="0.25">
      <c r="A500" s="26" t="s">
        <v>53</v>
      </c>
      <c r="B500" s="26" t="s">
        <v>2043</v>
      </c>
      <c r="C500" s="26" t="s">
        <v>2044</v>
      </c>
      <c r="D500" s="26" t="s">
        <v>179</v>
      </c>
      <c r="E500" s="26" t="s">
        <v>2045</v>
      </c>
      <c r="F500" s="26" t="s">
        <v>482</v>
      </c>
      <c r="G500" s="26" t="s">
        <v>265</v>
      </c>
      <c r="H500" s="26" t="s">
        <v>321</v>
      </c>
      <c r="I500" s="26" t="s">
        <v>184</v>
      </c>
      <c r="J500" s="26" t="s">
        <v>322</v>
      </c>
      <c r="K500" s="26" t="s">
        <v>186</v>
      </c>
      <c r="L500" s="26" t="s">
        <v>79</v>
      </c>
      <c r="M500" s="26" t="s">
        <v>78</v>
      </c>
      <c r="N500" s="26">
        <v>16</v>
      </c>
      <c r="O500" s="26">
        <v>10</v>
      </c>
      <c r="P500" s="26">
        <v>6</v>
      </c>
      <c r="Q500" s="26">
        <v>3</v>
      </c>
      <c r="R500" s="26">
        <v>1</v>
      </c>
      <c r="S500" s="26">
        <v>3</v>
      </c>
      <c r="T500" s="26">
        <v>5</v>
      </c>
      <c r="U500" s="26">
        <v>9</v>
      </c>
      <c r="V500" s="26">
        <v>1</v>
      </c>
      <c r="W500" s="26"/>
    </row>
    <row r="501" spans="1:23" x14ac:dyDescent="0.25">
      <c r="A501" s="26" t="s">
        <v>53</v>
      </c>
      <c r="B501" s="26" t="s">
        <v>2046</v>
      </c>
      <c r="C501" s="26" t="s">
        <v>2047</v>
      </c>
      <c r="D501" s="26" t="s">
        <v>179</v>
      </c>
      <c r="E501" s="26" t="s">
        <v>2048</v>
      </c>
      <c r="F501" s="26" t="s">
        <v>2049</v>
      </c>
      <c r="G501" s="26" t="s">
        <v>191</v>
      </c>
      <c r="H501" s="26" t="s">
        <v>1347</v>
      </c>
      <c r="I501" s="26" t="s">
        <v>184</v>
      </c>
      <c r="J501" s="26" t="s">
        <v>427</v>
      </c>
      <c r="K501" s="26" t="s">
        <v>186</v>
      </c>
      <c r="L501" s="26" t="s">
        <v>79</v>
      </c>
      <c r="M501" s="26" t="s">
        <v>78</v>
      </c>
      <c r="N501" s="26">
        <v>9</v>
      </c>
      <c r="O501" s="26">
        <v>3</v>
      </c>
      <c r="P501" s="26">
        <v>6</v>
      </c>
      <c r="Q501" s="26">
        <v>2</v>
      </c>
      <c r="R501" s="26">
        <v>1</v>
      </c>
      <c r="S501" s="26">
        <v>3</v>
      </c>
      <c r="T501" s="26">
        <v>3</v>
      </c>
      <c r="U501" s="26">
        <v>7</v>
      </c>
      <c r="V501" s="26">
        <v>1</v>
      </c>
      <c r="W501" s="26"/>
    </row>
    <row r="502" spans="1:23" x14ac:dyDescent="0.25">
      <c r="A502" s="26" t="s">
        <v>53</v>
      </c>
      <c r="B502" s="26" t="s">
        <v>2050</v>
      </c>
      <c r="C502" s="26" t="s">
        <v>2051</v>
      </c>
      <c r="D502" s="26" t="s">
        <v>218</v>
      </c>
      <c r="E502" s="26" t="s">
        <v>2052</v>
      </c>
      <c r="F502" s="26" t="s">
        <v>1336</v>
      </c>
      <c r="G502" s="26" t="s">
        <v>210</v>
      </c>
      <c r="H502" s="26" t="s">
        <v>886</v>
      </c>
      <c r="I502" s="26" t="s">
        <v>184</v>
      </c>
      <c r="J502" s="26" t="s">
        <v>322</v>
      </c>
      <c r="K502" s="26" t="s">
        <v>186</v>
      </c>
      <c r="L502" s="26" t="s">
        <v>79</v>
      </c>
      <c r="M502" s="26" t="s">
        <v>78</v>
      </c>
      <c r="N502" s="26">
        <v>142</v>
      </c>
      <c r="O502" s="26">
        <v>58</v>
      </c>
      <c r="P502" s="26">
        <v>84</v>
      </c>
      <c r="Q502" s="26">
        <v>5</v>
      </c>
      <c r="R502" s="26">
        <v>1</v>
      </c>
      <c r="S502" s="26">
        <v>23</v>
      </c>
      <c r="T502" s="26">
        <v>16</v>
      </c>
      <c r="U502" s="26">
        <v>40</v>
      </c>
      <c r="V502" s="26">
        <v>1</v>
      </c>
      <c r="W502" s="26"/>
    </row>
    <row r="503" spans="1:23" x14ac:dyDescent="0.25">
      <c r="A503" s="26" t="s">
        <v>53</v>
      </c>
      <c r="B503" s="26" t="s">
        <v>2053</v>
      </c>
      <c r="C503" s="26" t="s">
        <v>2054</v>
      </c>
      <c r="D503" s="26" t="s">
        <v>179</v>
      </c>
      <c r="E503" s="26" t="s">
        <v>2055</v>
      </c>
      <c r="F503" s="26" t="s">
        <v>2056</v>
      </c>
      <c r="G503" s="26" t="s">
        <v>191</v>
      </c>
      <c r="H503" s="26" t="s">
        <v>1841</v>
      </c>
      <c r="I503" s="26" t="s">
        <v>184</v>
      </c>
      <c r="J503" s="26" t="s">
        <v>427</v>
      </c>
      <c r="K503" s="26" t="s">
        <v>1895</v>
      </c>
      <c r="L503" s="26" t="s">
        <v>79</v>
      </c>
      <c r="M503" s="26" t="s">
        <v>78</v>
      </c>
      <c r="N503" s="26">
        <v>14</v>
      </c>
      <c r="O503" s="26">
        <v>3</v>
      </c>
      <c r="P503" s="26">
        <v>11</v>
      </c>
      <c r="Q503" s="26">
        <v>2</v>
      </c>
      <c r="R503" s="26">
        <v>1</v>
      </c>
      <c r="S503" s="26">
        <v>2</v>
      </c>
      <c r="T503" s="26">
        <v>10</v>
      </c>
      <c r="U503" s="26">
        <v>13</v>
      </c>
      <c r="V503" s="26">
        <v>1</v>
      </c>
      <c r="W503" s="26"/>
    </row>
    <row r="504" spans="1:23" x14ac:dyDescent="0.25">
      <c r="A504" s="26" t="s">
        <v>53</v>
      </c>
      <c r="B504" s="26" t="s">
        <v>2057</v>
      </c>
      <c r="C504" s="26" t="s">
        <v>2058</v>
      </c>
      <c r="D504" s="26" t="s">
        <v>179</v>
      </c>
      <c r="E504" s="26" t="s">
        <v>2059</v>
      </c>
      <c r="F504" s="26" t="s">
        <v>2060</v>
      </c>
      <c r="G504" s="26" t="s">
        <v>226</v>
      </c>
      <c r="H504" s="26" t="s">
        <v>603</v>
      </c>
      <c r="I504" s="26" t="s">
        <v>184</v>
      </c>
      <c r="J504" s="26" t="s">
        <v>427</v>
      </c>
      <c r="K504" s="26" t="s">
        <v>1895</v>
      </c>
      <c r="L504" s="26" t="s">
        <v>79</v>
      </c>
      <c r="M504" s="26" t="s">
        <v>78</v>
      </c>
      <c r="N504" s="26">
        <v>14</v>
      </c>
      <c r="O504" s="26">
        <v>9</v>
      </c>
      <c r="P504" s="26">
        <v>5</v>
      </c>
      <c r="Q504" s="26">
        <v>2</v>
      </c>
      <c r="R504" s="26">
        <v>1</v>
      </c>
      <c r="S504" s="26">
        <v>2</v>
      </c>
      <c r="T504" s="26">
        <v>0</v>
      </c>
      <c r="U504" s="26">
        <v>3</v>
      </c>
      <c r="V504" s="26">
        <v>1</v>
      </c>
      <c r="W504" s="26"/>
    </row>
    <row r="505" spans="1:23" x14ac:dyDescent="0.25">
      <c r="A505" s="26" t="s">
        <v>53</v>
      </c>
      <c r="B505" s="26" t="s">
        <v>2061</v>
      </c>
      <c r="C505" s="26" t="s">
        <v>2062</v>
      </c>
      <c r="D505" s="26" t="s">
        <v>179</v>
      </c>
      <c r="E505" s="26" t="s">
        <v>2063</v>
      </c>
      <c r="F505" s="26" t="s">
        <v>577</v>
      </c>
      <c r="G505" s="26" t="s">
        <v>278</v>
      </c>
      <c r="H505" s="26" t="s">
        <v>578</v>
      </c>
      <c r="I505" s="26" t="s">
        <v>184</v>
      </c>
      <c r="J505" s="26" t="s">
        <v>375</v>
      </c>
      <c r="K505" s="26" t="s">
        <v>1895</v>
      </c>
      <c r="L505" s="26" t="s">
        <v>79</v>
      </c>
      <c r="M505" s="26" t="s">
        <v>78</v>
      </c>
      <c r="N505" s="26">
        <v>16</v>
      </c>
      <c r="O505" s="26">
        <v>9</v>
      </c>
      <c r="P505" s="26">
        <v>7</v>
      </c>
      <c r="Q505" s="26">
        <v>3</v>
      </c>
      <c r="R505" s="26">
        <v>1</v>
      </c>
      <c r="S505" s="26">
        <v>3</v>
      </c>
      <c r="T505" s="26">
        <v>5</v>
      </c>
      <c r="U505" s="26">
        <v>9</v>
      </c>
      <c r="V505" s="26">
        <v>1</v>
      </c>
      <c r="W505" s="26"/>
    </row>
    <row r="506" spans="1:23" x14ac:dyDescent="0.25">
      <c r="A506" s="26" t="s">
        <v>53</v>
      </c>
      <c r="B506" s="26" t="s">
        <v>2064</v>
      </c>
      <c r="C506" s="26" t="s">
        <v>2065</v>
      </c>
      <c r="D506" s="26" t="s">
        <v>218</v>
      </c>
      <c r="E506" s="26" t="s">
        <v>2066</v>
      </c>
      <c r="F506" s="26" t="s">
        <v>2067</v>
      </c>
      <c r="G506" s="26" t="s">
        <v>487</v>
      </c>
      <c r="H506" s="26" t="s">
        <v>1307</v>
      </c>
      <c r="I506" s="26" t="s">
        <v>184</v>
      </c>
      <c r="J506" s="26" t="s">
        <v>375</v>
      </c>
      <c r="K506" s="26" t="s">
        <v>186</v>
      </c>
      <c r="L506" s="26" t="s">
        <v>79</v>
      </c>
      <c r="M506" s="26" t="s">
        <v>78</v>
      </c>
      <c r="N506" s="26">
        <v>127</v>
      </c>
      <c r="O506" s="26">
        <v>71</v>
      </c>
      <c r="P506" s="26">
        <v>56</v>
      </c>
      <c r="Q506" s="26">
        <v>5</v>
      </c>
      <c r="R506" s="26">
        <v>1</v>
      </c>
      <c r="S506" s="26">
        <v>26</v>
      </c>
      <c r="T506" s="26">
        <v>14</v>
      </c>
      <c r="U506" s="26">
        <v>41</v>
      </c>
      <c r="V506" s="26">
        <v>1</v>
      </c>
      <c r="W506" s="26"/>
    </row>
    <row r="507" spans="1:23" x14ac:dyDescent="0.25">
      <c r="A507" s="26" t="s">
        <v>53</v>
      </c>
      <c r="B507" s="26" t="s">
        <v>2068</v>
      </c>
      <c r="C507" s="26" t="s">
        <v>2069</v>
      </c>
      <c r="D507" s="26" t="s">
        <v>179</v>
      </c>
      <c r="E507" s="26" t="s">
        <v>2070</v>
      </c>
      <c r="F507" s="26" t="s">
        <v>247</v>
      </c>
      <c r="G507" s="26" t="s">
        <v>198</v>
      </c>
      <c r="H507" s="26" t="s">
        <v>386</v>
      </c>
      <c r="I507" s="26" t="s">
        <v>184</v>
      </c>
      <c r="J507" s="26" t="s">
        <v>375</v>
      </c>
      <c r="K507" s="26" t="s">
        <v>186</v>
      </c>
      <c r="L507" s="26" t="s">
        <v>79</v>
      </c>
      <c r="M507" s="26" t="s">
        <v>78</v>
      </c>
      <c r="N507" s="26">
        <v>41</v>
      </c>
      <c r="O507" s="26">
        <v>19</v>
      </c>
      <c r="P507" s="26">
        <v>22</v>
      </c>
      <c r="Q507" s="26">
        <v>4</v>
      </c>
      <c r="R507" s="26">
        <v>1</v>
      </c>
      <c r="S507" s="26">
        <v>9</v>
      </c>
      <c r="T507" s="26">
        <v>7</v>
      </c>
      <c r="U507" s="26">
        <v>17</v>
      </c>
      <c r="V507" s="26">
        <v>1</v>
      </c>
      <c r="W507" s="26"/>
    </row>
    <row r="508" spans="1:23" x14ac:dyDescent="0.25">
      <c r="A508" s="26" t="s">
        <v>53</v>
      </c>
      <c r="B508" s="26" t="s">
        <v>2071</v>
      </c>
      <c r="C508" s="26" t="s">
        <v>2072</v>
      </c>
      <c r="D508" s="26" t="s">
        <v>179</v>
      </c>
      <c r="E508" s="26" t="s">
        <v>2073</v>
      </c>
      <c r="F508" s="26" t="s">
        <v>1446</v>
      </c>
      <c r="G508" s="26" t="s">
        <v>226</v>
      </c>
      <c r="H508" s="26" t="s">
        <v>603</v>
      </c>
      <c r="I508" s="26" t="s">
        <v>184</v>
      </c>
      <c r="J508" s="26" t="s">
        <v>427</v>
      </c>
      <c r="K508" s="26" t="s">
        <v>186</v>
      </c>
      <c r="L508" s="26" t="s">
        <v>79</v>
      </c>
      <c r="M508" s="26" t="s">
        <v>78</v>
      </c>
      <c r="N508" s="26">
        <v>200</v>
      </c>
      <c r="O508" s="26">
        <v>93</v>
      </c>
      <c r="P508" s="26">
        <v>107</v>
      </c>
      <c r="Q508" s="26">
        <v>9</v>
      </c>
      <c r="R508" s="26">
        <v>1</v>
      </c>
      <c r="S508" s="26">
        <v>36</v>
      </c>
      <c r="T508" s="26">
        <v>17</v>
      </c>
      <c r="U508" s="26">
        <v>54</v>
      </c>
      <c r="V508" s="26">
        <v>1</v>
      </c>
      <c r="W508" s="26"/>
    </row>
    <row r="509" spans="1:23" x14ac:dyDescent="0.25">
      <c r="A509" s="26" t="s">
        <v>53</v>
      </c>
      <c r="B509" s="26" t="s">
        <v>2074</v>
      </c>
      <c r="C509" s="26" t="s">
        <v>2075</v>
      </c>
      <c r="D509" s="26" t="s">
        <v>2076</v>
      </c>
      <c r="E509" s="26" t="s">
        <v>2077</v>
      </c>
      <c r="F509" s="26" t="s">
        <v>2078</v>
      </c>
      <c r="G509" s="26" t="s">
        <v>293</v>
      </c>
      <c r="H509" s="26" t="s">
        <v>1506</v>
      </c>
      <c r="I509" s="26" t="s">
        <v>184</v>
      </c>
      <c r="J509" s="26" t="s">
        <v>1145</v>
      </c>
      <c r="K509" s="26" t="s">
        <v>296</v>
      </c>
      <c r="L509" s="26" t="s">
        <v>80</v>
      </c>
      <c r="M509" s="26" t="s">
        <v>78</v>
      </c>
      <c r="N509" s="26">
        <v>67</v>
      </c>
      <c r="O509" s="26">
        <v>31</v>
      </c>
      <c r="P509" s="26">
        <v>36</v>
      </c>
      <c r="Q509" s="26">
        <v>5</v>
      </c>
      <c r="R509" s="26">
        <v>1</v>
      </c>
      <c r="S509" s="26">
        <v>13</v>
      </c>
      <c r="T509" s="26">
        <v>9</v>
      </c>
      <c r="U509" s="26">
        <v>23</v>
      </c>
      <c r="V509" s="26">
        <v>1</v>
      </c>
      <c r="W509" s="26"/>
    </row>
    <row r="510" spans="1:23" x14ac:dyDescent="0.25">
      <c r="A510" s="26" t="s">
        <v>53</v>
      </c>
      <c r="B510" s="26" t="s">
        <v>2079</v>
      </c>
      <c r="C510" s="26" t="s">
        <v>2080</v>
      </c>
      <c r="D510" s="26" t="s">
        <v>179</v>
      </c>
      <c r="E510" s="26" t="s">
        <v>2081</v>
      </c>
      <c r="F510" s="26" t="s">
        <v>2082</v>
      </c>
      <c r="G510" s="26" t="s">
        <v>676</v>
      </c>
      <c r="H510" s="26" t="s">
        <v>677</v>
      </c>
      <c r="I510" s="26" t="s">
        <v>184</v>
      </c>
      <c r="J510" s="26" t="s">
        <v>375</v>
      </c>
      <c r="K510" s="26" t="s">
        <v>186</v>
      </c>
      <c r="L510" s="26" t="s">
        <v>79</v>
      </c>
      <c r="M510" s="26" t="s">
        <v>78</v>
      </c>
      <c r="N510" s="26">
        <v>23</v>
      </c>
      <c r="O510" s="26">
        <v>12</v>
      </c>
      <c r="P510" s="26">
        <v>11</v>
      </c>
      <c r="Q510" s="26">
        <v>2</v>
      </c>
      <c r="R510" s="26">
        <v>1</v>
      </c>
      <c r="S510" s="26">
        <v>4</v>
      </c>
      <c r="T510" s="26">
        <v>6</v>
      </c>
      <c r="U510" s="26">
        <v>11</v>
      </c>
      <c r="V510" s="26">
        <v>1</v>
      </c>
      <c r="W510" s="26"/>
    </row>
    <row r="511" spans="1:23" x14ac:dyDescent="0.25">
      <c r="A511" s="26" t="s">
        <v>53</v>
      </c>
      <c r="B511" s="26" t="s">
        <v>2083</v>
      </c>
      <c r="C511" s="26" t="s">
        <v>2084</v>
      </c>
      <c r="D511" s="26" t="s">
        <v>218</v>
      </c>
      <c r="E511" s="26" t="s">
        <v>2085</v>
      </c>
      <c r="F511" s="26" t="s">
        <v>1894</v>
      </c>
      <c r="G511" s="26" t="s">
        <v>265</v>
      </c>
      <c r="H511" s="26" t="s">
        <v>359</v>
      </c>
      <c r="I511" s="26" t="s">
        <v>184</v>
      </c>
      <c r="J511" s="26" t="s">
        <v>322</v>
      </c>
      <c r="K511" s="26" t="s">
        <v>186</v>
      </c>
      <c r="L511" s="26" t="s">
        <v>79</v>
      </c>
      <c r="M511" s="26" t="s">
        <v>78</v>
      </c>
      <c r="N511" s="26">
        <v>70</v>
      </c>
      <c r="O511" s="26">
        <v>35</v>
      </c>
      <c r="P511" s="26">
        <v>35</v>
      </c>
      <c r="Q511" s="26">
        <v>6</v>
      </c>
      <c r="R511" s="26">
        <v>1</v>
      </c>
      <c r="S511" s="26">
        <v>13</v>
      </c>
      <c r="T511" s="26">
        <v>8</v>
      </c>
      <c r="U511" s="26">
        <v>22</v>
      </c>
      <c r="V511" s="26">
        <v>1</v>
      </c>
      <c r="W511" s="26"/>
    </row>
    <row r="512" spans="1:23" x14ac:dyDescent="0.25">
      <c r="A512" s="26" t="s">
        <v>53</v>
      </c>
      <c r="B512" s="26" t="s">
        <v>2086</v>
      </c>
      <c r="C512" s="26" t="s">
        <v>2087</v>
      </c>
      <c r="D512" s="26" t="s">
        <v>179</v>
      </c>
      <c r="E512" s="26" t="s">
        <v>2088</v>
      </c>
      <c r="F512" s="26" t="s">
        <v>2089</v>
      </c>
      <c r="G512" s="26" t="s">
        <v>265</v>
      </c>
      <c r="H512" s="26" t="s">
        <v>445</v>
      </c>
      <c r="I512" s="26" t="s">
        <v>184</v>
      </c>
      <c r="J512" s="26" t="s">
        <v>322</v>
      </c>
      <c r="K512" s="26" t="s">
        <v>186</v>
      </c>
      <c r="L512" s="26" t="s">
        <v>79</v>
      </c>
      <c r="M512" s="26" t="s">
        <v>78</v>
      </c>
      <c r="N512" s="26">
        <v>24</v>
      </c>
      <c r="O512" s="26">
        <v>13</v>
      </c>
      <c r="P512" s="26">
        <v>11</v>
      </c>
      <c r="Q512" s="26">
        <v>3</v>
      </c>
      <c r="R512" s="26">
        <v>1</v>
      </c>
      <c r="S512" s="26">
        <v>4</v>
      </c>
      <c r="T512" s="26">
        <v>2</v>
      </c>
      <c r="U512" s="26">
        <v>7</v>
      </c>
      <c r="V512" s="26">
        <v>1</v>
      </c>
      <c r="W512" s="26"/>
    </row>
    <row r="513" spans="1:23" x14ac:dyDescent="0.25">
      <c r="A513" s="26" t="s">
        <v>53</v>
      </c>
      <c r="B513" s="26" t="s">
        <v>2090</v>
      </c>
      <c r="C513" s="26" t="s">
        <v>2091</v>
      </c>
      <c r="D513" s="26" t="s">
        <v>218</v>
      </c>
      <c r="E513" s="26" t="s">
        <v>2092</v>
      </c>
      <c r="F513" s="26" t="s">
        <v>247</v>
      </c>
      <c r="G513" s="26" t="s">
        <v>198</v>
      </c>
      <c r="H513" s="26" t="s">
        <v>386</v>
      </c>
      <c r="I513" s="26" t="s">
        <v>184</v>
      </c>
      <c r="J513" s="26" t="s">
        <v>375</v>
      </c>
      <c r="K513" s="26" t="s">
        <v>186</v>
      </c>
      <c r="L513" s="26" t="s">
        <v>79</v>
      </c>
      <c r="M513" s="26" t="s">
        <v>78</v>
      </c>
      <c r="N513" s="26">
        <v>15</v>
      </c>
      <c r="O513" s="26">
        <v>7</v>
      </c>
      <c r="P513" s="26">
        <v>8</v>
      </c>
      <c r="Q513" s="26">
        <v>2</v>
      </c>
      <c r="R513" s="26">
        <v>1</v>
      </c>
      <c r="S513" s="26">
        <v>4</v>
      </c>
      <c r="T513" s="26">
        <v>4</v>
      </c>
      <c r="U513" s="26">
        <v>9</v>
      </c>
      <c r="V513" s="26">
        <v>1</v>
      </c>
      <c r="W513" s="26"/>
    </row>
    <row r="514" spans="1:23" x14ac:dyDescent="0.25">
      <c r="A514" s="26" t="s">
        <v>53</v>
      </c>
      <c r="B514" s="26" t="s">
        <v>2093</v>
      </c>
      <c r="C514" s="26" t="s">
        <v>2094</v>
      </c>
      <c r="D514" s="26" t="s">
        <v>179</v>
      </c>
      <c r="E514" s="26" t="s">
        <v>2095</v>
      </c>
      <c r="F514" s="26" t="s">
        <v>239</v>
      </c>
      <c r="G514" s="26" t="s">
        <v>198</v>
      </c>
      <c r="H514" s="26" t="s">
        <v>431</v>
      </c>
      <c r="I514" s="26" t="s">
        <v>184</v>
      </c>
      <c r="J514" s="26" t="s">
        <v>375</v>
      </c>
      <c r="K514" s="26" t="s">
        <v>186</v>
      </c>
      <c r="L514" s="26" t="s">
        <v>79</v>
      </c>
      <c r="M514" s="26" t="s">
        <v>78</v>
      </c>
      <c r="N514" s="26">
        <v>13</v>
      </c>
      <c r="O514" s="26">
        <v>7</v>
      </c>
      <c r="P514" s="26">
        <v>6</v>
      </c>
      <c r="Q514" s="26">
        <v>2</v>
      </c>
      <c r="R514" s="26">
        <v>1</v>
      </c>
      <c r="S514" s="26">
        <v>4</v>
      </c>
      <c r="T514" s="26">
        <v>3</v>
      </c>
      <c r="U514" s="26">
        <v>8</v>
      </c>
      <c r="V514" s="26">
        <v>1</v>
      </c>
      <c r="W514" s="26"/>
    </row>
    <row r="515" spans="1:23" x14ac:dyDescent="0.25">
      <c r="A515" s="26" t="s">
        <v>53</v>
      </c>
      <c r="B515" s="26" t="s">
        <v>2096</v>
      </c>
      <c r="C515" s="26" t="s">
        <v>2097</v>
      </c>
      <c r="D515" s="26" t="s">
        <v>218</v>
      </c>
      <c r="E515" s="26" t="s">
        <v>2098</v>
      </c>
      <c r="F515" s="26" t="s">
        <v>2099</v>
      </c>
      <c r="G515" s="26" t="s">
        <v>210</v>
      </c>
      <c r="H515" s="26" t="s">
        <v>332</v>
      </c>
      <c r="I515" s="26" t="s">
        <v>184</v>
      </c>
      <c r="J515" s="26" t="s">
        <v>322</v>
      </c>
      <c r="K515" s="26" t="s">
        <v>186</v>
      </c>
      <c r="L515" s="26" t="s">
        <v>79</v>
      </c>
      <c r="M515" s="26" t="s">
        <v>78</v>
      </c>
      <c r="N515" s="26">
        <v>79</v>
      </c>
      <c r="O515" s="26">
        <v>37</v>
      </c>
      <c r="P515" s="26">
        <v>42</v>
      </c>
      <c r="Q515" s="26">
        <v>3</v>
      </c>
      <c r="R515" s="26">
        <v>1</v>
      </c>
      <c r="S515" s="26">
        <v>13</v>
      </c>
      <c r="T515" s="26">
        <v>8</v>
      </c>
      <c r="U515" s="26">
        <v>22</v>
      </c>
      <c r="V515" s="26">
        <v>1</v>
      </c>
      <c r="W515" s="26"/>
    </row>
    <row r="516" spans="1:23" x14ac:dyDescent="0.25">
      <c r="A516" s="26" t="s">
        <v>53</v>
      </c>
      <c r="B516" s="26" t="s">
        <v>2100</v>
      </c>
      <c r="C516" s="26" t="s">
        <v>2101</v>
      </c>
      <c r="D516" s="26" t="s">
        <v>218</v>
      </c>
      <c r="E516" s="26" t="s">
        <v>2102</v>
      </c>
      <c r="F516" s="26" t="s">
        <v>2103</v>
      </c>
      <c r="G516" s="26" t="s">
        <v>210</v>
      </c>
      <c r="H516" s="26" t="s">
        <v>365</v>
      </c>
      <c r="I516" s="26" t="s">
        <v>184</v>
      </c>
      <c r="J516" s="26" t="s">
        <v>322</v>
      </c>
      <c r="K516" s="26" t="s">
        <v>186</v>
      </c>
      <c r="L516" s="26" t="s">
        <v>79</v>
      </c>
      <c r="M516" s="26" t="s">
        <v>78</v>
      </c>
      <c r="N516" s="26">
        <v>116</v>
      </c>
      <c r="O516" s="26">
        <v>48</v>
      </c>
      <c r="P516" s="26">
        <v>68</v>
      </c>
      <c r="Q516" s="26">
        <v>6</v>
      </c>
      <c r="R516" s="26">
        <v>1</v>
      </c>
      <c r="S516" s="26">
        <v>23</v>
      </c>
      <c r="T516" s="26">
        <v>10</v>
      </c>
      <c r="U516" s="26">
        <v>34</v>
      </c>
      <c r="V516" s="26">
        <v>1</v>
      </c>
      <c r="W516" s="26"/>
    </row>
    <row r="517" spans="1:23" x14ac:dyDescent="0.25">
      <c r="A517" s="26" t="s">
        <v>53</v>
      </c>
      <c r="B517" s="26" t="s">
        <v>2104</v>
      </c>
      <c r="C517" s="26" t="s">
        <v>2105</v>
      </c>
      <c r="D517" s="26" t="s">
        <v>179</v>
      </c>
      <c r="E517" s="26" t="s">
        <v>2106</v>
      </c>
      <c r="F517" s="26" t="s">
        <v>2107</v>
      </c>
      <c r="G517" s="26" t="s">
        <v>226</v>
      </c>
      <c r="H517" s="26" t="s">
        <v>833</v>
      </c>
      <c r="I517" s="26" t="s">
        <v>184</v>
      </c>
      <c r="J517" s="26" t="s">
        <v>427</v>
      </c>
      <c r="K517" s="26" t="s">
        <v>186</v>
      </c>
      <c r="L517" s="26" t="s">
        <v>79</v>
      </c>
      <c r="M517" s="26" t="s">
        <v>78</v>
      </c>
      <c r="N517" s="26">
        <v>107</v>
      </c>
      <c r="O517" s="26">
        <v>58</v>
      </c>
      <c r="P517" s="26">
        <v>49</v>
      </c>
      <c r="Q517" s="26">
        <v>6</v>
      </c>
      <c r="R517" s="26">
        <v>1</v>
      </c>
      <c r="S517" s="26">
        <v>24</v>
      </c>
      <c r="T517" s="26">
        <v>13</v>
      </c>
      <c r="U517" s="26">
        <v>38</v>
      </c>
      <c r="V517" s="26">
        <v>1</v>
      </c>
      <c r="W517" s="26"/>
    </row>
    <row r="518" spans="1:23" x14ac:dyDescent="0.25">
      <c r="A518" s="26" t="s">
        <v>53</v>
      </c>
      <c r="B518" s="26" t="s">
        <v>2108</v>
      </c>
      <c r="C518" s="26" t="s">
        <v>2109</v>
      </c>
      <c r="D518" s="26" t="s">
        <v>179</v>
      </c>
      <c r="E518" s="26" t="s">
        <v>2110</v>
      </c>
      <c r="F518" s="26" t="s">
        <v>827</v>
      </c>
      <c r="G518" s="26" t="s">
        <v>226</v>
      </c>
      <c r="H518" s="26" t="s">
        <v>828</v>
      </c>
      <c r="I518" s="26" t="s">
        <v>184</v>
      </c>
      <c r="J518" s="26" t="s">
        <v>427</v>
      </c>
      <c r="K518" s="26" t="s">
        <v>186</v>
      </c>
      <c r="L518" s="26" t="s">
        <v>79</v>
      </c>
      <c r="M518" s="26" t="s">
        <v>78</v>
      </c>
      <c r="N518" s="26">
        <v>117</v>
      </c>
      <c r="O518" s="26">
        <v>64</v>
      </c>
      <c r="P518" s="26">
        <v>53</v>
      </c>
      <c r="Q518" s="26">
        <v>6</v>
      </c>
      <c r="R518" s="26">
        <v>1</v>
      </c>
      <c r="S518" s="26">
        <v>25</v>
      </c>
      <c r="T518" s="26">
        <v>11</v>
      </c>
      <c r="U518" s="26">
        <v>37</v>
      </c>
      <c r="V518" s="26">
        <v>1</v>
      </c>
      <c r="W518" s="26"/>
    </row>
    <row r="519" spans="1:23" x14ac:dyDescent="0.25">
      <c r="A519" s="26" t="s">
        <v>53</v>
      </c>
      <c r="B519" s="26" t="s">
        <v>2111</v>
      </c>
      <c r="C519" s="26" t="s">
        <v>2112</v>
      </c>
      <c r="D519" s="26" t="s">
        <v>179</v>
      </c>
      <c r="E519" s="26" t="s">
        <v>2113</v>
      </c>
      <c r="F519" s="26" t="s">
        <v>2114</v>
      </c>
      <c r="G519" s="26" t="s">
        <v>487</v>
      </c>
      <c r="H519" s="26" t="s">
        <v>294</v>
      </c>
      <c r="I519" s="26" t="s">
        <v>184</v>
      </c>
      <c r="J519" s="26" t="s">
        <v>375</v>
      </c>
      <c r="K519" s="26" t="s">
        <v>1895</v>
      </c>
      <c r="L519" s="26" t="s">
        <v>79</v>
      </c>
      <c r="M519" s="26" t="s">
        <v>78</v>
      </c>
      <c r="N519" s="26">
        <v>32</v>
      </c>
      <c r="O519" s="26">
        <v>21</v>
      </c>
      <c r="P519" s="26">
        <v>11</v>
      </c>
      <c r="Q519" s="26">
        <v>3</v>
      </c>
      <c r="R519" s="26">
        <v>1</v>
      </c>
      <c r="S519" s="26">
        <v>8</v>
      </c>
      <c r="T519" s="26">
        <v>13</v>
      </c>
      <c r="U519" s="26">
        <v>22</v>
      </c>
      <c r="V519" s="26">
        <v>1</v>
      </c>
      <c r="W519" s="26"/>
    </row>
    <row r="520" spans="1:23" x14ac:dyDescent="0.25">
      <c r="A520" s="26" t="s">
        <v>53</v>
      </c>
      <c r="B520" s="26" t="s">
        <v>2115</v>
      </c>
      <c r="C520" s="26" t="s">
        <v>2116</v>
      </c>
      <c r="D520" s="26" t="s">
        <v>179</v>
      </c>
      <c r="E520" s="26" t="s">
        <v>2117</v>
      </c>
      <c r="F520" s="26" t="s">
        <v>2118</v>
      </c>
      <c r="G520" s="26" t="s">
        <v>487</v>
      </c>
      <c r="H520" s="26" t="s">
        <v>926</v>
      </c>
      <c r="I520" s="26" t="s">
        <v>184</v>
      </c>
      <c r="J520" s="26" t="s">
        <v>375</v>
      </c>
      <c r="K520" s="26" t="s">
        <v>1895</v>
      </c>
      <c r="L520" s="26" t="s">
        <v>79</v>
      </c>
      <c r="M520" s="26" t="s">
        <v>78</v>
      </c>
      <c r="N520" s="26">
        <v>5</v>
      </c>
      <c r="O520" s="26">
        <v>3</v>
      </c>
      <c r="P520" s="26">
        <v>2</v>
      </c>
      <c r="Q520" s="26">
        <v>1</v>
      </c>
      <c r="R520" s="26">
        <v>1</v>
      </c>
      <c r="S520" s="26">
        <v>1</v>
      </c>
      <c r="T520" s="26">
        <v>1</v>
      </c>
      <c r="U520" s="26">
        <v>3</v>
      </c>
      <c r="V520" s="26">
        <v>1</v>
      </c>
      <c r="W520" s="26"/>
    </row>
    <row r="521" spans="1:23" x14ac:dyDescent="0.25">
      <c r="A521" s="26" t="s">
        <v>53</v>
      </c>
      <c r="B521" s="26" t="s">
        <v>2119</v>
      </c>
      <c r="C521" s="26" t="s">
        <v>2120</v>
      </c>
      <c r="D521" s="26" t="s">
        <v>179</v>
      </c>
      <c r="E521" s="26" t="s">
        <v>2121</v>
      </c>
      <c r="F521" s="26" t="s">
        <v>2089</v>
      </c>
      <c r="G521" s="26" t="s">
        <v>265</v>
      </c>
      <c r="H521" s="26" t="s">
        <v>321</v>
      </c>
      <c r="I521" s="26" t="s">
        <v>184</v>
      </c>
      <c r="J521" s="26" t="s">
        <v>322</v>
      </c>
      <c r="K521" s="26" t="s">
        <v>186</v>
      </c>
      <c r="L521" s="26" t="s">
        <v>79</v>
      </c>
      <c r="M521" s="26" t="s">
        <v>78</v>
      </c>
      <c r="N521" s="26">
        <v>76</v>
      </c>
      <c r="O521" s="26">
        <v>27</v>
      </c>
      <c r="P521" s="26">
        <v>49</v>
      </c>
      <c r="Q521" s="26">
        <v>5</v>
      </c>
      <c r="R521" s="26">
        <v>1</v>
      </c>
      <c r="S521" s="26">
        <v>23</v>
      </c>
      <c r="T521" s="26">
        <v>9</v>
      </c>
      <c r="U521" s="26">
        <v>33</v>
      </c>
      <c r="V521" s="26">
        <v>1</v>
      </c>
      <c r="W521" s="26"/>
    </row>
    <row r="522" spans="1:23" x14ac:dyDescent="0.25">
      <c r="A522" s="26" t="s">
        <v>53</v>
      </c>
      <c r="B522" s="26" t="s">
        <v>2122</v>
      </c>
      <c r="C522" s="26" t="s">
        <v>2123</v>
      </c>
      <c r="D522" s="26" t="s">
        <v>179</v>
      </c>
      <c r="E522" s="26" t="s">
        <v>2124</v>
      </c>
      <c r="F522" s="26" t="s">
        <v>2125</v>
      </c>
      <c r="G522" s="26" t="s">
        <v>487</v>
      </c>
      <c r="H522" s="26" t="s">
        <v>926</v>
      </c>
      <c r="I522" s="26" t="s">
        <v>184</v>
      </c>
      <c r="J522" s="26" t="s">
        <v>375</v>
      </c>
      <c r="K522" s="26" t="s">
        <v>186</v>
      </c>
      <c r="L522" s="26" t="s">
        <v>79</v>
      </c>
      <c r="M522" s="26" t="s">
        <v>78</v>
      </c>
      <c r="N522" s="26">
        <v>4</v>
      </c>
      <c r="O522" s="26">
        <v>2</v>
      </c>
      <c r="P522" s="26">
        <v>2</v>
      </c>
      <c r="Q522" s="26">
        <v>1</v>
      </c>
      <c r="R522" s="26">
        <v>1</v>
      </c>
      <c r="S522" s="26">
        <v>1</v>
      </c>
      <c r="T522" s="26">
        <v>1</v>
      </c>
      <c r="U522" s="26">
        <v>3</v>
      </c>
      <c r="V522" s="26">
        <v>1</v>
      </c>
      <c r="W522" s="26"/>
    </row>
    <row r="523" spans="1:23" x14ac:dyDescent="0.25">
      <c r="A523" s="26" t="s">
        <v>53</v>
      </c>
      <c r="B523" s="26" t="s">
        <v>2126</v>
      </c>
      <c r="C523" s="26" t="s">
        <v>2127</v>
      </c>
      <c r="D523" s="26" t="s">
        <v>179</v>
      </c>
      <c r="E523" s="26" t="s">
        <v>2128</v>
      </c>
      <c r="F523" s="26" t="s">
        <v>2114</v>
      </c>
      <c r="G523" s="26" t="s">
        <v>487</v>
      </c>
      <c r="H523" s="26" t="s">
        <v>294</v>
      </c>
      <c r="I523" s="26" t="s">
        <v>184</v>
      </c>
      <c r="J523" s="26" t="s">
        <v>375</v>
      </c>
      <c r="K523" s="26" t="s">
        <v>186</v>
      </c>
      <c r="L523" s="26" t="s">
        <v>79</v>
      </c>
      <c r="M523" s="26" t="s">
        <v>78</v>
      </c>
      <c r="N523" s="26">
        <v>75</v>
      </c>
      <c r="O523" s="26">
        <v>44</v>
      </c>
      <c r="P523" s="26">
        <v>31</v>
      </c>
      <c r="Q523" s="26">
        <v>5</v>
      </c>
      <c r="R523" s="26">
        <v>1</v>
      </c>
      <c r="S523" s="26">
        <v>19</v>
      </c>
      <c r="T523" s="26">
        <v>12</v>
      </c>
      <c r="U523" s="26">
        <v>32</v>
      </c>
      <c r="V523" s="26">
        <v>1</v>
      </c>
      <c r="W523" s="26"/>
    </row>
    <row r="524" spans="1:23" x14ac:dyDescent="0.25">
      <c r="A524" s="26" t="s">
        <v>53</v>
      </c>
      <c r="B524" s="26" t="s">
        <v>2129</v>
      </c>
      <c r="C524" s="26" t="s">
        <v>2130</v>
      </c>
      <c r="D524" s="26" t="s">
        <v>179</v>
      </c>
      <c r="E524" s="26" t="s">
        <v>2131</v>
      </c>
      <c r="F524" s="26" t="s">
        <v>260</v>
      </c>
      <c r="G524" s="26" t="s">
        <v>198</v>
      </c>
      <c r="H524" s="26" t="s">
        <v>431</v>
      </c>
      <c r="I524" s="26" t="s">
        <v>184</v>
      </c>
      <c r="J524" s="26" t="s">
        <v>375</v>
      </c>
      <c r="K524" s="26" t="s">
        <v>186</v>
      </c>
      <c r="L524" s="26" t="s">
        <v>79</v>
      </c>
      <c r="M524" s="26" t="s">
        <v>78</v>
      </c>
      <c r="N524" s="26">
        <v>95</v>
      </c>
      <c r="O524" s="26">
        <v>36</v>
      </c>
      <c r="P524" s="26">
        <v>59</v>
      </c>
      <c r="Q524" s="26">
        <v>5</v>
      </c>
      <c r="R524" s="26">
        <v>1</v>
      </c>
      <c r="S524" s="26">
        <v>24</v>
      </c>
      <c r="T524" s="26">
        <v>12</v>
      </c>
      <c r="U524" s="26">
        <v>37</v>
      </c>
      <c r="V524" s="26">
        <v>1</v>
      </c>
      <c r="W524" s="26"/>
    </row>
    <row r="525" spans="1:23" x14ac:dyDescent="0.25">
      <c r="A525" s="26" t="s">
        <v>53</v>
      </c>
      <c r="B525" s="26" t="s">
        <v>2132</v>
      </c>
      <c r="C525" s="26" t="s">
        <v>2133</v>
      </c>
      <c r="D525" s="26" t="s">
        <v>179</v>
      </c>
      <c r="E525" s="26" t="s">
        <v>2134</v>
      </c>
      <c r="F525" s="26" t="s">
        <v>724</v>
      </c>
      <c r="G525" s="26" t="s">
        <v>198</v>
      </c>
      <c r="H525" s="26" t="s">
        <v>403</v>
      </c>
      <c r="I525" s="26" t="s">
        <v>184</v>
      </c>
      <c r="J525" s="26" t="s">
        <v>375</v>
      </c>
      <c r="K525" s="26" t="s">
        <v>186</v>
      </c>
      <c r="L525" s="26" t="s">
        <v>79</v>
      </c>
      <c r="M525" s="26" t="s">
        <v>78</v>
      </c>
      <c r="N525" s="26">
        <v>37</v>
      </c>
      <c r="O525" s="26">
        <v>19</v>
      </c>
      <c r="P525" s="26">
        <v>18</v>
      </c>
      <c r="Q525" s="26">
        <v>4</v>
      </c>
      <c r="R525" s="26">
        <v>1</v>
      </c>
      <c r="S525" s="26">
        <v>7</v>
      </c>
      <c r="T525" s="26">
        <v>2</v>
      </c>
      <c r="U525" s="26">
        <v>10</v>
      </c>
      <c r="V525" s="26">
        <v>1</v>
      </c>
      <c r="W525" s="26"/>
    </row>
    <row r="526" spans="1:23" x14ac:dyDescent="0.25">
      <c r="A526" s="26" t="s">
        <v>53</v>
      </c>
      <c r="B526" s="26" t="s">
        <v>2135</v>
      </c>
      <c r="C526" s="26" t="s">
        <v>2136</v>
      </c>
      <c r="D526" s="26" t="s">
        <v>179</v>
      </c>
      <c r="E526" s="26" t="s">
        <v>2137</v>
      </c>
      <c r="F526" s="26" t="s">
        <v>2138</v>
      </c>
      <c r="G526" s="26" t="s">
        <v>198</v>
      </c>
      <c r="H526" s="26" t="s">
        <v>403</v>
      </c>
      <c r="I526" s="26" t="s">
        <v>184</v>
      </c>
      <c r="J526" s="26" t="s">
        <v>375</v>
      </c>
      <c r="K526" s="26" t="s">
        <v>186</v>
      </c>
      <c r="L526" s="26" t="s">
        <v>79</v>
      </c>
      <c r="M526" s="26" t="s">
        <v>78</v>
      </c>
      <c r="N526" s="26">
        <v>12</v>
      </c>
      <c r="O526" s="26">
        <v>6</v>
      </c>
      <c r="P526" s="26">
        <v>6</v>
      </c>
      <c r="Q526" s="26">
        <v>3</v>
      </c>
      <c r="R526" s="26">
        <v>1</v>
      </c>
      <c r="S526" s="26">
        <v>4</v>
      </c>
      <c r="T526" s="26">
        <v>6</v>
      </c>
      <c r="U526" s="26">
        <v>11</v>
      </c>
      <c r="V526" s="26">
        <v>1</v>
      </c>
      <c r="W526" s="26"/>
    </row>
    <row r="527" spans="1:23" x14ac:dyDescent="0.25">
      <c r="A527" s="26" t="s">
        <v>53</v>
      </c>
      <c r="B527" s="26" t="s">
        <v>2139</v>
      </c>
      <c r="C527" s="26" t="s">
        <v>2140</v>
      </c>
      <c r="D527" s="26" t="s">
        <v>218</v>
      </c>
      <c r="E527" s="26" t="s">
        <v>2141</v>
      </c>
      <c r="F527" s="26" t="s">
        <v>978</v>
      </c>
      <c r="G527" s="26" t="s">
        <v>182</v>
      </c>
      <c r="H527" s="26" t="s">
        <v>421</v>
      </c>
      <c r="I527" s="26" t="s">
        <v>184</v>
      </c>
      <c r="J527" s="26" t="s">
        <v>322</v>
      </c>
      <c r="K527" s="26" t="s">
        <v>186</v>
      </c>
      <c r="L527" s="26" t="s">
        <v>79</v>
      </c>
      <c r="M527" s="26" t="s">
        <v>78</v>
      </c>
      <c r="N527" s="26">
        <v>146</v>
      </c>
      <c r="O527" s="26">
        <v>76</v>
      </c>
      <c r="P527" s="26">
        <v>70</v>
      </c>
      <c r="Q527" s="26">
        <v>6</v>
      </c>
      <c r="R527" s="26">
        <v>1</v>
      </c>
      <c r="S527" s="26">
        <v>24</v>
      </c>
      <c r="T527" s="26">
        <v>13</v>
      </c>
      <c r="U527" s="26">
        <v>38</v>
      </c>
      <c r="V527" s="26">
        <v>1</v>
      </c>
      <c r="W527" s="26"/>
    </row>
    <row r="528" spans="1:23" x14ac:dyDescent="0.25">
      <c r="A528" s="26" t="s">
        <v>53</v>
      </c>
      <c r="B528" s="26" t="s">
        <v>2142</v>
      </c>
      <c r="C528" s="26" t="s">
        <v>2143</v>
      </c>
      <c r="D528" s="26" t="s">
        <v>179</v>
      </c>
      <c r="E528" s="26" t="s">
        <v>2144</v>
      </c>
      <c r="F528" s="26" t="s">
        <v>2145</v>
      </c>
      <c r="G528" s="26" t="s">
        <v>210</v>
      </c>
      <c r="H528" s="26" t="s">
        <v>881</v>
      </c>
      <c r="I528" s="26" t="s">
        <v>184</v>
      </c>
      <c r="J528" s="26" t="s">
        <v>322</v>
      </c>
      <c r="K528" s="26" t="s">
        <v>186</v>
      </c>
      <c r="L528" s="26" t="s">
        <v>79</v>
      </c>
      <c r="M528" s="26" t="s">
        <v>78</v>
      </c>
      <c r="N528" s="26">
        <v>7</v>
      </c>
      <c r="O528" s="26">
        <v>1</v>
      </c>
      <c r="P528" s="26">
        <v>6</v>
      </c>
      <c r="Q528" s="26">
        <v>1</v>
      </c>
      <c r="R528" s="26">
        <v>1</v>
      </c>
      <c r="S528" s="26">
        <v>1</v>
      </c>
      <c r="T528" s="26">
        <v>1</v>
      </c>
      <c r="U528" s="26">
        <v>3</v>
      </c>
      <c r="V528" s="26">
        <v>1</v>
      </c>
      <c r="W528" s="26"/>
    </row>
    <row r="529" spans="1:23" x14ac:dyDescent="0.25">
      <c r="A529" s="26" t="s">
        <v>53</v>
      </c>
      <c r="B529" s="26" t="s">
        <v>2146</v>
      </c>
      <c r="C529" s="26" t="s">
        <v>2147</v>
      </c>
      <c r="D529" s="26" t="s">
        <v>179</v>
      </c>
      <c r="E529" s="26" t="s">
        <v>2148</v>
      </c>
      <c r="F529" s="26" t="s">
        <v>800</v>
      </c>
      <c r="G529" s="26" t="s">
        <v>413</v>
      </c>
      <c r="H529" s="26" t="s">
        <v>495</v>
      </c>
      <c r="I529" s="26" t="s">
        <v>184</v>
      </c>
      <c r="J529" s="26" t="s">
        <v>375</v>
      </c>
      <c r="K529" s="26" t="s">
        <v>186</v>
      </c>
      <c r="L529" s="26" t="s">
        <v>79</v>
      </c>
      <c r="M529" s="26" t="s">
        <v>78</v>
      </c>
      <c r="N529" s="26">
        <v>32</v>
      </c>
      <c r="O529" s="26">
        <v>14</v>
      </c>
      <c r="P529" s="26">
        <v>18</v>
      </c>
      <c r="Q529" s="26">
        <v>3</v>
      </c>
      <c r="R529" s="26">
        <v>1</v>
      </c>
      <c r="S529" s="26">
        <v>7</v>
      </c>
      <c r="T529" s="26">
        <v>6</v>
      </c>
      <c r="U529" s="26">
        <v>14</v>
      </c>
      <c r="V529" s="26">
        <v>1</v>
      </c>
      <c r="W529" s="26"/>
    </row>
    <row r="530" spans="1:23" x14ac:dyDescent="0.25">
      <c r="A530" s="26" t="s">
        <v>53</v>
      </c>
      <c r="B530" s="26" t="s">
        <v>2149</v>
      </c>
      <c r="C530" s="26" t="s">
        <v>2150</v>
      </c>
      <c r="D530" s="26" t="s">
        <v>179</v>
      </c>
      <c r="E530" s="26" t="s">
        <v>2151</v>
      </c>
      <c r="F530" s="26" t="s">
        <v>800</v>
      </c>
      <c r="G530" s="26" t="s">
        <v>413</v>
      </c>
      <c r="H530" s="26" t="s">
        <v>495</v>
      </c>
      <c r="I530" s="26" t="s">
        <v>184</v>
      </c>
      <c r="J530" s="26" t="s">
        <v>375</v>
      </c>
      <c r="K530" s="26" t="s">
        <v>186</v>
      </c>
      <c r="L530" s="26" t="s">
        <v>79</v>
      </c>
      <c r="M530" s="26" t="s">
        <v>78</v>
      </c>
      <c r="N530" s="26">
        <v>6</v>
      </c>
      <c r="O530" s="26">
        <v>4</v>
      </c>
      <c r="P530" s="26">
        <v>2</v>
      </c>
      <c r="Q530" s="26">
        <v>1</v>
      </c>
      <c r="R530" s="26">
        <v>1</v>
      </c>
      <c r="S530" s="26">
        <v>1</v>
      </c>
      <c r="T530" s="26">
        <v>2</v>
      </c>
      <c r="U530" s="26">
        <v>4</v>
      </c>
      <c r="V530" s="26">
        <v>1</v>
      </c>
      <c r="W530" s="26"/>
    </row>
    <row r="531" spans="1:23" x14ac:dyDescent="0.25">
      <c r="A531" s="26" t="s">
        <v>53</v>
      </c>
      <c r="B531" s="26" t="s">
        <v>2152</v>
      </c>
      <c r="C531" s="26" t="s">
        <v>2153</v>
      </c>
      <c r="D531" s="26" t="s">
        <v>179</v>
      </c>
      <c r="E531" s="26" t="s">
        <v>2154</v>
      </c>
      <c r="F531" s="26" t="s">
        <v>1248</v>
      </c>
      <c r="G531" s="26" t="s">
        <v>252</v>
      </c>
      <c r="H531" s="26" t="s">
        <v>1249</v>
      </c>
      <c r="I531" s="26" t="s">
        <v>184</v>
      </c>
      <c r="J531" s="26" t="s">
        <v>427</v>
      </c>
      <c r="K531" s="26" t="s">
        <v>186</v>
      </c>
      <c r="L531" s="26" t="s">
        <v>79</v>
      </c>
      <c r="M531" s="26" t="s">
        <v>78</v>
      </c>
      <c r="N531" s="26">
        <v>7</v>
      </c>
      <c r="O531" s="26">
        <v>3</v>
      </c>
      <c r="P531" s="26">
        <v>4</v>
      </c>
      <c r="Q531" s="26">
        <v>1</v>
      </c>
      <c r="R531" s="26">
        <v>1</v>
      </c>
      <c r="S531" s="26">
        <v>2</v>
      </c>
      <c r="T531" s="26">
        <v>2</v>
      </c>
      <c r="U531" s="26">
        <v>5</v>
      </c>
      <c r="V531" s="26">
        <v>1</v>
      </c>
      <c r="W531" s="26"/>
    </row>
    <row r="532" spans="1:23" x14ac:dyDescent="0.25">
      <c r="A532" s="26" t="s">
        <v>53</v>
      </c>
      <c r="B532" s="26" t="s">
        <v>2155</v>
      </c>
      <c r="C532" s="26" t="s">
        <v>2156</v>
      </c>
      <c r="D532" s="26" t="s">
        <v>218</v>
      </c>
      <c r="E532" s="26" t="s">
        <v>2157</v>
      </c>
      <c r="F532" s="26" t="s">
        <v>2158</v>
      </c>
      <c r="G532" s="26" t="s">
        <v>637</v>
      </c>
      <c r="H532" s="26" t="s">
        <v>638</v>
      </c>
      <c r="I532" s="26" t="s">
        <v>184</v>
      </c>
      <c r="J532" s="26" t="s">
        <v>427</v>
      </c>
      <c r="K532" s="26" t="s">
        <v>186</v>
      </c>
      <c r="L532" s="26" t="s">
        <v>79</v>
      </c>
      <c r="M532" s="26" t="s">
        <v>78</v>
      </c>
      <c r="N532" s="26">
        <v>63</v>
      </c>
      <c r="O532" s="26">
        <v>35</v>
      </c>
      <c r="P532" s="26">
        <v>28</v>
      </c>
      <c r="Q532" s="26">
        <v>4</v>
      </c>
      <c r="R532" s="26">
        <v>1</v>
      </c>
      <c r="S532" s="26">
        <v>19</v>
      </c>
      <c r="T532" s="26">
        <v>8</v>
      </c>
      <c r="U532" s="26">
        <v>28</v>
      </c>
      <c r="V532" s="26">
        <v>1</v>
      </c>
      <c r="W532" s="26"/>
    </row>
    <row r="533" spans="1:23" x14ac:dyDescent="0.25">
      <c r="A533" s="26" t="s">
        <v>53</v>
      </c>
      <c r="B533" s="26" t="s">
        <v>2159</v>
      </c>
      <c r="C533" s="26" t="s">
        <v>2160</v>
      </c>
      <c r="D533" s="26" t="s">
        <v>179</v>
      </c>
      <c r="E533" s="26" t="s">
        <v>2161</v>
      </c>
      <c r="F533" s="26" t="s">
        <v>2162</v>
      </c>
      <c r="G533" s="26" t="s">
        <v>637</v>
      </c>
      <c r="H533" s="26" t="s">
        <v>638</v>
      </c>
      <c r="I533" s="26" t="s">
        <v>184</v>
      </c>
      <c r="J533" s="26" t="s">
        <v>427</v>
      </c>
      <c r="K533" s="26" t="s">
        <v>1895</v>
      </c>
      <c r="L533" s="26" t="s">
        <v>79</v>
      </c>
      <c r="M533" s="26" t="s">
        <v>78</v>
      </c>
      <c r="N533" s="26">
        <v>11</v>
      </c>
      <c r="O533" s="26">
        <v>8</v>
      </c>
      <c r="P533" s="26">
        <v>3</v>
      </c>
      <c r="Q533" s="26">
        <v>2</v>
      </c>
      <c r="R533" s="26">
        <v>1</v>
      </c>
      <c r="S533" s="26">
        <v>6</v>
      </c>
      <c r="T533" s="26">
        <v>2</v>
      </c>
      <c r="U533" s="26">
        <v>9</v>
      </c>
      <c r="V533" s="26">
        <v>1</v>
      </c>
      <c r="W533" s="26"/>
    </row>
    <row r="534" spans="1:23" x14ac:dyDescent="0.25">
      <c r="A534" s="26" t="s">
        <v>53</v>
      </c>
      <c r="B534" s="26" t="s">
        <v>2163</v>
      </c>
      <c r="C534" s="26" t="s">
        <v>2164</v>
      </c>
      <c r="D534" s="26" t="s">
        <v>179</v>
      </c>
      <c r="E534" s="26" t="s">
        <v>2165</v>
      </c>
      <c r="F534" s="26" t="s">
        <v>203</v>
      </c>
      <c r="G534" s="26" t="s">
        <v>204</v>
      </c>
      <c r="H534" s="26" t="s">
        <v>1026</v>
      </c>
      <c r="I534" s="26" t="s">
        <v>184</v>
      </c>
      <c r="J534" s="26" t="s">
        <v>322</v>
      </c>
      <c r="K534" s="26" t="s">
        <v>186</v>
      </c>
      <c r="L534" s="26" t="s">
        <v>79</v>
      </c>
      <c r="M534" s="26" t="s">
        <v>78</v>
      </c>
      <c r="N534" s="26">
        <v>26</v>
      </c>
      <c r="O534" s="26">
        <v>14</v>
      </c>
      <c r="P534" s="26">
        <v>12</v>
      </c>
      <c r="Q534" s="26">
        <v>2</v>
      </c>
      <c r="R534" s="26">
        <v>1</v>
      </c>
      <c r="S534" s="26">
        <v>4</v>
      </c>
      <c r="T534" s="26">
        <v>5</v>
      </c>
      <c r="U534" s="26">
        <v>10</v>
      </c>
      <c r="V534" s="26">
        <v>1</v>
      </c>
      <c r="W534" s="26"/>
    </row>
    <row r="535" spans="1:23" x14ac:dyDescent="0.25">
      <c r="A535" s="26" t="s">
        <v>53</v>
      </c>
      <c r="B535" s="26" t="s">
        <v>2166</v>
      </c>
      <c r="C535" s="26" t="s">
        <v>2167</v>
      </c>
      <c r="D535" s="26" t="s">
        <v>179</v>
      </c>
      <c r="E535" s="26" t="s">
        <v>2168</v>
      </c>
      <c r="F535" s="26" t="s">
        <v>247</v>
      </c>
      <c r="G535" s="26" t="s">
        <v>198</v>
      </c>
      <c r="H535" s="26" t="s">
        <v>431</v>
      </c>
      <c r="I535" s="26" t="s">
        <v>184</v>
      </c>
      <c r="J535" s="26" t="s">
        <v>375</v>
      </c>
      <c r="K535" s="26" t="s">
        <v>186</v>
      </c>
      <c r="L535" s="26" t="s">
        <v>79</v>
      </c>
      <c r="M535" s="26" t="s">
        <v>78</v>
      </c>
      <c r="N535" s="26">
        <v>19</v>
      </c>
      <c r="O535" s="26">
        <v>11</v>
      </c>
      <c r="P535" s="26">
        <v>8</v>
      </c>
      <c r="Q535" s="26">
        <v>2</v>
      </c>
      <c r="R535" s="26">
        <v>1</v>
      </c>
      <c r="S535" s="26">
        <v>3</v>
      </c>
      <c r="T535" s="26">
        <v>5</v>
      </c>
      <c r="U535" s="26">
        <v>9</v>
      </c>
      <c r="V535" s="26">
        <v>1</v>
      </c>
      <c r="W535" s="26"/>
    </row>
    <row r="536" spans="1:23" x14ac:dyDescent="0.25">
      <c r="A536" s="26" t="s">
        <v>53</v>
      </c>
      <c r="B536" s="26" t="s">
        <v>2169</v>
      </c>
      <c r="C536" s="26" t="s">
        <v>1916</v>
      </c>
      <c r="D536" s="26" t="s">
        <v>179</v>
      </c>
      <c r="E536" s="26" t="s">
        <v>2170</v>
      </c>
      <c r="F536" s="26" t="s">
        <v>1845</v>
      </c>
      <c r="G536" s="26" t="s">
        <v>487</v>
      </c>
      <c r="H536" s="26" t="s">
        <v>594</v>
      </c>
      <c r="I536" s="26" t="s">
        <v>184</v>
      </c>
      <c r="J536" s="26" t="s">
        <v>375</v>
      </c>
      <c r="K536" s="26" t="s">
        <v>186</v>
      </c>
      <c r="L536" s="26" t="s">
        <v>79</v>
      </c>
      <c r="M536" s="26" t="s">
        <v>78</v>
      </c>
      <c r="N536" s="26">
        <v>35</v>
      </c>
      <c r="O536" s="26">
        <v>16</v>
      </c>
      <c r="P536" s="26">
        <v>19</v>
      </c>
      <c r="Q536" s="26">
        <v>5</v>
      </c>
      <c r="R536" s="26">
        <v>1</v>
      </c>
      <c r="S536" s="26">
        <v>9</v>
      </c>
      <c r="T536" s="26">
        <v>8</v>
      </c>
      <c r="U536" s="26">
        <v>18</v>
      </c>
      <c r="V536" s="26">
        <v>1</v>
      </c>
      <c r="W536" s="26"/>
    </row>
    <row r="537" spans="1:23" x14ac:dyDescent="0.25">
      <c r="A537" s="26" t="s">
        <v>53</v>
      </c>
      <c r="B537" s="26" t="s">
        <v>2171</v>
      </c>
      <c r="C537" s="26" t="s">
        <v>2172</v>
      </c>
      <c r="D537" s="26" t="s">
        <v>179</v>
      </c>
      <c r="E537" s="26" t="s">
        <v>2173</v>
      </c>
      <c r="F537" s="26" t="s">
        <v>2174</v>
      </c>
      <c r="G537" s="26" t="s">
        <v>487</v>
      </c>
      <c r="H537" s="26" t="s">
        <v>1693</v>
      </c>
      <c r="I537" s="26" t="s">
        <v>184</v>
      </c>
      <c r="J537" s="26" t="s">
        <v>375</v>
      </c>
      <c r="K537" s="26" t="s">
        <v>186</v>
      </c>
      <c r="L537" s="26" t="s">
        <v>79</v>
      </c>
      <c r="M537" s="26" t="s">
        <v>78</v>
      </c>
      <c r="N537" s="26">
        <v>88</v>
      </c>
      <c r="O537" s="26">
        <v>44</v>
      </c>
      <c r="P537" s="26">
        <v>44</v>
      </c>
      <c r="Q537" s="26">
        <v>7</v>
      </c>
      <c r="R537" s="26">
        <v>1</v>
      </c>
      <c r="S537" s="26">
        <v>18</v>
      </c>
      <c r="T537" s="26">
        <v>16</v>
      </c>
      <c r="U537" s="26">
        <v>35</v>
      </c>
      <c r="V537" s="26">
        <v>1</v>
      </c>
      <c r="W537" s="26"/>
    </row>
    <row r="538" spans="1:23" x14ac:dyDescent="0.25">
      <c r="A538" s="26" t="s">
        <v>53</v>
      </c>
      <c r="B538" s="26" t="s">
        <v>2175</v>
      </c>
      <c r="C538" s="26" t="s">
        <v>2176</v>
      </c>
      <c r="D538" s="26" t="s">
        <v>179</v>
      </c>
      <c r="E538" s="26" t="s">
        <v>2177</v>
      </c>
      <c r="F538" s="26" t="s">
        <v>2178</v>
      </c>
      <c r="G538" s="26" t="s">
        <v>676</v>
      </c>
      <c r="H538" s="26" t="s">
        <v>677</v>
      </c>
      <c r="I538" s="26" t="s">
        <v>184</v>
      </c>
      <c r="J538" s="26" t="s">
        <v>375</v>
      </c>
      <c r="K538" s="26" t="s">
        <v>186</v>
      </c>
      <c r="L538" s="26" t="s">
        <v>79</v>
      </c>
      <c r="M538" s="26" t="s">
        <v>78</v>
      </c>
      <c r="N538" s="26">
        <v>25</v>
      </c>
      <c r="O538" s="26">
        <v>17</v>
      </c>
      <c r="P538" s="26">
        <v>8</v>
      </c>
      <c r="Q538" s="26">
        <v>2</v>
      </c>
      <c r="R538" s="26">
        <v>1</v>
      </c>
      <c r="S538" s="26">
        <v>3</v>
      </c>
      <c r="T538" s="26">
        <v>5</v>
      </c>
      <c r="U538" s="26">
        <v>9</v>
      </c>
      <c r="V538" s="26">
        <v>1</v>
      </c>
      <c r="W538" s="26"/>
    </row>
    <row r="539" spans="1:23" x14ac:dyDescent="0.25">
      <c r="A539" s="26" t="s">
        <v>53</v>
      </c>
      <c r="B539" s="26" t="s">
        <v>2179</v>
      </c>
      <c r="C539" s="26" t="s">
        <v>2180</v>
      </c>
      <c r="D539" s="26" t="s">
        <v>179</v>
      </c>
      <c r="E539" s="26" t="s">
        <v>2181</v>
      </c>
      <c r="F539" s="26" t="s">
        <v>313</v>
      </c>
      <c r="G539" s="26" t="s">
        <v>182</v>
      </c>
      <c r="H539" s="26" t="s">
        <v>370</v>
      </c>
      <c r="I539" s="26" t="s">
        <v>184</v>
      </c>
      <c r="J539" s="26" t="s">
        <v>322</v>
      </c>
      <c r="K539" s="26" t="s">
        <v>186</v>
      </c>
      <c r="L539" s="26" t="s">
        <v>79</v>
      </c>
      <c r="M539" s="26" t="s">
        <v>78</v>
      </c>
      <c r="N539" s="26">
        <v>157</v>
      </c>
      <c r="O539" s="26">
        <v>84</v>
      </c>
      <c r="P539" s="26">
        <v>73</v>
      </c>
      <c r="Q539" s="26">
        <v>6</v>
      </c>
      <c r="R539" s="26">
        <v>1</v>
      </c>
      <c r="S539" s="26">
        <v>17</v>
      </c>
      <c r="T539" s="26">
        <v>15</v>
      </c>
      <c r="U539" s="26">
        <v>33</v>
      </c>
      <c r="V539" s="26">
        <v>1</v>
      </c>
      <c r="W539" s="26"/>
    </row>
    <row r="540" spans="1:23" x14ac:dyDescent="0.25">
      <c r="A540" s="26" t="s">
        <v>53</v>
      </c>
      <c r="B540" s="26" t="s">
        <v>2182</v>
      </c>
      <c r="C540" s="26" t="s">
        <v>2183</v>
      </c>
      <c r="D540" s="26" t="s">
        <v>179</v>
      </c>
      <c r="E540" s="26" t="s">
        <v>2184</v>
      </c>
      <c r="F540" s="26" t="s">
        <v>2185</v>
      </c>
      <c r="G540" s="26" t="s">
        <v>210</v>
      </c>
      <c r="H540" s="26" t="s">
        <v>886</v>
      </c>
      <c r="I540" s="26" t="s">
        <v>184</v>
      </c>
      <c r="J540" s="26" t="s">
        <v>322</v>
      </c>
      <c r="K540" s="26" t="s">
        <v>186</v>
      </c>
      <c r="L540" s="26" t="s">
        <v>79</v>
      </c>
      <c r="M540" s="26" t="s">
        <v>78</v>
      </c>
      <c r="N540" s="26">
        <v>76</v>
      </c>
      <c r="O540" s="26">
        <v>31</v>
      </c>
      <c r="P540" s="26">
        <v>45</v>
      </c>
      <c r="Q540" s="26">
        <v>4</v>
      </c>
      <c r="R540" s="26">
        <v>1</v>
      </c>
      <c r="S540" s="26">
        <v>14</v>
      </c>
      <c r="T540" s="26">
        <v>11</v>
      </c>
      <c r="U540" s="26">
        <v>26</v>
      </c>
      <c r="V540" s="26">
        <v>1</v>
      </c>
      <c r="W540" s="26"/>
    </row>
    <row r="541" spans="1:23" x14ac:dyDescent="0.25">
      <c r="A541" s="26" t="s">
        <v>53</v>
      </c>
      <c r="B541" s="26" t="s">
        <v>2186</v>
      </c>
      <c r="C541" s="26" t="s">
        <v>2187</v>
      </c>
      <c r="D541" s="26" t="s">
        <v>179</v>
      </c>
      <c r="E541" s="26" t="s">
        <v>2188</v>
      </c>
      <c r="F541" s="26" t="s">
        <v>577</v>
      </c>
      <c r="G541" s="26" t="s">
        <v>278</v>
      </c>
      <c r="H541" s="26" t="s">
        <v>578</v>
      </c>
      <c r="I541" s="26" t="s">
        <v>184</v>
      </c>
      <c r="J541" s="26" t="s">
        <v>375</v>
      </c>
      <c r="K541" s="26" t="s">
        <v>186</v>
      </c>
      <c r="L541" s="26" t="s">
        <v>79</v>
      </c>
      <c r="M541" s="26" t="s">
        <v>78</v>
      </c>
      <c r="N541" s="26">
        <v>6</v>
      </c>
      <c r="O541" s="26">
        <v>2</v>
      </c>
      <c r="P541" s="26">
        <v>4</v>
      </c>
      <c r="Q541" s="26">
        <v>1</v>
      </c>
      <c r="R541" s="26">
        <v>1</v>
      </c>
      <c r="S541" s="26">
        <v>3</v>
      </c>
      <c r="T541" s="26">
        <v>3</v>
      </c>
      <c r="U541" s="26">
        <v>7</v>
      </c>
      <c r="V541" s="26">
        <v>1</v>
      </c>
      <c r="W541" s="26"/>
    </row>
    <row r="542" spans="1:23" x14ac:dyDescent="0.25">
      <c r="A542" s="26" t="s">
        <v>53</v>
      </c>
      <c r="B542" s="26" t="s">
        <v>2189</v>
      </c>
      <c r="C542" s="26" t="s">
        <v>2190</v>
      </c>
      <c r="D542" s="26" t="s">
        <v>179</v>
      </c>
      <c r="E542" s="26" t="s">
        <v>2191</v>
      </c>
      <c r="F542" s="26" t="s">
        <v>2162</v>
      </c>
      <c r="G542" s="26" t="s">
        <v>637</v>
      </c>
      <c r="H542" s="26" t="s">
        <v>638</v>
      </c>
      <c r="I542" s="26" t="s">
        <v>184</v>
      </c>
      <c r="J542" s="26" t="s">
        <v>427</v>
      </c>
      <c r="K542" s="26" t="s">
        <v>186</v>
      </c>
      <c r="L542" s="26" t="s">
        <v>79</v>
      </c>
      <c r="M542" s="26" t="s">
        <v>78</v>
      </c>
      <c r="N542" s="26">
        <v>11</v>
      </c>
      <c r="O542" s="26">
        <v>6</v>
      </c>
      <c r="P542" s="26">
        <v>5</v>
      </c>
      <c r="Q542" s="26">
        <v>2</v>
      </c>
      <c r="R542" s="26">
        <v>1</v>
      </c>
      <c r="S542" s="26">
        <v>4</v>
      </c>
      <c r="T542" s="26">
        <v>4</v>
      </c>
      <c r="U542" s="26">
        <v>9</v>
      </c>
      <c r="V542" s="26">
        <v>1</v>
      </c>
      <c r="W542" s="26"/>
    </row>
    <row r="543" spans="1:23" x14ac:dyDescent="0.25">
      <c r="A543" s="26" t="s">
        <v>53</v>
      </c>
      <c r="B543" s="26" t="s">
        <v>2192</v>
      </c>
      <c r="C543" s="26" t="s">
        <v>2193</v>
      </c>
      <c r="D543" s="26" t="s">
        <v>179</v>
      </c>
      <c r="E543" s="26" t="s">
        <v>2194</v>
      </c>
      <c r="F543" s="26" t="s">
        <v>1126</v>
      </c>
      <c r="G543" s="26" t="s">
        <v>278</v>
      </c>
      <c r="H543" s="26" t="s">
        <v>578</v>
      </c>
      <c r="I543" s="26" t="s">
        <v>184</v>
      </c>
      <c r="J543" s="26" t="s">
        <v>375</v>
      </c>
      <c r="K543" s="26" t="s">
        <v>186</v>
      </c>
      <c r="L543" s="26" t="s">
        <v>79</v>
      </c>
      <c r="M543" s="26" t="s">
        <v>78</v>
      </c>
      <c r="N543" s="26">
        <v>6</v>
      </c>
      <c r="O543" s="26">
        <v>5</v>
      </c>
      <c r="P543" s="26">
        <v>1</v>
      </c>
      <c r="Q543" s="26">
        <v>3</v>
      </c>
      <c r="R543" s="26">
        <v>1</v>
      </c>
      <c r="S543" s="26">
        <v>2</v>
      </c>
      <c r="T543" s="26">
        <v>1</v>
      </c>
      <c r="U543" s="26">
        <v>4</v>
      </c>
      <c r="V543" s="26">
        <v>1</v>
      </c>
      <c r="W543" s="26"/>
    </row>
    <row r="544" spans="1:23" x14ac:dyDescent="0.25">
      <c r="A544" s="26" t="s">
        <v>53</v>
      </c>
      <c r="B544" s="26" t="s">
        <v>2195</v>
      </c>
      <c r="C544" s="26" t="s">
        <v>2196</v>
      </c>
      <c r="D544" s="26" t="s">
        <v>179</v>
      </c>
      <c r="E544" s="26" t="s">
        <v>2197</v>
      </c>
      <c r="F544" s="26" t="s">
        <v>2198</v>
      </c>
      <c r="G544" s="26" t="s">
        <v>204</v>
      </c>
      <c r="H544" s="26" t="s">
        <v>523</v>
      </c>
      <c r="I544" s="26" t="s">
        <v>184</v>
      </c>
      <c r="J544" s="26" t="s">
        <v>322</v>
      </c>
      <c r="K544" s="26" t="s">
        <v>186</v>
      </c>
      <c r="L544" s="26" t="s">
        <v>79</v>
      </c>
      <c r="M544" s="26" t="s">
        <v>78</v>
      </c>
      <c r="N544" s="26">
        <v>5</v>
      </c>
      <c r="O544" s="26">
        <v>1</v>
      </c>
      <c r="P544" s="26">
        <v>4</v>
      </c>
      <c r="Q544" s="26">
        <v>3</v>
      </c>
      <c r="R544" s="26">
        <v>1</v>
      </c>
      <c r="S544" s="26">
        <v>5</v>
      </c>
      <c r="T544" s="26">
        <v>4</v>
      </c>
      <c r="U544" s="26">
        <v>10</v>
      </c>
      <c r="V544" s="26">
        <v>1</v>
      </c>
      <c r="W544" s="26"/>
    </row>
    <row r="545" spans="1:23" x14ac:dyDescent="0.25">
      <c r="A545" s="26" t="s">
        <v>53</v>
      </c>
      <c r="B545" s="26" t="s">
        <v>2199</v>
      </c>
      <c r="C545" s="26" t="s">
        <v>2200</v>
      </c>
      <c r="D545" s="26" t="s">
        <v>179</v>
      </c>
      <c r="E545" s="26" t="s">
        <v>2201</v>
      </c>
      <c r="F545" s="26" t="s">
        <v>2202</v>
      </c>
      <c r="G545" s="26" t="s">
        <v>676</v>
      </c>
      <c r="H545" s="26" t="s">
        <v>677</v>
      </c>
      <c r="I545" s="26" t="s">
        <v>184</v>
      </c>
      <c r="J545" s="26" t="s">
        <v>375</v>
      </c>
      <c r="K545" s="26" t="s">
        <v>186</v>
      </c>
      <c r="L545" s="26" t="s">
        <v>79</v>
      </c>
      <c r="M545" s="26" t="s">
        <v>78</v>
      </c>
      <c r="N545" s="26">
        <v>9</v>
      </c>
      <c r="O545" s="26">
        <v>4</v>
      </c>
      <c r="P545" s="26">
        <v>5</v>
      </c>
      <c r="Q545" s="26">
        <v>1</v>
      </c>
      <c r="R545" s="26">
        <v>1</v>
      </c>
      <c r="S545" s="26">
        <v>2</v>
      </c>
      <c r="T545" s="26">
        <v>3</v>
      </c>
      <c r="U545" s="26">
        <v>6</v>
      </c>
      <c r="V545" s="26">
        <v>1</v>
      </c>
      <c r="W545" s="26"/>
    </row>
    <row r="546" spans="1:23" x14ac:dyDescent="0.25">
      <c r="A546" s="26" t="s">
        <v>53</v>
      </c>
      <c r="B546" s="26" t="s">
        <v>2203</v>
      </c>
      <c r="C546" s="26" t="s">
        <v>2204</v>
      </c>
      <c r="D546" s="26" t="s">
        <v>218</v>
      </c>
      <c r="E546" s="26" t="s">
        <v>2205</v>
      </c>
      <c r="F546" s="26" t="s">
        <v>331</v>
      </c>
      <c r="G546" s="26" t="s">
        <v>210</v>
      </c>
      <c r="H546" s="26" t="s">
        <v>332</v>
      </c>
      <c r="I546" s="26" t="s">
        <v>184</v>
      </c>
      <c r="J546" s="26" t="s">
        <v>322</v>
      </c>
      <c r="K546" s="26" t="s">
        <v>186</v>
      </c>
      <c r="L546" s="26" t="s">
        <v>79</v>
      </c>
      <c r="M546" s="26" t="s">
        <v>78</v>
      </c>
      <c r="N546" s="26">
        <v>66</v>
      </c>
      <c r="O546" s="26">
        <v>30</v>
      </c>
      <c r="P546" s="26">
        <v>36</v>
      </c>
      <c r="Q546" s="26">
        <v>4</v>
      </c>
      <c r="R546" s="26">
        <v>1</v>
      </c>
      <c r="S546" s="26">
        <v>15</v>
      </c>
      <c r="T546" s="26">
        <v>10</v>
      </c>
      <c r="U546" s="26">
        <v>26</v>
      </c>
      <c r="V546" s="26">
        <v>1</v>
      </c>
      <c r="W546" s="26"/>
    </row>
    <row r="547" spans="1:23" x14ac:dyDescent="0.25">
      <c r="A547" s="26" t="s">
        <v>53</v>
      </c>
      <c r="B547" s="26" t="s">
        <v>2206</v>
      </c>
      <c r="C547" s="26" t="s">
        <v>2207</v>
      </c>
      <c r="D547" s="26" t="s">
        <v>218</v>
      </c>
      <c r="E547" s="26" t="s">
        <v>8</v>
      </c>
      <c r="F547" s="26" t="s">
        <v>2208</v>
      </c>
      <c r="G547" s="26" t="s">
        <v>662</v>
      </c>
      <c r="H547" s="26" t="s">
        <v>1254</v>
      </c>
      <c r="I547" s="26" t="s">
        <v>184</v>
      </c>
      <c r="J547" s="26" t="s">
        <v>427</v>
      </c>
      <c r="K547" s="26" t="s">
        <v>186</v>
      </c>
      <c r="L547" s="26" t="s">
        <v>79</v>
      </c>
      <c r="M547" s="26" t="s">
        <v>78</v>
      </c>
      <c r="N547" s="26">
        <v>11</v>
      </c>
      <c r="O547" s="26">
        <v>4</v>
      </c>
      <c r="P547" s="26">
        <v>7</v>
      </c>
      <c r="Q547" s="26">
        <v>2</v>
      </c>
      <c r="R547" s="26">
        <v>1</v>
      </c>
      <c r="S547" s="26">
        <v>3</v>
      </c>
      <c r="T547" s="26">
        <v>2</v>
      </c>
      <c r="U547" s="26">
        <v>6</v>
      </c>
      <c r="V547" s="26">
        <v>1</v>
      </c>
      <c r="W547" s="26"/>
    </row>
    <row r="548" spans="1:23" x14ac:dyDescent="0.25">
      <c r="A548" s="26" t="s">
        <v>53</v>
      </c>
      <c r="B548" s="26" t="s">
        <v>2209</v>
      </c>
      <c r="C548" s="26" t="s">
        <v>2210</v>
      </c>
      <c r="D548" s="26" t="s">
        <v>179</v>
      </c>
      <c r="E548" s="26" t="s">
        <v>2211</v>
      </c>
      <c r="F548" s="26" t="s">
        <v>2212</v>
      </c>
      <c r="G548" s="26" t="s">
        <v>226</v>
      </c>
      <c r="H548" s="26" t="s">
        <v>603</v>
      </c>
      <c r="I548" s="26" t="s">
        <v>184</v>
      </c>
      <c r="J548" s="26" t="s">
        <v>427</v>
      </c>
      <c r="K548" s="26" t="s">
        <v>186</v>
      </c>
      <c r="L548" s="26" t="s">
        <v>79</v>
      </c>
      <c r="M548" s="26" t="s">
        <v>78</v>
      </c>
      <c r="N548" s="26">
        <v>137</v>
      </c>
      <c r="O548" s="26">
        <v>76</v>
      </c>
      <c r="P548" s="26">
        <v>61</v>
      </c>
      <c r="Q548" s="26">
        <v>6</v>
      </c>
      <c r="R548" s="26">
        <v>1</v>
      </c>
      <c r="S548" s="26">
        <v>26</v>
      </c>
      <c r="T548" s="26">
        <v>14</v>
      </c>
      <c r="U548" s="26">
        <v>41</v>
      </c>
      <c r="V548" s="26">
        <v>1</v>
      </c>
      <c r="W548" s="26"/>
    </row>
    <row r="549" spans="1:23" x14ac:dyDescent="0.25">
      <c r="A549" s="26" t="s">
        <v>53</v>
      </c>
      <c r="B549" s="26" t="s">
        <v>2213</v>
      </c>
      <c r="C549" s="26" t="s">
        <v>2214</v>
      </c>
      <c r="D549" s="26" t="s">
        <v>218</v>
      </c>
      <c r="E549" s="26" t="s">
        <v>2215</v>
      </c>
      <c r="F549" s="26" t="s">
        <v>2216</v>
      </c>
      <c r="G549" s="26" t="s">
        <v>204</v>
      </c>
      <c r="H549" s="26" t="s">
        <v>1026</v>
      </c>
      <c r="I549" s="26" t="s">
        <v>184</v>
      </c>
      <c r="J549" s="26" t="s">
        <v>322</v>
      </c>
      <c r="K549" s="26" t="s">
        <v>186</v>
      </c>
      <c r="L549" s="26" t="s">
        <v>79</v>
      </c>
      <c r="M549" s="26" t="s">
        <v>78</v>
      </c>
      <c r="N549" s="26">
        <v>93</v>
      </c>
      <c r="O549" s="26">
        <v>50</v>
      </c>
      <c r="P549" s="26">
        <v>43</v>
      </c>
      <c r="Q549" s="26">
        <v>5</v>
      </c>
      <c r="R549" s="26">
        <v>0</v>
      </c>
      <c r="S549" s="26">
        <v>16</v>
      </c>
      <c r="T549" s="26">
        <v>13</v>
      </c>
      <c r="U549" s="26">
        <v>29</v>
      </c>
      <c r="V549" s="26">
        <v>1</v>
      </c>
      <c r="W549" s="26"/>
    </row>
    <row r="550" spans="1:23" x14ac:dyDescent="0.25">
      <c r="A550" s="26" t="s">
        <v>53</v>
      </c>
      <c r="B550" s="26" t="s">
        <v>2217</v>
      </c>
      <c r="C550" s="26" t="s">
        <v>2218</v>
      </c>
      <c r="D550" s="26" t="s">
        <v>218</v>
      </c>
      <c r="E550" s="26" t="s">
        <v>2219</v>
      </c>
      <c r="F550" s="26" t="s">
        <v>203</v>
      </c>
      <c r="G550" s="26" t="s">
        <v>204</v>
      </c>
      <c r="H550" s="26" t="s">
        <v>1026</v>
      </c>
      <c r="I550" s="26" t="s">
        <v>184</v>
      </c>
      <c r="J550" s="26" t="s">
        <v>322</v>
      </c>
      <c r="K550" s="26" t="s">
        <v>186</v>
      </c>
      <c r="L550" s="26" t="s">
        <v>79</v>
      </c>
      <c r="M550" s="26" t="s">
        <v>78</v>
      </c>
      <c r="N550" s="26">
        <v>71</v>
      </c>
      <c r="O550" s="26">
        <v>37</v>
      </c>
      <c r="P550" s="26">
        <v>34</v>
      </c>
      <c r="Q550" s="26">
        <v>5</v>
      </c>
      <c r="R550" s="26">
        <v>1</v>
      </c>
      <c r="S550" s="26">
        <v>18</v>
      </c>
      <c r="T550" s="26">
        <v>9</v>
      </c>
      <c r="U550" s="26">
        <v>28</v>
      </c>
      <c r="V550" s="26">
        <v>1</v>
      </c>
      <c r="W550" s="26"/>
    </row>
    <row r="551" spans="1:23" x14ac:dyDescent="0.25">
      <c r="A551" s="26" t="s">
        <v>53</v>
      </c>
      <c r="B551" s="26" t="s">
        <v>2220</v>
      </c>
      <c r="C551" s="26" t="s">
        <v>2221</v>
      </c>
      <c r="D551" s="26" t="s">
        <v>179</v>
      </c>
      <c r="E551" s="26" t="s">
        <v>2222</v>
      </c>
      <c r="F551" s="26" t="s">
        <v>389</v>
      </c>
      <c r="G551" s="26" t="s">
        <v>182</v>
      </c>
      <c r="H551" s="26" t="s">
        <v>390</v>
      </c>
      <c r="I551" s="26" t="s">
        <v>184</v>
      </c>
      <c r="J551" s="26" t="s">
        <v>322</v>
      </c>
      <c r="K551" s="26" t="s">
        <v>186</v>
      </c>
      <c r="L551" s="26" t="s">
        <v>79</v>
      </c>
      <c r="M551" s="26" t="s">
        <v>78</v>
      </c>
      <c r="N551" s="26">
        <v>129</v>
      </c>
      <c r="O551" s="26">
        <v>74</v>
      </c>
      <c r="P551" s="26">
        <v>55</v>
      </c>
      <c r="Q551" s="26">
        <v>5</v>
      </c>
      <c r="R551" s="26">
        <v>1</v>
      </c>
      <c r="S551" s="26">
        <v>27</v>
      </c>
      <c r="T551" s="26">
        <v>6</v>
      </c>
      <c r="U551" s="26">
        <v>34</v>
      </c>
      <c r="V551" s="26">
        <v>1</v>
      </c>
      <c r="W551" s="26"/>
    </row>
    <row r="552" spans="1:23" x14ac:dyDescent="0.25">
      <c r="A552" s="26" t="s">
        <v>53</v>
      </c>
      <c r="B552" s="26" t="s">
        <v>2223</v>
      </c>
      <c r="C552" s="26" t="s">
        <v>2224</v>
      </c>
      <c r="D552" s="26" t="s">
        <v>218</v>
      </c>
      <c r="E552" s="26" t="s">
        <v>2225</v>
      </c>
      <c r="F552" s="26" t="s">
        <v>389</v>
      </c>
      <c r="G552" s="26" t="s">
        <v>182</v>
      </c>
      <c r="H552" s="26" t="s">
        <v>461</v>
      </c>
      <c r="I552" s="26" t="s">
        <v>184</v>
      </c>
      <c r="J552" s="26" t="s">
        <v>322</v>
      </c>
      <c r="K552" s="26" t="s">
        <v>186</v>
      </c>
      <c r="L552" s="26" t="s">
        <v>79</v>
      </c>
      <c r="M552" s="26" t="s">
        <v>78</v>
      </c>
      <c r="N552" s="26">
        <v>10</v>
      </c>
      <c r="O552" s="26">
        <v>2</v>
      </c>
      <c r="P552" s="26">
        <v>8</v>
      </c>
      <c r="Q552" s="26">
        <v>2</v>
      </c>
      <c r="R552" s="26">
        <v>1</v>
      </c>
      <c r="S552" s="26">
        <v>3</v>
      </c>
      <c r="T552" s="26">
        <v>1</v>
      </c>
      <c r="U552" s="26">
        <v>5</v>
      </c>
      <c r="V552" s="26">
        <v>1</v>
      </c>
      <c r="W552" s="26"/>
    </row>
    <row r="553" spans="1:23" x14ac:dyDescent="0.25">
      <c r="A553" s="26" t="s">
        <v>53</v>
      </c>
      <c r="B553" s="26" t="s">
        <v>2226</v>
      </c>
      <c r="C553" s="26" t="s">
        <v>2227</v>
      </c>
      <c r="D553" s="26" t="s">
        <v>218</v>
      </c>
      <c r="E553" s="26" t="s">
        <v>2228</v>
      </c>
      <c r="F553" s="26" t="s">
        <v>704</v>
      </c>
      <c r="G553" s="26" t="s">
        <v>293</v>
      </c>
      <c r="H553" s="26" t="s">
        <v>1506</v>
      </c>
      <c r="I553" s="26" t="s">
        <v>1259</v>
      </c>
      <c r="J553" s="26" t="s">
        <v>696</v>
      </c>
      <c r="K553" s="26" t="s">
        <v>296</v>
      </c>
      <c r="L553" s="26" t="s">
        <v>80</v>
      </c>
      <c r="M553" s="26" t="s">
        <v>78</v>
      </c>
      <c r="N553" s="26">
        <v>64</v>
      </c>
      <c r="O553" s="26">
        <v>36</v>
      </c>
      <c r="P553" s="26">
        <v>28</v>
      </c>
      <c r="Q553" s="26">
        <v>4</v>
      </c>
      <c r="R553" s="26">
        <v>1</v>
      </c>
      <c r="S553" s="26">
        <v>17</v>
      </c>
      <c r="T553" s="26">
        <v>6</v>
      </c>
      <c r="U553" s="26">
        <v>24</v>
      </c>
      <c r="V553" s="26">
        <v>1</v>
      </c>
      <c r="W553" s="26"/>
    </row>
    <row r="554" spans="1:23" x14ac:dyDescent="0.25">
      <c r="A554" s="26" t="s">
        <v>53</v>
      </c>
      <c r="B554" s="26" t="s">
        <v>2229</v>
      </c>
      <c r="C554" s="26" t="s">
        <v>2230</v>
      </c>
      <c r="D554" s="26" t="s">
        <v>218</v>
      </c>
      <c r="E554" s="26" t="s">
        <v>2231</v>
      </c>
      <c r="F554" s="26" t="s">
        <v>2174</v>
      </c>
      <c r="G554" s="26" t="s">
        <v>487</v>
      </c>
      <c r="H554" s="26" t="s">
        <v>1693</v>
      </c>
      <c r="I554" s="26" t="s">
        <v>184</v>
      </c>
      <c r="J554" s="26" t="s">
        <v>375</v>
      </c>
      <c r="K554" s="26" t="s">
        <v>186</v>
      </c>
      <c r="L554" s="26" t="s">
        <v>79</v>
      </c>
      <c r="M554" s="26" t="s">
        <v>78</v>
      </c>
      <c r="N554" s="26">
        <v>98</v>
      </c>
      <c r="O554" s="26">
        <v>54</v>
      </c>
      <c r="P554" s="26">
        <v>44</v>
      </c>
      <c r="Q554" s="26">
        <v>10</v>
      </c>
      <c r="R554" s="26">
        <v>1</v>
      </c>
      <c r="S554" s="26">
        <v>23</v>
      </c>
      <c r="T554" s="26">
        <v>17</v>
      </c>
      <c r="U554" s="26">
        <v>41</v>
      </c>
      <c r="V554" s="26">
        <v>1</v>
      </c>
      <c r="W554" s="26"/>
    </row>
    <row r="555" spans="1:23" x14ac:dyDescent="0.25">
      <c r="A555" s="26" t="s">
        <v>53</v>
      </c>
      <c r="B555" s="26" t="s">
        <v>2232</v>
      </c>
      <c r="C555" s="26" t="s">
        <v>2233</v>
      </c>
      <c r="D555" s="26" t="s">
        <v>218</v>
      </c>
      <c r="E555" s="26" t="s">
        <v>2234</v>
      </c>
      <c r="F555" s="26" t="s">
        <v>1789</v>
      </c>
      <c r="G555" s="26" t="s">
        <v>662</v>
      </c>
      <c r="H555" s="26" t="s">
        <v>1254</v>
      </c>
      <c r="I555" s="26" t="s">
        <v>184</v>
      </c>
      <c r="J555" s="26" t="s">
        <v>427</v>
      </c>
      <c r="K555" s="26" t="s">
        <v>186</v>
      </c>
      <c r="L555" s="26" t="s">
        <v>79</v>
      </c>
      <c r="M555" s="26" t="s">
        <v>78</v>
      </c>
      <c r="N555" s="26">
        <v>67</v>
      </c>
      <c r="O555" s="26">
        <v>36</v>
      </c>
      <c r="P555" s="26">
        <v>31</v>
      </c>
      <c r="Q555" s="26">
        <v>6</v>
      </c>
      <c r="R555" s="26">
        <v>1</v>
      </c>
      <c r="S555" s="26">
        <v>13</v>
      </c>
      <c r="T555" s="26">
        <v>8</v>
      </c>
      <c r="U555" s="26">
        <v>22</v>
      </c>
      <c r="V555" s="26">
        <v>1</v>
      </c>
      <c r="W555" s="26"/>
    </row>
    <row r="556" spans="1:23" x14ac:dyDescent="0.25">
      <c r="A556" s="26" t="s">
        <v>53</v>
      </c>
      <c r="B556" s="26" t="s">
        <v>2235</v>
      </c>
      <c r="C556" s="26" t="s">
        <v>2236</v>
      </c>
      <c r="D556" s="26" t="s">
        <v>218</v>
      </c>
      <c r="E556" s="26" t="s">
        <v>2237</v>
      </c>
      <c r="F556" s="26" t="s">
        <v>1351</v>
      </c>
      <c r="G556" s="26" t="s">
        <v>413</v>
      </c>
      <c r="H556" s="26" t="s">
        <v>414</v>
      </c>
      <c r="I556" s="26" t="s">
        <v>184</v>
      </c>
      <c r="J556" s="26" t="s">
        <v>375</v>
      </c>
      <c r="K556" s="26" t="s">
        <v>186</v>
      </c>
      <c r="L556" s="26" t="s">
        <v>79</v>
      </c>
      <c r="M556" s="26" t="s">
        <v>78</v>
      </c>
      <c r="N556" s="26">
        <v>73</v>
      </c>
      <c r="O556" s="26">
        <v>34</v>
      </c>
      <c r="P556" s="26">
        <v>39</v>
      </c>
      <c r="Q556" s="26">
        <v>5</v>
      </c>
      <c r="R556" s="26">
        <v>1</v>
      </c>
      <c r="S556" s="26">
        <v>18</v>
      </c>
      <c r="T556" s="26">
        <v>10</v>
      </c>
      <c r="U556" s="26">
        <v>29</v>
      </c>
      <c r="V556" s="26">
        <v>1</v>
      </c>
      <c r="W556" s="26"/>
    </row>
    <row r="557" spans="1:23" x14ac:dyDescent="0.25">
      <c r="A557" s="26" t="s">
        <v>53</v>
      </c>
      <c r="B557" s="26" t="s">
        <v>2238</v>
      </c>
      <c r="C557" s="26" t="s">
        <v>2239</v>
      </c>
      <c r="D557" s="26" t="s">
        <v>179</v>
      </c>
      <c r="E557" s="26" t="s">
        <v>2240</v>
      </c>
      <c r="F557" s="26" t="s">
        <v>2241</v>
      </c>
      <c r="G557" s="26" t="s">
        <v>210</v>
      </c>
      <c r="H557" s="26" t="s">
        <v>881</v>
      </c>
      <c r="I557" s="26" t="s">
        <v>184</v>
      </c>
      <c r="J557" s="26" t="s">
        <v>322</v>
      </c>
      <c r="K557" s="26" t="s">
        <v>186</v>
      </c>
      <c r="L557" s="26" t="s">
        <v>79</v>
      </c>
      <c r="M557" s="26" t="s">
        <v>78</v>
      </c>
      <c r="N557" s="26">
        <v>88</v>
      </c>
      <c r="O557" s="26">
        <v>45</v>
      </c>
      <c r="P557" s="26">
        <v>43</v>
      </c>
      <c r="Q557" s="26">
        <v>6</v>
      </c>
      <c r="R557" s="26">
        <v>1</v>
      </c>
      <c r="S557" s="26">
        <v>17</v>
      </c>
      <c r="T557" s="26">
        <v>9</v>
      </c>
      <c r="U557" s="26">
        <v>27</v>
      </c>
      <c r="V557" s="26">
        <v>1</v>
      </c>
      <c r="W557" s="26"/>
    </row>
    <row r="558" spans="1:23" x14ac:dyDescent="0.25">
      <c r="A558" s="26" t="s">
        <v>53</v>
      </c>
      <c r="B558" s="26" t="s">
        <v>2242</v>
      </c>
      <c r="C558" s="26" t="s">
        <v>2243</v>
      </c>
      <c r="D558" s="26" t="s">
        <v>218</v>
      </c>
      <c r="E558" s="26" t="s">
        <v>2244</v>
      </c>
      <c r="F558" s="26" t="s">
        <v>1831</v>
      </c>
      <c r="G558" s="26" t="s">
        <v>210</v>
      </c>
      <c r="H558" s="26" t="s">
        <v>327</v>
      </c>
      <c r="I558" s="26" t="s">
        <v>184</v>
      </c>
      <c r="J558" s="26" t="s">
        <v>322</v>
      </c>
      <c r="K558" s="26" t="s">
        <v>186</v>
      </c>
      <c r="L558" s="26" t="s">
        <v>79</v>
      </c>
      <c r="M558" s="26" t="s">
        <v>78</v>
      </c>
      <c r="N558" s="26">
        <v>97</v>
      </c>
      <c r="O558" s="26">
        <v>51</v>
      </c>
      <c r="P558" s="26">
        <v>46</v>
      </c>
      <c r="Q558" s="26">
        <v>6</v>
      </c>
      <c r="R558" s="26">
        <v>1</v>
      </c>
      <c r="S558" s="26">
        <v>19</v>
      </c>
      <c r="T558" s="26">
        <v>14</v>
      </c>
      <c r="U558" s="26">
        <v>34</v>
      </c>
      <c r="V558" s="26">
        <v>1</v>
      </c>
      <c r="W558" s="26"/>
    </row>
    <row r="559" spans="1:23" x14ac:dyDescent="0.25">
      <c r="A559" s="26" t="s">
        <v>53</v>
      </c>
      <c r="B559" s="26" t="s">
        <v>2245</v>
      </c>
      <c r="C559" s="26" t="s">
        <v>2246</v>
      </c>
      <c r="D559" s="26" t="s">
        <v>218</v>
      </c>
      <c r="E559" s="26" t="s">
        <v>2247</v>
      </c>
      <c r="F559" s="26" t="s">
        <v>2002</v>
      </c>
      <c r="G559" s="26" t="s">
        <v>210</v>
      </c>
      <c r="H559" s="26" t="s">
        <v>1069</v>
      </c>
      <c r="I559" s="26" t="s">
        <v>184</v>
      </c>
      <c r="J559" s="26" t="s">
        <v>322</v>
      </c>
      <c r="K559" s="26" t="s">
        <v>186</v>
      </c>
      <c r="L559" s="26" t="s">
        <v>79</v>
      </c>
      <c r="M559" s="26" t="s">
        <v>78</v>
      </c>
      <c r="N559" s="26">
        <v>138</v>
      </c>
      <c r="O559" s="26">
        <v>64</v>
      </c>
      <c r="P559" s="26">
        <v>74</v>
      </c>
      <c r="Q559" s="26">
        <v>6</v>
      </c>
      <c r="R559" s="26">
        <v>1</v>
      </c>
      <c r="S559" s="26">
        <v>22</v>
      </c>
      <c r="T559" s="26">
        <v>12</v>
      </c>
      <c r="U559" s="26">
        <v>35</v>
      </c>
      <c r="V559" s="26">
        <v>1</v>
      </c>
      <c r="W559" s="26"/>
    </row>
    <row r="560" spans="1:23" x14ac:dyDescent="0.25">
      <c r="A560" s="26" t="s">
        <v>53</v>
      </c>
      <c r="B560" s="26" t="s">
        <v>2248</v>
      </c>
      <c r="C560" s="26" t="s">
        <v>2243</v>
      </c>
      <c r="D560" s="26" t="s">
        <v>218</v>
      </c>
      <c r="E560" s="26" t="s">
        <v>2249</v>
      </c>
      <c r="F560" s="26" t="s">
        <v>2250</v>
      </c>
      <c r="G560" s="26" t="s">
        <v>210</v>
      </c>
      <c r="H560" s="26" t="s">
        <v>1296</v>
      </c>
      <c r="I560" s="26" t="s">
        <v>184</v>
      </c>
      <c r="J560" s="26" t="s">
        <v>322</v>
      </c>
      <c r="K560" s="26" t="s">
        <v>186</v>
      </c>
      <c r="L560" s="26" t="s">
        <v>79</v>
      </c>
      <c r="M560" s="26" t="s">
        <v>78</v>
      </c>
      <c r="N560" s="26">
        <v>51</v>
      </c>
      <c r="O560" s="26">
        <v>23</v>
      </c>
      <c r="P560" s="26">
        <v>28</v>
      </c>
      <c r="Q560" s="26">
        <v>6</v>
      </c>
      <c r="R560" s="26">
        <v>1</v>
      </c>
      <c r="S560" s="26">
        <v>14</v>
      </c>
      <c r="T560" s="26">
        <v>8</v>
      </c>
      <c r="U560" s="26">
        <v>23</v>
      </c>
      <c r="V560" s="26">
        <v>1</v>
      </c>
      <c r="W560" s="26"/>
    </row>
    <row r="561" spans="1:23" x14ac:dyDescent="0.25">
      <c r="A561" s="26" t="s">
        <v>53</v>
      </c>
      <c r="B561" s="26" t="s">
        <v>2251</v>
      </c>
      <c r="C561" s="26" t="s">
        <v>2252</v>
      </c>
      <c r="D561" s="26" t="s">
        <v>218</v>
      </c>
      <c r="E561" s="26" t="s">
        <v>2253</v>
      </c>
      <c r="F561" s="26" t="s">
        <v>2254</v>
      </c>
      <c r="G561" s="26" t="s">
        <v>210</v>
      </c>
      <c r="H561" s="26" t="s">
        <v>1069</v>
      </c>
      <c r="I561" s="26" t="s">
        <v>184</v>
      </c>
      <c r="J561" s="26" t="s">
        <v>322</v>
      </c>
      <c r="K561" s="26" t="s">
        <v>186</v>
      </c>
      <c r="L561" s="26" t="s">
        <v>79</v>
      </c>
      <c r="M561" s="26" t="s">
        <v>78</v>
      </c>
      <c r="N561" s="26">
        <v>18</v>
      </c>
      <c r="O561" s="26">
        <v>10</v>
      </c>
      <c r="P561" s="26">
        <v>8</v>
      </c>
      <c r="Q561" s="26">
        <v>4</v>
      </c>
      <c r="R561" s="26">
        <v>1</v>
      </c>
      <c r="S561" s="26">
        <v>5</v>
      </c>
      <c r="T561" s="26">
        <v>3</v>
      </c>
      <c r="U561" s="26">
        <v>9</v>
      </c>
      <c r="V561" s="26">
        <v>1</v>
      </c>
      <c r="W561" s="26"/>
    </row>
    <row r="562" spans="1:23" x14ac:dyDescent="0.25">
      <c r="A562" s="26" t="s">
        <v>53</v>
      </c>
      <c r="B562" s="26" t="s">
        <v>2255</v>
      </c>
      <c r="C562" s="26" t="s">
        <v>2256</v>
      </c>
      <c r="D562" s="26" t="s">
        <v>218</v>
      </c>
      <c r="E562" s="26" t="s">
        <v>2257</v>
      </c>
      <c r="F562" s="26" t="s">
        <v>2089</v>
      </c>
      <c r="G562" s="26" t="s">
        <v>265</v>
      </c>
      <c r="H562" s="26" t="s">
        <v>359</v>
      </c>
      <c r="I562" s="26" t="s">
        <v>184</v>
      </c>
      <c r="J562" s="26" t="s">
        <v>322</v>
      </c>
      <c r="K562" s="26" t="s">
        <v>186</v>
      </c>
      <c r="L562" s="26" t="s">
        <v>79</v>
      </c>
      <c r="M562" s="26" t="s">
        <v>78</v>
      </c>
      <c r="N562" s="26">
        <v>175</v>
      </c>
      <c r="O562" s="26">
        <v>92</v>
      </c>
      <c r="P562" s="26">
        <v>83</v>
      </c>
      <c r="Q562" s="26">
        <v>9</v>
      </c>
      <c r="R562" s="26">
        <v>1</v>
      </c>
      <c r="S562" s="26">
        <v>30</v>
      </c>
      <c r="T562" s="26">
        <v>15</v>
      </c>
      <c r="U562" s="26">
        <v>46</v>
      </c>
      <c r="V562" s="26">
        <v>1</v>
      </c>
      <c r="W562" s="26"/>
    </row>
    <row r="563" spans="1:23" x14ac:dyDescent="0.25">
      <c r="A563" s="26" t="s">
        <v>53</v>
      </c>
      <c r="B563" s="26" t="s">
        <v>2258</v>
      </c>
      <c r="C563" s="26" t="s">
        <v>2246</v>
      </c>
      <c r="D563" s="26" t="s">
        <v>218</v>
      </c>
      <c r="E563" s="26" t="s">
        <v>2259</v>
      </c>
      <c r="F563" s="26" t="s">
        <v>2260</v>
      </c>
      <c r="G563" s="26" t="s">
        <v>265</v>
      </c>
      <c r="H563" s="26" t="s">
        <v>445</v>
      </c>
      <c r="I563" s="26" t="s">
        <v>184</v>
      </c>
      <c r="J563" s="26" t="s">
        <v>322</v>
      </c>
      <c r="K563" s="26" t="s">
        <v>186</v>
      </c>
      <c r="L563" s="26" t="s">
        <v>79</v>
      </c>
      <c r="M563" s="26" t="s">
        <v>78</v>
      </c>
      <c r="N563" s="26">
        <v>115</v>
      </c>
      <c r="O563" s="26">
        <v>54</v>
      </c>
      <c r="P563" s="26">
        <v>61</v>
      </c>
      <c r="Q563" s="26">
        <v>6</v>
      </c>
      <c r="R563" s="26">
        <v>1</v>
      </c>
      <c r="S563" s="26">
        <v>22</v>
      </c>
      <c r="T563" s="26">
        <v>14</v>
      </c>
      <c r="U563" s="26">
        <v>37</v>
      </c>
      <c r="V563" s="26">
        <v>1</v>
      </c>
      <c r="W563" s="26"/>
    </row>
    <row r="564" spans="1:23" x14ac:dyDescent="0.25">
      <c r="A564" s="26" t="s">
        <v>53</v>
      </c>
      <c r="B564" s="26" t="s">
        <v>2261</v>
      </c>
      <c r="C564" s="26" t="s">
        <v>2262</v>
      </c>
      <c r="D564" s="26" t="s">
        <v>218</v>
      </c>
      <c r="E564" s="26" t="s">
        <v>2263</v>
      </c>
      <c r="F564" s="26" t="s">
        <v>2089</v>
      </c>
      <c r="G564" s="26" t="s">
        <v>265</v>
      </c>
      <c r="H564" s="26" t="s">
        <v>508</v>
      </c>
      <c r="I564" s="26" t="s">
        <v>184</v>
      </c>
      <c r="J564" s="26" t="s">
        <v>322</v>
      </c>
      <c r="K564" s="26" t="s">
        <v>186</v>
      </c>
      <c r="L564" s="26" t="s">
        <v>79</v>
      </c>
      <c r="M564" s="26" t="s">
        <v>78</v>
      </c>
      <c r="N564" s="26">
        <v>91</v>
      </c>
      <c r="O564" s="26">
        <v>47</v>
      </c>
      <c r="P564" s="26">
        <v>44</v>
      </c>
      <c r="Q564" s="26">
        <v>5</v>
      </c>
      <c r="R564" s="26">
        <v>1</v>
      </c>
      <c r="S564" s="26">
        <v>17</v>
      </c>
      <c r="T564" s="26">
        <v>9</v>
      </c>
      <c r="U564" s="26">
        <v>27</v>
      </c>
      <c r="V564" s="26">
        <v>1</v>
      </c>
      <c r="W564" s="26"/>
    </row>
    <row r="565" spans="1:23" x14ac:dyDescent="0.25">
      <c r="A565" s="26" t="s">
        <v>53</v>
      </c>
      <c r="B565" s="26" t="s">
        <v>2264</v>
      </c>
      <c r="C565" s="26" t="s">
        <v>2265</v>
      </c>
      <c r="D565" s="26" t="s">
        <v>179</v>
      </c>
      <c r="E565" s="26" t="s">
        <v>2266</v>
      </c>
      <c r="F565" s="26" t="s">
        <v>2114</v>
      </c>
      <c r="G565" s="26" t="s">
        <v>487</v>
      </c>
      <c r="H565" s="26" t="s">
        <v>294</v>
      </c>
      <c r="I565" s="26" t="s">
        <v>184</v>
      </c>
      <c r="J565" s="26" t="s">
        <v>375</v>
      </c>
      <c r="K565" s="26" t="s">
        <v>186</v>
      </c>
      <c r="L565" s="26" t="s">
        <v>79</v>
      </c>
      <c r="M565" s="26" t="s">
        <v>78</v>
      </c>
      <c r="N565" s="26">
        <v>4</v>
      </c>
      <c r="O565" s="26">
        <v>2</v>
      </c>
      <c r="P565" s="26">
        <v>2</v>
      </c>
      <c r="Q565" s="26">
        <v>1</v>
      </c>
      <c r="R565" s="26">
        <v>1</v>
      </c>
      <c r="S565" s="26">
        <v>3</v>
      </c>
      <c r="T565" s="26">
        <v>4</v>
      </c>
      <c r="U565" s="26">
        <v>8</v>
      </c>
      <c r="V565" s="26">
        <v>1</v>
      </c>
      <c r="W565" s="26"/>
    </row>
    <row r="566" spans="1:23" x14ac:dyDescent="0.25">
      <c r="A566" s="26" t="s">
        <v>53</v>
      </c>
      <c r="B566" s="26" t="s">
        <v>2267</v>
      </c>
      <c r="C566" s="26" t="s">
        <v>2268</v>
      </c>
      <c r="D566" s="26" t="s">
        <v>179</v>
      </c>
      <c r="E566" s="26" t="s">
        <v>2269</v>
      </c>
      <c r="F566" s="26" t="s">
        <v>2270</v>
      </c>
      <c r="G566" s="26" t="s">
        <v>198</v>
      </c>
      <c r="H566" s="26" t="s">
        <v>395</v>
      </c>
      <c r="I566" s="26" t="s">
        <v>184</v>
      </c>
      <c r="J566" s="26" t="s">
        <v>375</v>
      </c>
      <c r="K566" s="26" t="s">
        <v>186</v>
      </c>
      <c r="L566" s="26" t="s">
        <v>79</v>
      </c>
      <c r="M566" s="26" t="s">
        <v>78</v>
      </c>
      <c r="N566" s="26">
        <v>7</v>
      </c>
      <c r="O566" s="26">
        <v>4</v>
      </c>
      <c r="P566" s="26">
        <v>3</v>
      </c>
      <c r="Q566" s="26">
        <v>1</v>
      </c>
      <c r="R566" s="26">
        <v>1</v>
      </c>
      <c r="S566" s="26">
        <v>1</v>
      </c>
      <c r="T566" s="26">
        <v>3</v>
      </c>
      <c r="U566" s="26">
        <v>5</v>
      </c>
      <c r="V566" s="26">
        <v>1</v>
      </c>
      <c r="W566" s="26"/>
    </row>
    <row r="567" spans="1:23" x14ac:dyDescent="0.25">
      <c r="A567" s="26" t="s">
        <v>53</v>
      </c>
      <c r="B567" s="26" t="s">
        <v>2271</v>
      </c>
      <c r="C567" s="26" t="s">
        <v>2272</v>
      </c>
      <c r="D567" s="26" t="s">
        <v>218</v>
      </c>
      <c r="E567" s="26" t="s">
        <v>2273</v>
      </c>
      <c r="F567" s="26" t="s">
        <v>1536</v>
      </c>
      <c r="G567" s="26" t="s">
        <v>676</v>
      </c>
      <c r="H567" s="26" t="s">
        <v>687</v>
      </c>
      <c r="I567" s="26" t="s">
        <v>184</v>
      </c>
      <c r="J567" s="26" t="s">
        <v>375</v>
      </c>
      <c r="K567" s="26" t="s">
        <v>186</v>
      </c>
      <c r="L567" s="26" t="s">
        <v>79</v>
      </c>
      <c r="M567" s="26" t="s">
        <v>78</v>
      </c>
      <c r="N567" s="26">
        <v>14</v>
      </c>
      <c r="O567" s="26">
        <v>6</v>
      </c>
      <c r="P567" s="26">
        <v>8</v>
      </c>
      <c r="Q567" s="26">
        <v>3</v>
      </c>
      <c r="R567" s="26">
        <v>1</v>
      </c>
      <c r="S567" s="26">
        <v>3</v>
      </c>
      <c r="T567" s="26">
        <v>7</v>
      </c>
      <c r="U567" s="26">
        <v>11</v>
      </c>
      <c r="V567" s="26">
        <v>1</v>
      </c>
      <c r="W567" s="26"/>
    </row>
    <row r="568" spans="1:23" x14ac:dyDescent="0.25">
      <c r="A568" s="26" t="s">
        <v>53</v>
      </c>
      <c r="B568" s="26" t="s">
        <v>2274</v>
      </c>
      <c r="C568" s="26" t="s">
        <v>2275</v>
      </c>
      <c r="D568" s="26" t="s">
        <v>179</v>
      </c>
      <c r="E568" s="26" t="s">
        <v>2276</v>
      </c>
      <c r="F568" s="26" t="s">
        <v>2277</v>
      </c>
      <c r="G568" s="26" t="s">
        <v>676</v>
      </c>
      <c r="H568" s="26" t="s">
        <v>677</v>
      </c>
      <c r="I568" s="26" t="s">
        <v>184</v>
      </c>
      <c r="J568" s="26" t="s">
        <v>375</v>
      </c>
      <c r="K568" s="26" t="s">
        <v>186</v>
      </c>
      <c r="L568" s="26" t="s">
        <v>79</v>
      </c>
      <c r="M568" s="26" t="s">
        <v>78</v>
      </c>
      <c r="N568" s="26">
        <v>11</v>
      </c>
      <c r="O568" s="26">
        <v>8</v>
      </c>
      <c r="P568" s="26">
        <v>3</v>
      </c>
      <c r="Q568" s="26">
        <v>2</v>
      </c>
      <c r="R568" s="26">
        <v>1</v>
      </c>
      <c r="S568" s="26">
        <v>2</v>
      </c>
      <c r="T568" s="26">
        <v>1</v>
      </c>
      <c r="U568" s="26">
        <v>4</v>
      </c>
      <c r="V568" s="26">
        <v>1</v>
      </c>
      <c r="W568" s="26"/>
    </row>
    <row r="569" spans="1:23" x14ac:dyDescent="0.25">
      <c r="A569" s="26" t="s">
        <v>53</v>
      </c>
      <c r="B569" s="26" t="s">
        <v>2278</v>
      </c>
      <c r="C569" s="26" t="s">
        <v>2279</v>
      </c>
      <c r="D569" s="26" t="s">
        <v>218</v>
      </c>
      <c r="E569" s="26" t="s">
        <v>2280</v>
      </c>
      <c r="F569" s="26" t="s">
        <v>326</v>
      </c>
      <c r="G569" s="26" t="s">
        <v>210</v>
      </c>
      <c r="H569" s="26" t="s">
        <v>327</v>
      </c>
      <c r="I569" s="26" t="s">
        <v>184</v>
      </c>
      <c r="J569" s="26" t="s">
        <v>322</v>
      </c>
      <c r="K569" s="26" t="s">
        <v>186</v>
      </c>
      <c r="L569" s="26" t="s">
        <v>79</v>
      </c>
      <c r="M569" s="26" t="s">
        <v>78</v>
      </c>
      <c r="N569" s="26">
        <v>136</v>
      </c>
      <c r="O569" s="26">
        <v>64</v>
      </c>
      <c r="P569" s="26">
        <v>72</v>
      </c>
      <c r="Q569" s="26">
        <v>8</v>
      </c>
      <c r="R569" s="26">
        <v>1</v>
      </c>
      <c r="S569" s="26">
        <v>26</v>
      </c>
      <c r="T569" s="26">
        <v>15</v>
      </c>
      <c r="U569" s="26">
        <v>42</v>
      </c>
      <c r="V569" s="26">
        <v>1</v>
      </c>
      <c r="W569" s="26"/>
    </row>
    <row r="570" spans="1:23" x14ac:dyDescent="0.25">
      <c r="A570" s="26" t="s">
        <v>53</v>
      </c>
      <c r="B570" s="26" t="s">
        <v>2281</v>
      </c>
      <c r="C570" s="26" t="s">
        <v>2282</v>
      </c>
      <c r="D570" s="26" t="s">
        <v>218</v>
      </c>
      <c r="E570" s="26" t="s">
        <v>2283</v>
      </c>
      <c r="F570" s="26" t="s">
        <v>326</v>
      </c>
      <c r="G570" s="26" t="s">
        <v>210</v>
      </c>
      <c r="H570" s="26" t="s">
        <v>327</v>
      </c>
      <c r="I570" s="26" t="s">
        <v>184</v>
      </c>
      <c r="J570" s="26" t="s">
        <v>322</v>
      </c>
      <c r="K570" s="26" t="s">
        <v>186</v>
      </c>
      <c r="L570" s="26" t="s">
        <v>79</v>
      </c>
      <c r="M570" s="26" t="s">
        <v>78</v>
      </c>
      <c r="N570" s="26">
        <v>203</v>
      </c>
      <c r="O570" s="26">
        <v>105</v>
      </c>
      <c r="P570" s="26">
        <v>98</v>
      </c>
      <c r="Q570" s="26">
        <v>8</v>
      </c>
      <c r="R570" s="26">
        <v>1</v>
      </c>
      <c r="S570" s="26">
        <v>34</v>
      </c>
      <c r="T570" s="26">
        <v>18</v>
      </c>
      <c r="U570" s="26">
        <v>53</v>
      </c>
      <c r="V570" s="26">
        <v>1</v>
      </c>
      <c r="W570" s="26"/>
    </row>
    <row r="571" spans="1:23" x14ac:dyDescent="0.25">
      <c r="A571" s="26" t="s">
        <v>53</v>
      </c>
      <c r="B571" s="26" t="s">
        <v>2284</v>
      </c>
      <c r="C571" s="26" t="s">
        <v>9</v>
      </c>
      <c r="D571" s="26" t="s">
        <v>179</v>
      </c>
      <c r="E571" s="26" t="s">
        <v>2285</v>
      </c>
      <c r="F571" s="26" t="s">
        <v>247</v>
      </c>
      <c r="G571" s="26" t="s">
        <v>198</v>
      </c>
      <c r="H571" s="26" t="s">
        <v>403</v>
      </c>
      <c r="I571" s="26" t="s">
        <v>184</v>
      </c>
      <c r="J571" s="26" t="s">
        <v>375</v>
      </c>
      <c r="K571" s="26" t="s">
        <v>186</v>
      </c>
      <c r="L571" s="26" t="s">
        <v>79</v>
      </c>
      <c r="M571" s="26" t="s">
        <v>78</v>
      </c>
      <c r="N571" s="26">
        <v>4</v>
      </c>
      <c r="O571" s="26">
        <v>1</v>
      </c>
      <c r="P571" s="26">
        <v>3</v>
      </c>
      <c r="Q571" s="26">
        <v>1</v>
      </c>
      <c r="R571" s="26">
        <v>1</v>
      </c>
      <c r="S571" s="26">
        <v>1</v>
      </c>
      <c r="T571" s="26">
        <v>0</v>
      </c>
      <c r="U571" s="26">
        <v>2</v>
      </c>
      <c r="V571" s="26">
        <v>1</v>
      </c>
      <c r="W571" s="26"/>
    </row>
    <row r="572" spans="1:23" x14ac:dyDescent="0.25">
      <c r="A572" s="26" t="s">
        <v>53</v>
      </c>
      <c r="B572" s="26" t="s">
        <v>2286</v>
      </c>
      <c r="C572" s="26" t="s">
        <v>2287</v>
      </c>
      <c r="D572" s="26" t="s">
        <v>179</v>
      </c>
      <c r="E572" s="26" t="s">
        <v>2288</v>
      </c>
      <c r="F572" s="26" t="s">
        <v>385</v>
      </c>
      <c r="G572" s="26" t="s">
        <v>198</v>
      </c>
      <c r="H572" s="26" t="s">
        <v>386</v>
      </c>
      <c r="I572" s="26" t="s">
        <v>184</v>
      </c>
      <c r="J572" s="26" t="s">
        <v>375</v>
      </c>
      <c r="K572" s="26" t="s">
        <v>186</v>
      </c>
      <c r="L572" s="26" t="s">
        <v>79</v>
      </c>
      <c r="M572" s="26" t="s">
        <v>78</v>
      </c>
      <c r="N572" s="26">
        <v>30</v>
      </c>
      <c r="O572" s="26">
        <v>17</v>
      </c>
      <c r="P572" s="26">
        <v>13</v>
      </c>
      <c r="Q572" s="26">
        <v>5</v>
      </c>
      <c r="R572" s="26">
        <v>1</v>
      </c>
      <c r="S572" s="26">
        <v>7</v>
      </c>
      <c r="T572" s="26">
        <v>7</v>
      </c>
      <c r="U572" s="26">
        <v>15</v>
      </c>
      <c r="V572" s="26">
        <v>1</v>
      </c>
      <c r="W572" s="26"/>
    </row>
    <row r="573" spans="1:23" x14ac:dyDescent="0.25">
      <c r="A573" s="26" t="s">
        <v>53</v>
      </c>
      <c r="B573" s="26" t="s">
        <v>2289</v>
      </c>
      <c r="C573" s="26" t="s">
        <v>10</v>
      </c>
      <c r="D573" s="26" t="s">
        <v>179</v>
      </c>
      <c r="E573" s="26" t="s">
        <v>2290</v>
      </c>
      <c r="F573" s="26" t="s">
        <v>2291</v>
      </c>
      <c r="G573" s="26" t="s">
        <v>226</v>
      </c>
      <c r="H573" s="26" t="s">
        <v>833</v>
      </c>
      <c r="I573" s="26" t="s">
        <v>184</v>
      </c>
      <c r="J573" s="26" t="s">
        <v>427</v>
      </c>
      <c r="K573" s="26" t="s">
        <v>186</v>
      </c>
      <c r="L573" s="26" t="s">
        <v>79</v>
      </c>
      <c r="M573" s="26" t="s">
        <v>78</v>
      </c>
      <c r="N573" s="26">
        <v>30</v>
      </c>
      <c r="O573" s="26">
        <v>15</v>
      </c>
      <c r="P573" s="26">
        <v>15</v>
      </c>
      <c r="Q573" s="26">
        <v>4</v>
      </c>
      <c r="R573" s="26">
        <v>1</v>
      </c>
      <c r="S573" s="26">
        <v>6</v>
      </c>
      <c r="T573" s="26">
        <v>4</v>
      </c>
      <c r="U573" s="26">
        <v>11</v>
      </c>
      <c r="V573" s="26">
        <v>1</v>
      </c>
      <c r="W573" s="26"/>
    </row>
    <row r="574" spans="1:23" x14ac:dyDescent="0.25">
      <c r="A574" s="26" t="s">
        <v>53</v>
      </c>
      <c r="B574" s="26" t="s">
        <v>2292</v>
      </c>
      <c r="C574" s="26" t="s">
        <v>2293</v>
      </c>
      <c r="D574" s="26" t="s">
        <v>218</v>
      </c>
      <c r="E574" s="26" t="s">
        <v>2294</v>
      </c>
      <c r="F574" s="26" t="s">
        <v>251</v>
      </c>
      <c r="G574" s="26" t="s">
        <v>252</v>
      </c>
      <c r="H574" s="26" t="s">
        <v>1249</v>
      </c>
      <c r="I574" s="26" t="s">
        <v>184</v>
      </c>
      <c r="J574" s="26" t="s">
        <v>427</v>
      </c>
      <c r="K574" s="26" t="s">
        <v>186</v>
      </c>
      <c r="L574" s="26" t="s">
        <v>79</v>
      </c>
      <c r="M574" s="26" t="s">
        <v>78</v>
      </c>
      <c r="N574" s="26">
        <v>4</v>
      </c>
      <c r="O574" s="26">
        <v>2</v>
      </c>
      <c r="P574" s="26">
        <v>2</v>
      </c>
      <c r="Q574" s="26">
        <v>1</v>
      </c>
      <c r="R574" s="26">
        <v>1</v>
      </c>
      <c r="S574" s="26">
        <v>2</v>
      </c>
      <c r="T574" s="26">
        <v>2</v>
      </c>
      <c r="U574" s="26">
        <v>5</v>
      </c>
      <c r="V574" s="26">
        <v>1</v>
      </c>
      <c r="W574" s="26"/>
    </row>
    <row r="575" spans="1:23" x14ac:dyDescent="0.25">
      <c r="A575" s="26" t="s">
        <v>53</v>
      </c>
      <c r="B575" s="26" t="s">
        <v>2295</v>
      </c>
      <c r="C575" s="26" t="s">
        <v>2296</v>
      </c>
      <c r="D575" s="26" t="s">
        <v>179</v>
      </c>
      <c r="E575" s="26" t="s">
        <v>2297</v>
      </c>
      <c r="F575" s="26" t="s">
        <v>1593</v>
      </c>
      <c r="G575" s="26" t="s">
        <v>191</v>
      </c>
      <c r="H575" s="26" t="s">
        <v>1347</v>
      </c>
      <c r="I575" s="26" t="s">
        <v>184</v>
      </c>
      <c r="J575" s="26" t="s">
        <v>427</v>
      </c>
      <c r="K575" s="26" t="s">
        <v>186</v>
      </c>
      <c r="L575" s="26" t="s">
        <v>79</v>
      </c>
      <c r="M575" s="26" t="s">
        <v>78</v>
      </c>
      <c r="N575" s="26">
        <v>7</v>
      </c>
      <c r="O575" s="26">
        <v>0</v>
      </c>
      <c r="P575" s="26">
        <v>7</v>
      </c>
      <c r="Q575" s="26">
        <v>3</v>
      </c>
      <c r="R575" s="26">
        <v>1</v>
      </c>
      <c r="S575" s="26">
        <v>4</v>
      </c>
      <c r="T575" s="26">
        <v>1</v>
      </c>
      <c r="U575" s="26">
        <v>6</v>
      </c>
      <c r="V575" s="26">
        <v>1</v>
      </c>
      <c r="W575" s="26"/>
    </row>
    <row r="576" spans="1:23" x14ac:dyDescent="0.25">
      <c r="A576" s="26" t="s">
        <v>53</v>
      </c>
      <c r="B576" s="26" t="s">
        <v>2298</v>
      </c>
      <c r="C576" s="26" t="s">
        <v>2299</v>
      </c>
      <c r="D576" s="26" t="s">
        <v>179</v>
      </c>
      <c r="E576" s="26" t="s">
        <v>2300</v>
      </c>
      <c r="F576" s="26" t="s">
        <v>2301</v>
      </c>
      <c r="G576" s="26" t="s">
        <v>413</v>
      </c>
      <c r="H576" s="26" t="s">
        <v>495</v>
      </c>
      <c r="I576" s="26" t="s">
        <v>184</v>
      </c>
      <c r="J576" s="26" t="s">
        <v>375</v>
      </c>
      <c r="K576" s="26" t="s">
        <v>186</v>
      </c>
      <c r="L576" s="26" t="s">
        <v>79</v>
      </c>
      <c r="M576" s="26" t="s">
        <v>78</v>
      </c>
      <c r="N576" s="26">
        <v>12</v>
      </c>
      <c r="O576" s="26">
        <v>9</v>
      </c>
      <c r="P576" s="26">
        <v>3</v>
      </c>
      <c r="Q576" s="26">
        <v>1</v>
      </c>
      <c r="R576" s="26">
        <v>1</v>
      </c>
      <c r="S576" s="26">
        <v>5</v>
      </c>
      <c r="T576" s="26">
        <v>2</v>
      </c>
      <c r="U576" s="26">
        <v>8</v>
      </c>
      <c r="V576" s="26">
        <v>1</v>
      </c>
      <c r="W576" s="26"/>
    </row>
    <row r="577" spans="1:23" x14ac:dyDescent="0.25">
      <c r="A577" s="26" t="s">
        <v>53</v>
      </c>
      <c r="B577" s="26" t="s">
        <v>2302</v>
      </c>
      <c r="C577" s="26" t="s">
        <v>2303</v>
      </c>
      <c r="D577" s="26" t="s">
        <v>179</v>
      </c>
      <c r="E577" s="26" t="s">
        <v>2304</v>
      </c>
      <c r="F577" s="26" t="s">
        <v>800</v>
      </c>
      <c r="G577" s="26" t="s">
        <v>413</v>
      </c>
      <c r="H577" s="26" t="s">
        <v>466</v>
      </c>
      <c r="I577" s="26" t="s">
        <v>184</v>
      </c>
      <c r="J577" s="26" t="s">
        <v>375</v>
      </c>
      <c r="K577" s="26" t="s">
        <v>186</v>
      </c>
      <c r="L577" s="26" t="s">
        <v>79</v>
      </c>
      <c r="M577" s="26" t="s">
        <v>78</v>
      </c>
      <c r="N577" s="26">
        <v>16</v>
      </c>
      <c r="O577" s="26">
        <v>11</v>
      </c>
      <c r="P577" s="26">
        <v>5</v>
      </c>
      <c r="Q577" s="26">
        <v>3</v>
      </c>
      <c r="R577" s="26">
        <v>1</v>
      </c>
      <c r="S577" s="26">
        <v>4</v>
      </c>
      <c r="T577" s="26">
        <v>4</v>
      </c>
      <c r="U577" s="26">
        <v>9</v>
      </c>
      <c r="V577" s="26">
        <v>1</v>
      </c>
      <c r="W577" s="26"/>
    </row>
    <row r="578" spans="1:23" x14ac:dyDescent="0.25">
      <c r="A578" s="26" t="s">
        <v>53</v>
      </c>
      <c r="B578" s="26" t="s">
        <v>2305</v>
      </c>
      <c r="C578" s="26" t="s">
        <v>2306</v>
      </c>
      <c r="D578" s="26" t="s">
        <v>179</v>
      </c>
      <c r="E578" s="26" t="s">
        <v>2307</v>
      </c>
      <c r="F578" s="26" t="s">
        <v>671</v>
      </c>
      <c r="G578" s="26" t="s">
        <v>413</v>
      </c>
      <c r="H578" s="26" t="s">
        <v>518</v>
      </c>
      <c r="I578" s="26" t="s">
        <v>184</v>
      </c>
      <c r="J578" s="26" t="s">
        <v>322</v>
      </c>
      <c r="K578" s="26" t="s">
        <v>186</v>
      </c>
      <c r="L578" s="26" t="s">
        <v>79</v>
      </c>
      <c r="M578" s="26" t="s">
        <v>78</v>
      </c>
      <c r="N578" s="26">
        <v>3</v>
      </c>
      <c r="O578" s="26">
        <v>2</v>
      </c>
      <c r="P578" s="26">
        <v>1</v>
      </c>
      <c r="Q578" s="26">
        <v>1</v>
      </c>
      <c r="R578" s="26">
        <v>1</v>
      </c>
      <c r="S578" s="26">
        <v>1</v>
      </c>
      <c r="T578" s="26">
        <v>2</v>
      </c>
      <c r="U578" s="26">
        <v>4</v>
      </c>
      <c r="V578" s="26">
        <v>1</v>
      </c>
      <c r="W578" s="26"/>
    </row>
    <row r="579" spans="1:23" x14ac:dyDescent="0.25">
      <c r="A579" s="26" t="s">
        <v>53</v>
      </c>
      <c r="B579" s="26" t="s">
        <v>2308</v>
      </c>
      <c r="C579" s="26" t="s">
        <v>2309</v>
      </c>
      <c r="D579" s="26" t="s">
        <v>218</v>
      </c>
      <c r="E579" s="26" t="s">
        <v>2310</v>
      </c>
      <c r="F579" s="26" t="s">
        <v>1709</v>
      </c>
      <c r="G579" s="26" t="s">
        <v>293</v>
      </c>
      <c r="H579" s="26" t="s">
        <v>1506</v>
      </c>
      <c r="I579" s="26" t="s">
        <v>184</v>
      </c>
      <c r="J579" s="26" t="s">
        <v>295</v>
      </c>
      <c r="K579" s="26" t="s">
        <v>296</v>
      </c>
      <c r="L579" s="26" t="s">
        <v>80</v>
      </c>
      <c r="M579" s="26" t="s">
        <v>78</v>
      </c>
      <c r="N579" s="26">
        <v>80</v>
      </c>
      <c r="O579" s="26">
        <v>35</v>
      </c>
      <c r="P579" s="26">
        <v>45</v>
      </c>
      <c r="Q579" s="26">
        <v>5</v>
      </c>
      <c r="R579" s="26">
        <v>1</v>
      </c>
      <c r="S579" s="26">
        <v>25</v>
      </c>
      <c r="T579" s="26">
        <v>15</v>
      </c>
      <c r="U579" s="26">
        <v>41</v>
      </c>
      <c r="V579" s="26">
        <v>1</v>
      </c>
      <c r="W579" s="26"/>
    </row>
    <row r="580" spans="1:23" x14ac:dyDescent="0.25">
      <c r="A580" s="26" t="s">
        <v>53</v>
      </c>
      <c r="B580" s="26" t="s">
        <v>2311</v>
      </c>
      <c r="C580" s="26" t="s">
        <v>2312</v>
      </c>
      <c r="D580" s="26" t="s">
        <v>179</v>
      </c>
      <c r="E580" s="26" t="s">
        <v>2313</v>
      </c>
      <c r="F580" s="26" t="s">
        <v>2314</v>
      </c>
      <c r="G580" s="26" t="s">
        <v>637</v>
      </c>
      <c r="H580" s="26" t="s">
        <v>657</v>
      </c>
      <c r="I580" s="26" t="s">
        <v>184</v>
      </c>
      <c r="J580" s="26" t="s">
        <v>427</v>
      </c>
      <c r="K580" s="26" t="s">
        <v>186</v>
      </c>
      <c r="L580" s="26" t="s">
        <v>79</v>
      </c>
      <c r="M580" s="26" t="s">
        <v>78</v>
      </c>
      <c r="N580" s="26">
        <v>62</v>
      </c>
      <c r="O580" s="26">
        <v>31</v>
      </c>
      <c r="P580" s="26">
        <v>31</v>
      </c>
      <c r="Q580" s="26">
        <v>5</v>
      </c>
      <c r="R580" s="26">
        <v>1</v>
      </c>
      <c r="S580" s="26">
        <v>21</v>
      </c>
      <c r="T580" s="26">
        <v>15</v>
      </c>
      <c r="U580" s="26">
        <v>37</v>
      </c>
      <c r="V580" s="26">
        <v>1</v>
      </c>
      <c r="W580" s="26"/>
    </row>
    <row r="581" spans="1:23" x14ac:dyDescent="0.25">
      <c r="A581" s="26" t="s">
        <v>53</v>
      </c>
      <c r="B581" s="26" t="s">
        <v>2315</v>
      </c>
      <c r="C581" s="26" t="s">
        <v>11</v>
      </c>
      <c r="D581" s="26" t="s">
        <v>179</v>
      </c>
      <c r="E581" s="26" t="s">
        <v>2316</v>
      </c>
      <c r="F581" s="26" t="s">
        <v>326</v>
      </c>
      <c r="G581" s="26" t="s">
        <v>210</v>
      </c>
      <c r="H581" s="26" t="s">
        <v>327</v>
      </c>
      <c r="I581" s="26" t="s">
        <v>184</v>
      </c>
      <c r="J581" s="26" t="s">
        <v>322</v>
      </c>
      <c r="K581" s="26" t="s">
        <v>186</v>
      </c>
      <c r="L581" s="26" t="s">
        <v>79</v>
      </c>
      <c r="M581" s="26" t="s">
        <v>78</v>
      </c>
      <c r="N581" s="26">
        <v>41</v>
      </c>
      <c r="O581" s="26">
        <v>19</v>
      </c>
      <c r="P581" s="26">
        <v>22</v>
      </c>
      <c r="Q581" s="26">
        <v>6</v>
      </c>
      <c r="R581" s="26">
        <v>1</v>
      </c>
      <c r="S581" s="26">
        <v>10</v>
      </c>
      <c r="T581" s="26">
        <v>5</v>
      </c>
      <c r="U581" s="26">
        <v>16</v>
      </c>
      <c r="V581" s="26">
        <v>1</v>
      </c>
      <c r="W581" s="26"/>
    </row>
    <row r="582" spans="1:23" x14ac:dyDescent="0.25">
      <c r="A582" s="26" t="s">
        <v>53</v>
      </c>
      <c r="B582" s="26" t="s">
        <v>2317</v>
      </c>
      <c r="C582" s="26" t="s">
        <v>12</v>
      </c>
      <c r="D582" s="26" t="s">
        <v>179</v>
      </c>
      <c r="E582" s="26" t="s">
        <v>2318</v>
      </c>
      <c r="F582" s="26" t="s">
        <v>2114</v>
      </c>
      <c r="G582" s="26" t="s">
        <v>487</v>
      </c>
      <c r="H582" s="26" t="s">
        <v>294</v>
      </c>
      <c r="I582" s="26" t="s">
        <v>184</v>
      </c>
      <c r="J582" s="26" t="s">
        <v>375</v>
      </c>
      <c r="K582" s="26" t="s">
        <v>186</v>
      </c>
      <c r="L582" s="26" t="s">
        <v>79</v>
      </c>
      <c r="M582" s="26" t="s">
        <v>78</v>
      </c>
      <c r="N582" s="26">
        <v>63</v>
      </c>
      <c r="O582" s="26">
        <v>29</v>
      </c>
      <c r="P582" s="26">
        <v>34</v>
      </c>
      <c r="Q582" s="26">
        <v>5</v>
      </c>
      <c r="R582" s="26">
        <v>1</v>
      </c>
      <c r="S582" s="26">
        <v>15</v>
      </c>
      <c r="T582" s="26">
        <v>8</v>
      </c>
      <c r="U582" s="26">
        <v>24</v>
      </c>
      <c r="V582" s="26">
        <v>1</v>
      </c>
      <c r="W582" s="26"/>
    </row>
    <row r="583" spans="1:23" x14ac:dyDescent="0.25">
      <c r="A583" s="26" t="s">
        <v>53</v>
      </c>
      <c r="B583" s="26" t="s">
        <v>2319</v>
      </c>
      <c r="C583" s="26" t="s">
        <v>2320</v>
      </c>
      <c r="D583" s="26" t="s">
        <v>218</v>
      </c>
      <c r="E583" s="26" t="s">
        <v>2321</v>
      </c>
      <c r="F583" s="26" t="s">
        <v>2322</v>
      </c>
      <c r="G583" s="26" t="s">
        <v>191</v>
      </c>
      <c r="H583" s="26" t="s">
        <v>1841</v>
      </c>
      <c r="I583" s="26" t="s">
        <v>184</v>
      </c>
      <c r="J583" s="26" t="s">
        <v>427</v>
      </c>
      <c r="K583" s="26" t="s">
        <v>186</v>
      </c>
      <c r="L583" s="26" t="s">
        <v>79</v>
      </c>
      <c r="M583" s="26" t="s">
        <v>78</v>
      </c>
      <c r="N583" s="26">
        <v>15</v>
      </c>
      <c r="O583" s="26">
        <v>11</v>
      </c>
      <c r="P583" s="26">
        <v>4</v>
      </c>
      <c r="Q583" s="26">
        <v>3</v>
      </c>
      <c r="R583" s="26">
        <v>1</v>
      </c>
      <c r="S583" s="26">
        <v>4</v>
      </c>
      <c r="T583" s="26">
        <v>5</v>
      </c>
      <c r="U583" s="26">
        <v>10</v>
      </c>
      <c r="V583" s="26">
        <v>1</v>
      </c>
      <c r="W583" s="26"/>
    </row>
    <row r="584" spans="1:23" x14ac:dyDescent="0.25">
      <c r="A584" s="26" t="s">
        <v>53</v>
      </c>
      <c r="B584" s="26" t="s">
        <v>2323</v>
      </c>
      <c r="C584" s="26" t="s">
        <v>2324</v>
      </c>
      <c r="D584" s="26" t="s">
        <v>179</v>
      </c>
      <c r="E584" s="26" t="s">
        <v>2325</v>
      </c>
      <c r="F584" s="26" t="s">
        <v>2326</v>
      </c>
      <c r="G584" s="26" t="s">
        <v>191</v>
      </c>
      <c r="H584" s="26" t="s">
        <v>1841</v>
      </c>
      <c r="I584" s="26" t="s">
        <v>184</v>
      </c>
      <c r="J584" s="26" t="s">
        <v>427</v>
      </c>
      <c r="K584" s="26" t="s">
        <v>186</v>
      </c>
      <c r="L584" s="26" t="s">
        <v>79</v>
      </c>
      <c r="M584" s="26" t="s">
        <v>78</v>
      </c>
      <c r="N584" s="26">
        <v>3</v>
      </c>
      <c r="O584" s="26">
        <v>3</v>
      </c>
      <c r="P584" s="26">
        <v>0</v>
      </c>
      <c r="Q584" s="26">
        <v>1</v>
      </c>
      <c r="R584" s="26">
        <v>1</v>
      </c>
      <c r="S584" s="26">
        <v>1</v>
      </c>
      <c r="T584" s="26">
        <v>2</v>
      </c>
      <c r="U584" s="26">
        <v>4</v>
      </c>
      <c r="V584" s="26">
        <v>1</v>
      </c>
      <c r="W584" s="26"/>
    </row>
    <row r="585" spans="1:23" x14ac:dyDescent="0.25">
      <c r="A585" s="26" t="s">
        <v>53</v>
      </c>
      <c r="B585" s="26" t="s">
        <v>2327</v>
      </c>
      <c r="C585" s="26" t="s">
        <v>2328</v>
      </c>
      <c r="D585" s="26" t="s">
        <v>179</v>
      </c>
      <c r="E585" s="26" t="s">
        <v>2329</v>
      </c>
      <c r="F585" s="26" t="s">
        <v>2330</v>
      </c>
      <c r="G585" s="26" t="s">
        <v>191</v>
      </c>
      <c r="H585" s="26" t="s">
        <v>1841</v>
      </c>
      <c r="I585" s="26" t="s">
        <v>184</v>
      </c>
      <c r="J585" s="26" t="s">
        <v>427</v>
      </c>
      <c r="K585" s="26" t="s">
        <v>186</v>
      </c>
      <c r="L585" s="26" t="s">
        <v>79</v>
      </c>
      <c r="M585" s="26" t="s">
        <v>78</v>
      </c>
      <c r="N585" s="26">
        <v>10</v>
      </c>
      <c r="O585" s="26">
        <v>6</v>
      </c>
      <c r="P585" s="26">
        <v>4</v>
      </c>
      <c r="Q585" s="26">
        <v>1</v>
      </c>
      <c r="R585" s="26">
        <v>1</v>
      </c>
      <c r="S585" s="26">
        <v>2</v>
      </c>
      <c r="T585" s="26">
        <v>4</v>
      </c>
      <c r="U585" s="26">
        <v>7</v>
      </c>
      <c r="V585" s="26">
        <v>1</v>
      </c>
      <c r="W585" s="26"/>
    </row>
    <row r="586" spans="1:23" x14ac:dyDescent="0.25">
      <c r="A586" s="26" t="s">
        <v>53</v>
      </c>
      <c r="B586" s="26" t="s">
        <v>2331</v>
      </c>
      <c r="C586" s="26" t="s">
        <v>2332</v>
      </c>
      <c r="D586" s="26" t="s">
        <v>179</v>
      </c>
      <c r="E586" s="26" t="s">
        <v>2333</v>
      </c>
      <c r="F586" s="26" t="s">
        <v>2334</v>
      </c>
      <c r="G586" s="26" t="s">
        <v>191</v>
      </c>
      <c r="H586" s="26" t="s">
        <v>1841</v>
      </c>
      <c r="I586" s="26" t="s">
        <v>184</v>
      </c>
      <c r="J586" s="26" t="s">
        <v>427</v>
      </c>
      <c r="K586" s="26" t="s">
        <v>186</v>
      </c>
      <c r="L586" s="26" t="s">
        <v>79</v>
      </c>
      <c r="M586" s="26" t="s">
        <v>78</v>
      </c>
      <c r="N586" s="26">
        <v>7</v>
      </c>
      <c r="O586" s="26">
        <v>3</v>
      </c>
      <c r="P586" s="26">
        <v>4</v>
      </c>
      <c r="Q586" s="26">
        <v>1</v>
      </c>
      <c r="R586" s="26">
        <v>1</v>
      </c>
      <c r="S586" s="26">
        <v>1</v>
      </c>
      <c r="T586" s="26">
        <v>3</v>
      </c>
      <c r="U586" s="26">
        <v>5</v>
      </c>
      <c r="V586" s="26">
        <v>1</v>
      </c>
      <c r="W586" s="26"/>
    </row>
    <row r="587" spans="1:23" x14ac:dyDescent="0.25">
      <c r="A587" s="26" t="s">
        <v>53</v>
      </c>
      <c r="B587" s="26" t="s">
        <v>2335</v>
      </c>
      <c r="C587" s="26" t="s">
        <v>2336</v>
      </c>
      <c r="D587" s="26" t="s">
        <v>179</v>
      </c>
      <c r="E587" s="26" t="s">
        <v>2337</v>
      </c>
      <c r="F587" s="26" t="s">
        <v>231</v>
      </c>
      <c r="G587" s="26" t="s">
        <v>198</v>
      </c>
      <c r="H587" s="26" t="s">
        <v>403</v>
      </c>
      <c r="I587" s="26" t="s">
        <v>184</v>
      </c>
      <c r="J587" s="26" t="s">
        <v>375</v>
      </c>
      <c r="K587" s="26" t="s">
        <v>186</v>
      </c>
      <c r="L587" s="26" t="s">
        <v>79</v>
      </c>
      <c r="M587" s="26" t="s">
        <v>78</v>
      </c>
      <c r="N587" s="26">
        <v>17</v>
      </c>
      <c r="O587" s="26">
        <v>8</v>
      </c>
      <c r="P587" s="26">
        <v>9</v>
      </c>
      <c r="Q587" s="26">
        <v>2</v>
      </c>
      <c r="R587" s="26">
        <v>1</v>
      </c>
      <c r="S587" s="26">
        <v>4</v>
      </c>
      <c r="T587" s="26">
        <v>4</v>
      </c>
      <c r="U587" s="26">
        <v>9</v>
      </c>
      <c r="V587" s="26">
        <v>1</v>
      </c>
      <c r="W587" s="26"/>
    </row>
    <row r="588" spans="1:23" x14ac:dyDescent="0.25">
      <c r="A588" s="26" t="s">
        <v>53</v>
      </c>
      <c r="B588" s="26" t="s">
        <v>2338</v>
      </c>
      <c r="C588" s="26" t="s">
        <v>2339</v>
      </c>
      <c r="D588" s="26" t="s">
        <v>179</v>
      </c>
      <c r="E588" s="26" t="s">
        <v>13</v>
      </c>
      <c r="F588" s="26" t="s">
        <v>2174</v>
      </c>
      <c r="G588" s="26" t="s">
        <v>487</v>
      </c>
      <c r="H588" s="26" t="s">
        <v>1693</v>
      </c>
      <c r="I588" s="26" t="s">
        <v>184</v>
      </c>
      <c r="J588" s="26" t="s">
        <v>375</v>
      </c>
      <c r="K588" s="26" t="s">
        <v>186</v>
      </c>
      <c r="L588" s="26" t="s">
        <v>79</v>
      </c>
      <c r="M588" s="26" t="s">
        <v>78</v>
      </c>
      <c r="N588" s="26">
        <v>51</v>
      </c>
      <c r="O588" s="26">
        <v>20</v>
      </c>
      <c r="P588" s="26">
        <v>31</v>
      </c>
      <c r="Q588" s="26">
        <v>4</v>
      </c>
      <c r="R588" s="26">
        <v>1</v>
      </c>
      <c r="S588" s="26">
        <v>9</v>
      </c>
      <c r="T588" s="26">
        <v>3</v>
      </c>
      <c r="U588" s="26">
        <v>13</v>
      </c>
      <c r="V588" s="26">
        <v>1</v>
      </c>
      <c r="W588" s="26"/>
    </row>
    <row r="589" spans="1:23" x14ac:dyDescent="0.25">
      <c r="A589" s="26" t="s">
        <v>53</v>
      </c>
      <c r="B589" s="26" t="s">
        <v>2340</v>
      </c>
      <c r="C589" s="26" t="s">
        <v>2341</v>
      </c>
      <c r="D589" s="26" t="s">
        <v>218</v>
      </c>
      <c r="E589" s="26" t="s">
        <v>2342</v>
      </c>
      <c r="F589" s="26" t="s">
        <v>1499</v>
      </c>
      <c r="G589" s="26" t="s">
        <v>413</v>
      </c>
      <c r="H589" s="26" t="s">
        <v>787</v>
      </c>
      <c r="I589" s="26" t="s">
        <v>184</v>
      </c>
      <c r="J589" s="26" t="s">
        <v>375</v>
      </c>
      <c r="K589" s="26" t="s">
        <v>186</v>
      </c>
      <c r="L589" s="26" t="s">
        <v>79</v>
      </c>
      <c r="M589" s="26" t="s">
        <v>78</v>
      </c>
      <c r="N589" s="26">
        <v>6</v>
      </c>
      <c r="O589" s="26">
        <v>3</v>
      </c>
      <c r="P589" s="26">
        <v>3</v>
      </c>
      <c r="Q589" s="26">
        <v>2</v>
      </c>
      <c r="R589" s="26">
        <v>1</v>
      </c>
      <c r="S589" s="26">
        <v>2</v>
      </c>
      <c r="T589" s="26">
        <v>0</v>
      </c>
      <c r="U589" s="26">
        <v>3</v>
      </c>
      <c r="V589" s="26">
        <v>1</v>
      </c>
      <c r="W589" s="26"/>
    </row>
    <row r="590" spans="1:23" x14ac:dyDescent="0.25">
      <c r="A590" s="26" t="s">
        <v>53</v>
      </c>
      <c r="B590" s="26" t="s">
        <v>2343</v>
      </c>
      <c r="C590" s="26" t="s">
        <v>2344</v>
      </c>
      <c r="D590" s="26" t="s">
        <v>218</v>
      </c>
      <c r="E590" s="26" t="s">
        <v>2345</v>
      </c>
      <c r="F590" s="26" t="s">
        <v>1499</v>
      </c>
      <c r="G590" s="26" t="s">
        <v>413</v>
      </c>
      <c r="H590" s="26" t="s">
        <v>787</v>
      </c>
      <c r="I590" s="26" t="s">
        <v>184</v>
      </c>
      <c r="J590" s="26" t="s">
        <v>375</v>
      </c>
      <c r="K590" s="26" t="s">
        <v>186</v>
      </c>
      <c r="L590" s="26" t="s">
        <v>79</v>
      </c>
      <c r="M590" s="26" t="s">
        <v>78</v>
      </c>
      <c r="N590" s="26">
        <v>16</v>
      </c>
      <c r="O590" s="26">
        <v>10</v>
      </c>
      <c r="P590" s="26">
        <v>6</v>
      </c>
      <c r="Q590" s="26">
        <v>5</v>
      </c>
      <c r="R590" s="26">
        <v>1</v>
      </c>
      <c r="S590" s="26">
        <v>3</v>
      </c>
      <c r="T590" s="26">
        <v>2</v>
      </c>
      <c r="U590" s="26">
        <v>6</v>
      </c>
      <c r="V590" s="26">
        <v>1</v>
      </c>
      <c r="W590" s="26"/>
    </row>
    <row r="591" spans="1:23" x14ac:dyDescent="0.25">
      <c r="A591" s="26" t="s">
        <v>53</v>
      </c>
      <c r="B591" s="26" t="s">
        <v>2346</v>
      </c>
      <c r="C591" s="26" t="s">
        <v>2347</v>
      </c>
      <c r="D591" s="26" t="s">
        <v>179</v>
      </c>
      <c r="E591" s="26" t="s">
        <v>2348</v>
      </c>
      <c r="F591" s="26" t="s">
        <v>1499</v>
      </c>
      <c r="G591" s="26" t="s">
        <v>413</v>
      </c>
      <c r="H591" s="26" t="s">
        <v>495</v>
      </c>
      <c r="I591" s="26" t="s">
        <v>184</v>
      </c>
      <c r="J591" s="26" t="s">
        <v>375</v>
      </c>
      <c r="K591" s="26" t="s">
        <v>186</v>
      </c>
      <c r="L591" s="26" t="s">
        <v>79</v>
      </c>
      <c r="M591" s="26" t="s">
        <v>78</v>
      </c>
      <c r="N591" s="26">
        <v>4</v>
      </c>
      <c r="O591" s="26">
        <v>2</v>
      </c>
      <c r="P591" s="26">
        <v>2</v>
      </c>
      <c r="Q591" s="26">
        <v>1</v>
      </c>
      <c r="R591" s="26">
        <v>1</v>
      </c>
      <c r="S591" s="26">
        <v>2</v>
      </c>
      <c r="T591" s="26">
        <v>3</v>
      </c>
      <c r="U591" s="26">
        <v>6</v>
      </c>
      <c r="V591" s="26">
        <v>1</v>
      </c>
      <c r="W591" s="26"/>
    </row>
    <row r="592" spans="1:23" x14ac:dyDescent="0.25">
      <c r="A592" s="26" t="s">
        <v>53</v>
      </c>
      <c r="B592" s="26" t="s">
        <v>2349</v>
      </c>
      <c r="C592" s="26" t="s">
        <v>14</v>
      </c>
      <c r="D592" s="26" t="s">
        <v>179</v>
      </c>
      <c r="E592" s="26" t="s">
        <v>2350</v>
      </c>
      <c r="F592" s="26" t="s">
        <v>2351</v>
      </c>
      <c r="G592" s="26" t="s">
        <v>204</v>
      </c>
      <c r="H592" s="26" t="s">
        <v>643</v>
      </c>
      <c r="I592" s="26" t="s">
        <v>184</v>
      </c>
      <c r="J592" s="26" t="s">
        <v>322</v>
      </c>
      <c r="K592" s="26" t="s">
        <v>186</v>
      </c>
      <c r="L592" s="26" t="s">
        <v>79</v>
      </c>
      <c r="M592" s="26" t="s">
        <v>78</v>
      </c>
      <c r="N592" s="26">
        <v>55</v>
      </c>
      <c r="O592" s="26">
        <v>28</v>
      </c>
      <c r="P592" s="26">
        <v>27</v>
      </c>
      <c r="Q592" s="26">
        <v>6</v>
      </c>
      <c r="R592" s="26">
        <v>1</v>
      </c>
      <c r="S592" s="26">
        <v>14</v>
      </c>
      <c r="T592" s="26">
        <v>12</v>
      </c>
      <c r="U592" s="26">
        <v>27</v>
      </c>
      <c r="V592" s="26">
        <v>1</v>
      </c>
      <c r="W592" s="26"/>
    </row>
    <row r="593" spans="1:23" x14ac:dyDescent="0.25">
      <c r="A593" s="26" t="s">
        <v>53</v>
      </c>
      <c r="B593" s="26" t="s">
        <v>2352</v>
      </c>
      <c r="C593" s="26" t="s">
        <v>2353</v>
      </c>
      <c r="D593" s="26" t="s">
        <v>179</v>
      </c>
      <c r="E593" s="26" t="s">
        <v>2354</v>
      </c>
      <c r="F593" s="26" t="s">
        <v>2355</v>
      </c>
      <c r="G593" s="26" t="s">
        <v>191</v>
      </c>
      <c r="H593" s="26" t="s">
        <v>426</v>
      </c>
      <c r="I593" s="26" t="s">
        <v>184</v>
      </c>
      <c r="J593" s="26" t="s">
        <v>427</v>
      </c>
      <c r="K593" s="26" t="s">
        <v>186</v>
      </c>
      <c r="L593" s="26" t="s">
        <v>79</v>
      </c>
      <c r="M593" s="26" t="s">
        <v>78</v>
      </c>
      <c r="N593" s="26">
        <v>6</v>
      </c>
      <c r="O593" s="26">
        <v>5</v>
      </c>
      <c r="P593" s="26">
        <v>1</v>
      </c>
      <c r="Q593" s="26">
        <v>1</v>
      </c>
      <c r="R593" s="26">
        <v>1</v>
      </c>
      <c r="S593" s="26">
        <v>5</v>
      </c>
      <c r="T593" s="26">
        <v>4</v>
      </c>
      <c r="U593" s="26">
        <v>10</v>
      </c>
      <c r="V593" s="26">
        <v>1</v>
      </c>
      <c r="W593" s="26"/>
    </row>
    <row r="594" spans="1:23" x14ac:dyDescent="0.25">
      <c r="A594" s="26" t="s">
        <v>53</v>
      </c>
      <c r="B594" s="26" t="s">
        <v>2356</v>
      </c>
      <c r="C594" s="26" t="s">
        <v>2357</v>
      </c>
      <c r="D594" s="26" t="s">
        <v>179</v>
      </c>
      <c r="E594" s="26" t="s">
        <v>4008</v>
      </c>
      <c r="F594" s="26" t="s">
        <v>2089</v>
      </c>
      <c r="G594" s="26" t="s">
        <v>265</v>
      </c>
      <c r="H594" s="26" t="s">
        <v>445</v>
      </c>
      <c r="I594" s="26" t="s">
        <v>184</v>
      </c>
      <c r="J594" s="26" t="s">
        <v>322</v>
      </c>
      <c r="K594" s="26" t="s">
        <v>186</v>
      </c>
      <c r="L594" s="26" t="s">
        <v>79</v>
      </c>
      <c r="M594" s="26" t="s">
        <v>78</v>
      </c>
      <c r="N594" s="26">
        <v>36</v>
      </c>
      <c r="O594" s="26">
        <v>22</v>
      </c>
      <c r="P594" s="26">
        <v>14</v>
      </c>
      <c r="Q594" s="26">
        <v>4</v>
      </c>
      <c r="R594" s="26">
        <v>1</v>
      </c>
      <c r="S594" s="26">
        <v>11</v>
      </c>
      <c r="T594" s="26">
        <v>11</v>
      </c>
      <c r="U594" s="26">
        <v>23</v>
      </c>
      <c r="V594" s="26">
        <v>1</v>
      </c>
      <c r="W594" s="26"/>
    </row>
    <row r="595" spans="1:23" x14ac:dyDescent="0.25">
      <c r="A595" s="26" t="s">
        <v>53</v>
      </c>
      <c r="B595" s="26" t="s">
        <v>2358</v>
      </c>
      <c r="C595" s="26" t="s">
        <v>2359</v>
      </c>
      <c r="D595" s="26" t="s">
        <v>179</v>
      </c>
      <c r="E595" s="26" t="s">
        <v>4009</v>
      </c>
      <c r="F595" s="26" t="s">
        <v>1179</v>
      </c>
      <c r="G595" s="26" t="s">
        <v>182</v>
      </c>
      <c r="H595" s="26" t="s">
        <v>440</v>
      </c>
      <c r="I595" s="26" t="s">
        <v>184</v>
      </c>
      <c r="J595" s="26" t="s">
        <v>322</v>
      </c>
      <c r="K595" s="26" t="s">
        <v>186</v>
      </c>
      <c r="L595" s="26" t="s">
        <v>79</v>
      </c>
      <c r="M595" s="26" t="s">
        <v>78</v>
      </c>
      <c r="N595" s="26">
        <v>81</v>
      </c>
      <c r="O595" s="26">
        <v>52</v>
      </c>
      <c r="P595" s="26">
        <v>29</v>
      </c>
      <c r="Q595" s="26">
        <v>6</v>
      </c>
      <c r="R595" s="26">
        <v>1</v>
      </c>
      <c r="S595" s="26">
        <v>17</v>
      </c>
      <c r="T595" s="26">
        <v>12</v>
      </c>
      <c r="U595" s="26">
        <v>30</v>
      </c>
      <c r="V595" s="26">
        <v>1</v>
      </c>
      <c r="W595" s="26"/>
    </row>
    <row r="596" spans="1:23" x14ac:dyDescent="0.25">
      <c r="A596" s="26" t="s">
        <v>53</v>
      </c>
      <c r="B596" s="26" t="s">
        <v>2360</v>
      </c>
      <c r="C596" s="26" t="s">
        <v>2361</v>
      </c>
      <c r="D596" s="26" t="s">
        <v>179</v>
      </c>
      <c r="E596" s="26" t="s">
        <v>2362</v>
      </c>
      <c r="F596" s="26" t="s">
        <v>1179</v>
      </c>
      <c r="G596" s="26" t="s">
        <v>182</v>
      </c>
      <c r="H596" s="26" t="s">
        <v>974</v>
      </c>
      <c r="I596" s="26" t="s">
        <v>184</v>
      </c>
      <c r="J596" s="26" t="s">
        <v>322</v>
      </c>
      <c r="K596" s="26" t="s">
        <v>186</v>
      </c>
      <c r="L596" s="26" t="s">
        <v>79</v>
      </c>
      <c r="M596" s="26" t="s">
        <v>78</v>
      </c>
      <c r="N596" s="26">
        <v>89</v>
      </c>
      <c r="O596" s="26">
        <v>46</v>
      </c>
      <c r="P596" s="26">
        <v>43</v>
      </c>
      <c r="Q596" s="26">
        <v>5</v>
      </c>
      <c r="R596" s="26">
        <v>1</v>
      </c>
      <c r="S596" s="26">
        <v>21</v>
      </c>
      <c r="T596" s="26">
        <v>17</v>
      </c>
      <c r="U596" s="26">
        <v>39</v>
      </c>
      <c r="V596" s="26">
        <v>1</v>
      </c>
      <c r="W596" s="26"/>
    </row>
    <row r="597" spans="1:23" x14ac:dyDescent="0.25">
      <c r="A597" s="26" t="s">
        <v>53</v>
      </c>
      <c r="B597" s="26" t="s">
        <v>2363</v>
      </c>
      <c r="C597" s="26" t="s">
        <v>2361</v>
      </c>
      <c r="D597" s="26" t="s">
        <v>179</v>
      </c>
      <c r="E597" s="26" t="s">
        <v>2364</v>
      </c>
      <c r="F597" s="26" t="s">
        <v>1179</v>
      </c>
      <c r="G597" s="26" t="s">
        <v>182</v>
      </c>
      <c r="H597" s="26" t="s">
        <v>440</v>
      </c>
      <c r="I597" s="26" t="s">
        <v>184</v>
      </c>
      <c r="J597" s="26" t="s">
        <v>322</v>
      </c>
      <c r="K597" s="26" t="s">
        <v>186</v>
      </c>
      <c r="L597" s="26" t="s">
        <v>79</v>
      </c>
      <c r="M597" s="26" t="s">
        <v>78</v>
      </c>
      <c r="N597" s="26">
        <v>87</v>
      </c>
      <c r="O597" s="26">
        <v>41</v>
      </c>
      <c r="P597" s="26">
        <v>46</v>
      </c>
      <c r="Q597" s="26">
        <v>5</v>
      </c>
      <c r="R597" s="26">
        <v>1</v>
      </c>
      <c r="S597" s="26">
        <v>18</v>
      </c>
      <c r="T597" s="26">
        <v>14</v>
      </c>
      <c r="U597" s="26">
        <v>33</v>
      </c>
      <c r="V597" s="26">
        <v>1</v>
      </c>
      <c r="W597" s="26"/>
    </row>
    <row r="598" spans="1:23" x14ac:dyDescent="0.25">
      <c r="A598" s="26" t="s">
        <v>53</v>
      </c>
      <c r="B598" s="26" t="s">
        <v>2365</v>
      </c>
      <c r="C598" s="26" t="s">
        <v>2366</v>
      </c>
      <c r="D598" s="26" t="s">
        <v>179</v>
      </c>
      <c r="E598" s="26" t="s">
        <v>4010</v>
      </c>
      <c r="F598" s="26" t="s">
        <v>1824</v>
      </c>
      <c r="G598" s="26" t="s">
        <v>487</v>
      </c>
      <c r="H598" s="26" t="s">
        <v>1307</v>
      </c>
      <c r="I598" s="26" t="s">
        <v>184</v>
      </c>
      <c r="J598" s="26" t="s">
        <v>375</v>
      </c>
      <c r="K598" s="26" t="s">
        <v>186</v>
      </c>
      <c r="L598" s="26" t="s">
        <v>79</v>
      </c>
      <c r="M598" s="26" t="s">
        <v>78</v>
      </c>
      <c r="N598" s="26">
        <v>30</v>
      </c>
      <c r="O598" s="26">
        <v>20</v>
      </c>
      <c r="P598" s="26">
        <v>10</v>
      </c>
      <c r="Q598" s="26">
        <v>2</v>
      </c>
      <c r="R598" s="26">
        <v>1</v>
      </c>
      <c r="S598" s="26">
        <v>5</v>
      </c>
      <c r="T598" s="26">
        <v>2</v>
      </c>
      <c r="U598" s="26">
        <v>8</v>
      </c>
      <c r="V598" s="26">
        <v>1</v>
      </c>
      <c r="W598" s="26"/>
    </row>
    <row r="599" spans="1:23" x14ac:dyDescent="0.25">
      <c r="A599" s="26" t="s">
        <v>53</v>
      </c>
      <c r="B599" s="26" t="s">
        <v>2367</v>
      </c>
      <c r="C599" s="26" t="s">
        <v>2368</v>
      </c>
      <c r="D599" s="26" t="s">
        <v>179</v>
      </c>
      <c r="E599" s="26" t="s">
        <v>2369</v>
      </c>
      <c r="F599" s="26" t="s">
        <v>326</v>
      </c>
      <c r="G599" s="26" t="s">
        <v>210</v>
      </c>
      <c r="H599" s="26" t="s">
        <v>327</v>
      </c>
      <c r="I599" s="26" t="s">
        <v>184</v>
      </c>
      <c r="J599" s="26" t="s">
        <v>322</v>
      </c>
      <c r="K599" s="26" t="s">
        <v>186</v>
      </c>
      <c r="L599" s="26" t="s">
        <v>79</v>
      </c>
      <c r="M599" s="26" t="s">
        <v>78</v>
      </c>
      <c r="N599" s="26">
        <v>7</v>
      </c>
      <c r="O599" s="26">
        <v>3</v>
      </c>
      <c r="P599" s="26">
        <v>4</v>
      </c>
      <c r="Q599" s="26">
        <v>1</v>
      </c>
      <c r="R599" s="26">
        <v>1</v>
      </c>
      <c r="S599" s="26">
        <v>2</v>
      </c>
      <c r="T599" s="26">
        <v>1</v>
      </c>
      <c r="U599" s="26">
        <v>4</v>
      </c>
      <c r="V599" s="26">
        <v>1</v>
      </c>
      <c r="W599" s="26"/>
    </row>
    <row r="600" spans="1:23" x14ac:dyDescent="0.25">
      <c r="A600" s="26" t="s">
        <v>53</v>
      </c>
      <c r="B600" s="26" t="s">
        <v>2370</v>
      </c>
      <c r="C600" s="26" t="s">
        <v>2371</v>
      </c>
      <c r="D600" s="26" t="s">
        <v>218</v>
      </c>
      <c r="E600" s="26" t="s">
        <v>2372</v>
      </c>
      <c r="F600" s="26" t="s">
        <v>326</v>
      </c>
      <c r="G600" s="26" t="s">
        <v>210</v>
      </c>
      <c r="H600" s="26" t="s">
        <v>327</v>
      </c>
      <c r="I600" s="26" t="s">
        <v>184</v>
      </c>
      <c r="J600" s="26" t="s">
        <v>322</v>
      </c>
      <c r="K600" s="26" t="s">
        <v>186</v>
      </c>
      <c r="L600" s="26" t="s">
        <v>79</v>
      </c>
      <c r="M600" s="26" t="s">
        <v>78</v>
      </c>
      <c r="N600" s="26">
        <v>10</v>
      </c>
      <c r="O600" s="26">
        <v>5</v>
      </c>
      <c r="P600" s="26">
        <v>5</v>
      </c>
      <c r="Q600" s="26">
        <v>1</v>
      </c>
      <c r="R600" s="26">
        <v>2</v>
      </c>
      <c r="S600" s="26">
        <v>3</v>
      </c>
      <c r="T600" s="26">
        <v>8</v>
      </c>
      <c r="U600" s="26">
        <v>13</v>
      </c>
      <c r="V600" s="26">
        <v>1</v>
      </c>
      <c r="W600" s="26"/>
    </row>
    <row r="601" spans="1:23" x14ac:dyDescent="0.25">
      <c r="A601" s="26" t="s">
        <v>53</v>
      </c>
      <c r="B601" s="26" t="s">
        <v>2373</v>
      </c>
      <c r="C601" s="26" t="s">
        <v>2374</v>
      </c>
      <c r="D601" s="26" t="s">
        <v>179</v>
      </c>
      <c r="E601" s="26" t="s">
        <v>2375</v>
      </c>
      <c r="F601" s="26" t="s">
        <v>925</v>
      </c>
      <c r="G601" s="26" t="s">
        <v>487</v>
      </c>
      <c r="H601" s="26" t="s">
        <v>1693</v>
      </c>
      <c r="I601" s="26" t="s">
        <v>184</v>
      </c>
      <c r="J601" s="26" t="s">
        <v>322</v>
      </c>
      <c r="K601" s="26" t="s">
        <v>1895</v>
      </c>
      <c r="L601" s="26" t="s">
        <v>79</v>
      </c>
      <c r="M601" s="26" t="s">
        <v>78</v>
      </c>
      <c r="N601" s="26">
        <v>27</v>
      </c>
      <c r="O601" s="26">
        <v>17</v>
      </c>
      <c r="P601" s="26">
        <v>10</v>
      </c>
      <c r="Q601" s="26">
        <v>2</v>
      </c>
      <c r="R601" s="26">
        <v>1</v>
      </c>
      <c r="S601" s="26">
        <v>4</v>
      </c>
      <c r="T601" s="26">
        <v>4</v>
      </c>
      <c r="U601" s="26">
        <v>9</v>
      </c>
      <c r="V601" s="26">
        <v>1</v>
      </c>
      <c r="W601" s="26"/>
    </row>
    <row r="602" spans="1:23" x14ac:dyDescent="0.25">
      <c r="A602" s="26" t="s">
        <v>53</v>
      </c>
      <c r="B602" s="26" t="s">
        <v>2376</v>
      </c>
      <c r="C602" s="26" t="s">
        <v>2377</v>
      </c>
      <c r="D602" s="26" t="s">
        <v>179</v>
      </c>
      <c r="E602" s="26" t="s">
        <v>2378</v>
      </c>
      <c r="F602" s="26" t="s">
        <v>1034</v>
      </c>
      <c r="G602" s="26" t="s">
        <v>487</v>
      </c>
      <c r="H602" s="26" t="s">
        <v>1693</v>
      </c>
      <c r="I602" s="26" t="s">
        <v>184</v>
      </c>
      <c r="J602" s="26" t="s">
        <v>375</v>
      </c>
      <c r="K602" s="26" t="s">
        <v>1895</v>
      </c>
      <c r="L602" s="26" t="s">
        <v>79</v>
      </c>
      <c r="M602" s="26" t="s">
        <v>78</v>
      </c>
      <c r="N602" s="26">
        <v>8</v>
      </c>
      <c r="O602" s="26">
        <v>4</v>
      </c>
      <c r="P602" s="26">
        <v>4</v>
      </c>
      <c r="Q602" s="26">
        <v>2</v>
      </c>
      <c r="R602" s="26">
        <v>1</v>
      </c>
      <c r="S602" s="26">
        <v>2</v>
      </c>
      <c r="T602" s="26">
        <v>1</v>
      </c>
      <c r="U602" s="26">
        <v>4</v>
      </c>
      <c r="V602" s="26">
        <v>1</v>
      </c>
      <c r="W602" s="26"/>
    </row>
    <row r="603" spans="1:23" x14ac:dyDescent="0.25">
      <c r="A603" s="26" t="s">
        <v>53</v>
      </c>
      <c r="B603" s="26" t="s">
        <v>2379</v>
      </c>
      <c r="C603" s="26" t="s">
        <v>2380</v>
      </c>
      <c r="D603" s="26" t="s">
        <v>218</v>
      </c>
      <c r="E603" s="26" t="s">
        <v>2381</v>
      </c>
      <c r="F603" s="26" t="s">
        <v>2060</v>
      </c>
      <c r="G603" s="26" t="s">
        <v>226</v>
      </c>
      <c r="H603" s="26" t="s">
        <v>603</v>
      </c>
      <c r="I603" s="26" t="s">
        <v>184</v>
      </c>
      <c r="J603" s="26" t="s">
        <v>427</v>
      </c>
      <c r="K603" s="26" t="s">
        <v>2382</v>
      </c>
      <c r="L603" s="26" t="s">
        <v>79</v>
      </c>
      <c r="M603" s="26" t="s">
        <v>76</v>
      </c>
      <c r="N603" s="26">
        <v>251</v>
      </c>
      <c r="O603" s="26">
        <v>127</v>
      </c>
      <c r="P603" s="26">
        <v>124</v>
      </c>
      <c r="Q603" s="26">
        <v>6</v>
      </c>
      <c r="R603" s="26">
        <v>1</v>
      </c>
      <c r="S603" s="26">
        <v>57</v>
      </c>
      <c r="T603" s="26">
        <v>91</v>
      </c>
      <c r="U603" s="26">
        <v>149</v>
      </c>
      <c r="V603" s="26">
        <v>1</v>
      </c>
      <c r="W603" s="26"/>
    </row>
    <row r="604" spans="1:23" x14ac:dyDescent="0.25">
      <c r="A604" s="26" t="s">
        <v>53</v>
      </c>
      <c r="B604" s="26" t="s">
        <v>2383</v>
      </c>
      <c r="C604" s="26" t="s">
        <v>2384</v>
      </c>
      <c r="D604" s="26" t="s">
        <v>179</v>
      </c>
      <c r="E604" s="26" t="s">
        <v>2385</v>
      </c>
      <c r="F604" s="26" t="s">
        <v>313</v>
      </c>
      <c r="G604" s="26" t="s">
        <v>182</v>
      </c>
      <c r="H604" s="26" t="s">
        <v>399</v>
      </c>
      <c r="I604" s="26" t="s">
        <v>184</v>
      </c>
      <c r="J604" s="26" t="s">
        <v>322</v>
      </c>
      <c r="K604" s="26" t="s">
        <v>2382</v>
      </c>
      <c r="L604" s="26" t="s">
        <v>79</v>
      </c>
      <c r="M604" s="26" t="s">
        <v>76</v>
      </c>
      <c r="N604" s="26">
        <v>26</v>
      </c>
      <c r="O604" s="26">
        <v>12</v>
      </c>
      <c r="P604" s="26">
        <v>14</v>
      </c>
      <c r="Q604" s="26">
        <v>4</v>
      </c>
      <c r="R604" s="26">
        <v>1</v>
      </c>
      <c r="S604" s="26">
        <v>19</v>
      </c>
      <c r="T604" s="26">
        <v>38</v>
      </c>
      <c r="U604" s="26">
        <v>58</v>
      </c>
      <c r="V604" s="26">
        <v>1</v>
      </c>
      <c r="W604" s="26"/>
    </row>
    <row r="605" spans="1:23" x14ac:dyDescent="0.25">
      <c r="A605" s="26" t="s">
        <v>53</v>
      </c>
      <c r="B605" s="26" t="s">
        <v>2386</v>
      </c>
      <c r="C605" s="26" t="s">
        <v>2387</v>
      </c>
      <c r="D605" s="26" t="s">
        <v>218</v>
      </c>
      <c r="E605" s="26" t="s">
        <v>2388</v>
      </c>
      <c r="F605" s="26" t="s">
        <v>1014</v>
      </c>
      <c r="G605" s="26" t="s">
        <v>204</v>
      </c>
      <c r="H605" s="26" t="s">
        <v>523</v>
      </c>
      <c r="I605" s="26" t="s">
        <v>184</v>
      </c>
      <c r="J605" s="26" t="s">
        <v>322</v>
      </c>
      <c r="K605" s="26" t="s">
        <v>2382</v>
      </c>
      <c r="L605" s="26" t="s">
        <v>79</v>
      </c>
      <c r="M605" s="26" t="s">
        <v>76</v>
      </c>
      <c r="N605" s="26">
        <v>51</v>
      </c>
      <c r="O605" s="26">
        <v>27</v>
      </c>
      <c r="P605" s="26">
        <v>24</v>
      </c>
      <c r="Q605" s="26">
        <v>6</v>
      </c>
      <c r="R605" s="26">
        <v>1</v>
      </c>
      <c r="S605" s="26">
        <v>20</v>
      </c>
      <c r="T605" s="26">
        <v>40</v>
      </c>
      <c r="U605" s="26">
        <v>61</v>
      </c>
      <c r="V605" s="26">
        <v>1</v>
      </c>
      <c r="W605" s="26"/>
    </row>
    <row r="606" spans="1:23" x14ac:dyDescent="0.25">
      <c r="A606" s="26" t="s">
        <v>53</v>
      </c>
      <c r="B606" s="26" t="s">
        <v>2389</v>
      </c>
      <c r="C606" s="26" t="s">
        <v>2390</v>
      </c>
      <c r="D606" s="26" t="s">
        <v>218</v>
      </c>
      <c r="E606" s="26" t="s">
        <v>2391</v>
      </c>
      <c r="F606" s="26" t="s">
        <v>1709</v>
      </c>
      <c r="G606" s="26" t="s">
        <v>293</v>
      </c>
      <c r="H606" s="26" t="s">
        <v>594</v>
      </c>
      <c r="I606" s="26" t="s">
        <v>1259</v>
      </c>
      <c r="J606" s="26" t="s">
        <v>295</v>
      </c>
      <c r="K606" s="26" t="s">
        <v>296</v>
      </c>
      <c r="L606" s="26" t="s">
        <v>80</v>
      </c>
      <c r="M606" s="26" t="s">
        <v>76</v>
      </c>
      <c r="N606" s="26">
        <v>46</v>
      </c>
      <c r="O606" s="26">
        <v>19</v>
      </c>
      <c r="P606" s="26">
        <v>27</v>
      </c>
      <c r="Q606" s="26">
        <v>5</v>
      </c>
      <c r="R606" s="26">
        <v>1</v>
      </c>
      <c r="S606" s="26">
        <v>20</v>
      </c>
      <c r="T606" s="26">
        <v>41</v>
      </c>
      <c r="U606" s="26">
        <v>62</v>
      </c>
      <c r="V606" s="26">
        <v>1</v>
      </c>
      <c r="W606" s="26"/>
    </row>
    <row r="607" spans="1:23" x14ac:dyDescent="0.25">
      <c r="A607" s="26" t="s">
        <v>53</v>
      </c>
      <c r="B607" s="26" t="s">
        <v>2392</v>
      </c>
      <c r="C607" s="26" t="s">
        <v>2393</v>
      </c>
      <c r="D607" s="26" t="s">
        <v>218</v>
      </c>
      <c r="E607" s="26" t="s">
        <v>2394</v>
      </c>
      <c r="F607" s="26" t="s">
        <v>2395</v>
      </c>
      <c r="G607" s="26" t="s">
        <v>293</v>
      </c>
      <c r="H607" s="26" t="s">
        <v>294</v>
      </c>
      <c r="I607" s="26" t="s">
        <v>1259</v>
      </c>
      <c r="J607" s="26" t="s">
        <v>1145</v>
      </c>
      <c r="K607" s="26" t="s">
        <v>296</v>
      </c>
      <c r="L607" s="26" t="s">
        <v>80</v>
      </c>
      <c r="M607" s="26" t="s">
        <v>76</v>
      </c>
      <c r="N607" s="26">
        <v>42</v>
      </c>
      <c r="O607" s="26">
        <v>14</v>
      </c>
      <c r="P607" s="26">
        <v>28</v>
      </c>
      <c r="Q607" s="26">
        <v>6</v>
      </c>
      <c r="R607" s="26">
        <v>1</v>
      </c>
      <c r="S607" s="26">
        <v>27</v>
      </c>
      <c r="T607" s="26">
        <v>74</v>
      </c>
      <c r="U607" s="26">
        <v>102</v>
      </c>
      <c r="V607" s="26">
        <v>1</v>
      </c>
      <c r="W607" s="26"/>
    </row>
    <row r="608" spans="1:23" x14ac:dyDescent="0.25">
      <c r="A608" s="26" t="s">
        <v>53</v>
      </c>
      <c r="B608" s="26" t="s">
        <v>2396</v>
      </c>
      <c r="C608" s="26" t="s">
        <v>2397</v>
      </c>
      <c r="D608" s="26" t="s">
        <v>218</v>
      </c>
      <c r="E608" s="26" t="s">
        <v>2398</v>
      </c>
      <c r="F608" s="26" t="s">
        <v>2399</v>
      </c>
      <c r="G608" s="26" t="s">
        <v>226</v>
      </c>
      <c r="H608" s="26" t="s">
        <v>603</v>
      </c>
      <c r="I608" s="26" t="s">
        <v>184</v>
      </c>
      <c r="J608" s="26" t="s">
        <v>427</v>
      </c>
      <c r="K608" s="26" t="s">
        <v>2382</v>
      </c>
      <c r="L608" s="26" t="s">
        <v>79</v>
      </c>
      <c r="M608" s="26" t="s">
        <v>76</v>
      </c>
      <c r="N608" s="26">
        <v>58</v>
      </c>
      <c r="O608" s="26">
        <v>30</v>
      </c>
      <c r="P608" s="26">
        <v>28</v>
      </c>
      <c r="Q608" s="26">
        <v>5</v>
      </c>
      <c r="R608" s="26">
        <v>1</v>
      </c>
      <c r="S608" s="26">
        <v>21</v>
      </c>
      <c r="T608" s="26">
        <v>44</v>
      </c>
      <c r="U608" s="26">
        <v>66</v>
      </c>
      <c r="V608" s="26">
        <v>1</v>
      </c>
      <c r="W608" s="26"/>
    </row>
    <row r="609" spans="1:24" x14ac:dyDescent="0.25">
      <c r="A609" s="27" t="s">
        <v>3983</v>
      </c>
      <c r="W609" s="28"/>
      <c r="X609" s="28"/>
    </row>
    <row r="610" spans="1:24" x14ac:dyDescent="0.25">
      <c r="V610" s="28"/>
      <c r="W610" s="28"/>
      <c r="X610" s="2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33"/>
  <sheetViews>
    <sheetView showGridLines="0" workbookViewId="0"/>
  </sheetViews>
  <sheetFormatPr baseColWidth="10" defaultRowHeight="15" x14ac:dyDescent="0.25"/>
  <cols>
    <col min="5" max="5" width="11.42578125" customWidth="1"/>
    <col min="7" max="7" width="11.42578125" customWidth="1"/>
  </cols>
  <sheetData>
    <row r="1" spans="1:22" x14ac:dyDescent="0.25">
      <c r="A1" s="24" t="s">
        <v>51</v>
      </c>
      <c r="B1" s="24" t="s">
        <v>18</v>
      </c>
      <c r="C1" s="24" t="s">
        <v>20</v>
      </c>
      <c r="D1" s="24" t="s">
        <v>22</v>
      </c>
      <c r="E1" s="24" t="s">
        <v>163</v>
      </c>
      <c r="F1" s="24" t="s">
        <v>164</v>
      </c>
      <c r="G1" s="24" t="s">
        <v>165</v>
      </c>
      <c r="H1" s="24" t="s">
        <v>166</v>
      </c>
      <c r="I1" s="24" t="s">
        <v>167</v>
      </c>
      <c r="J1" s="24" t="s">
        <v>24</v>
      </c>
      <c r="K1" s="24" t="s">
        <v>26</v>
      </c>
      <c r="L1" s="24" t="s">
        <v>28</v>
      </c>
      <c r="M1" s="24" t="s">
        <v>30</v>
      </c>
      <c r="N1" s="24" t="s">
        <v>168</v>
      </c>
      <c r="O1" s="24" t="s">
        <v>169</v>
      </c>
      <c r="P1" s="24" t="s">
        <v>170</v>
      </c>
      <c r="Q1" s="24" t="s">
        <v>171</v>
      </c>
      <c r="R1" s="24" t="s">
        <v>172</v>
      </c>
      <c r="S1" s="24" t="s">
        <v>173</v>
      </c>
      <c r="T1" s="24" t="s">
        <v>174</v>
      </c>
      <c r="U1" s="24" t="s">
        <v>175</v>
      </c>
      <c r="V1" s="24" t="s">
        <v>176</v>
      </c>
    </row>
    <row r="2" spans="1:22" x14ac:dyDescent="0.25">
      <c r="A2" s="26" t="s">
        <v>2400</v>
      </c>
      <c r="B2" s="26" t="s">
        <v>2401</v>
      </c>
      <c r="C2" s="26" t="s">
        <v>2402</v>
      </c>
      <c r="D2" s="26" t="s">
        <v>179</v>
      </c>
      <c r="E2" s="26" t="s">
        <v>2403</v>
      </c>
      <c r="F2" s="26" t="s">
        <v>247</v>
      </c>
      <c r="G2" s="26" t="s">
        <v>198</v>
      </c>
      <c r="H2" s="26" t="s">
        <v>294</v>
      </c>
      <c r="I2" s="26" t="s">
        <v>184</v>
      </c>
      <c r="J2" s="26" t="s">
        <v>2404</v>
      </c>
      <c r="K2" s="26" t="s">
        <v>2405</v>
      </c>
      <c r="L2" s="26" t="s">
        <v>79</v>
      </c>
      <c r="M2" s="26" t="s">
        <v>77</v>
      </c>
      <c r="N2" s="26">
        <v>107</v>
      </c>
      <c r="O2" s="26">
        <v>72</v>
      </c>
      <c r="P2" s="26">
        <v>35</v>
      </c>
      <c r="Q2" s="26">
        <v>0</v>
      </c>
      <c r="R2" s="26">
        <v>1</v>
      </c>
      <c r="S2" s="26">
        <v>7</v>
      </c>
      <c r="T2" s="26">
        <v>2</v>
      </c>
      <c r="U2" s="26">
        <v>10</v>
      </c>
      <c r="V2" s="26">
        <v>1</v>
      </c>
    </row>
    <row r="3" spans="1:22" x14ac:dyDescent="0.25">
      <c r="A3" s="26" t="s">
        <v>2400</v>
      </c>
      <c r="B3" s="26" t="s">
        <v>2406</v>
      </c>
      <c r="C3" s="26" t="s">
        <v>2407</v>
      </c>
      <c r="D3" s="26" t="s">
        <v>2408</v>
      </c>
      <c r="E3" s="26" t="s">
        <v>2409</v>
      </c>
      <c r="F3" s="26" t="s">
        <v>2410</v>
      </c>
      <c r="G3" s="26" t="s">
        <v>204</v>
      </c>
      <c r="H3" s="26" t="s">
        <v>643</v>
      </c>
      <c r="I3" s="26" t="s">
        <v>184</v>
      </c>
      <c r="J3" s="26" t="s">
        <v>2411</v>
      </c>
      <c r="K3" s="26" t="s">
        <v>2405</v>
      </c>
      <c r="L3" s="26" t="s">
        <v>79</v>
      </c>
      <c r="M3" s="26" t="s">
        <v>77</v>
      </c>
      <c r="N3" s="26">
        <v>54</v>
      </c>
      <c r="O3" s="26">
        <v>31</v>
      </c>
      <c r="P3" s="26">
        <v>23</v>
      </c>
      <c r="Q3" s="26">
        <v>0</v>
      </c>
      <c r="R3" s="26">
        <v>1</v>
      </c>
      <c r="S3" s="26">
        <v>8</v>
      </c>
      <c r="T3" s="26">
        <v>3</v>
      </c>
      <c r="U3" s="26">
        <v>12</v>
      </c>
      <c r="V3" s="26">
        <v>1</v>
      </c>
    </row>
    <row r="4" spans="1:22" x14ac:dyDescent="0.25">
      <c r="A4" s="26" t="s">
        <v>2400</v>
      </c>
      <c r="B4" s="26" t="s">
        <v>2412</v>
      </c>
      <c r="C4" s="26" t="s">
        <v>2413</v>
      </c>
      <c r="D4" s="26" t="s">
        <v>2408</v>
      </c>
      <c r="E4" s="26" t="s">
        <v>2414</v>
      </c>
      <c r="F4" s="26" t="s">
        <v>1014</v>
      </c>
      <c r="G4" s="26" t="s">
        <v>204</v>
      </c>
      <c r="H4" s="26" t="s">
        <v>1693</v>
      </c>
      <c r="I4" s="26" t="s">
        <v>184</v>
      </c>
      <c r="J4" s="26" t="s">
        <v>2411</v>
      </c>
      <c r="K4" s="26" t="s">
        <v>2405</v>
      </c>
      <c r="L4" s="26" t="s">
        <v>79</v>
      </c>
      <c r="M4" s="26" t="s">
        <v>77</v>
      </c>
      <c r="N4" s="26">
        <v>33</v>
      </c>
      <c r="O4" s="26">
        <v>19</v>
      </c>
      <c r="P4" s="26">
        <v>14</v>
      </c>
      <c r="Q4" s="26">
        <v>0</v>
      </c>
      <c r="R4" s="26">
        <v>1</v>
      </c>
      <c r="S4" s="26">
        <v>6</v>
      </c>
      <c r="T4" s="26">
        <v>3</v>
      </c>
      <c r="U4" s="26">
        <v>10</v>
      </c>
      <c r="V4" s="26">
        <v>1</v>
      </c>
    </row>
    <row r="5" spans="1:22" x14ac:dyDescent="0.25">
      <c r="A5" s="26" t="s">
        <v>2400</v>
      </c>
      <c r="B5" s="26" t="s">
        <v>2415</v>
      </c>
      <c r="C5" s="26" t="s">
        <v>2416</v>
      </c>
      <c r="D5" s="26" t="s">
        <v>179</v>
      </c>
      <c r="E5" s="26" t="s">
        <v>2417</v>
      </c>
      <c r="F5" s="26" t="s">
        <v>2418</v>
      </c>
      <c r="G5" s="26" t="s">
        <v>204</v>
      </c>
      <c r="H5" s="26" t="s">
        <v>677</v>
      </c>
      <c r="I5" s="26" t="s">
        <v>184</v>
      </c>
      <c r="J5" s="26" t="s">
        <v>2411</v>
      </c>
      <c r="K5" s="26" t="s">
        <v>2405</v>
      </c>
      <c r="L5" s="26" t="s">
        <v>79</v>
      </c>
      <c r="M5" s="26" t="s">
        <v>77</v>
      </c>
      <c r="N5" s="26">
        <v>108</v>
      </c>
      <c r="O5" s="26">
        <v>70</v>
      </c>
      <c r="P5" s="26">
        <v>38</v>
      </c>
      <c r="Q5" s="26">
        <v>0</v>
      </c>
      <c r="R5" s="26">
        <v>1</v>
      </c>
      <c r="S5" s="26">
        <v>9</v>
      </c>
      <c r="T5" s="26">
        <v>4</v>
      </c>
      <c r="U5" s="26">
        <v>14</v>
      </c>
      <c r="V5" s="26">
        <v>1</v>
      </c>
    </row>
    <row r="6" spans="1:22" x14ac:dyDescent="0.25">
      <c r="A6" s="26" t="s">
        <v>2400</v>
      </c>
      <c r="B6" s="26" t="s">
        <v>2419</v>
      </c>
      <c r="C6" s="26" t="s">
        <v>2420</v>
      </c>
      <c r="D6" s="26" t="s">
        <v>2408</v>
      </c>
      <c r="E6" s="26" t="s">
        <v>4012</v>
      </c>
      <c r="F6" s="26" t="s">
        <v>1287</v>
      </c>
      <c r="G6" s="26" t="s">
        <v>676</v>
      </c>
      <c r="H6" s="26" t="s">
        <v>1026</v>
      </c>
      <c r="I6" s="26" t="s">
        <v>184</v>
      </c>
      <c r="J6" s="26" t="s">
        <v>2404</v>
      </c>
      <c r="K6" s="26" t="s">
        <v>2405</v>
      </c>
      <c r="L6" s="26" t="s">
        <v>79</v>
      </c>
      <c r="M6" s="26" t="s">
        <v>77</v>
      </c>
      <c r="N6" s="26">
        <v>85</v>
      </c>
      <c r="O6" s="26">
        <v>50</v>
      </c>
      <c r="P6" s="26">
        <v>35</v>
      </c>
      <c r="Q6" s="26">
        <v>0</v>
      </c>
      <c r="R6" s="26">
        <v>1</v>
      </c>
      <c r="S6" s="26">
        <v>5</v>
      </c>
      <c r="T6" s="26">
        <v>2</v>
      </c>
      <c r="U6" s="26">
        <v>8</v>
      </c>
      <c r="V6" s="26">
        <v>1</v>
      </c>
    </row>
    <row r="7" spans="1:22" x14ac:dyDescent="0.25">
      <c r="A7" s="26" t="s">
        <v>2400</v>
      </c>
      <c r="B7" s="26" t="s">
        <v>2421</v>
      </c>
      <c r="C7" s="26" t="s">
        <v>2422</v>
      </c>
      <c r="D7" s="26" t="s">
        <v>2408</v>
      </c>
      <c r="E7" s="26" t="s">
        <v>2423</v>
      </c>
      <c r="F7" s="26" t="s">
        <v>444</v>
      </c>
      <c r="G7" s="26" t="s">
        <v>265</v>
      </c>
      <c r="H7" s="26" t="s">
        <v>301</v>
      </c>
      <c r="I7" s="26" t="s">
        <v>184</v>
      </c>
      <c r="J7" s="26" t="s">
        <v>2411</v>
      </c>
      <c r="K7" s="26" t="s">
        <v>2405</v>
      </c>
      <c r="L7" s="26" t="s">
        <v>79</v>
      </c>
      <c r="M7" s="26" t="s">
        <v>77</v>
      </c>
      <c r="N7" s="26">
        <v>84</v>
      </c>
      <c r="O7" s="26">
        <v>53</v>
      </c>
      <c r="P7" s="26">
        <v>31</v>
      </c>
      <c r="Q7" s="26">
        <v>0</v>
      </c>
      <c r="R7" s="26">
        <v>1</v>
      </c>
      <c r="S7" s="26">
        <v>8</v>
      </c>
      <c r="T7" s="26">
        <v>1</v>
      </c>
      <c r="U7" s="26">
        <v>10</v>
      </c>
      <c r="V7" s="26">
        <v>1</v>
      </c>
    </row>
    <row r="8" spans="1:22" x14ac:dyDescent="0.25">
      <c r="A8" s="26" t="s">
        <v>2400</v>
      </c>
      <c r="B8" s="26" t="s">
        <v>2424</v>
      </c>
      <c r="C8" s="26" t="s">
        <v>2425</v>
      </c>
      <c r="D8" s="26" t="s">
        <v>2408</v>
      </c>
      <c r="E8" s="26" t="s">
        <v>2426</v>
      </c>
      <c r="F8" s="26" t="s">
        <v>1536</v>
      </c>
      <c r="G8" s="26" t="s">
        <v>676</v>
      </c>
      <c r="H8" s="26" t="s">
        <v>1026</v>
      </c>
      <c r="I8" s="26" t="s">
        <v>184</v>
      </c>
      <c r="J8" s="26" t="s">
        <v>2404</v>
      </c>
      <c r="K8" s="26" t="s">
        <v>2405</v>
      </c>
      <c r="L8" s="26" t="s">
        <v>79</v>
      </c>
      <c r="M8" s="26" t="s">
        <v>77</v>
      </c>
      <c r="N8" s="26">
        <v>102</v>
      </c>
      <c r="O8" s="26">
        <v>67</v>
      </c>
      <c r="P8" s="26">
        <v>35</v>
      </c>
      <c r="Q8" s="26">
        <v>0</v>
      </c>
      <c r="R8" s="26">
        <v>1</v>
      </c>
      <c r="S8" s="26">
        <v>6</v>
      </c>
      <c r="T8" s="26">
        <v>3</v>
      </c>
      <c r="U8" s="26">
        <v>10</v>
      </c>
      <c r="V8" s="26">
        <v>1</v>
      </c>
    </row>
    <row r="9" spans="1:22" x14ac:dyDescent="0.25">
      <c r="A9" s="26" t="s">
        <v>2400</v>
      </c>
      <c r="B9" s="26" t="s">
        <v>2427</v>
      </c>
      <c r="C9" s="26" t="s">
        <v>2428</v>
      </c>
      <c r="D9" s="26" t="s">
        <v>2408</v>
      </c>
      <c r="E9" s="26" t="s">
        <v>4013</v>
      </c>
      <c r="F9" s="26" t="s">
        <v>2429</v>
      </c>
      <c r="G9" s="26" t="s">
        <v>265</v>
      </c>
      <c r="H9" s="26" t="s">
        <v>926</v>
      </c>
      <c r="I9" s="26" t="s">
        <v>184</v>
      </c>
      <c r="J9" s="26" t="s">
        <v>2411</v>
      </c>
      <c r="K9" s="26" t="s">
        <v>2405</v>
      </c>
      <c r="L9" s="26" t="s">
        <v>79</v>
      </c>
      <c r="M9" s="26" t="s">
        <v>77</v>
      </c>
      <c r="N9" s="26">
        <v>39</v>
      </c>
      <c r="O9" s="26">
        <v>20</v>
      </c>
      <c r="P9" s="26">
        <v>19</v>
      </c>
      <c r="Q9" s="26">
        <v>0</v>
      </c>
      <c r="R9" s="26">
        <v>1</v>
      </c>
      <c r="S9" s="26">
        <v>6</v>
      </c>
      <c r="T9" s="26">
        <v>2</v>
      </c>
      <c r="U9" s="26">
        <v>9</v>
      </c>
      <c r="V9" s="26">
        <v>1</v>
      </c>
    </row>
    <row r="10" spans="1:22" x14ac:dyDescent="0.25">
      <c r="A10" s="26" t="s">
        <v>2400</v>
      </c>
      <c r="B10" s="26" t="s">
        <v>2430</v>
      </c>
      <c r="C10" s="26" t="s">
        <v>2431</v>
      </c>
      <c r="D10" s="26" t="s">
        <v>2408</v>
      </c>
      <c r="E10" s="26" t="s">
        <v>2432</v>
      </c>
      <c r="F10" s="26" t="s">
        <v>2433</v>
      </c>
      <c r="G10" s="26" t="s">
        <v>204</v>
      </c>
      <c r="H10" s="26" t="s">
        <v>687</v>
      </c>
      <c r="I10" s="26" t="s">
        <v>184</v>
      </c>
      <c r="J10" s="26" t="s">
        <v>2411</v>
      </c>
      <c r="K10" s="26" t="s">
        <v>2405</v>
      </c>
      <c r="L10" s="26" t="s">
        <v>79</v>
      </c>
      <c r="M10" s="26" t="s">
        <v>77</v>
      </c>
      <c r="N10" s="26">
        <v>30</v>
      </c>
      <c r="O10" s="26">
        <v>16</v>
      </c>
      <c r="P10" s="26">
        <v>14</v>
      </c>
      <c r="Q10" s="26">
        <v>0</v>
      </c>
      <c r="R10" s="26">
        <v>1</v>
      </c>
      <c r="S10" s="26">
        <v>6</v>
      </c>
      <c r="T10" s="26">
        <v>2</v>
      </c>
      <c r="U10" s="26">
        <v>9</v>
      </c>
      <c r="V10" s="26">
        <v>1</v>
      </c>
    </row>
    <row r="11" spans="1:22" x14ac:dyDescent="0.25">
      <c r="A11" s="26" t="s">
        <v>2400</v>
      </c>
      <c r="B11" s="26" t="s">
        <v>2434</v>
      </c>
      <c r="C11" s="26" t="s">
        <v>2435</v>
      </c>
      <c r="D11" s="26" t="s">
        <v>179</v>
      </c>
      <c r="E11" s="26" t="s">
        <v>4014</v>
      </c>
      <c r="F11" s="26" t="s">
        <v>2436</v>
      </c>
      <c r="G11" s="26" t="s">
        <v>204</v>
      </c>
      <c r="H11" s="26" t="s">
        <v>1693</v>
      </c>
      <c r="I11" s="26" t="s">
        <v>184</v>
      </c>
      <c r="J11" s="26" t="s">
        <v>2411</v>
      </c>
      <c r="K11" s="26" t="s">
        <v>2405</v>
      </c>
      <c r="L11" s="26" t="s">
        <v>79</v>
      </c>
      <c r="M11" s="26" t="s">
        <v>77</v>
      </c>
      <c r="N11" s="26">
        <v>51</v>
      </c>
      <c r="O11" s="26">
        <v>36</v>
      </c>
      <c r="P11" s="26">
        <v>15</v>
      </c>
      <c r="Q11" s="26">
        <v>0</v>
      </c>
      <c r="R11" s="26">
        <v>1</v>
      </c>
      <c r="S11" s="26">
        <v>9</v>
      </c>
      <c r="T11" s="26">
        <v>3</v>
      </c>
      <c r="U11" s="26">
        <v>13</v>
      </c>
      <c r="V11" s="26">
        <v>1</v>
      </c>
    </row>
    <row r="12" spans="1:22" x14ac:dyDescent="0.25">
      <c r="A12" s="26" t="s">
        <v>2400</v>
      </c>
      <c r="B12" s="26" t="s">
        <v>2437</v>
      </c>
      <c r="C12" s="26" t="s">
        <v>2438</v>
      </c>
      <c r="D12" s="26" t="s">
        <v>179</v>
      </c>
      <c r="E12" s="26" t="s">
        <v>2439</v>
      </c>
      <c r="F12" s="26" t="s">
        <v>2440</v>
      </c>
      <c r="G12" s="26" t="s">
        <v>265</v>
      </c>
      <c r="H12" s="26" t="s">
        <v>294</v>
      </c>
      <c r="I12" s="26" t="s">
        <v>184</v>
      </c>
      <c r="J12" s="26" t="s">
        <v>2411</v>
      </c>
      <c r="K12" s="26" t="s">
        <v>2405</v>
      </c>
      <c r="L12" s="26" t="s">
        <v>79</v>
      </c>
      <c r="M12" s="26" t="s">
        <v>77</v>
      </c>
      <c r="N12" s="26">
        <v>117</v>
      </c>
      <c r="O12" s="26">
        <v>75</v>
      </c>
      <c r="P12" s="26">
        <v>42</v>
      </c>
      <c r="Q12" s="26">
        <v>0</v>
      </c>
      <c r="R12" s="26">
        <v>1</v>
      </c>
      <c r="S12" s="26">
        <v>8</v>
      </c>
      <c r="T12" s="26">
        <v>2</v>
      </c>
      <c r="U12" s="26">
        <v>11</v>
      </c>
      <c r="V12" s="26">
        <v>1</v>
      </c>
    </row>
    <row r="13" spans="1:22" x14ac:dyDescent="0.25">
      <c r="A13" s="26" t="s">
        <v>2400</v>
      </c>
      <c r="B13" s="26" t="s">
        <v>2441</v>
      </c>
      <c r="C13" s="26" t="s">
        <v>2442</v>
      </c>
      <c r="D13" s="26" t="s">
        <v>179</v>
      </c>
      <c r="E13" s="26" t="s">
        <v>4015</v>
      </c>
      <c r="F13" s="26" t="s">
        <v>2443</v>
      </c>
      <c r="G13" s="26" t="s">
        <v>204</v>
      </c>
      <c r="H13" s="26" t="s">
        <v>643</v>
      </c>
      <c r="I13" s="26" t="s">
        <v>184</v>
      </c>
      <c r="J13" s="26" t="s">
        <v>2411</v>
      </c>
      <c r="K13" s="26" t="s">
        <v>2405</v>
      </c>
      <c r="L13" s="26" t="s">
        <v>79</v>
      </c>
      <c r="M13" s="26" t="s">
        <v>77</v>
      </c>
      <c r="N13" s="26">
        <v>81</v>
      </c>
      <c r="O13" s="26">
        <v>50</v>
      </c>
      <c r="P13" s="26">
        <v>31</v>
      </c>
      <c r="Q13" s="26">
        <v>0</v>
      </c>
      <c r="R13" s="26">
        <v>1</v>
      </c>
      <c r="S13" s="26">
        <v>7</v>
      </c>
      <c r="T13" s="26">
        <v>4</v>
      </c>
      <c r="U13" s="26">
        <v>12</v>
      </c>
      <c r="V13" s="26">
        <v>1</v>
      </c>
    </row>
    <row r="14" spans="1:22" x14ac:dyDescent="0.25">
      <c r="A14" s="26" t="s">
        <v>2400</v>
      </c>
      <c r="B14" s="26" t="s">
        <v>2444</v>
      </c>
      <c r="C14" s="26" t="s">
        <v>2445</v>
      </c>
      <c r="D14" s="26" t="s">
        <v>2408</v>
      </c>
      <c r="E14" s="26" t="s">
        <v>2446</v>
      </c>
      <c r="F14" s="26" t="s">
        <v>2447</v>
      </c>
      <c r="G14" s="26" t="s">
        <v>210</v>
      </c>
      <c r="H14" s="26" t="s">
        <v>643</v>
      </c>
      <c r="I14" s="26" t="s">
        <v>184</v>
      </c>
      <c r="J14" s="26" t="s">
        <v>2448</v>
      </c>
      <c r="K14" s="26" t="s">
        <v>2405</v>
      </c>
      <c r="L14" s="26" t="s">
        <v>79</v>
      </c>
      <c r="M14" s="26" t="s">
        <v>77</v>
      </c>
      <c r="N14" s="26">
        <v>52</v>
      </c>
      <c r="O14" s="26">
        <v>29</v>
      </c>
      <c r="P14" s="26">
        <v>23</v>
      </c>
      <c r="Q14" s="26">
        <v>0</v>
      </c>
      <c r="R14" s="26">
        <v>1</v>
      </c>
      <c r="S14" s="26">
        <v>8</v>
      </c>
      <c r="T14" s="26">
        <v>1</v>
      </c>
      <c r="U14" s="26">
        <v>10</v>
      </c>
      <c r="V14" s="26">
        <v>1</v>
      </c>
    </row>
    <row r="15" spans="1:22" x14ac:dyDescent="0.25">
      <c r="A15" s="26" t="s">
        <v>2400</v>
      </c>
      <c r="B15" s="26" t="s">
        <v>2449</v>
      </c>
      <c r="C15" s="26" t="s">
        <v>2450</v>
      </c>
      <c r="D15" s="26" t="s">
        <v>2408</v>
      </c>
      <c r="E15" s="26" t="s">
        <v>2451</v>
      </c>
      <c r="F15" s="26" t="s">
        <v>2452</v>
      </c>
      <c r="G15" s="26" t="s">
        <v>210</v>
      </c>
      <c r="H15" s="26" t="s">
        <v>677</v>
      </c>
      <c r="I15" s="26" t="s">
        <v>184</v>
      </c>
      <c r="J15" s="26" t="s">
        <v>2448</v>
      </c>
      <c r="K15" s="26" t="s">
        <v>2405</v>
      </c>
      <c r="L15" s="26" t="s">
        <v>79</v>
      </c>
      <c r="M15" s="26" t="s">
        <v>77</v>
      </c>
      <c r="N15" s="26">
        <v>31</v>
      </c>
      <c r="O15" s="26">
        <v>16</v>
      </c>
      <c r="P15" s="26">
        <v>15</v>
      </c>
      <c r="Q15" s="26">
        <v>0</v>
      </c>
      <c r="R15" s="26">
        <v>1</v>
      </c>
      <c r="S15" s="26">
        <v>8</v>
      </c>
      <c r="T15" s="26">
        <v>2</v>
      </c>
      <c r="U15" s="26">
        <v>11</v>
      </c>
      <c r="V15" s="26">
        <v>1</v>
      </c>
    </row>
    <row r="16" spans="1:22" x14ac:dyDescent="0.25">
      <c r="A16" s="26" t="s">
        <v>2400</v>
      </c>
      <c r="B16" s="26" t="s">
        <v>2453</v>
      </c>
      <c r="C16" s="26" t="s">
        <v>2454</v>
      </c>
      <c r="D16" s="26" t="s">
        <v>2408</v>
      </c>
      <c r="E16" s="26" t="s">
        <v>2455</v>
      </c>
      <c r="F16" s="26" t="s">
        <v>905</v>
      </c>
      <c r="G16" s="26" t="s">
        <v>210</v>
      </c>
      <c r="H16" s="26" t="s">
        <v>1693</v>
      </c>
      <c r="I16" s="26" t="s">
        <v>184</v>
      </c>
      <c r="J16" s="26" t="s">
        <v>2448</v>
      </c>
      <c r="K16" s="26" t="s">
        <v>2405</v>
      </c>
      <c r="L16" s="26" t="s">
        <v>79</v>
      </c>
      <c r="M16" s="26" t="s">
        <v>77</v>
      </c>
      <c r="N16" s="26">
        <v>30</v>
      </c>
      <c r="O16" s="26">
        <v>14</v>
      </c>
      <c r="P16" s="26">
        <v>16</v>
      </c>
      <c r="Q16" s="26">
        <v>0</v>
      </c>
      <c r="R16" s="26">
        <v>1</v>
      </c>
      <c r="S16" s="26">
        <v>7</v>
      </c>
      <c r="T16" s="26">
        <v>3</v>
      </c>
      <c r="U16" s="26">
        <v>11</v>
      </c>
      <c r="V16" s="26">
        <v>1</v>
      </c>
    </row>
    <row r="17" spans="1:22" x14ac:dyDescent="0.25">
      <c r="A17" s="26" t="s">
        <v>2400</v>
      </c>
      <c r="B17" s="26" t="s">
        <v>2456</v>
      </c>
      <c r="C17" s="26" t="s">
        <v>2457</v>
      </c>
      <c r="D17" s="26" t="s">
        <v>179</v>
      </c>
      <c r="E17" s="26" t="s">
        <v>2458</v>
      </c>
      <c r="F17" s="26" t="s">
        <v>913</v>
      </c>
      <c r="G17" s="26" t="s">
        <v>210</v>
      </c>
      <c r="H17" s="26" t="s">
        <v>321</v>
      </c>
      <c r="I17" s="26" t="s">
        <v>184</v>
      </c>
      <c r="J17" s="26" t="s">
        <v>2448</v>
      </c>
      <c r="K17" s="26" t="s">
        <v>2405</v>
      </c>
      <c r="L17" s="26" t="s">
        <v>79</v>
      </c>
      <c r="M17" s="26" t="s">
        <v>77</v>
      </c>
      <c r="N17" s="26">
        <v>60</v>
      </c>
      <c r="O17" s="26">
        <v>29</v>
      </c>
      <c r="P17" s="26">
        <v>31</v>
      </c>
      <c r="Q17" s="26">
        <v>0</v>
      </c>
      <c r="R17" s="26">
        <v>1</v>
      </c>
      <c r="S17" s="26">
        <v>7</v>
      </c>
      <c r="T17" s="26">
        <v>4</v>
      </c>
      <c r="U17" s="26">
        <v>12</v>
      </c>
      <c r="V17" s="26">
        <v>1</v>
      </c>
    </row>
    <row r="18" spans="1:22" x14ac:dyDescent="0.25">
      <c r="A18" s="26" t="s">
        <v>2400</v>
      </c>
      <c r="B18" s="26" t="s">
        <v>2459</v>
      </c>
      <c r="C18" s="26" t="s">
        <v>2460</v>
      </c>
      <c r="D18" s="26" t="s">
        <v>179</v>
      </c>
      <c r="E18" s="26" t="s">
        <v>2461</v>
      </c>
      <c r="F18" s="26" t="s">
        <v>2462</v>
      </c>
      <c r="G18" s="26" t="s">
        <v>210</v>
      </c>
      <c r="H18" s="26" t="s">
        <v>643</v>
      </c>
      <c r="I18" s="26" t="s">
        <v>184</v>
      </c>
      <c r="J18" s="26" t="s">
        <v>2448</v>
      </c>
      <c r="K18" s="26" t="s">
        <v>2405</v>
      </c>
      <c r="L18" s="26" t="s">
        <v>79</v>
      </c>
      <c r="M18" s="26" t="s">
        <v>77</v>
      </c>
      <c r="N18" s="26">
        <v>81</v>
      </c>
      <c r="O18" s="26">
        <v>59</v>
      </c>
      <c r="P18" s="26">
        <v>22</v>
      </c>
      <c r="Q18" s="26">
        <v>0</v>
      </c>
      <c r="R18" s="26">
        <v>1</v>
      </c>
      <c r="S18" s="26">
        <v>9</v>
      </c>
      <c r="T18" s="26">
        <v>2</v>
      </c>
      <c r="U18" s="26">
        <v>12</v>
      </c>
      <c r="V18" s="26">
        <v>1</v>
      </c>
    </row>
    <row r="19" spans="1:22" x14ac:dyDescent="0.25">
      <c r="A19" s="26" t="s">
        <v>2400</v>
      </c>
      <c r="B19" s="26" t="s">
        <v>2463</v>
      </c>
      <c r="C19" s="26" t="s">
        <v>2464</v>
      </c>
      <c r="D19" s="26" t="s">
        <v>179</v>
      </c>
      <c r="E19" s="26" t="s">
        <v>2465</v>
      </c>
      <c r="F19" s="26" t="s">
        <v>2466</v>
      </c>
      <c r="G19" s="26" t="s">
        <v>210</v>
      </c>
      <c r="H19" s="26" t="s">
        <v>294</v>
      </c>
      <c r="I19" s="26" t="s">
        <v>184</v>
      </c>
      <c r="J19" s="26" t="s">
        <v>2448</v>
      </c>
      <c r="K19" s="26" t="s">
        <v>2405</v>
      </c>
      <c r="L19" s="26" t="s">
        <v>79</v>
      </c>
      <c r="M19" s="26" t="s">
        <v>77</v>
      </c>
      <c r="N19" s="26">
        <v>54</v>
      </c>
      <c r="O19" s="26">
        <v>39</v>
      </c>
      <c r="P19" s="26">
        <v>15</v>
      </c>
      <c r="Q19" s="26">
        <v>0</v>
      </c>
      <c r="R19" s="26">
        <v>1</v>
      </c>
      <c r="S19" s="26">
        <v>9</v>
      </c>
      <c r="T19" s="26">
        <v>4</v>
      </c>
      <c r="U19" s="26">
        <v>14</v>
      </c>
      <c r="V19" s="26">
        <v>1</v>
      </c>
    </row>
    <row r="20" spans="1:22" x14ac:dyDescent="0.25">
      <c r="A20" s="26" t="s">
        <v>2400</v>
      </c>
      <c r="B20" s="26" t="s">
        <v>2467</v>
      </c>
      <c r="C20" s="26" t="s">
        <v>2468</v>
      </c>
      <c r="D20" s="26" t="s">
        <v>179</v>
      </c>
      <c r="E20" s="26" t="s">
        <v>2469</v>
      </c>
      <c r="F20" s="26" t="s">
        <v>2470</v>
      </c>
      <c r="G20" s="26" t="s">
        <v>210</v>
      </c>
      <c r="H20" s="26" t="s">
        <v>1693</v>
      </c>
      <c r="I20" s="26" t="s">
        <v>184</v>
      </c>
      <c r="J20" s="26" t="s">
        <v>2448</v>
      </c>
      <c r="K20" s="26" t="s">
        <v>2405</v>
      </c>
      <c r="L20" s="26" t="s">
        <v>79</v>
      </c>
      <c r="M20" s="26" t="s">
        <v>77</v>
      </c>
      <c r="N20" s="26">
        <v>30</v>
      </c>
      <c r="O20" s="26">
        <v>17</v>
      </c>
      <c r="P20" s="26">
        <v>13</v>
      </c>
      <c r="Q20" s="26">
        <v>0</v>
      </c>
      <c r="R20" s="26">
        <v>1</v>
      </c>
      <c r="S20" s="26">
        <v>8</v>
      </c>
      <c r="T20" s="26">
        <v>2</v>
      </c>
      <c r="U20" s="26">
        <v>11</v>
      </c>
      <c r="V20" s="26">
        <v>1</v>
      </c>
    </row>
    <row r="21" spans="1:22" x14ac:dyDescent="0.25">
      <c r="A21" s="26" t="s">
        <v>2400</v>
      </c>
      <c r="B21" s="26" t="s">
        <v>2471</v>
      </c>
      <c r="C21" s="26" t="s">
        <v>2472</v>
      </c>
      <c r="D21" s="26" t="s">
        <v>2408</v>
      </c>
      <c r="E21" s="26" t="s">
        <v>4016</v>
      </c>
      <c r="F21" s="26" t="s">
        <v>2473</v>
      </c>
      <c r="G21" s="26" t="s">
        <v>210</v>
      </c>
      <c r="H21" s="26" t="s">
        <v>1026</v>
      </c>
      <c r="I21" s="26" t="s">
        <v>184</v>
      </c>
      <c r="J21" s="26" t="s">
        <v>2448</v>
      </c>
      <c r="K21" s="26" t="s">
        <v>2405</v>
      </c>
      <c r="L21" s="26" t="s">
        <v>79</v>
      </c>
      <c r="M21" s="26" t="s">
        <v>77</v>
      </c>
      <c r="N21" s="26">
        <v>50</v>
      </c>
      <c r="O21" s="26">
        <v>37</v>
      </c>
      <c r="P21" s="26">
        <v>13</v>
      </c>
      <c r="Q21" s="26">
        <v>0</v>
      </c>
      <c r="R21" s="26">
        <v>1</v>
      </c>
      <c r="S21" s="26">
        <v>8</v>
      </c>
      <c r="T21" s="26">
        <v>2</v>
      </c>
      <c r="U21" s="26">
        <v>11</v>
      </c>
      <c r="V21" s="26">
        <v>1</v>
      </c>
    </row>
    <row r="22" spans="1:22" x14ac:dyDescent="0.25">
      <c r="A22" s="26" t="s">
        <v>2400</v>
      </c>
      <c r="B22" s="26" t="s">
        <v>2474</v>
      </c>
      <c r="C22" s="26" t="s">
        <v>2475</v>
      </c>
      <c r="D22" s="26" t="s">
        <v>179</v>
      </c>
      <c r="E22" s="26" t="s">
        <v>2476</v>
      </c>
      <c r="F22" s="26" t="s">
        <v>2447</v>
      </c>
      <c r="G22" s="26" t="s">
        <v>210</v>
      </c>
      <c r="H22" s="26" t="s">
        <v>643</v>
      </c>
      <c r="I22" s="26" t="s">
        <v>184</v>
      </c>
      <c r="J22" s="26" t="s">
        <v>2448</v>
      </c>
      <c r="K22" s="26" t="s">
        <v>2405</v>
      </c>
      <c r="L22" s="26" t="s">
        <v>79</v>
      </c>
      <c r="M22" s="26" t="s">
        <v>77</v>
      </c>
      <c r="N22" s="26">
        <v>61</v>
      </c>
      <c r="O22" s="26">
        <v>36</v>
      </c>
      <c r="P22" s="26">
        <v>25</v>
      </c>
      <c r="Q22" s="26">
        <v>0</v>
      </c>
      <c r="R22" s="26">
        <v>1</v>
      </c>
      <c r="S22" s="26">
        <v>8</v>
      </c>
      <c r="T22" s="26">
        <v>4</v>
      </c>
      <c r="U22" s="26">
        <v>13</v>
      </c>
      <c r="V22" s="26">
        <v>1</v>
      </c>
    </row>
    <row r="23" spans="1:22" x14ac:dyDescent="0.25">
      <c r="A23" s="26" t="s">
        <v>2400</v>
      </c>
      <c r="B23" s="26" t="s">
        <v>2477</v>
      </c>
      <c r="C23" s="26" t="s">
        <v>2478</v>
      </c>
      <c r="D23" s="26" t="s">
        <v>179</v>
      </c>
      <c r="E23" s="26" t="s">
        <v>2479</v>
      </c>
      <c r="F23" s="26" t="s">
        <v>2480</v>
      </c>
      <c r="G23" s="26" t="s">
        <v>210</v>
      </c>
      <c r="H23" s="26" t="s">
        <v>643</v>
      </c>
      <c r="I23" s="26" t="s">
        <v>184</v>
      </c>
      <c r="J23" s="26" t="s">
        <v>2448</v>
      </c>
      <c r="K23" s="26" t="s">
        <v>2405</v>
      </c>
      <c r="L23" s="26" t="s">
        <v>79</v>
      </c>
      <c r="M23" s="26" t="s">
        <v>77</v>
      </c>
      <c r="N23" s="26">
        <v>33</v>
      </c>
      <c r="O23" s="26">
        <v>24</v>
      </c>
      <c r="P23" s="26">
        <v>9</v>
      </c>
      <c r="Q23" s="26">
        <v>0</v>
      </c>
      <c r="R23" s="26">
        <v>1</v>
      </c>
      <c r="S23" s="26">
        <v>6</v>
      </c>
      <c r="T23" s="26">
        <v>3</v>
      </c>
      <c r="U23" s="26">
        <v>10</v>
      </c>
      <c r="V23" s="26">
        <v>1</v>
      </c>
    </row>
    <row r="24" spans="1:22" x14ac:dyDescent="0.25">
      <c r="A24" s="26" t="s">
        <v>2400</v>
      </c>
      <c r="B24" s="26" t="s">
        <v>2481</v>
      </c>
      <c r="C24" s="26" t="s">
        <v>2482</v>
      </c>
      <c r="D24" s="26" t="s">
        <v>2408</v>
      </c>
      <c r="E24" s="26" t="s">
        <v>2483</v>
      </c>
      <c r="F24" s="26" t="s">
        <v>2484</v>
      </c>
      <c r="G24" s="26" t="s">
        <v>210</v>
      </c>
      <c r="H24" s="26" t="s">
        <v>926</v>
      </c>
      <c r="I24" s="26" t="s">
        <v>184</v>
      </c>
      <c r="J24" s="26" t="s">
        <v>2448</v>
      </c>
      <c r="K24" s="26" t="s">
        <v>2405</v>
      </c>
      <c r="L24" s="26" t="s">
        <v>79</v>
      </c>
      <c r="M24" s="26" t="s">
        <v>77</v>
      </c>
      <c r="N24" s="26">
        <v>54</v>
      </c>
      <c r="O24" s="26">
        <v>35</v>
      </c>
      <c r="P24" s="26">
        <v>19</v>
      </c>
      <c r="Q24" s="26">
        <v>0</v>
      </c>
      <c r="R24" s="26">
        <v>1</v>
      </c>
      <c r="S24" s="26">
        <v>5</v>
      </c>
      <c r="T24" s="26">
        <v>3</v>
      </c>
      <c r="U24" s="26">
        <v>9</v>
      </c>
      <c r="V24" s="26">
        <v>1</v>
      </c>
    </row>
    <row r="25" spans="1:22" x14ac:dyDescent="0.25">
      <c r="A25" s="26" t="s">
        <v>2400</v>
      </c>
      <c r="B25" s="26" t="s">
        <v>2485</v>
      </c>
      <c r="C25" s="26" t="s">
        <v>2486</v>
      </c>
      <c r="D25" s="26" t="s">
        <v>2408</v>
      </c>
      <c r="E25" s="26" t="s">
        <v>2487</v>
      </c>
      <c r="F25" s="26" t="s">
        <v>890</v>
      </c>
      <c r="G25" s="26" t="s">
        <v>210</v>
      </c>
      <c r="H25" s="26" t="s">
        <v>1026</v>
      </c>
      <c r="I25" s="26" t="s">
        <v>184</v>
      </c>
      <c r="J25" s="26" t="s">
        <v>2448</v>
      </c>
      <c r="K25" s="26" t="s">
        <v>2405</v>
      </c>
      <c r="L25" s="26" t="s">
        <v>79</v>
      </c>
      <c r="M25" s="26" t="s">
        <v>77</v>
      </c>
      <c r="N25" s="26">
        <v>27</v>
      </c>
      <c r="O25" s="26">
        <v>20</v>
      </c>
      <c r="P25" s="26">
        <v>7</v>
      </c>
      <c r="Q25" s="26">
        <v>0</v>
      </c>
      <c r="R25" s="26">
        <v>1</v>
      </c>
      <c r="S25" s="26">
        <v>6</v>
      </c>
      <c r="T25" s="26">
        <v>1</v>
      </c>
      <c r="U25" s="26">
        <v>8</v>
      </c>
      <c r="V25" s="26">
        <v>1</v>
      </c>
    </row>
    <row r="26" spans="1:22" x14ac:dyDescent="0.25">
      <c r="A26" s="26" t="s">
        <v>2400</v>
      </c>
      <c r="B26" s="26" t="s">
        <v>2488</v>
      </c>
      <c r="C26" s="26" t="s">
        <v>2489</v>
      </c>
      <c r="D26" s="26" t="s">
        <v>179</v>
      </c>
      <c r="E26" s="26" t="s">
        <v>1335</v>
      </c>
      <c r="F26" s="26" t="s">
        <v>2490</v>
      </c>
      <c r="G26" s="26" t="s">
        <v>210</v>
      </c>
      <c r="H26" s="26" t="s">
        <v>351</v>
      </c>
      <c r="I26" s="26" t="s">
        <v>184</v>
      </c>
      <c r="J26" s="26" t="s">
        <v>2448</v>
      </c>
      <c r="K26" s="26" t="s">
        <v>2405</v>
      </c>
      <c r="L26" s="26" t="s">
        <v>79</v>
      </c>
      <c r="M26" s="26" t="s">
        <v>77</v>
      </c>
      <c r="N26" s="26">
        <v>45</v>
      </c>
      <c r="O26" s="26">
        <v>27</v>
      </c>
      <c r="P26" s="26">
        <v>18</v>
      </c>
      <c r="Q26" s="26">
        <v>0</v>
      </c>
      <c r="R26" s="26">
        <v>1</v>
      </c>
      <c r="S26" s="26">
        <v>11</v>
      </c>
      <c r="T26" s="26">
        <v>3</v>
      </c>
      <c r="U26" s="26">
        <v>15</v>
      </c>
      <c r="V26" s="26">
        <v>1</v>
      </c>
    </row>
    <row r="27" spans="1:22" x14ac:dyDescent="0.25">
      <c r="A27" s="26" t="s">
        <v>2400</v>
      </c>
      <c r="B27" s="26" t="s">
        <v>2491</v>
      </c>
      <c r="C27" s="26" t="s">
        <v>2492</v>
      </c>
      <c r="D27" s="26" t="s">
        <v>2408</v>
      </c>
      <c r="E27" s="26" t="s">
        <v>2465</v>
      </c>
      <c r="F27" s="26" t="s">
        <v>2466</v>
      </c>
      <c r="G27" s="26" t="s">
        <v>210</v>
      </c>
      <c r="H27" s="26" t="s">
        <v>294</v>
      </c>
      <c r="I27" s="26" t="s">
        <v>184</v>
      </c>
      <c r="J27" s="26" t="s">
        <v>2448</v>
      </c>
      <c r="K27" s="26" t="s">
        <v>2405</v>
      </c>
      <c r="L27" s="26" t="s">
        <v>79</v>
      </c>
      <c r="M27" s="26" t="s">
        <v>77</v>
      </c>
      <c r="N27" s="26">
        <v>51</v>
      </c>
      <c r="O27" s="26">
        <v>36</v>
      </c>
      <c r="P27" s="26">
        <v>15</v>
      </c>
      <c r="Q27" s="26">
        <v>0</v>
      </c>
      <c r="R27" s="26">
        <v>1</v>
      </c>
      <c r="S27" s="26">
        <v>9</v>
      </c>
      <c r="T27" s="26">
        <v>2</v>
      </c>
      <c r="U27" s="26">
        <v>12</v>
      </c>
      <c r="V27" s="26">
        <v>1</v>
      </c>
    </row>
    <row r="28" spans="1:22" x14ac:dyDescent="0.25">
      <c r="A28" s="26" t="s">
        <v>2400</v>
      </c>
      <c r="B28" s="26" t="s">
        <v>2493</v>
      </c>
      <c r="C28" s="26" t="s">
        <v>2494</v>
      </c>
      <c r="D28" s="26" t="s">
        <v>179</v>
      </c>
      <c r="E28" s="26" t="s">
        <v>4017</v>
      </c>
      <c r="F28" s="26" t="s">
        <v>2495</v>
      </c>
      <c r="G28" s="26" t="s">
        <v>210</v>
      </c>
      <c r="H28" s="26" t="s">
        <v>523</v>
      </c>
      <c r="I28" s="26" t="s">
        <v>184</v>
      </c>
      <c r="J28" s="26" t="s">
        <v>2448</v>
      </c>
      <c r="K28" s="26" t="s">
        <v>2405</v>
      </c>
      <c r="L28" s="26" t="s">
        <v>79</v>
      </c>
      <c r="M28" s="26" t="s">
        <v>77</v>
      </c>
      <c r="N28" s="26">
        <v>46</v>
      </c>
      <c r="O28" s="26">
        <v>32</v>
      </c>
      <c r="P28" s="26">
        <v>14</v>
      </c>
      <c r="Q28" s="26">
        <v>0</v>
      </c>
      <c r="R28" s="26">
        <v>1</v>
      </c>
      <c r="S28" s="26">
        <v>8</v>
      </c>
      <c r="T28" s="26">
        <v>4</v>
      </c>
      <c r="U28" s="26">
        <v>13</v>
      </c>
      <c r="V28" s="26">
        <v>1</v>
      </c>
    </row>
    <row r="29" spans="1:22" x14ac:dyDescent="0.25">
      <c r="A29" s="26" t="s">
        <v>2400</v>
      </c>
      <c r="B29" s="26" t="s">
        <v>2496</v>
      </c>
      <c r="C29" s="26" t="s">
        <v>2497</v>
      </c>
      <c r="D29" s="26" t="s">
        <v>179</v>
      </c>
      <c r="E29" s="26" t="s">
        <v>2498</v>
      </c>
      <c r="F29" s="26" t="s">
        <v>2499</v>
      </c>
      <c r="G29" s="26" t="s">
        <v>210</v>
      </c>
      <c r="H29" s="26" t="s">
        <v>1026</v>
      </c>
      <c r="I29" s="26" t="s">
        <v>184</v>
      </c>
      <c r="J29" s="26" t="s">
        <v>2448</v>
      </c>
      <c r="K29" s="26" t="s">
        <v>2405</v>
      </c>
      <c r="L29" s="26" t="s">
        <v>79</v>
      </c>
      <c r="M29" s="26" t="s">
        <v>77</v>
      </c>
      <c r="N29" s="26">
        <v>35</v>
      </c>
      <c r="O29" s="26">
        <v>18</v>
      </c>
      <c r="P29" s="26">
        <v>17</v>
      </c>
      <c r="Q29" s="26">
        <v>0</v>
      </c>
      <c r="R29" s="26">
        <v>1</v>
      </c>
      <c r="S29" s="26">
        <v>8</v>
      </c>
      <c r="T29" s="26">
        <v>2</v>
      </c>
      <c r="U29" s="26">
        <v>11</v>
      </c>
      <c r="V29" s="26">
        <v>1</v>
      </c>
    </row>
    <row r="30" spans="1:22" x14ac:dyDescent="0.25">
      <c r="A30" s="26" t="s">
        <v>2400</v>
      </c>
      <c r="B30" s="26" t="s">
        <v>2500</v>
      </c>
      <c r="C30" s="26" t="s">
        <v>2501</v>
      </c>
      <c r="D30" s="26" t="s">
        <v>2408</v>
      </c>
      <c r="E30" s="26" t="s">
        <v>2458</v>
      </c>
      <c r="F30" s="26" t="s">
        <v>913</v>
      </c>
      <c r="G30" s="26" t="s">
        <v>210</v>
      </c>
      <c r="H30" s="26" t="s">
        <v>321</v>
      </c>
      <c r="I30" s="26" t="s">
        <v>184</v>
      </c>
      <c r="J30" s="26" t="s">
        <v>2448</v>
      </c>
      <c r="K30" s="26" t="s">
        <v>2405</v>
      </c>
      <c r="L30" s="26" t="s">
        <v>79</v>
      </c>
      <c r="M30" s="26" t="s">
        <v>77</v>
      </c>
      <c r="N30" s="26">
        <v>33</v>
      </c>
      <c r="O30" s="26">
        <v>21</v>
      </c>
      <c r="P30" s="26">
        <v>12</v>
      </c>
      <c r="Q30" s="26">
        <v>0</v>
      </c>
      <c r="R30" s="26">
        <v>1</v>
      </c>
      <c r="S30" s="26">
        <v>9</v>
      </c>
      <c r="T30" s="26">
        <v>3</v>
      </c>
      <c r="U30" s="26">
        <v>13</v>
      </c>
      <c r="V30" s="26">
        <v>1</v>
      </c>
    </row>
    <row r="31" spans="1:22" x14ac:dyDescent="0.25">
      <c r="A31" s="26" t="s">
        <v>2400</v>
      </c>
      <c r="B31" s="26" t="s">
        <v>2502</v>
      </c>
      <c r="C31" s="26" t="s">
        <v>2503</v>
      </c>
      <c r="D31" s="26" t="s">
        <v>2408</v>
      </c>
      <c r="E31" s="26" t="s">
        <v>2504</v>
      </c>
      <c r="F31" s="26" t="s">
        <v>2505</v>
      </c>
      <c r="G31" s="26" t="s">
        <v>4126</v>
      </c>
      <c r="H31" s="26" t="s">
        <v>756</v>
      </c>
      <c r="I31" s="26" t="s">
        <v>184</v>
      </c>
      <c r="J31" s="26" t="s">
        <v>2411</v>
      </c>
      <c r="K31" s="26" t="s">
        <v>2405</v>
      </c>
      <c r="L31" s="26" t="s">
        <v>79</v>
      </c>
      <c r="M31" s="26" t="s">
        <v>77</v>
      </c>
      <c r="N31" s="26">
        <v>27</v>
      </c>
      <c r="O31" s="26">
        <v>15</v>
      </c>
      <c r="P31" s="26">
        <v>12</v>
      </c>
      <c r="Q31" s="26">
        <v>0</v>
      </c>
      <c r="R31" s="26">
        <v>1</v>
      </c>
      <c r="S31" s="26">
        <v>4</v>
      </c>
      <c r="T31" s="26">
        <v>2</v>
      </c>
      <c r="U31" s="26">
        <v>7</v>
      </c>
      <c r="V31" s="26">
        <v>1</v>
      </c>
    </row>
    <row r="32" spans="1:22" x14ac:dyDescent="0.25">
      <c r="A32" s="26" t="s">
        <v>2400</v>
      </c>
      <c r="B32" s="26" t="s">
        <v>2506</v>
      </c>
      <c r="C32" s="26" t="s">
        <v>2507</v>
      </c>
      <c r="D32" s="26" t="s">
        <v>179</v>
      </c>
      <c r="E32" s="26" t="s">
        <v>2508</v>
      </c>
      <c r="F32" s="26" t="s">
        <v>1126</v>
      </c>
      <c r="G32" s="26" t="s">
        <v>278</v>
      </c>
      <c r="H32" s="26" t="s">
        <v>677</v>
      </c>
      <c r="I32" s="26" t="s">
        <v>184</v>
      </c>
      <c r="J32" s="26" t="s">
        <v>2509</v>
      </c>
      <c r="K32" s="26" t="s">
        <v>2405</v>
      </c>
      <c r="L32" s="26" t="s">
        <v>79</v>
      </c>
      <c r="M32" s="26" t="s">
        <v>77</v>
      </c>
      <c r="N32" s="26">
        <v>168</v>
      </c>
      <c r="O32" s="26">
        <v>120</v>
      </c>
      <c r="P32" s="26">
        <v>48</v>
      </c>
      <c r="Q32" s="26">
        <v>0</v>
      </c>
      <c r="R32" s="26">
        <v>1</v>
      </c>
      <c r="S32" s="26">
        <v>7</v>
      </c>
      <c r="T32" s="26">
        <v>2</v>
      </c>
      <c r="U32" s="26">
        <v>10</v>
      </c>
      <c r="V32" s="26">
        <v>1</v>
      </c>
    </row>
    <row r="33" spans="1:22" x14ac:dyDescent="0.25">
      <c r="A33" s="26" t="s">
        <v>2400</v>
      </c>
      <c r="B33" s="26" t="s">
        <v>2510</v>
      </c>
      <c r="C33" s="26" t="s">
        <v>2511</v>
      </c>
      <c r="D33" s="26" t="s">
        <v>2408</v>
      </c>
      <c r="E33" s="26" t="s">
        <v>4018</v>
      </c>
      <c r="F33" s="26" t="s">
        <v>577</v>
      </c>
      <c r="G33" s="26" t="s">
        <v>278</v>
      </c>
      <c r="H33" s="26" t="s">
        <v>677</v>
      </c>
      <c r="I33" s="26" t="s">
        <v>184</v>
      </c>
      <c r="J33" s="26" t="s">
        <v>2509</v>
      </c>
      <c r="K33" s="26" t="s">
        <v>2405</v>
      </c>
      <c r="L33" s="26" t="s">
        <v>79</v>
      </c>
      <c r="M33" s="26" t="s">
        <v>77</v>
      </c>
      <c r="N33" s="26">
        <v>90</v>
      </c>
      <c r="O33" s="26">
        <v>62</v>
      </c>
      <c r="P33" s="26">
        <v>28</v>
      </c>
      <c r="Q33" s="26">
        <v>0</v>
      </c>
      <c r="R33" s="26">
        <v>1</v>
      </c>
      <c r="S33" s="26">
        <v>6</v>
      </c>
      <c r="T33" s="26">
        <v>3</v>
      </c>
      <c r="U33" s="26">
        <v>10</v>
      </c>
      <c r="V33" s="26">
        <v>1</v>
      </c>
    </row>
    <row r="34" spans="1:22" x14ac:dyDescent="0.25">
      <c r="A34" s="26" t="s">
        <v>2400</v>
      </c>
      <c r="B34" s="26" t="s">
        <v>2512</v>
      </c>
      <c r="C34" s="26" t="s">
        <v>2513</v>
      </c>
      <c r="D34" s="26" t="s">
        <v>2408</v>
      </c>
      <c r="E34" s="26" t="s">
        <v>2514</v>
      </c>
      <c r="F34" s="26" t="s">
        <v>1280</v>
      </c>
      <c r="G34" s="26" t="s">
        <v>278</v>
      </c>
      <c r="H34" s="26" t="s">
        <v>643</v>
      </c>
      <c r="I34" s="26" t="s">
        <v>184</v>
      </c>
      <c r="J34" s="26" t="s">
        <v>2509</v>
      </c>
      <c r="K34" s="26" t="s">
        <v>2405</v>
      </c>
      <c r="L34" s="26" t="s">
        <v>79</v>
      </c>
      <c r="M34" s="26" t="s">
        <v>77</v>
      </c>
      <c r="N34" s="26">
        <v>34</v>
      </c>
      <c r="O34" s="26">
        <v>18</v>
      </c>
      <c r="P34" s="26">
        <v>16</v>
      </c>
      <c r="Q34" s="26">
        <v>0</v>
      </c>
      <c r="R34" s="26">
        <v>1</v>
      </c>
      <c r="S34" s="26">
        <v>5</v>
      </c>
      <c r="T34" s="26">
        <v>3</v>
      </c>
      <c r="U34" s="26">
        <v>9</v>
      </c>
      <c r="V34" s="26">
        <v>1</v>
      </c>
    </row>
    <row r="35" spans="1:22" x14ac:dyDescent="0.25">
      <c r="A35" s="26" t="s">
        <v>2400</v>
      </c>
      <c r="B35" s="26" t="s">
        <v>2515</v>
      </c>
      <c r="C35" s="26" t="s">
        <v>2516</v>
      </c>
      <c r="D35" s="26" t="s">
        <v>2408</v>
      </c>
      <c r="E35" s="26" t="s">
        <v>2517</v>
      </c>
      <c r="F35" s="26" t="s">
        <v>2518</v>
      </c>
      <c r="G35" s="26" t="s">
        <v>413</v>
      </c>
      <c r="H35" s="26" t="s">
        <v>523</v>
      </c>
      <c r="I35" s="26" t="s">
        <v>184</v>
      </c>
      <c r="J35" s="26" t="s">
        <v>2509</v>
      </c>
      <c r="K35" s="26" t="s">
        <v>2405</v>
      </c>
      <c r="L35" s="26" t="s">
        <v>79</v>
      </c>
      <c r="M35" s="26" t="s">
        <v>77</v>
      </c>
      <c r="N35" s="26">
        <v>60</v>
      </c>
      <c r="O35" s="26">
        <v>38</v>
      </c>
      <c r="P35" s="26">
        <v>22</v>
      </c>
      <c r="Q35" s="26">
        <v>0</v>
      </c>
      <c r="R35" s="26">
        <v>1</v>
      </c>
      <c r="S35" s="26">
        <v>6</v>
      </c>
      <c r="T35" s="26">
        <v>2</v>
      </c>
      <c r="U35" s="26">
        <v>9</v>
      </c>
      <c r="V35" s="26">
        <v>1</v>
      </c>
    </row>
    <row r="36" spans="1:22" x14ac:dyDescent="0.25">
      <c r="A36" s="26" t="s">
        <v>2400</v>
      </c>
      <c r="B36" s="26" t="s">
        <v>2519</v>
      </c>
      <c r="C36" s="26" t="s">
        <v>2520</v>
      </c>
      <c r="D36" s="26" t="s">
        <v>179</v>
      </c>
      <c r="E36" s="26" t="s">
        <v>2521</v>
      </c>
      <c r="F36" s="26" t="s">
        <v>1462</v>
      </c>
      <c r="G36" s="26" t="s">
        <v>278</v>
      </c>
      <c r="H36" s="26" t="s">
        <v>687</v>
      </c>
      <c r="I36" s="26" t="s">
        <v>184</v>
      </c>
      <c r="J36" s="26" t="s">
        <v>2509</v>
      </c>
      <c r="K36" s="26" t="s">
        <v>2405</v>
      </c>
      <c r="L36" s="26" t="s">
        <v>79</v>
      </c>
      <c r="M36" s="26" t="s">
        <v>77</v>
      </c>
      <c r="N36" s="26">
        <v>77</v>
      </c>
      <c r="O36" s="26">
        <v>56</v>
      </c>
      <c r="P36" s="26">
        <v>21</v>
      </c>
      <c r="Q36" s="26">
        <v>0</v>
      </c>
      <c r="R36" s="26">
        <v>1</v>
      </c>
      <c r="S36" s="26">
        <v>5</v>
      </c>
      <c r="T36" s="26">
        <v>2</v>
      </c>
      <c r="U36" s="26">
        <v>8</v>
      </c>
      <c r="V36" s="26">
        <v>1</v>
      </c>
    </row>
    <row r="37" spans="1:22" x14ac:dyDescent="0.25">
      <c r="A37" s="26" t="s">
        <v>2400</v>
      </c>
      <c r="B37" s="26" t="s">
        <v>2522</v>
      </c>
      <c r="C37" s="26" t="s">
        <v>2523</v>
      </c>
      <c r="D37" s="26" t="s">
        <v>179</v>
      </c>
      <c r="E37" s="26" t="s">
        <v>2524</v>
      </c>
      <c r="F37" s="26" t="s">
        <v>2525</v>
      </c>
      <c r="G37" s="26" t="s">
        <v>4126</v>
      </c>
      <c r="H37" s="26" t="s">
        <v>321</v>
      </c>
      <c r="I37" s="26" t="s">
        <v>184</v>
      </c>
      <c r="J37" s="26" t="s">
        <v>2411</v>
      </c>
      <c r="K37" s="26" t="s">
        <v>2405</v>
      </c>
      <c r="L37" s="26" t="s">
        <v>79</v>
      </c>
      <c r="M37" s="26" t="s">
        <v>77</v>
      </c>
      <c r="N37" s="26">
        <v>22</v>
      </c>
      <c r="O37" s="26">
        <v>15</v>
      </c>
      <c r="P37" s="26">
        <v>7</v>
      </c>
      <c r="Q37" s="26">
        <v>0</v>
      </c>
      <c r="R37" s="26">
        <v>1</v>
      </c>
      <c r="S37" s="26">
        <v>6</v>
      </c>
      <c r="T37" s="26">
        <v>3</v>
      </c>
      <c r="U37" s="26">
        <v>10</v>
      </c>
      <c r="V37" s="26">
        <v>1</v>
      </c>
    </row>
    <row r="38" spans="1:22" x14ac:dyDescent="0.25">
      <c r="A38" s="26" t="s">
        <v>2400</v>
      </c>
      <c r="B38" s="26" t="s">
        <v>2526</v>
      </c>
      <c r="C38" s="26" t="s">
        <v>2527</v>
      </c>
      <c r="D38" s="26" t="s">
        <v>179</v>
      </c>
      <c r="E38" s="26" t="s">
        <v>2528</v>
      </c>
      <c r="F38" s="26" t="s">
        <v>1103</v>
      </c>
      <c r="G38" s="26" t="s">
        <v>278</v>
      </c>
      <c r="H38" s="26" t="s">
        <v>643</v>
      </c>
      <c r="I38" s="26" t="s">
        <v>184</v>
      </c>
      <c r="J38" s="26" t="s">
        <v>2509</v>
      </c>
      <c r="K38" s="26" t="s">
        <v>2405</v>
      </c>
      <c r="L38" s="26" t="s">
        <v>79</v>
      </c>
      <c r="M38" s="26" t="s">
        <v>77</v>
      </c>
      <c r="N38" s="26">
        <v>50</v>
      </c>
      <c r="O38" s="26">
        <v>40</v>
      </c>
      <c r="P38" s="26">
        <v>10</v>
      </c>
      <c r="Q38" s="26">
        <v>0</v>
      </c>
      <c r="R38" s="26">
        <v>1</v>
      </c>
      <c r="S38" s="26">
        <v>4</v>
      </c>
      <c r="T38" s="26">
        <v>1</v>
      </c>
      <c r="U38" s="26">
        <v>6</v>
      </c>
      <c r="V38" s="26">
        <v>1</v>
      </c>
    </row>
    <row r="39" spans="1:22" x14ac:dyDescent="0.25">
      <c r="A39" s="26" t="s">
        <v>2400</v>
      </c>
      <c r="B39" s="26" t="s">
        <v>2529</v>
      </c>
      <c r="C39" s="26" t="s">
        <v>2530</v>
      </c>
      <c r="D39" s="26" t="s">
        <v>2408</v>
      </c>
      <c r="E39" s="26" t="s">
        <v>4019</v>
      </c>
      <c r="F39" s="26" t="s">
        <v>407</v>
      </c>
      <c r="G39" s="26" t="s">
        <v>278</v>
      </c>
      <c r="H39" s="26" t="s">
        <v>1693</v>
      </c>
      <c r="I39" s="26" t="s">
        <v>184</v>
      </c>
      <c r="J39" s="26" t="s">
        <v>2509</v>
      </c>
      <c r="K39" s="26" t="s">
        <v>2405</v>
      </c>
      <c r="L39" s="26" t="s">
        <v>79</v>
      </c>
      <c r="M39" s="26" t="s">
        <v>77</v>
      </c>
      <c r="N39" s="26">
        <v>82</v>
      </c>
      <c r="O39" s="26">
        <v>56</v>
      </c>
      <c r="P39" s="26">
        <v>26</v>
      </c>
      <c r="Q39" s="26">
        <v>0</v>
      </c>
      <c r="R39" s="26">
        <v>1</v>
      </c>
      <c r="S39" s="26">
        <v>7</v>
      </c>
      <c r="T39" s="26">
        <v>3</v>
      </c>
      <c r="U39" s="26">
        <v>11</v>
      </c>
      <c r="V39" s="26">
        <v>1</v>
      </c>
    </row>
    <row r="40" spans="1:22" x14ac:dyDescent="0.25">
      <c r="A40" s="26" t="s">
        <v>2400</v>
      </c>
      <c r="B40" s="26" t="s">
        <v>2531</v>
      </c>
      <c r="C40" s="26" t="s">
        <v>2532</v>
      </c>
      <c r="D40" s="26" t="s">
        <v>2408</v>
      </c>
      <c r="E40" s="26" t="s">
        <v>2533</v>
      </c>
      <c r="F40" s="26" t="s">
        <v>1122</v>
      </c>
      <c r="G40" s="26" t="s">
        <v>278</v>
      </c>
      <c r="H40" s="26" t="s">
        <v>1693</v>
      </c>
      <c r="I40" s="26" t="s">
        <v>184</v>
      </c>
      <c r="J40" s="26" t="s">
        <v>2509</v>
      </c>
      <c r="K40" s="26" t="s">
        <v>2405</v>
      </c>
      <c r="L40" s="26" t="s">
        <v>79</v>
      </c>
      <c r="M40" s="26" t="s">
        <v>77</v>
      </c>
      <c r="N40" s="26">
        <v>77</v>
      </c>
      <c r="O40" s="26">
        <v>57</v>
      </c>
      <c r="P40" s="26">
        <v>20</v>
      </c>
      <c r="Q40" s="26">
        <v>0</v>
      </c>
      <c r="R40" s="26">
        <v>1</v>
      </c>
      <c r="S40" s="26">
        <v>8</v>
      </c>
      <c r="T40" s="26">
        <v>2</v>
      </c>
      <c r="U40" s="26">
        <v>11</v>
      </c>
      <c r="V40" s="26">
        <v>1</v>
      </c>
    </row>
    <row r="41" spans="1:22" x14ac:dyDescent="0.25">
      <c r="A41" s="26" t="s">
        <v>2400</v>
      </c>
      <c r="B41" s="26" t="s">
        <v>2534</v>
      </c>
      <c r="C41" s="26" t="s">
        <v>2535</v>
      </c>
      <c r="D41" s="26" t="s">
        <v>179</v>
      </c>
      <c r="E41" s="26" t="s">
        <v>4020</v>
      </c>
      <c r="F41" s="26" t="s">
        <v>2536</v>
      </c>
      <c r="G41" s="26" t="s">
        <v>413</v>
      </c>
      <c r="H41" s="26" t="s">
        <v>205</v>
      </c>
      <c r="I41" s="26" t="s">
        <v>184</v>
      </c>
      <c r="J41" s="26" t="s">
        <v>2509</v>
      </c>
      <c r="K41" s="26" t="s">
        <v>2405</v>
      </c>
      <c r="L41" s="26" t="s">
        <v>79</v>
      </c>
      <c r="M41" s="26" t="s">
        <v>77</v>
      </c>
      <c r="N41" s="26">
        <v>19</v>
      </c>
      <c r="O41" s="26">
        <v>15</v>
      </c>
      <c r="P41" s="26">
        <v>4</v>
      </c>
      <c r="Q41" s="26">
        <v>0</v>
      </c>
      <c r="R41" s="26">
        <v>1</v>
      </c>
      <c r="S41" s="26">
        <v>3</v>
      </c>
      <c r="T41" s="26">
        <v>3</v>
      </c>
      <c r="U41" s="26">
        <v>7</v>
      </c>
      <c r="V41" s="26">
        <v>1</v>
      </c>
    </row>
    <row r="42" spans="1:22" x14ac:dyDescent="0.25">
      <c r="A42" s="26" t="s">
        <v>2400</v>
      </c>
      <c r="B42" s="26" t="s">
        <v>2537</v>
      </c>
      <c r="C42" s="26" t="s">
        <v>2538</v>
      </c>
      <c r="D42" s="26" t="s">
        <v>2408</v>
      </c>
      <c r="E42" s="26" t="s">
        <v>4021</v>
      </c>
      <c r="F42" s="26" t="s">
        <v>2539</v>
      </c>
      <c r="G42" s="26" t="s">
        <v>413</v>
      </c>
      <c r="H42" s="26" t="s">
        <v>205</v>
      </c>
      <c r="I42" s="26" t="s">
        <v>184</v>
      </c>
      <c r="J42" s="26" t="s">
        <v>2509</v>
      </c>
      <c r="K42" s="26" t="s">
        <v>2405</v>
      </c>
      <c r="L42" s="26" t="s">
        <v>79</v>
      </c>
      <c r="M42" s="26" t="s">
        <v>77</v>
      </c>
      <c r="N42" s="26">
        <v>33</v>
      </c>
      <c r="O42" s="26">
        <v>24</v>
      </c>
      <c r="P42" s="26">
        <v>9</v>
      </c>
      <c r="Q42" s="26">
        <v>0</v>
      </c>
      <c r="R42" s="26">
        <v>1</v>
      </c>
      <c r="S42" s="26">
        <v>6</v>
      </c>
      <c r="T42" s="26">
        <v>3</v>
      </c>
      <c r="U42" s="26">
        <v>10</v>
      </c>
      <c r="V42" s="26">
        <v>1</v>
      </c>
    </row>
    <row r="43" spans="1:22" x14ac:dyDescent="0.25">
      <c r="A43" s="26" t="s">
        <v>2400</v>
      </c>
      <c r="B43" s="26" t="s">
        <v>2540</v>
      </c>
      <c r="C43" s="26" t="s">
        <v>2541</v>
      </c>
      <c r="D43" s="26" t="s">
        <v>2408</v>
      </c>
      <c r="E43" s="26" t="s">
        <v>2542</v>
      </c>
      <c r="F43" s="26" t="s">
        <v>2543</v>
      </c>
      <c r="G43" s="26" t="s">
        <v>278</v>
      </c>
      <c r="H43" s="26" t="s">
        <v>643</v>
      </c>
      <c r="I43" s="26" t="s">
        <v>184</v>
      </c>
      <c r="J43" s="26" t="s">
        <v>2509</v>
      </c>
      <c r="K43" s="26" t="s">
        <v>2405</v>
      </c>
      <c r="L43" s="26" t="s">
        <v>79</v>
      </c>
      <c r="M43" s="26" t="s">
        <v>77</v>
      </c>
      <c r="N43" s="26">
        <v>45</v>
      </c>
      <c r="O43" s="26">
        <v>28</v>
      </c>
      <c r="P43" s="26">
        <v>17</v>
      </c>
      <c r="Q43" s="26">
        <v>0</v>
      </c>
      <c r="R43" s="26">
        <v>1</v>
      </c>
      <c r="S43" s="26">
        <v>6</v>
      </c>
      <c r="T43" s="26">
        <v>2</v>
      </c>
      <c r="U43" s="26">
        <v>9</v>
      </c>
      <c r="V43" s="26">
        <v>1</v>
      </c>
    </row>
    <row r="44" spans="1:22" x14ac:dyDescent="0.25">
      <c r="A44" s="26" t="s">
        <v>2400</v>
      </c>
      <c r="B44" s="26" t="s">
        <v>2544</v>
      </c>
      <c r="C44" s="26" t="s">
        <v>2545</v>
      </c>
      <c r="D44" s="26" t="s">
        <v>179</v>
      </c>
      <c r="E44" s="26" t="s">
        <v>2546</v>
      </c>
      <c r="F44" s="26" t="s">
        <v>978</v>
      </c>
      <c r="G44" s="26" t="s">
        <v>4126</v>
      </c>
      <c r="H44" s="26" t="s">
        <v>205</v>
      </c>
      <c r="I44" s="26" t="s">
        <v>184</v>
      </c>
      <c r="J44" s="26" t="s">
        <v>2411</v>
      </c>
      <c r="K44" s="26" t="s">
        <v>2405</v>
      </c>
      <c r="L44" s="26" t="s">
        <v>79</v>
      </c>
      <c r="M44" s="26" t="s">
        <v>77</v>
      </c>
      <c r="N44" s="26">
        <v>51</v>
      </c>
      <c r="O44" s="26">
        <v>38</v>
      </c>
      <c r="P44" s="26">
        <v>13</v>
      </c>
      <c r="Q44" s="26">
        <v>0</v>
      </c>
      <c r="R44" s="26">
        <v>1</v>
      </c>
      <c r="S44" s="26">
        <v>6</v>
      </c>
      <c r="T44" s="26">
        <v>3</v>
      </c>
      <c r="U44" s="26">
        <v>10</v>
      </c>
      <c r="V44" s="26">
        <v>1</v>
      </c>
    </row>
    <row r="45" spans="1:22" x14ac:dyDescent="0.25">
      <c r="A45" s="26" t="s">
        <v>2400</v>
      </c>
      <c r="B45" s="26" t="s">
        <v>2547</v>
      </c>
      <c r="C45" s="26" t="s">
        <v>2548</v>
      </c>
      <c r="D45" s="26" t="s">
        <v>2408</v>
      </c>
      <c r="E45" s="26" t="s">
        <v>4022</v>
      </c>
      <c r="F45" s="26" t="s">
        <v>989</v>
      </c>
      <c r="G45" s="26" t="s">
        <v>4126</v>
      </c>
      <c r="H45" s="26" t="s">
        <v>526</v>
      </c>
      <c r="I45" s="26" t="s">
        <v>184</v>
      </c>
      <c r="J45" s="26" t="s">
        <v>2411</v>
      </c>
      <c r="K45" s="26" t="s">
        <v>2405</v>
      </c>
      <c r="L45" s="26" t="s">
        <v>79</v>
      </c>
      <c r="M45" s="26" t="s">
        <v>77</v>
      </c>
      <c r="N45" s="26">
        <v>23</v>
      </c>
      <c r="O45" s="26">
        <v>11</v>
      </c>
      <c r="P45" s="26">
        <v>12</v>
      </c>
      <c r="Q45" s="26">
        <v>0</v>
      </c>
      <c r="R45" s="26">
        <v>1</v>
      </c>
      <c r="S45" s="26">
        <v>6</v>
      </c>
      <c r="T45" s="26">
        <v>2</v>
      </c>
      <c r="U45" s="26">
        <v>9</v>
      </c>
      <c r="V45" s="26">
        <v>1</v>
      </c>
    </row>
    <row r="46" spans="1:22" x14ac:dyDescent="0.25">
      <c r="A46" s="26" t="s">
        <v>2400</v>
      </c>
      <c r="B46" s="26" t="s">
        <v>2549</v>
      </c>
      <c r="C46" s="26" t="s">
        <v>2550</v>
      </c>
      <c r="D46" s="26" t="s">
        <v>2408</v>
      </c>
      <c r="E46" s="26" t="s">
        <v>2551</v>
      </c>
      <c r="F46" s="26" t="s">
        <v>2125</v>
      </c>
      <c r="G46" s="26" t="s">
        <v>487</v>
      </c>
      <c r="H46" s="26" t="s">
        <v>687</v>
      </c>
      <c r="I46" s="26" t="s">
        <v>184</v>
      </c>
      <c r="J46" s="26" t="s">
        <v>2404</v>
      </c>
      <c r="K46" s="26" t="s">
        <v>2405</v>
      </c>
      <c r="L46" s="26" t="s">
        <v>79</v>
      </c>
      <c r="M46" s="26" t="s">
        <v>77</v>
      </c>
      <c r="N46" s="26">
        <v>30</v>
      </c>
      <c r="O46" s="26">
        <v>19</v>
      </c>
      <c r="P46" s="26">
        <v>11</v>
      </c>
      <c r="Q46" s="26">
        <v>0</v>
      </c>
      <c r="R46" s="26">
        <v>1</v>
      </c>
      <c r="S46" s="26">
        <v>6</v>
      </c>
      <c r="T46" s="26">
        <v>0</v>
      </c>
      <c r="U46" s="26">
        <v>7</v>
      </c>
      <c r="V46" s="26">
        <v>1</v>
      </c>
    </row>
    <row r="47" spans="1:22" x14ac:dyDescent="0.25">
      <c r="A47" s="26" t="s">
        <v>2400</v>
      </c>
      <c r="B47" s="26" t="s">
        <v>2552</v>
      </c>
      <c r="C47" s="26" t="s">
        <v>2553</v>
      </c>
      <c r="D47" s="26" t="s">
        <v>179</v>
      </c>
      <c r="E47" s="26" t="s">
        <v>4023</v>
      </c>
      <c r="F47" s="26" t="s">
        <v>925</v>
      </c>
      <c r="G47" s="26" t="s">
        <v>487</v>
      </c>
      <c r="H47" s="26" t="s">
        <v>687</v>
      </c>
      <c r="I47" s="26" t="s">
        <v>184</v>
      </c>
      <c r="J47" s="26" t="s">
        <v>2404</v>
      </c>
      <c r="K47" s="26" t="s">
        <v>2405</v>
      </c>
      <c r="L47" s="26" t="s">
        <v>79</v>
      </c>
      <c r="M47" s="26" t="s">
        <v>77</v>
      </c>
      <c r="N47" s="26">
        <v>36</v>
      </c>
      <c r="O47" s="26">
        <v>17</v>
      </c>
      <c r="P47" s="26">
        <v>19</v>
      </c>
      <c r="Q47" s="26">
        <v>0</v>
      </c>
      <c r="R47" s="26">
        <v>1</v>
      </c>
      <c r="S47" s="26">
        <v>7</v>
      </c>
      <c r="T47" s="26">
        <v>2</v>
      </c>
      <c r="U47" s="26">
        <v>10</v>
      </c>
      <c r="V47" s="26">
        <v>1</v>
      </c>
    </row>
    <row r="48" spans="1:22" x14ac:dyDescent="0.25">
      <c r="A48" s="26" t="s">
        <v>2400</v>
      </c>
      <c r="B48" s="26" t="s">
        <v>2554</v>
      </c>
      <c r="C48" s="26" t="s">
        <v>2555</v>
      </c>
      <c r="D48" s="26" t="s">
        <v>179</v>
      </c>
      <c r="E48" s="26" t="s">
        <v>2556</v>
      </c>
      <c r="F48" s="26" t="s">
        <v>2557</v>
      </c>
      <c r="G48" s="26" t="s">
        <v>487</v>
      </c>
      <c r="H48" s="26" t="s">
        <v>643</v>
      </c>
      <c r="I48" s="26" t="s">
        <v>184</v>
      </c>
      <c r="J48" s="26" t="s">
        <v>2404</v>
      </c>
      <c r="K48" s="26" t="s">
        <v>2405</v>
      </c>
      <c r="L48" s="26" t="s">
        <v>79</v>
      </c>
      <c r="M48" s="26" t="s">
        <v>77</v>
      </c>
      <c r="N48" s="26">
        <v>106</v>
      </c>
      <c r="O48" s="26">
        <v>63</v>
      </c>
      <c r="P48" s="26">
        <v>43</v>
      </c>
      <c r="Q48" s="26">
        <v>0</v>
      </c>
      <c r="R48" s="26">
        <v>1</v>
      </c>
      <c r="S48" s="26">
        <v>7</v>
      </c>
      <c r="T48" s="26">
        <v>1</v>
      </c>
      <c r="U48" s="26">
        <v>9</v>
      </c>
      <c r="V48" s="26">
        <v>1</v>
      </c>
    </row>
    <row r="49" spans="1:22" x14ac:dyDescent="0.25">
      <c r="A49" s="26" t="s">
        <v>2400</v>
      </c>
      <c r="B49" s="26" t="s">
        <v>2558</v>
      </c>
      <c r="C49" s="26" t="s">
        <v>2559</v>
      </c>
      <c r="D49" s="26" t="s">
        <v>179</v>
      </c>
      <c r="E49" s="26" t="s">
        <v>4024</v>
      </c>
      <c r="F49" s="26" t="s">
        <v>2560</v>
      </c>
      <c r="G49" s="26" t="s">
        <v>487</v>
      </c>
      <c r="H49" s="26" t="s">
        <v>643</v>
      </c>
      <c r="I49" s="26" t="s">
        <v>184</v>
      </c>
      <c r="J49" s="26" t="s">
        <v>2404</v>
      </c>
      <c r="K49" s="26" t="s">
        <v>2405</v>
      </c>
      <c r="L49" s="26" t="s">
        <v>79</v>
      </c>
      <c r="M49" s="26" t="s">
        <v>77</v>
      </c>
      <c r="N49" s="26">
        <v>91</v>
      </c>
      <c r="O49" s="26">
        <v>63</v>
      </c>
      <c r="P49" s="26">
        <v>28</v>
      </c>
      <c r="Q49" s="26">
        <v>0</v>
      </c>
      <c r="R49" s="26">
        <v>1</v>
      </c>
      <c r="S49" s="26">
        <v>8</v>
      </c>
      <c r="T49" s="26">
        <v>2</v>
      </c>
      <c r="U49" s="26">
        <v>11</v>
      </c>
      <c r="V49" s="26">
        <v>1</v>
      </c>
    </row>
    <row r="50" spans="1:22" x14ac:dyDescent="0.25">
      <c r="A50" s="26" t="s">
        <v>2400</v>
      </c>
      <c r="B50" s="26" t="s">
        <v>2561</v>
      </c>
      <c r="C50" s="26" t="s">
        <v>2562</v>
      </c>
      <c r="D50" s="26" t="s">
        <v>2408</v>
      </c>
      <c r="E50" s="26" t="s">
        <v>2563</v>
      </c>
      <c r="F50" s="26" t="s">
        <v>2564</v>
      </c>
      <c r="G50" s="26" t="s">
        <v>191</v>
      </c>
      <c r="H50" s="26" t="s">
        <v>1026</v>
      </c>
      <c r="I50" s="26" t="s">
        <v>184</v>
      </c>
      <c r="J50" s="26" t="s">
        <v>2565</v>
      </c>
      <c r="K50" s="26" t="s">
        <v>2405</v>
      </c>
      <c r="L50" s="26" t="s">
        <v>79</v>
      </c>
      <c r="M50" s="26" t="s">
        <v>77</v>
      </c>
      <c r="N50" s="26">
        <v>67</v>
      </c>
      <c r="O50" s="26">
        <v>45</v>
      </c>
      <c r="P50" s="26">
        <v>22</v>
      </c>
      <c r="Q50" s="26">
        <v>0</v>
      </c>
      <c r="R50" s="26">
        <v>1</v>
      </c>
      <c r="S50" s="26">
        <v>5</v>
      </c>
      <c r="T50" s="26">
        <v>1</v>
      </c>
      <c r="U50" s="26">
        <v>7</v>
      </c>
      <c r="V50" s="26">
        <v>1</v>
      </c>
    </row>
    <row r="51" spans="1:22" x14ac:dyDescent="0.25">
      <c r="A51" s="26" t="s">
        <v>2400</v>
      </c>
      <c r="B51" s="26" t="s">
        <v>2566</v>
      </c>
      <c r="C51" s="26" t="s">
        <v>2567</v>
      </c>
      <c r="D51" s="26" t="s">
        <v>2408</v>
      </c>
      <c r="E51" s="26" t="s">
        <v>2568</v>
      </c>
      <c r="F51" s="26" t="s">
        <v>1579</v>
      </c>
      <c r="G51" s="26" t="s">
        <v>487</v>
      </c>
      <c r="H51" s="26" t="s">
        <v>687</v>
      </c>
      <c r="I51" s="26" t="s">
        <v>184</v>
      </c>
      <c r="J51" s="26" t="s">
        <v>2404</v>
      </c>
      <c r="K51" s="26" t="s">
        <v>2405</v>
      </c>
      <c r="L51" s="26" t="s">
        <v>79</v>
      </c>
      <c r="M51" s="26" t="s">
        <v>77</v>
      </c>
      <c r="N51" s="26">
        <v>39</v>
      </c>
      <c r="O51" s="26">
        <v>26</v>
      </c>
      <c r="P51" s="26">
        <v>13</v>
      </c>
      <c r="Q51" s="26">
        <v>0</v>
      </c>
      <c r="R51" s="26">
        <v>1</v>
      </c>
      <c r="S51" s="26">
        <v>5</v>
      </c>
      <c r="T51" s="26">
        <v>1</v>
      </c>
      <c r="U51" s="26">
        <v>7</v>
      </c>
      <c r="V51" s="26">
        <v>1</v>
      </c>
    </row>
    <row r="52" spans="1:22" x14ac:dyDescent="0.25">
      <c r="A52" s="26" t="s">
        <v>2400</v>
      </c>
      <c r="B52" s="26" t="s">
        <v>2569</v>
      </c>
      <c r="C52" s="26" t="s">
        <v>2570</v>
      </c>
      <c r="D52" s="26" t="s">
        <v>179</v>
      </c>
      <c r="E52" s="26" t="s">
        <v>2568</v>
      </c>
      <c r="F52" s="26" t="s">
        <v>1579</v>
      </c>
      <c r="G52" s="26" t="s">
        <v>487</v>
      </c>
      <c r="H52" s="26" t="s">
        <v>687</v>
      </c>
      <c r="I52" s="26" t="s">
        <v>184</v>
      </c>
      <c r="J52" s="26" t="s">
        <v>2404</v>
      </c>
      <c r="K52" s="26" t="s">
        <v>2405</v>
      </c>
      <c r="L52" s="26" t="s">
        <v>79</v>
      </c>
      <c r="M52" s="26" t="s">
        <v>77</v>
      </c>
      <c r="N52" s="26">
        <v>66</v>
      </c>
      <c r="O52" s="26">
        <v>38</v>
      </c>
      <c r="P52" s="26">
        <v>28</v>
      </c>
      <c r="Q52" s="26">
        <v>0</v>
      </c>
      <c r="R52" s="26">
        <v>1</v>
      </c>
      <c r="S52" s="26">
        <v>8</v>
      </c>
      <c r="T52" s="26">
        <v>2</v>
      </c>
      <c r="U52" s="26">
        <v>11</v>
      </c>
      <c r="V52" s="26">
        <v>1</v>
      </c>
    </row>
    <row r="53" spans="1:22" x14ac:dyDescent="0.25">
      <c r="A53" s="26" t="s">
        <v>2400</v>
      </c>
      <c r="B53" s="26" t="s">
        <v>2571</v>
      </c>
      <c r="C53" s="26" t="s">
        <v>2572</v>
      </c>
      <c r="D53" s="26" t="s">
        <v>2408</v>
      </c>
      <c r="E53" s="26" t="s">
        <v>2573</v>
      </c>
      <c r="F53" s="26" t="s">
        <v>2314</v>
      </c>
      <c r="G53" s="26" t="s">
        <v>637</v>
      </c>
      <c r="H53" s="26" t="s">
        <v>523</v>
      </c>
      <c r="I53" s="26" t="s">
        <v>184</v>
      </c>
      <c r="J53" s="26" t="s">
        <v>2404</v>
      </c>
      <c r="K53" s="26" t="s">
        <v>2405</v>
      </c>
      <c r="L53" s="26" t="s">
        <v>79</v>
      </c>
      <c r="M53" s="26" t="s">
        <v>77</v>
      </c>
      <c r="N53" s="26">
        <v>89</v>
      </c>
      <c r="O53" s="26">
        <v>61</v>
      </c>
      <c r="P53" s="26">
        <v>28</v>
      </c>
      <c r="Q53" s="26">
        <v>0</v>
      </c>
      <c r="R53" s="26">
        <v>1</v>
      </c>
      <c r="S53" s="26">
        <v>7</v>
      </c>
      <c r="T53" s="26">
        <v>2</v>
      </c>
      <c r="U53" s="26">
        <v>10</v>
      </c>
      <c r="V53" s="26">
        <v>1</v>
      </c>
    </row>
    <row r="54" spans="1:22" x14ac:dyDescent="0.25">
      <c r="A54" s="26" t="s">
        <v>2400</v>
      </c>
      <c r="B54" s="26" t="s">
        <v>2574</v>
      </c>
      <c r="C54" s="26" t="s">
        <v>2575</v>
      </c>
      <c r="D54" s="26" t="s">
        <v>2408</v>
      </c>
      <c r="E54" s="26" t="s">
        <v>4025</v>
      </c>
      <c r="F54" s="26" t="s">
        <v>2576</v>
      </c>
      <c r="G54" s="26" t="s">
        <v>191</v>
      </c>
      <c r="H54" s="26" t="s">
        <v>594</v>
      </c>
      <c r="I54" s="26" t="s">
        <v>184</v>
      </c>
      <c r="J54" s="26" t="s">
        <v>2565</v>
      </c>
      <c r="K54" s="26" t="s">
        <v>2405</v>
      </c>
      <c r="L54" s="26" t="s">
        <v>79</v>
      </c>
      <c r="M54" s="26" t="s">
        <v>77</v>
      </c>
      <c r="N54" s="26">
        <v>82</v>
      </c>
      <c r="O54" s="26">
        <v>49</v>
      </c>
      <c r="P54" s="26">
        <v>33</v>
      </c>
      <c r="Q54" s="26">
        <v>0</v>
      </c>
      <c r="R54" s="26">
        <v>1</v>
      </c>
      <c r="S54" s="26">
        <v>6</v>
      </c>
      <c r="T54" s="26">
        <v>1</v>
      </c>
      <c r="U54" s="26">
        <v>8</v>
      </c>
      <c r="V54" s="26">
        <v>1</v>
      </c>
    </row>
    <row r="55" spans="1:22" x14ac:dyDescent="0.25">
      <c r="A55" s="26" t="s">
        <v>2400</v>
      </c>
      <c r="B55" s="26" t="s">
        <v>2577</v>
      </c>
      <c r="C55" s="26" t="s">
        <v>2578</v>
      </c>
      <c r="D55" s="26" t="s">
        <v>2408</v>
      </c>
      <c r="E55" s="26" t="s">
        <v>2556</v>
      </c>
      <c r="F55" s="26" t="s">
        <v>2557</v>
      </c>
      <c r="G55" s="26" t="s">
        <v>487</v>
      </c>
      <c r="H55" s="26" t="s">
        <v>643</v>
      </c>
      <c r="I55" s="26" t="s">
        <v>184</v>
      </c>
      <c r="J55" s="26" t="s">
        <v>2404</v>
      </c>
      <c r="K55" s="26" t="s">
        <v>2405</v>
      </c>
      <c r="L55" s="26" t="s">
        <v>79</v>
      </c>
      <c r="M55" s="26" t="s">
        <v>77</v>
      </c>
      <c r="N55" s="26">
        <v>77</v>
      </c>
      <c r="O55" s="26">
        <v>54</v>
      </c>
      <c r="P55" s="26">
        <v>23</v>
      </c>
      <c r="Q55" s="26">
        <v>0</v>
      </c>
      <c r="R55" s="26">
        <v>1</v>
      </c>
      <c r="S55" s="26">
        <v>6</v>
      </c>
      <c r="T55" s="26">
        <v>1</v>
      </c>
      <c r="U55" s="26">
        <v>8</v>
      </c>
      <c r="V55" s="26">
        <v>1</v>
      </c>
    </row>
    <row r="56" spans="1:22" x14ac:dyDescent="0.25">
      <c r="A56" s="26" t="s">
        <v>2400</v>
      </c>
      <c r="B56" s="26" t="s">
        <v>2579</v>
      </c>
      <c r="C56" s="26" t="s">
        <v>2580</v>
      </c>
      <c r="D56" s="26" t="s">
        <v>179</v>
      </c>
      <c r="E56" s="26" t="s">
        <v>2581</v>
      </c>
      <c r="F56" s="26" t="s">
        <v>2582</v>
      </c>
      <c r="G56" s="26" t="s">
        <v>487</v>
      </c>
      <c r="H56" s="26" t="s">
        <v>687</v>
      </c>
      <c r="I56" s="26" t="s">
        <v>184</v>
      </c>
      <c r="J56" s="26" t="s">
        <v>2404</v>
      </c>
      <c r="K56" s="26" t="s">
        <v>2405</v>
      </c>
      <c r="L56" s="26" t="s">
        <v>79</v>
      </c>
      <c r="M56" s="26" t="s">
        <v>77</v>
      </c>
      <c r="N56" s="26">
        <v>42</v>
      </c>
      <c r="O56" s="26">
        <v>20</v>
      </c>
      <c r="P56" s="26">
        <v>22</v>
      </c>
      <c r="Q56" s="26">
        <v>0</v>
      </c>
      <c r="R56" s="26">
        <v>1</v>
      </c>
      <c r="S56" s="26">
        <v>7</v>
      </c>
      <c r="T56" s="26">
        <v>1</v>
      </c>
      <c r="U56" s="26">
        <v>9</v>
      </c>
      <c r="V56" s="26">
        <v>1</v>
      </c>
    </row>
    <row r="57" spans="1:22" x14ac:dyDescent="0.25">
      <c r="A57" s="26" t="s">
        <v>2400</v>
      </c>
      <c r="B57" s="26" t="s">
        <v>2583</v>
      </c>
      <c r="C57" s="26" t="s">
        <v>2584</v>
      </c>
      <c r="D57" s="26" t="s">
        <v>2408</v>
      </c>
      <c r="E57" s="26" t="s">
        <v>2585</v>
      </c>
      <c r="F57" s="26" t="s">
        <v>2586</v>
      </c>
      <c r="G57" s="26" t="s">
        <v>487</v>
      </c>
      <c r="H57" s="26" t="s">
        <v>926</v>
      </c>
      <c r="I57" s="26" t="s">
        <v>184</v>
      </c>
      <c r="J57" s="26" t="s">
        <v>2404</v>
      </c>
      <c r="K57" s="26" t="s">
        <v>2405</v>
      </c>
      <c r="L57" s="26" t="s">
        <v>79</v>
      </c>
      <c r="M57" s="26" t="s">
        <v>77</v>
      </c>
      <c r="N57" s="26">
        <v>55</v>
      </c>
      <c r="O57" s="26">
        <v>34</v>
      </c>
      <c r="P57" s="26">
        <v>21</v>
      </c>
      <c r="Q57" s="26">
        <v>0</v>
      </c>
      <c r="R57" s="26">
        <v>1</v>
      </c>
      <c r="S57" s="26">
        <v>4</v>
      </c>
      <c r="T57" s="26">
        <v>1</v>
      </c>
      <c r="U57" s="26">
        <v>6</v>
      </c>
      <c r="V57" s="26">
        <v>1</v>
      </c>
    </row>
    <row r="58" spans="1:22" x14ac:dyDescent="0.25">
      <c r="A58" s="26" t="s">
        <v>2400</v>
      </c>
      <c r="B58" s="26" t="s">
        <v>2587</v>
      </c>
      <c r="C58" s="26" t="s">
        <v>2588</v>
      </c>
      <c r="D58" s="26" t="s">
        <v>179</v>
      </c>
      <c r="E58" s="26" t="s">
        <v>2589</v>
      </c>
      <c r="F58" s="26" t="s">
        <v>1593</v>
      </c>
      <c r="G58" s="26" t="s">
        <v>191</v>
      </c>
      <c r="H58" s="26" t="s">
        <v>594</v>
      </c>
      <c r="I58" s="26" t="s">
        <v>184</v>
      </c>
      <c r="J58" s="26" t="s">
        <v>2565</v>
      </c>
      <c r="K58" s="26" t="s">
        <v>2405</v>
      </c>
      <c r="L58" s="26" t="s">
        <v>79</v>
      </c>
      <c r="M58" s="26" t="s">
        <v>77</v>
      </c>
      <c r="N58" s="26">
        <v>138</v>
      </c>
      <c r="O58" s="26">
        <v>73</v>
      </c>
      <c r="P58" s="26">
        <v>65</v>
      </c>
      <c r="Q58" s="26">
        <v>0</v>
      </c>
      <c r="R58" s="26">
        <v>1</v>
      </c>
      <c r="S58" s="26">
        <v>8</v>
      </c>
      <c r="T58" s="26">
        <v>3</v>
      </c>
      <c r="U58" s="26">
        <v>12</v>
      </c>
      <c r="V58" s="26">
        <v>1</v>
      </c>
    </row>
    <row r="59" spans="1:22" x14ac:dyDescent="0.25">
      <c r="A59" s="26" t="s">
        <v>2400</v>
      </c>
      <c r="B59" s="26" t="s">
        <v>2590</v>
      </c>
      <c r="C59" s="26" t="s">
        <v>2591</v>
      </c>
      <c r="D59" s="26" t="s">
        <v>2408</v>
      </c>
      <c r="E59" s="26" t="s">
        <v>4026</v>
      </c>
      <c r="F59" s="26" t="s">
        <v>1179</v>
      </c>
      <c r="G59" s="26" t="s">
        <v>637</v>
      </c>
      <c r="H59" s="26" t="s">
        <v>523</v>
      </c>
      <c r="I59" s="26" t="s">
        <v>184</v>
      </c>
      <c r="J59" s="26" t="s">
        <v>2404</v>
      </c>
      <c r="K59" s="26" t="s">
        <v>2405</v>
      </c>
      <c r="L59" s="26" t="s">
        <v>79</v>
      </c>
      <c r="M59" s="26" t="s">
        <v>77</v>
      </c>
      <c r="N59" s="26">
        <v>61</v>
      </c>
      <c r="O59" s="26">
        <v>45</v>
      </c>
      <c r="P59" s="26">
        <v>16</v>
      </c>
      <c r="Q59" s="26">
        <v>0</v>
      </c>
      <c r="R59" s="26">
        <v>1</v>
      </c>
      <c r="S59" s="26">
        <v>5</v>
      </c>
      <c r="T59" s="26">
        <v>2</v>
      </c>
      <c r="U59" s="26">
        <v>8</v>
      </c>
      <c r="V59" s="26">
        <v>1</v>
      </c>
    </row>
    <row r="60" spans="1:22" x14ac:dyDescent="0.25">
      <c r="A60" s="26" t="s">
        <v>2400</v>
      </c>
      <c r="B60" s="26" t="s">
        <v>2592</v>
      </c>
      <c r="C60" s="26" t="s">
        <v>2593</v>
      </c>
      <c r="D60" s="26" t="s">
        <v>2408</v>
      </c>
      <c r="E60" s="26" t="s">
        <v>2594</v>
      </c>
      <c r="F60" s="26" t="s">
        <v>2595</v>
      </c>
      <c r="G60" s="26" t="s">
        <v>191</v>
      </c>
      <c r="H60" s="26" t="s">
        <v>294</v>
      </c>
      <c r="I60" s="26" t="s">
        <v>184</v>
      </c>
      <c r="J60" s="26" t="s">
        <v>2565</v>
      </c>
      <c r="K60" s="26" t="s">
        <v>2405</v>
      </c>
      <c r="L60" s="26" t="s">
        <v>79</v>
      </c>
      <c r="M60" s="26" t="s">
        <v>77</v>
      </c>
      <c r="N60" s="26">
        <v>30</v>
      </c>
      <c r="O60" s="26">
        <v>22</v>
      </c>
      <c r="P60" s="26">
        <v>8</v>
      </c>
      <c r="Q60" s="26">
        <v>0</v>
      </c>
      <c r="R60" s="26">
        <v>1</v>
      </c>
      <c r="S60" s="26">
        <v>4</v>
      </c>
      <c r="T60" s="26">
        <v>3</v>
      </c>
      <c r="U60" s="26">
        <v>8</v>
      </c>
      <c r="V60" s="26">
        <v>1</v>
      </c>
    </row>
    <row r="61" spans="1:22" x14ac:dyDescent="0.25">
      <c r="A61" s="26" t="s">
        <v>2400</v>
      </c>
      <c r="B61" s="26" t="s">
        <v>2596</v>
      </c>
      <c r="C61" s="26" t="s">
        <v>2597</v>
      </c>
      <c r="D61" s="26" t="s">
        <v>2408</v>
      </c>
      <c r="E61" s="26" t="s">
        <v>4027</v>
      </c>
      <c r="F61" s="26" t="s">
        <v>933</v>
      </c>
      <c r="G61" s="26" t="s">
        <v>487</v>
      </c>
      <c r="H61" s="26" t="s">
        <v>1693</v>
      </c>
      <c r="I61" s="26" t="s">
        <v>184</v>
      </c>
      <c r="J61" s="26" t="s">
        <v>2404</v>
      </c>
      <c r="K61" s="26" t="s">
        <v>2405</v>
      </c>
      <c r="L61" s="26" t="s">
        <v>79</v>
      </c>
      <c r="M61" s="26" t="s">
        <v>77</v>
      </c>
      <c r="N61" s="26">
        <v>74</v>
      </c>
      <c r="O61" s="26">
        <v>46</v>
      </c>
      <c r="P61" s="26">
        <v>28</v>
      </c>
      <c r="Q61" s="26">
        <v>0</v>
      </c>
      <c r="R61" s="26">
        <v>1</v>
      </c>
      <c r="S61" s="26">
        <v>5</v>
      </c>
      <c r="T61" s="26">
        <v>1</v>
      </c>
      <c r="U61" s="26">
        <v>7</v>
      </c>
      <c r="V61" s="26">
        <v>1</v>
      </c>
    </row>
    <row r="62" spans="1:22" x14ac:dyDescent="0.25">
      <c r="A62" s="26" t="s">
        <v>2400</v>
      </c>
      <c r="B62" s="26" t="s">
        <v>2598</v>
      </c>
      <c r="C62" s="26" t="s">
        <v>2599</v>
      </c>
      <c r="D62" s="26" t="s">
        <v>2408</v>
      </c>
      <c r="E62" s="26" t="s">
        <v>2600</v>
      </c>
      <c r="F62" s="26" t="s">
        <v>1593</v>
      </c>
      <c r="G62" s="26" t="s">
        <v>191</v>
      </c>
      <c r="H62" s="26" t="s">
        <v>594</v>
      </c>
      <c r="I62" s="26" t="s">
        <v>184</v>
      </c>
      <c r="J62" s="26" t="s">
        <v>2565</v>
      </c>
      <c r="K62" s="26" t="s">
        <v>2405</v>
      </c>
      <c r="L62" s="26" t="s">
        <v>79</v>
      </c>
      <c r="M62" s="26" t="s">
        <v>77</v>
      </c>
      <c r="N62" s="26">
        <v>109</v>
      </c>
      <c r="O62" s="26">
        <v>68</v>
      </c>
      <c r="P62" s="26">
        <v>41</v>
      </c>
      <c r="Q62" s="26">
        <v>0</v>
      </c>
      <c r="R62" s="26">
        <v>1</v>
      </c>
      <c r="S62" s="26">
        <v>8</v>
      </c>
      <c r="T62" s="26">
        <v>2</v>
      </c>
      <c r="U62" s="26">
        <v>11</v>
      </c>
      <c r="V62" s="26">
        <v>1</v>
      </c>
    </row>
    <row r="63" spans="1:22" x14ac:dyDescent="0.25">
      <c r="A63" s="26" t="s">
        <v>2400</v>
      </c>
      <c r="B63" s="26" t="s">
        <v>2601</v>
      </c>
      <c r="C63" s="26" t="s">
        <v>2602</v>
      </c>
      <c r="D63" s="26" t="s">
        <v>179</v>
      </c>
      <c r="E63" s="26" t="s">
        <v>4028</v>
      </c>
      <c r="F63" s="26" t="s">
        <v>671</v>
      </c>
      <c r="G63" s="26" t="s">
        <v>191</v>
      </c>
      <c r="H63" s="26" t="s">
        <v>301</v>
      </c>
      <c r="I63" s="26" t="s">
        <v>184</v>
      </c>
      <c r="J63" s="26" t="s">
        <v>2565</v>
      </c>
      <c r="K63" s="26" t="s">
        <v>2405</v>
      </c>
      <c r="L63" s="26" t="s">
        <v>79</v>
      </c>
      <c r="M63" s="26" t="s">
        <v>77</v>
      </c>
      <c r="N63" s="26">
        <v>67</v>
      </c>
      <c r="O63" s="26">
        <v>45</v>
      </c>
      <c r="P63" s="26">
        <v>22</v>
      </c>
      <c r="Q63" s="26">
        <v>0</v>
      </c>
      <c r="R63" s="26">
        <v>1</v>
      </c>
      <c r="S63" s="26">
        <v>7</v>
      </c>
      <c r="T63" s="26">
        <v>2</v>
      </c>
      <c r="U63" s="26">
        <v>10</v>
      </c>
      <c r="V63" s="26">
        <v>1</v>
      </c>
    </row>
    <row r="64" spans="1:22" x14ac:dyDescent="0.25">
      <c r="A64" s="26" t="s">
        <v>2400</v>
      </c>
      <c r="B64" s="26" t="s">
        <v>2603</v>
      </c>
      <c r="C64" s="26" t="s">
        <v>2604</v>
      </c>
      <c r="D64" s="26" t="s">
        <v>2408</v>
      </c>
      <c r="E64" s="26" t="s">
        <v>4029</v>
      </c>
      <c r="F64" s="26" t="s">
        <v>2605</v>
      </c>
      <c r="G64" s="26" t="s">
        <v>637</v>
      </c>
      <c r="H64" s="26" t="s">
        <v>523</v>
      </c>
      <c r="I64" s="26" t="s">
        <v>184</v>
      </c>
      <c r="J64" s="26" t="s">
        <v>2404</v>
      </c>
      <c r="K64" s="26" t="s">
        <v>2405</v>
      </c>
      <c r="L64" s="26" t="s">
        <v>79</v>
      </c>
      <c r="M64" s="26" t="s">
        <v>77</v>
      </c>
      <c r="N64" s="26">
        <v>64</v>
      </c>
      <c r="O64" s="26">
        <v>37</v>
      </c>
      <c r="P64" s="26">
        <v>27</v>
      </c>
      <c r="Q64" s="26">
        <v>0</v>
      </c>
      <c r="R64" s="26">
        <v>1</v>
      </c>
      <c r="S64" s="26">
        <v>5</v>
      </c>
      <c r="T64" s="26">
        <v>1</v>
      </c>
      <c r="U64" s="26">
        <v>7</v>
      </c>
      <c r="V64" s="26">
        <v>1</v>
      </c>
    </row>
    <row r="65" spans="1:22" x14ac:dyDescent="0.25">
      <c r="A65" s="26" t="s">
        <v>2400</v>
      </c>
      <c r="B65" s="26" t="s">
        <v>2606</v>
      </c>
      <c r="C65" s="26" t="s">
        <v>2607</v>
      </c>
      <c r="D65" s="26" t="s">
        <v>179</v>
      </c>
      <c r="E65" s="26" t="s">
        <v>4030</v>
      </c>
      <c r="F65" s="26" t="s">
        <v>2608</v>
      </c>
      <c r="G65" s="26" t="s">
        <v>487</v>
      </c>
      <c r="H65" s="26" t="s">
        <v>677</v>
      </c>
      <c r="I65" s="26" t="s">
        <v>184</v>
      </c>
      <c r="J65" s="26" t="s">
        <v>2404</v>
      </c>
      <c r="K65" s="26" t="s">
        <v>2405</v>
      </c>
      <c r="L65" s="26" t="s">
        <v>79</v>
      </c>
      <c r="M65" s="26" t="s">
        <v>77</v>
      </c>
      <c r="N65" s="26">
        <v>45</v>
      </c>
      <c r="O65" s="26">
        <v>30</v>
      </c>
      <c r="P65" s="26">
        <v>15</v>
      </c>
      <c r="Q65" s="26">
        <v>0</v>
      </c>
      <c r="R65" s="26">
        <v>1</v>
      </c>
      <c r="S65" s="26">
        <v>9</v>
      </c>
      <c r="T65" s="26">
        <v>2</v>
      </c>
      <c r="U65" s="26">
        <v>12</v>
      </c>
      <c r="V65" s="26">
        <v>1</v>
      </c>
    </row>
    <row r="66" spans="1:22" x14ac:dyDescent="0.25">
      <c r="A66" s="26" t="s">
        <v>2400</v>
      </c>
      <c r="B66" s="26" t="s">
        <v>2609</v>
      </c>
      <c r="C66" s="26" t="s">
        <v>2610</v>
      </c>
      <c r="D66" s="26" t="s">
        <v>179</v>
      </c>
      <c r="E66" s="26" t="s">
        <v>4031</v>
      </c>
      <c r="F66" s="26" t="s">
        <v>764</v>
      </c>
      <c r="G66" s="26" t="s">
        <v>265</v>
      </c>
      <c r="H66" s="26" t="s">
        <v>294</v>
      </c>
      <c r="I66" s="26" t="s">
        <v>184</v>
      </c>
      <c r="J66" s="26" t="s">
        <v>2411</v>
      </c>
      <c r="K66" s="26" t="s">
        <v>2405</v>
      </c>
      <c r="L66" s="26" t="s">
        <v>79</v>
      </c>
      <c r="M66" s="26" t="s">
        <v>77</v>
      </c>
      <c r="N66" s="26">
        <v>81</v>
      </c>
      <c r="O66" s="26">
        <v>40</v>
      </c>
      <c r="P66" s="26">
        <v>41</v>
      </c>
      <c r="Q66" s="26">
        <v>0</v>
      </c>
      <c r="R66" s="26">
        <v>1</v>
      </c>
      <c r="S66" s="26">
        <v>6</v>
      </c>
      <c r="T66" s="26">
        <v>4</v>
      </c>
      <c r="U66" s="26">
        <v>11</v>
      </c>
      <c r="V66" s="26">
        <v>1</v>
      </c>
    </row>
    <row r="67" spans="1:22" x14ac:dyDescent="0.25">
      <c r="A67" s="26" t="s">
        <v>2400</v>
      </c>
      <c r="B67" s="26" t="s">
        <v>2611</v>
      </c>
      <c r="C67" s="26" t="s">
        <v>2612</v>
      </c>
      <c r="D67" s="26" t="s">
        <v>2408</v>
      </c>
      <c r="E67" s="26" t="s">
        <v>2613</v>
      </c>
      <c r="F67" s="26" t="s">
        <v>2614</v>
      </c>
      <c r="G67" s="26" t="s">
        <v>226</v>
      </c>
      <c r="H67" s="26" t="s">
        <v>926</v>
      </c>
      <c r="I67" s="26" t="s">
        <v>184</v>
      </c>
      <c r="J67" s="26" t="s">
        <v>2509</v>
      </c>
      <c r="K67" s="26" t="s">
        <v>2405</v>
      </c>
      <c r="L67" s="26" t="s">
        <v>79</v>
      </c>
      <c r="M67" s="26" t="s">
        <v>77</v>
      </c>
      <c r="N67" s="26">
        <v>57</v>
      </c>
      <c r="O67" s="26">
        <v>37</v>
      </c>
      <c r="P67" s="26">
        <v>20</v>
      </c>
      <c r="Q67" s="26">
        <v>0</v>
      </c>
      <c r="R67" s="26">
        <v>1</v>
      </c>
      <c r="S67" s="26">
        <v>6</v>
      </c>
      <c r="T67" s="26">
        <v>2</v>
      </c>
      <c r="U67" s="26">
        <v>9</v>
      </c>
      <c r="V67" s="26">
        <v>1</v>
      </c>
    </row>
    <row r="68" spans="1:22" x14ac:dyDescent="0.25">
      <c r="A68" s="26" t="s">
        <v>2400</v>
      </c>
      <c r="B68" s="26" t="s">
        <v>2615</v>
      </c>
      <c r="C68" s="26" t="s">
        <v>2616</v>
      </c>
      <c r="D68" s="26" t="s">
        <v>2408</v>
      </c>
      <c r="E68" s="26" t="s">
        <v>2617</v>
      </c>
      <c r="F68" s="26" t="s">
        <v>844</v>
      </c>
      <c r="G68" s="26" t="s">
        <v>226</v>
      </c>
      <c r="H68" s="26" t="s">
        <v>294</v>
      </c>
      <c r="I68" s="26" t="s">
        <v>184</v>
      </c>
      <c r="J68" s="26" t="s">
        <v>2509</v>
      </c>
      <c r="K68" s="26" t="s">
        <v>2405</v>
      </c>
      <c r="L68" s="26" t="s">
        <v>79</v>
      </c>
      <c r="M68" s="26" t="s">
        <v>77</v>
      </c>
      <c r="N68" s="26">
        <v>72</v>
      </c>
      <c r="O68" s="26">
        <v>47</v>
      </c>
      <c r="P68" s="26">
        <v>25</v>
      </c>
      <c r="Q68" s="26">
        <v>0</v>
      </c>
      <c r="R68" s="26">
        <v>1</v>
      </c>
      <c r="S68" s="26">
        <v>5</v>
      </c>
      <c r="T68" s="26">
        <v>2</v>
      </c>
      <c r="U68" s="26">
        <v>8</v>
      </c>
      <c r="V68" s="26">
        <v>1</v>
      </c>
    </row>
    <row r="69" spans="1:22" x14ac:dyDescent="0.25">
      <c r="A69" s="26" t="s">
        <v>2400</v>
      </c>
      <c r="B69" s="26" t="s">
        <v>2618</v>
      </c>
      <c r="C69" s="26" t="s">
        <v>2619</v>
      </c>
      <c r="D69" s="26" t="s">
        <v>179</v>
      </c>
      <c r="E69" s="26" t="s">
        <v>2620</v>
      </c>
      <c r="F69" s="26" t="s">
        <v>2621</v>
      </c>
      <c r="G69" s="26" t="s">
        <v>226</v>
      </c>
      <c r="H69" s="26" t="s">
        <v>351</v>
      </c>
      <c r="I69" s="26" t="s">
        <v>184</v>
      </c>
      <c r="J69" s="26" t="s">
        <v>2509</v>
      </c>
      <c r="K69" s="26" t="s">
        <v>2405</v>
      </c>
      <c r="L69" s="26" t="s">
        <v>79</v>
      </c>
      <c r="M69" s="26" t="s">
        <v>77</v>
      </c>
      <c r="N69" s="26">
        <v>78</v>
      </c>
      <c r="O69" s="26">
        <v>50</v>
      </c>
      <c r="P69" s="26">
        <v>28</v>
      </c>
      <c r="Q69" s="26">
        <v>0</v>
      </c>
      <c r="R69" s="26">
        <v>1</v>
      </c>
      <c r="S69" s="26">
        <v>7</v>
      </c>
      <c r="T69" s="26">
        <v>2</v>
      </c>
      <c r="U69" s="26">
        <v>10</v>
      </c>
      <c r="V69" s="26">
        <v>1</v>
      </c>
    </row>
    <row r="70" spans="1:22" x14ac:dyDescent="0.25">
      <c r="A70" s="26" t="s">
        <v>2400</v>
      </c>
      <c r="B70" s="26" t="s">
        <v>2622</v>
      </c>
      <c r="C70" s="26" t="s">
        <v>2623</v>
      </c>
      <c r="D70" s="26" t="s">
        <v>2408</v>
      </c>
      <c r="E70" s="26" t="s">
        <v>2624</v>
      </c>
      <c r="F70" s="26" t="s">
        <v>862</v>
      </c>
      <c r="G70" s="26" t="s">
        <v>226</v>
      </c>
      <c r="H70" s="26" t="s">
        <v>926</v>
      </c>
      <c r="I70" s="26" t="s">
        <v>184</v>
      </c>
      <c r="J70" s="26" t="s">
        <v>2509</v>
      </c>
      <c r="K70" s="26" t="s">
        <v>2405</v>
      </c>
      <c r="L70" s="26" t="s">
        <v>79</v>
      </c>
      <c r="M70" s="26" t="s">
        <v>77</v>
      </c>
      <c r="N70" s="26">
        <v>93</v>
      </c>
      <c r="O70" s="26">
        <v>58</v>
      </c>
      <c r="P70" s="26">
        <v>35</v>
      </c>
      <c r="Q70" s="26">
        <v>0</v>
      </c>
      <c r="R70" s="26">
        <v>1</v>
      </c>
      <c r="S70" s="26">
        <v>6</v>
      </c>
      <c r="T70" s="26">
        <v>2</v>
      </c>
      <c r="U70" s="26">
        <v>9</v>
      </c>
      <c r="V70" s="26">
        <v>1</v>
      </c>
    </row>
    <row r="71" spans="1:22" x14ac:dyDescent="0.25">
      <c r="A71" s="26" t="s">
        <v>2400</v>
      </c>
      <c r="B71" s="26" t="s">
        <v>2625</v>
      </c>
      <c r="C71" s="26" t="s">
        <v>2626</v>
      </c>
      <c r="D71" s="26" t="s">
        <v>2408</v>
      </c>
      <c r="E71" s="26" t="s">
        <v>2627</v>
      </c>
      <c r="F71" s="26" t="s">
        <v>2628</v>
      </c>
      <c r="G71" s="26" t="s">
        <v>226</v>
      </c>
      <c r="H71" s="26" t="s">
        <v>301</v>
      </c>
      <c r="I71" s="26" t="s">
        <v>184</v>
      </c>
      <c r="J71" s="26" t="s">
        <v>2509</v>
      </c>
      <c r="K71" s="26" t="s">
        <v>2405</v>
      </c>
      <c r="L71" s="26" t="s">
        <v>79</v>
      </c>
      <c r="M71" s="26" t="s">
        <v>77</v>
      </c>
      <c r="N71" s="26">
        <v>71</v>
      </c>
      <c r="O71" s="26">
        <v>44</v>
      </c>
      <c r="P71" s="26">
        <v>27</v>
      </c>
      <c r="Q71" s="26">
        <v>0</v>
      </c>
      <c r="R71" s="26">
        <v>1</v>
      </c>
      <c r="S71" s="26">
        <v>8</v>
      </c>
      <c r="T71" s="26">
        <v>2</v>
      </c>
      <c r="U71" s="26">
        <v>11</v>
      </c>
      <c r="V71" s="26">
        <v>1</v>
      </c>
    </row>
    <row r="72" spans="1:22" x14ac:dyDescent="0.25">
      <c r="A72" s="26" t="s">
        <v>2400</v>
      </c>
      <c r="B72" s="26" t="s">
        <v>2629</v>
      </c>
      <c r="C72" s="26" t="s">
        <v>2630</v>
      </c>
      <c r="D72" s="26" t="s">
        <v>2408</v>
      </c>
      <c r="E72" s="26" t="s">
        <v>2631</v>
      </c>
      <c r="F72" s="26" t="s">
        <v>827</v>
      </c>
      <c r="G72" s="26" t="s">
        <v>226</v>
      </c>
      <c r="H72" s="26" t="s">
        <v>926</v>
      </c>
      <c r="I72" s="26" t="s">
        <v>184</v>
      </c>
      <c r="J72" s="26" t="s">
        <v>2509</v>
      </c>
      <c r="K72" s="26" t="s">
        <v>2405</v>
      </c>
      <c r="L72" s="26" t="s">
        <v>79</v>
      </c>
      <c r="M72" s="26" t="s">
        <v>77</v>
      </c>
      <c r="N72" s="26">
        <v>106</v>
      </c>
      <c r="O72" s="26">
        <v>60</v>
      </c>
      <c r="P72" s="26">
        <v>46</v>
      </c>
      <c r="Q72" s="26">
        <v>0</v>
      </c>
      <c r="R72" s="26">
        <v>1</v>
      </c>
      <c r="S72" s="26">
        <v>7</v>
      </c>
      <c r="T72" s="26">
        <v>1</v>
      </c>
      <c r="U72" s="26">
        <v>9</v>
      </c>
      <c r="V72" s="26">
        <v>1</v>
      </c>
    </row>
    <row r="73" spans="1:22" x14ac:dyDescent="0.25">
      <c r="A73" s="26" t="s">
        <v>2400</v>
      </c>
      <c r="B73" s="26" t="s">
        <v>2632</v>
      </c>
      <c r="C73" s="26" t="s">
        <v>2633</v>
      </c>
      <c r="D73" s="26" t="s">
        <v>179</v>
      </c>
      <c r="E73" s="26" t="s">
        <v>2634</v>
      </c>
      <c r="F73" s="26" t="s">
        <v>2635</v>
      </c>
      <c r="G73" s="26" t="s">
        <v>226</v>
      </c>
      <c r="H73" s="26" t="s">
        <v>594</v>
      </c>
      <c r="I73" s="26" t="s">
        <v>184</v>
      </c>
      <c r="J73" s="26" t="s">
        <v>2509</v>
      </c>
      <c r="K73" s="26" t="s">
        <v>2405</v>
      </c>
      <c r="L73" s="26" t="s">
        <v>79</v>
      </c>
      <c r="M73" s="26" t="s">
        <v>77</v>
      </c>
      <c r="N73" s="26">
        <v>126</v>
      </c>
      <c r="O73" s="26">
        <v>84</v>
      </c>
      <c r="P73" s="26">
        <v>42</v>
      </c>
      <c r="Q73" s="26">
        <v>0</v>
      </c>
      <c r="R73" s="26">
        <v>1</v>
      </c>
      <c r="S73" s="26">
        <v>8</v>
      </c>
      <c r="T73" s="26">
        <v>2</v>
      </c>
      <c r="U73" s="26">
        <v>11</v>
      </c>
      <c r="V73" s="26">
        <v>1</v>
      </c>
    </row>
    <row r="74" spans="1:22" x14ac:dyDescent="0.25">
      <c r="A74" s="26" t="s">
        <v>2400</v>
      </c>
      <c r="B74" s="26" t="s">
        <v>2636</v>
      </c>
      <c r="C74" s="26" t="s">
        <v>2637</v>
      </c>
      <c r="D74" s="26" t="s">
        <v>179</v>
      </c>
      <c r="E74" s="26" t="s">
        <v>4032</v>
      </c>
      <c r="F74" s="26" t="s">
        <v>848</v>
      </c>
      <c r="G74" s="26" t="s">
        <v>226</v>
      </c>
      <c r="H74" s="26" t="s">
        <v>301</v>
      </c>
      <c r="I74" s="26" t="s">
        <v>184</v>
      </c>
      <c r="J74" s="26" t="s">
        <v>2509</v>
      </c>
      <c r="K74" s="26" t="s">
        <v>2405</v>
      </c>
      <c r="L74" s="26" t="s">
        <v>79</v>
      </c>
      <c r="M74" s="26" t="s">
        <v>77</v>
      </c>
      <c r="N74" s="26">
        <v>52</v>
      </c>
      <c r="O74" s="26">
        <v>37</v>
      </c>
      <c r="P74" s="26">
        <v>15</v>
      </c>
      <c r="Q74" s="26">
        <v>0</v>
      </c>
      <c r="R74" s="26">
        <v>1</v>
      </c>
      <c r="S74" s="26">
        <v>7</v>
      </c>
      <c r="T74" s="26">
        <v>4</v>
      </c>
      <c r="U74" s="26">
        <v>12</v>
      </c>
      <c r="V74" s="26">
        <v>1</v>
      </c>
    </row>
    <row r="75" spans="1:22" x14ac:dyDescent="0.25">
      <c r="A75" s="26" t="s">
        <v>2400</v>
      </c>
      <c r="B75" s="26" t="s">
        <v>2638</v>
      </c>
      <c r="C75" s="26" t="s">
        <v>2639</v>
      </c>
      <c r="D75" s="26" t="s">
        <v>179</v>
      </c>
      <c r="E75" s="26" t="s">
        <v>2640</v>
      </c>
      <c r="F75" s="26" t="s">
        <v>862</v>
      </c>
      <c r="G75" s="26" t="s">
        <v>226</v>
      </c>
      <c r="H75" s="26" t="s">
        <v>926</v>
      </c>
      <c r="I75" s="26" t="s">
        <v>184</v>
      </c>
      <c r="J75" s="26" t="s">
        <v>2509</v>
      </c>
      <c r="K75" s="26" t="s">
        <v>2405</v>
      </c>
      <c r="L75" s="26" t="s">
        <v>79</v>
      </c>
      <c r="M75" s="26" t="s">
        <v>77</v>
      </c>
      <c r="N75" s="26">
        <v>114</v>
      </c>
      <c r="O75" s="26">
        <v>72</v>
      </c>
      <c r="P75" s="26">
        <v>42</v>
      </c>
      <c r="Q75" s="26">
        <v>0</v>
      </c>
      <c r="R75" s="26">
        <v>1</v>
      </c>
      <c r="S75" s="26">
        <v>7</v>
      </c>
      <c r="T75" s="26">
        <v>3</v>
      </c>
      <c r="U75" s="26">
        <v>11</v>
      </c>
      <c r="V75" s="26">
        <v>1</v>
      </c>
    </row>
    <row r="76" spans="1:22" x14ac:dyDescent="0.25">
      <c r="A76" s="26" t="s">
        <v>2400</v>
      </c>
      <c r="B76" s="26" t="s">
        <v>2641</v>
      </c>
      <c r="C76" s="26" t="s">
        <v>2642</v>
      </c>
      <c r="D76" s="26" t="s">
        <v>179</v>
      </c>
      <c r="E76" s="26" t="s">
        <v>2643</v>
      </c>
      <c r="F76" s="26" t="s">
        <v>2644</v>
      </c>
      <c r="G76" s="26" t="s">
        <v>198</v>
      </c>
      <c r="H76" s="26" t="s">
        <v>594</v>
      </c>
      <c r="I76" s="26" t="s">
        <v>184</v>
      </c>
      <c r="J76" s="26" t="s">
        <v>2404</v>
      </c>
      <c r="K76" s="26" t="s">
        <v>2405</v>
      </c>
      <c r="L76" s="26" t="s">
        <v>79</v>
      </c>
      <c r="M76" s="26" t="s">
        <v>77</v>
      </c>
      <c r="N76" s="26">
        <v>83</v>
      </c>
      <c r="O76" s="26">
        <v>57</v>
      </c>
      <c r="P76" s="26">
        <v>26</v>
      </c>
      <c r="Q76" s="26">
        <v>0</v>
      </c>
      <c r="R76" s="26">
        <v>1</v>
      </c>
      <c r="S76" s="26">
        <v>7</v>
      </c>
      <c r="T76" s="26">
        <v>2</v>
      </c>
      <c r="U76" s="26">
        <v>10</v>
      </c>
      <c r="V76" s="26">
        <v>1</v>
      </c>
    </row>
    <row r="77" spans="1:22" x14ac:dyDescent="0.25">
      <c r="A77" s="26" t="s">
        <v>2400</v>
      </c>
      <c r="B77" s="26" t="s">
        <v>2645</v>
      </c>
      <c r="C77" s="26" t="s">
        <v>2646</v>
      </c>
      <c r="D77" s="26" t="s">
        <v>2408</v>
      </c>
      <c r="E77" s="26" t="s">
        <v>2647</v>
      </c>
      <c r="F77" s="26" t="s">
        <v>2648</v>
      </c>
      <c r="G77" s="26" t="s">
        <v>252</v>
      </c>
      <c r="H77" s="26" t="s">
        <v>756</v>
      </c>
      <c r="I77" s="26" t="s">
        <v>184</v>
      </c>
      <c r="J77" s="26" t="s">
        <v>2565</v>
      </c>
      <c r="K77" s="26" t="s">
        <v>2405</v>
      </c>
      <c r="L77" s="26" t="s">
        <v>79</v>
      </c>
      <c r="M77" s="26" t="s">
        <v>77</v>
      </c>
      <c r="N77" s="26">
        <v>35</v>
      </c>
      <c r="O77" s="26">
        <v>21</v>
      </c>
      <c r="P77" s="26">
        <v>14</v>
      </c>
      <c r="Q77" s="26">
        <v>0</v>
      </c>
      <c r="R77" s="26">
        <v>1</v>
      </c>
      <c r="S77" s="26">
        <v>4</v>
      </c>
      <c r="T77" s="26">
        <v>2</v>
      </c>
      <c r="U77" s="26">
        <v>7</v>
      </c>
      <c r="V77" s="26">
        <v>1</v>
      </c>
    </row>
    <row r="78" spans="1:22" x14ac:dyDescent="0.25">
      <c r="A78" s="26" t="s">
        <v>2400</v>
      </c>
      <c r="B78" s="26" t="s">
        <v>2649</v>
      </c>
      <c r="C78" s="26" t="s">
        <v>2650</v>
      </c>
      <c r="D78" s="26" t="s">
        <v>2408</v>
      </c>
      <c r="E78" s="26" t="s">
        <v>2651</v>
      </c>
      <c r="F78" s="26" t="s">
        <v>1172</v>
      </c>
      <c r="G78" s="26" t="s">
        <v>662</v>
      </c>
      <c r="H78" s="26" t="s">
        <v>926</v>
      </c>
      <c r="I78" s="26" t="s">
        <v>184</v>
      </c>
      <c r="J78" s="26" t="s">
        <v>2565</v>
      </c>
      <c r="K78" s="26" t="s">
        <v>2405</v>
      </c>
      <c r="L78" s="26" t="s">
        <v>79</v>
      </c>
      <c r="M78" s="26" t="s">
        <v>77</v>
      </c>
      <c r="N78" s="26">
        <v>23</v>
      </c>
      <c r="O78" s="26">
        <v>14</v>
      </c>
      <c r="P78" s="26">
        <v>9</v>
      </c>
      <c r="Q78" s="26">
        <v>0</v>
      </c>
      <c r="R78" s="26">
        <v>1</v>
      </c>
      <c r="S78" s="26">
        <v>6</v>
      </c>
      <c r="T78" s="26">
        <v>2</v>
      </c>
      <c r="U78" s="26">
        <v>9</v>
      </c>
      <c r="V78" s="26">
        <v>1</v>
      </c>
    </row>
    <row r="79" spans="1:22" x14ac:dyDescent="0.25">
      <c r="A79" s="26" t="s">
        <v>2400</v>
      </c>
      <c r="B79" s="26" t="s">
        <v>2652</v>
      </c>
      <c r="C79" s="26" t="s">
        <v>2653</v>
      </c>
      <c r="D79" s="26" t="s">
        <v>2408</v>
      </c>
      <c r="E79" s="26" t="s">
        <v>250</v>
      </c>
      <c r="F79" s="26" t="s">
        <v>2654</v>
      </c>
      <c r="G79" s="26" t="s">
        <v>252</v>
      </c>
      <c r="H79" s="26" t="s">
        <v>523</v>
      </c>
      <c r="I79" s="26" t="s">
        <v>184</v>
      </c>
      <c r="J79" s="26" t="s">
        <v>2565</v>
      </c>
      <c r="K79" s="26" t="s">
        <v>2405</v>
      </c>
      <c r="L79" s="26" t="s">
        <v>79</v>
      </c>
      <c r="M79" s="26" t="s">
        <v>77</v>
      </c>
      <c r="N79" s="26">
        <v>22</v>
      </c>
      <c r="O79" s="26">
        <v>15</v>
      </c>
      <c r="P79" s="26">
        <v>7</v>
      </c>
      <c r="Q79" s="26">
        <v>0</v>
      </c>
      <c r="R79" s="26">
        <v>1</v>
      </c>
      <c r="S79" s="26">
        <v>5</v>
      </c>
      <c r="T79" s="26">
        <v>3</v>
      </c>
      <c r="U79" s="26">
        <v>9</v>
      </c>
      <c r="V79" s="26">
        <v>1</v>
      </c>
    </row>
    <row r="80" spans="1:22" x14ac:dyDescent="0.25">
      <c r="A80" s="26" t="s">
        <v>2400</v>
      </c>
      <c r="B80" s="26" t="s">
        <v>2655</v>
      </c>
      <c r="C80" s="26" t="s">
        <v>2656</v>
      </c>
      <c r="D80" s="26" t="s">
        <v>2408</v>
      </c>
      <c r="E80" s="26" t="s">
        <v>2657</v>
      </c>
      <c r="F80" s="26" t="s">
        <v>1638</v>
      </c>
      <c r="G80" s="26" t="s">
        <v>651</v>
      </c>
      <c r="H80" s="26" t="s">
        <v>1693</v>
      </c>
      <c r="I80" s="26" t="s">
        <v>184</v>
      </c>
      <c r="J80" s="26" t="s">
        <v>2565</v>
      </c>
      <c r="K80" s="26" t="s">
        <v>2405</v>
      </c>
      <c r="L80" s="26" t="s">
        <v>79</v>
      </c>
      <c r="M80" s="26" t="s">
        <v>77</v>
      </c>
      <c r="N80" s="26">
        <v>62</v>
      </c>
      <c r="O80" s="26">
        <v>35</v>
      </c>
      <c r="P80" s="26">
        <v>27</v>
      </c>
      <c r="Q80" s="26">
        <v>0</v>
      </c>
      <c r="R80" s="26">
        <v>1</v>
      </c>
      <c r="S80" s="26">
        <v>6</v>
      </c>
      <c r="T80" s="26">
        <v>3</v>
      </c>
      <c r="U80" s="26">
        <v>10</v>
      </c>
      <c r="V80" s="26">
        <v>1</v>
      </c>
    </row>
    <row r="81" spans="1:22" x14ac:dyDescent="0.25">
      <c r="A81" s="26" t="s">
        <v>2400</v>
      </c>
      <c r="B81" s="26" t="s">
        <v>2658</v>
      </c>
      <c r="C81" s="26" t="s">
        <v>2659</v>
      </c>
      <c r="D81" s="26" t="s">
        <v>179</v>
      </c>
      <c r="E81" s="26" t="s">
        <v>2660</v>
      </c>
      <c r="F81" s="26" t="s">
        <v>1709</v>
      </c>
      <c r="G81" s="26" t="s">
        <v>252</v>
      </c>
      <c r="H81" s="26" t="s">
        <v>523</v>
      </c>
      <c r="I81" s="26" t="s">
        <v>184</v>
      </c>
      <c r="J81" s="26" t="s">
        <v>2565</v>
      </c>
      <c r="K81" s="26" t="s">
        <v>2405</v>
      </c>
      <c r="L81" s="26" t="s">
        <v>79</v>
      </c>
      <c r="M81" s="26" t="s">
        <v>77</v>
      </c>
      <c r="N81" s="26">
        <v>33</v>
      </c>
      <c r="O81" s="26">
        <v>23</v>
      </c>
      <c r="P81" s="26">
        <v>10</v>
      </c>
      <c r="Q81" s="26">
        <v>0</v>
      </c>
      <c r="R81" s="26">
        <v>1</v>
      </c>
      <c r="S81" s="26">
        <v>6</v>
      </c>
      <c r="T81" s="26">
        <v>4</v>
      </c>
      <c r="U81" s="26">
        <v>11</v>
      </c>
      <c r="V81" s="26">
        <v>1</v>
      </c>
    </row>
    <row r="82" spans="1:22" x14ac:dyDescent="0.25">
      <c r="A82" s="26" t="s">
        <v>2400</v>
      </c>
      <c r="B82" s="26" t="s">
        <v>2661</v>
      </c>
      <c r="C82" s="26" t="s">
        <v>2662</v>
      </c>
      <c r="D82" s="26" t="s">
        <v>2408</v>
      </c>
      <c r="E82" s="26" t="s">
        <v>4033</v>
      </c>
      <c r="F82" s="26" t="s">
        <v>2663</v>
      </c>
      <c r="G82" s="26" t="s">
        <v>252</v>
      </c>
      <c r="H82" s="26" t="s">
        <v>321</v>
      </c>
      <c r="I82" s="26" t="s">
        <v>184</v>
      </c>
      <c r="J82" s="26" t="s">
        <v>2565</v>
      </c>
      <c r="K82" s="26" t="s">
        <v>2405</v>
      </c>
      <c r="L82" s="26" t="s">
        <v>79</v>
      </c>
      <c r="M82" s="26" t="s">
        <v>77</v>
      </c>
      <c r="N82" s="26">
        <v>33</v>
      </c>
      <c r="O82" s="26">
        <v>20</v>
      </c>
      <c r="P82" s="26">
        <v>13</v>
      </c>
      <c r="Q82" s="26">
        <v>0</v>
      </c>
      <c r="R82" s="26">
        <v>0</v>
      </c>
      <c r="S82" s="26">
        <v>3</v>
      </c>
      <c r="T82" s="26">
        <v>1</v>
      </c>
      <c r="U82" s="26">
        <v>4</v>
      </c>
      <c r="V82" s="26">
        <v>1</v>
      </c>
    </row>
    <row r="83" spans="1:22" x14ac:dyDescent="0.25">
      <c r="A83" s="26" t="s">
        <v>2400</v>
      </c>
      <c r="B83" s="26" t="s">
        <v>2664</v>
      </c>
      <c r="C83" s="26" t="s">
        <v>2665</v>
      </c>
      <c r="D83" s="26" t="s">
        <v>2408</v>
      </c>
      <c r="E83" s="26" t="s">
        <v>4034</v>
      </c>
      <c r="F83" s="26" t="s">
        <v>671</v>
      </c>
      <c r="G83" s="26" t="s">
        <v>662</v>
      </c>
      <c r="H83" s="26" t="s">
        <v>351</v>
      </c>
      <c r="I83" s="26" t="s">
        <v>184</v>
      </c>
      <c r="J83" s="26" t="s">
        <v>2565</v>
      </c>
      <c r="K83" s="26" t="s">
        <v>2405</v>
      </c>
      <c r="L83" s="26" t="s">
        <v>79</v>
      </c>
      <c r="M83" s="26" t="s">
        <v>77</v>
      </c>
      <c r="N83" s="26">
        <v>38</v>
      </c>
      <c r="O83" s="26">
        <v>23</v>
      </c>
      <c r="P83" s="26">
        <v>15</v>
      </c>
      <c r="Q83" s="26">
        <v>0</v>
      </c>
      <c r="R83" s="26">
        <v>1</v>
      </c>
      <c r="S83" s="26">
        <v>4</v>
      </c>
      <c r="T83" s="26">
        <v>2</v>
      </c>
      <c r="U83" s="26">
        <v>7</v>
      </c>
      <c r="V83" s="26">
        <v>1</v>
      </c>
    </row>
    <row r="84" spans="1:22" x14ac:dyDescent="0.25">
      <c r="A84" s="26" t="s">
        <v>2400</v>
      </c>
      <c r="B84" s="26" t="s">
        <v>2666</v>
      </c>
      <c r="C84" s="26" t="s">
        <v>2667</v>
      </c>
      <c r="D84" s="26" t="s">
        <v>179</v>
      </c>
      <c r="E84" s="26" t="s">
        <v>2668</v>
      </c>
      <c r="F84" s="26" t="s">
        <v>2669</v>
      </c>
      <c r="G84" s="26" t="s">
        <v>651</v>
      </c>
      <c r="H84" s="26" t="s">
        <v>677</v>
      </c>
      <c r="I84" s="26" t="s">
        <v>184</v>
      </c>
      <c r="J84" s="26" t="s">
        <v>2565</v>
      </c>
      <c r="K84" s="26" t="s">
        <v>2405</v>
      </c>
      <c r="L84" s="26" t="s">
        <v>79</v>
      </c>
      <c r="M84" s="26" t="s">
        <v>77</v>
      </c>
      <c r="N84" s="26">
        <v>36</v>
      </c>
      <c r="O84" s="26">
        <v>28</v>
      </c>
      <c r="P84" s="26">
        <v>8</v>
      </c>
      <c r="Q84" s="26">
        <v>0</v>
      </c>
      <c r="R84" s="26">
        <v>1</v>
      </c>
      <c r="S84" s="26">
        <v>5</v>
      </c>
      <c r="T84" s="26">
        <v>4</v>
      </c>
      <c r="U84" s="26">
        <v>10</v>
      </c>
      <c r="V84" s="26">
        <v>1</v>
      </c>
    </row>
    <row r="85" spans="1:22" x14ac:dyDescent="0.25">
      <c r="A85" s="26" t="s">
        <v>2400</v>
      </c>
      <c r="B85" s="26" t="s">
        <v>2670</v>
      </c>
      <c r="C85" s="26" t="s">
        <v>2671</v>
      </c>
      <c r="D85" s="26" t="s">
        <v>2408</v>
      </c>
      <c r="E85" s="26" t="s">
        <v>2668</v>
      </c>
      <c r="F85" s="26" t="s">
        <v>2669</v>
      </c>
      <c r="G85" s="26" t="s">
        <v>651</v>
      </c>
      <c r="H85" s="26" t="s">
        <v>677</v>
      </c>
      <c r="I85" s="26" t="s">
        <v>184</v>
      </c>
      <c r="J85" s="26" t="s">
        <v>2565</v>
      </c>
      <c r="K85" s="26" t="s">
        <v>2405</v>
      </c>
      <c r="L85" s="26" t="s">
        <v>79</v>
      </c>
      <c r="M85" s="26" t="s">
        <v>77</v>
      </c>
      <c r="N85" s="26">
        <v>44</v>
      </c>
      <c r="O85" s="26">
        <v>26</v>
      </c>
      <c r="P85" s="26">
        <v>18</v>
      </c>
      <c r="Q85" s="26">
        <v>0</v>
      </c>
      <c r="R85" s="26">
        <v>1</v>
      </c>
      <c r="S85" s="26">
        <v>6</v>
      </c>
      <c r="T85" s="26">
        <v>1</v>
      </c>
      <c r="U85" s="26">
        <v>8</v>
      </c>
      <c r="V85" s="26">
        <v>1</v>
      </c>
    </row>
    <row r="86" spans="1:22" x14ac:dyDescent="0.25">
      <c r="A86" s="26" t="s">
        <v>2400</v>
      </c>
      <c r="B86" s="26" t="s">
        <v>2672</v>
      </c>
      <c r="C86" s="26" t="s">
        <v>2673</v>
      </c>
      <c r="D86" s="26" t="s">
        <v>179</v>
      </c>
      <c r="E86" s="26" t="s">
        <v>2674</v>
      </c>
      <c r="F86" s="26" t="s">
        <v>1253</v>
      </c>
      <c r="G86" s="26" t="s">
        <v>662</v>
      </c>
      <c r="H86" s="26" t="s">
        <v>687</v>
      </c>
      <c r="I86" s="26" t="s">
        <v>184</v>
      </c>
      <c r="J86" s="26" t="s">
        <v>2565</v>
      </c>
      <c r="K86" s="26" t="s">
        <v>2405</v>
      </c>
      <c r="L86" s="26" t="s">
        <v>79</v>
      </c>
      <c r="M86" s="26" t="s">
        <v>77</v>
      </c>
      <c r="N86" s="26">
        <v>45</v>
      </c>
      <c r="O86" s="26">
        <v>32</v>
      </c>
      <c r="P86" s="26">
        <v>13</v>
      </c>
      <c r="Q86" s="26">
        <v>0</v>
      </c>
      <c r="R86" s="26">
        <v>1</v>
      </c>
      <c r="S86" s="26">
        <v>5</v>
      </c>
      <c r="T86" s="26">
        <v>3</v>
      </c>
      <c r="U86" s="26">
        <v>9</v>
      </c>
      <c r="V86" s="26">
        <v>1</v>
      </c>
    </row>
    <row r="87" spans="1:22" x14ac:dyDescent="0.25">
      <c r="A87" s="26" t="s">
        <v>2400</v>
      </c>
      <c r="B87" s="26" t="s">
        <v>2675</v>
      </c>
      <c r="C87" s="26" t="s">
        <v>2676</v>
      </c>
      <c r="D87" s="26" t="s">
        <v>179</v>
      </c>
      <c r="E87" s="26" t="s">
        <v>2677</v>
      </c>
      <c r="F87" s="26" t="s">
        <v>2678</v>
      </c>
      <c r="G87" s="26" t="s">
        <v>204</v>
      </c>
      <c r="H87" s="26" t="s">
        <v>677</v>
      </c>
      <c r="I87" s="26" t="s">
        <v>184</v>
      </c>
      <c r="J87" s="26" t="s">
        <v>2411</v>
      </c>
      <c r="K87" s="26" t="s">
        <v>2405</v>
      </c>
      <c r="L87" s="26" t="s">
        <v>79</v>
      </c>
      <c r="M87" s="26" t="s">
        <v>77</v>
      </c>
      <c r="N87" s="26">
        <v>97</v>
      </c>
      <c r="O87" s="26">
        <v>64</v>
      </c>
      <c r="P87" s="26">
        <v>33</v>
      </c>
      <c r="Q87" s="26">
        <v>0</v>
      </c>
      <c r="R87" s="26">
        <v>1</v>
      </c>
      <c r="S87" s="26">
        <v>8</v>
      </c>
      <c r="T87" s="26">
        <v>4</v>
      </c>
      <c r="U87" s="26">
        <v>13</v>
      </c>
      <c r="V87" s="26">
        <v>1</v>
      </c>
    </row>
    <row r="88" spans="1:22" x14ac:dyDescent="0.25">
      <c r="A88" s="26" t="s">
        <v>2400</v>
      </c>
      <c r="B88" s="26" t="s">
        <v>2679</v>
      </c>
      <c r="C88" s="26" t="s">
        <v>2680</v>
      </c>
      <c r="D88" s="26" t="s">
        <v>179</v>
      </c>
      <c r="E88" s="26" t="s">
        <v>2681</v>
      </c>
      <c r="F88" s="26" t="s">
        <v>2682</v>
      </c>
      <c r="G88" s="26" t="s">
        <v>413</v>
      </c>
      <c r="H88" s="26" t="s">
        <v>1026</v>
      </c>
      <c r="I88" s="26" t="s">
        <v>184</v>
      </c>
      <c r="J88" s="26" t="s">
        <v>2509</v>
      </c>
      <c r="K88" s="26" t="s">
        <v>2405</v>
      </c>
      <c r="L88" s="26" t="s">
        <v>79</v>
      </c>
      <c r="M88" s="26" t="s">
        <v>77</v>
      </c>
      <c r="N88" s="26">
        <v>85</v>
      </c>
      <c r="O88" s="26">
        <v>50</v>
      </c>
      <c r="P88" s="26">
        <v>35</v>
      </c>
      <c r="Q88" s="26">
        <v>0</v>
      </c>
      <c r="R88" s="26">
        <v>1</v>
      </c>
      <c r="S88" s="26">
        <v>7</v>
      </c>
      <c r="T88" s="26">
        <v>2</v>
      </c>
      <c r="U88" s="26">
        <v>10</v>
      </c>
      <c r="V88" s="26">
        <v>1</v>
      </c>
    </row>
    <row r="89" spans="1:22" x14ac:dyDescent="0.25">
      <c r="A89" s="26" t="s">
        <v>2400</v>
      </c>
      <c r="B89" s="26" t="s">
        <v>2683</v>
      </c>
      <c r="C89" s="26" t="s">
        <v>2684</v>
      </c>
      <c r="D89" s="26" t="s">
        <v>179</v>
      </c>
      <c r="E89" s="26" t="s">
        <v>2685</v>
      </c>
      <c r="F89" s="26" t="s">
        <v>712</v>
      </c>
      <c r="G89" s="26" t="s">
        <v>293</v>
      </c>
      <c r="H89" s="26" t="s">
        <v>294</v>
      </c>
      <c r="I89" s="26" t="s">
        <v>1259</v>
      </c>
      <c r="J89" s="26" t="s">
        <v>295</v>
      </c>
      <c r="K89" s="26" t="s">
        <v>296</v>
      </c>
      <c r="L89" s="26" t="s">
        <v>80</v>
      </c>
      <c r="M89" s="26" t="s">
        <v>77</v>
      </c>
      <c r="N89" s="26">
        <v>445</v>
      </c>
      <c r="O89" s="26">
        <v>294</v>
      </c>
      <c r="P89" s="26">
        <v>151</v>
      </c>
      <c r="Q89" s="26">
        <v>0</v>
      </c>
      <c r="R89" s="26">
        <v>1</v>
      </c>
      <c r="S89" s="26">
        <v>10</v>
      </c>
      <c r="T89" s="26">
        <v>3</v>
      </c>
      <c r="U89" s="26">
        <v>14</v>
      </c>
      <c r="V89" s="26">
        <v>1</v>
      </c>
    </row>
    <row r="90" spans="1:22" x14ac:dyDescent="0.25">
      <c r="A90" s="26" t="s">
        <v>2400</v>
      </c>
      <c r="B90" s="26" t="s">
        <v>2686</v>
      </c>
      <c r="C90" s="26" t="s">
        <v>2687</v>
      </c>
      <c r="D90" s="26" t="s">
        <v>2408</v>
      </c>
      <c r="E90" s="26" t="s">
        <v>2688</v>
      </c>
      <c r="F90" s="26" t="s">
        <v>2689</v>
      </c>
      <c r="G90" s="26" t="s">
        <v>293</v>
      </c>
      <c r="H90" s="26" t="s">
        <v>677</v>
      </c>
      <c r="I90" s="26" t="s">
        <v>1259</v>
      </c>
      <c r="J90" s="26" t="s">
        <v>696</v>
      </c>
      <c r="K90" s="26" t="s">
        <v>296</v>
      </c>
      <c r="L90" s="26" t="s">
        <v>80</v>
      </c>
      <c r="M90" s="26" t="s">
        <v>77</v>
      </c>
      <c r="N90" s="26">
        <v>38</v>
      </c>
      <c r="O90" s="26">
        <v>27</v>
      </c>
      <c r="P90" s="26">
        <v>11</v>
      </c>
      <c r="Q90" s="26">
        <v>0</v>
      </c>
      <c r="R90" s="26">
        <v>1</v>
      </c>
      <c r="S90" s="26">
        <v>5</v>
      </c>
      <c r="T90" s="26">
        <v>2</v>
      </c>
      <c r="U90" s="26">
        <v>8</v>
      </c>
      <c r="V90" s="26">
        <v>1</v>
      </c>
    </row>
    <row r="91" spans="1:22" x14ac:dyDescent="0.25">
      <c r="A91" s="26" t="s">
        <v>2400</v>
      </c>
      <c r="B91" s="26" t="s">
        <v>2690</v>
      </c>
      <c r="C91" s="26" t="s">
        <v>2691</v>
      </c>
      <c r="D91" s="26" t="s">
        <v>179</v>
      </c>
      <c r="E91" s="26" t="s">
        <v>2692</v>
      </c>
      <c r="F91" s="26" t="s">
        <v>1267</v>
      </c>
      <c r="G91" s="26" t="s">
        <v>293</v>
      </c>
      <c r="H91" s="26" t="s">
        <v>301</v>
      </c>
      <c r="I91" s="26" t="s">
        <v>1259</v>
      </c>
      <c r="J91" s="26" t="s">
        <v>295</v>
      </c>
      <c r="K91" s="26" t="s">
        <v>296</v>
      </c>
      <c r="L91" s="26" t="s">
        <v>80</v>
      </c>
      <c r="M91" s="26" t="s">
        <v>77</v>
      </c>
      <c r="N91" s="26">
        <v>52</v>
      </c>
      <c r="O91" s="26">
        <v>32</v>
      </c>
      <c r="P91" s="26">
        <v>20</v>
      </c>
      <c r="Q91" s="26">
        <v>0</v>
      </c>
      <c r="R91" s="26">
        <v>1</v>
      </c>
      <c r="S91" s="26">
        <v>4</v>
      </c>
      <c r="T91" s="26">
        <v>1</v>
      </c>
      <c r="U91" s="26">
        <v>6</v>
      </c>
      <c r="V91" s="26">
        <v>1</v>
      </c>
    </row>
    <row r="92" spans="1:22" x14ac:dyDescent="0.25">
      <c r="A92" s="26" t="s">
        <v>2400</v>
      </c>
      <c r="B92" s="26" t="s">
        <v>2693</v>
      </c>
      <c r="C92" s="26" t="s">
        <v>2694</v>
      </c>
      <c r="D92" s="26" t="s">
        <v>179</v>
      </c>
      <c r="E92" s="26" t="s">
        <v>2695</v>
      </c>
      <c r="F92" s="26" t="s">
        <v>2696</v>
      </c>
      <c r="G92" s="26" t="s">
        <v>293</v>
      </c>
      <c r="H92" s="26" t="s">
        <v>294</v>
      </c>
      <c r="I92" s="26" t="s">
        <v>1259</v>
      </c>
      <c r="J92" s="26" t="s">
        <v>295</v>
      </c>
      <c r="K92" s="26" t="s">
        <v>296</v>
      </c>
      <c r="L92" s="26" t="s">
        <v>80</v>
      </c>
      <c r="M92" s="26" t="s">
        <v>77</v>
      </c>
      <c r="N92" s="26">
        <v>139</v>
      </c>
      <c r="O92" s="26">
        <v>95</v>
      </c>
      <c r="P92" s="26">
        <v>44</v>
      </c>
      <c r="Q92" s="26">
        <v>0</v>
      </c>
      <c r="R92" s="26">
        <v>1</v>
      </c>
      <c r="S92" s="26">
        <v>7</v>
      </c>
      <c r="T92" s="26">
        <v>4</v>
      </c>
      <c r="U92" s="26">
        <v>12</v>
      </c>
      <c r="V92" s="26">
        <v>1</v>
      </c>
    </row>
    <row r="93" spans="1:22" x14ac:dyDescent="0.25">
      <c r="A93" s="26" t="s">
        <v>2400</v>
      </c>
      <c r="B93" s="26" t="s">
        <v>2697</v>
      </c>
      <c r="C93" s="26" t="s">
        <v>2698</v>
      </c>
      <c r="D93" s="26" t="s">
        <v>179</v>
      </c>
      <c r="E93" s="26" t="s">
        <v>2699</v>
      </c>
      <c r="F93" s="26" t="s">
        <v>1267</v>
      </c>
      <c r="G93" s="26" t="s">
        <v>293</v>
      </c>
      <c r="H93" s="26" t="s">
        <v>351</v>
      </c>
      <c r="I93" s="26" t="s">
        <v>1259</v>
      </c>
      <c r="J93" s="26" t="s">
        <v>1145</v>
      </c>
      <c r="K93" s="26" t="s">
        <v>296</v>
      </c>
      <c r="L93" s="26" t="s">
        <v>80</v>
      </c>
      <c r="M93" s="26" t="s">
        <v>77</v>
      </c>
      <c r="N93" s="26">
        <v>34</v>
      </c>
      <c r="O93" s="26">
        <v>25</v>
      </c>
      <c r="P93" s="26">
        <v>9</v>
      </c>
      <c r="Q93" s="26">
        <v>0</v>
      </c>
      <c r="R93" s="26">
        <v>1</v>
      </c>
      <c r="S93" s="26">
        <v>4</v>
      </c>
      <c r="T93" s="26">
        <v>3</v>
      </c>
      <c r="U93" s="26">
        <v>8</v>
      </c>
      <c r="V93" s="26">
        <v>1</v>
      </c>
    </row>
    <row r="94" spans="1:22" x14ac:dyDescent="0.25">
      <c r="A94" s="26" t="s">
        <v>2400</v>
      </c>
      <c r="B94" s="26" t="s">
        <v>2700</v>
      </c>
      <c r="C94" s="26" t="s">
        <v>2701</v>
      </c>
      <c r="D94" s="26" t="s">
        <v>179</v>
      </c>
      <c r="E94" s="26" t="s">
        <v>2702</v>
      </c>
      <c r="F94" s="26" t="s">
        <v>700</v>
      </c>
      <c r="G94" s="26" t="s">
        <v>293</v>
      </c>
      <c r="H94" s="26" t="s">
        <v>294</v>
      </c>
      <c r="I94" s="26" t="s">
        <v>1259</v>
      </c>
      <c r="J94" s="26" t="s">
        <v>295</v>
      </c>
      <c r="K94" s="26" t="s">
        <v>296</v>
      </c>
      <c r="L94" s="26" t="s">
        <v>80</v>
      </c>
      <c r="M94" s="26" t="s">
        <v>77</v>
      </c>
      <c r="N94" s="26">
        <v>185</v>
      </c>
      <c r="O94" s="26">
        <v>115</v>
      </c>
      <c r="P94" s="26">
        <v>70</v>
      </c>
      <c r="Q94" s="26">
        <v>0</v>
      </c>
      <c r="R94" s="26">
        <v>1</v>
      </c>
      <c r="S94" s="26">
        <v>8</v>
      </c>
      <c r="T94" s="26">
        <v>4</v>
      </c>
      <c r="U94" s="26">
        <v>13</v>
      </c>
      <c r="V94" s="26">
        <v>1</v>
      </c>
    </row>
    <row r="95" spans="1:22" x14ac:dyDescent="0.25">
      <c r="A95" s="26" t="s">
        <v>2400</v>
      </c>
      <c r="B95" s="26" t="s">
        <v>2703</v>
      </c>
      <c r="C95" s="26" t="s">
        <v>2704</v>
      </c>
      <c r="D95" s="26" t="s">
        <v>2408</v>
      </c>
      <c r="E95" s="26" t="s">
        <v>2705</v>
      </c>
      <c r="F95" s="26" t="s">
        <v>1144</v>
      </c>
      <c r="G95" s="26" t="s">
        <v>293</v>
      </c>
      <c r="H95" s="26" t="s">
        <v>351</v>
      </c>
      <c r="I95" s="26" t="s">
        <v>1259</v>
      </c>
      <c r="J95" s="26" t="s">
        <v>1145</v>
      </c>
      <c r="K95" s="26" t="s">
        <v>296</v>
      </c>
      <c r="L95" s="26" t="s">
        <v>80</v>
      </c>
      <c r="M95" s="26" t="s">
        <v>77</v>
      </c>
      <c r="N95" s="26">
        <v>58</v>
      </c>
      <c r="O95" s="26">
        <v>42</v>
      </c>
      <c r="P95" s="26">
        <v>16</v>
      </c>
      <c r="Q95" s="26">
        <v>0</v>
      </c>
      <c r="R95" s="26">
        <v>1</v>
      </c>
      <c r="S95" s="26">
        <v>4</v>
      </c>
      <c r="T95" s="26">
        <v>2</v>
      </c>
      <c r="U95" s="26">
        <v>7</v>
      </c>
      <c r="V95" s="26">
        <v>1</v>
      </c>
    </row>
    <row r="96" spans="1:22" x14ac:dyDescent="0.25">
      <c r="A96" s="26" t="s">
        <v>2400</v>
      </c>
      <c r="B96" s="26" t="s">
        <v>2706</v>
      </c>
      <c r="C96" s="26" t="s">
        <v>2707</v>
      </c>
      <c r="D96" s="26" t="s">
        <v>2408</v>
      </c>
      <c r="E96" s="26" t="s">
        <v>2708</v>
      </c>
      <c r="F96" s="26" t="s">
        <v>2709</v>
      </c>
      <c r="G96" s="26" t="s">
        <v>293</v>
      </c>
      <c r="H96" s="26" t="s">
        <v>1693</v>
      </c>
      <c r="I96" s="26" t="s">
        <v>1259</v>
      </c>
      <c r="J96" s="26" t="s">
        <v>696</v>
      </c>
      <c r="K96" s="26" t="s">
        <v>296</v>
      </c>
      <c r="L96" s="26" t="s">
        <v>80</v>
      </c>
      <c r="M96" s="26" t="s">
        <v>77</v>
      </c>
      <c r="N96" s="26">
        <v>159</v>
      </c>
      <c r="O96" s="26">
        <v>98</v>
      </c>
      <c r="P96" s="26">
        <v>61</v>
      </c>
      <c r="Q96" s="26">
        <v>0</v>
      </c>
      <c r="R96" s="26">
        <v>1</v>
      </c>
      <c r="S96" s="26">
        <v>5</v>
      </c>
      <c r="T96" s="26">
        <v>1</v>
      </c>
      <c r="U96" s="26">
        <v>7</v>
      </c>
      <c r="V96" s="26">
        <v>1</v>
      </c>
    </row>
    <row r="97" spans="1:22" x14ac:dyDescent="0.25">
      <c r="A97" s="26" t="s">
        <v>2400</v>
      </c>
      <c r="B97" s="26" t="s">
        <v>2710</v>
      </c>
      <c r="C97" s="26" t="s">
        <v>2711</v>
      </c>
      <c r="D97" s="26" t="s">
        <v>179</v>
      </c>
      <c r="E97" s="26" t="s">
        <v>2712</v>
      </c>
      <c r="F97" s="26" t="s">
        <v>2713</v>
      </c>
      <c r="G97" s="26" t="s">
        <v>293</v>
      </c>
      <c r="H97" s="26" t="s">
        <v>301</v>
      </c>
      <c r="I97" s="26" t="s">
        <v>1259</v>
      </c>
      <c r="J97" s="26" t="s">
        <v>295</v>
      </c>
      <c r="K97" s="26" t="s">
        <v>296</v>
      </c>
      <c r="L97" s="26" t="s">
        <v>80</v>
      </c>
      <c r="M97" s="26" t="s">
        <v>77</v>
      </c>
      <c r="N97" s="26">
        <v>109</v>
      </c>
      <c r="O97" s="26">
        <v>80</v>
      </c>
      <c r="P97" s="26">
        <v>29</v>
      </c>
      <c r="Q97" s="26">
        <v>0</v>
      </c>
      <c r="R97" s="26">
        <v>1</v>
      </c>
      <c r="S97" s="26">
        <v>7</v>
      </c>
      <c r="T97" s="26">
        <v>2</v>
      </c>
      <c r="U97" s="26">
        <v>10</v>
      </c>
      <c r="V97" s="26">
        <v>1</v>
      </c>
    </row>
    <row r="98" spans="1:22" x14ac:dyDescent="0.25">
      <c r="A98" s="26" t="s">
        <v>2400</v>
      </c>
      <c r="B98" s="26" t="s">
        <v>2714</v>
      </c>
      <c r="C98" s="26" t="s">
        <v>2715</v>
      </c>
      <c r="D98" s="26" t="s">
        <v>2408</v>
      </c>
      <c r="E98" s="26" t="s">
        <v>2716</v>
      </c>
      <c r="F98" s="26" t="s">
        <v>2717</v>
      </c>
      <c r="G98" s="26" t="s">
        <v>293</v>
      </c>
      <c r="H98" s="26" t="s">
        <v>1693</v>
      </c>
      <c r="I98" s="26" t="s">
        <v>1259</v>
      </c>
      <c r="J98" s="26" t="s">
        <v>696</v>
      </c>
      <c r="K98" s="26" t="s">
        <v>296</v>
      </c>
      <c r="L98" s="26" t="s">
        <v>80</v>
      </c>
      <c r="M98" s="26" t="s">
        <v>77</v>
      </c>
      <c r="N98" s="26">
        <v>59</v>
      </c>
      <c r="O98" s="26">
        <v>41</v>
      </c>
      <c r="P98" s="26">
        <v>18</v>
      </c>
      <c r="Q98" s="26">
        <v>0</v>
      </c>
      <c r="R98" s="26">
        <v>1</v>
      </c>
      <c r="S98" s="26">
        <v>6</v>
      </c>
      <c r="T98" s="26">
        <v>0</v>
      </c>
      <c r="U98" s="26">
        <v>7</v>
      </c>
      <c r="V98" s="26">
        <v>1</v>
      </c>
    </row>
    <row r="99" spans="1:22" x14ac:dyDescent="0.25">
      <c r="A99" s="26" t="s">
        <v>2400</v>
      </c>
      <c r="B99" s="26" t="s">
        <v>2718</v>
      </c>
      <c r="C99" s="26" t="s">
        <v>2719</v>
      </c>
      <c r="D99" s="26" t="s">
        <v>179</v>
      </c>
      <c r="E99" s="26" t="s">
        <v>1637</v>
      </c>
      <c r="F99" s="26" t="s">
        <v>2720</v>
      </c>
      <c r="G99" s="26" t="s">
        <v>293</v>
      </c>
      <c r="H99" s="26" t="s">
        <v>294</v>
      </c>
      <c r="I99" s="26" t="s">
        <v>1259</v>
      </c>
      <c r="J99" s="26" t="s">
        <v>295</v>
      </c>
      <c r="K99" s="26" t="s">
        <v>296</v>
      </c>
      <c r="L99" s="26" t="s">
        <v>80</v>
      </c>
      <c r="M99" s="26" t="s">
        <v>77</v>
      </c>
      <c r="N99" s="26">
        <v>132</v>
      </c>
      <c r="O99" s="26">
        <v>93</v>
      </c>
      <c r="P99" s="26">
        <v>39</v>
      </c>
      <c r="Q99" s="26">
        <v>0</v>
      </c>
      <c r="R99" s="26">
        <v>1</v>
      </c>
      <c r="S99" s="26">
        <v>6</v>
      </c>
      <c r="T99" s="26">
        <v>1</v>
      </c>
      <c r="U99" s="26">
        <v>8</v>
      </c>
      <c r="V99" s="26">
        <v>1</v>
      </c>
    </row>
    <row r="100" spans="1:22" x14ac:dyDescent="0.25">
      <c r="A100" s="26" t="s">
        <v>2400</v>
      </c>
      <c r="B100" s="26" t="s">
        <v>2721</v>
      </c>
      <c r="C100" s="26" t="s">
        <v>2722</v>
      </c>
      <c r="D100" s="26" t="s">
        <v>2408</v>
      </c>
      <c r="E100" s="26" t="s">
        <v>2723</v>
      </c>
      <c r="F100" s="26" t="s">
        <v>1152</v>
      </c>
      <c r="G100" s="26" t="s">
        <v>293</v>
      </c>
      <c r="H100" s="26" t="s">
        <v>351</v>
      </c>
      <c r="I100" s="26" t="s">
        <v>1259</v>
      </c>
      <c r="J100" s="26" t="s">
        <v>295</v>
      </c>
      <c r="K100" s="26" t="s">
        <v>296</v>
      </c>
      <c r="L100" s="26" t="s">
        <v>80</v>
      </c>
      <c r="M100" s="26" t="s">
        <v>77</v>
      </c>
      <c r="N100" s="26">
        <v>58</v>
      </c>
      <c r="O100" s="26">
        <v>28</v>
      </c>
      <c r="P100" s="26">
        <v>30</v>
      </c>
      <c r="Q100" s="26">
        <v>0</v>
      </c>
      <c r="R100" s="26">
        <v>1</v>
      </c>
      <c r="S100" s="26">
        <v>2</v>
      </c>
      <c r="T100" s="26">
        <v>1</v>
      </c>
      <c r="U100" s="26">
        <v>4</v>
      </c>
      <c r="V100" s="26">
        <v>1</v>
      </c>
    </row>
    <row r="101" spans="1:22" x14ac:dyDescent="0.25">
      <c r="A101" s="26" t="s">
        <v>2400</v>
      </c>
      <c r="B101" s="26" t="s">
        <v>2724</v>
      </c>
      <c r="C101" s="26" t="s">
        <v>2725</v>
      </c>
      <c r="D101" s="26" t="s">
        <v>2408</v>
      </c>
      <c r="E101" s="26" t="s">
        <v>2726</v>
      </c>
      <c r="F101" s="26" t="s">
        <v>2727</v>
      </c>
      <c r="G101" s="26" t="s">
        <v>293</v>
      </c>
      <c r="H101" s="26" t="s">
        <v>677</v>
      </c>
      <c r="I101" s="26" t="s">
        <v>1259</v>
      </c>
      <c r="J101" s="26" t="s">
        <v>1145</v>
      </c>
      <c r="K101" s="26" t="s">
        <v>296</v>
      </c>
      <c r="L101" s="26" t="s">
        <v>80</v>
      </c>
      <c r="M101" s="26" t="s">
        <v>77</v>
      </c>
      <c r="N101" s="26">
        <v>18</v>
      </c>
      <c r="O101" s="26">
        <v>9</v>
      </c>
      <c r="P101" s="26">
        <v>9</v>
      </c>
      <c r="Q101" s="26">
        <v>0</v>
      </c>
      <c r="R101" s="26">
        <v>1</v>
      </c>
      <c r="S101" s="26">
        <v>4</v>
      </c>
      <c r="T101" s="26">
        <v>1</v>
      </c>
      <c r="U101" s="26">
        <v>6</v>
      </c>
      <c r="V101" s="26">
        <v>1</v>
      </c>
    </row>
    <row r="102" spans="1:22" x14ac:dyDescent="0.25">
      <c r="A102" s="26" t="s">
        <v>2400</v>
      </c>
      <c r="B102" s="26" t="s">
        <v>2728</v>
      </c>
      <c r="C102" s="26" t="s">
        <v>2729</v>
      </c>
      <c r="D102" s="26" t="s">
        <v>179</v>
      </c>
      <c r="E102" s="26" t="s">
        <v>2705</v>
      </c>
      <c r="F102" s="26" t="s">
        <v>1144</v>
      </c>
      <c r="G102" s="26" t="s">
        <v>293</v>
      </c>
      <c r="H102" s="26" t="s">
        <v>351</v>
      </c>
      <c r="I102" s="26" t="s">
        <v>1259</v>
      </c>
      <c r="J102" s="26" t="s">
        <v>1145</v>
      </c>
      <c r="K102" s="26" t="s">
        <v>296</v>
      </c>
      <c r="L102" s="26" t="s">
        <v>80</v>
      </c>
      <c r="M102" s="26" t="s">
        <v>77</v>
      </c>
      <c r="N102" s="26">
        <v>55</v>
      </c>
      <c r="O102" s="26">
        <v>35</v>
      </c>
      <c r="P102" s="26">
        <v>20</v>
      </c>
      <c r="Q102" s="26">
        <v>0</v>
      </c>
      <c r="R102" s="26">
        <v>1</v>
      </c>
      <c r="S102" s="26">
        <v>5</v>
      </c>
      <c r="T102" s="26">
        <v>3</v>
      </c>
      <c r="U102" s="26">
        <v>9</v>
      </c>
      <c r="V102" s="26">
        <v>1</v>
      </c>
    </row>
    <row r="103" spans="1:22" x14ac:dyDescent="0.25">
      <c r="A103" s="26" t="s">
        <v>2400</v>
      </c>
      <c r="B103" s="26" t="s">
        <v>2730</v>
      </c>
      <c r="C103" s="26" t="s">
        <v>2731</v>
      </c>
      <c r="D103" s="26" t="s">
        <v>2408</v>
      </c>
      <c r="E103" s="26" t="s">
        <v>2732</v>
      </c>
      <c r="F103" s="26" t="s">
        <v>2733</v>
      </c>
      <c r="G103" s="26" t="s">
        <v>293</v>
      </c>
      <c r="H103" s="26" t="s">
        <v>687</v>
      </c>
      <c r="I103" s="26" t="s">
        <v>1259</v>
      </c>
      <c r="J103" s="26" t="s">
        <v>696</v>
      </c>
      <c r="K103" s="26" t="s">
        <v>296</v>
      </c>
      <c r="L103" s="26" t="s">
        <v>80</v>
      </c>
      <c r="M103" s="26" t="s">
        <v>77</v>
      </c>
      <c r="N103" s="26">
        <v>44</v>
      </c>
      <c r="O103" s="26">
        <v>34</v>
      </c>
      <c r="P103" s="26">
        <v>10</v>
      </c>
      <c r="Q103" s="26">
        <v>0</v>
      </c>
      <c r="R103" s="26">
        <v>1</v>
      </c>
      <c r="S103" s="26">
        <v>4</v>
      </c>
      <c r="T103" s="26">
        <v>3</v>
      </c>
      <c r="U103" s="26">
        <v>8</v>
      </c>
      <c r="V103" s="26">
        <v>1</v>
      </c>
    </row>
    <row r="104" spans="1:22" x14ac:dyDescent="0.25">
      <c r="A104" s="26" t="s">
        <v>2400</v>
      </c>
      <c r="B104" s="26" t="s">
        <v>2734</v>
      </c>
      <c r="C104" s="26" t="s">
        <v>2735</v>
      </c>
      <c r="D104" s="26" t="s">
        <v>179</v>
      </c>
      <c r="E104" s="26" t="s">
        <v>2736</v>
      </c>
      <c r="F104" s="26" t="s">
        <v>2737</v>
      </c>
      <c r="G104" s="26" t="s">
        <v>293</v>
      </c>
      <c r="H104" s="26" t="s">
        <v>1693</v>
      </c>
      <c r="I104" s="26" t="s">
        <v>1259</v>
      </c>
      <c r="J104" s="26" t="s">
        <v>696</v>
      </c>
      <c r="K104" s="26" t="s">
        <v>296</v>
      </c>
      <c r="L104" s="26" t="s">
        <v>80</v>
      </c>
      <c r="M104" s="26" t="s">
        <v>77</v>
      </c>
      <c r="N104" s="26">
        <v>73</v>
      </c>
      <c r="O104" s="26">
        <v>43</v>
      </c>
      <c r="P104" s="26">
        <v>30</v>
      </c>
      <c r="Q104" s="26">
        <v>0</v>
      </c>
      <c r="R104" s="26">
        <v>1</v>
      </c>
      <c r="S104" s="26">
        <v>4</v>
      </c>
      <c r="T104" s="26">
        <v>4</v>
      </c>
      <c r="U104" s="26">
        <v>9</v>
      </c>
      <c r="V104" s="26">
        <v>1</v>
      </c>
    </row>
    <row r="105" spans="1:22" x14ac:dyDescent="0.25">
      <c r="A105" s="26" t="s">
        <v>2400</v>
      </c>
      <c r="B105" s="26" t="s">
        <v>2738</v>
      </c>
      <c r="C105" s="26" t="s">
        <v>2739</v>
      </c>
      <c r="D105" s="26" t="s">
        <v>179</v>
      </c>
      <c r="E105" s="26" t="s">
        <v>4035</v>
      </c>
      <c r="F105" s="26" t="s">
        <v>2628</v>
      </c>
      <c r="G105" s="26" t="s">
        <v>226</v>
      </c>
      <c r="H105" s="26" t="s">
        <v>301</v>
      </c>
      <c r="I105" s="26" t="s">
        <v>184</v>
      </c>
      <c r="J105" s="26" t="s">
        <v>2509</v>
      </c>
      <c r="K105" s="26" t="s">
        <v>2405</v>
      </c>
      <c r="L105" s="26" t="s">
        <v>79</v>
      </c>
      <c r="M105" s="26" t="s">
        <v>77</v>
      </c>
      <c r="N105" s="26">
        <v>92</v>
      </c>
      <c r="O105" s="26">
        <v>54</v>
      </c>
      <c r="P105" s="26">
        <v>38</v>
      </c>
      <c r="Q105" s="26">
        <v>0</v>
      </c>
      <c r="R105" s="26">
        <v>1</v>
      </c>
      <c r="S105" s="26">
        <v>8</v>
      </c>
      <c r="T105" s="26">
        <v>5</v>
      </c>
      <c r="U105" s="26">
        <v>14</v>
      </c>
      <c r="V105" s="26">
        <v>1</v>
      </c>
    </row>
    <row r="106" spans="1:22" x14ac:dyDescent="0.25">
      <c r="A106" s="26" t="s">
        <v>2400</v>
      </c>
      <c r="B106" s="26" t="s">
        <v>2740</v>
      </c>
      <c r="C106" s="26" t="s">
        <v>2741</v>
      </c>
      <c r="D106" s="26" t="s">
        <v>179</v>
      </c>
      <c r="E106" s="26" t="s">
        <v>2742</v>
      </c>
      <c r="F106" s="26" t="s">
        <v>2614</v>
      </c>
      <c r="G106" s="26" t="s">
        <v>226</v>
      </c>
      <c r="H106" s="26" t="s">
        <v>926</v>
      </c>
      <c r="I106" s="26" t="s">
        <v>184</v>
      </c>
      <c r="J106" s="26" t="s">
        <v>2509</v>
      </c>
      <c r="K106" s="26" t="s">
        <v>2405</v>
      </c>
      <c r="L106" s="26" t="s">
        <v>79</v>
      </c>
      <c r="M106" s="26" t="s">
        <v>77</v>
      </c>
      <c r="N106" s="26">
        <v>112</v>
      </c>
      <c r="O106" s="26">
        <v>73</v>
      </c>
      <c r="P106" s="26">
        <v>39</v>
      </c>
      <c r="Q106" s="26">
        <v>0</v>
      </c>
      <c r="R106" s="26">
        <v>1</v>
      </c>
      <c r="S106" s="26">
        <v>8</v>
      </c>
      <c r="T106" s="26">
        <v>3</v>
      </c>
      <c r="U106" s="26">
        <v>12</v>
      </c>
      <c r="V106" s="26">
        <v>1</v>
      </c>
    </row>
    <row r="107" spans="1:22" x14ac:dyDescent="0.25">
      <c r="A107" s="26" t="s">
        <v>2400</v>
      </c>
      <c r="B107" s="26" t="s">
        <v>2743</v>
      </c>
      <c r="C107" s="26" t="s">
        <v>2744</v>
      </c>
      <c r="D107" s="26" t="s">
        <v>179</v>
      </c>
      <c r="E107" s="26" t="s">
        <v>2745</v>
      </c>
      <c r="F107" s="26" t="s">
        <v>247</v>
      </c>
      <c r="G107" s="26" t="s">
        <v>198</v>
      </c>
      <c r="H107" s="26" t="s">
        <v>294</v>
      </c>
      <c r="I107" s="26" t="s">
        <v>184</v>
      </c>
      <c r="J107" s="26" t="s">
        <v>2404</v>
      </c>
      <c r="K107" s="26" t="s">
        <v>2405</v>
      </c>
      <c r="L107" s="26" t="s">
        <v>79</v>
      </c>
      <c r="M107" s="26" t="s">
        <v>77</v>
      </c>
      <c r="N107" s="26">
        <v>71</v>
      </c>
      <c r="O107" s="26">
        <v>40</v>
      </c>
      <c r="P107" s="26">
        <v>31</v>
      </c>
      <c r="Q107" s="26">
        <v>0</v>
      </c>
      <c r="R107" s="26">
        <v>1</v>
      </c>
      <c r="S107" s="26">
        <v>5</v>
      </c>
      <c r="T107" s="26">
        <v>2</v>
      </c>
      <c r="U107" s="26">
        <v>8</v>
      </c>
      <c r="V107" s="26">
        <v>1</v>
      </c>
    </row>
    <row r="108" spans="1:22" x14ac:dyDescent="0.25">
      <c r="A108" s="26" t="s">
        <v>2400</v>
      </c>
      <c r="B108" s="26" t="s">
        <v>2746</v>
      </c>
      <c r="C108" s="26" t="s">
        <v>2747</v>
      </c>
      <c r="D108" s="26" t="s">
        <v>179</v>
      </c>
      <c r="E108" s="26" t="s">
        <v>4036</v>
      </c>
      <c r="F108" s="26" t="s">
        <v>2748</v>
      </c>
      <c r="G108" s="26" t="s">
        <v>265</v>
      </c>
      <c r="H108" s="26" t="s">
        <v>351</v>
      </c>
      <c r="I108" s="26" t="s">
        <v>184</v>
      </c>
      <c r="J108" s="26" t="s">
        <v>2411</v>
      </c>
      <c r="K108" s="26" t="s">
        <v>2405</v>
      </c>
      <c r="L108" s="26" t="s">
        <v>79</v>
      </c>
      <c r="M108" s="26" t="s">
        <v>77</v>
      </c>
      <c r="N108" s="26">
        <v>70</v>
      </c>
      <c r="O108" s="26">
        <v>47</v>
      </c>
      <c r="P108" s="26">
        <v>23</v>
      </c>
      <c r="Q108" s="26">
        <v>0</v>
      </c>
      <c r="R108" s="26">
        <v>1</v>
      </c>
      <c r="S108" s="26">
        <v>8</v>
      </c>
      <c r="T108" s="26">
        <v>2</v>
      </c>
      <c r="U108" s="26">
        <v>11</v>
      </c>
      <c r="V108" s="26">
        <v>1</v>
      </c>
    </row>
    <row r="109" spans="1:22" x14ac:dyDescent="0.25">
      <c r="A109" s="26" t="s">
        <v>2400</v>
      </c>
      <c r="B109" s="26" t="s">
        <v>2749</v>
      </c>
      <c r="C109" s="26" t="s">
        <v>2750</v>
      </c>
      <c r="D109" s="26" t="s">
        <v>2408</v>
      </c>
      <c r="E109" s="26" t="s">
        <v>2751</v>
      </c>
      <c r="F109" s="26" t="s">
        <v>2748</v>
      </c>
      <c r="G109" s="26" t="s">
        <v>265</v>
      </c>
      <c r="H109" s="26" t="s">
        <v>351</v>
      </c>
      <c r="I109" s="26" t="s">
        <v>184</v>
      </c>
      <c r="J109" s="26" t="s">
        <v>2411</v>
      </c>
      <c r="K109" s="26" t="s">
        <v>2405</v>
      </c>
      <c r="L109" s="26" t="s">
        <v>79</v>
      </c>
      <c r="M109" s="26" t="s">
        <v>77</v>
      </c>
      <c r="N109" s="26">
        <v>45</v>
      </c>
      <c r="O109" s="26">
        <v>31</v>
      </c>
      <c r="P109" s="26">
        <v>14</v>
      </c>
      <c r="Q109" s="26">
        <v>0</v>
      </c>
      <c r="R109" s="26">
        <v>1</v>
      </c>
      <c r="S109" s="26">
        <v>7</v>
      </c>
      <c r="T109" s="26">
        <v>2</v>
      </c>
      <c r="U109" s="26">
        <v>10</v>
      </c>
      <c r="V109" s="26">
        <v>1</v>
      </c>
    </row>
    <row r="110" spans="1:22" x14ac:dyDescent="0.25">
      <c r="A110" s="26" t="s">
        <v>2400</v>
      </c>
      <c r="B110" s="26" t="s">
        <v>2752</v>
      </c>
      <c r="C110" s="26" t="s">
        <v>2753</v>
      </c>
      <c r="D110" s="26" t="s">
        <v>179</v>
      </c>
      <c r="E110" s="26" t="s">
        <v>4037</v>
      </c>
      <c r="F110" s="26" t="s">
        <v>1536</v>
      </c>
      <c r="G110" s="26" t="s">
        <v>676</v>
      </c>
      <c r="H110" s="26" t="s">
        <v>1026</v>
      </c>
      <c r="I110" s="26" t="s">
        <v>184</v>
      </c>
      <c r="J110" s="26" t="s">
        <v>2404</v>
      </c>
      <c r="K110" s="26" t="s">
        <v>2405</v>
      </c>
      <c r="L110" s="26" t="s">
        <v>79</v>
      </c>
      <c r="M110" s="26" t="s">
        <v>77</v>
      </c>
      <c r="N110" s="26">
        <v>81</v>
      </c>
      <c r="O110" s="26">
        <v>47</v>
      </c>
      <c r="P110" s="26">
        <v>34</v>
      </c>
      <c r="Q110" s="26">
        <v>0</v>
      </c>
      <c r="R110" s="26">
        <v>1</v>
      </c>
      <c r="S110" s="26">
        <v>8</v>
      </c>
      <c r="T110" s="26">
        <v>3</v>
      </c>
      <c r="U110" s="26">
        <v>12</v>
      </c>
      <c r="V110" s="26">
        <v>1</v>
      </c>
    </row>
    <row r="111" spans="1:22" x14ac:dyDescent="0.25">
      <c r="A111" s="26" t="s">
        <v>2400</v>
      </c>
      <c r="B111" s="26" t="s">
        <v>2754</v>
      </c>
      <c r="C111" s="26" t="s">
        <v>2755</v>
      </c>
      <c r="D111" s="26" t="s">
        <v>179</v>
      </c>
      <c r="E111" s="26" t="s">
        <v>4038</v>
      </c>
      <c r="F111" s="26" t="s">
        <v>256</v>
      </c>
      <c r="G111" s="26" t="s">
        <v>204</v>
      </c>
      <c r="H111" s="26" t="s">
        <v>1693</v>
      </c>
      <c r="I111" s="26" t="s">
        <v>184</v>
      </c>
      <c r="J111" s="26" t="s">
        <v>2411</v>
      </c>
      <c r="K111" s="26" t="s">
        <v>2405</v>
      </c>
      <c r="L111" s="26" t="s">
        <v>79</v>
      </c>
      <c r="M111" s="26" t="s">
        <v>77</v>
      </c>
      <c r="N111" s="26">
        <v>43</v>
      </c>
      <c r="O111" s="26">
        <v>22</v>
      </c>
      <c r="P111" s="26">
        <v>21</v>
      </c>
      <c r="Q111" s="26">
        <v>0</v>
      </c>
      <c r="R111" s="26">
        <v>1</v>
      </c>
      <c r="S111" s="26">
        <v>8</v>
      </c>
      <c r="T111" s="26">
        <v>3</v>
      </c>
      <c r="U111" s="26">
        <v>12</v>
      </c>
      <c r="V111" s="26">
        <v>1</v>
      </c>
    </row>
    <row r="112" spans="1:22" x14ac:dyDescent="0.25">
      <c r="A112" s="26" t="s">
        <v>2400</v>
      </c>
      <c r="B112" s="26" t="s">
        <v>2756</v>
      </c>
      <c r="C112" s="26" t="s">
        <v>2757</v>
      </c>
      <c r="D112" s="26" t="s">
        <v>179</v>
      </c>
      <c r="E112" s="26" t="s">
        <v>2758</v>
      </c>
      <c r="F112" s="26" t="s">
        <v>2759</v>
      </c>
      <c r="G112" s="26" t="s">
        <v>204</v>
      </c>
      <c r="H112" s="26" t="s">
        <v>643</v>
      </c>
      <c r="I112" s="26" t="s">
        <v>184</v>
      </c>
      <c r="J112" s="26" t="s">
        <v>2411</v>
      </c>
      <c r="K112" s="26" t="s">
        <v>2405</v>
      </c>
      <c r="L112" s="26" t="s">
        <v>79</v>
      </c>
      <c r="M112" s="26" t="s">
        <v>77</v>
      </c>
      <c r="N112" s="26">
        <v>31</v>
      </c>
      <c r="O112" s="26">
        <v>25</v>
      </c>
      <c r="P112" s="26">
        <v>6</v>
      </c>
      <c r="Q112" s="26">
        <v>0</v>
      </c>
      <c r="R112" s="26">
        <v>1</v>
      </c>
      <c r="S112" s="26">
        <v>7</v>
      </c>
      <c r="T112" s="26">
        <v>3</v>
      </c>
      <c r="U112" s="26">
        <v>11</v>
      </c>
      <c r="V112" s="26">
        <v>1</v>
      </c>
    </row>
    <row r="113" spans="1:22" x14ac:dyDescent="0.25">
      <c r="A113" s="26" t="s">
        <v>2400</v>
      </c>
      <c r="B113" s="26" t="s">
        <v>2760</v>
      </c>
      <c r="C113" s="26" t="s">
        <v>2761</v>
      </c>
      <c r="D113" s="26" t="s">
        <v>179</v>
      </c>
      <c r="E113" s="26" t="s">
        <v>2762</v>
      </c>
      <c r="F113" s="26" t="s">
        <v>783</v>
      </c>
      <c r="G113" s="26" t="s">
        <v>265</v>
      </c>
      <c r="H113" s="26" t="s">
        <v>351</v>
      </c>
      <c r="I113" s="26" t="s">
        <v>184</v>
      </c>
      <c r="J113" s="26" t="s">
        <v>2411</v>
      </c>
      <c r="K113" s="26" t="s">
        <v>2405</v>
      </c>
      <c r="L113" s="26" t="s">
        <v>79</v>
      </c>
      <c r="M113" s="26" t="s">
        <v>77</v>
      </c>
      <c r="N113" s="26">
        <v>50</v>
      </c>
      <c r="O113" s="26">
        <v>29</v>
      </c>
      <c r="P113" s="26">
        <v>21</v>
      </c>
      <c r="Q113" s="26">
        <v>0</v>
      </c>
      <c r="R113" s="26">
        <v>1</v>
      </c>
      <c r="S113" s="26">
        <v>6</v>
      </c>
      <c r="T113" s="26">
        <v>4</v>
      </c>
      <c r="U113" s="26">
        <v>11</v>
      </c>
      <c r="V113" s="26">
        <v>1</v>
      </c>
    </row>
    <row r="114" spans="1:22" x14ac:dyDescent="0.25">
      <c r="A114" s="26" t="s">
        <v>2400</v>
      </c>
      <c r="B114" s="26" t="s">
        <v>2763</v>
      </c>
      <c r="C114" s="26" t="s">
        <v>2764</v>
      </c>
      <c r="D114" s="26" t="s">
        <v>179</v>
      </c>
      <c r="E114" s="26" t="s">
        <v>2765</v>
      </c>
      <c r="F114" s="26" t="s">
        <v>2082</v>
      </c>
      <c r="G114" s="26" t="s">
        <v>676</v>
      </c>
      <c r="H114" s="26" t="s">
        <v>1026</v>
      </c>
      <c r="I114" s="26" t="s">
        <v>184</v>
      </c>
      <c r="J114" s="26" t="s">
        <v>2404</v>
      </c>
      <c r="K114" s="26" t="s">
        <v>2405</v>
      </c>
      <c r="L114" s="26" t="s">
        <v>79</v>
      </c>
      <c r="M114" s="26" t="s">
        <v>77</v>
      </c>
      <c r="N114" s="26">
        <v>64</v>
      </c>
      <c r="O114" s="26">
        <v>39</v>
      </c>
      <c r="P114" s="26">
        <v>25</v>
      </c>
      <c r="Q114" s="26">
        <v>0</v>
      </c>
      <c r="R114" s="26">
        <v>1</v>
      </c>
      <c r="S114" s="26">
        <v>6</v>
      </c>
      <c r="T114" s="26">
        <v>3</v>
      </c>
      <c r="U114" s="26">
        <v>10</v>
      </c>
      <c r="V114" s="26">
        <v>1</v>
      </c>
    </row>
    <row r="115" spans="1:22" x14ac:dyDescent="0.25">
      <c r="A115" s="26" t="s">
        <v>2400</v>
      </c>
      <c r="B115" s="26" t="s">
        <v>2766</v>
      </c>
      <c r="C115" s="26" t="s">
        <v>2767</v>
      </c>
      <c r="D115" s="26" t="s">
        <v>2408</v>
      </c>
      <c r="E115" s="26" t="s">
        <v>2660</v>
      </c>
      <c r="F115" s="26" t="s">
        <v>2768</v>
      </c>
      <c r="G115" s="26" t="s">
        <v>204</v>
      </c>
      <c r="H115" s="26" t="s">
        <v>677</v>
      </c>
      <c r="I115" s="26" t="s">
        <v>184</v>
      </c>
      <c r="J115" s="26" t="s">
        <v>2411</v>
      </c>
      <c r="K115" s="26" t="s">
        <v>2405</v>
      </c>
      <c r="L115" s="26" t="s">
        <v>79</v>
      </c>
      <c r="M115" s="26" t="s">
        <v>77</v>
      </c>
      <c r="N115" s="26">
        <v>53</v>
      </c>
      <c r="O115" s="26">
        <v>36</v>
      </c>
      <c r="P115" s="26">
        <v>17</v>
      </c>
      <c r="Q115" s="26">
        <v>0</v>
      </c>
      <c r="R115" s="26">
        <v>1</v>
      </c>
      <c r="S115" s="26">
        <v>6</v>
      </c>
      <c r="T115" s="26">
        <v>2</v>
      </c>
      <c r="U115" s="26">
        <v>9</v>
      </c>
      <c r="V115" s="26">
        <v>1</v>
      </c>
    </row>
    <row r="116" spans="1:22" x14ac:dyDescent="0.25">
      <c r="A116" s="26" t="s">
        <v>2400</v>
      </c>
      <c r="B116" s="26" t="s">
        <v>2769</v>
      </c>
      <c r="C116" s="26" t="s">
        <v>2770</v>
      </c>
      <c r="D116" s="26" t="s">
        <v>179</v>
      </c>
      <c r="E116" s="26" t="s">
        <v>2771</v>
      </c>
      <c r="F116" s="26" t="s">
        <v>2772</v>
      </c>
      <c r="G116" s="26" t="s">
        <v>204</v>
      </c>
      <c r="H116" s="26" t="s">
        <v>687</v>
      </c>
      <c r="I116" s="26" t="s">
        <v>184</v>
      </c>
      <c r="J116" s="26" t="s">
        <v>2411</v>
      </c>
      <c r="K116" s="26" t="s">
        <v>2405</v>
      </c>
      <c r="L116" s="26" t="s">
        <v>79</v>
      </c>
      <c r="M116" s="26" t="s">
        <v>77</v>
      </c>
      <c r="N116" s="26">
        <v>66</v>
      </c>
      <c r="O116" s="26">
        <v>42</v>
      </c>
      <c r="P116" s="26">
        <v>24</v>
      </c>
      <c r="Q116" s="26">
        <v>0</v>
      </c>
      <c r="R116" s="26">
        <v>1</v>
      </c>
      <c r="S116" s="26">
        <v>8</v>
      </c>
      <c r="T116" s="26">
        <v>3</v>
      </c>
      <c r="U116" s="26">
        <v>12</v>
      </c>
      <c r="V116" s="26">
        <v>1</v>
      </c>
    </row>
    <row r="117" spans="1:22" x14ac:dyDescent="0.25">
      <c r="A117" s="26" t="s">
        <v>2400</v>
      </c>
      <c r="B117" s="26" t="s">
        <v>2773</v>
      </c>
      <c r="C117" s="26" t="s">
        <v>2774</v>
      </c>
      <c r="D117" s="26" t="s">
        <v>179</v>
      </c>
      <c r="E117" s="26" t="s">
        <v>2775</v>
      </c>
      <c r="F117" s="26" t="s">
        <v>1407</v>
      </c>
      <c r="G117" s="26" t="s">
        <v>210</v>
      </c>
      <c r="H117" s="26" t="s">
        <v>643</v>
      </c>
      <c r="I117" s="26" t="s">
        <v>184</v>
      </c>
      <c r="J117" s="26" t="s">
        <v>2448</v>
      </c>
      <c r="K117" s="26" t="s">
        <v>2405</v>
      </c>
      <c r="L117" s="26" t="s">
        <v>79</v>
      </c>
      <c r="M117" s="26" t="s">
        <v>77</v>
      </c>
      <c r="N117" s="26">
        <v>28</v>
      </c>
      <c r="O117" s="26">
        <v>17</v>
      </c>
      <c r="P117" s="26">
        <v>11</v>
      </c>
      <c r="Q117" s="26">
        <v>0</v>
      </c>
      <c r="R117" s="26">
        <v>1</v>
      </c>
      <c r="S117" s="26">
        <v>6</v>
      </c>
      <c r="T117" s="26">
        <v>4</v>
      </c>
      <c r="U117" s="26">
        <v>11</v>
      </c>
      <c r="V117" s="26">
        <v>1</v>
      </c>
    </row>
    <row r="118" spans="1:22" x14ac:dyDescent="0.25">
      <c r="A118" s="26" t="s">
        <v>2400</v>
      </c>
      <c r="B118" s="26" t="s">
        <v>2776</v>
      </c>
      <c r="C118" s="26" t="s">
        <v>2777</v>
      </c>
      <c r="D118" s="26" t="s">
        <v>179</v>
      </c>
      <c r="E118" s="26" t="s">
        <v>2778</v>
      </c>
      <c r="F118" s="26" t="s">
        <v>921</v>
      </c>
      <c r="G118" s="26" t="s">
        <v>210</v>
      </c>
      <c r="H118" s="26" t="s">
        <v>321</v>
      </c>
      <c r="I118" s="26" t="s">
        <v>184</v>
      </c>
      <c r="J118" s="26" t="s">
        <v>2448</v>
      </c>
      <c r="K118" s="26" t="s">
        <v>2405</v>
      </c>
      <c r="L118" s="26" t="s">
        <v>79</v>
      </c>
      <c r="M118" s="26" t="s">
        <v>77</v>
      </c>
      <c r="N118" s="26">
        <v>37</v>
      </c>
      <c r="O118" s="26">
        <v>23</v>
      </c>
      <c r="P118" s="26">
        <v>14</v>
      </c>
      <c r="Q118" s="26">
        <v>0</v>
      </c>
      <c r="R118" s="26">
        <v>1</v>
      </c>
      <c r="S118" s="26">
        <v>7</v>
      </c>
      <c r="T118" s="26">
        <v>3</v>
      </c>
      <c r="U118" s="26">
        <v>11</v>
      </c>
      <c r="V118" s="26">
        <v>1</v>
      </c>
    </row>
    <row r="119" spans="1:22" x14ac:dyDescent="0.25">
      <c r="A119" s="26" t="s">
        <v>2400</v>
      </c>
      <c r="B119" s="26" t="s">
        <v>2779</v>
      </c>
      <c r="C119" s="26" t="s">
        <v>2780</v>
      </c>
      <c r="D119" s="26" t="s">
        <v>2408</v>
      </c>
      <c r="E119" s="26" t="s">
        <v>2781</v>
      </c>
      <c r="F119" s="26" t="s">
        <v>1068</v>
      </c>
      <c r="G119" s="26" t="s">
        <v>210</v>
      </c>
      <c r="H119" s="26" t="s">
        <v>301</v>
      </c>
      <c r="I119" s="26" t="s">
        <v>184</v>
      </c>
      <c r="J119" s="26" t="s">
        <v>2448</v>
      </c>
      <c r="K119" s="26" t="s">
        <v>2405</v>
      </c>
      <c r="L119" s="26" t="s">
        <v>79</v>
      </c>
      <c r="M119" s="26" t="s">
        <v>77</v>
      </c>
      <c r="N119" s="26">
        <v>7</v>
      </c>
      <c r="O119" s="26">
        <v>5</v>
      </c>
      <c r="P119" s="26">
        <v>2</v>
      </c>
      <c r="Q119" s="26">
        <v>0</v>
      </c>
      <c r="R119" s="26">
        <v>1</v>
      </c>
      <c r="S119" s="26">
        <v>5</v>
      </c>
      <c r="T119" s="26">
        <v>2</v>
      </c>
      <c r="U119" s="26">
        <v>8</v>
      </c>
      <c r="V119" s="26">
        <v>1</v>
      </c>
    </row>
    <row r="120" spans="1:22" x14ac:dyDescent="0.25">
      <c r="A120" s="26" t="s">
        <v>2400</v>
      </c>
      <c r="B120" s="26" t="s">
        <v>2782</v>
      </c>
      <c r="C120" s="26" t="s">
        <v>2783</v>
      </c>
      <c r="D120" s="26" t="s">
        <v>179</v>
      </c>
      <c r="E120" s="26" t="s">
        <v>2784</v>
      </c>
      <c r="F120" s="26" t="s">
        <v>2002</v>
      </c>
      <c r="G120" s="26" t="s">
        <v>210</v>
      </c>
      <c r="H120" s="26" t="s">
        <v>301</v>
      </c>
      <c r="I120" s="26" t="s">
        <v>184</v>
      </c>
      <c r="J120" s="26" t="s">
        <v>2448</v>
      </c>
      <c r="K120" s="26" t="s">
        <v>2405</v>
      </c>
      <c r="L120" s="26" t="s">
        <v>79</v>
      </c>
      <c r="M120" s="26" t="s">
        <v>77</v>
      </c>
      <c r="N120" s="26">
        <v>10</v>
      </c>
      <c r="O120" s="26">
        <v>8</v>
      </c>
      <c r="P120" s="26">
        <v>2</v>
      </c>
      <c r="Q120" s="26">
        <v>0</v>
      </c>
      <c r="R120" s="26">
        <v>1</v>
      </c>
      <c r="S120" s="26">
        <v>6</v>
      </c>
      <c r="T120" s="26">
        <v>3</v>
      </c>
      <c r="U120" s="26">
        <v>10</v>
      </c>
      <c r="V120" s="26">
        <v>1</v>
      </c>
    </row>
    <row r="121" spans="1:22" x14ac:dyDescent="0.25">
      <c r="A121" s="26" t="s">
        <v>2400</v>
      </c>
      <c r="B121" s="26" t="s">
        <v>2785</v>
      </c>
      <c r="C121" s="26" t="s">
        <v>2786</v>
      </c>
      <c r="D121" s="26" t="s">
        <v>179</v>
      </c>
      <c r="E121" s="26" t="s">
        <v>4039</v>
      </c>
      <c r="F121" s="26" t="s">
        <v>2473</v>
      </c>
      <c r="G121" s="26" t="s">
        <v>210</v>
      </c>
      <c r="H121" s="26" t="s">
        <v>1026</v>
      </c>
      <c r="I121" s="26" t="s">
        <v>184</v>
      </c>
      <c r="J121" s="26" t="s">
        <v>2448</v>
      </c>
      <c r="K121" s="26" t="s">
        <v>2405</v>
      </c>
      <c r="L121" s="26" t="s">
        <v>79</v>
      </c>
      <c r="M121" s="26" t="s">
        <v>77</v>
      </c>
      <c r="N121" s="26">
        <v>25</v>
      </c>
      <c r="O121" s="26">
        <v>6</v>
      </c>
      <c r="P121" s="26">
        <v>19</v>
      </c>
      <c r="Q121" s="26">
        <v>0</v>
      </c>
      <c r="R121" s="26">
        <v>1</v>
      </c>
      <c r="S121" s="26">
        <v>7</v>
      </c>
      <c r="T121" s="26">
        <v>3</v>
      </c>
      <c r="U121" s="26">
        <v>11</v>
      </c>
      <c r="V121" s="26">
        <v>1</v>
      </c>
    </row>
    <row r="122" spans="1:22" x14ac:dyDescent="0.25">
      <c r="A122" s="26" t="s">
        <v>2400</v>
      </c>
      <c r="B122" s="26" t="s">
        <v>2787</v>
      </c>
      <c r="C122" s="26" t="s">
        <v>2788</v>
      </c>
      <c r="D122" s="26" t="s">
        <v>179</v>
      </c>
      <c r="E122" s="26" t="s">
        <v>2789</v>
      </c>
      <c r="F122" s="26" t="s">
        <v>2790</v>
      </c>
      <c r="G122" s="26" t="s">
        <v>210</v>
      </c>
      <c r="H122" s="26" t="s">
        <v>756</v>
      </c>
      <c r="I122" s="26" t="s">
        <v>184</v>
      </c>
      <c r="J122" s="26" t="s">
        <v>2448</v>
      </c>
      <c r="K122" s="26" t="s">
        <v>2405</v>
      </c>
      <c r="L122" s="26" t="s">
        <v>79</v>
      </c>
      <c r="M122" s="26" t="s">
        <v>77</v>
      </c>
      <c r="N122" s="26">
        <v>54</v>
      </c>
      <c r="O122" s="26">
        <v>43</v>
      </c>
      <c r="P122" s="26">
        <v>11</v>
      </c>
      <c r="Q122" s="26">
        <v>0</v>
      </c>
      <c r="R122" s="26">
        <v>1</v>
      </c>
      <c r="S122" s="26">
        <v>10</v>
      </c>
      <c r="T122" s="26">
        <v>4</v>
      </c>
      <c r="U122" s="26">
        <v>15</v>
      </c>
      <c r="V122" s="26">
        <v>1</v>
      </c>
    </row>
    <row r="123" spans="1:22" x14ac:dyDescent="0.25">
      <c r="A123" s="26" t="s">
        <v>2400</v>
      </c>
      <c r="B123" s="26" t="s">
        <v>2791</v>
      </c>
      <c r="C123" s="26" t="s">
        <v>2792</v>
      </c>
      <c r="D123" s="26" t="s">
        <v>179</v>
      </c>
      <c r="E123" s="26" t="s">
        <v>2793</v>
      </c>
      <c r="F123" s="26" t="s">
        <v>2794</v>
      </c>
      <c r="G123" s="26" t="s">
        <v>210</v>
      </c>
      <c r="H123" s="26" t="s">
        <v>926</v>
      </c>
      <c r="I123" s="26" t="s">
        <v>184</v>
      </c>
      <c r="J123" s="26" t="s">
        <v>2448</v>
      </c>
      <c r="K123" s="26" t="s">
        <v>2405</v>
      </c>
      <c r="L123" s="26" t="s">
        <v>79</v>
      </c>
      <c r="M123" s="26" t="s">
        <v>77</v>
      </c>
      <c r="N123" s="26">
        <v>80</v>
      </c>
      <c r="O123" s="26">
        <v>47</v>
      </c>
      <c r="P123" s="26">
        <v>33</v>
      </c>
      <c r="Q123" s="26">
        <v>0</v>
      </c>
      <c r="R123" s="26">
        <v>1</v>
      </c>
      <c r="S123" s="26">
        <v>9</v>
      </c>
      <c r="T123" s="26">
        <v>4</v>
      </c>
      <c r="U123" s="26">
        <v>14</v>
      </c>
      <c r="V123" s="26">
        <v>1</v>
      </c>
    </row>
    <row r="124" spans="1:22" x14ac:dyDescent="0.25">
      <c r="A124" s="26" t="s">
        <v>2400</v>
      </c>
      <c r="B124" s="26" t="s">
        <v>2795</v>
      </c>
      <c r="C124" s="26" t="s">
        <v>2796</v>
      </c>
      <c r="D124" s="26" t="s">
        <v>179</v>
      </c>
      <c r="E124" s="26" t="s">
        <v>2797</v>
      </c>
      <c r="F124" s="26" t="s">
        <v>1295</v>
      </c>
      <c r="G124" s="26" t="s">
        <v>210</v>
      </c>
      <c r="H124" s="26" t="s">
        <v>756</v>
      </c>
      <c r="I124" s="26" t="s">
        <v>184</v>
      </c>
      <c r="J124" s="26" t="s">
        <v>2448</v>
      </c>
      <c r="K124" s="26" t="s">
        <v>2405</v>
      </c>
      <c r="L124" s="26" t="s">
        <v>79</v>
      </c>
      <c r="M124" s="26" t="s">
        <v>77</v>
      </c>
      <c r="N124" s="26">
        <v>46</v>
      </c>
      <c r="O124" s="26">
        <v>27</v>
      </c>
      <c r="P124" s="26">
        <v>19</v>
      </c>
      <c r="Q124" s="26">
        <v>0</v>
      </c>
      <c r="R124" s="26">
        <v>1</v>
      </c>
      <c r="S124" s="26">
        <v>10</v>
      </c>
      <c r="T124" s="26">
        <v>4</v>
      </c>
      <c r="U124" s="26">
        <v>15</v>
      </c>
      <c r="V124" s="26">
        <v>1</v>
      </c>
    </row>
    <row r="125" spans="1:22" x14ac:dyDescent="0.25">
      <c r="A125" s="26" t="s">
        <v>2400</v>
      </c>
      <c r="B125" s="26" t="s">
        <v>2798</v>
      </c>
      <c r="C125" s="26" t="s">
        <v>2799</v>
      </c>
      <c r="D125" s="26" t="s">
        <v>179</v>
      </c>
      <c r="E125" s="26" t="s">
        <v>4040</v>
      </c>
      <c r="F125" s="26" t="s">
        <v>598</v>
      </c>
      <c r="G125" s="26" t="s">
        <v>4126</v>
      </c>
      <c r="H125" s="26" t="s">
        <v>321</v>
      </c>
      <c r="I125" s="26" t="s">
        <v>184</v>
      </c>
      <c r="J125" s="26" t="s">
        <v>2411</v>
      </c>
      <c r="K125" s="26" t="s">
        <v>2405</v>
      </c>
      <c r="L125" s="26" t="s">
        <v>79</v>
      </c>
      <c r="M125" s="26" t="s">
        <v>77</v>
      </c>
      <c r="N125" s="26">
        <v>34</v>
      </c>
      <c r="O125" s="26">
        <v>21</v>
      </c>
      <c r="P125" s="26">
        <v>13</v>
      </c>
      <c r="Q125" s="26">
        <v>0</v>
      </c>
      <c r="R125" s="26">
        <v>1</v>
      </c>
      <c r="S125" s="26">
        <v>7</v>
      </c>
      <c r="T125" s="26">
        <v>4</v>
      </c>
      <c r="U125" s="26">
        <v>12</v>
      </c>
      <c r="V125" s="26">
        <v>1</v>
      </c>
    </row>
    <row r="126" spans="1:22" x14ac:dyDescent="0.25">
      <c r="A126" s="26" t="s">
        <v>2400</v>
      </c>
      <c r="B126" s="26" t="s">
        <v>2800</v>
      </c>
      <c r="C126" s="26" t="s">
        <v>2801</v>
      </c>
      <c r="D126" s="26" t="s">
        <v>179</v>
      </c>
      <c r="E126" s="26" t="s">
        <v>4041</v>
      </c>
      <c r="F126" s="26" t="s">
        <v>956</v>
      </c>
      <c r="G126" s="26" t="s">
        <v>4126</v>
      </c>
      <c r="H126" s="26" t="s">
        <v>526</v>
      </c>
      <c r="I126" s="26" t="s">
        <v>184</v>
      </c>
      <c r="J126" s="26" t="s">
        <v>2411</v>
      </c>
      <c r="K126" s="26" t="s">
        <v>2405</v>
      </c>
      <c r="L126" s="26" t="s">
        <v>79</v>
      </c>
      <c r="M126" s="26" t="s">
        <v>77</v>
      </c>
      <c r="N126" s="26">
        <v>66</v>
      </c>
      <c r="O126" s="26">
        <v>49</v>
      </c>
      <c r="P126" s="26">
        <v>17</v>
      </c>
      <c r="Q126" s="26">
        <v>0</v>
      </c>
      <c r="R126" s="26">
        <v>1</v>
      </c>
      <c r="S126" s="26">
        <v>10</v>
      </c>
      <c r="T126" s="26">
        <v>2</v>
      </c>
      <c r="U126" s="26">
        <v>13</v>
      </c>
      <c r="V126" s="26">
        <v>1</v>
      </c>
    </row>
    <row r="127" spans="1:22" x14ac:dyDescent="0.25">
      <c r="A127" s="26" t="s">
        <v>2400</v>
      </c>
      <c r="B127" s="26" t="s">
        <v>2802</v>
      </c>
      <c r="C127" s="26" t="s">
        <v>2803</v>
      </c>
      <c r="D127" s="26" t="s">
        <v>179</v>
      </c>
      <c r="E127" s="26" t="s">
        <v>2804</v>
      </c>
      <c r="F127" s="26" t="s">
        <v>412</v>
      </c>
      <c r="G127" s="26" t="s">
        <v>413</v>
      </c>
      <c r="H127" s="26" t="s">
        <v>1026</v>
      </c>
      <c r="I127" s="26" t="s">
        <v>184</v>
      </c>
      <c r="J127" s="26" t="s">
        <v>2509</v>
      </c>
      <c r="K127" s="26" t="s">
        <v>2405</v>
      </c>
      <c r="L127" s="26" t="s">
        <v>79</v>
      </c>
      <c r="M127" s="26" t="s">
        <v>77</v>
      </c>
      <c r="N127" s="26">
        <v>90</v>
      </c>
      <c r="O127" s="26">
        <v>58</v>
      </c>
      <c r="P127" s="26">
        <v>32</v>
      </c>
      <c r="Q127" s="26">
        <v>0</v>
      </c>
      <c r="R127" s="26">
        <v>1</v>
      </c>
      <c r="S127" s="26">
        <v>7</v>
      </c>
      <c r="T127" s="26">
        <v>3</v>
      </c>
      <c r="U127" s="26">
        <v>11</v>
      </c>
      <c r="V127" s="26">
        <v>1</v>
      </c>
    </row>
    <row r="128" spans="1:22" x14ac:dyDescent="0.25">
      <c r="A128" s="26" t="s">
        <v>2400</v>
      </c>
      <c r="B128" s="26" t="s">
        <v>2805</v>
      </c>
      <c r="C128" s="26" t="s">
        <v>2806</v>
      </c>
      <c r="D128" s="26" t="s">
        <v>179</v>
      </c>
      <c r="E128" s="26" t="s">
        <v>2807</v>
      </c>
      <c r="F128" s="26" t="s">
        <v>2808</v>
      </c>
      <c r="G128" s="26" t="s">
        <v>413</v>
      </c>
      <c r="H128" s="26" t="s">
        <v>321</v>
      </c>
      <c r="I128" s="26" t="s">
        <v>184</v>
      </c>
      <c r="J128" s="26" t="s">
        <v>2509</v>
      </c>
      <c r="K128" s="26" t="s">
        <v>2405</v>
      </c>
      <c r="L128" s="26" t="s">
        <v>79</v>
      </c>
      <c r="M128" s="26" t="s">
        <v>77</v>
      </c>
      <c r="N128" s="26">
        <v>70</v>
      </c>
      <c r="O128" s="26">
        <v>45</v>
      </c>
      <c r="P128" s="26">
        <v>25</v>
      </c>
      <c r="Q128" s="26">
        <v>0</v>
      </c>
      <c r="R128" s="26">
        <v>1</v>
      </c>
      <c r="S128" s="26">
        <v>5</v>
      </c>
      <c r="T128" s="26">
        <v>3</v>
      </c>
      <c r="U128" s="26">
        <v>9</v>
      </c>
      <c r="V128" s="26">
        <v>1</v>
      </c>
    </row>
    <row r="129" spans="1:22" x14ac:dyDescent="0.25">
      <c r="A129" s="26" t="s">
        <v>2400</v>
      </c>
      <c r="B129" s="26" t="s">
        <v>2809</v>
      </c>
      <c r="C129" s="26" t="s">
        <v>2810</v>
      </c>
      <c r="D129" s="26" t="s">
        <v>2408</v>
      </c>
      <c r="E129" s="26" t="s">
        <v>4042</v>
      </c>
      <c r="F129" s="26" t="s">
        <v>2808</v>
      </c>
      <c r="G129" s="26" t="s">
        <v>413</v>
      </c>
      <c r="H129" s="26" t="s">
        <v>321</v>
      </c>
      <c r="I129" s="26" t="s">
        <v>184</v>
      </c>
      <c r="J129" s="26" t="s">
        <v>2509</v>
      </c>
      <c r="K129" s="26" t="s">
        <v>2405</v>
      </c>
      <c r="L129" s="26" t="s">
        <v>79</v>
      </c>
      <c r="M129" s="26" t="s">
        <v>77</v>
      </c>
      <c r="N129" s="26">
        <v>35</v>
      </c>
      <c r="O129" s="26">
        <v>29</v>
      </c>
      <c r="P129" s="26">
        <v>6</v>
      </c>
      <c r="Q129" s="26">
        <v>0</v>
      </c>
      <c r="R129" s="26">
        <v>1</v>
      </c>
      <c r="S129" s="26">
        <v>4</v>
      </c>
      <c r="T129" s="26">
        <v>1</v>
      </c>
      <c r="U129" s="26">
        <v>6</v>
      </c>
      <c r="V129" s="26">
        <v>1</v>
      </c>
    </row>
    <row r="130" spans="1:22" x14ac:dyDescent="0.25">
      <c r="A130" s="26" t="s">
        <v>2400</v>
      </c>
      <c r="B130" s="26" t="s">
        <v>2811</v>
      </c>
      <c r="C130" s="26" t="s">
        <v>2812</v>
      </c>
      <c r="D130" s="26" t="s">
        <v>2408</v>
      </c>
      <c r="E130" s="26" t="s">
        <v>4043</v>
      </c>
      <c r="F130" s="26" t="s">
        <v>379</v>
      </c>
      <c r="G130" s="26" t="s">
        <v>4126</v>
      </c>
      <c r="H130" s="26" t="s">
        <v>523</v>
      </c>
      <c r="I130" s="26" t="s">
        <v>184</v>
      </c>
      <c r="J130" s="26" t="s">
        <v>2411</v>
      </c>
      <c r="K130" s="26" t="s">
        <v>2405</v>
      </c>
      <c r="L130" s="26" t="s">
        <v>79</v>
      </c>
      <c r="M130" s="26" t="s">
        <v>77</v>
      </c>
      <c r="N130" s="26">
        <v>51</v>
      </c>
      <c r="O130" s="26">
        <v>40</v>
      </c>
      <c r="P130" s="26">
        <v>11</v>
      </c>
      <c r="Q130" s="26">
        <v>0</v>
      </c>
      <c r="R130" s="26">
        <v>1</v>
      </c>
      <c r="S130" s="26">
        <v>5</v>
      </c>
      <c r="T130" s="26">
        <v>2</v>
      </c>
      <c r="U130" s="26">
        <v>8</v>
      </c>
      <c r="V130" s="26">
        <v>1</v>
      </c>
    </row>
    <row r="131" spans="1:22" x14ac:dyDescent="0.25">
      <c r="A131" s="26" t="s">
        <v>2400</v>
      </c>
      <c r="B131" s="26" t="s">
        <v>2813</v>
      </c>
      <c r="C131" s="26" t="s">
        <v>2814</v>
      </c>
      <c r="D131" s="26" t="s">
        <v>179</v>
      </c>
      <c r="E131" s="26" t="s">
        <v>2815</v>
      </c>
      <c r="F131" s="26" t="s">
        <v>2808</v>
      </c>
      <c r="G131" s="26" t="s">
        <v>413</v>
      </c>
      <c r="H131" s="26" t="s">
        <v>321</v>
      </c>
      <c r="I131" s="26" t="s">
        <v>184</v>
      </c>
      <c r="J131" s="26" t="s">
        <v>2509</v>
      </c>
      <c r="K131" s="26" t="s">
        <v>2405</v>
      </c>
      <c r="L131" s="26" t="s">
        <v>79</v>
      </c>
      <c r="M131" s="26" t="s">
        <v>77</v>
      </c>
      <c r="N131" s="26">
        <v>54</v>
      </c>
      <c r="O131" s="26">
        <v>37</v>
      </c>
      <c r="P131" s="26">
        <v>17</v>
      </c>
      <c r="Q131" s="26">
        <v>0</v>
      </c>
      <c r="R131" s="26">
        <v>1</v>
      </c>
      <c r="S131" s="26">
        <v>5</v>
      </c>
      <c r="T131" s="26">
        <v>3</v>
      </c>
      <c r="U131" s="26">
        <v>9</v>
      </c>
      <c r="V131" s="26">
        <v>1</v>
      </c>
    </row>
    <row r="132" spans="1:22" x14ac:dyDescent="0.25">
      <c r="A132" s="26" t="s">
        <v>2400</v>
      </c>
      <c r="B132" s="26" t="s">
        <v>2816</v>
      </c>
      <c r="C132" s="26" t="s">
        <v>2817</v>
      </c>
      <c r="D132" s="26" t="s">
        <v>2408</v>
      </c>
      <c r="E132" s="26" t="s">
        <v>2818</v>
      </c>
      <c r="F132" s="26" t="s">
        <v>220</v>
      </c>
      <c r="G132" s="26" t="s">
        <v>4126</v>
      </c>
      <c r="H132" s="26" t="s">
        <v>523</v>
      </c>
      <c r="I132" s="26" t="s">
        <v>184</v>
      </c>
      <c r="J132" s="26" t="s">
        <v>2411</v>
      </c>
      <c r="K132" s="26" t="s">
        <v>2405</v>
      </c>
      <c r="L132" s="26" t="s">
        <v>79</v>
      </c>
      <c r="M132" s="26" t="s">
        <v>77</v>
      </c>
      <c r="N132" s="26">
        <v>35</v>
      </c>
      <c r="O132" s="26">
        <v>21</v>
      </c>
      <c r="P132" s="26">
        <v>14</v>
      </c>
      <c r="Q132" s="26">
        <v>0</v>
      </c>
      <c r="R132" s="26">
        <v>1</v>
      </c>
      <c r="S132" s="26">
        <v>7</v>
      </c>
      <c r="T132" s="26">
        <v>2</v>
      </c>
      <c r="U132" s="26">
        <v>10</v>
      </c>
      <c r="V132" s="26">
        <v>1</v>
      </c>
    </row>
    <row r="133" spans="1:22" x14ac:dyDescent="0.25">
      <c r="A133" s="26" t="s">
        <v>2400</v>
      </c>
      <c r="B133" s="26" t="s">
        <v>2819</v>
      </c>
      <c r="C133" s="26" t="s">
        <v>2820</v>
      </c>
      <c r="D133" s="26" t="s">
        <v>179</v>
      </c>
      <c r="E133" s="26" t="s">
        <v>2821</v>
      </c>
      <c r="F133" s="26" t="s">
        <v>2822</v>
      </c>
      <c r="G133" s="26" t="s">
        <v>487</v>
      </c>
      <c r="H133" s="26" t="s">
        <v>351</v>
      </c>
      <c r="I133" s="26" t="s">
        <v>184</v>
      </c>
      <c r="J133" s="26" t="s">
        <v>2404</v>
      </c>
      <c r="K133" s="26" t="s">
        <v>2405</v>
      </c>
      <c r="L133" s="26" t="s">
        <v>79</v>
      </c>
      <c r="M133" s="26" t="s">
        <v>77</v>
      </c>
      <c r="N133" s="26">
        <v>100</v>
      </c>
      <c r="O133" s="26">
        <v>56</v>
      </c>
      <c r="P133" s="26">
        <v>44</v>
      </c>
      <c r="Q133" s="26">
        <v>0</v>
      </c>
      <c r="R133" s="26">
        <v>1</v>
      </c>
      <c r="S133" s="26">
        <v>7</v>
      </c>
      <c r="T133" s="26">
        <v>3</v>
      </c>
      <c r="U133" s="26">
        <v>11</v>
      </c>
      <c r="V133" s="26">
        <v>1</v>
      </c>
    </row>
    <row r="134" spans="1:22" x14ac:dyDescent="0.25">
      <c r="A134" s="26" t="s">
        <v>2400</v>
      </c>
      <c r="B134" s="26" t="s">
        <v>2823</v>
      </c>
      <c r="C134" s="26" t="s">
        <v>2824</v>
      </c>
      <c r="D134" s="26" t="s">
        <v>2408</v>
      </c>
      <c r="E134" s="26" t="s">
        <v>4044</v>
      </c>
      <c r="F134" s="26" t="s">
        <v>1086</v>
      </c>
      <c r="G134" s="26" t="s">
        <v>487</v>
      </c>
      <c r="H134" s="26" t="s">
        <v>643</v>
      </c>
      <c r="I134" s="26" t="s">
        <v>184</v>
      </c>
      <c r="J134" s="26" t="s">
        <v>2404</v>
      </c>
      <c r="K134" s="26" t="s">
        <v>2405</v>
      </c>
      <c r="L134" s="26" t="s">
        <v>79</v>
      </c>
      <c r="M134" s="26" t="s">
        <v>77</v>
      </c>
      <c r="N134" s="26">
        <v>64</v>
      </c>
      <c r="O134" s="26">
        <v>44</v>
      </c>
      <c r="P134" s="26">
        <v>20</v>
      </c>
      <c r="Q134" s="26">
        <v>0</v>
      </c>
      <c r="R134" s="26">
        <v>1</v>
      </c>
      <c r="S134" s="26">
        <v>7</v>
      </c>
      <c r="T134" s="26">
        <v>2</v>
      </c>
      <c r="U134" s="26">
        <v>10</v>
      </c>
      <c r="V134" s="26">
        <v>1</v>
      </c>
    </row>
    <row r="135" spans="1:22" x14ac:dyDescent="0.25">
      <c r="A135" s="26" t="s">
        <v>2400</v>
      </c>
      <c r="B135" s="26" t="s">
        <v>2825</v>
      </c>
      <c r="C135" s="26" t="s">
        <v>2826</v>
      </c>
      <c r="D135" s="26" t="s">
        <v>179</v>
      </c>
      <c r="E135" s="26" t="s">
        <v>4044</v>
      </c>
      <c r="F135" s="26" t="s">
        <v>1086</v>
      </c>
      <c r="G135" s="26" t="s">
        <v>487</v>
      </c>
      <c r="H135" s="26" t="s">
        <v>643</v>
      </c>
      <c r="I135" s="26" t="s">
        <v>184</v>
      </c>
      <c r="J135" s="26" t="s">
        <v>2404</v>
      </c>
      <c r="K135" s="26" t="s">
        <v>2405</v>
      </c>
      <c r="L135" s="26" t="s">
        <v>79</v>
      </c>
      <c r="M135" s="26" t="s">
        <v>77</v>
      </c>
      <c r="N135" s="26">
        <v>116</v>
      </c>
      <c r="O135" s="26">
        <v>83</v>
      </c>
      <c r="P135" s="26">
        <v>33</v>
      </c>
      <c r="Q135" s="26">
        <v>0</v>
      </c>
      <c r="R135" s="26">
        <v>1</v>
      </c>
      <c r="S135" s="26">
        <v>9</v>
      </c>
      <c r="T135" s="26">
        <v>1</v>
      </c>
      <c r="U135" s="26">
        <v>11</v>
      </c>
      <c r="V135" s="26">
        <v>1</v>
      </c>
    </row>
    <row r="136" spans="1:22" x14ac:dyDescent="0.25">
      <c r="A136" s="26" t="s">
        <v>2400</v>
      </c>
      <c r="B136" s="26" t="s">
        <v>2827</v>
      </c>
      <c r="C136" s="26" t="s">
        <v>2828</v>
      </c>
      <c r="D136" s="26" t="s">
        <v>179</v>
      </c>
      <c r="E136" s="26" t="s">
        <v>4045</v>
      </c>
      <c r="F136" s="26" t="s">
        <v>317</v>
      </c>
      <c r="G136" s="26" t="s">
        <v>191</v>
      </c>
      <c r="H136" s="26" t="s">
        <v>594</v>
      </c>
      <c r="I136" s="26" t="s">
        <v>184</v>
      </c>
      <c r="J136" s="26" t="s">
        <v>2565</v>
      </c>
      <c r="K136" s="26" t="s">
        <v>2405</v>
      </c>
      <c r="L136" s="26" t="s">
        <v>79</v>
      </c>
      <c r="M136" s="26" t="s">
        <v>77</v>
      </c>
      <c r="N136" s="26">
        <v>64</v>
      </c>
      <c r="O136" s="26">
        <v>38</v>
      </c>
      <c r="P136" s="26">
        <v>26</v>
      </c>
      <c r="Q136" s="26">
        <v>0</v>
      </c>
      <c r="R136" s="26">
        <v>1</v>
      </c>
      <c r="S136" s="26">
        <v>7</v>
      </c>
      <c r="T136" s="26">
        <v>3</v>
      </c>
      <c r="U136" s="26">
        <v>11</v>
      </c>
      <c r="V136" s="26">
        <v>1</v>
      </c>
    </row>
    <row r="137" spans="1:22" x14ac:dyDescent="0.25">
      <c r="A137" s="26" t="s">
        <v>2400</v>
      </c>
      <c r="B137" s="26" t="s">
        <v>2829</v>
      </c>
      <c r="C137" s="26" t="s">
        <v>2830</v>
      </c>
      <c r="D137" s="26" t="s">
        <v>2408</v>
      </c>
      <c r="E137" s="26" t="s">
        <v>2831</v>
      </c>
      <c r="F137" s="26" t="s">
        <v>2832</v>
      </c>
      <c r="G137" s="26" t="s">
        <v>191</v>
      </c>
      <c r="H137" s="26" t="s">
        <v>294</v>
      </c>
      <c r="I137" s="26" t="s">
        <v>184</v>
      </c>
      <c r="J137" s="26" t="s">
        <v>2565</v>
      </c>
      <c r="K137" s="26" t="s">
        <v>2405</v>
      </c>
      <c r="L137" s="26" t="s">
        <v>79</v>
      </c>
      <c r="M137" s="26" t="s">
        <v>77</v>
      </c>
      <c r="N137" s="26">
        <v>38</v>
      </c>
      <c r="O137" s="26">
        <v>24</v>
      </c>
      <c r="P137" s="26">
        <v>14</v>
      </c>
      <c r="Q137" s="26">
        <v>0</v>
      </c>
      <c r="R137" s="26">
        <v>1</v>
      </c>
      <c r="S137" s="26">
        <v>5</v>
      </c>
      <c r="T137" s="26">
        <v>3</v>
      </c>
      <c r="U137" s="26">
        <v>9</v>
      </c>
      <c r="V137" s="26">
        <v>1</v>
      </c>
    </row>
    <row r="138" spans="1:22" x14ac:dyDescent="0.25">
      <c r="A138" s="26" t="s">
        <v>2400</v>
      </c>
      <c r="B138" s="26" t="s">
        <v>2833</v>
      </c>
      <c r="C138" s="26" t="s">
        <v>2834</v>
      </c>
      <c r="D138" s="26" t="s">
        <v>179</v>
      </c>
      <c r="E138" s="26" t="s">
        <v>2835</v>
      </c>
      <c r="F138" s="26" t="s">
        <v>555</v>
      </c>
      <c r="G138" s="26" t="s">
        <v>191</v>
      </c>
      <c r="H138" s="26" t="s">
        <v>301</v>
      </c>
      <c r="I138" s="26" t="s">
        <v>184</v>
      </c>
      <c r="J138" s="26" t="s">
        <v>2565</v>
      </c>
      <c r="K138" s="26" t="s">
        <v>2405</v>
      </c>
      <c r="L138" s="26" t="s">
        <v>79</v>
      </c>
      <c r="M138" s="26" t="s">
        <v>77</v>
      </c>
      <c r="N138" s="26">
        <v>94</v>
      </c>
      <c r="O138" s="26">
        <v>54</v>
      </c>
      <c r="P138" s="26">
        <v>40</v>
      </c>
      <c r="Q138" s="26">
        <v>0</v>
      </c>
      <c r="R138" s="26">
        <v>1</v>
      </c>
      <c r="S138" s="26">
        <v>8</v>
      </c>
      <c r="T138" s="26">
        <v>3</v>
      </c>
      <c r="U138" s="26">
        <v>12</v>
      </c>
      <c r="V138" s="26">
        <v>1</v>
      </c>
    </row>
    <row r="139" spans="1:22" x14ac:dyDescent="0.25">
      <c r="A139" s="26" t="s">
        <v>2400</v>
      </c>
      <c r="B139" s="26" t="s">
        <v>2836</v>
      </c>
      <c r="C139" s="26" t="s">
        <v>2837</v>
      </c>
      <c r="D139" s="26" t="s">
        <v>179</v>
      </c>
      <c r="E139" s="26" t="s">
        <v>2838</v>
      </c>
      <c r="F139" s="26" t="s">
        <v>2839</v>
      </c>
      <c r="G139" s="26" t="s">
        <v>191</v>
      </c>
      <c r="H139" s="26" t="s">
        <v>1026</v>
      </c>
      <c r="I139" s="26" t="s">
        <v>184</v>
      </c>
      <c r="J139" s="26" t="s">
        <v>2565</v>
      </c>
      <c r="K139" s="26" t="s">
        <v>2405</v>
      </c>
      <c r="L139" s="26" t="s">
        <v>79</v>
      </c>
      <c r="M139" s="26" t="s">
        <v>77</v>
      </c>
      <c r="N139" s="26">
        <v>47</v>
      </c>
      <c r="O139" s="26">
        <v>36</v>
      </c>
      <c r="P139" s="26">
        <v>11</v>
      </c>
      <c r="Q139" s="26">
        <v>0</v>
      </c>
      <c r="R139" s="26">
        <v>1</v>
      </c>
      <c r="S139" s="26">
        <v>8</v>
      </c>
      <c r="T139" s="26">
        <v>2</v>
      </c>
      <c r="U139" s="26">
        <v>11</v>
      </c>
      <c r="V139" s="26">
        <v>1</v>
      </c>
    </row>
    <row r="140" spans="1:22" x14ac:dyDescent="0.25">
      <c r="A140" s="26" t="s">
        <v>2400</v>
      </c>
      <c r="B140" s="26" t="s">
        <v>2840</v>
      </c>
      <c r="C140" s="26" t="s">
        <v>2841</v>
      </c>
      <c r="D140" s="26" t="s">
        <v>2408</v>
      </c>
      <c r="E140" s="26" t="s">
        <v>2842</v>
      </c>
      <c r="F140" s="26" t="s">
        <v>197</v>
      </c>
      <c r="G140" s="26" t="s">
        <v>198</v>
      </c>
      <c r="H140" s="26" t="s">
        <v>294</v>
      </c>
      <c r="I140" s="26" t="s">
        <v>184</v>
      </c>
      <c r="J140" s="26" t="s">
        <v>2404</v>
      </c>
      <c r="K140" s="26" t="s">
        <v>2405</v>
      </c>
      <c r="L140" s="26" t="s">
        <v>79</v>
      </c>
      <c r="M140" s="26" t="s">
        <v>77</v>
      </c>
      <c r="N140" s="26">
        <v>89</v>
      </c>
      <c r="O140" s="26">
        <v>45</v>
      </c>
      <c r="P140" s="26">
        <v>44</v>
      </c>
      <c r="Q140" s="26">
        <v>0</v>
      </c>
      <c r="R140" s="26">
        <v>1</v>
      </c>
      <c r="S140" s="26">
        <v>7</v>
      </c>
      <c r="T140" s="26">
        <v>2</v>
      </c>
      <c r="U140" s="26">
        <v>10</v>
      </c>
      <c r="V140" s="26">
        <v>1</v>
      </c>
    </row>
    <row r="141" spans="1:22" x14ac:dyDescent="0.25">
      <c r="A141" s="26" t="s">
        <v>2400</v>
      </c>
      <c r="B141" s="26" t="s">
        <v>2843</v>
      </c>
      <c r="C141" s="26" t="s">
        <v>2844</v>
      </c>
      <c r="D141" s="26" t="s">
        <v>179</v>
      </c>
      <c r="E141" s="26" t="s">
        <v>2845</v>
      </c>
      <c r="F141" s="26" t="s">
        <v>300</v>
      </c>
      <c r="G141" s="26" t="s">
        <v>198</v>
      </c>
      <c r="H141" s="26" t="s">
        <v>294</v>
      </c>
      <c r="I141" s="26" t="s">
        <v>184</v>
      </c>
      <c r="J141" s="26" t="s">
        <v>2404</v>
      </c>
      <c r="K141" s="26" t="s">
        <v>2405</v>
      </c>
      <c r="L141" s="26" t="s">
        <v>79</v>
      </c>
      <c r="M141" s="26" t="s">
        <v>77</v>
      </c>
      <c r="N141" s="26">
        <v>68</v>
      </c>
      <c r="O141" s="26">
        <v>47</v>
      </c>
      <c r="P141" s="26">
        <v>21</v>
      </c>
      <c r="Q141" s="26">
        <v>0</v>
      </c>
      <c r="R141" s="26">
        <v>1</v>
      </c>
      <c r="S141" s="26">
        <v>7</v>
      </c>
      <c r="T141" s="26">
        <v>2</v>
      </c>
      <c r="U141" s="26">
        <v>10</v>
      </c>
      <c r="V141" s="26">
        <v>1</v>
      </c>
    </row>
    <row r="142" spans="1:22" x14ac:dyDescent="0.25">
      <c r="A142" s="26" t="s">
        <v>2400</v>
      </c>
      <c r="B142" s="26" t="s">
        <v>2846</v>
      </c>
      <c r="C142" s="26" t="s">
        <v>2847</v>
      </c>
      <c r="D142" s="26" t="s">
        <v>179</v>
      </c>
      <c r="E142" s="26" t="s">
        <v>2848</v>
      </c>
      <c r="F142" s="26" t="s">
        <v>2849</v>
      </c>
      <c r="G142" s="26" t="s">
        <v>198</v>
      </c>
      <c r="H142" s="26" t="s">
        <v>594</v>
      </c>
      <c r="I142" s="26" t="s">
        <v>184</v>
      </c>
      <c r="J142" s="26" t="s">
        <v>2404</v>
      </c>
      <c r="K142" s="26" t="s">
        <v>2405</v>
      </c>
      <c r="L142" s="26" t="s">
        <v>79</v>
      </c>
      <c r="M142" s="26" t="s">
        <v>77</v>
      </c>
      <c r="N142" s="26">
        <v>102</v>
      </c>
      <c r="O142" s="26">
        <v>69</v>
      </c>
      <c r="P142" s="26">
        <v>33</v>
      </c>
      <c r="Q142" s="26">
        <v>0</v>
      </c>
      <c r="R142" s="26">
        <v>1</v>
      </c>
      <c r="S142" s="26">
        <v>8</v>
      </c>
      <c r="T142" s="26">
        <v>2</v>
      </c>
      <c r="U142" s="26">
        <v>11</v>
      </c>
      <c r="V142" s="26">
        <v>1</v>
      </c>
    </row>
    <row r="143" spans="1:22" x14ac:dyDescent="0.25">
      <c r="A143" s="26" t="s">
        <v>2400</v>
      </c>
      <c r="B143" s="26" t="s">
        <v>2850</v>
      </c>
      <c r="C143" s="26" t="s">
        <v>2851</v>
      </c>
      <c r="D143" s="26" t="s">
        <v>179</v>
      </c>
      <c r="E143" s="26" t="s">
        <v>4046</v>
      </c>
      <c r="F143" s="26" t="s">
        <v>394</v>
      </c>
      <c r="G143" s="26" t="s">
        <v>198</v>
      </c>
      <c r="H143" s="26" t="s">
        <v>301</v>
      </c>
      <c r="I143" s="26" t="s">
        <v>184</v>
      </c>
      <c r="J143" s="26" t="s">
        <v>2404</v>
      </c>
      <c r="K143" s="26" t="s">
        <v>2405</v>
      </c>
      <c r="L143" s="26" t="s">
        <v>79</v>
      </c>
      <c r="M143" s="26" t="s">
        <v>77</v>
      </c>
      <c r="N143" s="26">
        <v>62</v>
      </c>
      <c r="O143" s="26">
        <v>40</v>
      </c>
      <c r="P143" s="26">
        <v>22</v>
      </c>
      <c r="Q143" s="26">
        <v>0</v>
      </c>
      <c r="R143" s="26">
        <v>1</v>
      </c>
      <c r="S143" s="26">
        <v>8</v>
      </c>
      <c r="T143" s="26">
        <v>3</v>
      </c>
      <c r="U143" s="26">
        <v>12</v>
      </c>
      <c r="V143" s="26">
        <v>1</v>
      </c>
    </row>
    <row r="144" spans="1:22" x14ac:dyDescent="0.25">
      <c r="A144" s="26" t="s">
        <v>2400</v>
      </c>
      <c r="B144" s="26" t="s">
        <v>2852</v>
      </c>
      <c r="C144" s="26" t="s">
        <v>2853</v>
      </c>
      <c r="D144" s="26" t="s">
        <v>179</v>
      </c>
      <c r="E144" s="26" t="s">
        <v>2854</v>
      </c>
      <c r="F144" s="26" t="s">
        <v>1480</v>
      </c>
      <c r="G144" s="26" t="s">
        <v>226</v>
      </c>
      <c r="H144" s="26" t="s">
        <v>594</v>
      </c>
      <c r="I144" s="26" t="s">
        <v>184</v>
      </c>
      <c r="J144" s="26" t="s">
        <v>2509</v>
      </c>
      <c r="K144" s="26" t="s">
        <v>2405</v>
      </c>
      <c r="L144" s="26" t="s">
        <v>79</v>
      </c>
      <c r="M144" s="26" t="s">
        <v>77</v>
      </c>
      <c r="N144" s="26">
        <v>128</v>
      </c>
      <c r="O144" s="26">
        <v>82</v>
      </c>
      <c r="P144" s="26">
        <v>46</v>
      </c>
      <c r="Q144" s="26">
        <v>0</v>
      </c>
      <c r="R144" s="26">
        <v>1</v>
      </c>
      <c r="S144" s="26">
        <v>6</v>
      </c>
      <c r="T144" s="26">
        <v>4</v>
      </c>
      <c r="U144" s="26">
        <v>11</v>
      </c>
      <c r="V144" s="26">
        <v>1</v>
      </c>
    </row>
    <row r="145" spans="1:22" x14ac:dyDescent="0.25">
      <c r="A145" s="26" t="s">
        <v>2400</v>
      </c>
      <c r="B145" s="26" t="s">
        <v>2855</v>
      </c>
      <c r="C145" s="26" t="s">
        <v>2856</v>
      </c>
      <c r="D145" s="26" t="s">
        <v>179</v>
      </c>
      <c r="E145" s="26" t="s">
        <v>2857</v>
      </c>
      <c r="F145" s="26" t="s">
        <v>2858</v>
      </c>
      <c r="G145" s="26" t="s">
        <v>226</v>
      </c>
      <c r="H145" s="26" t="s">
        <v>594</v>
      </c>
      <c r="I145" s="26" t="s">
        <v>184</v>
      </c>
      <c r="J145" s="26" t="s">
        <v>2509</v>
      </c>
      <c r="K145" s="26" t="s">
        <v>2405</v>
      </c>
      <c r="L145" s="26" t="s">
        <v>79</v>
      </c>
      <c r="M145" s="26" t="s">
        <v>77</v>
      </c>
      <c r="N145" s="26">
        <v>76</v>
      </c>
      <c r="O145" s="26">
        <v>53</v>
      </c>
      <c r="P145" s="26">
        <v>23</v>
      </c>
      <c r="Q145" s="26">
        <v>0</v>
      </c>
      <c r="R145" s="26">
        <v>1</v>
      </c>
      <c r="S145" s="26">
        <v>8</v>
      </c>
      <c r="T145" s="26">
        <v>4</v>
      </c>
      <c r="U145" s="26">
        <v>13</v>
      </c>
      <c r="V145" s="26">
        <v>1</v>
      </c>
    </row>
    <row r="146" spans="1:22" x14ac:dyDescent="0.25">
      <c r="A146" s="26" t="s">
        <v>2400</v>
      </c>
      <c r="B146" s="26" t="s">
        <v>2859</v>
      </c>
      <c r="C146" s="26" t="s">
        <v>2860</v>
      </c>
      <c r="D146" s="26" t="s">
        <v>2408</v>
      </c>
      <c r="E146" s="26" t="s">
        <v>1331</v>
      </c>
      <c r="F146" s="26" t="s">
        <v>2858</v>
      </c>
      <c r="G146" s="26" t="s">
        <v>226</v>
      </c>
      <c r="H146" s="26" t="s">
        <v>594</v>
      </c>
      <c r="I146" s="26" t="s">
        <v>184</v>
      </c>
      <c r="J146" s="26" t="s">
        <v>2509</v>
      </c>
      <c r="K146" s="26" t="s">
        <v>2405</v>
      </c>
      <c r="L146" s="26" t="s">
        <v>79</v>
      </c>
      <c r="M146" s="26" t="s">
        <v>77</v>
      </c>
      <c r="N146" s="26">
        <v>84</v>
      </c>
      <c r="O146" s="26">
        <v>50</v>
      </c>
      <c r="P146" s="26">
        <v>34</v>
      </c>
      <c r="Q146" s="26">
        <v>0</v>
      </c>
      <c r="R146" s="26">
        <v>1</v>
      </c>
      <c r="S146" s="26">
        <v>8</v>
      </c>
      <c r="T146" s="26">
        <v>2</v>
      </c>
      <c r="U146" s="26">
        <v>11</v>
      </c>
      <c r="V146" s="26">
        <v>1</v>
      </c>
    </row>
    <row r="147" spans="1:22" x14ac:dyDescent="0.25">
      <c r="A147" s="26" t="s">
        <v>2400</v>
      </c>
      <c r="B147" s="26" t="s">
        <v>2861</v>
      </c>
      <c r="C147" s="26" t="s">
        <v>2862</v>
      </c>
      <c r="D147" s="26" t="s">
        <v>2408</v>
      </c>
      <c r="E147" s="26" t="s">
        <v>2863</v>
      </c>
      <c r="F147" s="26" t="s">
        <v>2628</v>
      </c>
      <c r="G147" s="26" t="s">
        <v>226</v>
      </c>
      <c r="H147" s="26" t="s">
        <v>301</v>
      </c>
      <c r="I147" s="26" t="s">
        <v>184</v>
      </c>
      <c r="J147" s="26" t="s">
        <v>2509</v>
      </c>
      <c r="K147" s="26" t="s">
        <v>2405</v>
      </c>
      <c r="L147" s="26" t="s">
        <v>79</v>
      </c>
      <c r="M147" s="26" t="s">
        <v>77</v>
      </c>
      <c r="N147" s="26">
        <v>51</v>
      </c>
      <c r="O147" s="26">
        <v>35</v>
      </c>
      <c r="P147" s="26">
        <v>16</v>
      </c>
      <c r="Q147" s="26">
        <v>0</v>
      </c>
      <c r="R147" s="26">
        <v>1</v>
      </c>
      <c r="S147" s="26">
        <v>8</v>
      </c>
      <c r="T147" s="26">
        <v>2</v>
      </c>
      <c r="U147" s="26">
        <v>11</v>
      </c>
      <c r="V147" s="26">
        <v>1</v>
      </c>
    </row>
    <row r="148" spans="1:22" x14ac:dyDescent="0.25">
      <c r="A148" s="26" t="s">
        <v>2400</v>
      </c>
      <c r="B148" s="26" t="s">
        <v>2864</v>
      </c>
      <c r="C148" s="26" t="s">
        <v>2865</v>
      </c>
      <c r="D148" s="26" t="s">
        <v>179</v>
      </c>
      <c r="E148" s="26" t="s">
        <v>2866</v>
      </c>
      <c r="F148" s="26" t="s">
        <v>862</v>
      </c>
      <c r="G148" s="26" t="s">
        <v>226</v>
      </c>
      <c r="H148" s="26" t="s">
        <v>926</v>
      </c>
      <c r="I148" s="26" t="s">
        <v>184</v>
      </c>
      <c r="J148" s="26" t="s">
        <v>2509</v>
      </c>
      <c r="K148" s="26" t="s">
        <v>2405</v>
      </c>
      <c r="L148" s="26" t="s">
        <v>79</v>
      </c>
      <c r="M148" s="26" t="s">
        <v>77</v>
      </c>
      <c r="N148" s="26">
        <v>111</v>
      </c>
      <c r="O148" s="26">
        <v>78</v>
      </c>
      <c r="P148" s="26">
        <v>33</v>
      </c>
      <c r="Q148" s="26">
        <v>0</v>
      </c>
      <c r="R148" s="26">
        <v>1</v>
      </c>
      <c r="S148" s="26">
        <v>7</v>
      </c>
      <c r="T148" s="26">
        <v>4</v>
      </c>
      <c r="U148" s="26">
        <v>12</v>
      </c>
      <c r="V148" s="26">
        <v>1</v>
      </c>
    </row>
    <row r="149" spans="1:22" x14ac:dyDescent="0.25">
      <c r="A149" s="26" t="s">
        <v>2400</v>
      </c>
      <c r="B149" s="26" t="s">
        <v>2867</v>
      </c>
      <c r="C149" s="26" t="s">
        <v>2868</v>
      </c>
      <c r="D149" s="26" t="s">
        <v>179</v>
      </c>
      <c r="E149" s="26" t="s">
        <v>2869</v>
      </c>
      <c r="F149" s="26" t="s">
        <v>1385</v>
      </c>
      <c r="G149" s="26" t="s">
        <v>226</v>
      </c>
      <c r="H149" s="26" t="s">
        <v>294</v>
      </c>
      <c r="I149" s="26" t="s">
        <v>184</v>
      </c>
      <c r="J149" s="26" t="s">
        <v>2509</v>
      </c>
      <c r="K149" s="26" t="s">
        <v>2405</v>
      </c>
      <c r="L149" s="26" t="s">
        <v>79</v>
      </c>
      <c r="M149" s="26" t="s">
        <v>77</v>
      </c>
      <c r="N149" s="26">
        <v>113</v>
      </c>
      <c r="O149" s="26">
        <v>80</v>
      </c>
      <c r="P149" s="26">
        <v>33</v>
      </c>
      <c r="Q149" s="26">
        <v>0</v>
      </c>
      <c r="R149" s="26">
        <v>1</v>
      </c>
      <c r="S149" s="26">
        <v>8</v>
      </c>
      <c r="T149" s="26">
        <v>2</v>
      </c>
      <c r="U149" s="26">
        <v>11</v>
      </c>
      <c r="V149" s="26">
        <v>1</v>
      </c>
    </row>
    <row r="150" spans="1:22" x14ac:dyDescent="0.25">
      <c r="A150" s="26" t="s">
        <v>2400</v>
      </c>
      <c r="B150" s="26" t="s">
        <v>2870</v>
      </c>
      <c r="C150" s="26" t="s">
        <v>2871</v>
      </c>
      <c r="D150" s="26" t="s">
        <v>179</v>
      </c>
      <c r="E150" s="26" t="s">
        <v>2872</v>
      </c>
      <c r="F150" s="26" t="s">
        <v>2873</v>
      </c>
      <c r="G150" s="26" t="s">
        <v>226</v>
      </c>
      <c r="H150" s="26" t="s">
        <v>351</v>
      </c>
      <c r="I150" s="26" t="s">
        <v>184</v>
      </c>
      <c r="J150" s="26" t="s">
        <v>2509</v>
      </c>
      <c r="K150" s="26" t="s">
        <v>2405</v>
      </c>
      <c r="L150" s="26" t="s">
        <v>79</v>
      </c>
      <c r="M150" s="26" t="s">
        <v>77</v>
      </c>
      <c r="N150" s="26">
        <v>83</v>
      </c>
      <c r="O150" s="26">
        <v>55</v>
      </c>
      <c r="P150" s="26">
        <v>28</v>
      </c>
      <c r="Q150" s="26">
        <v>0</v>
      </c>
      <c r="R150" s="26">
        <v>1</v>
      </c>
      <c r="S150" s="26">
        <v>5</v>
      </c>
      <c r="T150" s="26">
        <v>4</v>
      </c>
      <c r="U150" s="26">
        <v>10</v>
      </c>
      <c r="V150" s="26">
        <v>1</v>
      </c>
    </row>
    <row r="151" spans="1:22" x14ac:dyDescent="0.25">
      <c r="A151" s="26" t="s">
        <v>2400</v>
      </c>
      <c r="B151" s="26" t="s">
        <v>2874</v>
      </c>
      <c r="C151" s="26" t="s">
        <v>2875</v>
      </c>
      <c r="D151" s="26" t="s">
        <v>179</v>
      </c>
      <c r="E151" s="26" t="s">
        <v>2876</v>
      </c>
      <c r="F151" s="26" t="s">
        <v>2877</v>
      </c>
      <c r="G151" s="26" t="s">
        <v>226</v>
      </c>
      <c r="H151" s="26" t="s">
        <v>351</v>
      </c>
      <c r="I151" s="26" t="s">
        <v>184</v>
      </c>
      <c r="J151" s="26" t="s">
        <v>2509</v>
      </c>
      <c r="K151" s="26" t="s">
        <v>2405</v>
      </c>
      <c r="L151" s="26" t="s">
        <v>79</v>
      </c>
      <c r="M151" s="26" t="s">
        <v>77</v>
      </c>
      <c r="N151" s="26">
        <v>79</v>
      </c>
      <c r="O151" s="26">
        <v>55</v>
      </c>
      <c r="P151" s="26">
        <v>24</v>
      </c>
      <c r="Q151" s="26">
        <v>0</v>
      </c>
      <c r="R151" s="26">
        <v>1</v>
      </c>
      <c r="S151" s="26">
        <v>7</v>
      </c>
      <c r="T151" s="26">
        <v>1</v>
      </c>
      <c r="U151" s="26">
        <v>9</v>
      </c>
      <c r="V151" s="26">
        <v>1</v>
      </c>
    </row>
    <row r="152" spans="1:22" x14ac:dyDescent="0.25">
      <c r="A152" s="26" t="s">
        <v>2400</v>
      </c>
      <c r="B152" s="26" t="s">
        <v>2878</v>
      </c>
      <c r="C152" s="26" t="s">
        <v>2879</v>
      </c>
      <c r="D152" s="26" t="s">
        <v>179</v>
      </c>
      <c r="E152" s="26" t="s">
        <v>2880</v>
      </c>
      <c r="F152" s="26" t="s">
        <v>247</v>
      </c>
      <c r="G152" s="26" t="s">
        <v>198</v>
      </c>
      <c r="H152" s="26" t="s">
        <v>294</v>
      </c>
      <c r="I152" s="26" t="s">
        <v>184</v>
      </c>
      <c r="J152" s="26" t="s">
        <v>2404</v>
      </c>
      <c r="K152" s="26" t="s">
        <v>2405</v>
      </c>
      <c r="L152" s="26" t="s">
        <v>79</v>
      </c>
      <c r="M152" s="26" t="s">
        <v>77</v>
      </c>
      <c r="N152" s="26">
        <v>91</v>
      </c>
      <c r="O152" s="26">
        <v>56</v>
      </c>
      <c r="P152" s="26">
        <v>35</v>
      </c>
      <c r="Q152" s="26">
        <v>0</v>
      </c>
      <c r="R152" s="26">
        <v>1</v>
      </c>
      <c r="S152" s="26">
        <v>7</v>
      </c>
      <c r="T152" s="26">
        <v>2</v>
      </c>
      <c r="U152" s="26">
        <v>10</v>
      </c>
      <c r="V152" s="26">
        <v>1</v>
      </c>
    </row>
    <row r="153" spans="1:22" x14ac:dyDescent="0.25">
      <c r="A153" s="26" t="s">
        <v>2400</v>
      </c>
      <c r="B153" s="26" t="s">
        <v>2881</v>
      </c>
      <c r="C153" s="26" t="s">
        <v>2882</v>
      </c>
      <c r="D153" s="26" t="s">
        <v>179</v>
      </c>
      <c r="E153" s="26" t="s">
        <v>4046</v>
      </c>
      <c r="F153" s="26" t="s">
        <v>394</v>
      </c>
      <c r="G153" s="26" t="s">
        <v>198</v>
      </c>
      <c r="H153" s="26" t="s">
        <v>594</v>
      </c>
      <c r="I153" s="26" t="s">
        <v>184</v>
      </c>
      <c r="J153" s="26" t="s">
        <v>2404</v>
      </c>
      <c r="K153" s="26" t="s">
        <v>2405</v>
      </c>
      <c r="L153" s="26" t="s">
        <v>79</v>
      </c>
      <c r="M153" s="26" t="s">
        <v>77</v>
      </c>
      <c r="N153" s="26">
        <v>64</v>
      </c>
      <c r="O153" s="26">
        <v>41</v>
      </c>
      <c r="P153" s="26">
        <v>23</v>
      </c>
      <c r="Q153" s="26">
        <v>0</v>
      </c>
      <c r="R153" s="26">
        <v>1</v>
      </c>
      <c r="S153" s="26">
        <v>8</v>
      </c>
      <c r="T153" s="26">
        <v>2</v>
      </c>
      <c r="U153" s="26">
        <v>11</v>
      </c>
      <c r="V153" s="26">
        <v>1</v>
      </c>
    </row>
    <row r="154" spans="1:22" x14ac:dyDescent="0.25">
      <c r="A154" s="26" t="s">
        <v>2400</v>
      </c>
      <c r="B154" s="26" t="s">
        <v>2883</v>
      </c>
      <c r="C154" s="26" t="s">
        <v>2884</v>
      </c>
      <c r="D154" s="26" t="s">
        <v>179</v>
      </c>
      <c r="E154" s="26" t="s">
        <v>4047</v>
      </c>
      <c r="F154" s="26" t="s">
        <v>2885</v>
      </c>
      <c r="G154" s="26" t="s">
        <v>198</v>
      </c>
      <c r="H154" s="26" t="s">
        <v>301</v>
      </c>
      <c r="I154" s="26" t="s">
        <v>184</v>
      </c>
      <c r="J154" s="26" t="s">
        <v>2404</v>
      </c>
      <c r="K154" s="26" t="s">
        <v>2405</v>
      </c>
      <c r="L154" s="26" t="s">
        <v>79</v>
      </c>
      <c r="M154" s="26" t="s">
        <v>77</v>
      </c>
      <c r="N154" s="26">
        <v>40</v>
      </c>
      <c r="O154" s="26">
        <v>25</v>
      </c>
      <c r="P154" s="26">
        <v>15</v>
      </c>
      <c r="Q154" s="26">
        <v>0</v>
      </c>
      <c r="R154" s="26">
        <v>1</v>
      </c>
      <c r="S154" s="26">
        <v>7</v>
      </c>
      <c r="T154" s="26">
        <v>3</v>
      </c>
      <c r="U154" s="26">
        <v>11</v>
      </c>
      <c r="V154" s="26">
        <v>1</v>
      </c>
    </row>
    <row r="155" spans="1:22" x14ac:dyDescent="0.25">
      <c r="A155" s="26" t="s">
        <v>2400</v>
      </c>
      <c r="B155" s="26" t="s">
        <v>2886</v>
      </c>
      <c r="C155" s="26" t="s">
        <v>2887</v>
      </c>
      <c r="D155" s="26" t="s">
        <v>179</v>
      </c>
      <c r="E155" s="26" t="s">
        <v>4048</v>
      </c>
      <c r="F155" s="26" t="s">
        <v>2888</v>
      </c>
      <c r="G155" s="26" t="s">
        <v>252</v>
      </c>
      <c r="H155" s="26" t="s">
        <v>756</v>
      </c>
      <c r="I155" s="26" t="s">
        <v>184</v>
      </c>
      <c r="J155" s="26" t="s">
        <v>2565</v>
      </c>
      <c r="K155" s="26" t="s">
        <v>2405</v>
      </c>
      <c r="L155" s="26" t="s">
        <v>79</v>
      </c>
      <c r="M155" s="26" t="s">
        <v>77</v>
      </c>
      <c r="N155" s="26">
        <v>43</v>
      </c>
      <c r="O155" s="26">
        <v>31</v>
      </c>
      <c r="P155" s="26">
        <v>12</v>
      </c>
      <c r="Q155" s="26">
        <v>0</v>
      </c>
      <c r="R155" s="26">
        <v>1</v>
      </c>
      <c r="S155" s="26">
        <v>5</v>
      </c>
      <c r="T155" s="26">
        <v>3</v>
      </c>
      <c r="U155" s="26">
        <v>9</v>
      </c>
      <c r="V155" s="26">
        <v>1</v>
      </c>
    </row>
    <row r="156" spans="1:22" x14ac:dyDescent="0.25">
      <c r="A156" s="26" t="s">
        <v>2400</v>
      </c>
      <c r="B156" s="26" t="s">
        <v>2889</v>
      </c>
      <c r="C156" s="26" t="s">
        <v>2890</v>
      </c>
      <c r="D156" s="26" t="s">
        <v>179</v>
      </c>
      <c r="E156" s="26" t="s">
        <v>2891</v>
      </c>
      <c r="F156" s="26" t="s">
        <v>1657</v>
      </c>
      <c r="G156" s="26" t="s">
        <v>651</v>
      </c>
      <c r="H156" s="26" t="s">
        <v>677</v>
      </c>
      <c r="I156" s="26" t="s">
        <v>184</v>
      </c>
      <c r="J156" s="26" t="s">
        <v>2565</v>
      </c>
      <c r="K156" s="26" t="s">
        <v>2405</v>
      </c>
      <c r="L156" s="26" t="s">
        <v>79</v>
      </c>
      <c r="M156" s="26" t="s">
        <v>77</v>
      </c>
      <c r="N156" s="26">
        <v>33</v>
      </c>
      <c r="O156" s="26">
        <v>25</v>
      </c>
      <c r="P156" s="26">
        <v>8</v>
      </c>
      <c r="Q156" s="26">
        <v>0</v>
      </c>
      <c r="R156" s="26">
        <v>1</v>
      </c>
      <c r="S156" s="26">
        <v>4</v>
      </c>
      <c r="T156" s="26">
        <v>2</v>
      </c>
      <c r="U156" s="26">
        <v>7</v>
      </c>
      <c r="V156" s="26">
        <v>1</v>
      </c>
    </row>
    <row r="157" spans="1:22" x14ac:dyDescent="0.25">
      <c r="A157" s="26" t="s">
        <v>2400</v>
      </c>
      <c r="B157" s="26" t="s">
        <v>2892</v>
      </c>
      <c r="C157" s="26" t="s">
        <v>2893</v>
      </c>
      <c r="D157" s="26" t="s">
        <v>2408</v>
      </c>
      <c r="E157" s="26" t="s">
        <v>2891</v>
      </c>
      <c r="F157" s="26" t="s">
        <v>1657</v>
      </c>
      <c r="G157" s="26" t="s">
        <v>651</v>
      </c>
      <c r="H157" s="26" t="s">
        <v>677</v>
      </c>
      <c r="I157" s="26" t="s">
        <v>184</v>
      </c>
      <c r="J157" s="26" t="s">
        <v>2565</v>
      </c>
      <c r="K157" s="26" t="s">
        <v>2405</v>
      </c>
      <c r="L157" s="26" t="s">
        <v>79</v>
      </c>
      <c r="M157" s="26" t="s">
        <v>77</v>
      </c>
      <c r="N157" s="26">
        <v>52</v>
      </c>
      <c r="O157" s="26">
        <v>33</v>
      </c>
      <c r="P157" s="26">
        <v>19</v>
      </c>
      <c r="Q157" s="26">
        <v>0</v>
      </c>
      <c r="R157" s="26">
        <v>1</v>
      </c>
      <c r="S157" s="26">
        <v>5</v>
      </c>
      <c r="T157" s="26">
        <v>2</v>
      </c>
      <c r="U157" s="26">
        <v>8</v>
      </c>
      <c r="V157" s="26">
        <v>1</v>
      </c>
    </row>
    <row r="158" spans="1:22" x14ac:dyDescent="0.25">
      <c r="A158" s="26" t="s">
        <v>2400</v>
      </c>
      <c r="B158" s="26" t="s">
        <v>2894</v>
      </c>
      <c r="C158" s="26" t="s">
        <v>2895</v>
      </c>
      <c r="D158" s="26" t="s">
        <v>179</v>
      </c>
      <c r="E158" s="26" t="s">
        <v>2896</v>
      </c>
      <c r="F158" s="26" t="s">
        <v>2897</v>
      </c>
      <c r="G158" s="26" t="s">
        <v>662</v>
      </c>
      <c r="H158" s="26" t="s">
        <v>687</v>
      </c>
      <c r="I158" s="26" t="s">
        <v>184</v>
      </c>
      <c r="J158" s="26" t="s">
        <v>2565</v>
      </c>
      <c r="K158" s="26" t="s">
        <v>2405</v>
      </c>
      <c r="L158" s="26" t="s">
        <v>79</v>
      </c>
      <c r="M158" s="26" t="s">
        <v>77</v>
      </c>
      <c r="N158" s="26">
        <v>37</v>
      </c>
      <c r="O158" s="26">
        <v>29</v>
      </c>
      <c r="P158" s="26">
        <v>8</v>
      </c>
      <c r="Q158" s="26">
        <v>0</v>
      </c>
      <c r="R158" s="26">
        <v>1</v>
      </c>
      <c r="S158" s="26">
        <v>4</v>
      </c>
      <c r="T158" s="26">
        <v>2</v>
      </c>
      <c r="U158" s="26">
        <v>7</v>
      </c>
      <c r="V158" s="26">
        <v>1</v>
      </c>
    </row>
    <row r="159" spans="1:22" x14ac:dyDescent="0.25">
      <c r="A159" s="26" t="s">
        <v>2400</v>
      </c>
      <c r="B159" s="26" t="s">
        <v>2898</v>
      </c>
      <c r="C159" s="26" t="s">
        <v>2899</v>
      </c>
      <c r="D159" s="26" t="s">
        <v>2408</v>
      </c>
      <c r="E159" s="26" t="s">
        <v>2896</v>
      </c>
      <c r="F159" s="26" t="s">
        <v>2897</v>
      </c>
      <c r="G159" s="26" t="s">
        <v>662</v>
      </c>
      <c r="H159" s="26" t="s">
        <v>687</v>
      </c>
      <c r="I159" s="26" t="s">
        <v>184</v>
      </c>
      <c r="J159" s="26" t="s">
        <v>2565</v>
      </c>
      <c r="K159" s="26" t="s">
        <v>2405</v>
      </c>
      <c r="L159" s="26" t="s">
        <v>79</v>
      </c>
      <c r="M159" s="26" t="s">
        <v>77</v>
      </c>
      <c r="N159" s="26">
        <v>57</v>
      </c>
      <c r="O159" s="26">
        <v>32</v>
      </c>
      <c r="P159" s="26">
        <v>25</v>
      </c>
      <c r="Q159" s="26">
        <v>0</v>
      </c>
      <c r="R159" s="26">
        <v>1</v>
      </c>
      <c r="S159" s="26">
        <v>6</v>
      </c>
      <c r="T159" s="26">
        <v>2</v>
      </c>
      <c r="U159" s="26">
        <v>9</v>
      </c>
      <c r="V159" s="26">
        <v>1</v>
      </c>
    </row>
    <row r="160" spans="1:22" x14ac:dyDescent="0.25">
      <c r="A160" s="26" t="s">
        <v>2400</v>
      </c>
      <c r="B160" s="26" t="s">
        <v>2900</v>
      </c>
      <c r="C160" s="26" t="s">
        <v>2901</v>
      </c>
      <c r="D160" s="26" t="s">
        <v>179</v>
      </c>
      <c r="E160" s="26" t="s">
        <v>2902</v>
      </c>
      <c r="F160" s="26" t="s">
        <v>2903</v>
      </c>
      <c r="G160" s="26" t="s">
        <v>252</v>
      </c>
      <c r="H160" s="26" t="s">
        <v>205</v>
      </c>
      <c r="I160" s="26" t="s">
        <v>184</v>
      </c>
      <c r="J160" s="26" t="s">
        <v>2565</v>
      </c>
      <c r="K160" s="26" t="s">
        <v>2405</v>
      </c>
      <c r="L160" s="26" t="s">
        <v>79</v>
      </c>
      <c r="M160" s="26" t="s">
        <v>77</v>
      </c>
      <c r="N160" s="26">
        <v>53</v>
      </c>
      <c r="O160" s="26">
        <v>34</v>
      </c>
      <c r="P160" s="26">
        <v>19</v>
      </c>
      <c r="Q160" s="26">
        <v>0</v>
      </c>
      <c r="R160" s="26">
        <v>1</v>
      </c>
      <c r="S160" s="26">
        <v>5</v>
      </c>
      <c r="T160" s="26">
        <v>3</v>
      </c>
      <c r="U160" s="26">
        <v>9</v>
      </c>
      <c r="V160" s="26">
        <v>1</v>
      </c>
    </row>
    <row r="161" spans="1:22" x14ac:dyDescent="0.25">
      <c r="A161" s="26" t="s">
        <v>2400</v>
      </c>
      <c r="B161" s="26" t="s">
        <v>2904</v>
      </c>
      <c r="C161" s="26" t="s">
        <v>2905</v>
      </c>
      <c r="D161" s="26" t="s">
        <v>2408</v>
      </c>
      <c r="E161" s="26" t="s">
        <v>2906</v>
      </c>
      <c r="F161" s="26" t="s">
        <v>2907</v>
      </c>
      <c r="G161" s="26" t="s">
        <v>252</v>
      </c>
      <c r="H161" s="26" t="s">
        <v>205</v>
      </c>
      <c r="I161" s="26" t="s">
        <v>184</v>
      </c>
      <c r="J161" s="26" t="s">
        <v>2565</v>
      </c>
      <c r="K161" s="26" t="s">
        <v>2405</v>
      </c>
      <c r="L161" s="26" t="s">
        <v>79</v>
      </c>
      <c r="M161" s="26" t="s">
        <v>77</v>
      </c>
      <c r="N161" s="26">
        <v>58</v>
      </c>
      <c r="O161" s="26">
        <v>34</v>
      </c>
      <c r="P161" s="26">
        <v>24</v>
      </c>
      <c r="Q161" s="26">
        <v>0</v>
      </c>
      <c r="R161" s="26">
        <v>1</v>
      </c>
      <c r="S161" s="26">
        <v>4</v>
      </c>
      <c r="T161" s="26">
        <v>2</v>
      </c>
      <c r="U161" s="26">
        <v>7</v>
      </c>
      <c r="V161" s="26">
        <v>1</v>
      </c>
    </row>
    <row r="162" spans="1:22" x14ac:dyDescent="0.25">
      <c r="A162" s="26" t="s">
        <v>2400</v>
      </c>
      <c r="B162" s="26" t="s">
        <v>2908</v>
      </c>
      <c r="C162" s="26" t="s">
        <v>2909</v>
      </c>
      <c r="D162" s="26" t="s">
        <v>179</v>
      </c>
      <c r="E162" s="26" t="s">
        <v>1637</v>
      </c>
      <c r="F162" s="26" t="s">
        <v>1438</v>
      </c>
      <c r="G162" s="26" t="s">
        <v>252</v>
      </c>
      <c r="H162" s="26" t="s">
        <v>523</v>
      </c>
      <c r="I162" s="26" t="s">
        <v>184</v>
      </c>
      <c r="J162" s="26" t="s">
        <v>2565</v>
      </c>
      <c r="K162" s="26" t="s">
        <v>2405</v>
      </c>
      <c r="L162" s="26" t="s">
        <v>79</v>
      </c>
      <c r="M162" s="26" t="s">
        <v>77</v>
      </c>
      <c r="N162" s="26">
        <v>71</v>
      </c>
      <c r="O162" s="26">
        <v>42</v>
      </c>
      <c r="P162" s="26">
        <v>29</v>
      </c>
      <c r="Q162" s="26">
        <v>0</v>
      </c>
      <c r="R162" s="26">
        <v>1</v>
      </c>
      <c r="S162" s="26">
        <v>7</v>
      </c>
      <c r="T162" s="26">
        <v>4</v>
      </c>
      <c r="U162" s="26">
        <v>12</v>
      </c>
      <c r="V162" s="26">
        <v>1</v>
      </c>
    </row>
    <row r="163" spans="1:22" x14ac:dyDescent="0.25">
      <c r="A163" s="26" t="s">
        <v>2400</v>
      </c>
      <c r="B163" s="26" t="s">
        <v>2910</v>
      </c>
      <c r="C163" s="26" t="s">
        <v>2911</v>
      </c>
      <c r="D163" s="26" t="s">
        <v>179</v>
      </c>
      <c r="E163" s="26" t="s">
        <v>2906</v>
      </c>
      <c r="F163" s="26" t="s">
        <v>2907</v>
      </c>
      <c r="G163" s="26" t="s">
        <v>252</v>
      </c>
      <c r="H163" s="26" t="s">
        <v>205</v>
      </c>
      <c r="I163" s="26" t="s">
        <v>184</v>
      </c>
      <c r="J163" s="26" t="s">
        <v>2565</v>
      </c>
      <c r="K163" s="26" t="s">
        <v>2405</v>
      </c>
      <c r="L163" s="26" t="s">
        <v>79</v>
      </c>
      <c r="M163" s="26" t="s">
        <v>77</v>
      </c>
      <c r="N163" s="26">
        <v>81</v>
      </c>
      <c r="O163" s="26">
        <v>57</v>
      </c>
      <c r="P163" s="26">
        <v>24</v>
      </c>
      <c r="Q163" s="26">
        <v>0</v>
      </c>
      <c r="R163" s="26">
        <v>1</v>
      </c>
      <c r="S163" s="26">
        <v>6</v>
      </c>
      <c r="T163" s="26">
        <v>3</v>
      </c>
      <c r="U163" s="26">
        <v>10</v>
      </c>
      <c r="V163" s="26">
        <v>1</v>
      </c>
    </row>
    <row r="164" spans="1:22" x14ac:dyDescent="0.25">
      <c r="A164" s="26" t="s">
        <v>2400</v>
      </c>
      <c r="B164" s="26" t="s">
        <v>2912</v>
      </c>
      <c r="C164" s="26" t="s">
        <v>2913</v>
      </c>
      <c r="D164" s="26" t="s">
        <v>179</v>
      </c>
      <c r="E164" s="26" t="s">
        <v>250</v>
      </c>
      <c r="F164" s="26" t="s">
        <v>2654</v>
      </c>
      <c r="G164" s="26" t="s">
        <v>252</v>
      </c>
      <c r="H164" s="26" t="s">
        <v>523</v>
      </c>
      <c r="I164" s="26" t="s">
        <v>184</v>
      </c>
      <c r="J164" s="26" t="s">
        <v>2565</v>
      </c>
      <c r="K164" s="26" t="s">
        <v>2405</v>
      </c>
      <c r="L164" s="26" t="s">
        <v>79</v>
      </c>
      <c r="M164" s="26" t="s">
        <v>77</v>
      </c>
      <c r="N164" s="26">
        <v>56</v>
      </c>
      <c r="O164" s="26">
        <v>39</v>
      </c>
      <c r="P164" s="26">
        <v>17</v>
      </c>
      <c r="Q164" s="26">
        <v>0</v>
      </c>
      <c r="R164" s="26">
        <v>1</v>
      </c>
      <c r="S164" s="26">
        <v>5</v>
      </c>
      <c r="T164" s="26">
        <v>3</v>
      </c>
      <c r="U164" s="26">
        <v>9</v>
      </c>
      <c r="V164" s="26">
        <v>1</v>
      </c>
    </row>
    <row r="165" spans="1:22" x14ac:dyDescent="0.25">
      <c r="A165" s="26" t="s">
        <v>2400</v>
      </c>
      <c r="B165" s="26" t="s">
        <v>2914</v>
      </c>
      <c r="C165" s="26" t="s">
        <v>2915</v>
      </c>
      <c r="D165" s="26" t="s">
        <v>2408</v>
      </c>
      <c r="E165" s="26" t="s">
        <v>4049</v>
      </c>
      <c r="F165" s="26" t="s">
        <v>1709</v>
      </c>
      <c r="G165" s="26" t="s">
        <v>252</v>
      </c>
      <c r="H165" s="26" t="s">
        <v>523</v>
      </c>
      <c r="I165" s="26" t="s">
        <v>184</v>
      </c>
      <c r="J165" s="26" t="s">
        <v>2565</v>
      </c>
      <c r="K165" s="26" t="s">
        <v>2405</v>
      </c>
      <c r="L165" s="26" t="s">
        <v>79</v>
      </c>
      <c r="M165" s="26" t="s">
        <v>77</v>
      </c>
      <c r="N165" s="26">
        <v>50</v>
      </c>
      <c r="O165" s="26">
        <v>31</v>
      </c>
      <c r="P165" s="26">
        <v>19</v>
      </c>
      <c r="Q165" s="26">
        <v>0</v>
      </c>
      <c r="R165" s="26">
        <v>1</v>
      </c>
      <c r="S165" s="26">
        <v>6</v>
      </c>
      <c r="T165" s="26">
        <v>3</v>
      </c>
      <c r="U165" s="26">
        <v>10</v>
      </c>
      <c r="V165" s="26">
        <v>1</v>
      </c>
    </row>
    <row r="166" spans="1:22" x14ac:dyDescent="0.25">
      <c r="A166" s="26" t="s">
        <v>2400</v>
      </c>
      <c r="B166" s="26" t="s">
        <v>2916</v>
      </c>
      <c r="C166" s="26" t="s">
        <v>2917</v>
      </c>
      <c r="D166" s="26" t="s">
        <v>179</v>
      </c>
      <c r="E166" s="26" t="s">
        <v>4050</v>
      </c>
      <c r="F166" s="26" t="s">
        <v>636</v>
      </c>
      <c r="G166" s="26" t="s">
        <v>637</v>
      </c>
      <c r="H166" s="26" t="s">
        <v>677</v>
      </c>
      <c r="I166" s="26" t="s">
        <v>184</v>
      </c>
      <c r="J166" s="26" t="s">
        <v>2404</v>
      </c>
      <c r="K166" s="26" t="s">
        <v>2405</v>
      </c>
      <c r="L166" s="26" t="s">
        <v>79</v>
      </c>
      <c r="M166" s="26" t="s">
        <v>77</v>
      </c>
      <c r="N166" s="26">
        <v>71</v>
      </c>
      <c r="O166" s="26">
        <v>42</v>
      </c>
      <c r="P166" s="26">
        <v>29</v>
      </c>
      <c r="Q166" s="26">
        <v>0</v>
      </c>
      <c r="R166" s="26">
        <v>1</v>
      </c>
      <c r="S166" s="26">
        <v>7</v>
      </c>
      <c r="T166" s="26">
        <v>2</v>
      </c>
      <c r="U166" s="26">
        <v>10</v>
      </c>
      <c r="V166" s="26">
        <v>1</v>
      </c>
    </row>
    <row r="167" spans="1:22" x14ac:dyDescent="0.25">
      <c r="A167" s="26" t="s">
        <v>2400</v>
      </c>
      <c r="B167" s="26" t="s">
        <v>2918</v>
      </c>
      <c r="C167" s="26" t="s">
        <v>2919</v>
      </c>
      <c r="D167" s="26" t="s">
        <v>179</v>
      </c>
      <c r="E167" s="26" t="s">
        <v>2920</v>
      </c>
      <c r="F167" s="26" t="s">
        <v>2921</v>
      </c>
      <c r="G167" s="26" t="s">
        <v>487</v>
      </c>
      <c r="H167" s="26" t="s">
        <v>926</v>
      </c>
      <c r="I167" s="26" t="s">
        <v>184</v>
      </c>
      <c r="J167" s="26" t="s">
        <v>2404</v>
      </c>
      <c r="K167" s="26" t="s">
        <v>2405</v>
      </c>
      <c r="L167" s="26" t="s">
        <v>79</v>
      </c>
      <c r="M167" s="26" t="s">
        <v>77</v>
      </c>
      <c r="N167" s="26">
        <v>79</v>
      </c>
      <c r="O167" s="26">
        <v>47</v>
      </c>
      <c r="P167" s="26">
        <v>32</v>
      </c>
      <c r="Q167" s="26">
        <v>0</v>
      </c>
      <c r="R167" s="26">
        <v>1</v>
      </c>
      <c r="S167" s="26">
        <v>7</v>
      </c>
      <c r="T167" s="26">
        <v>2</v>
      </c>
      <c r="U167" s="26">
        <v>10</v>
      </c>
      <c r="V167" s="26">
        <v>1</v>
      </c>
    </row>
    <row r="168" spans="1:22" x14ac:dyDescent="0.25">
      <c r="A168" s="26" t="s">
        <v>2400</v>
      </c>
      <c r="B168" s="26" t="s">
        <v>2922</v>
      </c>
      <c r="C168" s="26" t="s">
        <v>2923</v>
      </c>
      <c r="D168" s="26" t="s">
        <v>2408</v>
      </c>
      <c r="E168" s="26" t="s">
        <v>2920</v>
      </c>
      <c r="F168" s="26" t="s">
        <v>2921</v>
      </c>
      <c r="G168" s="26" t="s">
        <v>487</v>
      </c>
      <c r="H168" s="26" t="s">
        <v>926</v>
      </c>
      <c r="I168" s="26" t="s">
        <v>184</v>
      </c>
      <c r="J168" s="26" t="s">
        <v>2404</v>
      </c>
      <c r="K168" s="26" t="s">
        <v>2405</v>
      </c>
      <c r="L168" s="26" t="s">
        <v>79</v>
      </c>
      <c r="M168" s="26" t="s">
        <v>77</v>
      </c>
      <c r="N168" s="26">
        <v>44</v>
      </c>
      <c r="O168" s="26">
        <v>32</v>
      </c>
      <c r="P168" s="26">
        <v>12</v>
      </c>
      <c r="Q168" s="26">
        <v>0</v>
      </c>
      <c r="R168" s="26">
        <v>1</v>
      </c>
      <c r="S168" s="26">
        <v>5</v>
      </c>
      <c r="T168" s="26">
        <v>1</v>
      </c>
      <c r="U168" s="26">
        <v>7</v>
      </c>
      <c r="V168" s="26">
        <v>1</v>
      </c>
    </row>
    <row r="169" spans="1:22" x14ac:dyDescent="0.25">
      <c r="A169" s="26" t="s">
        <v>2400</v>
      </c>
      <c r="B169" s="26" t="s">
        <v>2924</v>
      </c>
      <c r="C169" s="26" t="s">
        <v>2925</v>
      </c>
      <c r="D169" s="26" t="s">
        <v>2408</v>
      </c>
      <c r="E169" s="26" t="s">
        <v>2926</v>
      </c>
      <c r="F169" s="26" t="s">
        <v>2927</v>
      </c>
      <c r="G169" s="26" t="s">
        <v>226</v>
      </c>
      <c r="H169" s="26" t="s">
        <v>294</v>
      </c>
      <c r="I169" s="26" t="s">
        <v>184</v>
      </c>
      <c r="J169" s="26" t="s">
        <v>2509</v>
      </c>
      <c r="K169" s="26" t="s">
        <v>2405</v>
      </c>
      <c r="L169" s="26" t="s">
        <v>79</v>
      </c>
      <c r="M169" s="26" t="s">
        <v>77</v>
      </c>
      <c r="N169" s="26">
        <v>83</v>
      </c>
      <c r="O169" s="26">
        <v>49</v>
      </c>
      <c r="P169" s="26">
        <v>34</v>
      </c>
      <c r="Q169" s="26">
        <v>0</v>
      </c>
      <c r="R169" s="26">
        <v>1</v>
      </c>
      <c r="S169" s="26">
        <v>7</v>
      </c>
      <c r="T169" s="26">
        <v>1</v>
      </c>
      <c r="U169" s="26">
        <v>9</v>
      </c>
      <c r="V169" s="26">
        <v>1</v>
      </c>
    </row>
    <row r="170" spans="1:22" x14ac:dyDescent="0.25">
      <c r="A170" s="26" t="s">
        <v>2400</v>
      </c>
      <c r="B170" s="26" t="s">
        <v>2928</v>
      </c>
      <c r="C170" s="26" t="s">
        <v>2929</v>
      </c>
      <c r="D170" s="26" t="s">
        <v>2408</v>
      </c>
      <c r="E170" s="26" t="s">
        <v>3698</v>
      </c>
      <c r="F170" s="26" t="s">
        <v>731</v>
      </c>
      <c r="G170" s="26" t="s">
        <v>198</v>
      </c>
      <c r="H170" s="26" t="s">
        <v>594</v>
      </c>
      <c r="I170" s="26" t="s">
        <v>184</v>
      </c>
      <c r="J170" s="26" t="s">
        <v>2404</v>
      </c>
      <c r="K170" s="26" t="s">
        <v>2405</v>
      </c>
      <c r="L170" s="26" t="s">
        <v>79</v>
      </c>
      <c r="M170" s="26" t="s">
        <v>77</v>
      </c>
      <c r="N170" s="26">
        <v>25</v>
      </c>
      <c r="O170" s="26">
        <v>18</v>
      </c>
      <c r="P170" s="26">
        <v>7</v>
      </c>
      <c r="Q170" s="26">
        <v>0</v>
      </c>
      <c r="R170" s="26">
        <v>1</v>
      </c>
      <c r="S170" s="26">
        <v>7</v>
      </c>
      <c r="T170" s="26">
        <v>1</v>
      </c>
      <c r="U170" s="26">
        <v>9</v>
      </c>
      <c r="V170" s="26">
        <v>1</v>
      </c>
    </row>
    <row r="171" spans="1:22" x14ac:dyDescent="0.25">
      <c r="A171" s="26" t="s">
        <v>2400</v>
      </c>
      <c r="B171" s="26" t="s">
        <v>2930</v>
      </c>
      <c r="C171" s="26" t="s">
        <v>2931</v>
      </c>
      <c r="D171" s="26" t="s">
        <v>179</v>
      </c>
      <c r="E171" s="26" t="s">
        <v>4051</v>
      </c>
      <c r="F171" s="26" t="s">
        <v>1824</v>
      </c>
      <c r="G171" s="26" t="s">
        <v>487</v>
      </c>
      <c r="H171" s="26" t="s">
        <v>926</v>
      </c>
      <c r="I171" s="26" t="s">
        <v>184</v>
      </c>
      <c r="J171" s="26" t="s">
        <v>2404</v>
      </c>
      <c r="K171" s="26" t="s">
        <v>2405</v>
      </c>
      <c r="L171" s="26" t="s">
        <v>79</v>
      </c>
      <c r="M171" s="26" t="s">
        <v>77</v>
      </c>
      <c r="N171" s="26">
        <v>126</v>
      </c>
      <c r="O171" s="26">
        <v>81</v>
      </c>
      <c r="P171" s="26">
        <v>45</v>
      </c>
      <c r="Q171" s="26">
        <v>0</v>
      </c>
      <c r="R171" s="26">
        <v>1</v>
      </c>
      <c r="S171" s="26">
        <v>8</v>
      </c>
      <c r="T171" s="26">
        <v>1</v>
      </c>
      <c r="U171" s="26">
        <v>10</v>
      </c>
      <c r="V171" s="26">
        <v>1</v>
      </c>
    </row>
    <row r="172" spans="1:22" x14ac:dyDescent="0.25">
      <c r="A172" s="26" t="s">
        <v>2400</v>
      </c>
      <c r="B172" s="26" t="s">
        <v>2932</v>
      </c>
      <c r="C172" s="26" t="s">
        <v>2933</v>
      </c>
      <c r="D172" s="26" t="s">
        <v>179</v>
      </c>
      <c r="E172" s="26" t="s">
        <v>2934</v>
      </c>
      <c r="F172" s="26" t="s">
        <v>2935</v>
      </c>
      <c r="G172" s="26" t="s">
        <v>191</v>
      </c>
      <c r="H172" s="26" t="s">
        <v>643</v>
      </c>
      <c r="I172" s="26" t="s">
        <v>184</v>
      </c>
      <c r="J172" s="26" t="s">
        <v>2565</v>
      </c>
      <c r="K172" s="26" t="s">
        <v>2405</v>
      </c>
      <c r="L172" s="26" t="s">
        <v>79</v>
      </c>
      <c r="M172" s="26" t="s">
        <v>77</v>
      </c>
      <c r="N172" s="26">
        <v>112</v>
      </c>
      <c r="O172" s="26">
        <v>70</v>
      </c>
      <c r="P172" s="26">
        <v>42</v>
      </c>
      <c r="Q172" s="26">
        <v>0</v>
      </c>
      <c r="R172" s="26">
        <v>1</v>
      </c>
      <c r="S172" s="26">
        <v>7</v>
      </c>
      <c r="T172" s="26">
        <v>3</v>
      </c>
      <c r="U172" s="26">
        <v>11</v>
      </c>
      <c r="V172" s="26">
        <v>1</v>
      </c>
    </row>
    <row r="173" spans="1:22" x14ac:dyDescent="0.25">
      <c r="A173" s="26" t="s">
        <v>2400</v>
      </c>
      <c r="B173" s="26" t="s">
        <v>2936</v>
      </c>
      <c r="C173" s="26" t="s">
        <v>2937</v>
      </c>
      <c r="D173" s="26" t="s">
        <v>179</v>
      </c>
      <c r="E173" s="26" t="s">
        <v>2938</v>
      </c>
      <c r="F173" s="26" t="s">
        <v>317</v>
      </c>
      <c r="G173" s="26" t="s">
        <v>637</v>
      </c>
      <c r="H173" s="26" t="s">
        <v>523</v>
      </c>
      <c r="I173" s="26" t="s">
        <v>184</v>
      </c>
      <c r="J173" s="26" t="s">
        <v>2404</v>
      </c>
      <c r="K173" s="26" t="s">
        <v>2405</v>
      </c>
      <c r="L173" s="26" t="s">
        <v>79</v>
      </c>
      <c r="M173" s="26" t="s">
        <v>77</v>
      </c>
      <c r="N173" s="26">
        <v>88</v>
      </c>
      <c r="O173" s="26">
        <v>59</v>
      </c>
      <c r="P173" s="26">
        <v>29</v>
      </c>
      <c r="Q173" s="26">
        <v>0</v>
      </c>
      <c r="R173" s="26">
        <v>1</v>
      </c>
      <c r="S173" s="26">
        <v>5</v>
      </c>
      <c r="T173" s="26">
        <v>2</v>
      </c>
      <c r="U173" s="26">
        <v>8</v>
      </c>
      <c r="V173" s="26">
        <v>1</v>
      </c>
    </row>
    <row r="174" spans="1:22" x14ac:dyDescent="0.25">
      <c r="A174" s="26" t="s">
        <v>2400</v>
      </c>
      <c r="B174" s="26" t="s">
        <v>2939</v>
      </c>
      <c r="C174" s="26" t="s">
        <v>2940</v>
      </c>
      <c r="D174" s="26" t="s">
        <v>2408</v>
      </c>
      <c r="E174" s="26" t="s">
        <v>2941</v>
      </c>
      <c r="F174" s="26" t="s">
        <v>2832</v>
      </c>
      <c r="G174" s="26" t="s">
        <v>191</v>
      </c>
      <c r="H174" s="26" t="s">
        <v>294</v>
      </c>
      <c r="I174" s="26" t="s">
        <v>184</v>
      </c>
      <c r="J174" s="26" t="s">
        <v>2565</v>
      </c>
      <c r="K174" s="26" t="s">
        <v>2405</v>
      </c>
      <c r="L174" s="26" t="s">
        <v>79</v>
      </c>
      <c r="M174" s="26" t="s">
        <v>77</v>
      </c>
      <c r="N174" s="26">
        <v>33</v>
      </c>
      <c r="O174" s="26">
        <v>19</v>
      </c>
      <c r="P174" s="26">
        <v>14</v>
      </c>
      <c r="Q174" s="26">
        <v>0</v>
      </c>
      <c r="R174" s="26">
        <v>1</v>
      </c>
      <c r="S174" s="26">
        <v>6</v>
      </c>
      <c r="T174" s="26">
        <v>2</v>
      </c>
      <c r="U174" s="26">
        <v>9</v>
      </c>
      <c r="V174" s="26">
        <v>1</v>
      </c>
    </row>
    <row r="175" spans="1:22" x14ac:dyDescent="0.25">
      <c r="A175" s="26" t="s">
        <v>2400</v>
      </c>
      <c r="B175" s="26" t="s">
        <v>2942</v>
      </c>
      <c r="C175" s="26" t="s">
        <v>2943</v>
      </c>
      <c r="D175" s="26" t="s">
        <v>179</v>
      </c>
      <c r="E175" s="26" t="s">
        <v>2831</v>
      </c>
      <c r="F175" s="26" t="s">
        <v>2832</v>
      </c>
      <c r="G175" s="26" t="s">
        <v>191</v>
      </c>
      <c r="H175" s="26" t="s">
        <v>294</v>
      </c>
      <c r="I175" s="26" t="s">
        <v>184</v>
      </c>
      <c r="J175" s="26" t="s">
        <v>2565</v>
      </c>
      <c r="K175" s="26" t="s">
        <v>2405</v>
      </c>
      <c r="L175" s="26" t="s">
        <v>79</v>
      </c>
      <c r="M175" s="26" t="s">
        <v>77</v>
      </c>
      <c r="N175" s="26">
        <v>31</v>
      </c>
      <c r="O175" s="26">
        <v>22</v>
      </c>
      <c r="P175" s="26">
        <v>9</v>
      </c>
      <c r="Q175" s="26">
        <v>0</v>
      </c>
      <c r="R175" s="26">
        <v>1</v>
      </c>
      <c r="S175" s="26">
        <v>5</v>
      </c>
      <c r="T175" s="26">
        <v>4</v>
      </c>
      <c r="U175" s="26">
        <v>10</v>
      </c>
      <c r="V175" s="26">
        <v>1</v>
      </c>
    </row>
    <row r="176" spans="1:22" x14ac:dyDescent="0.25">
      <c r="A176" s="26" t="s">
        <v>2400</v>
      </c>
      <c r="B176" s="26" t="s">
        <v>2944</v>
      </c>
      <c r="C176" s="26" t="s">
        <v>2945</v>
      </c>
      <c r="D176" s="26" t="s">
        <v>179</v>
      </c>
      <c r="E176" s="26" t="s">
        <v>2946</v>
      </c>
      <c r="F176" s="26" t="s">
        <v>937</v>
      </c>
      <c r="G176" s="26" t="s">
        <v>487</v>
      </c>
      <c r="H176" s="26" t="s">
        <v>1693</v>
      </c>
      <c r="I176" s="26" t="s">
        <v>184</v>
      </c>
      <c r="J176" s="26" t="s">
        <v>2404</v>
      </c>
      <c r="K176" s="26" t="s">
        <v>2405</v>
      </c>
      <c r="L176" s="26" t="s">
        <v>79</v>
      </c>
      <c r="M176" s="26" t="s">
        <v>77</v>
      </c>
      <c r="N176" s="26">
        <v>95</v>
      </c>
      <c r="O176" s="26">
        <v>66</v>
      </c>
      <c r="P176" s="26">
        <v>29</v>
      </c>
      <c r="Q176" s="26">
        <v>0</v>
      </c>
      <c r="R176" s="26">
        <v>1</v>
      </c>
      <c r="S176" s="26">
        <v>7</v>
      </c>
      <c r="T176" s="26">
        <v>1</v>
      </c>
      <c r="U176" s="26">
        <v>9</v>
      </c>
      <c r="V176" s="26">
        <v>1</v>
      </c>
    </row>
    <row r="177" spans="1:22" x14ac:dyDescent="0.25">
      <c r="A177" s="26" t="s">
        <v>2400</v>
      </c>
      <c r="B177" s="26" t="s">
        <v>2947</v>
      </c>
      <c r="C177" s="26" t="s">
        <v>2948</v>
      </c>
      <c r="D177" s="26" t="s">
        <v>2408</v>
      </c>
      <c r="E177" s="26" t="s">
        <v>2568</v>
      </c>
      <c r="F177" s="26" t="s">
        <v>1579</v>
      </c>
      <c r="G177" s="26" t="s">
        <v>487</v>
      </c>
      <c r="H177" s="26" t="s">
        <v>687</v>
      </c>
      <c r="I177" s="26" t="s">
        <v>184</v>
      </c>
      <c r="J177" s="26" t="s">
        <v>2404</v>
      </c>
      <c r="K177" s="26" t="s">
        <v>2405</v>
      </c>
      <c r="L177" s="26" t="s">
        <v>79</v>
      </c>
      <c r="M177" s="26" t="s">
        <v>77</v>
      </c>
      <c r="N177" s="26">
        <v>52</v>
      </c>
      <c r="O177" s="26">
        <v>38</v>
      </c>
      <c r="P177" s="26">
        <v>14</v>
      </c>
      <c r="Q177" s="26">
        <v>0</v>
      </c>
      <c r="R177" s="26">
        <v>1</v>
      </c>
      <c r="S177" s="26">
        <v>8</v>
      </c>
      <c r="T177" s="26">
        <v>0</v>
      </c>
      <c r="U177" s="26">
        <v>9</v>
      </c>
      <c r="V177" s="26">
        <v>1</v>
      </c>
    </row>
    <row r="178" spans="1:22" x14ac:dyDescent="0.25">
      <c r="A178" s="26" t="s">
        <v>2400</v>
      </c>
      <c r="B178" s="26" t="s">
        <v>2949</v>
      </c>
      <c r="C178" s="26" t="s">
        <v>2950</v>
      </c>
      <c r="D178" s="26" t="s">
        <v>2408</v>
      </c>
      <c r="E178" s="26" t="s">
        <v>4052</v>
      </c>
      <c r="F178" s="26" t="s">
        <v>1888</v>
      </c>
      <c r="G178" s="26" t="s">
        <v>487</v>
      </c>
      <c r="H178" s="26" t="s">
        <v>351</v>
      </c>
      <c r="I178" s="26" t="s">
        <v>184</v>
      </c>
      <c r="J178" s="26" t="s">
        <v>2404</v>
      </c>
      <c r="K178" s="26" t="s">
        <v>2405</v>
      </c>
      <c r="L178" s="26" t="s">
        <v>79</v>
      </c>
      <c r="M178" s="26" t="s">
        <v>77</v>
      </c>
      <c r="N178" s="26">
        <v>49</v>
      </c>
      <c r="O178" s="26">
        <v>31</v>
      </c>
      <c r="P178" s="26">
        <v>18</v>
      </c>
      <c r="Q178" s="26">
        <v>0</v>
      </c>
      <c r="R178" s="26">
        <v>1</v>
      </c>
      <c r="S178" s="26">
        <v>4</v>
      </c>
      <c r="T178" s="26">
        <v>0</v>
      </c>
      <c r="U178" s="26">
        <v>5</v>
      </c>
      <c r="V178" s="26">
        <v>1</v>
      </c>
    </row>
    <row r="179" spans="1:22" x14ac:dyDescent="0.25">
      <c r="A179" s="26" t="s">
        <v>2400</v>
      </c>
      <c r="B179" s="26" t="s">
        <v>2951</v>
      </c>
      <c r="C179" s="26" t="s">
        <v>2952</v>
      </c>
      <c r="D179" s="26" t="s">
        <v>179</v>
      </c>
      <c r="E179" s="26" t="s">
        <v>2953</v>
      </c>
      <c r="F179" s="26" t="s">
        <v>1086</v>
      </c>
      <c r="G179" s="26" t="s">
        <v>487</v>
      </c>
      <c r="H179" s="26" t="s">
        <v>677</v>
      </c>
      <c r="I179" s="26" t="s">
        <v>184</v>
      </c>
      <c r="J179" s="26" t="s">
        <v>2404</v>
      </c>
      <c r="K179" s="26" t="s">
        <v>2405</v>
      </c>
      <c r="L179" s="26" t="s">
        <v>79</v>
      </c>
      <c r="M179" s="26" t="s">
        <v>77</v>
      </c>
      <c r="N179" s="26">
        <v>51</v>
      </c>
      <c r="O179" s="26">
        <v>31</v>
      </c>
      <c r="P179" s="26">
        <v>20</v>
      </c>
      <c r="Q179" s="26">
        <v>0</v>
      </c>
      <c r="R179" s="26">
        <v>1</v>
      </c>
      <c r="S179" s="26">
        <v>6</v>
      </c>
      <c r="T179" s="26">
        <v>2</v>
      </c>
      <c r="U179" s="26">
        <v>9</v>
      </c>
      <c r="V179" s="26">
        <v>1</v>
      </c>
    </row>
    <row r="180" spans="1:22" x14ac:dyDescent="0.25">
      <c r="A180" s="26" t="s">
        <v>2400</v>
      </c>
      <c r="B180" s="26" t="s">
        <v>2954</v>
      </c>
      <c r="C180" s="26" t="s">
        <v>2955</v>
      </c>
      <c r="D180" s="26" t="s">
        <v>2408</v>
      </c>
      <c r="E180" s="26" t="s">
        <v>2956</v>
      </c>
      <c r="F180" s="26" t="s">
        <v>2957</v>
      </c>
      <c r="G180" s="26" t="s">
        <v>210</v>
      </c>
      <c r="H180" s="26" t="s">
        <v>677</v>
      </c>
      <c r="I180" s="26" t="s">
        <v>184</v>
      </c>
      <c r="J180" s="26" t="s">
        <v>2448</v>
      </c>
      <c r="K180" s="26" t="s">
        <v>2405</v>
      </c>
      <c r="L180" s="26" t="s">
        <v>79</v>
      </c>
      <c r="M180" s="26" t="s">
        <v>77</v>
      </c>
      <c r="N180" s="26">
        <v>34</v>
      </c>
      <c r="O180" s="26">
        <v>22</v>
      </c>
      <c r="P180" s="26">
        <v>12</v>
      </c>
      <c r="Q180" s="26">
        <v>0</v>
      </c>
      <c r="R180" s="26">
        <v>1</v>
      </c>
      <c r="S180" s="26">
        <v>6</v>
      </c>
      <c r="T180" s="26">
        <v>3</v>
      </c>
      <c r="U180" s="26">
        <v>10</v>
      </c>
      <c r="V180" s="26">
        <v>1</v>
      </c>
    </row>
    <row r="181" spans="1:22" x14ac:dyDescent="0.25">
      <c r="A181" s="26" t="s">
        <v>2400</v>
      </c>
      <c r="B181" s="26" t="s">
        <v>2958</v>
      </c>
      <c r="C181" s="26" t="s">
        <v>2959</v>
      </c>
      <c r="D181" s="26" t="s">
        <v>179</v>
      </c>
      <c r="E181" s="26" t="s">
        <v>2726</v>
      </c>
      <c r="F181" s="26" t="s">
        <v>2727</v>
      </c>
      <c r="G181" s="26" t="s">
        <v>293</v>
      </c>
      <c r="H181" s="26" t="s">
        <v>677</v>
      </c>
      <c r="I181" s="26" t="s">
        <v>1259</v>
      </c>
      <c r="J181" s="26" t="s">
        <v>295</v>
      </c>
      <c r="K181" s="26" t="s">
        <v>296</v>
      </c>
      <c r="L181" s="26" t="s">
        <v>80</v>
      </c>
      <c r="M181" s="26" t="s">
        <v>77</v>
      </c>
      <c r="N181" s="26">
        <v>28</v>
      </c>
      <c r="O181" s="26">
        <v>14</v>
      </c>
      <c r="P181" s="26">
        <v>14</v>
      </c>
      <c r="Q181" s="26">
        <v>0</v>
      </c>
      <c r="R181" s="26">
        <v>1</v>
      </c>
      <c r="S181" s="26">
        <v>7</v>
      </c>
      <c r="T181" s="26">
        <v>2</v>
      </c>
      <c r="U181" s="26">
        <v>10</v>
      </c>
      <c r="V181" s="26">
        <v>1</v>
      </c>
    </row>
    <row r="182" spans="1:22" x14ac:dyDescent="0.25">
      <c r="A182" s="26" t="s">
        <v>2400</v>
      </c>
      <c r="B182" s="26" t="s">
        <v>2960</v>
      </c>
      <c r="C182" s="26" t="s">
        <v>2961</v>
      </c>
      <c r="D182" s="26" t="s">
        <v>2408</v>
      </c>
      <c r="E182" s="26" t="s">
        <v>4053</v>
      </c>
      <c r="F182" s="26" t="s">
        <v>745</v>
      </c>
      <c r="G182" s="26" t="s">
        <v>265</v>
      </c>
      <c r="H182" s="26" t="s">
        <v>594</v>
      </c>
      <c r="I182" s="26" t="s">
        <v>184</v>
      </c>
      <c r="J182" s="26" t="s">
        <v>2411</v>
      </c>
      <c r="K182" s="26" t="s">
        <v>2405</v>
      </c>
      <c r="L182" s="26" t="s">
        <v>79</v>
      </c>
      <c r="M182" s="26" t="s">
        <v>77</v>
      </c>
      <c r="N182" s="26">
        <v>19</v>
      </c>
      <c r="O182" s="26">
        <v>13</v>
      </c>
      <c r="P182" s="26">
        <v>6</v>
      </c>
      <c r="Q182" s="26">
        <v>0</v>
      </c>
      <c r="R182" s="26">
        <v>1</v>
      </c>
      <c r="S182" s="26">
        <v>3</v>
      </c>
      <c r="T182" s="26">
        <v>0</v>
      </c>
      <c r="U182" s="26">
        <v>4</v>
      </c>
      <c r="V182" s="26">
        <v>1</v>
      </c>
    </row>
    <row r="183" spans="1:22" x14ac:dyDescent="0.25">
      <c r="A183" s="26" t="s">
        <v>2400</v>
      </c>
      <c r="B183" s="26" t="s">
        <v>2962</v>
      </c>
      <c r="C183" s="26" t="s">
        <v>2963</v>
      </c>
      <c r="D183" s="26" t="s">
        <v>2408</v>
      </c>
      <c r="E183" s="26" t="s">
        <v>2964</v>
      </c>
      <c r="F183" s="26" t="s">
        <v>2436</v>
      </c>
      <c r="G183" s="26" t="s">
        <v>204</v>
      </c>
      <c r="H183" s="26" t="s">
        <v>1693</v>
      </c>
      <c r="I183" s="26" t="s">
        <v>184</v>
      </c>
      <c r="J183" s="26" t="s">
        <v>2411</v>
      </c>
      <c r="K183" s="26" t="s">
        <v>2405</v>
      </c>
      <c r="L183" s="26" t="s">
        <v>79</v>
      </c>
      <c r="M183" s="26" t="s">
        <v>77</v>
      </c>
      <c r="N183" s="26">
        <v>56</v>
      </c>
      <c r="O183" s="26">
        <v>43</v>
      </c>
      <c r="P183" s="26">
        <v>13</v>
      </c>
      <c r="Q183" s="26">
        <v>0</v>
      </c>
      <c r="R183" s="26">
        <v>1</v>
      </c>
      <c r="S183" s="26">
        <v>7</v>
      </c>
      <c r="T183" s="26">
        <v>3</v>
      </c>
      <c r="U183" s="26">
        <v>11</v>
      </c>
      <c r="V183" s="26">
        <v>1</v>
      </c>
    </row>
    <row r="184" spans="1:22" x14ac:dyDescent="0.25">
      <c r="A184" s="26" t="s">
        <v>2400</v>
      </c>
      <c r="B184" s="26" t="s">
        <v>2965</v>
      </c>
      <c r="C184" s="26" t="s">
        <v>2966</v>
      </c>
      <c r="D184" s="26" t="s">
        <v>179</v>
      </c>
      <c r="E184" s="26" t="s">
        <v>4054</v>
      </c>
      <c r="F184" s="26" t="s">
        <v>2967</v>
      </c>
      <c r="G184" s="26" t="s">
        <v>676</v>
      </c>
      <c r="H184" s="26" t="s">
        <v>1026</v>
      </c>
      <c r="I184" s="26" t="s">
        <v>184</v>
      </c>
      <c r="J184" s="26" t="s">
        <v>2404</v>
      </c>
      <c r="K184" s="26" t="s">
        <v>2405</v>
      </c>
      <c r="L184" s="26" t="s">
        <v>79</v>
      </c>
      <c r="M184" s="26" t="s">
        <v>77</v>
      </c>
      <c r="N184" s="26">
        <v>113</v>
      </c>
      <c r="O184" s="26">
        <v>75</v>
      </c>
      <c r="P184" s="26">
        <v>38</v>
      </c>
      <c r="Q184" s="26">
        <v>0</v>
      </c>
      <c r="R184" s="26">
        <v>1</v>
      </c>
      <c r="S184" s="26">
        <v>7</v>
      </c>
      <c r="T184" s="26">
        <v>4</v>
      </c>
      <c r="U184" s="26">
        <v>12</v>
      </c>
      <c r="V184" s="26">
        <v>1</v>
      </c>
    </row>
    <row r="185" spans="1:22" x14ac:dyDescent="0.25">
      <c r="A185" s="26" t="s">
        <v>2400</v>
      </c>
      <c r="B185" s="26" t="s">
        <v>2968</v>
      </c>
      <c r="C185" s="26" t="s">
        <v>2969</v>
      </c>
      <c r="D185" s="26" t="s">
        <v>179</v>
      </c>
      <c r="E185" s="26" t="s">
        <v>4055</v>
      </c>
      <c r="F185" s="26" t="s">
        <v>1586</v>
      </c>
      <c r="G185" s="26" t="s">
        <v>204</v>
      </c>
      <c r="H185" s="26" t="s">
        <v>687</v>
      </c>
      <c r="I185" s="26" t="s">
        <v>184</v>
      </c>
      <c r="J185" s="26" t="s">
        <v>2411</v>
      </c>
      <c r="K185" s="26" t="s">
        <v>2405</v>
      </c>
      <c r="L185" s="26" t="s">
        <v>79</v>
      </c>
      <c r="M185" s="26" t="s">
        <v>77</v>
      </c>
      <c r="N185" s="26">
        <v>91</v>
      </c>
      <c r="O185" s="26">
        <v>57</v>
      </c>
      <c r="P185" s="26">
        <v>34</v>
      </c>
      <c r="Q185" s="26">
        <v>0</v>
      </c>
      <c r="R185" s="26">
        <v>1</v>
      </c>
      <c r="S185" s="26">
        <v>9</v>
      </c>
      <c r="T185" s="26">
        <v>3</v>
      </c>
      <c r="U185" s="26">
        <v>13</v>
      </c>
      <c r="V185" s="26">
        <v>1</v>
      </c>
    </row>
    <row r="186" spans="1:22" x14ac:dyDescent="0.25">
      <c r="A186" s="26" t="s">
        <v>2400</v>
      </c>
      <c r="B186" s="26" t="s">
        <v>2970</v>
      </c>
      <c r="C186" s="26" t="s">
        <v>2971</v>
      </c>
      <c r="D186" s="26" t="s">
        <v>179</v>
      </c>
      <c r="E186" s="26" t="s">
        <v>2972</v>
      </c>
      <c r="F186" s="26" t="s">
        <v>1295</v>
      </c>
      <c r="G186" s="26" t="s">
        <v>210</v>
      </c>
      <c r="H186" s="26" t="s">
        <v>677</v>
      </c>
      <c r="I186" s="26" t="s">
        <v>184</v>
      </c>
      <c r="J186" s="26" t="s">
        <v>2448</v>
      </c>
      <c r="K186" s="26" t="s">
        <v>2405</v>
      </c>
      <c r="L186" s="26" t="s">
        <v>79</v>
      </c>
      <c r="M186" s="26" t="s">
        <v>77</v>
      </c>
      <c r="N186" s="26">
        <v>35</v>
      </c>
      <c r="O186" s="26">
        <v>28</v>
      </c>
      <c r="P186" s="26">
        <v>7</v>
      </c>
      <c r="Q186" s="26">
        <v>0</v>
      </c>
      <c r="R186" s="26">
        <v>1</v>
      </c>
      <c r="S186" s="26">
        <v>9</v>
      </c>
      <c r="T186" s="26">
        <v>4</v>
      </c>
      <c r="U186" s="26">
        <v>14</v>
      </c>
      <c r="V186" s="26">
        <v>1</v>
      </c>
    </row>
    <row r="187" spans="1:22" x14ac:dyDescent="0.25">
      <c r="A187" s="26" t="s">
        <v>2400</v>
      </c>
      <c r="B187" s="26" t="s">
        <v>2973</v>
      </c>
      <c r="C187" s="26" t="s">
        <v>2974</v>
      </c>
      <c r="D187" s="26" t="s">
        <v>2408</v>
      </c>
      <c r="E187" s="26" t="s">
        <v>2975</v>
      </c>
      <c r="F187" s="26" t="s">
        <v>2490</v>
      </c>
      <c r="G187" s="26" t="s">
        <v>210</v>
      </c>
      <c r="H187" s="26" t="s">
        <v>351</v>
      </c>
      <c r="I187" s="26" t="s">
        <v>184</v>
      </c>
      <c r="J187" s="26" t="s">
        <v>2448</v>
      </c>
      <c r="K187" s="26" t="s">
        <v>2405</v>
      </c>
      <c r="L187" s="26" t="s">
        <v>79</v>
      </c>
      <c r="M187" s="26" t="s">
        <v>77</v>
      </c>
      <c r="N187" s="26">
        <v>39</v>
      </c>
      <c r="O187" s="26">
        <v>17</v>
      </c>
      <c r="P187" s="26">
        <v>22</v>
      </c>
      <c r="Q187" s="26">
        <v>0</v>
      </c>
      <c r="R187" s="26">
        <v>1</v>
      </c>
      <c r="S187" s="26">
        <v>12</v>
      </c>
      <c r="T187" s="26">
        <v>2</v>
      </c>
      <c r="U187" s="26">
        <v>15</v>
      </c>
      <c r="V187" s="26">
        <v>1</v>
      </c>
    </row>
    <row r="188" spans="1:22" x14ac:dyDescent="0.25">
      <c r="A188" s="26" t="s">
        <v>2400</v>
      </c>
      <c r="B188" s="26" t="s">
        <v>2976</v>
      </c>
      <c r="C188" s="26" t="s">
        <v>2977</v>
      </c>
      <c r="D188" s="26" t="s">
        <v>179</v>
      </c>
      <c r="E188" s="26" t="s">
        <v>2978</v>
      </c>
      <c r="F188" s="26" t="s">
        <v>2979</v>
      </c>
      <c r="G188" s="26" t="s">
        <v>210</v>
      </c>
      <c r="H188" s="26" t="s">
        <v>301</v>
      </c>
      <c r="I188" s="26" t="s">
        <v>184</v>
      </c>
      <c r="J188" s="26" t="s">
        <v>2448</v>
      </c>
      <c r="K188" s="26" t="s">
        <v>2405</v>
      </c>
      <c r="L188" s="26" t="s">
        <v>79</v>
      </c>
      <c r="M188" s="26" t="s">
        <v>77</v>
      </c>
      <c r="N188" s="26">
        <v>33</v>
      </c>
      <c r="O188" s="26">
        <v>24</v>
      </c>
      <c r="P188" s="26">
        <v>9</v>
      </c>
      <c r="Q188" s="26">
        <v>0</v>
      </c>
      <c r="R188" s="26">
        <v>1</v>
      </c>
      <c r="S188" s="26">
        <v>8</v>
      </c>
      <c r="T188" s="26">
        <v>1</v>
      </c>
      <c r="U188" s="26">
        <v>10</v>
      </c>
      <c r="V188" s="26">
        <v>1</v>
      </c>
    </row>
    <row r="189" spans="1:22" x14ac:dyDescent="0.25">
      <c r="A189" s="26" t="s">
        <v>2400</v>
      </c>
      <c r="B189" s="26" t="s">
        <v>2980</v>
      </c>
      <c r="C189" s="26" t="s">
        <v>2981</v>
      </c>
      <c r="D189" s="26" t="s">
        <v>2408</v>
      </c>
      <c r="E189" s="26" t="s">
        <v>2681</v>
      </c>
      <c r="F189" s="26" t="s">
        <v>1442</v>
      </c>
      <c r="G189" s="26" t="s">
        <v>413</v>
      </c>
      <c r="H189" s="26" t="s">
        <v>1026</v>
      </c>
      <c r="I189" s="26" t="s">
        <v>184</v>
      </c>
      <c r="J189" s="26" t="s">
        <v>2509</v>
      </c>
      <c r="K189" s="26" t="s">
        <v>2405</v>
      </c>
      <c r="L189" s="26" t="s">
        <v>79</v>
      </c>
      <c r="M189" s="26" t="s">
        <v>77</v>
      </c>
      <c r="N189" s="26">
        <v>75</v>
      </c>
      <c r="O189" s="26">
        <v>45</v>
      </c>
      <c r="P189" s="26">
        <v>30</v>
      </c>
      <c r="Q189" s="26">
        <v>0</v>
      </c>
      <c r="R189" s="26">
        <v>1</v>
      </c>
      <c r="S189" s="26">
        <v>6</v>
      </c>
      <c r="T189" s="26">
        <v>1</v>
      </c>
      <c r="U189" s="26">
        <v>8</v>
      </c>
      <c r="V189" s="26">
        <v>1</v>
      </c>
    </row>
    <row r="190" spans="1:22" x14ac:dyDescent="0.25">
      <c r="A190" s="26" t="s">
        <v>2400</v>
      </c>
      <c r="B190" s="26" t="s">
        <v>2982</v>
      </c>
      <c r="C190" s="26" t="s">
        <v>2983</v>
      </c>
      <c r="D190" s="26" t="s">
        <v>179</v>
      </c>
      <c r="E190" s="26" t="s">
        <v>4043</v>
      </c>
      <c r="F190" s="26" t="s">
        <v>379</v>
      </c>
      <c r="G190" s="26" t="s">
        <v>4126</v>
      </c>
      <c r="H190" s="26" t="s">
        <v>523</v>
      </c>
      <c r="I190" s="26" t="s">
        <v>184</v>
      </c>
      <c r="J190" s="26" t="s">
        <v>2411</v>
      </c>
      <c r="K190" s="26" t="s">
        <v>2405</v>
      </c>
      <c r="L190" s="26" t="s">
        <v>79</v>
      </c>
      <c r="M190" s="26" t="s">
        <v>77</v>
      </c>
      <c r="N190" s="26">
        <v>48</v>
      </c>
      <c r="O190" s="26">
        <v>31</v>
      </c>
      <c r="P190" s="26">
        <v>17</v>
      </c>
      <c r="Q190" s="26">
        <v>0</v>
      </c>
      <c r="R190" s="26">
        <v>1</v>
      </c>
      <c r="S190" s="26">
        <v>5</v>
      </c>
      <c r="T190" s="26">
        <v>4</v>
      </c>
      <c r="U190" s="26">
        <v>10</v>
      </c>
      <c r="V190" s="26">
        <v>1</v>
      </c>
    </row>
    <row r="191" spans="1:22" x14ac:dyDescent="0.25">
      <c r="A191" s="26" t="s">
        <v>2400</v>
      </c>
      <c r="B191" s="26" t="s">
        <v>2984</v>
      </c>
      <c r="C191" s="26" t="s">
        <v>2985</v>
      </c>
      <c r="D191" s="26" t="s">
        <v>179</v>
      </c>
      <c r="E191" s="26" t="s">
        <v>2986</v>
      </c>
      <c r="F191" s="26" t="s">
        <v>815</v>
      </c>
      <c r="G191" s="26" t="s">
        <v>413</v>
      </c>
      <c r="H191" s="26" t="s">
        <v>523</v>
      </c>
      <c r="I191" s="26" t="s">
        <v>184</v>
      </c>
      <c r="J191" s="26" t="s">
        <v>2509</v>
      </c>
      <c r="K191" s="26" t="s">
        <v>2405</v>
      </c>
      <c r="L191" s="26" t="s">
        <v>79</v>
      </c>
      <c r="M191" s="26" t="s">
        <v>77</v>
      </c>
      <c r="N191" s="26">
        <v>65</v>
      </c>
      <c r="O191" s="26">
        <v>50</v>
      </c>
      <c r="P191" s="26">
        <v>15</v>
      </c>
      <c r="Q191" s="26">
        <v>0</v>
      </c>
      <c r="R191" s="26">
        <v>1</v>
      </c>
      <c r="S191" s="26">
        <v>8</v>
      </c>
      <c r="T191" s="26">
        <v>3</v>
      </c>
      <c r="U191" s="26">
        <v>12</v>
      </c>
      <c r="V191" s="26">
        <v>1</v>
      </c>
    </row>
    <row r="192" spans="1:22" x14ac:dyDescent="0.25">
      <c r="A192" s="26" t="s">
        <v>2400</v>
      </c>
      <c r="B192" s="26" t="s">
        <v>2987</v>
      </c>
      <c r="C192" s="26" t="s">
        <v>2988</v>
      </c>
      <c r="D192" s="26" t="s">
        <v>2408</v>
      </c>
      <c r="E192" s="26" t="s">
        <v>2508</v>
      </c>
      <c r="F192" s="26" t="s">
        <v>2989</v>
      </c>
      <c r="G192" s="26" t="s">
        <v>278</v>
      </c>
      <c r="H192" s="26" t="s">
        <v>677</v>
      </c>
      <c r="I192" s="26" t="s">
        <v>184</v>
      </c>
      <c r="J192" s="26" t="s">
        <v>2509</v>
      </c>
      <c r="K192" s="26" t="s">
        <v>2405</v>
      </c>
      <c r="L192" s="26" t="s">
        <v>79</v>
      </c>
      <c r="M192" s="26" t="s">
        <v>77</v>
      </c>
      <c r="N192" s="26">
        <v>95</v>
      </c>
      <c r="O192" s="26">
        <v>57</v>
      </c>
      <c r="P192" s="26">
        <v>38</v>
      </c>
      <c r="Q192" s="26">
        <v>0</v>
      </c>
      <c r="R192" s="26">
        <v>1</v>
      </c>
      <c r="S192" s="26">
        <v>7</v>
      </c>
      <c r="T192" s="26">
        <v>4</v>
      </c>
      <c r="U192" s="26">
        <v>12</v>
      </c>
      <c r="V192" s="26">
        <v>1</v>
      </c>
    </row>
    <row r="193" spans="1:22" x14ac:dyDescent="0.25">
      <c r="A193" s="26" t="s">
        <v>2400</v>
      </c>
      <c r="B193" s="26" t="s">
        <v>2990</v>
      </c>
      <c r="C193" s="26" t="s">
        <v>2991</v>
      </c>
      <c r="D193" s="26" t="s">
        <v>179</v>
      </c>
      <c r="E193" s="26" t="s">
        <v>4056</v>
      </c>
      <c r="F193" s="26" t="s">
        <v>823</v>
      </c>
      <c r="G193" s="26" t="s">
        <v>413</v>
      </c>
      <c r="H193" s="26" t="s">
        <v>523</v>
      </c>
      <c r="I193" s="26" t="s">
        <v>184</v>
      </c>
      <c r="J193" s="26" t="s">
        <v>2509</v>
      </c>
      <c r="K193" s="26" t="s">
        <v>2405</v>
      </c>
      <c r="L193" s="26" t="s">
        <v>79</v>
      </c>
      <c r="M193" s="26" t="s">
        <v>77</v>
      </c>
      <c r="N193" s="26">
        <v>63</v>
      </c>
      <c r="O193" s="26">
        <v>44</v>
      </c>
      <c r="P193" s="26">
        <v>19</v>
      </c>
      <c r="Q193" s="26">
        <v>0</v>
      </c>
      <c r="R193" s="26">
        <v>1</v>
      </c>
      <c r="S193" s="26">
        <v>6</v>
      </c>
      <c r="T193" s="26">
        <v>3</v>
      </c>
      <c r="U193" s="26">
        <v>10</v>
      </c>
      <c r="V193" s="26">
        <v>1</v>
      </c>
    </row>
    <row r="194" spans="1:22" x14ac:dyDescent="0.25">
      <c r="A194" s="26" t="s">
        <v>2400</v>
      </c>
      <c r="B194" s="26" t="s">
        <v>2992</v>
      </c>
      <c r="C194" s="26" t="s">
        <v>2993</v>
      </c>
      <c r="D194" s="26" t="s">
        <v>2408</v>
      </c>
      <c r="E194" s="26" t="s">
        <v>4057</v>
      </c>
      <c r="F194" s="26" t="s">
        <v>815</v>
      </c>
      <c r="G194" s="26" t="s">
        <v>413</v>
      </c>
      <c r="H194" s="26" t="s">
        <v>523</v>
      </c>
      <c r="I194" s="26" t="s">
        <v>184</v>
      </c>
      <c r="J194" s="26" t="s">
        <v>2509</v>
      </c>
      <c r="K194" s="26" t="s">
        <v>2405</v>
      </c>
      <c r="L194" s="26" t="s">
        <v>79</v>
      </c>
      <c r="M194" s="26" t="s">
        <v>77</v>
      </c>
      <c r="N194" s="26">
        <v>27</v>
      </c>
      <c r="O194" s="26">
        <v>15</v>
      </c>
      <c r="P194" s="26">
        <v>12</v>
      </c>
      <c r="Q194" s="26">
        <v>0</v>
      </c>
      <c r="R194" s="26">
        <v>1</v>
      </c>
      <c r="S194" s="26">
        <v>5</v>
      </c>
      <c r="T194" s="26">
        <v>1</v>
      </c>
      <c r="U194" s="26">
        <v>7</v>
      </c>
      <c r="V194" s="26">
        <v>1</v>
      </c>
    </row>
    <row r="195" spans="1:22" x14ac:dyDescent="0.25">
      <c r="A195" s="26" t="s">
        <v>2400</v>
      </c>
      <c r="B195" s="26" t="s">
        <v>2994</v>
      </c>
      <c r="C195" s="26" t="s">
        <v>2995</v>
      </c>
      <c r="D195" s="26" t="s">
        <v>2408</v>
      </c>
      <c r="E195" s="26" t="s">
        <v>4058</v>
      </c>
      <c r="F195" s="26" t="s">
        <v>598</v>
      </c>
      <c r="G195" s="26" t="s">
        <v>4126</v>
      </c>
      <c r="H195" s="26" t="s">
        <v>321</v>
      </c>
      <c r="I195" s="26" t="s">
        <v>184</v>
      </c>
      <c r="J195" s="26" t="s">
        <v>2411</v>
      </c>
      <c r="K195" s="26" t="s">
        <v>2405</v>
      </c>
      <c r="L195" s="26" t="s">
        <v>79</v>
      </c>
      <c r="M195" s="26" t="s">
        <v>77</v>
      </c>
      <c r="N195" s="26">
        <v>21</v>
      </c>
      <c r="O195" s="26">
        <v>12</v>
      </c>
      <c r="P195" s="26">
        <v>9</v>
      </c>
      <c r="Q195" s="26">
        <v>0</v>
      </c>
      <c r="R195" s="26">
        <v>1</v>
      </c>
      <c r="S195" s="26">
        <v>6</v>
      </c>
      <c r="T195" s="26">
        <v>2</v>
      </c>
      <c r="U195" s="26">
        <v>9</v>
      </c>
      <c r="V195" s="26">
        <v>1</v>
      </c>
    </row>
    <row r="196" spans="1:22" x14ac:dyDescent="0.25">
      <c r="A196" s="26" t="s">
        <v>2400</v>
      </c>
      <c r="B196" s="26" t="s">
        <v>2996</v>
      </c>
      <c r="C196" s="26" t="s">
        <v>2997</v>
      </c>
      <c r="D196" s="26" t="s">
        <v>2408</v>
      </c>
      <c r="E196" s="26" t="s">
        <v>4059</v>
      </c>
      <c r="F196" s="26" t="s">
        <v>2608</v>
      </c>
      <c r="G196" s="26" t="s">
        <v>487</v>
      </c>
      <c r="H196" s="26" t="s">
        <v>677</v>
      </c>
      <c r="I196" s="26" t="s">
        <v>184</v>
      </c>
      <c r="J196" s="26" t="s">
        <v>2404</v>
      </c>
      <c r="K196" s="26" t="s">
        <v>2405</v>
      </c>
      <c r="L196" s="26" t="s">
        <v>79</v>
      </c>
      <c r="M196" s="26" t="s">
        <v>77</v>
      </c>
      <c r="N196" s="26">
        <v>42</v>
      </c>
      <c r="O196" s="26">
        <v>25</v>
      </c>
      <c r="P196" s="26">
        <v>17</v>
      </c>
      <c r="Q196" s="26">
        <v>0</v>
      </c>
      <c r="R196" s="26">
        <v>1</v>
      </c>
      <c r="S196" s="26">
        <v>7</v>
      </c>
      <c r="T196" s="26">
        <v>2</v>
      </c>
      <c r="U196" s="26">
        <v>10</v>
      </c>
      <c r="V196" s="26">
        <v>1</v>
      </c>
    </row>
    <row r="197" spans="1:22" x14ac:dyDescent="0.25">
      <c r="A197" s="26" t="s">
        <v>2400</v>
      </c>
      <c r="B197" s="26" t="s">
        <v>2998</v>
      </c>
      <c r="C197" s="26" t="s">
        <v>2999</v>
      </c>
      <c r="D197" s="26" t="s">
        <v>2408</v>
      </c>
      <c r="E197" s="26" t="s">
        <v>3000</v>
      </c>
      <c r="F197" s="26" t="s">
        <v>555</v>
      </c>
      <c r="G197" s="26" t="s">
        <v>191</v>
      </c>
      <c r="H197" s="26" t="s">
        <v>301</v>
      </c>
      <c r="I197" s="26" t="s">
        <v>184</v>
      </c>
      <c r="J197" s="26" t="s">
        <v>2565</v>
      </c>
      <c r="K197" s="26" t="s">
        <v>2405</v>
      </c>
      <c r="L197" s="26" t="s">
        <v>79</v>
      </c>
      <c r="M197" s="26" t="s">
        <v>77</v>
      </c>
      <c r="N197" s="26">
        <v>49</v>
      </c>
      <c r="O197" s="26">
        <v>32</v>
      </c>
      <c r="P197" s="26">
        <v>17</v>
      </c>
      <c r="Q197" s="26">
        <v>0</v>
      </c>
      <c r="R197" s="26">
        <v>1</v>
      </c>
      <c r="S197" s="26">
        <v>5</v>
      </c>
      <c r="T197" s="26">
        <v>2</v>
      </c>
      <c r="U197" s="26">
        <v>8</v>
      </c>
      <c r="V197" s="26">
        <v>1</v>
      </c>
    </row>
    <row r="198" spans="1:22" x14ac:dyDescent="0.25">
      <c r="A198" s="26" t="s">
        <v>2400</v>
      </c>
      <c r="B198" s="26" t="s">
        <v>3001</v>
      </c>
      <c r="C198" s="26" t="s">
        <v>3002</v>
      </c>
      <c r="D198" s="26" t="s">
        <v>2408</v>
      </c>
      <c r="E198" s="26" t="s">
        <v>3003</v>
      </c>
      <c r="F198" s="26" t="s">
        <v>917</v>
      </c>
      <c r="G198" s="26" t="s">
        <v>210</v>
      </c>
      <c r="H198" s="26" t="s">
        <v>351</v>
      </c>
      <c r="I198" s="26" t="s">
        <v>184</v>
      </c>
      <c r="J198" s="26" t="s">
        <v>2448</v>
      </c>
      <c r="K198" s="26" t="s">
        <v>2405</v>
      </c>
      <c r="L198" s="26" t="s">
        <v>79</v>
      </c>
      <c r="M198" s="26" t="s">
        <v>77</v>
      </c>
      <c r="N198" s="26">
        <v>32</v>
      </c>
      <c r="O198" s="26">
        <v>15</v>
      </c>
      <c r="P198" s="26">
        <v>17</v>
      </c>
      <c r="Q198" s="26">
        <v>0</v>
      </c>
      <c r="R198" s="26">
        <v>1</v>
      </c>
      <c r="S198" s="26">
        <v>5</v>
      </c>
      <c r="T198" s="26">
        <v>3</v>
      </c>
      <c r="U198" s="26">
        <v>9</v>
      </c>
      <c r="V198" s="26">
        <v>1</v>
      </c>
    </row>
    <row r="199" spans="1:22" x14ac:dyDescent="0.25">
      <c r="A199" s="26" t="s">
        <v>2400</v>
      </c>
      <c r="B199" s="26" t="s">
        <v>3004</v>
      </c>
      <c r="C199" s="26" t="s">
        <v>3005</v>
      </c>
      <c r="D199" s="26" t="s">
        <v>2408</v>
      </c>
      <c r="E199" s="26" t="s">
        <v>3006</v>
      </c>
      <c r="F199" s="26" t="s">
        <v>3007</v>
      </c>
      <c r="G199" s="26" t="s">
        <v>210</v>
      </c>
      <c r="H199" s="26" t="s">
        <v>301</v>
      </c>
      <c r="I199" s="26" t="s">
        <v>184</v>
      </c>
      <c r="J199" s="26" t="s">
        <v>2448</v>
      </c>
      <c r="K199" s="26" t="s">
        <v>2405</v>
      </c>
      <c r="L199" s="26" t="s">
        <v>79</v>
      </c>
      <c r="M199" s="26" t="s">
        <v>77</v>
      </c>
      <c r="N199" s="26">
        <v>18</v>
      </c>
      <c r="O199" s="26">
        <v>12</v>
      </c>
      <c r="P199" s="26">
        <v>6</v>
      </c>
      <c r="Q199" s="26">
        <v>0</v>
      </c>
      <c r="R199" s="26">
        <v>1</v>
      </c>
      <c r="S199" s="26">
        <v>6</v>
      </c>
      <c r="T199" s="26">
        <v>2</v>
      </c>
      <c r="U199" s="26">
        <v>9</v>
      </c>
      <c r="V199" s="26">
        <v>1</v>
      </c>
    </row>
    <row r="200" spans="1:22" x14ac:dyDescent="0.25">
      <c r="A200" s="26" t="s">
        <v>2400</v>
      </c>
      <c r="B200" s="26" t="s">
        <v>3008</v>
      </c>
      <c r="C200" s="26" t="s">
        <v>3009</v>
      </c>
      <c r="D200" s="26" t="s">
        <v>179</v>
      </c>
      <c r="E200" s="26" t="s">
        <v>4060</v>
      </c>
      <c r="F200" s="26" t="s">
        <v>917</v>
      </c>
      <c r="G200" s="26" t="s">
        <v>210</v>
      </c>
      <c r="H200" s="26" t="s">
        <v>1693</v>
      </c>
      <c r="I200" s="26" t="s">
        <v>184</v>
      </c>
      <c r="J200" s="26" t="s">
        <v>2448</v>
      </c>
      <c r="K200" s="26" t="s">
        <v>2405</v>
      </c>
      <c r="L200" s="26" t="s">
        <v>79</v>
      </c>
      <c r="M200" s="26" t="s">
        <v>77</v>
      </c>
      <c r="N200" s="26">
        <v>41</v>
      </c>
      <c r="O200" s="26">
        <v>24</v>
      </c>
      <c r="P200" s="26">
        <v>17</v>
      </c>
      <c r="Q200" s="26">
        <v>0</v>
      </c>
      <c r="R200" s="26">
        <v>1</v>
      </c>
      <c r="S200" s="26">
        <v>8</v>
      </c>
      <c r="T200" s="26">
        <v>4</v>
      </c>
      <c r="U200" s="26">
        <v>13</v>
      </c>
      <c r="V200" s="26">
        <v>1</v>
      </c>
    </row>
    <row r="201" spans="1:22" x14ac:dyDescent="0.25">
      <c r="A201" s="26" t="s">
        <v>2400</v>
      </c>
      <c r="B201" s="26" t="s">
        <v>3010</v>
      </c>
      <c r="C201" s="26" t="s">
        <v>3011</v>
      </c>
      <c r="D201" s="26" t="s">
        <v>179</v>
      </c>
      <c r="E201" s="26" t="s">
        <v>4061</v>
      </c>
      <c r="F201" s="26" t="s">
        <v>2539</v>
      </c>
      <c r="G201" s="26" t="s">
        <v>413</v>
      </c>
      <c r="H201" s="26" t="s">
        <v>205</v>
      </c>
      <c r="I201" s="26" t="s">
        <v>184</v>
      </c>
      <c r="J201" s="26" t="s">
        <v>2509</v>
      </c>
      <c r="K201" s="26" t="s">
        <v>2405</v>
      </c>
      <c r="L201" s="26" t="s">
        <v>79</v>
      </c>
      <c r="M201" s="26" t="s">
        <v>77</v>
      </c>
      <c r="N201" s="26">
        <v>27</v>
      </c>
      <c r="O201" s="26">
        <v>20</v>
      </c>
      <c r="P201" s="26">
        <v>7</v>
      </c>
      <c r="Q201" s="26">
        <v>0</v>
      </c>
      <c r="R201" s="26">
        <v>1</v>
      </c>
      <c r="S201" s="26">
        <v>4</v>
      </c>
      <c r="T201" s="26">
        <v>3</v>
      </c>
      <c r="U201" s="26">
        <v>8</v>
      </c>
      <c r="V201" s="26">
        <v>1</v>
      </c>
    </row>
    <row r="202" spans="1:22" x14ac:dyDescent="0.25">
      <c r="A202" s="26" t="s">
        <v>2400</v>
      </c>
      <c r="B202" s="26" t="s">
        <v>3012</v>
      </c>
      <c r="C202" s="26" t="s">
        <v>3013</v>
      </c>
      <c r="D202" s="26" t="s">
        <v>2408</v>
      </c>
      <c r="E202" s="26" t="s">
        <v>4062</v>
      </c>
      <c r="F202" s="26" t="s">
        <v>2539</v>
      </c>
      <c r="G202" s="26" t="s">
        <v>413</v>
      </c>
      <c r="H202" s="26" t="s">
        <v>205</v>
      </c>
      <c r="I202" s="26" t="s">
        <v>184</v>
      </c>
      <c r="J202" s="26" t="s">
        <v>2509</v>
      </c>
      <c r="K202" s="26" t="s">
        <v>2405</v>
      </c>
      <c r="L202" s="26" t="s">
        <v>79</v>
      </c>
      <c r="M202" s="26" t="s">
        <v>77</v>
      </c>
      <c r="N202" s="26">
        <v>34</v>
      </c>
      <c r="O202" s="26">
        <v>25</v>
      </c>
      <c r="P202" s="26">
        <v>9</v>
      </c>
      <c r="Q202" s="26">
        <v>0</v>
      </c>
      <c r="R202" s="26">
        <v>1</v>
      </c>
      <c r="S202" s="26">
        <v>5</v>
      </c>
      <c r="T202" s="26">
        <v>3</v>
      </c>
      <c r="U202" s="26">
        <v>9</v>
      </c>
      <c r="V202" s="26">
        <v>1</v>
      </c>
    </row>
    <row r="203" spans="1:22" x14ac:dyDescent="0.25">
      <c r="A203" s="26" t="s">
        <v>2400</v>
      </c>
      <c r="B203" s="26" t="s">
        <v>3014</v>
      </c>
      <c r="C203" s="26" t="s">
        <v>3015</v>
      </c>
      <c r="D203" s="26" t="s">
        <v>179</v>
      </c>
      <c r="E203" s="26" t="s">
        <v>3016</v>
      </c>
      <c r="F203" s="26" t="s">
        <v>1111</v>
      </c>
      <c r="G203" s="26" t="s">
        <v>278</v>
      </c>
      <c r="H203" s="26" t="s">
        <v>687</v>
      </c>
      <c r="I203" s="26" t="s">
        <v>184</v>
      </c>
      <c r="J203" s="26" t="s">
        <v>2509</v>
      </c>
      <c r="K203" s="26" t="s">
        <v>2405</v>
      </c>
      <c r="L203" s="26" t="s">
        <v>79</v>
      </c>
      <c r="M203" s="26" t="s">
        <v>77</v>
      </c>
      <c r="N203" s="26">
        <v>54</v>
      </c>
      <c r="O203" s="26">
        <v>36</v>
      </c>
      <c r="P203" s="26">
        <v>18</v>
      </c>
      <c r="Q203" s="26">
        <v>0</v>
      </c>
      <c r="R203" s="26">
        <v>1</v>
      </c>
      <c r="S203" s="26">
        <v>4</v>
      </c>
      <c r="T203" s="26">
        <v>3</v>
      </c>
      <c r="U203" s="26">
        <v>8</v>
      </c>
      <c r="V203" s="26">
        <v>1</v>
      </c>
    </row>
    <row r="204" spans="1:22" x14ac:dyDescent="0.25">
      <c r="A204" s="26" t="s">
        <v>2400</v>
      </c>
      <c r="B204" s="26" t="s">
        <v>3017</v>
      </c>
      <c r="C204" s="26" t="s">
        <v>3018</v>
      </c>
      <c r="D204" s="26" t="s">
        <v>2408</v>
      </c>
      <c r="E204" s="26" t="s">
        <v>3019</v>
      </c>
      <c r="F204" s="26" t="s">
        <v>1103</v>
      </c>
      <c r="G204" s="26" t="s">
        <v>278</v>
      </c>
      <c r="H204" s="26" t="s">
        <v>687</v>
      </c>
      <c r="I204" s="26" t="s">
        <v>184</v>
      </c>
      <c r="J204" s="26" t="s">
        <v>2509</v>
      </c>
      <c r="K204" s="26" t="s">
        <v>2405</v>
      </c>
      <c r="L204" s="26" t="s">
        <v>79</v>
      </c>
      <c r="M204" s="26" t="s">
        <v>77</v>
      </c>
      <c r="N204" s="26">
        <v>68</v>
      </c>
      <c r="O204" s="26">
        <v>47</v>
      </c>
      <c r="P204" s="26">
        <v>21</v>
      </c>
      <c r="Q204" s="26">
        <v>0</v>
      </c>
      <c r="R204" s="26">
        <v>1</v>
      </c>
      <c r="S204" s="26">
        <v>6</v>
      </c>
      <c r="T204" s="26">
        <v>2</v>
      </c>
      <c r="U204" s="26">
        <v>9</v>
      </c>
      <c r="V204" s="26">
        <v>1</v>
      </c>
    </row>
    <row r="205" spans="1:22" x14ac:dyDescent="0.25">
      <c r="A205" s="26" t="s">
        <v>2400</v>
      </c>
      <c r="B205" s="26" t="s">
        <v>3020</v>
      </c>
      <c r="C205" s="26" t="s">
        <v>3021</v>
      </c>
      <c r="D205" s="26" t="s">
        <v>179</v>
      </c>
      <c r="E205" s="26" t="s">
        <v>4063</v>
      </c>
      <c r="F205" s="26" t="s">
        <v>807</v>
      </c>
      <c r="G205" s="26" t="s">
        <v>413</v>
      </c>
      <c r="H205" s="26" t="s">
        <v>756</v>
      </c>
      <c r="I205" s="26" t="s">
        <v>184</v>
      </c>
      <c r="J205" s="26" t="s">
        <v>2509</v>
      </c>
      <c r="K205" s="26" t="s">
        <v>2405</v>
      </c>
      <c r="L205" s="26" t="s">
        <v>79</v>
      </c>
      <c r="M205" s="26" t="s">
        <v>77</v>
      </c>
      <c r="N205" s="26">
        <v>66</v>
      </c>
      <c r="O205" s="26">
        <v>43</v>
      </c>
      <c r="P205" s="26">
        <v>23</v>
      </c>
      <c r="Q205" s="26">
        <v>0</v>
      </c>
      <c r="R205" s="26">
        <v>1</v>
      </c>
      <c r="S205" s="26">
        <v>7</v>
      </c>
      <c r="T205" s="26">
        <v>2</v>
      </c>
      <c r="U205" s="26">
        <v>10</v>
      </c>
      <c r="V205" s="26">
        <v>1</v>
      </c>
    </row>
    <row r="206" spans="1:22" x14ac:dyDescent="0.25">
      <c r="A206" s="26" t="s">
        <v>2400</v>
      </c>
      <c r="B206" s="26" t="s">
        <v>3022</v>
      </c>
      <c r="C206" s="26" t="s">
        <v>3023</v>
      </c>
      <c r="D206" s="26" t="s">
        <v>2408</v>
      </c>
      <c r="E206" s="26" t="s">
        <v>4064</v>
      </c>
      <c r="F206" s="26" t="s">
        <v>457</v>
      </c>
      <c r="G206" s="26" t="s">
        <v>4126</v>
      </c>
      <c r="H206" s="26" t="s">
        <v>756</v>
      </c>
      <c r="I206" s="26" t="s">
        <v>184</v>
      </c>
      <c r="J206" s="26" t="s">
        <v>2411</v>
      </c>
      <c r="K206" s="26" t="s">
        <v>2405</v>
      </c>
      <c r="L206" s="26" t="s">
        <v>79</v>
      </c>
      <c r="M206" s="26" t="s">
        <v>77</v>
      </c>
      <c r="N206" s="26">
        <v>39</v>
      </c>
      <c r="O206" s="26">
        <v>27</v>
      </c>
      <c r="P206" s="26">
        <v>12</v>
      </c>
      <c r="Q206" s="26">
        <v>0</v>
      </c>
      <c r="R206" s="26">
        <v>1</v>
      </c>
      <c r="S206" s="26">
        <v>4</v>
      </c>
      <c r="T206" s="26">
        <v>4</v>
      </c>
      <c r="U206" s="26">
        <v>9</v>
      </c>
      <c r="V206" s="26">
        <v>1</v>
      </c>
    </row>
    <row r="207" spans="1:22" x14ac:dyDescent="0.25">
      <c r="A207" s="26" t="s">
        <v>2400</v>
      </c>
      <c r="B207" s="26" t="s">
        <v>3024</v>
      </c>
      <c r="C207" s="26" t="s">
        <v>3025</v>
      </c>
      <c r="D207" s="26" t="s">
        <v>179</v>
      </c>
      <c r="E207" s="26" t="s">
        <v>3026</v>
      </c>
      <c r="F207" s="26" t="s">
        <v>3027</v>
      </c>
      <c r="G207" s="26" t="s">
        <v>226</v>
      </c>
      <c r="H207" s="26" t="s">
        <v>351</v>
      </c>
      <c r="I207" s="26" t="s">
        <v>184</v>
      </c>
      <c r="J207" s="26" t="s">
        <v>2509</v>
      </c>
      <c r="K207" s="26" t="s">
        <v>2405</v>
      </c>
      <c r="L207" s="26" t="s">
        <v>79</v>
      </c>
      <c r="M207" s="26" t="s">
        <v>77</v>
      </c>
      <c r="N207" s="26">
        <v>70</v>
      </c>
      <c r="O207" s="26">
        <v>45</v>
      </c>
      <c r="P207" s="26">
        <v>25</v>
      </c>
      <c r="Q207" s="26">
        <v>0</v>
      </c>
      <c r="R207" s="26">
        <v>1</v>
      </c>
      <c r="S207" s="26">
        <v>7</v>
      </c>
      <c r="T207" s="26">
        <v>4</v>
      </c>
      <c r="U207" s="26">
        <v>12</v>
      </c>
      <c r="V207" s="26">
        <v>1</v>
      </c>
    </row>
    <row r="208" spans="1:22" x14ac:dyDescent="0.25">
      <c r="A208" s="26" t="s">
        <v>2400</v>
      </c>
      <c r="B208" s="26" t="s">
        <v>3028</v>
      </c>
      <c r="C208" s="26" t="s">
        <v>3029</v>
      </c>
      <c r="D208" s="26" t="s">
        <v>2408</v>
      </c>
      <c r="E208" s="26" t="s">
        <v>3026</v>
      </c>
      <c r="F208" s="26" t="s">
        <v>3030</v>
      </c>
      <c r="G208" s="26" t="s">
        <v>226</v>
      </c>
      <c r="H208" s="26" t="s">
        <v>351</v>
      </c>
      <c r="I208" s="26" t="s">
        <v>184</v>
      </c>
      <c r="J208" s="26" t="s">
        <v>2509</v>
      </c>
      <c r="K208" s="26" t="s">
        <v>2405</v>
      </c>
      <c r="L208" s="26" t="s">
        <v>79</v>
      </c>
      <c r="M208" s="26" t="s">
        <v>77</v>
      </c>
      <c r="N208" s="26">
        <v>79</v>
      </c>
      <c r="O208" s="26">
        <v>40</v>
      </c>
      <c r="P208" s="26">
        <v>39</v>
      </c>
      <c r="Q208" s="26">
        <v>0</v>
      </c>
      <c r="R208" s="26">
        <v>1</v>
      </c>
      <c r="S208" s="26">
        <v>7</v>
      </c>
      <c r="T208" s="26">
        <v>1</v>
      </c>
      <c r="U208" s="26">
        <v>9</v>
      </c>
      <c r="V208" s="26">
        <v>1</v>
      </c>
    </row>
    <row r="209" spans="1:22" x14ac:dyDescent="0.25">
      <c r="A209" s="26" t="s">
        <v>2400</v>
      </c>
      <c r="B209" s="26" t="s">
        <v>3031</v>
      </c>
      <c r="C209" s="26" t="s">
        <v>3032</v>
      </c>
      <c r="D209" s="26" t="s">
        <v>179</v>
      </c>
      <c r="E209" s="26" t="s">
        <v>3033</v>
      </c>
      <c r="F209" s="26" t="s">
        <v>3034</v>
      </c>
      <c r="G209" s="26" t="s">
        <v>210</v>
      </c>
      <c r="H209" s="26" t="s">
        <v>294</v>
      </c>
      <c r="I209" s="26" t="s">
        <v>184</v>
      </c>
      <c r="J209" s="26" t="s">
        <v>2448</v>
      </c>
      <c r="K209" s="26" t="s">
        <v>2405</v>
      </c>
      <c r="L209" s="26" t="s">
        <v>79</v>
      </c>
      <c r="M209" s="26" t="s">
        <v>77</v>
      </c>
      <c r="N209" s="26">
        <v>80</v>
      </c>
      <c r="O209" s="26">
        <v>45</v>
      </c>
      <c r="P209" s="26">
        <v>35</v>
      </c>
      <c r="Q209" s="26">
        <v>0</v>
      </c>
      <c r="R209" s="26">
        <v>1</v>
      </c>
      <c r="S209" s="26">
        <v>9</v>
      </c>
      <c r="T209" s="26">
        <v>4</v>
      </c>
      <c r="U209" s="26">
        <v>14</v>
      </c>
      <c r="V209" s="26">
        <v>1</v>
      </c>
    </row>
    <row r="210" spans="1:22" x14ac:dyDescent="0.25">
      <c r="A210" s="26" t="s">
        <v>2400</v>
      </c>
      <c r="B210" s="26" t="s">
        <v>3035</v>
      </c>
      <c r="C210" s="26" t="s">
        <v>3036</v>
      </c>
      <c r="D210" s="26" t="s">
        <v>179</v>
      </c>
      <c r="E210" s="26" t="s">
        <v>3037</v>
      </c>
      <c r="F210" s="26" t="s">
        <v>3038</v>
      </c>
      <c r="G210" s="26" t="s">
        <v>210</v>
      </c>
      <c r="H210" s="26" t="s">
        <v>643</v>
      </c>
      <c r="I210" s="26" t="s">
        <v>184</v>
      </c>
      <c r="J210" s="26" t="s">
        <v>2448</v>
      </c>
      <c r="K210" s="26" t="s">
        <v>2405</v>
      </c>
      <c r="L210" s="26" t="s">
        <v>79</v>
      </c>
      <c r="M210" s="26" t="s">
        <v>77</v>
      </c>
      <c r="N210" s="26">
        <v>77</v>
      </c>
      <c r="O210" s="26">
        <v>46</v>
      </c>
      <c r="P210" s="26">
        <v>31</v>
      </c>
      <c r="Q210" s="26">
        <v>0</v>
      </c>
      <c r="R210" s="26">
        <v>1</v>
      </c>
      <c r="S210" s="26">
        <v>7</v>
      </c>
      <c r="T210" s="26">
        <v>2</v>
      </c>
      <c r="U210" s="26">
        <v>10</v>
      </c>
      <c r="V210" s="26">
        <v>1</v>
      </c>
    </row>
    <row r="211" spans="1:22" x14ac:dyDescent="0.25">
      <c r="A211" s="26" t="s">
        <v>2400</v>
      </c>
      <c r="B211" s="26" t="s">
        <v>3039</v>
      </c>
      <c r="C211" s="26" t="s">
        <v>3040</v>
      </c>
      <c r="D211" s="26" t="s">
        <v>179</v>
      </c>
      <c r="E211" s="26" t="s">
        <v>2781</v>
      </c>
      <c r="F211" s="26" t="s">
        <v>1068</v>
      </c>
      <c r="G211" s="26" t="s">
        <v>210</v>
      </c>
      <c r="H211" s="26" t="s">
        <v>301</v>
      </c>
      <c r="I211" s="26" t="s">
        <v>184</v>
      </c>
      <c r="J211" s="26" t="s">
        <v>2448</v>
      </c>
      <c r="K211" s="26" t="s">
        <v>2405</v>
      </c>
      <c r="L211" s="26" t="s">
        <v>79</v>
      </c>
      <c r="M211" s="26" t="s">
        <v>77</v>
      </c>
      <c r="N211" s="26">
        <v>10</v>
      </c>
      <c r="O211" s="26">
        <v>8</v>
      </c>
      <c r="P211" s="26">
        <v>2</v>
      </c>
      <c r="Q211" s="26">
        <v>0</v>
      </c>
      <c r="R211" s="26">
        <v>1</v>
      </c>
      <c r="S211" s="26">
        <v>5</v>
      </c>
      <c r="T211" s="26">
        <v>3</v>
      </c>
      <c r="U211" s="26">
        <v>9</v>
      </c>
      <c r="V211" s="26">
        <v>1</v>
      </c>
    </row>
    <row r="212" spans="1:22" x14ac:dyDescent="0.25">
      <c r="A212" s="26" t="s">
        <v>2400</v>
      </c>
      <c r="B212" s="26" t="s">
        <v>3041</v>
      </c>
      <c r="C212" s="26" t="s">
        <v>3042</v>
      </c>
      <c r="D212" s="26" t="s">
        <v>2408</v>
      </c>
      <c r="E212" s="26" t="s">
        <v>3043</v>
      </c>
      <c r="F212" s="26" t="s">
        <v>3044</v>
      </c>
      <c r="G212" s="26" t="s">
        <v>293</v>
      </c>
      <c r="H212" s="26" t="s">
        <v>677</v>
      </c>
      <c r="I212" s="26" t="s">
        <v>1259</v>
      </c>
      <c r="J212" s="26" t="s">
        <v>696</v>
      </c>
      <c r="K212" s="26" t="s">
        <v>296</v>
      </c>
      <c r="L212" s="26" t="s">
        <v>80</v>
      </c>
      <c r="M212" s="26" t="s">
        <v>77</v>
      </c>
      <c r="N212" s="26">
        <v>27</v>
      </c>
      <c r="O212" s="26">
        <v>18</v>
      </c>
      <c r="P212" s="26">
        <v>9</v>
      </c>
      <c r="Q212" s="26">
        <v>0</v>
      </c>
      <c r="R212" s="26">
        <v>1</v>
      </c>
      <c r="S212" s="26">
        <v>4</v>
      </c>
      <c r="T212" s="26">
        <v>2</v>
      </c>
      <c r="U212" s="26">
        <v>7</v>
      </c>
      <c r="V212" s="26">
        <v>1</v>
      </c>
    </row>
    <row r="213" spans="1:22" x14ac:dyDescent="0.25">
      <c r="A213" s="26" t="s">
        <v>2400</v>
      </c>
      <c r="B213" s="26" t="s">
        <v>3045</v>
      </c>
      <c r="C213" s="26" t="s">
        <v>3046</v>
      </c>
      <c r="D213" s="26" t="s">
        <v>179</v>
      </c>
      <c r="E213" s="26" t="s">
        <v>3043</v>
      </c>
      <c r="F213" s="26" t="s">
        <v>3044</v>
      </c>
      <c r="G213" s="26" t="s">
        <v>293</v>
      </c>
      <c r="H213" s="26" t="s">
        <v>677</v>
      </c>
      <c r="I213" s="26" t="s">
        <v>1259</v>
      </c>
      <c r="J213" s="26" t="s">
        <v>503</v>
      </c>
      <c r="K213" s="26" t="s">
        <v>296</v>
      </c>
      <c r="L213" s="26" t="s">
        <v>80</v>
      </c>
      <c r="M213" s="26" t="s">
        <v>77</v>
      </c>
      <c r="N213" s="26">
        <v>12</v>
      </c>
      <c r="O213" s="26">
        <v>8</v>
      </c>
      <c r="P213" s="26">
        <v>4</v>
      </c>
      <c r="Q213" s="26">
        <v>0</v>
      </c>
      <c r="R213" s="26">
        <v>1</v>
      </c>
      <c r="S213" s="26">
        <v>4</v>
      </c>
      <c r="T213" s="26">
        <v>1</v>
      </c>
      <c r="U213" s="26">
        <v>6</v>
      </c>
      <c r="V213" s="26">
        <v>1</v>
      </c>
    </row>
    <row r="214" spans="1:22" x14ac:dyDescent="0.25">
      <c r="A214" s="26" t="s">
        <v>2400</v>
      </c>
      <c r="B214" s="26" t="s">
        <v>3047</v>
      </c>
      <c r="C214" s="26" t="s">
        <v>3048</v>
      </c>
      <c r="D214" s="26" t="s">
        <v>2408</v>
      </c>
      <c r="E214" s="26" t="s">
        <v>3049</v>
      </c>
      <c r="F214" s="26" t="s">
        <v>1673</v>
      </c>
      <c r="G214" s="26" t="s">
        <v>293</v>
      </c>
      <c r="H214" s="26" t="s">
        <v>687</v>
      </c>
      <c r="I214" s="26" t="s">
        <v>1259</v>
      </c>
      <c r="J214" s="26" t="s">
        <v>696</v>
      </c>
      <c r="K214" s="26" t="s">
        <v>296</v>
      </c>
      <c r="L214" s="26" t="s">
        <v>80</v>
      </c>
      <c r="M214" s="26" t="s">
        <v>77</v>
      </c>
      <c r="N214" s="26">
        <v>47</v>
      </c>
      <c r="O214" s="26">
        <v>29</v>
      </c>
      <c r="P214" s="26">
        <v>18</v>
      </c>
      <c r="Q214" s="26">
        <v>0</v>
      </c>
      <c r="R214" s="26">
        <v>1</v>
      </c>
      <c r="S214" s="26">
        <v>5</v>
      </c>
      <c r="T214" s="26">
        <v>2</v>
      </c>
      <c r="U214" s="26">
        <v>8</v>
      </c>
      <c r="V214" s="26">
        <v>1</v>
      </c>
    </row>
    <row r="215" spans="1:22" x14ac:dyDescent="0.25">
      <c r="A215" s="26" t="s">
        <v>2400</v>
      </c>
      <c r="B215" s="26" t="s">
        <v>3050</v>
      </c>
      <c r="C215" s="26" t="s">
        <v>3051</v>
      </c>
      <c r="D215" s="26" t="s">
        <v>179</v>
      </c>
      <c r="E215" s="26" t="s">
        <v>3052</v>
      </c>
      <c r="F215" s="26" t="s">
        <v>2709</v>
      </c>
      <c r="G215" s="26" t="s">
        <v>293</v>
      </c>
      <c r="H215" s="26" t="s">
        <v>1693</v>
      </c>
      <c r="I215" s="26" t="s">
        <v>1259</v>
      </c>
      <c r="J215" s="26" t="s">
        <v>696</v>
      </c>
      <c r="K215" s="26" t="s">
        <v>296</v>
      </c>
      <c r="L215" s="26" t="s">
        <v>80</v>
      </c>
      <c r="M215" s="26" t="s">
        <v>77</v>
      </c>
      <c r="N215" s="26">
        <v>191</v>
      </c>
      <c r="O215" s="26">
        <v>136</v>
      </c>
      <c r="P215" s="26">
        <v>55</v>
      </c>
      <c r="Q215" s="26">
        <v>0</v>
      </c>
      <c r="R215" s="26">
        <v>1</v>
      </c>
      <c r="S215" s="26">
        <v>5</v>
      </c>
      <c r="T215" s="26">
        <v>4</v>
      </c>
      <c r="U215" s="26">
        <v>10</v>
      </c>
      <c r="V215" s="26">
        <v>1</v>
      </c>
    </row>
    <row r="216" spans="1:22" x14ac:dyDescent="0.25">
      <c r="A216" s="26" t="s">
        <v>2400</v>
      </c>
      <c r="B216" s="26" t="s">
        <v>3053</v>
      </c>
      <c r="C216" s="26" t="s">
        <v>3054</v>
      </c>
      <c r="D216" s="26" t="s">
        <v>179</v>
      </c>
      <c r="E216" s="26" t="s">
        <v>4065</v>
      </c>
      <c r="F216" s="26" t="s">
        <v>745</v>
      </c>
      <c r="G216" s="26" t="s">
        <v>265</v>
      </c>
      <c r="H216" s="26" t="s">
        <v>594</v>
      </c>
      <c r="I216" s="26" t="s">
        <v>184</v>
      </c>
      <c r="J216" s="26" t="s">
        <v>2411</v>
      </c>
      <c r="K216" s="26" t="s">
        <v>2405</v>
      </c>
      <c r="L216" s="26" t="s">
        <v>79</v>
      </c>
      <c r="M216" s="26" t="s">
        <v>77</v>
      </c>
      <c r="N216" s="26">
        <v>82</v>
      </c>
      <c r="O216" s="26">
        <v>51</v>
      </c>
      <c r="P216" s="26">
        <v>31</v>
      </c>
      <c r="Q216" s="26">
        <v>0</v>
      </c>
      <c r="R216" s="26">
        <v>1</v>
      </c>
      <c r="S216" s="26">
        <v>5</v>
      </c>
      <c r="T216" s="26">
        <v>3</v>
      </c>
      <c r="U216" s="26">
        <v>9</v>
      </c>
      <c r="V216" s="26">
        <v>1</v>
      </c>
    </row>
    <row r="217" spans="1:22" x14ac:dyDescent="0.25">
      <c r="A217" s="26" t="s">
        <v>2400</v>
      </c>
      <c r="B217" s="26" t="s">
        <v>3055</v>
      </c>
      <c r="C217" s="26" t="s">
        <v>3056</v>
      </c>
      <c r="D217" s="26" t="s">
        <v>179</v>
      </c>
      <c r="E217" s="26" t="s">
        <v>4066</v>
      </c>
      <c r="F217" s="26" t="s">
        <v>3057</v>
      </c>
      <c r="G217" s="26" t="s">
        <v>265</v>
      </c>
      <c r="H217" s="26" t="s">
        <v>294</v>
      </c>
      <c r="I217" s="26" t="s">
        <v>184</v>
      </c>
      <c r="J217" s="26" t="s">
        <v>2411</v>
      </c>
      <c r="K217" s="26" t="s">
        <v>2405</v>
      </c>
      <c r="L217" s="26" t="s">
        <v>79</v>
      </c>
      <c r="M217" s="26" t="s">
        <v>77</v>
      </c>
      <c r="N217" s="26">
        <v>72</v>
      </c>
      <c r="O217" s="26">
        <v>43</v>
      </c>
      <c r="P217" s="26">
        <v>29</v>
      </c>
      <c r="Q217" s="26">
        <v>0</v>
      </c>
      <c r="R217" s="26">
        <v>1</v>
      </c>
      <c r="S217" s="26">
        <v>8</v>
      </c>
      <c r="T217" s="26">
        <v>2</v>
      </c>
      <c r="U217" s="26">
        <v>11</v>
      </c>
      <c r="V217" s="26">
        <v>1</v>
      </c>
    </row>
    <row r="218" spans="1:22" x14ac:dyDescent="0.25">
      <c r="A218" s="26" t="s">
        <v>2400</v>
      </c>
      <c r="B218" s="26" t="s">
        <v>3058</v>
      </c>
      <c r="C218" s="26" t="s">
        <v>3059</v>
      </c>
      <c r="D218" s="26" t="s">
        <v>179</v>
      </c>
      <c r="E218" s="26" t="s">
        <v>4067</v>
      </c>
      <c r="F218" s="26" t="s">
        <v>2748</v>
      </c>
      <c r="G218" s="26" t="s">
        <v>265</v>
      </c>
      <c r="H218" s="26" t="s">
        <v>351</v>
      </c>
      <c r="I218" s="26" t="s">
        <v>184</v>
      </c>
      <c r="J218" s="26" t="s">
        <v>2411</v>
      </c>
      <c r="K218" s="26" t="s">
        <v>2405</v>
      </c>
      <c r="L218" s="26" t="s">
        <v>79</v>
      </c>
      <c r="M218" s="26" t="s">
        <v>77</v>
      </c>
      <c r="N218" s="26">
        <v>86</v>
      </c>
      <c r="O218" s="26">
        <v>50</v>
      </c>
      <c r="P218" s="26">
        <v>36</v>
      </c>
      <c r="Q218" s="26">
        <v>0</v>
      </c>
      <c r="R218" s="26">
        <v>1</v>
      </c>
      <c r="S218" s="26">
        <v>7</v>
      </c>
      <c r="T218" s="26">
        <v>3</v>
      </c>
      <c r="U218" s="26">
        <v>11</v>
      </c>
      <c r="V218" s="26">
        <v>1</v>
      </c>
    </row>
    <row r="219" spans="1:22" x14ac:dyDescent="0.25">
      <c r="A219" s="26" t="s">
        <v>2400</v>
      </c>
      <c r="B219" s="26" t="s">
        <v>3060</v>
      </c>
      <c r="C219" s="26" t="s">
        <v>3061</v>
      </c>
      <c r="D219" s="26" t="s">
        <v>179</v>
      </c>
      <c r="E219" s="26" t="s">
        <v>4068</v>
      </c>
      <c r="F219" s="26" t="s">
        <v>582</v>
      </c>
      <c r="G219" s="26" t="s">
        <v>265</v>
      </c>
      <c r="H219" s="26" t="s">
        <v>351</v>
      </c>
      <c r="I219" s="26" t="s">
        <v>184</v>
      </c>
      <c r="J219" s="26" t="s">
        <v>2411</v>
      </c>
      <c r="K219" s="26" t="s">
        <v>2405</v>
      </c>
      <c r="L219" s="26" t="s">
        <v>79</v>
      </c>
      <c r="M219" s="26" t="s">
        <v>77</v>
      </c>
      <c r="N219" s="26">
        <v>46</v>
      </c>
      <c r="O219" s="26">
        <v>32</v>
      </c>
      <c r="P219" s="26">
        <v>14</v>
      </c>
      <c r="Q219" s="26">
        <v>0</v>
      </c>
      <c r="R219" s="26">
        <v>1</v>
      </c>
      <c r="S219" s="26">
        <v>8</v>
      </c>
      <c r="T219" s="26">
        <v>4</v>
      </c>
      <c r="U219" s="26">
        <v>13</v>
      </c>
      <c r="V219" s="26">
        <v>1</v>
      </c>
    </row>
    <row r="220" spans="1:22" x14ac:dyDescent="0.25">
      <c r="A220" s="26" t="s">
        <v>2400</v>
      </c>
      <c r="B220" s="26" t="s">
        <v>3062</v>
      </c>
      <c r="C220" s="26" t="s">
        <v>3063</v>
      </c>
      <c r="D220" s="26" t="s">
        <v>179</v>
      </c>
      <c r="E220" s="26" t="s">
        <v>3064</v>
      </c>
      <c r="F220" s="26" t="s">
        <v>3065</v>
      </c>
      <c r="G220" s="26" t="s">
        <v>265</v>
      </c>
      <c r="H220" s="26" t="s">
        <v>294</v>
      </c>
      <c r="I220" s="26" t="s">
        <v>184</v>
      </c>
      <c r="J220" s="26" t="s">
        <v>2411</v>
      </c>
      <c r="K220" s="26" t="s">
        <v>2405</v>
      </c>
      <c r="L220" s="26" t="s">
        <v>79</v>
      </c>
      <c r="M220" s="26" t="s">
        <v>77</v>
      </c>
      <c r="N220" s="26">
        <v>69</v>
      </c>
      <c r="O220" s="26">
        <v>51</v>
      </c>
      <c r="P220" s="26">
        <v>18</v>
      </c>
      <c r="Q220" s="26">
        <v>0</v>
      </c>
      <c r="R220" s="26">
        <v>1</v>
      </c>
      <c r="S220" s="26">
        <v>7</v>
      </c>
      <c r="T220" s="26">
        <v>4</v>
      </c>
      <c r="U220" s="26">
        <v>12</v>
      </c>
      <c r="V220" s="26">
        <v>1</v>
      </c>
    </row>
    <row r="221" spans="1:22" x14ac:dyDescent="0.25">
      <c r="A221" s="26" t="s">
        <v>2400</v>
      </c>
      <c r="B221" s="26" t="s">
        <v>3066</v>
      </c>
      <c r="C221" s="26" t="s">
        <v>3067</v>
      </c>
      <c r="D221" s="26" t="s">
        <v>179</v>
      </c>
      <c r="E221" s="26" t="s">
        <v>3068</v>
      </c>
      <c r="F221" s="26" t="s">
        <v>1168</v>
      </c>
      <c r="G221" s="26" t="s">
        <v>265</v>
      </c>
      <c r="H221" s="26" t="s">
        <v>926</v>
      </c>
      <c r="I221" s="26" t="s">
        <v>184</v>
      </c>
      <c r="J221" s="26" t="s">
        <v>2411</v>
      </c>
      <c r="K221" s="26" t="s">
        <v>2405</v>
      </c>
      <c r="L221" s="26" t="s">
        <v>79</v>
      </c>
      <c r="M221" s="26" t="s">
        <v>77</v>
      </c>
      <c r="N221" s="26">
        <v>89</v>
      </c>
      <c r="O221" s="26">
        <v>59</v>
      </c>
      <c r="P221" s="26">
        <v>30</v>
      </c>
      <c r="Q221" s="26">
        <v>0</v>
      </c>
      <c r="R221" s="26">
        <v>1</v>
      </c>
      <c r="S221" s="26">
        <v>6</v>
      </c>
      <c r="T221" s="26">
        <v>2</v>
      </c>
      <c r="U221" s="26">
        <v>9</v>
      </c>
      <c r="V221" s="26">
        <v>1</v>
      </c>
    </row>
    <row r="222" spans="1:22" x14ac:dyDescent="0.25">
      <c r="A222" s="26" t="s">
        <v>2400</v>
      </c>
      <c r="B222" s="26" t="s">
        <v>3069</v>
      </c>
      <c r="C222" s="26" t="s">
        <v>3070</v>
      </c>
      <c r="D222" s="26" t="s">
        <v>179</v>
      </c>
      <c r="E222" s="26" t="s">
        <v>3071</v>
      </c>
      <c r="F222" s="26" t="s">
        <v>3072</v>
      </c>
      <c r="G222" s="26" t="s">
        <v>676</v>
      </c>
      <c r="H222" s="26" t="s">
        <v>1026</v>
      </c>
      <c r="I222" s="26" t="s">
        <v>184</v>
      </c>
      <c r="J222" s="26" t="s">
        <v>2404</v>
      </c>
      <c r="K222" s="26" t="s">
        <v>2405</v>
      </c>
      <c r="L222" s="26" t="s">
        <v>79</v>
      </c>
      <c r="M222" s="26" t="s">
        <v>77</v>
      </c>
      <c r="N222" s="26">
        <v>102</v>
      </c>
      <c r="O222" s="26">
        <v>60</v>
      </c>
      <c r="P222" s="26">
        <v>42</v>
      </c>
      <c r="Q222" s="26">
        <v>0</v>
      </c>
      <c r="R222" s="26">
        <v>1</v>
      </c>
      <c r="S222" s="26">
        <v>8</v>
      </c>
      <c r="T222" s="26">
        <v>3</v>
      </c>
      <c r="U222" s="26">
        <v>12</v>
      </c>
      <c r="V222" s="26">
        <v>1</v>
      </c>
    </row>
    <row r="223" spans="1:22" x14ac:dyDescent="0.25">
      <c r="A223" s="26" t="s">
        <v>2400</v>
      </c>
      <c r="B223" s="26" t="s">
        <v>3073</v>
      </c>
      <c r="C223" s="26" t="s">
        <v>3074</v>
      </c>
      <c r="D223" s="26" t="s">
        <v>179</v>
      </c>
      <c r="E223" s="26" t="s">
        <v>3075</v>
      </c>
      <c r="F223" s="26" t="s">
        <v>3076</v>
      </c>
      <c r="G223" s="26" t="s">
        <v>204</v>
      </c>
      <c r="H223" s="26" t="s">
        <v>643</v>
      </c>
      <c r="I223" s="26" t="s">
        <v>184</v>
      </c>
      <c r="J223" s="26" t="s">
        <v>2411</v>
      </c>
      <c r="K223" s="26" t="s">
        <v>2405</v>
      </c>
      <c r="L223" s="26" t="s">
        <v>79</v>
      </c>
      <c r="M223" s="26" t="s">
        <v>77</v>
      </c>
      <c r="N223" s="26">
        <v>54</v>
      </c>
      <c r="O223" s="26">
        <v>39</v>
      </c>
      <c r="P223" s="26">
        <v>15</v>
      </c>
      <c r="Q223" s="26">
        <v>0</v>
      </c>
      <c r="R223" s="26">
        <v>1</v>
      </c>
      <c r="S223" s="26">
        <v>7</v>
      </c>
      <c r="T223" s="26">
        <v>3</v>
      </c>
      <c r="U223" s="26">
        <v>11</v>
      </c>
      <c r="V223" s="26">
        <v>1</v>
      </c>
    </row>
    <row r="224" spans="1:22" x14ac:dyDescent="0.25">
      <c r="A224" s="26" t="s">
        <v>2400</v>
      </c>
      <c r="B224" s="26" t="s">
        <v>3077</v>
      </c>
      <c r="C224" s="26" t="s">
        <v>3078</v>
      </c>
      <c r="D224" s="26" t="s">
        <v>179</v>
      </c>
      <c r="E224" s="26" t="s">
        <v>3079</v>
      </c>
      <c r="F224" s="26" t="s">
        <v>3080</v>
      </c>
      <c r="G224" s="26" t="s">
        <v>204</v>
      </c>
      <c r="H224" s="26" t="s">
        <v>677</v>
      </c>
      <c r="I224" s="26" t="s">
        <v>184</v>
      </c>
      <c r="J224" s="26" t="s">
        <v>2411</v>
      </c>
      <c r="K224" s="26" t="s">
        <v>2405</v>
      </c>
      <c r="L224" s="26" t="s">
        <v>79</v>
      </c>
      <c r="M224" s="26" t="s">
        <v>77</v>
      </c>
      <c r="N224" s="26">
        <v>105</v>
      </c>
      <c r="O224" s="26">
        <v>68</v>
      </c>
      <c r="P224" s="26">
        <v>37</v>
      </c>
      <c r="Q224" s="26">
        <v>0</v>
      </c>
      <c r="R224" s="26">
        <v>1</v>
      </c>
      <c r="S224" s="26">
        <v>10</v>
      </c>
      <c r="T224" s="26">
        <v>4</v>
      </c>
      <c r="U224" s="26">
        <v>15</v>
      </c>
      <c r="V224" s="26">
        <v>1</v>
      </c>
    </row>
    <row r="225" spans="1:22" x14ac:dyDescent="0.25">
      <c r="A225" s="26" t="s">
        <v>2400</v>
      </c>
      <c r="B225" s="26" t="s">
        <v>3081</v>
      </c>
      <c r="C225" s="26" t="s">
        <v>3082</v>
      </c>
      <c r="D225" s="26" t="s">
        <v>179</v>
      </c>
      <c r="E225" s="26" t="s">
        <v>3083</v>
      </c>
      <c r="F225" s="26" t="s">
        <v>243</v>
      </c>
      <c r="G225" s="26" t="s">
        <v>210</v>
      </c>
      <c r="H225" s="26" t="s">
        <v>756</v>
      </c>
      <c r="I225" s="26" t="s">
        <v>184</v>
      </c>
      <c r="J225" s="26" t="s">
        <v>2448</v>
      </c>
      <c r="K225" s="26" t="s">
        <v>2405</v>
      </c>
      <c r="L225" s="26" t="s">
        <v>79</v>
      </c>
      <c r="M225" s="26" t="s">
        <v>77</v>
      </c>
      <c r="N225" s="26">
        <v>65</v>
      </c>
      <c r="O225" s="26">
        <v>43</v>
      </c>
      <c r="P225" s="26">
        <v>22</v>
      </c>
      <c r="Q225" s="26">
        <v>0</v>
      </c>
      <c r="R225" s="26">
        <v>1</v>
      </c>
      <c r="S225" s="26">
        <v>10</v>
      </c>
      <c r="T225" s="26">
        <v>4</v>
      </c>
      <c r="U225" s="26">
        <v>15</v>
      </c>
      <c r="V225" s="26">
        <v>1</v>
      </c>
    </row>
    <row r="226" spans="1:22" x14ac:dyDescent="0.25">
      <c r="A226" s="26" t="s">
        <v>2400</v>
      </c>
      <c r="B226" s="26" t="s">
        <v>3084</v>
      </c>
      <c r="C226" s="26" t="s">
        <v>3085</v>
      </c>
      <c r="D226" s="26" t="s">
        <v>2408</v>
      </c>
      <c r="E226" s="26" t="s">
        <v>3086</v>
      </c>
      <c r="F226" s="26" t="s">
        <v>243</v>
      </c>
      <c r="G226" s="26" t="s">
        <v>210</v>
      </c>
      <c r="H226" s="26" t="s">
        <v>756</v>
      </c>
      <c r="I226" s="26" t="s">
        <v>184</v>
      </c>
      <c r="J226" s="26" t="s">
        <v>2448</v>
      </c>
      <c r="K226" s="26" t="s">
        <v>2405</v>
      </c>
      <c r="L226" s="26" t="s">
        <v>79</v>
      </c>
      <c r="M226" s="26" t="s">
        <v>77</v>
      </c>
      <c r="N226" s="26">
        <v>30</v>
      </c>
      <c r="O226" s="26">
        <v>18</v>
      </c>
      <c r="P226" s="26">
        <v>12</v>
      </c>
      <c r="Q226" s="26">
        <v>0</v>
      </c>
      <c r="R226" s="26">
        <v>1</v>
      </c>
      <c r="S226" s="26">
        <v>9</v>
      </c>
      <c r="T226" s="26">
        <v>3</v>
      </c>
      <c r="U226" s="26">
        <v>13</v>
      </c>
      <c r="V226" s="26">
        <v>1</v>
      </c>
    </row>
    <row r="227" spans="1:22" x14ac:dyDescent="0.25">
      <c r="A227" s="26" t="s">
        <v>2400</v>
      </c>
      <c r="B227" s="26" t="s">
        <v>3087</v>
      </c>
      <c r="C227" s="26" t="s">
        <v>3088</v>
      </c>
      <c r="D227" s="26" t="s">
        <v>179</v>
      </c>
      <c r="E227" s="26" t="s">
        <v>3089</v>
      </c>
      <c r="F227" s="26" t="s">
        <v>3007</v>
      </c>
      <c r="G227" s="26" t="s">
        <v>210</v>
      </c>
      <c r="H227" s="26" t="s">
        <v>301</v>
      </c>
      <c r="I227" s="26" t="s">
        <v>184</v>
      </c>
      <c r="J227" s="26" t="s">
        <v>2448</v>
      </c>
      <c r="K227" s="26" t="s">
        <v>2405</v>
      </c>
      <c r="L227" s="26" t="s">
        <v>79</v>
      </c>
      <c r="M227" s="26" t="s">
        <v>77</v>
      </c>
      <c r="N227" s="26">
        <v>12</v>
      </c>
      <c r="O227" s="26">
        <v>9</v>
      </c>
      <c r="P227" s="26">
        <v>3</v>
      </c>
      <c r="Q227" s="26">
        <v>0</v>
      </c>
      <c r="R227" s="26">
        <v>1</v>
      </c>
      <c r="S227" s="26">
        <v>7</v>
      </c>
      <c r="T227" s="26">
        <v>3</v>
      </c>
      <c r="U227" s="26">
        <v>11</v>
      </c>
      <c r="V227" s="26">
        <v>1</v>
      </c>
    </row>
    <row r="228" spans="1:22" x14ac:dyDescent="0.25">
      <c r="A228" s="26" t="s">
        <v>2400</v>
      </c>
      <c r="B228" s="26" t="s">
        <v>3090</v>
      </c>
      <c r="C228" s="26" t="s">
        <v>3091</v>
      </c>
      <c r="D228" s="26" t="s">
        <v>2408</v>
      </c>
      <c r="E228" s="26" t="s">
        <v>4017</v>
      </c>
      <c r="F228" s="26" t="s">
        <v>2495</v>
      </c>
      <c r="G228" s="26" t="s">
        <v>210</v>
      </c>
      <c r="H228" s="26" t="s">
        <v>523</v>
      </c>
      <c r="I228" s="26" t="s">
        <v>184</v>
      </c>
      <c r="J228" s="26" t="s">
        <v>2448</v>
      </c>
      <c r="K228" s="26" t="s">
        <v>2405</v>
      </c>
      <c r="L228" s="26" t="s">
        <v>79</v>
      </c>
      <c r="M228" s="26" t="s">
        <v>77</v>
      </c>
      <c r="N228" s="26">
        <v>60</v>
      </c>
      <c r="O228" s="26">
        <v>36</v>
      </c>
      <c r="P228" s="26">
        <v>24</v>
      </c>
      <c r="Q228" s="26">
        <v>0</v>
      </c>
      <c r="R228" s="26">
        <v>1</v>
      </c>
      <c r="S228" s="26">
        <v>7</v>
      </c>
      <c r="T228" s="26">
        <v>2</v>
      </c>
      <c r="U228" s="26">
        <v>10</v>
      </c>
      <c r="V228" s="26">
        <v>1</v>
      </c>
    </row>
    <row r="229" spans="1:22" x14ac:dyDescent="0.25">
      <c r="A229" s="26" t="s">
        <v>2400</v>
      </c>
      <c r="B229" s="26" t="s">
        <v>3092</v>
      </c>
      <c r="C229" s="26" t="s">
        <v>3093</v>
      </c>
      <c r="D229" s="26" t="s">
        <v>179</v>
      </c>
      <c r="E229" s="26" t="s">
        <v>3094</v>
      </c>
      <c r="F229" s="26" t="s">
        <v>890</v>
      </c>
      <c r="G229" s="26" t="s">
        <v>210</v>
      </c>
      <c r="H229" s="26" t="s">
        <v>1026</v>
      </c>
      <c r="I229" s="26" t="s">
        <v>184</v>
      </c>
      <c r="J229" s="26" t="s">
        <v>2448</v>
      </c>
      <c r="K229" s="26" t="s">
        <v>2405</v>
      </c>
      <c r="L229" s="26" t="s">
        <v>79</v>
      </c>
      <c r="M229" s="26" t="s">
        <v>77</v>
      </c>
      <c r="N229" s="26">
        <v>33</v>
      </c>
      <c r="O229" s="26">
        <v>13</v>
      </c>
      <c r="P229" s="26">
        <v>20</v>
      </c>
      <c r="Q229" s="26">
        <v>0</v>
      </c>
      <c r="R229" s="26">
        <v>1</v>
      </c>
      <c r="S229" s="26">
        <v>8</v>
      </c>
      <c r="T229" s="26">
        <v>3</v>
      </c>
      <c r="U229" s="26">
        <v>12</v>
      </c>
      <c r="V229" s="26">
        <v>1</v>
      </c>
    </row>
    <row r="230" spans="1:22" x14ac:dyDescent="0.25">
      <c r="A230" s="26" t="s">
        <v>2400</v>
      </c>
      <c r="B230" s="26" t="s">
        <v>3095</v>
      </c>
      <c r="C230" s="26" t="s">
        <v>3096</v>
      </c>
      <c r="D230" s="26" t="s">
        <v>2408</v>
      </c>
      <c r="E230" s="26" t="s">
        <v>3097</v>
      </c>
      <c r="F230" s="26" t="s">
        <v>3098</v>
      </c>
      <c r="G230" s="26" t="s">
        <v>210</v>
      </c>
      <c r="H230" s="26" t="s">
        <v>294</v>
      </c>
      <c r="I230" s="26" t="s">
        <v>184</v>
      </c>
      <c r="J230" s="26" t="s">
        <v>2448</v>
      </c>
      <c r="K230" s="26" t="s">
        <v>2405</v>
      </c>
      <c r="L230" s="26" t="s">
        <v>79</v>
      </c>
      <c r="M230" s="26" t="s">
        <v>77</v>
      </c>
      <c r="N230" s="26">
        <v>63</v>
      </c>
      <c r="O230" s="26">
        <v>28</v>
      </c>
      <c r="P230" s="26">
        <v>35</v>
      </c>
      <c r="Q230" s="26">
        <v>0</v>
      </c>
      <c r="R230" s="26">
        <v>1</v>
      </c>
      <c r="S230" s="26">
        <v>9</v>
      </c>
      <c r="T230" s="26">
        <v>1</v>
      </c>
      <c r="U230" s="26">
        <v>11</v>
      </c>
      <c r="V230" s="26">
        <v>1</v>
      </c>
    </row>
    <row r="231" spans="1:22" x14ac:dyDescent="0.25">
      <c r="A231" s="26" t="s">
        <v>2400</v>
      </c>
      <c r="B231" s="26" t="s">
        <v>3099</v>
      </c>
      <c r="C231" s="26" t="s">
        <v>3100</v>
      </c>
      <c r="D231" s="26" t="s">
        <v>2408</v>
      </c>
      <c r="E231" s="26" t="s">
        <v>3101</v>
      </c>
      <c r="F231" s="26" t="s">
        <v>2250</v>
      </c>
      <c r="G231" s="26" t="s">
        <v>210</v>
      </c>
      <c r="H231" s="26" t="s">
        <v>926</v>
      </c>
      <c r="I231" s="26" t="s">
        <v>184</v>
      </c>
      <c r="J231" s="26" t="s">
        <v>2448</v>
      </c>
      <c r="K231" s="26" t="s">
        <v>2405</v>
      </c>
      <c r="L231" s="26" t="s">
        <v>79</v>
      </c>
      <c r="M231" s="26" t="s">
        <v>77</v>
      </c>
      <c r="N231" s="26">
        <v>37</v>
      </c>
      <c r="O231" s="26">
        <v>16</v>
      </c>
      <c r="P231" s="26">
        <v>21</v>
      </c>
      <c r="Q231" s="26">
        <v>0</v>
      </c>
      <c r="R231" s="26">
        <v>1</v>
      </c>
      <c r="S231" s="26">
        <v>9</v>
      </c>
      <c r="T231" s="26">
        <v>2</v>
      </c>
      <c r="U231" s="26">
        <v>12</v>
      </c>
      <c r="V231" s="26">
        <v>1</v>
      </c>
    </row>
    <row r="232" spans="1:22" x14ac:dyDescent="0.25">
      <c r="A232" s="26" t="s">
        <v>2400</v>
      </c>
      <c r="B232" s="26" t="s">
        <v>3102</v>
      </c>
      <c r="C232" s="26" t="s">
        <v>3103</v>
      </c>
      <c r="D232" s="26" t="s">
        <v>179</v>
      </c>
      <c r="E232" s="26" t="s">
        <v>3104</v>
      </c>
      <c r="F232" s="26" t="s">
        <v>269</v>
      </c>
      <c r="G232" s="26" t="s">
        <v>210</v>
      </c>
      <c r="H232" s="26" t="s">
        <v>321</v>
      </c>
      <c r="I232" s="26" t="s">
        <v>184</v>
      </c>
      <c r="J232" s="26" t="s">
        <v>2448</v>
      </c>
      <c r="K232" s="26" t="s">
        <v>2405</v>
      </c>
      <c r="L232" s="26" t="s">
        <v>79</v>
      </c>
      <c r="M232" s="26" t="s">
        <v>77</v>
      </c>
      <c r="N232" s="26">
        <v>39</v>
      </c>
      <c r="O232" s="26">
        <v>22</v>
      </c>
      <c r="P232" s="26">
        <v>17</v>
      </c>
      <c r="Q232" s="26">
        <v>0</v>
      </c>
      <c r="R232" s="26">
        <v>1</v>
      </c>
      <c r="S232" s="26">
        <v>7</v>
      </c>
      <c r="T232" s="26">
        <v>4</v>
      </c>
      <c r="U232" s="26">
        <v>12</v>
      </c>
      <c r="V232" s="26">
        <v>1</v>
      </c>
    </row>
    <row r="233" spans="1:22" x14ac:dyDescent="0.25">
      <c r="A233" s="26" t="s">
        <v>2400</v>
      </c>
      <c r="B233" s="26" t="s">
        <v>3105</v>
      </c>
      <c r="C233" s="26" t="s">
        <v>3106</v>
      </c>
      <c r="D233" s="26" t="s">
        <v>179</v>
      </c>
      <c r="E233" s="26" t="s">
        <v>3107</v>
      </c>
      <c r="F233" s="26" t="s">
        <v>897</v>
      </c>
      <c r="G233" s="26" t="s">
        <v>210</v>
      </c>
      <c r="H233" s="26" t="s">
        <v>351</v>
      </c>
      <c r="I233" s="26" t="s">
        <v>184</v>
      </c>
      <c r="J233" s="26" t="s">
        <v>2448</v>
      </c>
      <c r="K233" s="26" t="s">
        <v>2405</v>
      </c>
      <c r="L233" s="26" t="s">
        <v>79</v>
      </c>
      <c r="M233" s="26" t="s">
        <v>77</v>
      </c>
      <c r="N233" s="26">
        <v>58</v>
      </c>
      <c r="O233" s="26">
        <v>45</v>
      </c>
      <c r="P233" s="26">
        <v>13</v>
      </c>
      <c r="Q233" s="26">
        <v>0</v>
      </c>
      <c r="R233" s="26">
        <v>1</v>
      </c>
      <c r="S233" s="26">
        <v>8</v>
      </c>
      <c r="T233" s="26">
        <v>2</v>
      </c>
      <c r="U233" s="26">
        <v>11</v>
      </c>
      <c r="V233" s="26">
        <v>1</v>
      </c>
    </row>
    <row r="234" spans="1:22" x14ac:dyDescent="0.25">
      <c r="A234" s="26" t="s">
        <v>2400</v>
      </c>
      <c r="B234" s="26" t="s">
        <v>3108</v>
      </c>
      <c r="C234" s="26" t="s">
        <v>3109</v>
      </c>
      <c r="D234" s="26" t="s">
        <v>179</v>
      </c>
      <c r="E234" s="26" t="s">
        <v>3110</v>
      </c>
      <c r="F234" s="26" t="s">
        <v>3111</v>
      </c>
      <c r="G234" s="26" t="s">
        <v>210</v>
      </c>
      <c r="H234" s="26" t="s">
        <v>321</v>
      </c>
      <c r="I234" s="26" t="s">
        <v>184</v>
      </c>
      <c r="J234" s="26" t="s">
        <v>2448</v>
      </c>
      <c r="K234" s="26" t="s">
        <v>2405</v>
      </c>
      <c r="L234" s="26" t="s">
        <v>79</v>
      </c>
      <c r="M234" s="26" t="s">
        <v>77</v>
      </c>
      <c r="N234" s="26">
        <v>44</v>
      </c>
      <c r="O234" s="26">
        <v>34</v>
      </c>
      <c r="P234" s="26">
        <v>10</v>
      </c>
      <c r="Q234" s="26">
        <v>0</v>
      </c>
      <c r="R234" s="26">
        <v>1</v>
      </c>
      <c r="S234" s="26">
        <v>7</v>
      </c>
      <c r="T234" s="26">
        <v>2</v>
      </c>
      <c r="U234" s="26">
        <v>10</v>
      </c>
      <c r="V234" s="26">
        <v>1</v>
      </c>
    </row>
    <row r="235" spans="1:22" x14ac:dyDescent="0.25">
      <c r="A235" s="26" t="s">
        <v>2400</v>
      </c>
      <c r="B235" s="26" t="s">
        <v>3112</v>
      </c>
      <c r="C235" s="26" t="s">
        <v>3113</v>
      </c>
      <c r="D235" s="26" t="s">
        <v>179</v>
      </c>
      <c r="E235" s="26" t="s">
        <v>4069</v>
      </c>
      <c r="F235" s="26" t="s">
        <v>3114</v>
      </c>
      <c r="G235" s="26" t="s">
        <v>278</v>
      </c>
      <c r="H235" s="26" t="s">
        <v>643</v>
      </c>
      <c r="I235" s="26" t="s">
        <v>184</v>
      </c>
      <c r="J235" s="26" t="s">
        <v>2509</v>
      </c>
      <c r="K235" s="26" t="s">
        <v>2405</v>
      </c>
      <c r="L235" s="26" t="s">
        <v>79</v>
      </c>
      <c r="M235" s="26" t="s">
        <v>77</v>
      </c>
      <c r="N235" s="26">
        <v>41</v>
      </c>
      <c r="O235" s="26">
        <v>23</v>
      </c>
      <c r="P235" s="26">
        <v>18</v>
      </c>
      <c r="Q235" s="26">
        <v>0</v>
      </c>
      <c r="R235" s="26">
        <v>1</v>
      </c>
      <c r="S235" s="26">
        <v>4</v>
      </c>
      <c r="T235" s="26">
        <v>2</v>
      </c>
      <c r="U235" s="26">
        <v>7</v>
      </c>
      <c r="V235" s="26">
        <v>1</v>
      </c>
    </row>
    <row r="236" spans="1:22" x14ac:dyDescent="0.25">
      <c r="A236" s="26" t="s">
        <v>2400</v>
      </c>
      <c r="B236" s="26" t="s">
        <v>3115</v>
      </c>
      <c r="C236" s="26" t="s">
        <v>3116</v>
      </c>
      <c r="D236" s="26" t="s">
        <v>179</v>
      </c>
      <c r="E236" s="26" t="s">
        <v>4058</v>
      </c>
      <c r="F236" s="26" t="s">
        <v>598</v>
      </c>
      <c r="G236" s="26" t="s">
        <v>4126</v>
      </c>
      <c r="H236" s="26" t="s">
        <v>321</v>
      </c>
      <c r="I236" s="26" t="s">
        <v>184</v>
      </c>
      <c r="J236" s="26" t="s">
        <v>2411</v>
      </c>
      <c r="K236" s="26" t="s">
        <v>2405</v>
      </c>
      <c r="L236" s="26" t="s">
        <v>79</v>
      </c>
      <c r="M236" s="26" t="s">
        <v>77</v>
      </c>
      <c r="N236" s="26">
        <v>23</v>
      </c>
      <c r="O236" s="26">
        <v>12</v>
      </c>
      <c r="P236" s="26">
        <v>11</v>
      </c>
      <c r="Q236" s="26">
        <v>0</v>
      </c>
      <c r="R236" s="26">
        <v>1</v>
      </c>
      <c r="S236" s="26">
        <v>6</v>
      </c>
      <c r="T236" s="26">
        <v>4</v>
      </c>
      <c r="U236" s="26">
        <v>11</v>
      </c>
      <c r="V236" s="26">
        <v>1</v>
      </c>
    </row>
    <row r="237" spans="1:22" x14ac:dyDescent="0.25">
      <c r="A237" s="26" t="s">
        <v>2400</v>
      </c>
      <c r="B237" s="26" t="s">
        <v>3117</v>
      </c>
      <c r="C237" s="26" t="s">
        <v>3118</v>
      </c>
      <c r="D237" s="26" t="s">
        <v>2408</v>
      </c>
      <c r="E237" s="26" t="s">
        <v>4070</v>
      </c>
      <c r="F237" s="26" t="s">
        <v>598</v>
      </c>
      <c r="G237" s="26" t="s">
        <v>4126</v>
      </c>
      <c r="H237" s="26" t="s">
        <v>321</v>
      </c>
      <c r="I237" s="26" t="s">
        <v>184</v>
      </c>
      <c r="J237" s="26" t="s">
        <v>2411</v>
      </c>
      <c r="K237" s="26" t="s">
        <v>2405</v>
      </c>
      <c r="L237" s="26" t="s">
        <v>79</v>
      </c>
      <c r="M237" s="26" t="s">
        <v>77</v>
      </c>
      <c r="N237" s="26">
        <v>13</v>
      </c>
      <c r="O237" s="26">
        <v>7</v>
      </c>
      <c r="P237" s="26">
        <v>6</v>
      </c>
      <c r="Q237" s="26">
        <v>0</v>
      </c>
      <c r="R237" s="26">
        <v>1</v>
      </c>
      <c r="S237" s="26">
        <v>4</v>
      </c>
      <c r="T237" s="26">
        <v>3</v>
      </c>
      <c r="U237" s="26">
        <v>8</v>
      </c>
      <c r="V237" s="26">
        <v>1</v>
      </c>
    </row>
    <row r="238" spans="1:22" x14ac:dyDescent="0.25">
      <c r="A238" s="26" t="s">
        <v>2400</v>
      </c>
      <c r="B238" s="26" t="s">
        <v>3119</v>
      </c>
      <c r="C238" s="26" t="s">
        <v>3120</v>
      </c>
      <c r="D238" s="26" t="s">
        <v>179</v>
      </c>
      <c r="E238" s="26" t="s">
        <v>4071</v>
      </c>
      <c r="F238" s="26" t="s">
        <v>389</v>
      </c>
      <c r="G238" s="26" t="s">
        <v>4126</v>
      </c>
      <c r="H238" s="26" t="s">
        <v>756</v>
      </c>
      <c r="I238" s="26" t="s">
        <v>184</v>
      </c>
      <c r="J238" s="26" t="s">
        <v>2411</v>
      </c>
      <c r="K238" s="26" t="s">
        <v>2405</v>
      </c>
      <c r="L238" s="26" t="s">
        <v>79</v>
      </c>
      <c r="M238" s="26" t="s">
        <v>77</v>
      </c>
      <c r="N238" s="26">
        <v>46</v>
      </c>
      <c r="O238" s="26">
        <v>29</v>
      </c>
      <c r="P238" s="26">
        <v>17</v>
      </c>
      <c r="Q238" s="26">
        <v>0</v>
      </c>
      <c r="R238" s="26">
        <v>1</v>
      </c>
      <c r="S238" s="26">
        <v>8</v>
      </c>
      <c r="T238" s="26">
        <v>4</v>
      </c>
      <c r="U238" s="26">
        <v>13</v>
      </c>
      <c r="V238" s="26">
        <v>1</v>
      </c>
    </row>
    <row r="239" spans="1:22" x14ac:dyDescent="0.25">
      <c r="A239" s="26" t="s">
        <v>2400</v>
      </c>
      <c r="B239" s="26" t="s">
        <v>3121</v>
      </c>
      <c r="C239" s="26" t="s">
        <v>3122</v>
      </c>
      <c r="D239" s="26" t="s">
        <v>179</v>
      </c>
      <c r="E239" s="26" t="s">
        <v>4072</v>
      </c>
      <c r="F239" s="26" t="s">
        <v>3123</v>
      </c>
      <c r="G239" s="26" t="s">
        <v>487</v>
      </c>
      <c r="H239" s="26" t="s">
        <v>351</v>
      </c>
      <c r="I239" s="26" t="s">
        <v>184</v>
      </c>
      <c r="J239" s="26" t="s">
        <v>2404</v>
      </c>
      <c r="K239" s="26" t="s">
        <v>2405</v>
      </c>
      <c r="L239" s="26" t="s">
        <v>79</v>
      </c>
      <c r="M239" s="26" t="s">
        <v>77</v>
      </c>
      <c r="N239" s="26">
        <v>79</v>
      </c>
      <c r="O239" s="26">
        <v>44</v>
      </c>
      <c r="P239" s="26">
        <v>35</v>
      </c>
      <c r="Q239" s="26">
        <v>0</v>
      </c>
      <c r="R239" s="26">
        <v>1</v>
      </c>
      <c r="S239" s="26">
        <v>6</v>
      </c>
      <c r="T239" s="26">
        <v>1</v>
      </c>
      <c r="U239" s="26">
        <v>8</v>
      </c>
      <c r="V239" s="26">
        <v>1</v>
      </c>
    </row>
    <row r="240" spans="1:22" x14ac:dyDescent="0.25">
      <c r="A240" s="26" t="s">
        <v>2400</v>
      </c>
      <c r="B240" s="26" t="s">
        <v>3124</v>
      </c>
      <c r="C240" s="26" t="s">
        <v>3125</v>
      </c>
      <c r="D240" s="26" t="s">
        <v>2408</v>
      </c>
      <c r="E240" s="26" t="s">
        <v>4072</v>
      </c>
      <c r="F240" s="26" t="s">
        <v>3123</v>
      </c>
      <c r="G240" s="26" t="s">
        <v>487</v>
      </c>
      <c r="H240" s="26" t="s">
        <v>351</v>
      </c>
      <c r="I240" s="26" t="s">
        <v>184</v>
      </c>
      <c r="J240" s="26" t="s">
        <v>2404</v>
      </c>
      <c r="K240" s="26" t="s">
        <v>2405</v>
      </c>
      <c r="L240" s="26" t="s">
        <v>79</v>
      </c>
      <c r="M240" s="26" t="s">
        <v>77</v>
      </c>
      <c r="N240" s="26">
        <v>29</v>
      </c>
      <c r="O240" s="26">
        <v>16</v>
      </c>
      <c r="P240" s="26">
        <v>13</v>
      </c>
      <c r="Q240" s="26">
        <v>0</v>
      </c>
      <c r="R240" s="26">
        <v>1</v>
      </c>
      <c r="S240" s="26">
        <v>3</v>
      </c>
      <c r="T240" s="26">
        <v>0</v>
      </c>
      <c r="U240" s="26">
        <v>4</v>
      </c>
      <c r="V240" s="26">
        <v>1</v>
      </c>
    </row>
    <row r="241" spans="1:22" x14ac:dyDescent="0.25">
      <c r="A241" s="26" t="s">
        <v>2400</v>
      </c>
      <c r="B241" s="26" t="s">
        <v>3126</v>
      </c>
      <c r="C241" s="26" t="s">
        <v>3127</v>
      </c>
      <c r="D241" s="26" t="s">
        <v>179</v>
      </c>
      <c r="E241" s="26" t="s">
        <v>3128</v>
      </c>
      <c r="F241" s="26" t="s">
        <v>937</v>
      </c>
      <c r="G241" s="26" t="s">
        <v>487</v>
      </c>
      <c r="H241" s="26" t="s">
        <v>643</v>
      </c>
      <c r="I241" s="26" t="s">
        <v>184</v>
      </c>
      <c r="J241" s="26" t="s">
        <v>2404</v>
      </c>
      <c r="K241" s="26" t="s">
        <v>2405</v>
      </c>
      <c r="L241" s="26" t="s">
        <v>79</v>
      </c>
      <c r="M241" s="26" t="s">
        <v>77</v>
      </c>
      <c r="N241" s="26">
        <v>67</v>
      </c>
      <c r="O241" s="26">
        <v>44</v>
      </c>
      <c r="P241" s="26">
        <v>23</v>
      </c>
      <c r="Q241" s="26">
        <v>0</v>
      </c>
      <c r="R241" s="26">
        <v>1</v>
      </c>
      <c r="S241" s="26">
        <v>7</v>
      </c>
      <c r="T241" s="26">
        <v>1</v>
      </c>
      <c r="U241" s="26">
        <v>9</v>
      </c>
      <c r="V241" s="26">
        <v>1</v>
      </c>
    </row>
    <row r="242" spans="1:22" x14ac:dyDescent="0.25">
      <c r="A242" s="26" t="s">
        <v>2400</v>
      </c>
      <c r="B242" s="26" t="s">
        <v>3129</v>
      </c>
      <c r="C242" s="26" t="s">
        <v>3130</v>
      </c>
      <c r="D242" s="26" t="s">
        <v>179</v>
      </c>
      <c r="E242" s="26" t="s">
        <v>3131</v>
      </c>
      <c r="F242" s="26" t="s">
        <v>3132</v>
      </c>
      <c r="G242" s="26" t="s">
        <v>487</v>
      </c>
      <c r="H242" s="26" t="s">
        <v>1693</v>
      </c>
      <c r="I242" s="26" t="s">
        <v>184</v>
      </c>
      <c r="J242" s="26" t="s">
        <v>2404</v>
      </c>
      <c r="K242" s="26" t="s">
        <v>2405</v>
      </c>
      <c r="L242" s="26" t="s">
        <v>79</v>
      </c>
      <c r="M242" s="26" t="s">
        <v>77</v>
      </c>
      <c r="N242" s="26">
        <v>104</v>
      </c>
      <c r="O242" s="26">
        <v>65</v>
      </c>
      <c r="P242" s="26">
        <v>39</v>
      </c>
      <c r="Q242" s="26">
        <v>0</v>
      </c>
      <c r="R242" s="26">
        <v>1</v>
      </c>
      <c r="S242" s="26">
        <v>6</v>
      </c>
      <c r="T242" s="26">
        <v>1</v>
      </c>
      <c r="U242" s="26">
        <v>8</v>
      </c>
      <c r="V242" s="26">
        <v>1</v>
      </c>
    </row>
    <row r="243" spans="1:22" x14ac:dyDescent="0.25">
      <c r="A243" s="26" t="s">
        <v>2400</v>
      </c>
      <c r="B243" s="26" t="s">
        <v>3133</v>
      </c>
      <c r="C243" s="26" t="s">
        <v>3134</v>
      </c>
      <c r="D243" s="26" t="s">
        <v>2408</v>
      </c>
      <c r="E243" s="26" t="s">
        <v>4051</v>
      </c>
      <c r="F243" s="26" t="s">
        <v>1824</v>
      </c>
      <c r="G243" s="26" t="s">
        <v>487</v>
      </c>
      <c r="H243" s="26" t="s">
        <v>926</v>
      </c>
      <c r="I243" s="26" t="s">
        <v>184</v>
      </c>
      <c r="J243" s="26" t="s">
        <v>2404</v>
      </c>
      <c r="K243" s="26" t="s">
        <v>2405</v>
      </c>
      <c r="L243" s="26" t="s">
        <v>79</v>
      </c>
      <c r="M243" s="26" t="s">
        <v>77</v>
      </c>
      <c r="N243" s="26">
        <v>87</v>
      </c>
      <c r="O243" s="26">
        <v>53</v>
      </c>
      <c r="P243" s="26">
        <v>34</v>
      </c>
      <c r="Q243" s="26">
        <v>0</v>
      </c>
      <c r="R243" s="26">
        <v>1</v>
      </c>
      <c r="S243" s="26">
        <v>5</v>
      </c>
      <c r="T243" s="26">
        <v>2</v>
      </c>
      <c r="U243" s="26">
        <v>8</v>
      </c>
      <c r="V243" s="26">
        <v>1</v>
      </c>
    </row>
    <row r="244" spans="1:22" x14ac:dyDescent="0.25">
      <c r="A244" s="26" t="s">
        <v>2400</v>
      </c>
      <c r="B244" s="26" t="s">
        <v>3135</v>
      </c>
      <c r="C244" s="26" t="s">
        <v>3136</v>
      </c>
      <c r="D244" s="26" t="s">
        <v>2408</v>
      </c>
      <c r="E244" s="26" t="s">
        <v>3131</v>
      </c>
      <c r="F244" s="26" t="s">
        <v>3132</v>
      </c>
      <c r="G244" s="26" t="s">
        <v>487</v>
      </c>
      <c r="H244" s="26" t="s">
        <v>1693</v>
      </c>
      <c r="I244" s="26" t="s">
        <v>184</v>
      </c>
      <c r="J244" s="26" t="s">
        <v>2404</v>
      </c>
      <c r="K244" s="26" t="s">
        <v>2405</v>
      </c>
      <c r="L244" s="26" t="s">
        <v>79</v>
      </c>
      <c r="M244" s="26" t="s">
        <v>77</v>
      </c>
      <c r="N244" s="26">
        <v>74</v>
      </c>
      <c r="O244" s="26">
        <v>45</v>
      </c>
      <c r="P244" s="26">
        <v>29</v>
      </c>
      <c r="Q244" s="26">
        <v>0</v>
      </c>
      <c r="R244" s="26">
        <v>1</v>
      </c>
      <c r="S244" s="26">
        <v>5</v>
      </c>
      <c r="T244" s="26">
        <v>0</v>
      </c>
      <c r="U244" s="26">
        <v>6</v>
      </c>
      <c r="V244" s="26">
        <v>1</v>
      </c>
    </row>
    <row r="245" spans="1:22" x14ac:dyDescent="0.25">
      <c r="A245" s="26" t="s">
        <v>2400</v>
      </c>
      <c r="B245" s="26" t="s">
        <v>3137</v>
      </c>
      <c r="C245" s="26" t="s">
        <v>3138</v>
      </c>
      <c r="D245" s="26" t="s">
        <v>179</v>
      </c>
      <c r="E245" s="26" t="s">
        <v>3139</v>
      </c>
      <c r="F245" s="26" t="s">
        <v>3140</v>
      </c>
      <c r="G245" s="26" t="s">
        <v>487</v>
      </c>
      <c r="H245" s="26" t="s">
        <v>687</v>
      </c>
      <c r="I245" s="26" t="s">
        <v>184</v>
      </c>
      <c r="J245" s="26" t="s">
        <v>2404</v>
      </c>
      <c r="K245" s="26" t="s">
        <v>2405</v>
      </c>
      <c r="L245" s="26" t="s">
        <v>79</v>
      </c>
      <c r="M245" s="26" t="s">
        <v>77</v>
      </c>
      <c r="N245" s="26">
        <v>61</v>
      </c>
      <c r="O245" s="26">
        <v>37</v>
      </c>
      <c r="P245" s="26">
        <v>24</v>
      </c>
      <c r="Q245" s="26">
        <v>0</v>
      </c>
      <c r="R245" s="26">
        <v>1</v>
      </c>
      <c r="S245" s="26">
        <v>6</v>
      </c>
      <c r="T245" s="26">
        <v>2</v>
      </c>
      <c r="U245" s="26">
        <v>9</v>
      </c>
      <c r="V245" s="26">
        <v>1</v>
      </c>
    </row>
    <row r="246" spans="1:22" x14ac:dyDescent="0.25">
      <c r="A246" s="26" t="s">
        <v>2400</v>
      </c>
      <c r="B246" s="26" t="s">
        <v>3141</v>
      </c>
      <c r="C246" s="26" t="s">
        <v>3142</v>
      </c>
      <c r="D246" s="26" t="s">
        <v>2408</v>
      </c>
      <c r="E246" s="26" t="s">
        <v>4073</v>
      </c>
      <c r="F246" s="26" t="s">
        <v>3143</v>
      </c>
      <c r="G246" s="26" t="s">
        <v>487</v>
      </c>
      <c r="H246" s="26" t="s">
        <v>1693</v>
      </c>
      <c r="I246" s="26" t="s">
        <v>184</v>
      </c>
      <c r="J246" s="26" t="s">
        <v>2404</v>
      </c>
      <c r="K246" s="26" t="s">
        <v>2405</v>
      </c>
      <c r="L246" s="26" t="s">
        <v>79</v>
      </c>
      <c r="M246" s="26" t="s">
        <v>77</v>
      </c>
      <c r="N246" s="26">
        <v>48</v>
      </c>
      <c r="O246" s="26">
        <v>32</v>
      </c>
      <c r="P246" s="26">
        <v>16</v>
      </c>
      <c r="Q246" s="26">
        <v>0</v>
      </c>
      <c r="R246" s="26">
        <v>1</v>
      </c>
      <c r="S246" s="26">
        <v>5</v>
      </c>
      <c r="T246" s="26">
        <v>0</v>
      </c>
      <c r="U246" s="26">
        <v>6</v>
      </c>
      <c r="V246" s="26">
        <v>1</v>
      </c>
    </row>
    <row r="247" spans="1:22" x14ac:dyDescent="0.25">
      <c r="A247" s="26" t="s">
        <v>2400</v>
      </c>
      <c r="B247" s="26" t="s">
        <v>3144</v>
      </c>
      <c r="C247" s="26" t="s">
        <v>3145</v>
      </c>
      <c r="D247" s="26" t="s">
        <v>179</v>
      </c>
      <c r="E247" s="26" t="s">
        <v>4074</v>
      </c>
      <c r="F247" s="26" t="s">
        <v>3146</v>
      </c>
      <c r="G247" s="26" t="s">
        <v>191</v>
      </c>
      <c r="H247" s="26" t="s">
        <v>643</v>
      </c>
      <c r="I247" s="26" t="s">
        <v>184</v>
      </c>
      <c r="J247" s="26" t="s">
        <v>2565</v>
      </c>
      <c r="K247" s="26" t="s">
        <v>2405</v>
      </c>
      <c r="L247" s="26" t="s">
        <v>79</v>
      </c>
      <c r="M247" s="26" t="s">
        <v>77</v>
      </c>
      <c r="N247" s="26">
        <v>197</v>
      </c>
      <c r="O247" s="26">
        <v>126</v>
      </c>
      <c r="P247" s="26">
        <v>71</v>
      </c>
      <c r="Q247" s="26">
        <v>0</v>
      </c>
      <c r="R247" s="26">
        <v>1</v>
      </c>
      <c r="S247" s="26">
        <v>5</v>
      </c>
      <c r="T247" s="26">
        <v>2</v>
      </c>
      <c r="U247" s="26">
        <v>8</v>
      </c>
      <c r="V247" s="26">
        <v>1</v>
      </c>
    </row>
    <row r="248" spans="1:22" x14ac:dyDescent="0.25">
      <c r="A248" s="26" t="s">
        <v>2400</v>
      </c>
      <c r="B248" s="26" t="s">
        <v>3147</v>
      </c>
      <c r="C248" s="26" t="s">
        <v>3148</v>
      </c>
      <c r="D248" s="26" t="s">
        <v>179</v>
      </c>
      <c r="E248" s="26" t="s">
        <v>3149</v>
      </c>
      <c r="F248" s="26" t="s">
        <v>3150</v>
      </c>
      <c r="G248" s="26" t="s">
        <v>191</v>
      </c>
      <c r="H248" s="26" t="s">
        <v>294</v>
      </c>
      <c r="I248" s="26" t="s">
        <v>184</v>
      </c>
      <c r="J248" s="26" t="s">
        <v>2565</v>
      </c>
      <c r="K248" s="26" t="s">
        <v>2405</v>
      </c>
      <c r="L248" s="26" t="s">
        <v>79</v>
      </c>
      <c r="M248" s="26" t="s">
        <v>77</v>
      </c>
      <c r="N248" s="26">
        <v>50</v>
      </c>
      <c r="O248" s="26">
        <v>36</v>
      </c>
      <c r="P248" s="26">
        <v>14</v>
      </c>
      <c r="Q248" s="26">
        <v>0</v>
      </c>
      <c r="R248" s="26">
        <v>1</v>
      </c>
      <c r="S248" s="26">
        <v>7</v>
      </c>
      <c r="T248" s="26">
        <v>3</v>
      </c>
      <c r="U248" s="26">
        <v>11</v>
      </c>
      <c r="V248" s="26">
        <v>1</v>
      </c>
    </row>
    <row r="249" spans="1:22" x14ac:dyDescent="0.25">
      <c r="A249" s="26" t="s">
        <v>2400</v>
      </c>
      <c r="B249" s="26" t="s">
        <v>3151</v>
      </c>
      <c r="C249" s="26" t="s">
        <v>3152</v>
      </c>
      <c r="D249" s="26" t="s">
        <v>179</v>
      </c>
      <c r="E249" s="26" t="s">
        <v>3153</v>
      </c>
      <c r="F249" s="26" t="s">
        <v>555</v>
      </c>
      <c r="G249" s="26" t="s">
        <v>191</v>
      </c>
      <c r="H249" s="26" t="s">
        <v>301</v>
      </c>
      <c r="I249" s="26" t="s">
        <v>184</v>
      </c>
      <c r="J249" s="26" t="s">
        <v>2565</v>
      </c>
      <c r="K249" s="26" t="s">
        <v>2405</v>
      </c>
      <c r="L249" s="26" t="s">
        <v>79</v>
      </c>
      <c r="M249" s="26" t="s">
        <v>77</v>
      </c>
      <c r="N249" s="26">
        <v>65</v>
      </c>
      <c r="O249" s="26">
        <v>48</v>
      </c>
      <c r="P249" s="26">
        <v>17</v>
      </c>
      <c r="Q249" s="26">
        <v>0</v>
      </c>
      <c r="R249" s="26">
        <v>1</v>
      </c>
      <c r="S249" s="26">
        <v>7</v>
      </c>
      <c r="T249" s="26">
        <v>2</v>
      </c>
      <c r="U249" s="26">
        <v>10</v>
      </c>
      <c r="V249" s="26">
        <v>1</v>
      </c>
    </row>
    <row r="250" spans="1:22" x14ac:dyDescent="0.25">
      <c r="A250" s="26" t="s">
        <v>2400</v>
      </c>
      <c r="B250" s="26" t="s">
        <v>3154</v>
      </c>
      <c r="C250" s="26" t="s">
        <v>3155</v>
      </c>
      <c r="D250" s="26" t="s">
        <v>179</v>
      </c>
      <c r="E250" s="26" t="s">
        <v>3156</v>
      </c>
      <c r="F250" s="26" t="s">
        <v>656</v>
      </c>
      <c r="G250" s="26" t="s">
        <v>637</v>
      </c>
      <c r="H250" s="26" t="s">
        <v>523</v>
      </c>
      <c r="I250" s="26" t="s">
        <v>184</v>
      </c>
      <c r="J250" s="26" t="s">
        <v>2404</v>
      </c>
      <c r="K250" s="26" t="s">
        <v>2405</v>
      </c>
      <c r="L250" s="26" t="s">
        <v>79</v>
      </c>
      <c r="M250" s="26" t="s">
        <v>77</v>
      </c>
      <c r="N250" s="26">
        <v>101</v>
      </c>
      <c r="O250" s="26">
        <v>64</v>
      </c>
      <c r="P250" s="26">
        <v>37</v>
      </c>
      <c r="Q250" s="26">
        <v>0</v>
      </c>
      <c r="R250" s="26">
        <v>1</v>
      </c>
      <c r="S250" s="26">
        <v>8</v>
      </c>
      <c r="T250" s="26">
        <v>3</v>
      </c>
      <c r="U250" s="26">
        <v>12</v>
      </c>
      <c r="V250" s="26">
        <v>1</v>
      </c>
    </row>
    <row r="251" spans="1:22" x14ac:dyDescent="0.25">
      <c r="A251" s="26" t="s">
        <v>2400</v>
      </c>
      <c r="B251" s="26" t="s">
        <v>3157</v>
      </c>
      <c r="C251" s="26" t="s">
        <v>3158</v>
      </c>
      <c r="D251" s="26" t="s">
        <v>179</v>
      </c>
      <c r="E251" s="26" t="s">
        <v>4075</v>
      </c>
      <c r="F251" s="26" t="s">
        <v>1179</v>
      </c>
      <c r="G251" s="26" t="s">
        <v>637</v>
      </c>
      <c r="H251" s="26" t="s">
        <v>523</v>
      </c>
      <c r="I251" s="26" t="s">
        <v>184</v>
      </c>
      <c r="J251" s="26" t="s">
        <v>2404</v>
      </c>
      <c r="K251" s="26" t="s">
        <v>2405</v>
      </c>
      <c r="L251" s="26" t="s">
        <v>79</v>
      </c>
      <c r="M251" s="26" t="s">
        <v>77</v>
      </c>
      <c r="N251" s="26">
        <v>72</v>
      </c>
      <c r="O251" s="26">
        <v>49</v>
      </c>
      <c r="P251" s="26">
        <v>23</v>
      </c>
      <c r="Q251" s="26">
        <v>0</v>
      </c>
      <c r="R251" s="26">
        <v>1</v>
      </c>
      <c r="S251" s="26">
        <v>6</v>
      </c>
      <c r="T251" s="26">
        <v>2</v>
      </c>
      <c r="U251" s="26">
        <v>9</v>
      </c>
      <c r="V251" s="26">
        <v>1</v>
      </c>
    </row>
    <row r="252" spans="1:22" x14ac:dyDescent="0.25">
      <c r="A252" s="26" t="s">
        <v>2400</v>
      </c>
      <c r="B252" s="26" t="s">
        <v>3159</v>
      </c>
      <c r="C252" s="26" t="s">
        <v>3160</v>
      </c>
      <c r="D252" s="26" t="s">
        <v>179</v>
      </c>
      <c r="E252" s="26" t="s">
        <v>3161</v>
      </c>
      <c r="F252" s="26" t="s">
        <v>3162</v>
      </c>
      <c r="G252" s="26" t="s">
        <v>651</v>
      </c>
      <c r="H252" s="26" t="s">
        <v>1693</v>
      </c>
      <c r="I252" s="26" t="s">
        <v>184</v>
      </c>
      <c r="J252" s="26" t="s">
        <v>2565</v>
      </c>
      <c r="K252" s="26" t="s">
        <v>2405</v>
      </c>
      <c r="L252" s="26" t="s">
        <v>79</v>
      </c>
      <c r="M252" s="26" t="s">
        <v>77</v>
      </c>
      <c r="N252" s="26">
        <v>52</v>
      </c>
      <c r="O252" s="26">
        <v>34</v>
      </c>
      <c r="P252" s="26">
        <v>18</v>
      </c>
      <c r="Q252" s="26">
        <v>0</v>
      </c>
      <c r="R252" s="26">
        <v>1</v>
      </c>
      <c r="S252" s="26">
        <v>5</v>
      </c>
      <c r="T252" s="26">
        <v>3</v>
      </c>
      <c r="U252" s="26">
        <v>9</v>
      </c>
      <c r="V252" s="26">
        <v>1</v>
      </c>
    </row>
    <row r="253" spans="1:22" x14ac:dyDescent="0.25">
      <c r="A253" s="26" t="s">
        <v>2400</v>
      </c>
      <c r="B253" s="26" t="s">
        <v>3163</v>
      </c>
      <c r="C253" s="26" t="s">
        <v>3164</v>
      </c>
      <c r="D253" s="26" t="s">
        <v>179</v>
      </c>
      <c r="E253" s="26" t="s">
        <v>3165</v>
      </c>
      <c r="F253" s="26" t="s">
        <v>3166</v>
      </c>
      <c r="G253" s="26" t="s">
        <v>662</v>
      </c>
      <c r="H253" s="26" t="s">
        <v>926</v>
      </c>
      <c r="I253" s="26" t="s">
        <v>184</v>
      </c>
      <c r="J253" s="26" t="s">
        <v>2565</v>
      </c>
      <c r="K253" s="26" t="s">
        <v>2405</v>
      </c>
      <c r="L253" s="26" t="s">
        <v>79</v>
      </c>
      <c r="M253" s="26" t="s">
        <v>77</v>
      </c>
      <c r="N253" s="26">
        <v>43</v>
      </c>
      <c r="O253" s="26">
        <v>24</v>
      </c>
      <c r="P253" s="26">
        <v>19</v>
      </c>
      <c r="Q253" s="26">
        <v>0</v>
      </c>
      <c r="R253" s="26">
        <v>1</v>
      </c>
      <c r="S253" s="26">
        <v>7</v>
      </c>
      <c r="T253" s="26">
        <v>3</v>
      </c>
      <c r="U253" s="26">
        <v>11</v>
      </c>
      <c r="V253" s="26">
        <v>1</v>
      </c>
    </row>
    <row r="254" spans="1:22" x14ac:dyDescent="0.25">
      <c r="A254" s="26" t="s">
        <v>2400</v>
      </c>
      <c r="B254" s="26" t="s">
        <v>3167</v>
      </c>
      <c r="C254" s="26" t="s">
        <v>3168</v>
      </c>
      <c r="D254" s="26" t="s">
        <v>179</v>
      </c>
      <c r="E254" s="26" t="s">
        <v>4076</v>
      </c>
      <c r="F254" s="26" t="s">
        <v>671</v>
      </c>
      <c r="G254" s="26" t="s">
        <v>662</v>
      </c>
      <c r="H254" s="26" t="s">
        <v>351</v>
      </c>
      <c r="I254" s="26" t="s">
        <v>184</v>
      </c>
      <c r="J254" s="26" t="s">
        <v>2565</v>
      </c>
      <c r="K254" s="26" t="s">
        <v>2405</v>
      </c>
      <c r="L254" s="26" t="s">
        <v>79</v>
      </c>
      <c r="M254" s="26" t="s">
        <v>77</v>
      </c>
      <c r="N254" s="26">
        <v>59</v>
      </c>
      <c r="O254" s="26">
        <v>44</v>
      </c>
      <c r="P254" s="26">
        <v>15</v>
      </c>
      <c r="Q254" s="26">
        <v>0</v>
      </c>
      <c r="R254" s="26">
        <v>1</v>
      </c>
      <c r="S254" s="26">
        <v>6</v>
      </c>
      <c r="T254" s="26">
        <v>3</v>
      </c>
      <c r="U254" s="26">
        <v>10</v>
      </c>
      <c r="V254" s="26">
        <v>1</v>
      </c>
    </row>
    <row r="255" spans="1:22" x14ac:dyDescent="0.25">
      <c r="A255" s="26" t="s">
        <v>2400</v>
      </c>
      <c r="B255" s="26" t="s">
        <v>3169</v>
      </c>
      <c r="C255" s="26" t="s">
        <v>3170</v>
      </c>
      <c r="D255" s="26" t="s">
        <v>2408</v>
      </c>
      <c r="E255" s="26" t="s">
        <v>4077</v>
      </c>
      <c r="F255" s="26" t="s">
        <v>764</v>
      </c>
      <c r="G255" s="26" t="s">
        <v>252</v>
      </c>
      <c r="H255" s="26" t="s">
        <v>321</v>
      </c>
      <c r="I255" s="26" t="s">
        <v>184</v>
      </c>
      <c r="J255" s="26" t="s">
        <v>2565</v>
      </c>
      <c r="K255" s="26" t="s">
        <v>2405</v>
      </c>
      <c r="L255" s="26" t="s">
        <v>79</v>
      </c>
      <c r="M255" s="26" t="s">
        <v>77</v>
      </c>
      <c r="N255" s="26">
        <v>46</v>
      </c>
      <c r="O255" s="26">
        <v>32</v>
      </c>
      <c r="P255" s="26">
        <v>14</v>
      </c>
      <c r="Q255" s="26">
        <v>0</v>
      </c>
      <c r="R255" s="26">
        <v>1</v>
      </c>
      <c r="S255" s="26">
        <v>4</v>
      </c>
      <c r="T255" s="26">
        <v>3</v>
      </c>
      <c r="U255" s="26">
        <v>8</v>
      </c>
      <c r="V255" s="26">
        <v>1</v>
      </c>
    </row>
    <row r="256" spans="1:22" x14ac:dyDescent="0.25">
      <c r="A256" s="26" t="s">
        <v>2400</v>
      </c>
      <c r="B256" s="26" t="s">
        <v>3171</v>
      </c>
      <c r="C256" s="26" t="s">
        <v>3172</v>
      </c>
      <c r="D256" s="26" t="s">
        <v>179</v>
      </c>
      <c r="E256" s="26" t="s">
        <v>4077</v>
      </c>
      <c r="F256" s="26" t="s">
        <v>764</v>
      </c>
      <c r="G256" s="26" t="s">
        <v>252</v>
      </c>
      <c r="H256" s="26" t="s">
        <v>321</v>
      </c>
      <c r="I256" s="26" t="s">
        <v>184</v>
      </c>
      <c r="J256" s="26" t="s">
        <v>2565</v>
      </c>
      <c r="K256" s="26" t="s">
        <v>2405</v>
      </c>
      <c r="L256" s="26" t="s">
        <v>79</v>
      </c>
      <c r="M256" s="26" t="s">
        <v>77</v>
      </c>
      <c r="N256" s="26">
        <v>53</v>
      </c>
      <c r="O256" s="26">
        <v>34</v>
      </c>
      <c r="P256" s="26">
        <v>19</v>
      </c>
      <c r="Q256" s="26">
        <v>0</v>
      </c>
      <c r="R256" s="26">
        <v>1</v>
      </c>
      <c r="S256" s="26">
        <v>7</v>
      </c>
      <c r="T256" s="26">
        <v>4</v>
      </c>
      <c r="U256" s="26">
        <v>12</v>
      </c>
      <c r="V256" s="26">
        <v>1</v>
      </c>
    </row>
    <row r="257" spans="1:22" x14ac:dyDescent="0.25">
      <c r="A257" s="26" t="s">
        <v>2400</v>
      </c>
      <c r="B257" s="26" t="s">
        <v>3173</v>
      </c>
      <c r="C257" s="26" t="s">
        <v>3174</v>
      </c>
      <c r="D257" s="26" t="s">
        <v>179</v>
      </c>
      <c r="E257" s="26" t="s">
        <v>3165</v>
      </c>
      <c r="F257" s="26" t="s">
        <v>2648</v>
      </c>
      <c r="G257" s="26" t="s">
        <v>252</v>
      </c>
      <c r="H257" s="26" t="s">
        <v>756</v>
      </c>
      <c r="I257" s="26" t="s">
        <v>184</v>
      </c>
      <c r="J257" s="26" t="s">
        <v>2565</v>
      </c>
      <c r="K257" s="26" t="s">
        <v>2405</v>
      </c>
      <c r="L257" s="26" t="s">
        <v>79</v>
      </c>
      <c r="M257" s="26" t="s">
        <v>77</v>
      </c>
      <c r="N257" s="26">
        <v>60</v>
      </c>
      <c r="O257" s="26">
        <v>35</v>
      </c>
      <c r="P257" s="26">
        <v>25</v>
      </c>
      <c r="Q257" s="26">
        <v>0</v>
      </c>
      <c r="R257" s="26">
        <v>1</v>
      </c>
      <c r="S257" s="26">
        <v>7</v>
      </c>
      <c r="T257" s="26">
        <v>2</v>
      </c>
      <c r="U257" s="26">
        <v>10</v>
      </c>
      <c r="V257" s="26">
        <v>1</v>
      </c>
    </row>
    <row r="258" spans="1:22" x14ac:dyDescent="0.25">
      <c r="A258" s="26" t="s">
        <v>2400</v>
      </c>
      <c r="B258" s="26" t="s">
        <v>3175</v>
      </c>
      <c r="C258" s="26" t="s">
        <v>3176</v>
      </c>
      <c r="D258" s="26" t="s">
        <v>2408</v>
      </c>
      <c r="E258" s="26" t="s">
        <v>4078</v>
      </c>
      <c r="F258" s="26" t="s">
        <v>2888</v>
      </c>
      <c r="G258" s="26" t="s">
        <v>252</v>
      </c>
      <c r="H258" s="26" t="s">
        <v>756</v>
      </c>
      <c r="I258" s="26" t="s">
        <v>184</v>
      </c>
      <c r="J258" s="26" t="s">
        <v>3177</v>
      </c>
      <c r="K258" s="26" t="s">
        <v>2405</v>
      </c>
      <c r="L258" s="26" t="s">
        <v>79</v>
      </c>
      <c r="M258" s="26" t="s">
        <v>77</v>
      </c>
      <c r="N258" s="26">
        <v>52</v>
      </c>
      <c r="O258" s="26">
        <v>30</v>
      </c>
      <c r="P258" s="26">
        <v>22</v>
      </c>
      <c r="Q258" s="26">
        <v>0</v>
      </c>
      <c r="R258" s="26">
        <v>1</v>
      </c>
      <c r="S258" s="26">
        <v>6</v>
      </c>
      <c r="T258" s="26">
        <v>3</v>
      </c>
      <c r="U258" s="26">
        <v>10</v>
      </c>
      <c r="V258" s="26">
        <v>1</v>
      </c>
    </row>
    <row r="259" spans="1:22" x14ac:dyDescent="0.25">
      <c r="A259" s="26" t="s">
        <v>2400</v>
      </c>
      <c r="B259" s="26" t="s">
        <v>3178</v>
      </c>
      <c r="C259" s="26" t="s">
        <v>3179</v>
      </c>
      <c r="D259" s="26" t="s">
        <v>179</v>
      </c>
      <c r="E259" s="26" t="s">
        <v>3180</v>
      </c>
      <c r="F259" s="26" t="s">
        <v>724</v>
      </c>
      <c r="G259" s="26" t="s">
        <v>198</v>
      </c>
      <c r="H259" s="26" t="s">
        <v>301</v>
      </c>
      <c r="I259" s="26" t="s">
        <v>184</v>
      </c>
      <c r="J259" s="26" t="s">
        <v>2404</v>
      </c>
      <c r="K259" s="26" t="s">
        <v>2405</v>
      </c>
      <c r="L259" s="26" t="s">
        <v>79</v>
      </c>
      <c r="M259" s="26" t="s">
        <v>77</v>
      </c>
      <c r="N259" s="26">
        <v>86</v>
      </c>
      <c r="O259" s="26">
        <v>60</v>
      </c>
      <c r="P259" s="26">
        <v>26</v>
      </c>
      <c r="Q259" s="26">
        <v>0</v>
      </c>
      <c r="R259" s="26">
        <v>1</v>
      </c>
      <c r="S259" s="26">
        <v>8</v>
      </c>
      <c r="T259" s="26">
        <v>3</v>
      </c>
      <c r="U259" s="26">
        <v>12</v>
      </c>
      <c r="V259" s="26">
        <v>1</v>
      </c>
    </row>
    <row r="260" spans="1:22" x14ac:dyDescent="0.25">
      <c r="A260" s="26" t="s">
        <v>2400</v>
      </c>
      <c r="B260" s="26" t="s">
        <v>3181</v>
      </c>
      <c r="C260" s="26" t="s">
        <v>3182</v>
      </c>
      <c r="D260" s="26" t="s">
        <v>179</v>
      </c>
      <c r="E260" s="26" t="s">
        <v>3183</v>
      </c>
      <c r="F260" s="26" t="s">
        <v>3184</v>
      </c>
      <c r="G260" s="26" t="s">
        <v>226</v>
      </c>
      <c r="H260" s="26" t="s">
        <v>294</v>
      </c>
      <c r="I260" s="26" t="s">
        <v>184</v>
      </c>
      <c r="J260" s="26" t="s">
        <v>2509</v>
      </c>
      <c r="K260" s="26" t="s">
        <v>2405</v>
      </c>
      <c r="L260" s="26" t="s">
        <v>79</v>
      </c>
      <c r="M260" s="26" t="s">
        <v>77</v>
      </c>
      <c r="N260" s="26">
        <v>92</v>
      </c>
      <c r="O260" s="26">
        <v>64</v>
      </c>
      <c r="P260" s="26">
        <v>28</v>
      </c>
      <c r="Q260" s="26">
        <v>0</v>
      </c>
      <c r="R260" s="26">
        <v>1</v>
      </c>
      <c r="S260" s="26">
        <v>7</v>
      </c>
      <c r="T260" s="26">
        <v>1</v>
      </c>
      <c r="U260" s="26">
        <v>9</v>
      </c>
      <c r="V260" s="26">
        <v>1</v>
      </c>
    </row>
    <row r="261" spans="1:22" x14ac:dyDescent="0.25">
      <c r="A261" s="26" t="s">
        <v>2400</v>
      </c>
      <c r="B261" s="26" t="s">
        <v>3185</v>
      </c>
      <c r="C261" s="26" t="s">
        <v>3186</v>
      </c>
      <c r="D261" s="26" t="s">
        <v>179</v>
      </c>
      <c r="E261" s="26" t="s">
        <v>3187</v>
      </c>
      <c r="F261" s="26" t="s">
        <v>3027</v>
      </c>
      <c r="G261" s="26" t="s">
        <v>226</v>
      </c>
      <c r="H261" s="26" t="s">
        <v>351</v>
      </c>
      <c r="I261" s="26" t="s">
        <v>184</v>
      </c>
      <c r="J261" s="26" t="s">
        <v>2509</v>
      </c>
      <c r="K261" s="26" t="s">
        <v>2405</v>
      </c>
      <c r="L261" s="26" t="s">
        <v>79</v>
      </c>
      <c r="M261" s="26" t="s">
        <v>77</v>
      </c>
      <c r="N261" s="26">
        <v>151</v>
      </c>
      <c r="O261" s="26">
        <v>98</v>
      </c>
      <c r="P261" s="26">
        <v>53</v>
      </c>
      <c r="Q261" s="26">
        <v>0</v>
      </c>
      <c r="R261" s="26">
        <v>1</v>
      </c>
      <c r="S261" s="26">
        <v>8</v>
      </c>
      <c r="T261" s="26">
        <v>3</v>
      </c>
      <c r="U261" s="26">
        <v>12</v>
      </c>
      <c r="V261" s="26">
        <v>1</v>
      </c>
    </row>
    <row r="262" spans="1:22" x14ac:dyDescent="0.25">
      <c r="A262" s="26" t="s">
        <v>2400</v>
      </c>
      <c r="B262" s="26" t="s">
        <v>3188</v>
      </c>
      <c r="C262" s="26" t="s">
        <v>3189</v>
      </c>
      <c r="D262" s="26" t="s">
        <v>2408</v>
      </c>
      <c r="E262" s="26" t="s">
        <v>3190</v>
      </c>
      <c r="F262" s="26" t="s">
        <v>3191</v>
      </c>
      <c r="G262" s="26" t="s">
        <v>210</v>
      </c>
      <c r="H262" s="26" t="s">
        <v>294</v>
      </c>
      <c r="I262" s="26" t="s">
        <v>184</v>
      </c>
      <c r="J262" s="26" t="s">
        <v>2448</v>
      </c>
      <c r="K262" s="26" t="s">
        <v>2405</v>
      </c>
      <c r="L262" s="26" t="s">
        <v>79</v>
      </c>
      <c r="M262" s="26" t="s">
        <v>77</v>
      </c>
      <c r="N262" s="26">
        <v>40</v>
      </c>
      <c r="O262" s="26">
        <v>23</v>
      </c>
      <c r="P262" s="26">
        <v>17</v>
      </c>
      <c r="Q262" s="26">
        <v>0</v>
      </c>
      <c r="R262" s="26">
        <v>1</v>
      </c>
      <c r="S262" s="26">
        <v>8</v>
      </c>
      <c r="T262" s="26">
        <v>1</v>
      </c>
      <c r="U262" s="26">
        <v>10</v>
      </c>
      <c r="V262" s="26">
        <v>1</v>
      </c>
    </row>
    <row r="263" spans="1:22" x14ac:dyDescent="0.25">
      <c r="A263" s="26" t="s">
        <v>2400</v>
      </c>
      <c r="B263" s="26" t="s">
        <v>3192</v>
      </c>
      <c r="C263" s="26" t="s">
        <v>3193</v>
      </c>
      <c r="D263" s="26" t="s">
        <v>179</v>
      </c>
      <c r="E263" s="26" t="s">
        <v>4079</v>
      </c>
      <c r="F263" s="26" t="s">
        <v>247</v>
      </c>
      <c r="G263" s="26" t="s">
        <v>198</v>
      </c>
      <c r="H263" s="26" t="s">
        <v>294</v>
      </c>
      <c r="I263" s="26" t="s">
        <v>184</v>
      </c>
      <c r="J263" s="26" t="s">
        <v>2404</v>
      </c>
      <c r="K263" s="26" t="s">
        <v>2405</v>
      </c>
      <c r="L263" s="26" t="s">
        <v>79</v>
      </c>
      <c r="M263" s="26" t="s">
        <v>77</v>
      </c>
      <c r="N263" s="26">
        <v>90</v>
      </c>
      <c r="O263" s="26">
        <v>63</v>
      </c>
      <c r="P263" s="26">
        <v>27</v>
      </c>
      <c r="Q263" s="26">
        <v>0</v>
      </c>
      <c r="R263" s="26">
        <v>1</v>
      </c>
      <c r="S263" s="26">
        <v>8</v>
      </c>
      <c r="T263" s="26">
        <v>3</v>
      </c>
      <c r="U263" s="26">
        <v>12</v>
      </c>
      <c r="V263" s="26">
        <v>1</v>
      </c>
    </row>
    <row r="264" spans="1:22" x14ac:dyDescent="0.25">
      <c r="A264" s="26" t="s">
        <v>2400</v>
      </c>
      <c r="B264" s="26" t="s">
        <v>3194</v>
      </c>
      <c r="C264" s="26" t="s">
        <v>3195</v>
      </c>
      <c r="D264" s="26" t="s">
        <v>179</v>
      </c>
      <c r="E264" s="26" t="s">
        <v>3196</v>
      </c>
      <c r="F264" s="26" t="s">
        <v>260</v>
      </c>
      <c r="G264" s="26" t="s">
        <v>198</v>
      </c>
      <c r="H264" s="26" t="s">
        <v>301</v>
      </c>
      <c r="I264" s="26" t="s">
        <v>184</v>
      </c>
      <c r="J264" s="26" t="s">
        <v>2404</v>
      </c>
      <c r="K264" s="26" t="s">
        <v>2405</v>
      </c>
      <c r="L264" s="26" t="s">
        <v>79</v>
      </c>
      <c r="M264" s="26" t="s">
        <v>77</v>
      </c>
      <c r="N264" s="26">
        <v>73</v>
      </c>
      <c r="O264" s="26">
        <v>39</v>
      </c>
      <c r="P264" s="26">
        <v>34</v>
      </c>
      <c r="Q264" s="26">
        <v>0</v>
      </c>
      <c r="R264" s="26">
        <v>1</v>
      </c>
      <c r="S264" s="26">
        <v>7</v>
      </c>
      <c r="T264" s="26">
        <v>4</v>
      </c>
      <c r="U264" s="26">
        <v>12</v>
      </c>
      <c r="V264" s="26">
        <v>1</v>
      </c>
    </row>
    <row r="265" spans="1:22" x14ac:dyDescent="0.25">
      <c r="A265" s="26" t="s">
        <v>2400</v>
      </c>
      <c r="B265" s="26" t="s">
        <v>3197</v>
      </c>
      <c r="C265" s="26" t="s">
        <v>3198</v>
      </c>
      <c r="D265" s="26" t="s">
        <v>179</v>
      </c>
      <c r="E265" s="26" t="s">
        <v>3199</v>
      </c>
      <c r="F265" s="26" t="s">
        <v>982</v>
      </c>
      <c r="G265" s="26" t="s">
        <v>4126</v>
      </c>
      <c r="H265" s="26" t="s">
        <v>205</v>
      </c>
      <c r="I265" s="26" t="s">
        <v>184</v>
      </c>
      <c r="J265" s="26" t="s">
        <v>2411</v>
      </c>
      <c r="K265" s="26" t="s">
        <v>2405</v>
      </c>
      <c r="L265" s="26" t="s">
        <v>79</v>
      </c>
      <c r="M265" s="26" t="s">
        <v>77</v>
      </c>
      <c r="N265" s="26">
        <v>43</v>
      </c>
      <c r="O265" s="26">
        <v>28</v>
      </c>
      <c r="P265" s="26">
        <v>15</v>
      </c>
      <c r="Q265" s="26">
        <v>0</v>
      </c>
      <c r="R265" s="26">
        <v>1</v>
      </c>
      <c r="S265" s="26">
        <v>4</v>
      </c>
      <c r="T265" s="26">
        <v>3</v>
      </c>
      <c r="U265" s="26">
        <v>8</v>
      </c>
      <c r="V265" s="26">
        <v>1</v>
      </c>
    </row>
    <row r="266" spans="1:22" x14ac:dyDescent="0.25">
      <c r="A266" s="26" t="s">
        <v>2400</v>
      </c>
      <c r="B266" s="26" t="s">
        <v>3200</v>
      </c>
      <c r="C266" s="26" t="s">
        <v>3201</v>
      </c>
      <c r="D266" s="26" t="s">
        <v>2408</v>
      </c>
      <c r="E266" s="26" t="s">
        <v>3202</v>
      </c>
      <c r="F266" s="26" t="s">
        <v>3203</v>
      </c>
      <c r="G266" s="26" t="s">
        <v>293</v>
      </c>
      <c r="H266" s="26" t="s">
        <v>687</v>
      </c>
      <c r="I266" s="26" t="s">
        <v>1259</v>
      </c>
      <c r="J266" s="26" t="s">
        <v>295</v>
      </c>
      <c r="K266" s="26" t="s">
        <v>296</v>
      </c>
      <c r="L266" s="26" t="s">
        <v>80</v>
      </c>
      <c r="M266" s="26" t="s">
        <v>77</v>
      </c>
      <c r="N266" s="26">
        <v>34</v>
      </c>
      <c r="O266" s="26">
        <v>26</v>
      </c>
      <c r="P266" s="26">
        <v>8</v>
      </c>
      <c r="Q266" s="26">
        <v>0</v>
      </c>
      <c r="R266" s="26">
        <v>1</v>
      </c>
      <c r="S266" s="26">
        <v>5</v>
      </c>
      <c r="T266" s="26">
        <v>1</v>
      </c>
      <c r="U266" s="26">
        <v>7</v>
      </c>
      <c r="V266" s="26">
        <v>1</v>
      </c>
    </row>
    <row r="267" spans="1:22" x14ac:dyDescent="0.25">
      <c r="A267" s="26" t="s">
        <v>2400</v>
      </c>
      <c r="B267" s="26" t="s">
        <v>3204</v>
      </c>
      <c r="C267" s="26" t="s">
        <v>3205</v>
      </c>
      <c r="D267" s="26" t="s">
        <v>2408</v>
      </c>
      <c r="E267" s="26" t="s">
        <v>3206</v>
      </c>
      <c r="F267" s="26" t="s">
        <v>1979</v>
      </c>
      <c r="G267" s="26" t="s">
        <v>293</v>
      </c>
      <c r="H267" s="26" t="s">
        <v>351</v>
      </c>
      <c r="I267" s="26" t="s">
        <v>1259</v>
      </c>
      <c r="J267" s="26" t="s">
        <v>1145</v>
      </c>
      <c r="K267" s="26" t="s">
        <v>296</v>
      </c>
      <c r="L267" s="26" t="s">
        <v>80</v>
      </c>
      <c r="M267" s="26" t="s">
        <v>77</v>
      </c>
      <c r="N267" s="26">
        <v>51</v>
      </c>
      <c r="O267" s="26">
        <v>34</v>
      </c>
      <c r="P267" s="26">
        <v>17</v>
      </c>
      <c r="Q267" s="26">
        <v>0</v>
      </c>
      <c r="R267" s="26">
        <v>1</v>
      </c>
      <c r="S267" s="26">
        <v>5</v>
      </c>
      <c r="T267" s="26">
        <v>3</v>
      </c>
      <c r="U267" s="26">
        <v>9</v>
      </c>
      <c r="V267" s="26">
        <v>1</v>
      </c>
    </row>
    <row r="268" spans="1:22" x14ac:dyDescent="0.25">
      <c r="A268" s="26" t="s">
        <v>2400</v>
      </c>
      <c r="B268" s="26" t="s">
        <v>3207</v>
      </c>
      <c r="C268" s="26" t="s">
        <v>3208</v>
      </c>
      <c r="D268" s="26" t="s">
        <v>179</v>
      </c>
      <c r="E268" s="26" t="s">
        <v>3209</v>
      </c>
      <c r="F268" s="26" t="s">
        <v>4125</v>
      </c>
      <c r="G268" s="26" t="s">
        <v>293</v>
      </c>
      <c r="H268" s="26" t="s">
        <v>301</v>
      </c>
      <c r="I268" s="26" t="s">
        <v>1259</v>
      </c>
      <c r="J268" s="26" t="s">
        <v>295</v>
      </c>
      <c r="K268" s="26" t="s">
        <v>296</v>
      </c>
      <c r="L268" s="26" t="s">
        <v>80</v>
      </c>
      <c r="M268" s="26" t="s">
        <v>77</v>
      </c>
      <c r="N268" s="26">
        <v>101</v>
      </c>
      <c r="O268" s="26">
        <v>77</v>
      </c>
      <c r="P268" s="26">
        <v>24</v>
      </c>
      <c r="Q268" s="26">
        <v>0</v>
      </c>
      <c r="R268" s="26">
        <v>1</v>
      </c>
      <c r="S268" s="26">
        <v>4</v>
      </c>
      <c r="T268" s="26">
        <v>4</v>
      </c>
      <c r="U268" s="26">
        <v>9</v>
      </c>
      <c r="V268" s="26">
        <v>1</v>
      </c>
    </row>
    <row r="269" spans="1:22" x14ac:dyDescent="0.25">
      <c r="A269" s="26" t="s">
        <v>2400</v>
      </c>
      <c r="B269" s="26" t="s">
        <v>3210</v>
      </c>
      <c r="C269" s="26" t="s">
        <v>3211</v>
      </c>
      <c r="D269" s="26" t="s">
        <v>179</v>
      </c>
      <c r="E269" s="26" t="s">
        <v>3212</v>
      </c>
      <c r="F269" s="26" t="s">
        <v>1144</v>
      </c>
      <c r="G269" s="26" t="s">
        <v>293</v>
      </c>
      <c r="H269" s="26" t="s">
        <v>294</v>
      </c>
      <c r="I269" s="26" t="s">
        <v>1259</v>
      </c>
      <c r="J269" s="26" t="s">
        <v>1145</v>
      </c>
      <c r="K269" s="26" t="s">
        <v>296</v>
      </c>
      <c r="L269" s="26" t="s">
        <v>80</v>
      </c>
      <c r="M269" s="26" t="s">
        <v>77</v>
      </c>
      <c r="N269" s="26">
        <v>96</v>
      </c>
      <c r="O269" s="26">
        <v>59</v>
      </c>
      <c r="P269" s="26">
        <v>37</v>
      </c>
      <c r="Q269" s="26">
        <v>0</v>
      </c>
      <c r="R269" s="26">
        <v>1</v>
      </c>
      <c r="S269" s="26">
        <v>4</v>
      </c>
      <c r="T269" s="26">
        <v>2</v>
      </c>
      <c r="U269" s="26">
        <v>7</v>
      </c>
      <c r="V269" s="26">
        <v>1</v>
      </c>
    </row>
    <row r="270" spans="1:22" x14ac:dyDescent="0.25">
      <c r="A270" s="26" t="s">
        <v>2400</v>
      </c>
      <c r="B270" s="26" t="s">
        <v>3213</v>
      </c>
      <c r="C270" s="26" t="s">
        <v>3214</v>
      </c>
      <c r="D270" s="26" t="s">
        <v>179</v>
      </c>
      <c r="E270" s="26" t="s">
        <v>3215</v>
      </c>
      <c r="F270" s="26" t="s">
        <v>3216</v>
      </c>
      <c r="G270" s="26" t="s">
        <v>293</v>
      </c>
      <c r="H270" s="26" t="s">
        <v>294</v>
      </c>
      <c r="I270" s="26" t="s">
        <v>1259</v>
      </c>
      <c r="J270" s="26" t="s">
        <v>295</v>
      </c>
      <c r="K270" s="26" t="s">
        <v>296</v>
      </c>
      <c r="L270" s="26" t="s">
        <v>80</v>
      </c>
      <c r="M270" s="26" t="s">
        <v>77</v>
      </c>
      <c r="N270" s="26">
        <v>257</v>
      </c>
      <c r="O270" s="26">
        <v>167</v>
      </c>
      <c r="P270" s="26">
        <v>90</v>
      </c>
      <c r="Q270" s="26">
        <v>0</v>
      </c>
      <c r="R270" s="26">
        <v>1</v>
      </c>
      <c r="S270" s="26">
        <v>5</v>
      </c>
      <c r="T270" s="26">
        <v>1</v>
      </c>
      <c r="U270" s="26">
        <v>7</v>
      </c>
      <c r="V270" s="26">
        <v>1</v>
      </c>
    </row>
    <row r="271" spans="1:22" x14ac:dyDescent="0.25">
      <c r="A271" s="26" t="s">
        <v>2400</v>
      </c>
      <c r="B271" s="26" t="s">
        <v>3217</v>
      </c>
      <c r="C271" s="26" t="s">
        <v>3218</v>
      </c>
      <c r="D271" s="26" t="s">
        <v>179</v>
      </c>
      <c r="E271" s="26" t="s">
        <v>4073</v>
      </c>
      <c r="F271" s="26" t="s">
        <v>3143</v>
      </c>
      <c r="G271" s="26" t="s">
        <v>487</v>
      </c>
      <c r="H271" s="26" t="s">
        <v>1693</v>
      </c>
      <c r="I271" s="26" t="s">
        <v>184</v>
      </c>
      <c r="J271" s="26" t="s">
        <v>2404</v>
      </c>
      <c r="K271" s="26" t="s">
        <v>2405</v>
      </c>
      <c r="L271" s="26" t="s">
        <v>79</v>
      </c>
      <c r="M271" s="26" t="s">
        <v>77</v>
      </c>
      <c r="N271" s="26">
        <v>43</v>
      </c>
      <c r="O271" s="26">
        <v>21</v>
      </c>
      <c r="P271" s="26">
        <v>22</v>
      </c>
      <c r="Q271" s="26">
        <v>0</v>
      </c>
      <c r="R271" s="26">
        <v>1</v>
      </c>
      <c r="S271" s="26">
        <v>4</v>
      </c>
      <c r="T271" s="26">
        <v>1</v>
      </c>
      <c r="U271" s="26">
        <v>6</v>
      </c>
      <c r="V271" s="26">
        <v>1</v>
      </c>
    </row>
    <row r="272" spans="1:22" x14ac:dyDescent="0.25">
      <c r="A272" s="26" t="s">
        <v>2400</v>
      </c>
      <c r="B272" s="26" t="s">
        <v>3219</v>
      </c>
      <c r="C272" s="26" t="s">
        <v>3220</v>
      </c>
      <c r="D272" s="26" t="s">
        <v>179</v>
      </c>
      <c r="E272" s="26" t="s">
        <v>3221</v>
      </c>
      <c r="F272" s="26" t="s">
        <v>486</v>
      </c>
      <c r="G272" s="26" t="s">
        <v>487</v>
      </c>
      <c r="H272" s="26" t="s">
        <v>677</v>
      </c>
      <c r="I272" s="26" t="s">
        <v>184</v>
      </c>
      <c r="J272" s="26" t="s">
        <v>2404</v>
      </c>
      <c r="K272" s="26" t="s">
        <v>2405</v>
      </c>
      <c r="L272" s="26" t="s">
        <v>79</v>
      </c>
      <c r="M272" s="26" t="s">
        <v>77</v>
      </c>
      <c r="N272" s="26">
        <v>58</v>
      </c>
      <c r="O272" s="26">
        <v>35</v>
      </c>
      <c r="P272" s="26">
        <v>23</v>
      </c>
      <c r="Q272" s="26">
        <v>0</v>
      </c>
      <c r="R272" s="26">
        <v>1</v>
      </c>
      <c r="S272" s="26">
        <v>6</v>
      </c>
      <c r="T272" s="26">
        <v>3</v>
      </c>
      <c r="U272" s="26">
        <v>10</v>
      </c>
      <c r="V272" s="26">
        <v>1</v>
      </c>
    </row>
    <row r="273" spans="1:22" x14ac:dyDescent="0.25">
      <c r="A273" s="26" t="s">
        <v>2400</v>
      </c>
      <c r="B273" s="26" t="s">
        <v>3222</v>
      </c>
      <c r="C273" s="26" t="s">
        <v>3223</v>
      </c>
      <c r="D273" s="26" t="s">
        <v>179</v>
      </c>
      <c r="E273" s="26" t="s">
        <v>3224</v>
      </c>
      <c r="F273" s="26" t="s">
        <v>3225</v>
      </c>
      <c r="G273" s="26" t="s">
        <v>662</v>
      </c>
      <c r="H273" s="26" t="s">
        <v>351</v>
      </c>
      <c r="I273" s="26" t="s">
        <v>184</v>
      </c>
      <c r="J273" s="26" t="s">
        <v>2565</v>
      </c>
      <c r="K273" s="26" t="s">
        <v>2405</v>
      </c>
      <c r="L273" s="26" t="s">
        <v>79</v>
      </c>
      <c r="M273" s="26" t="s">
        <v>77</v>
      </c>
      <c r="N273" s="26">
        <v>62</v>
      </c>
      <c r="O273" s="26">
        <v>47</v>
      </c>
      <c r="P273" s="26">
        <v>15</v>
      </c>
      <c r="Q273" s="26">
        <v>0</v>
      </c>
      <c r="R273" s="26">
        <v>1</v>
      </c>
      <c r="S273" s="26">
        <v>7</v>
      </c>
      <c r="T273" s="26">
        <v>2</v>
      </c>
      <c r="U273" s="26">
        <v>10</v>
      </c>
      <c r="V273" s="26">
        <v>1</v>
      </c>
    </row>
    <row r="274" spans="1:22" x14ac:dyDescent="0.25">
      <c r="A274" s="26" t="s">
        <v>2400</v>
      </c>
      <c r="B274" s="26" t="s">
        <v>3226</v>
      </c>
      <c r="C274" s="26" t="s">
        <v>3227</v>
      </c>
      <c r="D274" s="26" t="s">
        <v>179</v>
      </c>
      <c r="E274" s="26" t="s">
        <v>3228</v>
      </c>
      <c r="F274" s="26" t="s">
        <v>1399</v>
      </c>
      <c r="G274" s="26" t="s">
        <v>662</v>
      </c>
      <c r="H274" s="26" t="s">
        <v>351</v>
      </c>
      <c r="I274" s="26" t="s">
        <v>184</v>
      </c>
      <c r="J274" s="26" t="s">
        <v>2565</v>
      </c>
      <c r="K274" s="26" t="s">
        <v>2405</v>
      </c>
      <c r="L274" s="26" t="s">
        <v>79</v>
      </c>
      <c r="M274" s="26" t="s">
        <v>77</v>
      </c>
      <c r="N274" s="26">
        <v>60</v>
      </c>
      <c r="O274" s="26">
        <v>45</v>
      </c>
      <c r="P274" s="26">
        <v>15</v>
      </c>
      <c r="Q274" s="26">
        <v>0</v>
      </c>
      <c r="R274" s="26">
        <v>1</v>
      </c>
      <c r="S274" s="26">
        <v>6</v>
      </c>
      <c r="T274" s="26">
        <v>3</v>
      </c>
      <c r="U274" s="26">
        <v>10</v>
      </c>
      <c r="V274" s="26">
        <v>1</v>
      </c>
    </row>
    <row r="275" spans="1:22" x14ac:dyDescent="0.25">
      <c r="A275" s="26" t="s">
        <v>2400</v>
      </c>
      <c r="B275" s="26" t="s">
        <v>3229</v>
      </c>
      <c r="C275" s="26" t="s">
        <v>3230</v>
      </c>
      <c r="D275" s="26" t="s">
        <v>2408</v>
      </c>
      <c r="E275" s="26" t="s">
        <v>3231</v>
      </c>
      <c r="F275" s="26" t="s">
        <v>3232</v>
      </c>
      <c r="G275" s="26" t="s">
        <v>662</v>
      </c>
      <c r="H275" s="26" t="s">
        <v>351</v>
      </c>
      <c r="I275" s="26" t="s">
        <v>184</v>
      </c>
      <c r="J275" s="26" t="s">
        <v>2565</v>
      </c>
      <c r="K275" s="26" t="s">
        <v>2405</v>
      </c>
      <c r="L275" s="26" t="s">
        <v>79</v>
      </c>
      <c r="M275" s="26" t="s">
        <v>77</v>
      </c>
      <c r="N275" s="26">
        <v>34</v>
      </c>
      <c r="O275" s="26">
        <v>15</v>
      </c>
      <c r="P275" s="26">
        <v>19</v>
      </c>
      <c r="Q275" s="26">
        <v>0</v>
      </c>
      <c r="R275" s="26">
        <v>1</v>
      </c>
      <c r="S275" s="26">
        <v>4</v>
      </c>
      <c r="T275" s="26">
        <v>3</v>
      </c>
      <c r="U275" s="26">
        <v>8</v>
      </c>
      <c r="V275" s="26">
        <v>1</v>
      </c>
    </row>
    <row r="276" spans="1:22" x14ac:dyDescent="0.25">
      <c r="A276" s="26" t="s">
        <v>2400</v>
      </c>
      <c r="B276" s="26" t="s">
        <v>3233</v>
      </c>
      <c r="C276" s="26" t="s">
        <v>3234</v>
      </c>
      <c r="D276" s="26" t="s">
        <v>179</v>
      </c>
      <c r="E276" s="26" t="s">
        <v>4025</v>
      </c>
      <c r="F276" s="26" t="s">
        <v>2576</v>
      </c>
      <c r="G276" s="26" t="s">
        <v>191</v>
      </c>
      <c r="H276" s="26" t="s">
        <v>594</v>
      </c>
      <c r="I276" s="26" t="s">
        <v>184</v>
      </c>
      <c r="J276" s="26" t="s">
        <v>2565</v>
      </c>
      <c r="K276" s="26" t="s">
        <v>2405</v>
      </c>
      <c r="L276" s="26" t="s">
        <v>79</v>
      </c>
      <c r="M276" s="26" t="s">
        <v>77</v>
      </c>
      <c r="N276" s="26">
        <v>93</v>
      </c>
      <c r="O276" s="26">
        <v>64</v>
      </c>
      <c r="P276" s="26">
        <v>29</v>
      </c>
      <c r="Q276" s="26">
        <v>0</v>
      </c>
      <c r="R276" s="26">
        <v>1</v>
      </c>
      <c r="S276" s="26">
        <v>7</v>
      </c>
      <c r="T276" s="26">
        <v>2</v>
      </c>
      <c r="U276" s="26">
        <v>10</v>
      </c>
      <c r="V276" s="26">
        <v>1</v>
      </c>
    </row>
    <row r="277" spans="1:22" x14ac:dyDescent="0.25">
      <c r="A277" s="26" t="s">
        <v>2400</v>
      </c>
      <c r="B277" s="26" t="s">
        <v>3235</v>
      </c>
      <c r="C277" s="26" t="s">
        <v>3236</v>
      </c>
      <c r="D277" s="26" t="s">
        <v>179</v>
      </c>
      <c r="E277" s="26" t="s">
        <v>3237</v>
      </c>
      <c r="F277" s="26" t="s">
        <v>1499</v>
      </c>
      <c r="G277" s="26" t="s">
        <v>413</v>
      </c>
      <c r="H277" s="26" t="s">
        <v>756</v>
      </c>
      <c r="I277" s="26" t="s">
        <v>184</v>
      </c>
      <c r="J277" s="26" t="s">
        <v>2509</v>
      </c>
      <c r="K277" s="26" t="s">
        <v>2405</v>
      </c>
      <c r="L277" s="26" t="s">
        <v>79</v>
      </c>
      <c r="M277" s="26" t="s">
        <v>77</v>
      </c>
      <c r="N277" s="26">
        <v>57</v>
      </c>
      <c r="O277" s="26">
        <v>37</v>
      </c>
      <c r="P277" s="26">
        <v>20</v>
      </c>
      <c r="Q277" s="26">
        <v>0</v>
      </c>
      <c r="R277" s="26">
        <v>1</v>
      </c>
      <c r="S277" s="26">
        <v>4</v>
      </c>
      <c r="T277" s="26">
        <v>2</v>
      </c>
      <c r="U277" s="26">
        <v>7</v>
      </c>
      <c r="V277" s="26">
        <v>1</v>
      </c>
    </row>
    <row r="278" spans="1:22" x14ac:dyDescent="0.25">
      <c r="A278" s="26" t="s">
        <v>2400</v>
      </c>
      <c r="B278" s="26" t="s">
        <v>3238</v>
      </c>
      <c r="C278" s="26" t="s">
        <v>3239</v>
      </c>
      <c r="D278" s="26" t="s">
        <v>179</v>
      </c>
      <c r="E278" s="26" t="s">
        <v>4080</v>
      </c>
      <c r="F278" s="26" t="s">
        <v>1291</v>
      </c>
      <c r="G278" s="26" t="s">
        <v>210</v>
      </c>
      <c r="H278" s="26" t="s">
        <v>594</v>
      </c>
      <c r="I278" s="26" t="s">
        <v>184</v>
      </c>
      <c r="J278" s="26" t="s">
        <v>2448</v>
      </c>
      <c r="K278" s="26" t="s">
        <v>2405</v>
      </c>
      <c r="L278" s="26" t="s">
        <v>79</v>
      </c>
      <c r="M278" s="26" t="s">
        <v>77</v>
      </c>
      <c r="N278" s="26">
        <v>68</v>
      </c>
      <c r="O278" s="26">
        <v>42</v>
      </c>
      <c r="P278" s="26">
        <v>26</v>
      </c>
      <c r="Q278" s="26">
        <v>0</v>
      </c>
      <c r="R278" s="26">
        <v>1</v>
      </c>
      <c r="S278" s="26">
        <v>8</v>
      </c>
      <c r="T278" s="26">
        <v>4</v>
      </c>
      <c r="U278" s="26">
        <v>13</v>
      </c>
      <c r="V278" s="26">
        <v>1</v>
      </c>
    </row>
    <row r="279" spans="1:22" x14ac:dyDescent="0.25">
      <c r="A279" s="26" t="s">
        <v>2400</v>
      </c>
      <c r="B279" s="26" t="s">
        <v>3240</v>
      </c>
      <c r="C279" s="26" t="s">
        <v>3241</v>
      </c>
      <c r="D279" s="26" t="s">
        <v>179</v>
      </c>
      <c r="E279" s="26" t="s">
        <v>3242</v>
      </c>
      <c r="F279" s="26" t="s">
        <v>800</v>
      </c>
      <c r="G279" s="26" t="s">
        <v>413</v>
      </c>
      <c r="H279" s="26" t="s">
        <v>756</v>
      </c>
      <c r="I279" s="26" t="s">
        <v>184</v>
      </c>
      <c r="J279" s="26" t="s">
        <v>2509</v>
      </c>
      <c r="K279" s="26" t="s">
        <v>2405</v>
      </c>
      <c r="L279" s="26" t="s">
        <v>79</v>
      </c>
      <c r="M279" s="26" t="s">
        <v>77</v>
      </c>
      <c r="N279" s="26">
        <v>86</v>
      </c>
      <c r="O279" s="26">
        <v>58</v>
      </c>
      <c r="P279" s="26">
        <v>28</v>
      </c>
      <c r="Q279" s="26">
        <v>0</v>
      </c>
      <c r="R279" s="26">
        <v>1</v>
      </c>
      <c r="S279" s="26">
        <v>6</v>
      </c>
      <c r="T279" s="26">
        <v>2</v>
      </c>
      <c r="U279" s="26">
        <v>9</v>
      </c>
      <c r="V279" s="26">
        <v>1</v>
      </c>
    </row>
    <row r="280" spans="1:22" x14ac:dyDescent="0.25">
      <c r="A280" s="26" t="s">
        <v>2400</v>
      </c>
      <c r="B280" s="26" t="s">
        <v>3243</v>
      </c>
      <c r="C280" s="26" t="s">
        <v>3244</v>
      </c>
      <c r="D280" s="26" t="s">
        <v>2408</v>
      </c>
      <c r="E280" s="26" t="s">
        <v>4081</v>
      </c>
      <c r="F280" s="26" t="s">
        <v>3245</v>
      </c>
      <c r="G280" s="26" t="s">
        <v>191</v>
      </c>
      <c r="H280" s="26" t="s">
        <v>643</v>
      </c>
      <c r="I280" s="26" t="s">
        <v>184</v>
      </c>
      <c r="J280" s="26" t="s">
        <v>2565</v>
      </c>
      <c r="K280" s="26" t="s">
        <v>2405</v>
      </c>
      <c r="L280" s="26" t="s">
        <v>79</v>
      </c>
      <c r="M280" s="26" t="s">
        <v>77</v>
      </c>
      <c r="N280" s="26">
        <v>96</v>
      </c>
      <c r="O280" s="26">
        <v>60</v>
      </c>
      <c r="P280" s="26">
        <v>36</v>
      </c>
      <c r="Q280" s="26">
        <v>0</v>
      </c>
      <c r="R280" s="26">
        <v>1</v>
      </c>
      <c r="S280" s="26">
        <v>6</v>
      </c>
      <c r="T280" s="26">
        <v>1</v>
      </c>
      <c r="U280" s="26">
        <v>8</v>
      </c>
      <c r="V280" s="26">
        <v>1</v>
      </c>
    </row>
    <row r="281" spans="1:22" x14ac:dyDescent="0.25">
      <c r="A281" s="26" t="s">
        <v>2400</v>
      </c>
      <c r="B281" s="26" t="s">
        <v>3246</v>
      </c>
      <c r="C281" s="26" t="s">
        <v>3247</v>
      </c>
      <c r="D281" s="26" t="s">
        <v>179</v>
      </c>
      <c r="E281" s="26" t="s">
        <v>3248</v>
      </c>
      <c r="F281" s="26" t="s">
        <v>3249</v>
      </c>
      <c r="G281" s="26" t="s">
        <v>210</v>
      </c>
      <c r="H281" s="26" t="s">
        <v>926</v>
      </c>
      <c r="I281" s="26" t="s">
        <v>184</v>
      </c>
      <c r="J281" s="26" t="s">
        <v>2448</v>
      </c>
      <c r="K281" s="26" t="s">
        <v>2405</v>
      </c>
      <c r="L281" s="26" t="s">
        <v>79</v>
      </c>
      <c r="M281" s="26" t="s">
        <v>77</v>
      </c>
      <c r="N281" s="26">
        <v>56</v>
      </c>
      <c r="O281" s="26">
        <v>32</v>
      </c>
      <c r="P281" s="26">
        <v>24</v>
      </c>
      <c r="Q281" s="26">
        <v>0</v>
      </c>
      <c r="R281" s="26">
        <v>1</v>
      </c>
      <c r="S281" s="26">
        <v>8</v>
      </c>
      <c r="T281" s="26">
        <v>2</v>
      </c>
      <c r="U281" s="26">
        <v>11</v>
      </c>
      <c r="V281" s="26">
        <v>1</v>
      </c>
    </row>
    <row r="282" spans="1:22" x14ac:dyDescent="0.25">
      <c r="A282" s="26" t="s">
        <v>2400</v>
      </c>
      <c r="B282" s="26" t="s">
        <v>3250</v>
      </c>
      <c r="C282" s="26" t="s">
        <v>3251</v>
      </c>
      <c r="D282" s="26" t="s">
        <v>179</v>
      </c>
      <c r="E282" s="26" t="s">
        <v>3252</v>
      </c>
      <c r="F282" s="26" t="s">
        <v>243</v>
      </c>
      <c r="G282" s="26" t="s">
        <v>210</v>
      </c>
      <c r="H282" s="26" t="s">
        <v>677</v>
      </c>
      <c r="I282" s="26" t="s">
        <v>184</v>
      </c>
      <c r="J282" s="26" t="s">
        <v>2448</v>
      </c>
      <c r="K282" s="26" t="s">
        <v>2405</v>
      </c>
      <c r="L282" s="26" t="s">
        <v>79</v>
      </c>
      <c r="M282" s="26" t="s">
        <v>77</v>
      </c>
      <c r="N282" s="26">
        <v>28</v>
      </c>
      <c r="O282" s="26">
        <v>20</v>
      </c>
      <c r="P282" s="26">
        <v>8</v>
      </c>
      <c r="Q282" s="26">
        <v>0</v>
      </c>
      <c r="R282" s="26">
        <v>1</v>
      </c>
      <c r="S282" s="26">
        <v>9</v>
      </c>
      <c r="T282" s="26">
        <v>3</v>
      </c>
      <c r="U282" s="26">
        <v>13</v>
      </c>
      <c r="V282" s="26">
        <v>1</v>
      </c>
    </row>
    <row r="283" spans="1:22" x14ac:dyDescent="0.25">
      <c r="A283" s="26" t="s">
        <v>2400</v>
      </c>
      <c r="B283" s="26" t="s">
        <v>3253</v>
      </c>
      <c r="C283" s="26" t="s">
        <v>3254</v>
      </c>
      <c r="D283" s="26" t="s">
        <v>2408</v>
      </c>
      <c r="E283" s="26" t="s">
        <v>3255</v>
      </c>
      <c r="F283" s="26" t="s">
        <v>2185</v>
      </c>
      <c r="G283" s="26" t="s">
        <v>210</v>
      </c>
      <c r="H283" s="26" t="s">
        <v>321</v>
      </c>
      <c r="I283" s="26" t="s">
        <v>184</v>
      </c>
      <c r="J283" s="26" t="s">
        <v>2448</v>
      </c>
      <c r="K283" s="26" t="s">
        <v>2405</v>
      </c>
      <c r="L283" s="26" t="s">
        <v>79</v>
      </c>
      <c r="M283" s="26" t="s">
        <v>77</v>
      </c>
      <c r="N283" s="26">
        <v>17</v>
      </c>
      <c r="O283" s="26">
        <v>10</v>
      </c>
      <c r="P283" s="26">
        <v>7</v>
      </c>
      <c r="Q283" s="26">
        <v>0</v>
      </c>
      <c r="R283" s="26">
        <v>1</v>
      </c>
      <c r="S283" s="26">
        <v>7</v>
      </c>
      <c r="T283" s="26">
        <v>3</v>
      </c>
      <c r="U283" s="26">
        <v>11</v>
      </c>
      <c r="V283" s="26">
        <v>1</v>
      </c>
    </row>
    <row r="284" spans="1:22" x14ac:dyDescent="0.25">
      <c r="A284" s="26" t="s">
        <v>2400</v>
      </c>
      <c r="B284" s="26" t="s">
        <v>3256</v>
      </c>
      <c r="C284" s="26" t="s">
        <v>3257</v>
      </c>
      <c r="D284" s="26" t="s">
        <v>2408</v>
      </c>
      <c r="E284" s="26" t="s">
        <v>3258</v>
      </c>
      <c r="F284" s="26" t="s">
        <v>326</v>
      </c>
      <c r="G284" s="26" t="s">
        <v>210</v>
      </c>
      <c r="H284" s="26" t="s">
        <v>594</v>
      </c>
      <c r="I284" s="26" t="s">
        <v>184</v>
      </c>
      <c r="J284" s="26" t="s">
        <v>2448</v>
      </c>
      <c r="K284" s="26" t="s">
        <v>2405</v>
      </c>
      <c r="L284" s="26" t="s">
        <v>79</v>
      </c>
      <c r="M284" s="26" t="s">
        <v>77</v>
      </c>
      <c r="N284" s="26">
        <v>55</v>
      </c>
      <c r="O284" s="26">
        <v>45</v>
      </c>
      <c r="P284" s="26">
        <v>10</v>
      </c>
      <c r="Q284" s="26">
        <v>0</v>
      </c>
      <c r="R284" s="26">
        <v>1</v>
      </c>
      <c r="S284" s="26">
        <v>10</v>
      </c>
      <c r="T284" s="26">
        <v>1</v>
      </c>
      <c r="U284" s="26">
        <v>12</v>
      </c>
      <c r="V284" s="26">
        <v>1</v>
      </c>
    </row>
    <row r="285" spans="1:22" x14ac:dyDescent="0.25">
      <c r="A285" s="26" t="s">
        <v>2400</v>
      </c>
      <c r="B285" s="26" t="s">
        <v>3259</v>
      </c>
      <c r="C285" s="26" t="s">
        <v>3260</v>
      </c>
      <c r="D285" s="26" t="s">
        <v>179</v>
      </c>
      <c r="E285" s="26" t="s">
        <v>3261</v>
      </c>
      <c r="F285" s="26" t="s">
        <v>3262</v>
      </c>
      <c r="G285" s="26" t="s">
        <v>210</v>
      </c>
      <c r="H285" s="26" t="s">
        <v>1693</v>
      </c>
      <c r="I285" s="26" t="s">
        <v>184</v>
      </c>
      <c r="J285" s="26" t="s">
        <v>2448</v>
      </c>
      <c r="K285" s="26" t="s">
        <v>2405</v>
      </c>
      <c r="L285" s="26" t="s">
        <v>79</v>
      </c>
      <c r="M285" s="26" t="s">
        <v>77</v>
      </c>
      <c r="N285" s="26">
        <v>36</v>
      </c>
      <c r="O285" s="26">
        <v>24</v>
      </c>
      <c r="P285" s="26">
        <v>12</v>
      </c>
      <c r="Q285" s="26">
        <v>0</v>
      </c>
      <c r="R285" s="26">
        <v>1</v>
      </c>
      <c r="S285" s="26">
        <v>8</v>
      </c>
      <c r="T285" s="26">
        <v>3</v>
      </c>
      <c r="U285" s="26">
        <v>12</v>
      </c>
      <c r="V285" s="26">
        <v>1</v>
      </c>
    </row>
    <row r="286" spans="1:22" x14ac:dyDescent="0.25">
      <c r="A286" s="26" t="s">
        <v>2400</v>
      </c>
      <c r="B286" s="26" t="s">
        <v>3263</v>
      </c>
      <c r="C286" s="26" t="s">
        <v>3264</v>
      </c>
      <c r="D286" s="26" t="s">
        <v>179</v>
      </c>
      <c r="E286" s="26" t="s">
        <v>3265</v>
      </c>
      <c r="F286" s="26" t="s">
        <v>502</v>
      </c>
      <c r="G286" s="26" t="s">
        <v>293</v>
      </c>
      <c r="H286" s="26" t="s">
        <v>677</v>
      </c>
      <c r="I286" s="26" t="s">
        <v>1259</v>
      </c>
      <c r="J286" s="26" t="s">
        <v>503</v>
      </c>
      <c r="K286" s="26" t="s">
        <v>296</v>
      </c>
      <c r="L286" s="26" t="s">
        <v>80</v>
      </c>
      <c r="M286" s="26" t="s">
        <v>77</v>
      </c>
      <c r="N286" s="26">
        <v>48</v>
      </c>
      <c r="O286" s="26">
        <v>34</v>
      </c>
      <c r="P286" s="26">
        <v>14</v>
      </c>
      <c r="Q286" s="26">
        <v>0</v>
      </c>
      <c r="R286" s="26">
        <v>1</v>
      </c>
      <c r="S286" s="26">
        <v>6</v>
      </c>
      <c r="T286" s="26">
        <v>2</v>
      </c>
      <c r="U286" s="26">
        <v>9</v>
      </c>
      <c r="V286" s="26">
        <v>1</v>
      </c>
    </row>
    <row r="287" spans="1:22" x14ac:dyDescent="0.25">
      <c r="A287" s="26" t="s">
        <v>2400</v>
      </c>
      <c r="B287" s="26" t="s">
        <v>3266</v>
      </c>
      <c r="C287" s="26" t="s">
        <v>3267</v>
      </c>
      <c r="D287" s="26" t="s">
        <v>179</v>
      </c>
      <c r="E287" s="26" t="s">
        <v>3268</v>
      </c>
      <c r="F287" s="26" t="s">
        <v>3269</v>
      </c>
      <c r="G287" s="26" t="s">
        <v>293</v>
      </c>
      <c r="H287" s="26" t="s">
        <v>643</v>
      </c>
      <c r="I287" s="26" t="s">
        <v>1259</v>
      </c>
      <c r="J287" s="26" t="s">
        <v>503</v>
      </c>
      <c r="K287" s="26" t="s">
        <v>296</v>
      </c>
      <c r="L287" s="26" t="s">
        <v>80</v>
      </c>
      <c r="M287" s="26" t="s">
        <v>77</v>
      </c>
      <c r="N287" s="26">
        <v>64</v>
      </c>
      <c r="O287" s="26">
        <v>40</v>
      </c>
      <c r="P287" s="26">
        <v>24</v>
      </c>
      <c r="Q287" s="26">
        <v>0</v>
      </c>
      <c r="R287" s="26">
        <v>1</v>
      </c>
      <c r="S287" s="26">
        <v>4</v>
      </c>
      <c r="T287" s="26">
        <v>2</v>
      </c>
      <c r="U287" s="26">
        <v>7</v>
      </c>
      <c r="V287" s="26">
        <v>1</v>
      </c>
    </row>
    <row r="288" spans="1:22" x14ac:dyDescent="0.25">
      <c r="A288" s="26" t="s">
        <v>2400</v>
      </c>
      <c r="B288" s="26" t="s">
        <v>3270</v>
      </c>
      <c r="C288" s="26" t="s">
        <v>3271</v>
      </c>
      <c r="D288" s="26" t="s">
        <v>179</v>
      </c>
      <c r="E288" s="26" t="s">
        <v>3272</v>
      </c>
      <c r="F288" s="26" t="s">
        <v>3216</v>
      </c>
      <c r="G288" s="26" t="s">
        <v>293</v>
      </c>
      <c r="H288" s="26" t="s">
        <v>643</v>
      </c>
      <c r="I288" s="26" t="s">
        <v>1259</v>
      </c>
      <c r="J288" s="26" t="s">
        <v>503</v>
      </c>
      <c r="K288" s="26" t="s">
        <v>296</v>
      </c>
      <c r="L288" s="26" t="s">
        <v>80</v>
      </c>
      <c r="M288" s="26" t="s">
        <v>77</v>
      </c>
      <c r="N288" s="26">
        <v>45</v>
      </c>
      <c r="O288" s="26">
        <v>33</v>
      </c>
      <c r="P288" s="26">
        <v>12</v>
      </c>
      <c r="Q288" s="26">
        <v>0</v>
      </c>
      <c r="R288" s="26">
        <v>1</v>
      </c>
      <c r="S288" s="26">
        <v>5</v>
      </c>
      <c r="T288" s="26">
        <v>2</v>
      </c>
      <c r="U288" s="26">
        <v>8</v>
      </c>
      <c r="V288" s="26">
        <v>1</v>
      </c>
    </row>
    <row r="289" spans="1:22" x14ac:dyDescent="0.25">
      <c r="A289" s="26" t="s">
        <v>2400</v>
      </c>
      <c r="B289" s="26" t="s">
        <v>3273</v>
      </c>
      <c r="C289" s="26" t="s">
        <v>3274</v>
      </c>
      <c r="D289" s="26" t="s">
        <v>2408</v>
      </c>
      <c r="E289" s="26" t="s">
        <v>3265</v>
      </c>
      <c r="F289" s="26" t="s">
        <v>502</v>
      </c>
      <c r="G289" s="26" t="s">
        <v>293</v>
      </c>
      <c r="H289" s="26" t="s">
        <v>677</v>
      </c>
      <c r="I289" s="26" t="s">
        <v>1259</v>
      </c>
      <c r="J289" s="26" t="s">
        <v>503</v>
      </c>
      <c r="K289" s="26" t="s">
        <v>296</v>
      </c>
      <c r="L289" s="26" t="s">
        <v>80</v>
      </c>
      <c r="M289" s="26" t="s">
        <v>77</v>
      </c>
      <c r="N289" s="26">
        <v>17</v>
      </c>
      <c r="O289" s="26">
        <v>11</v>
      </c>
      <c r="P289" s="26">
        <v>6</v>
      </c>
      <c r="Q289" s="26">
        <v>0</v>
      </c>
      <c r="R289" s="26">
        <v>1</v>
      </c>
      <c r="S289" s="26">
        <v>6</v>
      </c>
      <c r="T289" s="26">
        <v>2</v>
      </c>
      <c r="U289" s="26">
        <v>9</v>
      </c>
      <c r="V289" s="26">
        <v>1</v>
      </c>
    </row>
    <row r="290" spans="1:22" x14ac:dyDescent="0.25">
      <c r="A290" s="26" t="s">
        <v>2400</v>
      </c>
      <c r="B290" s="26" t="s">
        <v>3275</v>
      </c>
      <c r="C290" s="26" t="s">
        <v>3276</v>
      </c>
      <c r="D290" s="26" t="s">
        <v>2408</v>
      </c>
      <c r="E290" s="26" t="s">
        <v>3277</v>
      </c>
      <c r="F290" s="26" t="s">
        <v>3278</v>
      </c>
      <c r="G290" s="26" t="s">
        <v>293</v>
      </c>
      <c r="H290" s="26" t="s">
        <v>643</v>
      </c>
      <c r="I290" s="26" t="s">
        <v>1259</v>
      </c>
      <c r="J290" s="26" t="s">
        <v>503</v>
      </c>
      <c r="K290" s="26" t="s">
        <v>296</v>
      </c>
      <c r="L290" s="26" t="s">
        <v>80</v>
      </c>
      <c r="M290" s="26" t="s">
        <v>77</v>
      </c>
      <c r="N290" s="26">
        <v>69</v>
      </c>
      <c r="O290" s="26">
        <v>38</v>
      </c>
      <c r="P290" s="26">
        <v>31</v>
      </c>
      <c r="Q290" s="26">
        <v>0</v>
      </c>
      <c r="R290" s="26">
        <v>1</v>
      </c>
      <c r="S290" s="26">
        <v>4</v>
      </c>
      <c r="T290" s="26">
        <v>2</v>
      </c>
      <c r="U290" s="26">
        <v>7</v>
      </c>
      <c r="V290" s="26">
        <v>1</v>
      </c>
    </row>
    <row r="291" spans="1:22" x14ac:dyDescent="0.25">
      <c r="A291" s="26" t="s">
        <v>2400</v>
      </c>
      <c r="B291" s="26" t="s">
        <v>3279</v>
      </c>
      <c r="C291" s="26" t="s">
        <v>3280</v>
      </c>
      <c r="D291" s="26" t="s">
        <v>2408</v>
      </c>
      <c r="E291" s="26" t="s">
        <v>3272</v>
      </c>
      <c r="F291" s="26" t="s">
        <v>3216</v>
      </c>
      <c r="G291" s="26" t="s">
        <v>293</v>
      </c>
      <c r="H291" s="26" t="s">
        <v>643</v>
      </c>
      <c r="I291" s="26" t="s">
        <v>1259</v>
      </c>
      <c r="J291" s="26" t="s">
        <v>503</v>
      </c>
      <c r="K291" s="26" t="s">
        <v>296</v>
      </c>
      <c r="L291" s="26" t="s">
        <v>80</v>
      </c>
      <c r="M291" s="26" t="s">
        <v>77</v>
      </c>
      <c r="N291" s="26">
        <v>53</v>
      </c>
      <c r="O291" s="26">
        <v>33</v>
      </c>
      <c r="P291" s="26">
        <v>20</v>
      </c>
      <c r="Q291" s="26">
        <v>0</v>
      </c>
      <c r="R291" s="26">
        <v>1</v>
      </c>
      <c r="S291" s="26">
        <v>4</v>
      </c>
      <c r="T291" s="26">
        <v>2</v>
      </c>
      <c r="U291" s="26">
        <v>7</v>
      </c>
      <c r="V291" s="26">
        <v>1</v>
      </c>
    </row>
    <row r="292" spans="1:22" x14ac:dyDescent="0.25">
      <c r="A292" s="26" t="s">
        <v>2400</v>
      </c>
      <c r="B292" s="26" t="s">
        <v>3281</v>
      </c>
      <c r="C292" s="26" t="s">
        <v>3282</v>
      </c>
      <c r="D292" s="26" t="s">
        <v>179</v>
      </c>
      <c r="E292" s="26" t="s">
        <v>3283</v>
      </c>
      <c r="F292" s="26" t="s">
        <v>3284</v>
      </c>
      <c r="G292" s="26" t="s">
        <v>293</v>
      </c>
      <c r="H292" s="26" t="s">
        <v>301</v>
      </c>
      <c r="I292" s="26" t="s">
        <v>1259</v>
      </c>
      <c r="J292" s="26" t="s">
        <v>295</v>
      </c>
      <c r="K292" s="26" t="s">
        <v>296</v>
      </c>
      <c r="L292" s="26" t="s">
        <v>80</v>
      </c>
      <c r="M292" s="26" t="s">
        <v>77</v>
      </c>
      <c r="N292" s="26">
        <v>44</v>
      </c>
      <c r="O292" s="26">
        <v>29</v>
      </c>
      <c r="P292" s="26">
        <v>15</v>
      </c>
      <c r="Q292" s="26">
        <v>0</v>
      </c>
      <c r="R292" s="26">
        <v>1</v>
      </c>
      <c r="S292" s="26">
        <v>5</v>
      </c>
      <c r="T292" s="26">
        <v>3</v>
      </c>
      <c r="U292" s="26">
        <v>9</v>
      </c>
      <c r="V292" s="26">
        <v>1</v>
      </c>
    </row>
    <row r="293" spans="1:22" x14ac:dyDescent="0.25">
      <c r="A293" s="26" t="s">
        <v>2400</v>
      </c>
      <c r="B293" s="26" t="s">
        <v>3285</v>
      </c>
      <c r="C293" s="26" t="s">
        <v>3286</v>
      </c>
      <c r="D293" s="26" t="s">
        <v>179</v>
      </c>
      <c r="E293" s="26" t="s">
        <v>3287</v>
      </c>
      <c r="F293" s="26" t="s">
        <v>1258</v>
      </c>
      <c r="G293" s="26" t="s">
        <v>293</v>
      </c>
      <c r="H293" s="26" t="s">
        <v>294</v>
      </c>
      <c r="I293" s="26" t="s">
        <v>1259</v>
      </c>
      <c r="J293" s="26" t="s">
        <v>295</v>
      </c>
      <c r="K293" s="26" t="s">
        <v>296</v>
      </c>
      <c r="L293" s="26" t="s">
        <v>80</v>
      </c>
      <c r="M293" s="26" t="s">
        <v>77</v>
      </c>
      <c r="N293" s="26">
        <v>72</v>
      </c>
      <c r="O293" s="26">
        <v>45</v>
      </c>
      <c r="P293" s="26">
        <v>27</v>
      </c>
      <c r="Q293" s="26">
        <v>0</v>
      </c>
      <c r="R293" s="26">
        <v>1</v>
      </c>
      <c r="S293" s="26">
        <v>5</v>
      </c>
      <c r="T293" s="26">
        <v>4</v>
      </c>
      <c r="U293" s="26">
        <v>10</v>
      </c>
      <c r="V293" s="26">
        <v>1</v>
      </c>
    </row>
    <row r="294" spans="1:22" x14ac:dyDescent="0.25">
      <c r="A294" s="26" t="s">
        <v>2400</v>
      </c>
      <c r="B294" s="26" t="s">
        <v>3288</v>
      </c>
      <c r="C294" s="26" t="s">
        <v>3289</v>
      </c>
      <c r="D294" s="26" t="s">
        <v>179</v>
      </c>
      <c r="E294" s="26" t="s">
        <v>2660</v>
      </c>
      <c r="F294" s="26" t="s">
        <v>1669</v>
      </c>
      <c r="G294" s="26" t="s">
        <v>293</v>
      </c>
      <c r="H294" s="26" t="s">
        <v>301</v>
      </c>
      <c r="I294" s="26" t="s">
        <v>1259</v>
      </c>
      <c r="J294" s="26" t="s">
        <v>295</v>
      </c>
      <c r="K294" s="26" t="s">
        <v>296</v>
      </c>
      <c r="L294" s="26" t="s">
        <v>80</v>
      </c>
      <c r="M294" s="26" t="s">
        <v>77</v>
      </c>
      <c r="N294" s="26">
        <v>63</v>
      </c>
      <c r="O294" s="26">
        <v>47</v>
      </c>
      <c r="P294" s="26">
        <v>16</v>
      </c>
      <c r="Q294" s="26">
        <v>0</v>
      </c>
      <c r="R294" s="26">
        <v>1</v>
      </c>
      <c r="S294" s="26">
        <v>3</v>
      </c>
      <c r="T294" s="26">
        <v>1</v>
      </c>
      <c r="U294" s="26">
        <v>5</v>
      </c>
      <c r="V294" s="26">
        <v>1</v>
      </c>
    </row>
    <row r="295" spans="1:22" x14ac:dyDescent="0.25">
      <c r="A295" s="26" t="s">
        <v>2400</v>
      </c>
      <c r="B295" s="26" t="s">
        <v>3290</v>
      </c>
      <c r="C295" s="26" t="s">
        <v>3291</v>
      </c>
      <c r="D295" s="26" t="s">
        <v>179</v>
      </c>
      <c r="E295" s="26" t="s">
        <v>3292</v>
      </c>
      <c r="F295" s="26" t="s">
        <v>292</v>
      </c>
      <c r="G295" s="26" t="s">
        <v>293</v>
      </c>
      <c r="H295" s="26" t="s">
        <v>301</v>
      </c>
      <c r="I295" s="26" t="s">
        <v>1259</v>
      </c>
      <c r="J295" s="26" t="s">
        <v>295</v>
      </c>
      <c r="K295" s="26" t="s">
        <v>296</v>
      </c>
      <c r="L295" s="26" t="s">
        <v>80</v>
      </c>
      <c r="M295" s="26" t="s">
        <v>77</v>
      </c>
      <c r="N295" s="26">
        <v>96</v>
      </c>
      <c r="O295" s="26">
        <v>68</v>
      </c>
      <c r="P295" s="26">
        <v>28</v>
      </c>
      <c r="Q295" s="26">
        <v>0</v>
      </c>
      <c r="R295" s="26">
        <v>1</v>
      </c>
      <c r="S295" s="26">
        <v>5</v>
      </c>
      <c r="T295" s="26">
        <v>4</v>
      </c>
      <c r="U295" s="26">
        <v>10</v>
      </c>
      <c r="V295" s="26">
        <v>1</v>
      </c>
    </row>
    <row r="296" spans="1:22" x14ac:dyDescent="0.25">
      <c r="A296" s="26" t="s">
        <v>2400</v>
      </c>
      <c r="B296" s="26" t="s">
        <v>3293</v>
      </c>
      <c r="C296" s="26" t="s">
        <v>3294</v>
      </c>
      <c r="D296" s="26" t="s">
        <v>179</v>
      </c>
      <c r="E296" s="26" t="s">
        <v>3295</v>
      </c>
      <c r="F296" s="26" t="s">
        <v>1665</v>
      </c>
      <c r="G296" s="26" t="s">
        <v>293</v>
      </c>
      <c r="H296" s="26" t="s">
        <v>351</v>
      </c>
      <c r="I296" s="26" t="s">
        <v>1259</v>
      </c>
      <c r="J296" s="26" t="s">
        <v>1145</v>
      </c>
      <c r="K296" s="26" t="s">
        <v>296</v>
      </c>
      <c r="L296" s="26" t="s">
        <v>80</v>
      </c>
      <c r="M296" s="26" t="s">
        <v>77</v>
      </c>
      <c r="N296" s="26">
        <v>72</v>
      </c>
      <c r="O296" s="26">
        <v>42</v>
      </c>
      <c r="P296" s="26">
        <v>30</v>
      </c>
      <c r="Q296" s="26">
        <v>0</v>
      </c>
      <c r="R296" s="26">
        <v>1</v>
      </c>
      <c r="S296" s="26">
        <v>4</v>
      </c>
      <c r="T296" s="26">
        <v>2</v>
      </c>
      <c r="U296" s="26">
        <v>7</v>
      </c>
      <c r="V296" s="26">
        <v>1</v>
      </c>
    </row>
    <row r="297" spans="1:22" x14ac:dyDescent="0.25">
      <c r="A297" s="26" t="s">
        <v>2400</v>
      </c>
      <c r="B297" s="26" t="s">
        <v>3296</v>
      </c>
      <c r="C297" s="26" t="s">
        <v>3297</v>
      </c>
      <c r="D297" s="26" t="s">
        <v>179</v>
      </c>
      <c r="E297" s="26" t="s">
        <v>3298</v>
      </c>
      <c r="F297" s="26" t="s">
        <v>3299</v>
      </c>
      <c r="G297" s="26" t="s">
        <v>293</v>
      </c>
      <c r="H297" s="26" t="s">
        <v>301</v>
      </c>
      <c r="I297" s="26" t="s">
        <v>1259</v>
      </c>
      <c r="J297" s="26" t="s">
        <v>1145</v>
      </c>
      <c r="K297" s="26" t="s">
        <v>296</v>
      </c>
      <c r="L297" s="26" t="s">
        <v>80</v>
      </c>
      <c r="M297" s="26" t="s">
        <v>77</v>
      </c>
      <c r="N297" s="26">
        <v>79</v>
      </c>
      <c r="O297" s="26">
        <v>54</v>
      </c>
      <c r="P297" s="26">
        <v>25</v>
      </c>
      <c r="Q297" s="26">
        <v>0</v>
      </c>
      <c r="R297" s="26">
        <v>1</v>
      </c>
      <c r="S297" s="26">
        <v>4</v>
      </c>
      <c r="T297" s="26">
        <v>2</v>
      </c>
      <c r="U297" s="26">
        <v>7</v>
      </c>
      <c r="V297" s="26">
        <v>1</v>
      </c>
    </row>
    <row r="298" spans="1:22" x14ac:dyDescent="0.25">
      <c r="A298" s="26" t="s">
        <v>2400</v>
      </c>
      <c r="B298" s="26" t="s">
        <v>3300</v>
      </c>
      <c r="C298" s="26" t="s">
        <v>3301</v>
      </c>
      <c r="D298" s="26" t="s">
        <v>179</v>
      </c>
      <c r="E298" s="26" t="s">
        <v>2723</v>
      </c>
      <c r="F298" s="26" t="s">
        <v>1152</v>
      </c>
      <c r="G298" s="26" t="s">
        <v>293</v>
      </c>
      <c r="H298" s="26" t="s">
        <v>351</v>
      </c>
      <c r="I298" s="26" t="s">
        <v>1259</v>
      </c>
      <c r="J298" s="26" t="s">
        <v>1145</v>
      </c>
      <c r="K298" s="26" t="s">
        <v>296</v>
      </c>
      <c r="L298" s="26" t="s">
        <v>80</v>
      </c>
      <c r="M298" s="26" t="s">
        <v>77</v>
      </c>
      <c r="N298" s="26">
        <v>54</v>
      </c>
      <c r="O298" s="26">
        <v>41</v>
      </c>
      <c r="P298" s="26">
        <v>13</v>
      </c>
      <c r="Q298" s="26">
        <v>0</v>
      </c>
      <c r="R298" s="26">
        <v>1</v>
      </c>
      <c r="S298" s="26">
        <v>5</v>
      </c>
      <c r="T298" s="26">
        <v>3</v>
      </c>
      <c r="U298" s="26">
        <v>9</v>
      </c>
      <c r="V298" s="26">
        <v>1</v>
      </c>
    </row>
    <row r="299" spans="1:22" x14ac:dyDescent="0.25">
      <c r="A299" s="26" t="s">
        <v>2400</v>
      </c>
      <c r="B299" s="26" t="s">
        <v>3302</v>
      </c>
      <c r="C299" s="26" t="s">
        <v>3303</v>
      </c>
      <c r="D299" s="26" t="s">
        <v>2408</v>
      </c>
      <c r="E299" s="26" t="s">
        <v>3304</v>
      </c>
      <c r="F299" s="26" t="s">
        <v>3305</v>
      </c>
      <c r="G299" s="26" t="s">
        <v>293</v>
      </c>
      <c r="H299" s="26" t="s">
        <v>351</v>
      </c>
      <c r="I299" s="26" t="s">
        <v>1259</v>
      </c>
      <c r="J299" s="26" t="s">
        <v>1145</v>
      </c>
      <c r="K299" s="26" t="s">
        <v>296</v>
      </c>
      <c r="L299" s="26" t="s">
        <v>80</v>
      </c>
      <c r="M299" s="26" t="s">
        <v>77</v>
      </c>
      <c r="N299" s="26">
        <v>59</v>
      </c>
      <c r="O299" s="26">
        <v>33</v>
      </c>
      <c r="P299" s="26">
        <v>26</v>
      </c>
      <c r="Q299" s="26">
        <v>0</v>
      </c>
      <c r="R299" s="26">
        <v>1</v>
      </c>
      <c r="S299" s="26">
        <v>5</v>
      </c>
      <c r="T299" s="26">
        <v>2</v>
      </c>
      <c r="U299" s="26">
        <v>8</v>
      </c>
      <c r="V299" s="26">
        <v>1</v>
      </c>
    </row>
    <row r="300" spans="1:22" x14ac:dyDescent="0.25">
      <c r="A300" s="26" t="s">
        <v>2400</v>
      </c>
      <c r="B300" s="26" t="s">
        <v>3306</v>
      </c>
      <c r="C300" s="26" t="s">
        <v>3307</v>
      </c>
      <c r="D300" s="26" t="s">
        <v>2408</v>
      </c>
      <c r="E300" s="26" t="s">
        <v>3308</v>
      </c>
      <c r="F300" s="26" t="s">
        <v>3309</v>
      </c>
      <c r="G300" s="26" t="s">
        <v>293</v>
      </c>
      <c r="H300" s="26" t="s">
        <v>351</v>
      </c>
      <c r="I300" s="26" t="s">
        <v>1259</v>
      </c>
      <c r="J300" s="26" t="s">
        <v>1145</v>
      </c>
      <c r="K300" s="26" t="s">
        <v>296</v>
      </c>
      <c r="L300" s="26" t="s">
        <v>80</v>
      </c>
      <c r="M300" s="26" t="s">
        <v>77</v>
      </c>
      <c r="N300" s="26">
        <v>42</v>
      </c>
      <c r="O300" s="26">
        <v>33</v>
      </c>
      <c r="P300" s="26">
        <v>9</v>
      </c>
      <c r="Q300" s="26">
        <v>0</v>
      </c>
      <c r="R300" s="26">
        <v>1</v>
      </c>
      <c r="S300" s="26">
        <v>3</v>
      </c>
      <c r="T300" s="26">
        <v>1</v>
      </c>
      <c r="U300" s="26">
        <v>5</v>
      </c>
      <c r="V300" s="26">
        <v>1</v>
      </c>
    </row>
    <row r="301" spans="1:22" x14ac:dyDescent="0.25">
      <c r="A301" s="26" t="s">
        <v>2400</v>
      </c>
      <c r="B301" s="26" t="s">
        <v>3310</v>
      </c>
      <c r="C301" s="26" t="s">
        <v>3311</v>
      </c>
      <c r="D301" s="26" t="s">
        <v>2408</v>
      </c>
      <c r="E301" s="26" t="s">
        <v>3312</v>
      </c>
      <c r="F301" s="26" t="s">
        <v>256</v>
      </c>
      <c r="G301" s="26" t="s">
        <v>293</v>
      </c>
      <c r="H301" s="26" t="s">
        <v>687</v>
      </c>
      <c r="I301" s="26" t="s">
        <v>1259</v>
      </c>
      <c r="J301" s="26" t="s">
        <v>696</v>
      </c>
      <c r="K301" s="26" t="s">
        <v>296</v>
      </c>
      <c r="L301" s="26" t="s">
        <v>80</v>
      </c>
      <c r="M301" s="26" t="s">
        <v>77</v>
      </c>
      <c r="N301" s="26">
        <v>57</v>
      </c>
      <c r="O301" s="26">
        <v>41</v>
      </c>
      <c r="P301" s="26">
        <v>16</v>
      </c>
      <c r="Q301" s="26">
        <v>0</v>
      </c>
      <c r="R301" s="26">
        <v>1</v>
      </c>
      <c r="S301" s="26">
        <v>4</v>
      </c>
      <c r="T301" s="26">
        <v>1</v>
      </c>
      <c r="U301" s="26">
        <v>6</v>
      </c>
      <c r="V301" s="26">
        <v>1</v>
      </c>
    </row>
    <row r="302" spans="1:22" x14ac:dyDescent="0.25">
      <c r="A302" s="26" t="s">
        <v>2400</v>
      </c>
      <c r="B302" s="26" t="s">
        <v>3313</v>
      </c>
      <c r="C302" s="26" t="s">
        <v>3314</v>
      </c>
      <c r="D302" s="26" t="s">
        <v>179</v>
      </c>
      <c r="E302" s="26" t="s">
        <v>3315</v>
      </c>
      <c r="F302" s="26" t="s">
        <v>3316</v>
      </c>
      <c r="G302" s="26" t="s">
        <v>293</v>
      </c>
      <c r="H302" s="26" t="s">
        <v>1693</v>
      </c>
      <c r="I302" s="26" t="s">
        <v>1259</v>
      </c>
      <c r="J302" s="26" t="s">
        <v>696</v>
      </c>
      <c r="K302" s="26" t="s">
        <v>296</v>
      </c>
      <c r="L302" s="26" t="s">
        <v>80</v>
      </c>
      <c r="M302" s="26" t="s">
        <v>77</v>
      </c>
      <c r="N302" s="26">
        <v>213</v>
      </c>
      <c r="O302" s="26">
        <v>133</v>
      </c>
      <c r="P302" s="26">
        <v>80</v>
      </c>
      <c r="Q302" s="26">
        <v>0</v>
      </c>
      <c r="R302" s="26">
        <v>1</v>
      </c>
      <c r="S302" s="26">
        <v>5</v>
      </c>
      <c r="T302" s="26">
        <v>4</v>
      </c>
      <c r="U302" s="26">
        <v>10</v>
      </c>
      <c r="V302" s="26">
        <v>1</v>
      </c>
    </row>
    <row r="303" spans="1:22" x14ac:dyDescent="0.25">
      <c r="A303" s="26" t="s">
        <v>2400</v>
      </c>
      <c r="B303" s="26" t="s">
        <v>3317</v>
      </c>
      <c r="C303" s="26" t="s">
        <v>3318</v>
      </c>
      <c r="D303" s="26" t="s">
        <v>179</v>
      </c>
      <c r="E303" s="26" t="s">
        <v>2688</v>
      </c>
      <c r="F303" s="26" t="s">
        <v>2689</v>
      </c>
      <c r="G303" s="26" t="s">
        <v>293</v>
      </c>
      <c r="H303" s="26" t="s">
        <v>677</v>
      </c>
      <c r="I303" s="26" t="s">
        <v>1259</v>
      </c>
      <c r="J303" s="26" t="s">
        <v>696</v>
      </c>
      <c r="K303" s="26" t="s">
        <v>296</v>
      </c>
      <c r="L303" s="26" t="s">
        <v>80</v>
      </c>
      <c r="M303" s="26" t="s">
        <v>77</v>
      </c>
      <c r="N303" s="26">
        <v>47</v>
      </c>
      <c r="O303" s="26">
        <v>29</v>
      </c>
      <c r="P303" s="26">
        <v>18</v>
      </c>
      <c r="Q303" s="26">
        <v>0</v>
      </c>
      <c r="R303" s="26">
        <v>1</v>
      </c>
      <c r="S303" s="26">
        <v>7</v>
      </c>
      <c r="T303" s="26">
        <v>2</v>
      </c>
      <c r="U303" s="26">
        <v>10</v>
      </c>
      <c r="V303" s="26">
        <v>1</v>
      </c>
    </row>
    <row r="304" spans="1:22" x14ac:dyDescent="0.25">
      <c r="A304" s="26" t="s">
        <v>2400</v>
      </c>
      <c r="B304" s="26" t="s">
        <v>3319</v>
      </c>
      <c r="C304" s="26" t="s">
        <v>3320</v>
      </c>
      <c r="D304" s="26" t="s">
        <v>179</v>
      </c>
      <c r="E304" s="26" t="s">
        <v>3321</v>
      </c>
      <c r="F304" s="26" t="s">
        <v>3322</v>
      </c>
      <c r="G304" s="26" t="s">
        <v>293</v>
      </c>
      <c r="H304" s="26" t="s">
        <v>1693</v>
      </c>
      <c r="I304" s="26" t="s">
        <v>1259</v>
      </c>
      <c r="J304" s="26" t="s">
        <v>696</v>
      </c>
      <c r="K304" s="26" t="s">
        <v>296</v>
      </c>
      <c r="L304" s="26" t="s">
        <v>80</v>
      </c>
      <c r="M304" s="26" t="s">
        <v>77</v>
      </c>
      <c r="N304" s="26">
        <v>169</v>
      </c>
      <c r="O304" s="26">
        <v>118</v>
      </c>
      <c r="P304" s="26">
        <v>51</v>
      </c>
      <c r="Q304" s="26">
        <v>0</v>
      </c>
      <c r="R304" s="26">
        <v>1</v>
      </c>
      <c r="S304" s="26">
        <v>4</v>
      </c>
      <c r="T304" s="26">
        <v>2</v>
      </c>
      <c r="U304" s="26">
        <v>7</v>
      </c>
      <c r="V304" s="26">
        <v>1</v>
      </c>
    </row>
    <row r="305" spans="1:22" x14ac:dyDescent="0.25">
      <c r="A305" s="26" t="s">
        <v>2400</v>
      </c>
      <c r="B305" s="26" t="s">
        <v>3323</v>
      </c>
      <c r="C305" s="26" t="s">
        <v>3324</v>
      </c>
      <c r="D305" s="26" t="s">
        <v>2408</v>
      </c>
      <c r="E305" s="26" t="s">
        <v>3325</v>
      </c>
      <c r="F305" s="26" t="s">
        <v>1986</v>
      </c>
      <c r="G305" s="26" t="s">
        <v>293</v>
      </c>
      <c r="H305" s="26" t="s">
        <v>1693</v>
      </c>
      <c r="I305" s="26" t="s">
        <v>1259</v>
      </c>
      <c r="J305" s="26" t="s">
        <v>696</v>
      </c>
      <c r="K305" s="26" t="s">
        <v>296</v>
      </c>
      <c r="L305" s="26" t="s">
        <v>80</v>
      </c>
      <c r="M305" s="26" t="s">
        <v>77</v>
      </c>
      <c r="N305" s="26">
        <v>106</v>
      </c>
      <c r="O305" s="26">
        <v>74</v>
      </c>
      <c r="P305" s="26">
        <v>32</v>
      </c>
      <c r="Q305" s="26">
        <v>0</v>
      </c>
      <c r="R305" s="26">
        <v>1</v>
      </c>
      <c r="S305" s="26">
        <v>6</v>
      </c>
      <c r="T305" s="26">
        <v>2</v>
      </c>
      <c r="U305" s="26">
        <v>9</v>
      </c>
      <c r="V305" s="26">
        <v>1</v>
      </c>
    </row>
    <row r="306" spans="1:22" x14ac:dyDescent="0.25">
      <c r="A306" s="26" t="s">
        <v>2400</v>
      </c>
      <c r="B306" s="26" t="s">
        <v>3326</v>
      </c>
      <c r="C306" s="26" t="s">
        <v>3327</v>
      </c>
      <c r="D306" s="26" t="s">
        <v>2408</v>
      </c>
      <c r="E306" s="26" t="s">
        <v>3328</v>
      </c>
      <c r="F306" s="26" t="s">
        <v>3329</v>
      </c>
      <c r="G306" s="26" t="s">
        <v>662</v>
      </c>
      <c r="H306" s="26" t="s">
        <v>351</v>
      </c>
      <c r="I306" s="26" t="s">
        <v>184</v>
      </c>
      <c r="J306" s="26" t="s">
        <v>2565</v>
      </c>
      <c r="K306" s="26" t="s">
        <v>2405</v>
      </c>
      <c r="L306" s="26" t="s">
        <v>79</v>
      </c>
      <c r="M306" s="26" t="s">
        <v>77</v>
      </c>
      <c r="N306" s="26">
        <v>51</v>
      </c>
      <c r="O306" s="26">
        <v>33</v>
      </c>
      <c r="P306" s="26">
        <v>18</v>
      </c>
      <c r="Q306" s="26">
        <v>0</v>
      </c>
      <c r="R306" s="26">
        <v>1</v>
      </c>
      <c r="S306" s="26">
        <v>5</v>
      </c>
      <c r="T306" s="26">
        <v>2</v>
      </c>
      <c r="U306" s="26">
        <v>8</v>
      </c>
      <c r="V306" s="26">
        <v>1</v>
      </c>
    </row>
    <row r="307" spans="1:22" x14ac:dyDescent="0.25">
      <c r="A307" s="26" t="s">
        <v>2400</v>
      </c>
      <c r="B307" s="26" t="s">
        <v>3330</v>
      </c>
      <c r="C307" s="26" t="s">
        <v>3331</v>
      </c>
      <c r="D307" s="26" t="s">
        <v>179</v>
      </c>
      <c r="E307" s="26" t="s">
        <v>3332</v>
      </c>
      <c r="F307" s="26" t="s">
        <v>1499</v>
      </c>
      <c r="G307" s="26" t="s">
        <v>413</v>
      </c>
      <c r="H307" s="26" t="s">
        <v>756</v>
      </c>
      <c r="I307" s="26" t="s">
        <v>184</v>
      </c>
      <c r="J307" s="26" t="s">
        <v>2509</v>
      </c>
      <c r="K307" s="26" t="s">
        <v>2405</v>
      </c>
      <c r="L307" s="26" t="s">
        <v>79</v>
      </c>
      <c r="M307" s="26" t="s">
        <v>77</v>
      </c>
      <c r="N307" s="26">
        <v>95</v>
      </c>
      <c r="O307" s="26">
        <v>63</v>
      </c>
      <c r="P307" s="26">
        <v>32</v>
      </c>
      <c r="Q307" s="26">
        <v>0</v>
      </c>
      <c r="R307" s="26">
        <v>1</v>
      </c>
      <c r="S307" s="26">
        <v>7</v>
      </c>
      <c r="T307" s="26">
        <v>2</v>
      </c>
      <c r="U307" s="26">
        <v>10</v>
      </c>
      <c r="V307" s="26">
        <v>1</v>
      </c>
    </row>
    <row r="308" spans="1:22" x14ac:dyDescent="0.25">
      <c r="A308" s="26" t="s">
        <v>2400</v>
      </c>
      <c r="B308" s="26" t="s">
        <v>3333</v>
      </c>
      <c r="C308" s="26" t="s">
        <v>3334</v>
      </c>
      <c r="D308" s="26" t="s">
        <v>2408</v>
      </c>
      <c r="E308" s="26" t="s">
        <v>3335</v>
      </c>
      <c r="F308" s="26" t="s">
        <v>3336</v>
      </c>
      <c r="G308" s="26" t="s">
        <v>210</v>
      </c>
      <c r="H308" s="26" t="s">
        <v>687</v>
      </c>
      <c r="I308" s="26" t="s">
        <v>184</v>
      </c>
      <c r="J308" s="26" t="s">
        <v>2448</v>
      </c>
      <c r="K308" s="26" t="s">
        <v>2405</v>
      </c>
      <c r="L308" s="26" t="s">
        <v>79</v>
      </c>
      <c r="M308" s="26" t="s">
        <v>77</v>
      </c>
      <c r="N308" s="26">
        <v>73</v>
      </c>
      <c r="O308" s="26">
        <v>52</v>
      </c>
      <c r="P308" s="26">
        <v>21</v>
      </c>
      <c r="Q308" s="26">
        <v>0</v>
      </c>
      <c r="R308" s="26">
        <v>1</v>
      </c>
      <c r="S308" s="26">
        <v>8</v>
      </c>
      <c r="T308" s="26">
        <v>1</v>
      </c>
      <c r="U308" s="26">
        <v>10</v>
      </c>
      <c r="V308" s="26">
        <v>1</v>
      </c>
    </row>
    <row r="309" spans="1:22" x14ac:dyDescent="0.25">
      <c r="A309" s="26" t="s">
        <v>2400</v>
      </c>
      <c r="B309" s="26" t="s">
        <v>3337</v>
      </c>
      <c r="C309" s="26" t="s">
        <v>3338</v>
      </c>
      <c r="D309" s="26" t="s">
        <v>179</v>
      </c>
      <c r="E309" s="26" t="s">
        <v>3339</v>
      </c>
      <c r="F309" s="26" t="s">
        <v>3340</v>
      </c>
      <c r="G309" s="26" t="s">
        <v>210</v>
      </c>
      <c r="H309" s="26" t="s">
        <v>687</v>
      </c>
      <c r="I309" s="26" t="s">
        <v>184</v>
      </c>
      <c r="J309" s="26" t="s">
        <v>2448</v>
      </c>
      <c r="K309" s="26" t="s">
        <v>2405</v>
      </c>
      <c r="L309" s="26" t="s">
        <v>79</v>
      </c>
      <c r="M309" s="26" t="s">
        <v>77</v>
      </c>
      <c r="N309" s="26">
        <v>74</v>
      </c>
      <c r="O309" s="26">
        <v>50</v>
      </c>
      <c r="P309" s="26">
        <v>24</v>
      </c>
      <c r="Q309" s="26">
        <v>0</v>
      </c>
      <c r="R309" s="26">
        <v>1</v>
      </c>
      <c r="S309" s="26">
        <v>8</v>
      </c>
      <c r="T309" s="26">
        <v>4</v>
      </c>
      <c r="U309" s="26">
        <v>13</v>
      </c>
      <c r="V309" s="26">
        <v>1</v>
      </c>
    </row>
    <row r="310" spans="1:22" x14ac:dyDescent="0.25">
      <c r="A310" s="26" t="s">
        <v>2400</v>
      </c>
      <c r="B310" s="26" t="s">
        <v>3341</v>
      </c>
      <c r="C310" s="26" t="s">
        <v>3342</v>
      </c>
      <c r="D310" s="26" t="s">
        <v>179</v>
      </c>
      <c r="E310" s="26" t="s">
        <v>3343</v>
      </c>
      <c r="F310" s="26" t="s">
        <v>3344</v>
      </c>
      <c r="G310" s="26" t="s">
        <v>265</v>
      </c>
      <c r="H310" s="26" t="s">
        <v>926</v>
      </c>
      <c r="I310" s="26" t="s">
        <v>184</v>
      </c>
      <c r="J310" s="26" t="s">
        <v>2411</v>
      </c>
      <c r="K310" s="26" t="s">
        <v>2405</v>
      </c>
      <c r="L310" s="26" t="s">
        <v>79</v>
      </c>
      <c r="M310" s="26" t="s">
        <v>77</v>
      </c>
      <c r="N310" s="26">
        <v>45</v>
      </c>
      <c r="O310" s="26">
        <v>30</v>
      </c>
      <c r="P310" s="26">
        <v>15</v>
      </c>
      <c r="Q310" s="26">
        <v>0</v>
      </c>
      <c r="R310" s="26">
        <v>1</v>
      </c>
      <c r="S310" s="26">
        <v>6</v>
      </c>
      <c r="T310" s="26">
        <v>3</v>
      </c>
      <c r="U310" s="26">
        <v>10</v>
      </c>
      <c r="V310" s="26">
        <v>1</v>
      </c>
    </row>
    <row r="311" spans="1:22" x14ac:dyDescent="0.25">
      <c r="A311" s="26" t="s">
        <v>2400</v>
      </c>
      <c r="B311" s="26" t="s">
        <v>3345</v>
      </c>
      <c r="C311" s="26" t="s">
        <v>3346</v>
      </c>
      <c r="D311" s="26" t="s">
        <v>179</v>
      </c>
      <c r="E311" s="26" t="s">
        <v>3347</v>
      </c>
      <c r="F311" s="26" t="s">
        <v>444</v>
      </c>
      <c r="G311" s="26" t="s">
        <v>265</v>
      </c>
      <c r="H311" s="26" t="s">
        <v>301</v>
      </c>
      <c r="I311" s="26" t="s">
        <v>184</v>
      </c>
      <c r="J311" s="26" t="s">
        <v>2411</v>
      </c>
      <c r="K311" s="26" t="s">
        <v>2405</v>
      </c>
      <c r="L311" s="26" t="s">
        <v>79</v>
      </c>
      <c r="M311" s="26" t="s">
        <v>77</v>
      </c>
      <c r="N311" s="26">
        <v>79</v>
      </c>
      <c r="O311" s="26">
        <v>63</v>
      </c>
      <c r="P311" s="26">
        <v>16</v>
      </c>
      <c r="Q311" s="26">
        <v>0</v>
      </c>
      <c r="R311" s="26">
        <v>1</v>
      </c>
      <c r="S311" s="26">
        <v>8</v>
      </c>
      <c r="T311" s="26">
        <v>3</v>
      </c>
      <c r="U311" s="26">
        <v>12</v>
      </c>
      <c r="V311" s="26">
        <v>1</v>
      </c>
    </row>
    <row r="312" spans="1:22" x14ac:dyDescent="0.25">
      <c r="A312" s="26" t="s">
        <v>2400</v>
      </c>
      <c r="B312" s="26" t="s">
        <v>3348</v>
      </c>
      <c r="C312" s="26" t="s">
        <v>3349</v>
      </c>
      <c r="D312" s="26" t="s">
        <v>179</v>
      </c>
      <c r="E312" s="26" t="s">
        <v>3350</v>
      </c>
      <c r="F312" s="26" t="s">
        <v>1820</v>
      </c>
      <c r="G312" s="26" t="s">
        <v>265</v>
      </c>
      <c r="H312" s="26" t="s">
        <v>926</v>
      </c>
      <c r="I312" s="26" t="s">
        <v>184</v>
      </c>
      <c r="J312" s="26" t="s">
        <v>2411</v>
      </c>
      <c r="K312" s="26" t="s">
        <v>2405</v>
      </c>
      <c r="L312" s="26" t="s">
        <v>79</v>
      </c>
      <c r="M312" s="26" t="s">
        <v>77</v>
      </c>
      <c r="N312" s="26">
        <v>68</v>
      </c>
      <c r="O312" s="26">
        <v>39</v>
      </c>
      <c r="P312" s="26">
        <v>29</v>
      </c>
      <c r="Q312" s="26">
        <v>0</v>
      </c>
      <c r="R312" s="26">
        <v>1</v>
      </c>
      <c r="S312" s="26">
        <v>6</v>
      </c>
      <c r="T312" s="26">
        <v>2</v>
      </c>
      <c r="U312" s="26">
        <v>9</v>
      </c>
      <c r="V312" s="26">
        <v>1</v>
      </c>
    </row>
    <row r="313" spans="1:22" x14ac:dyDescent="0.25">
      <c r="A313" s="26" t="s">
        <v>2400</v>
      </c>
      <c r="B313" s="26" t="s">
        <v>3351</v>
      </c>
      <c r="C313" s="26" t="s">
        <v>3352</v>
      </c>
      <c r="D313" s="26" t="s">
        <v>179</v>
      </c>
      <c r="E313" s="26" t="s">
        <v>3353</v>
      </c>
      <c r="F313" s="26" t="s">
        <v>3354</v>
      </c>
      <c r="G313" s="26" t="s">
        <v>210</v>
      </c>
      <c r="H313" s="26" t="s">
        <v>687</v>
      </c>
      <c r="I313" s="26" t="s">
        <v>184</v>
      </c>
      <c r="J313" s="26" t="s">
        <v>2448</v>
      </c>
      <c r="K313" s="26" t="s">
        <v>2405</v>
      </c>
      <c r="L313" s="26" t="s">
        <v>79</v>
      </c>
      <c r="M313" s="26" t="s">
        <v>77</v>
      </c>
      <c r="N313" s="26">
        <v>78</v>
      </c>
      <c r="O313" s="26">
        <v>56</v>
      </c>
      <c r="P313" s="26">
        <v>22</v>
      </c>
      <c r="Q313" s="26">
        <v>0</v>
      </c>
      <c r="R313" s="26">
        <v>1</v>
      </c>
      <c r="S313" s="26">
        <v>8</v>
      </c>
      <c r="T313" s="26">
        <v>4</v>
      </c>
      <c r="U313" s="26">
        <v>13</v>
      </c>
      <c r="V313" s="26">
        <v>1</v>
      </c>
    </row>
    <row r="314" spans="1:22" x14ac:dyDescent="0.25">
      <c r="A314" s="26" t="s">
        <v>2400</v>
      </c>
      <c r="B314" s="26" t="s">
        <v>3355</v>
      </c>
      <c r="C314" s="26" t="s">
        <v>3356</v>
      </c>
      <c r="D314" s="26" t="s">
        <v>179</v>
      </c>
      <c r="E314" s="26" t="s">
        <v>3357</v>
      </c>
      <c r="F314" s="26" t="s">
        <v>3358</v>
      </c>
      <c r="G314" s="26" t="s">
        <v>252</v>
      </c>
      <c r="H314" s="26" t="s">
        <v>321</v>
      </c>
      <c r="I314" s="26" t="s">
        <v>184</v>
      </c>
      <c r="J314" s="26" t="s">
        <v>2565</v>
      </c>
      <c r="K314" s="26" t="s">
        <v>2405</v>
      </c>
      <c r="L314" s="26" t="s">
        <v>79</v>
      </c>
      <c r="M314" s="26" t="s">
        <v>77</v>
      </c>
      <c r="N314" s="26">
        <v>58</v>
      </c>
      <c r="O314" s="26">
        <v>36</v>
      </c>
      <c r="P314" s="26">
        <v>22</v>
      </c>
      <c r="Q314" s="26">
        <v>0</v>
      </c>
      <c r="R314" s="26">
        <v>1</v>
      </c>
      <c r="S314" s="26">
        <v>6</v>
      </c>
      <c r="T314" s="26">
        <v>4</v>
      </c>
      <c r="U314" s="26">
        <v>11</v>
      </c>
      <c r="V314" s="26">
        <v>1</v>
      </c>
    </row>
    <row r="315" spans="1:22" x14ac:dyDescent="0.25">
      <c r="A315" s="26" t="s">
        <v>2400</v>
      </c>
      <c r="B315" s="26" t="s">
        <v>3359</v>
      </c>
      <c r="C315" s="26" t="s">
        <v>3360</v>
      </c>
      <c r="D315" s="26" t="s">
        <v>179</v>
      </c>
      <c r="E315" s="26" t="s">
        <v>4082</v>
      </c>
      <c r="F315" s="26" t="s">
        <v>1638</v>
      </c>
      <c r="G315" s="26" t="s">
        <v>651</v>
      </c>
      <c r="H315" s="26" t="s">
        <v>1693</v>
      </c>
      <c r="I315" s="26" t="s">
        <v>184</v>
      </c>
      <c r="J315" s="26" t="s">
        <v>2565</v>
      </c>
      <c r="K315" s="26" t="s">
        <v>2405</v>
      </c>
      <c r="L315" s="26" t="s">
        <v>79</v>
      </c>
      <c r="M315" s="26" t="s">
        <v>77</v>
      </c>
      <c r="N315" s="26">
        <v>100</v>
      </c>
      <c r="O315" s="26">
        <v>75</v>
      </c>
      <c r="P315" s="26">
        <v>25</v>
      </c>
      <c r="Q315" s="26">
        <v>0</v>
      </c>
      <c r="R315" s="26">
        <v>1</v>
      </c>
      <c r="S315" s="26">
        <v>6</v>
      </c>
      <c r="T315" s="26">
        <v>3</v>
      </c>
      <c r="U315" s="26">
        <v>10</v>
      </c>
      <c r="V315" s="26">
        <v>1</v>
      </c>
    </row>
    <row r="316" spans="1:22" x14ac:dyDescent="0.25">
      <c r="A316" s="26" t="s">
        <v>2400</v>
      </c>
      <c r="B316" s="26" t="s">
        <v>3361</v>
      </c>
      <c r="C316" s="26" t="s">
        <v>3362</v>
      </c>
      <c r="D316" s="26" t="s">
        <v>179</v>
      </c>
      <c r="E316" s="26" t="s">
        <v>4083</v>
      </c>
      <c r="F316" s="26" t="s">
        <v>577</v>
      </c>
      <c r="G316" s="26" t="s">
        <v>278</v>
      </c>
      <c r="H316" s="26" t="s">
        <v>677</v>
      </c>
      <c r="I316" s="26" t="s">
        <v>184</v>
      </c>
      <c r="J316" s="26" t="s">
        <v>2509</v>
      </c>
      <c r="K316" s="26" t="s">
        <v>2405</v>
      </c>
      <c r="L316" s="26" t="s">
        <v>79</v>
      </c>
      <c r="M316" s="26" t="s">
        <v>77</v>
      </c>
      <c r="N316" s="26">
        <v>72</v>
      </c>
      <c r="O316" s="26">
        <v>47</v>
      </c>
      <c r="P316" s="26">
        <v>25</v>
      </c>
      <c r="Q316" s="26">
        <v>0</v>
      </c>
      <c r="R316" s="26">
        <v>1</v>
      </c>
      <c r="S316" s="26">
        <v>7</v>
      </c>
      <c r="T316" s="26">
        <v>5</v>
      </c>
      <c r="U316" s="26">
        <v>13</v>
      </c>
      <c r="V316" s="26">
        <v>1</v>
      </c>
    </row>
    <row r="317" spans="1:22" x14ac:dyDescent="0.25">
      <c r="A317" s="26" t="s">
        <v>2400</v>
      </c>
      <c r="B317" s="26" t="s">
        <v>3363</v>
      </c>
      <c r="C317" s="26" t="s">
        <v>3364</v>
      </c>
      <c r="D317" s="26" t="s">
        <v>179</v>
      </c>
      <c r="E317" s="26" t="s">
        <v>3365</v>
      </c>
      <c r="F317" s="26" t="s">
        <v>3366</v>
      </c>
      <c r="G317" s="26" t="s">
        <v>278</v>
      </c>
      <c r="H317" s="26" t="s">
        <v>1693</v>
      </c>
      <c r="I317" s="26" t="s">
        <v>184</v>
      </c>
      <c r="J317" s="26" t="s">
        <v>2509</v>
      </c>
      <c r="K317" s="26" t="s">
        <v>2405</v>
      </c>
      <c r="L317" s="26" t="s">
        <v>79</v>
      </c>
      <c r="M317" s="26" t="s">
        <v>77</v>
      </c>
      <c r="N317" s="26">
        <v>87</v>
      </c>
      <c r="O317" s="26">
        <v>59</v>
      </c>
      <c r="P317" s="26">
        <v>28</v>
      </c>
      <c r="Q317" s="26">
        <v>0</v>
      </c>
      <c r="R317" s="26">
        <v>1</v>
      </c>
      <c r="S317" s="26">
        <v>8</v>
      </c>
      <c r="T317" s="26">
        <v>2</v>
      </c>
      <c r="U317" s="26">
        <v>11</v>
      </c>
      <c r="V317" s="26">
        <v>1</v>
      </c>
    </row>
    <row r="318" spans="1:22" x14ac:dyDescent="0.25">
      <c r="A318" s="26" t="s">
        <v>2400</v>
      </c>
      <c r="B318" s="26" t="s">
        <v>3367</v>
      </c>
      <c r="C318" s="26" t="s">
        <v>3368</v>
      </c>
      <c r="D318" s="26" t="s">
        <v>179</v>
      </c>
      <c r="E318" s="26" t="s">
        <v>2831</v>
      </c>
      <c r="F318" s="26" t="s">
        <v>2832</v>
      </c>
      <c r="G318" s="26" t="s">
        <v>191</v>
      </c>
      <c r="H318" s="26" t="s">
        <v>294</v>
      </c>
      <c r="I318" s="26" t="s">
        <v>184</v>
      </c>
      <c r="J318" s="26" t="s">
        <v>2565</v>
      </c>
      <c r="K318" s="26" t="s">
        <v>2405</v>
      </c>
      <c r="L318" s="26" t="s">
        <v>79</v>
      </c>
      <c r="M318" s="26" t="s">
        <v>77</v>
      </c>
      <c r="N318" s="26">
        <v>42</v>
      </c>
      <c r="O318" s="26">
        <v>28</v>
      </c>
      <c r="P318" s="26">
        <v>14</v>
      </c>
      <c r="Q318" s="26">
        <v>0</v>
      </c>
      <c r="R318" s="26">
        <v>1</v>
      </c>
      <c r="S318" s="26">
        <v>6</v>
      </c>
      <c r="T318" s="26">
        <v>2</v>
      </c>
      <c r="U318" s="26">
        <v>9</v>
      </c>
      <c r="V318" s="26">
        <v>1</v>
      </c>
    </row>
    <row r="319" spans="1:22" x14ac:dyDescent="0.25">
      <c r="A319" s="26" t="s">
        <v>2400</v>
      </c>
      <c r="B319" s="26" t="s">
        <v>3369</v>
      </c>
      <c r="C319" s="26" t="s">
        <v>3370</v>
      </c>
      <c r="D319" s="26" t="s">
        <v>179</v>
      </c>
      <c r="E319" s="26" t="s">
        <v>3371</v>
      </c>
      <c r="F319" s="26" t="s">
        <v>2682</v>
      </c>
      <c r="G319" s="26" t="s">
        <v>413</v>
      </c>
      <c r="H319" s="26" t="s">
        <v>1026</v>
      </c>
      <c r="I319" s="26" t="s">
        <v>184</v>
      </c>
      <c r="J319" s="26" t="s">
        <v>2509</v>
      </c>
      <c r="K319" s="26" t="s">
        <v>2405</v>
      </c>
      <c r="L319" s="26" t="s">
        <v>79</v>
      </c>
      <c r="M319" s="26" t="s">
        <v>77</v>
      </c>
      <c r="N319" s="26">
        <v>132</v>
      </c>
      <c r="O319" s="26">
        <v>84</v>
      </c>
      <c r="P319" s="26">
        <v>48</v>
      </c>
      <c r="Q319" s="26">
        <v>0</v>
      </c>
      <c r="R319" s="26">
        <v>1</v>
      </c>
      <c r="S319" s="26">
        <v>8</v>
      </c>
      <c r="T319" s="26">
        <v>2</v>
      </c>
      <c r="U319" s="26">
        <v>11</v>
      </c>
      <c r="V319" s="26">
        <v>1</v>
      </c>
    </row>
    <row r="320" spans="1:22" x14ac:dyDescent="0.25">
      <c r="A320" s="26" t="s">
        <v>2400</v>
      </c>
      <c r="B320" s="26" t="s">
        <v>3372</v>
      </c>
      <c r="C320" s="26" t="s">
        <v>3373</v>
      </c>
      <c r="D320" s="26" t="s">
        <v>2408</v>
      </c>
      <c r="E320" s="26" t="s">
        <v>4084</v>
      </c>
      <c r="F320" s="26" t="s">
        <v>2470</v>
      </c>
      <c r="G320" s="26" t="s">
        <v>210</v>
      </c>
      <c r="H320" s="26" t="s">
        <v>1693</v>
      </c>
      <c r="I320" s="26" t="s">
        <v>184</v>
      </c>
      <c r="J320" s="26" t="s">
        <v>2448</v>
      </c>
      <c r="K320" s="26" t="s">
        <v>2405</v>
      </c>
      <c r="L320" s="26" t="s">
        <v>79</v>
      </c>
      <c r="M320" s="26" t="s">
        <v>77</v>
      </c>
      <c r="N320" s="26">
        <v>35</v>
      </c>
      <c r="O320" s="26">
        <v>20</v>
      </c>
      <c r="P320" s="26">
        <v>15</v>
      </c>
      <c r="Q320" s="26">
        <v>0</v>
      </c>
      <c r="R320" s="26">
        <v>1</v>
      </c>
      <c r="S320" s="26">
        <v>4</v>
      </c>
      <c r="T320" s="26">
        <v>3</v>
      </c>
      <c r="U320" s="26">
        <v>8</v>
      </c>
      <c r="V320" s="26">
        <v>1</v>
      </c>
    </row>
    <row r="321" spans="1:22" x14ac:dyDescent="0.25">
      <c r="A321" s="26" t="s">
        <v>2400</v>
      </c>
      <c r="B321" s="26" t="s">
        <v>3374</v>
      </c>
      <c r="C321" s="26" t="s">
        <v>3375</v>
      </c>
      <c r="D321" s="26" t="s">
        <v>2408</v>
      </c>
      <c r="E321" s="26" t="s">
        <v>4085</v>
      </c>
      <c r="F321" s="26" t="s">
        <v>3376</v>
      </c>
      <c r="G321" s="26" t="s">
        <v>662</v>
      </c>
      <c r="H321" s="26" t="s">
        <v>926</v>
      </c>
      <c r="I321" s="26" t="s">
        <v>184</v>
      </c>
      <c r="J321" s="26" t="s">
        <v>2565</v>
      </c>
      <c r="K321" s="26" t="s">
        <v>2405</v>
      </c>
      <c r="L321" s="26" t="s">
        <v>79</v>
      </c>
      <c r="M321" s="26" t="s">
        <v>77</v>
      </c>
      <c r="N321" s="26">
        <v>52</v>
      </c>
      <c r="O321" s="26">
        <v>26</v>
      </c>
      <c r="P321" s="26">
        <v>26</v>
      </c>
      <c r="Q321" s="26">
        <v>0</v>
      </c>
      <c r="R321" s="26">
        <v>1</v>
      </c>
      <c r="S321" s="26">
        <v>5</v>
      </c>
      <c r="T321" s="26">
        <v>1</v>
      </c>
      <c r="U321" s="26">
        <v>7</v>
      </c>
      <c r="V321" s="26">
        <v>1</v>
      </c>
    </row>
    <row r="322" spans="1:22" x14ac:dyDescent="0.25">
      <c r="A322" s="26" t="s">
        <v>2400</v>
      </c>
      <c r="B322" s="26" t="s">
        <v>3377</v>
      </c>
      <c r="C322" s="26" t="s">
        <v>3378</v>
      </c>
      <c r="D322" s="26" t="s">
        <v>179</v>
      </c>
      <c r="E322" s="26" t="s">
        <v>3379</v>
      </c>
      <c r="F322" s="26" t="s">
        <v>3380</v>
      </c>
      <c r="G322" s="26" t="s">
        <v>210</v>
      </c>
      <c r="H322" s="26" t="s">
        <v>523</v>
      </c>
      <c r="I322" s="26" t="s">
        <v>184</v>
      </c>
      <c r="J322" s="26" t="s">
        <v>2448</v>
      </c>
      <c r="K322" s="26" t="s">
        <v>2405</v>
      </c>
      <c r="L322" s="26" t="s">
        <v>79</v>
      </c>
      <c r="M322" s="26" t="s">
        <v>77</v>
      </c>
      <c r="N322" s="26">
        <v>42</v>
      </c>
      <c r="O322" s="26">
        <v>27</v>
      </c>
      <c r="P322" s="26">
        <v>15</v>
      </c>
      <c r="Q322" s="26">
        <v>0</v>
      </c>
      <c r="R322" s="26">
        <v>1</v>
      </c>
      <c r="S322" s="26">
        <v>8</v>
      </c>
      <c r="T322" s="26">
        <v>2</v>
      </c>
      <c r="U322" s="26">
        <v>11</v>
      </c>
      <c r="V322" s="26">
        <v>1</v>
      </c>
    </row>
    <row r="323" spans="1:22" x14ac:dyDescent="0.25">
      <c r="A323" s="26" t="s">
        <v>2400</v>
      </c>
      <c r="B323" s="26" t="s">
        <v>3381</v>
      </c>
      <c r="C323" s="26" t="s">
        <v>3382</v>
      </c>
      <c r="D323" s="26" t="s">
        <v>2408</v>
      </c>
      <c r="E323" s="26" t="s">
        <v>3383</v>
      </c>
      <c r="F323" s="26" t="s">
        <v>1553</v>
      </c>
      <c r="G323" s="26" t="s">
        <v>210</v>
      </c>
      <c r="H323" s="26" t="s">
        <v>523</v>
      </c>
      <c r="I323" s="26" t="s">
        <v>184</v>
      </c>
      <c r="J323" s="26" t="s">
        <v>2448</v>
      </c>
      <c r="K323" s="26" t="s">
        <v>2405</v>
      </c>
      <c r="L323" s="26" t="s">
        <v>79</v>
      </c>
      <c r="M323" s="26" t="s">
        <v>77</v>
      </c>
      <c r="N323" s="26">
        <v>38</v>
      </c>
      <c r="O323" s="26">
        <v>26</v>
      </c>
      <c r="P323" s="26">
        <v>12</v>
      </c>
      <c r="Q323" s="26">
        <v>0</v>
      </c>
      <c r="R323" s="26">
        <v>1</v>
      </c>
      <c r="S323" s="26">
        <v>7</v>
      </c>
      <c r="T323" s="26">
        <v>1</v>
      </c>
      <c r="U323" s="26">
        <v>9</v>
      </c>
      <c r="V323" s="26">
        <v>1</v>
      </c>
    </row>
    <row r="324" spans="1:22" x14ac:dyDescent="0.25">
      <c r="A324" s="26" t="s">
        <v>2400</v>
      </c>
      <c r="B324" s="26" t="s">
        <v>3384</v>
      </c>
      <c r="C324" s="26" t="s">
        <v>3385</v>
      </c>
      <c r="D324" s="26" t="s">
        <v>2408</v>
      </c>
      <c r="E324" s="26" t="s">
        <v>4086</v>
      </c>
      <c r="F324" s="26" t="s">
        <v>3386</v>
      </c>
      <c r="G324" s="26" t="s">
        <v>210</v>
      </c>
      <c r="H324" s="26" t="s">
        <v>523</v>
      </c>
      <c r="I324" s="26" t="s">
        <v>184</v>
      </c>
      <c r="J324" s="26" t="s">
        <v>2448</v>
      </c>
      <c r="K324" s="26" t="s">
        <v>2405</v>
      </c>
      <c r="L324" s="26" t="s">
        <v>79</v>
      </c>
      <c r="M324" s="26" t="s">
        <v>77</v>
      </c>
      <c r="N324" s="26">
        <v>63</v>
      </c>
      <c r="O324" s="26">
        <v>38</v>
      </c>
      <c r="P324" s="26">
        <v>25</v>
      </c>
      <c r="Q324" s="26">
        <v>0</v>
      </c>
      <c r="R324" s="26">
        <v>1</v>
      </c>
      <c r="S324" s="26">
        <v>8</v>
      </c>
      <c r="T324" s="26">
        <v>1</v>
      </c>
      <c r="U324" s="26">
        <v>10</v>
      </c>
      <c r="V324" s="26">
        <v>1</v>
      </c>
    </row>
    <row r="325" spans="1:22" x14ac:dyDescent="0.25">
      <c r="A325" s="26" t="s">
        <v>2400</v>
      </c>
      <c r="B325" s="26" t="s">
        <v>3387</v>
      </c>
      <c r="C325" s="26" t="s">
        <v>3388</v>
      </c>
      <c r="D325" s="26" t="s">
        <v>179</v>
      </c>
      <c r="E325" s="26" t="s">
        <v>3389</v>
      </c>
      <c r="F325" s="26" t="s">
        <v>2452</v>
      </c>
      <c r="G325" s="26" t="s">
        <v>210</v>
      </c>
      <c r="H325" s="26" t="s">
        <v>756</v>
      </c>
      <c r="I325" s="26" t="s">
        <v>184</v>
      </c>
      <c r="J325" s="26" t="s">
        <v>2448</v>
      </c>
      <c r="K325" s="26" t="s">
        <v>2405</v>
      </c>
      <c r="L325" s="26" t="s">
        <v>79</v>
      </c>
      <c r="M325" s="26" t="s">
        <v>77</v>
      </c>
      <c r="N325" s="26">
        <v>44</v>
      </c>
      <c r="O325" s="26">
        <v>29</v>
      </c>
      <c r="P325" s="26">
        <v>15</v>
      </c>
      <c r="Q325" s="26">
        <v>0</v>
      </c>
      <c r="R325" s="26">
        <v>1</v>
      </c>
      <c r="S325" s="26">
        <v>8</v>
      </c>
      <c r="T325" s="26">
        <v>3</v>
      </c>
      <c r="U325" s="26">
        <v>12</v>
      </c>
      <c r="V325" s="26">
        <v>1</v>
      </c>
    </row>
    <row r="326" spans="1:22" x14ac:dyDescent="0.25">
      <c r="A326" s="26" t="s">
        <v>2400</v>
      </c>
      <c r="B326" s="26" t="s">
        <v>3390</v>
      </c>
      <c r="C326" s="26" t="s">
        <v>3391</v>
      </c>
      <c r="D326" s="26" t="s">
        <v>179</v>
      </c>
      <c r="E326" s="26" t="s">
        <v>4087</v>
      </c>
      <c r="F326" s="26" t="s">
        <v>2957</v>
      </c>
      <c r="G326" s="26" t="s">
        <v>210</v>
      </c>
      <c r="H326" s="26" t="s">
        <v>677</v>
      </c>
      <c r="I326" s="26" t="s">
        <v>184</v>
      </c>
      <c r="J326" s="26" t="s">
        <v>2448</v>
      </c>
      <c r="K326" s="26" t="s">
        <v>2405</v>
      </c>
      <c r="L326" s="26" t="s">
        <v>79</v>
      </c>
      <c r="M326" s="26" t="s">
        <v>77</v>
      </c>
      <c r="N326" s="26">
        <v>32</v>
      </c>
      <c r="O326" s="26">
        <v>26</v>
      </c>
      <c r="P326" s="26">
        <v>6</v>
      </c>
      <c r="Q326" s="26">
        <v>0</v>
      </c>
      <c r="R326" s="26">
        <v>1</v>
      </c>
      <c r="S326" s="26">
        <v>9</v>
      </c>
      <c r="T326" s="26">
        <v>4</v>
      </c>
      <c r="U326" s="26">
        <v>14</v>
      </c>
      <c r="V326" s="26">
        <v>1</v>
      </c>
    </row>
    <row r="327" spans="1:22" x14ac:dyDescent="0.25">
      <c r="A327" s="26" t="s">
        <v>2400</v>
      </c>
      <c r="B327" s="26" t="s">
        <v>3392</v>
      </c>
      <c r="C327" s="26" t="s">
        <v>3393</v>
      </c>
      <c r="D327" s="26" t="s">
        <v>179</v>
      </c>
      <c r="E327" s="26" t="s">
        <v>3394</v>
      </c>
      <c r="F327" s="26" t="s">
        <v>3395</v>
      </c>
      <c r="G327" s="26" t="s">
        <v>210</v>
      </c>
      <c r="H327" s="26" t="s">
        <v>756</v>
      </c>
      <c r="I327" s="26" t="s">
        <v>184</v>
      </c>
      <c r="J327" s="26" t="s">
        <v>2448</v>
      </c>
      <c r="K327" s="26" t="s">
        <v>2405</v>
      </c>
      <c r="L327" s="26" t="s">
        <v>79</v>
      </c>
      <c r="M327" s="26" t="s">
        <v>77</v>
      </c>
      <c r="N327" s="26">
        <v>52</v>
      </c>
      <c r="O327" s="26">
        <v>34</v>
      </c>
      <c r="P327" s="26">
        <v>18</v>
      </c>
      <c r="Q327" s="26">
        <v>0</v>
      </c>
      <c r="R327" s="26">
        <v>1</v>
      </c>
      <c r="S327" s="26">
        <v>8</v>
      </c>
      <c r="T327" s="26">
        <v>4</v>
      </c>
      <c r="U327" s="26">
        <v>13</v>
      </c>
      <c r="V327" s="26">
        <v>1</v>
      </c>
    </row>
    <row r="328" spans="1:22" x14ac:dyDescent="0.25">
      <c r="A328" s="26" t="s">
        <v>2400</v>
      </c>
      <c r="B328" s="26" t="s">
        <v>3396</v>
      </c>
      <c r="C328" s="26" t="s">
        <v>3397</v>
      </c>
      <c r="D328" s="26" t="s">
        <v>179</v>
      </c>
      <c r="E328" s="26" t="s">
        <v>3398</v>
      </c>
      <c r="F328" s="26" t="s">
        <v>342</v>
      </c>
      <c r="G328" s="26" t="s">
        <v>210</v>
      </c>
      <c r="H328" s="26" t="s">
        <v>523</v>
      </c>
      <c r="I328" s="26" t="s">
        <v>184</v>
      </c>
      <c r="J328" s="26" t="s">
        <v>2448</v>
      </c>
      <c r="K328" s="26" t="s">
        <v>2405</v>
      </c>
      <c r="L328" s="26" t="s">
        <v>79</v>
      </c>
      <c r="M328" s="26" t="s">
        <v>77</v>
      </c>
      <c r="N328" s="26">
        <v>61</v>
      </c>
      <c r="O328" s="26">
        <v>39</v>
      </c>
      <c r="P328" s="26">
        <v>22</v>
      </c>
      <c r="Q328" s="26">
        <v>0</v>
      </c>
      <c r="R328" s="26">
        <v>1</v>
      </c>
      <c r="S328" s="26">
        <v>8</v>
      </c>
      <c r="T328" s="26">
        <v>2</v>
      </c>
      <c r="U328" s="26">
        <v>11</v>
      </c>
      <c r="V328" s="26">
        <v>1</v>
      </c>
    </row>
    <row r="329" spans="1:22" x14ac:dyDescent="0.25">
      <c r="A329" s="26" t="s">
        <v>2400</v>
      </c>
      <c r="B329" s="26" t="s">
        <v>3399</v>
      </c>
      <c r="C329" s="26" t="s">
        <v>3400</v>
      </c>
      <c r="D329" s="26" t="s">
        <v>179</v>
      </c>
      <c r="E329" s="26" t="s">
        <v>4088</v>
      </c>
      <c r="F329" s="26" t="s">
        <v>3401</v>
      </c>
      <c r="G329" s="26" t="s">
        <v>278</v>
      </c>
      <c r="H329" s="26" t="s">
        <v>687</v>
      </c>
      <c r="I329" s="26" t="s">
        <v>184</v>
      </c>
      <c r="J329" s="26" t="s">
        <v>2509</v>
      </c>
      <c r="K329" s="26" t="s">
        <v>2405</v>
      </c>
      <c r="L329" s="26" t="s">
        <v>79</v>
      </c>
      <c r="M329" s="26" t="s">
        <v>77</v>
      </c>
      <c r="N329" s="26">
        <v>64</v>
      </c>
      <c r="O329" s="26">
        <v>46</v>
      </c>
      <c r="P329" s="26">
        <v>18</v>
      </c>
      <c r="Q329" s="26">
        <v>0</v>
      </c>
      <c r="R329" s="26">
        <v>1</v>
      </c>
      <c r="S329" s="26">
        <v>4</v>
      </c>
      <c r="T329" s="26">
        <v>3</v>
      </c>
      <c r="U329" s="26">
        <v>8</v>
      </c>
      <c r="V329" s="26">
        <v>1</v>
      </c>
    </row>
    <row r="330" spans="1:22" x14ac:dyDescent="0.25">
      <c r="A330" s="26" t="s">
        <v>2400</v>
      </c>
      <c r="B330" s="26" t="s">
        <v>3402</v>
      </c>
      <c r="C330" s="26" t="s">
        <v>3403</v>
      </c>
      <c r="D330" s="26" t="s">
        <v>2408</v>
      </c>
      <c r="E330" s="26" t="s">
        <v>4037</v>
      </c>
      <c r="F330" s="26" t="s">
        <v>1536</v>
      </c>
      <c r="G330" s="26" t="s">
        <v>676</v>
      </c>
      <c r="H330" s="26" t="s">
        <v>1026</v>
      </c>
      <c r="I330" s="26" t="s">
        <v>184</v>
      </c>
      <c r="J330" s="26" t="s">
        <v>2404</v>
      </c>
      <c r="K330" s="26" t="s">
        <v>2405</v>
      </c>
      <c r="L330" s="26" t="s">
        <v>79</v>
      </c>
      <c r="M330" s="26" t="s">
        <v>77</v>
      </c>
      <c r="N330" s="26">
        <v>87</v>
      </c>
      <c r="O330" s="26">
        <v>59</v>
      </c>
      <c r="P330" s="26">
        <v>28</v>
      </c>
      <c r="Q330" s="26">
        <v>0</v>
      </c>
      <c r="R330" s="26">
        <v>1</v>
      </c>
      <c r="S330" s="26">
        <v>7</v>
      </c>
      <c r="T330" s="26">
        <v>2</v>
      </c>
      <c r="U330" s="26">
        <v>10</v>
      </c>
      <c r="V330" s="26">
        <v>1</v>
      </c>
    </row>
    <row r="331" spans="1:22" x14ac:dyDescent="0.25">
      <c r="A331" s="26" t="s">
        <v>2400</v>
      </c>
      <c r="B331" s="26" t="s">
        <v>3404</v>
      </c>
      <c r="C331" s="26" t="s">
        <v>3405</v>
      </c>
      <c r="D331" s="26" t="s">
        <v>179</v>
      </c>
      <c r="E331" s="26" t="s">
        <v>3406</v>
      </c>
      <c r="F331" s="26" t="s">
        <v>3407</v>
      </c>
      <c r="G331" s="26" t="s">
        <v>413</v>
      </c>
      <c r="H331" s="26" t="s">
        <v>205</v>
      </c>
      <c r="I331" s="26" t="s">
        <v>184</v>
      </c>
      <c r="J331" s="26" t="s">
        <v>2509</v>
      </c>
      <c r="K331" s="26" t="s">
        <v>2405</v>
      </c>
      <c r="L331" s="26" t="s">
        <v>79</v>
      </c>
      <c r="M331" s="26" t="s">
        <v>77</v>
      </c>
      <c r="N331" s="26">
        <v>17</v>
      </c>
      <c r="O331" s="26">
        <v>13</v>
      </c>
      <c r="P331" s="26">
        <v>4</v>
      </c>
      <c r="Q331" s="26">
        <v>0</v>
      </c>
      <c r="R331" s="26">
        <v>1</v>
      </c>
      <c r="S331" s="26">
        <v>4</v>
      </c>
      <c r="T331" s="26">
        <v>2</v>
      </c>
      <c r="U331" s="26">
        <v>7</v>
      </c>
      <c r="V331" s="26">
        <v>1</v>
      </c>
    </row>
    <row r="332" spans="1:22" x14ac:dyDescent="0.25">
      <c r="A332" s="26" t="s">
        <v>2400</v>
      </c>
      <c r="B332" s="26" t="s">
        <v>3408</v>
      </c>
      <c r="C332" s="26" t="s">
        <v>3409</v>
      </c>
      <c r="D332" s="26" t="s">
        <v>179</v>
      </c>
      <c r="E332" s="26" t="s">
        <v>3410</v>
      </c>
      <c r="F332" s="26" t="s">
        <v>1499</v>
      </c>
      <c r="G332" s="26" t="s">
        <v>413</v>
      </c>
      <c r="H332" s="26" t="s">
        <v>756</v>
      </c>
      <c r="I332" s="26" t="s">
        <v>184</v>
      </c>
      <c r="J332" s="26" t="s">
        <v>2509</v>
      </c>
      <c r="K332" s="26" t="s">
        <v>2405</v>
      </c>
      <c r="L332" s="26" t="s">
        <v>79</v>
      </c>
      <c r="M332" s="26" t="s">
        <v>77</v>
      </c>
      <c r="N332" s="26">
        <v>52</v>
      </c>
      <c r="O332" s="26">
        <v>37</v>
      </c>
      <c r="P332" s="26">
        <v>15</v>
      </c>
      <c r="Q332" s="26">
        <v>0</v>
      </c>
      <c r="R332" s="26">
        <v>1</v>
      </c>
      <c r="S332" s="26">
        <v>5</v>
      </c>
      <c r="T332" s="26">
        <v>2</v>
      </c>
      <c r="U332" s="26">
        <v>8</v>
      </c>
      <c r="V332" s="26">
        <v>1</v>
      </c>
    </row>
    <row r="333" spans="1:22" x14ac:dyDescent="0.25">
      <c r="A333" s="26" t="s">
        <v>2400</v>
      </c>
      <c r="B333" s="26" t="s">
        <v>3411</v>
      </c>
      <c r="C333" s="26" t="s">
        <v>3412</v>
      </c>
      <c r="D333" s="26" t="s">
        <v>179</v>
      </c>
      <c r="E333" s="26" t="s">
        <v>4056</v>
      </c>
      <c r="F333" s="26" t="s">
        <v>823</v>
      </c>
      <c r="G333" s="26" t="s">
        <v>413</v>
      </c>
      <c r="H333" s="26" t="s">
        <v>523</v>
      </c>
      <c r="I333" s="26" t="s">
        <v>184</v>
      </c>
      <c r="J333" s="26" t="s">
        <v>2509</v>
      </c>
      <c r="K333" s="26" t="s">
        <v>2405</v>
      </c>
      <c r="L333" s="26" t="s">
        <v>79</v>
      </c>
      <c r="M333" s="26" t="s">
        <v>77</v>
      </c>
      <c r="N333" s="26">
        <v>44</v>
      </c>
      <c r="O333" s="26">
        <v>22</v>
      </c>
      <c r="P333" s="26">
        <v>22</v>
      </c>
      <c r="Q333" s="26">
        <v>0</v>
      </c>
      <c r="R333" s="26">
        <v>1</v>
      </c>
      <c r="S333" s="26">
        <v>7</v>
      </c>
      <c r="T333" s="26">
        <v>2</v>
      </c>
      <c r="U333" s="26">
        <v>10</v>
      </c>
      <c r="V333" s="26">
        <v>1</v>
      </c>
    </row>
    <row r="334" spans="1:22" x14ac:dyDescent="0.25">
      <c r="A334" s="26" t="s">
        <v>2400</v>
      </c>
      <c r="B334" s="26" t="s">
        <v>3413</v>
      </c>
      <c r="C334" s="26" t="s">
        <v>3414</v>
      </c>
      <c r="D334" s="26" t="s">
        <v>179</v>
      </c>
      <c r="E334" s="26" t="s">
        <v>3415</v>
      </c>
      <c r="F334" s="26" t="s">
        <v>342</v>
      </c>
      <c r="G334" s="26" t="s">
        <v>210</v>
      </c>
      <c r="H334" s="26" t="s">
        <v>594</v>
      </c>
      <c r="I334" s="26" t="s">
        <v>184</v>
      </c>
      <c r="J334" s="26" t="s">
        <v>2448</v>
      </c>
      <c r="K334" s="26" t="s">
        <v>2405</v>
      </c>
      <c r="L334" s="26" t="s">
        <v>79</v>
      </c>
      <c r="M334" s="26" t="s">
        <v>77</v>
      </c>
      <c r="N334" s="26">
        <v>75</v>
      </c>
      <c r="O334" s="26">
        <v>48</v>
      </c>
      <c r="P334" s="26">
        <v>27</v>
      </c>
      <c r="Q334" s="26">
        <v>0</v>
      </c>
      <c r="R334" s="26">
        <v>1</v>
      </c>
      <c r="S334" s="26">
        <v>8</v>
      </c>
      <c r="T334" s="26">
        <v>3</v>
      </c>
      <c r="U334" s="26">
        <v>12</v>
      </c>
      <c r="V334" s="26">
        <v>1</v>
      </c>
    </row>
    <row r="335" spans="1:22" x14ac:dyDescent="0.25">
      <c r="A335" s="26" t="s">
        <v>2400</v>
      </c>
      <c r="B335" s="26" t="s">
        <v>3416</v>
      </c>
      <c r="C335" s="26" t="s">
        <v>3417</v>
      </c>
      <c r="D335" s="26" t="s">
        <v>179</v>
      </c>
      <c r="E335" s="26" t="s">
        <v>3418</v>
      </c>
      <c r="F335" s="26" t="s">
        <v>3419</v>
      </c>
      <c r="G335" s="26" t="s">
        <v>210</v>
      </c>
      <c r="H335" s="26" t="s">
        <v>1026</v>
      </c>
      <c r="I335" s="26" t="s">
        <v>184</v>
      </c>
      <c r="J335" s="26" t="s">
        <v>2448</v>
      </c>
      <c r="K335" s="26" t="s">
        <v>2405</v>
      </c>
      <c r="L335" s="26" t="s">
        <v>79</v>
      </c>
      <c r="M335" s="26" t="s">
        <v>77</v>
      </c>
      <c r="N335" s="26">
        <v>38</v>
      </c>
      <c r="O335" s="26">
        <v>24</v>
      </c>
      <c r="P335" s="26">
        <v>14</v>
      </c>
      <c r="Q335" s="26">
        <v>0</v>
      </c>
      <c r="R335" s="26">
        <v>1</v>
      </c>
      <c r="S335" s="26">
        <v>8</v>
      </c>
      <c r="T335" s="26">
        <v>2</v>
      </c>
      <c r="U335" s="26">
        <v>11</v>
      </c>
      <c r="V335" s="26">
        <v>1</v>
      </c>
    </row>
    <row r="336" spans="1:22" x14ac:dyDescent="0.25">
      <c r="A336" s="26" t="s">
        <v>2400</v>
      </c>
      <c r="B336" s="26" t="s">
        <v>3420</v>
      </c>
      <c r="C336" s="26" t="s">
        <v>3421</v>
      </c>
      <c r="D336" s="26" t="s">
        <v>179</v>
      </c>
      <c r="E336" s="26" t="s">
        <v>4089</v>
      </c>
      <c r="F336" s="26" t="s">
        <v>716</v>
      </c>
      <c r="G336" s="26" t="s">
        <v>413</v>
      </c>
      <c r="H336" s="26" t="s">
        <v>321</v>
      </c>
      <c r="I336" s="26" t="s">
        <v>184</v>
      </c>
      <c r="J336" s="26" t="s">
        <v>2509</v>
      </c>
      <c r="K336" s="26" t="s">
        <v>2405</v>
      </c>
      <c r="L336" s="26" t="s">
        <v>79</v>
      </c>
      <c r="M336" s="26" t="s">
        <v>77</v>
      </c>
      <c r="N336" s="26">
        <v>78</v>
      </c>
      <c r="O336" s="26">
        <v>50</v>
      </c>
      <c r="P336" s="26">
        <v>28</v>
      </c>
      <c r="Q336" s="26">
        <v>0</v>
      </c>
      <c r="R336" s="26">
        <v>1</v>
      </c>
      <c r="S336" s="26">
        <v>6</v>
      </c>
      <c r="T336" s="26">
        <v>3</v>
      </c>
      <c r="U336" s="26">
        <v>10</v>
      </c>
      <c r="V336" s="26">
        <v>1</v>
      </c>
    </row>
    <row r="337" spans="1:22" x14ac:dyDescent="0.25">
      <c r="A337" s="26" t="s">
        <v>2400</v>
      </c>
      <c r="B337" s="26" t="s">
        <v>3422</v>
      </c>
      <c r="C337" s="26" t="s">
        <v>3423</v>
      </c>
      <c r="D337" s="26" t="s">
        <v>179</v>
      </c>
      <c r="E337" s="26" t="s">
        <v>3255</v>
      </c>
      <c r="F337" s="26" t="s">
        <v>2185</v>
      </c>
      <c r="G337" s="26" t="s">
        <v>210</v>
      </c>
      <c r="H337" s="26" t="s">
        <v>321</v>
      </c>
      <c r="I337" s="26" t="s">
        <v>184</v>
      </c>
      <c r="J337" s="26" t="s">
        <v>2448</v>
      </c>
      <c r="K337" s="26" t="s">
        <v>2405</v>
      </c>
      <c r="L337" s="26" t="s">
        <v>79</v>
      </c>
      <c r="M337" s="26" t="s">
        <v>77</v>
      </c>
      <c r="N337" s="26">
        <v>34</v>
      </c>
      <c r="O337" s="26">
        <v>26</v>
      </c>
      <c r="P337" s="26">
        <v>8</v>
      </c>
      <c r="Q337" s="26">
        <v>0</v>
      </c>
      <c r="R337" s="26">
        <v>1</v>
      </c>
      <c r="S337" s="26">
        <v>8</v>
      </c>
      <c r="T337" s="26">
        <v>3</v>
      </c>
      <c r="U337" s="26">
        <v>12</v>
      </c>
      <c r="V337" s="26">
        <v>1</v>
      </c>
    </row>
    <row r="338" spans="1:22" x14ac:dyDescent="0.25">
      <c r="A338" s="26" t="s">
        <v>2400</v>
      </c>
      <c r="B338" s="26" t="s">
        <v>3424</v>
      </c>
      <c r="C338" s="26" t="s">
        <v>3425</v>
      </c>
      <c r="D338" s="26" t="s">
        <v>2408</v>
      </c>
      <c r="E338" s="26" t="s">
        <v>2902</v>
      </c>
      <c r="F338" s="26" t="s">
        <v>2903</v>
      </c>
      <c r="G338" s="26" t="s">
        <v>252</v>
      </c>
      <c r="H338" s="26" t="s">
        <v>205</v>
      </c>
      <c r="I338" s="26" t="s">
        <v>184</v>
      </c>
      <c r="J338" s="26" t="s">
        <v>2565</v>
      </c>
      <c r="K338" s="26" t="s">
        <v>2405</v>
      </c>
      <c r="L338" s="26" t="s">
        <v>79</v>
      </c>
      <c r="M338" s="26" t="s">
        <v>77</v>
      </c>
      <c r="N338" s="26">
        <v>68</v>
      </c>
      <c r="O338" s="26">
        <v>44</v>
      </c>
      <c r="P338" s="26">
        <v>24</v>
      </c>
      <c r="Q338" s="26">
        <v>0</v>
      </c>
      <c r="R338" s="26">
        <v>1</v>
      </c>
      <c r="S338" s="26">
        <v>5</v>
      </c>
      <c r="T338" s="26">
        <v>3</v>
      </c>
      <c r="U338" s="26">
        <v>9</v>
      </c>
      <c r="V338" s="26">
        <v>1</v>
      </c>
    </row>
    <row r="339" spans="1:22" x14ac:dyDescent="0.25">
      <c r="A339" s="26" t="s">
        <v>2400</v>
      </c>
      <c r="B339" s="26" t="s">
        <v>3426</v>
      </c>
      <c r="C339" s="26" t="s">
        <v>3427</v>
      </c>
      <c r="D339" s="26" t="s">
        <v>179</v>
      </c>
      <c r="E339" s="26" t="s">
        <v>3428</v>
      </c>
      <c r="F339" s="26" t="s">
        <v>3429</v>
      </c>
      <c r="G339" s="26" t="s">
        <v>204</v>
      </c>
      <c r="H339" s="26" t="s">
        <v>643</v>
      </c>
      <c r="I339" s="26" t="s">
        <v>184</v>
      </c>
      <c r="J339" s="26" t="s">
        <v>2411</v>
      </c>
      <c r="K339" s="26" t="s">
        <v>2405</v>
      </c>
      <c r="L339" s="26" t="s">
        <v>79</v>
      </c>
      <c r="M339" s="26" t="s">
        <v>77</v>
      </c>
      <c r="N339" s="26">
        <v>76</v>
      </c>
      <c r="O339" s="26">
        <v>46</v>
      </c>
      <c r="P339" s="26">
        <v>30</v>
      </c>
      <c r="Q339" s="26">
        <v>0</v>
      </c>
      <c r="R339" s="26">
        <v>1</v>
      </c>
      <c r="S339" s="26">
        <v>9</v>
      </c>
      <c r="T339" s="26">
        <v>3</v>
      </c>
      <c r="U339" s="26">
        <v>13</v>
      </c>
      <c r="V339" s="26">
        <v>1</v>
      </c>
    </row>
    <row r="340" spans="1:22" x14ac:dyDescent="0.25">
      <c r="A340" s="26" t="s">
        <v>2400</v>
      </c>
      <c r="B340" s="26" t="s">
        <v>3430</v>
      </c>
      <c r="C340" s="26" t="s">
        <v>3431</v>
      </c>
      <c r="D340" s="26" t="s">
        <v>2408</v>
      </c>
      <c r="E340" s="26" t="s">
        <v>4090</v>
      </c>
      <c r="F340" s="26" t="s">
        <v>1372</v>
      </c>
      <c r="G340" s="26" t="s">
        <v>204</v>
      </c>
      <c r="H340" s="26" t="s">
        <v>687</v>
      </c>
      <c r="I340" s="26" t="s">
        <v>184</v>
      </c>
      <c r="J340" s="26" t="s">
        <v>2411</v>
      </c>
      <c r="K340" s="26" t="s">
        <v>2405</v>
      </c>
      <c r="L340" s="26" t="s">
        <v>79</v>
      </c>
      <c r="M340" s="26" t="s">
        <v>77</v>
      </c>
      <c r="N340" s="26">
        <v>50</v>
      </c>
      <c r="O340" s="26">
        <v>37</v>
      </c>
      <c r="P340" s="26">
        <v>13</v>
      </c>
      <c r="Q340" s="26">
        <v>0</v>
      </c>
      <c r="R340" s="26">
        <v>1</v>
      </c>
      <c r="S340" s="26">
        <v>10</v>
      </c>
      <c r="T340" s="26">
        <v>1</v>
      </c>
      <c r="U340" s="26">
        <v>12</v>
      </c>
      <c r="V340" s="26">
        <v>1</v>
      </c>
    </row>
    <row r="341" spans="1:22" x14ac:dyDescent="0.25">
      <c r="A341" s="26" t="s">
        <v>2400</v>
      </c>
      <c r="B341" s="26" t="s">
        <v>3432</v>
      </c>
      <c r="C341" s="26" t="s">
        <v>3433</v>
      </c>
      <c r="D341" s="26" t="s">
        <v>179</v>
      </c>
      <c r="E341" s="26" t="s">
        <v>4091</v>
      </c>
      <c r="F341" s="26" t="s">
        <v>2433</v>
      </c>
      <c r="G341" s="26" t="s">
        <v>204</v>
      </c>
      <c r="H341" s="26" t="s">
        <v>687</v>
      </c>
      <c r="I341" s="26" t="s">
        <v>184</v>
      </c>
      <c r="J341" s="26" t="s">
        <v>2411</v>
      </c>
      <c r="K341" s="26" t="s">
        <v>2405</v>
      </c>
      <c r="L341" s="26" t="s">
        <v>79</v>
      </c>
      <c r="M341" s="26" t="s">
        <v>77</v>
      </c>
      <c r="N341" s="26">
        <v>56</v>
      </c>
      <c r="O341" s="26">
        <v>35</v>
      </c>
      <c r="P341" s="26">
        <v>21</v>
      </c>
      <c r="Q341" s="26">
        <v>0</v>
      </c>
      <c r="R341" s="26">
        <v>1</v>
      </c>
      <c r="S341" s="26">
        <v>9</v>
      </c>
      <c r="T341" s="26">
        <v>2</v>
      </c>
      <c r="U341" s="26">
        <v>12</v>
      </c>
      <c r="V341" s="26">
        <v>1</v>
      </c>
    </row>
    <row r="342" spans="1:22" x14ac:dyDescent="0.25">
      <c r="A342" s="26" t="s">
        <v>2400</v>
      </c>
      <c r="B342" s="26" t="s">
        <v>3434</v>
      </c>
      <c r="C342" s="26" t="s">
        <v>3435</v>
      </c>
      <c r="D342" s="26" t="s">
        <v>179</v>
      </c>
      <c r="E342" s="26" t="s">
        <v>3436</v>
      </c>
      <c r="F342" s="26" t="s">
        <v>3437</v>
      </c>
      <c r="G342" s="26" t="s">
        <v>252</v>
      </c>
      <c r="H342" s="26" t="s">
        <v>756</v>
      </c>
      <c r="I342" s="26" t="s">
        <v>184</v>
      </c>
      <c r="J342" s="26" t="s">
        <v>2565</v>
      </c>
      <c r="K342" s="26" t="s">
        <v>2405</v>
      </c>
      <c r="L342" s="26" t="s">
        <v>79</v>
      </c>
      <c r="M342" s="26" t="s">
        <v>77</v>
      </c>
      <c r="N342" s="26">
        <v>58</v>
      </c>
      <c r="O342" s="26">
        <v>38</v>
      </c>
      <c r="P342" s="26">
        <v>20</v>
      </c>
      <c r="Q342" s="26">
        <v>0</v>
      </c>
      <c r="R342" s="26">
        <v>1</v>
      </c>
      <c r="S342" s="26">
        <v>5</v>
      </c>
      <c r="T342" s="26">
        <v>3</v>
      </c>
      <c r="U342" s="26">
        <v>9</v>
      </c>
      <c r="V342" s="26">
        <v>1</v>
      </c>
    </row>
    <row r="343" spans="1:22" x14ac:dyDescent="0.25">
      <c r="A343" s="26" t="s">
        <v>2400</v>
      </c>
      <c r="B343" s="26" t="s">
        <v>3438</v>
      </c>
      <c r="C343" s="26" t="s">
        <v>3439</v>
      </c>
      <c r="D343" s="26" t="s">
        <v>2408</v>
      </c>
      <c r="E343" s="26" t="s">
        <v>3440</v>
      </c>
      <c r="F343" s="26" t="s">
        <v>3441</v>
      </c>
      <c r="G343" s="26" t="s">
        <v>204</v>
      </c>
      <c r="H343" s="26" t="s">
        <v>643</v>
      </c>
      <c r="I343" s="26" t="s">
        <v>184</v>
      </c>
      <c r="J343" s="26" t="s">
        <v>2411</v>
      </c>
      <c r="K343" s="26" t="s">
        <v>2405</v>
      </c>
      <c r="L343" s="26" t="s">
        <v>79</v>
      </c>
      <c r="M343" s="26" t="s">
        <v>77</v>
      </c>
      <c r="N343" s="26">
        <v>55</v>
      </c>
      <c r="O343" s="26">
        <v>36</v>
      </c>
      <c r="P343" s="26">
        <v>19</v>
      </c>
      <c r="Q343" s="26">
        <v>0</v>
      </c>
      <c r="R343" s="26">
        <v>1</v>
      </c>
      <c r="S343" s="26">
        <v>8</v>
      </c>
      <c r="T343" s="26">
        <v>4</v>
      </c>
      <c r="U343" s="26">
        <v>13</v>
      </c>
      <c r="V343" s="26">
        <v>1</v>
      </c>
    </row>
    <row r="344" spans="1:22" x14ac:dyDescent="0.25">
      <c r="A344" s="26" t="s">
        <v>2400</v>
      </c>
      <c r="B344" s="26" t="s">
        <v>3442</v>
      </c>
      <c r="C344" s="26" t="s">
        <v>3443</v>
      </c>
      <c r="D344" s="26" t="s">
        <v>179</v>
      </c>
      <c r="E344" s="26" t="s">
        <v>3444</v>
      </c>
      <c r="F344" s="26" t="s">
        <v>190</v>
      </c>
      <c r="G344" s="26" t="s">
        <v>191</v>
      </c>
      <c r="H344" s="26" t="s">
        <v>1026</v>
      </c>
      <c r="I344" s="26" t="s">
        <v>184</v>
      </c>
      <c r="J344" s="26" t="s">
        <v>2565</v>
      </c>
      <c r="K344" s="26" t="s">
        <v>2405</v>
      </c>
      <c r="L344" s="26" t="s">
        <v>79</v>
      </c>
      <c r="M344" s="26" t="s">
        <v>77</v>
      </c>
      <c r="N344" s="26">
        <v>86</v>
      </c>
      <c r="O344" s="26">
        <v>53</v>
      </c>
      <c r="P344" s="26">
        <v>33</v>
      </c>
      <c r="Q344" s="26">
        <v>0</v>
      </c>
      <c r="R344" s="26">
        <v>1</v>
      </c>
      <c r="S344" s="26">
        <v>8</v>
      </c>
      <c r="T344" s="26">
        <v>3</v>
      </c>
      <c r="U344" s="26">
        <v>12</v>
      </c>
      <c r="V344" s="26">
        <v>1</v>
      </c>
    </row>
    <row r="345" spans="1:22" x14ac:dyDescent="0.25">
      <c r="A345" s="26" t="s">
        <v>2400</v>
      </c>
      <c r="B345" s="26" t="s">
        <v>3445</v>
      </c>
      <c r="C345" s="26" t="s">
        <v>3446</v>
      </c>
      <c r="D345" s="26" t="s">
        <v>179</v>
      </c>
      <c r="E345" s="26" t="s">
        <v>3447</v>
      </c>
      <c r="F345" s="26" t="s">
        <v>3448</v>
      </c>
      <c r="G345" s="26" t="s">
        <v>4126</v>
      </c>
      <c r="H345" s="26" t="s">
        <v>205</v>
      </c>
      <c r="I345" s="26" t="s">
        <v>184</v>
      </c>
      <c r="J345" s="26" t="s">
        <v>2411</v>
      </c>
      <c r="K345" s="26" t="s">
        <v>2405</v>
      </c>
      <c r="L345" s="26" t="s">
        <v>79</v>
      </c>
      <c r="M345" s="26" t="s">
        <v>77</v>
      </c>
      <c r="N345" s="26">
        <v>20</v>
      </c>
      <c r="O345" s="26">
        <v>10</v>
      </c>
      <c r="P345" s="26">
        <v>10</v>
      </c>
      <c r="Q345" s="26">
        <v>0</v>
      </c>
      <c r="R345" s="26">
        <v>1</v>
      </c>
      <c r="S345" s="26">
        <v>4</v>
      </c>
      <c r="T345" s="26">
        <v>2</v>
      </c>
      <c r="U345" s="26">
        <v>7</v>
      </c>
      <c r="V345" s="26">
        <v>1</v>
      </c>
    </row>
    <row r="346" spans="1:22" x14ac:dyDescent="0.25">
      <c r="A346" s="26" t="s">
        <v>2400</v>
      </c>
      <c r="B346" s="26" t="s">
        <v>3449</v>
      </c>
      <c r="C346" s="26" t="s">
        <v>3450</v>
      </c>
      <c r="D346" s="26" t="s">
        <v>179</v>
      </c>
      <c r="E346" s="26" t="s">
        <v>3451</v>
      </c>
      <c r="F346" s="26" t="s">
        <v>379</v>
      </c>
      <c r="G346" s="26" t="s">
        <v>4126</v>
      </c>
      <c r="H346" s="26" t="s">
        <v>523</v>
      </c>
      <c r="I346" s="26" t="s">
        <v>184</v>
      </c>
      <c r="J346" s="26" t="s">
        <v>2411</v>
      </c>
      <c r="K346" s="26" t="s">
        <v>2405</v>
      </c>
      <c r="L346" s="26" t="s">
        <v>79</v>
      </c>
      <c r="M346" s="26" t="s">
        <v>77</v>
      </c>
      <c r="N346" s="26">
        <v>58</v>
      </c>
      <c r="O346" s="26">
        <v>34</v>
      </c>
      <c r="P346" s="26">
        <v>24</v>
      </c>
      <c r="Q346" s="26">
        <v>0</v>
      </c>
      <c r="R346" s="26">
        <v>1</v>
      </c>
      <c r="S346" s="26">
        <v>5</v>
      </c>
      <c r="T346" s="26">
        <v>4</v>
      </c>
      <c r="U346" s="26">
        <v>10</v>
      </c>
      <c r="V346" s="26">
        <v>1</v>
      </c>
    </row>
    <row r="347" spans="1:22" x14ac:dyDescent="0.25">
      <c r="A347" s="26" t="s">
        <v>2400</v>
      </c>
      <c r="B347" s="26" t="s">
        <v>3452</v>
      </c>
      <c r="C347" s="26" t="s">
        <v>3453</v>
      </c>
      <c r="D347" s="26" t="s">
        <v>2408</v>
      </c>
      <c r="E347" s="26" t="s">
        <v>4092</v>
      </c>
      <c r="F347" s="26" t="s">
        <v>2748</v>
      </c>
      <c r="G347" s="26" t="s">
        <v>265</v>
      </c>
      <c r="H347" s="26" t="s">
        <v>351</v>
      </c>
      <c r="I347" s="26" t="s">
        <v>184</v>
      </c>
      <c r="J347" s="26" t="s">
        <v>2411</v>
      </c>
      <c r="K347" s="26" t="s">
        <v>2405</v>
      </c>
      <c r="L347" s="26" t="s">
        <v>79</v>
      </c>
      <c r="M347" s="26" t="s">
        <v>77</v>
      </c>
      <c r="N347" s="26">
        <v>81</v>
      </c>
      <c r="O347" s="26">
        <v>47</v>
      </c>
      <c r="P347" s="26">
        <v>34</v>
      </c>
      <c r="Q347" s="26">
        <v>0</v>
      </c>
      <c r="R347" s="26">
        <v>1</v>
      </c>
      <c r="S347" s="26">
        <v>10</v>
      </c>
      <c r="T347" s="26">
        <v>3</v>
      </c>
      <c r="U347" s="26">
        <v>14</v>
      </c>
      <c r="V347" s="26">
        <v>1</v>
      </c>
    </row>
    <row r="348" spans="1:22" x14ac:dyDescent="0.25">
      <c r="A348" s="26" t="s">
        <v>2400</v>
      </c>
      <c r="B348" s="26" t="s">
        <v>3454</v>
      </c>
      <c r="C348" s="26" t="s">
        <v>3455</v>
      </c>
      <c r="D348" s="26" t="s">
        <v>2408</v>
      </c>
      <c r="E348" s="26" t="s">
        <v>2403</v>
      </c>
      <c r="F348" s="26" t="s">
        <v>247</v>
      </c>
      <c r="G348" s="26" t="s">
        <v>198</v>
      </c>
      <c r="H348" s="26" t="s">
        <v>594</v>
      </c>
      <c r="I348" s="26" t="s">
        <v>184</v>
      </c>
      <c r="J348" s="26" t="s">
        <v>2404</v>
      </c>
      <c r="K348" s="26" t="s">
        <v>2405</v>
      </c>
      <c r="L348" s="26" t="s">
        <v>79</v>
      </c>
      <c r="M348" s="26" t="s">
        <v>77</v>
      </c>
      <c r="N348" s="26">
        <v>70</v>
      </c>
      <c r="O348" s="26">
        <v>44</v>
      </c>
      <c r="P348" s="26">
        <v>26</v>
      </c>
      <c r="Q348" s="26">
        <v>0</v>
      </c>
      <c r="R348" s="26">
        <v>1</v>
      </c>
      <c r="S348" s="26">
        <v>7</v>
      </c>
      <c r="T348" s="26">
        <v>2</v>
      </c>
      <c r="U348" s="26">
        <v>10</v>
      </c>
      <c r="V348" s="26">
        <v>1</v>
      </c>
    </row>
    <row r="349" spans="1:22" x14ac:dyDescent="0.25">
      <c r="A349" s="26" t="s">
        <v>2400</v>
      </c>
      <c r="B349" s="26" t="s">
        <v>3456</v>
      </c>
      <c r="C349" s="26" t="s">
        <v>3457</v>
      </c>
      <c r="D349" s="26" t="s">
        <v>179</v>
      </c>
      <c r="E349" s="26" t="s">
        <v>3458</v>
      </c>
      <c r="F349" s="26" t="s">
        <v>3459</v>
      </c>
      <c r="G349" s="26" t="s">
        <v>265</v>
      </c>
      <c r="H349" s="26" t="s">
        <v>1026</v>
      </c>
      <c r="I349" s="26" t="s">
        <v>184</v>
      </c>
      <c r="J349" s="26" t="s">
        <v>2411</v>
      </c>
      <c r="K349" s="26" t="s">
        <v>2405</v>
      </c>
      <c r="L349" s="26" t="s">
        <v>79</v>
      </c>
      <c r="M349" s="26" t="s">
        <v>77</v>
      </c>
      <c r="N349" s="26">
        <v>80</v>
      </c>
      <c r="O349" s="26">
        <v>47</v>
      </c>
      <c r="P349" s="26">
        <v>33</v>
      </c>
      <c r="Q349" s="26">
        <v>0</v>
      </c>
      <c r="R349" s="26">
        <v>1</v>
      </c>
      <c r="S349" s="26">
        <v>8</v>
      </c>
      <c r="T349" s="26">
        <v>2</v>
      </c>
      <c r="U349" s="26">
        <v>11</v>
      </c>
      <c r="V349" s="26">
        <v>1</v>
      </c>
    </row>
    <row r="350" spans="1:22" x14ac:dyDescent="0.25">
      <c r="A350" s="26" t="s">
        <v>2400</v>
      </c>
      <c r="B350" s="26" t="s">
        <v>3460</v>
      </c>
      <c r="C350" s="26" t="s">
        <v>3461</v>
      </c>
      <c r="D350" s="26" t="s">
        <v>2408</v>
      </c>
      <c r="E350" s="26" t="s">
        <v>4028</v>
      </c>
      <c r="F350" s="26" t="s">
        <v>2355</v>
      </c>
      <c r="G350" s="26" t="s">
        <v>191</v>
      </c>
      <c r="H350" s="26" t="s">
        <v>301</v>
      </c>
      <c r="I350" s="26" t="s">
        <v>184</v>
      </c>
      <c r="J350" s="26" t="s">
        <v>2565</v>
      </c>
      <c r="K350" s="26" t="s">
        <v>2405</v>
      </c>
      <c r="L350" s="26" t="s">
        <v>79</v>
      </c>
      <c r="M350" s="26" t="s">
        <v>77</v>
      </c>
      <c r="N350" s="26">
        <v>64</v>
      </c>
      <c r="O350" s="26">
        <v>40</v>
      </c>
      <c r="P350" s="26">
        <v>24</v>
      </c>
      <c r="Q350" s="26">
        <v>0</v>
      </c>
      <c r="R350" s="26">
        <v>1</v>
      </c>
      <c r="S350" s="26">
        <v>8</v>
      </c>
      <c r="T350" s="26">
        <v>1</v>
      </c>
      <c r="U350" s="26">
        <v>10</v>
      </c>
      <c r="V350" s="26">
        <v>1</v>
      </c>
    </row>
    <row r="351" spans="1:22" x14ac:dyDescent="0.25">
      <c r="A351" s="26" t="s">
        <v>2400</v>
      </c>
      <c r="B351" s="26" t="s">
        <v>3462</v>
      </c>
      <c r="C351" s="26" t="s">
        <v>3463</v>
      </c>
      <c r="D351" s="26" t="s">
        <v>179</v>
      </c>
      <c r="E351" s="26" t="s">
        <v>3464</v>
      </c>
      <c r="F351" s="26" t="s">
        <v>2355</v>
      </c>
      <c r="G351" s="26" t="s">
        <v>191</v>
      </c>
      <c r="H351" s="26" t="s">
        <v>301</v>
      </c>
      <c r="I351" s="26" t="s">
        <v>184</v>
      </c>
      <c r="J351" s="26" t="s">
        <v>2565</v>
      </c>
      <c r="K351" s="26" t="s">
        <v>2405</v>
      </c>
      <c r="L351" s="26" t="s">
        <v>79</v>
      </c>
      <c r="M351" s="26" t="s">
        <v>77</v>
      </c>
      <c r="N351" s="26">
        <v>52</v>
      </c>
      <c r="O351" s="26">
        <v>28</v>
      </c>
      <c r="P351" s="26">
        <v>24</v>
      </c>
      <c r="Q351" s="26">
        <v>0</v>
      </c>
      <c r="R351" s="26">
        <v>1</v>
      </c>
      <c r="S351" s="26">
        <v>8</v>
      </c>
      <c r="T351" s="26">
        <v>2</v>
      </c>
      <c r="U351" s="26">
        <v>11</v>
      </c>
      <c r="V351" s="26">
        <v>1</v>
      </c>
    </row>
    <row r="352" spans="1:22" x14ac:dyDescent="0.25">
      <c r="A352" s="26" t="s">
        <v>2400</v>
      </c>
      <c r="B352" s="26" t="s">
        <v>3465</v>
      </c>
      <c r="C352" s="26" t="s">
        <v>3466</v>
      </c>
      <c r="D352" s="26" t="s">
        <v>2408</v>
      </c>
      <c r="E352" s="26" t="s">
        <v>4093</v>
      </c>
      <c r="F352" s="26" t="s">
        <v>1810</v>
      </c>
      <c r="G352" s="26" t="s">
        <v>265</v>
      </c>
      <c r="H352" s="26" t="s">
        <v>1026</v>
      </c>
      <c r="I352" s="26" t="s">
        <v>184</v>
      </c>
      <c r="J352" s="26" t="s">
        <v>2411</v>
      </c>
      <c r="K352" s="26" t="s">
        <v>2405</v>
      </c>
      <c r="L352" s="26" t="s">
        <v>79</v>
      </c>
      <c r="M352" s="26" t="s">
        <v>77</v>
      </c>
      <c r="N352" s="26">
        <v>39</v>
      </c>
      <c r="O352" s="26">
        <v>29</v>
      </c>
      <c r="P352" s="26">
        <v>10</v>
      </c>
      <c r="Q352" s="26">
        <v>0</v>
      </c>
      <c r="R352" s="26">
        <v>1</v>
      </c>
      <c r="S352" s="26">
        <v>7</v>
      </c>
      <c r="T352" s="26">
        <v>0</v>
      </c>
      <c r="U352" s="26">
        <v>8</v>
      </c>
      <c r="V352" s="26">
        <v>1</v>
      </c>
    </row>
    <row r="353" spans="1:22" x14ac:dyDescent="0.25">
      <c r="A353" s="26" t="s">
        <v>2400</v>
      </c>
      <c r="B353" s="26" t="s">
        <v>3467</v>
      </c>
      <c r="C353" s="26" t="s">
        <v>3468</v>
      </c>
      <c r="D353" s="26" t="s">
        <v>179</v>
      </c>
      <c r="E353" s="26" t="s">
        <v>3469</v>
      </c>
      <c r="F353" s="26" t="s">
        <v>1164</v>
      </c>
      <c r="G353" s="26" t="s">
        <v>265</v>
      </c>
      <c r="H353" s="26" t="s">
        <v>594</v>
      </c>
      <c r="I353" s="26" t="s">
        <v>184</v>
      </c>
      <c r="J353" s="26" t="s">
        <v>2411</v>
      </c>
      <c r="K353" s="26" t="s">
        <v>2405</v>
      </c>
      <c r="L353" s="26" t="s">
        <v>79</v>
      </c>
      <c r="M353" s="26" t="s">
        <v>77</v>
      </c>
      <c r="N353" s="26">
        <v>64</v>
      </c>
      <c r="O353" s="26">
        <v>35</v>
      </c>
      <c r="P353" s="26">
        <v>29</v>
      </c>
      <c r="Q353" s="26">
        <v>0</v>
      </c>
      <c r="R353" s="26">
        <v>1</v>
      </c>
      <c r="S353" s="26">
        <v>8</v>
      </c>
      <c r="T353" s="26">
        <v>3</v>
      </c>
      <c r="U353" s="26">
        <v>12</v>
      </c>
      <c r="V353" s="26">
        <v>1</v>
      </c>
    </row>
    <row r="354" spans="1:22" x14ac:dyDescent="0.25">
      <c r="A354" s="26" t="s">
        <v>2400</v>
      </c>
      <c r="B354" s="26" t="s">
        <v>3470</v>
      </c>
      <c r="C354" s="26" t="s">
        <v>3471</v>
      </c>
      <c r="D354" s="26" t="s">
        <v>179</v>
      </c>
      <c r="E354" s="26" t="s">
        <v>4094</v>
      </c>
      <c r="F354" s="26" t="s">
        <v>2525</v>
      </c>
      <c r="G354" s="26" t="s">
        <v>4126</v>
      </c>
      <c r="H354" s="26" t="s">
        <v>523</v>
      </c>
      <c r="I354" s="26" t="s">
        <v>184</v>
      </c>
      <c r="J354" s="26" t="s">
        <v>2411</v>
      </c>
      <c r="K354" s="26" t="s">
        <v>2405</v>
      </c>
      <c r="L354" s="26" t="s">
        <v>79</v>
      </c>
      <c r="M354" s="26" t="s">
        <v>77</v>
      </c>
      <c r="N354" s="26">
        <v>40</v>
      </c>
      <c r="O354" s="26">
        <v>25</v>
      </c>
      <c r="P354" s="26">
        <v>15</v>
      </c>
      <c r="Q354" s="26">
        <v>0</v>
      </c>
      <c r="R354" s="26">
        <v>1</v>
      </c>
      <c r="S354" s="26">
        <v>5</v>
      </c>
      <c r="T354" s="26">
        <v>3</v>
      </c>
      <c r="U354" s="26">
        <v>9</v>
      </c>
      <c r="V354" s="26">
        <v>1</v>
      </c>
    </row>
    <row r="355" spans="1:22" x14ac:dyDescent="0.25">
      <c r="A355" s="26" t="s">
        <v>2400</v>
      </c>
      <c r="B355" s="26" t="s">
        <v>3472</v>
      </c>
      <c r="C355" s="26" t="s">
        <v>3473</v>
      </c>
      <c r="D355" s="26" t="s">
        <v>179</v>
      </c>
      <c r="E355" s="26" t="s">
        <v>2423</v>
      </c>
      <c r="F355" s="26" t="s">
        <v>444</v>
      </c>
      <c r="G355" s="26" t="s">
        <v>265</v>
      </c>
      <c r="H355" s="26" t="s">
        <v>301</v>
      </c>
      <c r="I355" s="26" t="s">
        <v>184</v>
      </c>
      <c r="J355" s="26" t="s">
        <v>2411</v>
      </c>
      <c r="K355" s="26" t="s">
        <v>2405</v>
      </c>
      <c r="L355" s="26" t="s">
        <v>79</v>
      </c>
      <c r="M355" s="26" t="s">
        <v>77</v>
      </c>
      <c r="N355" s="26">
        <v>101</v>
      </c>
      <c r="O355" s="26">
        <v>58</v>
      </c>
      <c r="P355" s="26">
        <v>43</v>
      </c>
      <c r="Q355" s="26">
        <v>0</v>
      </c>
      <c r="R355" s="26">
        <v>1</v>
      </c>
      <c r="S355" s="26">
        <v>8</v>
      </c>
      <c r="T355" s="26">
        <v>4</v>
      </c>
      <c r="U355" s="26">
        <v>13</v>
      </c>
      <c r="V355" s="26">
        <v>1</v>
      </c>
    </row>
    <row r="356" spans="1:22" x14ac:dyDescent="0.25">
      <c r="A356" s="26" t="s">
        <v>2400</v>
      </c>
      <c r="B356" s="26" t="s">
        <v>3474</v>
      </c>
      <c r="C356" s="26" t="s">
        <v>3475</v>
      </c>
      <c r="D356" s="26" t="s">
        <v>179</v>
      </c>
      <c r="E356" s="26" t="s">
        <v>3476</v>
      </c>
      <c r="F356" s="26" t="s">
        <v>260</v>
      </c>
      <c r="G356" s="26" t="s">
        <v>198</v>
      </c>
      <c r="H356" s="26" t="s">
        <v>301</v>
      </c>
      <c r="I356" s="26" t="s">
        <v>184</v>
      </c>
      <c r="J356" s="26" t="s">
        <v>2404</v>
      </c>
      <c r="K356" s="26" t="s">
        <v>2405</v>
      </c>
      <c r="L356" s="26" t="s">
        <v>79</v>
      </c>
      <c r="M356" s="26" t="s">
        <v>77</v>
      </c>
      <c r="N356" s="26">
        <v>74</v>
      </c>
      <c r="O356" s="26">
        <v>47</v>
      </c>
      <c r="P356" s="26">
        <v>27</v>
      </c>
      <c r="Q356" s="26">
        <v>0</v>
      </c>
      <c r="R356" s="26">
        <v>1</v>
      </c>
      <c r="S356" s="26">
        <v>7</v>
      </c>
      <c r="T356" s="26">
        <v>3</v>
      </c>
      <c r="U356" s="26">
        <v>11</v>
      </c>
      <c r="V356" s="26">
        <v>1</v>
      </c>
    </row>
    <row r="357" spans="1:22" x14ac:dyDescent="0.25">
      <c r="A357" s="26" t="s">
        <v>2400</v>
      </c>
      <c r="B357" s="26" t="s">
        <v>3477</v>
      </c>
      <c r="C357" s="26" t="s">
        <v>3478</v>
      </c>
      <c r="D357" s="26" t="s">
        <v>179</v>
      </c>
      <c r="E357" s="26" t="s">
        <v>4095</v>
      </c>
      <c r="F357" s="26" t="s">
        <v>598</v>
      </c>
      <c r="G357" s="26" t="s">
        <v>4126</v>
      </c>
      <c r="H357" s="26" t="s">
        <v>756</v>
      </c>
      <c r="I357" s="26" t="s">
        <v>184</v>
      </c>
      <c r="J357" s="26" t="s">
        <v>2411</v>
      </c>
      <c r="K357" s="26" t="s">
        <v>2405</v>
      </c>
      <c r="L357" s="26" t="s">
        <v>79</v>
      </c>
      <c r="M357" s="26" t="s">
        <v>77</v>
      </c>
      <c r="N357" s="26">
        <v>28</v>
      </c>
      <c r="O357" s="26">
        <v>19</v>
      </c>
      <c r="P357" s="26">
        <v>9</v>
      </c>
      <c r="Q357" s="26">
        <v>0</v>
      </c>
      <c r="R357" s="26">
        <v>1</v>
      </c>
      <c r="S357" s="26">
        <v>8</v>
      </c>
      <c r="T357" s="26">
        <v>3</v>
      </c>
      <c r="U357" s="26">
        <v>12</v>
      </c>
      <c r="V357" s="26">
        <v>1</v>
      </c>
    </row>
    <row r="358" spans="1:22" x14ac:dyDescent="0.25">
      <c r="A358" s="26" t="s">
        <v>2400</v>
      </c>
      <c r="B358" s="26" t="s">
        <v>3479</v>
      </c>
      <c r="C358" s="26" t="s">
        <v>3480</v>
      </c>
      <c r="D358" s="26" t="s">
        <v>179</v>
      </c>
      <c r="E358" s="26" t="s">
        <v>4096</v>
      </c>
      <c r="F358" s="26" t="s">
        <v>848</v>
      </c>
      <c r="G358" s="26" t="s">
        <v>226</v>
      </c>
      <c r="H358" s="26" t="s">
        <v>301</v>
      </c>
      <c r="I358" s="26" t="s">
        <v>184</v>
      </c>
      <c r="J358" s="26" t="s">
        <v>2509</v>
      </c>
      <c r="K358" s="26" t="s">
        <v>2405</v>
      </c>
      <c r="L358" s="26" t="s">
        <v>79</v>
      </c>
      <c r="M358" s="26" t="s">
        <v>77</v>
      </c>
      <c r="N358" s="26">
        <v>56</v>
      </c>
      <c r="O358" s="26">
        <v>44</v>
      </c>
      <c r="P358" s="26">
        <v>12</v>
      </c>
      <c r="Q358" s="26">
        <v>0</v>
      </c>
      <c r="R358" s="26">
        <v>1</v>
      </c>
      <c r="S358" s="26">
        <v>8</v>
      </c>
      <c r="T358" s="26">
        <v>3</v>
      </c>
      <c r="U358" s="26">
        <v>12</v>
      </c>
      <c r="V358" s="26">
        <v>1</v>
      </c>
    </row>
    <row r="359" spans="1:22" x14ac:dyDescent="0.25">
      <c r="A359" s="26" t="s">
        <v>2400</v>
      </c>
      <c r="B359" s="26" t="s">
        <v>3481</v>
      </c>
      <c r="C359" s="26" t="s">
        <v>3482</v>
      </c>
      <c r="D359" s="26" t="s">
        <v>2408</v>
      </c>
      <c r="E359" s="26" t="s">
        <v>4097</v>
      </c>
      <c r="F359" s="26" t="s">
        <v>1681</v>
      </c>
      <c r="G359" s="26" t="s">
        <v>210</v>
      </c>
      <c r="H359" s="26" t="s">
        <v>687</v>
      </c>
      <c r="I359" s="26" t="s">
        <v>184</v>
      </c>
      <c r="J359" s="26" t="s">
        <v>2448</v>
      </c>
      <c r="K359" s="26" t="s">
        <v>2405</v>
      </c>
      <c r="L359" s="26" t="s">
        <v>79</v>
      </c>
      <c r="M359" s="26" t="s">
        <v>77</v>
      </c>
      <c r="N359" s="26">
        <v>65</v>
      </c>
      <c r="O359" s="26">
        <v>38</v>
      </c>
      <c r="P359" s="26">
        <v>27</v>
      </c>
      <c r="Q359" s="26">
        <v>0</v>
      </c>
      <c r="R359" s="26">
        <v>1</v>
      </c>
      <c r="S359" s="26">
        <v>8</v>
      </c>
      <c r="T359" s="26">
        <v>2</v>
      </c>
      <c r="U359" s="26">
        <v>11</v>
      </c>
      <c r="V359" s="26">
        <v>1</v>
      </c>
    </row>
    <row r="360" spans="1:22" x14ac:dyDescent="0.25">
      <c r="A360" s="26" t="s">
        <v>2400</v>
      </c>
      <c r="B360" s="26" t="s">
        <v>3483</v>
      </c>
      <c r="C360" s="26" t="s">
        <v>3484</v>
      </c>
      <c r="D360" s="26" t="s">
        <v>179</v>
      </c>
      <c r="E360" s="26" t="s">
        <v>4098</v>
      </c>
      <c r="F360" s="26" t="s">
        <v>3485</v>
      </c>
      <c r="G360" s="26" t="s">
        <v>198</v>
      </c>
      <c r="H360" s="26" t="s">
        <v>301</v>
      </c>
      <c r="I360" s="26" t="s">
        <v>184</v>
      </c>
      <c r="J360" s="26" t="s">
        <v>2404</v>
      </c>
      <c r="K360" s="26" t="s">
        <v>2405</v>
      </c>
      <c r="L360" s="26" t="s">
        <v>79</v>
      </c>
      <c r="M360" s="26" t="s">
        <v>77</v>
      </c>
      <c r="N360" s="26">
        <v>56</v>
      </c>
      <c r="O360" s="26">
        <v>38</v>
      </c>
      <c r="P360" s="26">
        <v>18</v>
      </c>
      <c r="Q360" s="26">
        <v>0</v>
      </c>
      <c r="R360" s="26">
        <v>1</v>
      </c>
      <c r="S360" s="26">
        <v>7</v>
      </c>
      <c r="T360" s="26">
        <v>3</v>
      </c>
      <c r="U360" s="26">
        <v>11</v>
      </c>
      <c r="V360" s="26">
        <v>1</v>
      </c>
    </row>
    <row r="361" spans="1:22" x14ac:dyDescent="0.25">
      <c r="A361" s="26" t="s">
        <v>2400</v>
      </c>
      <c r="B361" s="26" t="s">
        <v>3486</v>
      </c>
      <c r="C361" s="26" t="s">
        <v>3487</v>
      </c>
      <c r="D361" s="26" t="s">
        <v>179</v>
      </c>
      <c r="E361" s="26" t="s">
        <v>3488</v>
      </c>
      <c r="F361" s="26" t="s">
        <v>862</v>
      </c>
      <c r="G361" s="26" t="s">
        <v>226</v>
      </c>
      <c r="H361" s="26" t="s">
        <v>926</v>
      </c>
      <c r="I361" s="26" t="s">
        <v>184</v>
      </c>
      <c r="J361" s="26" t="s">
        <v>2509</v>
      </c>
      <c r="K361" s="26" t="s">
        <v>2405</v>
      </c>
      <c r="L361" s="26" t="s">
        <v>79</v>
      </c>
      <c r="M361" s="26" t="s">
        <v>77</v>
      </c>
      <c r="N361" s="26">
        <v>117</v>
      </c>
      <c r="O361" s="26">
        <v>68</v>
      </c>
      <c r="P361" s="26">
        <v>49</v>
      </c>
      <c r="Q361" s="26">
        <v>0</v>
      </c>
      <c r="R361" s="26">
        <v>1</v>
      </c>
      <c r="S361" s="26">
        <v>8</v>
      </c>
      <c r="T361" s="26">
        <v>2</v>
      </c>
      <c r="U361" s="26">
        <v>11</v>
      </c>
      <c r="V361" s="26">
        <v>1</v>
      </c>
    </row>
    <row r="362" spans="1:22" x14ac:dyDescent="0.25">
      <c r="A362" s="26" t="s">
        <v>2400</v>
      </c>
      <c r="B362" s="26" t="s">
        <v>3489</v>
      </c>
      <c r="C362" s="26" t="s">
        <v>3490</v>
      </c>
      <c r="D362" s="26" t="s">
        <v>179</v>
      </c>
      <c r="E362" s="26" t="s">
        <v>3491</v>
      </c>
      <c r="F362" s="26" t="s">
        <v>844</v>
      </c>
      <c r="G362" s="26" t="s">
        <v>226</v>
      </c>
      <c r="H362" s="26" t="s">
        <v>294</v>
      </c>
      <c r="I362" s="26" t="s">
        <v>184</v>
      </c>
      <c r="J362" s="26" t="s">
        <v>2509</v>
      </c>
      <c r="K362" s="26" t="s">
        <v>2405</v>
      </c>
      <c r="L362" s="26" t="s">
        <v>79</v>
      </c>
      <c r="M362" s="26" t="s">
        <v>77</v>
      </c>
      <c r="N362" s="26">
        <v>76</v>
      </c>
      <c r="O362" s="26">
        <v>51</v>
      </c>
      <c r="P362" s="26">
        <v>25</v>
      </c>
      <c r="Q362" s="26">
        <v>0</v>
      </c>
      <c r="R362" s="26">
        <v>1</v>
      </c>
      <c r="S362" s="26">
        <v>7</v>
      </c>
      <c r="T362" s="26">
        <v>3</v>
      </c>
      <c r="U362" s="26">
        <v>11</v>
      </c>
      <c r="V362" s="26">
        <v>1</v>
      </c>
    </row>
    <row r="363" spans="1:22" x14ac:dyDescent="0.25">
      <c r="A363" s="26" t="s">
        <v>2400</v>
      </c>
      <c r="B363" s="26" t="s">
        <v>3492</v>
      </c>
      <c r="C363" s="26" t="s">
        <v>3493</v>
      </c>
      <c r="D363" s="26" t="s">
        <v>2408</v>
      </c>
      <c r="E363" s="26" t="s">
        <v>3494</v>
      </c>
      <c r="F363" s="26" t="s">
        <v>819</v>
      </c>
      <c r="G363" s="26" t="s">
        <v>413</v>
      </c>
      <c r="H363" s="26" t="s">
        <v>756</v>
      </c>
      <c r="I363" s="26" t="s">
        <v>184</v>
      </c>
      <c r="J363" s="26" t="s">
        <v>2509</v>
      </c>
      <c r="K363" s="26" t="s">
        <v>2405</v>
      </c>
      <c r="L363" s="26" t="s">
        <v>79</v>
      </c>
      <c r="M363" s="26" t="s">
        <v>77</v>
      </c>
      <c r="N363" s="26">
        <v>64</v>
      </c>
      <c r="O363" s="26">
        <v>37</v>
      </c>
      <c r="P363" s="26">
        <v>27</v>
      </c>
      <c r="Q363" s="26">
        <v>0</v>
      </c>
      <c r="R363" s="26">
        <v>1</v>
      </c>
      <c r="S363" s="26">
        <v>6</v>
      </c>
      <c r="T363" s="26">
        <v>2</v>
      </c>
      <c r="U363" s="26">
        <v>9</v>
      </c>
      <c r="V363" s="26">
        <v>1</v>
      </c>
    </row>
    <row r="364" spans="1:22" x14ac:dyDescent="0.25">
      <c r="A364" s="26" t="s">
        <v>2400</v>
      </c>
      <c r="B364" s="26" t="s">
        <v>3495</v>
      </c>
      <c r="C364" s="26" t="s">
        <v>3496</v>
      </c>
      <c r="D364" s="26" t="s">
        <v>179</v>
      </c>
      <c r="E364" s="26" t="s">
        <v>4099</v>
      </c>
      <c r="F364" s="26" t="s">
        <v>507</v>
      </c>
      <c r="G364" s="26" t="s">
        <v>265</v>
      </c>
      <c r="H364" s="26" t="s">
        <v>1026</v>
      </c>
      <c r="I364" s="26" t="s">
        <v>184</v>
      </c>
      <c r="J364" s="26" t="s">
        <v>2411</v>
      </c>
      <c r="K364" s="26" t="s">
        <v>2405</v>
      </c>
      <c r="L364" s="26" t="s">
        <v>79</v>
      </c>
      <c r="M364" s="26" t="s">
        <v>77</v>
      </c>
      <c r="N364" s="26">
        <v>51</v>
      </c>
      <c r="O364" s="26">
        <v>39</v>
      </c>
      <c r="P364" s="26">
        <v>12</v>
      </c>
      <c r="Q364" s="26">
        <v>0</v>
      </c>
      <c r="R364" s="26">
        <v>1</v>
      </c>
      <c r="S364" s="26">
        <v>7</v>
      </c>
      <c r="T364" s="26">
        <v>3</v>
      </c>
      <c r="U364" s="26">
        <v>11</v>
      </c>
      <c r="V364" s="26">
        <v>1</v>
      </c>
    </row>
    <row r="365" spans="1:22" x14ac:dyDescent="0.25">
      <c r="A365" s="26" t="s">
        <v>2400</v>
      </c>
      <c r="B365" s="26" t="s">
        <v>3497</v>
      </c>
      <c r="C365" s="26" t="s">
        <v>3498</v>
      </c>
      <c r="D365" s="26" t="s">
        <v>179</v>
      </c>
      <c r="E365" s="26" t="s">
        <v>3499</v>
      </c>
      <c r="F365" s="26" t="s">
        <v>832</v>
      </c>
      <c r="G365" s="26" t="s">
        <v>226</v>
      </c>
      <c r="H365" s="26" t="s">
        <v>351</v>
      </c>
      <c r="I365" s="26" t="s">
        <v>184</v>
      </c>
      <c r="J365" s="26" t="s">
        <v>2509</v>
      </c>
      <c r="K365" s="26" t="s">
        <v>2405</v>
      </c>
      <c r="L365" s="26" t="s">
        <v>79</v>
      </c>
      <c r="M365" s="26" t="s">
        <v>77</v>
      </c>
      <c r="N365" s="26">
        <v>90</v>
      </c>
      <c r="O365" s="26">
        <v>66</v>
      </c>
      <c r="P365" s="26">
        <v>24</v>
      </c>
      <c r="Q365" s="26">
        <v>0</v>
      </c>
      <c r="R365" s="26">
        <v>1</v>
      </c>
      <c r="S365" s="26">
        <v>6</v>
      </c>
      <c r="T365" s="26">
        <v>3</v>
      </c>
      <c r="U365" s="26">
        <v>10</v>
      </c>
      <c r="V365" s="26">
        <v>1</v>
      </c>
    </row>
    <row r="366" spans="1:22" x14ac:dyDescent="0.25">
      <c r="A366" s="26" t="s">
        <v>2400</v>
      </c>
      <c r="B366" s="26" t="s">
        <v>3500</v>
      </c>
      <c r="C366" s="26" t="s">
        <v>3501</v>
      </c>
      <c r="D366" s="26" t="s">
        <v>179</v>
      </c>
      <c r="E366" s="26" t="s">
        <v>2857</v>
      </c>
      <c r="F366" s="26" t="s">
        <v>2858</v>
      </c>
      <c r="G366" s="26" t="s">
        <v>226</v>
      </c>
      <c r="H366" s="26" t="s">
        <v>594</v>
      </c>
      <c r="I366" s="26" t="s">
        <v>184</v>
      </c>
      <c r="J366" s="26" t="s">
        <v>2509</v>
      </c>
      <c r="K366" s="26" t="s">
        <v>2405</v>
      </c>
      <c r="L366" s="26" t="s">
        <v>79</v>
      </c>
      <c r="M366" s="26" t="s">
        <v>77</v>
      </c>
      <c r="N366" s="26">
        <v>70</v>
      </c>
      <c r="O366" s="26">
        <v>44</v>
      </c>
      <c r="P366" s="26">
        <v>26</v>
      </c>
      <c r="Q366" s="26">
        <v>0</v>
      </c>
      <c r="R366" s="26">
        <v>1</v>
      </c>
      <c r="S366" s="26">
        <v>8</v>
      </c>
      <c r="T366" s="26">
        <v>4</v>
      </c>
      <c r="U366" s="26">
        <v>13</v>
      </c>
      <c r="V366" s="26">
        <v>1</v>
      </c>
    </row>
    <row r="367" spans="1:22" x14ac:dyDescent="0.25">
      <c r="A367" s="26" t="s">
        <v>2400</v>
      </c>
      <c r="B367" s="26" t="s">
        <v>3502</v>
      </c>
      <c r="C367" s="26" t="s">
        <v>3503</v>
      </c>
      <c r="D367" s="26" t="s">
        <v>179</v>
      </c>
      <c r="E367" s="26" t="s">
        <v>4100</v>
      </c>
      <c r="F367" s="26" t="s">
        <v>2291</v>
      </c>
      <c r="G367" s="26" t="s">
        <v>226</v>
      </c>
      <c r="H367" s="26" t="s">
        <v>301</v>
      </c>
      <c r="I367" s="26" t="s">
        <v>184</v>
      </c>
      <c r="J367" s="26" t="s">
        <v>2509</v>
      </c>
      <c r="K367" s="26" t="s">
        <v>2405</v>
      </c>
      <c r="L367" s="26" t="s">
        <v>79</v>
      </c>
      <c r="M367" s="26" t="s">
        <v>77</v>
      </c>
      <c r="N367" s="26">
        <v>88</v>
      </c>
      <c r="O367" s="26">
        <v>64</v>
      </c>
      <c r="P367" s="26">
        <v>24</v>
      </c>
      <c r="Q367" s="26">
        <v>0</v>
      </c>
      <c r="R367" s="26">
        <v>1</v>
      </c>
      <c r="S367" s="26">
        <v>7</v>
      </c>
      <c r="T367" s="26">
        <v>4</v>
      </c>
      <c r="U367" s="26">
        <v>12</v>
      </c>
      <c r="V367" s="26">
        <v>1</v>
      </c>
    </row>
    <row r="368" spans="1:22" x14ac:dyDescent="0.25">
      <c r="A368" s="26" t="s">
        <v>2400</v>
      </c>
      <c r="B368" s="26" t="s">
        <v>3504</v>
      </c>
      <c r="C368" s="26" t="s">
        <v>3505</v>
      </c>
      <c r="D368" s="26" t="s">
        <v>179</v>
      </c>
      <c r="E368" s="26" t="s">
        <v>3506</v>
      </c>
      <c r="F368" s="26" t="s">
        <v>2099</v>
      </c>
      <c r="G368" s="26" t="s">
        <v>210</v>
      </c>
      <c r="H368" s="26" t="s">
        <v>677</v>
      </c>
      <c r="I368" s="26" t="s">
        <v>184</v>
      </c>
      <c r="J368" s="26" t="s">
        <v>2448</v>
      </c>
      <c r="K368" s="26" t="s">
        <v>2405</v>
      </c>
      <c r="L368" s="26" t="s">
        <v>79</v>
      </c>
      <c r="M368" s="26" t="s">
        <v>77</v>
      </c>
      <c r="N368" s="26">
        <v>34</v>
      </c>
      <c r="O368" s="26">
        <v>24</v>
      </c>
      <c r="P368" s="26">
        <v>10</v>
      </c>
      <c r="Q368" s="26">
        <v>0</v>
      </c>
      <c r="R368" s="26">
        <v>1</v>
      </c>
      <c r="S368" s="26">
        <v>7</v>
      </c>
      <c r="T368" s="26">
        <v>3</v>
      </c>
      <c r="U368" s="26">
        <v>11</v>
      </c>
      <c r="V368" s="26">
        <v>1</v>
      </c>
    </row>
    <row r="369" spans="1:22" x14ac:dyDescent="0.25">
      <c r="A369" s="26" t="s">
        <v>2400</v>
      </c>
      <c r="B369" s="26" t="s">
        <v>3507</v>
      </c>
      <c r="C369" s="26" t="s">
        <v>3508</v>
      </c>
      <c r="D369" s="26" t="s">
        <v>179</v>
      </c>
      <c r="E369" s="26" t="s">
        <v>3509</v>
      </c>
      <c r="F369" s="26" t="s">
        <v>1115</v>
      </c>
      <c r="G369" s="26" t="s">
        <v>278</v>
      </c>
      <c r="H369" s="26" t="s">
        <v>1693</v>
      </c>
      <c r="I369" s="26" t="s">
        <v>184</v>
      </c>
      <c r="J369" s="26" t="s">
        <v>2509</v>
      </c>
      <c r="K369" s="26" t="s">
        <v>2405</v>
      </c>
      <c r="L369" s="26" t="s">
        <v>79</v>
      </c>
      <c r="M369" s="26" t="s">
        <v>77</v>
      </c>
      <c r="N369" s="26">
        <v>88</v>
      </c>
      <c r="O369" s="26">
        <v>63</v>
      </c>
      <c r="P369" s="26">
        <v>25</v>
      </c>
      <c r="Q369" s="26">
        <v>0</v>
      </c>
      <c r="R369" s="26">
        <v>1</v>
      </c>
      <c r="S369" s="26">
        <v>8</v>
      </c>
      <c r="T369" s="26">
        <v>3</v>
      </c>
      <c r="U369" s="26">
        <v>12</v>
      </c>
      <c r="V369" s="26">
        <v>1</v>
      </c>
    </row>
    <row r="370" spans="1:22" x14ac:dyDescent="0.25">
      <c r="A370" s="26" t="s">
        <v>2400</v>
      </c>
      <c r="B370" s="26" t="s">
        <v>3510</v>
      </c>
      <c r="C370" s="26" t="s">
        <v>3511</v>
      </c>
      <c r="D370" s="26" t="s">
        <v>179</v>
      </c>
      <c r="E370" s="26" t="s">
        <v>3512</v>
      </c>
      <c r="F370" s="26" t="s">
        <v>3038</v>
      </c>
      <c r="G370" s="26" t="s">
        <v>210</v>
      </c>
      <c r="H370" s="26" t="s">
        <v>643</v>
      </c>
      <c r="I370" s="26" t="s">
        <v>184</v>
      </c>
      <c r="J370" s="26" t="s">
        <v>2448</v>
      </c>
      <c r="K370" s="26" t="s">
        <v>2405</v>
      </c>
      <c r="L370" s="26" t="s">
        <v>79</v>
      </c>
      <c r="M370" s="26" t="s">
        <v>77</v>
      </c>
      <c r="N370" s="26">
        <v>38</v>
      </c>
      <c r="O370" s="26">
        <v>27</v>
      </c>
      <c r="P370" s="26">
        <v>11</v>
      </c>
      <c r="Q370" s="26">
        <v>0</v>
      </c>
      <c r="R370" s="26">
        <v>1</v>
      </c>
      <c r="S370" s="26">
        <v>7</v>
      </c>
      <c r="T370" s="26">
        <v>4</v>
      </c>
      <c r="U370" s="26">
        <v>12</v>
      </c>
      <c r="V370" s="26">
        <v>1</v>
      </c>
    </row>
    <row r="371" spans="1:22" x14ac:dyDescent="0.25">
      <c r="A371" s="26" t="s">
        <v>2400</v>
      </c>
      <c r="B371" s="26" t="s">
        <v>3513</v>
      </c>
      <c r="C371" s="26" t="s">
        <v>3514</v>
      </c>
      <c r="D371" s="26" t="s">
        <v>179</v>
      </c>
      <c r="E371" s="26" t="s">
        <v>4101</v>
      </c>
      <c r="F371" s="26" t="s">
        <v>4011</v>
      </c>
      <c r="G371" s="26" t="s">
        <v>413</v>
      </c>
      <c r="H371" s="26" t="s">
        <v>205</v>
      </c>
      <c r="I371" s="26" t="s">
        <v>184</v>
      </c>
      <c r="J371" s="26" t="s">
        <v>2509</v>
      </c>
      <c r="K371" s="26" t="s">
        <v>2405</v>
      </c>
      <c r="L371" s="26" t="s">
        <v>79</v>
      </c>
      <c r="M371" s="26" t="s">
        <v>77</v>
      </c>
      <c r="N371" s="26">
        <v>42</v>
      </c>
      <c r="O371" s="26">
        <v>30</v>
      </c>
      <c r="P371" s="26">
        <v>12</v>
      </c>
      <c r="Q371" s="26">
        <v>0</v>
      </c>
      <c r="R371" s="26">
        <v>1</v>
      </c>
      <c r="S371" s="26">
        <v>4</v>
      </c>
      <c r="T371" s="26">
        <v>2</v>
      </c>
      <c r="U371" s="26">
        <v>7</v>
      </c>
      <c r="V371" s="26">
        <v>1</v>
      </c>
    </row>
    <row r="372" spans="1:22" x14ac:dyDescent="0.25">
      <c r="A372" s="26" t="s">
        <v>2400</v>
      </c>
      <c r="B372" s="26" t="s">
        <v>3515</v>
      </c>
      <c r="C372" s="26" t="s">
        <v>3516</v>
      </c>
      <c r="D372" s="26" t="s">
        <v>179</v>
      </c>
      <c r="E372" s="26" t="s">
        <v>3517</v>
      </c>
      <c r="F372" s="26" t="s">
        <v>1569</v>
      </c>
      <c r="G372" s="26" t="s">
        <v>413</v>
      </c>
      <c r="H372" s="26" t="s">
        <v>523</v>
      </c>
      <c r="I372" s="26" t="s">
        <v>184</v>
      </c>
      <c r="J372" s="26" t="s">
        <v>2509</v>
      </c>
      <c r="K372" s="26" t="s">
        <v>2405</v>
      </c>
      <c r="L372" s="26" t="s">
        <v>79</v>
      </c>
      <c r="M372" s="26" t="s">
        <v>77</v>
      </c>
      <c r="N372" s="26">
        <v>98</v>
      </c>
      <c r="O372" s="26">
        <v>61</v>
      </c>
      <c r="P372" s="26">
        <v>37</v>
      </c>
      <c r="Q372" s="26">
        <v>0</v>
      </c>
      <c r="R372" s="26">
        <v>1</v>
      </c>
      <c r="S372" s="26">
        <v>8</v>
      </c>
      <c r="T372" s="26">
        <v>3</v>
      </c>
      <c r="U372" s="26">
        <v>12</v>
      </c>
      <c r="V372" s="26">
        <v>1</v>
      </c>
    </row>
    <row r="373" spans="1:22" x14ac:dyDescent="0.25">
      <c r="A373" s="26" t="s">
        <v>2400</v>
      </c>
      <c r="B373" s="26" t="s">
        <v>3518</v>
      </c>
      <c r="C373" s="26" t="s">
        <v>3519</v>
      </c>
      <c r="D373" s="26" t="s">
        <v>2408</v>
      </c>
      <c r="E373" s="26" t="s">
        <v>2674</v>
      </c>
      <c r="F373" s="26" t="s">
        <v>1253</v>
      </c>
      <c r="G373" s="26" t="s">
        <v>662</v>
      </c>
      <c r="H373" s="26" t="s">
        <v>687</v>
      </c>
      <c r="I373" s="26" t="s">
        <v>184</v>
      </c>
      <c r="J373" s="26" t="s">
        <v>2565</v>
      </c>
      <c r="K373" s="26" t="s">
        <v>2405</v>
      </c>
      <c r="L373" s="26" t="s">
        <v>79</v>
      </c>
      <c r="M373" s="26" t="s">
        <v>77</v>
      </c>
      <c r="N373" s="26">
        <v>62</v>
      </c>
      <c r="O373" s="26">
        <v>38</v>
      </c>
      <c r="P373" s="26">
        <v>24</v>
      </c>
      <c r="Q373" s="26">
        <v>0</v>
      </c>
      <c r="R373" s="26">
        <v>1</v>
      </c>
      <c r="S373" s="26">
        <v>6</v>
      </c>
      <c r="T373" s="26">
        <v>1</v>
      </c>
      <c r="U373" s="26">
        <v>8</v>
      </c>
      <c r="V373" s="26">
        <v>1</v>
      </c>
    </row>
    <row r="374" spans="1:22" x14ac:dyDescent="0.25">
      <c r="A374" s="26" t="s">
        <v>2400</v>
      </c>
      <c r="B374" s="26" t="s">
        <v>3520</v>
      </c>
      <c r="C374" s="26" t="s">
        <v>3521</v>
      </c>
      <c r="D374" s="26" t="s">
        <v>2408</v>
      </c>
      <c r="E374" s="26" t="s">
        <v>3522</v>
      </c>
      <c r="F374" s="26" t="s">
        <v>671</v>
      </c>
      <c r="G374" s="26" t="s">
        <v>662</v>
      </c>
      <c r="H374" s="26" t="s">
        <v>687</v>
      </c>
      <c r="I374" s="26" t="s">
        <v>184</v>
      </c>
      <c r="J374" s="26" t="s">
        <v>2565</v>
      </c>
      <c r="K374" s="26" t="s">
        <v>2405</v>
      </c>
      <c r="L374" s="26" t="s">
        <v>79</v>
      </c>
      <c r="M374" s="26" t="s">
        <v>77</v>
      </c>
      <c r="N374" s="26">
        <v>38</v>
      </c>
      <c r="O374" s="26">
        <v>27</v>
      </c>
      <c r="P374" s="26">
        <v>11</v>
      </c>
      <c r="Q374" s="26">
        <v>0</v>
      </c>
      <c r="R374" s="26">
        <v>1</v>
      </c>
      <c r="S374" s="26">
        <v>4</v>
      </c>
      <c r="T374" s="26">
        <v>1</v>
      </c>
      <c r="U374" s="26">
        <v>6</v>
      </c>
      <c r="V374" s="26">
        <v>1</v>
      </c>
    </row>
    <row r="375" spans="1:22" x14ac:dyDescent="0.25">
      <c r="A375" s="26" t="s">
        <v>2400</v>
      </c>
      <c r="B375" s="26" t="s">
        <v>3523</v>
      </c>
      <c r="C375" s="26" t="s">
        <v>3524</v>
      </c>
      <c r="D375" s="26" t="s">
        <v>179</v>
      </c>
      <c r="E375" s="26" t="s">
        <v>3525</v>
      </c>
      <c r="F375" s="26" t="s">
        <v>671</v>
      </c>
      <c r="G375" s="26" t="s">
        <v>662</v>
      </c>
      <c r="H375" s="26" t="s">
        <v>687</v>
      </c>
      <c r="I375" s="26" t="s">
        <v>184</v>
      </c>
      <c r="J375" s="26" t="s">
        <v>2565</v>
      </c>
      <c r="K375" s="26" t="s">
        <v>2405</v>
      </c>
      <c r="L375" s="26" t="s">
        <v>79</v>
      </c>
      <c r="M375" s="26" t="s">
        <v>77</v>
      </c>
      <c r="N375" s="26">
        <v>34</v>
      </c>
      <c r="O375" s="26">
        <v>17</v>
      </c>
      <c r="P375" s="26">
        <v>17</v>
      </c>
      <c r="Q375" s="26">
        <v>0</v>
      </c>
      <c r="R375" s="26">
        <v>1</v>
      </c>
      <c r="S375" s="26">
        <v>5</v>
      </c>
      <c r="T375" s="26">
        <v>2</v>
      </c>
      <c r="U375" s="26">
        <v>8</v>
      </c>
      <c r="V375" s="26">
        <v>1</v>
      </c>
    </row>
    <row r="376" spans="1:22" x14ac:dyDescent="0.25">
      <c r="A376" s="26" t="s">
        <v>2400</v>
      </c>
      <c r="B376" s="26" t="s">
        <v>3526</v>
      </c>
      <c r="C376" s="26" t="s">
        <v>3527</v>
      </c>
      <c r="D376" s="26" t="s">
        <v>179</v>
      </c>
      <c r="E376" s="26" t="s">
        <v>4102</v>
      </c>
      <c r="F376" s="26" t="s">
        <v>671</v>
      </c>
      <c r="G376" s="26" t="s">
        <v>662</v>
      </c>
      <c r="H376" s="26" t="s">
        <v>351</v>
      </c>
      <c r="I376" s="26" t="s">
        <v>184</v>
      </c>
      <c r="J376" s="26" t="s">
        <v>2565</v>
      </c>
      <c r="K376" s="26" t="s">
        <v>2405</v>
      </c>
      <c r="L376" s="26" t="s">
        <v>79</v>
      </c>
      <c r="M376" s="26" t="s">
        <v>77</v>
      </c>
      <c r="N376" s="26">
        <v>49</v>
      </c>
      <c r="O376" s="26">
        <v>30</v>
      </c>
      <c r="P376" s="26">
        <v>19</v>
      </c>
      <c r="Q376" s="26">
        <v>0</v>
      </c>
      <c r="R376" s="26">
        <v>1</v>
      </c>
      <c r="S376" s="26">
        <v>4</v>
      </c>
      <c r="T376" s="26">
        <v>4</v>
      </c>
      <c r="U376" s="26">
        <v>9</v>
      </c>
      <c r="V376" s="26">
        <v>1</v>
      </c>
    </row>
    <row r="377" spans="1:22" x14ac:dyDescent="0.25">
      <c r="A377" s="26" t="s">
        <v>2400</v>
      </c>
      <c r="B377" s="26" t="s">
        <v>3528</v>
      </c>
      <c r="C377" s="26" t="s">
        <v>3529</v>
      </c>
      <c r="D377" s="26" t="s">
        <v>179</v>
      </c>
      <c r="E377" s="26" t="s">
        <v>3530</v>
      </c>
      <c r="F377" s="26" t="s">
        <v>1172</v>
      </c>
      <c r="G377" s="26" t="s">
        <v>662</v>
      </c>
      <c r="H377" s="26" t="s">
        <v>926</v>
      </c>
      <c r="I377" s="26" t="s">
        <v>184</v>
      </c>
      <c r="J377" s="26" t="s">
        <v>2565</v>
      </c>
      <c r="K377" s="26" t="s">
        <v>2405</v>
      </c>
      <c r="L377" s="26" t="s">
        <v>79</v>
      </c>
      <c r="M377" s="26" t="s">
        <v>77</v>
      </c>
      <c r="N377" s="26">
        <v>77</v>
      </c>
      <c r="O377" s="26">
        <v>42</v>
      </c>
      <c r="P377" s="26">
        <v>35</v>
      </c>
      <c r="Q377" s="26">
        <v>0</v>
      </c>
      <c r="R377" s="26">
        <v>1</v>
      </c>
      <c r="S377" s="26">
        <v>7</v>
      </c>
      <c r="T377" s="26">
        <v>3</v>
      </c>
      <c r="U377" s="26">
        <v>11</v>
      </c>
      <c r="V377" s="26">
        <v>1</v>
      </c>
    </row>
    <row r="378" spans="1:22" x14ac:dyDescent="0.25">
      <c r="A378" s="26" t="s">
        <v>2400</v>
      </c>
      <c r="B378" s="26" t="s">
        <v>3531</v>
      </c>
      <c r="C378" s="26" t="s">
        <v>3532</v>
      </c>
      <c r="D378" s="26" t="s">
        <v>2408</v>
      </c>
      <c r="E378" s="26" t="s">
        <v>4103</v>
      </c>
      <c r="F378" s="26" t="s">
        <v>716</v>
      </c>
      <c r="G378" s="26" t="s">
        <v>413</v>
      </c>
      <c r="H378" s="26" t="s">
        <v>321</v>
      </c>
      <c r="I378" s="26" t="s">
        <v>184</v>
      </c>
      <c r="J378" s="26" t="s">
        <v>2509</v>
      </c>
      <c r="K378" s="26" t="s">
        <v>2405</v>
      </c>
      <c r="L378" s="26" t="s">
        <v>79</v>
      </c>
      <c r="M378" s="26" t="s">
        <v>77</v>
      </c>
      <c r="N378" s="26">
        <v>65</v>
      </c>
      <c r="O378" s="26">
        <v>44</v>
      </c>
      <c r="P378" s="26">
        <v>21</v>
      </c>
      <c r="Q378" s="26">
        <v>0</v>
      </c>
      <c r="R378" s="26">
        <v>1</v>
      </c>
      <c r="S378" s="26">
        <v>8</v>
      </c>
      <c r="T378" s="26">
        <v>1</v>
      </c>
      <c r="U378" s="26">
        <v>10</v>
      </c>
      <c r="V378" s="26">
        <v>1</v>
      </c>
    </row>
    <row r="379" spans="1:22" x14ac:dyDescent="0.25">
      <c r="A379" s="26" t="s">
        <v>2400</v>
      </c>
      <c r="B379" s="26" t="s">
        <v>3533</v>
      </c>
      <c r="C379" s="26" t="s">
        <v>3534</v>
      </c>
      <c r="D379" s="26" t="s">
        <v>179</v>
      </c>
      <c r="E379" s="26" t="s">
        <v>3535</v>
      </c>
      <c r="F379" s="26" t="s">
        <v>3536</v>
      </c>
      <c r="G379" s="26" t="s">
        <v>413</v>
      </c>
      <c r="H379" s="26" t="s">
        <v>205</v>
      </c>
      <c r="I379" s="26" t="s">
        <v>184</v>
      </c>
      <c r="J379" s="26" t="s">
        <v>2509</v>
      </c>
      <c r="K379" s="26" t="s">
        <v>2405</v>
      </c>
      <c r="L379" s="26" t="s">
        <v>79</v>
      </c>
      <c r="M379" s="26" t="s">
        <v>77</v>
      </c>
      <c r="N379" s="26">
        <v>31</v>
      </c>
      <c r="O379" s="26">
        <v>22</v>
      </c>
      <c r="P379" s="26">
        <v>9</v>
      </c>
      <c r="Q379" s="26">
        <v>0</v>
      </c>
      <c r="R379" s="26">
        <v>1</v>
      </c>
      <c r="S379" s="26">
        <v>4</v>
      </c>
      <c r="T379" s="26">
        <v>2</v>
      </c>
      <c r="U379" s="26">
        <v>7</v>
      </c>
      <c r="V379" s="26">
        <v>1</v>
      </c>
    </row>
    <row r="380" spans="1:22" x14ac:dyDescent="0.25">
      <c r="A380" s="26" t="s">
        <v>2400</v>
      </c>
      <c r="B380" s="26" t="s">
        <v>3537</v>
      </c>
      <c r="C380" s="26" t="s">
        <v>3538</v>
      </c>
      <c r="D380" s="26" t="s">
        <v>179</v>
      </c>
      <c r="E380" s="26" t="s">
        <v>3539</v>
      </c>
      <c r="F380" s="26" t="s">
        <v>1111</v>
      </c>
      <c r="G380" s="26" t="s">
        <v>278</v>
      </c>
      <c r="H380" s="26" t="s">
        <v>687</v>
      </c>
      <c r="I380" s="26" t="s">
        <v>184</v>
      </c>
      <c r="J380" s="26" t="s">
        <v>2509</v>
      </c>
      <c r="K380" s="26" t="s">
        <v>2405</v>
      </c>
      <c r="L380" s="26" t="s">
        <v>79</v>
      </c>
      <c r="M380" s="26" t="s">
        <v>77</v>
      </c>
      <c r="N380" s="26">
        <v>34</v>
      </c>
      <c r="O380" s="26">
        <v>24</v>
      </c>
      <c r="P380" s="26">
        <v>10</v>
      </c>
      <c r="Q380" s="26">
        <v>0</v>
      </c>
      <c r="R380" s="26">
        <v>1</v>
      </c>
      <c r="S380" s="26">
        <v>3</v>
      </c>
      <c r="T380" s="26">
        <v>2</v>
      </c>
      <c r="U380" s="26">
        <v>6</v>
      </c>
      <c r="V380" s="26">
        <v>1</v>
      </c>
    </row>
    <row r="381" spans="1:22" x14ac:dyDescent="0.25">
      <c r="A381" s="26" t="s">
        <v>2400</v>
      </c>
      <c r="B381" s="26" t="s">
        <v>3540</v>
      </c>
      <c r="C381" s="26" t="s">
        <v>3541</v>
      </c>
      <c r="D381" s="26" t="s">
        <v>179</v>
      </c>
      <c r="E381" s="26" t="s">
        <v>3542</v>
      </c>
      <c r="F381" s="26" t="s">
        <v>716</v>
      </c>
      <c r="G381" s="26" t="s">
        <v>413</v>
      </c>
      <c r="H381" s="26" t="s">
        <v>205</v>
      </c>
      <c r="I381" s="26" t="s">
        <v>184</v>
      </c>
      <c r="J381" s="26" t="s">
        <v>2509</v>
      </c>
      <c r="K381" s="26" t="s">
        <v>2405</v>
      </c>
      <c r="L381" s="26" t="s">
        <v>79</v>
      </c>
      <c r="M381" s="26" t="s">
        <v>77</v>
      </c>
      <c r="N381" s="26">
        <v>47</v>
      </c>
      <c r="O381" s="26">
        <v>23</v>
      </c>
      <c r="P381" s="26">
        <v>24</v>
      </c>
      <c r="Q381" s="26">
        <v>0</v>
      </c>
      <c r="R381" s="26">
        <v>1</v>
      </c>
      <c r="S381" s="26">
        <v>6</v>
      </c>
      <c r="T381" s="26">
        <v>2</v>
      </c>
      <c r="U381" s="26">
        <v>9</v>
      </c>
      <c r="V381" s="26">
        <v>1</v>
      </c>
    </row>
    <row r="382" spans="1:22" x14ac:dyDescent="0.25">
      <c r="A382" s="26" t="s">
        <v>2400</v>
      </c>
      <c r="B382" s="26" t="s">
        <v>3543</v>
      </c>
      <c r="C382" s="26" t="s">
        <v>3544</v>
      </c>
      <c r="D382" s="26" t="s">
        <v>179</v>
      </c>
      <c r="E382" s="26" t="s">
        <v>4104</v>
      </c>
      <c r="F382" s="26" t="s">
        <v>3545</v>
      </c>
      <c r="G382" s="26" t="s">
        <v>413</v>
      </c>
      <c r="H382" s="26" t="s">
        <v>321</v>
      </c>
      <c r="I382" s="26" t="s">
        <v>184</v>
      </c>
      <c r="J382" s="26" t="s">
        <v>2509</v>
      </c>
      <c r="K382" s="26" t="s">
        <v>2405</v>
      </c>
      <c r="L382" s="26" t="s">
        <v>79</v>
      </c>
      <c r="M382" s="26" t="s">
        <v>77</v>
      </c>
      <c r="N382" s="26">
        <v>44</v>
      </c>
      <c r="O382" s="26">
        <v>25</v>
      </c>
      <c r="P382" s="26">
        <v>19</v>
      </c>
      <c r="Q382" s="26">
        <v>0</v>
      </c>
      <c r="R382" s="26">
        <v>1</v>
      </c>
      <c r="S382" s="26">
        <v>4</v>
      </c>
      <c r="T382" s="26">
        <v>3</v>
      </c>
      <c r="U382" s="26">
        <v>8</v>
      </c>
      <c r="V382" s="26">
        <v>1</v>
      </c>
    </row>
    <row r="383" spans="1:22" x14ac:dyDescent="0.25">
      <c r="A383" s="26" t="s">
        <v>2400</v>
      </c>
      <c r="B383" s="26" t="s">
        <v>3546</v>
      </c>
      <c r="C383" s="26" t="s">
        <v>3547</v>
      </c>
      <c r="D383" s="26" t="s">
        <v>218</v>
      </c>
      <c r="E383" s="26" t="s">
        <v>3548</v>
      </c>
      <c r="F383" s="26" t="s">
        <v>3549</v>
      </c>
      <c r="G383" s="26" t="s">
        <v>210</v>
      </c>
      <c r="H383" s="26" t="s">
        <v>523</v>
      </c>
      <c r="I383" s="26" t="s">
        <v>184</v>
      </c>
      <c r="J383" s="26" t="s">
        <v>2448</v>
      </c>
      <c r="K383" s="26" t="s">
        <v>2405</v>
      </c>
      <c r="L383" s="26" t="s">
        <v>79</v>
      </c>
      <c r="M383" s="26" t="s">
        <v>77</v>
      </c>
      <c r="N383" s="26">
        <v>6</v>
      </c>
      <c r="O383" s="26">
        <v>3</v>
      </c>
      <c r="P383" s="26">
        <v>3</v>
      </c>
      <c r="Q383" s="26">
        <v>0</v>
      </c>
      <c r="R383" s="26">
        <v>1</v>
      </c>
      <c r="S383" s="26">
        <v>7</v>
      </c>
      <c r="T383" s="26">
        <v>1</v>
      </c>
      <c r="U383" s="26">
        <v>9</v>
      </c>
      <c r="V383" s="26">
        <v>1</v>
      </c>
    </row>
    <row r="384" spans="1:22" x14ac:dyDescent="0.25">
      <c r="A384" s="26" t="s">
        <v>2400</v>
      </c>
      <c r="B384" s="26" t="s">
        <v>3550</v>
      </c>
      <c r="C384" s="26" t="s">
        <v>3551</v>
      </c>
      <c r="D384" s="26" t="s">
        <v>218</v>
      </c>
      <c r="E384" s="26" t="s">
        <v>4105</v>
      </c>
      <c r="F384" s="26" t="s">
        <v>3552</v>
      </c>
      <c r="G384" s="26" t="s">
        <v>278</v>
      </c>
      <c r="H384" s="26" t="s">
        <v>1693</v>
      </c>
      <c r="I384" s="26" t="s">
        <v>184</v>
      </c>
      <c r="J384" s="26" t="s">
        <v>2509</v>
      </c>
      <c r="K384" s="26" t="s">
        <v>2405</v>
      </c>
      <c r="L384" s="26" t="s">
        <v>79</v>
      </c>
      <c r="M384" s="26" t="s">
        <v>77</v>
      </c>
      <c r="N384" s="26">
        <v>49</v>
      </c>
      <c r="O384" s="26">
        <v>35</v>
      </c>
      <c r="P384" s="26">
        <v>14</v>
      </c>
      <c r="Q384" s="26">
        <v>0</v>
      </c>
      <c r="R384" s="26">
        <v>1</v>
      </c>
      <c r="S384" s="26">
        <v>5</v>
      </c>
      <c r="T384" s="26">
        <v>2</v>
      </c>
      <c r="U384" s="26">
        <v>8</v>
      </c>
      <c r="V384" s="26">
        <v>1</v>
      </c>
    </row>
    <row r="385" spans="1:22" x14ac:dyDescent="0.25">
      <c r="A385" s="26" t="s">
        <v>2400</v>
      </c>
      <c r="B385" s="26" t="s">
        <v>3553</v>
      </c>
      <c r="C385" s="26" t="s">
        <v>3554</v>
      </c>
      <c r="D385" s="26" t="s">
        <v>179</v>
      </c>
      <c r="E385" s="26" t="s">
        <v>3555</v>
      </c>
      <c r="F385" s="26" t="s">
        <v>2663</v>
      </c>
      <c r="G385" s="26" t="s">
        <v>252</v>
      </c>
      <c r="H385" s="26" t="s">
        <v>321</v>
      </c>
      <c r="I385" s="26" t="s">
        <v>184</v>
      </c>
      <c r="J385" s="26" t="s">
        <v>2565</v>
      </c>
      <c r="K385" s="26" t="s">
        <v>2405</v>
      </c>
      <c r="L385" s="26" t="s">
        <v>79</v>
      </c>
      <c r="M385" s="26" t="s">
        <v>77</v>
      </c>
      <c r="N385" s="26">
        <v>49</v>
      </c>
      <c r="O385" s="26">
        <v>31</v>
      </c>
      <c r="P385" s="26">
        <v>18</v>
      </c>
      <c r="Q385" s="26">
        <v>0</v>
      </c>
      <c r="R385" s="26">
        <v>1</v>
      </c>
      <c r="S385" s="26">
        <v>5</v>
      </c>
      <c r="T385" s="26">
        <v>3</v>
      </c>
      <c r="U385" s="26">
        <v>9</v>
      </c>
      <c r="V385" s="26">
        <v>1</v>
      </c>
    </row>
    <row r="386" spans="1:22" x14ac:dyDescent="0.25">
      <c r="A386" s="26" t="s">
        <v>2400</v>
      </c>
      <c r="B386" s="26" t="s">
        <v>3556</v>
      </c>
      <c r="C386" s="26" t="s">
        <v>3557</v>
      </c>
      <c r="D386" s="26" t="s">
        <v>179</v>
      </c>
      <c r="E386" s="26" t="s">
        <v>4018</v>
      </c>
      <c r="F386" s="26" t="s">
        <v>577</v>
      </c>
      <c r="G386" s="26" t="s">
        <v>278</v>
      </c>
      <c r="H386" s="26" t="s">
        <v>677</v>
      </c>
      <c r="I386" s="26" t="s">
        <v>184</v>
      </c>
      <c r="J386" s="26" t="s">
        <v>2509</v>
      </c>
      <c r="K386" s="26" t="s">
        <v>2405</v>
      </c>
      <c r="L386" s="26" t="s">
        <v>79</v>
      </c>
      <c r="M386" s="26" t="s">
        <v>77</v>
      </c>
      <c r="N386" s="26">
        <v>110</v>
      </c>
      <c r="O386" s="26">
        <v>73</v>
      </c>
      <c r="P386" s="26">
        <v>37</v>
      </c>
      <c r="Q386" s="26">
        <v>0</v>
      </c>
      <c r="R386" s="26">
        <v>1</v>
      </c>
      <c r="S386" s="26">
        <v>8</v>
      </c>
      <c r="T386" s="26">
        <v>4</v>
      </c>
      <c r="U386" s="26">
        <v>13</v>
      </c>
      <c r="V386" s="26">
        <v>1</v>
      </c>
    </row>
    <row r="387" spans="1:22" x14ac:dyDescent="0.25">
      <c r="A387" s="26" t="s">
        <v>2400</v>
      </c>
      <c r="B387" s="26" t="s">
        <v>3558</v>
      </c>
      <c r="C387" s="26" t="s">
        <v>3559</v>
      </c>
      <c r="D387" s="26" t="s">
        <v>179</v>
      </c>
      <c r="E387" s="26" t="s">
        <v>4106</v>
      </c>
      <c r="F387" s="26" t="s">
        <v>577</v>
      </c>
      <c r="G387" s="26" t="s">
        <v>278</v>
      </c>
      <c r="H387" s="26" t="s">
        <v>677</v>
      </c>
      <c r="I387" s="26" t="s">
        <v>184</v>
      </c>
      <c r="J387" s="26" t="s">
        <v>2509</v>
      </c>
      <c r="K387" s="26" t="s">
        <v>2405</v>
      </c>
      <c r="L387" s="26" t="s">
        <v>79</v>
      </c>
      <c r="M387" s="26" t="s">
        <v>77</v>
      </c>
      <c r="N387" s="26">
        <v>116</v>
      </c>
      <c r="O387" s="26">
        <v>80</v>
      </c>
      <c r="P387" s="26">
        <v>36</v>
      </c>
      <c r="Q387" s="26">
        <v>0</v>
      </c>
      <c r="R387" s="26">
        <v>1</v>
      </c>
      <c r="S387" s="26">
        <v>7</v>
      </c>
      <c r="T387" s="26">
        <v>4</v>
      </c>
      <c r="U387" s="26">
        <v>12</v>
      </c>
      <c r="V387" s="26">
        <v>1</v>
      </c>
    </row>
    <row r="388" spans="1:22" x14ac:dyDescent="0.25">
      <c r="A388" s="26" t="s">
        <v>2400</v>
      </c>
      <c r="B388" s="26" t="s">
        <v>3560</v>
      </c>
      <c r="C388" s="26" t="s">
        <v>3561</v>
      </c>
      <c r="D388" s="26" t="s">
        <v>179</v>
      </c>
      <c r="E388" s="26" t="s">
        <v>3562</v>
      </c>
      <c r="F388" s="26" t="s">
        <v>1280</v>
      </c>
      <c r="G388" s="26" t="s">
        <v>278</v>
      </c>
      <c r="H388" s="26" t="s">
        <v>643</v>
      </c>
      <c r="I388" s="26" t="s">
        <v>184</v>
      </c>
      <c r="J388" s="26" t="s">
        <v>2509</v>
      </c>
      <c r="K388" s="26" t="s">
        <v>2405</v>
      </c>
      <c r="L388" s="26" t="s">
        <v>79</v>
      </c>
      <c r="M388" s="26" t="s">
        <v>77</v>
      </c>
      <c r="N388" s="26">
        <v>29</v>
      </c>
      <c r="O388" s="26">
        <v>15</v>
      </c>
      <c r="P388" s="26">
        <v>14</v>
      </c>
      <c r="Q388" s="26">
        <v>0</v>
      </c>
      <c r="R388" s="26">
        <v>1</v>
      </c>
      <c r="S388" s="26">
        <v>4</v>
      </c>
      <c r="T388" s="26">
        <v>2</v>
      </c>
      <c r="U388" s="26">
        <v>7</v>
      </c>
      <c r="V388" s="26">
        <v>1</v>
      </c>
    </row>
    <row r="389" spans="1:22" x14ac:dyDescent="0.25">
      <c r="A389" s="26" t="s">
        <v>2400</v>
      </c>
      <c r="B389" s="26" t="s">
        <v>3563</v>
      </c>
      <c r="C389" s="26" t="s">
        <v>3564</v>
      </c>
      <c r="D389" s="26" t="s">
        <v>179</v>
      </c>
      <c r="E389" s="26" t="s">
        <v>3565</v>
      </c>
      <c r="F389" s="26" t="s">
        <v>800</v>
      </c>
      <c r="G389" s="26" t="s">
        <v>413</v>
      </c>
      <c r="H389" s="26" t="s">
        <v>756</v>
      </c>
      <c r="I389" s="26" t="s">
        <v>184</v>
      </c>
      <c r="J389" s="26" t="s">
        <v>2509</v>
      </c>
      <c r="K389" s="26" t="s">
        <v>2405</v>
      </c>
      <c r="L389" s="26" t="s">
        <v>79</v>
      </c>
      <c r="M389" s="26" t="s">
        <v>77</v>
      </c>
      <c r="N389" s="26">
        <v>86</v>
      </c>
      <c r="O389" s="26">
        <v>52</v>
      </c>
      <c r="P389" s="26">
        <v>34</v>
      </c>
      <c r="Q389" s="26">
        <v>0</v>
      </c>
      <c r="R389" s="26">
        <v>1</v>
      </c>
      <c r="S389" s="26">
        <v>8</v>
      </c>
      <c r="T389" s="26">
        <v>2</v>
      </c>
      <c r="U389" s="26">
        <v>11</v>
      </c>
      <c r="V389" s="26">
        <v>1</v>
      </c>
    </row>
    <row r="390" spans="1:22" x14ac:dyDescent="0.25">
      <c r="A390" s="26" t="s">
        <v>2400</v>
      </c>
      <c r="B390" s="26" t="s">
        <v>3566</v>
      </c>
      <c r="C390" s="26" t="s">
        <v>3567</v>
      </c>
      <c r="D390" s="26" t="s">
        <v>179</v>
      </c>
      <c r="E390" s="26" t="s">
        <v>3568</v>
      </c>
      <c r="F390" s="26" t="s">
        <v>3034</v>
      </c>
      <c r="G390" s="26" t="s">
        <v>210</v>
      </c>
      <c r="H390" s="26" t="s">
        <v>294</v>
      </c>
      <c r="I390" s="26" t="s">
        <v>184</v>
      </c>
      <c r="J390" s="26" t="s">
        <v>2448</v>
      </c>
      <c r="K390" s="26" t="s">
        <v>2405</v>
      </c>
      <c r="L390" s="26" t="s">
        <v>79</v>
      </c>
      <c r="M390" s="26" t="s">
        <v>77</v>
      </c>
      <c r="N390" s="26">
        <v>73</v>
      </c>
      <c r="O390" s="26">
        <v>37</v>
      </c>
      <c r="P390" s="26">
        <v>36</v>
      </c>
      <c r="Q390" s="26">
        <v>0</v>
      </c>
      <c r="R390" s="26">
        <v>1</v>
      </c>
      <c r="S390" s="26">
        <v>9</v>
      </c>
      <c r="T390" s="26">
        <v>4</v>
      </c>
      <c r="U390" s="26">
        <v>14</v>
      </c>
      <c r="V390" s="26">
        <v>1</v>
      </c>
    </row>
    <row r="391" spans="1:22" x14ac:dyDescent="0.25">
      <c r="A391" s="26" t="s">
        <v>2400</v>
      </c>
      <c r="B391" s="26" t="s">
        <v>3569</v>
      </c>
      <c r="C391" s="26" t="s">
        <v>3570</v>
      </c>
      <c r="D391" s="26" t="s">
        <v>179</v>
      </c>
      <c r="E391" s="26" t="s">
        <v>2517</v>
      </c>
      <c r="F391" s="26" t="s">
        <v>2518</v>
      </c>
      <c r="G391" s="26" t="s">
        <v>413</v>
      </c>
      <c r="H391" s="26" t="s">
        <v>523</v>
      </c>
      <c r="I391" s="26" t="s">
        <v>184</v>
      </c>
      <c r="J391" s="26" t="s">
        <v>2509</v>
      </c>
      <c r="K391" s="26" t="s">
        <v>2405</v>
      </c>
      <c r="L391" s="26" t="s">
        <v>79</v>
      </c>
      <c r="M391" s="26" t="s">
        <v>77</v>
      </c>
      <c r="N391" s="26">
        <v>96</v>
      </c>
      <c r="O391" s="26">
        <v>58</v>
      </c>
      <c r="P391" s="26">
        <v>38</v>
      </c>
      <c r="Q391" s="26">
        <v>0</v>
      </c>
      <c r="R391" s="26">
        <v>1</v>
      </c>
      <c r="S391" s="26">
        <v>6</v>
      </c>
      <c r="T391" s="26">
        <v>3</v>
      </c>
      <c r="U391" s="26">
        <v>10</v>
      </c>
      <c r="V391" s="26">
        <v>1</v>
      </c>
    </row>
    <row r="392" spans="1:22" x14ac:dyDescent="0.25">
      <c r="A392" s="26" t="s">
        <v>2400</v>
      </c>
      <c r="B392" s="26" t="s">
        <v>3571</v>
      </c>
      <c r="C392" s="26" t="s">
        <v>3572</v>
      </c>
      <c r="D392" s="26" t="s">
        <v>2408</v>
      </c>
      <c r="E392" s="26" t="s">
        <v>3573</v>
      </c>
      <c r="F392" s="26" t="s">
        <v>3574</v>
      </c>
      <c r="G392" s="26" t="s">
        <v>413</v>
      </c>
      <c r="H392" s="26" t="s">
        <v>523</v>
      </c>
      <c r="I392" s="26" t="s">
        <v>184</v>
      </c>
      <c r="J392" s="26" t="s">
        <v>2509</v>
      </c>
      <c r="K392" s="26" t="s">
        <v>2405</v>
      </c>
      <c r="L392" s="26" t="s">
        <v>79</v>
      </c>
      <c r="M392" s="26" t="s">
        <v>77</v>
      </c>
      <c r="N392" s="26">
        <v>79</v>
      </c>
      <c r="O392" s="26">
        <v>48</v>
      </c>
      <c r="P392" s="26">
        <v>31</v>
      </c>
      <c r="Q392" s="26">
        <v>0</v>
      </c>
      <c r="R392" s="26">
        <v>1</v>
      </c>
      <c r="S392" s="26">
        <v>5</v>
      </c>
      <c r="T392" s="26">
        <v>2</v>
      </c>
      <c r="U392" s="26">
        <v>8</v>
      </c>
      <c r="V392" s="26">
        <v>1</v>
      </c>
    </row>
    <row r="393" spans="1:22" x14ac:dyDescent="0.25">
      <c r="A393" s="26" t="s">
        <v>2400</v>
      </c>
      <c r="B393" s="26" t="s">
        <v>3575</v>
      </c>
      <c r="C393" s="26" t="s">
        <v>3576</v>
      </c>
      <c r="D393" s="26" t="s">
        <v>179</v>
      </c>
      <c r="E393" s="26" t="s">
        <v>3577</v>
      </c>
      <c r="F393" s="26" t="s">
        <v>277</v>
      </c>
      <c r="G393" s="26" t="s">
        <v>278</v>
      </c>
      <c r="H393" s="26" t="s">
        <v>1693</v>
      </c>
      <c r="I393" s="26" t="s">
        <v>184</v>
      </c>
      <c r="J393" s="26" t="s">
        <v>2509</v>
      </c>
      <c r="K393" s="26" t="s">
        <v>2405</v>
      </c>
      <c r="L393" s="26" t="s">
        <v>79</v>
      </c>
      <c r="M393" s="26" t="s">
        <v>77</v>
      </c>
      <c r="N393" s="26">
        <v>29</v>
      </c>
      <c r="O393" s="26">
        <v>20</v>
      </c>
      <c r="P393" s="26">
        <v>9</v>
      </c>
      <c r="Q393" s="26">
        <v>0</v>
      </c>
      <c r="R393" s="26">
        <v>1</v>
      </c>
      <c r="S393" s="26">
        <v>7</v>
      </c>
      <c r="T393" s="26">
        <v>3</v>
      </c>
      <c r="U393" s="26">
        <v>11</v>
      </c>
      <c r="V393" s="26">
        <v>1</v>
      </c>
    </row>
    <row r="394" spans="1:22" x14ac:dyDescent="0.25">
      <c r="A394" s="26" t="s">
        <v>2400</v>
      </c>
      <c r="B394" s="26" t="s">
        <v>3578</v>
      </c>
      <c r="C394" s="26" t="s">
        <v>3579</v>
      </c>
      <c r="D394" s="26" t="s">
        <v>179</v>
      </c>
      <c r="E394" s="26" t="s">
        <v>4107</v>
      </c>
      <c r="F394" s="26" t="s">
        <v>1427</v>
      </c>
      <c r="G394" s="26" t="s">
        <v>204</v>
      </c>
      <c r="H394" s="26" t="s">
        <v>687</v>
      </c>
      <c r="I394" s="26" t="s">
        <v>184</v>
      </c>
      <c r="J394" s="26" t="s">
        <v>2411</v>
      </c>
      <c r="K394" s="26" t="s">
        <v>2405</v>
      </c>
      <c r="L394" s="26" t="s">
        <v>79</v>
      </c>
      <c r="M394" s="26" t="s">
        <v>77</v>
      </c>
      <c r="N394" s="26">
        <v>57</v>
      </c>
      <c r="O394" s="26">
        <v>41</v>
      </c>
      <c r="P394" s="26">
        <v>16</v>
      </c>
      <c r="Q394" s="26">
        <v>0</v>
      </c>
      <c r="R394" s="26">
        <v>1</v>
      </c>
      <c r="S394" s="26">
        <v>8</v>
      </c>
      <c r="T394" s="26">
        <v>3</v>
      </c>
      <c r="U394" s="26">
        <v>12</v>
      </c>
      <c r="V394" s="26">
        <v>1</v>
      </c>
    </row>
    <row r="395" spans="1:22" x14ac:dyDescent="0.25">
      <c r="A395" s="26" t="s">
        <v>2400</v>
      </c>
      <c r="B395" s="26" t="s">
        <v>3580</v>
      </c>
      <c r="C395" s="26" t="s">
        <v>3581</v>
      </c>
      <c r="D395" s="26" t="s">
        <v>179</v>
      </c>
      <c r="E395" s="26" t="s">
        <v>3582</v>
      </c>
      <c r="F395" s="26" t="s">
        <v>273</v>
      </c>
      <c r="G395" s="26" t="s">
        <v>413</v>
      </c>
      <c r="H395" s="26" t="s">
        <v>1026</v>
      </c>
      <c r="I395" s="26" t="s">
        <v>184</v>
      </c>
      <c r="J395" s="26" t="s">
        <v>2509</v>
      </c>
      <c r="K395" s="26" t="s">
        <v>2405</v>
      </c>
      <c r="L395" s="26" t="s">
        <v>79</v>
      </c>
      <c r="M395" s="26" t="s">
        <v>77</v>
      </c>
      <c r="N395" s="26">
        <v>63</v>
      </c>
      <c r="O395" s="26">
        <v>38</v>
      </c>
      <c r="P395" s="26">
        <v>25</v>
      </c>
      <c r="Q395" s="26">
        <v>0</v>
      </c>
      <c r="R395" s="26">
        <v>1</v>
      </c>
      <c r="S395" s="26">
        <v>7</v>
      </c>
      <c r="T395" s="26">
        <v>4</v>
      </c>
      <c r="U395" s="26">
        <v>12</v>
      </c>
      <c r="V395" s="26">
        <v>1</v>
      </c>
    </row>
    <row r="396" spans="1:22" x14ac:dyDescent="0.25">
      <c r="A396" s="26" t="s">
        <v>2400</v>
      </c>
      <c r="B396" s="26" t="s">
        <v>3583</v>
      </c>
      <c r="C396" s="26" t="s">
        <v>3584</v>
      </c>
      <c r="D396" s="26" t="s">
        <v>179</v>
      </c>
      <c r="E396" s="26" t="s">
        <v>4081</v>
      </c>
      <c r="F396" s="26" t="s">
        <v>3245</v>
      </c>
      <c r="G396" s="26" t="s">
        <v>191</v>
      </c>
      <c r="H396" s="26" t="s">
        <v>643</v>
      </c>
      <c r="I396" s="26" t="s">
        <v>184</v>
      </c>
      <c r="J396" s="26" t="s">
        <v>2565</v>
      </c>
      <c r="K396" s="26" t="s">
        <v>2405</v>
      </c>
      <c r="L396" s="26" t="s">
        <v>79</v>
      </c>
      <c r="M396" s="26" t="s">
        <v>77</v>
      </c>
      <c r="N396" s="26">
        <v>101</v>
      </c>
      <c r="O396" s="26">
        <v>60</v>
      </c>
      <c r="P396" s="26">
        <v>41</v>
      </c>
      <c r="Q396" s="26">
        <v>0</v>
      </c>
      <c r="R396" s="26">
        <v>1</v>
      </c>
      <c r="S396" s="26">
        <v>4</v>
      </c>
      <c r="T396" s="26">
        <v>2</v>
      </c>
      <c r="U396" s="26">
        <v>7</v>
      </c>
      <c r="V396" s="26">
        <v>1</v>
      </c>
    </row>
    <row r="397" spans="1:22" x14ac:dyDescent="0.25">
      <c r="A397" s="26" t="s">
        <v>2400</v>
      </c>
      <c r="B397" s="26" t="s">
        <v>3585</v>
      </c>
      <c r="C397" s="26" t="s">
        <v>3586</v>
      </c>
      <c r="D397" s="26" t="s">
        <v>2408</v>
      </c>
      <c r="E397" s="26" t="s">
        <v>3587</v>
      </c>
      <c r="F397" s="26" t="s">
        <v>800</v>
      </c>
      <c r="G397" s="26" t="s">
        <v>413</v>
      </c>
      <c r="H397" s="26" t="s">
        <v>756</v>
      </c>
      <c r="I397" s="26" t="s">
        <v>184</v>
      </c>
      <c r="J397" s="26" t="s">
        <v>2509</v>
      </c>
      <c r="K397" s="26" t="s">
        <v>2405</v>
      </c>
      <c r="L397" s="26" t="s">
        <v>79</v>
      </c>
      <c r="M397" s="26" t="s">
        <v>77</v>
      </c>
      <c r="N397" s="26">
        <v>51</v>
      </c>
      <c r="O397" s="26">
        <v>39</v>
      </c>
      <c r="P397" s="26">
        <v>12</v>
      </c>
      <c r="Q397" s="26">
        <v>0</v>
      </c>
      <c r="R397" s="26">
        <v>1</v>
      </c>
      <c r="S397" s="26">
        <v>6</v>
      </c>
      <c r="T397" s="26">
        <v>2</v>
      </c>
      <c r="U397" s="26">
        <v>9</v>
      </c>
      <c r="V397" s="26">
        <v>1</v>
      </c>
    </row>
    <row r="398" spans="1:22" x14ac:dyDescent="0.25">
      <c r="A398" s="26" t="s">
        <v>2400</v>
      </c>
      <c r="B398" s="26" t="s">
        <v>3588</v>
      </c>
      <c r="C398" s="26" t="s">
        <v>3589</v>
      </c>
      <c r="D398" s="26" t="s">
        <v>179</v>
      </c>
      <c r="E398" s="26" t="s">
        <v>2542</v>
      </c>
      <c r="F398" s="26" t="s">
        <v>1219</v>
      </c>
      <c r="G398" s="26" t="s">
        <v>278</v>
      </c>
      <c r="H398" s="26" t="s">
        <v>687</v>
      </c>
      <c r="I398" s="26" t="s">
        <v>184</v>
      </c>
      <c r="J398" s="26" t="s">
        <v>2509</v>
      </c>
      <c r="K398" s="26" t="s">
        <v>2405</v>
      </c>
      <c r="L398" s="26" t="s">
        <v>79</v>
      </c>
      <c r="M398" s="26" t="s">
        <v>77</v>
      </c>
      <c r="N398" s="26">
        <v>66</v>
      </c>
      <c r="O398" s="26">
        <v>43</v>
      </c>
      <c r="P398" s="26">
        <v>23</v>
      </c>
      <c r="Q398" s="26">
        <v>0</v>
      </c>
      <c r="R398" s="26">
        <v>1</v>
      </c>
      <c r="S398" s="26">
        <v>4</v>
      </c>
      <c r="T398" s="26">
        <v>2</v>
      </c>
      <c r="U398" s="26">
        <v>7</v>
      </c>
      <c r="V398" s="26">
        <v>1</v>
      </c>
    </row>
    <row r="399" spans="1:22" x14ac:dyDescent="0.25">
      <c r="A399" s="26" t="s">
        <v>2400</v>
      </c>
      <c r="B399" s="26" t="s">
        <v>3590</v>
      </c>
      <c r="C399" s="26" t="s">
        <v>3591</v>
      </c>
      <c r="D399" s="26" t="s">
        <v>179</v>
      </c>
      <c r="E399" s="26" t="s">
        <v>3592</v>
      </c>
      <c r="F399" s="26" t="s">
        <v>1103</v>
      </c>
      <c r="G399" s="26" t="s">
        <v>278</v>
      </c>
      <c r="H399" s="26" t="s">
        <v>643</v>
      </c>
      <c r="I399" s="26" t="s">
        <v>184</v>
      </c>
      <c r="J399" s="26" t="s">
        <v>2509</v>
      </c>
      <c r="K399" s="26" t="s">
        <v>2405</v>
      </c>
      <c r="L399" s="26" t="s">
        <v>79</v>
      </c>
      <c r="M399" s="26" t="s">
        <v>77</v>
      </c>
      <c r="N399" s="26">
        <v>57</v>
      </c>
      <c r="O399" s="26">
        <v>46</v>
      </c>
      <c r="P399" s="26">
        <v>11</v>
      </c>
      <c r="Q399" s="26">
        <v>0</v>
      </c>
      <c r="R399" s="26">
        <v>1</v>
      </c>
      <c r="S399" s="26">
        <v>5</v>
      </c>
      <c r="T399" s="26">
        <v>3</v>
      </c>
      <c r="U399" s="26">
        <v>9</v>
      </c>
      <c r="V399" s="26">
        <v>1</v>
      </c>
    </row>
    <row r="400" spans="1:22" x14ac:dyDescent="0.25">
      <c r="A400" s="26" t="s">
        <v>2400</v>
      </c>
      <c r="B400" s="26" t="s">
        <v>3593</v>
      </c>
      <c r="C400" s="26" t="s">
        <v>3594</v>
      </c>
      <c r="D400" s="26" t="s">
        <v>179</v>
      </c>
      <c r="E400" s="26" t="s">
        <v>3595</v>
      </c>
      <c r="F400" s="26" t="s">
        <v>1126</v>
      </c>
      <c r="G400" s="26" t="s">
        <v>278</v>
      </c>
      <c r="H400" s="26" t="s">
        <v>677</v>
      </c>
      <c r="I400" s="26" t="s">
        <v>184</v>
      </c>
      <c r="J400" s="26" t="s">
        <v>2509</v>
      </c>
      <c r="K400" s="26" t="s">
        <v>2405</v>
      </c>
      <c r="L400" s="26" t="s">
        <v>79</v>
      </c>
      <c r="M400" s="26" t="s">
        <v>77</v>
      </c>
      <c r="N400" s="26">
        <v>104</v>
      </c>
      <c r="O400" s="26">
        <v>66</v>
      </c>
      <c r="P400" s="26">
        <v>38</v>
      </c>
      <c r="Q400" s="26">
        <v>0</v>
      </c>
      <c r="R400" s="26">
        <v>1</v>
      </c>
      <c r="S400" s="26">
        <v>8</v>
      </c>
      <c r="T400" s="26">
        <v>4</v>
      </c>
      <c r="U400" s="26">
        <v>13</v>
      </c>
      <c r="V400" s="26">
        <v>1</v>
      </c>
    </row>
    <row r="401" spans="1:22" x14ac:dyDescent="0.25">
      <c r="A401" s="26" t="s">
        <v>2400</v>
      </c>
      <c r="B401" s="26" t="s">
        <v>3596</v>
      </c>
      <c r="C401" s="26" t="s">
        <v>3597</v>
      </c>
      <c r="D401" s="26" t="s">
        <v>2408</v>
      </c>
      <c r="E401" s="26" t="s">
        <v>4018</v>
      </c>
      <c r="F401" s="26" t="s">
        <v>577</v>
      </c>
      <c r="G401" s="26" t="s">
        <v>278</v>
      </c>
      <c r="H401" s="26" t="s">
        <v>677</v>
      </c>
      <c r="I401" s="26" t="s">
        <v>184</v>
      </c>
      <c r="J401" s="26" t="s">
        <v>2509</v>
      </c>
      <c r="K401" s="26" t="s">
        <v>2405</v>
      </c>
      <c r="L401" s="26" t="s">
        <v>79</v>
      </c>
      <c r="M401" s="26" t="s">
        <v>77</v>
      </c>
      <c r="N401" s="26">
        <v>103</v>
      </c>
      <c r="O401" s="26">
        <v>66</v>
      </c>
      <c r="P401" s="26">
        <v>37</v>
      </c>
      <c r="Q401" s="26">
        <v>0</v>
      </c>
      <c r="R401" s="26">
        <v>1</v>
      </c>
      <c r="S401" s="26">
        <v>7</v>
      </c>
      <c r="T401" s="26">
        <v>2</v>
      </c>
      <c r="U401" s="26">
        <v>10</v>
      </c>
      <c r="V401" s="26">
        <v>1</v>
      </c>
    </row>
    <row r="402" spans="1:22" x14ac:dyDescent="0.25">
      <c r="A402" s="26" t="s">
        <v>2400</v>
      </c>
      <c r="B402" s="26" t="s">
        <v>3598</v>
      </c>
      <c r="C402" s="26" t="s">
        <v>3599</v>
      </c>
      <c r="D402" s="26" t="s">
        <v>179</v>
      </c>
      <c r="E402" s="26" t="s">
        <v>3600</v>
      </c>
      <c r="F402" s="26" t="s">
        <v>1372</v>
      </c>
      <c r="G402" s="26" t="s">
        <v>204</v>
      </c>
      <c r="H402" s="26" t="s">
        <v>687</v>
      </c>
      <c r="I402" s="26" t="s">
        <v>184</v>
      </c>
      <c r="J402" s="26" t="s">
        <v>2411</v>
      </c>
      <c r="K402" s="26" t="s">
        <v>2405</v>
      </c>
      <c r="L402" s="26" t="s">
        <v>79</v>
      </c>
      <c r="M402" s="26" t="s">
        <v>77</v>
      </c>
      <c r="N402" s="26">
        <v>44</v>
      </c>
      <c r="O402" s="26">
        <v>26</v>
      </c>
      <c r="P402" s="26">
        <v>18</v>
      </c>
      <c r="Q402" s="26">
        <v>0</v>
      </c>
      <c r="R402" s="26">
        <v>1</v>
      </c>
      <c r="S402" s="26">
        <v>8</v>
      </c>
      <c r="T402" s="26">
        <v>3</v>
      </c>
      <c r="U402" s="26">
        <v>12</v>
      </c>
      <c r="V402" s="26">
        <v>1</v>
      </c>
    </row>
    <row r="403" spans="1:22" x14ac:dyDescent="0.25">
      <c r="A403" s="26" t="s">
        <v>2400</v>
      </c>
      <c r="B403" s="26" t="s">
        <v>3601</v>
      </c>
      <c r="C403" s="26" t="s">
        <v>3602</v>
      </c>
      <c r="D403" s="26" t="s">
        <v>179</v>
      </c>
      <c r="E403" s="26" t="s">
        <v>3603</v>
      </c>
      <c r="F403" s="26" t="s">
        <v>3604</v>
      </c>
      <c r="G403" s="26" t="s">
        <v>293</v>
      </c>
      <c r="H403" s="26" t="s">
        <v>677</v>
      </c>
      <c r="I403" s="26" t="s">
        <v>184</v>
      </c>
      <c r="J403" s="26" t="s">
        <v>503</v>
      </c>
      <c r="K403" s="26" t="s">
        <v>296</v>
      </c>
      <c r="L403" s="26" t="s">
        <v>80</v>
      </c>
      <c r="M403" s="26" t="s">
        <v>77</v>
      </c>
      <c r="N403" s="26">
        <v>19</v>
      </c>
      <c r="O403" s="26">
        <v>12</v>
      </c>
      <c r="P403" s="26">
        <v>7</v>
      </c>
      <c r="Q403" s="26">
        <v>0</v>
      </c>
      <c r="R403" s="26">
        <v>1</v>
      </c>
      <c r="S403" s="26">
        <v>5</v>
      </c>
      <c r="T403" s="26">
        <v>2</v>
      </c>
      <c r="U403" s="26">
        <v>8</v>
      </c>
      <c r="V403" s="26">
        <v>1</v>
      </c>
    </row>
    <row r="404" spans="1:22" x14ac:dyDescent="0.25">
      <c r="A404" s="26" t="s">
        <v>2400</v>
      </c>
      <c r="B404" s="26" t="s">
        <v>3605</v>
      </c>
      <c r="C404" s="26" t="s">
        <v>3606</v>
      </c>
      <c r="D404" s="26" t="s">
        <v>179</v>
      </c>
      <c r="E404" s="26" t="s">
        <v>3607</v>
      </c>
      <c r="F404" s="26" t="s">
        <v>1418</v>
      </c>
      <c r="G404" s="26" t="s">
        <v>293</v>
      </c>
      <c r="H404" s="26" t="s">
        <v>643</v>
      </c>
      <c r="I404" s="26" t="s">
        <v>184</v>
      </c>
      <c r="J404" s="26" t="s">
        <v>503</v>
      </c>
      <c r="K404" s="26" t="s">
        <v>296</v>
      </c>
      <c r="L404" s="26" t="s">
        <v>80</v>
      </c>
      <c r="M404" s="26" t="s">
        <v>77</v>
      </c>
      <c r="N404" s="26">
        <v>42</v>
      </c>
      <c r="O404" s="26">
        <v>29</v>
      </c>
      <c r="P404" s="26">
        <v>13</v>
      </c>
      <c r="Q404" s="26">
        <v>0</v>
      </c>
      <c r="R404" s="26">
        <v>1</v>
      </c>
      <c r="S404" s="26">
        <v>4</v>
      </c>
      <c r="T404" s="26">
        <v>2</v>
      </c>
      <c r="U404" s="26">
        <v>7</v>
      </c>
      <c r="V404" s="26">
        <v>1</v>
      </c>
    </row>
    <row r="405" spans="1:22" x14ac:dyDescent="0.25">
      <c r="A405" s="26" t="s">
        <v>2400</v>
      </c>
      <c r="B405" s="26" t="s">
        <v>3608</v>
      </c>
      <c r="C405" s="26" t="s">
        <v>3609</v>
      </c>
      <c r="D405" s="26" t="s">
        <v>179</v>
      </c>
      <c r="E405" s="26" t="s">
        <v>3610</v>
      </c>
      <c r="F405" s="26" t="s">
        <v>3216</v>
      </c>
      <c r="G405" s="26" t="s">
        <v>293</v>
      </c>
      <c r="H405" s="26" t="s">
        <v>643</v>
      </c>
      <c r="I405" s="26" t="s">
        <v>184</v>
      </c>
      <c r="J405" s="26" t="s">
        <v>503</v>
      </c>
      <c r="K405" s="26" t="s">
        <v>296</v>
      </c>
      <c r="L405" s="26" t="s">
        <v>80</v>
      </c>
      <c r="M405" s="26" t="s">
        <v>77</v>
      </c>
      <c r="N405" s="26">
        <v>45</v>
      </c>
      <c r="O405" s="26">
        <v>30</v>
      </c>
      <c r="P405" s="26">
        <v>15</v>
      </c>
      <c r="Q405" s="26">
        <v>0</v>
      </c>
      <c r="R405" s="26">
        <v>1</v>
      </c>
      <c r="S405" s="26">
        <v>5</v>
      </c>
      <c r="T405" s="26">
        <v>0</v>
      </c>
      <c r="U405" s="26">
        <v>6</v>
      </c>
      <c r="V405" s="26">
        <v>1</v>
      </c>
    </row>
    <row r="406" spans="1:22" x14ac:dyDescent="0.25">
      <c r="A406" s="26" t="s">
        <v>2400</v>
      </c>
      <c r="B406" s="26" t="s">
        <v>3611</v>
      </c>
      <c r="C406" s="26" t="s">
        <v>3612</v>
      </c>
      <c r="D406" s="26" t="s">
        <v>179</v>
      </c>
      <c r="E406" s="26" t="s">
        <v>3613</v>
      </c>
      <c r="F406" s="26" t="s">
        <v>3614</v>
      </c>
      <c r="G406" s="26" t="s">
        <v>293</v>
      </c>
      <c r="H406" s="26" t="s">
        <v>643</v>
      </c>
      <c r="I406" s="26" t="s">
        <v>184</v>
      </c>
      <c r="J406" s="26" t="s">
        <v>503</v>
      </c>
      <c r="K406" s="26" t="s">
        <v>296</v>
      </c>
      <c r="L406" s="26" t="s">
        <v>80</v>
      </c>
      <c r="M406" s="26" t="s">
        <v>77</v>
      </c>
      <c r="N406" s="26">
        <v>36</v>
      </c>
      <c r="O406" s="26">
        <v>26</v>
      </c>
      <c r="P406" s="26">
        <v>10</v>
      </c>
      <c r="Q406" s="26">
        <v>0</v>
      </c>
      <c r="R406" s="26">
        <v>1</v>
      </c>
      <c r="S406" s="26">
        <v>4</v>
      </c>
      <c r="T406" s="26">
        <v>2</v>
      </c>
      <c r="U406" s="26">
        <v>7</v>
      </c>
      <c r="V406" s="26">
        <v>1</v>
      </c>
    </row>
    <row r="407" spans="1:22" x14ac:dyDescent="0.25">
      <c r="A407" s="26" t="s">
        <v>2400</v>
      </c>
      <c r="B407" s="26" t="s">
        <v>3615</v>
      </c>
      <c r="C407" s="26" t="s">
        <v>3616</v>
      </c>
      <c r="D407" s="26" t="s">
        <v>2408</v>
      </c>
      <c r="E407" s="26" t="s">
        <v>3617</v>
      </c>
      <c r="F407" s="26" t="s">
        <v>1994</v>
      </c>
      <c r="G407" s="26" t="s">
        <v>293</v>
      </c>
      <c r="H407" s="26" t="s">
        <v>1693</v>
      </c>
      <c r="I407" s="26" t="s">
        <v>184</v>
      </c>
      <c r="J407" s="26" t="s">
        <v>696</v>
      </c>
      <c r="K407" s="26" t="s">
        <v>296</v>
      </c>
      <c r="L407" s="26" t="s">
        <v>80</v>
      </c>
      <c r="M407" s="26" t="s">
        <v>77</v>
      </c>
      <c r="N407" s="26">
        <v>98</v>
      </c>
      <c r="O407" s="26">
        <v>58</v>
      </c>
      <c r="P407" s="26">
        <v>40</v>
      </c>
      <c r="Q407" s="26">
        <v>0</v>
      </c>
      <c r="R407" s="26">
        <v>1</v>
      </c>
      <c r="S407" s="26">
        <v>3</v>
      </c>
      <c r="T407" s="26">
        <v>1</v>
      </c>
      <c r="U407" s="26">
        <v>5</v>
      </c>
      <c r="V407" s="26">
        <v>1</v>
      </c>
    </row>
    <row r="408" spans="1:22" x14ac:dyDescent="0.25">
      <c r="A408" s="26" t="s">
        <v>2400</v>
      </c>
      <c r="B408" s="26" t="s">
        <v>3618</v>
      </c>
      <c r="C408" s="26" t="s">
        <v>3619</v>
      </c>
      <c r="D408" s="26" t="s">
        <v>2408</v>
      </c>
      <c r="E408" s="26" t="s">
        <v>81</v>
      </c>
      <c r="F408" s="26" t="s">
        <v>3620</v>
      </c>
      <c r="G408" s="26" t="s">
        <v>293</v>
      </c>
      <c r="H408" s="26" t="s">
        <v>1693</v>
      </c>
      <c r="I408" s="26" t="s">
        <v>184</v>
      </c>
      <c r="J408" s="26" t="s">
        <v>696</v>
      </c>
      <c r="K408" s="26" t="s">
        <v>296</v>
      </c>
      <c r="L408" s="26" t="s">
        <v>80</v>
      </c>
      <c r="M408" s="26" t="s">
        <v>77</v>
      </c>
      <c r="N408" s="26">
        <v>84</v>
      </c>
      <c r="O408" s="26">
        <v>54</v>
      </c>
      <c r="P408" s="26">
        <v>30</v>
      </c>
      <c r="Q408" s="26">
        <v>0</v>
      </c>
      <c r="R408" s="26">
        <v>1</v>
      </c>
      <c r="S408" s="26">
        <v>4</v>
      </c>
      <c r="T408" s="26">
        <v>2</v>
      </c>
      <c r="U408" s="26">
        <v>7</v>
      </c>
      <c r="V408" s="26">
        <v>1</v>
      </c>
    </row>
    <row r="409" spans="1:22" x14ac:dyDescent="0.25">
      <c r="A409" s="26" t="s">
        <v>2400</v>
      </c>
      <c r="B409" s="26" t="s">
        <v>3621</v>
      </c>
      <c r="C409" s="26" t="s">
        <v>3622</v>
      </c>
      <c r="D409" s="26" t="s">
        <v>179</v>
      </c>
      <c r="E409" s="26" t="s">
        <v>3623</v>
      </c>
      <c r="F409" s="26" t="s">
        <v>3620</v>
      </c>
      <c r="G409" s="26" t="s">
        <v>293</v>
      </c>
      <c r="H409" s="26" t="s">
        <v>1693</v>
      </c>
      <c r="I409" s="26" t="s">
        <v>184</v>
      </c>
      <c r="J409" s="26" t="s">
        <v>696</v>
      </c>
      <c r="K409" s="26" t="s">
        <v>296</v>
      </c>
      <c r="L409" s="26" t="s">
        <v>80</v>
      </c>
      <c r="M409" s="26" t="s">
        <v>77</v>
      </c>
      <c r="N409" s="26">
        <v>153</v>
      </c>
      <c r="O409" s="26">
        <v>111</v>
      </c>
      <c r="P409" s="26">
        <v>42</v>
      </c>
      <c r="Q409" s="26">
        <v>0</v>
      </c>
      <c r="R409" s="26">
        <v>1</v>
      </c>
      <c r="S409" s="26">
        <v>4</v>
      </c>
      <c r="T409" s="26">
        <v>2</v>
      </c>
      <c r="U409" s="26">
        <v>7</v>
      </c>
      <c r="V409" s="26">
        <v>1</v>
      </c>
    </row>
    <row r="410" spans="1:22" x14ac:dyDescent="0.25">
      <c r="A410" s="26" t="s">
        <v>2400</v>
      </c>
      <c r="B410" s="26" t="s">
        <v>3624</v>
      </c>
      <c r="C410" s="26" t="s">
        <v>3625</v>
      </c>
      <c r="D410" s="26" t="s">
        <v>179</v>
      </c>
      <c r="E410" s="26" t="s">
        <v>3312</v>
      </c>
      <c r="F410" s="26" t="s">
        <v>256</v>
      </c>
      <c r="G410" s="26" t="s">
        <v>293</v>
      </c>
      <c r="H410" s="26" t="s">
        <v>687</v>
      </c>
      <c r="I410" s="26" t="s">
        <v>184</v>
      </c>
      <c r="J410" s="26" t="s">
        <v>696</v>
      </c>
      <c r="K410" s="26" t="s">
        <v>296</v>
      </c>
      <c r="L410" s="26" t="s">
        <v>80</v>
      </c>
      <c r="M410" s="26" t="s">
        <v>77</v>
      </c>
      <c r="N410" s="26">
        <v>53</v>
      </c>
      <c r="O410" s="26">
        <v>36</v>
      </c>
      <c r="P410" s="26">
        <v>17</v>
      </c>
      <c r="Q410" s="26">
        <v>0</v>
      </c>
      <c r="R410" s="26">
        <v>1</v>
      </c>
      <c r="S410" s="26">
        <v>4</v>
      </c>
      <c r="T410" s="26">
        <v>2</v>
      </c>
      <c r="U410" s="26">
        <v>7</v>
      </c>
      <c r="V410" s="26">
        <v>1</v>
      </c>
    </row>
    <row r="411" spans="1:22" x14ac:dyDescent="0.25">
      <c r="A411" s="26" t="s">
        <v>2400</v>
      </c>
      <c r="B411" s="26" t="s">
        <v>3626</v>
      </c>
      <c r="C411" s="26" t="s">
        <v>3627</v>
      </c>
      <c r="D411" s="26" t="s">
        <v>179</v>
      </c>
      <c r="E411" s="26" t="s">
        <v>3628</v>
      </c>
      <c r="F411" s="26" t="s">
        <v>3284</v>
      </c>
      <c r="G411" s="26" t="s">
        <v>293</v>
      </c>
      <c r="H411" s="26" t="s">
        <v>687</v>
      </c>
      <c r="I411" s="26" t="s">
        <v>184</v>
      </c>
      <c r="J411" s="26" t="s">
        <v>696</v>
      </c>
      <c r="K411" s="26" t="s">
        <v>296</v>
      </c>
      <c r="L411" s="26" t="s">
        <v>80</v>
      </c>
      <c r="M411" s="26" t="s">
        <v>77</v>
      </c>
      <c r="N411" s="26">
        <v>42</v>
      </c>
      <c r="O411" s="26">
        <v>28</v>
      </c>
      <c r="P411" s="26">
        <v>14</v>
      </c>
      <c r="Q411" s="26">
        <v>0</v>
      </c>
      <c r="R411" s="26">
        <v>1</v>
      </c>
      <c r="S411" s="26">
        <v>4</v>
      </c>
      <c r="T411" s="26">
        <v>4</v>
      </c>
      <c r="U411" s="26">
        <v>9</v>
      </c>
      <c r="V411" s="26">
        <v>1</v>
      </c>
    </row>
    <row r="412" spans="1:22" x14ac:dyDescent="0.25">
      <c r="A412" s="26" t="s">
        <v>2400</v>
      </c>
      <c r="B412" s="26" t="s">
        <v>3629</v>
      </c>
      <c r="C412" s="26" t="s">
        <v>3630</v>
      </c>
      <c r="D412" s="26" t="s">
        <v>179</v>
      </c>
      <c r="E412" s="26" t="s">
        <v>3631</v>
      </c>
      <c r="F412" s="26" t="s">
        <v>695</v>
      </c>
      <c r="G412" s="26" t="s">
        <v>293</v>
      </c>
      <c r="H412" s="26" t="s">
        <v>1693</v>
      </c>
      <c r="I412" s="26" t="s">
        <v>184</v>
      </c>
      <c r="J412" s="26" t="s">
        <v>696</v>
      </c>
      <c r="K412" s="26" t="s">
        <v>296</v>
      </c>
      <c r="L412" s="26" t="s">
        <v>80</v>
      </c>
      <c r="M412" s="26" t="s">
        <v>77</v>
      </c>
      <c r="N412" s="26">
        <v>265</v>
      </c>
      <c r="O412" s="26">
        <v>153</v>
      </c>
      <c r="P412" s="26">
        <v>112</v>
      </c>
      <c r="Q412" s="26">
        <v>0</v>
      </c>
      <c r="R412" s="26">
        <v>1</v>
      </c>
      <c r="S412" s="26">
        <v>5</v>
      </c>
      <c r="T412" s="26">
        <v>3</v>
      </c>
      <c r="U412" s="26">
        <v>9</v>
      </c>
      <c r="V412" s="26">
        <v>1</v>
      </c>
    </row>
    <row r="413" spans="1:22" x14ac:dyDescent="0.25">
      <c r="A413" s="26" t="s">
        <v>2400</v>
      </c>
      <c r="B413" s="26" t="s">
        <v>3632</v>
      </c>
      <c r="C413" s="26" t="s">
        <v>3633</v>
      </c>
      <c r="D413" s="26" t="s">
        <v>179</v>
      </c>
      <c r="E413" s="26" t="s">
        <v>4108</v>
      </c>
      <c r="F413" s="26" t="s">
        <v>3604</v>
      </c>
      <c r="G413" s="26" t="s">
        <v>293</v>
      </c>
      <c r="H413" s="26" t="s">
        <v>677</v>
      </c>
      <c r="I413" s="26" t="s">
        <v>184</v>
      </c>
      <c r="J413" s="26" t="s">
        <v>696</v>
      </c>
      <c r="K413" s="26" t="s">
        <v>296</v>
      </c>
      <c r="L413" s="26" t="s">
        <v>80</v>
      </c>
      <c r="M413" s="26" t="s">
        <v>77</v>
      </c>
      <c r="N413" s="26">
        <v>14</v>
      </c>
      <c r="O413" s="26">
        <v>11</v>
      </c>
      <c r="P413" s="26">
        <v>3</v>
      </c>
      <c r="Q413" s="26">
        <v>0</v>
      </c>
      <c r="R413" s="26">
        <v>1</v>
      </c>
      <c r="S413" s="26">
        <v>4</v>
      </c>
      <c r="T413" s="26">
        <v>2</v>
      </c>
      <c r="U413" s="26">
        <v>7</v>
      </c>
      <c r="V413" s="26">
        <v>1</v>
      </c>
    </row>
    <row r="414" spans="1:22" x14ac:dyDescent="0.25">
      <c r="A414" s="26" t="s">
        <v>2400</v>
      </c>
      <c r="B414" s="26" t="s">
        <v>3634</v>
      </c>
      <c r="C414" s="26" t="s">
        <v>3635</v>
      </c>
      <c r="D414" s="26" t="s">
        <v>2408</v>
      </c>
      <c r="E414" s="26" t="s">
        <v>82</v>
      </c>
      <c r="F414" s="26" t="s">
        <v>3636</v>
      </c>
      <c r="G414" s="26" t="s">
        <v>293</v>
      </c>
      <c r="H414" s="26" t="s">
        <v>677</v>
      </c>
      <c r="I414" s="26" t="s">
        <v>184</v>
      </c>
      <c r="J414" s="26" t="s">
        <v>696</v>
      </c>
      <c r="K414" s="26" t="s">
        <v>296</v>
      </c>
      <c r="L414" s="26" t="s">
        <v>80</v>
      </c>
      <c r="M414" s="26" t="s">
        <v>77</v>
      </c>
      <c r="N414" s="26">
        <v>30</v>
      </c>
      <c r="O414" s="26">
        <v>15</v>
      </c>
      <c r="P414" s="26">
        <v>15</v>
      </c>
      <c r="Q414" s="26">
        <v>0</v>
      </c>
      <c r="R414" s="26">
        <v>1</v>
      </c>
      <c r="S414" s="26">
        <v>5</v>
      </c>
      <c r="T414" s="26">
        <v>1</v>
      </c>
      <c r="U414" s="26">
        <v>7</v>
      </c>
      <c r="V414" s="26">
        <v>1</v>
      </c>
    </row>
    <row r="415" spans="1:22" x14ac:dyDescent="0.25">
      <c r="A415" s="26" t="s">
        <v>2400</v>
      </c>
      <c r="B415" s="26" t="s">
        <v>3637</v>
      </c>
      <c r="C415" s="26" t="s">
        <v>3638</v>
      </c>
      <c r="D415" s="26" t="s">
        <v>179</v>
      </c>
      <c r="E415" s="26" t="s">
        <v>82</v>
      </c>
      <c r="F415" s="26" t="s">
        <v>3636</v>
      </c>
      <c r="G415" s="26" t="s">
        <v>293</v>
      </c>
      <c r="H415" s="26" t="s">
        <v>677</v>
      </c>
      <c r="I415" s="26" t="s">
        <v>184</v>
      </c>
      <c r="J415" s="26" t="s">
        <v>696</v>
      </c>
      <c r="K415" s="26" t="s">
        <v>296</v>
      </c>
      <c r="L415" s="26" t="s">
        <v>80</v>
      </c>
      <c r="M415" s="26" t="s">
        <v>77</v>
      </c>
      <c r="N415" s="26">
        <v>22</v>
      </c>
      <c r="O415" s="26">
        <v>11</v>
      </c>
      <c r="P415" s="26">
        <v>11</v>
      </c>
      <c r="Q415" s="26">
        <v>0</v>
      </c>
      <c r="R415" s="26">
        <v>1</v>
      </c>
      <c r="S415" s="26">
        <v>6</v>
      </c>
      <c r="T415" s="26">
        <v>3</v>
      </c>
      <c r="U415" s="26">
        <v>10</v>
      </c>
      <c r="V415" s="26">
        <v>1</v>
      </c>
    </row>
    <row r="416" spans="1:22" x14ac:dyDescent="0.25">
      <c r="A416" s="26" t="s">
        <v>2400</v>
      </c>
      <c r="B416" s="26" t="s">
        <v>3639</v>
      </c>
      <c r="C416" s="26" t="s">
        <v>3640</v>
      </c>
      <c r="D416" s="26" t="s">
        <v>179</v>
      </c>
      <c r="E416" s="26" t="s">
        <v>3641</v>
      </c>
      <c r="F416" s="26" t="s">
        <v>3305</v>
      </c>
      <c r="G416" s="26" t="s">
        <v>293</v>
      </c>
      <c r="H416" s="26" t="s">
        <v>351</v>
      </c>
      <c r="I416" s="26" t="s">
        <v>184</v>
      </c>
      <c r="J416" s="26" t="s">
        <v>1145</v>
      </c>
      <c r="K416" s="26" t="s">
        <v>296</v>
      </c>
      <c r="L416" s="26" t="s">
        <v>80</v>
      </c>
      <c r="M416" s="26" t="s">
        <v>77</v>
      </c>
      <c r="N416" s="26">
        <v>78</v>
      </c>
      <c r="O416" s="26">
        <v>51</v>
      </c>
      <c r="P416" s="26">
        <v>27</v>
      </c>
      <c r="Q416" s="26">
        <v>0</v>
      </c>
      <c r="R416" s="26">
        <v>1</v>
      </c>
      <c r="S416" s="26">
        <v>5</v>
      </c>
      <c r="T416" s="26">
        <v>4</v>
      </c>
      <c r="U416" s="26">
        <v>10</v>
      </c>
      <c r="V416" s="26">
        <v>1</v>
      </c>
    </row>
    <row r="417" spans="1:22" x14ac:dyDescent="0.25">
      <c r="A417" s="26" t="s">
        <v>2400</v>
      </c>
      <c r="B417" s="26" t="s">
        <v>3642</v>
      </c>
      <c r="C417" s="26" t="s">
        <v>3643</v>
      </c>
      <c r="D417" s="26" t="s">
        <v>2408</v>
      </c>
      <c r="E417" s="26" t="s">
        <v>3644</v>
      </c>
      <c r="F417" s="26" t="s">
        <v>686</v>
      </c>
      <c r="G417" s="26" t="s">
        <v>293</v>
      </c>
      <c r="H417" s="26" t="s">
        <v>351</v>
      </c>
      <c r="I417" s="26" t="s">
        <v>184</v>
      </c>
      <c r="J417" s="26" t="s">
        <v>1145</v>
      </c>
      <c r="K417" s="26" t="s">
        <v>296</v>
      </c>
      <c r="L417" s="26" t="s">
        <v>80</v>
      </c>
      <c r="M417" s="26" t="s">
        <v>77</v>
      </c>
      <c r="N417" s="26">
        <v>34</v>
      </c>
      <c r="O417" s="26">
        <v>24</v>
      </c>
      <c r="P417" s="26">
        <v>10</v>
      </c>
      <c r="Q417" s="26">
        <v>0</v>
      </c>
      <c r="R417" s="26">
        <v>1</v>
      </c>
      <c r="S417" s="26">
        <v>3</v>
      </c>
      <c r="T417" s="26">
        <v>1</v>
      </c>
      <c r="U417" s="26">
        <v>5</v>
      </c>
      <c r="V417" s="26">
        <v>1</v>
      </c>
    </row>
    <row r="418" spans="1:22" x14ac:dyDescent="0.25">
      <c r="A418" s="26" t="s">
        <v>2400</v>
      </c>
      <c r="B418" s="26" t="s">
        <v>3645</v>
      </c>
      <c r="C418" s="26" t="s">
        <v>3646</v>
      </c>
      <c r="D418" s="26" t="s">
        <v>179</v>
      </c>
      <c r="E418" s="26" t="s">
        <v>3647</v>
      </c>
      <c r="F418" s="26" t="s">
        <v>3648</v>
      </c>
      <c r="G418" s="26" t="s">
        <v>293</v>
      </c>
      <c r="H418" s="26" t="s">
        <v>301</v>
      </c>
      <c r="I418" s="26" t="s">
        <v>184</v>
      </c>
      <c r="J418" s="26" t="s">
        <v>295</v>
      </c>
      <c r="K418" s="26" t="s">
        <v>296</v>
      </c>
      <c r="L418" s="26" t="s">
        <v>80</v>
      </c>
      <c r="M418" s="26" t="s">
        <v>77</v>
      </c>
      <c r="N418" s="26">
        <v>107</v>
      </c>
      <c r="O418" s="26">
        <v>61</v>
      </c>
      <c r="P418" s="26">
        <v>46</v>
      </c>
      <c r="Q418" s="26">
        <v>0</v>
      </c>
      <c r="R418" s="26">
        <v>1</v>
      </c>
      <c r="S418" s="26">
        <v>6</v>
      </c>
      <c r="T418" s="26">
        <v>4</v>
      </c>
      <c r="U418" s="26">
        <v>11</v>
      </c>
      <c r="V418" s="26">
        <v>1</v>
      </c>
    </row>
    <row r="419" spans="1:22" x14ac:dyDescent="0.25">
      <c r="A419" s="26" t="s">
        <v>2400</v>
      </c>
      <c r="B419" s="26" t="s">
        <v>3649</v>
      </c>
      <c r="C419" s="26" t="s">
        <v>3650</v>
      </c>
      <c r="D419" s="26" t="s">
        <v>179</v>
      </c>
      <c r="E419" s="26" t="s">
        <v>3651</v>
      </c>
      <c r="F419" s="26" t="s">
        <v>3652</v>
      </c>
      <c r="G419" s="26" t="s">
        <v>293</v>
      </c>
      <c r="H419" s="26" t="s">
        <v>294</v>
      </c>
      <c r="I419" s="26" t="s">
        <v>184</v>
      </c>
      <c r="J419" s="26" t="s">
        <v>295</v>
      </c>
      <c r="K419" s="26" t="s">
        <v>296</v>
      </c>
      <c r="L419" s="26" t="s">
        <v>80</v>
      </c>
      <c r="M419" s="26" t="s">
        <v>77</v>
      </c>
      <c r="N419" s="26">
        <v>333</v>
      </c>
      <c r="O419" s="26">
        <v>197</v>
      </c>
      <c r="P419" s="26">
        <v>136</v>
      </c>
      <c r="Q419" s="26">
        <v>0</v>
      </c>
      <c r="R419" s="26">
        <v>1</v>
      </c>
      <c r="S419" s="26">
        <v>6</v>
      </c>
      <c r="T419" s="26">
        <v>2</v>
      </c>
      <c r="U419" s="26">
        <v>9</v>
      </c>
      <c r="V419" s="26">
        <v>1</v>
      </c>
    </row>
    <row r="420" spans="1:22" x14ac:dyDescent="0.25">
      <c r="A420" s="26" t="s">
        <v>2400</v>
      </c>
      <c r="B420" s="26" t="s">
        <v>3653</v>
      </c>
      <c r="C420" s="26" t="s">
        <v>3654</v>
      </c>
      <c r="D420" s="26" t="s">
        <v>2408</v>
      </c>
      <c r="E420" s="26" t="s">
        <v>3655</v>
      </c>
      <c r="F420" s="26" t="s">
        <v>3284</v>
      </c>
      <c r="G420" s="26" t="s">
        <v>293</v>
      </c>
      <c r="H420" s="26" t="s">
        <v>687</v>
      </c>
      <c r="I420" s="26" t="s">
        <v>184</v>
      </c>
      <c r="J420" s="26" t="s">
        <v>1145</v>
      </c>
      <c r="K420" s="26" t="s">
        <v>296</v>
      </c>
      <c r="L420" s="26" t="s">
        <v>80</v>
      </c>
      <c r="M420" s="26" t="s">
        <v>77</v>
      </c>
      <c r="N420" s="26">
        <v>60</v>
      </c>
      <c r="O420" s="26">
        <v>47</v>
      </c>
      <c r="P420" s="26">
        <v>13</v>
      </c>
      <c r="Q420" s="26">
        <v>0</v>
      </c>
      <c r="R420" s="26">
        <v>1</v>
      </c>
      <c r="S420" s="26">
        <v>4</v>
      </c>
      <c r="T420" s="26">
        <v>2</v>
      </c>
      <c r="U420" s="26">
        <v>7</v>
      </c>
      <c r="V420" s="26">
        <v>1</v>
      </c>
    </row>
    <row r="421" spans="1:22" x14ac:dyDescent="0.25">
      <c r="A421" s="26" t="s">
        <v>2400</v>
      </c>
      <c r="B421" s="26" t="s">
        <v>3656</v>
      </c>
      <c r="C421" s="26" t="s">
        <v>3657</v>
      </c>
      <c r="D421" s="26" t="s">
        <v>179</v>
      </c>
      <c r="E421" s="26" t="s">
        <v>83</v>
      </c>
      <c r="F421" s="26" t="s">
        <v>1267</v>
      </c>
      <c r="G421" s="26" t="s">
        <v>293</v>
      </c>
      <c r="H421" s="26" t="s">
        <v>926</v>
      </c>
      <c r="I421" s="26" t="s">
        <v>184</v>
      </c>
      <c r="J421" s="26" t="s">
        <v>1145</v>
      </c>
      <c r="K421" s="26" t="s">
        <v>296</v>
      </c>
      <c r="L421" s="26" t="s">
        <v>80</v>
      </c>
      <c r="M421" s="26" t="s">
        <v>77</v>
      </c>
      <c r="N421" s="26">
        <v>32</v>
      </c>
      <c r="O421" s="26">
        <v>22</v>
      </c>
      <c r="P421" s="26">
        <v>10</v>
      </c>
      <c r="Q421" s="26">
        <v>0</v>
      </c>
      <c r="R421" s="26">
        <v>1</v>
      </c>
      <c r="S421" s="26">
        <v>4</v>
      </c>
      <c r="T421" s="26">
        <v>3</v>
      </c>
      <c r="U421" s="26">
        <v>8</v>
      </c>
      <c r="V421" s="26">
        <v>1</v>
      </c>
    </row>
    <row r="422" spans="1:22" x14ac:dyDescent="0.25">
      <c r="A422" s="26" t="s">
        <v>2400</v>
      </c>
      <c r="B422" s="26" t="s">
        <v>3658</v>
      </c>
      <c r="C422" s="26" t="s">
        <v>3659</v>
      </c>
      <c r="D422" s="26" t="s">
        <v>179</v>
      </c>
      <c r="E422" s="26" t="s">
        <v>3660</v>
      </c>
      <c r="F422" s="26" t="s">
        <v>3309</v>
      </c>
      <c r="G422" s="26" t="s">
        <v>293</v>
      </c>
      <c r="H422" s="26" t="s">
        <v>926</v>
      </c>
      <c r="I422" s="26" t="s">
        <v>184</v>
      </c>
      <c r="J422" s="26" t="s">
        <v>1145</v>
      </c>
      <c r="K422" s="26" t="s">
        <v>296</v>
      </c>
      <c r="L422" s="26" t="s">
        <v>80</v>
      </c>
      <c r="M422" s="26" t="s">
        <v>77</v>
      </c>
      <c r="N422" s="26">
        <v>36</v>
      </c>
      <c r="O422" s="26">
        <v>25</v>
      </c>
      <c r="P422" s="26">
        <v>11</v>
      </c>
      <c r="Q422" s="26">
        <v>0</v>
      </c>
      <c r="R422" s="26">
        <v>1</v>
      </c>
      <c r="S422" s="26">
        <v>5</v>
      </c>
      <c r="T422" s="26">
        <v>4</v>
      </c>
      <c r="U422" s="26">
        <v>10</v>
      </c>
      <c r="V422" s="26">
        <v>1</v>
      </c>
    </row>
    <row r="423" spans="1:22" x14ac:dyDescent="0.25">
      <c r="A423" s="26" t="s">
        <v>2400</v>
      </c>
      <c r="B423" s="26" t="s">
        <v>3661</v>
      </c>
      <c r="C423" s="26" t="s">
        <v>3662</v>
      </c>
      <c r="D423" s="26" t="s">
        <v>179</v>
      </c>
      <c r="E423" s="26" t="s">
        <v>3663</v>
      </c>
      <c r="F423" s="26" t="s">
        <v>3664</v>
      </c>
      <c r="G423" s="26" t="s">
        <v>293</v>
      </c>
      <c r="H423" s="26" t="s">
        <v>926</v>
      </c>
      <c r="I423" s="26" t="s">
        <v>184</v>
      </c>
      <c r="J423" s="26" t="s">
        <v>1145</v>
      </c>
      <c r="K423" s="26" t="s">
        <v>296</v>
      </c>
      <c r="L423" s="26" t="s">
        <v>80</v>
      </c>
      <c r="M423" s="26" t="s">
        <v>77</v>
      </c>
      <c r="N423" s="26">
        <v>62</v>
      </c>
      <c r="O423" s="26">
        <v>40</v>
      </c>
      <c r="P423" s="26">
        <v>22</v>
      </c>
      <c r="Q423" s="26">
        <v>0</v>
      </c>
      <c r="R423" s="26">
        <v>1</v>
      </c>
      <c r="S423" s="26">
        <v>5</v>
      </c>
      <c r="T423" s="26">
        <v>3</v>
      </c>
      <c r="U423" s="26">
        <v>9</v>
      </c>
      <c r="V423" s="26">
        <v>1</v>
      </c>
    </row>
    <row r="424" spans="1:22" x14ac:dyDescent="0.25">
      <c r="A424" s="26" t="s">
        <v>2400</v>
      </c>
      <c r="B424" s="26" t="s">
        <v>3665</v>
      </c>
      <c r="C424" s="26" t="s">
        <v>3666</v>
      </c>
      <c r="D424" s="26" t="s">
        <v>179</v>
      </c>
      <c r="E424" s="26" t="s">
        <v>3667</v>
      </c>
      <c r="F424" s="26" t="s">
        <v>1258</v>
      </c>
      <c r="G424" s="26" t="s">
        <v>293</v>
      </c>
      <c r="H424" s="26" t="s">
        <v>926</v>
      </c>
      <c r="I424" s="26" t="s">
        <v>184</v>
      </c>
      <c r="J424" s="26" t="s">
        <v>1145</v>
      </c>
      <c r="K424" s="26" t="s">
        <v>296</v>
      </c>
      <c r="L424" s="26" t="s">
        <v>80</v>
      </c>
      <c r="M424" s="26" t="s">
        <v>77</v>
      </c>
      <c r="N424" s="26">
        <v>33</v>
      </c>
      <c r="O424" s="26">
        <v>22</v>
      </c>
      <c r="P424" s="26">
        <v>11</v>
      </c>
      <c r="Q424" s="26">
        <v>0</v>
      </c>
      <c r="R424" s="26">
        <v>1</v>
      </c>
      <c r="S424" s="26">
        <v>4</v>
      </c>
      <c r="T424" s="26">
        <v>2</v>
      </c>
      <c r="U424" s="26">
        <v>7</v>
      </c>
      <c r="V424" s="26">
        <v>1</v>
      </c>
    </row>
    <row r="425" spans="1:22" x14ac:dyDescent="0.25">
      <c r="A425" s="26" t="s">
        <v>2400</v>
      </c>
      <c r="B425" s="26" t="s">
        <v>3668</v>
      </c>
      <c r="C425" s="26" t="s">
        <v>3669</v>
      </c>
      <c r="D425" s="26" t="s">
        <v>2408</v>
      </c>
      <c r="E425" s="26" t="s">
        <v>3660</v>
      </c>
      <c r="F425" s="26" t="s">
        <v>3309</v>
      </c>
      <c r="G425" s="26" t="s">
        <v>293</v>
      </c>
      <c r="H425" s="26" t="s">
        <v>926</v>
      </c>
      <c r="I425" s="26" t="s">
        <v>184</v>
      </c>
      <c r="J425" s="26" t="s">
        <v>1145</v>
      </c>
      <c r="K425" s="26" t="s">
        <v>296</v>
      </c>
      <c r="L425" s="26" t="s">
        <v>80</v>
      </c>
      <c r="M425" s="26" t="s">
        <v>77</v>
      </c>
      <c r="N425" s="26">
        <v>49</v>
      </c>
      <c r="O425" s="26">
        <v>21</v>
      </c>
      <c r="P425" s="26">
        <v>28</v>
      </c>
      <c r="Q425" s="26">
        <v>0</v>
      </c>
      <c r="R425" s="26">
        <v>1</v>
      </c>
      <c r="S425" s="26">
        <v>4</v>
      </c>
      <c r="T425" s="26">
        <v>2</v>
      </c>
      <c r="U425" s="26">
        <v>7</v>
      </c>
      <c r="V425" s="26">
        <v>1</v>
      </c>
    </row>
    <row r="426" spans="1:22" x14ac:dyDescent="0.25">
      <c r="A426" s="26" t="s">
        <v>2400</v>
      </c>
      <c r="B426" s="26" t="s">
        <v>3670</v>
      </c>
      <c r="C426" s="26" t="s">
        <v>3671</v>
      </c>
      <c r="D426" s="26" t="s">
        <v>2408</v>
      </c>
      <c r="E426" s="26" t="s">
        <v>3672</v>
      </c>
      <c r="F426" s="26" t="s">
        <v>945</v>
      </c>
      <c r="G426" s="26" t="s">
        <v>293</v>
      </c>
      <c r="H426" s="26" t="s">
        <v>926</v>
      </c>
      <c r="I426" s="26" t="s">
        <v>184</v>
      </c>
      <c r="J426" s="26" t="s">
        <v>1145</v>
      </c>
      <c r="K426" s="26" t="s">
        <v>296</v>
      </c>
      <c r="L426" s="26" t="s">
        <v>80</v>
      </c>
      <c r="M426" s="26" t="s">
        <v>77</v>
      </c>
      <c r="N426" s="26">
        <v>64</v>
      </c>
      <c r="O426" s="26">
        <v>41</v>
      </c>
      <c r="P426" s="26">
        <v>23</v>
      </c>
      <c r="Q426" s="26">
        <v>0</v>
      </c>
      <c r="R426" s="26">
        <v>1</v>
      </c>
      <c r="S426" s="26">
        <v>5</v>
      </c>
      <c r="T426" s="26">
        <v>4</v>
      </c>
      <c r="U426" s="26">
        <v>10</v>
      </c>
      <c r="V426" s="26">
        <v>1</v>
      </c>
    </row>
    <row r="427" spans="1:22" x14ac:dyDescent="0.25">
      <c r="A427" s="26" t="s">
        <v>2400</v>
      </c>
      <c r="B427" s="26" t="s">
        <v>3673</v>
      </c>
      <c r="C427" s="26" t="s">
        <v>3674</v>
      </c>
      <c r="D427" s="26" t="s">
        <v>2408</v>
      </c>
      <c r="E427" s="26" t="s">
        <v>3675</v>
      </c>
      <c r="F427" s="26" t="s">
        <v>1267</v>
      </c>
      <c r="G427" s="26" t="s">
        <v>293</v>
      </c>
      <c r="H427" s="26" t="s">
        <v>926</v>
      </c>
      <c r="I427" s="26" t="s">
        <v>184</v>
      </c>
      <c r="J427" s="26" t="s">
        <v>1145</v>
      </c>
      <c r="K427" s="26" t="s">
        <v>296</v>
      </c>
      <c r="L427" s="26" t="s">
        <v>80</v>
      </c>
      <c r="M427" s="26" t="s">
        <v>77</v>
      </c>
      <c r="N427" s="26">
        <v>35</v>
      </c>
      <c r="O427" s="26">
        <v>23</v>
      </c>
      <c r="P427" s="26">
        <v>12</v>
      </c>
      <c r="Q427" s="26">
        <v>0</v>
      </c>
      <c r="R427" s="26">
        <v>1</v>
      </c>
      <c r="S427" s="26">
        <v>2</v>
      </c>
      <c r="T427" s="26">
        <v>3</v>
      </c>
      <c r="U427" s="26">
        <v>6</v>
      </c>
      <c r="V427" s="26">
        <v>1</v>
      </c>
    </row>
    <row r="428" spans="1:22" x14ac:dyDescent="0.25">
      <c r="A428" s="26" t="s">
        <v>2400</v>
      </c>
      <c r="B428" s="26" t="s">
        <v>3676</v>
      </c>
      <c r="C428" s="26" t="s">
        <v>3677</v>
      </c>
      <c r="D428" s="26" t="s">
        <v>2408</v>
      </c>
      <c r="E428" s="26" t="s">
        <v>3678</v>
      </c>
      <c r="F428" s="26" t="s">
        <v>3679</v>
      </c>
      <c r="G428" s="26" t="s">
        <v>293</v>
      </c>
      <c r="H428" s="26" t="s">
        <v>926</v>
      </c>
      <c r="I428" s="26" t="s">
        <v>184</v>
      </c>
      <c r="J428" s="26" t="s">
        <v>1145</v>
      </c>
      <c r="K428" s="26" t="s">
        <v>296</v>
      </c>
      <c r="L428" s="26" t="s">
        <v>80</v>
      </c>
      <c r="M428" s="26" t="s">
        <v>77</v>
      </c>
      <c r="N428" s="26">
        <v>52</v>
      </c>
      <c r="O428" s="26">
        <v>32</v>
      </c>
      <c r="P428" s="26">
        <v>20</v>
      </c>
      <c r="Q428" s="26">
        <v>0</v>
      </c>
      <c r="R428" s="26">
        <v>1</v>
      </c>
      <c r="S428" s="26">
        <v>3</v>
      </c>
      <c r="T428" s="26">
        <v>3</v>
      </c>
      <c r="U428" s="26">
        <v>7</v>
      </c>
      <c r="V428" s="26">
        <v>1</v>
      </c>
    </row>
    <row r="429" spans="1:22" x14ac:dyDescent="0.25">
      <c r="A429" s="26" t="s">
        <v>2400</v>
      </c>
      <c r="B429" s="26" t="s">
        <v>3680</v>
      </c>
      <c r="C429" s="26" t="s">
        <v>3681</v>
      </c>
      <c r="D429" s="26" t="s">
        <v>2408</v>
      </c>
      <c r="E429" s="26" t="s">
        <v>3667</v>
      </c>
      <c r="F429" s="26" t="s">
        <v>1258</v>
      </c>
      <c r="G429" s="26" t="s">
        <v>293</v>
      </c>
      <c r="H429" s="26" t="s">
        <v>926</v>
      </c>
      <c r="I429" s="26" t="s">
        <v>184</v>
      </c>
      <c r="J429" s="26" t="s">
        <v>1145</v>
      </c>
      <c r="K429" s="26" t="s">
        <v>296</v>
      </c>
      <c r="L429" s="26" t="s">
        <v>80</v>
      </c>
      <c r="M429" s="26" t="s">
        <v>77</v>
      </c>
      <c r="N429" s="26">
        <v>100</v>
      </c>
      <c r="O429" s="26">
        <v>56</v>
      </c>
      <c r="P429" s="26">
        <v>44</v>
      </c>
      <c r="Q429" s="26">
        <v>0</v>
      </c>
      <c r="R429" s="26">
        <v>1</v>
      </c>
      <c r="S429" s="26">
        <v>5</v>
      </c>
      <c r="T429" s="26">
        <v>3</v>
      </c>
      <c r="U429" s="26">
        <v>9</v>
      </c>
      <c r="V429" s="26">
        <v>1</v>
      </c>
    </row>
    <row r="430" spans="1:22" x14ac:dyDescent="0.25">
      <c r="A430" s="26" t="s">
        <v>2400</v>
      </c>
      <c r="B430" s="26" t="s">
        <v>3682</v>
      </c>
      <c r="C430" s="26" t="s">
        <v>3683</v>
      </c>
      <c r="D430" s="26" t="s">
        <v>179</v>
      </c>
      <c r="E430" s="26" t="s">
        <v>3684</v>
      </c>
      <c r="F430" s="26" t="s">
        <v>686</v>
      </c>
      <c r="G430" s="26" t="s">
        <v>293</v>
      </c>
      <c r="H430" s="26" t="s">
        <v>351</v>
      </c>
      <c r="I430" s="26" t="s">
        <v>184</v>
      </c>
      <c r="J430" s="26" t="s">
        <v>1145</v>
      </c>
      <c r="K430" s="26" t="s">
        <v>296</v>
      </c>
      <c r="L430" s="26" t="s">
        <v>80</v>
      </c>
      <c r="M430" s="26" t="s">
        <v>77</v>
      </c>
      <c r="N430" s="26">
        <v>57</v>
      </c>
      <c r="O430" s="26">
        <v>36</v>
      </c>
      <c r="P430" s="26">
        <v>21</v>
      </c>
      <c r="Q430" s="26">
        <v>0</v>
      </c>
      <c r="R430" s="26">
        <v>1</v>
      </c>
      <c r="S430" s="26">
        <v>5</v>
      </c>
      <c r="T430" s="26">
        <v>1</v>
      </c>
      <c r="U430" s="26">
        <v>7</v>
      </c>
      <c r="V430" s="26">
        <v>1</v>
      </c>
    </row>
    <row r="431" spans="1:22" x14ac:dyDescent="0.25">
      <c r="A431" s="26" t="s">
        <v>2400</v>
      </c>
      <c r="B431" s="26" t="s">
        <v>3685</v>
      </c>
      <c r="C431" s="26" t="s">
        <v>3686</v>
      </c>
      <c r="D431" s="26" t="s">
        <v>2408</v>
      </c>
      <c r="E431" s="26" t="s">
        <v>3687</v>
      </c>
      <c r="F431" s="26" t="s">
        <v>1144</v>
      </c>
      <c r="G431" s="26" t="s">
        <v>293</v>
      </c>
      <c r="H431" s="26" t="s">
        <v>351</v>
      </c>
      <c r="I431" s="26" t="s">
        <v>184</v>
      </c>
      <c r="J431" s="26" t="s">
        <v>1145</v>
      </c>
      <c r="K431" s="26" t="s">
        <v>296</v>
      </c>
      <c r="L431" s="26" t="s">
        <v>80</v>
      </c>
      <c r="M431" s="26" t="s">
        <v>77</v>
      </c>
      <c r="N431" s="26">
        <v>56</v>
      </c>
      <c r="O431" s="26">
        <v>43</v>
      </c>
      <c r="P431" s="26">
        <v>13</v>
      </c>
      <c r="Q431" s="26">
        <v>0</v>
      </c>
      <c r="R431" s="26">
        <v>1</v>
      </c>
      <c r="S431" s="26">
        <v>5</v>
      </c>
      <c r="T431" s="26">
        <v>4</v>
      </c>
      <c r="U431" s="26">
        <v>10</v>
      </c>
      <c r="V431" s="26">
        <v>1</v>
      </c>
    </row>
    <row r="432" spans="1:22" x14ac:dyDescent="0.25">
      <c r="A432" s="26" t="s">
        <v>2400</v>
      </c>
      <c r="B432" s="26" t="s">
        <v>3688</v>
      </c>
      <c r="C432" s="26" t="s">
        <v>3689</v>
      </c>
      <c r="D432" s="26" t="s">
        <v>179</v>
      </c>
      <c r="E432" s="26" t="s">
        <v>3268</v>
      </c>
      <c r="F432" s="26" t="s">
        <v>3269</v>
      </c>
      <c r="G432" s="26" t="s">
        <v>293</v>
      </c>
      <c r="H432" s="26" t="s">
        <v>643</v>
      </c>
      <c r="I432" s="26" t="s">
        <v>184</v>
      </c>
      <c r="J432" s="26" t="s">
        <v>1145</v>
      </c>
      <c r="K432" s="26" t="s">
        <v>296</v>
      </c>
      <c r="L432" s="26" t="s">
        <v>80</v>
      </c>
      <c r="M432" s="26" t="s">
        <v>77</v>
      </c>
      <c r="N432" s="26">
        <v>23</v>
      </c>
      <c r="O432" s="26">
        <v>13</v>
      </c>
      <c r="P432" s="26">
        <v>10</v>
      </c>
      <c r="Q432" s="26">
        <v>0</v>
      </c>
      <c r="R432" s="26">
        <v>1</v>
      </c>
      <c r="S432" s="26">
        <v>2</v>
      </c>
      <c r="T432" s="26">
        <v>1</v>
      </c>
      <c r="U432" s="26">
        <v>4</v>
      </c>
      <c r="V432" s="26">
        <v>1</v>
      </c>
    </row>
    <row r="433" spans="1:22" x14ac:dyDescent="0.25">
      <c r="A433" s="26" t="s">
        <v>2400</v>
      </c>
      <c r="B433" s="26" t="s">
        <v>3690</v>
      </c>
      <c r="C433" s="26" t="s">
        <v>3691</v>
      </c>
      <c r="D433" s="26" t="s">
        <v>179</v>
      </c>
      <c r="E433" s="26" t="s">
        <v>3672</v>
      </c>
      <c r="F433" s="26" t="s">
        <v>945</v>
      </c>
      <c r="G433" s="26" t="s">
        <v>293</v>
      </c>
      <c r="H433" s="26" t="s">
        <v>926</v>
      </c>
      <c r="I433" s="26" t="s">
        <v>184</v>
      </c>
      <c r="J433" s="26" t="s">
        <v>1145</v>
      </c>
      <c r="K433" s="26" t="s">
        <v>296</v>
      </c>
      <c r="L433" s="26" t="s">
        <v>80</v>
      </c>
      <c r="M433" s="26" t="s">
        <v>77</v>
      </c>
      <c r="N433" s="26">
        <v>47</v>
      </c>
      <c r="O433" s="26">
        <v>36</v>
      </c>
      <c r="P433" s="26">
        <v>11</v>
      </c>
      <c r="Q433" s="26">
        <v>0</v>
      </c>
      <c r="R433" s="26">
        <v>1</v>
      </c>
      <c r="S433" s="26">
        <v>3</v>
      </c>
      <c r="T433" s="26">
        <v>3</v>
      </c>
      <c r="U433" s="26">
        <v>7</v>
      </c>
      <c r="V433" s="26">
        <v>1</v>
      </c>
    </row>
    <row r="434" spans="1:22" x14ac:dyDescent="0.25">
      <c r="A434" s="26" t="s">
        <v>2400</v>
      </c>
      <c r="B434" s="26" t="s">
        <v>3692</v>
      </c>
      <c r="C434" s="26" t="s">
        <v>3693</v>
      </c>
      <c r="D434" s="26" t="s">
        <v>179</v>
      </c>
      <c r="E434" s="26" t="s">
        <v>3694</v>
      </c>
      <c r="F434" s="26" t="s">
        <v>3695</v>
      </c>
      <c r="G434" s="26" t="s">
        <v>204</v>
      </c>
      <c r="H434" s="26" t="s">
        <v>1693</v>
      </c>
      <c r="I434" s="26" t="s">
        <v>184</v>
      </c>
      <c r="J434" s="26" t="s">
        <v>2411</v>
      </c>
      <c r="K434" s="26" t="s">
        <v>2405</v>
      </c>
      <c r="L434" s="26" t="s">
        <v>79</v>
      </c>
      <c r="M434" s="26" t="s">
        <v>77</v>
      </c>
      <c r="N434" s="26">
        <v>59</v>
      </c>
      <c r="O434" s="26">
        <v>30</v>
      </c>
      <c r="P434" s="26">
        <v>29</v>
      </c>
      <c r="Q434" s="26">
        <v>0</v>
      </c>
      <c r="R434" s="26">
        <v>1</v>
      </c>
      <c r="S434" s="26">
        <v>9</v>
      </c>
      <c r="T434" s="26">
        <v>4</v>
      </c>
      <c r="U434" s="26">
        <v>14</v>
      </c>
      <c r="V434" s="26">
        <v>1</v>
      </c>
    </row>
    <row r="435" spans="1:22" x14ac:dyDescent="0.25">
      <c r="A435" s="26" t="s">
        <v>2400</v>
      </c>
      <c r="B435" s="26" t="s">
        <v>3696</v>
      </c>
      <c r="C435" s="26" t="s">
        <v>3697</v>
      </c>
      <c r="D435" s="26" t="s">
        <v>179</v>
      </c>
      <c r="E435" s="26" t="s">
        <v>3698</v>
      </c>
      <c r="F435" s="26" t="s">
        <v>731</v>
      </c>
      <c r="G435" s="26" t="s">
        <v>198</v>
      </c>
      <c r="H435" s="26" t="s">
        <v>594</v>
      </c>
      <c r="I435" s="26" t="s">
        <v>184</v>
      </c>
      <c r="J435" s="26" t="s">
        <v>2411</v>
      </c>
      <c r="K435" s="26" t="s">
        <v>2405</v>
      </c>
      <c r="L435" s="26" t="s">
        <v>79</v>
      </c>
      <c r="M435" s="26" t="s">
        <v>77</v>
      </c>
      <c r="N435" s="26">
        <v>64</v>
      </c>
      <c r="O435" s="26">
        <v>48</v>
      </c>
      <c r="P435" s="26">
        <v>16</v>
      </c>
      <c r="Q435" s="26">
        <v>0</v>
      </c>
      <c r="R435" s="26">
        <v>1</v>
      </c>
      <c r="S435" s="26">
        <v>6</v>
      </c>
      <c r="T435" s="26">
        <v>3</v>
      </c>
      <c r="U435" s="26">
        <v>10</v>
      </c>
      <c r="V435" s="26">
        <v>1</v>
      </c>
    </row>
    <row r="436" spans="1:22" x14ac:dyDescent="0.25">
      <c r="A436" s="26" t="s">
        <v>2400</v>
      </c>
      <c r="B436" s="26" t="s">
        <v>3699</v>
      </c>
      <c r="C436" s="26" t="s">
        <v>3700</v>
      </c>
      <c r="D436" s="26" t="s">
        <v>179</v>
      </c>
      <c r="E436" s="26" t="s">
        <v>3701</v>
      </c>
      <c r="F436" s="26" t="s">
        <v>982</v>
      </c>
      <c r="G436" s="26" t="s">
        <v>4126</v>
      </c>
      <c r="H436" s="26" t="s">
        <v>205</v>
      </c>
      <c r="I436" s="26" t="s">
        <v>184</v>
      </c>
      <c r="J436" s="26" t="s">
        <v>3702</v>
      </c>
      <c r="K436" s="26" t="s">
        <v>2405</v>
      </c>
      <c r="L436" s="26" t="s">
        <v>79</v>
      </c>
      <c r="M436" s="26" t="s">
        <v>77</v>
      </c>
      <c r="N436" s="26">
        <v>34</v>
      </c>
      <c r="O436" s="26">
        <v>20</v>
      </c>
      <c r="P436" s="26">
        <v>14</v>
      </c>
      <c r="Q436" s="26">
        <v>0</v>
      </c>
      <c r="R436" s="26">
        <v>1</v>
      </c>
      <c r="S436" s="26">
        <v>5</v>
      </c>
      <c r="T436" s="26">
        <v>2</v>
      </c>
      <c r="U436" s="26">
        <v>8</v>
      </c>
      <c r="V436" s="26">
        <v>1</v>
      </c>
    </row>
    <row r="437" spans="1:22" x14ac:dyDescent="0.25">
      <c r="A437" s="26" t="s">
        <v>2400</v>
      </c>
      <c r="B437" s="26" t="s">
        <v>3703</v>
      </c>
      <c r="C437" s="26" t="s">
        <v>3704</v>
      </c>
      <c r="D437" s="26" t="s">
        <v>179</v>
      </c>
      <c r="E437" s="26" t="s">
        <v>3705</v>
      </c>
      <c r="F437" s="26" t="s">
        <v>2669</v>
      </c>
      <c r="G437" s="26" t="s">
        <v>651</v>
      </c>
      <c r="H437" s="26" t="s">
        <v>1693</v>
      </c>
      <c r="I437" s="26" t="s">
        <v>184</v>
      </c>
      <c r="J437" s="26" t="s">
        <v>3177</v>
      </c>
      <c r="K437" s="26" t="s">
        <v>2405</v>
      </c>
      <c r="L437" s="26" t="s">
        <v>79</v>
      </c>
      <c r="M437" s="26" t="s">
        <v>77</v>
      </c>
      <c r="N437" s="26">
        <v>18</v>
      </c>
      <c r="O437" s="26">
        <v>10</v>
      </c>
      <c r="P437" s="26">
        <v>8</v>
      </c>
      <c r="Q437" s="26">
        <v>0</v>
      </c>
      <c r="R437" s="26">
        <v>1</v>
      </c>
      <c r="S437" s="26">
        <v>3</v>
      </c>
      <c r="T437" s="26">
        <v>1</v>
      </c>
      <c r="U437" s="26">
        <v>5</v>
      </c>
      <c r="V437" s="26">
        <v>1</v>
      </c>
    </row>
    <row r="438" spans="1:22" x14ac:dyDescent="0.25">
      <c r="A438" s="26" t="s">
        <v>3706</v>
      </c>
      <c r="B438" s="26" t="s">
        <v>3707</v>
      </c>
      <c r="C438" s="26" t="s">
        <v>84</v>
      </c>
      <c r="D438" s="26" t="s">
        <v>179</v>
      </c>
      <c r="E438" s="26" t="s">
        <v>3708</v>
      </c>
      <c r="F438" s="26" t="s">
        <v>1773</v>
      </c>
      <c r="G438" s="26" t="s">
        <v>293</v>
      </c>
      <c r="H438" s="26" t="s">
        <v>1693</v>
      </c>
      <c r="I438" s="26" t="s">
        <v>184</v>
      </c>
      <c r="J438" s="26" t="s">
        <v>696</v>
      </c>
      <c r="K438" s="26" t="s">
        <v>296</v>
      </c>
      <c r="L438" s="26" t="s">
        <v>80</v>
      </c>
      <c r="M438" s="26" t="s">
        <v>77</v>
      </c>
      <c r="N438" s="26">
        <v>70</v>
      </c>
      <c r="O438" s="26">
        <v>70</v>
      </c>
      <c r="P438" s="26">
        <v>0</v>
      </c>
      <c r="Q438" s="26">
        <v>6</v>
      </c>
      <c r="R438" s="26">
        <v>1</v>
      </c>
      <c r="S438" s="26">
        <v>8</v>
      </c>
      <c r="T438" s="26">
        <v>2</v>
      </c>
      <c r="U438" s="26">
        <v>11</v>
      </c>
      <c r="V438" s="26">
        <v>1</v>
      </c>
    </row>
    <row r="439" spans="1:22" x14ac:dyDescent="0.25">
      <c r="A439" s="26" t="s">
        <v>3706</v>
      </c>
      <c r="B439" s="26" t="s">
        <v>3709</v>
      </c>
      <c r="C439" s="26" t="s">
        <v>3710</v>
      </c>
      <c r="D439" s="26" t="s">
        <v>2408</v>
      </c>
      <c r="E439" s="26" t="s">
        <v>3711</v>
      </c>
      <c r="F439" s="26" t="s">
        <v>425</v>
      </c>
      <c r="G439" s="26" t="s">
        <v>191</v>
      </c>
      <c r="H439" s="26" t="s">
        <v>1026</v>
      </c>
      <c r="I439" s="26" t="s">
        <v>184</v>
      </c>
      <c r="J439" s="26" t="s">
        <v>2565</v>
      </c>
      <c r="K439" s="26" t="s">
        <v>2405</v>
      </c>
      <c r="L439" s="26" t="s">
        <v>79</v>
      </c>
      <c r="M439" s="26" t="s">
        <v>77</v>
      </c>
      <c r="N439" s="26">
        <v>39</v>
      </c>
      <c r="O439" s="26">
        <v>0</v>
      </c>
      <c r="P439" s="26">
        <v>39</v>
      </c>
      <c r="Q439" s="26">
        <v>6</v>
      </c>
      <c r="R439" s="26">
        <v>1</v>
      </c>
      <c r="S439" s="26">
        <v>2</v>
      </c>
      <c r="T439" s="26">
        <v>1</v>
      </c>
      <c r="U439" s="26">
        <v>4</v>
      </c>
      <c r="V439" s="26">
        <v>1</v>
      </c>
    </row>
    <row r="440" spans="1:22" x14ac:dyDescent="0.25">
      <c r="A440" s="26" t="s">
        <v>3706</v>
      </c>
      <c r="B440" s="26" t="s">
        <v>3712</v>
      </c>
      <c r="C440" s="26" t="s">
        <v>3713</v>
      </c>
      <c r="D440" s="26" t="s">
        <v>218</v>
      </c>
      <c r="E440" s="26" t="s">
        <v>3714</v>
      </c>
      <c r="F440" s="26" t="s">
        <v>1638</v>
      </c>
      <c r="G440" s="26" t="s">
        <v>651</v>
      </c>
      <c r="H440" s="26" t="s">
        <v>1693</v>
      </c>
      <c r="I440" s="26" t="s">
        <v>184</v>
      </c>
      <c r="J440" s="26" t="s">
        <v>2565</v>
      </c>
      <c r="K440" s="26" t="s">
        <v>2405</v>
      </c>
      <c r="L440" s="26" t="s">
        <v>79</v>
      </c>
      <c r="M440" s="26" t="s">
        <v>77</v>
      </c>
      <c r="N440" s="26">
        <v>52</v>
      </c>
      <c r="O440" s="26">
        <v>36</v>
      </c>
      <c r="P440" s="26">
        <v>16</v>
      </c>
      <c r="Q440" s="26">
        <v>12</v>
      </c>
      <c r="R440" s="26">
        <v>1</v>
      </c>
      <c r="S440" s="26">
        <v>6</v>
      </c>
      <c r="T440" s="26">
        <v>8</v>
      </c>
      <c r="U440" s="26">
        <v>15</v>
      </c>
      <c r="V440" s="26">
        <v>1</v>
      </c>
    </row>
    <row r="441" spans="1:22" x14ac:dyDescent="0.25">
      <c r="A441" s="26" t="s">
        <v>3706</v>
      </c>
      <c r="B441" s="26" t="s">
        <v>3715</v>
      </c>
      <c r="C441" s="26" t="s">
        <v>3716</v>
      </c>
      <c r="D441" s="26" t="s">
        <v>218</v>
      </c>
      <c r="E441" s="26" t="s">
        <v>3717</v>
      </c>
      <c r="F441" s="26" t="s">
        <v>2089</v>
      </c>
      <c r="G441" s="26" t="s">
        <v>265</v>
      </c>
      <c r="H441" s="26" t="s">
        <v>1026</v>
      </c>
      <c r="I441" s="26" t="s">
        <v>184</v>
      </c>
      <c r="J441" s="26" t="s">
        <v>2411</v>
      </c>
      <c r="K441" s="26" t="s">
        <v>2405</v>
      </c>
      <c r="L441" s="26" t="s">
        <v>79</v>
      </c>
      <c r="M441" s="26" t="s">
        <v>77</v>
      </c>
      <c r="N441" s="26">
        <v>51</v>
      </c>
      <c r="O441" s="26">
        <v>38</v>
      </c>
      <c r="P441" s="26">
        <v>13</v>
      </c>
      <c r="Q441" s="26">
        <v>11</v>
      </c>
      <c r="R441" s="26">
        <v>1</v>
      </c>
      <c r="S441" s="26">
        <v>8</v>
      </c>
      <c r="T441" s="26">
        <v>9</v>
      </c>
      <c r="U441" s="26">
        <v>18</v>
      </c>
      <c r="V441" s="26">
        <v>1</v>
      </c>
    </row>
    <row r="442" spans="1:22" x14ac:dyDescent="0.25">
      <c r="A442" s="26" t="s">
        <v>3706</v>
      </c>
      <c r="B442" s="26" t="s">
        <v>3718</v>
      </c>
      <c r="C442" s="26" t="s">
        <v>3719</v>
      </c>
      <c r="D442" s="26" t="s">
        <v>218</v>
      </c>
      <c r="E442" s="26" t="s">
        <v>4109</v>
      </c>
      <c r="F442" s="26" t="s">
        <v>3720</v>
      </c>
      <c r="G442" s="26" t="s">
        <v>676</v>
      </c>
      <c r="H442" s="26" t="s">
        <v>1026</v>
      </c>
      <c r="I442" s="26" t="s">
        <v>184</v>
      </c>
      <c r="J442" s="26" t="s">
        <v>2404</v>
      </c>
      <c r="K442" s="26" t="s">
        <v>2405</v>
      </c>
      <c r="L442" s="26" t="s">
        <v>79</v>
      </c>
      <c r="M442" s="26" t="s">
        <v>77</v>
      </c>
      <c r="N442" s="26">
        <v>97</v>
      </c>
      <c r="O442" s="26">
        <v>52</v>
      </c>
      <c r="P442" s="26">
        <v>45</v>
      </c>
      <c r="Q442" s="26">
        <v>8</v>
      </c>
      <c r="R442" s="26">
        <v>1</v>
      </c>
      <c r="S442" s="26">
        <v>5</v>
      </c>
      <c r="T442" s="26">
        <v>4</v>
      </c>
      <c r="U442" s="26">
        <v>10</v>
      </c>
      <c r="V442" s="26">
        <v>1</v>
      </c>
    </row>
    <row r="443" spans="1:22" x14ac:dyDescent="0.25">
      <c r="A443" s="26" t="s">
        <v>3706</v>
      </c>
      <c r="B443" s="26" t="s">
        <v>3721</v>
      </c>
      <c r="C443" s="26" t="s">
        <v>3722</v>
      </c>
      <c r="D443" s="26" t="s">
        <v>2408</v>
      </c>
      <c r="E443" s="26" t="s">
        <v>3723</v>
      </c>
      <c r="F443" s="26" t="s">
        <v>3724</v>
      </c>
      <c r="G443" s="26" t="s">
        <v>293</v>
      </c>
      <c r="H443" s="26" t="s">
        <v>351</v>
      </c>
      <c r="I443" s="26" t="s">
        <v>1259</v>
      </c>
      <c r="J443" s="26" t="s">
        <v>1145</v>
      </c>
      <c r="K443" s="26" t="s">
        <v>296</v>
      </c>
      <c r="L443" s="26" t="s">
        <v>80</v>
      </c>
      <c r="M443" s="26" t="s">
        <v>77</v>
      </c>
      <c r="N443" s="26">
        <v>122</v>
      </c>
      <c r="O443" s="26">
        <v>75</v>
      </c>
      <c r="P443" s="26">
        <v>47</v>
      </c>
      <c r="Q443" s="26">
        <v>13</v>
      </c>
      <c r="R443" s="26">
        <v>1</v>
      </c>
      <c r="S443" s="26">
        <v>12</v>
      </c>
      <c r="T443" s="26">
        <v>14</v>
      </c>
      <c r="U443" s="26">
        <v>27</v>
      </c>
      <c r="V443" s="26">
        <v>1</v>
      </c>
    </row>
    <row r="444" spans="1:22" x14ac:dyDescent="0.25">
      <c r="A444" s="26" t="s">
        <v>3706</v>
      </c>
      <c r="B444" s="26" t="s">
        <v>3725</v>
      </c>
      <c r="C444" s="26" t="s">
        <v>3726</v>
      </c>
      <c r="D444" s="26" t="s">
        <v>218</v>
      </c>
      <c r="E444" s="26" t="s">
        <v>3727</v>
      </c>
      <c r="F444" s="26" t="s">
        <v>2484</v>
      </c>
      <c r="G444" s="26" t="s">
        <v>210</v>
      </c>
      <c r="H444" s="26" t="s">
        <v>926</v>
      </c>
      <c r="I444" s="26" t="s">
        <v>184</v>
      </c>
      <c r="J444" s="26" t="s">
        <v>2448</v>
      </c>
      <c r="K444" s="26" t="s">
        <v>2405</v>
      </c>
      <c r="L444" s="26" t="s">
        <v>79</v>
      </c>
      <c r="M444" s="26" t="s">
        <v>77</v>
      </c>
      <c r="N444" s="26">
        <v>301</v>
      </c>
      <c r="O444" s="26">
        <v>185</v>
      </c>
      <c r="P444" s="26">
        <v>116</v>
      </c>
      <c r="Q444" s="26">
        <v>26</v>
      </c>
      <c r="R444" s="26">
        <v>1</v>
      </c>
      <c r="S444" s="26">
        <v>29</v>
      </c>
      <c r="T444" s="26">
        <v>26</v>
      </c>
      <c r="U444" s="26">
        <v>56</v>
      </c>
      <c r="V444" s="26">
        <v>1</v>
      </c>
    </row>
    <row r="445" spans="1:22" x14ac:dyDescent="0.25">
      <c r="A445" s="26" t="s">
        <v>3706</v>
      </c>
      <c r="B445" s="26" t="s">
        <v>3728</v>
      </c>
      <c r="C445" s="26" t="s">
        <v>3729</v>
      </c>
      <c r="D445" s="26" t="s">
        <v>218</v>
      </c>
      <c r="E445" s="26" t="s">
        <v>4110</v>
      </c>
      <c r="F445" s="26" t="s">
        <v>3730</v>
      </c>
      <c r="G445" s="26" t="s">
        <v>191</v>
      </c>
      <c r="H445" s="26" t="s">
        <v>594</v>
      </c>
      <c r="I445" s="26" t="s">
        <v>184</v>
      </c>
      <c r="J445" s="26" t="s">
        <v>2565</v>
      </c>
      <c r="K445" s="26" t="s">
        <v>2405</v>
      </c>
      <c r="L445" s="26" t="s">
        <v>79</v>
      </c>
      <c r="M445" s="26" t="s">
        <v>77</v>
      </c>
      <c r="N445" s="26">
        <v>179</v>
      </c>
      <c r="O445" s="26">
        <v>117</v>
      </c>
      <c r="P445" s="26">
        <v>62</v>
      </c>
      <c r="Q445" s="26">
        <v>16</v>
      </c>
      <c r="R445" s="26">
        <v>1</v>
      </c>
      <c r="S445" s="26">
        <v>17</v>
      </c>
      <c r="T445" s="26">
        <v>15</v>
      </c>
      <c r="U445" s="26">
        <v>33</v>
      </c>
      <c r="V445" s="26">
        <v>1</v>
      </c>
    </row>
    <row r="446" spans="1:22" x14ac:dyDescent="0.25">
      <c r="A446" s="26" t="s">
        <v>3706</v>
      </c>
      <c r="B446" s="26" t="s">
        <v>3731</v>
      </c>
      <c r="C446" s="26" t="s">
        <v>3732</v>
      </c>
      <c r="D446" s="26" t="s">
        <v>179</v>
      </c>
      <c r="E446" s="26" t="s">
        <v>3733</v>
      </c>
      <c r="F446" s="26" t="s">
        <v>3734</v>
      </c>
      <c r="G446" s="26" t="s">
        <v>191</v>
      </c>
      <c r="H446" s="26" t="s">
        <v>643</v>
      </c>
      <c r="I446" s="26" t="s">
        <v>184</v>
      </c>
      <c r="J446" s="26" t="s">
        <v>2565</v>
      </c>
      <c r="K446" s="26" t="s">
        <v>2405</v>
      </c>
      <c r="L446" s="26" t="s">
        <v>79</v>
      </c>
      <c r="M446" s="26" t="s">
        <v>77</v>
      </c>
      <c r="N446" s="26">
        <v>67</v>
      </c>
      <c r="O446" s="26">
        <v>43</v>
      </c>
      <c r="P446" s="26">
        <v>24</v>
      </c>
      <c r="Q446" s="26">
        <v>9</v>
      </c>
      <c r="R446" s="26">
        <v>1</v>
      </c>
      <c r="S446" s="26">
        <v>7</v>
      </c>
      <c r="T446" s="26">
        <v>8</v>
      </c>
      <c r="U446" s="26">
        <v>16</v>
      </c>
      <c r="V446" s="26">
        <v>1</v>
      </c>
    </row>
    <row r="447" spans="1:22" x14ac:dyDescent="0.25">
      <c r="A447" s="26" t="s">
        <v>3706</v>
      </c>
      <c r="B447" s="26" t="s">
        <v>3735</v>
      </c>
      <c r="C447" s="26" t="s">
        <v>3736</v>
      </c>
      <c r="D447" s="26" t="s">
        <v>218</v>
      </c>
      <c r="E447" s="26" t="s">
        <v>3737</v>
      </c>
      <c r="F447" s="26" t="s">
        <v>3191</v>
      </c>
      <c r="G447" s="26" t="s">
        <v>210</v>
      </c>
      <c r="H447" s="26" t="s">
        <v>687</v>
      </c>
      <c r="I447" s="26" t="s">
        <v>184</v>
      </c>
      <c r="J447" s="26" t="s">
        <v>2448</v>
      </c>
      <c r="K447" s="26" t="s">
        <v>2405</v>
      </c>
      <c r="L447" s="26" t="s">
        <v>79</v>
      </c>
      <c r="M447" s="26" t="s">
        <v>77</v>
      </c>
      <c r="N447" s="26">
        <v>46</v>
      </c>
      <c r="O447" s="26">
        <v>30</v>
      </c>
      <c r="P447" s="26">
        <v>16</v>
      </c>
      <c r="Q447" s="26">
        <v>6</v>
      </c>
      <c r="R447" s="26">
        <v>1</v>
      </c>
      <c r="S447" s="26">
        <v>6</v>
      </c>
      <c r="T447" s="26">
        <v>7</v>
      </c>
      <c r="U447" s="26">
        <v>14</v>
      </c>
      <c r="V447" s="26">
        <v>1</v>
      </c>
    </row>
    <row r="448" spans="1:22" x14ac:dyDescent="0.25">
      <c r="A448" s="26" t="s">
        <v>3706</v>
      </c>
      <c r="B448" s="26" t="s">
        <v>3738</v>
      </c>
      <c r="C448" s="26" t="s">
        <v>3739</v>
      </c>
      <c r="D448" s="26" t="s">
        <v>218</v>
      </c>
      <c r="E448" s="26" t="s">
        <v>3740</v>
      </c>
      <c r="F448" s="26" t="s">
        <v>3354</v>
      </c>
      <c r="G448" s="26" t="s">
        <v>210</v>
      </c>
      <c r="H448" s="26" t="s">
        <v>687</v>
      </c>
      <c r="I448" s="26" t="s">
        <v>184</v>
      </c>
      <c r="J448" s="26" t="s">
        <v>2448</v>
      </c>
      <c r="K448" s="26" t="s">
        <v>2405</v>
      </c>
      <c r="L448" s="26" t="s">
        <v>79</v>
      </c>
      <c r="M448" s="26" t="s">
        <v>77</v>
      </c>
      <c r="N448" s="26">
        <v>147</v>
      </c>
      <c r="O448" s="26">
        <v>92</v>
      </c>
      <c r="P448" s="26">
        <v>55</v>
      </c>
      <c r="Q448" s="26">
        <v>16</v>
      </c>
      <c r="R448" s="26">
        <v>1</v>
      </c>
      <c r="S448" s="26">
        <v>17</v>
      </c>
      <c r="T448" s="26">
        <v>11</v>
      </c>
      <c r="U448" s="26">
        <v>29</v>
      </c>
      <c r="V448" s="26">
        <v>1</v>
      </c>
    </row>
    <row r="449" spans="1:22" x14ac:dyDescent="0.25">
      <c r="A449" s="26" t="s">
        <v>3706</v>
      </c>
      <c r="B449" s="26" t="s">
        <v>3741</v>
      </c>
      <c r="C449" s="26" t="s">
        <v>3742</v>
      </c>
      <c r="D449" s="26" t="s">
        <v>2408</v>
      </c>
      <c r="E449" s="26" t="s">
        <v>3743</v>
      </c>
      <c r="F449" s="26" t="s">
        <v>1737</v>
      </c>
      <c r="G449" s="26" t="s">
        <v>293</v>
      </c>
      <c r="H449" s="26" t="s">
        <v>687</v>
      </c>
      <c r="I449" s="26" t="s">
        <v>1259</v>
      </c>
      <c r="J449" s="26" t="s">
        <v>295</v>
      </c>
      <c r="K449" s="26" t="s">
        <v>296</v>
      </c>
      <c r="L449" s="26" t="s">
        <v>80</v>
      </c>
      <c r="M449" s="26" t="s">
        <v>77</v>
      </c>
      <c r="N449" s="26">
        <v>28</v>
      </c>
      <c r="O449" s="26">
        <v>18</v>
      </c>
      <c r="P449" s="26">
        <v>10</v>
      </c>
      <c r="Q449" s="26">
        <v>6</v>
      </c>
      <c r="R449" s="26">
        <v>1</v>
      </c>
      <c r="S449" s="26">
        <v>6</v>
      </c>
      <c r="T449" s="26">
        <v>5</v>
      </c>
      <c r="U449" s="26">
        <v>12</v>
      </c>
      <c r="V449" s="26">
        <v>1</v>
      </c>
    </row>
    <row r="450" spans="1:22" x14ac:dyDescent="0.25">
      <c r="A450" s="26" t="s">
        <v>3706</v>
      </c>
      <c r="B450" s="26" t="s">
        <v>3744</v>
      </c>
      <c r="C450" s="26" t="s">
        <v>3745</v>
      </c>
      <c r="D450" s="26" t="s">
        <v>218</v>
      </c>
      <c r="E450" s="26" t="s">
        <v>1637</v>
      </c>
      <c r="F450" s="26" t="s">
        <v>3746</v>
      </c>
      <c r="G450" s="26" t="s">
        <v>191</v>
      </c>
      <c r="H450" s="26" t="s">
        <v>643</v>
      </c>
      <c r="I450" s="26" t="s">
        <v>184</v>
      </c>
      <c r="J450" s="26" t="s">
        <v>2565</v>
      </c>
      <c r="K450" s="26" t="s">
        <v>2405</v>
      </c>
      <c r="L450" s="26" t="s">
        <v>79</v>
      </c>
      <c r="M450" s="26" t="s">
        <v>77</v>
      </c>
      <c r="N450" s="26">
        <v>87</v>
      </c>
      <c r="O450" s="26">
        <v>49</v>
      </c>
      <c r="P450" s="26">
        <v>38</v>
      </c>
      <c r="Q450" s="26">
        <v>7</v>
      </c>
      <c r="R450" s="26">
        <v>1</v>
      </c>
      <c r="S450" s="26">
        <v>7</v>
      </c>
      <c r="T450" s="26">
        <v>6</v>
      </c>
      <c r="U450" s="26">
        <v>14</v>
      </c>
      <c r="V450" s="26">
        <v>1</v>
      </c>
    </row>
    <row r="451" spans="1:22" x14ac:dyDescent="0.25">
      <c r="A451" s="26" t="s">
        <v>3706</v>
      </c>
      <c r="B451" s="26" t="s">
        <v>3747</v>
      </c>
      <c r="C451" s="26" t="s">
        <v>3748</v>
      </c>
      <c r="D451" s="26" t="s">
        <v>218</v>
      </c>
      <c r="E451" s="26" t="s">
        <v>3749</v>
      </c>
      <c r="F451" s="26" t="s">
        <v>3750</v>
      </c>
      <c r="G451" s="26" t="s">
        <v>662</v>
      </c>
      <c r="H451" s="26" t="s">
        <v>926</v>
      </c>
      <c r="I451" s="26" t="s">
        <v>184</v>
      </c>
      <c r="J451" s="26" t="s">
        <v>2565</v>
      </c>
      <c r="K451" s="26" t="s">
        <v>2405</v>
      </c>
      <c r="L451" s="26" t="s">
        <v>79</v>
      </c>
      <c r="M451" s="26" t="s">
        <v>77</v>
      </c>
      <c r="N451" s="26">
        <v>203</v>
      </c>
      <c r="O451" s="26">
        <v>135</v>
      </c>
      <c r="P451" s="26">
        <v>68</v>
      </c>
      <c r="Q451" s="26">
        <v>19</v>
      </c>
      <c r="R451" s="26">
        <v>1</v>
      </c>
      <c r="S451" s="26">
        <v>20</v>
      </c>
      <c r="T451" s="26">
        <v>17</v>
      </c>
      <c r="U451" s="26">
        <v>38</v>
      </c>
      <c r="V451" s="26">
        <v>1</v>
      </c>
    </row>
    <row r="452" spans="1:22" x14ac:dyDescent="0.25">
      <c r="A452" s="26" t="s">
        <v>3706</v>
      </c>
      <c r="B452" s="26" t="s">
        <v>3751</v>
      </c>
      <c r="C452" s="26" t="s">
        <v>3752</v>
      </c>
      <c r="D452" s="26" t="s">
        <v>218</v>
      </c>
      <c r="E452" s="26" t="s">
        <v>3753</v>
      </c>
      <c r="F452" s="26" t="s">
        <v>2682</v>
      </c>
      <c r="G452" s="26" t="s">
        <v>413</v>
      </c>
      <c r="H452" s="26" t="s">
        <v>1026</v>
      </c>
      <c r="I452" s="26" t="s">
        <v>184</v>
      </c>
      <c r="J452" s="26" t="s">
        <v>2509</v>
      </c>
      <c r="K452" s="26" t="s">
        <v>2405</v>
      </c>
      <c r="L452" s="26" t="s">
        <v>79</v>
      </c>
      <c r="M452" s="26" t="s">
        <v>77</v>
      </c>
      <c r="N452" s="26">
        <v>77</v>
      </c>
      <c r="O452" s="26">
        <v>45</v>
      </c>
      <c r="P452" s="26">
        <v>32</v>
      </c>
      <c r="Q452" s="26">
        <v>9</v>
      </c>
      <c r="R452" s="26">
        <v>1</v>
      </c>
      <c r="S452" s="26">
        <v>8</v>
      </c>
      <c r="T452" s="26">
        <v>14</v>
      </c>
      <c r="U452" s="26">
        <v>23</v>
      </c>
      <c r="V452" s="26">
        <v>1</v>
      </c>
    </row>
    <row r="453" spans="1:22" x14ac:dyDescent="0.25">
      <c r="A453" s="26" t="s">
        <v>3706</v>
      </c>
      <c r="B453" s="26" t="s">
        <v>3754</v>
      </c>
      <c r="C453" s="26" t="s">
        <v>3755</v>
      </c>
      <c r="D453" s="26" t="s">
        <v>218</v>
      </c>
      <c r="E453" s="26" t="s">
        <v>3756</v>
      </c>
      <c r="F453" s="26" t="s">
        <v>444</v>
      </c>
      <c r="G453" s="26" t="s">
        <v>265</v>
      </c>
      <c r="H453" s="26" t="s">
        <v>301</v>
      </c>
      <c r="I453" s="26" t="s">
        <v>184</v>
      </c>
      <c r="J453" s="26" t="s">
        <v>2411</v>
      </c>
      <c r="K453" s="26" t="s">
        <v>2405</v>
      </c>
      <c r="L453" s="26" t="s">
        <v>79</v>
      </c>
      <c r="M453" s="26" t="s">
        <v>77</v>
      </c>
      <c r="N453" s="26">
        <v>130</v>
      </c>
      <c r="O453" s="26">
        <v>76</v>
      </c>
      <c r="P453" s="26">
        <v>54</v>
      </c>
      <c r="Q453" s="26">
        <v>26</v>
      </c>
      <c r="R453" s="26">
        <v>1</v>
      </c>
      <c r="S453" s="26">
        <v>14</v>
      </c>
      <c r="T453" s="26">
        <v>15</v>
      </c>
      <c r="U453" s="26">
        <v>30</v>
      </c>
      <c r="V453" s="26">
        <v>1</v>
      </c>
    </row>
    <row r="454" spans="1:22" x14ac:dyDescent="0.25">
      <c r="A454" s="26" t="s">
        <v>3706</v>
      </c>
      <c r="B454" s="26" t="s">
        <v>3757</v>
      </c>
      <c r="C454" s="26" t="s">
        <v>3758</v>
      </c>
      <c r="D454" s="26" t="s">
        <v>218</v>
      </c>
      <c r="E454" s="26" t="s">
        <v>3759</v>
      </c>
      <c r="F454" s="26" t="s">
        <v>3760</v>
      </c>
      <c r="G454" s="26" t="s">
        <v>676</v>
      </c>
      <c r="H454" s="26" t="s">
        <v>1026</v>
      </c>
      <c r="I454" s="26" t="s">
        <v>184</v>
      </c>
      <c r="J454" s="26" t="s">
        <v>2404</v>
      </c>
      <c r="K454" s="26" t="s">
        <v>2405</v>
      </c>
      <c r="L454" s="26" t="s">
        <v>79</v>
      </c>
      <c r="M454" s="26" t="s">
        <v>77</v>
      </c>
      <c r="N454" s="26">
        <v>116</v>
      </c>
      <c r="O454" s="26">
        <v>61</v>
      </c>
      <c r="P454" s="26">
        <v>55</v>
      </c>
      <c r="Q454" s="26">
        <v>13</v>
      </c>
      <c r="R454" s="26">
        <v>1</v>
      </c>
      <c r="S454" s="26">
        <v>12</v>
      </c>
      <c r="T454" s="26">
        <v>10</v>
      </c>
      <c r="U454" s="26">
        <v>23</v>
      </c>
      <c r="V454" s="26">
        <v>1</v>
      </c>
    </row>
    <row r="455" spans="1:22" x14ac:dyDescent="0.25">
      <c r="A455" s="26" t="s">
        <v>3706</v>
      </c>
      <c r="B455" s="26" t="s">
        <v>3761</v>
      </c>
      <c r="C455" s="26" t="s">
        <v>3762</v>
      </c>
      <c r="D455" s="26" t="s">
        <v>218</v>
      </c>
      <c r="E455" s="26" t="s">
        <v>3763</v>
      </c>
      <c r="F455" s="26" t="s">
        <v>2399</v>
      </c>
      <c r="G455" s="26" t="s">
        <v>226</v>
      </c>
      <c r="H455" s="26" t="s">
        <v>351</v>
      </c>
      <c r="I455" s="26" t="s">
        <v>184</v>
      </c>
      <c r="J455" s="26" t="s">
        <v>2509</v>
      </c>
      <c r="K455" s="26" t="s">
        <v>2405</v>
      </c>
      <c r="L455" s="26" t="s">
        <v>79</v>
      </c>
      <c r="M455" s="26" t="s">
        <v>77</v>
      </c>
      <c r="N455" s="26">
        <v>161</v>
      </c>
      <c r="O455" s="26">
        <v>100</v>
      </c>
      <c r="P455" s="26">
        <v>61</v>
      </c>
      <c r="Q455" s="26">
        <v>18</v>
      </c>
      <c r="R455" s="26">
        <v>1</v>
      </c>
      <c r="S455" s="26">
        <v>18</v>
      </c>
      <c r="T455" s="26">
        <v>17</v>
      </c>
      <c r="U455" s="26">
        <v>36</v>
      </c>
      <c r="V455" s="26">
        <v>1</v>
      </c>
    </row>
    <row r="456" spans="1:22" x14ac:dyDescent="0.25">
      <c r="A456" s="26" t="s">
        <v>3706</v>
      </c>
      <c r="B456" s="26" t="s">
        <v>3764</v>
      </c>
      <c r="C456" s="26" t="s">
        <v>3765</v>
      </c>
      <c r="D456" s="26" t="s">
        <v>218</v>
      </c>
      <c r="E456" s="26" t="s">
        <v>3766</v>
      </c>
      <c r="F456" s="26" t="s">
        <v>1480</v>
      </c>
      <c r="G456" s="26" t="s">
        <v>226</v>
      </c>
      <c r="H456" s="26" t="s">
        <v>594</v>
      </c>
      <c r="I456" s="26" t="s">
        <v>184</v>
      </c>
      <c r="J456" s="26" t="s">
        <v>2509</v>
      </c>
      <c r="K456" s="26" t="s">
        <v>2405</v>
      </c>
      <c r="L456" s="26" t="s">
        <v>79</v>
      </c>
      <c r="M456" s="26" t="s">
        <v>77</v>
      </c>
      <c r="N456" s="26">
        <v>144</v>
      </c>
      <c r="O456" s="26">
        <v>84</v>
      </c>
      <c r="P456" s="26">
        <v>60</v>
      </c>
      <c r="Q456" s="26">
        <v>17</v>
      </c>
      <c r="R456" s="26">
        <v>1</v>
      </c>
      <c r="S456" s="26">
        <v>17</v>
      </c>
      <c r="T456" s="26">
        <v>53</v>
      </c>
      <c r="U456" s="26">
        <v>71</v>
      </c>
      <c r="V456" s="26">
        <v>1</v>
      </c>
    </row>
    <row r="457" spans="1:22" x14ac:dyDescent="0.25">
      <c r="A457" s="26" t="s">
        <v>3706</v>
      </c>
      <c r="B457" s="26" t="s">
        <v>3767</v>
      </c>
      <c r="C457" s="26" t="s">
        <v>3768</v>
      </c>
      <c r="D457" s="26" t="s">
        <v>218</v>
      </c>
      <c r="E457" s="26" t="s">
        <v>4111</v>
      </c>
      <c r="F457" s="26" t="s">
        <v>2429</v>
      </c>
      <c r="G457" s="26" t="s">
        <v>265</v>
      </c>
      <c r="H457" s="26" t="s">
        <v>926</v>
      </c>
      <c r="I457" s="26" t="s">
        <v>184</v>
      </c>
      <c r="J457" s="26" t="s">
        <v>2411</v>
      </c>
      <c r="K457" s="26" t="s">
        <v>2405</v>
      </c>
      <c r="L457" s="26" t="s">
        <v>79</v>
      </c>
      <c r="M457" s="26" t="s">
        <v>77</v>
      </c>
      <c r="N457" s="26">
        <v>159</v>
      </c>
      <c r="O457" s="26">
        <v>95</v>
      </c>
      <c r="P457" s="26">
        <v>64</v>
      </c>
      <c r="Q457" s="26">
        <v>19</v>
      </c>
      <c r="R457" s="26">
        <v>1</v>
      </c>
      <c r="S457" s="26">
        <v>15</v>
      </c>
      <c r="T457" s="26">
        <v>17</v>
      </c>
      <c r="U457" s="26">
        <v>33</v>
      </c>
      <c r="V457" s="26">
        <v>1</v>
      </c>
    </row>
    <row r="458" spans="1:22" x14ac:dyDescent="0.25">
      <c r="A458" s="26" t="s">
        <v>3706</v>
      </c>
      <c r="B458" s="26" t="s">
        <v>3769</v>
      </c>
      <c r="C458" s="26" t="s">
        <v>3770</v>
      </c>
      <c r="D458" s="26" t="s">
        <v>2408</v>
      </c>
      <c r="E458" s="26" t="s">
        <v>2857</v>
      </c>
      <c r="F458" s="26" t="s">
        <v>2858</v>
      </c>
      <c r="G458" s="26" t="s">
        <v>226</v>
      </c>
      <c r="H458" s="26" t="s">
        <v>594</v>
      </c>
      <c r="I458" s="26" t="s">
        <v>184</v>
      </c>
      <c r="J458" s="26" t="s">
        <v>2411</v>
      </c>
      <c r="K458" s="26" t="s">
        <v>2405</v>
      </c>
      <c r="L458" s="26" t="s">
        <v>79</v>
      </c>
      <c r="M458" s="26" t="s">
        <v>77</v>
      </c>
      <c r="N458" s="26">
        <v>33</v>
      </c>
      <c r="O458" s="26">
        <v>23</v>
      </c>
      <c r="P458" s="26">
        <v>10</v>
      </c>
      <c r="Q458" s="26">
        <v>4</v>
      </c>
      <c r="R458" s="26">
        <v>1</v>
      </c>
      <c r="S458" s="26">
        <v>5</v>
      </c>
      <c r="T458" s="26">
        <v>5</v>
      </c>
      <c r="U458" s="26">
        <v>11</v>
      </c>
      <c r="V458" s="26">
        <v>1</v>
      </c>
    </row>
    <row r="459" spans="1:22" x14ac:dyDescent="0.25">
      <c r="A459" s="26" t="s">
        <v>3706</v>
      </c>
      <c r="B459" s="26" t="s">
        <v>3771</v>
      </c>
      <c r="C459" s="26" t="s">
        <v>3770</v>
      </c>
      <c r="D459" s="26" t="s">
        <v>179</v>
      </c>
      <c r="E459" s="26" t="s">
        <v>2857</v>
      </c>
      <c r="F459" s="26" t="s">
        <v>2858</v>
      </c>
      <c r="G459" s="26" t="s">
        <v>226</v>
      </c>
      <c r="H459" s="26" t="s">
        <v>594</v>
      </c>
      <c r="I459" s="26" t="s">
        <v>184</v>
      </c>
      <c r="J459" s="26" t="s">
        <v>2411</v>
      </c>
      <c r="K459" s="26" t="s">
        <v>2405</v>
      </c>
      <c r="L459" s="26" t="s">
        <v>79</v>
      </c>
      <c r="M459" s="26" t="s">
        <v>77</v>
      </c>
      <c r="N459" s="26">
        <v>281</v>
      </c>
      <c r="O459" s="26">
        <v>155</v>
      </c>
      <c r="P459" s="26">
        <v>126</v>
      </c>
      <c r="Q459" s="26">
        <v>27</v>
      </c>
      <c r="R459" s="26">
        <v>1</v>
      </c>
      <c r="S459" s="26">
        <v>27</v>
      </c>
      <c r="T459" s="26">
        <v>24</v>
      </c>
      <c r="U459" s="26">
        <v>52</v>
      </c>
      <c r="V459" s="26">
        <v>1</v>
      </c>
    </row>
    <row r="460" spans="1:22" x14ac:dyDescent="0.25">
      <c r="A460" s="26" t="s">
        <v>3706</v>
      </c>
      <c r="B460" s="26" t="s">
        <v>3772</v>
      </c>
      <c r="C460" s="26" t="s">
        <v>3722</v>
      </c>
      <c r="D460" s="26" t="s">
        <v>179</v>
      </c>
      <c r="E460" s="26" t="s">
        <v>3773</v>
      </c>
      <c r="F460" s="26" t="s">
        <v>3724</v>
      </c>
      <c r="G460" s="26" t="s">
        <v>293</v>
      </c>
      <c r="H460" s="26" t="s">
        <v>351</v>
      </c>
      <c r="I460" s="26" t="s">
        <v>1259</v>
      </c>
      <c r="J460" s="26" t="s">
        <v>1145</v>
      </c>
      <c r="K460" s="26" t="s">
        <v>296</v>
      </c>
      <c r="L460" s="26" t="s">
        <v>80</v>
      </c>
      <c r="M460" s="26" t="s">
        <v>77</v>
      </c>
      <c r="N460" s="26">
        <v>160</v>
      </c>
      <c r="O460" s="26">
        <v>93</v>
      </c>
      <c r="P460" s="26">
        <v>67</v>
      </c>
      <c r="Q460" s="26">
        <v>15</v>
      </c>
      <c r="R460" s="26">
        <v>1</v>
      </c>
      <c r="S460" s="26">
        <v>14</v>
      </c>
      <c r="T460" s="26">
        <v>22</v>
      </c>
      <c r="U460" s="26">
        <v>37</v>
      </c>
      <c r="V460" s="26">
        <v>1</v>
      </c>
    </row>
    <row r="461" spans="1:22" x14ac:dyDescent="0.25">
      <c r="A461" s="26" t="s">
        <v>3706</v>
      </c>
      <c r="B461" s="26" t="s">
        <v>3774</v>
      </c>
      <c r="C461" s="26" t="s">
        <v>3775</v>
      </c>
      <c r="D461" s="26" t="s">
        <v>179</v>
      </c>
      <c r="E461" s="26" t="s">
        <v>1736</v>
      </c>
      <c r="F461" s="26" t="s">
        <v>1737</v>
      </c>
      <c r="G461" s="26" t="s">
        <v>293</v>
      </c>
      <c r="H461" s="26" t="s">
        <v>687</v>
      </c>
      <c r="I461" s="26" t="s">
        <v>1259</v>
      </c>
      <c r="J461" s="26" t="s">
        <v>295</v>
      </c>
      <c r="K461" s="26" t="s">
        <v>296</v>
      </c>
      <c r="L461" s="26" t="s">
        <v>80</v>
      </c>
      <c r="M461" s="26" t="s">
        <v>77</v>
      </c>
      <c r="N461" s="26">
        <v>40</v>
      </c>
      <c r="O461" s="26">
        <v>23</v>
      </c>
      <c r="P461" s="26">
        <v>17</v>
      </c>
      <c r="Q461" s="26">
        <v>7</v>
      </c>
      <c r="R461" s="26">
        <v>1</v>
      </c>
      <c r="S461" s="26">
        <v>6</v>
      </c>
      <c r="T461" s="26">
        <v>5</v>
      </c>
      <c r="U461" s="26">
        <v>12</v>
      </c>
      <c r="V461" s="26">
        <v>1</v>
      </c>
    </row>
    <row r="462" spans="1:22" x14ac:dyDescent="0.25">
      <c r="A462" s="26" t="s">
        <v>3706</v>
      </c>
      <c r="B462" s="26" t="s">
        <v>3776</v>
      </c>
      <c r="C462" s="26" t="s">
        <v>3777</v>
      </c>
      <c r="D462" s="26" t="s">
        <v>179</v>
      </c>
      <c r="E462" s="26" t="s">
        <v>3778</v>
      </c>
      <c r="F462" s="26" t="s">
        <v>2395</v>
      </c>
      <c r="G462" s="26" t="s">
        <v>293</v>
      </c>
      <c r="H462" s="26" t="s">
        <v>926</v>
      </c>
      <c r="I462" s="26" t="s">
        <v>1259</v>
      </c>
      <c r="J462" s="26" t="s">
        <v>1145</v>
      </c>
      <c r="K462" s="26" t="s">
        <v>296</v>
      </c>
      <c r="L462" s="26" t="s">
        <v>80</v>
      </c>
      <c r="M462" s="26" t="s">
        <v>77</v>
      </c>
      <c r="N462" s="26">
        <v>167</v>
      </c>
      <c r="O462" s="26">
        <v>111</v>
      </c>
      <c r="P462" s="26">
        <v>56</v>
      </c>
      <c r="Q462" s="26">
        <v>18</v>
      </c>
      <c r="R462" s="26">
        <v>1</v>
      </c>
      <c r="S462" s="26">
        <v>18</v>
      </c>
      <c r="T462" s="26">
        <v>14</v>
      </c>
      <c r="U462" s="26">
        <v>33</v>
      </c>
      <c r="V462" s="26">
        <v>1</v>
      </c>
    </row>
    <row r="463" spans="1:22" x14ac:dyDescent="0.25">
      <c r="A463" s="26" t="s">
        <v>3706</v>
      </c>
      <c r="B463" s="26" t="s">
        <v>3779</v>
      </c>
      <c r="C463" s="26" t="s">
        <v>3777</v>
      </c>
      <c r="D463" s="26" t="s">
        <v>2408</v>
      </c>
      <c r="E463" s="26" t="s">
        <v>3778</v>
      </c>
      <c r="F463" s="26" t="s">
        <v>2395</v>
      </c>
      <c r="G463" s="26" t="s">
        <v>293</v>
      </c>
      <c r="H463" s="26" t="s">
        <v>926</v>
      </c>
      <c r="I463" s="26" t="s">
        <v>1259</v>
      </c>
      <c r="J463" s="26" t="s">
        <v>1145</v>
      </c>
      <c r="K463" s="26" t="s">
        <v>296</v>
      </c>
      <c r="L463" s="26" t="s">
        <v>80</v>
      </c>
      <c r="M463" s="26" t="s">
        <v>77</v>
      </c>
      <c r="N463" s="26">
        <v>79</v>
      </c>
      <c r="O463" s="26">
        <v>45</v>
      </c>
      <c r="P463" s="26">
        <v>34</v>
      </c>
      <c r="Q463" s="26">
        <v>10</v>
      </c>
      <c r="R463" s="26">
        <v>1</v>
      </c>
      <c r="S463" s="26">
        <v>8</v>
      </c>
      <c r="T463" s="26">
        <v>9</v>
      </c>
      <c r="U463" s="26">
        <v>18</v>
      </c>
      <c r="V463" s="26">
        <v>1</v>
      </c>
    </row>
    <row r="464" spans="1:22" x14ac:dyDescent="0.25">
      <c r="A464" s="26" t="s">
        <v>3706</v>
      </c>
      <c r="B464" s="26" t="s">
        <v>3780</v>
      </c>
      <c r="C464" s="26" t="s">
        <v>3781</v>
      </c>
      <c r="D464" s="26" t="s">
        <v>179</v>
      </c>
      <c r="E464" s="26" t="s">
        <v>3043</v>
      </c>
      <c r="F464" s="26" t="s">
        <v>3044</v>
      </c>
      <c r="G464" s="26" t="s">
        <v>293</v>
      </c>
      <c r="H464" s="26" t="s">
        <v>643</v>
      </c>
      <c r="I464" s="26" t="s">
        <v>1259</v>
      </c>
      <c r="J464" s="26" t="s">
        <v>503</v>
      </c>
      <c r="K464" s="26" t="s">
        <v>296</v>
      </c>
      <c r="L464" s="26" t="s">
        <v>80</v>
      </c>
      <c r="M464" s="26" t="s">
        <v>77</v>
      </c>
      <c r="N464" s="26">
        <v>129</v>
      </c>
      <c r="O464" s="26">
        <v>76</v>
      </c>
      <c r="P464" s="26">
        <v>53</v>
      </c>
      <c r="Q464" s="26">
        <v>13</v>
      </c>
      <c r="R464" s="26">
        <v>1</v>
      </c>
      <c r="S464" s="26">
        <v>16</v>
      </c>
      <c r="T464" s="26">
        <v>12</v>
      </c>
      <c r="U464" s="26">
        <v>29</v>
      </c>
      <c r="V464" s="26">
        <v>1</v>
      </c>
    </row>
    <row r="465" spans="1:22" x14ac:dyDescent="0.25">
      <c r="A465" s="26" t="s">
        <v>3706</v>
      </c>
      <c r="B465" s="26" t="s">
        <v>3782</v>
      </c>
      <c r="C465" s="26" t="s">
        <v>3781</v>
      </c>
      <c r="D465" s="26" t="s">
        <v>2408</v>
      </c>
      <c r="E465" s="26" t="s">
        <v>3043</v>
      </c>
      <c r="F465" s="26" t="s">
        <v>3044</v>
      </c>
      <c r="G465" s="26" t="s">
        <v>293</v>
      </c>
      <c r="H465" s="26" t="s">
        <v>643</v>
      </c>
      <c r="I465" s="26" t="s">
        <v>1259</v>
      </c>
      <c r="J465" s="26" t="s">
        <v>503</v>
      </c>
      <c r="K465" s="26" t="s">
        <v>296</v>
      </c>
      <c r="L465" s="26" t="s">
        <v>80</v>
      </c>
      <c r="M465" s="26" t="s">
        <v>77</v>
      </c>
      <c r="N465" s="26">
        <v>60</v>
      </c>
      <c r="O465" s="26">
        <v>38</v>
      </c>
      <c r="P465" s="26">
        <v>22</v>
      </c>
      <c r="Q465" s="26">
        <v>8</v>
      </c>
      <c r="R465" s="26">
        <v>1</v>
      </c>
      <c r="S465" s="26">
        <v>16</v>
      </c>
      <c r="T465" s="26">
        <v>6</v>
      </c>
      <c r="U465" s="26">
        <v>23</v>
      </c>
      <c r="V465" s="26">
        <v>1</v>
      </c>
    </row>
    <row r="466" spans="1:22" x14ac:dyDescent="0.25">
      <c r="A466" s="26" t="s">
        <v>3706</v>
      </c>
      <c r="B466" s="26" t="s">
        <v>3783</v>
      </c>
      <c r="C466" s="26" t="s">
        <v>3784</v>
      </c>
      <c r="D466" s="26" t="s">
        <v>218</v>
      </c>
      <c r="E466" s="26" t="s">
        <v>3785</v>
      </c>
      <c r="F466" s="26" t="s">
        <v>502</v>
      </c>
      <c r="G466" s="26" t="s">
        <v>293</v>
      </c>
      <c r="H466" s="26" t="s">
        <v>594</v>
      </c>
      <c r="I466" s="26" t="s">
        <v>184</v>
      </c>
      <c r="J466" s="26" t="s">
        <v>503</v>
      </c>
      <c r="K466" s="26" t="s">
        <v>296</v>
      </c>
      <c r="L466" s="26" t="s">
        <v>80</v>
      </c>
      <c r="M466" s="26" t="s">
        <v>77</v>
      </c>
      <c r="N466" s="26">
        <v>175</v>
      </c>
      <c r="O466" s="26">
        <v>110</v>
      </c>
      <c r="P466" s="26">
        <v>65</v>
      </c>
      <c r="Q466" s="26">
        <v>16</v>
      </c>
      <c r="R466" s="26">
        <v>1</v>
      </c>
      <c r="S466" s="26">
        <v>19</v>
      </c>
      <c r="T466" s="26">
        <v>12</v>
      </c>
      <c r="U466" s="26">
        <v>32</v>
      </c>
      <c r="V466" s="26">
        <v>1</v>
      </c>
    </row>
    <row r="467" spans="1:22" x14ac:dyDescent="0.25">
      <c r="A467" s="26" t="s">
        <v>3706</v>
      </c>
      <c r="B467" s="26" t="s">
        <v>3786</v>
      </c>
      <c r="C467" s="26" t="s">
        <v>3787</v>
      </c>
      <c r="D467" s="26" t="s">
        <v>218</v>
      </c>
      <c r="E467" s="26" t="s">
        <v>3788</v>
      </c>
      <c r="F467" s="26" t="s">
        <v>3789</v>
      </c>
      <c r="G467" s="26" t="s">
        <v>293</v>
      </c>
      <c r="H467" s="26" t="s">
        <v>594</v>
      </c>
      <c r="I467" s="26" t="s">
        <v>1259</v>
      </c>
      <c r="J467" s="26" t="s">
        <v>1145</v>
      </c>
      <c r="K467" s="26" t="s">
        <v>296</v>
      </c>
      <c r="L467" s="26" t="s">
        <v>80</v>
      </c>
      <c r="M467" s="26" t="s">
        <v>77</v>
      </c>
      <c r="N467" s="26">
        <v>135</v>
      </c>
      <c r="O467" s="26">
        <v>81</v>
      </c>
      <c r="P467" s="26">
        <v>54</v>
      </c>
      <c r="Q467" s="26">
        <v>12</v>
      </c>
      <c r="R467" s="26">
        <v>1</v>
      </c>
      <c r="S467" s="26">
        <v>16</v>
      </c>
      <c r="T467" s="26">
        <v>11</v>
      </c>
      <c r="U467" s="26">
        <v>28</v>
      </c>
      <c r="V467" s="26">
        <v>1</v>
      </c>
    </row>
    <row r="468" spans="1:22" x14ac:dyDescent="0.25">
      <c r="A468" s="26" t="s">
        <v>3706</v>
      </c>
      <c r="B468" s="26" t="s">
        <v>3790</v>
      </c>
      <c r="C468" s="26" t="s">
        <v>3791</v>
      </c>
      <c r="D468" s="26" t="s">
        <v>218</v>
      </c>
      <c r="E468" s="26" t="s">
        <v>3792</v>
      </c>
      <c r="F468" s="26" t="s">
        <v>3793</v>
      </c>
      <c r="G468" s="26" t="s">
        <v>252</v>
      </c>
      <c r="H468" s="26" t="s">
        <v>756</v>
      </c>
      <c r="I468" s="26" t="s">
        <v>184</v>
      </c>
      <c r="J468" s="26" t="s">
        <v>2565</v>
      </c>
      <c r="K468" s="26" t="s">
        <v>2405</v>
      </c>
      <c r="L468" s="26" t="s">
        <v>79</v>
      </c>
      <c r="M468" s="26" t="s">
        <v>77</v>
      </c>
      <c r="N468" s="26">
        <v>159</v>
      </c>
      <c r="O468" s="26">
        <v>97</v>
      </c>
      <c r="P468" s="26">
        <v>62</v>
      </c>
      <c r="Q468" s="26">
        <v>16</v>
      </c>
      <c r="R468" s="26">
        <v>1</v>
      </c>
      <c r="S468" s="26">
        <v>15</v>
      </c>
      <c r="T468" s="26">
        <v>14</v>
      </c>
      <c r="U468" s="26">
        <v>30</v>
      </c>
      <c r="V468" s="26">
        <v>1</v>
      </c>
    </row>
    <row r="469" spans="1:22" x14ac:dyDescent="0.25">
      <c r="A469" s="26" t="s">
        <v>3706</v>
      </c>
      <c r="B469" s="26" t="s">
        <v>3794</v>
      </c>
      <c r="C469" s="26" t="s">
        <v>3795</v>
      </c>
      <c r="D469" s="26" t="s">
        <v>179</v>
      </c>
      <c r="E469" s="26" t="s">
        <v>3796</v>
      </c>
      <c r="F469" s="26" t="s">
        <v>3797</v>
      </c>
      <c r="G469" s="26" t="s">
        <v>252</v>
      </c>
      <c r="H469" s="26" t="s">
        <v>523</v>
      </c>
      <c r="I469" s="26" t="s">
        <v>184</v>
      </c>
      <c r="J469" s="26" t="s">
        <v>2565</v>
      </c>
      <c r="K469" s="26" t="s">
        <v>2405</v>
      </c>
      <c r="L469" s="26" t="s">
        <v>79</v>
      </c>
      <c r="M469" s="26" t="s">
        <v>77</v>
      </c>
      <c r="N469" s="26">
        <v>120</v>
      </c>
      <c r="O469" s="26">
        <v>75</v>
      </c>
      <c r="P469" s="26">
        <v>45</v>
      </c>
      <c r="Q469" s="26">
        <v>13</v>
      </c>
      <c r="R469" s="26">
        <v>1</v>
      </c>
      <c r="S469" s="26">
        <v>13</v>
      </c>
      <c r="T469" s="26">
        <v>16</v>
      </c>
      <c r="U469" s="26">
        <v>30</v>
      </c>
      <c r="V469" s="26">
        <v>1</v>
      </c>
    </row>
    <row r="470" spans="1:22" x14ac:dyDescent="0.25">
      <c r="A470" s="26" t="s">
        <v>3706</v>
      </c>
      <c r="B470" s="26" t="s">
        <v>3798</v>
      </c>
      <c r="C470" s="26" t="s">
        <v>3799</v>
      </c>
      <c r="D470" s="26" t="s">
        <v>218</v>
      </c>
      <c r="E470" s="26" t="s">
        <v>4112</v>
      </c>
      <c r="F470" s="26" t="s">
        <v>2682</v>
      </c>
      <c r="G470" s="26" t="s">
        <v>413</v>
      </c>
      <c r="H470" s="26" t="s">
        <v>1026</v>
      </c>
      <c r="I470" s="26" t="s">
        <v>184</v>
      </c>
      <c r="J470" s="26" t="s">
        <v>2509</v>
      </c>
      <c r="K470" s="26" t="s">
        <v>2405</v>
      </c>
      <c r="L470" s="26" t="s">
        <v>79</v>
      </c>
      <c r="M470" s="26" t="s">
        <v>77</v>
      </c>
      <c r="N470" s="26">
        <v>117</v>
      </c>
      <c r="O470" s="26">
        <v>70</v>
      </c>
      <c r="P470" s="26">
        <v>47</v>
      </c>
      <c r="Q470" s="26">
        <v>11</v>
      </c>
      <c r="R470" s="26">
        <v>1</v>
      </c>
      <c r="S470" s="26">
        <v>13</v>
      </c>
      <c r="T470" s="26">
        <v>10</v>
      </c>
      <c r="U470" s="26">
        <v>24</v>
      </c>
      <c r="V470" s="26">
        <v>1</v>
      </c>
    </row>
    <row r="471" spans="1:22" x14ac:dyDescent="0.25">
      <c r="A471" s="26" t="s">
        <v>3706</v>
      </c>
      <c r="B471" s="26" t="s">
        <v>3800</v>
      </c>
      <c r="C471" s="26" t="s">
        <v>3801</v>
      </c>
      <c r="D471" s="26" t="s">
        <v>218</v>
      </c>
      <c r="E471" s="26" t="s">
        <v>3802</v>
      </c>
      <c r="F471" s="26" t="s">
        <v>982</v>
      </c>
      <c r="G471" s="26" t="s">
        <v>4126</v>
      </c>
      <c r="H471" s="26" t="s">
        <v>205</v>
      </c>
      <c r="I471" s="26" t="s">
        <v>184</v>
      </c>
      <c r="J471" s="26" t="s">
        <v>2411</v>
      </c>
      <c r="K471" s="26" t="s">
        <v>2405</v>
      </c>
      <c r="L471" s="26" t="s">
        <v>79</v>
      </c>
      <c r="M471" s="26" t="s">
        <v>77</v>
      </c>
      <c r="N471" s="26">
        <v>23</v>
      </c>
      <c r="O471" s="26">
        <v>13</v>
      </c>
      <c r="P471" s="26">
        <v>10</v>
      </c>
      <c r="Q471" s="26">
        <v>4</v>
      </c>
      <c r="R471" s="26">
        <v>1</v>
      </c>
      <c r="S471" s="26">
        <v>7</v>
      </c>
      <c r="T471" s="26">
        <v>4</v>
      </c>
      <c r="U471" s="26">
        <v>12</v>
      </c>
      <c r="V471" s="26">
        <v>1</v>
      </c>
    </row>
    <row r="472" spans="1:22" x14ac:dyDescent="0.25">
      <c r="A472" s="26" t="s">
        <v>3706</v>
      </c>
      <c r="B472" s="26" t="s">
        <v>3803</v>
      </c>
      <c r="C472" s="26" t="s">
        <v>3804</v>
      </c>
      <c r="D472" s="26" t="s">
        <v>218</v>
      </c>
      <c r="E472" s="26" t="s">
        <v>4113</v>
      </c>
      <c r="F472" s="26" t="s">
        <v>2301</v>
      </c>
      <c r="G472" s="26" t="s">
        <v>413</v>
      </c>
      <c r="H472" s="26" t="s">
        <v>756</v>
      </c>
      <c r="I472" s="26" t="s">
        <v>184</v>
      </c>
      <c r="J472" s="26" t="s">
        <v>2509</v>
      </c>
      <c r="K472" s="26" t="s">
        <v>2405</v>
      </c>
      <c r="L472" s="26" t="s">
        <v>79</v>
      </c>
      <c r="M472" s="26" t="s">
        <v>77</v>
      </c>
      <c r="N472" s="26">
        <v>57</v>
      </c>
      <c r="O472" s="26">
        <v>34</v>
      </c>
      <c r="P472" s="26">
        <v>23</v>
      </c>
      <c r="Q472" s="26">
        <v>10</v>
      </c>
      <c r="R472" s="26">
        <v>1</v>
      </c>
      <c r="S472" s="26">
        <v>9</v>
      </c>
      <c r="T472" s="26">
        <v>11</v>
      </c>
      <c r="U472" s="26">
        <v>21</v>
      </c>
      <c r="V472" s="26">
        <v>1</v>
      </c>
    </row>
    <row r="473" spans="1:22" x14ac:dyDescent="0.25">
      <c r="A473" s="26" t="s">
        <v>3706</v>
      </c>
      <c r="B473" s="26" t="s">
        <v>3805</v>
      </c>
      <c r="C473" s="26" t="s">
        <v>3806</v>
      </c>
      <c r="D473" s="26" t="s">
        <v>179</v>
      </c>
      <c r="E473" s="26" t="s">
        <v>3701</v>
      </c>
      <c r="F473" s="26" t="s">
        <v>982</v>
      </c>
      <c r="G473" s="26" t="s">
        <v>4126</v>
      </c>
      <c r="H473" s="26" t="s">
        <v>205</v>
      </c>
      <c r="I473" s="26" t="s">
        <v>184</v>
      </c>
      <c r="J473" s="26" t="s">
        <v>2411</v>
      </c>
      <c r="K473" s="26" t="s">
        <v>2405</v>
      </c>
      <c r="L473" s="26" t="s">
        <v>79</v>
      </c>
      <c r="M473" s="26" t="s">
        <v>77</v>
      </c>
      <c r="N473" s="26">
        <v>65</v>
      </c>
      <c r="O473" s="26">
        <v>45</v>
      </c>
      <c r="P473" s="26">
        <v>20</v>
      </c>
      <c r="Q473" s="26">
        <v>11</v>
      </c>
      <c r="R473" s="26">
        <v>1</v>
      </c>
      <c r="S473" s="26">
        <v>10</v>
      </c>
      <c r="T473" s="26">
        <v>13</v>
      </c>
      <c r="U473" s="26">
        <v>24</v>
      </c>
      <c r="V473" s="26">
        <v>1</v>
      </c>
    </row>
    <row r="474" spans="1:22" x14ac:dyDescent="0.25">
      <c r="A474" s="26" t="s">
        <v>3706</v>
      </c>
      <c r="B474" s="26" t="s">
        <v>3807</v>
      </c>
      <c r="C474" s="26" t="s">
        <v>3808</v>
      </c>
      <c r="D474" s="26" t="s">
        <v>218</v>
      </c>
      <c r="E474" s="26" t="s">
        <v>3809</v>
      </c>
      <c r="F474" s="26" t="s">
        <v>2560</v>
      </c>
      <c r="G474" s="26" t="s">
        <v>487</v>
      </c>
      <c r="H474" s="26" t="s">
        <v>351</v>
      </c>
      <c r="I474" s="26" t="s">
        <v>184</v>
      </c>
      <c r="J474" s="26" t="s">
        <v>2404</v>
      </c>
      <c r="K474" s="26" t="s">
        <v>2405</v>
      </c>
      <c r="L474" s="26" t="s">
        <v>79</v>
      </c>
      <c r="M474" s="26" t="s">
        <v>77</v>
      </c>
      <c r="N474" s="26">
        <v>199</v>
      </c>
      <c r="O474" s="26">
        <v>130</v>
      </c>
      <c r="P474" s="26">
        <v>69</v>
      </c>
      <c r="Q474" s="26">
        <v>18</v>
      </c>
      <c r="R474" s="26">
        <v>1</v>
      </c>
      <c r="S474" s="26">
        <v>18</v>
      </c>
      <c r="T474" s="26">
        <v>18</v>
      </c>
      <c r="U474" s="26">
        <v>37</v>
      </c>
      <c r="V474" s="26">
        <v>1</v>
      </c>
    </row>
    <row r="475" spans="1:22" x14ac:dyDescent="0.25">
      <c r="A475" s="26" t="s">
        <v>3706</v>
      </c>
      <c r="B475" s="26" t="s">
        <v>3810</v>
      </c>
      <c r="C475" s="26" t="s">
        <v>3811</v>
      </c>
      <c r="D475" s="26" t="s">
        <v>218</v>
      </c>
      <c r="E475" s="26" t="s">
        <v>4051</v>
      </c>
      <c r="F475" s="26" t="s">
        <v>3812</v>
      </c>
      <c r="G475" s="26" t="s">
        <v>487</v>
      </c>
      <c r="H475" s="26" t="s">
        <v>926</v>
      </c>
      <c r="I475" s="26" t="s">
        <v>184</v>
      </c>
      <c r="J475" s="26" t="s">
        <v>2404</v>
      </c>
      <c r="K475" s="26" t="s">
        <v>2405</v>
      </c>
      <c r="L475" s="26" t="s">
        <v>79</v>
      </c>
      <c r="M475" s="26" t="s">
        <v>77</v>
      </c>
      <c r="N475" s="26">
        <v>95</v>
      </c>
      <c r="O475" s="26">
        <v>69</v>
      </c>
      <c r="P475" s="26">
        <v>26</v>
      </c>
      <c r="Q475" s="26">
        <v>12</v>
      </c>
      <c r="R475" s="26">
        <v>1</v>
      </c>
      <c r="S475" s="26">
        <v>11</v>
      </c>
      <c r="T475" s="26">
        <v>10</v>
      </c>
      <c r="U475" s="26">
        <v>22</v>
      </c>
      <c r="V475" s="26">
        <v>1</v>
      </c>
    </row>
    <row r="476" spans="1:22" x14ac:dyDescent="0.25">
      <c r="A476" s="26" t="s">
        <v>3706</v>
      </c>
      <c r="B476" s="26" t="s">
        <v>3813</v>
      </c>
      <c r="C476" s="26" t="s">
        <v>3814</v>
      </c>
      <c r="D476" s="26" t="s">
        <v>218</v>
      </c>
      <c r="E476" s="26" t="s">
        <v>3815</v>
      </c>
      <c r="F476" s="26" t="s">
        <v>636</v>
      </c>
      <c r="G476" s="26" t="s">
        <v>637</v>
      </c>
      <c r="H476" s="26" t="s">
        <v>523</v>
      </c>
      <c r="I476" s="26" t="s">
        <v>184</v>
      </c>
      <c r="J476" s="26" t="s">
        <v>2404</v>
      </c>
      <c r="K476" s="26" t="s">
        <v>2405</v>
      </c>
      <c r="L476" s="26" t="s">
        <v>79</v>
      </c>
      <c r="M476" s="26" t="s">
        <v>77</v>
      </c>
      <c r="N476" s="26">
        <v>102</v>
      </c>
      <c r="O476" s="26">
        <v>68</v>
      </c>
      <c r="P476" s="26">
        <v>34</v>
      </c>
      <c r="Q476" s="26">
        <v>15</v>
      </c>
      <c r="R476" s="26">
        <v>1</v>
      </c>
      <c r="S476" s="26">
        <v>11</v>
      </c>
      <c r="T476" s="26">
        <v>10</v>
      </c>
      <c r="U476" s="26">
        <v>22</v>
      </c>
      <c r="V476" s="26">
        <v>1</v>
      </c>
    </row>
    <row r="477" spans="1:22" x14ac:dyDescent="0.25">
      <c r="A477" s="26" t="s">
        <v>3706</v>
      </c>
      <c r="B477" s="26" t="s">
        <v>3816</v>
      </c>
      <c r="C477" s="26" t="s">
        <v>3817</v>
      </c>
      <c r="D477" s="26" t="s">
        <v>218</v>
      </c>
      <c r="E477" s="26" t="s">
        <v>4114</v>
      </c>
      <c r="F477" s="26" t="s">
        <v>2322</v>
      </c>
      <c r="G477" s="26" t="s">
        <v>191</v>
      </c>
      <c r="H477" s="26" t="s">
        <v>1026</v>
      </c>
      <c r="I477" s="26" t="s">
        <v>184</v>
      </c>
      <c r="J477" s="26" t="s">
        <v>2565</v>
      </c>
      <c r="K477" s="26" t="s">
        <v>2405</v>
      </c>
      <c r="L477" s="26" t="s">
        <v>79</v>
      </c>
      <c r="M477" s="26" t="s">
        <v>77</v>
      </c>
      <c r="N477" s="26">
        <v>85</v>
      </c>
      <c r="O477" s="26">
        <v>68</v>
      </c>
      <c r="P477" s="26">
        <v>17</v>
      </c>
      <c r="Q477" s="26">
        <v>9</v>
      </c>
      <c r="R477" s="26">
        <v>1</v>
      </c>
      <c r="S477" s="26">
        <v>9</v>
      </c>
      <c r="T477" s="26">
        <v>10</v>
      </c>
      <c r="U477" s="26">
        <v>20</v>
      </c>
      <c r="V477" s="26">
        <v>1</v>
      </c>
    </row>
    <row r="478" spans="1:22" x14ac:dyDescent="0.25">
      <c r="A478" s="26" t="s">
        <v>3706</v>
      </c>
      <c r="B478" s="26" t="s">
        <v>3818</v>
      </c>
      <c r="C478" s="26" t="s">
        <v>3819</v>
      </c>
      <c r="D478" s="26" t="s">
        <v>218</v>
      </c>
      <c r="E478" s="26" t="s">
        <v>3820</v>
      </c>
      <c r="F478" s="26" t="s">
        <v>3821</v>
      </c>
      <c r="G478" s="26" t="s">
        <v>278</v>
      </c>
      <c r="H478" s="26" t="s">
        <v>1693</v>
      </c>
      <c r="I478" s="26" t="s">
        <v>184</v>
      </c>
      <c r="J478" s="26" t="s">
        <v>2509</v>
      </c>
      <c r="K478" s="26" t="s">
        <v>2405</v>
      </c>
      <c r="L478" s="26" t="s">
        <v>79</v>
      </c>
      <c r="M478" s="26" t="s">
        <v>77</v>
      </c>
      <c r="N478" s="26">
        <v>86</v>
      </c>
      <c r="O478" s="26">
        <v>49</v>
      </c>
      <c r="P478" s="26">
        <v>37</v>
      </c>
      <c r="Q478" s="26">
        <v>9</v>
      </c>
      <c r="R478" s="26">
        <v>1</v>
      </c>
      <c r="S478" s="26">
        <v>11</v>
      </c>
      <c r="T478" s="26">
        <v>11</v>
      </c>
      <c r="U478" s="26">
        <v>23</v>
      </c>
      <c r="V478" s="26">
        <v>1</v>
      </c>
    </row>
    <row r="479" spans="1:22" x14ac:dyDescent="0.25">
      <c r="A479" s="26" t="s">
        <v>3706</v>
      </c>
      <c r="B479" s="26" t="s">
        <v>3822</v>
      </c>
      <c r="C479" s="26" t="s">
        <v>3823</v>
      </c>
      <c r="D479" s="26" t="s">
        <v>218</v>
      </c>
      <c r="E479" s="26" t="s">
        <v>3824</v>
      </c>
      <c r="F479" s="26" t="s">
        <v>3825</v>
      </c>
      <c r="G479" s="26" t="s">
        <v>278</v>
      </c>
      <c r="H479" s="26" t="s">
        <v>643</v>
      </c>
      <c r="I479" s="26" t="s">
        <v>184</v>
      </c>
      <c r="J479" s="26" t="s">
        <v>2509</v>
      </c>
      <c r="K479" s="26" t="s">
        <v>2405</v>
      </c>
      <c r="L479" s="26" t="s">
        <v>79</v>
      </c>
      <c r="M479" s="26" t="s">
        <v>77</v>
      </c>
      <c r="N479" s="26">
        <v>125</v>
      </c>
      <c r="O479" s="26">
        <v>74</v>
      </c>
      <c r="P479" s="26">
        <v>51</v>
      </c>
      <c r="Q479" s="26">
        <v>15</v>
      </c>
      <c r="R479" s="26">
        <v>1</v>
      </c>
      <c r="S479" s="26">
        <v>19</v>
      </c>
      <c r="T479" s="26">
        <v>19</v>
      </c>
      <c r="U479" s="26">
        <v>39</v>
      </c>
      <c r="V479" s="26">
        <v>1</v>
      </c>
    </row>
    <row r="480" spans="1:22" x14ac:dyDescent="0.25">
      <c r="A480" s="26" t="s">
        <v>3706</v>
      </c>
      <c r="B480" s="26" t="s">
        <v>3826</v>
      </c>
      <c r="C480" s="26" t="s">
        <v>3827</v>
      </c>
      <c r="D480" s="26" t="s">
        <v>179</v>
      </c>
      <c r="E480" s="26" t="s">
        <v>3828</v>
      </c>
      <c r="F480" s="26" t="s">
        <v>457</v>
      </c>
      <c r="G480" s="26" t="s">
        <v>4126</v>
      </c>
      <c r="H480" s="26" t="s">
        <v>526</v>
      </c>
      <c r="I480" s="26" t="s">
        <v>184</v>
      </c>
      <c r="J480" s="26" t="s">
        <v>2411</v>
      </c>
      <c r="K480" s="26" t="s">
        <v>2405</v>
      </c>
      <c r="L480" s="26" t="s">
        <v>79</v>
      </c>
      <c r="M480" s="26" t="s">
        <v>77</v>
      </c>
      <c r="N480" s="26">
        <v>181</v>
      </c>
      <c r="O480" s="26">
        <v>114</v>
      </c>
      <c r="P480" s="26">
        <v>67</v>
      </c>
      <c r="Q480" s="26">
        <v>18</v>
      </c>
      <c r="R480" s="26">
        <v>1</v>
      </c>
      <c r="S480" s="26">
        <v>17</v>
      </c>
      <c r="T480" s="26">
        <v>5</v>
      </c>
      <c r="U480" s="26">
        <v>23</v>
      </c>
      <c r="V480" s="26">
        <v>1</v>
      </c>
    </row>
    <row r="481" spans="1:22" x14ac:dyDescent="0.25">
      <c r="A481" s="26" t="s">
        <v>3706</v>
      </c>
      <c r="B481" s="26" t="s">
        <v>3829</v>
      </c>
      <c r="C481" s="26" t="s">
        <v>3830</v>
      </c>
      <c r="D481" s="26" t="s">
        <v>218</v>
      </c>
      <c r="E481" s="26" t="s">
        <v>3831</v>
      </c>
      <c r="F481" s="26" t="s">
        <v>220</v>
      </c>
      <c r="G481" s="26" t="s">
        <v>4126</v>
      </c>
      <c r="H481" s="26" t="s">
        <v>523</v>
      </c>
      <c r="I481" s="26" t="s">
        <v>184</v>
      </c>
      <c r="J481" s="26" t="s">
        <v>2411</v>
      </c>
      <c r="K481" s="26" t="s">
        <v>2405</v>
      </c>
      <c r="L481" s="26" t="s">
        <v>79</v>
      </c>
      <c r="M481" s="26" t="s">
        <v>77</v>
      </c>
      <c r="N481" s="26">
        <v>75</v>
      </c>
      <c r="O481" s="26">
        <v>47</v>
      </c>
      <c r="P481" s="26">
        <v>28</v>
      </c>
      <c r="Q481" s="26">
        <v>11</v>
      </c>
      <c r="R481" s="26">
        <v>1</v>
      </c>
      <c r="S481" s="26">
        <v>11</v>
      </c>
      <c r="T481" s="26">
        <v>8</v>
      </c>
      <c r="U481" s="26">
        <v>20</v>
      </c>
      <c r="V481" s="26">
        <v>1</v>
      </c>
    </row>
    <row r="482" spans="1:22" x14ac:dyDescent="0.25">
      <c r="A482" s="26" t="s">
        <v>3706</v>
      </c>
      <c r="B482" s="26" t="s">
        <v>3832</v>
      </c>
      <c r="C482" s="26" t="s">
        <v>3833</v>
      </c>
      <c r="D482" s="26" t="s">
        <v>218</v>
      </c>
      <c r="E482" s="26" t="s">
        <v>3834</v>
      </c>
      <c r="F482" s="26" t="s">
        <v>598</v>
      </c>
      <c r="G482" s="26" t="s">
        <v>4126</v>
      </c>
      <c r="H482" s="26" t="s">
        <v>526</v>
      </c>
      <c r="I482" s="26" t="s">
        <v>184</v>
      </c>
      <c r="J482" s="26" t="s">
        <v>2411</v>
      </c>
      <c r="K482" s="26" t="s">
        <v>2405</v>
      </c>
      <c r="L482" s="26" t="s">
        <v>79</v>
      </c>
      <c r="M482" s="26" t="s">
        <v>77</v>
      </c>
      <c r="N482" s="26">
        <v>164</v>
      </c>
      <c r="O482" s="26">
        <v>103</v>
      </c>
      <c r="P482" s="26">
        <v>61</v>
      </c>
      <c r="Q482" s="26">
        <v>13</v>
      </c>
      <c r="R482" s="26">
        <v>1</v>
      </c>
      <c r="S482" s="26">
        <v>42</v>
      </c>
      <c r="T482" s="26">
        <v>37</v>
      </c>
      <c r="U482" s="26">
        <v>80</v>
      </c>
      <c r="V482" s="26">
        <v>1</v>
      </c>
    </row>
    <row r="483" spans="1:22" x14ac:dyDescent="0.25">
      <c r="A483" s="26" t="s">
        <v>3706</v>
      </c>
      <c r="B483" s="26" t="s">
        <v>3835</v>
      </c>
      <c r="C483" s="26" t="s">
        <v>3836</v>
      </c>
      <c r="D483" s="26" t="s">
        <v>218</v>
      </c>
      <c r="E483" s="26" t="s">
        <v>4104</v>
      </c>
      <c r="F483" s="26" t="s">
        <v>3545</v>
      </c>
      <c r="G483" s="26" t="s">
        <v>413</v>
      </c>
      <c r="H483" s="26" t="s">
        <v>321</v>
      </c>
      <c r="I483" s="26" t="s">
        <v>184</v>
      </c>
      <c r="J483" s="26" t="s">
        <v>2509</v>
      </c>
      <c r="K483" s="26" t="s">
        <v>2405</v>
      </c>
      <c r="L483" s="26" t="s">
        <v>79</v>
      </c>
      <c r="M483" s="26" t="s">
        <v>77</v>
      </c>
      <c r="N483" s="26">
        <v>140</v>
      </c>
      <c r="O483" s="26">
        <v>86</v>
      </c>
      <c r="P483" s="26">
        <v>54</v>
      </c>
      <c r="Q483" s="26">
        <v>10</v>
      </c>
      <c r="R483" s="26">
        <v>1</v>
      </c>
      <c r="S483" s="26">
        <v>12</v>
      </c>
      <c r="T483" s="26">
        <v>11</v>
      </c>
      <c r="U483" s="26">
        <v>24</v>
      </c>
      <c r="V483" s="26">
        <v>1</v>
      </c>
    </row>
    <row r="484" spans="1:22" x14ac:dyDescent="0.25">
      <c r="A484" s="26" t="s">
        <v>3706</v>
      </c>
      <c r="B484" s="26" t="s">
        <v>3837</v>
      </c>
      <c r="C484" s="26" t="s">
        <v>3838</v>
      </c>
      <c r="D484" s="26" t="s">
        <v>218</v>
      </c>
      <c r="E484" s="26" t="s">
        <v>3839</v>
      </c>
      <c r="F484" s="26" t="s">
        <v>2543</v>
      </c>
      <c r="G484" s="26" t="s">
        <v>278</v>
      </c>
      <c r="H484" s="26" t="s">
        <v>687</v>
      </c>
      <c r="I484" s="26" t="s">
        <v>184</v>
      </c>
      <c r="J484" s="26" t="s">
        <v>2509</v>
      </c>
      <c r="K484" s="26" t="s">
        <v>2405</v>
      </c>
      <c r="L484" s="26" t="s">
        <v>79</v>
      </c>
      <c r="M484" s="26" t="s">
        <v>77</v>
      </c>
      <c r="N484" s="26">
        <v>128</v>
      </c>
      <c r="O484" s="26">
        <v>79</v>
      </c>
      <c r="P484" s="26">
        <v>49</v>
      </c>
      <c r="Q484" s="26">
        <v>11</v>
      </c>
      <c r="R484" s="26">
        <v>1</v>
      </c>
      <c r="S484" s="26">
        <v>11</v>
      </c>
      <c r="T484" s="26">
        <v>14</v>
      </c>
      <c r="U484" s="26">
        <v>26</v>
      </c>
      <c r="V484" s="26">
        <v>1</v>
      </c>
    </row>
    <row r="485" spans="1:22" x14ac:dyDescent="0.25">
      <c r="A485" s="26" t="s">
        <v>3706</v>
      </c>
      <c r="B485" s="26" t="s">
        <v>3840</v>
      </c>
      <c r="C485" s="26" t="s">
        <v>3841</v>
      </c>
      <c r="D485" s="26" t="s">
        <v>179</v>
      </c>
      <c r="E485" s="26" t="s">
        <v>4115</v>
      </c>
      <c r="F485" s="26" t="s">
        <v>745</v>
      </c>
      <c r="G485" s="26" t="s">
        <v>265</v>
      </c>
      <c r="H485" s="26" t="s">
        <v>594</v>
      </c>
      <c r="I485" s="26" t="s">
        <v>184</v>
      </c>
      <c r="J485" s="26" t="s">
        <v>2411</v>
      </c>
      <c r="K485" s="26" t="s">
        <v>2405</v>
      </c>
      <c r="L485" s="26" t="s">
        <v>79</v>
      </c>
      <c r="M485" s="26" t="s">
        <v>77</v>
      </c>
      <c r="N485" s="26">
        <v>70</v>
      </c>
      <c r="O485" s="26">
        <v>40</v>
      </c>
      <c r="P485" s="26">
        <v>30</v>
      </c>
      <c r="Q485" s="26">
        <v>11</v>
      </c>
      <c r="R485" s="26">
        <v>1</v>
      </c>
      <c r="S485" s="26">
        <v>10</v>
      </c>
      <c r="T485" s="26">
        <v>8</v>
      </c>
      <c r="U485" s="26">
        <v>19</v>
      </c>
      <c r="V485" s="26">
        <v>1</v>
      </c>
    </row>
    <row r="486" spans="1:22" x14ac:dyDescent="0.25">
      <c r="A486" s="26" t="s">
        <v>3706</v>
      </c>
      <c r="B486" s="26" t="s">
        <v>3842</v>
      </c>
      <c r="C486" s="26" t="s">
        <v>3843</v>
      </c>
      <c r="D486" s="26" t="s">
        <v>218</v>
      </c>
      <c r="E486" s="26" t="s">
        <v>3844</v>
      </c>
      <c r="F486" s="26" t="s">
        <v>3845</v>
      </c>
      <c r="G486" s="26" t="s">
        <v>204</v>
      </c>
      <c r="H486" s="26" t="s">
        <v>677</v>
      </c>
      <c r="I486" s="26" t="s">
        <v>184</v>
      </c>
      <c r="J486" s="26" t="s">
        <v>2411</v>
      </c>
      <c r="K486" s="26" t="s">
        <v>2405</v>
      </c>
      <c r="L486" s="26" t="s">
        <v>79</v>
      </c>
      <c r="M486" s="26" t="s">
        <v>77</v>
      </c>
      <c r="N486" s="26">
        <v>94</v>
      </c>
      <c r="O486" s="26">
        <v>67</v>
      </c>
      <c r="P486" s="26">
        <v>27</v>
      </c>
      <c r="Q486" s="26">
        <v>12</v>
      </c>
      <c r="R486" s="26">
        <v>1</v>
      </c>
      <c r="S486" s="26">
        <v>12</v>
      </c>
      <c r="T486" s="26">
        <v>13</v>
      </c>
      <c r="U486" s="26">
        <v>26</v>
      </c>
      <c r="V486" s="26">
        <v>1</v>
      </c>
    </row>
    <row r="487" spans="1:22" x14ac:dyDescent="0.25">
      <c r="A487" s="26" t="s">
        <v>3706</v>
      </c>
      <c r="B487" s="26" t="s">
        <v>3846</v>
      </c>
      <c r="C487" s="26" t="s">
        <v>3847</v>
      </c>
      <c r="D487" s="26" t="s">
        <v>218</v>
      </c>
      <c r="E487" s="26" t="s">
        <v>4116</v>
      </c>
      <c r="F487" s="26" t="s">
        <v>1291</v>
      </c>
      <c r="G487" s="26" t="s">
        <v>210</v>
      </c>
      <c r="H487" s="26" t="s">
        <v>594</v>
      </c>
      <c r="I487" s="26" t="s">
        <v>184</v>
      </c>
      <c r="J487" s="26" t="s">
        <v>2448</v>
      </c>
      <c r="K487" s="26" t="s">
        <v>2405</v>
      </c>
      <c r="L487" s="26" t="s">
        <v>79</v>
      </c>
      <c r="M487" s="26" t="s">
        <v>77</v>
      </c>
      <c r="N487" s="26">
        <v>84</v>
      </c>
      <c r="O487" s="26">
        <v>48</v>
      </c>
      <c r="P487" s="26">
        <v>36</v>
      </c>
      <c r="Q487" s="26">
        <v>12</v>
      </c>
      <c r="R487" s="26">
        <v>1</v>
      </c>
      <c r="S487" s="26">
        <v>11</v>
      </c>
      <c r="T487" s="26">
        <v>16</v>
      </c>
      <c r="U487" s="26">
        <v>28</v>
      </c>
      <c r="V487" s="26">
        <v>1</v>
      </c>
    </row>
    <row r="488" spans="1:22" x14ac:dyDescent="0.25">
      <c r="A488" s="26" t="s">
        <v>3706</v>
      </c>
      <c r="B488" s="26" t="s">
        <v>3848</v>
      </c>
      <c r="C488" s="26" t="s">
        <v>3849</v>
      </c>
      <c r="D488" s="26" t="s">
        <v>218</v>
      </c>
      <c r="E488" s="26" t="s">
        <v>3850</v>
      </c>
      <c r="F488" s="26" t="s">
        <v>890</v>
      </c>
      <c r="G488" s="26" t="s">
        <v>210</v>
      </c>
      <c r="H488" s="26" t="s">
        <v>1026</v>
      </c>
      <c r="I488" s="26" t="s">
        <v>184</v>
      </c>
      <c r="J488" s="26" t="s">
        <v>2448</v>
      </c>
      <c r="K488" s="26" t="s">
        <v>2405</v>
      </c>
      <c r="L488" s="26" t="s">
        <v>79</v>
      </c>
      <c r="M488" s="26" t="s">
        <v>77</v>
      </c>
      <c r="N488" s="26">
        <v>120</v>
      </c>
      <c r="O488" s="26">
        <v>75</v>
      </c>
      <c r="P488" s="26">
        <v>45</v>
      </c>
      <c r="Q488" s="26">
        <v>14</v>
      </c>
      <c r="R488" s="26">
        <v>1</v>
      </c>
      <c r="S488" s="26">
        <v>15</v>
      </c>
      <c r="T488" s="26">
        <v>21</v>
      </c>
      <c r="U488" s="26">
        <v>37</v>
      </c>
      <c r="V488" s="26">
        <v>1</v>
      </c>
    </row>
    <row r="489" spans="1:22" x14ac:dyDescent="0.25">
      <c r="A489" s="26" t="s">
        <v>3706</v>
      </c>
      <c r="B489" s="26" t="s">
        <v>3851</v>
      </c>
      <c r="C489" s="26" t="s">
        <v>3852</v>
      </c>
      <c r="D489" s="26" t="s">
        <v>218</v>
      </c>
      <c r="E489" s="26" t="s">
        <v>3853</v>
      </c>
      <c r="F489" s="26" t="s">
        <v>2254</v>
      </c>
      <c r="G489" s="26" t="s">
        <v>210</v>
      </c>
      <c r="H489" s="26" t="s">
        <v>351</v>
      </c>
      <c r="I489" s="26" t="s">
        <v>184</v>
      </c>
      <c r="J489" s="26" t="s">
        <v>2448</v>
      </c>
      <c r="K489" s="26" t="s">
        <v>2405</v>
      </c>
      <c r="L489" s="26" t="s">
        <v>79</v>
      </c>
      <c r="M489" s="26" t="s">
        <v>77</v>
      </c>
      <c r="N489" s="26">
        <v>153</v>
      </c>
      <c r="O489" s="26">
        <v>101</v>
      </c>
      <c r="P489" s="26">
        <v>52</v>
      </c>
      <c r="Q489" s="26">
        <v>15</v>
      </c>
      <c r="R489" s="26">
        <v>1</v>
      </c>
      <c r="S489" s="26">
        <v>20</v>
      </c>
      <c r="T489" s="26">
        <v>21</v>
      </c>
      <c r="U489" s="26">
        <v>42</v>
      </c>
      <c r="V489" s="26">
        <v>1</v>
      </c>
    </row>
    <row r="490" spans="1:22" x14ac:dyDescent="0.25">
      <c r="A490" s="26" t="s">
        <v>3706</v>
      </c>
      <c r="B490" s="26" t="s">
        <v>3854</v>
      </c>
      <c r="C490" s="26" t="s">
        <v>3855</v>
      </c>
      <c r="D490" s="26" t="s">
        <v>218</v>
      </c>
      <c r="E490" s="26" t="s">
        <v>4117</v>
      </c>
      <c r="F490" s="26" t="s">
        <v>3856</v>
      </c>
      <c r="G490" s="26" t="s">
        <v>210</v>
      </c>
      <c r="H490" s="26" t="s">
        <v>643</v>
      </c>
      <c r="I490" s="26" t="s">
        <v>184</v>
      </c>
      <c r="J490" s="26" t="s">
        <v>2448</v>
      </c>
      <c r="K490" s="26" t="s">
        <v>2405</v>
      </c>
      <c r="L490" s="26" t="s">
        <v>79</v>
      </c>
      <c r="M490" s="26" t="s">
        <v>77</v>
      </c>
      <c r="N490" s="26">
        <v>67</v>
      </c>
      <c r="O490" s="26">
        <v>42</v>
      </c>
      <c r="P490" s="26">
        <v>25</v>
      </c>
      <c r="Q490" s="26">
        <v>12</v>
      </c>
      <c r="R490" s="26">
        <v>1</v>
      </c>
      <c r="S490" s="26">
        <v>7</v>
      </c>
      <c r="T490" s="26">
        <v>11</v>
      </c>
      <c r="U490" s="26">
        <v>19</v>
      </c>
      <c r="V490" s="26">
        <v>1</v>
      </c>
    </row>
    <row r="491" spans="1:22" x14ac:dyDescent="0.25">
      <c r="A491" s="26" t="s">
        <v>3706</v>
      </c>
      <c r="B491" s="26" t="s">
        <v>3857</v>
      </c>
      <c r="C491" s="26" t="s">
        <v>3858</v>
      </c>
      <c r="D491" s="26" t="s">
        <v>218</v>
      </c>
      <c r="E491" s="26" t="s">
        <v>3859</v>
      </c>
      <c r="F491" s="26" t="s">
        <v>569</v>
      </c>
      <c r="G491" s="26" t="s">
        <v>210</v>
      </c>
      <c r="H491" s="26" t="s">
        <v>1693</v>
      </c>
      <c r="I491" s="26" t="s">
        <v>184</v>
      </c>
      <c r="J491" s="26" t="s">
        <v>2448</v>
      </c>
      <c r="K491" s="26" t="s">
        <v>2405</v>
      </c>
      <c r="L491" s="26" t="s">
        <v>79</v>
      </c>
      <c r="M491" s="26" t="s">
        <v>77</v>
      </c>
      <c r="N491" s="26">
        <v>126</v>
      </c>
      <c r="O491" s="26">
        <v>70</v>
      </c>
      <c r="P491" s="26">
        <v>56</v>
      </c>
      <c r="Q491" s="26">
        <v>12</v>
      </c>
      <c r="R491" s="26">
        <v>1</v>
      </c>
      <c r="S491" s="26">
        <v>21</v>
      </c>
      <c r="T491" s="26">
        <v>19</v>
      </c>
      <c r="U491" s="26">
        <v>41</v>
      </c>
      <c r="V491" s="26">
        <v>1</v>
      </c>
    </row>
    <row r="492" spans="1:22" x14ac:dyDescent="0.25">
      <c r="A492" s="26" t="s">
        <v>3706</v>
      </c>
      <c r="B492" s="26" t="s">
        <v>3860</v>
      </c>
      <c r="C492" s="26" t="s">
        <v>3861</v>
      </c>
      <c r="D492" s="26" t="s">
        <v>218</v>
      </c>
      <c r="E492" s="26" t="s">
        <v>4118</v>
      </c>
      <c r="F492" s="26" t="s">
        <v>1291</v>
      </c>
      <c r="G492" s="26" t="s">
        <v>210</v>
      </c>
      <c r="H492" s="26" t="s">
        <v>594</v>
      </c>
      <c r="I492" s="26" t="s">
        <v>184</v>
      </c>
      <c r="J492" s="26" t="s">
        <v>2448</v>
      </c>
      <c r="K492" s="26" t="s">
        <v>2405</v>
      </c>
      <c r="L492" s="26" t="s">
        <v>79</v>
      </c>
      <c r="M492" s="26" t="s">
        <v>77</v>
      </c>
      <c r="N492" s="26">
        <v>52</v>
      </c>
      <c r="O492" s="26">
        <v>27</v>
      </c>
      <c r="P492" s="26">
        <v>25</v>
      </c>
      <c r="Q492" s="26">
        <v>7</v>
      </c>
      <c r="R492" s="26">
        <v>1</v>
      </c>
      <c r="S492" s="26">
        <v>8</v>
      </c>
      <c r="T492" s="26">
        <v>13</v>
      </c>
      <c r="U492" s="26">
        <v>22</v>
      </c>
      <c r="V492" s="26">
        <v>1</v>
      </c>
    </row>
    <row r="493" spans="1:22" x14ac:dyDescent="0.25">
      <c r="A493" s="26" t="s">
        <v>3706</v>
      </c>
      <c r="B493" s="26" t="s">
        <v>3862</v>
      </c>
      <c r="C493" s="26" t="s">
        <v>3863</v>
      </c>
      <c r="D493" s="26" t="s">
        <v>218</v>
      </c>
      <c r="E493" s="26" t="s">
        <v>2857</v>
      </c>
      <c r="F493" s="26" t="s">
        <v>2858</v>
      </c>
      <c r="G493" s="26" t="s">
        <v>226</v>
      </c>
      <c r="H493" s="26" t="s">
        <v>594</v>
      </c>
      <c r="I493" s="26" t="s">
        <v>184</v>
      </c>
      <c r="J493" s="26" t="s">
        <v>2509</v>
      </c>
      <c r="K493" s="26" t="s">
        <v>2405</v>
      </c>
      <c r="L493" s="26" t="s">
        <v>79</v>
      </c>
      <c r="M493" s="26" t="s">
        <v>77</v>
      </c>
      <c r="N493" s="26">
        <v>49</v>
      </c>
      <c r="O493" s="26">
        <v>20</v>
      </c>
      <c r="P493" s="26">
        <v>29</v>
      </c>
      <c r="Q493" s="26">
        <v>6</v>
      </c>
      <c r="R493" s="26">
        <v>1</v>
      </c>
      <c r="S493" s="26">
        <v>6</v>
      </c>
      <c r="T493" s="26">
        <v>8</v>
      </c>
      <c r="U493" s="26">
        <v>15</v>
      </c>
      <c r="V493" s="26">
        <v>1</v>
      </c>
    </row>
    <row r="494" spans="1:22" x14ac:dyDescent="0.25">
      <c r="A494" s="26" t="s">
        <v>3706</v>
      </c>
      <c r="B494" s="26" t="s">
        <v>3864</v>
      </c>
      <c r="C494" s="26" t="s">
        <v>3865</v>
      </c>
      <c r="D494" s="26" t="s">
        <v>218</v>
      </c>
      <c r="E494" s="26" t="s">
        <v>4119</v>
      </c>
      <c r="F494" s="26" t="s">
        <v>231</v>
      </c>
      <c r="G494" s="26" t="s">
        <v>198</v>
      </c>
      <c r="H494" s="26" t="s">
        <v>294</v>
      </c>
      <c r="I494" s="26" t="s">
        <v>184</v>
      </c>
      <c r="J494" s="26" t="s">
        <v>2404</v>
      </c>
      <c r="K494" s="26" t="s">
        <v>2405</v>
      </c>
      <c r="L494" s="26" t="s">
        <v>79</v>
      </c>
      <c r="M494" s="26" t="s">
        <v>77</v>
      </c>
      <c r="N494" s="26">
        <v>45</v>
      </c>
      <c r="O494" s="26">
        <v>31</v>
      </c>
      <c r="P494" s="26">
        <v>14</v>
      </c>
      <c r="Q494" s="26">
        <v>9</v>
      </c>
      <c r="R494" s="26">
        <v>1</v>
      </c>
      <c r="S494" s="26">
        <v>8</v>
      </c>
      <c r="T494" s="26">
        <v>7</v>
      </c>
      <c r="U494" s="26">
        <v>16</v>
      </c>
      <c r="V494" s="26">
        <v>1</v>
      </c>
    </row>
    <row r="495" spans="1:22" x14ac:dyDescent="0.25">
      <c r="A495" s="26" t="s">
        <v>3706</v>
      </c>
      <c r="B495" s="26" t="s">
        <v>3866</v>
      </c>
      <c r="C495" s="26" t="s">
        <v>3867</v>
      </c>
      <c r="D495" s="26" t="s">
        <v>218</v>
      </c>
      <c r="E495" s="26" t="s">
        <v>3868</v>
      </c>
      <c r="F495" s="26" t="s">
        <v>2663</v>
      </c>
      <c r="G495" s="26" t="s">
        <v>252</v>
      </c>
      <c r="H495" s="26" t="s">
        <v>321</v>
      </c>
      <c r="I495" s="26" t="s">
        <v>184</v>
      </c>
      <c r="J495" s="26" t="s">
        <v>2565</v>
      </c>
      <c r="K495" s="26" t="s">
        <v>2405</v>
      </c>
      <c r="L495" s="26" t="s">
        <v>79</v>
      </c>
      <c r="M495" s="26" t="s">
        <v>77</v>
      </c>
      <c r="N495" s="26">
        <v>96</v>
      </c>
      <c r="O495" s="26">
        <v>58</v>
      </c>
      <c r="P495" s="26">
        <v>38</v>
      </c>
      <c r="Q495" s="26">
        <v>8</v>
      </c>
      <c r="R495" s="26">
        <v>1</v>
      </c>
      <c r="S495" s="26">
        <v>10</v>
      </c>
      <c r="T495" s="26">
        <v>11</v>
      </c>
      <c r="U495" s="26">
        <v>22</v>
      </c>
      <c r="V495" s="26">
        <v>1</v>
      </c>
    </row>
    <row r="496" spans="1:22" x14ac:dyDescent="0.25">
      <c r="A496" s="26" t="s">
        <v>3706</v>
      </c>
      <c r="B496" s="26" t="s">
        <v>3869</v>
      </c>
      <c r="C496" s="26" t="s">
        <v>3870</v>
      </c>
      <c r="D496" s="26" t="s">
        <v>218</v>
      </c>
      <c r="E496" s="26" t="s">
        <v>3871</v>
      </c>
      <c r="F496" s="26" t="s">
        <v>775</v>
      </c>
      <c r="G496" s="26" t="s">
        <v>265</v>
      </c>
      <c r="H496" s="26" t="s">
        <v>294</v>
      </c>
      <c r="I496" s="26" t="s">
        <v>184</v>
      </c>
      <c r="J496" s="26" t="s">
        <v>2411</v>
      </c>
      <c r="K496" s="26" t="s">
        <v>2405</v>
      </c>
      <c r="L496" s="26" t="s">
        <v>79</v>
      </c>
      <c r="M496" s="26" t="s">
        <v>77</v>
      </c>
      <c r="N496" s="26">
        <v>103</v>
      </c>
      <c r="O496" s="26">
        <v>63</v>
      </c>
      <c r="P496" s="26">
        <v>40</v>
      </c>
      <c r="Q496" s="26">
        <v>15</v>
      </c>
      <c r="R496" s="26">
        <v>1</v>
      </c>
      <c r="S496" s="26">
        <v>10</v>
      </c>
      <c r="T496" s="26">
        <v>16</v>
      </c>
      <c r="U496" s="26">
        <v>27</v>
      </c>
      <c r="V496" s="26">
        <v>1</v>
      </c>
    </row>
    <row r="497" spans="1:22" x14ac:dyDescent="0.25">
      <c r="A497" s="26" t="s">
        <v>3706</v>
      </c>
      <c r="B497" s="26" t="s">
        <v>3872</v>
      </c>
      <c r="C497" s="26" t="s">
        <v>3873</v>
      </c>
      <c r="D497" s="26" t="s">
        <v>218</v>
      </c>
      <c r="E497" s="26" t="s">
        <v>3874</v>
      </c>
      <c r="F497" s="26" t="s">
        <v>282</v>
      </c>
      <c r="G497" s="26" t="s">
        <v>204</v>
      </c>
      <c r="H497" s="26" t="s">
        <v>1693</v>
      </c>
      <c r="I497" s="26" t="s">
        <v>184</v>
      </c>
      <c r="J497" s="26" t="s">
        <v>2411</v>
      </c>
      <c r="K497" s="26" t="s">
        <v>2405</v>
      </c>
      <c r="L497" s="26" t="s">
        <v>79</v>
      </c>
      <c r="M497" s="26" t="s">
        <v>77</v>
      </c>
      <c r="N497" s="26">
        <v>125</v>
      </c>
      <c r="O497" s="26">
        <v>72</v>
      </c>
      <c r="P497" s="26">
        <v>53</v>
      </c>
      <c r="Q497" s="26">
        <v>16</v>
      </c>
      <c r="R497" s="26">
        <v>1</v>
      </c>
      <c r="S497" s="26">
        <v>15</v>
      </c>
      <c r="T497" s="26">
        <v>19</v>
      </c>
      <c r="U497" s="26">
        <v>35</v>
      </c>
      <c r="V497" s="26">
        <v>1</v>
      </c>
    </row>
    <row r="498" spans="1:22" x14ac:dyDescent="0.25">
      <c r="A498" s="26" t="s">
        <v>3706</v>
      </c>
      <c r="B498" s="26" t="s">
        <v>3875</v>
      </c>
      <c r="C498" s="26" t="s">
        <v>3876</v>
      </c>
      <c r="D498" s="26" t="s">
        <v>179</v>
      </c>
      <c r="E498" s="26" t="s">
        <v>3877</v>
      </c>
      <c r="F498" s="26" t="s">
        <v>1164</v>
      </c>
      <c r="G498" s="26" t="s">
        <v>265</v>
      </c>
      <c r="H498" s="26" t="s">
        <v>594</v>
      </c>
      <c r="I498" s="26" t="s">
        <v>184</v>
      </c>
      <c r="J498" s="26" t="s">
        <v>2411</v>
      </c>
      <c r="K498" s="26" t="s">
        <v>2405</v>
      </c>
      <c r="L498" s="26" t="s">
        <v>79</v>
      </c>
      <c r="M498" s="26" t="s">
        <v>77</v>
      </c>
      <c r="N498" s="26">
        <v>45</v>
      </c>
      <c r="O498" s="26">
        <v>29</v>
      </c>
      <c r="P498" s="26">
        <v>16</v>
      </c>
      <c r="Q498" s="26">
        <v>6</v>
      </c>
      <c r="R498" s="26">
        <v>1</v>
      </c>
      <c r="S498" s="26">
        <v>6</v>
      </c>
      <c r="T498" s="26">
        <v>7</v>
      </c>
      <c r="U498" s="26">
        <v>14</v>
      </c>
      <c r="V498" s="26">
        <v>1</v>
      </c>
    </row>
    <row r="499" spans="1:22" x14ac:dyDescent="0.25">
      <c r="A499" s="26" t="s">
        <v>3706</v>
      </c>
      <c r="B499" s="26" t="s">
        <v>3878</v>
      </c>
      <c r="C499" s="26" t="s">
        <v>3876</v>
      </c>
      <c r="D499" s="26" t="s">
        <v>2408</v>
      </c>
      <c r="E499" s="26" t="s">
        <v>3877</v>
      </c>
      <c r="F499" s="26" t="s">
        <v>1164</v>
      </c>
      <c r="G499" s="26" t="s">
        <v>265</v>
      </c>
      <c r="H499" s="26" t="s">
        <v>594</v>
      </c>
      <c r="I499" s="26" t="s">
        <v>184</v>
      </c>
      <c r="J499" s="26" t="s">
        <v>2411</v>
      </c>
      <c r="K499" s="26" t="s">
        <v>2405</v>
      </c>
      <c r="L499" s="26" t="s">
        <v>79</v>
      </c>
      <c r="M499" s="26" t="s">
        <v>77</v>
      </c>
      <c r="N499" s="26">
        <v>21</v>
      </c>
      <c r="O499" s="26">
        <v>13</v>
      </c>
      <c r="P499" s="26">
        <v>8</v>
      </c>
      <c r="Q499" s="26">
        <v>6</v>
      </c>
      <c r="R499" s="26">
        <v>1</v>
      </c>
      <c r="S499" s="26">
        <v>3</v>
      </c>
      <c r="T499" s="26">
        <v>4</v>
      </c>
      <c r="U499" s="26">
        <v>8</v>
      </c>
      <c r="V499" s="26">
        <v>1</v>
      </c>
    </row>
    <row r="500" spans="1:22" x14ac:dyDescent="0.25">
      <c r="A500" s="26" t="s">
        <v>3706</v>
      </c>
      <c r="B500" s="26" t="s">
        <v>3879</v>
      </c>
      <c r="C500" s="26" t="s">
        <v>3880</v>
      </c>
      <c r="D500" s="26" t="s">
        <v>218</v>
      </c>
      <c r="E500" s="26" t="s">
        <v>3881</v>
      </c>
      <c r="F500" s="26" t="s">
        <v>444</v>
      </c>
      <c r="G500" s="26" t="s">
        <v>265</v>
      </c>
      <c r="H500" s="26" t="s">
        <v>301</v>
      </c>
      <c r="I500" s="26" t="s">
        <v>184</v>
      </c>
      <c r="J500" s="26" t="s">
        <v>2411</v>
      </c>
      <c r="K500" s="26" t="s">
        <v>2405</v>
      </c>
      <c r="L500" s="26" t="s">
        <v>79</v>
      </c>
      <c r="M500" s="26" t="s">
        <v>77</v>
      </c>
      <c r="N500" s="26">
        <v>230</v>
      </c>
      <c r="O500" s="26">
        <v>147</v>
      </c>
      <c r="P500" s="26">
        <v>83</v>
      </c>
      <c r="Q500" s="26">
        <v>21</v>
      </c>
      <c r="R500" s="26">
        <v>1</v>
      </c>
      <c r="S500" s="26">
        <v>21</v>
      </c>
      <c r="T500" s="26">
        <v>27</v>
      </c>
      <c r="U500" s="26">
        <v>49</v>
      </c>
      <c r="V500" s="26">
        <v>1</v>
      </c>
    </row>
    <row r="501" spans="1:22" x14ac:dyDescent="0.25">
      <c r="A501" s="26" t="s">
        <v>3706</v>
      </c>
      <c r="B501" s="26" t="s">
        <v>3882</v>
      </c>
      <c r="C501" s="26" t="s">
        <v>3883</v>
      </c>
      <c r="D501" s="26" t="s">
        <v>218</v>
      </c>
      <c r="E501" s="26" t="s">
        <v>3884</v>
      </c>
      <c r="F501" s="26" t="s">
        <v>2927</v>
      </c>
      <c r="G501" s="26" t="s">
        <v>226</v>
      </c>
      <c r="H501" s="26" t="s">
        <v>294</v>
      </c>
      <c r="I501" s="26" t="s">
        <v>184</v>
      </c>
      <c r="J501" s="26" t="s">
        <v>2509</v>
      </c>
      <c r="K501" s="26" t="s">
        <v>2405</v>
      </c>
      <c r="L501" s="26" t="s">
        <v>79</v>
      </c>
      <c r="M501" s="26" t="s">
        <v>77</v>
      </c>
      <c r="N501" s="26">
        <v>172</v>
      </c>
      <c r="O501" s="26">
        <v>91</v>
      </c>
      <c r="P501" s="26">
        <v>81</v>
      </c>
      <c r="Q501" s="26">
        <v>16</v>
      </c>
      <c r="R501" s="26">
        <v>1</v>
      </c>
      <c r="S501" s="26">
        <v>19</v>
      </c>
      <c r="T501" s="26">
        <v>14</v>
      </c>
      <c r="U501" s="26">
        <v>34</v>
      </c>
      <c r="V501" s="26">
        <v>1</v>
      </c>
    </row>
    <row r="502" spans="1:22" x14ac:dyDescent="0.25">
      <c r="A502" s="26" t="s">
        <v>3706</v>
      </c>
      <c r="B502" s="26" t="s">
        <v>3885</v>
      </c>
      <c r="C502" s="26" t="s">
        <v>3886</v>
      </c>
      <c r="D502" s="26" t="s">
        <v>218</v>
      </c>
      <c r="E502" s="26" t="s">
        <v>3887</v>
      </c>
      <c r="F502" s="26" t="s">
        <v>734</v>
      </c>
      <c r="G502" s="26" t="s">
        <v>198</v>
      </c>
      <c r="H502" s="26" t="s">
        <v>294</v>
      </c>
      <c r="I502" s="26" t="s">
        <v>184</v>
      </c>
      <c r="J502" s="26" t="s">
        <v>2404</v>
      </c>
      <c r="K502" s="26" t="s">
        <v>2405</v>
      </c>
      <c r="L502" s="26" t="s">
        <v>79</v>
      </c>
      <c r="M502" s="26" t="s">
        <v>77</v>
      </c>
      <c r="N502" s="26">
        <v>56</v>
      </c>
      <c r="O502" s="26">
        <v>36</v>
      </c>
      <c r="P502" s="26">
        <v>20</v>
      </c>
      <c r="Q502" s="26">
        <v>6</v>
      </c>
      <c r="R502" s="26">
        <v>1</v>
      </c>
      <c r="S502" s="26">
        <v>7</v>
      </c>
      <c r="T502" s="26">
        <v>8</v>
      </c>
      <c r="U502" s="26">
        <v>16</v>
      </c>
      <c r="V502" s="26">
        <v>1</v>
      </c>
    </row>
    <row r="503" spans="1:22" x14ac:dyDescent="0.25">
      <c r="A503" s="26" t="s">
        <v>3706</v>
      </c>
      <c r="B503" s="26" t="s">
        <v>3888</v>
      </c>
      <c r="C503" s="26" t="s">
        <v>3889</v>
      </c>
      <c r="D503" s="26" t="s">
        <v>218</v>
      </c>
      <c r="E503" s="26" t="s">
        <v>3890</v>
      </c>
      <c r="F503" s="26" t="s">
        <v>260</v>
      </c>
      <c r="G503" s="26" t="s">
        <v>198</v>
      </c>
      <c r="H503" s="26" t="s">
        <v>301</v>
      </c>
      <c r="I503" s="26" t="s">
        <v>184</v>
      </c>
      <c r="J503" s="26" t="s">
        <v>2404</v>
      </c>
      <c r="K503" s="26" t="s">
        <v>2405</v>
      </c>
      <c r="L503" s="26" t="s">
        <v>79</v>
      </c>
      <c r="M503" s="26" t="s">
        <v>77</v>
      </c>
      <c r="N503" s="26">
        <v>96</v>
      </c>
      <c r="O503" s="26">
        <v>56</v>
      </c>
      <c r="P503" s="26">
        <v>40</v>
      </c>
      <c r="Q503" s="26">
        <v>8</v>
      </c>
      <c r="R503" s="26">
        <v>1</v>
      </c>
      <c r="S503" s="26">
        <v>8</v>
      </c>
      <c r="T503" s="26">
        <v>8</v>
      </c>
      <c r="U503" s="26">
        <v>17</v>
      </c>
      <c r="V503" s="26">
        <v>1</v>
      </c>
    </row>
    <row r="504" spans="1:22" x14ac:dyDescent="0.25">
      <c r="A504" s="26" t="s">
        <v>3706</v>
      </c>
      <c r="B504" s="26" t="s">
        <v>3891</v>
      </c>
      <c r="C504" s="26" t="s">
        <v>3892</v>
      </c>
      <c r="D504" s="26" t="s">
        <v>218</v>
      </c>
      <c r="E504" s="26" t="s">
        <v>3698</v>
      </c>
      <c r="F504" s="26" t="s">
        <v>731</v>
      </c>
      <c r="G504" s="26" t="s">
        <v>198</v>
      </c>
      <c r="H504" s="26" t="s">
        <v>594</v>
      </c>
      <c r="I504" s="26" t="s">
        <v>184</v>
      </c>
      <c r="J504" s="26" t="s">
        <v>2404</v>
      </c>
      <c r="K504" s="26" t="s">
        <v>2405</v>
      </c>
      <c r="L504" s="26" t="s">
        <v>79</v>
      </c>
      <c r="M504" s="26" t="s">
        <v>77</v>
      </c>
      <c r="N504" s="26">
        <v>124</v>
      </c>
      <c r="O504" s="26">
        <v>76</v>
      </c>
      <c r="P504" s="26">
        <v>48</v>
      </c>
      <c r="Q504" s="26">
        <v>10</v>
      </c>
      <c r="R504" s="26">
        <v>1</v>
      </c>
      <c r="S504" s="26">
        <v>11</v>
      </c>
      <c r="T504" s="26">
        <v>11</v>
      </c>
      <c r="U504" s="26">
        <v>23</v>
      </c>
      <c r="V504" s="26">
        <v>1</v>
      </c>
    </row>
    <row r="505" spans="1:22" x14ac:dyDescent="0.25">
      <c r="A505" s="26" t="s">
        <v>3706</v>
      </c>
      <c r="B505" s="26" t="s">
        <v>3893</v>
      </c>
      <c r="C505" s="26" t="s">
        <v>3894</v>
      </c>
      <c r="D505" s="26" t="s">
        <v>179</v>
      </c>
      <c r="E505" s="26" t="s">
        <v>4120</v>
      </c>
      <c r="F505" s="26" t="s">
        <v>3895</v>
      </c>
      <c r="G505" s="26" t="s">
        <v>226</v>
      </c>
      <c r="H505" s="26" t="s">
        <v>301</v>
      </c>
      <c r="I505" s="26" t="s">
        <v>184</v>
      </c>
      <c r="J505" s="26" t="s">
        <v>2509</v>
      </c>
      <c r="K505" s="26" t="s">
        <v>2405</v>
      </c>
      <c r="L505" s="26" t="s">
        <v>79</v>
      </c>
      <c r="M505" s="26" t="s">
        <v>77</v>
      </c>
      <c r="N505" s="26">
        <v>29</v>
      </c>
      <c r="O505" s="26">
        <v>21</v>
      </c>
      <c r="P505" s="26">
        <v>8</v>
      </c>
      <c r="Q505" s="26">
        <v>4</v>
      </c>
      <c r="R505" s="26">
        <v>1</v>
      </c>
      <c r="S505" s="26">
        <v>4</v>
      </c>
      <c r="T505" s="26">
        <v>9</v>
      </c>
      <c r="U505" s="26">
        <v>14</v>
      </c>
      <c r="V505" s="26">
        <v>1</v>
      </c>
    </row>
    <row r="506" spans="1:22" x14ac:dyDescent="0.25">
      <c r="A506" s="26" t="s">
        <v>3706</v>
      </c>
      <c r="B506" s="26" t="s">
        <v>3896</v>
      </c>
      <c r="C506" s="26" t="s">
        <v>3897</v>
      </c>
      <c r="D506" s="26" t="s">
        <v>218</v>
      </c>
      <c r="E506" s="26" t="s">
        <v>3898</v>
      </c>
      <c r="F506" s="26" t="s">
        <v>3899</v>
      </c>
      <c r="G506" s="26" t="s">
        <v>191</v>
      </c>
      <c r="H506" s="26" t="s">
        <v>594</v>
      </c>
      <c r="I506" s="26" t="s">
        <v>184</v>
      </c>
      <c r="J506" s="26" t="s">
        <v>2565</v>
      </c>
      <c r="K506" s="26" t="s">
        <v>2405</v>
      </c>
      <c r="L506" s="26" t="s">
        <v>79</v>
      </c>
      <c r="M506" s="26" t="s">
        <v>77</v>
      </c>
      <c r="N506" s="26">
        <v>94</v>
      </c>
      <c r="O506" s="26">
        <v>53</v>
      </c>
      <c r="P506" s="26">
        <v>41</v>
      </c>
      <c r="Q506" s="26">
        <v>12</v>
      </c>
      <c r="R506" s="26">
        <v>1</v>
      </c>
      <c r="S506" s="26">
        <v>12</v>
      </c>
      <c r="T506" s="26">
        <v>8</v>
      </c>
      <c r="U506" s="26">
        <v>21</v>
      </c>
      <c r="V506" s="26">
        <v>1</v>
      </c>
    </row>
    <row r="507" spans="1:22" x14ac:dyDescent="0.25">
      <c r="A507" s="26" t="s">
        <v>3706</v>
      </c>
      <c r="B507" s="26" t="s">
        <v>3900</v>
      </c>
      <c r="C507" s="26" t="s">
        <v>3901</v>
      </c>
      <c r="D507" s="26" t="s">
        <v>218</v>
      </c>
      <c r="E507" s="26" t="s">
        <v>4121</v>
      </c>
      <c r="F507" s="26" t="s">
        <v>2560</v>
      </c>
      <c r="G507" s="26" t="s">
        <v>487</v>
      </c>
      <c r="H507" s="26" t="s">
        <v>677</v>
      </c>
      <c r="I507" s="26" t="s">
        <v>184</v>
      </c>
      <c r="J507" s="26" t="s">
        <v>2404</v>
      </c>
      <c r="K507" s="26" t="s">
        <v>2405</v>
      </c>
      <c r="L507" s="26" t="s">
        <v>79</v>
      </c>
      <c r="M507" s="26" t="s">
        <v>77</v>
      </c>
      <c r="N507" s="26">
        <v>50</v>
      </c>
      <c r="O507" s="26">
        <v>30</v>
      </c>
      <c r="P507" s="26">
        <v>20</v>
      </c>
      <c r="Q507" s="26">
        <v>6</v>
      </c>
      <c r="R507" s="26">
        <v>1</v>
      </c>
      <c r="S507" s="26">
        <v>7</v>
      </c>
      <c r="T507" s="26">
        <v>7</v>
      </c>
      <c r="U507" s="26">
        <v>15</v>
      </c>
      <c r="V507" s="26">
        <v>1</v>
      </c>
    </row>
    <row r="508" spans="1:22" x14ac:dyDescent="0.25">
      <c r="A508" s="26" t="s">
        <v>3706</v>
      </c>
      <c r="B508" s="26" t="s">
        <v>3902</v>
      </c>
      <c r="C508" s="26" t="s">
        <v>3903</v>
      </c>
      <c r="D508" s="26" t="s">
        <v>218</v>
      </c>
      <c r="E508" s="26" t="s">
        <v>3904</v>
      </c>
      <c r="F508" s="26" t="s">
        <v>2885</v>
      </c>
      <c r="G508" s="26" t="s">
        <v>198</v>
      </c>
      <c r="H508" s="26" t="s">
        <v>301</v>
      </c>
      <c r="I508" s="26" t="s">
        <v>184</v>
      </c>
      <c r="J508" s="26" t="s">
        <v>2404</v>
      </c>
      <c r="K508" s="26" t="s">
        <v>2405</v>
      </c>
      <c r="L508" s="26" t="s">
        <v>79</v>
      </c>
      <c r="M508" s="26" t="s">
        <v>77</v>
      </c>
      <c r="N508" s="26">
        <v>56</v>
      </c>
      <c r="O508" s="26">
        <v>33</v>
      </c>
      <c r="P508" s="26">
        <v>23</v>
      </c>
      <c r="Q508" s="26">
        <v>7</v>
      </c>
      <c r="R508" s="26">
        <v>1</v>
      </c>
      <c r="S508" s="26">
        <v>6</v>
      </c>
      <c r="T508" s="26">
        <v>6</v>
      </c>
      <c r="U508" s="26">
        <v>13</v>
      </c>
      <c r="V508" s="26">
        <v>1</v>
      </c>
    </row>
    <row r="509" spans="1:22" x14ac:dyDescent="0.25">
      <c r="A509" s="26" t="s">
        <v>3706</v>
      </c>
      <c r="B509" s="26" t="s">
        <v>3905</v>
      </c>
      <c r="C509" s="26" t="s">
        <v>3906</v>
      </c>
      <c r="D509" s="26" t="s">
        <v>179</v>
      </c>
      <c r="E509" s="26" t="s">
        <v>4122</v>
      </c>
      <c r="F509" s="26" t="s">
        <v>852</v>
      </c>
      <c r="G509" s="26" t="s">
        <v>226</v>
      </c>
      <c r="H509" s="26" t="s">
        <v>594</v>
      </c>
      <c r="I509" s="26" t="s">
        <v>184</v>
      </c>
      <c r="J509" s="26" t="s">
        <v>2509</v>
      </c>
      <c r="K509" s="26" t="s">
        <v>2405</v>
      </c>
      <c r="L509" s="26" t="s">
        <v>79</v>
      </c>
      <c r="M509" s="26" t="s">
        <v>77</v>
      </c>
      <c r="N509" s="26">
        <v>40</v>
      </c>
      <c r="O509" s="26">
        <v>23</v>
      </c>
      <c r="P509" s="26">
        <v>17</v>
      </c>
      <c r="Q509" s="26">
        <v>6</v>
      </c>
      <c r="R509" s="26">
        <v>1</v>
      </c>
      <c r="S509" s="26">
        <v>5</v>
      </c>
      <c r="T509" s="26">
        <v>7</v>
      </c>
      <c r="U509" s="26">
        <v>13</v>
      </c>
      <c r="V509" s="26">
        <v>1</v>
      </c>
    </row>
    <row r="510" spans="1:22" x14ac:dyDescent="0.25">
      <c r="A510" s="26" t="s">
        <v>3706</v>
      </c>
      <c r="B510" s="26" t="s">
        <v>3907</v>
      </c>
      <c r="C510" s="26" t="s">
        <v>3908</v>
      </c>
      <c r="D510" s="26" t="s">
        <v>218</v>
      </c>
      <c r="E510" s="26" t="s">
        <v>3909</v>
      </c>
      <c r="F510" s="26" t="s">
        <v>827</v>
      </c>
      <c r="G510" s="26" t="s">
        <v>226</v>
      </c>
      <c r="H510" s="26" t="s">
        <v>926</v>
      </c>
      <c r="I510" s="26" t="s">
        <v>184</v>
      </c>
      <c r="J510" s="26" t="s">
        <v>2509</v>
      </c>
      <c r="K510" s="26" t="s">
        <v>2405</v>
      </c>
      <c r="L510" s="26" t="s">
        <v>79</v>
      </c>
      <c r="M510" s="26" t="s">
        <v>77</v>
      </c>
      <c r="N510" s="26">
        <v>88</v>
      </c>
      <c r="O510" s="26">
        <v>55</v>
      </c>
      <c r="P510" s="26">
        <v>33</v>
      </c>
      <c r="Q510" s="26">
        <v>10</v>
      </c>
      <c r="R510" s="26">
        <v>1</v>
      </c>
      <c r="S510" s="26">
        <v>12</v>
      </c>
      <c r="T510" s="26">
        <v>14</v>
      </c>
      <c r="U510" s="26">
        <v>27</v>
      </c>
      <c r="V510" s="26">
        <v>1</v>
      </c>
    </row>
    <row r="511" spans="1:22" x14ac:dyDescent="0.25">
      <c r="A511" s="26" t="s">
        <v>3706</v>
      </c>
      <c r="B511" s="26" t="s">
        <v>3910</v>
      </c>
      <c r="C511" s="26" t="s">
        <v>3911</v>
      </c>
      <c r="D511" s="26" t="s">
        <v>179</v>
      </c>
      <c r="E511" s="26" t="s">
        <v>3912</v>
      </c>
      <c r="F511" s="26" t="s">
        <v>3913</v>
      </c>
      <c r="G511" s="26" t="s">
        <v>265</v>
      </c>
      <c r="H511" s="26" t="s">
        <v>351</v>
      </c>
      <c r="I511" s="26" t="s">
        <v>184</v>
      </c>
      <c r="J511" s="26" t="s">
        <v>2411</v>
      </c>
      <c r="K511" s="26" t="s">
        <v>2405</v>
      </c>
      <c r="L511" s="26" t="s">
        <v>79</v>
      </c>
      <c r="M511" s="26" t="s">
        <v>77</v>
      </c>
      <c r="N511" s="26">
        <v>43</v>
      </c>
      <c r="O511" s="26">
        <v>30</v>
      </c>
      <c r="P511" s="26">
        <v>13</v>
      </c>
      <c r="Q511" s="26">
        <v>8</v>
      </c>
      <c r="R511" s="26">
        <v>1</v>
      </c>
      <c r="S511" s="26">
        <v>6</v>
      </c>
      <c r="T511" s="26">
        <v>8</v>
      </c>
      <c r="U511" s="26">
        <v>15</v>
      </c>
      <c r="V511" s="26">
        <v>1</v>
      </c>
    </row>
    <row r="512" spans="1:22" x14ac:dyDescent="0.25">
      <c r="A512" s="26" t="s">
        <v>3706</v>
      </c>
      <c r="B512" s="26" t="s">
        <v>3914</v>
      </c>
      <c r="C512" s="26" t="s">
        <v>3915</v>
      </c>
      <c r="D512" s="26" t="s">
        <v>2408</v>
      </c>
      <c r="E512" s="26" t="s">
        <v>3916</v>
      </c>
      <c r="F512" s="26" t="s">
        <v>3917</v>
      </c>
      <c r="G512" s="26" t="s">
        <v>204</v>
      </c>
      <c r="H512" s="26" t="s">
        <v>643</v>
      </c>
      <c r="I512" s="26" t="s">
        <v>184</v>
      </c>
      <c r="J512" s="26" t="s">
        <v>2411</v>
      </c>
      <c r="K512" s="26" t="s">
        <v>2405</v>
      </c>
      <c r="L512" s="26" t="s">
        <v>79</v>
      </c>
      <c r="M512" s="26" t="s">
        <v>77</v>
      </c>
      <c r="N512" s="26">
        <v>35</v>
      </c>
      <c r="O512" s="26">
        <v>24</v>
      </c>
      <c r="P512" s="26">
        <v>11</v>
      </c>
      <c r="Q512" s="26">
        <v>7</v>
      </c>
      <c r="R512" s="26">
        <v>1</v>
      </c>
      <c r="S512" s="26">
        <v>5</v>
      </c>
      <c r="T512" s="26">
        <v>5</v>
      </c>
      <c r="U512" s="26">
        <v>11</v>
      </c>
      <c r="V512" s="26">
        <v>1</v>
      </c>
    </row>
    <row r="513" spans="1:22" x14ac:dyDescent="0.25">
      <c r="A513" s="26" t="s">
        <v>3706</v>
      </c>
      <c r="B513" s="26" t="s">
        <v>3918</v>
      </c>
      <c r="C513" s="26" t="s">
        <v>3919</v>
      </c>
      <c r="D513" s="26" t="s">
        <v>2408</v>
      </c>
      <c r="E513" s="26" t="s">
        <v>3920</v>
      </c>
      <c r="F513" s="26" t="s">
        <v>2089</v>
      </c>
      <c r="G513" s="26" t="s">
        <v>265</v>
      </c>
      <c r="H513" s="26" t="s">
        <v>1026</v>
      </c>
      <c r="I513" s="26" t="s">
        <v>184</v>
      </c>
      <c r="J513" s="26" t="s">
        <v>2411</v>
      </c>
      <c r="K513" s="26" t="s">
        <v>2405</v>
      </c>
      <c r="L513" s="26" t="s">
        <v>79</v>
      </c>
      <c r="M513" s="26" t="s">
        <v>77</v>
      </c>
      <c r="N513" s="26">
        <v>199</v>
      </c>
      <c r="O513" s="26">
        <v>131</v>
      </c>
      <c r="P513" s="26">
        <v>68</v>
      </c>
      <c r="Q513" s="26">
        <v>0</v>
      </c>
      <c r="R513" s="26">
        <v>1</v>
      </c>
      <c r="S513" s="26">
        <v>9</v>
      </c>
      <c r="T513" s="26">
        <v>6</v>
      </c>
      <c r="U513" s="26">
        <v>16</v>
      </c>
      <c r="V513" s="26">
        <v>1</v>
      </c>
    </row>
    <row r="514" spans="1:22" x14ac:dyDescent="0.25">
      <c r="A514" s="26" t="s">
        <v>3706</v>
      </c>
      <c r="B514" s="26" t="s">
        <v>3921</v>
      </c>
      <c r="C514" s="26" t="s">
        <v>3922</v>
      </c>
      <c r="D514" s="26" t="s">
        <v>179</v>
      </c>
      <c r="E514" s="26" t="s">
        <v>3923</v>
      </c>
      <c r="F514" s="26" t="s">
        <v>2089</v>
      </c>
      <c r="G514" s="26" t="s">
        <v>265</v>
      </c>
      <c r="H514" s="26" t="s">
        <v>1026</v>
      </c>
      <c r="I514" s="26" t="s">
        <v>184</v>
      </c>
      <c r="J514" s="26" t="s">
        <v>2411</v>
      </c>
      <c r="K514" s="26" t="s">
        <v>2405</v>
      </c>
      <c r="L514" s="26" t="s">
        <v>79</v>
      </c>
      <c r="M514" s="26" t="s">
        <v>77</v>
      </c>
      <c r="N514" s="26">
        <v>367</v>
      </c>
      <c r="O514" s="26">
        <v>319</v>
      </c>
      <c r="P514" s="26">
        <v>48</v>
      </c>
      <c r="Q514" s="26">
        <v>0</v>
      </c>
      <c r="R514" s="26">
        <v>1</v>
      </c>
      <c r="S514" s="26">
        <v>9</v>
      </c>
      <c r="T514" s="26">
        <v>15</v>
      </c>
      <c r="U514" s="26">
        <v>25</v>
      </c>
      <c r="V514" s="26">
        <v>1</v>
      </c>
    </row>
    <row r="515" spans="1:22" x14ac:dyDescent="0.25">
      <c r="A515" s="26" t="s">
        <v>3706</v>
      </c>
      <c r="B515" s="26" t="s">
        <v>3924</v>
      </c>
      <c r="C515" s="26" t="s">
        <v>3922</v>
      </c>
      <c r="D515" s="26" t="s">
        <v>2408</v>
      </c>
      <c r="E515" s="26" t="s">
        <v>3923</v>
      </c>
      <c r="F515" s="26" t="s">
        <v>2089</v>
      </c>
      <c r="G515" s="26" t="s">
        <v>265</v>
      </c>
      <c r="H515" s="26" t="s">
        <v>1026</v>
      </c>
      <c r="I515" s="26" t="s">
        <v>184</v>
      </c>
      <c r="J515" s="26" t="s">
        <v>2411</v>
      </c>
      <c r="K515" s="26" t="s">
        <v>2405</v>
      </c>
      <c r="L515" s="26" t="s">
        <v>79</v>
      </c>
      <c r="M515" s="26" t="s">
        <v>77</v>
      </c>
      <c r="N515" s="26">
        <v>301</v>
      </c>
      <c r="O515" s="26">
        <v>253</v>
      </c>
      <c r="P515" s="26">
        <v>48</v>
      </c>
      <c r="Q515" s="26">
        <v>0</v>
      </c>
      <c r="R515" s="26">
        <v>1</v>
      </c>
      <c r="S515" s="26">
        <v>6</v>
      </c>
      <c r="T515" s="26">
        <v>9</v>
      </c>
      <c r="U515" s="26">
        <v>16</v>
      </c>
      <c r="V515" s="26">
        <v>1</v>
      </c>
    </row>
    <row r="516" spans="1:22" x14ac:dyDescent="0.25">
      <c r="A516" s="26" t="s">
        <v>3706</v>
      </c>
      <c r="B516" s="26" t="s">
        <v>3925</v>
      </c>
      <c r="C516" s="26" t="s">
        <v>3919</v>
      </c>
      <c r="D516" s="26" t="s">
        <v>179</v>
      </c>
      <c r="E516" s="26" t="s">
        <v>3920</v>
      </c>
      <c r="F516" s="26" t="s">
        <v>2089</v>
      </c>
      <c r="G516" s="26" t="s">
        <v>265</v>
      </c>
      <c r="H516" s="26" t="s">
        <v>1026</v>
      </c>
      <c r="I516" s="26" t="s">
        <v>184</v>
      </c>
      <c r="J516" s="26" t="s">
        <v>2411</v>
      </c>
      <c r="K516" s="26" t="s">
        <v>2405</v>
      </c>
      <c r="L516" s="26" t="s">
        <v>79</v>
      </c>
      <c r="M516" s="26" t="s">
        <v>77</v>
      </c>
      <c r="N516" s="26">
        <v>157</v>
      </c>
      <c r="O516" s="26">
        <v>123</v>
      </c>
      <c r="P516" s="26">
        <v>34</v>
      </c>
      <c r="Q516" s="26">
        <v>0</v>
      </c>
      <c r="R516" s="26">
        <v>1</v>
      </c>
      <c r="S516" s="26">
        <v>13</v>
      </c>
      <c r="T516" s="26">
        <v>12</v>
      </c>
      <c r="U516" s="26">
        <v>26</v>
      </c>
      <c r="V516" s="26">
        <v>1</v>
      </c>
    </row>
    <row r="517" spans="1:22" x14ac:dyDescent="0.25">
      <c r="A517" s="26" t="s">
        <v>3706</v>
      </c>
      <c r="B517" s="26" t="s">
        <v>3926</v>
      </c>
      <c r="C517" s="26" t="s">
        <v>3927</v>
      </c>
      <c r="D517" s="26" t="s">
        <v>179</v>
      </c>
      <c r="E517" s="26" t="s">
        <v>4123</v>
      </c>
      <c r="F517" s="26" t="s">
        <v>457</v>
      </c>
      <c r="G517" s="26" t="s">
        <v>4126</v>
      </c>
      <c r="H517" s="26" t="s">
        <v>756</v>
      </c>
      <c r="I517" s="26" t="s">
        <v>184</v>
      </c>
      <c r="J517" s="26" t="s">
        <v>2411</v>
      </c>
      <c r="K517" s="26" t="s">
        <v>2405</v>
      </c>
      <c r="L517" s="26" t="s">
        <v>79</v>
      </c>
      <c r="M517" s="26" t="s">
        <v>77</v>
      </c>
      <c r="N517" s="26">
        <v>112</v>
      </c>
      <c r="O517" s="26">
        <v>63</v>
      </c>
      <c r="P517" s="26">
        <v>49</v>
      </c>
      <c r="Q517" s="26">
        <v>11</v>
      </c>
      <c r="R517" s="26">
        <v>1</v>
      </c>
      <c r="S517" s="26">
        <v>11</v>
      </c>
      <c r="T517" s="26">
        <v>11</v>
      </c>
      <c r="U517" s="26">
        <v>23</v>
      </c>
      <c r="V517" s="26">
        <v>1</v>
      </c>
    </row>
    <row r="518" spans="1:22" x14ac:dyDescent="0.25">
      <c r="A518" s="26" t="s">
        <v>3706</v>
      </c>
      <c r="B518" s="26" t="s">
        <v>3928</v>
      </c>
      <c r="C518" s="26" t="s">
        <v>3929</v>
      </c>
      <c r="D518" s="26" t="s">
        <v>218</v>
      </c>
      <c r="E518" s="26" t="s">
        <v>4124</v>
      </c>
      <c r="F518" s="26" t="s">
        <v>598</v>
      </c>
      <c r="G518" s="26" t="s">
        <v>4126</v>
      </c>
      <c r="H518" s="26" t="s">
        <v>321</v>
      </c>
      <c r="I518" s="26" t="s">
        <v>184</v>
      </c>
      <c r="J518" s="26" t="s">
        <v>2411</v>
      </c>
      <c r="K518" s="26" t="s">
        <v>2405</v>
      </c>
      <c r="L518" s="26" t="s">
        <v>79</v>
      </c>
      <c r="M518" s="26" t="s">
        <v>77</v>
      </c>
      <c r="N518" s="26">
        <v>80</v>
      </c>
      <c r="O518" s="26">
        <v>56</v>
      </c>
      <c r="P518" s="26">
        <v>24</v>
      </c>
      <c r="Q518" s="26">
        <v>14</v>
      </c>
      <c r="R518" s="26">
        <v>1</v>
      </c>
      <c r="S518" s="26">
        <v>9</v>
      </c>
      <c r="T518" s="26">
        <v>10</v>
      </c>
      <c r="U518" s="26">
        <v>20</v>
      </c>
      <c r="V518" s="26">
        <v>1</v>
      </c>
    </row>
    <row r="519" spans="1:22" x14ac:dyDescent="0.25">
      <c r="A519" s="26" t="s">
        <v>3706</v>
      </c>
      <c r="B519" s="26" t="s">
        <v>3930</v>
      </c>
      <c r="C519" s="26" t="s">
        <v>3742</v>
      </c>
      <c r="D519" s="26" t="s">
        <v>179</v>
      </c>
      <c r="E519" s="26" t="s">
        <v>3743</v>
      </c>
      <c r="F519" s="26" t="s">
        <v>1737</v>
      </c>
      <c r="G519" s="26" t="s">
        <v>293</v>
      </c>
      <c r="H519" s="26" t="s">
        <v>687</v>
      </c>
      <c r="I519" s="26" t="s">
        <v>1259</v>
      </c>
      <c r="J519" s="26" t="s">
        <v>295</v>
      </c>
      <c r="K519" s="26" t="s">
        <v>296</v>
      </c>
      <c r="L519" s="26" t="s">
        <v>80</v>
      </c>
      <c r="M519" s="26" t="s">
        <v>77</v>
      </c>
      <c r="N519" s="26">
        <v>45</v>
      </c>
      <c r="O519" s="26">
        <v>24</v>
      </c>
      <c r="P519" s="26">
        <v>21</v>
      </c>
      <c r="Q519" s="26">
        <v>6</v>
      </c>
      <c r="R519" s="26">
        <v>1</v>
      </c>
      <c r="S519" s="26">
        <v>6</v>
      </c>
      <c r="T519" s="26">
        <v>8</v>
      </c>
      <c r="U519" s="26">
        <v>15</v>
      </c>
      <c r="V519" s="26">
        <v>1</v>
      </c>
    </row>
    <row r="520" spans="1:22" x14ac:dyDescent="0.25">
      <c r="A520" s="26" t="s">
        <v>3706</v>
      </c>
      <c r="B520" s="26" t="s">
        <v>3931</v>
      </c>
      <c r="C520" s="26" t="s">
        <v>3932</v>
      </c>
      <c r="D520" s="26" t="s">
        <v>218</v>
      </c>
      <c r="E520" s="26" t="s">
        <v>3933</v>
      </c>
      <c r="F520" s="26" t="s">
        <v>3044</v>
      </c>
      <c r="G520" s="26" t="s">
        <v>293</v>
      </c>
      <c r="H520" s="26" t="s">
        <v>594</v>
      </c>
      <c r="I520" s="26" t="s">
        <v>1259</v>
      </c>
      <c r="J520" s="26" t="s">
        <v>295</v>
      </c>
      <c r="K520" s="26" t="s">
        <v>296</v>
      </c>
      <c r="L520" s="26" t="s">
        <v>80</v>
      </c>
      <c r="M520" s="26" t="s">
        <v>77</v>
      </c>
      <c r="N520" s="26">
        <v>92</v>
      </c>
      <c r="O520" s="26">
        <v>60</v>
      </c>
      <c r="P520" s="26">
        <v>32</v>
      </c>
      <c r="Q520" s="26">
        <v>10</v>
      </c>
      <c r="R520" s="26">
        <v>0</v>
      </c>
      <c r="S520" s="26">
        <v>14</v>
      </c>
      <c r="T520" s="26">
        <v>10</v>
      </c>
      <c r="U520" s="26">
        <v>24</v>
      </c>
      <c r="V520" s="26">
        <v>1</v>
      </c>
    </row>
    <row r="521" spans="1:22" x14ac:dyDescent="0.25">
      <c r="A521" s="26" t="s">
        <v>3706</v>
      </c>
      <c r="B521" s="26" t="s">
        <v>3934</v>
      </c>
      <c r="C521" s="26" t="s">
        <v>3935</v>
      </c>
      <c r="D521" s="26" t="s">
        <v>2408</v>
      </c>
      <c r="E521" s="26" t="s">
        <v>3936</v>
      </c>
      <c r="F521" s="26" t="s">
        <v>1737</v>
      </c>
      <c r="G521" s="26" t="s">
        <v>293</v>
      </c>
      <c r="H521" s="26" t="s">
        <v>687</v>
      </c>
      <c r="I521" s="26" t="s">
        <v>1259</v>
      </c>
      <c r="J521" s="26" t="s">
        <v>295</v>
      </c>
      <c r="K521" s="26" t="s">
        <v>296</v>
      </c>
      <c r="L521" s="26" t="s">
        <v>80</v>
      </c>
      <c r="M521" s="26" t="s">
        <v>77</v>
      </c>
      <c r="N521" s="26">
        <v>31</v>
      </c>
      <c r="O521" s="26">
        <v>18</v>
      </c>
      <c r="P521" s="26">
        <v>13</v>
      </c>
      <c r="Q521" s="26">
        <v>7</v>
      </c>
      <c r="R521" s="26">
        <v>1</v>
      </c>
      <c r="S521" s="26">
        <v>5</v>
      </c>
      <c r="T521" s="26">
        <v>5</v>
      </c>
      <c r="U521" s="26">
        <v>11</v>
      </c>
      <c r="V521" s="26">
        <v>1</v>
      </c>
    </row>
    <row r="522" spans="1:22" x14ac:dyDescent="0.25">
      <c r="A522" s="26" t="s">
        <v>3706</v>
      </c>
      <c r="B522" s="26" t="s">
        <v>3937</v>
      </c>
      <c r="C522" s="26" t="s">
        <v>3938</v>
      </c>
      <c r="D522" s="26" t="s">
        <v>218</v>
      </c>
      <c r="E522" s="26" t="s">
        <v>3939</v>
      </c>
      <c r="F522" s="26" t="s">
        <v>1152</v>
      </c>
      <c r="G522" s="26" t="s">
        <v>293</v>
      </c>
      <c r="H522" s="26" t="s">
        <v>594</v>
      </c>
      <c r="I522" s="26" t="s">
        <v>1259</v>
      </c>
      <c r="J522" s="26" t="s">
        <v>295</v>
      </c>
      <c r="K522" s="26" t="s">
        <v>296</v>
      </c>
      <c r="L522" s="26" t="s">
        <v>80</v>
      </c>
      <c r="M522" s="26" t="s">
        <v>77</v>
      </c>
      <c r="N522" s="26">
        <v>140</v>
      </c>
      <c r="O522" s="26">
        <v>85</v>
      </c>
      <c r="P522" s="26">
        <v>55</v>
      </c>
      <c r="Q522" s="26">
        <v>11</v>
      </c>
      <c r="R522" s="26">
        <v>1</v>
      </c>
      <c r="S522" s="26">
        <v>13</v>
      </c>
      <c r="T522" s="26">
        <v>9</v>
      </c>
      <c r="U522" s="26">
        <v>23</v>
      </c>
      <c r="V522" s="26">
        <v>1</v>
      </c>
    </row>
    <row r="523" spans="1:22" x14ac:dyDescent="0.25">
      <c r="A523" s="26" t="s">
        <v>3706</v>
      </c>
      <c r="B523" s="26" t="s">
        <v>3940</v>
      </c>
      <c r="C523" s="26" t="s">
        <v>3941</v>
      </c>
      <c r="D523" s="26" t="s">
        <v>2408</v>
      </c>
      <c r="E523" s="26" t="s">
        <v>3942</v>
      </c>
      <c r="F523" s="26" t="s">
        <v>1126</v>
      </c>
      <c r="G523" s="26" t="s">
        <v>278</v>
      </c>
      <c r="H523" s="26" t="s">
        <v>677</v>
      </c>
      <c r="I523" s="26" t="s">
        <v>184</v>
      </c>
      <c r="J523" s="26" t="s">
        <v>2509</v>
      </c>
      <c r="K523" s="26" t="s">
        <v>2405</v>
      </c>
      <c r="L523" s="26" t="s">
        <v>79</v>
      </c>
      <c r="M523" s="26" t="s">
        <v>77</v>
      </c>
      <c r="N523" s="26">
        <v>56</v>
      </c>
      <c r="O523" s="26">
        <v>41</v>
      </c>
      <c r="P523" s="26">
        <v>15</v>
      </c>
      <c r="Q523" s="26">
        <v>9</v>
      </c>
      <c r="R523" s="26">
        <v>1</v>
      </c>
      <c r="S523" s="26">
        <v>5</v>
      </c>
      <c r="T523" s="26">
        <v>8</v>
      </c>
      <c r="U523" s="26">
        <v>14</v>
      </c>
      <c r="V523" s="26">
        <v>1</v>
      </c>
    </row>
    <row r="524" spans="1:22" x14ac:dyDescent="0.25">
      <c r="A524" s="26" t="s">
        <v>3706</v>
      </c>
      <c r="B524" s="26" t="s">
        <v>3943</v>
      </c>
      <c r="C524" s="26" t="s">
        <v>3944</v>
      </c>
      <c r="D524" s="26" t="s">
        <v>179</v>
      </c>
      <c r="E524" s="26" t="s">
        <v>3945</v>
      </c>
      <c r="F524" s="26" t="s">
        <v>313</v>
      </c>
      <c r="G524" s="26" t="s">
        <v>4126</v>
      </c>
      <c r="H524" s="26" t="s">
        <v>523</v>
      </c>
      <c r="I524" s="26" t="s">
        <v>184</v>
      </c>
      <c r="J524" s="26" t="s">
        <v>2411</v>
      </c>
      <c r="K524" s="26" t="s">
        <v>2405</v>
      </c>
      <c r="L524" s="26" t="s">
        <v>79</v>
      </c>
      <c r="M524" s="26" t="s">
        <v>78</v>
      </c>
      <c r="N524" s="26">
        <v>23</v>
      </c>
      <c r="O524" s="26">
        <v>15</v>
      </c>
      <c r="P524" s="26">
        <v>8</v>
      </c>
      <c r="Q524" s="26">
        <v>6</v>
      </c>
      <c r="R524" s="26">
        <v>1</v>
      </c>
      <c r="S524" s="26">
        <v>3</v>
      </c>
      <c r="T524" s="26">
        <v>2</v>
      </c>
      <c r="U524" s="26">
        <v>6</v>
      </c>
      <c r="V524" s="26">
        <v>1</v>
      </c>
    </row>
    <row r="525" spans="1:22" x14ac:dyDescent="0.25">
      <c r="A525" s="26" t="s">
        <v>3706</v>
      </c>
      <c r="B525" s="26" t="s">
        <v>3946</v>
      </c>
      <c r="C525" s="26" t="s">
        <v>3947</v>
      </c>
      <c r="D525" s="26" t="s">
        <v>179</v>
      </c>
      <c r="E525" s="26" t="s">
        <v>3948</v>
      </c>
      <c r="F525" s="26" t="s">
        <v>2608</v>
      </c>
      <c r="G525" s="26" t="s">
        <v>487</v>
      </c>
      <c r="H525" s="26" t="s">
        <v>351</v>
      </c>
      <c r="I525" s="26" t="s">
        <v>184</v>
      </c>
      <c r="J525" s="26" t="s">
        <v>2404</v>
      </c>
      <c r="K525" s="26" t="s">
        <v>2405</v>
      </c>
      <c r="L525" s="26" t="s">
        <v>79</v>
      </c>
      <c r="M525" s="26" t="s">
        <v>78</v>
      </c>
      <c r="N525" s="26">
        <v>14</v>
      </c>
      <c r="O525" s="26">
        <v>9</v>
      </c>
      <c r="P525" s="26">
        <v>5</v>
      </c>
      <c r="Q525" s="26">
        <v>7</v>
      </c>
      <c r="R525" s="26">
        <v>1</v>
      </c>
      <c r="S525" s="26">
        <v>4</v>
      </c>
      <c r="T525" s="26">
        <v>6</v>
      </c>
      <c r="U525" s="26">
        <v>11</v>
      </c>
      <c r="V525" s="26">
        <v>1</v>
      </c>
    </row>
    <row r="526" spans="1:22" x14ac:dyDescent="0.25">
      <c r="A526" s="26" t="s">
        <v>3706</v>
      </c>
      <c r="B526" s="26" t="s">
        <v>3949</v>
      </c>
      <c r="C526" s="26" t="s">
        <v>3950</v>
      </c>
      <c r="D526" s="26" t="s">
        <v>179</v>
      </c>
      <c r="E526" s="26" t="s">
        <v>3951</v>
      </c>
      <c r="F526" s="26" t="s">
        <v>716</v>
      </c>
      <c r="G526" s="26" t="s">
        <v>413</v>
      </c>
      <c r="H526" s="26" t="s">
        <v>321</v>
      </c>
      <c r="I526" s="26" t="s">
        <v>184</v>
      </c>
      <c r="J526" s="26" t="s">
        <v>2509</v>
      </c>
      <c r="K526" s="26" t="s">
        <v>2405</v>
      </c>
      <c r="L526" s="26" t="s">
        <v>79</v>
      </c>
      <c r="M526" s="26" t="s">
        <v>78</v>
      </c>
      <c r="N526" s="26">
        <v>56</v>
      </c>
      <c r="O526" s="26">
        <v>32</v>
      </c>
      <c r="P526" s="26">
        <v>24</v>
      </c>
      <c r="Q526" s="26">
        <v>9</v>
      </c>
      <c r="R526" s="26">
        <v>1</v>
      </c>
      <c r="S526" s="26">
        <v>10</v>
      </c>
      <c r="T526" s="26">
        <v>13</v>
      </c>
      <c r="U526" s="26">
        <v>24</v>
      </c>
      <c r="V526" s="26">
        <v>1</v>
      </c>
    </row>
    <row r="527" spans="1:22" x14ac:dyDescent="0.25">
      <c r="A527" s="26" t="s">
        <v>3706</v>
      </c>
      <c r="B527" s="26" t="s">
        <v>3952</v>
      </c>
      <c r="C527" s="26" t="s">
        <v>3953</v>
      </c>
      <c r="D527" s="26" t="s">
        <v>179</v>
      </c>
      <c r="E527" s="26" t="s">
        <v>3954</v>
      </c>
      <c r="F527" s="26" t="s">
        <v>1998</v>
      </c>
      <c r="G527" s="26" t="s">
        <v>226</v>
      </c>
      <c r="H527" s="26" t="s">
        <v>594</v>
      </c>
      <c r="I527" s="26" t="s">
        <v>184</v>
      </c>
      <c r="J527" s="26" t="s">
        <v>2509</v>
      </c>
      <c r="K527" s="26" t="s">
        <v>2405</v>
      </c>
      <c r="L527" s="26" t="s">
        <v>79</v>
      </c>
      <c r="M527" s="26" t="s">
        <v>78</v>
      </c>
      <c r="N527" s="26">
        <v>73</v>
      </c>
      <c r="O527" s="26">
        <v>52</v>
      </c>
      <c r="P527" s="26">
        <v>21</v>
      </c>
      <c r="Q527" s="26">
        <v>6</v>
      </c>
      <c r="R527" s="26">
        <v>1</v>
      </c>
      <c r="S527" s="26">
        <v>7</v>
      </c>
      <c r="T527" s="26">
        <v>4</v>
      </c>
      <c r="U527" s="26">
        <v>12</v>
      </c>
      <c r="V527" s="26">
        <v>1</v>
      </c>
    </row>
    <row r="528" spans="1:22" x14ac:dyDescent="0.25">
      <c r="A528" s="26" t="s">
        <v>3706</v>
      </c>
      <c r="B528" s="26" t="s">
        <v>3955</v>
      </c>
      <c r="C528" s="26" t="s">
        <v>3956</v>
      </c>
      <c r="D528" s="26" t="s">
        <v>179</v>
      </c>
      <c r="E528" s="26" t="s">
        <v>3957</v>
      </c>
      <c r="F528" s="26" t="s">
        <v>749</v>
      </c>
      <c r="G528" s="26" t="s">
        <v>265</v>
      </c>
      <c r="H528" s="26" t="s">
        <v>926</v>
      </c>
      <c r="I528" s="26" t="s">
        <v>184</v>
      </c>
      <c r="J528" s="26" t="s">
        <v>2411</v>
      </c>
      <c r="K528" s="26" t="s">
        <v>2405</v>
      </c>
      <c r="L528" s="26" t="s">
        <v>79</v>
      </c>
      <c r="M528" s="26" t="s">
        <v>78</v>
      </c>
      <c r="N528" s="26">
        <v>29</v>
      </c>
      <c r="O528" s="26">
        <v>17</v>
      </c>
      <c r="P528" s="26">
        <v>12</v>
      </c>
      <c r="Q528" s="26">
        <v>3</v>
      </c>
      <c r="R528" s="26">
        <v>1</v>
      </c>
      <c r="S528" s="26">
        <v>3</v>
      </c>
      <c r="T528" s="26">
        <v>9</v>
      </c>
      <c r="U528" s="26">
        <v>13</v>
      </c>
      <c r="V528" s="26">
        <v>1</v>
      </c>
    </row>
    <row r="529" spans="1:22" x14ac:dyDescent="0.25">
      <c r="A529" s="26" t="s">
        <v>3706</v>
      </c>
      <c r="B529" s="26" t="s">
        <v>3958</v>
      </c>
      <c r="C529" s="26" t="s">
        <v>3959</v>
      </c>
      <c r="D529" s="26" t="s">
        <v>179</v>
      </c>
      <c r="E529" s="26" t="s">
        <v>3960</v>
      </c>
      <c r="F529" s="26" t="s">
        <v>3961</v>
      </c>
      <c r="G529" s="26" t="s">
        <v>198</v>
      </c>
      <c r="H529" s="26" t="s">
        <v>294</v>
      </c>
      <c r="I529" s="26" t="s">
        <v>184</v>
      </c>
      <c r="J529" s="26" t="s">
        <v>2404</v>
      </c>
      <c r="K529" s="26" t="s">
        <v>2405</v>
      </c>
      <c r="L529" s="26" t="s">
        <v>79</v>
      </c>
      <c r="M529" s="26" t="s">
        <v>78</v>
      </c>
      <c r="N529" s="26">
        <v>102</v>
      </c>
      <c r="O529" s="26">
        <v>59</v>
      </c>
      <c r="P529" s="26">
        <v>43</v>
      </c>
      <c r="Q529" s="26">
        <v>10</v>
      </c>
      <c r="R529" s="26">
        <v>1</v>
      </c>
      <c r="S529" s="26">
        <v>8</v>
      </c>
      <c r="T529" s="26">
        <v>17</v>
      </c>
      <c r="U529" s="26">
        <v>26</v>
      </c>
      <c r="V529" s="26">
        <v>1</v>
      </c>
    </row>
    <row r="530" spans="1:22" x14ac:dyDescent="0.25">
      <c r="A530" s="26" t="s">
        <v>3706</v>
      </c>
      <c r="B530" s="26" t="s">
        <v>3962</v>
      </c>
      <c r="C530" s="26" t="s">
        <v>3963</v>
      </c>
      <c r="D530" s="26" t="s">
        <v>179</v>
      </c>
      <c r="E530" s="26" t="s">
        <v>3964</v>
      </c>
      <c r="F530" s="26" t="s">
        <v>1899</v>
      </c>
      <c r="G530" s="26" t="s">
        <v>252</v>
      </c>
      <c r="H530" s="26" t="s">
        <v>594</v>
      </c>
      <c r="I530" s="26" t="s">
        <v>184</v>
      </c>
      <c r="J530" s="26" t="s">
        <v>2565</v>
      </c>
      <c r="K530" s="26" t="s">
        <v>2405</v>
      </c>
      <c r="L530" s="26" t="s">
        <v>79</v>
      </c>
      <c r="M530" s="26" t="s">
        <v>78</v>
      </c>
      <c r="N530" s="26">
        <v>42</v>
      </c>
      <c r="O530" s="26">
        <v>23</v>
      </c>
      <c r="P530" s="26">
        <v>19</v>
      </c>
      <c r="Q530" s="26">
        <v>5</v>
      </c>
      <c r="R530" s="26">
        <v>1</v>
      </c>
      <c r="S530" s="26">
        <v>4</v>
      </c>
      <c r="T530" s="26">
        <v>1</v>
      </c>
      <c r="U530" s="26">
        <v>6</v>
      </c>
      <c r="V530" s="26">
        <v>1</v>
      </c>
    </row>
    <row r="531" spans="1:22" x14ac:dyDescent="0.25">
      <c r="A531" s="26" t="s">
        <v>3706</v>
      </c>
      <c r="B531" s="26" t="s">
        <v>3965</v>
      </c>
      <c r="C531" s="26" t="s">
        <v>3966</v>
      </c>
      <c r="D531" s="26" t="s">
        <v>179</v>
      </c>
      <c r="E531" s="26" t="s">
        <v>3967</v>
      </c>
      <c r="F531" s="26" t="s">
        <v>675</v>
      </c>
      <c r="G531" s="26" t="s">
        <v>676</v>
      </c>
      <c r="H531" s="26" t="s">
        <v>1026</v>
      </c>
      <c r="I531" s="26" t="s">
        <v>184</v>
      </c>
      <c r="J531" s="26" t="s">
        <v>2509</v>
      </c>
      <c r="K531" s="26" t="s">
        <v>2405</v>
      </c>
      <c r="L531" s="26" t="s">
        <v>79</v>
      </c>
      <c r="M531" s="26" t="s">
        <v>78</v>
      </c>
      <c r="N531" s="26">
        <v>10</v>
      </c>
      <c r="O531" s="26">
        <v>7</v>
      </c>
      <c r="P531" s="26">
        <v>3</v>
      </c>
      <c r="Q531" s="26">
        <v>4</v>
      </c>
      <c r="R531" s="26">
        <v>1</v>
      </c>
      <c r="S531" s="26">
        <v>4</v>
      </c>
      <c r="T531" s="26">
        <v>2</v>
      </c>
      <c r="U531" s="26">
        <v>7</v>
      </c>
      <c r="V531" s="26">
        <v>1</v>
      </c>
    </row>
    <row r="532" spans="1:22" x14ac:dyDescent="0.25">
      <c r="A532" s="26" t="s">
        <v>3706</v>
      </c>
      <c r="B532" s="26" t="s">
        <v>3968</v>
      </c>
      <c r="C532" s="26" t="s">
        <v>3969</v>
      </c>
      <c r="D532" s="26" t="s">
        <v>179</v>
      </c>
      <c r="E532" s="26" t="s">
        <v>3970</v>
      </c>
      <c r="F532" s="26" t="s">
        <v>1934</v>
      </c>
      <c r="G532" s="26" t="s">
        <v>293</v>
      </c>
      <c r="H532" s="26" t="s">
        <v>594</v>
      </c>
      <c r="I532" s="26" t="s">
        <v>184</v>
      </c>
      <c r="J532" s="26" t="s">
        <v>295</v>
      </c>
      <c r="K532" s="26" t="s">
        <v>296</v>
      </c>
      <c r="L532" s="26" t="s">
        <v>80</v>
      </c>
      <c r="M532" s="26" t="s">
        <v>77</v>
      </c>
      <c r="N532" s="26">
        <v>115</v>
      </c>
      <c r="O532" s="26">
        <v>96</v>
      </c>
      <c r="P532" s="26">
        <v>19</v>
      </c>
      <c r="Q532" s="26">
        <v>10</v>
      </c>
      <c r="R532" s="26">
        <v>1</v>
      </c>
      <c r="S532" s="26">
        <v>13</v>
      </c>
      <c r="T532" s="26">
        <v>17</v>
      </c>
      <c r="U532" s="26">
        <v>31</v>
      </c>
      <c r="V532" s="26">
        <v>1</v>
      </c>
    </row>
    <row r="533" spans="1:22" x14ac:dyDescent="0.25">
      <c r="A533" s="27" t="s">
        <v>3983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737"/>
  <sheetViews>
    <sheetView showGridLines="0" workbookViewId="0"/>
  </sheetViews>
  <sheetFormatPr baseColWidth="10" defaultRowHeight="15" x14ac:dyDescent="0.25"/>
  <cols>
    <col min="5" max="6" width="11.42578125" customWidth="1"/>
  </cols>
  <sheetData>
    <row r="1" spans="1:23" x14ac:dyDescent="0.25">
      <c r="A1" s="24" t="str">
        <f>"NIVEL"</f>
        <v>NIVEL</v>
      </c>
      <c r="B1" s="24" t="str">
        <f>"CLAVECCT"</f>
        <v>CLAVECCT</v>
      </c>
      <c r="C1" s="24" t="str">
        <f>"NOMBRE_CT"</f>
        <v>NOMBRE_CT</v>
      </c>
      <c r="D1" s="24" t="str">
        <f>"TURNO"</f>
        <v>TURNO</v>
      </c>
      <c r="E1" s="24" t="str">
        <f>"DOMICILIO"</f>
        <v>DOMICILIO</v>
      </c>
      <c r="F1" s="24" t="str">
        <f>"COLONIA"</f>
        <v>COLONIA</v>
      </c>
      <c r="G1" s="24" t="str">
        <f>"DELEGACION"</f>
        <v>DELEGACION</v>
      </c>
      <c r="H1" s="24" t="str">
        <f>"ZONA"</f>
        <v>ZONA</v>
      </c>
      <c r="I1" s="24" t="str">
        <f>"SECTOR"</f>
        <v>SECTOR</v>
      </c>
      <c r="J1" s="24" t="str">
        <f>"DIRSERVREG"</f>
        <v>DIRSERVREG</v>
      </c>
      <c r="K1" s="24" t="str">
        <f>"DEPNORMTVA"</f>
        <v>DEPNORMTVA</v>
      </c>
      <c r="L1" s="24" t="str">
        <f>"DIR_GRAL"</f>
        <v>DIR_GRAL</v>
      </c>
      <c r="M1" s="24" t="str">
        <f>"SOSTENIMIENTO"</f>
        <v>SOSTENIMIENTO</v>
      </c>
      <c r="N1" s="24" t="str">
        <f>"ALUMNOS"</f>
        <v>ALUMNOS</v>
      </c>
      <c r="O1" s="24" t="str">
        <f>"HOMBRES"</f>
        <v>HOMBRES</v>
      </c>
      <c r="P1" s="24" t="str">
        <f>"MUJERES"</f>
        <v>MUJERES</v>
      </c>
      <c r="Q1" s="24" t="str">
        <f>"GRUPOS"</f>
        <v>GRUPOS</v>
      </c>
      <c r="R1" s="24" t="str">
        <f>"DIRECTORES"</f>
        <v>DIRECTORES</v>
      </c>
      <c r="S1" s="24" t="str">
        <f>"DOCENTES"</f>
        <v>DOCENTES</v>
      </c>
      <c r="T1" s="24" t="str">
        <f>"APOYO"</f>
        <v>APOYO</v>
      </c>
      <c r="U1" s="24" t="str">
        <f>"TOTAL"</f>
        <v>TOTAL</v>
      </c>
      <c r="V1" s="24" t="str">
        <f>"ESCUELAS"</f>
        <v>ESCUELAS</v>
      </c>
      <c r="W1" s="25" t="s">
        <v>75</v>
      </c>
    </row>
    <row r="2" spans="1:23" x14ac:dyDescent="0.25">
      <c r="A2" s="26" t="str">
        <f t="shared" ref="A2:A65" si="0">"PREESCOLAR"</f>
        <v>PREESCOLAR</v>
      </c>
      <c r="B2" s="26" t="str">
        <f>"09DJN0003V"</f>
        <v>09DJN0003V</v>
      </c>
      <c r="C2" s="26" t="str">
        <f>"AURORA REYES                                                                                        "</f>
        <v xml:space="preserve">AURORA REYES                                                                                        </v>
      </c>
      <c r="D2" s="26" t="str">
        <f>"JORNADA AMPLIADA"</f>
        <v>JORNADA AMPLIADA</v>
      </c>
      <c r="E2" s="26" t="str">
        <f>"PERIFERICO SUR NO. 7680                                                         "</f>
        <v xml:space="preserve">PERIFERICO SUR NO. 7680                                                         </v>
      </c>
      <c r="F2" s="26" t="str">
        <f>"RINCONADA COAPA                                                                                                                             "</f>
        <v xml:space="preserve">RINCONADA COAPA                                                                                                                             </v>
      </c>
      <c r="G2" s="26" t="str">
        <f>"TLALPAN                                                                         "</f>
        <v xml:space="preserve">TLALPAN                                                                         </v>
      </c>
      <c r="H2" s="26" t="str">
        <f>"145"</f>
        <v>145</v>
      </c>
      <c r="I2" s="26" t="str">
        <f t="shared" ref="I2:I65" si="1">"00"</f>
        <v>00</v>
      </c>
      <c r="J2" s="26" t="str">
        <f>"34 "</f>
        <v xml:space="preserve">34 </v>
      </c>
      <c r="K2" s="26" t="str">
        <f t="shared" ref="K2:K36" si="2">"EP"</f>
        <v>EP</v>
      </c>
      <c r="L2" s="26" t="str">
        <f t="shared" ref="L2:L36" si="3">"DGOSE"</f>
        <v>DGOSE</v>
      </c>
      <c r="M2" s="26" t="str">
        <f t="shared" ref="M2:M65" si="4">"FEDERAL"</f>
        <v>FEDERAL</v>
      </c>
      <c r="N2" s="26">
        <v>109</v>
      </c>
      <c r="O2" s="26">
        <v>61</v>
      </c>
      <c r="P2" s="26">
        <v>48</v>
      </c>
      <c r="Q2" s="26">
        <v>5</v>
      </c>
      <c r="R2" s="26">
        <v>1</v>
      </c>
      <c r="S2" s="26">
        <v>5</v>
      </c>
      <c r="T2" s="26">
        <v>6</v>
      </c>
      <c r="U2" s="26">
        <v>12</v>
      </c>
      <c r="V2" s="26">
        <v>1</v>
      </c>
      <c r="W2" s="26" t="s">
        <v>2076</v>
      </c>
    </row>
    <row r="3" spans="1:23" x14ac:dyDescent="0.25">
      <c r="A3" s="26" t="str">
        <f t="shared" si="0"/>
        <v>PREESCOLAR</v>
      </c>
      <c r="B3" s="26" t="str">
        <f>"09DJN0005T"</f>
        <v>09DJN0005T</v>
      </c>
      <c r="C3" s="26" t="str">
        <f>"HERMANOS GRIMM                                                                                      "</f>
        <v xml:space="preserve">HERMANOS GRIMM                                                                                      </v>
      </c>
      <c r="D3" s="26" t="str">
        <f>"TIEMPO COMPLETO"</f>
        <v>TIEMPO COMPLETO</v>
      </c>
      <c r="E3" s="26" t="str">
        <f>"CANTON CHINA Y MARRUECOS                                                        "</f>
        <v xml:space="preserve">CANTON CHINA Y MARRUECOS                                                        </v>
      </c>
      <c r="F3" s="26" t="str">
        <f>"ROMERO RUBIO                                                                                                                                "</f>
        <v xml:space="preserve">ROMERO RUBIO                                                                                                                                </v>
      </c>
      <c r="G3" s="26" t="str">
        <f>"VENUSTIANO CARRANZA                                                             "</f>
        <v xml:space="preserve">VENUSTIANO CARRANZA                                                             </v>
      </c>
      <c r="H3" s="26" t="str">
        <f>"246"</f>
        <v>246</v>
      </c>
      <c r="I3" s="26" t="str">
        <f t="shared" si="1"/>
        <v>00</v>
      </c>
      <c r="J3" s="26" t="str">
        <f>"31 "</f>
        <v xml:space="preserve">31 </v>
      </c>
      <c r="K3" s="26" t="str">
        <f t="shared" si="2"/>
        <v>EP</v>
      </c>
      <c r="L3" s="26" t="str">
        <f t="shared" si="3"/>
        <v>DGOSE</v>
      </c>
      <c r="M3" s="26" t="str">
        <f t="shared" si="4"/>
        <v>FEDERAL</v>
      </c>
      <c r="N3" s="26">
        <v>265</v>
      </c>
      <c r="O3" s="26">
        <v>140</v>
      </c>
      <c r="P3" s="26">
        <v>125</v>
      </c>
      <c r="Q3" s="26">
        <v>10</v>
      </c>
      <c r="R3" s="26">
        <v>2</v>
      </c>
      <c r="S3" s="26">
        <v>10</v>
      </c>
      <c r="T3" s="26">
        <v>18</v>
      </c>
      <c r="U3" s="26">
        <v>30</v>
      </c>
      <c r="V3" s="26">
        <v>1</v>
      </c>
      <c r="W3" s="26" t="s">
        <v>218</v>
      </c>
    </row>
    <row r="4" spans="1:23" x14ac:dyDescent="0.25">
      <c r="A4" s="26" t="str">
        <f t="shared" si="0"/>
        <v>PREESCOLAR</v>
      </c>
      <c r="B4" s="26" t="str">
        <f>"09DJN0006S"</f>
        <v>09DJN0006S</v>
      </c>
      <c r="C4" s="26" t="str">
        <f>"TLACOQUEMECATL                                                                                      "</f>
        <v xml:space="preserve">TLACOQUEMECATL                                                                                      </v>
      </c>
      <c r="D4" s="26" t="str">
        <f>"JORNADA AMPLIADA"</f>
        <v>JORNADA AMPLIADA</v>
      </c>
      <c r="E4" s="26" t="str">
        <f>"DR. VERTIZ NO. 738                                                              "</f>
        <v xml:space="preserve">DR. VERTIZ NO. 738                                                              </v>
      </c>
      <c r="F4" s="26" t="str">
        <f>"NARVARTE                                                                                                                                    "</f>
        <v xml:space="preserve">NARVARTE                                                                                                                                    </v>
      </c>
      <c r="G4" s="26" t="str">
        <f>"BENITO JUAREZ                                                                   "</f>
        <v xml:space="preserve">BENITO JUAREZ                                                                   </v>
      </c>
      <c r="H4" s="26" t="str">
        <f>"088"</f>
        <v>088</v>
      </c>
      <c r="I4" s="26" t="str">
        <f t="shared" si="1"/>
        <v>00</v>
      </c>
      <c r="J4" s="26" t="str">
        <f>"34 "</f>
        <v xml:space="preserve">34 </v>
      </c>
      <c r="K4" s="26" t="str">
        <f t="shared" si="2"/>
        <v>EP</v>
      </c>
      <c r="L4" s="26" t="str">
        <f t="shared" si="3"/>
        <v>DGOSE</v>
      </c>
      <c r="M4" s="26" t="str">
        <f t="shared" si="4"/>
        <v>FEDERAL</v>
      </c>
      <c r="N4" s="26">
        <v>142</v>
      </c>
      <c r="O4" s="26">
        <v>68</v>
      </c>
      <c r="P4" s="26">
        <v>74</v>
      </c>
      <c r="Q4" s="26">
        <v>5</v>
      </c>
      <c r="R4" s="26">
        <v>1</v>
      </c>
      <c r="S4" s="26">
        <v>5</v>
      </c>
      <c r="T4" s="26">
        <v>6</v>
      </c>
      <c r="U4" s="26">
        <v>12</v>
      </c>
      <c r="V4" s="26">
        <v>1</v>
      </c>
      <c r="W4" s="26" t="s">
        <v>2076</v>
      </c>
    </row>
    <row r="5" spans="1:23" x14ac:dyDescent="0.25">
      <c r="A5" s="26" t="str">
        <f t="shared" si="0"/>
        <v>PREESCOLAR</v>
      </c>
      <c r="B5" s="26" t="str">
        <f>"09DJN0007R"</f>
        <v>09DJN0007R</v>
      </c>
      <c r="C5" s="26" t="str">
        <f>"DR. MARTIN LUTHER KING                                                                              "</f>
        <v xml:space="preserve">DR. MARTIN LUTHER KING                                                                              </v>
      </c>
      <c r="D5" s="26" t="str">
        <f>"TIEMPO COMPLETO"</f>
        <v>TIEMPO COMPLETO</v>
      </c>
      <c r="E5" s="26" t="str">
        <f>"PLAYA ICACOS NO. 103                                                            "</f>
        <v xml:space="preserve">PLAYA ICACOS NO. 103                                                            </v>
      </c>
      <c r="F5" s="26" t="str">
        <f>"REFORMA IZTACCIHUATL                                                                                                                        "</f>
        <v xml:space="preserve">REFORMA IZTACCIHUATL                                                                                                                        </v>
      </c>
      <c r="G5" s="26" t="str">
        <f>"IZTACALCO                                                                       "</f>
        <v xml:space="preserve">IZTACALCO                                                                       </v>
      </c>
      <c r="H5" s="26" t="str">
        <f>"028"</f>
        <v>028</v>
      </c>
      <c r="I5" s="26" t="str">
        <f t="shared" si="1"/>
        <v>00</v>
      </c>
      <c r="J5" s="26" t="str">
        <f>"31 "</f>
        <v xml:space="preserve">31 </v>
      </c>
      <c r="K5" s="26" t="str">
        <f t="shared" si="2"/>
        <v>EP</v>
      </c>
      <c r="L5" s="26" t="str">
        <f t="shared" si="3"/>
        <v>DGOSE</v>
      </c>
      <c r="M5" s="26" t="str">
        <f t="shared" si="4"/>
        <v>FEDERAL</v>
      </c>
      <c r="N5" s="26">
        <v>191</v>
      </c>
      <c r="O5" s="26">
        <v>103</v>
      </c>
      <c r="P5" s="26">
        <v>88</v>
      </c>
      <c r="Q5" s="26">
        <v>7</v>
      </c>
      <c r="R5" s="26">
        <v>2</v>
      </c>
      <c r="S5" s="26">
        <v>7</v>
      </c>
      <c r="T5" s="26">
        <v>16</v>
      </c>
      <c r="U5" s="26">
        <v>25</v>
      </c>
      <c r="V5" s="26">
        <v>1</v>
      </c>
      <c r="W5" s="26" t="s">
        <v>218</v>
      </c>
    </row>
    <row r="6" spans="1:23" x14ac:dyDescent="0.25">
      <c r="A6" s="26" t="str">
        <f t="shared" si="0"/>
        <v>PREESCOLAR</v>
      </c>
      <c r="B6" s="26" t="str">
        <f>"09DJN0008Q"</f>
        <v>09DJN0008Q</v>
      </c>
      <c r="C6" s="26" t="str">
        <f>"IZTACALCO                                                                                           "</f>
        <v xml:space="preserve">IZTACALCO                                                                                           </v>
      </c>
      <c r="D6" s="26" t="str">
        <f>"JORNADA AMPLIADA"</f>
        <v>JORNADA AMPLIADA</v>
      </c>
      <c r="E6" s="26" t="str">
        <f>"SUR 183 Y ORIENTE 112                                                           "</f>
        <v xml:space="preserve">SUR 183 Y ORIENTE 112                                                           </v>
      </c>
      <c r="F6" s="26" t="str">
        <f>"GABRIEL RAMOS MILLAN AMPLIACION                                                                                                             "</f>
        <v xml:space="preserve">GABRIEL RAMOS MILLAN AMPLIACION                                                                                                             </v>
      </c>
      <c r="G6" s="26" t="str">
        <f>"IZTACALCO                                                                       "</f>
        <v xml:space="preserve">IZTACALCO                                                                       </v>
      </c>
      <c r="H6" s="26" t="str">
        <f>"072"</f>
        <v>072</v>
      </c>
      <c r="I6" s="26" t="str">
        <f t="shared" si="1"/>
        <v>00</v>
      </c>
      <c r="J6" s="26" t="str">
        <f>"31 "</f>
        <v xml:space="preserve">31 </v>
      </c>
      <c r="K6" s="26" t="str">
        <f t="shared" si="2"/>
        <v>EP</v>
      </c>
      <c r="L6" s="26" t="str">
        <f t="shared" si="3"/>
        <v>DGOSE</v>
      </c>
      <c r="M6" s="26" t="str">
        <f t="shared" si="4"/>
        <v>FEDERAL</v>
      </c>
      <c r="N6" s="26">
        <v>280</v>
      </c>
      <c r="O6" s="26">
        <v>135</v>
      </c>
      <c r="P6" s="26">
        <v>145</v>
      </c>
      <c r="Q6" s="26">
        <v>9</v>
      </c>
      <c r="R6" s="26">
        <v>0</v>
      </c>
      <c r="S6" s="26">
        <v>9</v>
      </c>
      <c r="T6" s="26">
        <v>7</v>
      </c>
      <c r="U6" s="26">
        <v>16</v>
      </c>
      <c r="V6" s="26">
        <v>1</v>
      </c>
      <c r="W6" s="26" t="s">
        <v>2076</v>
      </c>
    </row>
    <row r="7" spans="1:23" x14ac:dyDescent="0.25">
      <c r="A7" s="26" t="str">
        <f t="shared" si="0"/>
        <v>PREESCOLAR</v>
      </c>
      <c r="B7" s="26" t="str">
        <f>"09DJN0010E"</f>
        <v>09DJN0010E</v>
      </c>
      <c r="C7" s="26" t="str">
        <f>"PROFR. TADEO DE LA GARZA GUTIERREZ                                                                  "</f>
        <v xml:space="preserve">PROFR. TADEO DE LA GARZA GUTIERREZ                                                                  </v>
      </c>
      <c r="D7" s="26" t="str">
        <f>"MATUTINO"</f>
        <v>MATUTINO</v>
      </c>
      <c r="E7" s="26" t="str">
        <f>"CINEMATOGRAFIA Y ALFAREROS S/N                                                  "</f>
        <v xml:space="preserve">CINEMATOGRAFIA Y ALFAREROS S/N                                                  </v>
      </c>
      <c r="F7" s="26" t="str">
        <f>"UNIDAD INFONAVIT EL ROSARIO                                                                                                                 "</f>
        <v xml:space="preserve">UNIDAD INFONAVIT EL ROSARIO                                                                                                                 </v>
      </c>
      <c r="G7" s="26" t="str">
        <f>"AZCAPOTZALCO                                                                    "</f>
        <v xml:space="preserve">AZCAPOTZALCO                                                                    </v>
      </c>
      <c r="H7" s="26" t="str">
        <f>"009"</f>
        <v>009</v>
      </c>
      <c r="I7" s="26" t="str">
        <f t="shared" si="1"/>
        <v>00</v>
      </c>
      <c r="J7" s="26" t="str">
        <f>"32 "</f>
        <v xml:space="preserve">32 </v>
      </c>
      <c r="K7" s="26" t="str">
        <f t="shared" si="2"/>
        <v>EP</v>
      </c>
      <c r="L7" s="26" t="str">
        <f t="shared" si="3"/>
        <v>DGOSE</v>
      </c>
      <c r="M7" s="26" t="str">
        <f t="shared" si="4"/>
        <v>FEDERAL</v>
      </c>
      <c r="N7" s="26">
        <v>215</v>
      </c>
      <c r="O7" s="26">
        <v>114</v>
      </c>
      <c r="P7" s="26">
        <v>101</v>
      </c>
      <c r="Q7" s="26">
        <v>8</v>
      </c>
      <c r="R7" s="26">
        <v>1</v>
      </c>
      <c r="S7" s="26">
        <v>8</v>
      </c>
      <c r="T7" s="26">
        <v>6</v>
      </c>
      <c r="U7" s="26">
        <v>15</v>
      </c>
      <c r="V7" s="26">
        <v>1</v>
      </c>
      <c r="W7" s="26"/>
    </row>
    <row r="8" spans="1:23" x14ac:dyDescent="0.25">
      <c r="A8" s="26" t="str">
        <f t="shared" si="0"/>
        <v>PREESCOLAR</v>
      </c>
      <c r="B8" s="26" t="str">
        <f>"09DJN0011D"</f>
        <v>09DJN0011D</v>
      </c>
      <c r="C8" s="26" t="str">
        <f>"REPUBLICA DE HUNGRIA                                                                                "</f>
        <v xml:space="preserve">REPUBLICA DE HUNGRIA                                                                                </v>
      </c>
      <c r="D8" s="26" t="str">
        <f>"JORNADA AMPLIADA"</f>
        <v>JORNADA AMPLIADA</v>
      </c>
      <c r="E8" s="26" t="str">
        <f>"PATRICIO SAENZ NO. 1508                                                         "</f>
        <v xml:space="preserve">PATRICIO SAENZ NO. 1508                                                         </v>
      </c>
      <c r="F8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8" s="26" t="str">
        <f>"BENITO JUAREZ                                                                   "</f>
        <v xml:space="preserve">BENITO JUAREZ                                                                   </v>
      </c>
      <c r="H8" s="26" t="str">
        <f>"115"</f>
        <v>115</v>
      </c>
      <c r="I8" s="26" t="str">
        <f t="shared" si="1"/>
        <v>00</v>
      </c>
      <c r="J8" s="26" t="str">
        <f>"34 "</f>
        <v xml:space="preserve">34 </v>
      </c>
      <c r="K8" s="26" t="str">
        <f t="shared" si="2"/>
        <v>EP</v>
      </c>
      <c r="L8" s="26" t="str">
        <f t="shared" si="3"/>
        <v>DGOSE</v>
      </c>
      <c r="M8" s="26" t="str">
        <f t="shared" si="4"/>
        <v>FEDERAL</v>
      </c>
      <c r="N8" s="26">
        <v>73</v>
      </c>
      <c r="O8" s="26">
        <v>43</v>
      </c>
      <c r="P8" s="26">
        <v>30</v>
      </c>
      <c r="Q8" s="26">
        <v>4</v>
      </c>
      <c r="R8" s="26">
        <v>1</v>
      </c>
      <c r="S8" s="26">
        <v>4</v>
      </c>
      <c r="T8" s="26">
        <v>7</v>
      </c>
      <c r="U8" s="26">
        <v>12</v>
      </c>
      <c r="V8" s="26">
        <v>1</v>
      </c>
      <c r="W8" s="26" t="s">
        <v>2076</v>
      </c>
    </row>
    <row r="9" spans="1:23" x14ac:dyDescent="0.25">
      <c r="A9" s="26" t="str">
        <f t="shared" si="0"/>
        <v>PREESCOLAR</v>
      </c>
      <c r="B9" s="26" t="str">
        <f>"09DJN0012C"</f>
        <v>09DJN0012C</v>
      </c>
      <c r="C9" s="26" t="str">
        <f>"JOSEFA DURAN                                                                                        "</f>
        <v xml:space="preserve">JOSEFA DURAN                                                                                        </v>
      </c>
      <c r="D9" s="26" t="str">
        <f>"MATUTINO"</f>
        <v>MATUTINO</v>
      </c>
      <c r="E9" s="26" t="str">
        <f>"TEPEYAUCLE Y ESCUINAPA                                                          "</f>
        <v xml:space="preserve">TEPEYAUCLE Y ESCUINAPA                                                          </v>
      </c>
      <c r="F9" s="26" t="str">
        <f>"LOS REYES                                                                                                                                   "</f>
        <v xml:space="preserve">LOS REYES                                                                                                                                   </v>
      </c>
      <c r="G9" s="26" t="str">
        <f>"COYOACAN                                                                        "</f>
        <v xml:space="preserve">COYOACAN                                                                        </v>
      </c>
      <c r="H9" s="26" t="str">
        <f>"137"</f>
        <v>137</v>
      </c>
      <c r="I9" s="26" t="str">
        <f t="shared" si="1"/>
        <v>00</v>
      </c>
      <c r="J9" s="26" t="str">
        <f>"35 "</f>
        <v xml:space="preserve">35 </v>
      </c>
      <c r="K9" s="26" t="str">
        <f t="shared" si="2"/>
        <v>EP</v>
      </c>
      <c r="L9" s="26" t="str">
        <f t="shared" si="3"/>
        <v>DGOSE</v>
      </c>
      <c r="M9" s="26" t="str">
        <f t="shared" si="4"/>
        <v>FEDERAL</v>
      </c>
      <c r="N9" s="26">
        <v>260</v>
      </c>
      <c r="O9" s="26">
        <v>122</v>
      </c>
      <c r="P9" s="26">
        <v>138</v>
      </c>
      <c r="Q9" s="26">
        <v>8</v>
      </c>
      <c r="R9" s="26">
        <v>0</v>
      </c>
      <c r="S9" s="26">
        <v>8</v>
      </c>
      <c r="T9" s="26">
        <v>5</v>
      </c>
      <c r="U9" s="26">
        <v>13</v>
      </c>
      <c r="V9" s="26">
        <v>1</v>
      </c>
      <c r="W9" s="26"/>
    </row>
    <row r="10" spans="1:23" x14ac:dyDescent="0.25">
      <c r="A10" s="26" t="str">
        <f t="shared" si="0"/>
        <v>PREESCOLAR</v>
      </c>
      <c r="B10" s="26" t="str">
        <f>"09DJN0013B"</f>
        <v>09DJN0013B</v>
      </c>
      <c r="C10" s="26" t="str">
        <f>"CHICHEN-ITZA                                                                                        "</f>
        <v xml:space="preserve">CHICHEN-ITZA                                                                                        </v>
      </c>
      <c r="D10" s="26" t="str">
        <f>"JORNADA AMPLIADA"</f>
        <v>JORNADA AMPLIADA</v>
      </c>
      <c r="E10" s="26" t="str">
        <f>"RET. 4 DE MANUEL RIVERA CAMBAS S/N                                              "</f>
        <v xml:space="preserve">RET. 4 DE MANUEL RIVERA CAMBAS S/N                                              </v>
      </c>
      <c r="F10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10" s="26" t="str">
        <f>"VENUSTIANO CARRANZA                                                             "</f>
        <v xml:space="preserve">VENUSTIANO CARRANZA                                                             </v>
      </c>
      <c r="H10" s="26" t="str">
        <f>"093"</f>
        <v>093</v>
      </c>
      <c r="I10" s="26" t="str">
        <f t="shared" si="1"/>
        <v>00</v>
      </c>
      <c r="J10" s="26" t="str">
        <f>"31 "</f>
        <v xml:space="preserve">31 </v>
      </c>
      <c r="K10" s="26" t="str">
        <f t="shared" si="2"/>
        <v>EP</v>
      </c>
      <c r="L10" s="26" t="str">
        <f t="shared" si="3"/>
        <v>DGOSE</v>
      </c>
      <c r="M10" s="26" t="str">
        <f t="shared" si="4"/>
        <v>FEDERAL</v>
      </c>
      <c r="N10" s="26">
        <v>81</v>
      </c>
      <c r="O10" s="26">
        <v>33</v>
      </c>
      <c r="P10" s="26">
        <v>48</v>
      </c>
      <c r="Q10" s="26">
        <v>3</v>
      </c>
      <c r="R10" s="26">
        <v>1</v>
      </c>
      <c r="S10" s="26">
        <v>3</v>
      </c>
      <c r="T10" s="26">
        <v>7</v>
      </c>
      <c r="U10" s="26">
        <v>11</v>
      </c>
      <c r="V10" s="26">
        <v>1</v>
      </c>
      <c r="W10" s="26" t="s">
        <v>2076</v>
      </c>
    </row>
    <row r="11" spans="1:23" x14ac:dyDescent="0.25">
      <c r="A11" s="26" t="str">
        <f t="shared" si="0"/>
        <v>PREESCOLAR</v>
      </c>
      <c r="B11" s="26" t="str">
        <f>"09DJN0014A"</f>
        <v>09DJN0014A</v>
      </c>
      <c r="C11" s="26" t="str">
        <f>"ESTADO DE GUANAJUATO                                                                                "</f>
        <v xml:space="preserve">ESTADO DE GUANAJUATO                                                                                </v>
      </c>
      <c r="D11" s="26" t="str">
        <f>"JORNADA AMPLIADA"</f>
        <v>JORNADA AMPLIADA</v>
      </c>
      <c r="E11" s="26" t="str">
        <f>"RIO FRIO Y MARIANO ESCOBEDO S/N                                                 "</f>
        <v xml:space="preserve">RIO FRIO Y MARIANO ESCOBEDO S/N                                                 </v>
      </c>
      <c r="F11" s="26" t="str">
        <f>"MAGDALENA MIXHUCA                                                                                                                           "</f>
        <v xml:space="preserve">MAGDALENA MIXHUCA                                                                                                                           </v>
      </c>
      <c r="G11" s="26" t="str">
        <f>"VENUSTIANO CARRANZA                                                             "</f>
        <v xml:space="preserve">VENUSTIANO CARRANZA                                                             </v>
      </c>
      <c r="H11" s="26" t="str">
        <f>"093"</f>
        <v>093</v>
      </c>
      <c r="I11" s="26" t="str">
        <f t="shared" si="1"/>
        <v>00</v>
      </c>
      <c r="J11" s="26" t="str">
        <f>"31 "</f>
        <v xml:space="preserve">31 </v>
      </c>
      <c r="K11" s="26" t="str">
        <f t="shared" si="2"/>
        <v>EP</v>
      </c>
      <c r="L11" s="26" t="str">
        <f t="shared" si="3"/>
        <v>DGOSE</v>
      </c>
      <c r="M11" s="26" t="str">
        <f t="shared" si="4"/>
        <v>FEDERAL</v>
      </c>
      <c r="N11" s="26">
        <v>263</v>
      </c>
      <c r="O11" s="26">
        <v>129</v>
      </c>
      <c r="P11" s="26">
        <v>134</v>
      </c>
      <c r="Q11" s="26">
        <v>8</v>
      </c>
      <c r="R11" s="26">
        <v>1</v>
      </c>
      <c r="S11" s="26">
        <v>8</v>
      </c>
      <c r="T11" s="26">
        <v>10</v>
      </c>
      <c r="U11" s="26">
        <v>19</v>
      </c>
      <c r="V11" s="26">
        <v>1</v>
      </c>
      <c r="W11" s="26" t="s">
        <v>2076</v>
      </c>
    </row>
    <row r="12" spans="1:23" x14ac:dyDescent="0.25">
      <c r="A12" s="26" t="str">
        <f t="shared" si="0"/>
        <v>PREESCOLAR</v>
      </c>
      <c r="B12" s="26" t="str">
        <f>"09DJN0015Z"</f>
        <v>09DJN0015Z</v>
      </c>
      <c r="C12" s="26" t="str">
        <f>"TEOTIHUACAN                                                                                         "</f>
        <v xml:space="preserve">TEOTIHUACAN                                                                                         </v>
      </c>
      <c r="D12" s="26" t="str">
        <f>"VESPERTINO"</f>
        <v>VESPERTINO</v>
      </c>
      <c r="E12" s="26" t="str">
        <f>"CABO FINISTERRE S/N                                                             "</f>
        <v xml:space="preserve">CABO FINISTERRE S/N                                                             </v>
      </c>
      <c r="F12" s="26" t="str">
        <f>"GABRIEL HERNANDEZ                                                                                                                           "</f>
        <v xml:space="preserve">GABRIEL HERNANDEZ                                                                                                                           </v>
      </c>
      <c r="G12" s="26" t="str">
        <f>"GUSTAVO A. MADERO                                                               "</f>
        <v xml:space="preserve">GUSTAVO A. MADERO                                                               </v>
      </c>
      <c r="H12" s="26" t="str">
        <f>"197"</f>
        <v>197</v>
      </c>
      <c r="I12" s="26" t="str">
        <f t="shared" si="1"/>
        <v>00</v>
      </c>
      <c r="J12" s="26" t="str">
        <f>"32 "</f>
        <v xml:space="preserve">32 </v>
      </c>
      <c r="K12" s="26" t="str">
        <f t="shared" si="2"/>
        <v>EP</v>
      </c>
      <c r="L12" s="26" t="str">
        <f t="shared" si="3"/>
        <v>DGOSE</v>
      </c>
      <c r="M12" s="26" t="str">
        <f t="shared" si="4"/>
        <v>FEDERAL</v>
      </c>
      <c r="N12" s="26">
        <v>193</v>
      </c>
      <c r="O12" s="26">
        <v>101</v>
      </c>
      <c r="P12" s="26">
        <v>92</v>
      </c>
      <c r="Q12" s="26">
        <v>7</v>
      </c>
      <c r="R12" s="26">
        <v>1</v>
      </c>
      <c r="S12" s="26">
        <v>7</v>
      </c>
      <c r="T12" s="26">
        <v>5</v>
      </c>
      <c r="U12" s="26">
        <v>13</v>
      </c>
      <c r="V12" s="26">
        <v>1</v>
      </c>
      <c r="W12" s="26"/>
    </row>
    <row r="13" spans="1:23" x14ac:dyDescent="0.25">
      <c r="A13" s="26" t="str">
        <f t="shared" si="0"/>
        <v>PREESCOLAR</v>
      </c>
      <c r="B13" s="26" t="str">
        <f>"09DJN0016Z"</f>
        <v>09DJN0016Z</v>
      </c>
      <c r="C13" s="26" t="str">
        <f>"JUAN DE DIOS RODRIGUEZ HEREDIA                                                                      "</f>
        <v xml:space="preserve">JUAN DE DIOS RODRIGUEZ HEREDIA                                                                      </v>
      </c>
      <c r="D13" s="26" t="str">
        <f>"VESPERTINO"</f>
        <v>VESPERTINO</v>
      </c>
      <c r="E13" s="26" t="str">
        <f>"JARDINEROS S/N                                                                  "</f>
        <v xml:space="preserve">JARDINEROS S/N                                                                  </v>
      </c>
      <c r="F13" s="26" t="str">
        <f>"UNIDAD INFONAVIT EL ROSARIO                                                                                                                 "</f>
        <v xml:space="preserve">UNIDAD INFONAVIT EL ROSARIO                                                                                                                 </v>
      </c>
      <c r="G13" s="26" t="str">
        <f>"AZCAPOTZALCO                                                                    "</f>
        <v xml:space="preserve">AZCAPOTZALCO                                                                    </v>
      </c>
      <c r="H13" s="26" t="str">
        <f>"207"</f>
        <v>207</v>
      </c>
      <c r="I13" s="26" t="str">
        <f t="shared" si="1"/>
        <v>00</v>
      </c>
      <c r="J13" s="26" t="str">
        <f>"32 "</f>
        <v xml:space="preserve">32 </v>
      </c>
      <c r="K13" s="26" t="str">
        <f t="shared" si="2"/>
        <v>EP</v>
      </c>
      <c r="L13" s="26" t="str">
        <f t="shared" si="3"/>
        <v>DGOSE</v>
      </c>
      <c r="M13" s="26" t="str">
        <f t="shared" si="4"/>
        <v>FEDERAL</v>
      </c>
      <c r="N13" s="26">
        <v>92</v>
      </c>
      <c r="O13" s="26">
        <v>54</v>
      </c>
      <c r="P13" s="26">
        <v>38</v>
      </c>
      <c r="Q13" s="26">
        <v>4</v>
      </c>
      <c r="R13" s="26">
        <v>0</v>
      </c>
      <c r="S13" s="26">
        <v>4</v>
      </c>
      <c r="T13" s="26">
        <v>3</v>
      </c>
      <c r="U13" s="26">
        <v>7</v>
      </c>
      <c r="V13" s="26">
        <v>1</v>
      </c>
      <c r="W13" s="26"/>
    </row>
    <row r="14" spans="1:23" x14ac:dyDescent="0.25">
      <c r="A14" s="26" t="str">
        <f t="shared" si="0"/>
        <v>PREESCOLAR</v>
      </c>
      <c r="B14" s="26" t="str">
        <f>"09DJN0017Y"</f>
        <v>09DJN0017Y</v>
      </c>
      <c r="C14" s="26" t="str">
        <f>"HELEN KELLER                                                                                        "</f>
        <v xml:space="preserve">HELEN KELLER                                                                                        </v>
      </c>
      <c r="D14" s="26" t="str">
        <f>"MATUTINO"</f>
        <v>MATUTINO</v>
      </c>
      <c r="E14" s="26" t="str">
        <f>"2A. CDA. DE CALLE 633 S/N 5A SECC. 92                                           "</f>
        <v xml:space="preserve">2A. CDA. DE CALLE 633 S/N 5A SECC. 92                                           </v>
      </c>
      <c r="F14" s="26" t="str">
        <f>"SAN JUAN DE ARAGON                                                                                                                          "</f>
        <v xml:space="preserve">SAN JUAN DE ARAGON                                                                                                                          </v>
      </c>
      <c r="G14" s="26" t="str">
        <f>"GUSTAVO A. MADERO                                                               "</f>
        <v xml:space="preserve">GUSTAVO A. MADERO                                                               </v>
      </c>
      <c r="H14" s="26" t="str">
        <f>"199"</f>
        <v>199</v>
      </c>
      <c r="I14" s="26" t="str">
        <f t="shared" si="1"/>
        <v>00</v>
      </c>
      <c r="J14" s="26" t="str">
        <f>"32 "</f>
        <v xml:space="preserve">32 </v>
      </c>
      <c r="K14" s="26" t="str">
        <f t="shared" si="2"/>
        <v>EP</v>
      </c>
      <c r="L14" s="26" t="str">
        <f t="shared" si="3"/>
        <v>DGOSE</v>
      </c>
      <c r="M14" s="26" t="str">
        <f t="shared" si="4"/>
        <v>FEDERAL</v>
      </c>
      <c r="N14" s="26">
        <v>215</v>
      </c>
      <c r="O14" s="26">
        <v>98</v>
      </c>
      <c r="P14" s="26">
        <v>117</v>
      </c>
      <c r="Q14" s="26">
        <v>8</v>
      </c>
      <c r="R14" s="26">
        <v>1</v>
      </c>
      <c r="S14" s="26">
        <v>8</v>
      </c>
      <c r="T14" s="26">
        <v>6</v>
      </c>
      <c r="U14" s="26">
        <v>15</v>
      </c>
      <c r="V14" s="26">
        <v>1</v>
      </c>
      <c r="W14" s="26"/>
    </row>
    <row r="15" spans="1:23" x14ac:dyDescent="0.25">
      <c r="A15" s="26" t="str">
        <f t="shared" si="0"/>
        <v>PREESCOLAR</v>
      </c>
      <c r="B15" s="26" t="str">
        <f>"09DJN0018X"</f>
        <v>09DJN0018X</v>
      </c>
      <c r="C15" s="26" t="str">
        <f>"AÑO INTERNACIONAL DEL NIÑO                                                                          "</f>
        <v xml:space="preserve">AÑO INTERNACIONAL DEL NIÑO                                                                          </v>
      </c>
      <c r="D15" s="26" t="str">
        <f>"JORNADA AMPLIADA"</f>
        <v>JORNADA AMPLIADA</v>
      </c>
      <c r="E15" s="26" t="str">
        <f>"HDA. SAN NICOLAS TOLENTINO S/N                                                  "</f>
        <v xml:space="preserve">HDA. SAN NICOLAS TOLENTINO S/N                                                  </v>
      </c>
      <c r="F15" s="26" t="str">
        <f>"PRADO COAPA                                                                                                                                 "</f>
        <v xml:space="preserve">PRADO COAPA                                                                                                                                 </v>
      </c>
      <c r="G15" s="26" t="str">
        <f>"TLALPAN                                                                         "</f>
        <v xml:space="preserve">TLALPAN                                                                         </v>
      </c>
      <c r="H15" s="26" t="str">
        <f>"145"</f>
        <v>145</v>
      </c>
      <c r="I15" s="26" t="str">
        <f t="shared" si="1"/>
        <v>00</v>
      </c>
      <c r="J15" s="26" t="str">
        <f>"34 "</f>
        <v xml:space="preserve">34 </v>
      </c>
      <c r="K15" s="26" t="str">
        <f t="shared" si="2"/>
        <v>EP</v>
      </c>
      <c r="L15" s="26" t="str">
        <f t="shared" si="3"/>
        <v>DGOSE</v>
      </c>
      <c r="M15" s="26" t="str">
        <f t="shared" si="4"/>
        <v>FEDERAL</v>
      </c>
      <c r="N15" s="26">
        <v>138</v>
      </c>
      <c r="O15" s="26">
        <v>62</v>
      </c>
      <c r="P15" s="26">
        <v>76</v>
      </c>
      <c r="Q15" s="26">
        <v>5</v>
      </c>
      <c r="R15" s="26">
        <v>1</v>
      </c>
      <c r="S15" s="26">
        <v>5</v>
      </c>
      <c r="T15" s="26">
        <v>5</v>
      </c>
      <c r="U15" s="26">
        <v>11</v>
      </c>
      <c r="V15" s="26">
        <v>1</v>
      </c>
      <c r="W15" s="26" t="s">
        <v>2076</v>
      </c>
    </row>
    <row r="16" spans="1:23" x14ac:dyDescent="0.25">
      <c r="A16" s="26" t="str">
        <f t="shared" si="0"/>
        <v>PREESCOLAR</v>
      </c>
      <c r="B16" s="26" t="str">
        <f>"09DJN0019W"</f>
        <v>09DJN0019W</v>
      </c>
      <c r="C16" s="26" t="str">
        <f>"CERRO DE CHIQUIHUITE                                                                                "</f>
        <v xml:space="preserve">CERRO DE CHIQUIHUITE                                                                                </v>
      </c>
      <c r="D16" s="26" t="str">
        <f>"JORNADA AMPLIADA"</f>
        <v>JORNADA AMPLIADA</v>
      </c>
      <c r="E16" s="26" t="str">
        <f>"CEDRO Y CANTERITAS                                                              "</f>
        <v xml:space="preserve">CEDRO Y CANTERITAS                                                              </v>
      </c>
      <c r="F16" s="26" t="str">
        <f>"LA CANDELARIA TICOMAN                                                                                                                       "</f>
        <v xml:space="preserve">LA CANDELARIA TICOMAN                                                                                                                       </v>
      </c>
      <c r="G16" s="26" t="str">
        <f>"GUSTAVO A. MADERO                                                               "</f>
        <v xml:space="preserve">GUSTAVO A. MADERO                                                               </v>
      </c>
      <c r="H16" s="26" t="str">
        <f>"080"</f>
        <v>080</v>
      </c>
      <c r="I16" s="26" t="str">
        <f t="shared" si="1"/>
        <v>00</v>
      </c>
      <c r="J16" s="26" t="str">
        <f>"31 "</f>
        <v xml:space="preserve">31 </v>
      </c>
      <c r="K16" s="26" t="str">
        <f t="shared" si="2"/>
        <v>EP</v>
      </c>
      <c r="L16" s="26" t="str">
        <f t="shared" si="3"/>
        <v>DGOSE</v>
      </c>
      <c r="M16" s="26" t="str">
        <f t="shared" si="4"/>
        <v>FEDERAL</v>
      </c>
      <c r="N16" s="26">
        <v>155</v>
      </c>
      <c r="O16" s="26">
        <v>77</v>
      </c>
      <c r="P16" s="26">
        <v>78</v>
      </c>
      <c r="Q16" s="26">
        <v>6</v>
      </c>
      <c r="R16" s="26">
        <v>1</v>
      </c>
      <c r="S16" s="26">
        <v>6</v>
      </c>
      <c r="T16" s="26">
        <v>7</v>
      </c>
      <c r="U16" s="26">
        <v>14</v>
      </c>
      <c r="V16" s="26">
        <v>1</v>
      </c>
      <c r="W16" s="26" t="s">
        <v>2076</v>
      </c>
    </row>
    <row r="17" spans="1:23" x14ac:dyDescent="0.25">
      <c r="A17" s="26" t="str">
        <f t="shared" si="0"/>
        <v>PREESCOLAR</v>
      </c>
      <c r="B17" s="26" t="str">
        <f>"09DJN0020L"</f>
        <v>09DJN0020L</v>
      </c>
      <c r="C17" s="26" t="str">
        <f>"PIPILPLAN                                                                                           "</f>
        <v xml:space="preserve">PIPILPLAN                                                                                           </v>
      </c>
      <c r="D17" s="26" t="str">
        <f>"JORNADA AMPLIADA"</f>
        <v>JORNADA AMPLIADA</v>
      </c>
      <c r="E17" s="26" t="str">
        <f>"AQUILES SERDAN Y ANILLO PERIFERICO                                              "</f>
        <v xml:space="preserve">AQUILES SERDAN Y ANILLO PERIFERICO                                              </v>
      </c>
      <c r="F17" s="26" t="str">
        <f>"UNIDAD MIGUEL HIDALGO                                                                                                                       "</f>
        <v xml:space="preserve">UNIDAD MIGUEL HIDALGO                                                                                                                       </v>
      </c>
      <c r="G17" s="26" t="str">
        <f>"AZCAPOTZALCO                                                                    "</f>
        <v xml:space="preserve">AZCAPOTZALCO                                                                    </v>
      </c>
      <c r="H17" s="26" t="str">
        <f>"181"</f>
        <v>181</v>
      </c>
      <c r="I17" s="26" t="str">
        <f t="shared" si="1"/>
        <v>00</v>
      </c>
      <c r="J17" s="26" t="str">
        <f>"31 "</f>
        <v xml:space="preserve">31 </v>
      </c>
      <c r="K17" s="26" t="str">
        <f t="shared" si="2"/>
        <v>EP</v>
      </c>
      <c r="L17" s="26" t="str">
        <f t="shared" si="3"/>
        <v>DGOSE</v>
      </c>
      <c r="M17" s="26" t="str">
        <f t="shared" si="4"/>
        <v>FEDERAL</v>
      </c>
      <c r="N17" s="26">
        <v>151</v>
      </c>
      <c r="O17" s="26">
        <v>75</v>
      </c>
      <c r="P17" s="26">
        <v>76</v>
      </c>
      <c r="Q17" s="26">
        <v>5</v>
      </c>
      <c r="R17" s="26">
        <v>0</v>
      </c>
      <c r="S17" s="26">
        <v>5</v>
      </c>
      <c r="T17" s="26">
        <v>6</v>
      </c>
      <c r="U17" s="26">
        <v>11</v>
      </c>
      <c r="V17" s="26">
        <v>1</v>
      </c>
      <c r="W17" s="26" t="s">
        <v>2076</v>
      </c>
    </row>
    <row r="18" spans="1:23" x14ac:dyDescent="0.25">
      <c r="A18" s="26" t="str">
        <f t="shared" si="0"/>
        <v>PREESCOLAR</v>
      </c>
      <c r="B18" s="26" t="str">
        <f>"09DJN0021K"</f>
        <v>09DJN0021K</v>
      </c>
      <c r="C18" s="26" t="str">
        <f>"CARLOS A. CARRILLO                                                                                  "</f>
        <v xml:space="preserve">CARLOS A. CARRILLO                                                                                  </v>
      </c>
      <c r="D18" s="26" t="str">
        <f>"VESPERTINO"</f>
        <v>VESPERTINO</v>
      </c>
      <c r="E18" s="26" t="str">
        <f>"SAN JORGE Y SANTO TOMAS                                                         "</f>
        <v xml:space="preserve">SAN JORGE Y SANTO TOMAS                                                         </v>
      </c>
      <c r="F18" s="26" t="str">
        <f>"PEDREGAL DE SANTA URSULA                                                                                                                    "</f>
        <v xml:space="preserve">PEDREGAL DE SANTA URSULA                                                                                                                    </v>
      </c>
      <c r="G18" s="26" t="str">
        <f>"COYOACAN                                                                        "</f>
        <v xml:space="preserve">COYOACAN                                                                        </v>
      </c>
      <c r="H18" s="26" t="str">
        <f>"156"</f>
        <v>156</v>
      </c>
      <c r="I18" s="26" t="str">
        <f t="shared" si="1"/>
        <v>00</v>
      </c>
      <c r="J18" s="26" t="str">
        <f>"35 "</f>
        <v xml:space="preserve">35 </v>
      </c>
      <c r="K18" s="26" t="str">
        <f t="shared" si="2"/>
        <v>EP</v>
      </c>
      <c r="L18" s="26" t="str">
        <f t="shared" si="3"/>
        <v>DGOSE</v>
      </c>
      <c r="M18" s="26" t="str">
        <f t="shared" si="4"/>
        <v>FEDERAL</v>
      </c>
      <c r="N18" s="26">
        <v>151</v>
      </c>
      <c r="O18" s="26">
        <v>81</v>
      </c>
      <c r="P18" s="26">
        <v>70</v>
      </c>
      <c r="Q18" s="26">
        <v>5</v>
      </c>
      <c r="R18" s="26">
        <v>1</v>
      </c>
      <c r="S18" s="26">
        <v>5</v>
      </c>
      <c r="T18" s="26">
        <v>6</v>
      </c>
      <c r="U18" s="26">
        <v>12</v>
      </c>
      <c r="V18" s="26">
        <v>1</v>
      </c>
      <c r="W18" s="26"/>
    </row>
    <row r="19" spans="1:23" x14ac:dyDescent="0.25">
      <c r="A19" s="26" t="str">
        <f t="shared" si="0"/>
        <v>PREESCOLAR</v>
      </c>
      <c r="B19" s="26" t="str">
        <f>"09DJN0022J"</f>
        <v>09DJN0022J</v>
      </c>
      <c r="C19" s="26" t="str">
        <f>"EMILIANO NEGRETE LOPEZ                                                                              "</f>
        <v xml:space="preserve">EMILIANO NEGRETE LOPEZ                                                                              </v>
      </c>
      <c r="D19" s="26" t="str">
        <f>"JORNADA AMPLIADA"</f>
        <v>JORNADA AMPLIADA</v>
      </c>
      <c r="E19" s="26" t="str">
        <f>"AV. EMILIANO ZAPATA Y SOTO Y GAMA                                               "</f>
        <v xml:space="preserve">AV. EMILIANO ZAPATA Y SOTO Y GAMA                                               </v>
      </c>
      <c r="F19" s="26" t="str">
        <f>"EMILIANO ZAPATA                                                                                                                             "</f>
        <v xml:space="preserve">EMILIANO ZAPATA                                                                                                                             </v>
      </c>
      <c r="G19" s="26" t="str">
        <f>"COYOACAN                                                                        "</f>
        <v xml:space="preserve">COYOACAN                                                                        </v>
      </c>
      <c r="H19" s="26" t="str">
        <f>"042"</f>
        <v>042</v>
      </c>
      <c r="I19" s="26" t="str">
        <f t="shared" si="1"/>
        <v>00</v>
      </c>
      <c r="J19" s="26" t="str">
        <f>"34 "</f>
        <v xml:space="preserve">34 </v>
      </c>
      <c r="K19" s="26" t="str">
        <f t="shared" si="2"/>
        <v>EP</v>
      </c>
      <c r="L19" s="26" t="str">
        <f t="shared" si="3"/>
        <v>DGOSE</v>
      </c>
      <c r="M19" s="26" t="str">
        <f t="shared" si="4"/>
        <v>FEDERAL</v>
      </c>
      <c r="N19" s="26">
        <v>132</v>
      </c>
      <c r="O19" s="26">
        <v>61</v>
      </c>
      <c r="P19" s="26">
        <v>71</v>
      </c>
      <c r="Q19" s="26">
        <v>5</v>
      </c>
      <c r="R19" s="26">
        <v>1</v>
      </c>
      <c r="S19" s="26">
        <v>5</v>
      </c>
      <c r="T19" s="26">
        <v>4</v>
      </c>
      <c r="U19" s="26">
        <v>10</v>
      </c>
      <c r="V19" s="26">
        <v>1</v>
      </c>
      <c r="W19" s="26" t="s">
        <v>2076</v>
      </c>
    </row>
    <row r="20" spans="1:23" x14ac:dyDescent="0.25">
      <c r="A20" s="26" t="str">
        <f t="shared" si="0"/>
        <v>PREESCOLAR</v>
      </c>
      <c r="B20" s="26" t="str">
        <f>"09DJN0023I"</f>
        <v>09DJN0023I</v>
      </c>
      <c r="C20" s="26" t="str">
        <f>"COYO-HUA-CAN                                                                                        "</f>
        <v xml:space="preserve">COYO-HUA-CAN                                                                                        </v>
      </c>
      <c r="D20" s="26" t="str">
        <f>"MATUTINO"</f>
        <v>MATUTINO</v>
      </c>
      <c r="E20" s="26" t="str">
        <f>"TEPALCATZIN Y MIXTECAS                                                          "</f>
        <v xml:space="preserve">TEPALCATZIN Y MIXTECAS                                                          </v>
      </c>
      <c r="F20" s="26" t="str">
        <f>"AJUSCO                                                                                                                                      "</f>
        <v xml:space="preserve">AJUSCO                                                                                                                                      </v>
      </c>
      <c r="G20" s="26" t="str">
        <f>"COYOACAN                                                                        "</f>
        <v xml:space="preserve">COYOACAN                                                                        </v>
      </c>
      <c r="H20" s="26" t="str">
        <f>"211"</f>
        <v>211</v>
      </c>
      <c r="I20" s="26" t="str">
        <f t="shared" si="1"/>
        <v>00</v>
      </c>
      <c r="J20" s="26" t="str">
        <f>"35 "</f>
        <v xml:space="preserve">35 </v>
      </c>
      <c r="K20" s="26" t="str">
        <f t="shared" si="2"/>
        <v>EP</v>
      </c>
      <c r="L20" s="26" t="str">
        <f t="shared" si="3"/>
        <v>DGOSE</v>
      </c>
      <c r="M20" s="26" t="str">
        <f t="shared" si="4"/>
        <v>FEDERAL</v>
      </c>
      <c r="N20" s="26">
        <v>176</v>
      </c>
      <c r="O20" s="26">
        <v>90</v>
      </c>
      <c r="P20" s="26">
        <v>86</v>
      </c>
      <c r="Q20" s="26">
        <v>6</v>
      </c>
      <c r="R20" s="26">
        <v>1</v>
      </c>
      <c r="S20" s="26">
        <v>6</v>
      </c>
      <c r="T20" s="26">
        <v>5</v>
      </c>
      <c r="U20" s="26">
        <v>12</v>
      </c>
      <c r="V20" s="26">
        <v>1</v>
      </c>
      <c r="W20" s="26"/>
    </row>
    <row r="21" spans="1:23" x14ac:dyDescent="0.25">
      <c r="A21" s="26" t="str">
        <f t="shared" si="0"/>
        <v>PREESCOLAR</v>
      </c>
      <c r="B21" s="26" t="str">
        <f>"09DJN0024H"</f>
        <v>09DJN0024H</v>
      </c>
      <c r="C21" s="26" t="str">
        <f>"JOSE MARIA MORELOS                                                                                  "</f>
        <v xml:space="preserve">JOSE MARIA MORELOS                                                                                  </v>
      </c>
      <c r="D21" s="26" t="str">
        <f>"JORNADA AMPLIADA"</f>
        <v>JORNADA AMPLIADA</v>
      </c>
      <c r="E21" s="26" t="str">
        <f>"AV. REVOLUCION NO. 24                                                           "</f>
        <v xml:space="preserve">AV. REVOLUCION NO. 24                                                           </v>
      </c>
      <c r="F21" s="26" t="str">
        <f>"TACUBAYA                                                                                                                                    "</f>
        <v xml:space="preserve">TACUBAYA                                                                                                                                    </v>
      </c>
      <c r="G21" s="26" t="str">
        <f>"MIGUEL HIDALGO                                                                  "</f>
        <v xml:space="preserve">MIGUEL HIDALGO                                                                  </v>
      </c>
      <c r="H21" s="26" t="str">
        <f>"013"</f>
        <v>013</v>
      </c>
      <c r="I21" s="26" t="str">
        <f t="shared" si="1"/>
        <v>00</v>
      </c>
      <c r="J21" s="26" t="str">
        <f>"31 "</f>
        <v xml:space="preserve">31 </v>
      </c>
      <c r="K21" s="26" t="str">
        <f t="shared" si="2"/>
        <v>EP</v>
      </c>
      <c r="L21" s="26" t="str">
        <f t="shared" si="3"/>
        <v>DGOSE</v>
      </c>
      <c r="M21" s="26" t="str">
        <f t="shared" si="4"/>
        <v>FEDERAL</v>
      </c>
      <c r="N21" s="26">
        <v>177</v>
      </c>
      <c r="O21" s="26">
        <v>84</v>
      </c>
      <c r="P21" s="26">
        <v>93</v>
      </c>
      <c r="Q21" s="26">
        <v>7</v>
      </c>
      <c r="R21" s="26">
        <v>1</v>
      </c>
      <c r="S21" s="26">
        <v>6</v>
      </c>
      <c r="T21" s="26">
        <v>9</v>
      </c>
      <c r="U21" s="26">
        <v>16</v>
      </c>
      <c r="V21" s="26">
        <v>1</v>
      </c>
      <c r="W21" s="26" t="s">
        <v>2076</v>
      </c>
    </row>
    <row r="22" spans="1:23" x14ac:dyDescent="0.25">
      <c r="A22" s="26" t="str">
        <f t="shared" si="0"/>
        <v>PREESCOLAR</v>
      </c>
      <c r="B22" s="26" t="str">
        <f>"09DJN0026F"</f>
        <v>09DJN0026F</v>
      </c>
      <c r="C22" s="26" t="str">
        <f>"HERMINIO KENNY                                                                                      "</f>
        <v xml:space="preserve">HERMINIO KENNY                                                                                      </v>
      </c>
      <c r="D22" s="26" t="str">
        <f>"VESPERTINO"</f>
        <v>VESPERTINO</v>
      </c>
      <c r="E22" s="26" t="str">
        <f>"CAMPO MINATITLAN NO. 98                                                         "</f>
        <v xml:space="preserve">CAMPO MINATITLAN NO. 98                                                         </v>
      </c>
      <c r="F22" s="26" t="str">
        <f>"REYNOSA TAMAULIPAS                                                                                                                          "</f>
        <v xml:space="preserve">REYNOSA TAMAULIPAS                                                                                                                          </v>
      </c>
      <c r="G22" s="26" t="str">
        <f>"AZCAPOTZALCO                                                                    "</f>
        <v xml:space="preserve">AZCAPOTZALCO                                                                    </v>
      </c>
      <c r="H22" s="26" t="str">
        <f>"059"</f>
        <v>059</v>
      </c>
      <c r="I22" s="26" t="str">
        <f t="shared" si="1"/>
        <v>00</v>
      </c>
      <c r="J22" s="26" t="str">
        <f>"32 "</f>
        <v xml:space="preserve">32 </v>
      </c>
      <c r="K22" s="26" t="str">
        <f t="shared" si="2"/>
        <v>EP</v>
      </c>
      <c r="L22" s="26" t="str">
        <f t="shared" si="3"/>
        <v>DGOSE</v>
      </c>
      <c r="M22" s="26" t="str">
        <f t="shared" si="4"/>
        <v>FEDERAL</v>
      </c>
      <c r="N22" s="26">
        <v>143</v>
      </c>
      <c r="O22" s="26">
        <v>76</v>
      </c>
      <c r="P22" s="26">
        <v>67</v>
      </c>
      <c r="Q22" s="26">
        <v>5</v>
      </c>
      <c r="R22" s="26">
        <v>1</v>
      </c>
      <c r="S22" s="26">
        <v>5</v>
      </c>
      <c r="T22" s="26">
        <v>3</v>
      </c>
      <c r="U22" s="26">
        <v>9</v>
      </c>
      <c r="V22" s="26">
        <v>1</v>
      </c>
      <c r="W22" s="26"/>
    </row>
    <row r="23" spans="1:23" x14ac:dyDescent="0.25">
      <c r="A23" s="26" t="str">
        <f t="shared" si="0"/>
        <v>PREESCOLAR</v>
      </c>
      <c r="B23" s="26" t="str">
        <f>"09DJN0027E"</f>
        <v>09DJN0027E</v>
      </c>
      <c r="C23" s="26" t="str">
        <f>"ANGEL DE CAMPO                                                                                      "</f>
        <v xml:space="preserve">ANGEL DE CAMPO                                                                                      </v>
      </c>
      <c r="D23" s="26" t="str">
        <f>"TIEMPO COMPLETO"</f>
        <v>TIEMPO COMPLETO</v>
      </c>
      <c r="E23" s="26" t="str">
        <f>"PEMEX NO. 11                                                                    "</f>
        <v xml:space="preserve">PEMEX NO. 11                                                                    </v>
      </c>
      <c r="F23" s="26" t="str">
        <f>"INDUSTRIAL                                                                                                                                  "</f>
        <v xml:space="preserve">INDUSTRIAL                                                                                                                                  </v>
      </c>
      <c r="G23" s="26" t="str">
        <f>"GUSTAVO A. MADERO                                                               "</f>
        <v xml:space="preserve">GUSTAVO A. MADERO                                                               </v>
      </c>
      <c r="H23" s="26" t="str">
        <f>"121"</f>
        <v>121</v>
      </c>
      <c r="I23" s="26" t="str">
        <f t="shared" si="1"/>
        <v>00</v>
      </c>
      <c r="J23" s="26" t="str">
        <f>"31 "</f>
        <v xml:space="preserve">31 </v>
      </c>
      <c r="K23" s="26" t="str">
        <f t="shared" si="2"/>
        <v>EP</v>
      </c>
      <c r="L23" s="26" t="str">
        <f t="shared" si="3"/>
        <v>DGOSE</v>
      </c>
      <c r="M23" s="26" t="str">
        <f t="shared" si="4"/>
        <v>FEDERAL</v>
      </c>
      <c r="N23" s="26">
        <v>231</v>
      </c>
      <c r="O23" s="26">
        <v>136</v>
      </c>
      <c r="P23" s="26">
        <v>95</v>
      </c>
      <c r="Q23" s="26">
        <v>8</v>
      </c>
      <c r="R23" s="26">
        <v>3</v>
      </c>
      <c r="S23" s="26">
        <v>8</v>
      </c>
      <c r="T23" s="26">
        <v>23</v>
      </c>
      <c r="U23" s="26">
        <v>34</v>
      </c>
      <c r="V23" s="26">
        <v>1</v>
      </c>
      <c r="W23" s="26" t="s">
        <v>218</v>
      </c>
    </row>
    <row r="24" spans="1:23" x14ac:dyDescent="0.25">
      <c r="A24" s="26" t="str">
        <f t="shared" si="0"/>
        <v>PREESCOLAR</v>
      </c>
      <c r="B24" s="26" t="str">
        <f>"09DJN0028D"</f>
        <v>09DJN0028D</v>
      </c>
      <c r="C24" s="26" t="str">
        <f>"LIC. FRANCISCO PRIMO DE VERDAD                                                                      "</f>
        <v xml:space="preserve">LIC. FRANCISCO PRIMO DE VERDAD                                                                      </v>
      </c>
      <c r="D24" s="26" t="str">
        <f>"JORNADA AMPLIADA"</f>
        <v>JORNADA AMPLIADA</v>
      </c>
      <c r="E24" s="26" t="str">
        <f>"CONSTANTINO NO. 296                                                             "</f>
        <v xml:space="preserve">CONSTANTINO NO. 296                                                             </v>
      </c>
      <c r="F24" s="26" t="str">
        <f>"VALLEJO                                                                                                                                     "</f>
        <v xml:space="preserve">VALLEJO                                                                                                                                     </v>
      </c>
      <c r="G24" s="26" t="str">
        <f>"GUSTAVO A. MADERO                                                               "</f>
        <v xml:space="preserve">GUSTAVO A. MADERO                                                               </v>
      </c>
      <c r="H24" s="26" t="str">
        <f>"005"</f>
        <v>005</v>
      </c>
      <c r="I24" s="26" t="str">
        <f t="shared" si="1"/>
        <v>00</v>
      </c>
      <c r="J24" s="26" t="str">
        <f>"31 "</f>
        <v xml:space="preserve">31 </v>
      </c>
      <c r="K24" s="26" t="str">
        <f t="shared" si="2"/>
        <v>EP</v>
      </c>
      <c r="L24" s="26" t="str">
        <f t="shared" si="3"/>
        <v>DGOSE</v>
      </c>
      <c r="M24" s="26" t="str">
        <f t="shared" si="4"/>
        <v>FEDERAL</v>
      </c>
      <c r="N24" s="26">
        <v>221</v>
      </c>
      <c r="O24" s="26">
        <v>110</v>
      </c>
      <c r="P24" s="26">
        <v>111</v>
      </c>
      <c r="Q24" s="26">
        <v>8</v>
      </c>
      <c r="R24" s="26">
        <v>1</v>
      </c>
      <c r="S24" s="26">
        <v>8</v>
      </c>
      <c r="T24" s="26">
        <v>9</v>
      </c>
      <c r="U24" s="26">
        <v>18</v>
      </c>
      <c r="V24" s="26">
        <v>1</v>
      </c>
      <c r="W24" s="26" t="s">
        <v>2076</v>
      </c>
    </row>
    <row r="25" spans="1:23" x14ac:dyDescent="0.25">
      <c r="A25" s="26" t="str">
        <f t="shared" si="0"/>
        <v>PREESCOLAR</v>
      </c>
      <c r="B25" s="26" t="str">
        <f>"09DJN0029C"</f>
        <v>09DJN0029C</v>
      </c>
      <c r="C25" s="26" t="str">
        <f>"ELISA HERNANDEZ RODRIGUEZ                                                                           "</f>
        <v xml:space="preserve">ELISA HERNANDEZ RODRIGUEZ                                                                           </v>
      </c>
      <c r="D25" s="26" t="str">
        <f>"TIEMPO COMPLETO"</f>
        <v>TIEMPO COMPLETO</v>
      </c>
      <c r="E25" s="26" t="str">
        <f>"AVENIDA CENTRAL S/N                                                             "</f>
        <v xml:space="preserve">AVENIDA CENTRAL S/N                                                             </v>
      </c>
      <c r="F25" s="26" t="str">
        <f>"UNIDAD HABITACIONAL ALIANZA POPULAR                                                                                                         "</f>
        <v xml:space="preserve">UNIDAD HABITACIONAL ALIANZA POPULAR                                                                                                         </v>
      </c>
      <c r="G25" s="26" t="str">
        <f>"COYOACAN                                                                        "</f>
        <v xml:space="preserve">COYOACAN                                                                        </v>
      </c>
      <c r="H25" s="26" t="str">
        <f>"064"</f>
        <v>064</v>
      </c>
      <c r="I25" s="26" t="str">
        <f t="shared" si="1"/>
        <v>00</v>
      </c>
      <c r="J25" s="26" t="str">
        <f>"34 "</f>
        <v xml:space="preserve">34 </v>
      </c>
      <c r="K25" s="26" t="str">
        <f t="shared" si="2"/>
        <v>EP</v>
      </c>
      <c r="L25" s="26" t="str">
        <f t="shared" si="3"/>
        <v>DGOSE</v>
      </c>
      <c r="M25" s="26" t="str">
        <f t="shared" si="4"/>
        <v>FEDERAL</v>
      </c>
      <c r="N25" s="26">
        <v>177</v>
      </c>
      <c r="O25" s="26">
        <v>87</v>
      </c>
      <c r="P25" s="26">
        <v>90</v>
      </c>
      <c r="Q25" s="26">
        <v>6</v>
      </c>
      <c r="R25" s="26">
        <v>2</v>
      </c>
      <c r="S25" s="26">
        <v>6</v>
      </c>
      <c r="T25" s="26">
        <v>17</v>
      </c>
      <c r="U25" s="26">
        <v>25</v>
      </c>
      <c r="V25" s="26">
        <v>1</v>
      </c>
      <c r="W25" s="26" t="s">
        <v>218</v>
      </c>
    </row>
    <row r="26" spans="1:23" x14ac:dyDescent="0.25">
      <c r="A26" s="26" t="str">
        <f t="shared" si="0"/>
        <v>PREESCOLAR</v>
      </c>
      <c r="B26" s="26" t="str">
        <f>"09DJN0030S"</f>
        <v>09DJN0030S</v>
      </c>
      <c r="C26" s="26" t="str">
        <f>"TELPOCHCALLI                                                                                        "</f>
        <v xml:space="preserve">TELPOCHCALLI                                                                                        </v>
      </c>
      <c r="D26" s="26" t="str">
        <f>"VESPERTINO"</f>
        <v>VESPERTINO</v>
      </c>
      <c r="E26" s="26" t="str">
        <f>"CAMINO DEL ESFUERZO S/N                                                         "</f>
        <v xml:space="preserve">CAMINO DEL ESFUERZO S/N                                                         </v>
      </c>
      <c r="F26" s="26" t="str">
        <f>"CAMPESTRE ARAGON                                                                                                                            "</f>
        <v xml:space="preserve">CAMPESTRE ARAGON                                                                                                                            </v>
      </c>
      <c r="G26" s="26" t="str">
        <f>"GUSTAVO A. MADERO                                                               "</f>
        <v xml:space="preserve">GUSTAVO A. MADERO                                                               </v>
      </c>
      <c r="H26" s="26" t="str">
        <f>"073"</f>
        <v>073</v>
      </c>
      <c r="I26" s="26" t="str">
        <f t="shared" si="1"/>
        <v>00</v>
      </c>
      <c r="J26" s="26" t="str">
        <f>"32 "</f>
        <v xml:space="preserve">32 </v>
      </c>
      <c r="K26" s="26" t="str">
        <f t="shared" si="2"/>
        <v>EP</v>
      </c>
      <c r="L26" s="26" t="str">
        <f t="shared" si="3"/>
        <v>DGOSE</v>
      </c>
      <c r="M26" s="26" t="str">
        <f t="shared" si="4"/>
        <v>FEDERAL</v>
      </c>
      <c r="N26" s="26">
        <v>87</v>
      </c>
      <c r="O26" s="26">
        <v>35</v>
      </c>
      <c r="P26" s="26">
        <v>52</v>
      </c>
      <c r="Q26" s="26">
        <v>3</v>
      </c>
      <c r="R26" s="26">
        <v>1</v>
      </c>
      <c r="S26" s="26">
        <v>3</v>
      </c>
      <c r="T26" s="26">
        <v>3</v>
      </c>
      <c r="U26" s="26">
        <v>7</v>
      </c>
      <c r="V26" s="26">
        <v>1</v>
      </c>
      <c r="W26" s="26"/>
    </row>
    <row r="27" spans="1:23" x14ac:dyDescent="0.25">
      <c r="A27" s="26" t="str">
        <f t="shared" si="0"/>
        <v>PREESCOLAR</v>
      </c>
      <c r="B27" s="26" t="str">
        <f>"09DJN0031R"</f>
        <v>09DJN0031R</v>
      </c>
      <c r="C27" s="26" t="str">
        <f>"CARLOS PELLICER CAMARA                                                                              "</f>
        <v xml:space="preserve">CARLOS PELLICER CAMARA                                                                              </v>
      </c>
      <c r="D27" s="26" t="str">
        <f>"JORNADA AMPLIADA"</f>
        <v>JORNADA AMPLIADA</v>
      </c>
      <c r="E27" s="26" t="str">
        <f>"CHICOASEN Y CUZAMA MZA. 1                                                       "</f>
        <v xml:space="preserve">CHICOASEN Y CUZAMA MZA. 1                                                       </v>
      </c>
      <c r="F27" s="26" t="str">
        <f>"HEROES DE PADIERNA                                                                                                                          "</f>
        <v xml:space="preserve">HEROES DE PADIERNA                                                                                                                          </v>
      </c>
      <c r="G27" s="26" t="str">
        <f>"TLALPAN                                                                         "</f>
        <v xml:space="preserve">TLALPAN                                                                         </v>
      </c>
      <c r="H27" s="26" t="str">
        <f>"049"</f>
        <v>049</v>
      </c>
      <c r="I27" s="26" t="str">
        <f t="shared" si="1"/>
        <v>00</v>
      </c>
      <c r="J27" s="26" t="str">
        <f>"35 "</f>
        <v xml:space="preserve">35 </v>
      </c>
      <c r="K27" s="26" t="str">
        <f t="shared" si="2"/>
        <v>EP</v>
      </c>
      <c r="L27" s="26" t="str">
        <f t="shared" si="3"/>
        <v>DGOSE</v>
      </c>
      <c r="M27" s="26" t="str">
        <f t="shared" si="4"/>
        <v>FEDERAL</v>
      </c>
      <c r="N27" s="26">
        <v>227</v>
      </c>
      <c r="O27" s="26">
        <v>118</v>
      </c>
      <c r="P27" s="26">
        <v>109</v>
      </c>
      <c r="Q27" s="26">
        <v>6</v>
      </c>
      <c r="R27" s="26">
        <v>1</v>
      </c>
      <c r="S27" s="26">
        <v>6</v>
      </c>
      <c r="T27" s="26">
        <v>7</v>
      </c>
      <c r="U27" s="26">
        <v>14</v>
      </c>
      <c r="V27" s="26">
        <v>1</v>
      </c>
      <c r="W27" s="26" t="s">
        <v>2076</v>
      </c>
    </row>
    <row r="28" spans="1:23" x14ac:dyDescent="0.25">
      <c r="A28" s="26" t="str">
        <f t="shared" si="0"/>
        <v>PREESCOLAR</v>
      </c>
      <c r="B28" s="26" t="str">
        <f>"09DJN0032Q"</f>
        <v>09DJN0032Q</v>
      </c>
      <c r="C28" s="26" t="str">
        <f>"JOSEFA ORTIZ DE DOMINGUEZ                                                                           "</f>
        <v xml:space="preserve">JOSEFA ORTIZ DE DOMINGUEZ                                                                           </v>
      </c>
      <c r="D28" s="26" t="str">
        <f>"VESPERTINO"</f>
        <v>VESPERTINO</v>
      </c>
      <c r="E28" s="26" t="str">
        <f>"PRIV. EMILIANO ZAPATA NO. 32                                                    "</f>
        <v xml:space="preserve">PRIV. EMILIANO ZAPATA NO. 32                                                    </v>
      </c>
      <c r="F28" s="26" t="str">
        <f>"CUAUTEPEC DE MADERO                                                                                                                         "</f>
        <v xml:space="preserve">CUAUTEPEC DE MADERO                                                                                                                         </v>
      </c>
      <c r="G28" s="26" t="str">
        <f>"GUSTAVO A. MADERO                                                               "</f>
        <v xml:space="preserve">GUSTAVO A. MADERO                                                               </v>
      </c>
      <c r="H28" s="26" t="str">
        <f>"155"</f>
        <v>155</v>
      </c>
      <c r="I28" s="26" t="str">
        <f t="shared" si="1"/>
        <v>00</v>
      </c>
      <c r="J28" s="26" t="str">
        <f>"32 "</f>
        <v xml:space="preserve">32 </v>
      </c>
      <c r="K28" s="26" t="str">
        <f t="shared" si="2"/>
        <v>EP</v>
      </c>
      <c r="L28" s="26" t="str">
        <f t="shared" si="3"/>
        <v>DGOSE</v>
      </c>
      <c r="M28" s="26" t="str">
        <f t="shared" si="4"/>
        <v>FEDERAL</v>
      </c>
      <c r="N28" s="26">
        <v>175</v>
      </c>
      <c r="O28" s="26">
        <v>82</v>
      </c>
      <c r="P28" s="26">
        <v>93</v>
      </c>
      <c r="Q28" s="26">
        <v>5</v>
      </c>
      <c r="R28" s="26">
        <v>1</v>
      </c>
      <c r="S28" s="26">
        <v>5</v>
      </c>
      <c r="T28" s="26">
        <v>4</v>
      </c>
      <c r="U28" s="26">
        <v>10</v>
      </c>
      <c r="V28" s="26">
        <v>1</v>
      </c>
      <c r="W28" s="26"/>
    </row>
    <row r="29" spans="1:23" x14ac:dyDescent="0.25">
      <c r="A29" s="26" t="str">
        <f t="shared" si="0"/>
        <v>PREESCOLAR</v>
      </c>
      <c r="B29" s="26" t="str">
        <f>"09DJN0033P"</f>
        <v>09DJN0033P</v>
      </c>
      <c r="C29" s="26" t="str">
        <f>"DR. EMILIO BEHRING                                                                                  "</f>
        <v xml:space="preserve">DR. EMILIO BEHRING                                                                                  </v>
      </c>
      <c r="D29" s="26" t="str">
        <f>"JORNADA AMPLIADA"</f>
        <v>JORNADA AMPLIADA</v>
      </c>
      <c r="E29" s="26" t="str">
        <f>"RINCON DEL AMOR No.9                                                            "</f>
        <v xml:space="preserve">RINCON DEL AMOR No.9                                                            </v>
      </c>
      <c r="F29" s="26" t="str">
        <f>"BOSQUE RESIDENCIAL DEL SUR                                                                                                                  "</f>
        <v xml:space="preserve">BOSQUE RESIDENCIAL DEL SUR                                                                                                                  </v>
      </c>
      <c r="G29" s="26" t="str">
        <f>"XOCHIMILCO                                                                      "</f>
        <v xml:space="preserve">XOCHIMILCO                                                                      </v>
      </c>
      <c r="H29" s="26" t="str">
        <f>"036"</f>
        <v>036</v>
      </c>
      <c r="I29" s="26" t="str">
        <f t="shared" si="1"/>
        <v>00</v>
      </c>
      <c r="J29" s="26" t="str">
        <f>"34 "</f>
        <v xml:space="preserve">34 </v>
      </c>
      <c r="K29" s="26" t="str">
        <f t="shared" si="2"/>
        <v>EP</v>
      </c>
      <c r="L29" s="26" t="str">
        <f t="shared" si="3"/>
        <v>DGOSE</v>
      </c>
      <c r="M29" s="26" t="str">
        <f t="shared" si="4"/>
        <v>FEDERAL</v>
      </c>
      <c r="N29" s="26">
        <v>152</v>
      </c>
      <c r="O29" s="26">
        <v>75</v>
      </c>
      <c r="P29" s="26">
        <v>77</v>
      </c>
      <c r="Q29" s="26">
        <v>5</v>
      </c>
      <c r="R29" s="26">
        <v>1</v>
      </c>
      <c r="S29" s="26">
        <v>4</v>
      </c>
      <c r="T29" s="26">
        <v>6</v>
      </c>
      <c r="U29" s="26">
        <v>11</v>
      </c>
      <c r="V29" s="26">
        <v>1</v>
      </c>
      <c r="W29" s="26" t="s">
        <v>2076</v>
      </c>
    </row>
    <row r="30" spans="1:23" x14ac:dyDescent="0.25">
      <c r="A30" s="26" t="str">
        <f t="shared" si="0"/>
        <v>PREESCOLAR</v>
      </c>
      <c r="B30" s="26" t="str">
        <f>"09DJN0034O"</f>
        <v>09DJN0034O</v>
      </c>
      <c r="C30" s="26" t="str">
        <f>"JOSE GUADALUPE POSADA                                                                               "</f>
        <v xml:space="preserve">JOSE GUADALUPE POSADA                                                                               </v>
      </c>
      <c r="D30" s="26" t="str">
        <f>"VESPERTINO"</f>
        <v>VESPERTINO</v>
      </c>
      <c r="E30" s="26" t="str">
        <f>"LUIS CABRERA MZA. 33 LOTE 18                                                    "</f>
        <v xml:space="preserve">LUIS CABRERA MZA. 33 LOTE 18                                                    </v>
      </c>
      <c r="F30" s="26" t="str">
        <f>"LA MALINCHE                                                                                                                                 "</f>
        <v xml:space="preserve">LA MALINCHE                                                                                                                                 </v>
      </c>
      <c r="G30" s="26" t="str">
        <f>"LA MAGDALENA CONTRERAS                                                          "</f>
        <v xml:space="preserve">LA MAGDALENA CONTRERAS                                                          </v>
      </c>
      <c r="H30" s="26" t="str">
        <f>"113"</f>
        <v>113</v>
      </c>
      <c r="I30" s="26" t="str">
        <f t="shared" si="1"/>
        <v>00</v>
      </c>
      <c r="J30" s="26" t="str">
        <f>"35 "</f>
        <v xml:space="preserve">35 </v>
      </c>
      <c r="K30" s="26" t="str">
        <f t="shared" si="2"/>
        <v>EP</v>
      </c>
      <c r="L30" s="26" t="str">
        <f t="shared" si="3"/>
        <v>DGOSE</v>
      </c>
      <c r="M30" s="26" t="str">
        <f t="shared" si="4"/>
        <v>FEDERAL</v>
      </c>
      <c r="N30" s="26">
        <v>116</v>
      </c>
      <c r="O30" s="26">
        <v>47</v>
      </c>
      <c r="P30" s="26">
        <v>69</v>
      </c>
      <c r="Q30" s="26">
        <v>5</v>
      </c>
      <c r="R30" s="26">
        <v>1</v>
      </c>
      <c r="S30" s="26">
        <v>3</v>
      </c>
      <c r="T30" s="26">
        <v>4</v>
      </c>
      <c r="U30" s="26">
        <v>8</v>
      </c>
      <c r="V30" s="26">
        <v>1</v>
      </c>
      <c r="W30" s="26"/>
    </row>
    <row r="31" spans="1:23" x14ac:dyDescent="0.25">
      <c r="A31" s="26" t="str">
        <f t="shared" si="0"/>
        <v>PREESCOLAR</v>
      </c>
      <c r="B31" s="26" t="str">
        <f>"09DJN0035N"</f>
        <v>09DJN0035N</v>
      </c>
      <c r="C31" s="26" t="str">
        <f>"REP. DE COLOMBIA                                                                                    "</f>
        <v xml:space="preserve">REP. DE COLOMBIA                                                                                    </v>
      </c>
      <c r="D31" s="26" t="str">
        <f>"JORNADA AMPLIADA"</f>
        <v>JORNADA AMPLIADA</v>
      </c>
      <c r="E31" s="26" t="str">
        <f>"GOUNOD Y LAZARO CARDENAS                                                        "</f>
        <v xml:space="preserve">GOUNOD Y LAZARO CARDENAS                                                        </v>
      </c>
      <c r="F31" s="26" t="str">
        <f>"EX-HIPODROMO DE PERALVILLO                                                                                                                  "</f>
        <v xml:space="preserve">EX-HIPODROMO DE PERALVILLO                                                                                                                  </v>
      </c>
      <c r="G31" s="26" t="s">
        <v>4128</v>
      </c>
      <c r="H31" s="26" t="str">
        <f>"017"</f>
        <v>017</v>
      </c>
      <c r="I31" s="26" t="str">
        <f t="shared" si="1"/>
        <v>00</v>
      </c>
      <c r="J31" s="26" t="str">
        <f>"31 "</f>
        <v xml:space="preserve">31 </v>
      </c>
      <c r="K31" s="26" t="str">
        <f t="shared" si="2"/>
        <v>EP</v>
      </c>
      <c r="L31" s="26" t="str">
        <f t="shared" si="3"/>
        <v>DGOSE</v>
      </c>
      <c r="M31" s="26" t="str">
        <f t="shared" si="4"/>
        <v>FEDERAL</v>
      </c>
      <c r="N31" s="26">
        <v>210</v>
      </c>
      <c r="O31" s="26">
        <v>106</v>
      </c>
      <c r="P31" s="26">
        <v>104</v>
      </c>
      <c r="Q31" s="26">
        <v>6</v>
      </c>
      <c r="R31" s="26">
        <v>1</v>
      </c>
      <c r="S31" s="26">
        <v>6</v>
      </c>
      <c r="T31" s="26">
        <v>6</v>
      </c>
      <c r="U31" s="26">
        <v>13</v>
      </c>
      <c r="V31" s="26">
        <v>1</v>
      </c>
      <c r="W31" s="26" t="s">
        <v>2076</v>
      </c>
    </row>
    <row r="32" spans="1:23" x14ac:dyDescent="0.25">
      <c r="A32" s="26" t="str">
        <f t="shared" si="0"/>
        <v>PREESCOLAR</v>
      </c>
      <c r="B32" s="26" t="str">
        <f>"09DJN0036M"</f>
        <v>09DJN0036M</v>
      </c>
      <c r="C32" s="26" t="str">
        <f>"DIEGO RIVERA                                                                                        "</f>
        <v xml:space="preserve">DIEGO RIVERA                                                                                        </v>
      </c>
      <c r="D32" s="26" t="str">
        <f>"JORNADA AMPLIADA"</f>
        <v>JORNADA AMPLIADA</v>
      </c>
      <c r="E32" s="26" t="str">
        <f>"AV. DE LOS MAESTROS NO. 141                                                     "</f>
        <v xml:space="preserve">AV. DE LOS MAESTROS NO. 141                                                     </v>
      </c>
      <c r="F32" s="26" t="str">
        <f>"SANTO TOMAS                                                                                                                                 "</f>
        <v xml:space="preserve">SANTO TOMAS                                                                                                                                 </v>
      </c>
      <c r="G32" s="26" t="str">
        <f>"MIGUEL HIDALGO                                                                  "</f>
        <v xml:space="preserve">MIGUEL HIDALGO                                                                  </v>
      </c>
      <c r="H32" s="26" t="str">
        <f>"012"</f>
        <v>012</v>
      </c>
      <c r="I32" s="26" t="str">
        <f t="shared" si="1"/>
        <v>00</v>
      </c>
      <c r="J32" s="26" t="str">
        <f>"31 "</f>
        <v xml:space="preserve">31 </v>
      </c>
      <c r="K32" s="26" t="str">
        <f t="shared" si="2"/>
        <v>EP</v>
      </c>
      <c r="L32" s="26" t="str">
        <f t="shared" si="3"/>
        <v>DGOSE</v>
      </c>
      <c r="M32" s="26" t="str">
        <f t="shared" si="4"/>
        <v>FEDERAL</v>
      </c>
      <c r="N32" s="26">
        <v>100</v>
      </c>
      <c r="O32" s="26">
        <v>49</v>
      </c>
      <c r="P32" s="26">
        <v>51</v>
      </c>
      <c r="Q32" s="26">
        <v>4</v>
      </c>
      <c r="R32" s="26">
        <v>1</v>
      </c>
      <c r="S32" s="26">
        <v>4</v>
      </c>
      <c r="T32" s="26">
        <v>5</v>
      </c>
      <c r="U32" s="26">
        <v>10</v>
      </c>
      <c r="V32" s="26">
        <v>1</v>
      </c>
      <c r="W32" s="26" t="s">
        <v>2076</v>
      </c>
    </row>
    <row r="33" spans="1:23" x14ac:dyDescent="0.25">
      <c r="A33" s="26" t="str">
        <f t="shared" si="0"/>
        <v>PREESCOLAR</v>
      </c>
      <c r="B33" s="26" t="str">
        <f>"09DJN0037L"</f>
        <v>09DJN0037L</v>
      </c>
      <c r="C33" s="26" t="str">
        <f>"UNIDAD LEGARIA                                                                                      "</f>
        <v xml:space="preserve">UNIDAD LEGARIA                                                                                      </v>
      </c>
      <c r="D33" s="26" t="str">
        <f>"JORNADA AMPLIADA"</f>
        <v>JORNADA AMPLIADA</v>
      </c>
      <c r="E33" s="26" t="str">
        <f>"CALZ. LEGARIA NO. 410                                                           "</f>
        <v xml:space="preserve">CALZ. LEGARIA NO. 410                                                           </v>
      </c>
      <c r="F33" s="26" t="str">
        <f>"PENSIL                                                                                                                                      "</f>
        <v xml:space="preserve">PENSIL                                                                                                                                      </v>
      </c>
      <c r="G33" s="26" t="str">
        <f>"MIGUEL HIDALGO                                                                  "</f>
        <v xml:space="preserve">MIGUEL HIDALGO                                                                  </v>
      </c>
      <c r="H33" s="26" t="str">
        <f>"011"</f>
        <v>011</v>
      </c>
      <c r="I33" s="26" t="str">
        <f t="shared" si="1"/>
        <v>00</v>
      </c>
      <c r="J33" s="26" t="str">
        <f>"31 "</f>
        <v xml:space="preserve">31 </v>
      </c>
      <c r="K33" s="26" t="str">
        <f t="shared" si="2"/>
        <v>EP</v>
      </c>
      <c r="L33" s="26" t="str">
        <f t="shared" si="3"/>
        <v>DGOSE</v>
      </c>
      <c r="M33" s="26" t="str">
        <f t="shared" si="4"/>
        <v>FEDERAL</v>
      </c>
      <c r="N33" s="26">
        <v>112</v>
      </c>
      <c r="O33" s="26">
        <v>57</v>
      </c>
      <c r="P33" s="26">
        <v>55</v>
      </c>
      <c r="Q33" s="26">
        <v>5</v>
      </c>
      <c r="R33" s="26">
        <v>1</v>
      </c>
      <c r="S33" s="26">
        <v>5</v>
      </c>
      <c r="T33" s="26">
        <v>7</v>
      </c>
      <c r="U33" s="26">
        <v>13</v>
      </c>
      <c r="V33" s="26">
        <v>1</v>
      </c>
      <c r="W33" s="26" t="s">
        <v>2076</v>
      </c>
    </row>
    <row r="34" spans="1:23" x14ac:dyDescent="0.25">
      <c r="A34" s="26" t="str">
        <f t="shared" si="0"/>
        <v>PREESCOLAR</v>
      </c>
      <c r="B34" s="26" t="str">
        <f>"09DJN0038K"</f>
        <v>09DJN0038K</v>
      </c>
      <c r="C34" s="26" t="str">
        <f>"ANA MARIA BERLANGA                                                                                  "</f>
        <v xml:space="preserve">ANA MARIA BERLANGA                                                                                  </v>
      </c>
      <c r="D34" s="26" t="str">
        <f>"JORNADA AMPLIADA"</f>
        <v>JORNADA AMPLIADA</v>
      </c>
      <c r="E34" s="26" t="str">
        <f>"AV. CLAVELINAS ESQ. VID                                                         "</f>
        <v xml:space="preserve">AV. CLAVELINAS ESQ. VID                                                         </v>
      </c>
      <c r="F34" s="26" t="str">
        <f>"NUEVA SANTA MARIA                                                                                                                           "</f>
        <v xml:space="preserve">NUEVA SANTA MARIA                                                                                                                           </v>
      </c>
      <c r="G34" s="26" t="str">
        <f>"AZCAPOTZALCO                                                                    "</f>
        <v xml:space="preserve">AZCAPOTZALCO                                                                    </v>
      </c>
      <c r="H34" s="26" t="str">
        <f>"129"</f>
        <v>129</v>
      </c>
      <c r="I34" s="26" t="str">
        <f t="shared" si="1"/>
        <v>00</v>
      </c>
      <c r="J34" s="26" t="str">
        <f>"31 "</f>
        <v xml:space="preserve">31 </v>
      </c>
      <c r="K34" s="26" t="str">
        <f t="shared" si="2"/>
        <v>EP</v>
      </c>
      <c r="L34" s="26" t="str">
        <f t="shared" si="3"/>
        <v>DGOSE</v>
      </c>
      <c r="M34" s="26" t="str">
        <f t="shared" si="4"/>
        <v>FEDERAL</v>
      </c>
      <c r="N34" s="26">
        <v>199</v>
      </c>
      <c r="O34" s="26">
        <v>95</v>
      </c>
      <c r="P34" s="26">
        <v>104</v>
      </c>
      <c r="Q34" s="26">
        <v>7</v>
      </c>
      <c r="R34" s="26">
        <v>1</v>
      </c>
      <c r="S34" s="26">
        <v>7</v>
      </c>
      <c r="T34" s="26">
        <v>5</v>
      </c>
      <c r="U34" s="26">
        <v>13</v>
      </c>
      <c r="V34" s="26">
        <v>1</v>
      </c>
      <c r="W34" s="26" t="s">
        <v>2076</v>
      </c>
    </row>
    <row r="35" spans="1:23" x14ac:dyDescent="0.25">
      <c r="A35" s="26" t="str">
        <f t="shared" si="0"/>
        <v>PREESCOLAR</v>
      </c>
      <c r="B35" s="26" t="str">
        <f>"09DJN0039J"</f>
        <v>09DJN0039J</v>
      </c>
      <c r="C35" s="26" t="str">
        <f>"TLATILCO                                                                                            "</f>
        <v xml:space="preserve">TLATILCO                                                                                            </v>
      </c>
      <c r="D35" s="26" t="str">
        <f>"JORNADA AMPLIADA"</f>
        <v>JORNADA AMPLIADA</v>
      </c>
      <c r="E35" s="26" t="str">
        <f>"CLAVELINAS NO. 83                                                               "</f>
        <v xml:space="preserve">CLAVELINAS NO. 83                                                               </v>
      </c>
      <c r="F35" s="26" t="str">
        <f>"NUEVA SANTA MARIA                                                                                                                           "</f>
        <v xml:space="preserve">NUEVA SANTA MARIA                                                                                                                           </v>
      </c>
      <c r="G35" s="26" t="str">
        <f>"AZCAPOTZALCO                                                                    "</f>
        <v xml:space="preserve">AZCAPOTZALCO                                                                    </v>
      </c>
      <c r="H35" s="26" t="str">
        <f>"129"</f>
        <v>129</v>
      </c>
      <c r="I35" s="26" t="str">
        <f t="shared" si="1"/>
        <v>00</v>
      </c>
      <c r="J35" s="26" t="str">
        <f>"31 "</f>
        <v xml:space="preserve">31 </v>
      </c>
      <c r="K35" s="26" t="str">
        <f t="shared" si="2"/>
        <v>EP</v>
      </c>
      <c r="L35" s="26" t="str">
        <f t="shared" si="3"/>
        <v>DGOSE</v>
      </c>
      <c r="M35" s="26" t="str">
        <f t="shared" si="4"/>
        <v>FEDERAL</v>
      </c>
      <c r="N35" s="26">
        <v>107</v>
      </c>
      <c r="O35" s="26">
        <v>59</v>
      </c>
      <c r="P35" s="26">
        <v>48</v>
      </c>
      <c r="Q35" s="26">
        <v>5</v>
      </c>
      <c r="R35" s="26">
        <v>1</v>
      </c>
      <c r="S35" s="26">
        <v>5</v>
      </c>
      <c r="T35" s="26">
        <v>10</v>
      </c>
      <c r="U35" s="26">
        <v>16</v>
      </c>
      <c r="V35" s="26">
        <v>1</v>
      </c>
      <c r="W35" s="26" t="s">
        <v>2076</v>
      </c>
    </row>
    <row r="36" spans="1:23" x14ac:dyDescent="0.25">
      <c r="A36" s="26" t="str">
        <f t="shared" si="0"/>
        <v>PREESCOLAR</v>
      </c>
      <c r="B36" s="26" t="str">
        <f>"09DJN0040Z"</f>
        <v>09DJN0040Z</v>
      </c>
      <c r="C36" s="26" t="str">
        <f>"ELENA ZAPATA                                                                                        "</f>
        <v xml:space="preserve">ELENA ZAPATA                                                                                        </v>
      </c>
      <c r="D36" s="26" t="str">
        <f>"MATUTINO"</f>
        <v>MATUTINO</v>
      </c>
      <c r="E36" s="26" t="str">
        <f>"CEDRO NO. 205                                                                   "</f>
        <v xml:space="preserve">CEDRO NO. 205                                                                   </v>
      </c>
      <c r="F36" s="26" t="str">
        <f>"SANTA MARIA LA RIBERA                                                                                                                       "</f>
        <v xml:space="preserve">SANTA MARIA LA RIBERA                                                                                                                       </v>
      </c>
      <c r="G36" s="26" t="s">
        <v>4128</v>
      </c>
      <c r="H36" s="26" t="str">
        <f>"057"</f>
        <v>057</v>
      </c>
      <c r="I36" s="26" t="str">
        <f t="shared" si="1"/>
        <v>00</v>
      </c>
      <c r="J36" s="26" t="str">
        <f>"32 "</f>
        <v xml:space="preserve">32 </v>
      </c>
      <c r="K36" s="26" t="str">
        <f t="shared" si="2"/>
        <v>EP</v>
      </c>
      <c r="L36" s="26" t="str">
        <f t="shared" si="3"/>
        <v>DGOSE</v>
      </c>
      <c r="M36" s="26" t="str">
        <f t="shared" si="4"/>
        <v>FEDERAL</v>
      </c>
      <c r="N36" s="26">
        <v>165</v>
      </c>
      <c r="O36" s="26">
        <v>90</v>
      </c>
      <c r="P36" s="26">
        <v>75</v>
      </c>
      <c r="Q36" s="26">
        <v>7</v>
      </c>
      <c r="R36" s="26">
        <v>1</v>
      </c>
      <c r="S36" s="26">
        <v>7</v>
      </c>
      <c r="T36" s="26">
        <v>4</v>
      </c>
      <c r="U36" s="26">
        <v>12</v>
      </c>
      <c r="V36" s="26">
        <v>1</v>
      </c>
      <c r="W36" s="26"/>
    </row>
    <row r="37" spans="1:23" x14ac:dyDescent="0.25">
      <c r="A37" s="26" t="str">
        <f t="shared" si="0"/>
        <v>PREESCOLAR</v>
      </c>
      <c r="B37" s="26" t="str">
        <f>"09DJN0041Y"</f>
        <v>09DJN0041Y</v>
      </c>
      <c r="C37" s="26" t="str">
        <f>"VEKANI                                                                                              "</f>
        <v xml:space="preserve">VEKANI                                                                                              </v>
      </c>
      <c r="D37" s="26" t="str">
        <f>"MATUTINO"</f>
        <v>MATUTINO</v>
      </c>
      <c r="E37" s="26" t="str">
        <f>"AGUSTIN MELGAR Y HONORATO LEAL S/N                                              "</f>
        <v xml:space="preserve">AGUSTIN MELGAR Y HONORATO LEAL S/N                                              </v>
      </c>
      <c r="F37" s="26" t="str">
        <f>"LAS PEÑAS                                                                                                                                   "</f>
        <v xml:space="preserve">LAS PEÑAS                                                                                                                                   </v>
      </c>
      <c r="G37" s="26" t="str">
        <f>"IZTAPALAPA                                                                      "</f>
        <v xml:space="preserve">IZTAPALAPA                                                                      </v>
      </c>
      <c r="H37" s="26" t="str">
        <f>"031"</f>
        <v>031</v>
      </c>
      <c r="I37" s="26" t="str">
        <f t="shared" si="1"/>
        <v>00</v>
      </c>
      <c r="J37" s="26" t="str">
        <f>"64 "</f>
        <v xml:space="preserve">64 </v>
      </c>
      <c r="K37" s="26" t="str">
        <f>"IZ"</f>
        <v>IZ</v>
      </c>
      <c r="L37" s="26" t="str">
        <f>"DGSEI"</f>
        <v>DGSEI</v>
      </c>
      <c r="M37" s="26" t="str">
        <f t="shared" si="4"/>
        <v>FEDERAL</v>
      </c>
      <c r="N37" s="26">
        <v>295</v>
      </c>
      <c r="O37" s="26">
        <v>144</v>
      </c>
      <c r="P37" s="26">
        <v>151</v>
      </c>
      <c r="Q37" s="26">
        <v>8</v>
      </c>
      <c r="R37" s="26">
        <v>1</v>
      </c>
      <c r="S37" s="26">
        <v>8</v>
      </c>
      <c r="T37" s="26">
        <v>3</v>
      </c>
      <c r="U37" s="26">
        <v>12</v>
      </c>
      <c r="V37" s="26">
        <v>1</v>
      </c>
      <c r="W37" s="26"/>
    </row>
    <row r="38" spans="1:23" x14ac:dyDescent="0.25">
      <c r="A38" s="26" t="str">
        <f t="shared" si="0"/>
        <v>PREESCOLAR</v>
      </c>
      <c r="B38" s="26" t="str">
        <f>"09DJN0043W"</f>
        <v>09DJN0043W</v>
      </c>
      <c r="C38" s="26" t="str">
        <f>"JUAN AMOS COMENIO                                                                                   "</f>
        <v xml:space="preserve">JUAN AMOS COMENIO                                                                                   </v>
      </c>
      <c r="D38" s="26" t="str">
        <f>"JORNADA AMPLIADA"</f>
        <v>JORNADA AMPLIADA</v>
      </c>
      <c r="E38" s="26" t="str">
        <f>"CABO BUENA ESPERANZA Y TIXTLA                                                   "</f>
        <v xml:space="preserve">CABO BUENA ESPERANZA Y TIXTLA                                                   </v>
      </c>
      <c r="F38" s="26" t="str">
        <f>"GABRIEL HERNANDEZ                                                                                                                           "</f>
        <v xml:space="preserve">GABRIEL HERNANDEZ                                                                                                                           </v>
      </c>
      <c r="G38" s="26" t="str">
        <f>"GUSTAVO A. MADERO                                                               "</f>
        <v xml:space="preserve">GUSTAVO A. MADERO                                                               </v>
      </c>
      <c r="H38" s="26" t="str">
        <f>"070"</f>
        <v>070</v>
      </c>
      <c r="I38" s="26" t="str">
        <f t="shared" si="1"/>
        <v>00</v>
      </c>
      <c r="J38" s="26" t="str">
        <f>"31 "</f>
        <v xml:space="preserve">31 </v>
      </c>
      <c r="K38" s="26" t="str">
        <f>"EP"</f>
        <v>EP</v>
      </c>
      <c r="L38" s="26" t="str">
        <f>"DGOSE"</f>
        <v>DGOSE</v>
      </c>
      <c r="M38" s="26" t="str">
        <f t="shared" si="4"/>
        <v>FEDERAL</v>
      </c>
      <c r="N38" s="26">
        <v>157</v>
      </c>
      <c r="O38" s="26">
        <v>77</v>
      </c>
      <c r="P38" s="26">
        <v>80</v>
      </c>
      <c r="Q38" s="26">
        <v>6</v>
      </c>
      <c r="R38" s="26">
        <v>1</v>
      </c>
      <c r="S38" s="26">
        <v>6</v>
      </c>
      <c r="T38" s="26">
        <v>6</v>
      </c>
      <c r="U38" s="26">
        <v>13</v>
      </c>
      <c r="V38" s="26">
        <v>1</v>
      </c>
      <c r="W38" s="26" t="s">
        <v>2076</v>
      </c>
    </row>
    <row r="39" spans="1:23" x14ac:dyDescent="0.25">
      <c r="A39" s="26" t="str">
        <f t="shared" si="0"/>
        <v>PREESCOLAR</v>
      </c>
      <c r="B39" s="26" t="str">
        <f>"09DJN0044V"</f>
        <v>09DJN0044V</v>
      </c>
      <c r="C39" s="26" t="str">
        <f>"PROFR. JOSE REFUGIO BELIO MERCADO                                                                   "</f>
        <v xml:space="preserve">PROFR. JOSE REFUGIO BELIO MERCADO                                                                   </v>
      </c>
      <c r="D39" s="26" t="str">
        <f>"VESPERTINO"</f>
        <v>VESPERTINO</v>
      </c>
      <c r="E39" s="26" t="str">
        <f>"ILHUICAMINA S/N                                                                 "</f>
        <v xml:space="preserve">ILHUICAMINA S/N                                                                 </v>
      </c>
      <c r="F39" s="26" t="str">
        <f>"LOS REYES                                                                                                                                   "</f>
        <v xml:space="preserve">LOS REYES                                                                                                                                   </v>
      </c>
      <c r="G39" s="26" t="str">
        <f>"IZTAPALAPA                                                                      "</f>
        <v xml:space="preserve">IZTAPALAPA                                                                      </v>
      </c>
      <c r="H39" s="26" t="str">
        <f>"023"</f>
        <v>023</v>
      </c>
      <c r="I39" s="26" t="str">
        <f t="shared" si="1"/>
        <v>00</v>
      </c>
      <c r="J39" s="26" t="str">
        <f>"63 "</f>
        <v xml:space="preserve">63 </v>
      </c>
      <c r="K39" s="26" t="str">
        <f>"IZ"</f>
        <v>IZ</v>
      </c>
      <c r="L39" s="26" t="str">
        <f>"DGSEI"</f>
        <v>DGSEI</v>
      </c>
      <c r="M39" s="26" t="str">
        <f t="shared" si="4"/>
        <v>FEDERAL</v>
      </c>
      <c r="N39" s="26">
        <v>103</v>
      </c>
      <c r="O39" s="26">
        <v>57</v>
      </c>
      <c r="P39" s="26">
        <v>46</v>
      </c>
      <c r="Q39" s="26">
        <v>3</v>
      </c>
      <c r="R39" s="26">
        <v>1</v>
      </c>
      <c r="S39" s="26">
        <v>3</v>
      </c>
      <c r="T39" s="26">
        <v>2</v>
      </c>
      <c r="U39" s="26">
        <v>6</v>
      </c>
      <c r="V39" s="26">
        <v>1</v>
      </c>
      <c r="W39" s="26"/>
    </row>
    <row r="40" spans="1:23" x14ac:dyDescent="0.25">
      <c r="A40" s="26" t="str">
        <f t="shared" si="0"/>
        <v>PREESCOLAR</v>
      </c>
      <c r="B40" s="26" t="str">
        <f>"09DJN0045U"</f>
        <v>09DJN0045U</v>
      </c>
      <c r="C40" s="26" t="str">
        <f>"PROFR. ANTONIO I. DELGADO                                                                           "</f>
        <v xml:space="preserve">PROFR. ANTONIO I. DELGADO                                                                           </v>
      </c>
      <c r="D40" s="26" t="str">
        <f>"JORNADA AMPLIADA"</f>
        <v>JORNADA AMPLIADA</v>
      </c>
      <c r="E40" s="26" t="str">
        <f>"AMERICA Y PORTES GIL S/N                                                        "</f>
        <v xml:space="preserve">AMERICA Y PORTES GIL S/N                                                        </v>
      </c>
      <c r="F40" s="26" t="str">
        <f>"LA REGADERA                                                                                                                                 "</f>
        <v xml:space="preserve">LA REGADERA                                                                                                                                 </v>
      </c>
      <c r="G40" s="26" t="str">
        <f>"IZTAPALAPA                                                                      "</f>
        <v xml:space="preserve">IZTAPALAPA                                                                      </v>
      </c>
      <c r="H40" s="26" t="str">
        <f>"007"</f>
        <v>007</v>
      </c>
      <c r="I40" s="26" t="str">
        <f t="shared" si="1"/>
        <v>00</v>
      </c>
      <c r="J40" s="26" t="str">
        <f>"61 "</f>
        <v xml:space="preserve">61 </v>
      </c>
      <c r="K40" s="26" t="str">
        <f>"IZ"</f>
        <v>IZ</v>
      </c>
      <c r="L40" s="26" t="str">
        <f>"DGSEI"</f>
        <v>DGSEI</v>
      </c>
      <c r="M40" s="26" t="str">
        <f t="shared" si="4"/>
        <v>FEDERAL</v>
      </c>
      <c r="N40" s="26">
        <v>132</v>
      </c>
      <c r="O40" s="26">
        <v>68</v>
      </c>
      <c r="P40" s="26">
        <v>64</v>
      </c>
      <c r="Q40" s="26">
        <v>4</v>
      </c>
      <c r="R40" s="26">
        <v>1</v>
      </c>
      <c r="S40" s="26">
        <v>4</v>
      </c>
      <c r="T40" s="26">
        <v>6</v>
      </c>
      <c r="U40" s="26">
        <v>11</v>
      </c>
      <c r="V40" s="26">
        <v>1</v>
      </c>
      <c r="W40" s="26" t="s">
        <v>2076</v>
      </c>
    </row>
    <row r="41" spans="1:23" x14ac:dyDescent="0.25">
      <c r="A41" s="26" t="str">
        <f t="shared" si="0"/>
        <v>PREESCOLAR</v>
      </c>
      <c r="B41" s="26" t="str">
        <f>"09DJN0046T"</f>
        <v>09DJN0046T</v>
      </c>
      <c r="C41" s="26" t="str">
        <f>"ELIZABETH KENNY                                                                                     "</f>
        <v xml:space="preserve">ELIZABETH KENNY                                                                                     </v>
      </c>
      <c r="D41" s="26" t="str">
        <f>"JORNADA AMPLIADA"</f>
        <v>JORNADA AMPLIADA</v>
      </c>
      <c r="E41" s="26" t="str">
        <f>"LAGO ISEO NO. 132                                                               "</f>
        <v xml:space="preserve">LAGO ISEO NO. 132                                                               </v>
      </c>
      <c r="F41" s="26" t="str">
        <f>"ANAHUAC I                                                                                                                                   "</f>
        <v xml:space="preserve">ANAHUAC I                                                                                                                                   </v>
      </c>
      <c r="G41" s="26" t="str">
        <f>"MIGUEL HIDALGO                                                                  "</f>
        <v xml:space="preserve">MIGUEL HIDALGO                                                                  </v>
      </c>
      <c r="H41" s="26" t="str">
        <f>"012"</f>
        <v>012</v>
      </c>
      <c r="I41" s="26" t="str">
        <f t="shared" si="1"/>
        <v>00</v>
      </c>
      <c r="J41" s="26" t="str">
        <f>"31 "</f>
        <v xml:space="preserve">31 </v>
      </c>
      <c r="K41" s="26" t="str">
        <f>"EP"</f>
        <v>EP</v>
      </c>
      <c r="L41" s="26" t="str">
        <f>"DGOSE"</f>
        <v>DGOSE</v>
      </c>
      <c r="M41" s="26" t="str">
        <f t="shared" si="4"/>
        <v>FEDERAL</v>
      </c>
      <c r="N41" s="26">
        <v>119</v>
      </c>
      <c r="O41" s="26">
        <v>53</v>
      </c>
      <c r="P41" s="26">
        <v>66</v>
      </c>
      <c r="Q41" s="26">
        <v>4</v>
      </c>
      <c r="R41" s="26">
        <v>1</v>
      </c>
      <c r="S41" s="26">
        <v>4</v>
      </c>
      <c r="T41" s="26">
        <v>6</v>
      </c>
      <c r="U41" s="26">
        <v>11</v>
      </c>
      <c r="V41" s="26">
        <v>1</v>
      </c>
      <c r="W41" s="26" t="s">
        <v>2076</v>
      </c>
    </row>
    <row r="42" spans="1:23" x14ac:dyDescent="0.25">
      <c r="A42" s="26" t="str">
        <f t="shared" si="0"/>
        <v>PREESCOLAR</v>
      </c>
      <c r="B42" s="26" t="str">
        <f>"09DJN0047S"</f>
        <v>09DJN0047S</v>
      </c>
      <c r="C42" s="26" t="str">
        <f>"JUANA PAVON DE MORELOS                                                                              "</f>
        <v xml:space="preserve">JUANA PAVON DE MORELOS                                                                              </v>
      </c>
      <c r="D42" s="26" t="str">
        <f>"TIEMPO COMPLETO"</f>
        <v>TIEMPO COMPLETO</v>
      </c>
      <c r="E42" s="26" t="str">
        <f>"SAN ANDRES TETEPILCO NO. 26                                                     "</f>
        <v xml:space="preserve">SAN ANDRES TETEPILCO NO. 26                                                     </v>
      </c>
      <c r="F42" s="26" t="str">
        <f>"SAN ANDRES TETEPILCO                                                                                                                        "</f>
        <v xml:space="preserve">SAN ANDRES TETEPILCO                                                                                                                        </v>
      </c>
      <c r="G42" s="26" t="str">
        <f>"IZTAPALAPA                                                                      "</f>
        <v xml:space="preserve">IZTAPALAPA                                                                      </v>
      </c>
      <c r="H42" s="26" t="str">
        <f>"001"</f>
        <v>001</v>
      </c>
      <c r="I42" s="26" t="str">
        <f t="shared" si="1"/>
        <v>00</v>
      </c>
      <c r="J42" s="26" t="str">
        <f>"61 "</f>
        <v xml:space="preserve">61 </v>
      </c>
      <c r="K42" s="26" t="str">
        <f>"IZ"</f>
        <v>IZ</v>
      </c>
      <c r="L42" s="26" t="str">
        <f>"DGSEI"</f>
        <v>DGSEI</v>
      </c>
      <c r="M42" s="26" t="str">
        <f t="shared" si="4"/>
        <v>FEDERAL</v>
      </c>
      <c r="N42" s="26">
        <v>177</v>
      </c>
      <c r="O42" s="26">
        <v>84</v>
      </c>
      <c r="P42" s="26">
        <v>93</v>
      </c>
      <c r="Q42" s="26">
        <v>6</v>
      </c>
      <c r="R42" s="26">
        <v>1</v>
      </c>
      <c r="S42" s="26">
        <v>6</v>
      </c>
      <c r="T42" s="26">
        <v>11</v>
      </c>
      <c r="U42" s="26">
        <v>18</v>
      </c>
      <c r="V42" s="26">
        <v>1</v>
      </c>
      <c r="W42" s="26" t="s">
        <v>218</v>
      </c>
    </row>
    <row r="43" spans="1:23" x14ac:dyDescent="0.25">
      <c r="A43" s="26" t="str">
        <f t="shared" si="0"/>
        <v>PREESCOLAR</v>
      </c>
      <c r="B43" s="26" t="str">
        <f>"09DJN0048R"</f>
        <v>09DJN0048R</v>
      </c>
      <c r="C43" s="26" t="str">
        <f>"CONCEPCION GONZALEZ NARANJO                                                                         "</f>
        <v xml:space="preserve">CONCEPCION GONZALEZ NARANJO                                                                         </v>
      </c>
      <c r="D43" s="26" t="str">
        <f>"MATUTINO"</f>
        <v>MATUTINO</v>
      </c>
      <c r="E43" s="26" t="str">
        <f>"CALLE 5 Y CDA.DE JUAN DE LA LUZ ENRIQUEZ                                        "</f>
        <v xml:space="preserve">CALLE 5 Y CDA.DE JUAN DE LA LUZ ENRIQUEZ                                        </v>
      </c>
      <c r="F43" s="26" t="str">
        <f>"AGRICOLA PANTITLAN                                                                                                                          "</f>
        <v xml:space="preserve">AGRICOLA PANTITLAN                                                                                                                          </v>
      </c>
      <c r="G43" s="26" t="str">
        <f>"IZTACALCO                                                                       "</f>
        <v xml:space="preserve">IZTACALCO                                                                       </v>
      </c>
      <c r="H43" s="26" t="str">
        <f>"241"</f>
        <v>241</v>
      </c>
      <c r="I43" s="26" t="str">
        <f t="shared" si="1"/>
        <v>00</v>
      </c>
      <c r="J43" s="26" t="str">
        <f>"33 "</f>
        <v xml:space="preserve">33 </v>
      </c>
      <c r="K43" s="26" t="str">
        <f t="shared" ref="K43:K52" si="5">"EP"</f>
        <v>EP</v>
      </c>
      <c r="L43" s="26" t="str">
        <f t="shared" ref="L43:L52" si="6">"DGOSE"</f>
        <v>DGOSE</v>
      </c>
      <c r="M43" s="26" t="str">
        <f t="shared" si="4"/>
        <v>FEDERAL</v>
      </c>
      <c r="N43" s="26">
        <v>268</v>
      </c>
      <c r="O43" s="26">
        <v>133</v>
      </c>
      <c r="P43" s="26">
        <v>135</v>
      </c>
      <c r="Q43" s="26">
        <v>8</v>
      </c>
      <c r="R43" s="26">
        <v>1</v>
      </c>
      <c r="S43" s="26">
        <v>7</v>
      </c>
      <c r="T43" s="26">
        <v>6</v>
      </c>
      <c r="U43" s="26">
        <v>14</v>
      </c>
      <c r="V43" s="26">
        <v>1</v>
      </c>
      <c r="W43" s="26"/>
    </row>
    <row r="44" spans="1:23" x14ac:dyDescent="0.25">
      <c r="A44" s="26" t="str">
        <f t="shared" si="0"/>
        <v>PREESCOLAR</v>
      </c>
      <c r="B44" s="26" t="str">
        <f>"09DJN0050F"</f>
        <v>09DJN0050F</v>
      </c>
      <c r="C44" s="26" t="str">
        <f>"ESTADO DE TLAXCALA                                                                                  "</f>
        <v xml:space="preserve">ESTADO DE TLAXCALA                                                                                  </v>
      </c>
      <c r="D44" s="26" t="str">
        <f>"JORNADA AMPLIADA"</f>
        <v>JORNADA AMPLIADA</v>
      </c>
      <c r="E44" s="26" t="str">
        <f>"HACIENDA DE CLAVERIA S/N                                                        "</f>
        <v xml:space="preserve">HACIENDA DE CLAVERIA S/N                                                        </v>
      </c>
      <c r="F44" s="26" t="str">
        <f>"PRADOS DEL ROSARIO                                                                                                                          "</f>
        <v xml:space="preserve">PRADOS DEL ROSARIO                                                                                                                          </v>
      </c>
      <c r="G44" s="26" t="str">
        <f>"AZCAPOTZALCO                                                                    "</f>
        <v xml:space="preserve">AZCAPOTZALCO                                                                    </v>
      </c>
      <c r="H44" s="26" t="str">
        <f>"176"</f>
        <v>176</v>
      </c>
      <c r="I44" s="26" t="str">
        <f t="shared" si="1"/>
        <v>00</v>
      </c>
      <c r="J44" s="26" t="str">
        <f>"31 "</f>
        <v xml:space="preserve">31 </v>
      </c>
      <c r="K44" s="26" t="str">
        <f t="shared" si="5"/>
        <v>EP</v>
      </c>
      <c r="L44" s="26" t="str">
        <f t="shared" si="6"/>
        <v>DGOSE</v>
      </c>
      <c r="M44" s="26" t="str">
        <f t="shared" si="4"/>
        <v>FEDERAL</v>
      </c>
      <c r="N44" s="26">
        <v>151</v>
      </c>
      <c r="O44" s="26">
        <v>74</v>
      </c>
      <c r="P44" s="26">
        <v>77</v>
      </c>
      <c r="Q44" s="26">
        <v>5</v>
      </c>
      <c r="R44" s="26">
        <v>1</v>
      </c>
      <c r="S44" s="26">
        <v>5</v>
      </c>
      <c r="T44" s="26">
        <v>5</v>
      </c>
      <c r="U44" s="26">
        <v>11</v>
      </c>
      <c r="V44" s="26">
        <v>1</v>
      </c>
      <c r="W44" s="26" t="s">
        <v>2076</v>
      </c>
    </row>
    <row r="45" spans="1:23" x14ac:dyDescent="0.25">
      <c r="A45" s="26" t="str">
        <f t="shared" si="0"/>
        <v>PREESCOLAR</v>
      </c>
      <c r="B45" s="26" t="str">
        <f>"09DJN0051E"</f>
        <v>09DJN0051E</v>
      </c>
      <c r="C45" s="26" t="str">
        <f>"MANUEL EDUARDO DE GOROSTIZA                                                                         "</f>
        <v xml:space="preserve">MANUEL EDUARDO DE GOROSTIZA                                                                         </v>
      </c>
      <c r="D45" s="26" t="str">
        <f>"JORNADA AMPLIADA"</f>
        <v>JORNADA AMPLIADA</v>
      </c>
      <c r="E45" s="26" t="str">
        <f>"GRANJAS NO. 39                                                                  "</f>
        <v xml:space="preserve">GRANJAS NO. 39                                                                  </v>
      </c>
      <c r="F45" s="26" t="str">
        <f>"LOMAS DE PALO ALTO                                                                                                                          "</f>
        <v xml:space="preserve">LOMAS DE PALO ALTO                                                                                                                          </v>
      </c>
      <c r="G45" s="26" t="str">
        <f>"CUAJIMALPA DE MORELOS                                                           "</f>
        <v xml:space="preserve">CUAJIMALPA DE MORELOS                                                           </v>
      </c>
      <c r="H45" s="26" t="str">
        <f>"048"</f>
        <v>048</v>
      </c>
      <c r="I45" s="26" t="str">
        <f t="shared" si="1"/>
        <v>00</v>
      </c>
      <c r="J45" s="26" t="str">
        <f>"34 "</f>
        <v xml:space="preserve">34 </v>
      </c>
      <c r="K45" s="26" t="str">
        <f t="shared" si="5"/>
        <v>EP</v>
      </c>
      <c r="L45" s="26" t="str">
        <f t="shared" si="6"/>
        <v>DGOSE</v>
      </c>
      <c r="M45" s="26" t="str">
        <f t="shared" si="4"/>
        <v>FEDERAL</v>
      </c>
      <c r="N45" s="26">
        <v>134</v>
      </c>
      <c r="O45" s="26">
        <v>66</v>
      </c>
      <c r="P45" s="26">
        <v>68</v>
      </c>
      <c r="Q45" s="26">
        <v>5</v>
      </c>
      <c r="R45" s="26">
        <v>1</v>
      </c>
      <c r="S45" s="26">
        <v>4</v>
      </c>
      <c r="T45" s="26">
        <v>6</v>
      </c>
      <c r="U45" s="26">
        <v>11</v>
      </c>
      <c r="V45" s="26">
        <v>1</v>
      </c>
      <c r="W45" s="26" t="s">
        <v>2076</v>
      </c>
    </row>
    <row r="46" spans="1:23" x14ac:dyDescent="0.25">
      <c r="A46" s="26" t="str">
        <f t="shared" si="0"/>
        <v>PREESCOLAR</v>
      </c>
      <c r="B46" s="26" t="str">
        <f>"09DJN0055A"</f>
        <v>09DJN0055A</v>
      </c>
      <c r="C46" s="26" t="str">
        <f>"EDUCADORAS MEXICANAS                                                                                "</f>
        <v xml:space="preserve">EDUCADORAS MEXICANAS                                                                                </v>
      </c>
      <c r="D46" s="26" t="str">
        <f>"VESPERTINO"</f>
        <v>VESPERTINO</v>
      </c>
      <c r="E46" s="26" t="str">
        <f>"NORTE 84-A S/N                                                                  "</f>
        <v xml:space="preserve">NORTE 84-A S/N                                                                  </v>
      </c>
      <c r="F46" s="26" t="str">
        <f>"GERTRUDIS SANCHEZ 1A SECCION                                                                                                                "</f>
        <v xml:space="preserve">GERTRUDIS SANCHEZ 1A SECCION                                                                                                                </v>
      </c>
      <c r="G46" s="26" t="str">
        <f>"GUSTAVO A. MADERO                                                               "</f>
        <v xml:space="preserve">GUSTAVO A. MADERO                                                               </v>
      </c>
      <c r="H46" s="26" t="str">
        <f>"198"</f>
        <v>198</v>
      </c>
      <c r="I46" s="26" t="str">
        <f t="shared" si="1"/>
        <v>00</v>
      </c>
      <c r="J46" s="26" t="str">
        <f>"32 "</f>
        <v xml:space="preserve">32 </v>
      </c>
      <c r="K46" s="26" t="str">
        <f t="shared" si="5"/>
        <v>EP</v>
      </c>
      <c r="L46" s="26" t="str">
        <f t="shared" si="6"/>
        <v>DGOSE</v>
      </c>
      <c r="M46" s="26" t="str">
        <f t="shared" si="4"/>
        <v>FEDERAL</v>
      </c>
      <c r="N46" s="26">
        <v>89</v>
      </c>
      <c r="O46" s="26">
        <v>40</v>
      </c>
      <c r="P46" s="26">
        <v>49</v>
      </c>
      <c r="Q46" s="26">
        <v>5</v>
      </c>
      <c r="R46" s="26">
        <v>1</v>
      </c>
      <c r="S46" s="26">
        <v>5</v>
      </c>
      <c r="T46" s="26">
        <v>4</v>
      </c>
      <c r="U46" s="26">
        <v>10</v>
      </c>
      <c r="V46" s="26">
        <v>1</v>
      </c>
      <c r="W46" s="26"/>
    </row>
    <row r="47" spans="1:23" x14ac:dyDescent="0.25">
      <c r="A47" s="26" t="str">
        <f t="shared" si="0"/>
        <v>PREESCOLAR</v>
      </c>
      <c r="B47" s="26" t="str">
        <f>"09DJN0059X"</f>
        <v>09DJN0059X</v>
      </c>
      <c r="C47" s="26" t="str">
        <f>"CHULAVETE                                                                                           "</f>
        <v xml:space="preserve">CHULAVETE                                                                                           </v>
      </c>
      <c r="D47" s="26" t="str">
        <f>"MATUTINO"</f>
        <v>MATUTINO</v>
      </c>
      <c r="E47" s="26" t="str">
        <f>"CAMPO MOLUCO NO. 30                                                             "</f>
        <v xml:space="preserve">CAMPO MOLUCO NO. 30                                                             </v>
      </c>
      <c r="F47" s="26" t="str">
        <f>"SAN ANTONIO                                                                                                                                 "</f>
        <v xml:space="preserve">SAN ANTONIO                                                                                                                                 </v>
      </c>
      <c r="G47" s="26" t="str">
        <f>"AZCAPOTZALCO                                                                    "</f>
        <v xml:space="preserve">AZCAPOTZALCO                                                                    </v>
      </c>
      <c r="H47" s="26" t="str">
        <f>"106"</f>
        <v>106</v>
      </c>
      <c r="I47" s="26" t="str">
        <f t="shared" si="1"/>
        <v>00</v>
      </c>
      <c r="J47" s="26" t="str">
        <f>"32 "</f>
        <v xml:space="preserve">32 </v>
      </c>
      <c r="K47" s="26" t="str">
        <f t="shared" si="5"/>
        <v>EP</v>
      </c>
      <c r="L47" s="26" t="str">
        <f t="shared" si="6"/>
        <v>DGOSE</v>
      </c>
      <c r="M47" s="26" t="str">
        <f t="shared" si="4"/>
        <v>FEDERAL</v>
      </c>
      <c r="N47" s="26">
        <v>217</v>
      </c>
      <c r="O47" s="26">
        <v>119</v>
      </c>
      <c r="P47" s="26">
        <v>98</v>
      </c>
      <c r="Q47" s="26">
        <v>8</v>
      </c>
      <c r="R47" s="26">
        <v>2</v>
      </c>
      <c r="S47" s="26">
        <v>8</v>
      </c>
      <c r="T47" s="26">
        <v>4</v>
      </c>
      <c r="U47" s="26">
        <v>14</v>
      </c>
      <c r="V47" s="26">
        <v>1</v>
      </c>
      <c r="W47" s="26"/>
    </row>
    <row r="48" spans="1:23" x14ac:dyDescent="0.25">
      <c r="A48" s="26" t="str">
        <f t="shared" si="0"/>
        <v>PREESCOLAR</v>
      </c>
      <c r="B48" s="26" t="str">
        <f>"09DJN0060M"</f>
        <v>09DJN0060M</v>
      </c>
      <c r="C48" s="26" t="str">
        <f>"DR. JAIME TORRES BODET                                                                              "</f>
        <v xml:space="preserve">DR. JAIME TORRES BODET                                                                              </v>
      </c>
      <c r="D48" s="26" t="str">
        <f>"JORNADA AMPLIADA"</f>
        <v>JORNADA AMPLIADA</v>
      </c>
      <c r="E48" s="26" t="str">
        <f>"MARISCAL ROMMEL Y 5 DE MAYO                                                     "</f>
        <v xml:space="preserve">MARISCAL ROMMEL Y 5 DE MAYO                                                     </v>
      </c>
      <c r="F48" s="26" t="str">
        <f>"LA PROVIDENCIA                                                                                                                              "</f>
        <v xml:space="preserve">LA PROVIDENCIA                                                                                                                              </v>
      </c>
      <c r="G48" s="26" t="str">
        <f>"AZCAPOTZALCO                                                                    "</f>
        <v xml:space="preserve">AZCAPOTZALCO                                                                    </v>
      </c>
      <c r="H48" s="26" t="str">
        <f>"101"</f>
        <v>101</v>
      </c>
      <c r="I48" s="26" t="str">
        <f t="shared" si="1"/>
        <v>00</v>
      </c>
      <c r="J48" s="26" t="str">
        <f>"31 "</f>
        <v xml:space="preserve">31 </v>
      </c>
      <c r="K48" s="26" t="str">
        <f t="shared" si="5"/>
        <v>EP</v>
      </c>
      <c r="L48" s="26" t="str">
        <f t="shared" si="6"/>
        <v>DGOSE</v>
      </c>
      <c r="M48" s="26" t="str">
        <f t="shared" si="4"/>
        <v>FEDERAL</v>
      </c>
      <c r="N48" s="26">
        <v>314</v>
      </c>
      <c r="O48" s="26">
        <v>153</v>
      </c>
      <c r="P48" s="26">
        <v>161</v>
      </c>
      <c r="Q48" s="26">
        <v>9</v>
      </c>
      <c r="R48" s="26">
        <v>1</v>
      </c>
      <c r="S48" s="26">
        <v>7</v>
      </c>
      <c r="T48" s="26">
        <v>8</v>
      </c>
      <c r="U48" s="26">
        <v>16</v>
      </c>
      <c r="V48" s="26">
        <v>1</v>
      </c>
      <c r="W48" s="26" t="s">
        <v>2076</v>
      </c>
    </row>
    <row r="49" spans="1:23" x14ac:dyDescent="0.25">
      <c r="A49" s="26" t="str">
        <f t="shared" si="0"/>
        <v>PREESCOLAR</v>
      </c>
      <c r="B49" s="26" t="str">
        <f>"09DJN0061L"</f>
        <v>09DJN0061L</v>
      </c>
      <c r="C49" s="26" t="str">
        <f>"AQUILES ELOURDUY                                                                                    "</f>
        <v xml:space="preserve">AQUILES ELOURDUY                                                                                    </v>
      </c>
      <c r="D49" s="26" t="str">
        <f>"TIEMPO COMPLETO"</f>
        <v>TIEMPO COMPLETO</v>
      </c>
      <c r="E49" s="26" t="str">
        <f>"CERRADA CECATI NO. 11                                                           "</f>
        <v xml:space="preserve">CERRADA CECATI NO. 11                                                           </v>
      </c>
      <c r="F49" s="26" t="str">
        <f>"SANTA CATARINA                                                                                                                              "</f>
        <v xml:space="preserve">SANTA CATARINA                                                                                                                              </v>
      </c>
      <c r="G49" s="26" t="str">
        <f>"AZCAPOTZALCO                                                                    "</f>
        <v xml:space="preserve">AZCAPOTZALCO                                                                    </v>
      </c>
      <c r="H49" s="26" t="str">
        <f>"176"</f>
        <v>176</v>
      </c>
      <c r="I49" s="26" t="str">
        <f t="shared" si="1"/>
        <v>00</v>
      </c>
      <c r="J49" s="26" t="str">
        <f>"31 "</f>
        <v xml:space="preserve">31 </v>
      </c>
      <c r="K49" s="26" t="str">
        <f t="shared" si="5"/>
        <v>EP</v>
      </c>
      <c r="L49" s="26" t="str">
        <f t="shared" si="6"/>
        <v>DGOSE</v>
      </c>
      <c r="M49" s="26" t="str">
        <f t="shared" si="4"/>
        <v>FEDERAL</v>
      </c>
      <c r="N49" s="26">
        <v>192</v>
      </c>
      <c r="O49" s="26">
        <v>102</v>
      </c>
      <c r="P49" s="26">
        <v>90</v>
      </c>
      <c r="Q49" s="26">
        <v>7</v>
      </c>
      <c r="R49" s="26">
        <v>2</v>
      </c>
      <c r="S49" s="26">
        <v>7</v>
      </c>
      <c r="T49" s="26">
        <v>17</v>
      </c>
      <c r="U49" s="26">
        <v>26</v>
      </c>
      <c r="V49" s="26">
        <v>1</v>
      </c>
      <c r="W49" s="26" t="s">
        <v>218</v>
      </c>
    </row>
    <row r="50" spans="1:23" x14ac:dyDescent="0.25">
      <c r="A50" s="26" t="str">
        <f t="shared" si="0"/>
        <v>PREESCOLAR</v>
      </c>
      <c r="B50" s="26" t="str">
        <f>"09DJN0062K"</f>
        <v>09DJN0062K</v>
      </c>
      <c r="C50" s="26" t="str">
        <f>"NARCISO BASSOLS                                                                                     "</f>
        <v xml:space="preserve">NARCISO BASSOLS                                                                                     </v>
      </c>
      <c r="D50" s="26" t="str">
        <f>"JORNADA AMPLIADA"</f>
        <v>JORNADA AMPLIADA</v>
      </c>
      <c r="E50" s="26" t="str">
        <f>"HEROES DE  PADIERNA NO. 22                                                      "</f>
        <v xml:space="preserve">HEROES DE  PADIERNA NO. 22                                                      </v>
      </c>
      <c r="F50" s="26" t="str">
        <f>"TACUBAYA                                                                                                                                    "</f>
        <v xml:space="preserve">TACUBAYA                                                                                                                                    </v>
      </c>
      <c r="G50" s="26" t="str">
        <f>"MIGUEL HIDALGO                                                                  "</f>
        <v xml:space="preserve">MIGUEL HIDALGO                                                                  </v>
      </c>
      <c r="H50" s="26" t="str">
        <f>"013"</f>
        <v>013</v>
      </c>
      <c r="I50" s="26" t="str">
        <f t="shared" si="1"/>
        <v>00</v>
      </c>
      <c r="J50" s="26" t="str">
        <f>"31 "</f>
        <v xml:space="preserve">31 </v>
      </c>
      <c r="K50" s="26" t="str">
        <f t="shared" si="5"/>
        <v>EP</v>
      </c>
      <c r="L50" s="26" t="str">
        <f t="shared" si="6"/>
        <v>DGOSE</v>
      </c>
      <c r="M50" s="26" t="str">
        <f t="shared" si="4"/>
        <v>FEDERAL</v>
      </c>
      <c r="N50" s="26">
        <v>68</v>
      </c>
      <c r="O50" s="26">
        <v>35</v>
      </c>
      <c r="P50" s="26">
        <v>33</v>
      </c>
      <c r="Q50" s="26">
        <v>3</v>
      </c>
      <c r="R50" s="26">
        <v>1</v>
      </c>
      <c r="S50" s="26">
        <v>3</v>
      </c>
      <c r="T50" s="26">
        <v>6</v>
      </c>
      <c r="U50" s="26">
        <v>10</v>
      </c>
      <c r="V50" s="26">
        <v>1</v>
      </c>
      <c r="W50" s="26" t="s">
        <v>2076</v>
      </c>
    </row>
    <row r="51" spans="1:23" x14ac:dyDescent="0.25">
      <c r="A51" s="26" t="str">
        <f t="shared" si="0"/>
        <v>PREESCOLAR</v>
      </c>
      <c r="B51" s="26" t="str">
        <f>"09DJN0063J"</f>
        <v>09DJN0063J</v>
      </c>
      <c r="C51" s="26" t="str">
        <f>"ENRIQUE FLORES MAGON                                                                                "</f>
        <v xml:space="preserve">ENRIQUE FLORES MAGON                                                                                </v>
      </c>
      <c r="D51" s="26" t="str">
        <f>"JORNADA AMPLIADA"</f>
        <v>JORNADA AMPLIADA</v>
      </c>
      <c r="E51" s="26" t="str">
        <f>"CALLE UNO NO. 23                                                                "</f>
        <v xml:space="preserve">CALLE UNO NO. 23                                                                </v>
      </c>
      <c r="F51" s="26" t="str">
        <f>"SAN PEDRO DE LOS PINOS                                                                                                                      "</f>
        <v xml:space="preserve">SAN PEDRO DE LOS PINOS                                                                                                                      </v>
      </c>
      <c r="G51" s="26" t="str">
        <f>"BENITO JUAREZ                                                                   "</f>
        <v xml:space="preserve">BENITO JUAREZ                                                                   </v>
      </c>
      <c r="H51" s="26" t="str">
        <f>"233"</f>
        <v>233</v>
      </c>
      <c r="I51" s="26" t="str">
        <f t="shared" si="1"/>
        <v>00</v>
      </c>
      <c r="J51" s="26" t="str">
        <f>"34 "</f>
        <v xml:space="preserve">34 </v>
      </c>
      <c r="K51" s="26" t="str">
        <f t="shared" si="5"/>
        <v>EP</v>
      </c>
      <c r="L51" s="26" t="str">
        <f t="shared" si="6"/>
        <v>DGOSE</v>
      </c>
      <c r="M51" s="26" t="str">
        <f t="shared" si="4"/>
        <v>FEDERAL</v>
      </c>
      <c r="N51" s="26">
        <v>154</v>
      </c>
      <c r="O51" s="26">
        <v>77</v>
      </c>
      <c r="P51" s="26">
        <v>77</v>
      </c>
      <c r="Q51" s="26">
        <v>6</v>
      </c>
      <c r="R51" s="26">
        <v>1</v>
      </c>
      <c r="S51" s="26">
        <v>6</v>
      </c>
      <c r="T51" s="26">
        <v>6</v>
      </c>
      <c r="U51" s="26">
        <v>13</v>
      </c>
      <c r="V51" s="26">
        <v>1</v>
      </c>
      <c r="W51" s="26" t="s">
        <v>2076</v>
      </c>
    </row>
    <row r="52" spans="1:23" x14ac:dyDescent="0.25">
      <c r="A52" s="26" t="str">
        <f t="shared" si="0"/>
        <v>PREESCOLAR</v>
      </c>
      <c r="B52" s="26" t="str">
        <f>"09DJN0067F"</f>
        <v>09DJN0067F</v>
      </c>
      <c r="C52" s="26" t="str">
        <f>"MEXITLI                                                                                             "</f>
        <v xml:space="preserve">MEXITLI                                                                                             </v>
      </c>
      <c r="D52" s="26" t="str">
        <f>"JORNADA AMPLIADA"</f>
        <v>JORNADA AMPLIADA</v>
      </c>
      <c r="E52" s="26" t="str">
        <f>"PASCUAL OROZCO S/N ESQ. FCO. I MADERO                                           "</f>
        <v xml:space="preserve">PASCUAL OROZCO S/N ESQ. FCO. I MADERO                                           </v>
      </c>
      <c r="F52" s="26" t="str">
        <f>"SAN MIGUEL BARRIO                                                                                                                           "</f>
        <v xml:space="preserve">SAN MIGUEL BARRIO                                                                                                                           </v>
      </c>
      <c r="G52" s="26" t="str">
        <f>"IZTACALCO                                                                       "</f>
        <v xml:space="preserve">IZTACALCO                                                                       </v>
      </c>
      <c r="H52" s="26" t="str">
        <f>"085"</f>
        <v>085</v>
      </c>
      <c r="I52" s="26" t="str">
        <f t="shared" si="1"/>
        <v>00</v>
      </c>
      <c r="J52" s="26" t="str">
        <f>"31 "</f>
        <v xml:space="preserve">31 </v>
      </c>
      <c r="K52" s="26" t="str">
        <f t="shared" si="5"/>
        <v>EP</v>
      </c>
      <c r="L52" s="26" t="str">
        <f t="shared" si="6"/>
        <v>DGOSE</v>
      </c>
      <c r="M52" s="26" t="str">
        <f t="shared" si="4"/>
        <v>FEDERAL</v>
      </c>
      <c r="N52" s="26">
        <v>187</v>
      </c>
      <c r="O52" s="26">
        <v>88</v>
      </c>
      <c r="P52" s="26">
        <v>99</v>
      </c>
      <c r="Q52" s="26">
        <v>6</v>
      </c>
      <c r="R52" s="26">
        <v>1</v>
      </c>
      <c r="S52" s="26">
        <v>5</v>
      </c>
      <c r="T52" s="26">
        <v>8</v>
      </c>
      <c r="U52" s="26">
        <v>14</v>
      </c>
      <c r="V52" s="26">
        <v>1</v>
      </c>
      <c r="W52" s="26" t="s">
        <v>2076</v>
      </c>
    </row>
    <row r="53" spans="1:23" x14ac:dyDescent="0.25">
      <c r="A53" s="26" t="str">
        <f t="shared" si="0"/>
        <v>PREESCOLAR</v>
      </c>
      <c r="B53" s="26" t="str">
        <f>"09DJN0068E"</f>
        <v>09DJN0068E</v>
      </c>
      <c r="C53" s="26" t="str">
        <f>"POPOL VUH                                                                                           "</f>
        <v xml:space="preserve">POPOL VUH                                                                                           </v>
      </c>
      <c r="D53" s="26" t="str">
        <f>"JORNADA AMPLIADA"</f>
        <v>JORNADA AMPLIADA</v>
      </c>
      <c r="E53" s="26" t="str">
        <f>"AV. SANTA MARIA Y EJE 5 SUR PURISIMA                                            "</f>
        <v xml:space="preserve">AV. SANTA MARIA Y EJE 5 SUR PURISIMA                                            </v>
      </c>
      <c r="F53" s="26" t="str">
        <f>"MAGDALENA ATLAZOLPA                                                                                                                         "</f>
        <v xml:space="preserve">MAGDALENA ATLAZOLPA                                                                                                                         </v>
      </c>
      <c r="G53" s="26" t="str">
        <f>"IZTAPALAPA                                                                      "</f>
        <v xml:space="preserve">IZTAPALAPA                                                                      </v>
      </c>
      <c r="H53" s="26" t="str">
        <f>"003"</f>
        <v>003</v>
      </c>
      <c r="I53" s="26" t="str">
        <f t="shared" si="1"/>
        <v>00</v>
      </c>
      <c r="J53" s="26" t="str">
        <f>"61 "</f>
        <v xml:space="preserve">61 </v>
      </c>
      <c r="K53" s="26" t="str">
        <f>"IZ"</f>
        <v>IZ</v>
      </c>
      <c r="L53" s="26" t="str">
        <f>"DGSEI"</f>
        <v>DGSEI</v>
      </c>
      <c r="M53" s="26" t="str">
        <f t="shared" si="4"/>
        <v>FEDERAL</v>
      </c>
      <c r="N53" s="26">
        <v>175</v>
      </c>
      <c r="O53" s="26">
        <v>85</v>
      </c>
      <c r="P53" s="26">
        <v>90</v>
      </c>
      <c r="Q53" s="26">
        <v>6</v>
      </c>
      <c r="R53" s="26">
        <v>1</v>
      </c>
      <c r="S53" s="26">
        <v>6</v>
      </c>
      <c r="T53" s="26">
        <v>6</v>
      </c>
      <c r="U53" s="26">
        <v>13</v>
      </c>
      <c r="V53" s="26">
        <v>1</v>
      </c>
      <c r="W53" s="26" t="s">
        <v>2076</v>
      </c>
    </row>
    <row r="54" spans="1:23" x14ac:dyDescent="0.25">
      <c r="A54" s="26" t="str">
        <f t="shared" si="0"/>
        <v>PREESCOLAR</v>
      </c>
      <c r="B54" s="26" t="str">
        <f>"09DJN0069D"</f>
        <v>09DJN0069D</v>
      </c>
      <c r="C54" s="26" t="str">
        <f>"CONTRERAS                                                                                           "</f>
        <v xml:space="preserve">CONTRERAS                                                                                           </v>
      </c>
      <c r="D54" s="26" t="str">
        <f>"JORNADA AMPLIADA"</f>
        <v>JORNADA AMPLIADA</v>
      </c>
      <c r="E54" s="26" t="str">
        <f>"MORELOS Y JUAN ALVAREZ                                                          "</f>
        <v xml:space="preserve">MORELOS Y JUAN ALVAREZ                                                          </v>
      </c>
      <c r="F54" s="26" t="str">
        <f>"LA CONCEPCION                                                                                                                               "</f>
        <v xml:space="preserve">LA CONCEPCION                                                                                                                               </v>
      </c>
      <c r="G54" s="26" t="str">
        <f>"LA MAGDALENA CONTRERAS                                                          "</f>
        <v xml:space="preserve">LA MAGDALENA CONTRERAS                                                          </v>
      </c>
      <c r="H54" s="26" t="str">
        <f>"071"</f>
        <v>071</v>
      </c>
      <c r="I54" s="26" t="str">
        <f t="shared" si="1"/>
        <v>00</v>
      </c>
      <c r="J54" s="26" t="str">
        <f>"34 "</f>
        <v xml:space="preserve">34 </v>
      </c>
      <c r="K54" s="26" t="str">
        <f t="shared" ref="K54:K77" si="7">"EP"</f>
        <v>EP</v>
      </c>
      <c r="L54" s="26" t="str">
        <f t="shared" ref="L54:L77" si="8">"DGOSE"</f>
        <v>DGOSE</v>
      </c>
      <c r="M54" s="26" t="str">
        <f t="shared" si="4"/>
        <v>FEDERAL</v>
      </c>
      <c r="N54" s="26">
        <v>138</v>
      </c>
      <c r="O54" s="26">
        <v>68</v>
      </c>
      <c r="P54" s="26">
        <v>70</v>
      </c>
      <c r="Q54" s="26">
        <v>5</v>
      </c>
      <c r="R54" s="26">
        <v>1</v>
      </c>
      <c r="S54" s="26">
        <v>4</v>
      </c>
      <c r="T54" s="26">
        <v>4</v>
      </c>
      <c r="U54" s="26">
        <v>9</v>
      </c>
      <c r="V54" s="26">
        <v>1</v>
      </c>
      <c r="W54" s="26" t="s">
        <v>2076</v>
      </c>
    </row>
    <row r="55" spans="1:23" x14ac:dyDescent="0.25">
      <c r="A55" s="26" t="str">
        <f t="shared" si="0"/>
        <v>PREESCOLAR</v>
      </c>
      <c r="B55" s="26" t="str">
        <f>"09DJN0070T"</f>
        <v>09DJN0070T</v>
      </c>
      <c r="C55" s="26" t="str">
        <f>"JOSE GUADALUPE POSADA                                                                               "</f>
        <v xml:space="preserve">JOSE GUADALUPE POSADA                                                                               </v>
      </c>
      <c r="D55" s="26" t="str">
        <f>"MATUTINO"</f>
        <v>MATUTINO</v>
      </c>
      <c r="E55" s="26" t="str">
        <f>"LUIS CABRERA MZA. 33 LOTE 18                                                    "</f>
        <v xml:space="preserve">LUIS CABRERA MZA. 33 LOTE 18                                                    </v>
      </c>
      <c r="F55" s="26" t="str">
        <f>"LA MALINCHE                                                                                                                                 "</f>
        <v xml:space="preserve">LA MALINCHE                                                                                                                                 </v>
      </c>
      <c r="G55" s="26" t="str">
        <f>"LA MAGDALENA CONTRERAS                                                          "</f>
        <v xml:space="preserve">LA MAGDALENA CONTRERAS                                                          </v>
      </c>
      <c r="H55" s="26" t="str">
        <f>"113"</f>
        <v>113</v>
      </c>
      <c r="I55" s="26" t="str">
        <f t="shared" si="1"/>
        <v>00</v>
      </c>
      <c r="J55" s="26" t="str">
        <f>"35 "</f>
        <v xml:space="preserve">35 </v>
      </c>
      <c r="K55" s="26" t="str">
        <f t="shared" si="7"/>
        <v>EP</v>
      </c>
      <c r="L55" s="26" t="str">
        <f t="shared" si="8"/>
        <v>DGOSE</v>
      </c>
      <c r="M55" s="26" t="str">
        <f t="shared" si="4"/>
        <v>FEDERAL</v>
      </c>
      <c r="N55" s="26">
        <v>127</v>
      </c>
      <c r="O55" s="26">
        <v>64</v>
      </c>
      <c r="P55" s="26">
        <v>63</v>
      </c>
      <c r="Q55" s="26">
        <v>5</v>
      </c>
      <c r="R55" s="26">
        <v>1</v>
      </c>
      <c r="S55" s="26">
        <v>5</v>
      </c>
      <c r="T55" s="26">
        <v>2</v>
      </c>
      <c r="U55" s="26">
        <v>8</v>
      </c>
      <c r="V55" s="26">
        <v>1</v>
      </c>
      <c r="W55" s="26"/>
    </row>
    <row r="56" spans="1:23" x14ac:dyDescent="0.25">
      <c r="A56" s="26" t="str">
        <f t="shared" si="0"/>
        <v>PREESCOLAR</v>
      </c>
      <c r="B56" s="26" t="str">
        <f>"09DJN0071S"</f>
        <v>09DJN0071S</v>
      </c>
      <c r="C56" s="26" t="str">
        <f>"ANA MARIA NAVARRO BECERRA                                                                           "</f>
        <v xml:space="preserve">ANA MARIA NAVARRO BECERRA                                                                           </v>
      </c>
      <c r="D56" s="26" t="str">
        <f>"MATUTINO"</f>
        <v>MATUTINO</v>
      </c>
      <c r="E56" s="26" t="str">
        <f>"NAHOAS Y OTOMIES S/N                                                            "</f>
        <v xml:space="preserve">NAHOAS Y OTOMIES S/N                                                            </v>
      </c>
      <c r="F56" s="26" t="str">
        <f>"TLALCOLIGIA                                                                                                                                 "</f>
        <v xml:space="preserve">TLALCOLIGIA                                                                                                                                 </v>
      </c>
      <c r="G56" s="26" t="str">
        <f>"TLALPAN                                                                         "</f>
        <v xml:space="preserve">TLALPAN                                                                         </v>
      </c>
      <c r="H56" s="26" t="str">
        <f>"278"</f>
        <v>278</v>
      </c>
      <c r="I56" s="26" t="str">
        <f t="shared" si="1"/>
        <v>00</v>
      </c>
      <c r="J56" s="26" t="str">
        <f>"35 "</f>
        <v xml:space="preserve">35 </v>
      </c>
      <c r="K56" s="26" t="str">
        <f t="shared" si="7"/>
        <v>EP</v>
      </c>
      <c r="L56" s="26" t="str">
        <f t="shared" si="8"/>
        <v>DGOSE</v>
      </c>
      <c r="M56" s="26" t="str">
        <f t="shared" si="4"/>
        <v>FEDERAL</v>
      </c>
      <c r="N56" s="26">
        <v>137</v>
      </c>
      <c r="O56" s="26">
        <v>79</v>
      </c>
      <c r="P56" s="26">
        <v>58</v>
      </c>
      <c r="Q56" s="26">
        <v>4</v>
      </c>
      <c r="R56" s="26">
        <v>1</v>
      </c>
      <c r="S56" s="26">
        <v>4</v>
      </c>
      <c r="T56" s="26">
        <v>5</v>
      </c>
      <c r="U56" s="26">
        <v>10</v>
      </c>
      <c r="V56" s="26">
        <v>1</v>
      </c>
      <c r="W56" s="26"/>
    </row>
    <row r="57" spans="1:23" x14ac:dyDescent="0.25">
      <c r="A57" s="26" t="str">
        <f t="shared" si="0"/>
        <v>PREESCOLAR</v>
      </c>
      <c r="B57" s="26" t="str">
        <f>"09DJN0073Q"</f>
        <v>09DJN0073Q</v>
      </c>
      <c r="C57" s="26" t="str">
        <f>"XOCHIMILCO                                                                                          "</f>
        <v xml:space="preserve">XOCHIMILCO                                                                                          </v>
      </c>
      <c r="D57" s="26" t="str">
        <f>"TIEMPO COMPLETO"</f>
        <v>TIEMPO COMPLETO</v>
      </c>
      <c r="E57" s="26" t="str">
        <f>"CALLEJON CHICOCO S/N                                                            "</f>
        <v xml:space="preserve">CALLEJON CHICOCO S/N                                                            </v>
      </c>
      <c r="F57" s="26" t="str">
        <f>"CONCEPCION TLACOAPA                                                                                                                         "</f>
        <v xml:space="preserve">CONCEPCION TLACOAPA                                                                                                                         </v>
      </c>
      <c r="G57" s="26" t="str">
        <f>"XOCHIMILCO                                                                      "</f>
        <v xml:space="preserve">XOCHIMILCO                                                                      </v>
      </c>
      <c r="H57" s="26" t="str">
        <f>"036"</f>
        <v>036</v>
      </c>
      <c r="I57" s="26" t="str">
        <f t="shared" si="1"/>
        <v>00</v>
      </c>
      <c r="J57" s="26" t="str">
        <f>"34 "</f>
        <v xml:space="preserve">34 </v>
      </c>
      <c r="K57" s="26" t="str">
        <f t="shared" si="7"/>
        <v>EP</v>
      </c>
      <c r="L57" s="26" t="str">
        <f t="shared" si="8"/>
        <v>DGOSE</v>
      </c>
      <c r="M57" s="26" t="str">
        <f t="shared" si="4"/>
        <v>FEDERAL</v>
      </c>
      <c r="N57" s="26">
        <v>190</v>
      </c>
      <c r="O57" s="26">
        <v>87</v>
      </c>
      <c r="P57" s="26">
        <v>103</v>
      </c>
      <c r="Q57" s="26">
        <v>6</v>
      </c>
      <c r="R57" s="26">
        <v>2</v>
      </c>
      <c r="S57" s="26">
        <v>6</v>
      </c>
      <c r="T57" s="26">
        <v>15</v>
      </c>
      <c r="U57" s="26">
        <v>23</v>
      </c>
      <c r="V57" s="26">
        <v>1</v>
      </c>
      <c r="W57" s="26" t="s">
        <v>218</v>
      </c>
    </row>
    <row r="58" spans="1:23" x14ac:dyDescent="0.25">
      <c r="A58" s="26" t="str">
        <f t="shared" si="0"/>
        <v>PREESCOLAR</v>
      </c>
      <c r="B58" s="26" t="str">
        <f>"09DJN0074P"</f>
        <v>09DJN0074P</v>
      </c>
      <c r="C58" s="26" t="str">
        <f>"RICARDO FLORES MAGON                                                                                "</f>
        <v xml:space="preserve">RICARDO FLORES MAGON                                                                                </v>
      </c>
      <c r="D58" s="26" t="str">
        <f>"MATUTINO"</f>
        <v>MATUTINO</v>
      </c>
      <c r="E58" s="26" t="str">
        <f>"ORIENTE 110 Y SUR 105                                                           "</f>
        <v xml:space="preserve">ORIENTE 110 Y SUR 105                                                           </v>
      </c>
      <c r="F58" s="26" t="str">
        <f>"JUVENTINO ROSAS                                                                                                                             "</f>
        <v xml:space="preserve">JUVENTINO ROSAS                                                                                                                             </v>
      </c>
      <c r="G58" s="26" t="str">
        <f>"IZTACALCO                                                                       "</f>
        <v xml:space="preserve">IZTACALCO                                                                       </v>
      </c>
      <c r="H58" s="26" t="str">
        <f>"231"</f>
        <v>231</v>
      </c>
      <c r="I58" s="26" t="str">
        <f t="shared" si="1"/>
        <v>00</v>
      </c>
      <c r="J58" s="26" t="str">
        <f>"33 "</f>
        <v xml:space="preserve">33 </v>
      </c>
      <c r="K58" s="26" t="str">
        <f t="shared" si="7"/>
        <v>EP</v>
      </c>
      <c r="L58" s="26" t="str">
        <f t="shared" si="8"/>
        <v>DGOSE</v>
      </c>
      <c r="M58" s="26" t="str">
        <f t="shared" si="4"/>
        <v>FEDERAL</v>
      </c>
      <c r="N58" s="26">
        <v>95</v>
      </c>
      <c r="O58" s="26">
        <v>45</v>
      </c>
      <c r="P58" s="26">
        <v>50</v>
      </c>
      <c r="Q58" s="26">
        <v>4</v>
      </c>
      <c r="R58" s="26">
        <v>1</v>
      </c>
      <c r="S58" s="26">
        <v>4</v>
      </c>
      <c r="T58" s="26">
        <v>6</v>
      </c>
      <c r="U58" s="26">
        <v>11</v>
      </c>
      <c r="V58" s="26">
        <v>1</v>
      </c>
      <c r="W58" s="26"/>
    </row>
    <row r="59" spans="1:23" x14ac:dyDescent="0.25">
      <c r="A59" s="26" t="str">
        <f t="shared" si="0"/>
        <v>PREESCOLAR</v>
      </c>
      <c r="B59" s="26" t="str">
        <f>"09DJN0075O"</f>
        <v>09DJN0075O</v>
      </c>
      <c r="C59" s="26" t="str">
        <f>"FELIPE CARRILLO PUERTO                                                                              "</f>
        <v xml:space="preserve">FELIPE CARRILLO PUERTO                                                                              </v>
      </c>
      <c r="D59" s="26" t="str">
        <f>"JORNADA AMPLIADA"</f>
        <v>JORNADA AMPLIADA</v>
      </c>
      <c r="E59" s="26" t="str">
        <f>"SUR 147 Y AV. TEZONTLE                                                          "</f>
        <v xml:space="preserve">SUR 147 Y AV. TEZONTLE                                                          </v>
      </c>
      <c r="F59" s="26" t="str">
        <f>"GABRIEL RAMOS MILLAN AMPLIACION                                                                                                             "</f>
        <v xml:space="preserve">GABRIEL RAMOS MILLAN AMPLIACION                                                                                                             </v>
      </c>
      <c r="G59" s="26" t="str">
        <f>"IZTACALCO                                                                       "</f>
        <v xml:space="preserve">IZTACALCO                                                                       </v>
      </c>
      <c r="H59" s="26" t="str">
        <f>"108"</f>
        <v>108</v>
      </c>
      <c r="I59" s="26" t="str">
        <f t="shared" si="1"/>
        <v>00</v>
      </c>
      <c r="J59" s="26" t="str">
        <f>"31 "</f>
        <v xml:space="preserve">31 </v>
      </c>
      <c r="K59" s="26" t="str">
        <f t="shared" si="7"/>
        <v>EP</v>
      </c>
      <c r="L59" s="26" t="str">
        <f t="shared" si="8"/>
        <v>DGOSE</v>
      </c>
      <c r="M59" s="26" t="str">
        <f t="shared" si="4"/>
        <v>FEDERAL</v>
      </c>
      <c r="N59" s="26">
        <v>144</v>
      </c>
      <c r="O59" s="26">
        <v>76</v>
      </c>
      <c r="P59" s="26">
        <v>68</v>
      </c>
      <c r="Q59" s="26">
        <v>5</v>
      </c>
      <c r="R59" s="26">
        <v>1</v>
      </c>
      <c r="S59" s="26">
        <v>5</v>
      </c>
      <c r="T59" s="26">
        <v>5</v>
      </c>
      <c r="U59" s="26">
        <v>11</v>
      </c>
      <c r="V59" s="26">
        <v>1</v>
      </c>
      <c r="W59" s="26" t="s">
        <v>2076</v>
      </c>
    </row>
    <row r="60" spans="1:23" x14ac:dyDescent="0.25">
      <c r="A60" s="26" t="str">
        <f t="shared" si="0"/>
        <v>PREESCOLAR</v>
      </c>
      <c r="B60" s="26" t="str">
        <f>"09DJN0076N"</f>
        <v>09DJN0076N</v>
      </c>
      <c r="C60" s="26" t="str">
        <f>"FAMILIA JUAREZ MAZA                                                                                 "</f>
        <v xml:space="preserve">FAMILIA JUAREZ MAZA                                                                                 </v>
      </c>
      <c r="D60" s="26" t="str">
        <f>"MATUTINO"</f>
        <v>MATUTINO</v>
      </c>
      <c r="E60" s="26" t="str">
        <f>"AV. ANACAHUITA S/N                                                              "</f>
        <v xml:space="preserve">AV. ANACAHUITA S/N                                                              </v>
      </c>
      <c r="F60" s="26" t="str">
        <f>"COYOACAN                                                                                                                                    "</f>
        <v xml:space="preserve">COYOACAN                                                                                                                                    </v>
      </c>
      <c r="G60" s="26" t="str">
        <f>"COYOACAN                                                                        "</f>
        <v xml:space="preserve">COYOACAN                                                                        </v>
      </c>
      <c r="H60" s="26" t="str">
        <f>"111"</f>
        <v>111</v>
      </c>
      <c r="I60" s="26" t="str">
        <f t="shared" si="1"/>
        <v>00</v>
      </c>
      <c r="J60" s="26" t="str">
        <f>"35 "</f>
        <v xml:space="preserve">35 </v>
      </c>
      <c r="K60" s="26" t="str">
        <f t="shared" si="7"/>
        <v>EP</v>
      </c>
      <c r="L60" s="26" t="str">
        <f t="shared" si="8"/>
        <v>DGOSE</v>
      </c>
      <c r="M60" s="26" t="str">
        <f t="shared" si="4"/>
        <v>FEDERAL</v>
      </c>
      <c r="N60" s="26">
        <v>217</v>
      </c>
      <c r="O60" s="26">
        <v>113</v>
      </c>
      <c r="P60" s="26">
        <v>104</v>
      </c>
      <c r="Q60" s="26">
        <v>7</v>
      </c>
      <c r="R60" s="26">
        <v>1</v>
      </c>
      <c r="S60" s="26">
        <v>7</v>
      </c>
      <c r="T60" s="26">
        <v>4</v>
      </c>
      <c r="U60" s="26">
        <v>12</v>
      </c>
      <c r="V60" s="26">
        <v>1</v>
      </c>
      <c r="W60" s="26"/>
    </row>
    <row r="61" spans="1:23" x14ac:dyDescent="0.25">
      <c r="A61" s="26" t="str">
        <f t="shared" si="0"/>
        <v>PREESCOLAR</v>
      </c>
      <c r="B61" s="26" t="str">
        <f>"09DJN0079K"</f>
        <v>09DJN0079K</v>
      </c>
      <c r="C61" s="26" t="str">
        <f>"CAPULTITLAN                                                                                         "</f>
        <v xml:space="preserve">CAPULTITLAN                                                                                         </v>
      </c>
      <c r="D61" s="26" t="str">
        <f>"TIEMPO COMPLETO"</f>
        <v>TIEMPO COMPLETO</v>
      </c>
      <c r="E61" s="26" t="str">
        <f>"PONIENTE 118 Y NORTE 22                                                         "</f>
        <v xml:space="preserve">PONIENTE 118 Y NORTE 22                                                         </v>
      </c>
      <c r="F61" s="26" t="str">
        <f>"CAPULTITLAN                                                                                                                                 "</f>
        <v xml:space="preserve">CAPULTITLAN                                                                                                                                 </v>
      </c>
      <c r="G61" s="26" t="str">
        <f>"GUSTAVO A. MADERO                                                               "</f>
        <v xml:space="preserve">GUSTAVO A. MADERO                                                               </v>
      </c>
      <c r="H61" s="26" t="str">
        <f>"005"</f>
        <v>005</v>
      </c>
      <c r="I61" s="26" t="str">
        <f t="shared" si="1"/>
        <v>00</v>
      </c>
      <c r="J61" s="26" t="str">
        <f>"31 "</f>
        <v xml:space="preserve">31 </v>
      </c>
      <c r="K61" s="26" t="str">
        <f t="shared" si="7"/>
        <v>EP</v>
      </c>
      <c r="L61" s="26" t="str">
        <f t="shared" si="8"/>
        <v>DGOSE</v>
      </c>
      <c r="M61" s="26" t="str">
        <f t="shared" si="4"/>
        <v>FEDERAL</v>
      </c>
      <c r="N61" s="26">
        <v>144</v>
      </c>
      <c r="O61" s="26">
        <v>73</v>
      </c>
      <c r="P61" s="26">
        <v>71</v>
      </c>
      <c r="Q61" s="26">
        <v>6</v>
      </c>
      <c r="R61" s="26">
        <v>2</v>
      </c>
      <c r="S61" s="26">
        <v>6</v>
      </c>
      <c r="T61" s="26">
        <v>16</v>
      </c>
      <c r="U61" s="26">
        <v>24</v>
      </c>
      <c r="V61" s="26">
        <v>1</v>
      </c>
      <c r="W61" s="26" t="s">
        <v>218</v>
      </c>
    </row>
    <row r="62" spans="1:23" x14ac:dyDescent="0.25">
      <c r="A62" s="26" t="str">
        <f t="shared" si="0"/>
        <v>PREESCOLAR</v>
      </c>
      <c r="B62" s="26" t="str">
        <f>"09DJN0080Z"</f>
        <v>09DJN0080Z</v>
      </c>
      <c r="C62" s="26" t="str">
        <f>"ANA MARIA GALLAGA                                                                                   "</f>
        <v xml:space="preserve">ANA MARIA GALLAGA                                                                                   </v>
      </c>
      <c r="D62" s="26" t="str">
        <f>"VESPERTINO"</f>
        <v>VESPERTINO</v>
      </c>
      <c r="E62" s="26" t="str">
        <f>"GREGORIO ALLEGRI S/N                                                            "</f>
        <v xml:space="preserve">GREGORIO ALLEGRI S/N                                                            </v>
      </c>
      <c r="F62" s="26" t="str">
        <f>"MIGUEL HIDALGO                                                                                                                              "</f>
        <v xml:space="preserve">MIGUEL HIDALGO                                                                                                                              </v>
      </c>
      <c r="G62" s="26" t="str">
        <f>"TLAHUAC                                                                         "</f>
        <v xml:space="preserve">TLAHUAC                                                                         </v>
      </c>
      <c r="H62" s="26" t="str">
        <f>"244"</f>
        <v>244</v>
      </c>
      <c r="I62" s="26" t="str">
        <f t="shared" si="1"/>
        <v>00</v>
      </c>
      <c r="J62" s="26" t="str">
        <f>"35 "</f>
        <v xml:space="preserve">35 </v>
      </c>
      <c r="K62" s="26" t="str">
        <f t="shared" si="7"/>
        <v>EP</v>
      </c>
      <c r="L62" s="26" t="str">
        <f t="shared" si="8"/>
        <v>DGOSE</v>
      </c>
      <c r="M62" s="26" t="str">
        <f t="shared" si="4"/>
        <v>FEDERAL</v>
      </c>
      <c r="N62" s="26">
        <v>163</v>
      </c>
      <c r="O62" s="26">
        <v>75</v>
      </c>
      <c r="P62" s="26">
        <v>88</v>
      </c>
      <c r="Q62" s="26">
        <v>5</v>
      </c>
      <c r="R62" s="26">
        <v>1</v>
      </c>
      <c r="S62" s="26">
        <v>5</v>
      </c>
      <c r="T62" s="26">
        <v>4</v>
      </c>
      <c r="U62" s="26">
        <v>10</v>
      </c>
      <c r="V62" s="26">
        <v>1</v>
      </c>
      <c r="W62" s="26"/>
    </row>
    <row r="63" spans="1:23" x14ac:dyDescent="0.25">
      <c r="A63" s="26" t="str">
        <f t="shared" si="0"/>
        <v>PREESCOLAR</v>
      </c>
      <c r="B63" s="26" t="str">
        <f>"09DJN0081Z"</f>
        <v>09DJN0081Z</v>
      </c>
      <c r="C63" s="26" t="str">
        <f>"GUSTAVO ADOLFO BECQUER                                                                              "</f>
        <v xml:space="preserve">GUSTAVO ADOLFO BECQUER                                                                              </v>
      </c>
      <c r="D63" s="26" t="str">
        <f>"VESPERTINO"</f>
        <v>VESPERTINO</v>
      </c>
      <c r="E63" s="26" t="str">
        <f>"RETORNO 6 DE AV DEL TALLER S/N                                                  "</f>
        <v xml:space="preserve">RETORNO 6 DE AV DEL TALLER S/N                                                  </v>
      </c>
      <c r="F63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63" s="26" t="str">
        <f>"VENUSTIANO CARRANZA                                                             "</f>
        <v xml:space="preserve">VENUSTIANO CARRANZA                                                             </v>
      </c>
      <c r="H63" s="26" t="str">
        <f>"250"</f>
        <v>250</v>
      </c>
      <c r="I63" s="26" t="str">
        <f t="shared" si="1"/>
        <v>00</v>
      </c>
      <c r="J63" s="26" t="str">
        <f>"33 "</f>
        <v xml:space="preserve">33 </v>
      </c>
      <c r="K63" s="26" t="str">
        <f t="shared" si="7"/>
        <v>EP</v>
      </c>
      <c r="L63" s="26" t="str">
        <f t="shared" si="8"/>
        <v>DGOSE</v>
      </c>
      <c r="M63" s="26" t="str">
        <f t="shared" si="4"/>
        <v>FEDERAL</v>
      </c>
      <c r="N63" s="26">
        <v>68</v>
      </c>
      <c r="O63" s="26">
        <v>26</v>
      </c>
      <c r="P63" s="26">
        <v>42</v>
      </c>
      <c r="Q63" s="26">
        <v>3</v>
      </c>
      <c r="R63" s="26">
        <v>1</v>
      </c>
      <c r="S63" s="26">
        <v>3</v>
      </c>
      <c r="T63" s="26">
        <v>5</v>
      </c>
      <c r="U63" s="26">
        <v>9</v>
      </c>
      <c r="V63" s="26">
        <v>1</v>
      </c>
      <c r="W63" s="26"/>
    </row>
    <row r="64" spans="1:23" x14ac:dyDescent="0.25">
      <c r="A64" s="26" t="str">
        <f t="shared" si="0"/>
        <v>PREESCOLAR</v>
      </c>
      <c r="B64" s="26" t="str">
        <f>"09DJN0085V"</f>
        <v>09DJN0085V</v>
      </c>
      <c r="C64" s="26" t="str">
        <f>"REFORMA                                                                                             "</f>
        <v xml:space="preserve">REFORMA                                                                                             </v>
      </c>
      <c r="D64" s="26" t="str">
        <f>"JORNADA AMPLIADA"</f>
        <v>JORNADA AMPLIADA</v>
      </c>
      <c r="E64" s="26" t="str">
        <f>"LOS ECHAVE NO. 37                                                               "</f>
        <v xml:space="preserve">LOS ECHAVE NO. 37                                                               </v>
      </c>
      <c r="F64" s="26" t="str">
        <f>"MIXCOAC                                                                                                                                     "</f>
        <v xml:space="preserve">MIXCOAC                                                                                                                                     </v>
      </c>
      <c r="G64" s="26" t="str">
        <f>"BENITO JUAREZ                                                                   "</f>
        <v xml:space="preserve">BENITO JUAREZ                                                                   </v>
      </c>
      <c r="H64" s="26" t="str">
        <f>"233"</f>
        <v>233</v>
      </c>
      <c r="I64" s="26" t="str">
        <f t="shared" si="1"/>
        <v>00</v>
      </c>
      <c r="J64" s="26" t="str">
        <f>"34 "</f>
        <v xml:space="preserve">34 </v>
      </c>
      <c r="K64" s="26" t="str">
        <f t="shared" si="7"/>
        <v>EP</v>
      </c>
      <c r="L64" s="26" t="str">
        <f t="shared" si="8"/>
        <v>DGOSE</v>
      </c>
      <c r="M64" s="26" t="str">
        <f t="shared" si="4"/>
        <v>FEDERAL</v>
      </c>
      <c r="N64" s="26">
        <v>160</v>
      </c>
      <c r="O64" s="26">
        <v>88</v>
      </c>
      <c r="P64" s="26">
        <v>72</v>
      </c>
      <c r="Q64" s="26">
        <v>5</v>
      </c>
      <c r="R64" s="26">
        <v>1</v>
      </c>
      <c r="S64" s="26">
        <v>5</v>
      </c>
      <c r="T64" s="26">
        <v>7</v>
      </c>
      <c r="U64" s="26">
        <v>13</v>
      </c>
      <c r="V64" s="26">
        <v>1</v>
      </c>
      <c r="W64" s="26" t="s">
        <v>2076</v>
      </c>
    </row>
    <row r="65" spans="1:23" x14ac:dyDescent="0.25">
      <c r="A65" s="26" t="str">
        <f t="shared" si="0"/>
        <v>PREESCOLAR</v>
      </c>
      <c r="B65" s="26" t="str">
        <f>"09DJN0087T"</f>
        <v>09DJN0087T</v>
      </c>
      <c r="C65" s="26" t="str">
        <f>"TLAHUI OLLIN                                                                                        "</f>
        <v xml:space="preserve">TLAHUI OLLIN                                                                                        </v>
      </c>
      <c r="D65" s="26" t="str">
        <f>"MATUTINO"</f>
        <v>MATUTINO</v>
      </c>
      <c r="E65" s="26" t="str">
        <f>"EL ROBLE S/N ESQ. AV. NUEVO LEON                                                "</f>
        <v xml:space="preserve">EL ROBLE S/N ESQ. AV. NUEVO LEON                                                </v>
      </c>
      <c r="F65" s="26" t="str">
        <f>"CALTONGO                                                                                                                                    "</f>
        <v xml:space="preserve">CALTONGO                                                                                                                                    </v>
      </c>
      <c r="G65" s="26" t="str">
        <f>"XOCHIMILCO                                                                      "</f>
        <v xml:space="preserve">XOCHIMILCO                                                                      </v>
      </c>
      <c r="H65" s="26" t="str">
        <f>"220"</f>
        <v>220</v>
      </c>
      <c r="I65" s="26" t="str">
        <f t="shared" si="1"/>
        <v>00</v>
      </c>
      <c r="J65" s="26" t="str">
        <f>"35 "</f>
        <v xml:space="preserve">35 </v>
      </c>
      <c r="K65" s="26" t="str">
        <f t="shared" si="7"/>
        <v>EP</v>
      </c>
      <c r="L65" s="26" t="str">
        <f t="shared" si="8"/>
        <v>DGOSE</v>
      </c>
      <c r="M65" s="26" t="str">
        <f t="shared" si="4"/>
        <v>FEDERAL</v>
      </c>
      <c r="N65" s="26">
        <v>151</v>
      </c>
      <c r="O65" s="26">
        <v>85</v>
      </c>
      <c r="P65" s="26">
        <v>66</v>
      </c>
      <c r="Q65" s="26">
        <v>5</v>
      </c>
      <c r="R65" s="26">
        <v>1</v>
      </c>
      <c r="S65" s="26">
        <v>5</v>
      </c>
      <c r="T65" s="26">
        <v>6</v>
      </c>
      <c r="U65" s="26">
        <v>12</v>
      </c>
      <c r="V65" s="26">
        <v>1</v>
      </c>
      <c r="W65" s="26"/>
    </row>
    <row r="66" spans="1:23" x14ac:dyDescent="0.25">
      <c r="A66" s="26" t="str">
        <f t="shared" ref="A66:A129" si="9">"PREESCOLAR"</f>
        <v>PREESCOLAR</v>
      </c>
      <c r="B66" s="26" t="str">
        <f>"09DJN0088S"</f>
        <v>09DJN0088S</v>
      </c>
      <c r="C66" s="26" t="str">
        <f>"C.A.S.I. CERRO DEL JUDIO                                                                            "</f>
        <v xml:space="preserve">C.A.S.I. CERRO DEL JUDIO                                                                            </v>
      </c>
      <c r="D66" s="26" t="str">
        <f>"JORNADA AMPLIADA"</f>
        <v>JORNADA AMPLIADA</v>
      </c>
      <c r="E66" s="26" t="str">
        <f>"CORONA DEL ROSAL NO. 38                                                         "</f>
        <v xml:space="preserve">CORONA DEL ROSAL NO. 38                                                         </v>
      </c>
      <c r="F66" s="26" t="str">
        <f>"CUAUHTEMOC                                                                                                                                  "</f>
        <v xml:space="preserve">CUAUHTEMOC                                                                                                                                  </v>
      </c>
      <c r="G66" s="26" t="str">
        <f>"LA MAGDALENA CONTRERAS                                                          "</f>
        <v xml:space="preserve">LA MAGDALENA CONTRERAS                                                          </v>
      </c>
      <c r="H66" s="26" t="str">
        <f>"071"</f>
        <v>071</v>
      </c>
      <c r="I66" s="26" t="str">
        <f t="shared" ref="I66:I129" si="10">"00"</f>
        <v>00</v>
      </c>
      <c r="J66" s="26" t="str">
        <f>"34 "</f>
        <v xml:space="preserve">34 </v>
      </c>
      <c r="K66" s="26" t="str">
        <f t="shared" si="7"/>
        <v>EP</v>
      </c>
      <c r="L66" s="26" t="str">
        <f t="shared" si="8"/>
        <v>DGOSE</v>
      </c>
      <c r="M66" s="26" t="str">
        <f t="shared" ref="M66:M129" si="11">"FEDERAL"</f>
        <v>FEDERAL</v>
      </c>
      <c r="N66" s="26">
        <v>121</v>
      </c>
      <c r="O66" s="26">
        <v>61</v>
      </c>
      <c r="P66" s="26">
        <v>60</v>
      </c>
      <c r="Q66" s="26">
        <v>4</v>
      </c>
      <c r="R66" s="26">
        <v>1</v>
      </c>
      <c r="S66" s="26">
        <v>4</v>
      </c>
      <c r="T66" s="26">
        <v>3</v>
      </c>
      <c r="U66" s="26">
        <v>8</v>
      </c>
      <c r="V66" s="26">
        <v>1</v>
      </c>
      <c r="W66" s="26" t="s">
        <v>2076</v>
      </c>
    </row>
    <row r="67" spans="1:23" x14ac:dyDescent="0.25">
      <c r="A67" s="26" t="str">
        <f t="shared" si="9"/>
        <v>PREESCOLAR</v>
      </c>
      <c r="B67" s="26" t="str">
        <f>"09DJN0091F"</f>
        <v>09DJN0091F</v>
      </c>
      <c r="C67" s="26" t="str">
        <f>"MARIA DE LOS ANGELES GUITRON MACHAEN                                                                "</f>
        <v xml:space="preserve">MARIA DE LOS ANGELES GUITRON MACHAEN                                                                </v>
      </c>
      <c r="D67" s="26" t="str">
        <f>"MATUTINO"</f>
        <v>MATUTINO</v>
      </c>
      <c r="E67" s="26" t="str">
        <f>"CAMINO VOLUNTAD S/N                                                             "</f>
        <v xml:space="preserve">CAMINO VOLUNTAD S/N                                                             </v>
      </c>
      <c r="F67" s="26" t="str">
        <f>"CAMPESTRE ARAGON                                                                                                                            "</f>
        <v xml:space="preserve">CAMPESTRE ARAGON                                                                                                                            </v>
      </c>
      <c r="G67" s="26" t="str">
        <f>"GUSTAVO A. MADERO                                                               "</f>
        <v xml:space="preserve">GUSTAVO A. MADERO                                                               </v>
      </c>
      <c r="H67" s="26" t="str">
        <f>"073"</f>
        <v>073</v>
      </c>
      <c r="I67" s="26" t="str">
        <f t="shared" si="10"/>
        <v>00</v>
      </c>
      <c r="J67" s="26" t="str">
        <f>"32 "</f>
        <v xml:space="preserve">32 </v>
      </c>
      <c r="K67" s="26" t="str">
        <f t="shared" si="7"/>
        <v>EP</v>
      </c>
      <c r="L67" s="26" t="str">
        <f t="shared" si="8"/>
        <v>DGOSE</v>
      </c>
      <c r="M67" s="26" t="str">
        <f t="shared" si="11"/>
        <v>FEDERAL</v>
      </c>
      <c r="N67" s="26">
        <v>197</v>
      </c>
      <c r="O67" s="26">
        <v>106</v>
      </c>
      <c r="P67" s="26">
        <v>91</v>
      </c>
      <c r="Q67" s="26">
        <v>7</v>
      </c>
      <c r="R67" s="26">
        <v>1</v>
      </c>
      <c r="S67" s="26">
        <v>6</v>
      </c>
      <c r="T67" s="26">
        <v>5</v>
      </c>
      <c r="U67" s="26">
        <v>12</v>
      </c>
      <c r="V67" s="26">
        <v>1</v>
      </c>
      <c r="W67" s="26"/>
    </row>
    <row r="68" spans="1:23" x14ac:dyDescent="0.25">
      <c r="A68" s="26" t="str">
        <f t="shared" si="9"/>
        <v>PREESCOLAR</v>
      </c>
      <c r="B68" s="26" t="str">
        <f>"09DJN0092E"</f>
        <v>09DJN0092E</v>
      </c>
      <c r="C68" s="26" t="str">
        <f>"CHALCHIUHTLICUE                                                                                     "</f>
        <v xml:space="preserve">CHALCHIUHTLICUE                                                                                     </v>
      </c>
      <c r="D68" s="26" t="str">
        <f>"VESPERTINO"</f>
        <v>VESPERTINO</v>
      </c>
      <c r="E68" s="26" t="str">
        <f>"QUINTANA ROO Y GUERRERO                                                         "</f>
        <v xml:space="preserve">QUINTANA ROO Y GUERRERO                                                         </v>
      </c>
      <c r="F68" s="26" t="str">
        <f>"SAN FRANCISCO TLALTENCO                                                                                                                     "</f>
        <v xml:space="preserve">SAN FRANCISCO TLALTENCO                                                                                                                     </v>
      </c>
      <c r="G68" s="26" t="str">
        <f>"TLAHUAC                                                                         "</f>
        <v xml:space="preserve">TLAHUAC                                                                         </v>
      </c>
      <c r="H68" s="26" t="str">
        <f>"242"</f>
        <v>242</v>
      </c>
      <c r="I68" s="26" t="str">
        <f t="shared" si="10"/>
        <v>00</v>
      </c>
      <c r="J68" s="26" t="str">
        <f>"35 "</f>
        <v xml:space="preserve">35 </v>
      </c>
      <c r="K68" s="26" t="str">
        <f t="shared" si="7"/>
        <v>EP</v>
      </c>
      <c r="L68" s="26" t="str">
        <f t="shared" si="8"/>
        <v>DGOSE</v>
      </c>
      <c r="M68" s="26" t="str">
        <f t="shared" si="11"/>
        <v>FEDERAL</v>
      </c>
      <c r="N68" s="26">
        <v>149</v>
      </c>
      <c r="O68" s="26">
        <v>74</v>
      </c>
      <c r="P68" s="26">
        <v>75</v>
      </c>
      <c r="Q68" s="26">
        <v>5</v>
      </c>
      <c r="R68" s="26">
        <v>1</v>
      </c>
      <c r="S68" s="26">
        <v>5</v>
      </c>
      <c r="T68" s="26">
        <v>5</v>
      </c>
      <c r="U68" s="26">
        <v>11</v>
      </c>
      <c r="V68" s="26">
        <v>1</v>
      </c>
      <c r="W68" s="26"/>
    </row>
    <row r="69" spans="1:23" x14ac:dyDescent="0.25">
      <c r="A69" s="26" t="str">
        <f t="shared" si="9"/>
        <v>PREESCOLAR</v>
      </c>
      <c r="B69" s="26" t="str">
        <f>"09DJN0093D"</f>
        <v>09DJN0093D</v>
      </c>
      <c r="C69" s="26" t="str">
        <f>"SEGURO SOCIAL B                                                                                     "</f>
        <v xml:space="preserve">SEGURO SOCIAL B                                                                                     </v>
      </c>
      <c r="D69" s="26" t="str">
        <f>"VESPERTINO"</f>
        <v>VESPERTINO</v>
      </c>
      <c r="E69" s="26" t="str">
        <f>"MZA. 1 GRUPO 4 U.HAB. STA. FE                                                   "</f>
        <v xml:space="preserve">MZA. 1 GRUPO 4 U.HAB. STA. FE                                                   </v>
      </c>
      <c r="F69" s="26" t="str">
        <f>"CRISTO REY                                                                                                                                  "</f>
        <v xml:space="preserve">CRISTO REY                                                                                                                                  </v>
      </c>
      <c r="G69" s="26" t="str">
        <f>"ALVARO OBREGON                                                                  "</f>
        <v xml:space="preserve">ALVARO OBREGON                                                                  </v>
      </c>
      <c r="H69" s="26" t="str">
        <f>"165"</f>
        <v>165</v>
      </c>
      <c r="I69" s="26" t="str">
        <f t="shared" si="10"/>
        <v>00</v>
      </c>
      <c r="J69" s="26" t="str">
        <f>"33 "</f>
        <v xml:space="preserve">33 </v>
      </c>
      <c r="K69" s="26" t="str">
        <f t="shared" si="7"/>
        <v>EP</v>
      </c>
      <c r="L69" s="26" t="str">
        <f t="shared" si="8"/>
        <v>DGOSE</v>
      </c>
      <c r="M69" s="26" t="str">
        <f t="shared" si="11"/>
        <v>FEDERAL</v>
      </c>
      <c r="N69" s="26">
        <v>126</v>
      </c>
      <c r="O69" s="26">
        <v>66</v>
      </c>
      <c r="P69" s="26">
        <v>60</v>
      </c>
      <c r="Q69" s="26">
        <v>4</v>
      </c>
      <c r="R69" s="26">
        <v>1</v>
      </c>
      <c r="S69" s="26">
        <v>4</v>
      </c>
      <c r="T69" s="26">
        <v>4</v>
      </c>
      <c r="U69" s="26">
        <v>9</v>
      </c>
      <c r="V69" s="26">
        <v>1</v>
      </c>
      <c r="W69" s="26"/>
    </row>
    <row r="70" spans="1:23" x14ac:dyDescent="0.25">
      <c r="A70" s="26" t="str">
        <f t="shared" si="9"/>
        <v>PREESCOLAR</v>
      </c>
      <c r="B70" s="26" t="str">
        <f>"09DJN0094C"</f>
        <v>09DJN0094C</v>
      </c>
      <c r="C70" s="26" t="str">
        <f>"PROFRA. RAMONA MARTINEZ ARCOS                                                                       "</f>
        <v xml:space="preserve">PROFRA. RAMONA MARTINEZ ARCOS                                                                       </v>
      </c>
      <c r="D70" s="26" t="str">
        <f>"VESPERTINO"</f>
        <v>VESPERTINO</v>
      </c>
      <c r="E70" s="26" t="str">
        <f>"AV. 298-A S/N C-309 Y C-317                                                     "</f>
        <v xml:space="preserve">AV. 298-A S/N C-309 Y C-317                                                     </v>
      </c>
      <c r="F70" s="26" t="str">
        <f>"UNIDAD HABITACIONAL EL COYOL                                                                                                                "</f>
        <v xml:space="preserve">UNIDAD HABITACIONAL EL COYOL                                                                                                                </v>
      </c>
      <c r="G70" s="26" t="str">
        <f>"GUSTAVO A. MADERO                                                               "</f>
        <v xml:space="preserve">GUSTAVO A. MADERO                                                               </v>
      </c>
      <c r="H70" s="26" t="str">
        <f>"095"</f>
        <v>095</v>
      </c>
      <c r="I70" s="26" t="str">
        <f t="shared" si="10"/>
        <v>00</v>
      </c>
      <c r="J70" s="26" t="str">
        <f>"32 "</f>
        <v xml:space="preserve">32 </v>
      </c>
      <c r="K70" s="26" t="str">
        <f t="shared" si="7"/>
        <v>EP</v>
      </c>
      <c r="L70" s="26" t="str">
        <f t="shared" si="8"/>
        <v>DGOSE</v>
      </c>
      <c r="M70" s="26" t="str">
        <f t="shared" si="11"/>
        <v>FEDERAL</v>
      </c>
      <c r="N70" s="26">
        <v>164</v>
      </c>
      <c r="O70" s="26">
        <v>85</v>
      </c>
      <c r="P70" s="26">
        <v>79</v>
      </c>
      <c r="Q70" s="26">
        <v>6</v>
      </c>
      <c r="R70" s="26">
        <v>1</v>
      </c>
      <c r="S70" s="26">
        <v>6</v>
      </c>
      <c r="T70" s="26">
        <v>6</v>
      </c>
      <c r="U70" s="26">
        <v>13</v>
      </c>
      <c r="V70" s="26">
        <v>1</v>
      </c>
      <c r="W70" s="26"/>
    </row>
    <row r="71" spans="1:23" x14ac:dyDescent="0.25">
      <c r="A71" s="26" t="str">
        <f t="shared" si="9"/>
        <v>PREESCOLAR</v>
      </c>
      <c r="B71" s="26" t="str">
        <f>"09DJN0095B"</f>
        <v>09DJN0095B</v>
      </c>
      <c r="C71" s="26" t="str">
        <f>"HEROICO COLEGIO MILITAR                                                                             "</f>
        <v xml:space="preserve">HEROICO COLEGIO MILITAR                                                                             </v>
      </c>
      <c r="D71" s="26" t="str">
        <f>"TIEMPO COMPLETO"</f>
        <v>TIEMPO COMPLETO</v>
      </c>
      <c r="E71" s="26" t="str">
        <f>"FUERTE DE GUADALUPE S/N                                                         "</f>
        <v xml:space="preserve">FUERTE DE GUADALUPE S/N                                                         </v>
      </c>
      <c r="F71" s="26" t="str">
        <f>"UNIDAD HABITACIONAL HEROICO COLEGIO                                                                                                         "</f>
        <v xml:space="preserve">UNIDAD HABITACIONAL HEROICO COLEGIO                                                                                                         </v>
      </c>
      <c r="G71" s="26" t="str">
        <f>"TLALPAN                                                                         "</f>
        <v xml:space="preserve">TLALPAN                                                                         </v>
      </c>
      <c r="H71" s="26" t="str">
        <f>"229"</f>
        <v>229</v>
      </c>
      <c r="I71" s="26" t="str">
        <f t="shared" si="10"/>
        <v>00</v>
      </c>
      <c r="J71" s="26" t="str">
        <f>"34 "</f>
        <v xml:space="preserve">34 </v>
      </c>
      <c r="K71" s="26" t="str">
        <f t="shared" si="7"/>
        <v>EP</v>
      </c>
      <c r="L71" s="26" t="str">
        <f t="shared" si="8"/>
        <v>DGOSE</v>
      </c>
      <c r="M71" s="26" t="str">
        <f t="shared" si="11"/>
        <v>FEDERAL</v>
      </c>
      <c r="N71" s="26">
        <v>275</v>
      </c>
      <c r="O71" s="26">
        <v>154</v>
      </c>
      <c r="P71" s="26">
        <v>121</v>
      </c>
      <c r="Q71" s="26">
        <v>9</v>
      </c>
      <c r="R71" s="26">
        <v>2</v>
      </c>
      <c r="S71" s="26">
        <v>9</v>
      </c>
      <c r="T71" s="26">
        <v>9</v>
      </c>
      <c r="U71" s="26">
        <v>20</v>
      </c>
      <c r="V71" s="26">
        <v>1</v>
      </c>
      <c r="W71" s="26" t="s">
        <v>218</v>
      </c>
    </row>
    <row r="72" spans="1:23" x14ac:dyDescent="0.25">
      <c r="A72" s="26" t="str">
        <f t="shared" si="9"/>
        <v>PREESCOLAR</v>
      </c>
      <c r="B72" s="26" t="str">
        <f>"09DJN0097Z"</f>
        <v>09DJN0097Z</v>
      </c>
      <c r="C72" s="26" t="str">
        <f>"REPUBLICA DE NICARAGUA                                                                              "</f>
        <v xml:space="preserve">REPUBLICA DE NICARAGUA                                                                              </v>
      </c>
      <c r="D72" s="26" t="str">
        <f>"JORNADA AMPLIADA"</f>
        <v>JORNADA AMPLIADA</v>
      </c>
      <c r="E72" s="26" t="str">
        <f>"CALIZ NO. 7                                                                     "</f>
        <v xml:space="preserve">CALIZ NO. 7                                                                     </v>
      </c>
      <c r="F72" s="26" t="str">
        <f>"EL RELOJ                                                                                                                                    "</f>
        <v xml:space="preserve">EL RELOJ                                                                                                                                    </v>
      </c>
      <c r="G72" s="26" t="str">
        <f>"COYOACAN                                                                        "</f>
        <v xml:space="preserve">COYOACAN                                                                        </v>
      </c>
      <c r="H72" s="26" t="str">
        <f>"208"</f>
        <v>208</v>
      </c>
      <c r="I72" s="26" t="str">
        <f t="shared" si="10"/>
        <v>00</v>
      </c>
      <c r="J72" s="26" t="str">
        <f>"34 "</f>
        <v xml:space="preserve">34 </v>
      </c>
      <c r="K72" s="26" t="str">
        <f t="shared" si="7"/>
        <v>EP</v>
      </c>
      <c r="L72" s="26" t="str">
        <f t="shared" si="8"/>
        <v>DGOSE</v>
      </c>
      <c r="M72" s="26" t="str">
        <f t="shared" si="11"/>
        <v>FEDERAL</v>
      </c>
      <c r="N72" s="26">
        <v>164</v>
      </c>
      <c r="O72" s="26">
        <v>76</v>
      </c>
      <c r="P72" s="26">
        <v>88</v>
      </c>
      <c r="Q72" s="26">
        <v>6</v>
      </c>
      <c r="R72" s="26">
        <v>1</v>
      </c>
      <c r="S72" s="26">
        <v>6</v>
      </c>
      <c r="T72" s="26">
        <v>7</v>
      </c>
      <c r="U72" s="26">
        <v>14</v>
      </c>
      <c r="V72" s="26">
        <v>1</v>
      </c>
      <c r="W72" s="26" t="s">
        <v>2076</v>
      </c>
    </row>
    <row r="73" spans="1:23" x14ac:dyDescent="0.25">
      <c r="A73" s="26" t="str">
        <f t="shared" si="9"/>
        <v>PREESCOLAR</v>
      </c>
      <c r="B73" s="26" t="str">
        <f>"09DJN0098Z"</f>
        <v>09DJN0098Z</v>
      </c>
      <c r="C73" s="26" t="str">
        <f>"BALBINA NAPOLES ACOSTA                                                                              "</f>
        <v xml:space="preserve">BALBINA NAPOLES ACOSTA                                                                              </v>
      </c>
      <c r="D73" s="26" t="str">
        <f>"TIEMPO COMPLETO"</f>
        <v>TIEMPO COMPLETO</v>
      </c>
      <c r="E73" s="26" t="str">
        <f>"RET. 803 S/N                                                                    "</f>
        <v xml:space="preserve">RET. 803 S/N                                                                    </v>
      </c>
      <c r="F73" s="26" t="str">
        <f>"CENTINELA                                                                                                                                   "</f>
        <v xml:space="preserve">CENTINELA                                                                                                                                   </v>
      </c>
      <c r="G73" s="26" t="str">
        <f>"COYOACAN                                                                        "</f>
        <v xml:space="preserve">COYOACAN                                                                        </v>
      </c>
      <c r="H73" s="26" t="str">
        <f>"235"</f>
        <v>235</v>
      </c>
      <c r="I73" s="26" t="str">
        <f t="shared" si="10"/>
        <v>00</v>
      </c>
      <c r="J73" s="26" t="str">
        <f>"34 "</f>
        <v xml:space="preserve">34 </v>
      </c>
      <c r="K73" s="26" t="str">
        <f t="shared" si="7"/>
        <v>EP</v>
      </c>
      <c r="L73" s="26" t="str">
        <f t="shared" si="8"/>
        <v>DGOSE</v>
      </c>
      <c r="M73" s="26" t="str">
        <f t="shared" si="11"/>
        <v>FEDERAL</v>
      </c>
      <c r="N73" s="26">
        <v>97</v>
      </c>
      <c r="O73" s="26">
        <v>47</v>
      </c>
      <c r="P73" s="26">
        <v>50</v>
      </c>
      <c r="Q73" s="26">
        <v>4</v>
      </c>
      <c r="R73" s="26">
        <v>2</v>
      </c>
      <c r="S73" s="26">
        <v>3</v>
      </c>
      <c r="T73" s="26">
        <v>12</v>
      </c>
      <c r="U73" s="26">
        <v>17</v>
      </c>
      <c r="V73" s="26">
        <v>1</v>
      </c>
      <c r="W73" s="26" t="s">
        <v>218</v>
      </c>
    </row>
    <row r="74" spans="1:23" x14ac:dyDescent="0.25">
      <c r="A74" s="26" t="str">
        <f t="shared" si="9"/>
        <v>PREESCOLAR</v>
      </c>
      <c r="B74" s="26" t="str">
        <f>"09DJN0099Y"</f>
        <v>09DJN0099Y</v>
      </c>
      <c r="C74" s="26" t="str">
        <f>"WALT DISNEY                                                                                         "</f>
        <v xml:space="preserve">WALT DISNEY                                                                                         </v>
      </c>
      <c r="D74" s="26" t="str">
        <f>"JORNADA AMPLIADA"</f>
        <v>JORNADA AMPLIADA</v>
      </c>
      <c r="E74" s="26" t="str">
        <f>"SUPER MZA. 3 RETORNO 21                                                         "</f>
        <v xml:space="preserve">SUPER MZA. 3 RETORNO 21                                                         </v>
      </c>
      <c r="F74" s="26" t="str">
        <f>"AVANTE                                                                                                                                      "</f>
        <v xml:space="preserve">AVANTE                                                                                                                                      </v>
      </c>
      <c r="G74" s="26" t="str">
        <f>"COYOACAN                                                                        "</f>
        <v xml:space="preserve">COYOACAN                                                                        </v>
      </c>
      <c r="H74" s="26" t="str">
        <f>"235"</f>
        <v>235</v>
      </c>
      <c r="I74" s="26" t="str">
        <f t="shared" si="10"/>
        <v>00</v>
      </c>
      <c r="J74" s="26" t="str">
        <f>"34 "</f>
        <v xml:space="preserve">34 </v>
      </c>
      <c r="K74" s="26" t="str">
        <f t="shared" si="7"/>
        <v>EP</v>
      </c>
      <c r="L74" s="26" t="str">
        <f t="shared" si="8"/>
        <v>DGOSE</v>
      </c>
      <c r="M74" s="26" t="str">
        <f t="shared" si="11"/>
        <v>FEDERAL</v>
      </c>
      <c r="N74" s="26">
        <v>200</v>
      </c>
      <c r="O74" s="26">
        <v>97</v>
      </c>
      <c r="P74" s="26">
        <v>103</v>
      </c>
      <c r="Q74" s="26">
        <v>6</v>
      </c>
      <c r="R74" s="26">
        <v>1</v>
      </c>
      <c r="S74" s="26">
        <v>6</v>
      </c>
      <c r="T74" s="26">
        <v>5</v>
      </c>
      <c r="U74" s="26">
        <v>12</v>
      </c>
      <c r="V74" s="26">
        <v>1</v>
      </c>
      <c r="W74" s="26" t="s">
        <v>2076</v>
      </c>
    </row>
    <row r="75" spans="1:23" x14ac:dyDescent="0.25">
      <c r="A75" s="26" t="str">
        <f t="shared" si="9"/>
        <v>PREESCOLAR</v>
      </c>
      <c r="B75" s="26" t="str">
        <f>"09DJN0100X"</f>
        <v>09DJN0100X</v>
      </c>
      <c r="C75" s="26" t="str">
        <f>"AMELIA FIERRO BANDALA                                                                               "</f>
        <v xml:space="preserve">AMELIA FIERRO BANDALA                                                                               </v>
      </c>
      <c r="D75" s="26" t="str">
        <f>"VESPERTINO"</f>
        <v>VESPERTINO</v>
      </c>
      <c r="E75" s="26" t="str">
        <f>"AV. CUAUHTEMOC NO. 38                                                           "</f>
        <v xml:space="preserve">AV. CUAUHTEMOC NO. 38                                                           </v>
      </c>
      <c r="F75" s="26" t="str">
        <f>"SAN ANTONIO TECOMITL                                                                                                                        "</f>
        <v xml:space="preserve">SAN ANTONIO TECOMITL                                                                                                                        </v>
      </c>
      <c r="G75" s="26" t="str">
        <f>"MILPA ALTA                                                                      "</f>
        <v xml:space="preserve">MILPA ALTA                                                                      </v>
      </c>
      <c r="H75" s="26" t="str">
        <f>"141"</f>
        <v>141</v>
      </c>
      <c r="I75" s="26" t="str">
        <f t="shared" si="10"/>
        <v>00</v>
      </c>
      <c r="J75" s="26" t="str">
        <f>"35 "</f>
        <v xml:space="preserve">35 </v>
      </c>
      <c r="K75" s="26" t="str">
        <f t="shared" si="7"/>
        <v>EP</v>
      </c>
      <c r="L75" s="26" t="str">
        <f t="shared" si="8"/>
        <v>DGOSE</v>
      </c>
      <c r="M75" s="26" t="str">
        <f t="shared" si="11"/>
        <v>FEDERAL</v>
      </c>
      <c r="N75" s="26">
        <v>253</v>
      </c>
      <c r="O75" s="26">
        <v>121</v>
      </c>
      <c r="P75" s="26">
        <v>132</v>
      </c>
      <c r="Q75" s="26">
        <v>8</v>
      </c>
      <c r="R75" s="26">
        <v>1</v>
      </c>
      <c r="S75" s="26">
        <v>8</v>
      </c>
      <c r="T75" s="26">
        <v>6</v>
      </c>
      <c r="U75" s="26">
        <v>15</v>
      </c>
      <c r="V75" s="26">
        <v>1</v>
      </c>
      <c r="W75" s="26"/>
    </row>
    <row r="76" spans="1:23" x14ac:dyDescent="0.25">
      <c r="A76" s="26" t="str">
        <f t="shared" si="9"/>
        <v>PREESCOLAR</v>
      </c>
      <c r="B76" s="26" t="str">
        <f>"09DJN0101W"</f>
        <v>09DJN0101W</v>
      </c>
      <c r="C76" s="26" t="str">
        <f>"PROFRA. MA. PATIÑO VDA DE OLMEDO                                                                    "</f>
        <v xml:space="preserve">PROFRA. MA. PATIÑO VDA DE OLMEDO                                                                    </v>
      </c>
      <c r="D76" s="26" t="str">
        <f>"TIEMPO COMPLETO"</f>
        <v>TIEMPO COMPLETO</v>
      </c>
      <c r="E76" s="26" t="str">
        <f>"MIRADOR S/N                                                                     "</f>
        <v xml:space="preserve">MIRADOR S/N                                                                     </v>
      </c>
      <c r="F76" s="26" t="str">
        <f>"TEPEPAN AMPLIACION                                                                                                                          "</f>
        <v xml:space="preserve">TEPEPAN AMPLIACION                                                                                                                          </v>
      </c>
      <c r="G76" s="26" t="str">
        <f>"XOCHIMILCO                                                                      "</f>
        <v xml:space="preserve">XOCHIMILCO                                                                      </v>
      </c>
      <c r="H76" s="26" t="str">
        <f>"245"</f>
        <v>245</v>
      </c>
      <c r="I76" s="26" t="str">
        <f t="shared" si="10"/>
        <v>00</v>
      </c>
      <c r="J76" s="26" t="str">
        <f>"34 "</f>
        <v xml:space="preserve">34 </v>
      </c>
      <c r="K76" s="26" t="str">
        <f t="shared" si="7"/>
        <v>EP</v>
      </c>
      <c r="L76" s="26" t="str">
        <f t="shared" si="8"/>
        <v>DGOSE</v>
      </c>
      <c r="M76" s="26" t="str">
        <f t="shared" si="11"/>
        <v>FEDERAL</v>
      </c>
      <c r="N76" s="26">
        <v>264</v>
      </c>
      <c r="O76" s="26">
        <v>132</v>
      </c>
      <c r="P76" s="26">
        <v>132</v>
      </c>
      <c r="Q76" s="26">
        <v>8</v>
      </c>
      <c r="R76" s="26">
        <v>0</v>
      </c>
      <c r="S76" s="26">
        <v>8</v>
      </c>
      <c r="T76" s="26">
        <v>14</v>
      </c>
      <c r="U76" s="26">
        <v>22</v>
      </c>
      <c r="V76" s="26">
        <v>1</v>
      </c>
      <c r="W76" s="26" t="s">
        <v>218</v>
      </c>
    </row>
    <row r="77" spans="1:23" x14ac:dyDescent="0.25">
      <c r="A77" s="26" t="str">
        <f t="shared" si="9"/>
        <v>PREESCOLAR</v>
      </c>
      <c r="B77" s="26" t="str">
        <f>"09DJN0103U"</f>
        <v>09DJN0103U</v>
      </c>
      <c r="C77" s="26" t="str">
        <f>"IRLANDA                                                                                             "</f>
        <v xml:space="preserve">IRLANDA                                                                                             </v>
      </c>
      <c r="D77" s="26" t="str">
        <f>"JORNADA AMPLIADA"</f>
        <v>JORNADA AMPLIADA</v>
      </c>
      <c r="E77" s="26" t="str">
        <f>"CERRO BOLUDO S/N                                                                "</f>
        <v xml:space="preserve">CERRO BOLUDO S/N                                                                </v>
      </c>
      <c r="F77" s="26" t="str">
        <f>"CAMPESTRE CHURUBUSCO                                                                                                                        "</f>
        <v xml:space="preserve">CAMPESTRE CHURUBUSCO                                                                                                                        </v>
      </c>
      <c r="G77" s="26" t="str">
        <f>"COYOACAN                                                                        "</f>
        <v xml:space="preserve">COYOACAN                                                                        </v>
      </c>
      <c r="H77" s="26" t="str">
        <f>"034"</f>
        <v>034</v>
      </c>
      <c r="I77" s="26" t="str">
        <f t="shared" si="10"/>
        <v>00</v>
      </c>
      <c r="J77" s="26" t="str">
        <f>"34 "</f>
        <v xml:space="preserve">34 </v>
      </c>
      <c r="K77" s="26" t="str">
        <f t="shared" si="7"/>
        <v>EP</v>
      </c>
      <c r="L77" s="26" t="str">
        <f t="shared" si="8"/>
        <v>DGOSE</v>
      </c>
      <c r="M77" s="26" t="str">
        <f t="shared" si="11"/>
        <v>FEDERAL</v>
      </c>
      <c r="N77" s="26">
        <v>160</v>
      </c>
      <c r="O77" s="26">
        <v>82</v>
      </c>
      <c r="P77" s="26">
        <v>78</v>
      </c>
      <c r="Q77" s="26">
        <v>5</v>
      </c>
      <c r="R77" s="26">
        <v>1</v>
      </c>
      <c r="S77" s="26">
        <v>5</v>
      </c>
      <c r="T77" s="26">
        <v>6</v>
      </c>
      <c r="U77" s="26">
        <v>12</v>
      </c>
      <c r="V77" s="26">
        <v>1</v>
      </c>
      <c r="W77" s="26" t="s">
        <v>2076</v>
      </c>
    </row>
    <row r="78" spans="1:23" x14ac:dyDescent="0.25">
      <c r="A78" s="26" t="str">
        <f t="shared" si="9"/>
        <v>PREESCOLAR</v>
      </c>
      <c r="B78" s="26" t="str">
        <f>"09DJN0105S"</f>
        <v>09DJN0105S</v>
      </c>
      <c r="C78" s="26" t="str">
        <f>"ERMITA ZARAGOZA                                                                                     "</f>
        <v xml:space="preserve">ERMITA ZARAGOZA                                                                                     </v>
      </c>
      <c r="D78" s="26" t="str">
        <f>"MATUTINO"</f>
        <v>MATUTINO</v>
      </c>
      <c r="E78" s="26" t="str">
        <f>"AV. CONGRESO DE CHILPANCINGO SUR S/N                                            "</f>
        <v xml:space="preserve">AV. CONGRESO DE CHILPANCINGO SUR S/N                                            </v>
      </c>
      <c r="F78" s="26" t="str">
        <f>"UNIDAD HABITACIONAL ERMITA ZARAGOZA                                                                                                         "</f>
        <v xml:space="preserve">UNIDAD HABITACIONAL ERMITA ZARAGOZA                                                                                                         </v>
      </c>
      <c r="G78" s="26" t="str">
        <f>"IZTAPALAPA                                                                      "</f>
        <v xml:space="preserve">IZTAPALAPA                                                                      </v>
      </c>
      <c r="H78" s="26" t="str">
        <f>"015"</f>
        <v>015</v>
      </c>
      <c r="I78" s="26" t="str">
        <f t="shared" si="10"/>
        <v>00</v>
      </c>
      <c r="J78" s="26" t="str">
        <f>"62 "</f>
        <v xml:space="preserve">62 </v>
      </c>
      <c r="K78" s="26" t="str">
        <f>"IZ"</f>
        <v>IZ</v>
      </c>
      <c r="L78" s="26" t="str">
        <f>"DGSEI"</f>
        <v>DGSEI</v>
      </c>
      <c r="M78" s="26" t="str">
        <f t="shared" si="11"/>
        <v>FEDERAL</v>
      </c>
      <c r="N78" s="26">
        <v>159</v>
      </c>
      <c r="O78" s="26">
        <v>75</v>
      </c>
      <c r="P78" s="26">
        <v>84</v>
      </c>
      <c r="Q78" s="26">
        <v>5</v>
      </c>
      <c r="R78" s="26">
        <v>1</v>
      </c>
      <c r="S78" s="26">
        <v>5</v>
      </c>
      <c r="T78" s="26">
        <v>3</v>
      </c>
      <c r="U78" s="26">
        <v>9</v>
      </c>
      <c r="V78" s="26">
        <v>1</v>
      </c>
      <c r="W78" s="26"/>
    </row>
    <row r="79" spans="1:23" x14ac:dyDescent="0.25">
      <c r="A79" s="26" t="str">
        <f t="shared" si="9"/>
        <v>PREESCOLAR</v>
      </c>
      <c r="B79" s="26" t="str">
        <f>"09DJN0106R"</f>
        <v>09DJN0106R</v>
      </c>
      <c r="C79" s="26" t="str">
        <f>"HERMELINDA BERMUDEZ SEYSSEL                                                                         "</f>
        <v xml:space="preserve">HERMELINDA BERMUDEZ SEYSSEL                                                                         </v>
      </c>
      <c r="D79" s="26" t="str">
        <f>"TIEMPO COMPLETO"</f>
        <v>TIEMPO COMPLETO</v>
      </c>
      <c r="E79" s="26" t="str">
        <f>"AV. PANAMERICANA S/N 3A. SECCION                                                "</f>
        <v xml:space="preserve">AV. PANAMERICANA S/N 3A. SECCION                                                </v>
      </c>
      <c r="F79" s="26" t="str">
        <f>"PEDREGAL DE CARRASCO                                                                                                                        "</f>
        <v xml:space="preserve">PEDREGAL DE CARRASCO                                                                                                                        </v>
      </c>
      <c r="G79" s="26" t="str">
        <f>"COYOACAN                                                                        "</f>
        <v xml:space="preserve">COYOACAN                                                                        </v>
      </c>
      <c r="H79" s="26" t="str">
        <f>"064"</f>
        <v>064</v>
      </c>
      <c r="I79" s="26" t="str">
        <f t="shared" si="10"/>
        <v>00</v>
      </c>
      <c r="J79" s="26" t="str">
        <f>"34 "</f>
        <v xml:space="preserve">34 </v>
      </c>
      <c r="K79" s="26" t="str">
        <f>"EP"</f>
        <v>EP</v>
      </c>
      <c r="L79" s="26" t="str">
        <f>"DGOSE"</f>
        <v>DGOSE</v>
      </c>
      <c r="M79" s="26" t="str">
        <f t="shared" si="11"/>
        <v>FEDERAL</v>
      </c>
      <c r="N79" s="26">
        <v>190</v>
      </c>
      <c r="O79" s="26">
        <v>100</v>
      </c>
      <c r="P79" s="26">
        <v>90</v>
      </c>
      <c r="Q79" s="26">
        <v>6</v>
      </c>
      <c r="R79" s="26">
        <v>2</v>
      </c>
      <c r="S79" s="26">
        <v>6</v>
      </c>
      <c r="T79" s="26">
        <v>16</v>
      </c>
      <c r="U79" s="26">
        <v>24</v>
      </c>
      <c r="V79" s="26">
        <v>1</v>
      </c>
      <c r="W79" s="26" t="s">
        <v>218</v>
      </c>
    </row>
    <row r="80" spans="1:23" x14ac:dyDescent="0.25">
      <c r="A80" s="26" t="str">
        <f t="shared" si="9"/>
        <v>PREESCOLAR</v>
      </c>
      <c r="B80" s="26" t="str">
        <f>"09DJN0107Q"</f>
        <v>09DJN0107Q</v>
      </c>
      <c r="C80" s="26" t="str">
        <f>"CELESTIN FREINET                                                                                    "</f>
        <v xml:space="preserve">CELESTIN FREINET                                                                                    </v>
      </c>
      <c r="D80" s="26" t="str">
        <f>"MATUTINO"</f>
        <v>MATUTINO</v>
      </c>
      <c r="E80" s="26" t="str">
        <f>"BATALLA DE CALVILLO S/N                                                         "</f>
        <v xml:space="preserve">BATALLA DE CALVILLO S/N                                                         </v>
      </c>
      <c r="F80" s="26" t="str">
        <f>"ALVARO OBREGON FRACCIONAMIENTO                                                                                                              "</f>
        <v xml:space="preserve">ALVARO OBREGON FRACCIONAMIENTO                                                                                                              </v>
      </c>
      <c r="G80" s="26" t="str">
        <f>"IZTAPALAPA                                                                      "</f>
        <v xml:space="preserve">IZTAPALAPA                                                                      </v>
      </c>
      <c r="H80" s="26" t="str">
        <f>"018"</f>
        <v>018</v>
      </c>
      <c r="I80" s="26" t="str">
        <f t="shared" si="10"/>
        <v>00</v>
      </c>
      <c r="J80" s="26" t="str">
        <f>"62 "</f>
        <v xml:space="preserve">62 </v>
      </c>
      <c r="K80" s="26" t="str">
        <f>"IZ"</f>
        <v>IZ</v>
      </c>
      <c r="L80" s="26" t="str">
        <f>"DGSEI"</f>
        <v>DGSEI</v>
      </c>
      <c r="M80" s="26" t="str">
        <f t="shared" si="11"/>
        <v>FEDERAL</v>
      </c>
      <c r="N80" s="26">
        <v>195</v>
      </c>
      <c r="O80" s="26">
        <v>108</v>
      </c>
      <c r="P80" s="26">
        <v>87</v>
      </c>
      <c r="Q80" s="26">
        <v>6</v>
      </c>
      <c r="R80" s="26">
        <v>1</v>
      </c>
      <c r="S80" s="26">
        <v>6</v>
      </c>
      <c r="T80" s="26">
        <v>4</v>
      </c>
      <c r="U80" s="26">
        <v>11</v>
      </c>
      <c r="V80" s="26">
        <v>1</v>
      </c>
      <c r="W80" s="26"/>
    </row>
    <row r="81" spans="1:23" x14ac:dyDescent="0.25">
      <c r="A81" s="26" t="str">
        <f t="shared" si="9"/>
        <v>PREESCOLAR</v>
      </c>
      <c r="B81" s="26" t="str">
        <f>"09DJN0108P"</f>
        <v>09DJN0108P</v>
      </c>
      <c r="C81" s="26" t="str">
        <f>"GALACION GOMEZ                                                                                      "</f>
        <v xml:space="preserve">GALACION GOMEZ                                                                                      </v>
      </c>
      <c r="D81" s="26" t="str">
        <f>"MATUTINO"</f>
        <v>MATUTINO</v>
      </c>
      <c r="E81" s="26" t="str">
        <f>"TETRAZZINI NO. 97                                                               "</f>
        <v xml:space="preserve">TETRAZZINI NO. 97                                                               </v>
      </c>
      <c r="F81" s="26" t="str">
        <f>"PERALVILLO                                                                                                                                  "</f>
        <v xml:space="preserve">PERALVILLO                                                                                                                                  </v>
      </c>
      <c r="G81" s="26" t="s">
        <v>4128</v>
      </c>
      <c r="H81" s="26" t="str">
        <f>"057"</f>
        <v>057</v>
      </c>
      <c r="I81" s="26" t="str">
        <f t="shared" si="10"/>
        <v>00</v>
      </c>
      <c r="J81" s="26" t="str">
        <f>"32 "</f>
        <v xml:space="preserve">32 </v>
      </c>
      <c r="K81" s="26" t="str">
        <f>"EP"</f>
        <v>EP</v>
      </c>
      <c r="L81" s="26" t="str">
        <f>"DGOSE"</f>
        <v>DGOSE</v>
      </c>
      <c r="M81" s="26" t="str">
        <f t="shared" si="11"/>
        <v>FEDERAL</v>
      </c>
      <c r="N81" s="26">
        <v>178</v>
      </c>
      <c r="O81" s="26">
        <v>86</v>
      </c>
      <c r="P81" s="26">
        <v>92</v>
      </c>
      <c r="Q81" s="26">
        <v>6</v>
      </c>
      <c r="R81" s="26">
        <v>1</v>
      </c>
      <c r="S81" s="26">
        <v>6</v>
      </c>
      <c r="T81" s="26">
        <v>4</v>
      </c>
      <c r="U81" s="26">
        <v>11</v>
      </c>
      <c r="V81" s="26">
        <v>1</v>
      </c>
      <c r="W81" s="26"/>
    </row>
    <row r="82" spans="1:23" x14ac:dyDescent="0.25">
      <c r="A82" s="26" t="str">
        <f t="shared" si="9"/>
        <v>PREESCOLAR</v>
      </c>
      <c r="B82" s="26" t="str">
        <f>"09DJN0109O"</f>
        <v>09DJN0109O</v>
      </c>
      <c r="C82" s="26" t="str">
        <f>"GALACION GOMEZ                                                                                      "</f>
        <v xml:space="preserve">GALACION GOMEZ                                                                                      </v>
      </c>
      <c r="D82" s="26" t="str">
        <f>"VESPERTINO"</f>
        <v>VESPERTINO</v>
      </c>
      <c r="E82" s="26" t="str">
        <f>"TETRAZZINI NO. 97                                                               "</f>
        <v xml:space="preserve">TETRAZZINI NO. 97                                                               </v>
      </c>
      <c r="F82" s="26" t="str">
        <f>"PERALVILLO                                                                                                                                  "</f>
        <v xml:space="preserve">PERALVILLO                                                                                                                                  </v>
      </c>
      <c r="G82" s="26" t="s">
        <v>4128</v>
      </c>
      <c r="H82" s="26" t="str">
        <f>"057"</f>
        <v>057</v>
      </c>
      <c r="I82" s="26" t="str">
        <f t="shared" si="10"/>
        <v>00</v>
      </c>
      <c r="J82" s="26" t="str">
        <f>"32 "</f>
        <v xml:space="preserve">32 </v>
      </c>
      <c r="K82" s="26" t="str">
        <f>"EP"</f>
        <v>EP</v>
      </c>
      <c r="L82" s="26" t="str">
        <f>"DGOSE"</f>
        <v>DGOSE</v>
      </c>
      <c r="M82" s="26" t="str">
        <f t="shared" si="11"/>
        <v>FEDERAL</v>
      </c>
      <c r="N82" s="26">
        <v>103</v>
      </c>
      <c r="O82" s="26">
        <v>55</v>
      </c>
      <c r="P82" s="26">
        <v>48</v>
      </c>
      <c r="Q82" s="26">
        <v>4</v>
      </c>
      <c r="R82" s="26">
        <v>1</v>
      </c>
      <c r="S82" s="26">
        <v>4</v>
      </c>
      <c r="T82" s="26">
        <v>3</v>
      </c>
      <c r="U82" s="26">
        <v>8</v>
      </c>
      <c r="V82" s="26">
        <v>1</v>
      </c>
      <c r="W82" s="26"/>
    </row>
    <row r="83" spans="1:23" x14ac:dyDescent="0.25">
      <c r="A83" s="26" t="str">
        <f t="shared" si="9"/>
        <v>PREESCOLAR</v>
      </c>
      <c r="B83" s="26" t="str">
        <f>"09DJN0110D"</f>
        <v>09DJN0110D</v>
      </c>
      <c r="C83" s="26" t="str">
        <f>"MAESTRO JOSE CALVO                                                                                  "</f>
        <v xml:space="preserve">MAESTRO JOSE CALVO                                                                                  </v>
      </c>
      <c r="D83" s="26" t="str">
        <f>"TIEMPO COMPLETO"</f>
        <v>TIEMPO COMPLETO</v>
      </c>
      <c r="E83" s="26" t="str">
        <f>"ALONSO CANO NO. 70                                                              "</f>
        <v xml:space="preserve">ALONSO CANO NO. 70                                                              </v>
      </c>
      <c r="F83" s="26" t="str">
        <f>"ALFONSO XIII                                                                                                                                "</f>
        <v xml:space="preserve">ALFONSO XIII                                                                                                                                </v>
      </c>
      <c r="G83" s="26" t="str">
        <f>"ALVARO OBREGON                                                                  "</f>
        <v xml:space="preserve">ALVARO OBREGON                                                                  </v>
      </c>
      <c r="H83" s="26" t="str">
        <f>"174"</f>
        <v>174</v>
      </c>
      <c r="I83" s="26" t="str">
        <f t="shared" si="10"/>
        <v>00</v>
      </c>
      <c r="J83" s="26" t="str">
        <f>"34 "</f>
        <v xml:space="preserve">34 </v>
      </c>
      <c r="K83" s="26" t="str">
        <f>"EP"</f>
        <v>EP</v>
      </c>
      <c r="L83" s="26" t="str">
        <f>"DGOSE"</f>
        <v>DGOSE</v>
      </c>
      <c r="M83" s="26" t="str">
        <f t="shared" si="11"/>
        <v>FEDERAL</v>
      </c>
      <c r="N83" s="26">
        <v>165</v>
      </c>
      <c r="O83" s="26">
        <v>83</v>
      </c>
      <c r="P83" s="26">
        <v>82</v>
      </c>
      <c r="Q83" s="26">
        <v>5</v>
      </c>
      <c r="R83" s="26">
        <v>2</v>
      </c>
      <c r="S83" s="26">
        <v>5</v>
      </c>
      <c r="T83" s="26">
        <v>10</v>
      </c>
      <c r="U83" s="26">
        <v>17</v>
      </c>
      <c r="V83" s="26">
        <v>1</v>
      </c>
      <c r="W83" s="26" t="s">
        <v>218</v>
      </c>
    </row>
    <row r="84" spans="1:23" x14ac:dyDescent="0.25">
      <c r="A84" s="26" t="str">
        <f t="shared" si="9"/>
        <v>PREESCOLAR</v>
      </c>
      <c r="B84" s="26" t="str">
        <f>"09DJN0111C"</f>
        <v>09DJN0111C</v>
      </c>
      <c r="C84" s="26" t="str">
        <f>"ANGELA PERALTA                                                                                      "</f>
        <v xml:space="preserve">ANGELA PERALTA                                                                                      </v>
      </c>
      <c r="D84" s="26" t="str">
        <f>"JORNADA AMPLIADA"</f>
        <v>JORNADA AMPLIADA</v>
      </c>
      <c r="E84" s="26" t="str">
        <f>"ZACAHUITZCO NO. 60                                                              "</f>
        <v xml:space="preserve">ZACAHUITZCO NO. 60                                                              </v>
      </c>
      <c r="F84" s="26" t="str">
        <f>"ZACAHUITZCO                                                                                                                                 "</f>
        <v xml:space="preserve">ZACAHUITZCO                                                                                                                                 </v>
      </c>
      <c r="G84" s="26" t="str">
        <f>"BENITO JUAREZ                                                                   "</f>
        <v xml:space="preserve">BENITO JUAREZ                                                                   </v>
      </c>
      <c r="H84" s="26" t="str">
        <f>"210"</f>
        <v>210</v>
      </c>
      <c r="I84" s="26" t="str">
        <f t="shared" si="10"/>
        <v>00</v>
      </c>
      <c r="J84" s="26" t="str">
        <f>"34 "</f>
        <v xml:space="preserve">34 </v>
      </c>
      <c r="K84" s="26" t="str">
        <f>"EP"</f>
        <v>EP</v>
      </c>
      <c r="L84" s="26" t="str">
        <f>"DGOSE"</f>
        <v>DGOSE</v>
      </c>
      <c r="M84" s="26" t="str">
        <f t="shared" si="11"/>
        <v>FEDERAL</v>
      </c>
      <c r="N84" s="26">
        <v>101</v>
      </c>
      <c r="O84" s="26">
        <v>49</v>
      </c>
      <c r="P84" s="26">
        <v>52</v>
      </c>
      <c r="Q84" s="26">
        <v>5</v>
      </c>
      <c r="R84" s="26">
        <v>1</v>
      </c>
      <c r="S84" s="26">
        <v>4</v>
      </c>
      <c r="T84" s="26">
        <v>5</v>
      </c>
      <c r="U84" s="26">
        <v>10</v>
      </c>
      <c r="V84" s="26">
        <v>1</v>
      </c>
      <c r="W84" s="26" t="s">
        <v>2076</v>
      </c>
    </row>
    <row r="85" spans="1:23" x14ac:dyDescent="0.25">
      <c r="A85" s="26" t="str">
        <f t="shared" si="9"/>
        <v>PREESCOLAR</v>
      </c>
      <c r="B85" s="26" t="str">
        <f>"09DJN0112B"</f>
        <v>09DJN0112B</v>
      </c>
      <c r="C85" s="26" t="str">
        <f>"PROFR. BALDOMERO SAMANO MUÑOZ                                                                       "</f>
        <v xml:space="preserve">PROFR. BALDOMERO SAMANO MUÑOZ                                                                       </v>
      </c>
      <c r="D85" s="26" t="str">
        <f>"JORNADA AMPLIADA"</f>
        <v>JORNADA AMPLIADA</v>
      </c>
      <c r="E85" s="26" t="str">
        <f>"ARQUEOLOGOS NO. 106 Y RIO CHURUBUSCO                                            "</f>
        <v xml:space="preserve">ARQUEOLOGOS NO. 106 Y RIO CHURUBUSCO                                            </v>
      </c>
      <c r="F85" s="26" t="str">
        <f>"EL RETOÑO                                                                                                                                   "</f>
        <v xml:space="preserve">EL RETOÑO                                                                                                                                   </v>
      </c>
      <c r="G85" s="26" t="str">
        <f>"IZTAPALAPA                                                                      "</f>
        <v xml:space="preserve">IZTAPALAPA                                                                      </v>
      </c>
      <c r="H85" s="26" t="str">
        <f>"001"</f>
        <v>001</v>
      </c>
      <c r="I85" s="26" t="str">
        <f t="shared" si="10"/>
        <v>00</v>
      </c>
      <c r="J85" s="26" t="str">
        <f>"61 "</f>
        <v xml:space="preserve">61 </v>
      </c>
      <c r="K85" s="26" t="str">
        <f>"IZ"</f>
        <v>IZ</v>
      </c>
      <c r="L85" s="26" t="str">
        <f>"DGSEI"</f>
        <v>DGSEI</v>
      </c>
      <c r="M85" s="26" t="str">
        <f t="shared" si="11"/>
        <v>FEDERAL</v>
      </c>
      <c r="N85" s="26">
        <v>73</v>
      </c>
      <c r="O85" s="26">
        <v>45</v>
      </c>
      <c r="P85" s="26">
        <v>28</v>
      </c>
      <c r="Q85" s="26">
        <v>3</v>
      </c>
      <c r="R85" s="26">
        <v>1</v>
      </c>
      <c r="S85" s="26">
        <v>3</v>
      </c>
      <c r="T85" s="26">
        <v>5</v>
      </c>
      <c r="U85" s="26">
        <v>9</v>
      </c>
      <c r="V85" s="26">
        <v>1</v>
      </c>
      <c r="W85" s="26" t="s">
        <v>2076</v>
      </c>
    </row>
    <row r="86" spans="1:23" x14ac:dyDescent="0.25">
      <c r="A86" s="26" t="str">
        <f t="shared" si="9"/>
        <v>PREESCOLAR</v>
      </c>
      <c r="B86" s="26" t="str">
        <f>"09DJN0113A"</f>
        <v>09DJN0113A</v>
      </c>
      <c r="C86" s="26" t="str">
        <f>"SUSAN BLUW GRIMSLY                                                                                  "</f>
        <v xml:space="preserve">SUSAN BLUW GRIMSLY                                                                                  </v>
      </c>
      <c r="D86" s="26" t="str">
        <f>"MATUTINO"</f>
        <v>MATUTINO</v>
      </c>
      <c r="E86" s="26" t="str">
        <f>"CALLE UNO NO. 181                                                               "</f>
        <v xml:space="preserve">CALLE UNO NO. 181                                                               </v>
      </c>
      <c r="F86" s="26" t="str">
        <f>"AGRICOLA PANTITLAN                                                                                                                          "</f>
        <v xml:space="preserve">AGRICOLA PANTITLAN                                                                                                                          </v>
      </c>
      <c r="G86" s="26" t="str">
        <f>"IZTACALCO                                                                       "</f>
        <v xml:space="preserve">IZTACALCO                                                                       </v>
      </c>
      <c r="H86" s="26" t="str">
        <f>"240"</f>
        <v>240</v>
      </c>
      <c r="I86" s="26" t="str">
        <f t="shared" si="10"/>
        <v>00</v>
      </c>
      <c r="J86" s="26" t="str">
        <f>"33 "</f>
        <v xml:space="preserve">33 </v>
      </c>
      <c r="K86" s="26" t="str">
        <f t="shared" ref="K86:K118" si="12">"EP"</f>
        <v>EP</v>
      </c>
      <c r="L86" s="26" t="str">
        <f t="shared" ref="L86:L118" si="13">"DGOSE"</f>
        <v>DGOSE</v>
      </c>
      <c r="M86" s="26" t="str">
        <f t="shared" si="11"/>
        <v>FEDERAL</v>
      </c>
      <c r="N86" s="26">
        <v>273</v>
      </c>
      <c r="O86" s="26">
        <v>125</v>
      </c>
      <c r="P86" s="26">
        <v>148</v>
      </c>
      <c r="Q86" s="26">
        <v>8</v>
      </c>
      <c r="R86" s="26">
        <v>1</v>
      </c>
      <c r="S86" s="26">
        <v>6</v>
      </c>
      <c r="T86" s="26">
        <v>8</v>
      </c>
      <c r="U86" s="26">
        <v>15</v>
      </c>
      <c r="V86" s="26">
        <v>1</v>
      </c>
      <c r="W86" s="26"/>
    </row>
    <row r="87" spans="1:23" x14ac:dyDescent="0.25">
      <c r="A87" s="26" t="str">
        <f t="shared" si="9"/>
        <v>PREESCOLAR</v>
      </c>
      <c r="B87" s="26" t="str">
        <f>"09DJN0114Z"</f>
        <v>09DJN0114Z</v>
      </c>
      <c r="C87" s="26" t="str">
        <f>"ATENEA                                                                                              "</f>
        <v xml:space="preserve">ATENEA                                                                                              </v>
      </c>
      <c r="D87" s="26" t="str">
        <f>"JORNADA AMPLIADA"</f>
        <v>JORNADA AMPLIADA</v>
      </c>
      <c r="E87" s="26" t="str">
        <f>"CANTERA S/N                                                                     "</f>
        <v xml:space="preserve">CANTERA S/N                                                                     </v>
      </c>
      <c r="F87" s="26" t="str">
        <f>"TEPETONGO                                                                                                                                   "</f>
        <v xml:space="preserve">TEPETONGO                                                                                                                                   </v>
      </c>
      <c r="G87" s="26" t="str">
        <f>"TLALPAN                                                                         "</f>
        <v xml:space="preserve">TLALPAN                                                                         </v>
      </c>
      <c r="H87" s="26" t="str">
        <f>"139"</f>
        <v>139</v>
      </c>
      <c r="I87" s="26" t="str">
        <f t="shared" si="10"/>
        <v>00</v>
      </c>
      <c r="J87" s="26" t="str">
        <f>"34 "</f>
        <v xml:space="preserve">34 </v>
      </c>
      <c r="K87" s="26" t="str">
        <f t="shared" si="12"/>
        <v>EP</v>
      </c>
      <c r="L87" s="26" t="str">
        <f t="shared" si="13"/>
        <v>DGOSE</v>
      </c>
      <c r="M87" s="26" t="str">
        <f t="shared" si="11"/>
        <v>FEDERAL</v>
      </c>
      <c r="N87" s="26">
        <v>180</v>
      </c>
      <c r="O87" s="26">
        <v>95</v>
      </c>
      <c r="P87" s="26">
        <v>85</v>
      </c>
      <c r="Q87" s="26">
        <v>6</v>
      </c>
      <c r="R87" s="26">
        <v>1</v>
      </c>
      <c r="S87" s="26">
        <v>6</v>
      </c>
      <c r="T87" s="26">
        <v>5</v>
      </c>
      <c r="U87" s="26">
        <v>12</v>
      </c>
      <c r="V87" s="26">
        <v>1</v>
      </c>
      <c r="W87" s="26" t="s">
        <v>2076</v>
      </c>
    </row>
    <row r="88" spans="1:23" x14ac:dyDescent="0.25">
      <c r="A88" s="26" t="str">
        <f t="shared" si="9"/>
        <v>PREESCOLAR</v>
      </c>
      <c r="B88" s="26" t="str">
        <f>"09DJN0115Z"</f>
        <v>09DJN0115Z</v>
      </c>
      <c r="C88" s="26" t="str">
        <f>"LUIS MORQUIO                                                                                        "</f>
        <v xml:space="preserve">LUIS MORQUIO                                                                                        </v>
      </c>
      <c r="D88" s="26" t="str">
        <f>"JORNADA AMPLIADA"</f>
        <v>JORNADA AMPLIADA</v>
      </c>
      <c r="E88" s="26" t="str">
        <f>"PUENTE DE IXTLA NO. 21                                                          "</f>
        <v xml:space="preserve">PUENTE DE IXTLA NO. 21                                                          </v>
      </c>
      <c r="F88" s="26" t="str">
        <f>"PUENTE COLORADO                                                                                                                             "</f>
        <v xml:space="preserve">PUENTE COLORADO                                                                                                                             </v>
      </c>
      <c r="G88" s="26" t="str">
        <f>"ALVARO OBREGON                                                                  "</f>
        <v xml:space="preserve">ALVARO OBREGON                                                                  </v>
      </c>
      <c r="H88" s="26" t="str">
        <f>"128"</f>
        <v>128</v>
      </c>
      <c r="I88" s="26" t="str">
        <f t="shared" si="10"/>
        <v>00</v>
      </c>
      <c r="J88" s="26" t="str">
        <f>"34 "</f>
        <v xml:space="preserve">34 </v>
      </c>
      <c r="K88" s="26" t="str">
        <f t="shared" si="12"/>
        <v>EP</v>
      </c>
      <c r="L88" s="26" t="str">
        <f t="shared" si="13"/>
        <v>DGOSE</v>
      </c>
      <c r="M88" s="26" t="str">
        <f t="shared" si="11"/>
        <v>FEDERAL</v>
      </c>
      <c r="N88" s="26">
        <v>172</v>
      </c>
      <c r="O88" s="26">
        <v>83</v>
      </c>
      <c r="P88" s="26">
        <v>89</v>
      </c>
      <c r="Q88" s="26">
        <v>6</v>
      </c>
      <c r="R88" s="26">
        <v>1</v>
      </c>
      <c r="S88" s="26">
        <v>5</v>
      </c>
      <c r="T88" s="26">
        <v>6</v>
      </c>
      <c r="U88" s="26">
        <v>12</v>
      </c>
      <c r="V88" s="26">
        <v>1</v>
      </c>
      <c r="W88" s="26" t="s">
        <v>2076</v>
      </c>
    </row>
    <row r="89" spans="1:23" x14ac:dyDescent="0.25">
      <c r="A89" s="26" t="str">
        <f t="shared" si="9"/>
        <v>PREESCOLAR</v>
      </c>
      <c r="B89" s="26" t="str">
        <f>"09DJN0116Y"</f>
        <v>09DJN0116Y</v>
      </c>
      <c r="C89" s="26" t="str">
        <f>"JAVIER BARROS SIERRA                                                                                "</f>
        <v xml:space="preserve">JAVIER BARROS SIERRA                                                                                </v>
      </c>
      <c r="D89" s="26" t="str">
        <f>"JORNADA AMPLIADA"</f>
        <v>JORNADA AMPLIADA</v>
      </c>
      <c r="E89" s="26" t="str">
        <f>"PREVISION SOCIAL S/N                                                            "</f>
        <v xml:space="preserve">PREVISION SOCIAL S/N                                                            </v>
      </c>
      <c r="F89" s="26" t="str">
        <f>"CUATRO ARBOLES                                                                                                                              "</f>
        <v xml:space="preserve">CUATRO ARBOLES                                                                                                                              </v>
      </c>
      <c r="G89" s="26" t="str">
        <f>"VENUSTIANO CARRANZA                                                             "</f>
        <v xml:space="preserve">VENUSTIANO CARRANZA                                                             </v>
      </c>
      <c r="H89" s="26" t="str">
        <f>"249"</f>
        <v>249</v>
      </c>
      <c r="I89" s="26" t="str">
        <f t="shared" si="10"/>
        <v>00</v>
      </c>
      <c r="J89" s="26" t="str">
        <f>"31 "</f>
        <v xml:space="preserve">31 </v>
      </c>
      <c r="K89" s="26" t="str">
        <f t="shared" si="12"/>
        <v>EP</v>
      </c>
      <c r="L89" s="26" t="str">
        <f t="shared" si="13"/>
        <v>DGOSE</v>
      </c>
      <c r="M89" s="26" t="str">
        <f t="shared" si="11"/>
        <v>FEDERAL</v>
      </c>
      <c r="N89" s="26">
        <v>70</v>
      </c>
      <c r="O89" s="26">
        <v>38</v>
      </c>
      <c r="P89" s="26">
        <v>32</v>
      </c>
      <c r="Q89" s="26">
        <v>4</v>
      </c>
      <c r="R89" s="26">
        <v>1</v>
      </c>
      <c r="S89" s="26">
        <v>4</v>
      </c>
      <c r="T89" s="26">
        <v>5</v>
      </c>
      <c r="U89" s="26">
        <v>10</v>
      </c>
      <c r="V89" s="26">
        <v>1</v>
      </c>
      <c r="W89" s="26" t="s">
        <v>2076</v>
      </c>
    </row>
    <row r="90" spans="1:23" x14ac:dyDescent="0.25">
      <c r="A90" s="26" t="str">
        <f t="shared" si="9"/>
        <v>PREESCOLAR</v>
      </c>
      <c r="B90" s="26" t="str">
        <f>"09DJN0117X"</f>
        <v>09DJN0117X</v>
      </c>
      <c r="C90" s="26" t="str">
        <f>"ESCUELA SUPERIOR DE GUERRA                                                                          "</f>
        <v xml:space="preserve">ESCUELA SUPERIOR DE GUERRA                                                                          </v>
      </c>
      <c r="D90" s="26" t="str">
        <f>"JORNADA AMPLIADA"</f>
        <v>JORNADA AMPLIADA</v>
      </c>
      <c r="E90" s="26" t="str">
        <f>"AV. SAN JERONIMO Y JUAREZ                                                       "</f>
        <v xml:space="preserve">AV. SAN JERONIMO Y JUAREZ                                                       </v>
      </c>
      <c r="F90" s="26" t="str">
        <f>"SAN JERONIMO LIDICE                                                                                                                         "</f>
        <v xml:space="preserve">SAN JERONIMO LIDICE                                                                                                                         </v>
      </c>
      <c r="G90" s="26" t="str">
        <f>"LA MAGDALENA CONTRERAS                                                          "</f>
        <v xml:space="preserve">LA MAGDALENA CONTRERAS                                                          </v>
      </c>
      <c r="H90" s="26" t="str">
        <f>"200"</f>
        <v>200</v>
      </c>
      <c r="I90" s="26" t="str">
        <f t="shared" si="10"/>
        <v>00</v>
      </c>
      <c r="J90" s="26" t="str">
        <f>"34 "</f>
        <v xml:space="preserve">34 </v>
      </c>
      <c r="K90" s="26" t="str">
        <f t="shared" si="12"/>
        <v>EP</v>
      </c>
      <c r="L90" s="26" t="str">
        <f t="shared" si="13"/>
        <v>DGOSE</v>
      </c>
      <c r="M90" s="26" t="str">
        <f t="shared" si="11"/>
        <v>FEDERAL</v>
      </c>
      <c r="N90" s="26">
        <v>158</v>
      </c>
      <c r="O90" s="26">
        <v>84</v>
      </c>
      <c r="P90" s="26">
        <v>74</v>
      </c>
      <c r="Q90" s="26">
        <v>5</v>
      </c>
      <c r="R90" s="26">
        <v>1</v>
      </c>
      <c r="S90" s="26">
        <v>5</v>
      </c>
      <c r="T90" s="26">
        <v>7</v>
      </c>
      <c r="U90" s="26">
        <v>13</v>
      </c>
      <c r="V90" s="26">
        <v>1</v>
      </c>
      <c r="W90" s="26" t="s">
        <v>2076</v>
      </c>
    </row>
    <row r="91" spans="1:23" x14ac:dyDescent="0.25">
      <c r="A91" s="26" t="str">
        <f t="shared" si="9"/>
        <v>PREESCOLAR</v>
      </c>
      <c r="B91" s="26" t="str">
        <f>"09DJN0119V"</f>
        <v>09DJN0119V</v>
      </c>
      <c r="C91" s="26" t="str">
        <f>"AURORA ORTIZ DE MARQUEZ                                                                             "</f>
        <v xml:space="preserve">AURORA ORTIZ DE MARQUEZ                                                                             </v>
      </c>
      <c r="D91" s="26" t="str">
        <f>"TIEMPO COMPLETO"</f>
        <v>TIEMPO COMPLETO</v>
      </c>
      <c r="E91" s="26" t="str">
        <f>"CARLOTA ARMERO Y MANUELA SAENZ Z-19                                             "</f>
        <v xml:space="preserve">CARLOTA ARMERO Y MANUELA SAENZ Z-19                                             </v>
      </c>
      <c r="F91" s="26" t="str">
        <f>"UNIDAD HABITACIONAL C T M                                                                                                                   "</f>
        <v xml:space="preserve">UNIDAD HABITACIONAL C T M                                                                                                                   </v>
      </c>
      <c r="G91" s="26" t="str">
        <f>"COYOACAN                                                                        "</f>
        <v xml:space="preserve">COYOACAN                                                                        </v>
      </c>
      <c r="H91" s="26" t="str">
        <f>"042"</f>
        <v>042</v>
      </c>
      <c r="I91" s="26" t="str">
        <f t="shared" si="10"/>
        <v>00</v>
      </c>
      <c r="J91" s="26" t="str">
        <f>"34 "</f>
        <v xml:space="preserve">34 </v>
      </c>
      <c r="K91" s="26" t="str">
        <f t="shared" si="12"/>
        <v>EP</v>
      </c>
      <c r="L91" s="26" t="str">
        <f t="shared" si="13"/>
        <v>DGOSE</v>
      </c>
      <c r="M91" s="26" t="str">
        <f t="shared" si="11"/>
        <v>FEDERAL</v>
      </c>
      <c r="N91" s="26">
        <v>208</v>
      </c>
      <c r="O91" s="26">
        <v>120</v>
      </c>
      <c r="P91" s="26">
        <v>88</v>
      </c>
      <c r="Q91" s="26">
        <v>6</v>
      </c>
      <c r="R91" s="26">
        <v>2</v>
      </c>
      <c r="S91" s="26">
        <v>6</v>
      </c>
      <c r="T91" s="26">
        <v>18</v>
      </c>
      <c r="U91" s="26">
        <v>26</v>
      </c>
      <c r="V91" s="26">
        <v>1</v>
      </c>
      <c r="W91" s="26" t="s">
        <v>218</v>
      </c>
    </row>
    <row r="92" spans="1:23" x14ac:dyDescent="0.25">
      <c r="A92" s="26" t="str">
        <f t="shared" si="9"/>
        <v>PREESCOLAR</v>
      </c>
      <c r="B92" s="26" t="str">
        <f>"09DJN0120K"</f>
        <v>09DJN0120K</v>
      </c>
      <c r="C92" s="26" t="str">
        <f>"HOLANDA                                                                                             "</f>
        <v xml:space="preserve">HOLANDA                                                                                             </v>
      </c>
      <c r="D92" s="26" t="str">
        <f>"JORNADA AMPLIADA"</f>
        <v>JORNADA AMPLIADA</v>
      </c>
      <c r="E92" s="26" t="str">
        <f>"MATIAS ROMERO NO. 1416                                                          "</f>
        <v xml:space="preserve">MATIAS ROMERO NO. 1416                                                          </v>
      </c>
      <c r="F92" s="26" t="str">
        <f>"VERTIZ NARVARTE                                                                                                                             "</f>
        <v xml:space="preserve">VERTIZ NARVARTE                                                                                                                             </v>
      </c>
      <c r="G92" s="26" t="str">
        <f>"BENITO JUAREZ                                                                   "</f>
        <v xml:space="preserve">BENITO JUAREZ                                                                   </v>
      </c>
      <c r="H92" s="26" t="str">
        <f>"088"</f>
        <v>088</v>
      </c>
      <c r="I92" s="26" t="str">
        <f t="shared" si="10"/>
        <v>00</v>
      </c>
      <c r="J92" s="26" t="str">
        <f>"34 "</f>
        <v xml:space="preserve">34 </v>
      </c>
      <c r="K92" s="26" t="str">
        <f t="shared" si="12"/>
        <v>EP</v>
      </c>
      <c r="L92" s="26" t="str">
        <f t="shared" si="13"/>
        <v>DGOSE</v>
      </c>
      <c r="M92" s="26" t="str">
        <f t="shared" si="11"/>
        <v>FEDERAL</v>
      </c>
      <c r="N92" s="26">
        <v>97</v>
      </c>
      <c r="O92" s="26">
        <v>56</v>
      </c>
      <c r="P92" s="26">
        <v>41</v>
      </c>
      <c r="Q92" s="26">
        <v>4</v>
      </c>
      <c r="R92" s="26">
        <v>1</v>
      </c>
      <c r="S92" s="26">
        <v>4</v>
      </c>
      <c r="T92" s="26">
        <v>4</v>
      </c>
      <c r="U92" s="26">
        <v>9</v>
      </c>
      <c r="V92" s="26">
        <v>1</v>
      </c>
      <c r="W92" s="26" t="s">
        <v>2076</v>
      </c>
    </row>
    <row r="93" spans="1:23" x14ac:dyDescent="0.25">
      <c r="A93" s="26" t="str">
        <f t="shared" si="9"/>
        <v>PREESCOLAR</v>
      </c>
      <c r="B93" s="26" t="str">
        <f>"09DJN0121J"</f>
        <v>09DJN0121J</v>
      </c>
      <c r="C93" s="26" t="str">
        <f>"RABINDRANATH TAGORE                                                                                 "</f>
        <v xml:space="preserve">RABINDRANATH TAGORE                                                                                 </v>
      </c>
      <c r="D93" s="26" t="str">
        <f>"JORNADA AMPLIADA"</f>
        <v>JORNADA AMPLIADA</v>
      </c>
      <c r="E93" s="26" t="str">
        <f>"SEBASTIAN DEL PIOMBO NO. 77                                                     "</f>
        <v xml:space="preserve">SEBASTIAN DEL PIOMBO NO. 77                                                     </v>
      </c>
      <c r="F93" s="26" t="str">
        <f>"MIXCOAC                                                                                                                                     "</f>
        <v xml:space="preserve">MIXCOAC                                                                                                                                     </v>
      </c>
      <c r="G93" s="26" t="str">
        <f>"BENITO JUAREZ                                                                   "</f>
        <v xml:space="preserve">BENITO JUAREZ                                                                   </v>
      </c>
      <c r="H93" s="26" t="str">
        <f>"233"</f>
        <v>233</v>
      </c>
      <c r="I93" s="26" t="str">
        <f t="shared" si="10"/>
        <v>00</v>
      </c>
      <c r="J93" s="26" t="str">
        <f>"34 "</f>
        <v xml:space="preserve">34 </v>
      </c>
      <c r="K93" s="26" t="str">
        <f t="shared" si="12"/>
        <v>EP</v>
      </c>
      <c r="L93" s="26" t="str">
        <f t="shared" si="13"/>
        <v>DGOSE</v>
      </c>
      <c r="M93" s="26" t="str">
        <f t="shared" si="11"/>
        <v>FEDERAL</v>
      </c>
      <c r="N93" s="26">
        <v>109</v>
      </c>
      <c r="O93" s="26">
        <v>59</v>
      </c>
      <c r="P93" s="26">
        <v>50</v>
      </c>
      <c r="Q93" s="26">
        <v>5</v>
      </c>
      <c r="R93" s="26">
        <v>1</v>
      </c>
      <c r="S93" s="26">
        <v>5</v>
      </c>
      <c r="T93" s="26">
        <v>5</v>
      </c>
      <c r="U93" s="26">
        <v>11</v>
      </c>
      <c r="V93" s="26">
        <v>1</v>
      </c>
      <c r="W93" s="26" t="s">
        <v>2076</v>
      </c>
    </row>
    <row r="94" spans="1:23" x14ac:dyDescent="0.25">
      <c r="A94" s="26" t="str">
        <f t="shared" si="9"/>
        <v>PREESCOLAR</v>
      </c>
      <c r="B94" s="26" t="str">
        <f>"09DJN0122I"</f>
        <v>09DJN0122I</v>
      </c>
      <c r="C94" s="26" t="str">
        <f>"MA. TERESA VAZQUEZ                                                                                  "</f>
        <v xml:space="preserve">MA. TERESA VAZQUEZ                                                                                  </v>
      </c>
      <c r="D94" s="26" t="str">
        <f>"JORNADA AMPLIADA"</f>
        <v>JORNADA AMPLIADA</v>
      </c>
      <c r="E94" s="26" t="str">
        <f>"CALLE 1 NO. 3                                                                   "</f>
        <v xml:space="preserve">CALLE 1 NO. 3                                                                   </v>
      </c>
      <c r="F94" s="26" t="str">
        <f>"REFORMA SOCIAL                                                                                                                              "</f>
        <v xml:space="preserve">REFORMA SOCIAL                                                                                                                              </v>
      </c>
      <c r="G94" s="26" t="str">
        <f>"MIGUEL HIDALGO                                                                  "</f>
        <v xml:space="preserve">MIGUEL HIDALGO                                                                  </v>
      </c>
      <c r="H94" s="26" t="str">
        <f>"109"</f>
        <v>109</v>
      </c>
      <c r="I94" s="26" t="str">
        <f t="shared" si="10"/>
        <v>00</v>
      </c>
      <c r="J94" s="26" t="str">
        <f t="shared" ref="J94:J99" si="14">"31 "</f>
        <v xml:space="preserve">31 </v>
      </c>
      <c r="K94" s="26" t="str">
        <f t="shared" si="12"/>
        <v>EP</v>
      </c>
      <c r="L94" s="26" t="str">
        <f t="shared" si="13"/>
        <v>DGOSE</v>
      </c>
      <c r="M94" s="26" t="str">
        <f t="shared" si="11"/>
        <v>FEDERAL</v>
      </c>
      <c r="N94" s="26">
        <v>80</v>
      </c>
      <c r="O94" s="26">
        <v>41</v>
      </c>
      <c r="P94" s="26">
        <v>39</v>
      </c>
      <c r="Q94" s="26">
        <v>4</v>
      </c>
      <c r="R94" s="26">
        <v>1</v>
      </c>
      <c r="S94" s="26">
        <v>4</v>
      </c>
      <c r="T94" s="26">
        <v>4</v>
      </c>
      <c r="U94" s="26">
        <v>9</v>
      </c>
      <c r="V94" s="26">
        <v>1</v>
      </c>
      <c r="W94" s="26" t="s">
        <v>2076</v>
      </c>
    </row>
    <row r="95" spans="1:23" x14ac:dyDescent="0.25">
      <c r="A95" s="26" t="str">
        <f t="shared" si="9"/>
        <v>PREESCOLAR</v>
      </c>
      <c r="B95" s="26" t="str">
        <f>"09DJN0124G"</f>
        <v>09DJN0124G</v>
      </c>
      <c r="C95" s="26" t="str">
        <f>"MARGARITA MAZA DE JUAREZ                                                                            "</f>
        <v xml:space="preserve">MARGARITA MAZA DE JUAREZ                                                                            </v>
      </c>
      <c r="D95" s="26" t="str">
        <f>"JORNADA AMPLIADA"</f>
        <v>JORNADA AMPLIADA</v>
      </c>
      <c r="E95" s="26" t="str">
        <f>"FERROCARRIL MEXICANO S/N                                                        "</f>
        <v xml:space="preserve">FERROCARRIL MEXICANO S/N                                                        </v>
      </c>
      <c r="F95" s="26" t="str">
        <f>"INDUSTRIAL                                                                                                                                  "</f>
        <v xml:space="preserve">INDUSTRIAL                                                                                                                                  </v>
      </c>
      <c r="G95" s="26" t="str">
        <f>"GUSTAVO A. MADERO                                                               "</f>
        <v xml:space="preserve">GUSTAVO A. MADERO                                                               </v>
      </c>
      <c r="H95" s="26" t="str">
        <f>"178"</f>
        <v>178</v>
      </c>
      <c r="I95" s="26" t="str">
        <f t="shared" si="10"/>
        <v>00</v>
      </c>
      <c r="J95" s="26" t="str">
        <f t="shared" si="14"/>
        <v xml:space="preserve">31 </v>
      </c>
      <c r="K95" s="26" t="str">
        <f t="shared" si="12"/>
        <v>EP</v>
      </c>
      <c r="L95" s="26" t="str">
        <f t="shared" si="13"/>
        <v>DGOSE</v>
      </c>
      <c r="M95" s="26" t="str">
        <f t="shared" si="11"/>
        <v>FEDERAL</v>
      </c>
      <c r="N95" s="26">
        <v>169</v>
      </c>
      <c r="O95" s="26">
        <v>83</v>
      </c>
      <c r="P95" s="26">
        <v>86</v>
      </c>
      <c r="Q95" s="26">
        <v>6</v>
      </c>
      <c r="R95" s="26">
        <v>1</v>
      </c>
      <c r="S95" s="26">
        <v>6</v>
      </c>
      <c r="T95" s="26">
        <v>8</v>
      </c>
      <c r="U95" s="26">
        <v>15</v>
      </c>
      <c r="V95" s="26">
        <v>1</v>
      </c>
      <c r="W95" s="26" t="s">
        <v>2076</v>
      </c>
    </row>
    <row r="96" spans="1:23" x14ac:dyDescent="0.25">
      <c r="A96" s="26" t="str">
        <f t="shared" si="9"/>
        <v>PREESCOLAR</v>
      </c>
      <c r="B96" s="26" t="str">
        <f>"09DJN0125F"</f>
        <v>09DJN0125F</v>
      </c>
      <c r="C96" s="26" t="str">
        <f>"ADOLFO LOPEZ MATEOS                                                                                 "</f>
        <v xml:space="preserve">ADOLFO LOPEZ MATEOS                                                                                 </v>
      </c>
      <c r="D96" s="26" t="str">
        <f>"JORNADA AMPLIADA"</f>
        <v>JORNADA AMPLIADA</v>
      </c>
      <c r="E96" s="26" t="str">
        <f>"ESQ. GRAL. CESAREO CASTRO Y DIEGO GARCIA                                        "</f>
        <v xml:space="preserve">ESQ. GRAL. CESAREO CASTRO Y DIEGO GARCIA                                        </v>
      </c>
      <c r="F96" s="26" t="str">
        <f>"RESIDENCIAL MILITAR                                                                                                                         "</f>
        <v xml:space="preserve">RESIDENCIAL MILITAR                                                                                                                         </v>
      </c>
      <c r="G96" s="26" t="str">
        <f>"MIGUEL HIDALGO                                                                  "</f>
        <v xml:space="preserve">MIGUEL HIDALGO                                                                  </v>
      </c>
      <c r="H96" s="26" t="str">
        <f>"136"</f>
        <v>136</v>
      </c>
      <c r="I96" s="26" t="str">
        <f t="shared" si="10"/>
        <v>00</v>
      </c>
      <c r="J96" s="26" t="str">
        <f t="shared" si="14"/>
        <v xml:space="preserve">31 </v>
      </c>
      <c r="K96" s="26" t="str">
        <f t="shared" si="12"/>
        <v>EP</v>
      </c>
      <c r="L96" s="26" t="str">
        <f t="shared" si="13"/>
        <v>DGOSE</v>
      </c>
      <c r="M96" s="26" t="str">
        <f t="shared" si="11"/>
        <v>FEDERAL</v>
      </c>
      <c r="N96" s="26">
        <v>180</v>
      </c>
      <c r="O96" s="26">
        <v>82</v>
      </c>
      <c r="P96" s="26">
        <v>98</v>
      </c>
      <c r="Q96" s="26">
        <v>7</v>
      </c>
      <c r="R96" s="26">
        <v>1</v>
      </c>
      <c r="S96" s="26">
        <v>7</v>
      </c>
      <c r="T96" s="26">
        <v>6</v>
      </c>
      <c r="U96" s="26">
        <v>14</v>
      </c>
      <c r="V96" s="26">
        <v>1</v>
      </c>
      <c r="W96" s="26" t="s">
        <v>2076</v>
      </c>
    </row>
    <row r="97" spans="1:23" x14ac:dyDescent="0.25">
      <c r="A97" s="26" t="str">
        <f t="shared" si="9"/>
        <v>PREESCOLAR</v>
      </c>
      <c r="B97" s="26" t="str">
        <f>"09DJN0126E"</f>
        <v>09DJN0126E</v>
      </c>
      <c r="C97" s="26" t="str">
        <f>"IGNACIO ZARAGOZA                                                                                    "</f>
        <v xml:space="preserve">IGNACIO ZARAGOZA                                                                                    </v>
      </c>
      <c r="D97" s="26" t="str">
        <f>"TIEMPO COMPLETO"</f>
        <v>TIEMPO COMPLETO</v>
      </c>
      <c r="E97" s="26" t="str">
        <f>"AV. HIDALGO NO. 161                                                             "</f>
        <v xml:space="preserve">AV. HIDALGO NO. 161                                                             </v>
      </c>
      <c r="F97" s="26" t="str">
        <f>"GUSTAVO A. MADERO                                                                                                                           "</f>
        <v xml:space="preserve">GUSTAVO A. MADERO                                                                                                                           </v>
      </c>
      <c r="G97" s="26" t="str">
        <f>"GUSTAVO A. MADERO                                                               "</f>
        <v xml:space="preserve">GUSTAVO A. MADERO                                                               </v>
      </c>
      <c r="H97" s="26" t="str">
        <f>"004"</f>
        <v>004</v>
      </c>
      <c r="I97" s="26" t="str">
        <f t="shared" si="10"/>
        <v>00</v>
      </c>
      <c r="J97" s="26" t="str">
        <f t="shared" si="14"/>
        <v xml:space="preserve">31 </v>
      </c>
      <c r="K97" s="26" t="str">
        <f t="shared" si="12"/>
        <v>EP</v>
      </c>
      <c r="L97" s="26" t="str">
        <f t="shared" si="13"/>
        <v>DGOSE</v>
      </c>
      <c r="M97" s="26" t="str">
        <f t="shared" si="11"/>
        <v>FEDERAL</v>
      </c>
      <c r="N97" s="26">
        <v>185</v>
      </c>
      <c r="O97" s="26">
        <v>87</v>
      </c>
      <c r="P97" s="26">
        <v>98</v>
      </c>
      <c r="Q97" s="26">
        <v>8</v>
      </c>
      <c r="R97" s="26">
        <v>2</v>
      </c>
      <c r="S97" s="26">
        <v>8</v>
      </c>
      <c r="T97" s="26">
        <v>18</v>
      </c>
      <c r="U97" s="26">
        <v>28</v>
      </c>
      <c r="V97" s="26">
        <v>1</v>
      </c>
      <c r="W97" s="26" t="s">
        <v>218</v>
      </c>
    </row>
    <row r="98" spans="1:23" x14ac:dyDescent="0.25">
      <c r="A98" s="26" t="str">
        <f t="shared" si="9"/>
        <v>PREESCOLAR</v>
      </c>
      <c r="B98" s="26" t="str">
        <f>"09DJN0127D"</f>
        <v>09DJN0127D</v>
      </c>
      <c r="C98" s="26" t="str">
        <f>"ISABEL VARGAS URQUIDI                                                                               "</f>
        <v xml:space="preserve">ISABEL VARGAS URQUIDI                                                                               </v>
      </c>
      <c r="D98" s="26" t="str">
        <f>"JORNADA AMPLIADA"</f>
        <v>JORNADA AMPLIADA</v>
      </c>
      <c r="E98" s="26" t="str">
        <f>"CALLE DE RECIFE NO. 523                                                         "</f>
        <v xml:space="preserve">CALLE DE RECIFE NO. 523                                                         </v>
      </c>
      <c r="F98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98" s="26" t="str">
        <f>"GUSTAVO A. MADERO                                                               "</f>
        <v xml:space="preserve">GUSTAVO A. MADERO                                                               </v>
      </c>
      <c r="H98" s="26" t="str">
        <f>"004"</f>
        <v>004</v>
      </c>
      <c r="I98" s="26" t="str">
        <f t="shared" si="10"/>
        <v>00</v>
      </c>
      <c r="J98" s="26" t="str">
        <f t="shared" si="14"/>
        <v xml:space="preserve">31 </v>
      </c>
      <c r="K98" s="26" t="str">
        <f t="shared" si="12"/>
        <v>EP</v>
      </c>
      <c r="L98" s="26" t="str">
        <f t="shared" si="13"/>
        <v>DGOSE</v>
      </c>
      <c r="M98" s="26" t="str">
        <f t="shared" si="11"/>
        <v>FEDERAL</v>
      </c>
      <c r="N98" s="26">
        <v>79</v>
      </c>
      <c r="O98" s="26">
        <v>43</v>
      </c>
      <c r="P98" s="26">
        <v>36</v>
      </c>
      <c r="Q98" s="26">
        <v>4</v>
      </c>
      <c r="R98" s="26">
        <v>1</v>
      </c>
      <c r="S98" s="26">
        <v>4</v>
      </c>
      <c r="T98" s="26">
        <v>5</v>
      </c>
      <c r="U98" s="26">
        <v>10</v>
      </c>
      <c r="V98" s="26">
        <v>1</v>
      </c>
      <c r="W98" s="26" t="s">
        <v>2076</v>
      </c>
    </row>
    <row r="99" spans="1:23" x14ac:dyDescent="0.25">
      <c r="A99" s="26" t="str">
        <f t="shared" si="9"/>
        <v>PREESCOLAR</v>
      </c>
      <c r="B99" s="26" t="str">
        <f>"09DJN0128C"</f>
        <v>09DJN0128C</v>
      </c>
      <c r="C99" s="26" t="str">
        <f>"ANATOLE FRANCE                                                                                      "</f>
        <v xml:space="preserve">ANATOLE FRANCE                                                                                      </v>
      </c>
      <c r="D99" s="26" t="str">
        <f>"TIEMPO COMPLETO"</f>
        <v>TIEMPO COMPLETO</v>
      </c>
      <c r="E99" s="26" t="str">
        <f>"SAUL Y MARTHA                                                                   "</f>
        <v xml:space="preserve">SAUL Y MARTHA                                                                   </v>
      </c>
      <c r="F99" s="26" t="str">
        <f>"GUADALUPE TEPEYAC                                                                                                                           "</f>
        <v xml:space="preserve">GUADALUPE TEPEYAC                                                                                                                           </v>
      </c>
      <c r="G99" s="26" t="str">
        <f>"GUSTAVO A. MADERO                                                               "</f>
        <v xml:space="preserve">GUSTAVO A. MADERO                                                               </v>
      </c>
      <c r="H99" s="26" t="str">
        <f>"121"</f>
        <v>121</v>
      </c>
      <c r="I99" s="26" t="str">
        <f t="shared" si="10"/>
        <v>00</v>
      </c>
      <c r="J99" s="26" t="str">
        <f t="shared" si="14"/>
        <v xml:space="preserve">31 </v>
      </c>
      <c r="K99" s="26" t="str">
        <f t="shared" si="12"/>
        <v>EP</v>
      </c>
      <c r="L99" s="26" t="str">
        <f t="shared" si="13"/>
        <v>DGOSE</v>
      </c>
      <c r="M99" s="26" t="str">
        <f t="shared" si="11"/>
        <v>FEDERAL</v>
      </c>
      <c r="N99" s="26">
        <v>173</v>
      </c>
      <c r="O99" s="26">
        <v>88</v>
      </c>
      <c r="P99" s="26">
        <v>85</v>
      </c>
      <c r="Q99" s="26">
        <v>6</v>
      </c>
      <c r="R99" s="26">
        <v>2</v>
      </c>
      <c r="S99" s="26">
        <v>6</v>
      </c>
      <c r="T99" s="26">
        <v>12</v>
      </c>
      <c r="U99" s="26">
        <v>20</v>
      </c>
      <c r="V99" s="26">
        <v>1</v>
      </c>
      <c r="W99" s="26" t="s">
        <v>218</v>
      </c>
    </row>
    <row r="100" spans="1:23" x14ac:dyDescent="0.25">
      <c r="A100" s="26" t="str">
        <f t="shared" si="9"/>
        <v>PREESCOLAR</v>
      </c>
      <c r="B100" s="26" t="str">
        <f>"09DJN0130R"</f>
        <v>09DJN0130R</v>
      </c>
      <c r="C100" s="26" t="str">
        <f>"NIÑOS HEROES DE CHAPULTEPEC                                                                         "</f>
        <v xml:space="preserve">NIÑOS HEROES DE CHAPULTEPEC                                                                         </v>
      </c>
      <c r="D100" s="26" t="str">
        <f>"TIEMPO COMPLETO"</f>
        <v>TIEMPO COMPLETO</v>
      </c>
      <c r="E100" s="26" t="str">
        <f>"VICTOR HUGO Y ROMERO S/N                                                        "</f>
        <v xml:space="preserve">VICTOR HUGO Y ROMERO S/N                                                        </v>
      </c>
      <c r="F100" s="26" t="str">
        <f>"NIÑOS HEROES                                                                                                                                "</f>
        <v xml:space="preserve">NIÑOS HEROES                                                                                                                                </v>
      </c>
      <c r="G100" s="26" t="str">
        <f>"BENITO JUAREZ                                                                   "</f>
        <v xml:space="preserve">BENITO JUAREZ                                                                   </v>
      </c>
      <c r="H100" s="26" t="str">
        <f>"210"</f>
        <v>210</v>
      </c>
      <c r="I100" s="26" t="str">
        <f t="shared" si="10"/>
        <v>00</v>
      </c>
      <c r="J100" s="26" t="str">
        <f>"34 "</f>
        <v xml:space="preserve">34 </v>
      </c>
      <c r="K100" s="26" t="str">
        <f t="shared" si="12"/>
        <v>EP</v>
      </c>
      <c r="L100" s="26" t="str">
        <f t="shared" si="13"/>
        <v>DGOSE</v>
      </c>
      <c r="M100" s="26" t="str">
        <f t="shared" si="11"/>
        <v>FEDERAL</v>
      </c>
      <c r="N100" s="26">
        <v>171</v>
      </c>
      <c r="O100" s="26">
        <v>93</v>
      </c>
      <c r="P100" s="26">
        <v>78</v>
      </c>
      <c r="Q100" s="26">
        <v>5</v>
      </c>
      <c r="R100" s="26">
        <v>2</v>
      </c>
      <c r="S100" s="26">
        <v>4</v>
      </c>
      <c r="T100" s="26">
        <v>14</v>
      </c>
      <c r="U100" s="26">
        <v>20</v>
      </c>
      <c r="V100" s="26">
        <v>1</v>
      </c>
      <c r="W100" s="26" t="s">
        <v>218</v>
      </c>
    </row>
    <row r="101" spans="1:23" x14ac:dyDescent="0.25">
      <c r="A101" s="26" t="str">
        <f t="shared" si="9"/>
        <v>PREESCOLAR</v>
      </c>
      <c r="B101" s="26" t="str">
        <f>"09DJN0131Q"</f>
        <v>09DJN0131Q</v>
      </c>
      <c r="C101" s="26" t="str">
        <f>"ENRIQUE CONRADO REBSAMEN                                                                            "</f>
        <v xml:space="preserve">ENRIQUE CONRADO REBSAMEN                                                                            </v>
      </c>
      <c r="D101" s="26" t="str">
        <f>"JORNADA AMPLIADA"</f>
        <v>JORNADA AMPLIADA</v>
      </c>
      <c r="E101" s="26" t="str">
        <f>"PITAGORAS NO. 1007                                                              "</f>
        <v xml:space="preserve">PITAGORAS NO. 1007                                                              </v>
      </c>
      <c r="F101" s="26" t="str">
        <f>"NARVARTE                                                                                                                                    "</f>
        <v xml:space="preserve">NARVARTE                                                                                                                                    </v>
      </c>
      <c r="G101" s="26" t="str">
        <f>"BENITO JUAREZ                                                                   "</f>
        <v xml:space="preserve">BENITO JUAREZ                                                                   </v>
      </c>
      <c r="H101" s="26" t="str">
        <f>"088"</f>
        <v>088</v>
      </c>
      <c r="I101" s="26" t="str">
        <f t="shared" si="10"/>
        <v>00</v>
      </c>
      <c r="J101" s="26" t="str">
        <f>"34 "</f>
        <v xml:space="preserve">34 </v>
      </c>
      <c r="K101" s="26" t="str">
        <f t="shared" si="12"/>
        <v>EP</v>
      </c>
      <c r="L101" s="26" t="str">
        <f t="shared" si="13"/>
        <v>DGOSE</v>
      </c>
      <c r="M101" s="26" t="str">
        <f t="shared" si="11"/>
        <v>FEDERAL</v>
      </c>
      <c r="N101" s="26">
        <v>115</v>
      </c>
      <c r="O101" s="26">
        <v>53</v>
      </c>
      <c r="P101" s="26">
        <v>62</v>
      </c>
      <c r="Q101" s="26">
        <v>4</v>
      </c>
      <c r="R101" s="26">
        <v>1</v>
      </c>
      <c r="S101" s="26">
        <v>4</v>
      </c>
      <c r="T101" s="26">
        <v>5</v>
      </c>
      <c r="U101" s="26">
        <v>10</v>
      </c>
      <c r="V101" s="26">
        <v>1</v>
      </c>
      <c r="W101" s="26" t="s">
        <v>2076</v>
      </c>
    </row>
    <row r="102" spans="1:23" x14ac:dyDescent="0.25">
      <c r="A102" s="26" t="str">
        <f t="shared" si="9"/>
        <v>PREESCOLAR</v>
      </c>
      <c r="B102" s="26" t="str">
        <f>"09DJN0132P"</f>
        <v>09DJN0132P</v>
      </c>
      <c r="C102" s="26" t="str">
        <f>"EMILIANO ROBLES LEON                                                                                "</f>
        <v xml:space="preserve">EMILIANO ROBLES LEON                                                                                </v>
      </c>
      <c r="D102" s="26" t="str">
        <f>"JORNADA AMPLIADA"</f>
        <v>JORNADA AMPLIADA</v>
      </c>
      <c r="E102" s="26" t="str">
        <f>"BARRANCA DE PILARES S/N                                                         "</f>
        <v xml:space="preserve">BARRANCA DE PILARES S/N                                                         </v>
      </c>
      <c r="F102" s="26" t="str">
        <f>"LAS AGUILAS                                                                                                                                 "</f>
        <v xml:space="preserve">LAS AGUILAS                                                                                                                                 </v>
      </c>
      <c r="G102" s="26" t="str">
        <f>"ALVARO OBREGON                                                                  "</f>
        <v xml:space="preserve">ALVARO OBREGON                                                                  </v>
      </c>
      <c r="H102" s="26" t="str">
        <f>"100"</f>
        <v>100</v>
      </c>
      <c r="I102" s="26" t="str">
        <f t="shared" si="10"/>
        <v>00</v>
      </c>
      <c r="J102" s="26" t="str">
        <f>"34 "</f>
        <v xml:space="preserve">34 </v>
      </c>
      <c r="K102" s="26" t="str">
        <f t="shared" si="12"/>
        <v>EP</v>
      </c>
      <c r="L102" s="26" t="str">
        <f t="shared" si="13"/>
        <v>DGOSE</v>
      </c>
      <c r="M102" s="26" t="str">
        <f t="shared" si="11"/>
        <v>FEDERAL</v>
      </c>
      <c r="N102" s="26">
        <v>95</v>
      </c>
      <c r="O102" s="26">
        <v>52</v>
      </c>
      <c r="P102" s="26">
        <v>43</v>
      </c>
      <c r="Q102" s="26">
        <v>3</v>
      </c>
      <c r="R102" s="26">
        <v>1</v>
      </c>
      <c r="S102" s="26">
        <v>3</v>
      </c>
      <c r="T102" s="26">
        <v>4</v>
      </c>
      <c r="U102" s="26">
        <v>8</v>
      </c>
      <c r="V102" s="26">
        <v>1</v>
      </c>
      <c r="W102" s="26" t="s">
        <v>2076</v>
      </c>
    </row>
    <row r="103" spans="1:23" x14ac:dyDescent="0.25">
      <c r="A103" s="26" t="str">
        <f t="shared" si="9"/>
        <v>PREESCOLAR</v>
      </c>
      <c r="B103" s="26" t="str">
        <f>"09DJN0133O"</f>
        <v>09DJN0133O</v>
      </c>
      <c r="C103" s="26" t="str">
        <f>"AMPARO PEREYRA                                                                                      "</f>
        <v xml:space="preserve">AMPARO PEREYRA                                                                                      </v>
      </c>
      <c r="D103" s="26" t="str">
        <f>"JORNADA AMPLIADA"</f>
        <v>JORNADA AMPLIADA</v>
      </c>
      <c r="E103" s="26" t="str">
        <f>"CORDILLERAS NO. 56                                                              "</f>
        <v xml:space="preserve">CORDILLERAS NO. 56                                                              </v>
      </c>
      <c r="F103" s="26" t="str">
        <f>"LAS AGUILAS                                                                                                                                 "</f>
        <v xml:space="preserve">LAS AGUILAS                                                                                                                                 </v>
      </c>
      <c r="G103" s="26" t="str">
        <f>"ALVARO OBREGON                                                                  "</f>
        <v xml:space="preserve">ALVARO OBREGON                                                                  </v>
      </c>
      <c r="H103" s="26" t="str">
        <f>"100"</f>
        <v>100</v>
      </c>
      <c r="I103" s="26" t="str">
        <f t="shared" si="10"/>
        <v>00</v>
      </c>
      <c r="J103" s="26" t="str">
        <f>"34 "</f>
        <v xml:space="preserve">34 </v>
      </c>
      <c r="K103" s="26" t="str">
        <f t="shared" si="12"/>
        <v>EP</v>
      </c>
      <c r="L103" s="26" t="str">
        <f t="shared" si="13"/>
        <v>DGOSE</v>
      </c>
      <c r="M103" s="26" t="str">
        <f t="shared" si="11"/>
        <v>FEDERAL</v>
      </c>
      <c r="N103" s="26">
        <v>120</v>
      </c>
      <c r="O103" s="26">
        <v>49</v>
      </c>
      <c r="P103" s="26">
        <v>71</v>
      </c>
      <c r="Q103" s="26">
        <v>5</v>
      </c>
      <c r="R103" s="26">
        <v>1</v>
      </c>
      <c r="S103" s="26">
        <v>5</v>
      </c>
      <c r="T103" s="26">
        <v>3</v>
      </c>
      <c r="U103" s="26">
        <v>9</v>
      </c>
      <c r="V103" s="26">
        <v>1</v>
      </c>
      <c r="W103" s="26" t="s">
        <v>2076</v>
      </c>
    </row>
    <row r="104" spans="1:23" x14ac:dyDescent="0.25">
      <c r="A104" s="26" t="str">
        <f t="shared" si="9"/>
        <v>PREESCOLAR</v>
      </c>
      <c r="B104" s="26" t="str">
        <f>"09DJN0134N"</f>
        <v>09DJN0134N</v>
      </c>
      <c r="C104" s="26" t="str">
        <f>"YOLOXOCHITL                                                                                         "</f>
        <v xml:space="preserve">YOLOXOCHITL                                                                                         </v>
      </c>
      <c r="D104" s="26" t="str">
        <f>"MATUTINO"</f>
        <v>MATUTINO</v>
      </c>
      <c r="E104" s="26" t="str">
        <f>"PROLONG. CALLE 7 Y AV. DEL ROSAL                                                "</f>
        <v xml:space="preserve">PROLONG. CALLE 7 Y AV. DEL ROSAL                                                </v>
      </c>
      <c r="F104" s="26" t="str">
        <f>"OLIVAR DEL CONDE 1A SECCION                                                                                                                 "</f>
        <v xml:space="preserve">OLIVAR DEL CONDE 1A SECCION                                                                                                                 </v>
      </c>
      <c r="G104" s="26" t="str">
        <f>"ALVARO OBREGON                                                                  "</f>
        <v xml:space="preserve">ALVARO OBREGON                                                                  </v>
      </c>
      <c r="H104" s="26" t="str">
        <f>"218"</f>
        <v>218</v>
      </c>
      <c r="I104" s="26" t="str">
        <f t="shared" si="10"/>
        <v>00</v>
      </c>
      <c r="J104" s="26" t="str">
        <f>"33 "</f>
        <v xml:space="preserve">33 </v>
      </c>
      <c r="K104" s="26" t="str">
        <f t="shared" si="12"/>
        <v>EP</v>
      </c>
      <c r="L104" s="26" t="str">
        <f t="shared" si="13"/>
        <v>DGOSE</v>
      </c>
      <c r="M104" s="26" t="str">
        <f t="shared" si="11"/>
        <v>FEDERAL</v>
      </c>
      <c r="N104" s="26">
        <v>229</v>
      </c>
      <c r="O104" s="26">
        <v>108</v>
      </c>
      <c r="P104" s="26">
        <v>121</v>
      </c>
      <c r="Q104" s="26">
        <v>7</v>
      </c>
      <c r="R104" s="26">
        <v>1</v>
      </c>
      <c r="S104" s="26">
        <v>7</v>
      </c>
      <c r="T104" s="26">
        <v>3</v>
      </c>
      <c r="U104" s="26">
        <v>11</v>
      </c>
      <c r="V104" s="26">
        <v>1</v>
      </c>
      <c r="W104" s="26"/>
    </row>
    <row r="105" spans="1:23" x14ac:dyDescent="0.25">
      <c r="A105" s="26" t="str">
        <f t="shared" si="9"/>
        <v>PREESCOLAR</v>
      </c>
      <c r="B105" s="26" t="str">
        <f>"09DJN0136L"</f>
        <v>09DJN0136L</v>
      </c>
      <c r="C105" s="26" t="str">
        <f>"VIRGINIA MONASTERIO                                                                                 "</f>
        <v xml:space="preserve">VIRGINIA MONASTERIO                                                                                 </v>
      </c>
      <c r="D105" s="26" t="str">
        <f>"MATUTINO"</f>
        <v>MATUTINO</v>
      </c>
      <c r="E105" s="26" t="str">
        <f>"JUAN SIN MIEDO S/N                                                              "</f>
        <v xml:space="preserve">JUAN SIN MIEDO S/N                                                              </v>
      </c>
      <c r="F105" s="26" t="str">
        <f>"OLIVAR DEL CONDE 1A SECCION                                                                                                                 "</f>
        <v xml:space="preserve">OLIVAR DEL CONDE 1A SECCION                                                                                                                 </v>
      </c>
      <c r="G105" s="26" t="str">
        <f>"ALVARO OBREGON                                                                  "</f>
        <v xml:space="preserve">ALVARO OBREGON                                                                  </v>
      </c>
      <c r="H105" s="26" t="str">
        <f>"110"</f>
        <v>110</v>
      </c>
      <c r="I105" s="26" t="str">
        <f t="shared" si="10"/>
        <v>00</v>
      </c>
      <c r="J105" s="26" t="str">
        <f>"33 "</f>
        <v xml:space="preserve">33 </v>
      </c>
      <c r="K105" s="26" t="str">
        <f t="shared" si="12"/>
        <v>EP</v>
      </c>
      <c r="L105" s="26" t="str">
        <f t="shared" si="13"/>
        <v>DGOSE</v>
      </c>
      <c r="M105" s="26" t="str">
        <f t="shared" si="11"/>
        <v>FEDERAL</v>
      </c>
      <c r="N105" s="26">
        <v>236</v>
      </c>
      <c r="O105" s="26">
        <v>120</v>
      </c>
      <c r="P105" s="26">
        <v>116</v>
      </c>
      <c r="Q105" s="26">
        <v>7</v>
      </c>
      <c r="R105" s="26">
        <v>1</v>
      </c>
      <c r="S105" s="26">
        <v>7</v>
      </c>
      <c r="T105" s="26">
        <v>6</v>
      </c>
      <c r="U105" s="26">
        <v>14</v>
      </c>
      <c r="V105" s="26">
        <v>1</v>
      </c>
      <c r="W105" s="26"/>
    </row>
    <row r="106" spans="1:23" x14ac:dyDescent="0.25">
      <c r="A106" s="26" t="str">
        <f t="shared" si="9"/>
        <v>PREESCOLAR</v>
      </c>
      <c r="B106" s="26" t="str">
        <f>"09DJN0137K"</f>
        <v>09DJN0137K</v>
      </c>
      <c r="C106" s="26" t="str">
        <f>"PABLO CASALS                                                                                        "</f>
        <v xml:space="preserve">PABLO CASALS                                                                                        </v>
      </c>
      <c r="D106" s="26" t="str">
        <f>"MATUTINO"</f>
        <v>MATUTINO</v>
      </c>
      <c r="E106" s="26" t="str">
        <f>"ROSA ROJA NO. 100                                                               "</f>
        <v xml:space="preserve">ROSA ROJA NO. 100                                                               </v>
      </c>
      <c r="F106" s="26" t="str">
        <f>"MOLINO DE ROSAS                                                                                                                             "</f>
        <v xml:space="preserve">MOLINO DE ROSAS                                                                                                                             </v>
      </c>
      <c r="G106" s="26" t="str">
        <f>"ALVARO OBREGON                                                                  "</f>
        <v xml:space="preserve">ALVARO OBREGON                                                                  </v>
      </c>
      <c r="H106" s="26" t="str">
        <f>"087"</f>
        <v>087</v>
      </c>
      <c r="I106" s="26" t="str">
        <f t="shared" si="10"/>
        <v>00</v>
      </c>
      <c r="J106" s="26" t="str">
        <f>"33 "</f>
        <v xml:space="preserve">33 </v>
      </c>
      <c r="K106" s="26" t="str">
        <f t="shared" si="12"/>
        <v>EP</v>
      </c>
      <c r="L106" s="26" t="str">
        <f t="shared" si="13"/>
        <v>DGOSE</v>
      </c>
      <c r="M106" s="26" t="str">
        <f t="shared" si="11"/>
        <v>FEDERAL</v>
      </c>
      <c r="N106" s="26">
        <v>243</v>
      </c>
      <c r="O106" s="26">
        <v>116</v>
      </c>
      <c r="P106" s="26">
        <v>127</v>
      </c>
      <c r="Q106" s="26">
        <v>7</v>
      </c>
      <c r="R106" s="26">
        <v>1</v>
      </c>
      <c r="S106" s="26">
        <v>7</v>
      </c>
      <c r="T106" s="26">
        <v>5</v>
      </c>
      <c r="U106" s="26">
        <v>13</v>
      </c>
      <c r="V106" s="26">
        <v>1</v>
      </c>
      <c r="W106" s="26"/>
    </row>
    <row r="107" spans="1:23" x14ac:dyDescent="0.25">
      <c r="A107" s="26" t="str">
        <f t="shared" si="9"/>
        <v>PREESCOLAR</v>
      </c>
      <c r="B107" s="26" t="str">
        <f>"09DJN0138J"</f>
        <v>09DJN0138J</v>
      </c>
      <c r="C107" s="26" t="str">
        <f>"KALLINPILTONTLI                                                                                     "</f>
        <v xml:space="preserve">KALLINPILTONTLI                                                                                     </v>
      </c>
      <c r="D107" s="26" t="str">
        <f>"MATUTINO"</f>
        <v>MATUTINO</v>
      </c>
      <c r="E107" s="26" t="str">
        <f>"V.C. Y A. BONFIL MZA. 110 B LTE. 813-B                                          "</f>
        <v xml:space="preserve">V.C. Y A. BONFIL MZA. 110 B LTE. 813-B                                          </v>
      </c>
      <c r="F107" s="26" t="str">
        <f>"MIGUEL HIDALGO AMPLIACION                                                                                                                   "</f>
        <v xml:space="preserve">MIGUEL HIDALGO AMPLIACION                                                                                                                   </v>
      </c>
      <c r="G107" s="26" t="str">
        <f>"TLALPAN                                                                         "</f>
        <v xml:space="preserve">TLALPAN                                                                         </v>
      </c>
      <c r="H107" s="26" t="str">
        <f>"225"</f>
        <v>225</v>
      </c>
      <c r="I107" s="26" t="str">
        <f t="shared" si="10"/>
        <v>00</v>
      </c>
      <c r="J107" s="26" t="str">
        <f>"35 "</f>
        <v xml:space="preserve">35 </v>
      </c>
      <c r="K107" s="26" t="str">
        <f t="shared" si="12"/>
        <v>EP</v>
      </c>
      <c r="L107" s="26" t="str">
        <f t="shared" si="13"/>
        <v>DGOSE</v>
      </c>
      <c r="M107" s="26" t="str">
        <f t="shared" si="11"/>
        <v>FEDERAL</v>
      </c>
      <c r="N107" s="26">
        <v>285</v>
      </c>
      <c r="O107" s="26">
        <v>138</v>
      </c>
      <c r="P107" s="26">
        <v>147</v>
      </c>
      <c r="Q107" s="26">
        <v>8</v>
      </c>
      <c r="R107" s="26">
        <v>1</v>
      </c>
      <c r="S107" s="26">
        <v>8</v>
      </c>
      <c r="T107" s="26">
        <v>3</v>
      </c>
      <c r="U107" s="26">
        <v>12</v>
      </c>
      <c r="V107" s="26">
        <v>1</v>
      </c>
      <c r="W107" s="26"/>
    </row>
    <row r="108" spans="1:23" x14ac:dyDescent="0.25">
      <c r="A108" s="26" t="str">
        <f t="shared" si="9"/>
        <v>PREESCOLAR</v>
      </c>
      <c r="B108" s="26" t="str">
        <f>"09DJN0139I"</f>
        <v>09DJN0139I</v>
      </c>
      <c r="C108" s="26" t="str">
        <f>"KANTUNIL                                                                                            "</f>
        <v xml:space="preserve">KANTUNIL                                                                                            </v>
      </c>
      <c r="D108" s="26" t="str">
        <f>"MATUTINO"</f>
        <v>MATUTINO</v>
      </c>
      <c r="E108" s="26" t="str">
        <f>"D'ZEMUL Y MANI S/N                                                              "</f>
        <v xml:space="preserve">D'ZEMUL Y MANI S/N                                                              </v>
      </c>
      <c r="F108" s="26" t="str">
        <f>"PEDREGAL DE SAN NICOLAS                                                                                                                     "</f>
        <v xml:space="preserve">PEDREGAL DE SAN NICOLAS                                                                                                                     </v>
      </c>
      <c r="G108" s="26" t="str">
        <f>"TLALPAN                                                                         "</f>
        <v xml:space="preserve">TLALPAN                                                                         </v>
      </c>
      <c r="H108" s="26" t="str">
        <f>"135"</f>
        <v>135</v>
      </c>
      <c r="I108" s="26" t="str">
        <f t="shared" si="10"/>
        <v>00</v>
      </c>
      <c r="J108" s="26" t="str">
        <f>"35 "</f>
        <v xml:space="preserve">35 </v>
      </c>
      <c r="K108" s="26" t="str">
        <f t="shared" si="12"/>
        <v>EP</v>
      </c>
      <c r="L108" s="26" t="str">
        <f t="shared" si="13"/>
        <v>DGOSE</v>
      </c>
      <c r="M108" s="26" t="str">
        <f t="shared" si="11"/>
        <v>FEDERAL</v>
      </c>
      <c r="N108" s="26">
        <v>221</v>
      </c>
      <c r="O108" s="26">
        <v>109</v>
      </c>
      <c r="P108" s="26">
        <v>112</v>
      </c>
      <c r="Q108" s="26">
        <v>7</v>
      </c>
      <c r="R108" s="26">
        <v>1</v>
      </c>
      <c r="S108" s="26">
        <v>7</v>
      </c>
      <c r="T108" s="26">
        <v>4</v>
      </c>
      <c r="U108" s="26">
        <v>12</v>
      </c>
      <c r="V108" s="26">
        <v>1</v>
      </c>
      <c r="W108" s="26"/>
    </row>
    <row r="109" spans="1:23" x14ac:dyDescent="0.25">
      <c r="A109" s="26" t="str">
        <f t="shared" si="9"/>
        <v>PREESCOLAR</v>
      </c>
      <c r="B109" s="26" t="str">
        <f>"09DJN0140Y"</f>
        <v>09DJN0140Y</v>
      </c>
      <c r="C109" s="26" t="str">
        <f>"TZINTI                                                                                              "</f>
        <v xml:space="preserve">TZINTI                                                                                              </v>
      </c>
      <c r="D109" s="26" t="str">
        <f>"JORNADA AMPLIADA"</f>
        <v>JORNADA AMPLIADA</v>
      </c>
      <c r="E109" s="26" t="str">
        <f>"CUAUHTEMOC S/N                                                                  "</f>
        <v xml:space="preserve">CUAUHTEMOC S/N                                                                  </v>
      </c>
      <c r="F109" s="26" t="str">
        <f>"PUEBLO QUIETO                                                                                                                               "</f>
        <v xml:space="preserve">PUEBLO QUIETO                                                                                                                               </v>
      </c>
      <c r="G109" s="26" t="str">
        <f>"TLALPAN                                                                         "</f>
        <v xml:space="preserve">TLALPAN                                                                         </v>
      </c>
      <c r="H109" s="26" t="str">
        <f>"221"</f>
        <v>221</v>
      </c>
      <c r="I109" s="26" t="str">
        <f t="shared" si="10"/>
        <v>00</v>
      </c>
      <c r="J109" s="26" t="str">
        <f>"34 "</f>
        <v xml:space="preserve">34 </v>
      </c>
      <c r="K109" s="26" t="str">
        <f t="shared" si="12"/>
        <v>EP</v>
      </c>
      <c r="L109" s="26" t="str">
        <f t="shared" si="13"/>
        <v>DGOSE</v>
      </c>
      <c r="M109" s="26" t="str">
        <f t="shared" si="11"/>
        <v>FEDERAL</v>
      </c>
      <c r="N109" s="26">
        <v>184</v>
      </c>
      <c r="O109" s="26">
        <v>98</v>
      </c>
      <c r="P109" s="26">
        <v>86</v>
      </c>
      <c r="Q109" s="26">
        <v>6</v>
      </c>
      <c r="R109" s="26">
        <v>1</v>
      </c>
      <c r="S109" s="26">
        <v>6</v>
      </c>
      <c r="T109" s="26">
        <v>4</v>
      </c>
      <c r="U109" s="26">
        <v>11</v>
      </c>
      <c r="V109" s="26">
        <v>1</v>
      </c>
      <c r="W109" s="26" t="s">
        <v>2076</v>
      </c>
    </row>
    <row r="110" spans="1:23" x14ac:dyDescent="0.25">
      <c r="A110" s="26" t="str">
        <f t="shared" si="9"/>
        <v>PREESCOLAR</v>
      </c>
      <c r="B110" s="26" t="str">
        <f>"09DJN0141X"</f>
        <v>09DJN0141X</v>
      </c>
      <c r="C110" s="26" t="str">
        <f>"MARGARITA ESTEVANE SALAS                                                                            "</f>
        <v xml:space="preserve">MARGARITA ESTEVANE SALAS                                                                            </v>
      </c>
      <c r="D110" s="26" t="str">
        <f>"VESPERTINO"</f>
        <v>VESPERTINO</v>
      </c>
      <c r="E110" s="26" t="str">
        <f>"AV. 29 DE OCTUBRE S/N                                                           "</f>
        <v xml:space="preserve">AV. 29 DE OCTUBRE S/N                                                           </v>
      </c>
      <c r="F110" s="26" t="str">
        <f>"LOMAS DE LA HERA                                                                                                                            "</f>
        <v xml:space="preserve">LOMAS DE LA HERA                                                                                                                            </v>
      </c>
      <c r="G110" s="26" t="str">
        <f>"ALVARO OBREGON                                                                  "</f>
        <v xml:space="preserve">ALVARO OBREGON                                                                  </v>
      </c>
      <c r="H110" s="26" t="str">
        <f>"175"</f>
        <v>175</v>
      </c>
      <c r="I110" s="26" t="str">
        <f t="shared" si="10"/>
        <v>00</v>
      </c>
      <c r="J110" s="26" t="str">
        <f>"33 "</f>
        <v xml:space="preserve">33 </v>
      </c>
      <c r="K110" s="26" t="str">
        <f t="shared" si="12"/>
        <v>EP</v>
      </c>
      <c r="L110" s="26" t="str">
        <f t="shared" si="13"/>
        <v>DGOSE</v>
      </c>
      <c r="M110" s="26" t="str">
        <f t="shared" si="11"/>
        <v>FEDERAL</v>
      </c>
      <c r="N110" s="26">
        <v>221</v>
      </c>
      <c r="O110" s="26">
        <v>126</v>
      </c>
      <c r="P110" s="26">
        <v>95</v>
      </c>
      <c r="Q110" s="26">
        <v>7</v>
      </c>
      <c r="R110" s="26">
        <v>1</v>
      </c>
      <c r="S110" s="26">
        <v>7</v>
      </c>
      <c r="T110" s="26">
        <v>4</v>
      </c>
      <c r="U110" s="26">
        <v>12</v>
      </c>
      <c r="V110" s="26">
        <v>1</v>
      </c>
      <c r="W110" s="26"/>
    </row>
    <row r="111" spans="1:23" x14ac:dyDescent="0.25">
      <c r="A111" s="26" t="str">
        <f t="shared" si="9"/>
        <v>PREESCOLAR</v>
      </c>
      <c r="B111" s="26" t="str">
        <f>"09DJN0142W"</f>
        <v>09DJN0142W</v>
      </c>
      <c r="C111" s="26" t="str">
        <f>"REPUBLICA DE ITALIA                                                                                 "</f>
        <v xml:space="preserve">REPUBLICA DE ITALIA                                                                                 </v>
      </c>
      <c r="D111" s="26" t="str">
        <f>"VESPERTINO"</f>
        <v>VESPERTINO</v>
      </c>
      <c r="E111" s="26" t="str">
        <f>"AV. DEL PARQUE Y AV. TEXCOCO                                                    "</f>
        <v xml:space="preserve">AV. DEL PARQUE Y AV. TEXCOCO                                                    </v>
      </c>
      <c r="F111" s="26" t="str">
        <f>"CUCHILLA DEL TESORO                                                                                                                         "</f>
        <v xml:space="preserve">CUCHILLA DEL TESORO                                                                                                                         </v>
      </c>
      <c r="G111" s="26" t="str">
        <f>"GUSTAVO A. MADERO                                                               "</f>
        <v xml:space="preserve">GUSTAVO A. MADERO                                                               </v>
      </c>
      <c r="H111" s="26" t="str">
        <f>"199"</f>
        <v>199</v>
      </c>
      <c r="I111" s="26" t="str">
        <f t="shared" si="10"/>
        <v>00</v>
      </c>
      <c r="J111" s="26" t="str">
        <f>"32 "</f>
        <v xml:space="preserve">32 </v>
      </c>
      <c r="K111" s="26" t="str">
        <f t="shared" si="12"/>
        <v>EP</v>
      </c>
      <c r="L111" s="26" t="str">
        <f t="shared" si="13"/>
        <v>DGOSE</v>
      </c>
      <c r="M111" s="26" t="str">
        <f t="shared" si="11"/>
        <v>FEDERAL</v>
      </c>
      <c r="N111" s="26">
        <v>169</v>
      </c>
      <c r="O111" s="26">
        <v>87</v>
      </c>
      <c r="P111" s="26">
        <v>82</v>
      </c>
      <c r="Q111" s="26">
        <v>6</v>
      </c>
      <c r="R111" s="26">
        <v>1</v>
      </c>
      <c r="S111" s="26">
        <v>5</v>
      </c>
      <c r="T111" s="26">
        <v>5</v>
      </c>
      <c r="U111" s="26">
        <v>11</v>
      </c>
      <c r="V111" s="26">
        <v>1</v>
      </c>
      <c r="W111" s="26"/>
    </row>
    <row r="112" spans="1:23" x14ac:dyDescent="0.25">
      <c r="A112" s="26" t="str">
        <f t="shared" si="9"/>
        <v>PREESCOLAR</v>
      </c>
      <c r="B112" s="26" t="str">
        <f>"09DJN0143V"</f>
        <v>09DJN0143V</v>
      </c>
      <c r="C112" s="26" t="str">
        <f>"BERTHA VON GLUMER                                                                                   "</f>
        <v xml:space="preserve">BERTHA VON GLUMER                                                                                   </v>
      </c>
      <c r="D112" s="26" t="str">
        <f>"TIEMPO COMPLETO"</f>
        <v>TIEMPO COMPLETO</v>
      </c>
      <c r="E112" s="26" t="str">
        <f>"ALEMANIA Y CUMBRES DE MALTRATA                                                  "</f>
        <v xml:space="preserve">ALEMANIA Y CUMBRES DE MALTRATA                                                  </v>
      </c>
      <c r="F112" s="26" t="str">
        <f>"INDEPENDENCIA                                                                                                                               "</f>
        <v xml:space="preserve">INDEPENDENCIA                                                                                                                               </v>
      </c>
      <c r="G112" s="26" t="str">
        <f>"BENITO JUAREZ                                                                   "</f>
        <v xml:space="preserve">BENITO JUAREZ                                                                   </v>
      </c>
      <c r="H112" s="26" t="str">
        <f>"034"</f>
        <v>034</v>
      </c>
      <c r="I112" s="26" t="str">
        <f t="shared" si="10"/>
        <v>00</v>
      </c>
      <c r="J112" s="26" t="str">
        <f>"34 "</f>
        <v xml:space="preserve">34 </v>
      </c>
      <c r="K112" s="26" t="str">
        <f t="shared" si="12"/>
        <v>EP</v>
      </c>
      <c r="L112" s="26" t="str">
        <f t="shared" si="13"/>
        <v>DGOSE</v>
      </c>
      <c r="M112" s="26" t="str">
        <f t="shared" si="11"/>
        <v>FEDERAL</v>
      </c>
      <c r="N112" s="26">
        <v>155</v>
      </c>
      <c r="O112" s="26">
        <v>80</v>
      </c>
      <c r="P112" s="26">
        <v>75</v>
      </c>
      <c r="Q112" s="26">
        <v>5</v>
      </c>
      <c r="R112" s="26">
        <v>2</v>
      </c>
      <c r="S112" s="26">
        <v>5</v>
      </c>
      <c r="T112" s="26">
        <v>13</v>
      </c>
      <c r="U112" s="26">
        <v>20</v>
      </c>
      <c r="V112" s="26">
        <v>1</v>
      </c>
      <c r="W112" s="26" t="s">
        <v>218</v>
      </c>
    </row>
    <row r="113" spans="1:23" x14ac:dyDescent="0.25">
      <c r="A113" s="26" t="str">
        <f t="shared" si="9"/>
        <v>PREESCOLAR</v>
      </c>
      <c r="B113" s="26" t="str">
        <f>"09DJN0144U"</f>
        <v>09DJN0144U</v>
      </c>
      <c r="C113" s="26" t="str">
        <f>"GABRIELA MISTRAL                                                                                    "</f>
        <v xml:space="preserve">GABRIELA MISTRAL                                                                                    </v>
      </c>
      <c r="D113" s="26" t="str">
        <f>"JORNADA AMPLIADA"</f>
        <v>JORNADA AMPLIADA</v>
      </c>
      <c r="E113" s="26" t="str">
        <f>"ISABEL LA CATOLICA NO. 792                                                      "</f>
        <v xml:space="preserve">ISABEL LA CATOLICA NO. 792                                                      </v>
      </c>
      <c r="F113" s="26" t="str">
        <f>"ALAMOS                                                                                                                                      "</f>
        <v xml:space="preserve">ALAMOS                                                                                                                                      </v>
      </c>
      <c r="G113" s="26" t="str">
        <f>"BENITO JUAREZ                                                                   "</f>
        <v xml:space="preserve">BENITO JUAREZ                                                                   </v>
      </c>
      <c r="H113" s="26" t="str">
        <f>"210"</f>
        <v>210</v>
      </c>
      <c r="I113" s="26" t="str">
        <f t="shared" si="10"/>
        <v>00</v>
      </c>
      <c r="J113" s="26" t="str">
        <f>"34 "</f>
        <v xml:space="preserve">34 </v>
      </c>
      <c r="K113" s="26" t="str">
        <f t="shared" si="12"/>
        <v>EP</v>
      </c>
      <c r="L113" s="26" t="str">
        <f t="shared" si="13"/>
        <v>DGOSE</v>
      </c>
      <c r="M113" s="26" t="str">
        <f t="shared" si="11"/>
        <v>FEDERAL</v>
      </c>
      <c r="N113" s="26">
        <v>96</v>
      </c>
      <c r="O113" s="26">
        <v>52</v>
      </c>
      <c r="P113" s="26">
        <v>44</v>
      </c>
      <c r="Q113" s="26">
        <v>4</v>
      </c>
      <c r="R113" s="26">
        <v>1</v>
      </c>
      <c r="S113" s="26">
        <v>4</v>
      </c>
      <c r="T113" s="26">
        <v>5</v>
      </c>
      <c r="U113" s="26">
        <v>10</v>
      </c>
      <c r="V113" s="26">
        <v>1</v>
      </c>
      <c r="W113" s="26" t="s">
        <v>2076</v>
      </c>
    </row>
    <row r="114" spans="1:23" x14ac:dyDescent="0.25">
      <c r="A114" s="26" t="str">
        <f t="shared" si="9"/>
        <v>PREESCOLAR</v>
      </c>
      <c r="B114" s="26" t="str">
        <f>"09DJN0145T"</f>
        <v>09DJN0145T</v>
      </c>
      <c r="C114" s="26" t="str">
        <f>"CARMEN CALDERON CORDOVA                                                                             "</f>
        <v xml:space="preserve">CARMEN CALDERON CORDOVA                                                                             </v>
      </c>
      <c r="D114" s="26" t="str">
        <f>"JORNADA AMPLIADA"</f>
        <v>JORNADA AMPLIADA</v>
      </c>
      <c r="E114" s="26" t="str">
        <f>"FRANCISCO MARQUEZ NO. 3                                                         "</f>
        <v xml:space="preserve">FRANCISCO MARQUEZ NO. 3                                                         </v>
      </c>
      <c r="F114" s="26" t="str">
        <f>"POSTAL                                                                                                                                      "</f>
        <v xml:space="preserve">POSTAL                                                                                                                                      </v>
      </c>
      <c r="G114" s="26" t="str">
        <f>"BENITO JUAREZ                                                                   "</f>
        <v xml:space="preserve">BENITO JUAREZ                                                                   </v>
      </c>
      <c r="H114" s="26" t="str">
        <f>"210"</f>
        <v>210</v>
      </c>
      <c r="I114" s="26" t="str">
        <f t="shared" si="10"/>
        <v>00</v>
      </c>
      <c r="J114" s="26" t="str">
        <f>"34 "</f>
        <v xml:space="preserve">34 </v>
      </c>
      <c r="K114" s="26" t="str">
        <f t="shared" si="12"/>
        <v>EP</v>
      </c>
      <c r="L114" s="26" t="str">
        <f t="shared" si="13"/>
        <v>DGOSE</v>
      </c>
      <c r="M114" s="26" t="str">
        <f t="shared" si="11"/>
        <v>FEDERAL</v>
      </c>
      <c r="N114" s="26">
        <v>148</v>
      </c>
      <c r="O114" s="26">
        <v>77</v>
      </c>
      <c r="P114" s="26">
        <v>71</v>
      </c>
      <c r="Q114" s="26">
        <v>5</v>
      </c>
      <c r="R114" s="26">
        <v>1</v>
      </c>
      <c r="S114" s="26">
        <v>5</v>
      </c>
      <c r="T114" s="26">
        <v>5</v>
      </c>
      <c r="U114" s="26">
        <v>11</v>
      </c>
      <c r="V114" s="26">
        <v>1</v>
      </c>
      <c r="W114" s="26" t="s">
        <v>2076</v>
      </c>
    </row>
    <row r="115" spans="1:23" x14ac:dyDescent="0.25">
      <c r="A115" s="26" t="str">
        <f t="shared" si="9"/>
        <v>PREESCOLAR</v>
      </c>
      <c r="B115" s="26" t="str">
        <f>"09DJN0146S"</f>
        <v>09DJN0146S</v>
      </c>
      <c r="C115" s="26" t="str">
        <f>"VALENTIN ZAMORA OROZCO                                                                              "</f>
        <v xml:space="preserve">VALENTIN ZAMORA OROZCO                                                                              </v>
      </c>
      <c r="D115" s="26" t="str">
        <f>"TIEMPO COMPLETO"</f>
        <v>TIEMPO COMPLETO</v>
      </c>
      <c r="E115" s="26" t="str">
        <f>"PLAYA FLAMINGOS NO. 1                                                           "</f>
        <v xml:space="preserve">PLAYA FLAMINGOS NO. 1                                                           </v>
      </c>
      <c r="F115" s="26" t="str">
        <f>"MILITAR MARTE                                                                                                                               "</f>
        <v xml:space="preserve">MILITAR MARTE                                                                                                                               </v>
      </c>
      <c r="G115" s="26" t="str">
        <f>"IZTACALCO                                                                       "</f>
        <v xml:space="preserve">IZTACALCO                                                                       </v>
      </c>
      <c r="H115" s="26" t="str">
        <f>"028"</f>
        <v>028</v>
      </c>
      <c r="I115" s="26" t="str">
        <f t="shared" si="10"/>
        <v>00</v>
      </c>
      <c r="J115" s="26" t="str">
        <f>"31 "</f>
        <v xml:space="preserve">31 </v>
      </c>
      <c r="K115" s="26" t="str">
        <f t="shared" si="12"/>
        <v>EP</v>
      </c>
      <c r="L115" s="26" t="str">
        <f t="shared" si="13"/>
        <v>DGOSE</v>
      </c>
      <c r="M115" s="26" t="str">
        <f t="shared" si="11"/>
        <v>FEDERAL</v>
      </c>
      <c r="N115" s="26">
        <v>163</v>
      </c>
      <c r="O115" s="26">
        <v>90</v>
      </c>
      <c r="P115" s="26">
        <v>73</v>
      </c>
      <c r="Q115" s="26">
        <v>5</v>
      </c>
      <c r="R115" s="26">
        <v>2</v>
      </c>
      <c r="S115" s="26">
        <v>5</v>
      </c>
      <c r="T115" s="26">
        <v>21</v>
      </c>
      <c r="U115" s="26">
        <v>28</v>
      </c>
      <c r="V115" s="26">
        <v>1</v>
      </c>
      <c r="W115" s="26" t="s">
        <v>218</v>
      </c>
    </row>
    <row r="116" spans="1:23" x14ac:dyDescent="0.25">
      <c r="A116" s="26" t="str">
        <f t="shared" si="9"/>
        <v>PREESCOLAR</v>
      </c>
      <c r="B116" s="26" t="str">
        <f>"09DJN0147R"</f>
        <v>09DJN0147R</v>
      </c>
      <c r="C116" s="26" t="str">
        <f>"REPUBLICA DE ECUADOR                                                                                "</f>
        <v xml:space="preserve">REPUBLICA DE ECUADOR                                                                                </v>
      </c>
      <c r="D116" s="26" t="str">
        <f>"JORNADA AMPLIADA"</f>
        <v>JORNADA AMPLIADA</v>
      </c>
      <c r="E116" s="26" t="str">
        <f>"1O DE MAYO Y PLUTARCO ELIAS CALLES                                              "</f>
        <v xml:space="preserve">1O DE MAYO Y PLUTARCO ELIAS CALLES                                              </v>
      </c>
      <c r="F116" s="26" t="str">
        <f>"NATIVITAS                                                                                                                                   "</f>
        <v xml:space="preserve">NATIVITAS                                                                                                                                   </v>
      </c>
      <c r="G116" s="26" t="str">
        <f>"BENITO JUAREZ                                                                   "</f>
        <v xml:space="preserve">BENITO JUAREZ                                                                   </v>
      </c>
      <c r="H116" s="26" t="str">
        <f>"034"</f>
        <v>034</v>
      </c>
      <c r="I116" s="26" t="str">
        <f t="shared" si="10"/>
        <v>00</v>
      </c>
      <c r="J116" s="26" t="str">
        <f>"34 "</f>
        <v xml:space="preserve">34 </v>
      </c>
      <c r="K116" s="26" t="str">
        <f t="shared" si="12"/>
        <v>EP</v>
      </c>
      <c r="L116" s="26" t="str">
        <f t="shared" si="13"/>
        <v>DGOSE</v>
      </c>
      <c r="M116" s="26" t="str">
        <f t="shared" si="11"/>
        <v>FEDERAL</v>
      </c>
      <c r="N116" s="26">
        <v>140</v>
      </c>
      <c r="O116" s="26">
        <v>66</v>
      </c>
      <c r="P116" s="26">
        <v>74</v>
      </c>
      <c r="Q116" s="26">
        <v>6</v>
      </c>
      <c r="R116" s="26">
        <v>1</v>
      </c>
      <c r="S116" s="26">
        <v>6</v>
      </c>
      <c r="T116" s="26">
        <v>6</v>
      </c>
      <c r="U116" s="26">
        <v>13</v>
      </c>
      <c r="V116" s="26">
        <v>1</v>
      </c>
      <c r="W116" s="26" t="s">
        <v>2076</v>
      </c>
    </row>
    <row r="117" spans="1:23" x14ac:dyDescent="0.25">
      <c r="A117" s="26" t="str">
        <f t="shared" si="9"/>
        <v>PREESCOLAR</v>
      </c>
      <c r="B117" s="26" t="str">
        <f>"09DJN0148Q"</f>
        <v>09DJN0148Q</v>
      </c>
      <c r="C117" s="26" t="str">
        <f>"MARIA LUISA DE LA TORRE                                                                             "</f>
        <v xml:space="preserve">MARIA LUISA DE LA TORRE                                                                             </v>
      </c>
      <c r="D117" s="26" t="str">
        <f>"JORNADA AMPLIADA"</f>
        <v>JORNADA AMPLIADA</v>
      </c>
      <c r="E117" s="26" t="str">
        <f>"LAGO CHAPALA NO. 33                                                             "</f>
        <v xml:space="preserve">LAGO CHAPALA NO. 33                                                             </v>
      </c>
      <c r="F117" s="26" t="str">
        <f>"ANAHUAC I                                                                                                                                   "</f>
        <v xml:space="preserve">ANAHUAC I                                                                                                                                   </v>
      </c>
      <c r="G117" s="26" t="str">
        <f>"MIGUEL HIDALGO                                                                  "</f>
        <v xml:space="preserve">MIGUEL HIDALGO                                                                  </v>
      </c>
      <c r="H117" s="26" t="str">
        <f>"012"</f>
        <v>012</v>
      </c>
      <c r="I117" s="26" t="str">
        <f t="shared" si="10"/>
        <v>00</v>
      </c>
      <c r="J117" s="26" t="str">
        <f>"31 "</f>
        <v xml:space="preserve">31 </v>
      </c>
      <c r="K117" s="26" t="str">
        <f t="shared" si="12"/>
        <v>EP</v>
      </c>
      <c r="L117" s="26" t="str">
        <f t="shared" si="13"/>
        <v>DGOSE</v>
      </c>
      <c r="M117" s="26" t="str">
        <f t="shared" si="11"/>
        <v>FEDERAL</v>
      </c>
      <c r="N117" s="26">
        <v>59</v>
      </c>
      <c r="O117" s="26">
        <v>32</v>
      </c>
      <c r="P117" s="26">
        <v>27</v>
      </c>
      <c r="Q117" s="26">
        <v>3</v>
      </c>
      <c r="R117" s="26">
        <v>1</v>
      </c>
      <c r="S117" s="26">
        <v>3</v>
      </c>
      <c r="T117" s="26">
        <v>7</v>
      </c>
      <c r="U117" s="26">
        <v>11</v>
      </c>
      <c r="V117" s="26">
        <v>1</v>
      </c>
      <c r="W117" s="26" t="s">
        <v>2076</v>
      </c>
    </row>
    <row r="118" spans="1:23" x14ac:dyDescent="0.25">
      <c r="A118" s="26" t="str">
        <f t="shared" si="9"/>
        <v>PREESCOLAR</v>
      </c>
      <c r="B118" s="26" t="str">
        <f>"09DJN0149P"</f>
        <v>09DJN0149P</v>
      </c>
      <c r="C118" s="26" t="str">
        <f>"LA MARINA                                                                                           "</f>
        <v xml:space="preserve">LA MARINA                                                                                           </v>
      </c>
      <c r="D118" s="26" t="str">
        <f>"TIEMPO COMPLETO"</f>
        <v>TIEMPO COMPLETO</v>
      </c>
      <c r="E118" s="26" t="str">
        <f>"BATALLA DE LA CARBONERA S/N                                                     "</f>
        <v xml:space="preserve">BATALLA DE LA CARBONERA S/N                                                     </v>
      </c>
      <c r="F118" s="26" t="str">
        <f>"RESIDENCIAL MILITAR                                                                                                                         "</f>
        <v xml:space="preserve">RESIDENCIAL MILITAR                                                                                                                         </v>
      </c>
      <c r="G118" s="26" t="str">
        <f>"MIGUEL HIDALGO                                                                  "</f>
        <v xml:space="preserve">MIGUEL HIDALGO                                                                  </v>
      </c>
      <c r="H118" s="26" t="str">
        <f>"136"</f>
        <v>136</v>
      </c>
      <c r="I118" s="26" t="str">
        <f t="shared" si="10"/>
        <v>00</v>
      </c>
      <c r="J118" s="26" t="str">
        <f>"31 "</f>
        <v xml:space="preserve">31 </v>
      </c>
      <c r="K118" s="26" t="str">
        <f t="shared" si="12"/>
        <v>EP</v>
      </c>
      <c r="L118" s="26" t="str">
        <f t="shared" si="13"/>
        <v>DGOSE</v>
      </c>
      <c r="M118" s="26" t="str">
        <f t="shared" si="11"/>
        <v>FEDERAL</v>
      </c>
      <c r="N118" s="26">
        <v>179</v>
      </c>
      <c r="O118" s="26">
        <v>89</v>
      </c>
      <c r="P118" s="26">
        <v>90</v>
      </c>
      <c r="Q118" s="26">
        <v>7</v>
      </c>
      <c r="R118" s="26">
        <v>2</v>
      </c>
      <c r="S118" s="26">
        <v>7</v>
      </c>
      <c r="T118" s="26">
        <v>19</v>
      </c>
      <c r="U118" s="26">
        <v>28</v>
      </c>
      <c r="V118" s="26">
        <v>1</v>
      </c>
      <c r="W118" s="26" t="s">
        <v>218</v>
      </c>
    </row>
    <row r="119" spans="1:23" x14ac:dyDescent="0.25">
      <c r="A119" s="26" t="str">
        <f t="shared" si="9"/>
        <v>PREESCOLAR</v>
      </c>
      <c r="B119" s="26" t="str">
        <f>"09DJN0152C"</f>
        <v>09DJN0152C</v>
      </c>
      <c r="C119" s="26" t="str">
        <f>"PEDRO PABLO RUBENS                                                                                  "</f>
        <v xml:space="preserve">PEDRO PABLO RUBENS                                                                                  </v>
      </c>
      <c r="D119" s="26" t="str">
        <f>"VESPERTINO"</f>
        <v>VESPERTINO</v>
      </c>
      <c r="E119" s="26" t="str">
        <f>"TRINIDAD S/N                                                                    "</f>
        <v xml:space="preserve">TRINIDAD S/N                                                                    </v>
      </c>
      <c r="F119" s="26" t="str">
        <f>"SAN LORENZO XICOTENCATL                                                                                                                     "</f>
        <v xml:space="preserve">SAN LORENZO XICOTENCATL                                                                                                                     </v>
      </c>
      <c r="G119" s="26" t="str">
        <f>"IZTAPALAPA                                                                      "</f>
        <v xml:space="preserve">IZTAPALAPA                                                                      </v>
      </c>
      <c r="H119" s="26" t="str">
        <f>"016"</f>
        <v>016</v>
      </c>
      <c r="I119" s="26" t="str">
        <f t="shared" si="10"/>
        <v>00</v>
      </c>
      <c r="J119" s="26" t="str">
        <f>"62 "</f>
        <v xml:space="preserve">62 </v>
      </c>
      <c r="K119" s="26" t="str">
        <f>"IZ"</f>
        <v>IZ</v>
      </c>
      <c r="L119" s="26" t="str">
        <f>"DGSEI"</f>
        <v>DGSEI</v>
      </c>
      <c r="M119" s="26" t="str">
        <f t="shared" si="11"/>
        <v>FEDERAL</v>
      </c>
      <c r="N119" s="26">
        <v>105</v>
      </c>
      <c r="O119" s="26">
        <v>44</v>
      </c>
      <c r="P119" s="26">
        <v>61</v>
      </c>
      <c r="Q119" s="26">
        <v>5</v>
      </c>
      <c r="R119" s="26">
        <v>1</v>
      </c>
      <c r="S119" s="26">
        <v>5</v>
      </c>
      <c r="T119" s="26">
        <v>3</v>
      </c>
      <c r="U119" s="26">
        <v>9</v>
      </c>
      <c r="V119" s="26">
        <v>1</v>
      </c>
      <c r="W119" s="26"/>
    </row>
    <row r="120" spans="1:23" x14ac:dyDescent="0.25">
      <c r="A120" s="26" t="str">
        <f t="shared" si="9"/>
        <v>PREESCOLAR</v>
      </c>
      <c r="B120" s="26" t="str">
        <f>"09DJN0153B"</f>
        <v>09DJN0153B</v>
      </c>
      <c r="C120" s="26" t="str">
        <f>"LUDWIG VAN BEETHOVEN                                                                                "</f>
        <v xml:space="preserve">LUDWIG VAN BEETHOVEN                                                                                </v>
      </c>
      <c r="D120" s="26" t="str">
        <f>"MATUTINO"</f>
        <v>MATUTINO</v>
      </c>
      <c r="E120" s="26" t="str">
        <f>"VOLCAN LANIN SUR Y VOLCAN TUXTLA                                                "</f>
        <v xml:space="preserve">VOLCAN LANIN SUR Y VOLCAN TUXTLA                                                </v>
      </c>
      <c r="F120" s="26" t="str">
        <f>"LA PROVIDENCIA                                                                                                                              "</f>
        <v xml:space="preserve">LA PROVIDENCIA                                                                                                                              </v>
      </c>
      <c r="G120" s="26" t="str">
        <f>"GUSTAVO A. MADERO                                                               "</f>
        <v xml:space="preserve">GUSTAVO A. MADERO                                                               </v>
      </c>
      <c r="H120" s="26" t="str">
        <f>"180"</f>
        <v>180</v>
      </c>
      <c r="I120" s="26" t="str">
        <f t="shared" si="10"/>
        <v>00</v>
      </c>
      <c r="J120" s="26" t="str">
        <f>"32 "</f>
        <v xml:space="preserve">32 </v>
      </c>
      <c r="K120" s="26" t="str">
        <f>"EP"</f>
        <v>EP</v>
      </c>
      <c r="L120" s="26" t="str">
        <f>"DGOSE"</f>
        <v>DGOSE</v>
      </c>
      <c r="M120" s="26" t="str">
        <f t="shared" si="11"/>
        <v>FEDERAL</v>
      </c>
      <c r="N120" s="26">
        <v>218</v>
      </c>
      <c r="O120" s="26">
        <v>108</v>
      </c>
      <c r="P120" s="26">
        <v>110</v>
      </c>
      <c r="Q120" s="26">
        <v>8</v>
      </c>
      <c r="R120" s="26">
        <v>1</v>
      </c>
      <c r="S120" s="26">
        <v>8</v>
      </c>
      <c r="T120" s="26">
        <v>5</v>
      </c>
      <c r="U120" s="26">
        <v>14</v>
      </c>
      <c r="V120" s="26">
        <v>1</v>
      </c>
      <c r="W120" s="26"/>
    </row>
    <row r="121" spans="1:23" x14ac:dyDescent="0.25">
      <c r="A121" s="26" t="str">
        <f t="shared" si="9"/>
        <v>PREESCOLAR</v>
      </c>
      <c r="B121" s="26" t="str">
        <f>"09DJN0155Z"</f>
        <v>09DJN0155Z</v>
      </c>
      <c r="C121" s="26" t="str">
        <f>"CAPITAN IGNACIO JOSE DE ALLENDE                                                                     "</f>
        <v xml:space="preserve">CAPITAN IGNACIO JOSE DE ALLENDE                                                                     </v>
      </c>
      <c r="D121" s="26" t="str">
        <f>"MATUTINO"</f>
        <v>MATUTINO</v>
      </c>
      <c r="E121" s="26" t="str">
        <f>"MIRADOR CHAPULTEPEC S/N                                                         "</f>
        <v xml:space="preserve">MIRADOR CHAPULTEPEC S/N                                                         </v>
      </c>
      <c r="F121" s="26" t="str">
        <f>"SAN MIGUEL TOPILEJO                                                                                                                         "</f>
        <v xml:space="preserve">SAN MIGUEL TOPILEJO                                                                                                                         </v>
      </c>
      <c r="G121" s="26" t="str">
        <f>"TLALPAN                                                                         "</f>
        <v xml:space="preserve">TLALPAN                                                                         </v>
      </c>
      <c r="H121" s="26" t="str">
        <f>"062"</f>
        <v>062</v>
      </c>
      <c r="I121" s="26" t="str">
        <f t="shared" si="10"/>
        <v>00</v>
      </c>
      <c r="J121" s="26" t="str">
        <f>"35 "</f>
        <v xml:space="preserve">35 </v>
      </c>
      <c r="K121" s="26" t="str">
        <f>"EP"</f>
        <v>EP</v>
      </c>
      <c r="L121" s="26" t="str">
        <f>"DGOSE"</f>
        <v>DGOSE</v>
      </c>
      <c r="M121" s="26" t="str">
        <f t="shared" si="11"/>
        <v>FEDERAL</v>
      </c>
      <c r="N121" s="26">
        <v>262</v>
      </c>
      <c r="O121" s="26">
        <v>125</v>
      </c>
      <c r="P121" s="26">
        <v>137</v>
      </c>
      <c r="Q121" s="26">
        <v>7</v>
      </c>
      <c r="R121" s="26">
        <v>1</v>
      </c>
      <c r="S121" s="26">
        <v>7</v>
      </c>
      <c r="T121" s="26">
        <v>4</v>
      </c>
      <c r="U121" s="26">
        <v>12</v>
      </c>
      <c r="V121" s="26">
        <v>1</v>
      </c>
      <c r="W121" s="26"/>
    </row>
    <row r="122" spans="1:23" x14ac:dyDescent="0.25">
      <c r="A122" s="26" t="str">
        <f t="shared" si="9"/>
        <v>PREESCOLAR</v>
      </c>
      <c r="B122" s="26" t="str">
        <f>"09DJN0156Z"</f>
        <v>09DJN0156Z</v>
      </c>
      <c r="C122" s="26" t="str">
        <f>"NORIA DE LAS FLORES                                                                                 "</f>
        <v xml:space="preserve">NORIA DE LAS FLORES                                                                                 </v>
      </c>
      <c r="D122" s="26" t="str">
        <f>"JORNADA AMPLIADA"</f>
        <v>JORNADA AMPLIADA</v>
      </c>
      <c r="E122" s="26" t="str">
        <f>"BATALLONES ROJOS NO. 205                                                        "</f>
        <v xml:space="preserve">BATALLONES ROJOS NO. 205                                                        </v>
      </c>
      <c r="F122" s="26" t="str">
        <f>"LA ALBARRADA                                                                                                                                "</f>
        <v xml:space="preserve">LA ALBARRADA                                                                                                                                </v>
      </c>
      <c r="G122" s="26" t="str">
        <f>"IZTAPALAPA                                                                      "</f>
        <v xml:space="preserve">IZTAPALAPA                                                                      </v>
      </c>
      <c r="H122" s="26" t="str">
        <f>"007"</f>
        <v>007</v>
      </c>
      <c r="I122" s="26" t="str">
        <f t="shared" si="10"/>
        <v>00</v>
      </c>
      <c r="J122" s="26" t="str">
        <f>"61 "</f>
        <v xml:space="preserve">61 </v>
      </c>
      <c r="K122" s="26" t="str">
        <f>"IZ"</f>
        <v>IZ</v>
      </c>
      <c r="L122" s="26" t="str">
        <f>"DGSEI"</f>
        <v>DGSEI</v>
      </c>
      <c r="M122" s="26" t="str">
        <f t="shared" si="11"/>
        <v>FEDERAL</v>
      </c>
      <c r="N122" s="26">
        <v>191</v>
      </c>
      <c r="O122" s="26">
        <v>94</v>
      </c>
      <c r="P122" s="26">
        <v>97</v>
      </c>
      <c r="Q122" s="26">
        <v>7</v>
      </c>
      <c r="R122" s="26">
        <v>1</v>
      </c>
      <c r="S122" s="26">
        <v>7</v>
      </c>
      <c r="T122" s="26">
        <v>5</v>
      </c>
      <c r="U122" s="26">
        <v>13</v>
      </c>
      <c r="V122" s="26">
        <v>1</v>
      </c>
      <c r="W122" s="26" t="s">
        <v>2076</v>
      </c>
    </row>
    <row r="123" spans="1:23" x14ac:dyDescent="0.25">
      <c r="A123" s="26" t="str">
        <f t="shared" si="9"/>
        <v>PREESCOLAR</v>
      </c>
      <c r="B123" s="26" t="str">
        <f>"09DJN0157Y"</f>
        <v>09DJN0157Y</v>
      </c>
      <c r="C123" s="26" t="str">
        <f>"20 DE NOVIEMBRE                                                                                     "</f>
        <v xml:space="preserve">20 DE NOVIEMBRE                                                                                     </v>
      </c>
      <c r="D123" s="26" t="str">
        <f>"JORNADA AMPLIADA"</f>
        <v>JORNADA AMPLIADA</v>
      </c>
      <c r="E123" s="26" t="str">
        <f>"CAMELLON ORIENTE 95 Y NORTE 64-A                                                "</f>
        <v xml:space="preserve">CAMELLON ORIENTE 95 Y NORTE 64-A                                                </v>
      </c>
      <c r="F123" s="26" t="str">
        <f>"MARTIRES DE RIO BLANCO                                                                                                                      "</f>
        <v xml:space="preserve">MARTIRES DE RIO BLANCO                                                                                                                      </v>
      </c>
      <c r="G123" s="26" t="str">
        <f>"GUSTAVO A. MADERO                                                               "</f>
        <v xml:space="preserve">GUSTAVO A. MADERO                                                               </v>
      </c>
      <c r="H123" s="26" t="str">
        <f>"178"</f>
        <v>178</v>
      </c>
      <c r="I123" s="26" t="str">
        <f t="shared" si="10"/>
        <v>00</v>
      </c>
      <c r="J123" s="26" t="str">
        <f>"31 "</f>
        <v xml:space="preserve">31 </v>
      </c>
      <c r="K123" s="26" t="str">
        <f>"EP"</f>
        <v>EP</v>
      </c>
      <c r="L123" s="26" t="str">
        <f>"DGOSE"</f>
        <v>DGOSE</v>
      </c>
      <c r="M123" s="26" t="str">
        <f t="shared" si="11"/>
        <v>FEDERAL</v>
      </c>
      <c r="N123" s="26">
        <v>213</v>
      </c>
      <c r="O123" s="26">
        <v>109</v>
      </c>
      <c r="P123" s="26">
        <v>104</v>
      </c>
      <c r="Q123" s="26">
        <v>7</v>
      </c>
      <c r="R123" s="26">
        <v>1</v>
      </c>
      <c r="S123" s="26">
        <v>7</v>
      </c>
      <c r="T123" s="26">
        <v>5</v>
      </c>
      <c r="U123" s="26">
        <v>13</v>
      </c>
      <c r="V123" s="26">
        <v>1</v>
      </c>
      <c r="W123" s="26" t="s">
        <v>2076</v>
      </c>
    </row>
    <row r="124" spans="1:23" x14ac:dyDescent="0.25">
      <c r="A124" s="26" t="str">
        <f t="shared" si="9"/>
        <v>PREESCOLAR</v>
      </c>
      <c r="B124" s="26" t="str">
        <f>"09DJN0158X"</f>
        <v>09DJN0158X</v>
      </c>
      <c r="C124" s="26" t="str">
        <f>"COYO-HUA-CAN                                                                                        "</f>
        <v xml:space="preserve">COYO-HUA-CAN                                                                                        </v>
      </c>
      <c r="D124" s="26" t="str">
        <f>"VESPERTINO"</f>
        <v>VESPERTINO</v>
      </c>
      <c r="E124" s="26" t="str">
        <f>"TEPALCATZIN Y MIXTECAS                                                          "</f>
        <v xml:space="preserve">TEPALCATZIN Y MIXTECAS                                                          </v>
      </c>
      <c r="F124" s="26" t="str">
        <f>"AJUSCO                                                                                                                                      "</f>
        <v xml:space="preserve">AJUSCO                                                                                                                                      </v>
      </c>
      <c r="G124" s="26" t="str">
        <f>"COYOACAN                                                                        "</f>
        <v xml:space="preserve">COYOACAN                                                                        </v>
      </c>
      <c r="H124" s="26" t="str">
        <f>"211"</f>
        <v>211</v>
      </c>
      <c r="I124" s="26" t="str">
        <f t="shared" si="10"/>
        <v>00</v>
      </c>
      <c r="J124" s="26" t="str">
        <f>"35 "</f>
        <v xml:space="preserve">35 </v>
      </c>
      <c r="K124" s="26" t="str">
        <f>"EP"</f>
        <v>EP</v>
      </c>
      <c r="L124" s="26" t="str">
        <f>"DGOSE"</f>
        <v>DGOSE</v>
      </c>
      <c r="M124" s="26" t="str">
        <f t="shared" si="11"/>
        <v>FEDERAL</v>
      </c>
      <c r="N124" s="26">
        <v>116</v>
      </c>
      <c r="O124" s="26">
        <v>58</v>
      </c>
      <c r="P124" s="26">
        <v>58</v>
      </c>
      <c r="Q124" s="26">
        <v>4</v>
      </c>
      <c r="R124" s="26">
        <v>1</v>
      </c>
      <c r="S124" s="26">
        <v>4</v>
      </c>
      <c r="T124" s="26">
        <v>5</v>
      </c>
      <c r="U124" s="26">
        <v>10</v>
      </c>
      <c r="V124" s="26">
        <v>1</v>
      </c>
      <c r="W124" s="26"/>
    </row>
    <row r="125" spans="1:23" x14ac:dyDescent="0.25">
      <c r="A125" s="26" t="str">
        <f t="shared" si="9"/>
        <v>PREESCOLAR</v>
      </c>
      <c r="B125" s="26" t="str">
        <f>"09DJN0159W"</f>
        <v>09DJN0159W</v>
      </c>
      <c r="C125" s="26" t="str">
        <f>"TSITSIKI                                                                                            "</f>
        <v xml:space="preserve">TSITSIKI                                                                                            </v>
      </c>
      <c r="D125" s="26" t="str">
        <f>"TIEMPO COMPLETO"</f>
        <v>TIEMPO COMPLETO</v>
      </c>
      <c r="E125" s="26" t="str">
        <f>"TEHUANTEPEC S/N                                                                 "</f>
        <v xml:space="preserve">TEHUANTEPEC S/N                                                                 </v>
      </c>
      <c r="F125" s="26" t="str">
        <f>"LOS HORNOS                                                                                                                                  "</f>
        <v xml:space="preserve">LOS HORNOS                                                                                                                                  </v>
      </c>
      <c r="G125" s="26" t="str">
        <f>"TLALPAN                                                                         "</f>
        <v xml:space="preserve">TLALPAN                                                                         </v>
      </c>
      <c r="H125" s="26" t="str">
        <f>"139"</f>
        <v>139</v>
      </c>
      <c r="I125" s="26" t="str">
        <f t="shared" si="10"/>
        <v>00</v>
      </c>
      <c r="J125" s="26" t="str">
        <f>"34 "</f>
        <v xml:space="preserve">34 </v>
      </c>
      <c r="K125" s="26" t="str">
        <f>"EP"</f>
        <v>EP</v>
      </c>
      <c r="L125" s="26" t="str">
        <f>"DGOSE"</f>
        <v>DGOSE</v>
      </c>
      <c r="M125" s="26" t="str">
        <f t="shared" si="11"/>
        <v>FEDERAL</v>
      </c>
      <c r="N125" s="26">
        <v>138</v>
      </c>
      <c r="O125" s="26">
        <v>68</v>
      </c>
      <c r="P125" s="26">
        <v>70</v>
      </c>
      <c r="Q125" s="26">
        <v>5</v>
      </c>
      <c r="R125" s="26">
        <v>2</v>
      </c>
      <c r="S125" s="26">
        <v>5</v>
      </c>
      <c r="T125" s="26">
        <v>10</v>
      </c>
      <c r="U125" s="26">
        <v>17</v>
      </c>
      <c r="V125" s="26">
        <v>1</v>
      </c>
      <c r="W125" s="26" t="s">
        <v>218</v>
      </c>
    </row>
    <row r="126" spans="1:23" x14ac:dyDescent="0.25">
      <c r="A126" s="26" t="str">
        <f t="shared" si="9"/>
        <v>PREESCOLAR</v>
      </c>
      <c r="B126" s="26" t="str">
        <f>"09DJN0160L"</f>
        <v>09DJN0160L</v>
      </c>
      <c r="C126" s="26" t="str">
        <f>"DR. RIGOBERTO AGUILAR PICO                                                                          "</f>
        <v xml:space="preserve">DR. RIGOBERTO AGUILAR PICO                                                                          </v>
      </c>
      <c r="D126" s="26" t="str">
        <f>"JORNADA AMPLIADA"</f>
        <v>JORNADA AMPLIADA</v>
      </c>
      <c r="E126" s="26" t="str">
        <f>"LAGO VALPARAISO NO. 11                                                          "</f>
        <v xml:space="preserve">LAGO VALPARAISO NO. 11                                                          </v>
      </c>
      <c r="F126" s="26" t="str">
        <f>"ARGENTINA ANTIGUA                                                                                                                           "</f>
        <v xml:space="preserve">ARGENTINA ANTIGUA                                                                                                                           </v>
      </c>
      <c r="G126" s="26" t="str">
        <f>"MIGUEL HIDALGO                                                                  "</f>
        <v xml:space="preserve">MIGUEL HIDALGO                                                                  </v>
      </c>
      <c r="H126" s="26" t="str">
        <f>"136"</f>
        <v>136</v>
      </c>
      <c r="I126" s="26" t="str">
        <f t="shared" si="10"/>
        <v>00</v>
      </c>
      <c r="J126" s="26" t="str">
        <f>"31 "</f>
        <v xml:space="preserve">31 </v>
      </c>
      <c r="K126" s="26" t="str">
        <f>"EP"</f>
        <v>EP</v>
      </c>
      <c r="L126" s="26" t="str">
        <f>"DGOSE"</f>
        <v>DGOSE</v>
      </c>
      <c r="M126" s="26" t="str">
        <f t="shared" si="11"/>
        <v>FEDERAL</v>
      </c>
      <c r="N126" s="26">
        <v>108</v>
      </c>
      <c r="O126" s="26">
        <v>54</v>
      </c>
      <c r="P126" s="26">
        <v>54</v>
      </c>
      <c r="Q126" s="26">
        <v>5</v>
      </c>
      <c r="R126" s="26">
        <v>1</v>
      </c>
      <c r="S126" s="26">
        <v>5</v>
      </c>
      <c r="T126" s="26">
        <v>6</v>
      </c>
      <c r="U126" s="26">
        <v>12</v>
      </c>
      <c r="V126" s="26">
        <v>1</v>
      </c>
      <c r="W126" s="26" t="s">
        <v>2076</v>
      </c>
    </row>
    <row r="127" spans="1:23" x14ac:dyDescent="0.25">
      <c r="A127" s="26" t="str">
        <f t="shared" si="9"/>
        <v>PREESCOLAR</v>
      </c>
      <c r="B127" s="26" t="str">
        <f>"09DJN0161K"</f>
        <v>09DJN0161K</v>
      </c>
      <c r="C127" s="26" t="str">
        <f>"MEZTLI                                                                                              "</f>
        <v xml:space="preserve">MEZTLI                                                                                              </v>
      </c>
      <c r="D127" s="26" t="str">
        <f>"JORNADA AMPLIADA"</f>
        <v>JORNADA AMPLIADA</v>
      </c>
      <c r="E127" s="26" t="str">
        <f>"MANUEL CUEVAS S/N                                                               "</f>
        <v xml:space="preserve">MANUEL CUEVAS S/N                                                               </v>
      </c>
      <c r="F127" s="26" t="str">
        <f>"UNIDAD HABITACIONAL VICENTE GUERRER                                                                                                         "</f>
        <v xml:space="preserve">UNIDAD HABITACIONAL VICENTE GUERRER                                                                                                         </v>
      </c>
      <c r="G127" s="26" t="str">
        <f>"IZTAPALAPA                                                                      "</f>
        <v xml:space="preserve">IZTAPALAPA                                                                      </v>
      </c>
      <c r="H127" s="26" t="str">
        <f>"007"</f>
        <v>007</v>
      </c>
      <c r="I127" s="26" t="str">
        <f t="shared" si="10"/>
        <v>00</v>
      </c>
      <c r="J127" s="26" t="str">
        <f>"61 "</f>
        <v xml:space="preserve">61 </v>
      </c>
      <c r="K127" s="26" t="str">
        <f>"IZ"</f>
        <v>IZ</v>
      </c>
      <c r="L127" s="26" t="str">
        <f>"DGSEI"</f>
        <v>DGSEI</v>
      </c>
      <c r="M127" s="26" t="str">
        <f t="shared" si="11"/>
        <v>FEDERAL</v>
      </c>
      <c r="N127" s="26">
        <v>124</v>
      </c>
      <c r="O127" s="26">
        <v>76</v>
      </c>
      <c r="P127" s="26">
        <v>48</v>
      </c>
      <c r="Q127" s="26">
        <v>5</v>
      </c>
      <c r="R127" s="26">
        <v>0</v>
      </c>
      <c r="S127" s="26">
        <v>5</v>
      </c>
      <c r="T127" s="26">
        <v>5</v>
      </c>
      <c r="U127" s="26">
        <v>10</v>
      </c>
      <c r="V127" s="26">
        <v>1</v>
      </c>
      <c r="W127" s="26" t="s">
        <v>2076</v>
      </c>
    </row>
    <row r="128" spans="1:23" x14ac:dyDescent="0.25">
      <c r="A128" s="26" t="str">
        <f t="shared" si="9"/>
        <v>PREESCOLAR</v>
      </c>
      <c r="B128" s="26" t="str">
        <f>"09DJN0162J"</f>
        <v>09DJN0162J</v>
      </c>
      <c r="C128" s="26" t="str">
        <f>"REP. DE HAITI                                                                                       "</f>
        <v xml:space="preserve">REP. DE HAITI                                                                                       </v>
      </c>
      <c r="D128" s="26" t="str">
        <f>"JORNADA AMPLIADA"</f>
        <v>JORNADA AMPLIADA</v>
      </c>
      <c r="E128" s="26" t="str">
        <f>"LAGO ARGENTINA NO. 12                                                           "</f>
        <v xml:space="preserve">LAGO ARGENTINA NO. 12                                                           </v>
      </c>
      <c r="F128" s="26" t="str">
        <f>"ARGENTINA PONIENTE                                                                                                                          "</f>
        <v xml:space="preserve">ARGENTINA PONIENTE                                                                                                                          </v>
      </c>
      <c r="G128" s="26" t="str">
        <f>"MIGUEL HIDALGO                                                                  "</f>
        <v xml:space="preserve">MIGUEL HIDALGO                                                                  </v>
      </c>
      <c r="H128" s="26" t="str">
        <f>"206"</f>
        <v>206</v>
      </c>
      <c r="I128" s="26" t="str">
        <f t="shared" si="10"/>
        <v>00</v>
      </c>
      <c r="J128" s="26" t="str">
        <f>"31 "</f>
        <v xml:space="preserve">31 </v>
      </c>
      <c r="K128" s="26" t="str">
        <f t="shared" ref="K128:K145" si="15">"EP"</f>
        <v>EP</v>
      </c>
      <c r="L128" s="26" t="str">
        <f t="shared" ref="L128:L145" si="16">"DGOSE"</f>
        <v>DGOSE</v>
      </c>
      <c r="M128" s="26" t="str">
        <f t="shared" si="11"/>
        <v>FEDERAL</v>
      </c>
      <c r="N128" s="26">
        <v>117</v>
      </c>
      <c r="O128" s="26">
        <v>62</v>
      </c>
      <c r="P128" s="26">
        <v>55</v>
      </c>
      <c r="Q128" s="26">
        <v>5</v>
      </c>
      <c r="R128" s="26">
        <v>1</v>
      </c>
      <c r="S128" s="26">
        <v>5</v>
      </c>
      <c r="T128" s="26">
        <v>6</v>
      </c>
      <c r="U128" s="26">
        <v>12</v>
      </c>
      <c r="V128" s="26">
        <v>1</v>
      </c>
      <c r="W128" s="26" t="s">
        <v>2076</v>
      </c>
    </row>
    <row r="129" spans="1:23" x14ac:dyDescent="0.25">
      <c r="A129" s="26" t="str">
        <f t="shared" si="9"/>
        <v>PREESCOLAR</v>
      </c>
      <c r="B129" s="26" t="str">
        <f>"09DJN0163I"</f>
        <v>09DJN0163I</v>
      </c>
      <c r="C129" s="26" t="str">
        <f>"MAZATL                                                                                              "</f>
        <v xml:space="preserve">MAZATL                                                                                              </v>
      </c>
      <c r="D129" s="26" t="str">
        <f>"TIEMPO COMPLETO"</f>
        <v>TIEMPO COMPLETO</v>
      </c>
      <c r="E129" s="26" t="str">
        <f>"MATANZAS NO. 1154 Y LA RIOJA                                                    "</f>
        <v xml:space="preserve">MATANZAS NO. 1154 Y LA RIOJA                                                    </v>
      </c>
      <c r="F129" s="26" t="str">
        <f>"SAN PEDRO ZACATENCO                                                                                                                         "</f>
        <v xml:space="preserve">SAN PEDRO ZACATENCO                                                                                                                         </v>
      </c>
      <c r="G129" s="26" t="str">
        <f t="shared" ref="G129:G138" si="17">"GUSTAVO A. MADERO                                                               "</f>
        <v xml:space="preserve">GUSTAVO A. MADERO                                                               </v>
      </c>
      <c r="H129" s="26" t="str">
        <f>"194"</f>
        <v>194</v>
      </c>
      <c r="I129" s="26" t="str">
        <f t="shared" si="10"/>
        <v>00</v>
      </c>
      <c r="J129" s="26" t="str">
        <f>"31 "</f>
        <v xml:space="preserve">31 </v>
      </c>
      <c r="K129" s="26" t="str">
        <f t="shared" si="15"/>
        <v>EP</v>
      </c>
      <c r="L129" s="26" t="str">
        <f t="shared" si="16"/>
        <v>DGOSE</v>
      </c>
      <c r="M129" s="26" t="str">
        <f t="shared" si="11"/>
        <v>FEDERAL</v>
      </c>
      <c r="N129" s="26">
        <v>259</v>
      </c>
      <c r="O129" s="26">
        <v>141</v>
      </c>
      <c r="P129" s="26">
        <v>118</v>
      </c>
      <c r="Q129" s="26">
        <v>7</v>
      </c>
      <c r="R129" s="26">
        <v>2</v>
      </c>
      <c r="S129" s="26">
        <v>7</v>
      </c>
      <c r="T129" s="26">
        <v>15</v>
      </c>
      <c r="U129" s="26">
        <v>24</v>
      </c>
      <c r="V129" s="26">
        <v>1</v>
      </c>
      <c r="W129" s="26" t="s">
        <v>218</v>
      </c>
    </row>
    <row r="130" spans="1:23" x14ac:dyDescent="0.25">
      <c r="A130" s="26" t="str">
        <f t="shared" ref="A130:A193" si="18">"PREESCOLAR"</f>
        <v>PREESCOLAR</v>
      </c>
      <c r="B130" s="26" t="str">
        <f>"09DJN0164H"</f>
        <v>09DJN0164H</v>
      </c>
      <c r="C130" s="26" t="str">
        <f>"HEROES DE LA PATRIA                                                                                 "</f>
        <v xml:space="preserve">HEROES DE LA PATRIA                                                                                 </v>
      </c>
      <c r="D130" s="26" t="str">
        <f>"MATUTINO"</f>
        <v>MATUTINO</v>
      </c>
      <c r="E130" s="26" t="str">
        <f>"PUERTO COZUMEL S/N                                                              "</f>
        <v xml:space="preserve">PUERTO COZUMEL S/N                                                              </v>
      </c>
      <c r="F130" s="26" t="str">
        <f>"HEROES DE CHAPULTEPEC                                                                                                                       "</f>
        <v xml:space="preserve">HEROES DE CHAPULTEPEC                                                                                                                       </v>
      </c>
      <c r="G130" s="26" t="str">
        <f t="shared" si="17"/>
        <v xml:space="preserve">GUSTAVO A. MADERO                                                               </v>
      </c>
      <c r="H130" s="26" t="str">
        <f>"006"</f>
        <v>006</v>
      </c>
      <c r="I130" s="26" t="str">
        <f t="shared" ref="I130:I193" si="19">"00"</f>
        <v>00</v>
      </c>
      <c r="J130" s="26" t="str">
        <f>"32 "</f>
        <v xml:space="preserve">32 </v>
      </c>
      <c r="K130" s="26" t="str">
        <f t="shared" si="15"/>
        <v>EP</v>
      </c>
      <c r="L130" s="26" t="str">
        <f t="shared" si="16"/>
        <v>DGOSE</v>
      </c>
      <c r="M130" s="26" t="str">
        <f t="shared" ref="M130:M193" si="20">"FEDERAL"</f>
        <v>FEDERAL</v>
      </c>
      <c r="N130" s="26">
        <v>220</v>
      </c>
      <c r="O130" s="26">
        <v>96</v>
      </c>
      <c r="P130" s="26">
        <v>124</v>
      </c>
      <c r="Q130" s="26">
        <v>7</v>
      </c>
      <c r="R130" s="26">
        <v>1</v>
      </c>
      <c r="S130" s="26">
        <v>7</v>
      </c>
      <c r="T130" s="26">
        <v>3</v>
      </c>
      <c r="U130" s="26">
        <v>11</v>
      </c>
      <c r="V130" s="26">
        <v>1</v>
      </c>
      <c r="W130" s="26"/>
    </row>
    <row r="131" spans="1:23" x14ac:dyDescent="0.25">
      <c r="A131" s="26" t="str">
        <f t="shared" si="18"/>
        <v>PREESCOLAR</v>
      </c>
      <c r="B131" s="26" t="str">
        <f>"09DJN0165G"</f>
        <v>09DJN0165G</v>
      </c>
      <c r="C131" s="26" t="str">
        <f>"DR. JONAS E. SALK                                                                                   "</f>
        <v xml:space="preserve">DR. JONAS E. SALK                                                                                   </v>
      </c>
      <c r="D131" s="26" t="str">
        <f>"TIEMPO COMPLETO"</f>
        <v>TIEMPO COMPLETO</v>
      </c>
      <c r="E131" s="26" t="str">
        <f>"AV. 412-A Y 481                                                                 "</f>
        <v xml:space="preserve">AV. 412-A Y 481                                                                 </v>
      </c>
      <c r="F131" s="26" t="str">
        <f>"UNIDAD SAN JUAN DE ARAGON 7A SECCIO                                                                                                         "</f>
        <v xml:space="preserve">UNIDAD SAN JUAN DE ARAGON 7A SECCIO                                                                                                         </v>
      </c>
      <c r="G131" s="26" t="str">
        <f t="shared" si="17"/>
        <v xml:space="preserve">GUSTAVO A. MADERO                                                               </v>
      </c>
      <c r="H131" s="26" t="str">
        <f>"179"</f>
        <v>179</v>
      </c>
      <c r="I131" s="26" t="str">
        <f t="shared" si="19"/>
        <v>00</v>
      </c>
      <c r="J131" s="26" t="str">
        <f>"31 "</f>
        <v xml:space="preserve">31 </v>
      </c>
      <c r="K131" s="26" t="str">
        <f t="shared" si="15"/>
        <v>EP</v>
      </c>
      <c r="L131" s="26" t="str">
        <f t="shared" si="16"/>
        <v>DGOSE</v>
      </c>
      <c r="M131" s="26" t="str">
        <f t="shared" si="20"/>
        <v>FEDERAL</v>
      </c>
      <c r="N131" s="26">
        <v>167</v>
      </c>
      <c r="O131" s="26">
        <v>88</v>
      </c>
      <c r="P131" s="26">
        <v>79</v>
      </c>
      <c r="Q131" s="26">
        <v>6</v>
      </c>
      <c r="R131" s="26">
        <v>2</v>
      </c>
      <c r="S131" s="26">
        <v>6</v>
      </c>
      <c r="T131" s="26">
        <v>16</v>
      </c>
      <c r="U131" s="26">
        <v>24</v>
      </c>
      <c r="V131" s="26">
        <v>1</v>
      </c>
      <c r="W131" s="26" t="s">
        <v>218</v>
      </c>
    </row>
    <row r="132" spans="1:23" x14ac:dyDescent="0.25">
      <c r="A132" s="26" t="str">
        <f t="shared" si="18"/>
        <v>PREESCOLAR</v>
      </c>
      <c r="B132" s="26" t="str">
        <f>"09DJN0166F"</f>
        <v>09DJN0166F</v>
      </c>
      <c r="C132" s="26" t="str">
        <f>"GENOVEVA CORTES                                                                                     "</f>
        <v xml:space="preserve">GENOVEVA CORTES                                                                                     </v>
      </c>
      <c r="D132" s="26" t="str">
        <f>"JORNADA AMPLIADA"</f>
        <v>JORNADA AMPLIADA</v>
      </c>
      <c r="E132" s="26" t="str">
        <f>"AV. CENTENARIO NO. 1100                                                         "</f>
        <v xml:space="preserve">AV. CENTENARIO NO. 1100                                                         </v>
      </c>
      <c r="F132" s="26" t="str">
        <f>"ATZACOALCO                                                                                                                                  "</f>
        <v xml:space="preserve">ATZACOALCO                                                                                                                                  </v>
      </c>
      <c r="G132" s="26" t="str">
        <f t="shared" si="17"/>
        <v xml:space="preserve">GUSTAVO A. MADERO                                                               </v>
      </c>
      <c r="H132" s="26" t="str">
        <f>"179"</f>
        <v>179</v>
      </c>
      <c r="I132" s="26" t="str">
        <f t="shared" si="19"/>
        <v>00</v>
      </c>
      <c r="J132" s="26" t="str">
        <f>"31 "</f>
        <v xml:space="preserve">31 </v>
      </c>
      <c r="K132" s="26" t="str">
        <f t="shared" si="15"/>
        <v>EP</v>
      </c>
      <c r="L132" s="26" t="str">
        <f t="shared" si="16"/>
        <v>DGOSE</v>
      </c>
      <c r="M132" s="26" t="str">
        <f t="shared" si="20"/>
        <v>FEDERAL</v>
      </c>
      <c r="N132" s="26">
        <v>254</v>
      </c>
      <c r="O132" s="26">
        <v>128</v>
      </c>
      <c r="P132" s="26">
        <v>126</v>
      </c>
      <c r="Q132" s="26">
        <v>8</v>
      </c>
      <c r="R132" s="26">
        <v>1</v>
      </c>
      <c r="S132" s="26">
        <v>8</v>
      </c>
      <c r="T132" s="26">
        <v>5</v>
      </c>
      <c r="U132" s="26">
        <v>14</v>
      </c>
      <c r="V132" s="26">
        <v>1</v>
      </c>
      <c r="W132" s="26" t="s">
        <v>2076</v>
      </c>
    </row>
    <row r="133" spans="1:23" x14ac:dyDescent="0.25">
      <c r="A133" s="26" t="str">
        <f t="shared" si="18"/>
        <v>PREESCOLAR</v>
      </c>
      <c r="B133" s="26" t="str">
        <f>"09DJN0167E"</f>
        <v>09DJN0167E</v>
      </c>
      <c r="C133" s="26" t="str">
        <f>"CARMEN SERDAN                                                                                       "</f>
        <v xml:space="preserve">CARMEN SERDAN                                                                                       </v>
      </c>
      <c r="D133" s="26" t="str">
        <f>"MATUTINO"</f>
        <v>MATUTINO</v>
      </c>
      <c r="E133" s="26" t="str">
        <f>"FRAY TORIBIO DE BENAVENTE NO. 63                                                "</f>
        <v xml:space="preserve">FRAY TORIBIO DE BENAVENTE NO. 63                                                </v>
      </c>
      <c r="F133" s="26" t="str">
        <f>"VASCO DE QUIROGA                                                                                                                            "</f>
        <v xml:space="preserve">VASCO DE QUIROGA                                                                                                                            </v>
      </c>
      <c r="G133" s="26" t="str">
        <f t="shared" si="17"/>
        <v xml:space="preserve">GUSTAVO A. MADERO                                                               </v>
      </c>
      <c r="H133" s="26" t="str">
        <f>"195"</f>
        <v>195</v>
      </c>
      <c r="I133" s="26" t="str">
        <f t="shared" si="19"/>
        <v>00</v>
      </c>
      <c r="J133" s="26" t="str">
        <f>"32 "</f>
        <v xml:space="preserve">32 </v>
      </c>
      <c r="K133" s="26" t="str">
        <f t="shared" si="15"/>
        <v>EP</v>
      </c>
      <c r="L133" s="26" t="str">
        <f t="shared" si="16"/>
        <v>DGOSE</v>
      </c>
      <c r="M133" s="26" t="str">
        <f t="shared" si="20"/>
        <v>FEDERAL</v>
      </c>
      <c r="N133" s="26">
        <v>125</v>
      </c>
      <c r="O133" s="26">
        <v>58</v>
      </c>
      <c r="P133" s="26">
        <v>67</v>
      </c>
      <c r="Q133" s="26">
        <v>5</v>
      </c>
      <c r="R133" s="26">
        <v>1</v>
      </c>
      <c r="S133" s="26">
        <v>5</v>
      </c>
      <c r="T133" s="26">
        <v>5</v>
      </c>
      <c r="U133" s="26">
        <v>11</v>
      </c>
      <c r="V133" s="26">
        <v>1</v>
      </c>
      <c r="W133" s="26"/>
    </row>
    <row r="134" spans="1:23" x14ac:dyDescent="0.25">
      <c r="A134" s="26" t="str">
        <f t="shared" si="18"/>
        <v>PREESCOLAR</v>
      </c>
      <c r="B134" s="26" t="str">
        <f>"09DJN0168D"</f>
        <v>09DJN0168D</v>
      </c>
      <c r="C134" s="26" t="str">
        <f>"LIC. JOSE VASCONCELOS                                                                               "</f>
        <v xml:space="preserve">LIC. JOSE VASCONCELOS                                                                               </v>
      </c>
      <c r="D134" s="26" t="str">
        <f>"MATUTINO"</f>
        <v>MATUTINO</v>
      </c>
      <c r="E134" s="26" t="str">
        <f>"CALLE 311 NO. 185                                                               "</f>
        <v xml:space="preserve">CALLE 311 NO. 185                                                               </v>
      </c>
      <c r="F134" s="26" t="str">
        <f>"NUEVA ATZACOALCO                                                                                                                            "</f>
        <v xml:space="preserve">NUEVA ATZACOALCO                                                                                                                            </v>
      </c>
      <c r="G134" s="26" t="str">
        <f t="shared" si="17"/>
        <v xml:space="preserve">GUSTAVO A. MADERO                                                               </v>
      </c>
      <c r="H134" s="26" t="str">
        <f>"197"</f>
        <v>197</v>
      </c>
      <c r="I134" s="26" t="str">
        <f t="shared" si="19"/>
        <v>00</v>
      </c>
      <c r="J134" s="26" t="str">
        <f>"32 "</f>
        <v xml:space="preserve">32 </v>
      </c>
      <c r="K134" s="26" t="str">
        <f t="shared" si="15"/>
        <v>EP</v>
      </c>
      <c r="L134" s="26" t="str">
        <f t="shared" si="16"/>
        <v>DGOSE</v>
      </c>
      <c r="M134" s="26" t="str">
        <f t="shared" si="20"/>
        <v>FEDERAL</v>
      </c>
      <c r="N134" s="26">
        <v>237</v>
      </c>
      <c r="O134" s="26">
        <v>129</v>
      </c>
      <c r="P134" s="26">
        <v>108</v>
      </c>
      <c r="Q134" s="26">
        <v>8</v>
      </c>
      <c r="R134" s="26">
        <v>1</v>
      </c>
      <c r="S134" s="26">
        <v>8</v>
      </c>
      <c r="T134" s="26">
        <v>7</v>
      </c>
      <c r="U134" s="26">
        <v>16</v>
      </c>
      <c r="V134" s="26">
        <v>1</v>
      </c>
      <c r="W134" s="26"/>
    </row>
    <row r="135" spans="1:23" x14ac:dyDescent="0.25">
      <c r="A135" s="26" t="str">
        <f t="shared" si="18"/>
        <v>PREESCOLAR</v>
      </c>
      <c r="B135" s="26" t="str">
        <f>"09DJN0169C"</f>
        <v>09DJN0169C</v>
      </c>
      <c r="C135" s="26" t="str">
        <f>"LUIS PASTEUR                                                                                        "</f>
        <v xml:space="preserve">LUIS PASTEUR                                                                                        </v>
      </c>
      <c r="D135" s="26" t="str">
        <f>"TIEMPO COMPLETO"</f>
        <v>TIEMPO COMPLETO</v>
      </c>
      <c r="E135" s="26" t="str">
        <f>"ORIENTE 95 Y NORTE 90                                                           "</f>
        <v xml:space="preserve">ORIENTE 95 Y NORTE 90                                                           </v>
      </c>
      <c r="F135" s="26" t="str">
        <f>"MALINCHE                                                                                                                                    "</f>
        <v xml:space="preserve">MALINCHE                                                                                                                                    </v>
      </c>
      <c r="G135" s="26" t="str">
        <f t="shared" si="17"/>
        <v xml:space="preserve">GUSTAVO A. MADERO                                                               </v>
      </c>
      <c r="H135" s="26" t="str">
        <f>"178"</f>
        <v>178</v>
      </c>
      <c r="I135" s="26" t="str">
        <f t="shared" si="19"/>
        <v>00</v>
      </c>
      <c r="J135" s="26" t="str">
        <f>"31 "</f>
        <v xml:space="preserve">31 </v>
      </c>
      <c r="K135" s="26" t="str">
        <f t="shared" si="15"/>
        <v>EP</v>
      </c>
      <c r="L135" s="26" t="str">
        <f t="shared" si="16"/>
        <v>DGOSE</v>
      </c>
      <c r="M135" s="26" t="str">
        <f t="shared" si="20"/>
        <v>FEDERAL</v>
      </c>
      <c r="N135" s="26">
        <v>149</v>
      </c>
      <c r="O135" s="26">
        <v>73</v>
      </c>
      <c r="P135" s="26">
        <v>76</v>
      </c>
      <c r="Q135" s="26">
        <v>5</v>
      </c>
      <c r="R135" s="26">
        <v>2</v>
      </c>
      <c r="S135" s="26">
        <v>5</v>
      </c>
      <c r="T135" s="26">
        <v>16</v>
      </c>
      <c r="U135" s="26">
        <v>23</v>
      </c>
      <c r="V135" s="26">
        <v>1</v>
      </c>
      <c r="W135" s="26" t="s">
        <v>218</v>
      </c>
    </row>
    <row r="136" spans="1:23" x14ac:dyDescent="0.25">
      <c r="A136" s="26" t="str">
        <f t="shared" si="18"/>
        <v>PREESCOLAR</v>
      </c>
      <c r="B136" s="26" t="str">
        <f>"09DJN0170S"</f>
        <v>09DJN0170S</v>
      </c>
      <c r="C136" s="26" t="str">
        <f>"EDUCADORAS MEXICANAS                                                                                "</f>
        <v xml:space="preserve">EDUCADORAS MEXICANAS                                                                                </v>
      </c>
      <c r="D136" s="26" t="str">
        <f>"MATUTINO"</f>
        <v>MATUTINO</v>
      </c>
      <c r="E136" s="26" t="str">
        <f>"NORTE 84-A S/N                                                                  "</f>
        <v xml:space="preserve">NORTE 84-A S/N                                                                  </v>
      </c>
      <c r="F136" s="26" t="str">
        <f>"GERTRUDIS SANCHEZ 1A SECCION                                                                                                                "</f>
        <v xml:space="preserve">GERTRUDIS SANCHEZ 1A SECCION                                                                                                                </v>
      </c>
      <c r="G136" s="26" t="str">
        <f t="shared" si="17"/>
        <v xml:space="preserve">GUSTAVO A. MADERO                                                               </v>
      </c>
      <c r="H136" s="26" t="str">
        <f>"198"</f>
        <v>198</v>
      </c>
      <c r="I136" s="26" t="str">
        <f t="shared" si="19"/>
        <v>00</v>
      </c>
      <c r="J136" s="26" t="str">
        <f>"32 "</f>
        <v xml:space="preserve">32 </v>
      </c>
      <c r="K136" s="26" t="str">
        <f t="shared" si="15"/>
        <v>EP</v>
      </c>
      <c r="L136" s="26" t="str">
        <f t="shared" si="16"/>
        <v>DGOSE</v>
      </c>
      <c r="M136" s="26" t="str">
        <f t="shared" si="20"/>
        <v>FEDERAL</v>
      </c>
      <c r="N136" s="26">
        <v>166</v>
      </c>
      <c r="O136" s="26">
        <v>92</v>
      </c>
      <c r="P136" s="26">
        <v>74</v>
      </c>
      <c r="Q136" s="26">
        <v>6</v>
      </c>
      <c r="R136" s="26">
        <v>1</v>
      </c>
      <c r="S136" s="26">
        <v>6</v>
      </c>
      <c r="T136" s="26">
        <v>4</v>
      </c>
      <c r="U136" s="26">
        <v>11</v>
      </c>
      <c r="V136" s="26">
        <v>1</v>
      </c>
      <c r="W136" s="26"/>
    </row>
    <row r="137" spans="1:23" x14ac:dyDescent="0.25">
      <c r="A137" s="26" t="str">
        <f t="shared" si="18"/>
        <v>PREESCOLAR</v>
      </c>
      <c r="B137" s="26" t="str">
        <f>"09DJN0171R"</f>
        <v>09DJN0171R</v>
      </c>
      <c r="C137" s="26" t="str">
        <f>"JUAN ESCUTIA                                                                                        "</f>
        <v xml:space="preserve">JUAN ESCUTIA                                                                                        </v>
      </c>
      <c r="D137" s="26" t="str">
        <f>"MATUTINO"</f>
        <v>MATUTINO</v>
      </c>
      <c r="E137" s="26" t="str">
        <f>"PUERTO MAZATLAN S/N                                                             "</f>
        <v xml:space="preserve">PUERTO MAZATLAN S/N                                                             </v>
      </c>
      <c r="F137" s="26" t="str">
        <f>"CASAS ALEMAN                                                                                                                                "</f>
        <v xml:space="preserve">CASAS ALEMAN                                                                                                                                </v>
      </c>
      <c r="G137" s="26" t="str">
        <f t="shared" si="17"/>
        <v xml:space="preserve">GUSTAVO A. MADERO                                                               </v>
      </c>
      <c r="H137" s="26" t="str">
        <f>"006"</f>
        <v>006</v>
      </c>
      <c r="I137" s="26" t="str">
        <f t="shared" si="19"/>
        <v>00</v>
      </c>
      <c r="J137" s="26" t="str">
        <f>"32 "</f>
        <v xml:space="preserve">32 </v>
      </c>
      <c r="K137" s="26" t="str">
        <f t="shared" si="15"/>
        <v>EP</v>
      </c>
      <c r="L137" s="26" t="str">
        <f t="shared" si="16"/>
        <v>DGOSE</v>
      </c>
      <c r="M137" s="26" t="str">
        <f t="shared" si="20"/>
        <v>FEDERAL</v>
      </c>
      <c r="N137" s="26">
        <v>244</v>
      </c>
      <c r="O137" s="26">
        <v>117</v>
      </c>
      <c r="P137" s="26">
        <v>127</v>
      </c>
      <c r="Q137" s="26">
        <v>8</v>
      </c>
      <c r="R137" s="26">
        <v>1</v>
      </c>
      <c r="S137" s="26">
        <v>7</v>
      </c>
      <c r="T137" s="26">
        <v>9</v>
      </c>
      <c r="U137" s="26">
        <v>17</v>
      </c>
      <c r="V137" s="26">
        <v>1</v>
      </c>
      <c r="W137" s="26"/>
    </row>
    <row r="138" spans="1:23" x14ac:dyDescent="0.25">
      <c r="A138" s="26" t="str">
        <f t="shared" si="18"/>
        <v>PREESCOLAR</v>
      </c>
      <c r="B138" s="26" t="str">
        <f>"09DJN0172Q"</f>
        <v>09DJN0172Q</v>
      </c>
      <c r="C138" s="26" t="str">
        <f>"AMISTAD BRITANICO MEXICANA                                                                          "</f>
        <v xml:space="preserve">AMISTAD BRITANICO MEXICANA                                                                          </v>
      </c>
      <c r="D138" s="26" t="str">
        <f>"TIEMPO COMPLETO"</f>
        <v>TIEMPO COMPLETO</v>
      </c>
      <c r="E138" s="26" t="str">
        <f>"NORTE 70-A S/N                                                                  "</f>
        <v xml:space="preserve">NORTE 70-A S/N                                                                  </v>
      </c>
      <c r="F138" s="26" t="str">
        <f>"BONDOJITO                                                                                                                                   "</f>
        <v xml:space="preserve">BONDOJITO                                                                                                                                   </v>
      </c>
      <c r="G138" s="26" t="str">
        <f t="shared" si="17"/>
        <v xml:space="preserve">GUSTAVO A. MADERO                                                               </v>
      </c>
      <c r="H138" s="26" t="str">
        <f>"178"</f>
        <v>178</v>
      </c>
      <c r="I138" s="26" t="str">
        <f t="shared" si="19"/>
        <v>00</v>
      </c>
      <c r="J138" s="26" t="str">
        <f>"31 "</f>
        <v xml:space="preserve">31 </v>
      </c>
      <c r="K138" s="26" t="str">
        <f t="shared" si="15"/>
        <v>EP</v>
      </c>
      <c r="L138" s="26" t="str">
        <f t="shared" si="16"/>
        <v>DGOSE</v>
      </c>
      <c r="M138" s="26" t="str">
        <f t="shared" si="20"/>
        <v>FEDERAL</v>
      </c>
      <c r="N138" s="26">
        <v>253</v>
      </c>
      <c r="O138" s="26">
        <v>120</v>
      </c>
      <c r="P138" s="26">
        <v>133</v>
      </c>
      <c r="Q138" s="26">
        <v>8</v>
      </c>
      <c r="R138" s="26">
        <v>2</v>
      </c>
      <c r="S138" s="26">
        <v>8</v>
      </c>
      <c r="T138" s="26">
        <v>15</v>
      </c>
      <c r="U138" s="26">
        <v>25</v>
      </c>
      <c r="V138" s="26">
        <v>1</v>
      </c>
      <c r="W138" s="26" t="s">
        <v>218</v>
      </c>
    </row>
    <row r="139" spans="1:23" x14ac:dyDescent="0.25">
      <c r="A139" s="26" t="str">
        <f t="shared" si="18"/>
        <v>PREESCOLAR</v>
      </c>
      <c r="B139" s="26" t="str">
        <f>"09DJN0173P"</f>
        <v>09DJN0173P</v>
      </c>
      <c r="C139" s="26" t="str">
        <f>"ING. PABLO SALINAS Y DELGADO                                                                        "</f>
        <v xml:space="preserve">ING. PABLO SALINAS Y DELGADO                                                                        </v>
      </c>
      <c r="D139" s="26" t="str">
        <f>"JORNADA AMPLIADA"</f>
        <v>JORNADA AMPLIADA</v>
      </c>
      <c r="E139" s="26" t="str">
        <f>"PROLONG. CIPRES NO. 621                                                         "</f>
        <v xml:space="preserve">PROLONG. CIPRES NO. 621                                                         </v>
      </c>
      <c r="F139" s="26" t="str">
        <f>"DEL GAS                                                                                                                                     "</f>
        <v xml:space="preserve">DEL GAS                                                                                                                                     </v>
      </c>
      <c r="G139" s="26" t="str">
        <f>"AZCAPOTZALCO                                                                    "</f>
        <v xml:space="preserve">AZCAPOTZALCO                                                                    </v>
      </c>
      <c r="H139" s="26" t="str">
        <f>"129"</f>
        <v>129</v>
      </c>
      <c r="I139" s="26" t="str">
        <f t="shared" si="19"/>
        <v>00</v>
      </c>
      <c r="J139" s="26" t="str">
        <f>"31 "</f>
        <v xml:space="preserve">31 </v>
      </c>
      <c r="K139" s="26" t="str">
        <f t="shared" si="15"/>
        <v>EP</v>
      </c>
      <c r="L139" s="26" t="str">
        <f t="shared" si="16"/>
        <v>DGOSE</v>
      </c>
      <c r="M139" s="26" t="str">
        <f t="shared" si="20"/>
        <v>FEDERAL</v>
      </c>
      <c r="N139" s="26">
        <v>194</v>
      </c>
      <c r="O139" s="26">
        <v>93</v>
      </c>
      <c r="P139" s="26">
        <v>101</v>
      </c>
      <c r="Q139" s="26">
        <v>7</v>
      </c>
      <c r="R139" s="26">
        <v>1</v>
      </c>
      <c r="S139" s="26">
        <v>7</v>
      </c>
      <c r="T139" s="26">
        <v>8</v>
      </c>
      <c r="U139" s="26">
        <v>16</v>
      </c>
      <c r="V139" s="26">
        <v>1</v>
      </c>
      <c r="W139" s="26" t="s">
        <v>2076</v>
      </c>
    </row>
    <row r="140" spans="1:23" x14ac:dyDescent="0.25">
      <c r="A140" s="26" t="str">
        <f t="shared" si="18"/>
        <v>PREESCOLAR</v>
      </c>
      <c r="B140" s="26" t="str">
        <f>"09DJN0174O"</f>
        <v>09DJN0174O</v>
      </c>
      <c r="C140" s="26" t="str">
        <f>"CALMECAC                                                                                            "</f>
        <v xml:space="preserve">CALMECAC                                                                                            </v>
      </c>
      <c r="D140" s="26" t="str">
        <f>"TIEMPO COMPLETO"</f>
        <v>TIEMPO COMPLETO</v>
      </c>
      <c r="E140" s="26" t="str">
        <f>"AV. 587 S/N MZA. 13                                                             "</f>
        <v xml:space="preserve">AV. 587 S/N MZA. 13                                                             </v>
      </c>
      <c r="F140" s="26" t="str">
        <f>"UNIDAD SAN JUAN DE ARAGON 3A SECCIO                                                                                                         "</f>
        <v xml:space="preserve">UNIDAD SAN JUAN DE ARAGON 3A SECCIO                                                                                                         </v>
      </c>
      <c r="G140" s="26" t="str">
        <f>"GUSTAVO A. MADERO                                                               "</f>
        <v xml:space="preserve">GUSTAVO A. MADERO                                                               </v>
      </c>
      <c r="H140" s="26" t="str">
        <f>"179"</f>
        <v>179</v>
      </c>
      <c r="I140" s="26" t="str">
        <f t="shared" si="19"/>
        <v>00</v>
      </c>
      <c r="J140" s="26" t="str">
        <f>"31 "</f>
        <v xml:space="preserve">31 </v>
      </c>
      <c r="K140" s="26" t="str">
        <f t="shared" si="15"/>
        <v>EP</v>
      </c>
      <c r="L140" s="26" t="str">
        <f t="shared" si="16"/>
        <v>DGOSE</v>
      </c>
      <c r="M140" s="26" t="str">
        <f t="shared" si="20"/>
        <v>FEDERAL</v>
      </c>
      <c r="N140" s="26">
        <v>190</v>
      </c>
      <c r="O140" s="26">
        <v>99</v>
      </c>
      <c r="P140" s="26">
        <v>91</v>
      </c>
      <c r="Q140" s="26">
        <v>6</v>
      </c>
      <c r="R140" s="26">
        <v>2</v>
      </c>
      <c r="S140" s="26">
        <v>6</v>
      </c>
      <c r="T140" s="26">
        <v>19</v>
      </c>
      <c r="U140" s="26">
        <v>27</v>
      </c>
      <c r="V140" s="26">
        <v>1</v>
      </c>
      <c r="W140" s="26" t="s">
        <v>218</v>
      </c>
    </row>
    <row r="141" spans="1:23" x14ac:dyDescent="0.25">
      <c r="A141" s="26" t="str">
        <f t="shared" si="18"/>
        <v>PREESCOLAR</v>
      </c>
      <c r="B141" s="26" t="str">
        <f>"09DJN0175N"</f>
        <v>09DJN0175N</v>
      </c>
      <c r="C141" s="26" t="str">
        <f>"TILLOLI                                                                                             "</f>
        <v xml:space="preserve">TILLOLI                                                                                             </v>
      </c>
      <c r="D141" s="26" t="str">
        <f>"MATUTINO"</f>
        <v>MATUTINO</v>
      </c>
      <c r="E141" s="26" t="str">
        <f>"AV. 414-A Y 483 SUPER MZA. 31                                                   "</f>
        <v xml:space="preserve">AV. 414-A Y 483 SUPER MZA. 31                                                   </v>
      </c>
      <c r="F141" s="26" t="str">
        <f>"UNIDAD SAN JUAN DE ARAGON 7A SECCIO                                                                                                         "</f>
        <v xml:space="preserve">UNIDAD SAN JUAN DE ARAGON 7A SECCIO                                                                                                         </v>
      </c>
      <c r="G141" s="26" t="str">
        <f>"GUSTAVO A. MADERO                                                               "</f>
        <v xml:space="preserve">GUSTAVO A. MADERO                                                               </v>
      </c>
      <c r="H141" s="26" t="str">
        <f>"201"</f>
        <v>201</v>
      </c>
      <c r="I141" s="26" t="str">
        <f t="shared" si="19"/>
        <v>00</v>
      </c>
      <c r="J141" s="26" t="str">
        <f>"32 "</f>
        <v xml:space="preserve">32 </v>
      </c>
      <c r="K141" s="26" t="str">
        <f t="shared" si="15"/>
        <v>EP</v>
      </c>
      <c r="L141" s="26" t="str">
        <f t="shared" si="16"/>
        <v>DGOSE</v>
      </c>
      <c r="M141" s="26" t="str">
        <f t="shared" si="20"/>
        <v>FEDERAL</v>
      </c>
      <c r="N141" s="26">
        <v>170</v>
      </c>
      <c r="O141" s="26">
        <v>84</v>
      </c>
      <c r="P141" s="26">
        <v>86</v>
      </c>
      <c r="Q141" s="26">
        <v>5</v>
      </c>
      <c r="R141" s="26">
        <v>1</v>
      </c>
      <c r="S141" s="26">
        <v>5</v>
      </c>
      <c r="T141" s="26">
        <v>5</v>
      </c>
      <c r="U141" s="26">
        <v>11</v>
      </c>
      <c r="V141" s="26">
        <v>1</v>
      </c>
      <c r="W141" s="26"/>
    </row>
    <row r="142" spans="1:23" x14ac:dyDescent="0.25">
      <c r="A142" s="26" t="str">
        <f t="shared" si="18"/>
        <v>PREESCOLAR</v>
      </c>
      <c r="B142" s="26" t="str">
        <f>"09DJN0178K"</f>
        <v>09DJN0178K</v>
      </c>
      <c r="C142" s="26" t="str">
        <f>"CONETL                                                                                              "</f>
        <v xml:space="preserve">CONETL                                                                                              </v>
      </c>
      <c r="D142" s="26" t="str">
        <f>"JORNADA AMPLIADA"</f>
        <v>JORNADA AMPLIADA</v>
      </c>
      <c r="E142" s="26" t="str">
        <f>"AV. 509 NO. 121                                                                 "</f>
        <v xml:space="preserve">AV. 509 NO. 121                                                                 </v>
      </c>
      <c r="F142" s="26" t="str">
        <f>"UNIDAD SAN JUAN DE ARAGON 1A SECCIO                                                                                                         "</f>
        <v xml:space="preserve">UNIDAD SAN JUAN DE ARAGON 1A SECCIO                                                                                                         </v>
      </c>
      <c r="G142" s="26" t="str">
        <f>"GUSTAVO A. MADERO                                                               "</f>
        <v xml:space="preserve">GUSTAVO A. MADERO                                                               </v>
      </c>
      <c r="H142" s="26" t="str">
        <f>"063"</f>
        <v>063</v>
      </c>
      <c r="I142" s="26" t="str">
        <f t="shared" si="19"/>
        <v>00</v>
      </c>
      <c r="J142" s="26" t="str">
        <f>"31 "</f>
        <v xml:space="preserve">31 </v>
      </c>
      <c r="K142" s="26" t="str">
        <f t="shared" si="15"/>
        <v>EP</v>
      </c>
      <c r="L142" s="26" t="str">
        <f t="shared" si="16"/>
        <v>DGOSE</v>
      </c>
      <c r="M142" s="26" t="str">
        <f t="shared" si="20"/>
        <v>FEDERAL</v>
      </c>
      <c r="N142" s="26">
        <v>199</v>
      </c>
      <c r="O142" s="26">
        <v>105</v>
      </c>
      <c r="P142" s="26">
        <v>94</v>
      </c>
      <c r="Q142" s="26">
        <v>6</v>
      </c>
      <c r="R142" s="26">
        <v>1</v>
      </c>
      <c r="S142" s="26">
        <v>6</v>
      </c>
      <c r="T142" s="26">
        <v>8</v>
      </c>
      <c r="U142" s="26">
        <v>15</v>
      </c>
      <c r="V142" s="26">
        <v>1</v>
      </c>
      <c r="W142" s="26" t="s">
        <v>2076</v>
      </c>
    </row>
    <row r="143" spans="1:23" x14ac:dyDescent="0.25">
      <c r="A143" s="26" t="str">
        <f t="shared" si="18"/>
        <v>PREESCOLAR</v>
      </c>
      <c r="B143" s="26" t="str">
        <f>"09DJN0179J"</f>
        <v>09DJN0179J</v>
      </c>
      <c r="C143" s="26" t="str">
        <f>"LEONA VICARIO                                                                                       "</f>
        <v xml:space="preserve">LEONA VICARIO                                                                                       </v>
      </c>
      <c r="D143" s="26" t="str">
        <f>"JORNADA AMPLIADA"</f>
        <v>JORNADA AMPLIADA</v>
      </c>
      <c r="E143" s="26" t="str">
        <f>"NORTE 13-A NO. 5331                                                             "</f>
        <v xml:space="preserve">NORTE 13-A NO. 5331                                                             </v>
      </c>
      <c r="F143" s="26" t="str">
        <f>"NUEVA VALLEJO                                                                                                                               "</f>
        <v xml:space="preserve">NUEVA VALLEJO                                                                                                                               </v>
      </c>
      <c r="G143" s="26" t="str">
        <f>"GUSTAVO A. MADERO                                                               "</f>
        <v xml:space="preserve">GUSTAVO A. MADERO                                                               </v>
      </c>
      <c r="H143" s="26" t="str">
        <f>"004"</f>
        <v>004</v>
      </c>
      <c r="I143" s="26" t="str">
        <f t="shared" si="19"/>
        <v>00</v>
      </c>
      <c r="J143" s="26" t="str">
        <f>"31 "</f>
        <v xml:space="preserve">31 </v>
      </c>
      <c r="K143" s="26" t="str">
        <f t="shared" si="15"/>
        <v>EP</v>
      </c>
      <c r="L143" s="26" t="str">
        <f t="shared" si="16"/>
        <v>DGOSE</v>
      </c>
      <c r="M143" s="26" t="str">
        <f t="shared" si="20"/>
        <v>FEDERAL</v>
      </c>
      <c r="N143" s="26">
        <v>115</v>
      </c>
      <c r="O143" s="26">
        <v>56</v>
      </c>
      <c r="P143" s="26">
        <v>59</v>
      </c>
      <c r="Q143" s="26">
        <v>4</v>
      </c>
      <c r="R143" s="26">
        <v>1</v>
      </c>
      <c r="S143" s="26">
        <v>4</v>
      </c>
      <c r="T143" s="26">
        <v>6</v>
      </c>
      <c r="U143" s="26">
        <v>11</v>
      </c>
      <c r="V143" s="26">
        <v>1</v>
      </c>
      <c r="W143" s="26" t="s">
        <v>2076</v>
      </c>
    </row>
    <row r="144" spans="1:23" x14ac:dyDescent="0.25">
      <c r="A144" s="26" t="str">
        <f t="shared" si="18"/>
        <v>PREESCOLAR</v>
      </c>
      <c r="B144" s="26" t="str">
        <f>"09DJN0180Z"</f>
        <v>09DJN0180Z</v>
      </c>
      <c r="C144" s="26" t="str">
        <f>"MARIA CRISTINA VELASCO GARDUÑO                                                                      "</f>
        <v xml:space="preserve">MARIA CRISTINA VELASCO GARDUÑO                                                                      </v>
      </c>
      <c r="D144" s="26" t="str">
        <f>"JORNADA AMPLIADA"</f>
        <v>JORNADA AMPLIADA</v>
      </c>
      <c r="E144" s="26" t="str">
        <f>"AV. 531 NO. 173 MZA-5                                                           "</f>
        <v xml:space="preserve">AV. 531 NO. 173 MZA-5                                                           </v>
      </c>
      <c r="F144" s="26" t="str">
        <f>"UNIDAD SAN JUAN DE ARAGON                                                                                                                   "</f>
        <v xml:space="preserve">UNIDAD SAN JUAN DE ARAGON                                                                                                                   </v>
      </c>
      <c r="G144" s="26" t="str">
        <f>"GUSTAVO A. MADERO                                                               "</f>
        <v xml:space="preserve">GUSTAVO A. MADERO                                                               </v>
      </c>
      <c r="H144" s="26" t="str">
        <f>"063"</f>
        <v>063</v>
      </c>
      <c r="I144" s="26" t="str">
        <f t="shared" si="19"/>
        <v>00</v>
      </c>
      <c r="J144" s="26" t="str">
        <f>"31 "</f>
        <v xml:space="preserve">31 </v>
      </c>
      <c r="K144" s="26" t="str">
        <f t="shared" si="15"/>
        <v>EP</v>
      </c>
      <c r="L144" s="26" t="str">
        <f t="shared" si="16"/>
        <v>DGOSE</v>
      </c>
      <c r="M144" s="26" t="str">
        <f t="shared" si="20"/>
        <v>FEDERAL</v>
      </c>
      <c r="N144" s="26">
        <v>227</v>
      </c>
      <c r="O144" s="26">
        <v>108</v>
      </c>
      <c r="P144" s="26">
        <v>119</v>
      </c>
      <c r="Q144" s="26">
        <v>7</v>
      </c>
      <c r="R144" s="26">
        <v>1</v>
      </c>
      <c r="S144" s="26">
        <v>7</v>
      </c>
      <c r="T144" s="26">
        <v>8</v>
      </c>
      <c r="U144" s="26">
        <v>16</v>
      </c>
      <c r="V144" s="26">
        <v>1</v>
      </c>
      <c r="W144" s="26" t="s">
        <v>2076</v>
      </c>
    </row>
    <row r="145" spans="1:23" x14ac:dyDescent="0.25">
      <c r="A145" s="26" t="str">
        <f t="shared" si="18"/>
        <v>PREESCOLAR</v>
      </c>
      <c r="B145" s="26" t="str">
        <f>"09DJN0181Y"</f>
        <v>09DJN0181Y</v>
      </c>
      <c r="C145" s="26" t="str">
        <f>"JUANA PEREZ LUNA                                                                                    "</f>
        <v xml:space="preserve">JUANA PEREZ LUNA                                                                                    </v>
      </c>
      <c r="D145" s="26" t="str">
        <f>"TIEMPO COMPLETO"</f>
        <v>TIEMPO COMPLETO</v>
      </c>
      <c r="E145" s="26" t="str">
        <f>"ORIENTE 118 Y SUR 177                                                           "</f>
        <v xml:space="preserve">ORIENTE 118 Y SUR 177                                                           </v>
      </c>
      <c r="F145" s="26" t="str">
        <f>"CUCHILLA RAMOS MILLAN                                                                                                                       "</f>
        <v xml:space="preserve">CUCHILLA RAMOS MILLAN                                                                                                                       </v>
      </c>
      <c r="G145" s="26" t="str">
        <f>"IZTACALCO                                                                       "</f>
        <v xml:space="preserve">IZTACALCO                                                                       </v>
      </c>
      <c r="H145" s="26" t="str">
        <f>"072"</f>
        <v>072</v>
      </c>
      <c r="I145" s="26" t="str">
        <f t="shared" si="19"/>
        <v>00</v>
      </c>
      <c r="J145" s="26" t="str">
        <f>"31 "</f>
        <v xml:space="preserve">31 </v>
      </c>
      <c r="K145" s="26" t="str">
        <f t="shared" si="15"/>
        <v>EP</v>
      </c>
      <c r="L145" s="26" t="str">
        <f t="shared" si="16"/>
        <v>DGOSE</v>
      </c>
      <c r="M145" s="26" t="str">
        <f t="shared" si="20"/>
        <v>FEDERAL</v>
      </c>
      <c r="N145" s="26">
        <v>170</v>
      </c>
      <c r="O145" s="26">
        <v>82</v>
      </c>
      <c r="P145" s="26">
        <v>88</v>
      </c>
      <c r="Q145" s="26">
        <v>5</v>
      </c>
      <c r="R145" s="26">
        <v>2</v>
      </c>
      <c r="S145" s="26">
        <v>4</v>
      </c>
      <c r="T145" s="26">
        <v>13</v>
      </c>
      <c r="U145" s="26">
        <v>19</v>
      </c>
      <c r="V145" s="26">
        <v>1</v>
      </c>
      <c r="W145" s="26" t="s">
        <v>218</v>
      </c>
    </row>
    <row r="146" spans="1:23" x14ac:dyDescent="0.25">
      <c r="A146" s="26" t="str">
        <f t="shared" si="18"/>
        <v>PREESCOLAR</v>
      </c>
      <c r="B146" s="26" t="str">
        <f>"09DJN0182X"</f>
        <v>09DJN0182X</v>
      </c>
      <c r="C146" s="26" t="str">
        <f>"AMELIA BERNARD DE CASAS ALEMAN                                                                      "</f>
        <v xml:space="preserve">AMELIA BERNARD DE CASAS ALEMAN                                                                      </v>
      </c>
      <c r="D146" s="26" t="str">
        <f>"TIEMPO COMPLETO"</f>
        <v>TIEMPO COMPLETO</v>
      </c>
      <c r="E146" s="26" t="str">
        <f>"RADAMES GAXIOLA ANDRADE NO. 436                                                 "</f>
        <v xml:space="preserve">RADAMES GAXIOLA ANDRADE NO. 436                                                 </v>
      </c>
      <c r="F146" s="26" t="str">
        <f>"ESCUADRON 201                                                                                                                               "</f>
        <v xml:space="preserve">ESCUADRON 201                                                                                                                               </v>
      </c>
      <c r="G146" s="26" t="str">
        <f>"IZTAPALAPA                                                                      "</f>
        <v xml:space="preserve">IZTAPALAPA                                                                      </v>
      </c>
      <c r="H146" s="26" t="str">
        <f>"002"</f>
        <v>002</v>
      </c>
      <c r="I146" s="26" t="str">
        <f t="shared" si="19"/>
        <v>00</v>
      </c>
      <c r="J146" s="26" t="str">
        <f>"61 "</f>
        <v xml:space="preserve">61 </v>
      </c>
      <c r="K146" s="26" t="str">
        <f>"IZ"</f>
        <v>IZ</v>
      </c>
      <c r="L146" s="26" t="str">
        <f>"DGSEI"</f>
        <v>DGSEI</v>
      </c>
      <c r="M146" s="26" t="str">
        <f t="shared" si="20"/>
        <v>FEDERAL</v>
      </c>
      <c r="N146" s="26">
        <v>168</v>
      </c>
      <c r="O146" s="26">
        <v>89</v>
      </c>
      <c r="P146" s="26">
        <v>79</v>
      </c>
      <c r="Q146" s="26">
        <v>6</v>
      </c>
      <c r="R146" s="26">
        <v>1</v>
      </c>
      <c r="S146" s="26">
        <v>6</v>
      </c>
      <c r="T146" s="26">
        <v>8</v>
      </c>
      <c r="U146" s="26">
        <v>15</v>
      </c>
      <c r="V146" s="26">
        <v>1</v>
      </c>
      <c r="W146" s="26" t="s">
        <v>218</v>
      </c>
    </row>
    <row r="147" spans="1:23" x14ac:dyDescent="0.25">
      <c r="A147" s="26" t="str">
        <f t="shared" si="18"/>
        <v>PREESCOLAR</v>
      </c>
      <c r="B147" s="26" t="str">
        <f>"09DJN0183W"</f>
        <v>09DJN0183W</v>
      </c>
      <c r="C147" s="26" t="str">
        <f>"ESTEFANIA CASTAÑEDA                                                                                 "</f>
        <v xml:space="preserve">ESTEFANIA CASTAÑEDA                                                                                 </v>
      </c>
      <c r="D147" s="26" t="str">
        <f>"JORNADA AMPLIADA"</f>
        <v>JORNADA AMPLIADA</v>
      </c>
      <c r="E147" s="26" t="str">
        <f>"LOS JUAREZ NO. 9                                                                "</f>
        <v xml:space="preserve">LOS JUAREZ NO. 9                                                                </v>
      </c>
      <c r="F147" s="26" t="str">
        <f>"MIXCOAC                                                                                                                                     "</f>
        <v xml:space="preserve">MIXCOAC                                                                                                                                     </v>
      </c>
      <c r="G147" s="26" t="str">
        <f>"BENITO JUAREZ                                                                   "</f>
        <v xml:space="preserve">BENITO JUAREZ                                                                   </v>
      </c>
      <c r="H147" s="26" t="str">
        <f>"233"</f>
        <v>233</v>
      </c>
      <c r="I147" s="26" t="str">
        <f t="shared" si="19"/>
        <v>00</v>
      </c>
      <c r="J147" s="26" t="str">
        <f>"34 "</f>
        <v xml:space="preserve">34 </v>
      </c>
      <c r="K147" s="26" t="str">
        <f t="shared" ref="K147:K183" si="21">"EP"</f>
        <v>EP</v>
      </c>
      <c r="L147" s="26" t="str">
        <f t="shared" ref="L147:L183" si="22">"DGOSE"</f>
        <v>DGOSE</v>
      </c>
      <c r="M147" s="26" t="str">
        <f t="shared" si="20"/>
        <v>FEDERAL</v>
      </c>
      <c r="N147" s="26">
        <v>103</v>
      </c>
      <c r="O147" s="26">
        <v>45</v>
      </c>
      <c r="P147" s="26">
        <v>58</v>
      </c>
      <c r="Q147" s="26">
        <v>3</v>
      </c>
      <c r="R147" s="26">
        <v>1</v>
      </c>
      <c r="S147" s="26">
        <v>3</v>
      </c>
      <c r="T147" s="26">
        <v>5</v>
      </c>
      <c r="U147" s="26">
        <v>9</v>
      </c>
      <c r="V147" s="26">
        <v>1</v>
      </c>
      <c r="W147" s="26" t="s">
        <v>2076</v>
      </c>
    </row>
    <row r="148" spans="1:23" x14ac:dyDescent="0.25">
      <c r="A148" s="26" t="str">
        <f t="shared" si="18"/>
        <v>PREESCOLAR</v>
      </c>
      <c r="B148" s="26" t="str">
        <f>"09DJN0185U"</f>
        <v>09DJN0185U</v>
      </c>
      <c r="C148" s="26" t="str">
        <f>"TLAHUIZCALLI                                                                                        "</f>
        <v xml:space="preserve">TLAHUIZCALLI                                                                                        </v>
      </c>
      <c r="D148" s="26" t="str">
        <f>"JORNADA AMPLIADA"</f>
        <v>JORNADA AMPLIADA</v>
      </c>
      <c r="E148" s="26" t="str">
        <f>"PLAZUELA DE LOS REYES S/N                                                       "</f>
        <v xml:space="preserve">PLAZUELA DE LOS REYES S/N                                                       </v>
      </c>
      <c r="F148" s="26" t="str">
        <f>"LOS REYES                                                                                                                                   "</f>
        <v xml:space="preserve">LOS REYES                                                                                                                                   </v>
      </c>
      <c r="G148" s="26" t="str">
        <f>"COYOACAN                                                                        "</f>
        <v xml:space="preserve">COYOACAN                                                                        </v>
      </c>
      <c r="H148" s="26" t="str">
        <f>"044"</f>
        <v>044</v>
      </c>
      <c r="I148" s="26" t="str">
        <f t="shared" si="19"/>
        <v>00</v>
      </c>
      <c r="J148" s="26" t="str">
        <f>"34 "</f>
        <v xml:space="preserve">34 </v>
      </c>
      <c r="K148" s="26" t="str">
        <f t="shared" si="21"/>
        <v>EP</v>
      </c>
      <c r="L148" s="26" t="str">
        <f t="shared" si="22"/>
        <v>DGOSE</v>
      </c>
      <c r="M148" s="26" t="str">
        <f t="shared" si="20"/>
        <v>FEDERAL</v>
      </c>
      <c r="N148" s="26">
        <v>155</v>
      </c>
      <c r="O148" s="26">
        <v>84</v>
      </c>
      <c r="P148" s="26">
        <v>71</v>
      </c>
      <c r="Q148" s="26">
        <v>5</v>
      </c>
      <c r="R148" s="26">
        <v>1</v>
      </c>
      <c r="S148" s="26">
        <v>5</v>
      </c>
      <c r="T148" s="26">
        <v>7</v>
      </c>
      <c r="U148" s="26">
        <v>13</v>
      </c>
      <c r="V148" s="26">
        <v>1</v>
      </c>
      <c r="W148" s="26" t="s">
        <v>2076</v>
      </c>
    </row>
    <row r="149" spans="1:23" x14ac:dyDescent="0.25">
      <c r="A149" s="26" t="str">
        <f t="shared" si="18"/>
        <v>PREESCOLAR</v>
      </c>
      <c r="B149" s="26" t="str">
        <f>"09DJN0186T"</f>
        <v>09DJN0186T</v>
      </c>
      <c r="C149" s="26" t="str">
        <f>"GUADALUPE VICTORIA                                                                                  "</f>
        <v xml:space="preserve">GUADALUPE VICTORIA                                                                                  </v>
      </c>
      <c r="D149" s="26" t="str">
        <f>"TIEMPO COMPLETO"</f>
        <v>TIEMPO COMPLETO</v>
      </c>
      <c r="E149" s="26" t="str">
        <f>"MIER Y PESADO NO. 245                                                           "</f>
        <v xml:space="preserve">MIER Y PESADO NO. 245                                                           </v>
      </c>
      <c r="F149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149" s="26" t="str">
        <f>"BENITO JUAREZ                                                                   "</f>
        <v xml:space="preserve">BENITO JUAREZ                                                                   </v>
      </c>
      <c r="H149" s="26" t="str">
        <f>"088"</f>
        <v>088</v>
      </c>
      <c r="I149" s="26" t="str">
        <f t="shared" si="19"/>
        <v>00</v>
      </c>
      <c r="J149" s="26" t="str">
        <f>"34 "</f>
        <v xml:space="preserve">34 </v>
      </c>
      <c r="K149" s="26" t="str">
        <f t="shared" si="21"/>
        <v>EP</v>
      </c>
      <c r="L149" s="26" t="str">
        <f t="shared" si="22"/>
        <v>DGOSE</v>
      </c>
      <c r="M149" s="26" t="str">
        <f t="shared" si="20"/>
        <v>FEDERAL</v>
      </c>
      <c r="N149" s="26">
        <v>138</v>
      </c>
      <c r="O149" s="26">
        <v>71</v>
      </c>
      <c r="P149" s="26">
        <v>67</v>
      </c>
      <c r="Q149" s="26">
        <v>5</v>
      </c>
      <c r="R149" s="26">
        <v>2</v>
      </c>
      <c r="S149" s="26">
        <v>3</v>
      </c>
      <c r="T149" s="26">
        <v>15</v>
      </c>
      <c r="U149" s="26">
        <v>20</v>
      </c>
      <c r="V149" s="26">
        <v>1</v>
      </c>
      <c r="W149" s="26" t="s">
        <v>218</v>
      </c>
    </row>
    <row r="150" spans="1:23" x14ac:dyDescent="0.25">
      <c r="A150" s="26" t="str">
        <f t="shared" si="18"/>
        <v>PREESCOLAR</v>
      </c>
      <c r="B150" s="26" t="str">
        <f>"09DJN0189Q"</f>
        <v>09DJN0189Q</v>
      </c>
      <c r="C150" s="26" t="str">
        <f>"ESTADOS UNIDOS DE AMERICA                                                                           "</f>
        <v xml:space="preserve">ESTADOS UNIDOS DE AMERICA                                                                           </v>
      </c>
      <c r="D150" s="26" t="str">
        <f>"JORNADA AMPLIADA"</f>
        <v>JORNADA AMPLIADA</v>
      </c>
      <c r="E150" s="26" t="str">
        <f>"ANAXAGORAS NO. 541                                                              "</f>
        <v xml:space="preserve">ANAXAGORAS NO. 541                                                              </v>
      </c>
      <c r="F150" s="26" t="str">
        <f>"NARVARTE                                                                                                                                    "</f>
        <v xml:space="preserve">NARVARTE                                                                                                                                    </v>
      </c>
      <c r="G150" s="26" t="str">
        <f>"BENITO JUAREZ                                                                   "</f>
        <v xml:space="preserve">BENITO JUAREZ                                                                   </v>
      </c>
      <c r="H150" s="26" t="str">
        <f>"088"</f>
        <v>088</v>
      </c>
      <c r="I150" s="26" t="str">
        <f t="shared" si="19"/>
        <v>00</v>
      </c>
      <c r="J150" s="26" t="str">
        <f>"34 "</f>
        <v xml:space="preserve">34 </v>
      </c>
      <c r="K150" s="26" t="str">
        <f t="shared" si="21"/>
        <v>EP</v>
      </c>
      <c r="L150" s="26" t="str">
        <f t="shared" si="22"/>
        <v>DGOSE</v>
      </c>
      <c r="M150" s="26" t="str">
        <f t="shared" si="20"/>
        <v>FEDERAL</v>
      </c>
      <c r="N150" s="26">
        <v>109</v>
      </c>
      <c r="O150" s="26">
        <v>45</v>
      </c>
      <c r="P150" s="26">
        <v>64</v>
      </c>
      <c r="Q150" s="26">
        <v>5</v>
      </c>
      <c r="R150" s="26">
        <v>1</v>
      </c>
      <c r="S150" s="26">
        <v>5</v>
      </c>
      <c r="T150" s="26">
        <v>5</v>
      </c>
      <c r="U150" s="26">
        <v>11</v>
      </c>
      <c r="V150" s="26">
        <v>1</v>
      </c>
      <c r="W150" s="26" t="s">
        <v>2076</v>
      </c>
    </row>
    <row r="151" spans="1:23" x14ac:dyDescent="0.25">
      <c r="A151" s="26" t="str">
        <f t="shared" si="18"/>
        <v>PREESCOLAR</v>
      </c>
      <c r="B151" s="26" t="str">
        <f>"09DJN0190F"</f>
        <v>09DJN0190F</v>
      </c>
      <c r="C151" s="26" t="str">
        <f>"MIGUEL E. SCHULTZ                                                                                   "</f>
        <v xml:space="preserve">MIGUEL E. SCHULTZ                                                                                   </v>
      </c>
      <c r="D151" s="26" t="str">
        <f>"JORNADA AMPLIADA"</f>
        <v>JORNADA AMPLIADA</v>
      </c>
      <c r="E151" s="26" t="str">
        <f>"JOSE T. CUELLAR NO. 176                                                         "</f>
        <v xml:space="preserve">JOSE T. CUELLAR NO. 176                                                         </v>
      </c>
      <c r="F151" s="26" t="str">
        <f>"VISTA ALEGRE                                                                                                                                "</f>
        <v xml:space="preserve">VISTA ALEGRE                                                                                                                                </v>
      </c>
      <c r="G151" s="26" t="s">
        <v>4128</v>
      </c>
      <c r="H151" s="26" t="str">
        <f>"021"</f>
        <v>021</v>
      </c>
      <c r="I151" s="26" t="str">
        <f t="shared" si="19"/>
        <v>00</v>
      </c>
      <c r="J151" s="26" t="str">
        <f t="shared" ref="J151:J160" si="23">"31 "</f>
        <v xml:space="preserve">31 </v>
      </c>
      <c r="K151" s="26" t="str">
        <f t="shared" si="21"/>
        <v>EP</v>
      </c>
      <c r="L151" s="26" t="str">
        <f t="shared" si="22"/>
        <v>DGOSE</v>
      </c>
      <c r="M151" s="26" t="str">
        <f t="shared" si="20"/>
        <v>FEDERAL</v>
      </c>
      <c r="N151" s="26">
        <v>109</v>
      </c>
      <c r="O151" s="26">
        <v>56</v>
      </c>
      <c r="P151" s="26">
        <v>53</v>
      </c>
      <c r="Q151" s="26">
        <v>5</v>
      </c>
      <c r="R151" s="26">
        <v>1</v>
      </c>
      <c r="S151" s="26">
        <v>5</v>
      </c>
      <c r="T151" s="26">
        <v>3</v>
      </c>
      <c r="U151" s="26">
        <v>9</v>
      </c>
      <c r="V151" s="26">
        <v>1</v>
      </c>
      <c r="W151" s="26" t="s">
        <v>2076</v>
      </c>
    </row>
    <row r="152" spans="1:23" x14ac:dyDescent="0.25">
      <c r="A152" s="26" t="str">
        <f t="shared" si="18"/>
        <v>PREESCOLAR</v>
      </c>
      <c r="B152" s="26" t="str">
        <f>"09DJN0191E"</f>
        <v>09DJN0191E</v>
      </c>
      <c r="C152" s="26" t="str">
        <f>"AUSTRIA                                                                                             "</f>
        <v xml:space="preserve">AUSTRIA                                                                                             </v>
      </c>
      <c r="D152" s="26" t="str">
        <f>"TIEMPO COMPLETO"</f>
        <v>TIEMPO COMPLETO</v>
      </c>
      <c r="E152" s="26" t="str">
        <f>"MARIANO ESCOBEDO NO. 33 ESQ. MAR AZOF                                           "</f>
        <v xml:space="preserve">MARIANO ESCOBEDO NO. 33 ESQ. MAR AZOF                                           </v>
      </c>
      <c r="F152" s="26" t="str">
        <f>"POPOTLA                                                                                                                                     "</f>
        <v xml:space="preserve">POPOTLA                                                                                                                                     </v>
      </c>
      <c r="G152" s="26" t="str">
        <f>"MIGUEL HIDALGO                                                                  "</f>
        <v xml:space="preserve">MIGUEL HIDALGO                                                                  </v>
      </c>
      <c r="H152" s="26" t="str">
        <f>"120"</f>
        <v>120</v>
      </c>
      <c r="I152" s="26" t="str">
        <f t="shared" si="19"/>
        <v>00</v>
      </c>
      <c r="J152" s="26" t="str">
        <f t="shared" si="23"/>
        <v xml:space="preserve">31 </v>
      </c>
      <c r="K152" s="26" t="str">
        <f t="shared" si="21"/>
        <v>EP</v>
      </c>
      <c r="L152" s="26" t="str">
        <f t="shared" si="22"/>
        <v>DGOSE</v>
      </c>
      <c r="M152" s="26" t="str">
        <f t="shared" si="20"/>
        <v>FEDERAL</v>
      </c>
      <c r="N152" s="26">
        <v>124</v>
      </c>
      <c r="O152" s="26">
        <v>62</v>
      </c>
      <c r="P152" s="26">
        <v>62</v>
      </c>
      <c r="Q152" s="26">
        <v>7</v>
      </c>
      <c r="R152" s="26">
        <v>2</v>
      </c>
      <c r="S152" s="26">
        <v>7</v>
      </c>
      <c r="T152" s="26">
        <v>16</v>
      </c>
      <c r="U152" s="26">
        <v>25</v>
      </c>
      <c r="V152" s="26">
        <v>1</v>
      </c>
      <c r="W152" s="26" t="s">
        <v>218</v>
      </c>
    </row>
    <row r="153" spans="1:23" x14ac:dyDescent="0.25">
      <c r="A153" s="26" t="str">
        <f t="shared" si="18"/>
        <v>PREESCOLAR</v>
      </c>
      <c r="B153" s="26" t="str">
        <f>"09DJN0192D"</f>
        <v>09DJN0192D</v>
      </c>
      <c r="C153" s="26" t="str">
        <f>"PROFR. ANGEL SALAS                                                                                  "</f>
        <v xml:space="preserve">PROFR. ANGEL SALAS                                                                                  </v>
      </c>
      <c r="D153" s="26" t="str">
        <f>"JORNADA AMPLIADA"</f>
        <v>JORNADA AMPLIADA</v>
      </c>
      <c r="E153" s="26" t="str">
        <f>"ALLENDE NO. 147                                                                 "</f>
        <v xml:space="preserve">ALLENDE NO. 147                                                                 </v>
      </c>
      <c r="F153" s="26" t="str">
        <f>"CLAVERIA                                                                                                                                    "</f>
        <v xml:space="preserve">CLAVERIA                                                                                                                                    </v>
      </c>
      <c r="G153" s="26" t="str">
        <f>"AZCAPOTZALCO                                                                    "</f>
        <v xml:space="preserve">AZCAPOTZALCO                                                                    </v>
      </c>
      <c r="H153" s="26" t="str">
        <f>"007"</f>
        <v>007</v>
      </c>
      <c r="I153" s="26" t="str">
        <f t="shared" si="19"/>
        <v>00</v>
      </c>
      <c r="J153" s="26" t="str">
        <f t="shared" si="23"/>
        <v xml:space="preserve">31 </v>
      </c>
      <c r="K153" s="26" t="str">
        <f t="shared" si="21"/>
        <v>EP</v>
      </c>
      <c r="L153" s="26" t="str">
        <f t="shared" si="22"/>
        <v>DGOSE</v>
      </c>
      <c r="M153" s="26" t="str">
        <f t="shared" si="20"/>
        <v>FEDERAL</v>
      </c>
      <c r="N153" s="26">
        <v>143</v>
      </c>
      <c r="O153" s="26">
        <v>74</v>
      </c>
      <c r="P153" s="26">
        <v>69</v>
      </c>
      <c r="Q153" s="26">
        <v>7</v>
      </c>
      <c r="R153" s="26">
        <v>1</v>
      </c>
      <c r="S153" s="26">
        <v>6</v>
      </c>
      <c r="T153" s="26">
        <v>6</v>
      </c>
      <c r="U153" s="26">
        <v>13</v>
      </c>
      <c r="V153" s="26">
        <v>1</v>
      </c>
      <c r="W153" s="26" t="s">
        <v>2076</v>
      </c>
    </row>
    <row r="154" spans="1:23" x14ac:dyDescent="0.25">
      <c r="A154" s="26" t="str">
        <f t="shared" si="18"/>
        <v>PREESCOLAR</v>
      </c>
      <c r="B154" s="26" t="str">
        <f>"09DJN0193C"</f>
        <v>09DJN0193C</v>
      </c>
      <c r="C154" s="26" t="str">
        <f>"EJIDO DE TICOMAN                                                                                    "</f>
        <v xml:space="preserve">EJIDO DE TICOMAN                                                                                    </v>
      </c>
      <c r="D154" s="26" t="str">
        <f>"TIEMPO COMPLETO"</f>
        <v>TIEMPO COMPLETO</v>
      </c>
      <c r="E154" s="26" t="str">
        <f>"PATRIA Y ESCUADRON 201                                                          "</f>
        <v xml:space="preserve">PATRIA Y ESCUADRON 201                                                          </v>
      </c>
      <c r="F154" s="26" t="str">
        <f>"TICOMAN                                                                                                                                     "</f>
        <v xml:space="preserve">TICOMAN                                                                                                                                     </v>
      </c>
      <c r="G154" s="26" t="str">
        <f>"GUSTAVO A. MADERO                                                               "</f>
        <v xml:space="preserve">GUSTAVO A. MADERO                                                               </v>
      </c>
      <c r="H154" s="26" t="str">
        <f>"001"</f>
        <v>001</v>
      </c>
      <c r="I154" s="26" t="str">
        <f t="shared" si="19"/>
        <v>00</v>
      </c>
      <c r="J154" s="26" t="str">
        <f t="shared" si="23"/>
        <v xml:space="preserve">31 </v>
      </c>
      <c r="K154" s="26" t="str">
        <f t="shared" si="21"/>
        <v>EP</v>
      </c>
      <c r="L154" s="26" t="str">
        <f t="shared" si="22"/>
        <v>DGOSE</v>
      </c>
      <c r="M154" s="26" t="str">
        <f t="shared" si="20"/>
        <v>FEDERAL</v>
      </c>
      <c r="N154" s="26">
        <v>301</v>
      </c>
      <c r="O154" s="26">
        <v>162</v>
      </c>
      <c r="P154" s="26">
        <v>139</v>
      </c>
      <c r="Q154" s="26">
        <v>9</v>
      </c>
      <c r="R154" s="26">
        <v>0</v>
      </c>
      <c r="S154" s="26">
        <v>9</v>
      </c>
      <c r="T154" s="26">
        <v>19</v>
      </c>
      <c r="U154" s="26">
        <v>28</v>
      </c>
      <c r="V154" s="26">
        <v>1</v>
      </c>
      <c r="W154" s="26" t="s">
        <v>218</v>
      </c>
    </row>
    <row r="155" spans="1:23" x14ac:dyDescent="0.25">
      <c r="A155" s="26" t="str">
        <f t="shared" si="18"/>
        <v>PREESCOLAR</v>
      </c>
      <c r="B155" s="26" t="str">
        <f>"09DJN0194B"</f>
        <v>09DJN0194B</v>
      </c>
      <c r="C155" s="26" t="str">
        <f>"ZACATENCO                                                                                           "</f>
        <v xml:space="preserve">ZACATENCO                                                                                           </v>
      </c>
      <c r="D155" s="26" t="str">
        <f>"JORNADA AMPLIADA"</f>
        <v>JORNADA AMPLIADA</v>
      </c>
      <c r="E155" s="26" t="str">
        <f>"AV. ACUEDUCTO NO. 807                                                           "</f>
        <v xml:space="preserve">AV. ACUEDUCTO NO. 807                                                           </v>
      </c>
      <c r="F155" s="26" t="str">
        <f>"SAN PEDRO ZACATENCO                                                                                                                         "</f>
        <v xml:space="preserve">SAN PEDRO ZACATENCO                                                                                                                         </v>
      </c>
      <c r="G155" s="26" t="str">
        <f>"GUSTAVO A. MADERO                                                               "</f>
        <v xml:space="preserve">GUSTAVO A. MADERO                                                               </v>
      </c>
      <c r="H155" s="26" t="str">
        <f>"194"</f>
        <v>194</v>
      </c>
      <c r="I155" s="26" t="str">
        <f t="shared" si="19"/>
        <v>00</v>
      </c>
      <c r="J155" s="26" t="str">
        <f t="shared" si="23"/>
        <v xml:space="preserve">31 </v>
      </c>
      <c r="K155" s="26" t="str">
        <f t="shared" si="21"/>
        <v>EP</v>
      </c>
      <c r="L155" s="26" t="str">
        <f t="shared" si="22"/>
        <v>DGOSE</v>
      </c>
      <c r="M155" s="26" t="str">
        <f t="shared" si="20"/>
        <v>FEDERAL</v>
      </c>
      <c r="N155" s="26">
        <v>162</v>
      </c>
      <c r="O155" s="26">
        <v>79</v>
      </c>
      <c r="P155" s="26">
        <v>83</v>
      </c>
      <c r="Q155" s="26">
        <v>6</v>
      </c>
      <c r="R155" s="26">
        <v>1</v>
      </c>
      <c r="S155" s="26">
        <v>6</v>
      </c>
      <c r="T155" s="26">
        <v>7</v>
      </c>
      <c r="U155" s="26">
        <v>14</v>
      </c>
      <c r="V155" s="26">
        <v>1</v>
      </c>
      <c r="W155" s="26" t="s">
        <v>2076</v>
      </c>
    </row>
    <row r="156" spans="1:23" x14ac:dyDescent="0.25">
      <c r="A156" s="26" t="str">
        <f t="shared" si="18"/>
        <v>PREESCOLAR</v>
      </c>
      <c r="B156" s="26" t="str">
        <f>"09DJN0195A"</f>
        <v>09DJN0195A</v>
      </c>
      <c r="C156" s="26" t="str">
        <f>"18 DE MARZO                                                                                         "</f>
        <v xml:space="preserve">18 DE MARZO                                                                                         </v>
      </c>
      <c r="D156" s="26" t="str">
        <f>"TIEMPO COMPLETO"</f>
        <v>TIEMPO COMPLETO</v>
      </c>
      <c r="E156" s="26" t="str">
        <f>"ESQ. DE HABANA Y MONTIEL                                                        "</f>
        <v xml:space="preserve">ESQ. DE HABANA Y MONTIEL                                                        </v>
      </c>
      <c r="F156" s="26" t="str">
        <f>"TEPEYAC INSURGENTES                                                                                                                         "</f>
        <v xml:space="preserve">TEPEYAC INSURGENTES                                                                                                                         </v>
      </c>
      <c r="G156" s="26" t="str">
        <f>"GUSTAVO A. MADERO                                                               "</f>
        <v xml:space="preserve">GUSTAVO A. MADERO                                                               </v>
      </c>
      <c r="H156" s="26" t="str">
        <f>"178"</f>
        <v>178</v>
      </c>
      <c r="I156" s="26" t="str">
        <f t="shared" si="19"/>
        <v>00</v>
      </c>
      <c r="J156" s="26" t="str">
        <f t="shared" si="23"/>
        <v xml:space="preserve">31 </v>
      </c>
      <c r="K156" s="26" t="str">
        <f t="shared" si="21"/>
        <v>EP</v>
      </c>
      <c r="L156" s="26" t="str">
        <f t="shared" si="22"/>
        <v>DGOSE</v>
      </c>
      <c r="M156" s="26" t="str">
        <f t="shared" si="20"/>
        <v>FEDERAL</v>
      </c>
      <c r="N156" s="26">
        <v>169</v>
      </c>
      <c r="O156" s="26">
        <v>82</v>
      </c>
      <c r="P156" s="26">
        <v>87</v>
      </c>
      <c r="Q156" s="26">
        <v>6</v>
      </c>
      <c r="R156" s="26">
        <v>2</v>
      </c>
      <c r="S156" s="26">
        <v>6</v>
      </c>
      <c r="T156" s="26">
        <v>14</v>
      </c>
      <c r="U156" s="26">
        <v>22</v>
      </c>
      <c r="V156" s="26">
        <v>1</v>
      </c>
      <c r="W156" s="26" t="s">
        <v>218</v>
      </c>
    </row>
    <row r="157" spans="1:23" x14ac:dyDescent="0.25">
      <c r="A157" s="26" t="str">
        <f t="shared" si="18"/>
        <v>PREESCOLAR</v>
      </c>
      <c r="B157" s="26" t="str">
        <f>"09DJN0196Z"</f>
        <v>09DJN0196Z</v>
      </c>
      <c r="C157" s="26" t="str">
        <f>"NIÑOS DE MEXICO                                                                                     "</f>
        <v xml:space="preserve">NIÑOS DE MEXICO                                                                                     </v>
      </c>
      <c r="D157" s="26" t="str">
        <f>"JORNADA AMPLIADA"</f>
        <v>JORNADA AMPLIADA</v>
      </c>
      <c r="E157" s="26" t="str">
        <f>"EGIPTO NO. 92                                                                   "</f>
        <v xml:space="preserve">EGIPTO NO. 92                                                                   </v>
      </c>
      <c r="F157" s="26" t="str">
        <f>"CLAVERIA                                                                                                                                    "</f>
        <v xml:space="preserve">CLAVERIA                                                                                                                                    </v>
      </c>
      <c r="G157" s="26" t="str">
        <f>"AZCAPOTZALCO                                                                    "</f>
        <v xml:space="preserve">AZCAPOTZALCO                                                                    </v>
      </c>
      <c r="H157" s="26" t="str">
        <f>"007"</f>
        <v>007</v>
      </c>
      <c r="I157" s="26" t="str">
        <f t="shared" si="19"/>
        <v>00</v>
      </c>
      <c r="J157" s="26" t="str">
        <f t="shared" si="23"/>
        <v xml:space="preserve">31 </v>
      </c>
      <c r="K157" s="26" t="str">
        <f t="shared" si="21"/>
        <v>EP</v>
      </c>
      <c r="L157" s="26" t="str">
        <f t="shared" si="22"/>
        <v>DGOSE</v>
      </c>
      <c r="M157" s="26" t="str">
        <f t="shared" si="20"/>
        <v>FEDERAL</v>
      </c>
      <c r="N157" s="26">
        <v>100</v>
      </c>
      <c r="O157" s="26">
        <v>57</v>
      </c>
      <c r="P157" s="26">
        <v>43</v>
      </c>
      <c r="Q157" s="26">
        <v>5</v>
      </c>
      <c r="R157" s="26">
        <v>1</v>
      </c>
      <c r="S157" s="26">
        <v>5</v>
      </c>
      <c r="T157" s="26">
        <v>6</v>
      </c>
      <c r="U157" s="26">
        <v>12</v>
      </c>
      <c r="V157" s="26">
        <v>1</v>
      </c>
      <c r="W157" s="26" t="s">
        <v>2076</v>
      </c>
    </row>
    <row r="158" spans="1:23" x14ac:dyDescent="0.25">
      <c r="A158" s="26" t="str">
        <f t="shared" si="18"/>
        <v>PREESCOLAR</v>
      </c>
      <c r="B158" s="26" t="str">
        <f>"09DJN0197Z"</f>
        <v>09DJN0197Z</v>
      </c>
      <c r="C158" s="26" t="str">
        <f>"JUSTO SIERRA                                                                                        "</f>
        <v xml:space="preserve">JUSTO SIERRA                                                                                        </v>
      </c>
      <c r="D158" s="26" t="str">
        <f>"JORNADA AMPLIADA"</f>
        <v>JORNADA AMPLIADA</v>
      </c>
      <c r="E158" s="26" t="str">
        <f>"ARBOL DE LA NOCHE TRISTE S/N ESQ. INS.NA                                        "</f>
        <v xml:space="preserve">ARBOL DE LA NOCHE TRISTE S/N ESQ. INS.NA                                        </v>
      </c>
      <c r="F158" s="26" t="str">
        <f>"POPOTLA                                                                                                                                     "</f>
        <v xml:space="preserve">POPOTLA                                                                                                                                     </v>
      </c>
      <c r="G158" s="26" t="str">
        <f>"MIGUEL HIDALGO                                                                  "</f>
        <v xml:space="preserve">MIGUEL HIDALGO                                                                  </v>
      </c>
      <c r="H158" s="26" t="str">
        <f>"011"</f>
        <v>011</v>
      </c>
      <c r="I158" s="26" t="str">
        <f t="shared" si="19"/>
        <v>00</v>
      </c>
      <c r="J158" s="26" t="str">
        <f t="shared" si="23"/>
        <v xml:space="preserve">31 </v>
      </c>
      <c r="K158" s="26" t="str">
        <f t="shared" si="21"/>
        <v>EP</v>
      </c>
      <c r="L158" s="26" t="str">
        <f t="shared" si="22"/>
        <v>DGOSE</v>
      </c>
      <c r="M158" s="26" t="str">
        <f t="shared" si="20"/>
        <v>FEDERAL</v>
      </c>
      <c r="N158" s="26">
        <v>213</v>
      </c>
      <c r="O158" s="26">
        <v>104</v>
      </c>
      <c r="P158" s="26">
        <v>109</v>
      </c>
      <c r="Q158" s="26">
        <v>7</v>
      </c>
      <c r="R158" s="26">
        <v>1</v>
      </c>
      <c r="S158" s="26">
        <v>6</v>
      </c>
      <c r="T158" s="26">
        <v>7</v>
      </c>
      <c r="U158" s="26">
        <v>14</v>
      </c>
      <c r="V158" s="26">
        <v>1</v>
      </c>
      <c r="W158" s="26" t="s">
        <v>2076</v>
      </c>
    </row>
    <row r="159" spans="1:23" x14ac:dyDescent="0.25">
      <c r="A159" s="26" t="str">
        <f t="shared" si="18"/>
        <v>PREESCOLAR</v>
      </c>
      <c r="B159" s="26" t="str">
        <f>"09DJN0198Y"</f>
        <v>09DJN0198Y</v>
      </c>
      <c r="C159" s="26" t="str">
        <f>"LUISA CASTAÑEDA Y DEL POZO                                                                          "</f>
        <v xml:space="preserve">LUISA CASTAÑEDA Y DEL POZO                                                                          </v>
      </c>
      <c r="D159" s="26" t="str">
        <f>"JORNADA AMPLIADA"</f>
        <v>JORNADA AMPLIADA</v>
      </c>
      <c r="E159" s="26" t="str">
        <f>"MEMPHIS NO. 61                                                                  "</f>
        <v xml:space="preserve">MEMPHIS NO. 61                                                                  </v>
      </c>
      <c r="F159" s="26" t="str">
        <f>"CLAVERIA                                                                                                                                    "</f>
        <v xml:space="preserve">CLAVERIA                                                                                                                                    </v>
      </c>
      <c r="G159" s="26" t="str">
        <f>"AZCAPOTZALCO                                                                    "</f>
        <v xml:space="preserve">AZCAPOTZALCO                                                                    </v>
      </c>
      <c r="H159" s="26" t="str">
        <f>"101"</f>
        <v>101</v>
      </c>
      <c r="I159" s="26" t="str">
        <f t="shared" si="19"/>
        <v>00</v>
      </c>
      <c r="J159" s="26" t="str">
        <f t="shared" si="23"/>
        <v xml:space="preserve">31 </v>
      </c>
      <c r="K159" s="26" t="str">
        <f t="shared" si="21"/>
        <v>EP</v>
      </c>
      <c r="L159" s="26" t="str">
        <f t="shared" si="22"/>
        <v>DGOSE</v>
      </c>
      <c r="M159" s="26" t="str">
        <f t="shared" si="20"/>
        <v>FEDERAL</v>
      </c>
      <c r="N159" s="26">
        <v>95</v>
      </c>
      <c r="O159" s="26">
        <v>37</v>
      </c>
      <c r="P159" s="26">
        <v>58</v>
      </c>
      <c r="Q159" s="26">
        <v>5</v>
      </c>
      <c r="R159" s="26">
        <v>1</v>
      </c>
      <c r="S159" s="26">
        <v>5</v>
      </c>
      <c r="T159" s="26">
        <v>6</v>
      </c>
      <c r="U159" s="26">
        <v>12</v>
      </c>
      <c r="V159" s="26">
        <v>1</v>
      </c>
      <c r="W159" s="26" t="s">
        <v>2076</v>
      </c>
    </row>
    <row r="160" spans="1:23" x14ac:dyDescent="0.25">
      <c r="A160" s="26" t="str">
        <f t="shared" si="18"/>
        <v>PREESCOLAR</v>
      </c>
      <c r="B160" s="26" t="str">
        <f>"09DJN0199X"</f>
        <v>09DJN0199X</v>
      </c>
      <c r="C160" s="26" t="str">
        <f>"CLUB 20-30                                                                                          "</f>
        <v xml:space="preserve">CLUB 20-30                                                                                          </v>
      </c>
      <c r="D160" s="26" t="str">
        <f>"JORNADA AMPLIADA"</f>
        <v>JORNADA AMPLIADA</v>
      </c>
      <c r="E160" s="26" t="str">
        <f>"CALZADA AZCAPOTZALCO NO. 117 ""A ""                                               "</f>
        <v xml:space="preserve">CALZADA AZCAPOTZALCO NO. 117 "A "                                               </v>
      </c>
      <c r="F160" s="26" t="str">
        <f>"SAN ALVARO                                                                                                                                  "</f>
        <v xml:space="preserve">SAN ALVARO                                                                                                                                  </v>
      </c>
      <c r="G160" s="26" t="str">
        <f>"AZCAPOTZALCO                                                                    "</f>
        <v xml:space="preserve">AZCAPOTZALCO                                                                    </v>
      </c>
      <c r="H160" s="26" t="str">
        <f>"101"</f>
        <v>101</v>
      </c>
      <c r="I160" s="26" t="str">
        <f t="shared" si="19"/>
        <v>00</v>
      </c>
      <c r="J160" s="26" t="str">
        <f t="shared" si="23"/>
        <v xml:space="preserve">31 </v>
      </c>
      <c r="K160" s="26" t="str">
        <f t="shared" si="21"/>
        <v>EP</v>
      </c>
      <c r="L160" s="26" t="str">
        <f t="shared" si="22"/>
        <v>DGOSE</v>
      </c>
      <c r="M160" s="26" t="str">
        <f t="shared" si="20"/>
        <v>FEDERAL</v>
      </c>
      <c r="N160" s="26">
        <v>100</v>
      </c>
      <c r="O160" s="26">
        <v>51</v>
      </c>
      <c r="P160" s="26">
        <v>49</v>
      </c>
      <c r="Q160" s="26">
        <v>4</v>
      </c>
      <c r="R160" s="26">
        <v>0</v>
      </c>
      <c r="S160" s="26">
        <v>4</v>
      </c>
      <c r="T160" s="26">
        <v>6</v>
      </c>
      <c r="U160" s="26">
        <v>10</v>
      </c>
      <c r="V160" s="26">
        <v>1</v>
      </c>
      <c r="W160" s="26" t="s">
        <v>2076</v>
      </c>
    </row>
    <row r="161" spans="1:23" x14ac:dyDescent="0.25">
      <c r="A161" s="26" t="str">
        <f t="shared" si="18"/>
        <v>PREESCOLAR</v>
      </c>
      <c r="B161" s="26" t="str">
        <f>"09DJN0200W"</f>
        <v>09DJN0200W</v>
      </c>
      <c r="C161" s="26" t="str">
        <f>"TEOTIHUACAN                                                                                         "</f>
        <v xml:space="preserve">TEOTIHUACAN                                                                                         </v>
      </c>
      <c r="D161" s="26" t="str">
        <f>"MATUTINO"</f>
        <v>MATUTINO</v>
      </c>
      <c r="E161" s="26" t="str">
        <f>"CABO FINISTERRE S/N                                                             "</f>
        <v xml:space="preserve">CABO FINISTERRE S/N                                                             </v>
      </c>
      <c r="F161" s="26" t="str">
        <f>"GABRIEL HERNANDEZ                                                                                                                           "</f>
        <v xml:space="preserve">GABRIEL HERNANDEZ                                                                                                                           </v>
      </c>
      <c r="G161" s="26" t="str">
        <f>"GUSTAVO A. MADERO                                                               "</f>
        <v xml:space="preserve">GUSTAVO A. MADERO                                                               </v>
      </c>
      <c r="H161" s="26" t="str">
        <f>"197"</f>
        <v>197</v>
      </c>
      <c r="I161" s="26" t="str">
        <f t="shared" si="19"/>
        <v>00</v>
      </c>
      <c r="J161" s="26" t="str">
        <f>"32 "</f>
        <v xml:space="preserve">32 </v>
      </c>
      <c r="K161" s="26" t="str">
        <f t="shared" si="21"/>
        <v>EP</v>
      </c>
      <c r="L161" s="26" t="str">
        <f t="shared" si="22"/>
        <v>DGOSE</v>
      </c>
      <c r="M161" s="26" t="str">
        <f t="shared" si="20"/>
        <v>FEDERAL</v>
      </c>
      <c r="N161" s="26">
        <v>235</v>
      </c>
      <c r="O161" s="26">
        <v>125</v>
      </c>
      <c r="P161" s="26">
        <v>110</v>
      </c>
      <c r="Q161" s="26">
        <v>7</v>
      </c>
      <c r="R161" s="26">
        <v>1</v>
      </c>
      <c r="S161" s="26">
        <v>7</v>
      </c>
      <c r="T161" s="26">
        <v>4</v>
      </c>
      <c r="U161" s="26">
        <v>12</v>
      </c>
      <c r="V161" s="26">
        <v>1</v>
      </c>
      <c r="W161" s="26"/>
    </row>
    <row r="162" spans="1:23" x14ac:dyDescent="0.25">
      <c r="A162" s="26" t="str">
        <f t="shared" si="18"/>
        <v>PREESCOLAR</v>
      </c>
      <c r="B162" s="26" t="str">
        <f>"09DJN0201V"</f>
        <v>09DJN0201V</v>
      </c>
      <c r="C162" s="26" t="str">
        <f>"TELPOCHCALLI                                                                                        "</f>
        <v xml:space="preserve">TELPOCHCALLI                                                                                        </v>
      </c>
      <c r="D162" s="26" t="str">
        <f>"MATUTINO"</f>
        <v>MATUTINO</v>
      </c>
      <c r="E162" s="26" t="str">
        <f>"CAMINO DEL ESFUERZO S/N                                                         "</f>
        <v xml:space="preserve">CAMINO DEL ESFUERZO S/N                                                         </v>
      </c>
      <c r="F162" s="26" t="str">
        <f>"CAMPESTRE ARAGON                                                                                                                            "</f>
        <v xml:space="preserve">CAMPESTRE ARAGON                                                                                                                            </v>
      </c>
      <c r="G162" s="26" t="str">
        <f>"GUSTAVO A. MADERO                                                               "</f>
        <v xml:space="preserve">GUSTAVO A. MADERO                                                               </v>
      </c>
      <c r="H162" s="26" t="str">
        <f>"073"</f>
        <v>073</v>
      </c>
      <c r="I162" s="26" t="str">
        <f t="shared" si="19"/>
        <v>00</v>
      </c>
      <c r="J162" s="26" t="str">
        <f>"32 "</f>
        <v xml:space="preserve">32 </v>
      </c>
      <c r="K162" s="26" t="str">
        <f t="shared" si="21"/>
        <v>EP</v>
      </c>
      <c r="L162" s="26" t="str">
        <f t="shared" si="22"/>
        <v>DGOSE</v>
      </c>
      <c r="M162" s="26" t="str">
        <f t="shared" si="20"/>
        <v>FEDERAL</v>
      </c>
      <c r="N162" s="26">
        <v>154</v>
      </c>
      <c r="O162" s="26">
        <v>88</v>
      </c>
      <c r="P162" s="26">
        <v>66</v>
      </c>
      <c r="Q162" s="26">
        <v>6</v>
      </c>
      <c r="R162" s="26">
        <v>1</v>
      </c>
      <c r="S162" s="26">
        <v>6</v>
      </c>
      <c r="T162" s="26">
        <v>5</v>
      </c>
      <c r="U162" s="26">
        <v>12</v>
      </c>
      <c r="V162" s="26">
        <v>1</v>
      </c>
      <c r="W162" s="26"/>
    </row>
    <row r="163" spans="1:23" x14ac:dyDescent="0.25">
      <c r="A163" s="26" t="str">
        <f t="shared" si="18"/>
        <v>PREESCOLAR</v>
      </c>
      <c r="B163" s="26" t="str">
        <f>"09DJN0202U"</f>
        <v>09DJN0202U</v>
      </c>
      <c r="C163" s="26" t="str">
        <f>"PROFR. LUIS DE LA BRENA                                                                             "</f>
        <v xml:space="preserve">PROFR. LUIS DE LA BRENA                                                                             </v>
      </c>
      <c r="D163" s="26" t="str">
        <f>"JORNADA AMPLIADA"</f>
        <v>JORNADA AMPLIADA</v>
      </c>
      <c r="E163" s="26" t="str">
        <f>"JUAREZ Y CUAUHTEMOC                                                             "</f>
        <v xml:space="preserve">JUAREZ Y CUAUHTEMOC                                                             </v>
      </c>
      <c r="F163" s="26" t="str">
        <f>"25 DE JULIO                                                                                                                                 "</f>
        <v xml:space="preserve">25 DE JULIO                                                                                                                                 </v>
      </c>
      <c r="G163" s="26" t="str">
        <f>"GUSTAVO A. MADERO                                                               "</f>
        <v xml:space="preserve">GUSTAVO A. MADERO                                                               </v>
      </c>
      <c r="H163" s="26" t="str">
        <f>"070"</f>
        <v>070</v>
      </c>
      <c r="I163" s="26" t="str">
        <f t="shared" si="19"/>
        <v>00</v>
      </c>
      <c r="J163" s="26" t="str">
        <f>"31 "</f>
        <v xml:space="preserve">31 </v>
      </c>
      <c r="K163" s="26" t="str">
        <f t="shared" si="21"/>
        <v>EP</v>
      </c>
      <c r="L163" s="26" t="str">
        <f t="shared" si="22"/>
        <v>DGOSE</v>
      </c>
      <c r="M163" s="26" t="str">
        <f t="shared" si="20"/>
        <v>FEDERAL</v>
      </c>
      <c r="N163" s="26">
        <v>237</v>
      </c>
      <c r="O163" s="26">
        <v>130</v>
      </c>
      <c r="P163" s="26">
        <v>107</v>
      </c>
      <c r="Q163" s="26">
        <v>7</v>
      </c>
      <c r="R163" s="26">
        <v>1</v>
      </c>
      <c r="S163" s="26">
        <v>7</v>
      </c>
      <c r="T163" s="26">
        <v>7</v>
      </c>
      <c r="U163" s="26">
        <v>15</v>
      </c>
      <c r="V163" s="26">
        <v>1</v>
      </c>
      <c r="W163" s="26" t="s">
        <v>2076</v>
      </c>
    </row>
    <row r="164" spans="1:23" x14ac:dyDescent="0.25">
      <c r="A164" s="26" t="str">
        <f t="shared" si="18"/>
        <v>PREESCOLAR</v>
      </c>
      <c r="B164" s="26" t="str">
        <f>"09DJN0204S"</f>
        <v>09DJN0204S</v>
      </c>
      <c r="C164" s="26" t="str">
        <f>"AMANTECATL                                                                                          "</f>
        <v xml:space="preserve">AMANTECATL                                                                                          </v>
      </c>
      <c r="D164" s="26" t="str">
        <f>"JORNADA AMPLIADA"</f>
        <v>JORNADA AMPLIADA</v>
      </c>
      <c r="E164" s="26" t="str">
        <f>"DEMOCRACIAS NO. 46                                                              "</f>
        <v xml:space="preserve">DEMOCRACIAS NO. 46                                                              </v>
      </c>
      <c r="F164" s="26" t="str">
        <f>"SAN MIGUEL AMANTLA                                                                                                                          "</f>
        <v xml:space="preserve">SAN MIGUEL AMANTLA                                                                                                                          </v>
      </c>
      <c r="G164" s="26" t="str">
        <f>"AZCAPOTZALCO                                                                    "</f>
        <v xml:space="preserve">AZCAPOTZALCO                                                                    </v>
      </c>
      <c r="H164" s="26" t="str">
        <f>"008"</f>
        <v>008</v>
      </c>
      <c r="I164" s="26" t="str">
        <f t="shared" si="19"/>
        <v>00</v>
      </c>
      <c r="J164" s="26" t="str">
        <f>"31 "</f>
        <v xml:space="preserve">31 </v>
      </c>
      <c r="K164" s="26" t="str">
        <f t="shared" si="21"/>
        <v>EP</v>
      </c>
      <c r="L164" s="26" t="str">
        <f t="shared" si="22"/>
        <v>DGOSE</v>
      </c>
      <c r="M164" s="26" t="str">
        <f t="shared" si="20"/>
        <v>FEDERAL</v>
      </c>
      <c r="N164" s="26">
        <v>272</v>
      </c>
      <c r="O164" s="26">
        <v>137</v>
      </c>
      <c r="P164" s="26">
        <v>135</v>
      </c>
      <c r="Q164" s="26">
        <v>8</v>
      </c>
      <c r="R164" s="26">
        <v>1</v>
      </c>
      <c r="S164" s="26">
        <v>8</v>
      </c>
      <c r="T164" s="26">
        <v>6</v>
      </c>
      <c r="U164" s="26">
        <v>15</v>
      </c>
      <c r="V164" s="26">
        <v>1</v>
      </c>
      <c r="W164" s="26" t="s">
        <v>2076</v>
      </c>
    </row>
    <row r="165" spans="1:23" x14ac:dyDescent="0.25">
      <c r="A165" s="26" t="str">
        <f t="shared" si="18"/>
        <v>PREESCOLAR</v>
      </c>
      <c r="B165" s="26" t="str">
        <f>"09DJN0205R"</f>
        <v>09DJN0205R</v>
      </c>
      <c r="C165" s="26" t="str">
        <f>"AQUILES SERDAN                                                                                      "</f>
        <v xml:space="preserve">AQUILES SERDAN                                                                                      </v>
      </c>
      <c r="D165" s="26" t="str">
        <f>"JORNADA AMPLIADA"</f>
        <v>JORNADA AMPLIADA</v>
      </c>
      <c r="E165" s="26" t="str">
        <f>"CALLE DE CAÑITO S/N                                                             "</f>
        <v xml:space="preserve">CALLE DE CAÑITO S/N                                                             </v>
      </c>
      <c r="F165" s="26" t="str">
        <f>"HUICHAPAN                                                                                                                                   "</f>
        <v xml:space="preserve">HUICHAPAN                                                                                                                                   </v>
      </c>
      <c r="G165" s="26" t="str">
        <f>"MIGUEL HIDALGO                                                                  "</f>
        <v xml:space="preserve">MIGUEL HIDALGO                                                                  </v>
      </c>
      <c r="H165" s="26" t="str">
        <f>"120"</f>
        <v>120</v>
      </c>
      <c r="I165" s="26" t="str">
        <f t="shared" si="19"/>
        <v>00</v>
      </c>
      <c r="J165" s="26" t="str">
        <f>"31 "</f>
        <v xml:space="preserve">31 </v>
      </c>
      <c r="K165" s="26" t="str">
        <f t="shared" si="21"/>
        <v>EP</v>
      </c>
      <c r="L165" s="26" t="str">
        <f t="shared" si="22"/>
        <v>DGOSE</v>
      </c>
      <c r="M165" s="26" t="str">
        <f t="shared" si="20"/>
        <v>FEDERAL</v>
      </c>
      <c r="N165" s="26">
        <v>101</v>
      </c>
      <c r="O165" s="26">
        <v>50</v>
      </c>
      <c r="P165" s="26">
        <v>51</v>
      </c>
      <c r="Q165" s="26">
        <v>4</v>
      </c>
      <c r="R165" s="26">
        <v>1</v>
      </c>
      <c r="S165" s="26">
        <v>4</v>
      </c>
      <c r="T165" s="26">
        <v>5</v>
      </c>
      <c r="U165" s="26">
        <v>10</v>
      </c>
      <c r="V165" s="26">
        <v>1</v>
      </c>
      <c r="W165" s="26" t="s">
        <v>2076</v>
      </c>
    </row>
    <row r="166" spans="1:23" x14ac:dyDescent="0.25">
      <c r="A166" s="26" t="str">
        <f t="shared" si="18"/>
        <v>PREESCOLAR</v>
      </c>
      <c r="B166" s="26" t="str">
        <f>"09DJN0206Q"</f>
        <v>09DJN0206Q</v>
      </c>
      <c r="C166" s="26" t="str">
        <f>"LEONOR LOPEZ ORELLANA                                                                               "</f>
        <v xml:space="preserve">LEONOR LOPEZ ORELLANA                                                                               </v>
      </c>
      <c r="D166" s="26" t="str">
        <f>"JORNADA AMPLIADA"</f>
        <v>JORNADA AMPLIADA</v>
      </c>
      <c r="E166" s="26" t="str">
        <f>"LAGO GRAN OSO Y WINNIPEG NO. 5                                                  "</f>
        <v xml:space="preserve">LAGO GRAN OSO Y WINNIPEG NO. 5                                                  </v>
      </c>
      <c r="F166" s="26" t="str">
        <f>"PENSIL                                                                                                                                      "</f>
        <v xml:space="preserve">PENSIL                                                                                                                                      </v>
      </c>
      <c r="G166" s="26" t="str">
        <f>"MIGUEL HIDALGO                                                                  "</f>
        <v xml:space="preserve">MIGUEL HIDALGO                                                                  </v>
      </c>
      <c r="H166" s="26" t="str">
        <f>"011"</f>
        <v>011</v>
      </c>
      <c r="I166" s="26" t="str">
        <f t="shared" si="19"/>
        <v>00</v>
      </c>
      <c r="J166" s="26" t="str">
        <f>"31 "</f>
        <v xml:space="preserve">31 </v>
      </c>
      <c r="K166" s="26" t="str">
        <f t="shared" si="21"/>
        <v>EP</v>
      </c>
      <c r="L166" s="26" t="str">
        <f t="shared" si="22"/>
        <v>DGOSE</v>
      </c>
      <c r="M166" s="26" t="str">
        <f t="shared" si="20"/>
        <v>FEDERAL</v>
      </c>
      <c r="N166" s="26">
        <v>264</v>
      </c>
      <c r="O166" s="26">
        <v>141</v>
      </c>
      <c r="P166" s="26">
        <v>123</v>
      </c>
      <c r="Q166" s="26">
        <v>8</v>
      </c>
      <c r="R166" s="26">
        <v>1</v>
      </c>
      <c r="S166" s="26">
        <v>8</v>
      </c>
      <c r="T166" s="26">
        <v>8</v>
      </c>
      <c r="U166" s="26">
        <v>17</v>
      </c>
      <c r="V166" s="26">
        <v>1</v>
      </c>
      <c r="W166" s="26" t="s">
        <v>2076</v>
      </c>
    </row>
    <row r="167" spans="1:23" x14ac:dyDescent="0.25">
      <c r="A167" s="26" t="str">
        <f t="shared" si="18"/>
        <v>PREESCOLAR</v>
      </c>
      <c r="B167" s="26" t="str">
        <f>"09DJN0207P"</f>
        <v>09DJN0207P</v>
      </c>
      <c r="C167" s="26" t="str">
        <f>"JAPON                                                                                               "</f>
        <v xml:space="preserve">JAPON                                                                                               </v>
      </c>
      <c r="D167" s="26" t="str">
        <f>"MATUTINO"</f>
        <v>MATUTINO</v>
      </c>
      <c r="E167" s="26" t="str">
        <f>"PEDRO NEGRETE Y JOAQUIN HERRERA                                                 "</f>
        <v xml:space="preserve">PEDRO NEGRETE Y JOAQUIN HERRERA                                                 </v>
      </c>
      <c r="F167" s="26" t="str">
        <f>"MARTIN CARRERA                                                                                                                              "</f>
        <v xml:space="preserve">MARTIN CARRERA                                                                                                                              </v>
      </c>
      <c r="G167" s="26" t="str">
        <f>"GUSTAVO A. MADERO                                                               "</f>
        <v xml:space="preserve">GUSTAVO A. MADERO                                                               </v>
      </c>
      <c r="H167" s="26" t="str">
        <f>"192"</f>
        <v>192</v>
      </c>
      <c r="I167" s="26" t="str">
        <f t="shared" si="19"/>
        <v>00</v>
      </c>
      <c r="J167" s="26" t="str">
        <f>"32 "</f>
        <v xml:space="preserve">32 </v>
      </c>
      <c r="K167" s="26" t="str">
        <f t="shared" si="21"/>
        <v>EP</v>
      </c>
      <c r="L167" s="26" t="str">
        <f t="shared" si="22"/>
        <v>DGOSE</v>
      </c>
      <c r="M167" s="26" t="str">
        <f t="shared" si="20"/>
        <v>FEDERAL</v>
      </c>
      <c r="N167" s="26">
        <v>166</v>
      </c>
      <c r="O167" s="26">
        <v>89</v>
      </c>
      <c r="P167" s="26">
        <v>77</v>
      </c>
      <c r="Q167" s="26">
        <v>6</v>
      </c>
      <c r="R167" s="26">
        <v>1</v>
      </c>
      <c r="S167" s="26">
        <v>6</v>
      </c>
      <c r="T167" s="26">
        <v>3</v>
      </c>
      <c r="U167" s="26">
        <v>10</v>
      </c>
      <c r="V167" s="26">
        <v>1</v>
      </c>
      <c r="W167" s="26"/>
    </row>
    <row r="168" spans="1:23" x14ac:dyDescent="0.25">
      <c r="A168" s="26" t="str">
        <f t="shared" si="18"/>
        <v>PREESCOLAR</v>
      </c>
      <c r="B168" s="26" t="str">
        <f>"09DJN0208O"</f>
        <v>09DJN0208O</v>
      </c>
      <c r="C168" s="26" t="str">
        <f>"MARIA ENRIQUETA                                                                                     "</f>
        <v xml:space="preserve">MARIA ENRIQUETA                                                                                     </v>
      </c>
      <c r="D168" s="26" t="str">
        <f>"JORNADA AMPLIADA"</f>
        <v>JORNADA AMPLIADA</v>
      </c>
      <c r="E168" s="26" t="str">
        <f>"JUAREZ NO. 52                                                                   "</f>
        <v xml:space="preserve">JUAREZ NO. 52                                                                   </v>
      </c>
      <c r="F168" s="26" t="str">
        <f>"SAN ALVARO                                                                                                                                  "</f>
        <v xml:space="preserve">SAN ALVARO                                                                                                                                  </v>
      </c>
      <c r="G168" s="26" t="str">
        <f>"AZCAPOTZALCO                                                                    "</f>
        <v xml:space="preserve">AZCAPOTZALCO                                                                    </v>
      </c>
      <c r="H168" s="26" t="str">
        <f>"007"</f>
        <v>007</v>
      </c>
      <c r="I168" s="26" t="str">
        <f t="shared" si="19"/>
        <v>00</v>
      </c>
      <c r="J168" s="26" t="str">
        <f>"31 "</f>
        <v xml:space="preserve">31 </v>
      </c>
      <c r="K168" s="26" t="str">
        <f t="shared" si="21"/>
        <v>EP</v>
      </c>
      <c r="L168" s="26" t="str">
        <f t="shared" si="22"/>
        <v>DGOSE</v>
      </c>
      <c r="M168" s="26" t="str">
        <f t="shared" si="20"/>
        <v>FEDERAL</v>
      </c>
      <c r="N168" s="26">
        <v>119</v>
      </c>
      <c r="O168" s="26">
        <v>74</v>
      </c>
      <c r="P168" s="26">
        <v>45</v>
      </c>
      <c r="Q168" s="26">
        <v>4</v>
      </c>
      <c r="R168" s="26">
        <v>1</v>
      </c>
      <c r="S168" s="26">
        <v>4</v>
      </c>
      <c r="T168" s="26">
        <v>3</v>
      </c>
      <c r="U168" s="26">
        <v>8</v>
      </c>
      <c r="V168" s="26">
        <v>1</v>
      </c>
      <c r="W168" s="26" t="s">
        <v>2076</v>
      </c>
    </row>
    <row r="169" spans="1:23" x14ac:dyDescent="0.25">
      <c r="A169" s="26" t="str">
        <f t="shared" si="18"/>
        <v>PREESCOLAR</v>
      </c>
      <c r="B169" s="26" t="str">
        <f>"09DJN0209N"</f>
        <v>09DJN0209N</v>
      </c>
      <c r="C169" s="26" t="str">
        <f>"MARIA PEREZ VALIENTE                                                                                "</f>
        <v xml:space="preserve">MARIA PEREZ VALIENTE                                                                                </v>
      </c>
      <c r="D169" s="26" t="str">
        <f>"MATUTINO"</f>
        <v>MATUTINO</v>
      </c>
      <c r="E169" s="26" t="str">
        <f>"AV. 3A 5A Y CALLE 34-A                                                          "</f>
        <v xml:space="preserve">AV. 3A 5A Y CALLE 34-A                                                          </v>
      </c>
      <c r="F169" s="26" t="str">
        <f>"SANTA ROSA                                                                                                                                  "</f>
        <v xml:space="preserve">SANTA ROSA                                                                                                                                  </v>
      </c>
      <c r="G169" s="26" t="str">
        <f>"GUSTAVO A. MADERO                                                               "</f>
        <v xml:space="preserve">GUSTAVO A. MADERO                                                               </v>
      </c>
      <c r="H169" s="26" t="str">
        <f>"196"</f>
        <v>196</v>
      </c>
      <c r="I169" s="26" t="str">
        <f t="shared" si="19"/>
        <v>00</v>
      </c>
      <c r="J169" s="26" t="str">
        <f>"32 "</f>
        <v xml:space="preserve">32 </v>
      </c>
      <c r="K169" s="26" t="str">
        <f t="shared" si="21"/>
        <v>EP</v>
      </c>
      <c r="L169" s="26" t="str">
        <f t="shared" si="22"/>
        <v>DGOSE</v>
      </c>
      <c r="M169" s="26" t="str">
        <f t="shared" si="20"/>
        <v>FEDERAL</v>
      </c>
      <c r="N169" s="26">
        <v>193</v>
      </c>
      <c r="O169" s="26">
        <v>99</v>
      </c>
      <c r="P169" s="26">
        <v>94</v>
      </c>
      <c r="Q169" s="26">
        <v>7</v>
      </c>
      <c r="R169" s="26">
        <v>1</v>
      </c>
      <c r="S169" s="26">
        <v>7</v>
      </c>
      <c r="T169" s="26">
        <v>4</v>
      </c>
      <c r="U169" s="26">
        <v>12</v>
      </c>
      <c r="V169" s="26">
        <v>1</v>
      </c>
      <c r="W169" s="26"/>
    </row>
    <row r="170" spans="1:23" x14ac:dyDescent="0.25">
      <c r="A170" s="26" t="str">
        <f t="shared" si="18"/>
        <v>PREESCOLAR</v>
      </c>
      <c r="B170" s="26" t="str">
        <f>"09DJN0210C"</f>
        <v>09DJN0210C</v>
      </c>
      <c r="C170" s="26" t="str">
        <f>"MELCHOR OCAMPO                                                                                      "</f>
        <v xml:space="preserve">MELCHOR OCAMPO                                                                                      </v>
      </c>
      <c r="D170" s="26" t="str">
        <f>"JORNADA AMPLIADA"</f>
        <v>JORNADA AMPLIADA</v>
      </c>
      <c r="E170" s="26" t="str">
        <f>"MANUEL GONZALEZ NO. 252                                                         "</f>
        <v xml:space="preserve">MANUEL GONZALEZ NO. 252                                                         </v>
      </c>
      <c r="F170" s="26" t="str">
        <f>"UNIDAD NONOALCO TLATELOLCO                                                                                                                  "</f>
        <v xml:space="preserve">UNIDAD NONOALCO TLATELOLCO                                                                                                                  </v>
      </c>
      <c r="G170" s="26" t="s">
        <v>4128</v>
      </c>
      <c r="H170" s="26" t="str">
        <f>"017"</f>
        <v>017</v>
      </c>
      <c r="I170" s="26" t="str">
        <f t="shared" si="19"/>
        <v>00</v>
      </c>
      <c r="J170" s="26" t="str">
        <f>"31 "</f>
        <v xml:space="preserve">31 </v>
      </c>
      <c r="K170" s="26" t="str">
        <f t="shared" si="21"/>
        <v>EP</v>
      </c>
      <c r="L170" s="26" t="str">
        <f t="shared" si="22"/>
        <v>DGOSE</v>
      </c>
      <c r="M170" s="26" t="str">
        <f t="shared" si="20"/>
        <v>FEDERAL</v>
      </c>
      <c r="N170" s="26">
        <v>147</v>
      </c>
      <c r="O170" s="26">
        <v>73</v>
      </c>
      <c r="P170" s="26">
        <v>74</v>
      </c>
      <c r="Q170" s="26">
        <v>5</v>
      </c>
      <c r="R170" s="26">
        <v>0</v>
      </c>
      <c r="S170" s="26">
        <v>5</v>
      </c>
      <c r="T170" s="26">
        <v>9</v>
      </c>
      <c r="U170" s="26">
        <v>14</v>
      </c>
      <c r="V170" s="26">
        <v>1</v>
      </c>
      <c r="W170" s="26" t="s">
        <v>2076</v>
      </c>
    </row>
    <row r="171" spans="1:23" x14ac:dyDescent="0.25">
      <c r="A171" s="26" t="str">
        <f t="shared" si="18"/>
        <v>PREESCOLAR</v>
      </c>
      <c r="B171" s="26" t="str">
        <f>"09DJN0211B"</f>
        <v>09DJN0211B</v>
      </c>
      <c r="C171" s="26" t="str">
        <f>"NETZAHUALCOYOTL                                                                                     "</f>
        <v xml:space="preserve">NETZAHUALCOYOTL                                                                                     </v>
      </c>
      <c r="D171" s="26" t="str">
        <f>"MATUTINO"</f>
        <v>MATUTINO</v>
      </c>
      <c r="E171" s="26" t="str">
        <f>"AV. GUADALUPE                                                                   "</f>
        <v xml:space="preserve">AV. GUADALUPE                                                                   </v>
      </c>
      <c r="F171" s="26" t="str">
        <f>"GUADALUPE PROLETARIA                                                                                                                        "</f>
        <v xml:space="preserve">GUADALUPE PROLETARIA                                                                                                                        </v>
      </c>
      <c r="G171" s="26" t="str">
        <f>"GUSTAVO A. MADERO                                                               "</f>
        <v xml:space="preserve">GUSTAVO A. MADERO                                                               </v>
      </c>
      <c r="H171" s="26" t="str">
        <f>"177"</f>
        <v>177</v>
      </c>
      <c r="I171" s="26" t="str">
        <f t="shared" si="19"/>
        <v>00</v>
      </c>
      <c r="J171" s="26" t="str">
        <f>"32 "</f>
        <v xml:space="preserve">32 </v>
      </c>
      <c r="K171" s="26" t="str">
        <f t="shared" si="21"/>
        <v>EP</v>
      </c>
      <c r="L171" s="26" t="str">
        <f t="shared" si="22"/>
        <v>DGOSE</v>
      </c>
      <c r="M171" s="26" t="str">
        <f t="shared" si="20"/>
        <v>FEDERAL</v>
      </c>
      <c r="N171" s="26">
        <v>285</v>
      </c>
      <c r="O171" s="26">
        <v>154</v>
      </c>
      <c r="P171" s="26">
        <v>131</v>
      </c>
      <c r="Q171" s="26">
        <v>9</v>
      </c>
      <c r="R171" s="26">
        <v>1</v>
      </c>
      <c r="S171" s="26">
        <v>8</v>
      </c>
      <c r="T171" s="26">
        <v>4</v>
      </c>
      <c r="U171" s="26">
        <v>13</v>
      </c>
      <c r="V171" s="26">
        <v>1</v>
      </c>
      <c r="W171" s="26"/>
    </row>
    <row r="172" spans="1:23" x14ac:dyDescent="0.25">
      <c r="A172" s="26" t="str">
        <f t="shared" si="18"/>
        <v>PREESCOLAR</v>
      </c>
      <c r="B172" s="26" t="str">
        <f>"09DJN0212A"</f>
        <v>09DJN0212A</v>
      </c>
      <c r="C172" s="26" t="str">
        <f>"TENIENTE JUAN DE LA BARRERA                                                                         "</f>
        <v xml:space="preserve">TENIENTE JUAN DE LA BARRERA                                                                         </v>
      </c>
      <c r="D172" s="26" t="str">
        <f>"JORNADA AMPLIADA"</f>
        <v>JORNADA AMPLIADA</v>
      </c>
      <c r="E172" s="26" t="str">
        <f>"OTAVALO Y 16 DE SEPTIEMBRE NO. 1823                                             "</f>
        <v xml:space="preserve">OTAVALO Y 16 DE SEPTIEMBRE NO. 1823                                             </v>
      </c>
      <c r="F172" s="26" t="str">
        <f>"SAN BARTOLO ATEPEHUACAN                                                                                                                     "</f>
        <v xml:space="preserve">SAN BARTOLO ATEPEHUACAN                                                                                                                     </v>
      </c>
      <c r="G172" s="26" t="str">
        <f>"GUSTAVO A. MADERO                                                               "</f>
        <v xml:space="preserve">GUSTAVO A. MADERO                                                               </v>
      </c>
      <c r="H172" s="26" t="str">
        <f>"121"</f>
        <v>121</v>
      </c>
      <c r="I172" s="26" t="str">
        <f t="shared" si="19"/>
        <v>00</v>
      </c>
      <c r="J172" s="26" t="str">
        <f>"31 "</f>
        <v xml:space="preserve">31 </v>
      </c>
      <c r="K172" s="26" t="str">
        <f t="shared" si="21"/>
        <v>EP</v>
      </c>
      <c r="L172" s="26" t="str">
        <f t="shared" si="22"/>
        <v>DGOSE</v>
      </c>
      <c r="M172" s="26" t="str">
        <f t="shared" si="20"/>
        <v>FEDERAL</v>
      </c>
      <c r="N172" s="26">
        <v>106</v>
      </c>
      <c r="O172" s="26">
        <v>38</v>
      </c>
      <c r="P172" s="26">
        <v>68</v>
      </c>
      <c r="Q172" s="26">
        <v>4</v>
      </c>
      <c r="R172" s="26">
        <v>1</v>
      </c>
      <c r="S172" s="26">
        <v>4</v>
      </c>
      <c r="T172" s="26">
        <v>5</v>
      </c>
      <c r="U172" s="26">
        <v>10</v>
      </c>
      <c r="V172" s="26">
        <v>1</v>
      </c>
      <c r="W172" s="26" t="s">
        <v>2076</v>
      </c>
    </row>
    <row r="173" spans="1:23" x14ac:dyDescent="0.25">
      <c r="A173" s="26" t="str">
        <f t="shared" si="18"/>
        <v>PREESCOLAR</v>
      </c>
      <c r="B173" s="26" t="str">
        <f>"09DJN0214Z"</f>
        <v>09DJN0214Z</v>
      </c>
      <c r="C173" s="26" t="str">
        <f>"MIGUEL HIDALGO Y COSTILLA                                                                           "</f>
        <v xml:space="preserve">MIGUEL HIDALGO Y COSTILLA                                                                           </v>
      </c>
      <c r="D173" s="26" t="str">
        <f>"MATUTINO"</f>
        <v>MATUTINO</v>
      </c>
      <c r="E173" s="26" t="str">
        <f>"PONIENTE 112 NO. 609                                                            "</f>
        <v xml:space="preserve">PONIENTE 112 NO. 609                                                            </v>
      </c>
      <c r="F173" s="26" t="str">
        <f>"MAGDALENA DE LAS SALINAS                                                                                                                    "</f>
        <v xml:space="preserve">MAGDALENA DE LAS SALINAS                                                                                                                    </v>
      </c>
      <c r="G173" s="26" t="str">
        <f>"GUSTAVO A. MADERO                                                               "</f>
        <v xml:space="preserve">GUSTAVO A. MADERO                                                               </v>
      </c>
      <c r="H173" s="26" t="str">
        <f>"193"</f>
        <v>193</v>
      </c>
      <c r="I173" s="26" t="str">
        <f t="shared" si="19"/>
        <v>00</v>
      </c>
      <c r="J173" s="26" t="str">
        <f>"32 "</f>
        <v xml:space="preserve">32 </v>
      </c>
      <c r="K173" s="26" t="str">
        <f t="shared" si="21"/>
        <v>EP</v>
      </c>
      <c r="L173" s="26" t="str">
        <f t="shared" si="22"/>
        <v>DGOSE</v>
      </c>
      <c r="M173" s="26" t="str">
        <f t="shared" si="20"/>
        <v>FEDERAL</v>
      </c>
      <c r="N173" s="26">
        <v>185</v>
      </c>
      <c r="O173" s="26">
        <v>98</v>
      </c>
      <c r="P173" s="26">
        <v>87</v>
      </c>
      <c r="Q173" s="26">
        <v>7</v>
      </c>
      <c r="R173" s="26">
        <v>0</v>
      </c>
      <c r="S173" s="26">
        <v>7</v>
      </c>
      <c r="T173" s="26">
        <v>6</v>
      </c>
      <c r="U173" s="26">
        <v>13</v>
      </c>
      <c r="V173" s="26">
        <v>1</v>
      </c>
      <c r="W173" s="26"/>
    </row>
    <row r="174" spans="1:23" x14ac:dyDescent="0.25">
      <c r="A174" s="26" t="str">
        <f t="shared" si="18"/>
        <v>PREESCOLAR</v>
      </c>
      <c r="B174" s="26" t="str">
        <f>"09DJN0215Y"</f>
        <v>09DJN0215Y</v>
      </c>
      <c r="C174" s="26" t="str">
        <f>"FRANCISCO GONZALEZ BOCANEGRA                                                                        "</f>
        <v xml:space="preserve">FRANCISCO GONZALEZ BOCANEGRA                                                                        </v>
      </c>
      <c r="D174" s="26" t="str">
        <f>"JORNADA AMPLIADA"</f>
        <v>JORNADA AMPLIADA</v>
      </c>
      <c r="E174" s="26" t="str">
        <f>"AV. ACUEDUCTO S/N                                                               "</f>
        <v xml:space="preserve">AV. ACUEDUCTO S/N                                                               </v>
      </c>
      <c r="F174" s="26" t="str">
        <f>"SANTA ISABEL TOLA                                                                                                                           "</f>
        <v xml:space="preserve">SANTA ISABEL TOLA                                                                                                                           </v>
      </c>
      <c r="G174" s="26" t="str">
        <f>"GUSTAVO A. MADERO                                                               "</f>
        <v xml:space="preserve">GUSTAVO A. MADERO                                                               </v>
      </c>
      <c r="H174" s="26" t="str">
        <f>"121"</f>
        <v>121</v>
      </c>
      <c r="I174" s="26" t="str">
        <f t="shared" si="19"/>
        <v>00</v>
      </c>
      <c r="J174" s="26" t="str">
        <f>"31 "</f>
        <v xml:space="preserve">31 </v>
      </c>
      <c r="K174" s="26" t="str">
        <f t="shared" si="21"/>
        <v>EP</v>
      </c>
      <c r="L174" s="26" t="str">
        <f t="shared" si="22"/>
        <v>DGOSE</v>
      </c>
      <c r="M174" s="26" t="str">
        <f t="shared" si="20"/>
        <v>FEDERAL</v>
      </c>
      <c r="N174" s="26">
        <v>233</v>
      </c>
      <c r="O174" s="26">
        <v>121</v>
      </c>
      <c r="P174" s="26">
        <v>112</v>
      </c>
      <c r="Q174" s="26">
        <v>7</v>
      </c>
      <c r="R174" s="26">
        <v>1</v>
      </c>
      <c r="S174" s="26">
        <v>7</v>
      </c>
      <c r="T174" s="26">
        <v>7</v>
      </c>
      <c r="U174" s="26">
        <v>15</v>
      </c>
      <c r="V174" s="26">
        <v>1</v>
      </c>
      <c r="W174" s="26" t="s">
        <v>2076</v>
      </c>
    </row>
    <row r="175" spans="1:23" x14ac:dyDescent="0.25">
      <c r="A175" s="26" t="str">
        <f t="shared" si="18"/>
        <v>PREESCOLAR</v>
      </c>
      <c r="B175" s="26" t="str">
        <f>"09DJN0216X"</f>
        <v>09DJN0216X</v>
      </c>
      <c r="C175" s="26" t="str">
        <f>"TONANITLA                                                                                           "</f>
        <v xml:space="preserve">TONANITLA                                                                                           </v>
      </c>
      <c r="D175" s="26" t="str">
        <f>"JORNADA AMPLIADA"</f>
        <v>JORNADA AMPLIADA</v>
      </c>
      <c r="E175" s="26" t="str">
        <f>"CALLE 8 Y RIO TLANEPANTLA                                                       "</f>
        <v xml:space="preserve">CALLE 8 Y RIO TLANEPANTLA                                                       </v>
      </c>
      <c r="F175" s="26" t="str">
        <f>"GUADALUPE PROLETARIA                                                                                                                        "</f>
        <v xml:space="preserve">GUADALUPE PROLETARIA                                                                                                                        </v>
      </c>
      <c r="G175" s="26" t="str">
        <f>"GUSTAVO A. MADERO                                                               "</f>
        <v xml:space="preserve">GUSTAVO A. MADERO                                                               </v>
      </c>
      <c r="H175" s="26" t="str">
        <f>"004"</f>
        <v>004</v>
      </c>
      <c r="I175" s="26" t="str">
        <f t="shared" si="19"/>
        <v>00</v>
      </c>
      <c r="J175" s="26" t="str">
        <f>"31 "</f>
        <v xml:space="preserve">31 </v>
      </c>
      <c r="K175" s="26" t="str">
        <f t="shared" si="21"/>
        <v>EP</v>
      </c>
      <c r="L175" s="26" t="str">
        <f t="shared" si="22"/>
        <v>DGOSE</v>
      </c>
      <c r="M175" s="26" t="str">
        <f t="shared" si="20"/>
        <v>FEDERAL</v>
      </c>
      <c r="N175" s="26">
        <v>224</v>
      </c>
      <c r="O175" s="26">
        <v>105</v>
      </c>
      <c r="P175" s="26">
        <v>119</v>
      </c>
      <c r="Q175" s="26">
        <v>7</v>
      </c>
      <c r="R175" s="26">
        <v>1</v>
      </c>
      <c r="S175" s="26">
        <v>7</v>
      </c>
      <c r="T175" s="26">
        <v>6</v>
      </c>
      <c r="U175" s="26">
        <v>14</v>
      </c>
      <c r="V175" s="26">
        <v>1</v>
      </c>
      <c r="W175" s="26" t="s">
        <v>2076</v>
      </c>
    </row>
    <row r="176" spans="1:23" x14ac:dyDescent="0.25">
      <c r="A176" s="26" t="str">
        <f t="shared" si="18"/>
        <v>PREESCOLAR</v>
      </c>
      <c r="B176" s="26" t="str">
        <f>"09DJN0217W"</f>
        <v>09DJN0217W</v>
      </c>
      <c r="C176" s="26" t="str">
        <f>"LIC. ALVARO GALVEZ Y FUENTES                                                                        "</f>
        <v xml:space="preserve">LIC. ALVARO GALVEZ Y FUENTES                                                                        </v>
      </c>
      <c r="D176" s="26" t="str">
        <f>"JORNADA AMPLIADA"</f>
        <v>JORNADA AMPLIADA</v>
      </c>
      <c r="E176" s="26" t="str">
        <f>"PROLONG. CIPRES NO. 4110                                                        "</f>
        <v xml:space="preserve">PROLONG. CIPRES NO. 4110                                                        </v>
      </c>
      <c r="F176" s="26" t="str">
        <f>"DEL GAS                                                                                                                                     "</f>
        <v xml:space="preserve">DEL GAS                                                                                                                                     </v>
      </c>
      <c r="G176" s="26" t="str">
        <f>"AZCAPOTZALCO                                                                    "</f>
        <v xml:space="preserve">AZCAPOTZALCO                                                                    </v>
      </c>
      <c r="H176" s="26" t="str">
        <f>"007"</f>
        <v>007</v>
      </c>
      <c r="I176" s="26" t="str">
        <f t="shared" si="19"/>
        <v>00</v>
      </c>
      <c r="J176" s="26" t="str">
        <f>"31 "</f>
        <v xml:space="preserve">31 </v>
      </c>
      <c r="K176" s="26" t="str">
        <f t="shared" si="21"/>
        <v>EP</v>
      </c>
      <c r="L176" s="26" t="str">
        <f t="shared" si="22"/>
        <v>DGOSE</v>
      </c>
      <c r="M176" s="26" t="str">
        <f t="shared" si="20"/>
        <v>FEDERAL</v>
      </c>
      <c r="N176" s="26">
        <v>125</v>
      </c>
      <c r="O176" s="26">
        <v>66</v>
      </c>
      <c r="P176" s="26">
        <v>59</v>
      </c>
      <c r="Q176" s="26">
        <v>6</v>
      </c>
      <c r="R176" s="26">
        <v>1</v>
      </c>
      <c r="S176" s="26">
        <v>6</v>
      </c>
      <c r="T176" s="26">
        <v>6</v>
      </c>
      <c r="U176" s="26">
        <v>13</v>
      </c>
      <c r="V176" s="26">
        <v>1</v>
      </c>
      <c r="W176" s="26" t="s">
        <v>2076</v>
      </c>
    </row>
    <row r="177" spans="1:23" x14ac:dyDescent="0.25">
      <c r="A177" s="26" t="str">
        <f t="shared" si="18"/>
        <v>PREESCOLAR</v>
      </c>
      <c r="B177" s="26" t="str">
        <f>"09DJN0218V"</f>
        <v>09DJN0218V</v>
      </c>
      <c r="C177" s="26" t="str">
        <f>"SALTILLO                                                                                            "</f>
        <v xml:space="preserve">SALTILLO                                                                                            </v>
      </c>
      <c r="D177" s="26" t="str">
        <f>"TIEMPO COMPLETO"</f>
        <v>TIEMPO COMPLETO</v>
      </c>
      <c r="E177" s="26" t="str">
        <f>"CALLE 24 Y CALLE 1                                                              "</f>
        <v xml:space="preserve">CALLE 24 Y CALLE 1                                                              </v>
      </c>
      <c r="F177" s="26" t="str">
        <f>"SAN FRANCISCO XOCOTITLA                                                                                                                     "</f>
        <v xml:space="preserve">SAN FRANCISCO XOCOTITLA                                                                                                                     </v>
      </c>
      <c r="G177" s="26" t="str">
        <f>"AZCAPOTZALCO                                                                    "</f>
        <v xml:space="preserve">AZCAPOTZALCO                                                                    </v>
      </c>
      <c r="H177" s="26" t="str">
        <f>"007"</f>
        <v>007</v>
      </c>
      <c r="I177" s="26" t="str">
        <f t="shared" si="19"/>
        <v>00</v>
      </c>
      <c r="J177" s="26" t="str">
        <f>"31 "</f>
        <v xml:space="preserve">31 </v>
      </c>
      <c r="K177" s="26" t="str">
        <f t="shared" si="21"/>
        <v>EP</v>
      </c>
      <c r="L177" s="26" t="str">
        <f t="shared" si="22"/>
        <v>DGOSE</v>
      </c>
      <c r="M177" s="26" t="str">
        <f t="shared" si="20"/>
        <v>FEDERAL</v>
      </c>
      <c r="N177" s="26">
        <v>205</v>
      </c>
      <c r="O177" s="26">
        <v>106</v>
      </c>
      <c r="P177" s="26">
        <v>99</v>
      </c>
      <c r="Q177" s="26">
        <v>7</v>
      </c>
      <c r="R177" s="26">
        <v>2</v>
      </c>
      <c r="S177" s="26">
        <v>6</v>
      </c>
      <c r="T177" s="26">
        <v>16</v>
      </c>
      <c r="U177" s="26">
        <v>24</v>
      </c>
      <c r="V177" s="26">
        <v>1</v>
      </c>
      <c r="W177" s="26" t="s">
        <v>218</v>
      </c>
    </row>
    <row r="178" spans="1:23" x14ac:dyDescent="0.25">
      <c r="A178" s="26" t="str">
        <f t="shared" si="18"/>
        <v>PREESCOLAR</v>
      </c>
      <c r="B178" s="26" t="str">
        <f>"09DJN0219U"</f>
        <v>09DJN0219U</v>
      </c>
      <c r="C178" s="26" t="str">
        <f>"TEMACHTIANI                                                                                         "</f>
        <v xml:space="preserve">TEMACHTIANI                                                                                         </v>
      </c>
      <c r="D178" s="26" t="str">
        <f>"JORNADA AMPLIADA"</f>
        <v>JORNADA AMPLIADA</v>
      </c>
      <c r="E178" s="26" t="str">
        <f>"AV. VICTOR HERNANDEZ COVARRUBIAS S/N                                            "</f>
        <v xml:space="preserve">AV. VICTOR HERNANDEZ COVARRUBIAS S/N                                            </v>
      </c>
      <c r="F178" s="26" t="str">
        <f>"UNIDAD HABITACIONAL FRANCISCO I MAD                                                                                                         "</f>
        <v xml:space="preserve">UNIDAD HABITACIONAL FRANCISCO I MAD                                                                                                         </v>
      </c>
      <c r="G178" s="26" t="str">
        <f>"AZCAPOTZALCO                                                                    "</f>
        <v xml:space="preserve">AZCAPOTZALCO                                                                    </v>
      </c>
      <c r="H178" s="26" t="str">
        <f>"176"</f>
        <v>176</v>
      </c>
      <c r="I178" s="26" t="str">
        <f t="shared" si="19"/>
        <v>00</v>
      </c>
      <c r="J178" s="26" t="str">
        <f>"31 "</f>
        <v xml:space="preserve">31 </v>
      </c>
      <c r="K178" s="26" t="str">
        <f t="shared" si="21"/>
        <v>EP</v>
      </c>
      <c r="L178" s="26" t="str">
        <f t="shared" si="22"/>
        <v>DGOSE</v>
      </c>
      <c r="M178" s="26" t="str">
        <f t="shared" si="20"/>
        <v>FEDERAL</v>
      </c>
      <c r="N178" s="26">
        <v>197</v>
      </c>
      <c r="O178" s="26">
        <v>88</v>
      </c>
      <c r="P178" s="26">
        <v>109</v>
      </c>
      <c r="Q178" s="26">
        <v>7</v>
      </c>
      <c r="R178" s="26">
        <v>1</v>
      </c>
      <c r="S178" s="26">
        <v>6</v>
      </c>
      <c r="T178" s="26">
        <v>7</v>
      </c>
      <c r="U178" s="26">
        <v>14</v>
      </c>
      <c r="V178" s="26">
        <v>1</v>
      </c>
      <c r="W178" s="26" t="s">
        <v>2076</v>
      </c>
    </row>
    <row r="179" spans="1:23" x14ac:dyDescent="0.25">
      <c r="A179" s="26" t="str">
        <f t="shared" si="18"/>
        <v>PREESCOLAR</v>
      </c>
      <c r="B179" s="26" t="str">
        <f>"09DJN0221I"</f>
        <v>09DJN0221I</v>
      </c>
      <c r="C179" s="26" t="str">
        <f>"ADOLFO RUIZ CORTINES                                                                                "</f>
        <v xml:space="preserve">ADOLFO RUIZ CORTINES                                                                                </v>
      </c>
      <c r="D179" s="26" t="str">
        <f>"MATUTINO"</f>
        <v>MATUTINO</v>
      </c>
      <c r="E179" s="26" t="str">
        <f>"TEJAMANIL Y ZIHUATLAN                                                           "</f>
        <v xml:space="preserve">TEJAMANIL Y ZIHUATLAN                                                           </v>
      </c>
      <c r="F179" s="26" t="str">
        <f>"PEDREGAL DE SANTO DOMINGO                                                                                                                   "</f>
        <v xml:space="preserve">PEDREGAL DE SANTO DOMINGO                                                                                                                   </v>
      </c>
      <c r="G179" s="26" t="str">
        <f>"COYOACAN                                                                        "</f>
        <v xml:space="preserve">COYOACAN                                                                        </v>
      </c>
      <c r="H179" s="26" t="str">
        <f>"043"</f>
        <v>043</v>
      </c>
      <c r="I179" s="26" t="str">
        <f t="shared" si="19"/>
        <v>00</v>
      </c>
      <c r="J179" s="26" t="str">
        <f>"35 "</f>
        <v xml:space="preserve">35 </v>
      </c>
      <c r="K179" s="26" t="str">
        <f t="shared" si="21"/>
        <v>EP</v>
      </c>
      <c r="L179" s="26" t="str">
        <f t="shared" si="22"/>
        <v>DGOSE</v>
      </c>
      <c r="M179" s="26" t="str">
        <f t="shared" si="20"/>
        <v>FEDERAL</v>
      </c>
      <c r="N179" s="26">
        <v>312</v>
      </c>
      <c r="O179" s="26">
        <v>166</v>
      </c>
      <c r="P179" s="26">
        <v>146</v>
      </c>
      <c r="Q179" s="26">
        <v>10</v>
      </c>
      <c r="R179" s="26">
        <v>1</v>
      </c>
      <c r="S179" s="26">
        <v>10</v>
      </c>
      <c r="T179" s="26">
        <v>7</v>
      </c>
      <c r="U179" s="26">
        <v>18</v>
      </c>
      <c r="V179" s="26">
        <v>1</v>
      </c>
      <c r="W179" s="26"/>
    </row>
    <row r="180" spans="1:23" x14ac:dyDescent="0.25">
      <c r="A180" s="26" t="str">
        <f t="shared" si="18"/>
        <v>PREESCOLAR</v>
      </c>
      <c r="B180" s="26" t="str">
        <f>"09DJN0222H"</f>
        <v>09DJN0222H</v>
      </c>
      <c r="C180" s="26" t="str">
        <f>"EDUCADORAS GENERACION 1950                                                                          "</f>
        <v xml:space="preserve">EDUCADORAS GENERACION 1950                                                                          </v>
      </c>
      <c r="D180" s="26" t="str">
        <f>"JORNADA AMPLIADA"</f>
        <v>JORNADA AMPLIADA</v>
      </c>
      <c r="E180" s="26" t="str">
        <f>"MONTE NARANJO Y AHUEHUETES S/N                                                  "</f>
        <v xml:space="preserve">MONTE NARANJO Y AHUEHUETES S/N                                                  </v>
      </c>
      <c r="F180" s="26" t="str">
        <f>"SAN JOSE DE LOS CEDROS                                                                                                                      "</f>
        <v xml:space="preserve">SAN JOSE DE LOS CEDROS                                                                                                                      </v>
      </c>
      <c r="G180" s="26" t="str">
        <f>"CUAJIMALPA DE MORELOS                                                           "</f>
        <v xml:space="preserve">CUAJIMALPA DE MORELOS                                                           </v>
      </c>
      <c r="H180" s="26" t="str">
        <f>"094"</f>
        <v>094</v>
      </c>
      <c r="I180" s="26" t="str">
        <f t="shared" si="19"/>
        <v>00</v>
      </c>
      <c r="J180" s="26" t="str">
        <f>"34 "</f>
        <v xml:space="preserve">34 </v>
      </c>
      <c r="K180" s="26" t="str">
        <f t="shared" si="21"/>
        <v>EP</v>
      </c>
      <c r="L180" s="26" t="str">
        <f t="shared" si="22"/>
        <v>DGOSE</v>
      </c>
      <c r="M180" s="26" t="str">
        <f t="shared" si="20"/>
        <v>FEDERAL</v>
      </c>
      <c r="N180" s="26">
        <v>235</v>
      </c>
      <c r="O180" s="26">
        <v>124</v>
      </c>
      <c r="P180" s="26">
        <v>111</v>
      </c>
      <c r="Q180" s="26">
        <v>6</v>
      </c>
      <c r="R180" s="26">
        <v>1</v>
      </c>
      <c r="S180" s="26">
        <v>6</v>
      </c>
      <c r="T180" s="26">
        <v>6</v>
      </c>
      <c r="U180" s="26">
        <v>13</v>
      </c>
      <c r="V180" s="26">
        <v>1</v>
      </c>
      <c r="W180" s="26" t="s">
        <v>2076</v>
      </c>
    </row>
    <row r="181" spans="1:23" x14ac:dyDescent="0.25">
      <c r="A181" s="26" t="str">
        <f t="shared" si="18"/>
        <v>PREESCOLAR</v>
      </c>
      <c r="B181" s="26" t="str">
        <f>"09DJN0223G"</f>
        <v>09DJN0223G</v>
      </c>
      <c r="C181" s="26" t="str">
        <f>"ALVARO OBREGON                                                                                      "</f>
        <v xml:space="preserve">ALVARO OBREGON                                                                                      </v>
      </c>
      <c r="D181" s="26" t="str">
        <f>"MATUTINO"</f>
        <v>MATUTINO</v>
      </c>
      <c r="E181" s="26" t="str">
        <f>"VOL. POPOCATEPETL Y VOL. ZUNIL                                                  "</f>
        <v xml:space="preserve">VOL. POPOCATEPETL Y VOL. ZUNIL                                                  </v>
      </c>
      <c r="F181" s="26" t="str">
        <f>"LA PROVIDENCIA                                                                                                                              "</f>
        <v xml:space="preserve">LA PROVIDENCIA                                                                                                                              </v>
      </c>
      <c r="G181" s="26" t="str">
        <f>"GUSTAVO A. MADERO                                                               "</f>
        <v xml:space="preserve">GUSTAVO A. MADERO                                                               </v>
      </c>
      <c r="H181" s="26" t="str">
        <f>"180"</f>
        <v>180</v>
      </c>
      <c r="I181" s="26" t="str">
        <f t="shared" si="19"/>
        <v>00</v>
      </c>
      <c r="J181" s="26" t="str">
        <f>"32 "</f>
        <v xml:space="preserve">32 </v>
      </c>
      <c r="K181" s="26" t="str">
        <f t="shared" si="21"/>
        <v>EP</v>
      </c>
      <c r="L181" s="26" t="str">
        <f t="shared" si="22"/>
        <v>DGOSE</v>
      </c>
      <c r="M181" s="26" t="str">
        <f t="shared" si="20"/>
        <v>FEDERAL</v>
      </c>
      <c r="N181" s="26">
        <v>174</v>
      </c>
      <c r="O181" s="26">
        <v>100</v>
      </c>
      <c r="P181" s="26">
        <v>74</v>
      </c>
      <c r="Q181" s="26">
        <v>6</v>
      </c>
      <c r="R181" s="26">
        <v>1</v>
      </c>
      <c r="S181" s="26">
        <v>6</v>
      </c>
      <c r="T181" s="26">
        <v>4</v>
      </c>
      <c r="U181" s="26">
        <v>11</v>
      </c>
      <c r="V181" s="26">
        <v>1</v>
      </c>
      <c r="W181" s="26"/>
    </row>
    <row r="182" spans="1:23" x14ac:dyDescent="0.25">
      <c r="A182" s="26" t="str">
        <f t="shared" si="18"/>
        <v>PREESCOLAR</v>
      </c>
      <c r="B182" s="26" t="str">
        <f>"09DJN0224F"</f>
        <v>09DJN0224F</v>
      </c>
      <c r="C182" s="26" t="str">
        <f>"ING. JAVIER BARROS SIERRA                                                                           "</f>
        <v xml:space="preserve">ING. JAVIER BARROS SIERRA                                                                           </v>
      </c>
      <c r="D182" s="26" t="str">
        <f>"MATUTINO"</f>
        <v>MATUTINO</v>
      </c>
      <c r="E182" s="26" t="str">
        <f>"CUMBRES S/N ESQ. PEYOTE                                                         "</f>
        <v xml:space="preserve">CUMBRES S/N ESQ. PEYOTE                                                         </v>
      </c>
      <c r="F182" s="26" t="str">
        <f>"IZTACALCO                                                                                                                                   "</f>
        <v xml:space="preserve">IZTACALCO                                                                                                                                   </v>
      </c>
      <c r="G182" s="26" t="str">
        <f>"IZTACALCO                                                                       "</f>
        <v xml:space="preserve">IZTACALCO                                                                       </v>
      </c>
      <c r="H182" s="26" t="str">
        <f>"090"</f>
        <v>090</v>
      </c>
      <c r="I182" s="26" t="str">
        <f t="shared" si="19"/>
        <v>00</v>
      </c>
      <c r="J182" s="26" t="str">
        <f>"33 "</f>
        <v xml:space="preserve">33 </v>
      </c>
      <c r="K182" s="26" t="str">
        <f t="shared" si="21"/>
        <v>EP</v>
      </c>
      <c r="L182" s="26" t="str">
        <f t="shared" si="22"/>
        <v>DGOSE</v>
      </c>
      <c r="M182" s="26" t="str">
        <f t="shared" si="20"/>
        <v>FEDERAL</v>
      </c>
      <c r="N182" s="26">
        <v>183</v>
      </c>
      <c r="O182" s="26">
        <v>90</v>
      </c>
      <c r="P182" s="26">
        <v>93</v>
      </c>
      <c r="Q182" s="26">
        <v>6</v>
      </c>
      <c r="R182" s="26">
        <v>1</v>
      </c>
      <c r="S182" s="26">
        <v>6</v>
      </c>
      <c r="T182" s="26">
        <v>5</v>
      </c>
      <c r="U182" s="26">
        <v>12</v>
      </c>
      <c r="V182" s="26">
        <v>1</v>
      </c>
      <c r="W182" s="26"/>
    </row>
    <row r="183" spans="1:23" x14ac:dyDescent="0.25">
      <c r="A183" s="26" t="str">
        <f t="shared" si="18"/>
        <v>PREESCOLAR</v>
      </c>
      <c r="B183" s="26" t="str">
        <f>"09DJN0225E"</f>
        <v>09DJN0225E</v>
      </c>
      <c r="C183" s="26" t="str">
        <f>"JOSE MARIA VELASCO                                                                                  "</f>
        <v xml:space="preserve">JOSE MARIA VELASCO                                                                                  </v>
      </c>
      <c r="D183" s="26" t="str">
        <f>"MATUTINO"</f>
        <v>MATUTINO</v>
      </c>
      <c r="E183" s="26" t="str">
        <f>"ORIENTE 245 B Y SUR 16                                                          "</f>
        <v xml:space="preserve">ORIENTE 245 B Y SUR 16                                                          </v>
      </c>
      <c r="F183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183" s="26" t="str">
        <f>"IZTACALCO                                                                       "</f>
        <v xml:space="preserve">IZTACALCO                                                                       </v>
      </c>
      <c r="H183" s="26" t="str">
        <f>"238"</f>
        <v>238</v>
      </c>
      <c r="I183" s="26" t="str">
        <f t="shared" si="19"/>
        <v>00</v>
      </c>
      <c r="J183" s="26" t="str">
        <f>"33 "</f>
        <v xml:space="preserve">33 </v>
      </c>
      <c r="K183" s="26" t="str">
        <f t="shared" si="21"/>
        <v>EP</v>
      </c>
      <c r="L183" s="26" t="str">
        <f t="shared" si="22"/>
        <v>DGOSE</v>
      </c>
      <c r="M183" s="26" t="str">
        <f t="shared" si="20"/>
        <v>FEDERAL</v>
      </c>
      <c r="N183" s="26">
        <v>254</v>
      </c>
      <c r="O183" s="26">
        <v>128</v>
      </c>
      <c r="P183" s="26">
        <v>126</v>
      </c>
      <c r="Q183" s="26">
        <v>7</v>
      </c>
      <c r="R183" s="26">
        <v>1</v>
      </c>
      <c r="S183" s="26">
        <v>7</v>
      </c>
      <c r="T183" s="26">
        <v>7</v>
      </c>
      <c r="U183" s="26">
        <v>15</v>
      </c>
      <c r="V183" s="26">
        <v>1</v>
      </c>
      <c r="W183" s="26"/>
    </row>
    <row r="184" spans="1:23" x14ac:dyDescent="0.25">
      <c r="A184" s="26" t="str">
        <f t="shared" si="18"/>
        <v>PREESCOLAR</v>
      </c>
      <c r="B184" s="26" t="str">
        <f>"09DJN0227C"</f>
        <v>09DJN0227C</v>
      </c>
      <c r="C184" s="26" t="str">
        <f>"LEON FELIPE                                                                                         "</f>
        <v xml:space="preserve">LEON FELIPE                                                                                         </v>
      </c>
      <c r="D184" s="26" t="str">
        <f>"JORNADA AMPLIADA"</f>
        <v>JORNADA AMPLIADA</v>
      </c>
      <c r="E184" s="26" t="str">
        <f>"RAFAEL CURIEL Y ALBERTO GONZALEZ                                                "</f>
        <v xml:space="preserve">RAFAEL CURIEL Y ALBERTO GONZALEZ                                                </v>
      </c>
      <c r="F184" s="26" t="str">
        <f>"CONSTITUCION 1917                                                                                                                           "</f>
        <v xml:space="preserve">CONSTITUCION 1917                                                                                                                           </v>
      </c>
      <c r="G184" s="26" t="str">
        <f>"IZTAPALAPA                                                                      "</f>
        <v xml:space="preserve">IZTAPALAPA                                                                      </v>
      </c>
      <c r="H184" s="26" t="str">
        <f>"007"</f>
        <v>007</v>
      </c>
      <c r="I184" s="26" t="str">
        <f t="shared" si="19"/>
        <v>00</v>
      </c>
      <c r="J184" s="26" t="str">
        <f>"61 "</f>
        <v xml:space="preserve">61 </v>
      </c>
      <c r="K184" s="26" t="str">
        <f>"IZ"</f>
        <v>IZ</v>
      </c>
      <c r="L184" s="26" t="str">
        <f>"DGSEI"</f>
        <v>DGSEI</v>
      </c>
      <c r="M184" s="26" t="str">
        <f t="shared" si="20"/>
        <v>FEDERAL</v>
      </c>
      <c r="N184" s="26">
        <v>201</v>
      </c>
      <c r="O184" s="26">
        <v>104</v>
      </c>
      <c r="P184" s="26">
        <v>97</v>
      </c>
      <c r="Q184" s="26">
        <v>6</v>
      </c>
      <c r="R184" s="26">
        <v>1</v>
      </c>
      <c r="S184" s="26">
        <v>5</v>
      </c>
      <c r="T184" s="26">
        <v>5</v>
      </c>
      <c r="U184" s="26">
        <v>11</v>
      </c>
      <c r="V184" s="26">
        <v>1</v>
      </c>
      <c r="W184" s="26" t="s">
        <v>2076</v>
      </c>
    </row>
    <row r="185" spans="1:23" x14ac:dyDescent="0.25">
      <c r="A185" s="26" t="str">
        <f t="shared" si="18"/>
        <v>PREESCOLAR</v>
      </c>
      <c r="B185" s="26" t="str">
        <f>"09DJN0228B"</f>
        <v>09DJN0228B</v>
      </c>
      <c r="C185" s="26" t="str">
        <f>"TIXTLA DE GUERRERO                                                                                  "</f>
        <v xml:space="preserve">TIXTLA DE GUERRERO                                                                                  </v>
      </c>
      <c r="D185" s="26" t="str">
        <f>"JORNADA AMPLIADA"</f>
        <v>JORNADA AMPLIADA</v>
      </c>
      <c r="E185" s="26" t="str">
        <f>"COMBATE DE CELAYA S/N MZ. 5                                                     "</f>
        <v xml:space="preserve">COMBATE DE CELAYA S/N MZ. 5                                                     </v>
      </c>
      <c r="F185" s="26" t="str">
        <f>"UNIDAD HABITACIONAL VICENTE GUERRER                                                                                                         "</f>
        <v xml:space="preserve">UNIDAD HABITACIONAL VICENTE GUERRER                                                                                                         </v>
      </c>
      <c r="G185" s="26" t="str">
        <f>"IZTAPALAPA                                                                      "</f>
        <v xml:space="preserve">IZTAPALAPA                                                                      </v>
      </c>
      <c r="H185" s="26" t="str">
        <f>"011"</f>
        <v>011</v>
      </c>
      <c r="I185" s="26" t="str">
        <f t="shared" si="19"/>
        <v>00</v>
      </c>
      <c r="J185" s="26" t="str">
        <f>"61 "</f>
        <v xml:space="preserve">61 </v>
      </c>
      <c r="K185" s="26" t="str">
        <f>"IZ"</f>
        <v>IZ</v>
      </c>
      <c r="L185" s="26" t="str">
        <f>"DGSEI"</f>
        <v>DGSEI</v>
      </c>
      <c r="M185" s="26" t="str">
        <f t="shared" si="20"/>
        <v>FEDERAL</v>
      </c>
      <c r="N185" s="26">
        <v>225</v>
      </c>
      <c r="O185" s="26">
        <v>111</v>
      </c>
      <c r="P185" s="26">
        <v>114</v>
      </c>
      <c r="Q185" s="26">
        <v>6</v>
      </c>
      <c r="R185" s="26">
        <v>1</v>
      </c>
      <c r="S185" s="26">
        <v>6</v>
      </c>
      <c r="T185" s="26">
        <v>5</v>
      </c>
      <c r="U185" s="26">
        <v>12</v>
      </c>
      <c r="V185" s="26">
        <v>1</v>
      </c>
      <c r="W185" s="26" t="s">
        <v>2076</v>
      </c>
    </row>
    <row r="186" spans="1:23" x14ac:dyDescent="0.25">
      <c r="A186" s="26" t="str">
        <f t="shared" si="18"/>
        <v>PREESCOLAR</v>
      </c>
      <c r="B186" s="26" t="str">
        <f>"09DJN0229A"</f>
        <v>09DJN0229A</v>
      </c>
      <c r="C186" s="26" t="str">
        <f>"REP. POPULAR DE POLONIA                                                                             "</f>
        <v xml:space="preserve">REP. POPULAR DE POLONIA                                                                             </v>
      </c>
      <c r="D186" s="26" t="str">
        <f>"MATUTINO"</f>
        <v>MATUTINO</v>
      </c>
      <c r="E186" s="26" t="str">
        <f>"PALACIO S/N                                                                     "</f>
        <v xml:space="preserve">PALACIO S/N                                                                     </v>
      </c>
      <c r="F186" s="26" t="str">
        <f>"LA ASUNCION                                                                                                                                 "</f>
        <v xml:space="preserve">LA ASUNCION                                                                                                                                 </v>
      </c>
      <c r="G186" s="26" t="str">
        <f>"IZTAPALAPA                                                                      "</f>
        <v xml:space="preserve">IZTAPALAPA                                                                      </v>
      </c>
      <c r="H186" s="26" t="str">
        <f>"022"</f>
        <v>022</v>
      </c>
      <c r="I186" s="26" t="str">
        <f t="shared" si="19"/>
        <v>00</v>
      </c>
      <c r="J186" s="26" t="str">
        <f>"63 "</f>
        <v xml:space="preserve">63 </v>
      </c>
      <c r="K186" s="26" t="str">
        <f>"IZ"</f>
        <v>IZ</v>
      </c>
      <c r="L186" s="26" t="str">
        <f>"DGSEI"</f>
        <v>DGSEI</v>
      </c>
      <c r="M186" s="26" t="str">
        <f t="shared" si="20"/>
        <v>FEDERAL</v>
      </c>
      <c r="N186" s="26">
        <v>200</v>
      </c>
      <c r="O186" s="26">
        <v>93</v>
      </c>
      <c r="P186" s="26">
        <v>107</v>
      </c>
      <c r="Q186" s="26">
        <v>6</v>
      </c>
      <c r="R186" s="26">
        <v>1</v>
      </c>
      <c r="S186" s="26">
        <v>6</v>
      </c>
      <c r="T186" s="26">
        <v>3</v>
      </c>
      <c r="U186" s="26">
        <v>10</v>
      </c>
      <c r="V186" s="26">
        <v>1</v>
      </c>
      <c r="W186" s="26"/>
    </row>
    <row r="187" spans="1:23" x14ac:dyDescent="0.25">
      <c r="A187" s="26" t="str">
        <f t="shared" si="18"/>
        <v>PREESCOLAR</v>
      </c>
      <c r="B187" s="26" t="str">
        <f>"09DJN0230Q"</f>
        <v>09DJN0230Q</v>
      </c>
      <c r="C187" s="26" t="str">
        <f>"VICENTE GUERRERO                                                                                    "</f>
        <v xml:space="preserve">VICENTE GUERRERO                                                                                    </v>
      </c>
      <c r="D187" s="26" t="str">
        <f>"JORNADA AMPLIADA"</f>
        <v>JORNADA AMPLIADA</v>
      </c>
      <c r="E187" s="26" t="str">
        <f>"ANILLO PERIFERICO Y LIC. DIAZ SOTO Y GAMA                                       "</f>
        <v xml:space="preserve">ANILLO PERIFERICO Y LIC. DIAZ SOTO Y GAMA                                       </v>
      </c>
      <c r="F187" s="26" t="str">
        <f>"UNIDAD HABITACIONAL VICENTE GUERRER                                                                                                         "</f>
        <v xml:space="preserve">UNIDAD HABITACIONAL VICENTE GUERRER                                                                                                         </v>
      </c>
      <c r="G187" s="26" t="str">
        <f>"IZTAPALAPA                                                                      "</f>
        <v xml:space="preserve">IZTAPALAPA                                                                      </v>
      </c>
      <c r="H187" s="26" t="str">
        <f>"011"</f>
        <v>011</v>
      </c>
      <c r="I187" s="26" t="str">
        <f t="shared" si="19"/>
        <v>00</v>
      </c>
      <c r="J187" s="26" t="str">
        <f>"61 "</f>
        <v xml:space="preserve">61 </v>
      </c>
      <c r="K187" s="26" t="str">
        <f>"IZ"</f>
        <v>IZ</v>
      </c>
      <c r="L187" s="26" t="str">
        <f>"DGSEI"</f>
        <v>DGSEI</v>
      </c>
      <c r="M187" s="26" t="str">
        <f t="shared" si="20"/>
        <v>FEDERAL</v>
      </c>
      <c r="N187" s="26">
        <v>126</v>
      </c>
      <c r="O187" s="26">
        <v>65</v>
      </c>
      <c r="P187" s="26">
        <v>61</v>
      </c>
      <c r="Q187" s="26">
        <v>5</v>
      </c>
      <c r="R187" s="26">
        <v>1</v>
      </c>
      <c r="S187" s="26">
        <v>4</v>
      </c>
      <c r="T187" s="26">
        <v>4</v>
      </c>
      <c r="U187" s="26">
        <v>9</v>
      </c>
      <c r="V187" s="26">
        <v>1</v>
      </c>
      <c r="W187" s="26" t="s">
        <v>2076</v>
      </c>
    </row>
    <row r="188" spans="1:23" x14ac:dyDescent="0.25">
      <c r="A188" s="26" t="str">
        <f t="shared" si="18"/>
        <v>PREESCOLAR</v>
      </c>
      <c r="B188" s="26" t="str">
        <f>"09DJN0231P"</f>
        <v>09DJN0231P</v>
      </c>
      <c r="C188" s="26" t="str">
        <f>"SALVADOR NOVO                                                                                       "</f>
        <v xml:space="preserve">SALVADOR NOVO                                                                                       </v>
      </c>
      <c r="D188" s="26" t="str">
        <f>"TIEMPO COMPLETO"</f>
        <v>TIEMPO COMPLETO</v>
      </c>
      <c r="E188" s="26" t="str">
        <f>"LA PURISIMA NO. 208                                                             "</f>
        <v xml:space="preserve">LA PURISIMA NO. 208                                                             </v>
      </c>
      <c r="F188" s="26" t="str">
        <f>"LA PURISIMA                                                                                                                                 "</f>
        <v xml:space="preserve">LA PURISIMA                                                                                                                                 </v>
      </c>
      <c r="G188" s="26" t="str">
        <f>"IZTAPALAPA                                                                      "</f>
        <v xml:space="preserve">IZTAPALAPA                                                                      </v>
      </c>
      <c r="H188" s="26" t="str">
        <f>"007"</f>
        <v>007</v>
      </c>
      <c r="I188" s="26" t="str">
        <f t="shared" si="19"/>
        <v>00</v>
      </c>
      <c r="J188" s="26" t="str">
        <f>"61 "</f>
        <v xml:space="preserve">61 </v>
      </c>
      <c r="K188" s="26" t="str">
        <f>"IZ"</f>
        <v>IZ</v>
      </c>
      <c r="L188" s="26" t="str">
        <f>"DGSEI"</f>
        <v>DGSEI</v>
      </c>
      <c r="M188" s="26" t="str">
        <f t="shared" si="20"/>
        <v>FEDERAL</v>
      </c>
      <c r="N188" s="26">
        <v>151</v>
      </c>
      <c r="O188" s="26">
        <v>73</v>
      </c>
      <c r="P188" s="26">
        <v>78</v>
      </c>
      <c r="Q188" s="26">
        <v>7</v>
      </c>
      <c r="R188" s="26">
        <v>1</v>
      </c>
      <c r="S188" s="26">
        <v>4</v>
      </c>
      <c r="T188" s="26">
        <v>11</v>
      </c>
      <c r="U188" s="26">
        <v>16</v>
      </c>
      <c r="V188" s="26">
        <v>1</v>
      </c>
      <c r="W188" s="26" t="s">
        <v>218</v>
      </c>
    </row>
    <row r="189" spans="1:23" x14ac:dyDescent="0.25">
      <c r="A189" s="26" t="str">
        <f t="shared" si="18"/>
        <v>PREESCOLAR</v>
      </c>
      <c r="B189" s="26" t="str">
        <f>"09DJN0232O"</f>
        <v>09DJN0232O</v>
      </c>
      <c r="C189" s="26" t="str">
        <f>"MARIA DE LOS ANGELES LIZARRAGA                                                                      "</f>
        <v xml:space="preserve">MARIA DE LOS ANGELES LIZARRAGA                                                                      </v>
      </c>
      <c r="D189" s="26" t="str">
        <f>"VESPERTINO"</f>
        <v>VESPERTINO</v>
      </c>
      <c r="E189" s="26" t="str">
        <f>"AV. ALVARO OBREGON S/N                                                          "</f>
        <v xml:space="preserve">AV. ALVARO OBREGON S/N                                                          </v>
      </c>
      <c r="F189" s="26" t="str">
        <f>"BARRANCA SECA                                                                                                                               "</f>
        <v xml:space="preserve">BARRANCA SECA                                                                                                                               </v>
      </c>
      <c r="G189" s="26" t="str">
        <f>"LA MAGDALENA CONTRERAS                                                          "</f>
        <v xml:space="preserve">LA MAGDALENA CONTRERAS                                                          </v>
      </c>
      <c r="H189" s="26" t="str">
        <f>"112"</f>
        <v>112</v>
      </c>
      <c r="I189" s="26" t="str">
        <f t="shared" si="19"/>
        <v>00</v>
      </c>
      <c r="J189" s="26" t="str">
        <f>"35 "</f>
        <v xml:space="preserve">35 </v>
      </c>
      <c r="K189" s="26" t="str">
        <f t="shared" ref="K189:K230" si="24">"EP"</f>
        <v>EP</v>
      </c>
      <c r="L189" s="26" t="str">
        <f t="shared" ref="L189:L230" si="25">"DGOSE"</f>
        <v>DGOSE</v>
      </c>
      <c r="M189" s="26" t="str">
        <f t="shared" si="20"/>
        <v>FEDERAL</v>
      </c>
      <c r="N189" s="26">
        <v>95</v>
      </c>
      <c r="O189" s="26">
        <v>43</v>
      </c>
      <c r="P189" s="26">
        <v>52</v>
      </c>
      <c r="Q189" s="26">
        <v>4</v>
      </c>
      <c r="R189" s="26">
        <v>1</v>
      </c>
      <c r="S189" s="26">
        <v>4</v>
      </c>
      <c r="T189" s="26">
        <v>7</v>
      </c>
      <c r="U189" s="26">
        <v>12</v>
      </c>
      <c r="V189" s="26">
        <v>1</v>
      </c>
      <c r="W189" s="26"/>
    </row>
    <row r="190" spans="1:23" x14ac:dyDescent="0.25">
      <c r="A190" s="26" t="str">
        <f t="shared" si="18"/>
        <v>PREESCOLAR</v>
      </c>
      <c r="B190" s="26" t="str">
        <f>"09DJN0233N"</f>
        <v>09DJN0233N</v>
      </c>
      <c r="C190" s="26" t="str">
        <f>"MALINALLI                                                                                           "</f>
        <v xml:space="preserve">MALINALLI                                                                                           </v>
      </c>
      <c r="D190" s="26" t="str">
        <f>"JORNADA AMPLIADA"</f>
        <v>JORNADA AMPLIADA</v>
      </c>
      <c r="E190" s="26" t="str">
        <f>"REFORMA Y NARANJO S/N                                                           "</f>
        <v xml:space="preserve">REFORMA Y NARANJO S/N                                                           </v>
      </c>
      <c r="F190" s="26" t="str">
        <f>"SAN FRANCISCO BARRIO                                                                                                                        "</f>
        <v xml:space="preserve">SAN FRANCISCO BARRIO                                                                                                                        </v>
      </c>
      <c r="G190" s="26" t="str">
        <f>"LA MAGDALENA CONTRERAS                                                          "</f>
        <v xml:space="preserve">LA MAGDALENA CONTRERAS                                                          </v>
      </c>
      <c r="H190" s="26" t="str">
        <f>"123"</f>
        <v>123</v>
      </c>
      <c r="I190" s="26" t="str">
        <f t="shared" si="19"/>
        <v>00</v>
      </c>
      <c r="J190" s="26" t="str">
        <f>"34 "</f>
        <v xml:space="preserve">34 </v>
      </c>
      <c r="K190" s="26" t="str">
        <f t="shared" si="24"/>
        <v>EP</v>
      </c>
      <c r="L190" s="26" t="str">
        <f t="shared" si="25"/>
        <v>DGOSE</v>
      </c>
      <c r="M190" s="26" t="str">
        <f t="shared" si="20"/>
        <v>FEDERAL</v>
      </c>
      <c r="N190" s="26">
        <v>103</v>
      </c>
      <c r="O190" s="26">
        <v>44</v>
      </c>
      <c r="P190" s="26">
        <v>59</v>
      </c>
      <c r="Q190" s="26">
        <v>5</v>
      </c>
      <c r="R190" s="26">
        <v>1</v>
      </c>
      <c r="S190" s="26">
        <v>5</v>
      </c>
      <c r="T190" s="26">
        <v>4</v>
      </c>
      <c r="U190" s="26">
        <v>10</v>
      </c>
      <c r="V190" s="26">
        <v>1</v>
      </c>
      <c r="W190" s="26" t="s">
        <v>2076</v>
      </c>
    </row>
    <row r="191" spans="1:23" x14ac:dyDescent="0.25">
      <c r="A191" s="26" t="str">
        <f t="shared" si="18"/>
        <v>PREESCOLAR</v>
      </c>
      <c r="B191" s="26" t="str">
        <f>"09DJN0234M"</f>
        <v>09DJN0234M</v>
      </c>
      <c r="C191" s="26" t="str">
        <f>"NAHUI-OLLIN                                                                                         "</f>
        <v xml:space="preserve">NAHUI-OLLIN                                                                                         </v>
      </c>
      <c r="D191" s="26" t="str">
        <f>"MATUTINO"</f>
        <v>MATUTINO</v>
      </c>
      <c r="E191" s="26" t="str">
        <f>"CALLEJON HIDALGO NO. 1                                                          "</f>
        <v xml:space="preserve">CALLEJON HIDALGO NO. 1                                                          </v>
      </c>
      <c r="F191" s="26" t="str">
        <f>"SANTA ANA TLACOTENCO                                                                                                                        "</f>
        <v xml:space="preserve">SANTA ANA TLACOTENCO                                                                                                                        </v>
      </c>
      <c r="G191" s="26" t="str">
        <f>"MILPA ALTA                                                                      "</f>
        <v xml:space="preserve">MILPA ALTA                                                                      </v>
      </c>
      <c r="H191" s="26" t="str">
        <f>"104"</f>
        <v>104</v>
      </c>
      <c r="I191" s="26" t="str">
        <f t="shared" si="19"/>
        <v>00</v>
      </c>
      <c r="J191" s="26" t="str">
        <f>"35 "</f>
        <v xml:space="preserve">35 </v>
      </c>
      <c r="K191" s="26" t="str">
        <f t="shared" si="24"/>
        <v>EP</v>
      </c>
      <c r="L191" s="26" t="str">
        <f t="shared" si="25"/>
        <v>DGOSE</v>
      </c>
      <c r="M191" s="26" t="str">
        <f t="shared" si="20"/>
        <v>FEDERAL</v>
      </c>
      <c r="N191" s="26">
        <v>186</v>
      </c>
      <c r="O191" s="26">
        <v>92</v>
      </c>
      <c r="P191" s="26">
        <v>94</v>
      </c>
      <c r="Q191" s="26">
        <v>6</v>
      </c>
      <c r="R191" s="26">
        <v>1</v>
      </c>
      <c r="S191" s="26">
        <v>6</v>
      </c>
      <c r="T191" s="26">
        <v>7</v>
      </c>
      <c r="U191" s="26">
        <v>14</v>
      </c>
      <c r="V191" s="26">
        <v>1</v>
      </c>
      <c r="W191" s="26"/>
    </row>
    <row r="192" spans="1:23" x14ac:dyDescent="0.25">
      <c r="A192" s="26" t="str">
        <f t="shared" si="18"/>
        <v>PREESCOLAR</v>
      </c>
      <c r="B192" s="26" t="str">
        <f>"09DJN0236K"</f>
        <v>09DJN0236K</v>
      </c>
      <c r="C192" s="26" t="str">
        <f>"PAULO FREIRE                                                                                        "</f>
        <v xml:space="preserve">PAULO FREIRE                                                                                        </v>
      </c>
      <c r="D192" s="26" t="str">
        <f>"MATUTINO"</f>
        <v>MATUTINO</v>
      </c>
      <c r="E192" s="26" t="str">
        <f>"PUERTO KINO MZA.  A LOTES 3 Y 4                                                 "</f>
        <v xml:space="preserve">PUERTO KINO MZA.  A LOTES 3 Y 4                                                 </v>
      </c>
      <c r="F192" s="26" t="str">
        <f>"PILOTO ADOLFO LOPEZ MATEOS                                                                                                                  "</f>
        <v xml:space="preserve">PILOTO ADOLFO LOPEZ MATEOS                                                                                                                  </v>
      </c>
      <c r="G192" s="26" t="str">
        <f>"ALVARO OBREGON                                                                  "</f>
        <v xml:space="preserve">ALVARO OBREGON                                                                  </v>
      </c>
      <c r="H192" s="26" t="str">
        <f>"217"</f>
        <v>217</v>
      </c>
      <c r="I192" s="26" t="str">
        <f t="shared" si="19"/>
        <v>00</v>
      </c>
      <c r="J192" s="26" t="str">
        <f>"33 "</f>
        <v xml:space="preserve">33 </v>
      </c>
      <c r="K192" s="26" t="str">
        <f t="shared" si="24"/>
        <v>EP</v>
      </c>
      <c r="L192" s="26" t="str">
        <f t="shared" si="25"/>
        <v>DGOSE</v>
      </c>
      <c r="M192" s="26" t="str">
        <f t="shared" si="20"/>
        <v>FEDERAL</v>
      </c>
      <c r="N192" s="26">
        <v>176</v>
      </c>
      <c r="O192" s="26">
        <v>96</v>
      </c>
      <c r="P192" s="26">
        <v>80</v>
      </c>
      <c r="Q192" s="26">
        <v>6</v>
      </c>
      <c r="R192" s="26">
        <v>1</v>
      </c>
      <c r="S192" s="26">
        <v>6</v>
      </c>
      <c r="T192" s="26">
        <v>4</v>
      </c>
      <c r="U192" s="26">
        <v>11</v>
      </c>
      <c r="V192" s="26">
        <v>1</v>
      </c>
      <c r="W192" s="26"/>
    </row>
    <row r="193" spans="1:23" x14ac:dyDescent="0.25">
      <c r="A193" s="26" t="str">
        <f t="shared" si="18"/>
        <v>PREESCOLAR</v>
      </c>
      <c r="B193" s="26" t="str">
        <f>"09DJN0237J"</f>
        <v>09DJN0237J</v>
      </c>
      <c r="C193" s="26" t="str">
        <f>"QUETZALCOATL                                                                                        "</f>
        <v xml:space="preserve">QUETZALCOATL                                                                                        </v>
      </c>
      <c r="D193" s="26" t="str">
        <f>"MATUTINO"</f>
        <v>MATUTINO</v>
      </c>
      <c r="E193" s="26" t="str">
        <f>"ANDRES QUINTANA ROO Y CARLOS A. VIDAL                                           "</f>
        <v xml:space="preserve">ANDRES QUINTANA ROO Y CARLOS A. VIDAL                                           </v>
      </c>
      <c r="F193" s="26" t="str">
        <f>"SAN FRANCISCO TLALTENCO                                                                                                                     "</f>
        <v xml:space="preserve">SAN FRANCISCO TLALTENCO                                                                                                                     </v>
      </c>
      <c r="G193" s="26" t="str">
        <f>"TLAHUAC                                                                         "</f>
        <v xml:space="preserve">TLAHUAC                                                                         </v>
      </c>
      <c r="H193" s="26" t="str">
        <f>"223"</f>
        <v>223</v>
      </c>
      <c r="I193" s="26" t="str">
        <f t="shared" si="19"/>
        <v>00</v>
      </c>
      <c r="J193" s="26" t="str">
        <f>"35 "</f>
        <v xml:space="preserve">35 </v>
      </c>
      <c r="K193" s="26" t="str">
        <f t="shared" si="24"/>
        <v>EP</v>
      </c>
      <c r="L193" s="26" t="str">
        <f t="shared" si="25"/>
        <v>DGOSE</v>
      </c>
      <c r="M193" s="26" t="str">
        <f t="shared" si="20"/>
        <v>FEDERAL</v>
      </c>
      <c r="N193" s="26">
        <v>203</v>
      </c>
      <c r="O193" s="26">
        <v>100</v>
      </c>
      <c r="P193" s="26">
        <v>103</v>
      </c>
      <c r="Q193" s="26">
        <v>7</v>
      </c>
      <c r="R193" s="26">
        <v>1</v>
      </c>
      <c r="S193" s="26">
        <v>7</v>
      </c>
      <c r="T193" s="26">
        <v>2</v>
      </c>
      <c r="U193" s="26">
        <v>10</v>
      </c>
      <c r="V193" s="26">
        <v>1</v>
      </c>
      <c r="W193" s="26"/>
    </row>
    <row r="194" spans="1:23" x14ac:dyDescent="0.25">
      <c r="A194" s="26" t="str">
        <f t="shared" ref="A194:A257" si="26">"PREESCOLAR"</f>
        <v>PREESCOLAR</v>
      </c>
      <c r="B194" s="26" t="str">
        <f>"09DJN0238I"</f>
        <v>09DJN0238I</v>
      </c>
      <c r="C194" s="26" t="str">
        <f>"REPUBLICA DE ARGENTINA                                                                              "</f>
        <v xml:space="preserve">REPUBLICA DE ARGENTINA                                                                              </v>
      </c>
      <c r="D194" s="26" t="str">
        <f>"VESPERTINO"</f>
        <v>VESPERTINO</v>
      </c>
      <c r="E194" s="26" t="str">
        <f>"MORELOS NO. 4                                                                   "</f>
        <v xml:space="preserve">MORELOS NO. 4                                                                   </v>
      </c>
      <c r="F194" s="26" t="str">
        <f>"TLALPAN                                                                                                                                     "</f>
        <v xml:space="preserve">TLALPAN                                                                                                                                     </v>
      </c>
      <c r="G194" s="26" t="str">
        <f>"TLALPAN                                                                         "</f>
        <v xml:space="preserve">TLALPAN                                                                         </v>
      </c>
      <c r="H194" s="26" t="str">
        <f>"051"</f>
        <v>051</v>
      </c>
      <c r="I194" s="26" t="str">
        <f t="shared" ref="I194:I257" si="27">"00"</f>
        <v>00</v>
      </c>
      <c r="J194" s="26" t="str">
        <f>"35 "</f>
        <v xml:space="preserve">35 </v>
      </c>
      <c r="K194" s="26" t="str">
        <f t="shared" si="24"/>
        <v>EP</v>
      </c>
      <c r="L194" s="26" t="str">
        <f t="shared" si="25"/>
        <v>DGOSE</v>
      </c>
      <c r="M194" s="26" t="str">
        <f t="shared" ref="M194:M257" si="28">"FEDERAL"</f>
        <v>FEDERAL</v>
      </c>
      <c r="N194" s="26">
        <v>140</v>
      </c>
      <c r="O194" s="26">
        <v>69</v>
      </c>
      <c r="P194" s="26">
        <v>71</v>
      </c>
      <c r="Q194" s="26">
        <v>6</v>
      </c>
      <c r="R194" s="26">
        <v>1</v>
      </c>
      <c r="S194" s="26">
        <v>6</v>
      </c>
      <c r="T194" s="26">
        <v>4</v>
      </c>
      <c r="U194" s="26">
        <v>11</v>
      </c>
      <c r="V194" s="26">
        <v>1</v>
      </c>
      <c r="W194" s="26"/>
    </row>
    <row r="195" spans="1:23" x14ac:dyDescent="0.25">
      <c r="A195" s="26" t="str">
        <f t="shared" si="26"/>
        <v>PREESCOLAR</v>
      </c>
      <c r="B195" s="26" t="str">
        <f>"09DJN0239H"</f>
        <v>09DJN0239H</v>
      </c>
      <c r="C195" s="26" t="str">
        <f>"XOCHIPILCO                                                                                          "</f>
        <v xml:space="preserve">XOCHIPILCO                                                                                          </v>
      </c>
      <c r="D195" s="26" t="str">
        <f>"JORNADA AMPLIADA"</f>
        <v>JORNADA AMPLIADA</v>
      </c>
      <c r="E195" s="26" t="str">
        <f>"CDA. DE MIRASOL S/N                                                             "</f>
        <v xml:space="preserve">CDA. DE MIRASOL S/N                                                             </v>
      </c>
      <c r="F195" s="26" t="str">
        <f>"PEDREGAL DE SAN PEDRO MARTIR                                                                                                                "</f>
        <v xml:space="preserve">PEDREGAL DE SAN PEDRO MARTIR                                                                                                                </v>
      </c>
      <c r="G195" s="26" t="str">
        <f>"TLALPAN                                                                         "</f>
        <v xml:space="preserve">TLALPAN                                                                         </v>
      </c>
      <c r="H195" s="26" t="str">
        <f>"229"</f>
        <v>229</v>
      </c>
      <c r="I195" s="26" t="str">
        <f t="shared" si="27"/>
        <v>00</v>
      </c>
      <c r="J195" s="26" t="str">
        <f>"34 "</f>
        <v xml:space="preserve">34 </v>
      </c>
      <c r="K195" s="26" t="str">
        <f t="shared" si="24"/>
        <v>EP</v>
      </c>
      <c r="L195" s="26" t="str">
        <f t="shared" si="25"/>
        <v>DGOSE</v>
      </c>
      <c r="M195" s="26" t="str">
        <f t="shared" si="28"/>
        <v>FEDERAL</v>
      </c>
      <c r="N195" s="26">
        <v>288</v>
      </c>
      <c r="O195" s="26">
        <v>129</v>
      </c>
      <c r="P195" s="26">
        <v>159</v>
      </c>
      <c r="Q195" s="26">
        <v>8</v>
      </c>
      <c r="R195" s="26">
        <v>1</v>
      </c>
      <c r="S195" s="26">
        <v>7</v>
      </c>
      <c r="T195" s="26">
        <v>4</v>
      </c>
      <c r="U195" s="26">
        <v>12</v>
      </c>
      <c r="V195" s="26">
        <v>1</v>
      </c>
      <c r="W195" s="26" t="s">
        <v>2076</v>
      </c>
    </row>
    <row r="196" spans="1:23" x14ac:dyDescent="0.25">
      <c r="A196" s="26" t="str">
        <f t="shared" si="26"/>
        <v>PREESCOLAR</v>
      </c>
      <c r="B196" s="26" t="str">
        <f>"09DJN0240X"</f>
        <v>09DJN0240X</v>
      </c>
      <c r="C196" s="26" t="str">
        <f>"ANA MARIA NAVARRO BECERRA                                                                           "</f>
        <v xml:space="preserve">ANA MARIA NAVARRO BECERRA                                                                           </v>
      </c>
      <c r="D196" s="26" t="str">
        <f>"VESPERTINO"</f>
        <v>VESPERTINO</v>
      </c>
      <c r="E196" s="26" t="str">
        <f>"NAHOAS Y OTOMIES S/N                                                            "</f>
        <v xml:space="preserve">NAHOAS Y OTOMIES S/N                                                            </v>
      </c>
      <c r="F196" s="26" t="str">
        <f>"TLALCOLIGIA                                                                                                                                 "</f>
        <v xml:space="preserve">TLALCOLIGIA                                                                                                                                 </v>
      </c>
      <c r="G196" s="26" t="str">
        <f>"TLALPAN                                                                         "</f>
        <v xml:space="preserve">TLALPAN                                                                         </v>
      </c>
      <c r="H196" s="26" t="str">
        <f>"278"</f>
        <v>278</v>
      </c>
      <c r="I196" s="26" t="str">
        <f t="shared" si="27"/>
        <v>00</v>
      </c>
      <c r="J196" s="26" t="str">
        <f>"35 "</f>
        <v xml:space="preserve">35 </v>
      </c>
      <c r="K196" s="26" t="str">
        <f t="shared" si="24"/>
        <v>EP</v>
      </c>
      <c r="L196" s="26" t="str">
        <f t="shared" si="25"/>
        <v>DGOSE</v>
      </c>
      <c r="M196" s="26" t="str">
        <f t="shared" si="28"/>
        <v>FEDERAL</v>
      </c>
      <c r="N196" s="26">
        <v>117</v>
      </c>
      <c r="O196" s="26">
        <v>61</v>
      </c>
      <c r="P196" s="26">
        <v>56</v>
      </c>
      <c r="Q196" s="26">
        <v>4</v>
      </c>
      <c r="R196" s="26">
        <v>1</v>
      </c>
      <c r="S196" s="26">
        <v>4</v>
      </c>
      <c r="T196" s="26">
        <v>9</v>
      </c>
      <c r="U196" s="26">
        <v>14</v>
      </c>
      <c r="V196" s="26">
        <v>1</v>
      </c>
      <c r="W196" s="26"/>
    </row>
    <row r="197" spans="1:23" x14ac:dyDescent="0.25">
      <c r="A197" s="26" t="str">
        <f t="shared" si="26"/>
        <v>PREESCOLAR</v>
      </c>
      <c r="B197" s="26" t="str">
        <f>"09DJN0241W"</f>
        <v>09DJN0241W</v>
      </c>
      <c r="C197" s="26" t="str">
        <f>"TLAZOCIHUALPILLI                                                                                    "</f>
        <v xml:space="preserve">TLAZOCIHUALPILLI                                                                                    </v>
      </c>
      <c r="D197" s="26" t="str">
        <f>"MATUTINO"</f>
        <v>MATUTINO</v>
      </c>
      <c r="E197" s="26" t="str">
        <f>"FRANCISCO PRESA ESQ. ISIDRO TAPIA                                               "</f>
        <v xml:space="preserve">FRANCISCO PRESA ESQ. ISIDRO TAPIA                                               </v>
      </c>
      <c r="F197" s="26" t="str">
        <f>"SANTIAGO TULYEHUALCO                                                                                                                        "</f>
        <v xml:space="preserve">SANTIAGO TULYEHUALCO                                                                                                                        </v>
      </c>
      <c r="G197" s="26" t="str">
        <f>"XOCHIMILCO                                                                      "</f>
        <v xml:space="preserve">XOCHIMILCO                                                                      </v>
      </c>
      <c r="H197" s="26" t="str">
        <f>"053"</f>
        <v>053</v>
      </c>
      <c r="I197" s="26" t="str">
        <f t="shared" si="27"/>
        <v>00</v>
      </c>
      <c r="J197" s="26" t="str">
        <f>"35 "</f>
        <v xml:space="preserve">35 </v>
      </c>
      <c r="K197" s="26" t="str">
        <f t="shared" si="24"/>
        <v>EP</v>
      </c>
      <c r="L197" s="26" t="str">
        <f t="shared" si="25"/>
        <v>DGOSE</v>
      </c>
      <c r="M197" s="26" t="str">
        <f t="shared" si="28"/>
        <v>FEDERAL</v>
      </c>
      <c r="N197" s="26">
        <v>318</v>
      </c>
      <c r="O197" s="26">
        <v>172</v>
      </c>
      <c r="P197" s="26">
        <v>146</v>
      </c>
      <c r="Q197" s="26">
        <v>9</v>
      </c>
      <c r="R197" s="26">
        <v>1</v>
      </c>
      <c r="S197" s="26">
        <v>9</v>
      </c>
      <c r="T197" s="26">
        <v>8</v>
      </c>
      <c r="U197" s="26">
        <v>18</v>
      </c>
      <c r="V197" s="26">
        <v>1</v>
      </c>
      <c r="W197" s="26"/>
    </row>
    <row r="198" spans="1:23" x14ac:dyDescent="0.25">
      <c r="A198" s="26" t="str">
        <f t="shared" si="26"/>
        <v>PREESCOLAR</v>
      </c>
      <c r="B198" s="26" t="str">
        <f>"09DJN0244T"</f>
        <v>09DJN0244T</v>
      </c>
      <c r="C198" s="26" t="str">
        <f>"XOCHIPILLI                                                                                          "</f>
        <v xml:space="preserve">XOCHIPILLI                                                                                          </v>
      </c>
      <c r="D198" s="26" t="str">
        <f>"VESPERTINO"</f>
        <v>VESPERTINO</v>
      </c>
      <c r="E198" s="26" t="str">
        <f>"5 DE FEBRERO NO. 188                                                            "</f>
        <v xml:space="preserve">5 DE FEBRERO NO. 188                                                            </v>
      </c>
      <c r="F198" s="26" t="str">
        <f>"OBRERA                                                                                                                                      "</f>
        <v xml:space="preserve">OBRERA                                                                                                                                      </v>
      </c>
      <c r="G198" s="26" t="s">
        <v>4128</v>
      </c>
      <c r="H198" s="26" t="str">
        <f>"022"</f>
        <v>022</v>
      </c>
      <c r="I198" s="26" t="str">
        <f t="shared" si="27"/>
        <v>00</v>
      </c>
      <c r="J198" s="26" t="str">
        <f>"32 "</f>
        <v xml:space="preserve">32 </v>
      </c>
      <c r="K198" s="26" t="str">
        <f t="shared" si="24"/>
        <v>EP</v>
      </c>
      <c r="L198" s="26" t="str">
        <f t="shared" si="25"/>
        <v>DGOSE</v>
      </c>
      <c r="M198" s="26" t="str">
        <f t="shared" si="28"/>
        <v>FEDERAL</v>
      </c>
      <c r="N198" s="26">
        <v>125</v>
      </c>
      <c r="O198" s="26">
        <v>68</v>
      </c>
      <c r="P198" s="26">
        <v>57</v>
      </c>
      <c r="Q198" s="26">
        <v>4</v>
      </c>
      <c r="R198" s="26">
        <v>1</v>
      </c>
      <c r="S198" s="26">
        <v>4</v>
      </c>
      <c r="T198" s="26">
        <v>5</v>
      </c>
      <c r="U198" s="26">
        <v>10</v>
      </c>
      <c r="V198" s="26">
        <v>1</v>
      </c>
      <c r="W198" s="26"/>
    </row>
    <row r="199" spans="1:23" x14ac:dyDescent="0.25">
      <c r="A199" s="26" t="str">
        <f t="shared" si="26"/>
        <v>PREESCOLAR</v>
      </c>
      <c r="B199" s="26" t="str">
        <f>"09DJN0245S"</f>
        <v>09DJN0245S</v>
      </c>
      <c r="C199" s="26" t="str">
        <f>"ESTADO DE MICHOACAN                                                                                 "</f>
        <v xml:space="preserve">ESTADO DE MICHOACAN                                                                                 </v>
      </c>
      <c r="D199" s="26" t="str">
        <f>"TIEMPO COMPLETO"</f>
        <v>TIEMPO COMPLETO</v>
      </c>
      <c r="E199" s="26" t="str">
        <f>"WAGNER Y BETHOVEEN S/N                                                          "</f>
        <v xml:space="preserve">WAGNER Y BETHOVEEN S/N                                                          </v>
      </c>
      <c r="F199" s="26" t="str">
        <f>"PERALVILLO                                                                                                                                  "</f>
        <v xml:space="preserve">PERALVILLO                                                                                                                                  </v>
      </c>
      <c r="G199" s="26" t="s">
        <v>4128</v>
      </c>
      <c r="H199" s="26" t="str">
        <f>"016"</f>
        <v>016</v>
      </c>
      <c r="I199" s="26" t="str">
        <f t="shared" si="27"/>
        <v>00</v>
      </c>
      <c r="J199" s="26" t="str">
        <f>"31 "</f>
        <v xml:space="preserve">31 </v>
      </c>
      <c r="K199" s="26" t="str">
        <f t="shared" si="24"/>
        <v>EP</v>
      </c>
      <c r="L199" s="26" t="str">
        <f t="shared" si="25"/>
        <v>DGOSE</v>
      </c>
      <c r="M199" s="26" t="str">
        <f t="shared" si="28"/>
        <v>FEDERAL</v>
      </c>
      <c r="N199" s="26">
        <v>163</v>
      </c>
      <c r="O199" s="26">
        <v>86</v>
      </c>
      <c r="P199" s="26">
        <v>77</v>
      </c>
      <c r="Q199" s="26">
        <v>5</v>
      </c>
      <c r="R199" s="26">
        <v>2</v>
      </c>
      <c r="S199" s="26">
        <v>5</v>
      </c>
      <c r="T199" s="26">
        <v>15</v>
      </c>
      <c r="U199" s="26">
        <v>22</v>
      </c>
      <c r="V199" s="26">
        <v>1</v>
      </c>
      <c r="W199" s="26" t="s">
        <v>218</v>
      </c>
    </row>
    <row r="200" spans="1:23" x14ac:dyDescent="0.25">
      <c r="A200" s="26" t="str">
        <f t="shared" si="26"/>
        <v>PREESCOLAR</v>
      </c>
      <c r="B200" s="26" t="str">
        <f>"09DJN0247Q"</f>
        <v>09DJN0247Q</v>
      </c>
      <c r="C200" s="26" t="str">
        <f>"ADOLFO LOPEZ MATEOS                                                                                 "</f>
        <v xml:space="preserve">ADOLFO LOPEZ MATEOS                                                                                 </v>
      </c>
      <c r="D200" s="26" t="str">
        <f>"MATUTINO"</f>
        <v>MATUTINO</v>
      </c>
      <c r="E200" s="26" t="str">
        <f>"ROMAN LUGO Y EDUARDO BUSTAMANTE                                                 "</f>
        <v xml:space="preserve">ROMAN LUGO Y EDUARDO BUSTAMANTE                                                 </v>
      </c>
      <c r="F200" s="26" t="str">
        <f>"ADOLFO LOPEZ MATEOS                                                                                                                         "</f>
        <v xml:space="preserve">ADOLFO LOPEZ MATEOS                                                                                                                         </v>
      </c>
      <c r="G200" s="26" t="str">
        <f>"VENUSTIANO CARRANZA                                                             "</f>
        <v xml:space="preserve">VENUSTIANO CARRANZA                                                             </v>
      </c>
      <c r="H200" s="26" t="str">
        <f>"096"</f>
        <v>096</v>
      </c>
      <c r="I200" s="26" t="str">
        <f t="shared" si="27"/>
        <v>00</v>
      </c>
      <c r="J200" s="26" t="str">
        <f>"33 "</f>
        <v xml:space="preserve">33 </v>
      </c>
      <c r="K200" s="26" t="str">
        <f t="shared" si="24"/>
        <v>EP</v>
      </c>
      <c r="L200" s="26" t="str">
        <f t="shared" si="25"/>
        <v>DGOSE</v>
      </c>
      <c r="M200" s="26" t="str">
        <f t="shared" si="28"/>
        <v>FEDERAL</v>
      </c>
      <c r="N200" s="26">
        <v>175</v>
      </c>
      <c r="O200" s="26">
        <v>69</v>
      </c>
      <c r="P200" s="26">
        <v>106</v>
      </c>
      <c r="Q200" s="26">
        <v>6</v>
      </c>
      <c r="R200" s="26">
        <v>1</v>
      </c>
      <c r="S200" s="26">
        <v>6</v>
      </c>
      <c r="T200" s="26">
        <v>3</v>
      </c>
      <c r="U200" s="26">
        <v>10</v>
      </c>
      <c r="V200" s="26">
        <v>1</v>
      </c>
      <c r="W200" s="26"/>
    </row>
    <row r="201" spans="1:23" x14ac:dyDescent="0.25">
      <c r="A201" s="26" t="str">
        <f t="shared" si="26"/>
        <v>PREESCOLAR</v>
      </c>
      <c r="B201" s="26" t="str">
        <f>"09DJN0249O"</f>
        <v>09DJN0249O</v>
      </c>
      <c r="C201" s="26" t="str">
        <f>"MANUEL JOSE OTHON                                                                                   "</f>
        <v xml:space="preserve">MANUEL JOSE OTHON                                                                                   </v>
      </c>
      <c r="D201" s="26" t="str">
        <f>"VESPERTINO"</f>
        <v>VESPERTINO</v>
      </c>
      <c r="E201" s="26" t="str">
        <f>"NORTE 87 Y ASPIROS S/N                                                          "</f>
        <v xml:space="preserve">NORTE 87 Y ASPIROS S/N                                                          </v>
      </c>
      <c r="F201" s="26" t="str">
        <f>"SINDICATO MEXICANO DE ELECTRICISTAS                                                                                                         "</f>
        <v xml:space="preserve">SINDICATO MEXICANO DE ELECTRICISTAS                                                                                                         </v>
      </c>
      <c r="G201" s="26" t="str">
        <f>"AZCAPOTZALCO                                                                    "</f>
        <v xml:space="preserve">AZCAPOTZALCO                                                                    </v>
      </c>
      <c r="H201" s="26" t="str">
        <f>"059"</f>
        <v>059</v>
      </c>
      <c r="I201" s="26" t="str">
        <f t="shared" si="27"/>
        <v>00</v>
      </c>
      <c r="J201" s="26" t="str">
        <f>"32 "</f>
        <v xml:space="preserve">32 </v>
      </c>
      <c r="K201" s="26" t="str">
        <f t="shared" si="24"/>
        <v>EP</v>
      </c>
      <c r="L201" s="26" t="str">
        <f t="shared" si="25"/>
        <v>DGOSE</v>
      </c>
      <c r="M201" s="26" t="str">
        <f t="shared" si="28"/>
        <v>FEDERAL</v>
      </c>
      <c r="N201" s="26">
        <v>62</v>
      </c>
      <c r="O201" s="26">
        <v>30</v>
      </c>
      <c r="P201" s="26">
        <v>32</v>
      </c>
      <c r="Q201" s="26">
        <v>3</v>
      </c>
      <c r="R201" s="26">
        <v>1</v>
      </c>
      <c r="S201" s="26">
        <v>3</v>
      </c>
      <c r="T201" s="26">
        <v>2</v>
      </c>
      <c r="U201" s="26">
        <v>6</v>
      </c>
      <c r="V201" s="26">
        <v>1</v>
      </c>
      <c r="W201" s="26"/>
    </row>
    <row r="202" spans="1:23" x14ac:dyDescent="0.25">
      <c r="A202" s="26" t="str">
        <f t="shared" si="26"/>
        <v>PREESCOLAR</v>
      </c>
      <c r="B202" s="26" t="str">
        <f>"09DJN0251C"</f>
        <v>09DJN0251C</v>
      </c>
      <c r="C202" s="26" t="str">
        <f>"GABRIELA BRIMMER                                                                                    "</f>
        <v xml:space="preserve">GABRIELA BRIMMER                                                                                    </v>
      </c>
      <c r="D202" s="26" t="str">
        <f>"MATUTINO"</f>
        <v>MATUTINO</v>
      </c>
      <c r="E202" s="26" t="str">
        <f>"MACARIO GAXIOLA NO. 84                                                          "</f>
        <v xml:space="preserve">MACARIO GAXIOLA NO. 84                                                          </v>
      </c>
      <c r="F202" s="26" t="str">
        <f>"SAN PEDRO XALPA AMPLIACION                                                                                                                  "</f>
        <v xml:space="preserve">SAN PEDRO XALPA AMPLIACION                                                                                                                  </v>
      </c>
      <c r="G202" s="26" t="str">
        <f>"AZCAPOTZALCO                                                                    "</f>
        <v xml:space="preserve">AZCAPOTZALCO                                                                    </v>
      </c>
      <c r="H202" s="26" t="str">
        <f>"059"</f>
        <v>059</v>
      </c>
      <c r="I202" s="26" t="str">
        <f t="shared" si="27"/>
        <v>00</v>
      </c>
      <c r="J202" s="26" t="str">
        <f>"32 "</f>
        <v xml:space="preserve">32 </v>
      </c>
      <c r="K202" s="26" t="str">
        <f t="shared" si="24"/>
        <v>EP</v>
      </c>
      <c r="L202" s="26" t="str">
        <f t="shared" si="25"/>
        <v>DGOSE</v>
      </c>
      <c r="M202" s="26" t="str">
        <f t="shared" si="28"/>
        <v>FEDERAL</v>
      </c>
      <c r="N202" s="26">
        <v>265</v>
      </c>
      <c r="O202" s="26">
        <v>116</v>
      </c>
      <c r="P202" s="26">
        <v>149</v>
      </c>
      <c r="Q202" s="26">
        <v>8</v>
      </c>
      <c r="R202" s="26">
        <v>1</v>
      </c>
      <c r="S202" s="26">
        <v>8</v>
      </c>
      <c r="T202" s="26">
        <v>5</v>
      </c>
      <c r="U202" s="26">
        <v>14</v>
      </c>
      <c r="V202" s="26">
        <v>1</v>
      </c>
      <c r="W202" s="26"/>
    </row>
    <row r="203" spans="1:23" x14ac:dyDescent="0.25">
      <c r="A203" s="26" t="str">
        <f t="shared" si="26"/>
        <v>PREESCOLAR</v>
      </c>
      <c r="B203" s="26" t="str">
        <f>"09DJN0252B"</f>
        <v>09DJN0252B</v>
      </c>
      <c r="C203" s="26" t="str">
        <f>"PROFR. TADEO DE LA GARZA GUTIERREZ                                                                  "</f>
        <v xml:space="preserve">PROFR. TADEO DE LA GARZA GUTIERREZ                                                                  </v>
      </c>
      <c r="D203" s="26" t="str">
        <f>"VESPERTINO"</f>
        <v>VESPERTINO</v>
      </c>
      <c r="E203" s="26" t="str">
        <f>"CINEMATOGRAFIA Y ALFAREROS S/N                                                  "</f>
        <v xml:space="preserve">CINEMATOGRAFIA Y ALFAREROS S/N                                                  </v>
      </c>
      <c r="F203" s="26" t="str">
        <f>"UNIDAD INFONAVIT EL ROSARIO                                                                                                                 "</f>
        <v xml:space="preserve">UNIDAD INFONAVIT EL ROSARIO                                                                                                                 </v>
      </c>
      <c r="G203" s="26" t="str">
        <f>"AZCAPOTZALCO                                                                    "</f>
        <v xml:space="preserve">AZCAPOTZALCO                                                                    </v>
      </c>
      <c r="H203" s="26" t="str">
        <f>"009"</f>
        <v>009</v>
      </c>
      <c r="I203" s="26" t="str">
        <f t="shared" si="27"/>
        <v>00</v>
      </c>
      <c r="J203" s="26" t="str">
        <f>"32 "</f>
        <v xml:space="preserve">32 </v>
      </c>
      <c r="K203" s="26" t="str">
        <f t="shared" si="24"/>
        <v>EP</v>
      </c>
      <c r="L203" s="26" t="str">
        <f t="shared" si="25"/>
        <v>DGOSE</v>
      </c>
      <c r="M203" s="26" t="str">
        <f t="shared" si="28"/>
        <v>FEDERAL</v>
      </c>
      <c r="N203" s="26">
        <v>51</v>
      </c>
      <c r="O203" s="26">
        <v>26</v>
      </c>
      <c r="P203" s="26">
        <v>25</v>
      </c>
      <c r="Q203" s="26">
        <v>3</v>
      </c>
      <c r="R203" s="26">
        <v>1</v>
      </c>
      <c r="S203" s="26">
        <v>3</v>
      </c>
      <c r="T203" s="26">
        <v>5</v>
      </c>
      <c r="U203" s="26">
        <v>9</v>
      </c>
      <c r="V203" s="26">
        <v>1</v>
      </c>
      <c r="W203" s="26"/>
    </row>
    <row r="204" spans="1:23" x14ac:dyDescent="0.25">
      <c r="A204" s="26" t="str">
        <f t="shared" si="26"/>
        <v>PREESCOLAR</v>
      </c>
      <c r="B204" s="26" t="str">
        <f>"09DJN0253A"</f>
        <v>09DJN0253A</v>
      </c>
      <c r="C204" s="26" t="str">
        <f>"MIGUEL HERNANDEZ                                                                                    "</f>
        <v xml:space="preserve">MIGUEL HERNANDEZ                                                                                    </v>
      </c>
      <c r="D204" s="26" t="str">
        <f>"JORNADA AMPLIADA"</f>
        <v>JORNADA AMPLIADA</v>
      </c>
      <c r="E204" s="26" t="str">
        <f>"CULTURA TOLTECA Y CULTURA GRIEGA                                                "</f>
        <v xml:space="preserve">CULTURA TOLTECA Y CULTURA GRIEGA                                                </v>
      </c>
      <c r="F204" s="26" t="str">
        <f>"UNIDAD INFONAVIT EL ROSARIO                                                                                                                 "</f>
        <v xml:space="preserve">UNIDAD INFONAVIT EL ROSARIO                                                                                                                 </v>
      </c>
      <c r="G204" s="26" t="str">
        <f>"AZCAPOTZALCO                                                                    "</f>
        <v xml:space="preserve">AZCAPOTZALCO                                                                    </v>
      </c>
      <c r="H204" s="26" t="str">
        <f>"181"</f>
        <v>181</v>
      </c>
      <c r="I204" s="26" t="str">
        <f t="shared" si="27"/>
        <v>00</v>
      </c>
      <c r="J204" s="26" t="str">
        <f>"31 "</f>
        <v xml:space="preserve">31 </v>
      </c>
      <c r="K204" s="26" t="str">
        <f t="shared" si="24"/>
        <v>EP</v>
      </c>
      <c r="L204" s="26" t="str">
        <f t="shared" si="25"/>
        <v>DGOSE</v>
      </c>
      <c r="M204" s="26" t="str">
        <f t="shared" si="28"/>
        <v>FEDERAL</v>
      </c>
      <c r="N204" s="26">
        <v>199</v>
      </c>
      <c r="O204" s="26">
        <v>90</v>
      </c>
      <c r="P204" s="26">
        <v>109</v>
      </c>
      <c r="Q204" s="26">
        <v>7</v>
      </c>
      <c r="R204" s="26">
        <v>1</v>
      </c>
      <c r="S204" s="26">
        <v>7</v>
      </c>
      <c r="T204" s="26">
        <v>6</v>
      </c>
      <c r="U204" s="26">
        <v>14</v>
      </c>
      <c r="V204" s="26">
        <v>1</v>
      </c>
      <c r="W204" s="26" t="s">
        <v>2076</v>
      </c>
    </row>
    <row r="205" spans="1:23" x14ac:dyDescent="0.25">
      <c r="A205" s="26" t="str">
        <f t="shared" si="26"/>
        <v>PREESCOLAR</v>
      </c>
      <c r="B205" s="26" t="str">
        <f>"09DJN0255Z"</f>
        <v>09DJN0255Z</v>
      </c>
      <c r="C205" s="26" t="str">
        <f>"ESPERANZA GARCIA CONDE DE NYSSEN                                                                    "</f>
        <v xml:space="preserve">ESPERANZA GARCIA CONDE DE NYSSEN                                                                    </v>
      </c>
      <c r="D205" s="26" t="str">
        <f>"VESPERTINO"</f>
        <v>VESPERTINO</v>
      </c>
      <c r="E205" s="26" t="str">
        <f>"AV. 20 DE NOVIEMBRE S/N                                                         "</f>
        <v xml:space="preserve">AV. 20 DE NOVIEMBRE S/N                                                         </v>
      </c>
      <c r="F205" s="26" t="str">
        <f>"25 DE JULIO                                                                                                                                 "</f>
        <v xml:space="preserve">25 DE JULIO                                                                                                                                 </v>
      </c>
      <c r="G205" s="26" t="str">
        <f>"GUSTAVO A. MADERO                                                               "</f>
        <v xml:space="preserve">GUSTAVO A. MADERO                                                               </v>
      </c>
      <c r="H205" s="26" t="str">
        <f>"095"</f>
        <v>095</v>
      </c>
      <c r="I205" s="26" t="str">
        <f t="shared" si="27"/>
        <v>00</v>
      </c>
      <c r="J205" s="26" t="str">
        <f>"32 "</f>
        <v xml:space="preserve">32 </v>
      </c>
      <c r="K205" s="26" t="str">
        <f t="shared" si="24"/>
        <v>EP</v>
      </c>
      <c r="L205" s="26" t="str">
        <f t="shared" si="25"/>
        <v>DGOSE</v>
      </c>
      <c r="M205" s="26" t="str">
        <f t="shared" si="28"/>
        <v>FEDERAL</v>
      </c>
      <c r="N205" s="26">
        <v>137</v>
      </c>
      <c r="O205" s="26">
        <v>64</v>
      </c>
      <c r="P205" s="26">
        <v>73</v>
      </c>
      <c r="Q205" s="26">
        <v>6</v>
      </c>
      <c r="R205" s="26">
        <v>1</v>
      </c>
      <c r="S205" s="26">
        <v>5</v>
      </c>
      <c r="T205" s="26">
        <v>5</v>
      </c>
      <c r="U205" s="26">
        <v>11</v>
      </c>
      <c r="V205" s="26">
        <v>1</v>
      </c>
      <c r="W205" s="26"/>
    </row>
    <row r="206" spans="1:23" x14ac:dyDescent="0.25">
      <c r="A206" s="26" t="str">
        <f t="shared" si="26"/>
        <v>PREESCOLAR</v>
      </c>
      <c r="B206" s="26" t="str">
        <f>"09DJN0257X"</f>
        <v>09DJN0257X</v>
      </c>
      <c r="C206" s="26" t="str">
        <f>"ERNESTINA LATOUR ORONOS                                                                             "</f>
        <v xml:space="preserve">ERNESTINA LATOUR ORONOS                                                                             </v>
      </c>
      <c r="D206" s="26" t="str">
        <f>"JORNADA AMPLIADA"</f>
        <v>JORNADA AMPLIADA</v>
      </c>
      <c r="E206" s="26" t="str">
        <f>"CAMPO ENCANTADO NO. 50                                                          "</f>
        <v xml:space="preserve">CAMPO ENCANTADO NO. 50                                                          </v>
      </c>
      <c r="F206" s="26" t="str">
        <f>"PETROLERA NUEVA AMPLIACION                                                                                                                  "</f>
        <v xml:space="preserve">PETROLERA NUEVA AMPLIACION                                                                                                                  </v>
      </c>
      <c r="G206" s="26" t="str">
        <f>"AZCAPOTZALCO                                                                    "</f>
        <v xml:space="preserve">AZCAPOTZALCO                                                                    </v>
      </c>
      <c r="H206" s="26" t="str">
        <f>"067"</f>
        <v>067</v>
      </c>
      <c r="I206" s="26" t="str">
        <f t="shared" si="27"/>
        <v>00</v>
      </c>
      <c r="J206" s="26" t="str">
        <f>"31 "</f>
        <v xml:space="preserve">31 </v>
      </c>
      <c r="K206" s="26" t="str">
        <f t="shared" si="24"/>
        <v>EP</v>
      </c>
      <c r="L206" s="26" t="str">
        <f t="shared" si="25"/>
        <v>DGOSE</v>
      </c>
      <c r="M206" s="26" t="str">
        <f t="shared" si="28"/>
        <v>FEDERAL</v>
      </c>
      <c r="N206" s="26">
        <v>179</v>
      </c>
      <c r="O206" s="26">
        <v>98</v>
      </c>
      <c r="P206" s="26">
        <v>81</v>
      </c>
      <c r="Q206" s="26">
        <v>6</v>
      </c>
      <c r="R206" s="26">
        <v>1</v>
      </c>
      <c r="S206" s="26">
        <v>6</v>
      </c>
      <c r="T206" s="26">
        <v>5</v>
      </c>
      <c r="U206" s="26">
        <v>12</v>
      </c>
      <c r="V206" s="26">
        <v>1</v>
      </c>
      <c r="W206" s="26" t="s">
        <v>2076</v>
      </c>
    </row>
    <row r="207" spans="1:23" x14ac:dyDescent="0.25">
      <c r="A207" s="26" t="str">
        <f t="shared" si="26"/>
        <v>PREESCOLAR</v>
      </c>
      <c r="B207" s="26" t="str">
        <f>"09DJN0258W"</f>
        <v>09DJN0258W</v>
      </c>
      <c r="C207" s="26" t="str">
        <f>"SILVINA JARDON                                                                                      "</f>
        <v xml:space="preserve">SILVINA JARDON                                                                                      </v>
      </c>
      <c r="D207" s="26" t="str">
        <f>"JORNADA AMPLIADA"</f>
        <v>JORNADA AMPLIADA</v>
      </c>
      <c r="E207" s="26" t="str">
        <f>"PRIV. ROSAS MORENO NO. 15                                                       "</f>
        <v xml:space="preserve">PRIV. ROSAS MORENO NO. 15                                                       </v>
      </c>
      <c r="F207" s="26" t="str">
        <f>"SANTIAGO AHUIZOTLA                                                                                                                          "</f>
        <v xml:space="preserve">SANTIAGO AHUIZOTLA                                                                                                                          </v>
      </c>
      <c r="G207" s="26" t="str">
        <f>"AZCAPOTZALCO                                                                    "</f>
        <v xml:space="preserve">AZCAPOTZALCO                                                                    </v>
      </c>
      <c r="H207" s="26" t="str">
        <f>"008"</f>
        <v>008</v>
      </c>
      <c r="I207" s="26" t="str">
        <f t="shared" si="27"/>
        <v>00</v>
      </c>
      <c r="J207" s="26" t="str">
        <f>"31 "</f>
        <v xml:space="preserve">31 </v>
      </c>
      <c r="K207" s="26" t="str">
        <f t="shared" si="24"/>
        <v>EP</v>
      </c>
      <c r="L207" s="26" t="str">
        <f t="shared" si="25"/>
        <v>DGOSE</v>
      </c>
      <c r="M207" s="26" t="str">
        <f t="shared" si="28"/>
        <v>FEDERAL</v>
      </c>
      <c r="N207" s="26">
        <v>271</v>
      </c>
      <c r="O207" s="26">
        <v>147</v>
      </c>
      <c r="P207" s="26">
        <v>124</v>
      </c>
      <c r="Q207" s="26">
        <v>8</v>
      </c>
      <c r="R207" s="26">
        <v>1</v>
      </c>
      <c r="S207" s="26">
        <v>7</v>
      </c>
      <c r="T207" s="26">
        <v>7</v>
      </c>
      <c r="U207" s="26">
        <v>15</v>
      </c>
      <c r="V207" s="26">
        <v>1</v>
      </c>
      <c r="W207" s="26" t="s">
        <v>2076</v>
      </c>
    </row>
    <row r="208" spans="1:23" x14ac:dyDescent="0.25">
      <c r="A208" s="26" t="str">
        <f t="shared" si="26"/>
        <v>PREESCOLAR</v>
      </c>
      <c r="B208" s="26" t="str">
        <f>"09DJN0259V"</f>
        <v>09DJN0259V</v>
      </c>
      <c r="C208" s="26" t="str">
        <f>"REP. DE BRASIL                                                                                      "</f>
        <v xml:space="preserve">REP. DE BRASIL                                                                                      </v>
      </c>
      <c r="D208" s="26" t="str">
        <f>"TIEMPO COMPLETO"</f>
        <v>TIEMPO COMPLETO</v>
      </c>
      <c r="E208" s="26" t="str">
        <f>"CALZADA CAMARONES NO. 125                                                       "</f>
        <v xml:space="preserve">CALZADA CAMARONES NO. 125                                                       </v>
      </c>
      <c r="F208" s="26" t="str">
        <f>"EL RECREO                                                                                                                                   "</f>
        <v xml:space="preserve">EL RECREO                                                                                                                                   </v>
      </c>
      <c r="G208" s="26" t="str">
        <f>"AZCAPOTZALCO                                                                    "</f>
        <v xml:space="preserve">AZCAPOTZALCO                                                                    </v>
      </c>
      <c r="H208" s="26" t="str">
        <f>"067"</f>
        <v>067</v>
      </c>
      <c r="I208" s="26" t="str">
        <f t="shared" si="27"/>
        <v>00</v>
      </c>
      <c r="J208" s="26" t="str">
        <f>"31 "</f>
        <v xml:space="preserve">31 </v>
      </c>
      <c r="K208" s="26" t="str">
        <f t="shared" si="24"/>
        <v>EP</v>
      </c>
      <c r="L208" s="26" t="str">
        <f t="shared" si="25"/>
        <v>DGOSE</v>
      </c>
      <c r="M208" s="26" t="str">
        <f t="shared" si="28"/>
        <v>FEDERAL</v>
      </c>
      <c r="N208" s="26">
        <v>140</v>
      </c>
      <c r="O208" s="26">
        <v>70</v>
      </c>
      <c r="P208" s="26">
        <v>70</v>
      </c>
      <c r="Q208" s="26">
        <v>5</v>
      </c>
      <c r="R208" s="26">
        <v>2</v>
      </c>
      <c r="S208" s="26">
        <v>5</v>
      </c>
      <c r="T208" s="26">
        <v>18</v>
      </c>
      <c r="U208" s="26">
        <v>25</v>
      </c>
      <c r="V208" s="26">
        <v>1</v>
      </c>
      <c r="W208" s="26" t="s">
        <v>218</v>
      </c>
    </row>
    <row r="209" spans="1:23" x14ac:dyDescent="0.25">
      <c r="A209" s="26" t="str">
        <f t="shared" si="26"/>
        <v>PREESCOLAR</v>
      </c>
      <c r="B209" s="26" t="str">
        <f>"09DJN0260K"</f>
        <v>09DJN0260K</v>
      </c>
      <c r="C209" s="26" t="str">
        <f>"TRABAJADORES PETROLEROS                                                                             "</f>
        <v xml:space="preserve">TRABAJADORES PETROLEROS                                                                             </v>
      </c>
      <c r="D209" s="26" t="str">
        <f>"JORNADA AMPLIADA"</f>
        <v>JORNADA AMPLIADA</v>
      </c>
      <c r="E209" s="26" t="str">
        <f>"ANDADOR ARCHIDONA S/N                                                           "</f>
        <v xml:space="preserve">ANDADOR ARCHIDONA S/N                                                           </v>
      </c>
      <c r="F209" s="26" t="str">
        <f>"SAN RAFAEL AMPLIACION                                                                                                                       "</f>
        <v xml:space="preserve">SAN RAFAEL AMPLIACION                                                                                                                       </v>
      </c>
      <c r="G209" s="26" t="str">
        <f>"AZCAPOTZALCO                                                                    "</f>
        <v xml:space="preserve">AZCAPOTZALCO                                                                    </v>
      </c>
      <c r="H209" s="26" t="str">
        <f>"106"</f>
        <v>106</v>
      </c>
      <c r="I209" s="26" t="str">
        <f t="shared" si="27"/>
        <v>00</v>
      </c>
      <c r="J209" s="26" t="str">
        <f>"32 "</f>
        <v xml:space="preserve">32 </v>
      </c>
      <c r="K209" s="26" t="str">
        <f t="shared" si="24"/>
        <v>EP</v>
      </c>
      <c r="L209" s="26" t="str">
        <f t="shared" si="25"/>
        <v>DGOSE</v>
      </c>
      <c r="M209" s="26" t="str">
        <f t="shared" si="28"/>
        <v>FEDERAL</v>
      </c>
      <c r="N209" s="26">
        <v>143</v>
      </c>
      <c r="O209" s="26">
        <v>65</v>
      </c>
      <c r="P209" s="26">
        <v>78</v>
      </c>
      <c r="Q209" s="26">
        <v>5</v>
      </c>
      <c r="R209" s="26">
        <v>1</v>
      </c>
      <c r="S209" s="26">
        <v>5</v>
      </c>
      <c r="T209" s="26">
        <v>6</v>
      </c>
      <c r="U209" s="26">
        <v>12</v>
      </c>
      <c r="V209" s="26">
        <v>1</v>
      </c>
      <c r="W209" s="26" t="s">
        <v>2076</v>
      </c>
    </row>
    <row r="210" spans="1:23" x14ac:dyDescent="0.25">
      <c r="A210" s="26" t="str">
        <f t="shared" si="26"/>
        <v>PREESCOLAR</v>
      </c>
      <c r="B210" s="26" t="str">
        <f>"09DJN0261J"</f>
        <v>09DJN0261J</v>
      </c>
      <c r="C210" s="26" t="str">
        <f>"JOSE MARIA PINO SUAREZ                                                                              "</f>
        <v xml:space="preserve">JOSE MARIA PINO SUAREZ                                                                              </v>
      </c>
      <c r="D210" s="26" t="str">
        <f>"VESPERTINO"</f>
        <v>VESPERTINO</v>
      </c>
      <c r="E210" s="26" t="str">
        <f>"CASTILLO LEDON S/N                                                              "</f>
        <v xml:space="preserve">CASTILLO LEDON S/N                                                              </v>
      </c>
      <c r="F210" s="26" t="str">
        <f>"CUAJIMALPA                                                                                                                                  "</f>
        <v xml:space="preserve">CUAJIMALPA                                                                                                                                  </v>
      </c>
      <c r="G210" s="26" t="str">
        <f>"CUAJIMALPA DE MORELOS                                                           "</f>
        <v xml:space="preserve">CUAJIMALPA DE MORELOS                                                           </v>
      </c>
      <c r="H210" s="26" t="str">
        <f>"151"</f>
        <v>151</v>
      </c>
      <c r="I210" s="26" t="str">
        <f t="shared" si="27"/>
        <v>00</v>
      </c>
      <c r="J210" s="26" t="str">
        <f>"33 "</f>
        <v xml:space="preserve">33 </v>
      </c>
      <c r="K210" s="26" t="str">
        <f t="shared" si="24"/>
        <v>EP</v>
      </c>
      <c r="L210" s="26" t="str">
        <f t="shared" si="25"/>
        <v>DGOSE</v>
      </c>
      <c r="M210" s="26" t="str">
        <f t="shared" si="28"/>
        <v>FEDERAL</v>
      </c>
      <c r="N210" s="26">
        <v>260</v>
      </c>
      <c r="O210" s="26">
        <v>120</v>
      </c>
      <c r="P210" s="26">
        <v>140</v>
      </c>
      <c r="Q210" s="26">
        <v>9</v>
      </c>
      <c r="R210" s="26">
        <v>1</v>
      </c>
      <c r="S210" s="26">
        <v>8</v>
      </c>
      <c r="T210" s="26">
        <v>7</v>
      </c>
      <c r="U210" s="26">
        <v>16</v>
      </c>
      <c r="V210" s="26">
        <v>1</v>
      </c>
      <c r="W210" s="26"/>
    </row>
    <row r="211" spans="1:23" x14ac:dyDescent="0.25">
      <c r="A211" s="26" t="str">
        <f t="shared" si="26"/>
        <v>PREESCOLAR</v>
      </c>
      <c r="B211" s="26" t="str">
        <f>"09DJN0262I"</f>
        <v>09DJN0262I</v>
      </c>
      <c r="C211" s="26" t="str">
        <f>"AGUSTIN MELGAR                                                                                      "</f>
        <v xml:space="preserve">AGUSTIN MELGAR                                                                                      </v>
      </c>
      <c r="D211" s="26" t="str">
        <f>"TIEMPO COMPLETO"</f>
        <v>TIEMPO COMPLETO</v>
      </c>
      <c r="E211" s="26" t="str">
        <f>"CERRADA GOLFO DE CAMPECHE NO. 14                                                "</f>
        <v xml:space="preserve">CERRADA GOLFO DE CAMPECHE NO. 14                                                </v>
      </c>
      <c r="F211" s="26" t="str">
        <f>"TACUBA                                                                                                                                      "</f>
        <v xml:space="preserve">TACUBA                                                                                                                                      </v>
      </c>
      <c r="G211" s="26" t="str">
        <f>"MIGUEL HIDALGO                                                                  "</f>
        <v xml:space="preserve">MIGUEL HIDALGO                                                                  </v>
      </c>
      <c r="H211" s="26" t="str">
        <f>"011"</f>
        <v>011</v>
      </c>
      <c r="I211" s="26" t="str">
        <f t="shared" si="27"/>
        <v>00</v>
      </c>
      <c r="J211" s="26" t="str">
        <f>"31 "</f>
        <v xml:space="preserve">31 </v>
      </c>
      <c r="K211" s="26" t="str">
        <f t="shared" si="24"/>
        <v>EP</v>
      </c>
      <c r="L211" s="26" t="str">
        <f t="shared" si="25"/>
        <v>DGOSE</v>
      </c>
      <c r="M211" s="26" t="str">
        <f t="shared" si="28"/>
        <v>FEDERAL</v>
      </c>
      <c r="N211" s="26">
        <v>132</v>
      </c>
      <c r="O211" s="26">
        <v>78</v>
      </c>
      <c r="P211" s="26">
        <v>54</v>
      </c>
      <c r="Q211" s="26">
        <v>5</v>
      </c>
      <c r="R211" s="26">
        <v>2</v>
      </c>
      <c r="S211" s="26">
        <v>5</v>
      </c>
      <c r="T211" s="26">
        <v>15</v>
      </c>
      <c r="U211" s="26">
        <v>22</v>
      </c>
      <c r="V211" s="26">
        <v>1</v>
      </c>
      <c r="W211" s="26" t="s">
        <v>218</v>
      </c>
    </row>
    <row r="212" spans="1:23" x14ac:dyDescent="0.25">
      <c r="A212" s="26" t="str">
        <f t="shared" si="26"/>
        <v>PREESCOLAR</v>
      </c>
      <c r="B212" s="26" t="str">
        <f>"09DJN0263H"</f>
        <v>09DJN0263H</v>
      </c>
      <c r="C212" s="26" t="str">
        <f>"ANTONIO CASO                                                                                        "</f>
        <v xml:space="preserve">ANTONIO CASO                                                                                        </v>
      </c>
      <c r="D212" s="26" t="str">
        <f>"JORNADA AMPLIADA"</f>
        <v>JORNADA AMPLIADA</v>
      </c>
      <c r="E212" s="26" t="str">
        <f>"LATONEROS NO. 107                                                               "</f>
        <v xml:space="preserve">LATONEROS NO. 107                                                               </v>
      </c>
      <c r="F212" s="26" t="str">
        <f>"TRABAJADORES DEL HIERRO                                                                                                                     "</f>
        <v xml:space="preserve">TRABAJADORES DEL HIERRO                                                                                                                     </v>
      </c>
      <c r="G212" s="26" t="str">
        <f>"AZCAPOTZALCO                                                                    "</f>
        <v xml:space="preserve">AZCAPOTZALCO                                                                    </v>
      </c>
      <c r="H212" s="26" t="str">
        <f>"129"</f>
        <v>129</v>
      </c>
      <c r="I212" s="26" t="str">
        <f t="shared" si="27"/>
        <v>00</v>
      </c>
      <c r="J212" s="26" t="str">
        <f>"31 "</f>
        <v xml:space="preserve">31 </v>
      </c>
      <c r="K212" s="26" t="str">
        <f t="shared" si="24"/>
        <v>EP</v>
      </c>
      <c r="L212" s="26" t="str">
        <f t="shared" si="25"/>
        <v>DGOSE</v>
      </c>
      <c r="M212" s="26" t="str">
        <f t="shared" si="28"/>
        <v>FEDERAL</v>
      </c>
      <c r="N212" s="26">
        <v>236</v>
      </c>
      <c r="O212" s="26">
        <v>124</v>
      </c>
      <c r="P212" s="26">
        <v>112</v>
      </c>
      <c r="Q212" s="26">
        <v>7</v>
      </c>
      <c r="R212" s="26">
        <v>1</v>
      </c>
      <c r="S212" s="26">
        <v>6</v>
      </c>
      <c r="T212" s="26">
        <v>9</v>
      </c>
      <c r="U212" s="26">
        <v>16</v>
      </c>
      <c r="V212" s="26">
        <v>1</v>
      </c>
      <c r="W212" s="26" t="s">
        <v>2076</v>
      </c>
    </row>
    <row r="213" spans="1:23" x14ac:dyDescent="0.25">
      <c r="A213" s="26" t="str">
        <f t="shared" si="26"/>
        <v>PREESCOLAR</v>
      </c>
      <c r="B213" s="26" t="str">
        <f>"09DJN0264G"</f>
        <v>09DJN0264G</v>
      </c>
      <c r="C213" s="26" t="str">
        <f>"GRECIA                                                                                              "</f>
        <v xml:space="preserve">GRECIA                                                                                              </v>
      </c>
      <c r="D213" s="26" t="str">
        <f>"JORNADA AMPLIADA"</f>
        <v>JORNADA AMPLIADA</v>
      </c>
      <c r="E213" s="26" t="str">
        <f>"PICO 1-B  S/N                                                                   "</f>
        <v xml:space="preserve">PICO 1-B  S/N                                                                   </v>
      </c>
      <c r="F213" s="26" t="str">
        <f>"CONJUNTO HABITACIONAL LOS PICOS                                                                                                             "</f>
        <v xml:space="preserve">CONJUNTO HABITACIONAL LOS PICOS                                                                                                             </v>
      </c>
      <c r="G213" s="26" t="str">
        <f>"IZTACALCO                                                                       "</f>
        <v xml:space="preserve">IZTACALCO                                                                       </v>
      </c>
      <c r="H213" s="26" t="str">
        <f>"108"</f>
        <v>108</v>
      </c>
      <c r="I213" s="26" t="str">
        <f t="shared" si="27"/>
        <v>00</v>
      </c>
      <c r="J213" s="26" t="str">
        <f>"31 "</f>
        <v xml:space="preserve">31 </v>
      </c>
      <c r="K213" s="26" t="str">
        <f t="shared" si="24"/>
        <v>EP</v>
      </c>
      <c r="L213" s="26" t="str">
        <f t="shared" si="25"/>
        <v>DGOSE</v>
      </c>
      <c r="M213" s="26" t="str">
        <f t="shared" si="28"/>
        <v>FEDERAL</v>
      </c>
      <c r="N213" s="26">
        <v>157</v>
      </c>
      <c r="O213" s="26">
        <v>96</v>
      </c>
      <c r="P213" s="26">
        <v>61</v>
      </c>
      <c r="Q213" s="26">
        <v>5</v>
      </c>
      <c r="R213" s="26">
        <v>1</v>
      </c>
      <c r="S213" s="26">
        <v>5</v>
      </c>
      <c r="T213" s="26">
        <v>7</v>
      </c>
      <c r="U213" s="26">
        <v>13</v>
      </c>
      <c r="V213" s="26">
        <v>1</v>
      </c>
      <c r="W213" s="26" t="s">
        <v>2076</v>
      </c>
    </row>
    <row r="214" spans="1:23" x14ac:dyDescent="0.25">
      <c r="A214" s="26" t="str">
        <f t="shared" si="26"/>
        <v>PREESCOLAR</v>
      </c>
      <c r="B214" s="26" t="str">
        <f>"09DJN0265F"</f>
        <v>09DJN0265F</v>
      </c>
      <c r="C214" s="26" t="str">
        <f>"JOSEFINA RAMOS DEL RIO                                                                              "</f>
        <v xml:space="preserve">JOSEFINA RAMOS DEL RIO                                                                              </v>
      </c>
      <c r="D214" s="26" t="str">
        <f>"JORNADA AMPLIADA"</f>
        <v>JORNADA AMPLIADA</v>
      </c>
      <c r="E214" s="26" t="str">
        <f>"4TO. CALLEJON DEL NOPAL NO. 11                                                  "</f>
        <v xml:space="preserve">4TO. CALLEJON DEL NOPAL NO. 11                                                  </v>
      </c>
      <c r="F214" s="26" t="str">
        <f>"ATLAMPA                                                                                                                                     "</f>
        <v xml:space="preserve">ATLAMPA                                                                                                                                     </v>
      </c>
      <c r="G214" s="26" t="s">
        <v>4128</v>
      </c>
      <c r="H214" s="26" t="str">
        <f>"015"</f>
        <v>015</v>
      </c>
      <c r="I214" s="26" t="str">
        <f t="shared" si="27"/>
        <v>00</v>
      </c>
      <c r="J214" s="26" t="str">
        <f>"31 "</f>
        <v xml:space="preserve">31 </v>
      </c>
      <c r="K214" s="26" t="str">
        <f t="shared" si="24"/>
        <v>EP</v>
      </c>
      <c r="L214" s="26" t="str">
        <f t="shared" si="25"/>
        <v>DGOSE</v>
      </c>
      <c r="M214" s="26" t="str">
        <f t="shared" si="28"/>
        <v>FEDERAL</v>
      </c>
      <c r="N214" s="26">
        <v>81</v>
      </c>
      <c r="O214" s="26">
        <v>39</v>
      </c>
      <c r="P214" s="26">
        <v>42</v>
      </c>
      <c r="Q214" s="26">
        <v>3</v>
      </c>
      <c r="R214" s="26">
        <v>1</v>
      </c>
      <c r="S214" s="26">
        <v>3</v>
      </c>
      <c r="T214" s="26">
        <v>4</v>
      </c>
      <c r="U214" s="26">
        <v>8</v>
      </c>
      <c r="V214" s="26">
        <v>1</v>
      </c>
      <c r="W214" s="26" t="s">
        <v>2076</v>
      </c>
    </row>
    <row r="215" spans="1:23" x14ac:dyDescent="0.25">
      <c r="A215" s="26" t="str">
        <f t="shared" si="26"/>
        <v>PREESCOLAR</v>
      </c>
      <c r="B215" s="26" t="str">
        <f>"09DJN0266E"</f>
        <v>09DJN0266E</v>
      </c>
      <c r="C215" s="26" t="str">
        <f>"REP. FEDERAL DE ALEMANIA                                                                            "</f>
        <v xml:space="preserve">REP. FEDERAL DE ALEMANIA                                                                            </v>
      </c>
      <c r="D215" s="26" t="str">
        <f>"VESPERTINO"</f>
        <v>VESPERTINO</v>
      </c>
      <c r="E215" s="26" t="str">
        <f>"LAGO SUIZA NO. 252                                                              "</f>
        <v xml:space="preserve">LAGO SUIZA NO. 252                                                              </v>
      </c>
      <c r="F215" s="26" t="str">
        <f>"5 DE MAYO                                                                                                                                   "</f>
        <v xml:space="preserve">5 DE MAYO                                                                                                                                   </v>
      </c>
      <c r="G215" s="26" t="str">
        <f>"MIGUEL HIDALGO                                                                  "</f>
        <v xml:space="preserve">MIGUEL HIDALGO                                                                  </v>
      </c>
      <c r="H215" s="26" t="str">
        <f>"131"</f>
        <v>131</v>
      </c>
      <c r="I215" s="26" t="str">
        <f t="shared" si="27"/>
        <v>00</v>
      </c>
      <c r="J215" s="26" t="str">
        <f>"32 "</f>
        <v xml:space="preserve">32 </v>
      </c>
      <c r="K215" s="26" t="str">
        <f t="shared" si="24"/>
        <v>EP</v>
      </c>
      <c r="L215" s="26" t="str">
        <f t="shared" si="25"/>
        <v>DGOSE</v>
      </c>
      <c r="M215" s="26" t="str">
        <f t="shared" si="28"/>
        <v>FEDERAL</v>
      </c>
      <c r="N215" s="26">
        <v>80</v>
      </c>
      <c r="O215" s="26">
        <v>46</v>
      </c>
      <c r="P215" s="26">
        <v>34</v>
      </c>
      <c r="Q215" s="26">
        <v>4</v>
      </c>
      <c r="R215" s="26">
        <v>1</v>
      </c>
      <c r="S215" s="26">
        <v>4</v>
      </c>
      <c r="T215" s="26">
        <v>5</v>
      </c>
      <c r="U215" s="26">
        <v>10</v>
      </c>
      <c r="V215" s="26">
        <v>1</v>
      </c>
      <c r="W215" s="26"/>
    </row>
    <row r="216" spans="1:23" x14ac:dyDescent="0.25">
      <c r="A216" s="26" t="str">
        <f t="shared" si="26"/>
        <v>PREESCOLAR</v>
      </c>
      <c r="B216" s="26" t="str">
        <f>"09DJN0267D"</f>
        <v>09DJN0267D</v>
      </c>
      <c r="C216" s="26" t="str">
        <f>"VICENTE RIVA PALACIO                                                                                "</f>
        <v xml:space="preserve">VICENTE RIVA PALACIO                                                                                </v>
      </c>
      <c r="D216" s="26" t="str">
        <f>"MATUTINO"</f>
        <v>MATUTINO</v>
      </c>
      <c r="E216" s="26" t="str">
        <f>"APATZINGAN Y TAMAZULA                                                           "</f>
        <v xml:space="preserve">APATZINGAN Y TAMAZULA                                                           </v>
      </c>
      <c r="F216" s="26" t="str">
        <f>"SAN FELIPE DE JESUS                                                                                                                         "</f>
        <v xml:space="preserve">SAN FELIPE DE JESUS                                                                                                                         </v>
      </c>
      <c r="G216" s="26" t="str">
        <f>"GUSTAVO A. MADERO                                                               "</f>
        <v xml:space="preserve">GUSTAVO A. MADERO                                                               </v>
      </c>
      <c r="H216" s="26" t="str">
        <f>"191"</f>
        <v>191</v>
      </c>
      <c r="I216" s="26" t="str">
        <f t="shared" si="27"/>
        <v>00</v>
      </c>
      <c r="J216" s="26" t="str">
        <f>"32 "</f>
        <v xml:space="preserve">32 </v>
      </c>
      <c r="K216" s="26" t="str">
        <f t="shared" si="24"/>
        <v>EP</v>
      </c>
      <c r="L216" s="26" t="str">
        <f t="shared" si="25"/>
        <v>DGOSE</v>
      </c>
      <c r="M216" s="26" t="str">
        <f t="shared" si="28"/>
        <v>FEDERAL</v>
      </c>
      <c r="N216" s="26">
        <v>201</v>
      </c>
      <c r="O216" s="26">
        <v>98</v>
      </c>
      <c r="P216" s="26">
        <v>103</v>
      </c>
      <c r="Q216" s="26">
        <v>6</v>
      </c>
      <c r="R216" s="26">
        <v>1</v>
      </c>
      <c r="S216" s="26">
        <v>6</v>
      </c>
      <c r="T216" s="26">
        <v>4</v>
      </c>
      <c r="U216" s="26">
        <v>11</v>
      </c>
      <c r="V216" s="26">
        <v>1</v>
      </c>
      <c r="W216" s="26"/>
    </row>
    <row r="217" spans="1:23" x14ac:dyDescent="0.25">
      <c r="A217" s="26" t="str">
        <f t="shared" si="26"/>
        <v>PREESCOLAR</v>
      </c>
      <c r="B217" s="26" t="str">
        <f>"09DJN0268C"</f>
        <v>09DJN0268C</v>
      </c>
      <c r="C217" s="26" t="str">
        <f>"DR. MARIANO AZUELA                                                                                  "</f>
        <v xml:space="preserve">DR. MARIANO AZUELA                                                                                  </v>
      </c>
      <c r="D217" s="26" t="str">
        <f>"MATUTINO"</f>
        <v>MATUTINO</v>
      </c>
      <c r="E217" s="26" t="str">
        <f>"NORTE 70-A NO. 10040                                                            "</f>
        <v xml:space="preserve">NORTE 70-A NO. 10040                                                            </v>
      </c>
      <c r="F217" s="26" t="str">
        <f>"VILLAHERMOSA                                                                                                                                "</f>
        <v xml:space="preserve">VILLAHERMOSA                                                                                                                                </v>
      </c>
      <c r="G217" s="26" t="str">
        <f>"GUSTAVO A. MADERO                                                               "</f>
        <v xml:space="preserve">GUSTAVO A. MADERO                                                               </v>
      </c>
      <c r="H217" s="26" t="str">
        <f>"152"</f>
        <v>152</v>
      </c>
      <c r="I217" s="26" t="str">
        <f t="shared" si="27"/>
        <v>00</v>
      </c>
      <c r="J217" s="26" t="str">
        <f>"32 "</f>
        <v xml:space="preserve">32 </v>
      </c>
      <c r="K217" s="26" t="str">
        <f t="shared" si="24"/>
        <v>EP</v>
      </c>
      <c r="L217" s="26" t="str">
        <f t="shared" si="25"/>
        <v>DGOSE</v>
      </c>
      <c r="M217" s="26" t="str">
        <f t="shared" si="28"/>
        <v>FEDERAL</v>
      </c>
      <c r="N217" s="26">
        <v>177</v>
      </c>
      <c r="O217" s="26">
        <v>86</v>
      </c>
      <c r="P217" s="26">
        <v>91</v>
      </c>
      <c r="Q217" s="26">
        <v>5</v>
      </c>
      <c r="R217" s="26">
        <v>1</v>
      </c>
      <c r="S217" s="26">
        <v>5</v>
      </c>
      <c r="T217" s="26">
        <v>3</v>
      </c>
      <c r="U217" s="26">
        <v>9</v>
      </c>
      <c r="V217" s="26">
        <v>1</v>
      </c>
      <c r="W217" s="26"/>
    </row>
    <row r="218" spans="1:23" x14ac:dyDescent="0.25">
      <c r="A218" s="26" t="str">
        <f t="shared" si="26"/>
        <v>PREESCOLAR</v>
      </c>
      <c r="B218" s="26" t="str">
        <f>"09DJN0270R"</f>
        <v>09DJN0270R</v>
      </c>
      <c r="C218" s="26" t="str">
        <f>"XOCHICALZINGO                                                                                       "</f>
        <v xml:space="preserve">XOCHICALZINGO                                                                                       </v>
      </c>
      <c r="D218" s="26" t="str">
        <f>"TIEMPO COMPLETO"</f>
        <v>TIEMPO COMPLETO</v>
      </c>
      <c r="E218" s="26" t="str">
        <f>"MAR CASPIO NO. 29                                                               "</f>
        <v xml:space="preserve">MAR CASPIO NO. 29                                                               </v>
      </c>
      <c r="F218" s="26" t="str">
        <f>"POPOTLA                                                                                                                                     "</f>
        <v xml:space="preserve">POPOTLA                                                                                                                                     </v>
      </c>
      <c r="G218" s="26" t="str">
        <f>"MIGUEL HIDALGO                                                                  "</f>
        <v xml:space="preserve">MIGUEL HIDALGO                                                                  </v>
      </c>
      <c r="H218" s="26" t="str">
        <f>"120"</f>
        <v>120</v>
      </c>
      <c r="I218" s="26" t="str">
        <f t="shared" si="27"/>
        <v>00</v>
      </c>
      <c r="J218" s="26" t="str">
        <f t="shared" ref="J218:J230" si="29">"31 "</f>
        <v xml:space="preserve">31 </v>
      </c>
      <c r="K218" s="26" t="str">
        <f t="shared" si="24"/>
        <v>EP</v>
      </c>
      <c r="L218" s="26" t="str">
        <f t="shared" si="25"/>
        <v>DGOSE</v>
      </c>
      <c r="M218" s="26" t="str">
        <f t="shared" si="28"/>
        <v>FEDERAL</v>
      </c>
      <c r="N218" s="26">
        <v>148</v>
      </c>
      <c r="O218" s="26">
        <v>79</v>
      </c>
      <c r="P218" s="26">
        <v>69</v>
      </c>
      <c r="Q218" s="26">
        <v>5</v>
      </c>
      <c r="R218" s="26">
        <v>2</v>
      </c>
      <c r="S218" s="26">
        <v>5</v>
      </c>
      <c r="T218" s="26">
        <v>16</v>
      </c>
      <c r="U218" s="26">
        <v>23</v>
      </c>
      <c r="V218" s="26">
        <v>1</v>
      </c>
      <c r="W218" s="26" t="s">
        <v>218</v>
      </c>
    </row>
    <row r="219" spans="1:23" x14ac:dyDescent="0.25">
      <c r="A219" s="26" t="str">
        <f t="shared" si="26"/>
        <v>PREESCOLAR</v>
      </c>
      <c r="B219" s="26" t="str">
        <f>"09DJN0271Q"</f>
        <v>09DJN0271Q</v>
      </c>
      <c r="C219" s="26" t="str">
        <f>"PROFR. ANTONIO BARBOSA HELDT                                                                        "</f>
        <v xml:space="preserve">PROFR. ANTONIO BARBOSA HELDT                                                                        </v>
      </c>
      <c r="D219" s="26" t="str">
        <f>"JORNADA AMPLIADA"</f>
        <v>JORNADA AMPLIADA</v>
      </c>
      <c r="E219" s="26" t="str">
        <f>"KIOCA Y AV. CENTRAL                                                             "</f>
        <v xml:space="preserve">KIOCA Y AV. CENTRAL                                                             </v>
      </c>
      <c r="F219" s="26" t="str">
        <f>"EUZKADI                                                                                                                                     "</f>
        <v xml:space="preserve">EUZKADI                                                                                                                                     </v>
      </c>
      <c r="G219" s="26" t="str">
        <f>"AZCAPOTZALCO                                                                    "</f>
        <v xml:space="preserve">AZCAPOTZALCO                                                                    </v>
      </c>
      <c r="H219" s="26" t="str">
        <f>"060"</f>
        <v>060</v>
      </c>
      <c r="I219" s="26" t="str">
        <f t="shared" si="27"/>
        <v>00</v>
      </c>
      <c r="J219" s="26" t="str">
        <f t="shared" si="29"/>
        <v xml:space="preserve">31 </v>
      </c>
      <c r="K219" s="26" t="str">
        <f t="shared" si="24"/>
        <v>EP</v>
      </c>
      <c r="L219" s="26" t="str">
        <f t="shared" si="25"/>
        <v>DGOSE</v>
      </c>
      <c r="M219" s="26" t="str">
        <f t="shared" si="28"/>
        <v>FEDERAL</v>
      </c>
      <c r="N219" s="26">
        <v>183</v>
      </c>
      <c r="O219" s="26">
        <v>81</v>
      </c>
      <c r="P219" s="26">
        <v>102</v>
      </c>
      <c r="Q219" s="26">
        <v>7</v>
      </c>
      <c r="R219" s="26">
        <v>1</v>
      </c>
      <c r="S219" s="26">
        <v>7</v>
      </c>
      <c r="T219" s="26">
        <v>5</v>
      </c>
      <c r="U219" s="26">
        <v>13</v>
      </c>
      <c r="V219" s="26">
        <v>1</v>
      </c>
      <c r="W219" s="26" t="s">
        <v>2076</v>
      </c>
    </row>
    <row r="220" spans="1:23" x14ac:dyDescent="0.25">
      <c r="A220" s="26" t="str">
        <f t="shared" si="26"/>
        <v>PREESCOLAR</v>
      </c>
      <c r="B220" s="26" t="str">
        <f>"09DJN0272P"</f>
        <v>09DJN0272P</v>
      </c>
      <c r="C220" s="26" t="str">
        <f>"JAMAICA                                                                                             "</f>
        <v xml:space="preserve">JAMAICA                                                                                             </v>
      </c>
      <c r="D220" s="26" t="str">
        <f>"JORNADA AMPLIADA"</f>
        <v>JORNADA AMPLIADA</v>
      </c>
      <c r="E220" s="26" t="str">
        <f>"MZA. 3 FRENTE EDIF. 73                                                          "</f>
        <v xml:space="preserve">MZA. 3 FRENTE EDIF. 73                                                          </v>
      </c>
      <c r="F220" s="26" t="str">
        <f>"UNIDAD HABITACIONAL CUITLAHUAC                                                                                                              "</f>
        <v xml:space="preserve">UNIDAD HABITACIONAL CUITLAHUAC                                                                                                              </v>
      </c>
      <c r="G220" s="26" t="str">
        <f>"AZCAPOTZALCO                                                                    "</f>
        <v xml:space="preserve">AZCAPOTZALCO                                                                    </v>
      </c>
      <c r="H220" s="26" t="str">
        <f>"060"</f>
        <v>060</v>
      </c>
      <c r="I220" s="26" t="str">
        <f t="shared" si="27"/>
        <v>00</v>
      </c>
      <c r="J220" s="26" t="str">
        <f t="shared" si="29"/>
        <v xml:space="preserve">31 </v>
      </c>
      <c r="K220" s="26" t="str">
        <f t="shared" si="24"/>
        <v>EP</v>
      </c>
      <c r="L220" s="26" t="str">
        <f t="shared" si="25"/>
        <v>DGOSE</v>
      </c>
      <c r="M220" s="26" t="str">
        <f t="shared" si="28"/>
        <v>FEDERAL</v>
      </c>
      <c r="N220" s="26">
        <v>90</v>
      </c>
      <c r="O220" s="26">
        <v>55</v>
      </c>
      <c r="P220" s="26">
        <v>35</v>
      </c>
      <c r="Q220" s="26">
        <v>4</v>
      </c>
      <c r="R220" s="26">
        <v>1</v>
      </c>
      <c r="S220" s="26">
        <v>3</v>
      </c>
      <c r="T220" s="26">
        <v>5</v>
      </c>
      <c r="U220" s="26">
        <v>9</v>
      </c>
      <c r="V220" s="26">
        <v>1</v>
      </c>
      <c r="W220" s="26" t="s">
        <v>2076</v>
      </c>
    </row>
    <row r="221" spans="1:23" x14ac:dyDescent="0.25">
      <c r="A221" s="26" t="str">
        <f t="shared" si="26"/>
        <v>PREESCOLAR</v>
      </c>
      <c r="B221" s="26" t="str">
        <f>"09DJN0274N"</f>
        <v>09DJN0274N</v>
      </c>
      <c r="C221" s="26" t="str">
        <f>"REINO UNIDO                                                                                         "</f>
        <v xml:space="preserve">REINO UNIDO                                                                                         </v>
      </c>
      <c r="D221" s="26" t="str">
        <f>"TIEMPO COMPLETO"</f>
        <v>TIEMPO COMPLETO</v>
      </c>
      <c r="E221" s="26" t="str">
        <f>"AV. CUITLAHUAC Y FERROCARRIL CENTRAL                                            "</f>
        <v xml:space="preserve">AV. CUITLAHUAC Y FERROCARRIL CENTRAL                                            </v>
      </c>
      <c r="F221" s="26" t="str">
        <f>"UNIDAD HABITACIONAL CUITLAHUAC                                                                                                              "</f>
        <v xml:space="preserve">UNIDAD HABITACIONAL CUITLAHUAC                                                                                                              </v>
      </c>
      <c r="G221" s="26" t="str">
        <f>"AZCAPOTZALCO                                                                    "</f>
        <v xml:space="preserve">AZCAPOTZALCO                                                                    </v>
      </c>
      <c r="H221" s="26" t="str">
        <f>"060"</f>
        <v>060</v>
      </c>
      <c r="I221" s="26" t="str">
        <f t="shared" si="27"/>
        <v>00</v>
      </c>
      <c r="J221" s="26" t="str">
        <f t="shared" si="29"/>
        <v xml:space="preserve">31 </v>
      </c>
      <c r="K221" s="26" t="str">
        <f t="shared" si="24"/>
        <v>EP</v>
      </c>
      <c r="L221" s="26" t="str">
        <f t="shared" si="25"/>
        <v>DGOSE</v>
      </c>
      <c r="M221" s="26" t="str">
        <f t="shared" si="28"/>
        <v>FEDERAL</v>
      </c>
      <c r="N221" s="26">
        <v>170</v>
      </c>
      <c r="O221" s="26">
        <v>89</v>
      </c>
      <c r="P221" s="26">
        <v>81</v>
      </c>
      <c r="Q221" s="26">
        <v>7</v>
      </c>
      <c r="R221" s="26">
        <v>2</v>
      </c>
      <c r="S221" s="26">
        <v>6</v>
      </c>
      <c r="T221" s="26">
        <v>19</v>
      </c>
      <c r="U221" s="26">
        <v>27</v>
      </c>
      <c r="V221" s="26">
        <v>1</v>
      </c>
      <c r="W221" s="26" t="s">
        <v>218</v>
      </c>
    </row>
    <row r="222" spans="1:23" x14ac:dyDescent="0.25">
      <c r="A222" s="26" t="str">
        <f t="shared" si="26"/>
        <v>PREESCOLAR</v>
      </c>
      <c r="B222" s="26" t="str">
        <f>"09DJN0275M"</f>
        <v>09DJN0275M</v>
      </c>
      <c r="C222" s="26" t="str">
        <f>"PLUTARCO ELIAS CALLES                                                                               "</f>
        <v xml:space="preserve">PLUTARCO ELIAS CALLES                                                                               </v>
      </c>
      <c r="D222" s="26" t="str">
        <f>"JORNADA AMPLIADA"</f>
        <v>JORNADA AMPLIADA</v>
      </c>
      <c r="E222" s="26" t="str">
        <f>"RET. MIGUEL LANTZ DURET NO. 24                                                  "</f>
        <v xml:space="preserve">RET. MIGUEL LANTZ DURET NO. 24                                                  </v>
      </c>
      <c r="F222" s="26" t="str">
        <f>"PERIODISTA                                                                                                                                  "</f>
        <v xml:space="preserve">PERIODISTA                                                                                                                                  </v>
      </c>
      <c r="G222" s="26" t="str">
        <f>"MIGUEL HIDALGO                                                                  "</f>
        <v xml:space="preserve">MIGUEL HIDALGO                                                                  </v>
      </c>
      <c r="H222" s="26" t="str">
        <f>"136"</f>
        <v>136</v>
      </c>
      <c r="I222" s="26" t="str">
        <f t="shared" si="27"/>
        <v>00</v>
      </c>
      <c r="J222" s="26" t="str">
        <f t="shared" si="29"/>
        <v xml:space="preserve">31 </v>
      </c>
      <c r="K222" s="26" t="str">
        <f t="shared" si="24"/>
        <v>EP</v>
      </c>
      <c r="L222" s="26" t="str">
        <f t="shared" si="25"/>
        <v>DGOSE</v>
      </c>
      <c r="M222" s="26" t="str">
        <f t="shared" si="28"/>
        <v>FEDERAL</v>
      </c>
      <c r="N222" s="26">
        <v>125</v>
      </c>
      <c r="O222" s="26">
        <v>61</v>
      </c>
      <c r="P222" s="26">
        <v>64</v>
      </c>
      <c r="Q222" s="26">
        <v>5</v>
      </c>
      <c r="R222" s="26">
        <v>1</v>
      </c>
      <c r="S222" s="26">
        <v>5</v>
      </c>
      <c r="T222" s="26">
        <v>6</v>
      </c>
      <c r="U222" s="26">
        <v>12</v>
      </c>
      <c r="V222" s="26">
        <v>1</v>
      </c>
      <c r="W222" s="26" t="s">
        <v>2076</v>
      </c>
    </row>
    <row r="223" spans="1:23" x14ac:dyDescent="0.25">
      <c r="A223" s="26" t="str">
        <f t="shared" si="26"/>
        <v>PREESCOLAR</v>
      </c>
      <c r="B223" s="26" t="str">
        <f>"09DJN0276L"</f>
        <v>09DJN0276L</v>
      </c>
      <c r="C223" s="26" t="str">
        <f>"CONCEPCION SIERRA DE LANZ DURET                                                                     "</f>
        <v xml:space="preserve">CONCEPCION SIERRA DE LANZ DURET                                                                     </v>
      </c>
      <c r="D223" s="26" t="str">
        <f>"JORNADA AMPLIADA"</f>
        <v>JORNADA AMPLIADA</v>
      </c>
      <c r="E223" s="26" t="str">
        <f>"NECAXA NO. 240                                                                  "</f>
        <v xml:space="preserve">NECAXA NO. 240                                                                  </v>
      </c>
      <c r="F223" s="26" t="str">
        <f>"INDUSTRIAL                                                                                                                                  "</f>
        <v xml:space="preserve">INDUSTRIAL                                                                                                                                  </v>
      </c>
      <c r="G223" s="26" t="str">
        <f>"GUSTAVO A. MADERO                                                               "</f>
        <v xml:space="preserve">GUSTAVO A. MADERO                                                               </v>
      </c>
      <c r="H223" s="26" t="str">
        <f>"004"</f>
        <v>004</v>
      </c>
      <c r="I223" s="26" t="str">
        <f t="shared" si="27"/>
        <v>00</v>
      </c>
      <c r="J223" s="26" t="str">
        <f t="shared" si="29"/>
        <v xml:space="preserve">31 </v>
      </c>
      <c r="K223" s="26" t="str">
        <f t="shared" si="24"/>
        <v>EP</v>
      </c>
      <c r="L223" s="26" t="str">
        <f t="shared" si="25"/>
        <v>DGOSE</v>
      </c>
      <c r="M223" s="26" t="str">
        <f t="shared" si="28"/>
        <v>FEDERAL</v>
      </c>
      <c r="N223" s="26">
        <v>251</v>
      </c>
      <c r="O223" s="26">
        <v>120</v>
      </c>
      <c r="P223" s="26">
        <v>131</v>
      </c>
      <c r="Q223" s="26">
        <v>7</v>
      </c>
      <c r="R223" s="26">
        <v>1</v>
      </c>
      <c r="S223" s="26">
        <v>7</v>
      </c>
      <c r="T223" s="26">
        <v>7</v>
      </c>
      <c r="U223" s="26">
        <v>15</v>
      </c>
      <c r="V223" s="26">
        <v>1</v>
      </c>
      <c r="W223" s="26" t="s">
        <v>2076</v>
      </c>
    </row>
    <row r="224" spans="1:23" x14ac:dyDescent="0.25">
      <c r="A224" s="26" t="str">
        <f t="shared" si="26"/>
        <v>PREESCOLAR</v>
      </c>
      <c r="B224" s="26" t="str">
        <f>"09DJN0277K"</f>
        <v>09DJN0277K</v>
      </c>
      <c r="C224" s="26" t="str">
        <f>"ERASMO CASTELLANOS QUINTO                                                                           "</f>
        <v xml:space="preserve">ERASMO CASTELLANOS QUINTO                                                                           </v>
      </c>
      <c r="D224" s="26" t="str">
        <f>"JORNADA AMPLIADA"</f>
        <v>JORNADA AMPLIADA</v>
      </c>
      <c r="E224" s="26" t="str">
        <f>"MANUEL GONZALEZ NO. 108                                                         "</f>
        <v xml:space="preserve">MANUEL GONZALEZ NO. 108                                                         </v>
      </c>
      <c r="F224" s="26" t="str">
        <f>"UNIDAD NONOALCO TLATELOLCO                                                                                                                  "</f>
        <v xml:space="preserve">UNIDAD NONOALCO TLATELOLCO                                                                                                                  </v>
      </c>
      <c r="G224" s="26" t="s">
        <v>4128</v>
      </c>
      <c r="H224" s="26" t="str">
        <f>"016"</f>
        <v>016</v>
      </c>
      <c r="I224" s="26" t="str">
        <f t="shared" si="27"/>
        <v>00</v>
      </c>
      <c r="J224" s="26" t="str">
        <f t="shared" si="29"/>
        <v xml:space="preserve">31 </v>
      </c>
      <c r="K224" s="26" t="str">
        <f t="shared" si="24"/>
        <v>EP</v>
      </c>
      <c r="L224" s="26" t="str">
        <f t="shared" si="25"/>
        <v>DGOSE</v>
      </c>
      <c r="M224" s="26" t="str">
        <f t="shared" si="28"/>
        <v>FEDERAL</v>
      </c>
      <c r="N224" s="26">
        <v>176</v>
      </c>
      <c r="O224" s="26">
        <v>92</v>
      </c>
      <c r="P224" s="26">
        <v>84</v>
      </c>
      <c r="Q224" s="26">
        <v>6</v>
      </c>
      <c r="R224" s="26">
        <v>1</v>
      </c>
      <c r="S224" s="26">
        <v>6</v>
      </c>
      <c r="T224" s="26">
        <v>6</v>
      </c>
      <c r="U224" s="26">
        <v>13</v>
      </c>
      <c r="V224" s="26">
        <v>1</v>
      </c>
      <c r="W224" s="26" t="s">
        <v>2076</v>
      </c>
    </row>
    <row r="225" spans="1:23" x14ac:dyDescent="0.25">
      <c r="A225" s="26" t="str">
        <f t="shared" si="26"/>
        <v>PREESCOLAR</v>
      </c>
      <c r="B225" s="26" t="str">
        <f>"09DJN0279I"</f>
        <v>09DJN0279I</v>
      </c>
      <c r="C225" s="26" t="str">
        <f>"ENRIQUE LAUBSCHER                                                                                   "</f>
        <v xml:space="preserve">ENRIQUE LAUBSCHER                                                                                   </v>
      </c>
      <c r="D225" s="26" t="str">
        <f>"TIEMPO COMPLETO"</f>
        <v>TIEMPO COMPLETO</v>
      </c>
      <c r="E225" s="26" t="str">
        <f>"NORTE 67 NO. 2915                                                               "</f>
        <v xml:space="preserve">NORTE 67 NO. 2915                                                               </v>
      </c>
      <c r="F225" s="26" t="str">
        <f>"OBRERO POPULAR                                                                                                                              "</f>
        <v xml:space="preserve">OBRERO POPULAR                                                                                                                              </v>
      </c>
      <c r="G225" s="26" t="str">
        <f>"AZCAPOTZALCO                                                                    "</f>
        <v xml:space="preserve">AZCAPOTZALCO                                                                    </v>
      </c>
      <c r="H225" s="26" t="str">
        <f>"129"</f>
        <v>129</v>
      </c>
      <c r="I225" s="26" t="str">
        <f t="shared" si="27"/>
        <v>00</v>
      </c>
      <c r="J225" s="26" t="str">
        <f t="shared" si="29"/>
        <v xml:space="preserve">31 </v>
      </c>
      <c r="K225" s="26" t="str">
        <f t="shared" si="24"/>
        <v>EP</v>
      </c>
      <c r="L225" s="26" t="str">
        <f t="shared" si="25"/>
        <v>DGOSE</v>
      </c>
      <c r="M225" s="26" t="str">
        <f t="shared" si="28"/>
        <v>FEDERAL</v>
      </c>
      <c r="N225" s="26">
        <v>196</v>
      </c>
      <c r="O225" s="26">
        <v>124</v>
      </c>
      <c r="P225" s="26">
        <v>72</v>
      </c>
      <c r="Q225" s="26">
        <v>8</v>
      </c>
      <c r="R225" s="26">
        <v>2</v>
      </c>
      <c r="S225" s="26">
        <v>8</v>
      </c>
      <c r="T225" s="26">
        <v>20</v>
      </c>
      <c r="U225" s="26">
        <v>30</v>
      </c>
      <c r="V225" s="26">
        <v>1</v>
      </c>
      <c r="W225" s="26" t="s">
        <v>218</v>
      </c>
    </row>
    <row r="226" spans="1:23" x14ac:dyDescent="0.25">
      <c r="A226" s="26" t="str">
        <f t="shared" si="26"/>
        <v>PREESCOLAR</v>
      </c>
      <c r="B226" s="26" t="str">
        <f>"09DJN0280Y"</f>
        <v>09DJN0280Y</v>
      </c>
      <c r="C226" s="26" t="str">
        <f>"LOMA HERMOSA                                                                                        "</f>
        <v xml:space="preserve">LOMA HERMOSA                                                                                        </v>
      </c>
      <c r="D226" s="26" t="str">
        <f>"JORNADA AMPLIADA"</f>
        <v>JORNADA AMPLIADA</v>
      </c>
      <c r="E226" s="26" t="str">
        <f>"PRESA SALINILLAS Y CALZ. LEGARIA                                                "</f>
        <v xml:space="preserve">PRESA SALINILLAS Y CALZ. LEGARIA                                                </v>
      </c>
      <c r="F226" s="26" t="str">
        <f>"IRRIGACION                                                                                                                                  "</f>
        <v xml:space="preserve">IRRIGACION                                                                                                                                  </v>
      </c>
      <c r="G226" s="26" t="str">
        <f>"MIGUEL HIDALGO                                                                  "</f>
        <v xml:space="preserve">MIGUEL HIDALGO                                                                  </v>
      </c>
      <c r="H226" s="26" t="str">
        <f>"109"</f>
        <v>109</v>
      </c>
      <c r="I226" s="26" t="str">
        <f t="shared" si="27"/>
        <v>00</v>
      </c>
      <c r="J226" s="26" t="str">
        <f t="shared" si="29"/>
        <v xml:space="preserve">31 </v>
      </c>
      <c r="K226" s="26" t="str">
        <f t="shared" si="24"/>
        <v>EP</v>
      </c>
      <c r="L226" s="26" t="str">
        <f t="shared" si="25"/>
        <v>DGOSE</v>
      </c>
      <c r="M226" s="26" t="str">
        <f t="shared" si="28"/>
        <v>FEDERAL</v>
      </c>
      <c r="N226" s="26">
        <v>80</v>
      </c>
      <c r="O226" s="26">
        <v>44</v>
      </c>
      <c r="P226" s="26">
        <v>36</v>
      </c>
      <c r="Q226" s="26">
        <v>4</v>
      </c>
      <c r="R226" s="26">
        <v>1</v>
      </c>
      <c r="S226" s="26">
        <v>4</v>
      </c>
      <c r="T226" s="26">
        <v>5</v>
      </c>
      <c r="U226" s="26">
        <v>10</v>
      </c>
      <c r="V226" s="26">
        <v>1</v>
      </c>
      <c r="W226" s="26" t="s">
        <v>2076</v>
      </c>
    </row>
    <row r="227" spans="1:23" x14ac:dyDescent="0.25">
      <c r="A227" s="26" t="str">
        <f t="shared" si="26"/>
        <v>PREESCOLAR</v>
      </c>
      <c r="B227" s="26" t="str">
        <f>"09DJN0281X"</f>
        <v>09DJN0281X</v>
      </c>
      <c r="C227" s="26" t="str">
        <f>"JOSE MARIA COVIAN MIMENZA                                                                           "</f>
        <v xml:space="preserve">JOSE MARIA COVIAN MIMENZA                                                                           </v>
      </c>
      <c r="D227" s="26" t="str">
        <f>"TIEMPO COMPLETO"</f>
        <v>TIEMPO COMPLETO</v>
      </c>
      <c r="E227" s="26" t="str">
        <f>"PLAZA ABASOLO NO. 6                                                             "</f>
        <v xml:space="preserve">PLAZA ABASOLO NO. 6                                                             </v>
      </c>
      <c r="F227" s="26" t="str">
        <f>"GUERRERO                                                                                                                                    "</f>
        <v xml:space="preserve">GUERRERO                                                                                                                                    </v>
      </c>
      <c r="G227" s="26" t="s">
        <v>4128</v>
      </c>
      <c r="H227" s="26" t="str">
        <f>"015"</f>
        <v>015</v>
      </c>
      <c r="I227" s="26" t="str">
        <f t="shared" si="27"/>
        <v>00</v>
      </c>
      <c r="J227" s="26" t="str">
        <f t="shared" si="29"/>
        <v xml:space="preserve">31 </v>
      </c>
      <c r="K227" s="26" t="str">
        <f t="shared" si="24"/>
        <v>EP</v>
      </c>
      <c r="L227" s="26" t="str">
        <f t="shared" si="25"/>
        <v>DGOSE</v>
      </c>
      <c r="M227" s="26" t="str">
        <f t="shared" si="28"/>
        <v>FEDERAL</v>
      </c>
      <c r="N227" s="26">
        <v>118</v>
      </c>
      <c r="O227" s="26">
        <v>62</v>
      </c>
      <c r="P227" s="26">
        <v>56</v>
      </c>
      <c r="Q227" s="26">
        <v>5</v>
      </c>
      <c r="R227" s="26">
        <v>2</v>
      </c>
      <c r="S227" s="26">
        <v>5</v>
      </c>
      <c r="T227" s="26">
        <v>15</v>
      </c>
      <c r="U227" s="26">
        <v>22</v>
      </c>
      <c r="V227" s="26">
        <v>1</v>
      </c>
      <c r="W227" s="26" t="s">
        <v>218</v>
      </c>
    </row>
    <row r="228" spans="1:23" x14ac:dyDescent="0.25">
      <c r="A228" s="26" t="str">
        <f t="shared" si="26"/>
        <v>PREESCOLAR</v>
      </c>
      <c r="B228" s="26" t="str">
        <f>"09DJN0282W"</f>
        <v>09DJN0282W</v>
      </c>
      <c r="C228" s="26" t="str">
        <f>"REP.ISLAMICA DE IRAN                                                                                "</f>
        <v xml:space="preserve">REP.ISLAMICA DE IRAN                                                                                </v>
      </c>
      <c r="D228" s="26" t="str">
        <f>"JORNADA AMPLIADA"</f>
        <v>JORNADA AMPLIADA</v>
      </c>
      <c r="E228" s="26" t="str">
        <f>"MZA. 2 FRENTE EDIF. 38                                                          "</f>
        <v xml:space="preserve">MZA. 2 FRENTE EDIF. 38                                                          </v>
      </c>
      <c r="F228" s="26" t="str">
        <f>"UNIDAD HABITACIONAL CUITLAHUAC                                                                                                              "</f>
        <v xml:space="preserve">UNIDAD HABITACIONAL CUITLAHUAC                                                                                                              </v>
      </c>
      <c r="G228" s="26" t="str">
        <f>"AZCAPOTZALCO                                                                    "</f>
        <v xml:space="preserve">AZCAPOTZALCO                                                                    </v>
      </c>
      <c r="H228" s="26" t="str">
        <f>"060"</f>
        <v>060</v>
      </c>
      <c r="I228" s="26" t="str">
        <f t="shared" si="27"/>
        <v>00</v>
      </c>
      <c r="J228" s="26" t="str">
        <f t="shared" si="29"/>
        <v xml:space="preserve">31 </v>
      </c>
      <c r="K228" s="26" t="str">
        <f t="shared" si="24"/>
        <v>EP</v>
      </c>
      <c r="L228" s="26" t="str">
        <f t="shared" si="25"/>
        <v>DGOSE</v>
      </c>
      <c r="M228" s="26" t="str">
        <f t="shared" si="28"/>
        <v>FEDERAL</v>
      </c>
      <c r="N228" s="26">
        <v>85</v>
      </c>
      <c r="O228" s="26">
        <v>51</v>
      </c>
      <c r="P228" s="26">
        <v>34</v>
      </c>
      <c r="Q228" s="26">
        <v>4</v>
      </c>
      <c r="R228" s="26">
        <v>1</v>
      </c>
      <c r="S228" s="26">
        <v>4</v>
      </c>
      <c r="T228" s="26">
        <v>8</v>
      </c>
      <c r="U228" s="26">
        <v>13</v>
      </c>
      <c r="V228" s="26">
        <v>1</v>
      </c>
      <c r="W228" s="26" t="s">
        <v>2076</v>
      </c>
    </row>
    <row r="229" spans="1:23" x14ac:dyDescent="0.25">
      <c r="A229" s="26" t="str">
        <f t="shared" si="26"/>
        <v>PREESCOLAR</v>
      </c>
      <c r="B229" s="26" t="str">
        <f>"09DJN0283V"</f>
        <v>09DJN0283V</v>
      </c>
      <c r="C229" s="26" t="str">
        <f>"MARIA LUNA                                                                                          "</f>
        <v xml:space="preserve">MARIA LUNA                                                                                          </v>
      </c>
      <c r="D229" s="26" t="str">
        <f>"TIEMPO COMPLETO"</f>
        <v>TIEMPO COMPLETO</v>
      </c>
      <c r="E229" s="26" t="str">
        <f>"LAGO XOCHIMILCO NO. 145                                                         "</f>
        <v xml:space="preserve">LAGO XOCHIMILCO NO. 145                                                         </v>
      </c>
      <c r="F229" s="26" t="str">
        <f>"ANAHUAC I                                                                                                                                   "</f>
        <v xml:space="preserve">ANAHUAC I                                                                                                                                   </v>
      </c>
      <c r="G229" s="26" t="str">
        <f>"MIGUEL HIDALGO                                                                  "</f>
        <v xml:space="preserve">MIGUEL HIDALGO                                                                  </v>
      </c>
      <c r="H229" s="26" t="str">
        <f>"012"</f>
        <v>012</v>
      </c>
      <c r="I229" s="26" t="str">
        <f t="shared" si="27"/>
        <v>00</v>
      </c>
      <c r="J229" s="26" t="str">
        <f t="shared" si="29"/>
        <v xml:space="preserve">31 </v>
      </c>
      <c r="K229" s="26" t="str">
        <f t="shared" si="24"/>
        <v>EP</v>
      </c>
      <c r="L229" s="26" t="str">
        <f t="shared" si="25"/>
        <v>DGOSE</v>
      </c>
      <c r="M229" s="26" t="str">
        <f t="shared" si="28"/>
        <v>FEDERAL</v>
      </c>
      <c r="N229" s="26">
        <v>192</v>
      </c>
      <c r="O229" s="26">
        <v>87</v>
      </c>
      <c r="P229" s="26">
        <v>105</v>
      </c>
      <c r="Q229" s="26">
        <v>7</v>
      </c>
      <c r="R229" s="26">
        <v>2</v>
      </c>
      <c r="S229" s="26">
        <v>7</v>
      </c>
      <c r="T229" s="26">
        <v>17</v>
      </c>
      <c r="U229" s="26">
        <v>26</v>
      </c>
      <c r="V229" s="26">
        <v>1</v>
      </c>
      <c r="W229" s="26" t="s">
        <v>218</v>
      </c>
    </row>
    <row r="230" spans="1:23" x14ac:dyDescent="0.25">
      <c r="A230" s="26" t="str">
        <f t="shared" si="26"/>
        <v>PREESCOLAR</v>
      </c>
      <c r="B230" s="26" t="str">
        <f>"09DJN0284U"</f>
        <v>09DJN0284U</v>
      </c>
      <c r="C230" s="26" t="str">
        <f>"PILTZIN CALLI                                                                                       "</f>
        <v xml:space="preserve">PILTZIN CALLI                                                                                       </v>
      </c>
      <c r="D230" s="26" t="str">
        <f>"JORNADA AMPLIADA"</f>
        <v>JORNADA AMPLIADA</v>
      </c>
      <c r="E230" s="26" t="str">
        <f>"LAGO MICHIGAN NO. 34                                                            "</f>
        <v xml:space="preserve">LAGO MICHIGAN NO. 34                                                            </v>
      </c>
      <c r="F230" s="26" t="str">
        <f>"LEGARIA                                                                                                                                     "</f>
        <v xml:space="preserve">LEGARIA                                                                                                                                     </v>
      </c>
      <c r="G230" s="26" t="str">
        <f>"MIGUEL HIDALGO                                                                  "</f>
        <v xml:space="preserve">MIGUEL HIDALGO                                                                  </v>
      </c>
      <c r="H230" s="26" t="str">
        <f>"011"</f>
        <v>011</v>
      </c>
      <c r="I230" s="26" t="str">
        <f t="shared" si="27"/>
        <v>00</v>
      </c>
      <c r="J230" s="26" t="str">
        <f t="shared" si="29"/>
        <v xml:space="preserve">31 </v>
      </c>
      <c r="K230" s="26" t="str">
        <f t="shared" si="24"/>
        <v>EP</v>
      </c>
      <c r="L230" s="26" t="str">
        <f t="shared" si="25"/>
        <v>DGOSE</v>
      </c>
      <c r="M230" s="26" t="str">
        <f t="shared" si="28"/>
        <v>FEDERAL</v>
      </c>
      <c r="N230" s="26">
        <v>156</v>
      </c>
      <c r="O230" s="26">
        <v>87</v>
      </c>
      <c r="P230" s="26">
        <v>69</v>
      </c>
      <c r="Q230" s="26">
        <v>5</v>
      </c>
      <c r="R230" s="26">
        <v>1</v>
      </c>
      <c r="S230" s="26">
        <v>4</v>
      </c>
      <c r="T230" s="26">
        <v>7</v>
      </c>
      <c r="U230" s="26">
        <v>12</v>
      </c>
      <c r="V230" s="26">
        <v>1</v>
      </c>
      <c r="W230" s="26" t="s">
        <v>2076</v>
      </c>
    </row>
    <row r="231" spans="1:23" x14ac:dyDescent="0.25">
      <c r="A231" s="26" t="str">
        <f t="shared" si="26"/>
        <v>PREESCOLAR</v>
      </c>
      <c r="B231" s="26" t="str">
        <f>"09DJN0286S"</f>
        <v>09DJN0286S</v>
      </c>
      <c r="C231" s="26" t="str">
        <f>"REP. POPULAR DE POLONIA                                                                             "</f>
        <v xml:space="preserve">REP. POPULAR DE POLONIA                                                                             </v>
      </c>
      <c r="D231" s="26" t="str">
        <f>"VESPERTINO"</f>
        <v>VESPERTINO</v>
      </c>
      <c r="E231" s="26" t="str">
        <f>"PALACIO S/N                                                                     "</f>
        <v xml:space="preserve">PALACIO S/N                                                                     </v>
      </c>
      <c r="F231" s="26" t="str">
        <f>"LA ASUNCION                                                                                                                                 "</f>
        <v xml:space="preserve">LA ASUNCION                                                                                                                                 </v>
      </c>
      <c r="G231" s="26" t="str">
        <f>"IZTAPALAPA                                                                      "</f>
        <v xml:space="preserve">IZTAPALAPA                                                                      </v>
      </c>
      <c r="H231" s="26" t="str">
        <f>"022"</f>
        <v>022</v>
      </c>
      <c r="I231" s="26" t="str">
        <f t="shared" si="27"/>
        <v>00</v>
      </c>
      <c r="J231" s="26" t="str">
        <f>"63 "</f>
        <v xml:space="preserve">63 </v>
      </c>
      <c r="K231" s="26" t="str">
        <f>"IZ"</f>
        <v>IZ</v>
      </c>
      <c r="L231" s="26" t="str">
        <f>"DGSEI"</f>
        <v>DGSEI</v>
      </c>
      <c r="M231" s="26" t="str">
        <f t="shared" si="28"/>
        <v>FEDERAL</v>
      </c>
      <c r="N231" s="26">
        <v>179</v>
      </c>
      <c r="O231" s="26">
        <v>91</v>
      </c>
      <c r="P231" s="26">
        <v>88</v>
      </c>
      <c r="Q231" s="26">
        <v>6</v>
      </c>
      <c r="R231" s="26">
        <v>1</v>
      </c>
      <c r="S231" s="26">
        <v>5</v>
      </c>
      <c r="T231" s="26">
        <v>2</v>
      </c>
      <c r="U231" s="26">
        <v>8</v>
      </c>
      <c r="V231" s="26">
        <v>1</v>
      </c>
      <c r="W231" s="26"/>
    </row>
    <row r="232" spans="1:23" x14ac:dyDescent="0.25">
      <c r="A232" s="26" t="str">
        <f t="shared" si="26"/>
        <v>PREESCOLAR</v>
      </c>
      <c r="B232" s="26" t="str">
        <f>"09DJN0287R"</f>
        <v>09DJN0287R</v>
      </c>
      <c r="C232" s="26" t="str">
        <f>"CIPACTLI                                                                                            "</f>
        <v xml:space="preserve">CIPACTLI                                                                                            </v>
      </c>
      <c r="D232" s="26" t="str">
        <f>"JORNADA AMPLIADA"</f>
        <v>JORNADA AMPLIADA</v>
      </c>
      <c r="E232" s="26" t="str">
        <f>"DR. MARIANO AZUELA NO. 138                                                      "</f>
        <v xml:space="preserve">DR. MARIANO AZUELA NO. 138                                                      </v>
      </c>
      <c r="F232" s="26" t="str">
        <f>"SANTA MARIA LA RIBERA                                                                                                                       "</f>
        <v xml:space="preserve">SANTA MARIA LA RIBERA                                                                                                                       </v>
      </c>
      <c r="G232" s="26" t="s">
        <v>4128</v>
      </c>
      <c r="H232" s="26" t="str">
        <f>"021"</f>
        <v>021</v>
      </c>
      <c r="I232" s="26" t="str">
        <f t="shared" si="27"/>
        <v>00</v>
      </c>
      <c r="J232" s="26" t="str">
        <f>"31 "</f>
        <v xml:space="preserve">31 </v>
      </c>
      <c r="K232" s="26" t="str">
        <f>"EP"</f>
        <v>EP</v>
      </c>
      <c r="L232" s="26" t="str">
        <f>"DGOSE"</f>
        <v>DGOSE</v>
      </c>
      <c r="M232" s="26" t="str">
        <f t="shared" si="28"/>
        <v>FEDERAL</v>
      </c>
      <c r="N232" s="26">
        <v>257</v>
      </c>
      <c r="O232" s="26">
        <v>135</v>
      </c>
      <c r="P232" s="26">
        <v>122</v>
      </c>
      <c r="Q232" s="26">
        <v>8</v>
      </c>
      <c r="R232" s="26">
        <v>1</v>
      </c>
      <c r="S232" s="26">
        <v>8</v>
      </c>
      <c r="T232" s="26">
        <v>5</v>
      </c>
      <c r="U232" s="26">
        <v>14</v>
      </c>
      <c r="V232" s="26">
        <v>1</v>
      </c>
      <c r="W232" s="26" t="s">
        <v>2076</v>
      </c>
    </row>
    <row r="233" spans="1:23" x14ac:dyDescent="0.25">
      <c r="A233" s="26" t="str">
        <f t="shared" si="26"/>
        <v>PREESCOLAR</v>
      </c>
      <c r="B233" s="26" t="str">
        <f>"09DJN0288Q"</f>
        <v>09DJN0288Q</v>
      </c>
      <c r="C233" s="26" t="str">
        <f>"C.A.S.I. LOMAS QUEBRADAS                                                                            "</f>
        <v xml:space="preserve">C.A.S.I. LOMAS QUEBRADAS                                                                            </v>
      </c>
      <c r="D233" s="26" t="str">
        <f>"JORNADA AMPLIADA"</f>
        <v>JORNADA AMPLIADA</v>
      </c>
      <c r="E233" s="26" t="str">
        <f>"AV. LUIS CABRERA NO. 31                                                         "</f>
        <v xml:space="preserve">AV. LUIS CABRERA NO. 31                                                         </v>
      </c>
      <c r="F233" s="26" t="str">
        <f>"LOMAS QUEBRADAS                                                                                                                             "</f>
        <v xml:space="preserve">LOMAS QUEBRADAS                                                                                                                             </v>
      </c>
      <c r="G233" s="26" t="str">
        <f>"LA MAGDALENA CONTRERAS                                                          "</f>
        <v xml:space="preserve">LA MAGDALENA CONTRERAS                                                          </v>
      </c>
      <c r="H233" s="26" t="str">
        <f>"071"</f>
        <v>071</v>
      </c>
      <c r="I233" s="26" t="str">
        <f t="shared" si="27"/>
        <v>00</v>
      </c>
      <c r="J233" s="26" t="str">
        <f>"34 "</f>
        <v xml:space="preserve">34 </v>
      </c>
      <c r="K233" s="26" t="str">
        <f>"EP"</f>
        <v>EP</v>
      </c>
      <c r="L233" s="26" t="str">
        <f>"DGOSE"</f>
        <v>DGOSE</v>
      </c>
      <c r="M233" s="26" t="str">
        <f t="shared" si="28"/>
        <v>FEDERAL</v>
      </c>
      <c r="N233" s="26">
        <v>146</v>
      </c>
      <c r="O233" s="26">
        <v>61</v>
      </c>
      <c r="P233" s="26">
        <v>85</v>
      </c>
      <c r="Q233" s="26">
        <v>4</v>
      </c>
      <c r="R233" s="26">
        <v>1</v>
      </c>
      <c r="S233" s="26">
        <v>4</v>
      </c>
      <c r="T233" s="26">
        <v>4</v>
      </c>
      <c r="U233" s="26">
        <v>9</v>
      </c>
      <c r="V233" s="26">
        <v>1</v>
      </c>
      <c r="W233" s="26" t="s">
        <v>2076</v>
      </c>
    </row>
    <row r="234" spans="1:23" x14ac:dyDescent="0.25">
      <c r="A234" s="26" t="str">
        <f t="shared" si="26"/>
        <v>PREESCOLAR</v>
      </c>
      <c r="B234" s="26" t="str">
        <f>"09DJN0290E"</f>
        <v>09DJN0290E</v>
      </c>
      <c r="C234" s="26" t="str">
        <f>"EJERCITO DE ORIENTE                                                                                 "</f>
        <v xml:space="preserve">EJERCITO DE ORIENTE                                                                                 </v>
      </c>
      <c r="D234" s="26" t="str">
        <f>"TIEMPO COMPLETO"</f>
        <v>TIEMPO COMPLETO</v>
      </c>
      <c r="E234" s="26" t="str">
        <f>"RETORNO 2 RIFLEROS DE SAN LUIS POTOSI NO. 18                                    "</f>
        <v xml:space="preserve">RETORNO 2 RIFLEROS DE SAN LUIS POTOSI NO. 18                                    </v>
      </c>
      <c r="F234" s="26" t="str">
        <f>"UNIDAD HABITACIONAL EJERCITO DE ORI                                                                                                         "</f>
        <v xml:space="preserve">UNIDAD HABITACIONAL EJERCITO DE ORI                                                                                                         </v>
      </c>
      <c r="G234" s="26" t="str">
        <f>"IZTAPALAPA                                                                      "</f>
        <v xml:space="preserve">IZTAPALAPA                                                                      </v>
      </c>
      <c r="H234" s="26" t="str">
        <f>"006"</f>
        <v>006</v>
      </c>
      <c r="I234" s="26" t="str">
        <f t="shared" si="27"/>
        <v>00</v>
      </c>
      <c r="J234" s="26" t="str">
        <f>"61 "</f>
        <v xml:space="preserve">61 </v>
      </c>
      <c r="K234" s="26" t="str">
        <f>"IZ"</f>
        <v>IZ</v>
      </c>
      <c r="L234" s="26" t="str">
        <f>"DGSEI"</f>
        <v>DGSEI</v>
      </c>
      <c r="M234" s="26" t="str">
        <f t="shared" si="28"/>
        <v>FEDERAL</v>
      </c>
      <c r="N234" s="26">
        <v>237</v>
      </c>
      <c r="O234" s="26">
        <v>114</v>
      </c>
      <c r="P234" s="26">
        <v>123</v>
      </c>
      <c r="Q234" s="26">
        <v>7</v>
      </c>
      <c r="R234" s="26">
        <v>1</v>
      </c>
      <c r="S234" s="26">
        <v>7</v>
      </c>
      <c r="T234" s="26">
        <v>12</v>
      </c>
      <c r="U234" s="26">
        <v>20</v>
      </c>
      <c r="V234" s="26">
        <v>1</v>
      </c>
      <c r="W234" s="26" t="s">
        <v>218</v>
      </c>
    </row>
    <row r="235" spans="1:23" x14ac:dyDescent="0.25">
      <c r="A235" s="26" t="str">
        <f t="shared" si="26"/>
        <v>PREESCOLAR</v>
      </c>
      <c r="B235" s="26" t="str">
        <f>"09DJN0291D"</f>
        <v>09DJN0291D</v>
      </c>
      <c r="C235" s="26" t="str">
        <f>"XICOMULCO                                                                                           "</f>
        <v xml:space="preserve">XICOMULCO                                                                                           </v>
      </c>
      <c r="D235" s="26" t="str">
        <f>"JORNADA AMPLIADA"</f>
        <v>JORNADA AMPLIADA</v>
      </c>
      <c r="E235" s="26" t="str">
        <f>"FRANCISCO I. MADERO NO. 1                                                       "</f>
        <v xml:space="preserve">FRANCISCO I. MADERO NO. 1                                                       </v>
      </c>
      <c r="F235" s="26" t="str">
        <f>"SAN BARTOLOME XICOMULCO                                                                                                                     "</f>
        <v xml:space="preserve">SAN BARTOLOME XICOMULCO                                                                                                                     </v>
      </c>
      <c r="G235" s="26" t="str">
        <f>"MILPA ALTA                                                                      "</f>
        <v xml:space="preserve">MILPA ALTA                                                                      </v>
      </c>
      <c r="H235" s="26" t="str">
        <f>"245"</f>
        <v>245</v>
      </c>
      <c r="I235" s="26" t="str">
        <f t="shared" si="27"/>
        <v>00</v>
      </c>
      <c r="J235" s="26" t="str">
        <f>"34 "</f>
        <v xml:space="preserve">34 </v>
      </c>
      <c r="K235" s="26" t="str">
        <f t="shared" ref="K235:K241" si="30">"EP"</f>
        <v>EP</v>
      </c>
      <c r="L235" s="26" t="str">
        <f t="shared" ref="L235:L241" si="31">"DGOSE"</f>
        <v>DGOSE</v>
      </c>
      <c r="M235" s="26" t="str">
        <f t="shared" si="28"/>
        <v>FEDERAL</v>
      </c>
      <c r="N235" s="26">
        <v>153</v>
      </c>
      <c r="O235" s="26">
        <v>84</v>
      </c>
      <c r="P235" s="26">
        <v>69</v>
      </c>
      <c r="Q235" s="26">
        <v>5</v>
      </c>
      <c r="R235" s="26">
        <v>1</v>
      </c>
      <c r="S235" s="26">
        <v>5</v>
      </c>
      <c r="T235" s="26">
        <v>6</v>
      </c>
      <c r="U235" s="26">
        <v>12</v>
      </c>
      <c r="V235" s="26">
        <v>1</v>
      </c>
      <c r="W235" s="26" t="s">
        <v>2076</v>
      </c>
    </row>
    <row r="236" spans="1:23" x14ac:dyDescent="0.25">
      <c r="A236" s="26" t="str">
        <f t="shared" si="26"/>
        <v>PREESCOLAR</v>
      </c>
      <c r="B236" s="26" t="str">
        <f>"09DJN0292C"</f>
        <v>09DJN0292C</v>
      </c>
      <c r="C236" s="26" t="str">
        <f>"REFUGIO PACHECO DE LOPEZ PORTILLO                                                                   "</f>
        <v xml:space="preserve">REFUGIO PACHECO DE LOPEZ PORTILLO                                                                   </v>
      </c>
      <c r="D236" s="26" t="str">
        <f>"JORNADA AMPLIADA"</f>
        <v>JORNADA AMPLIADA</v>
      </c>
      <c r="E236" s="26" t="str">
        <f>"VICENTE GUERRERO S\N                                                            "</f>
        <v xml:space="preserve">VICENTE GUERRERO S\N                                                            </v>
      </c>
      <c r="F236" s="26" t="str">
        <f>"SAN LORENZO TLACOYUCAN                                                                                                                      "</f>
        <v xml:space="preserve">SAN LORENZO TLACOYUCAN                                                                                                                      </v>
      </c>
      <c r="G236" s="26" t="str">
        <f>"MILPA ALTA                                                                      "</f>
        <v xml:space="preserve">MILPA ALTA                                                                      </v>
      </c>
      <c r="H236" s="26" t="str">
        <f>"055"</f>
        <v>055</v>
      </c>
      <c r="I236" s="26" t="str">
        <f t="shared" si="27"/>
        <v>00</v>
      </c>
      <c r="J236" s="26" t="str">
        <f>"34 "</f>
        <v xml:space="preserve">34 </v>
      </c>
      <c r="K236" s="26" t="str">
        <f t="shared" si="30"/>
        <v>EP</v>
      </c>
      <c r="L236" s="26" t="str">
        <f t="shared" si="31"/>
        <v>DGOSE</v>
      </c>
      <c r="M236" s="26" t="str">
        <f t="shared" si="28"/>
        <v>FEDERAL</v>
      </c>
      <c r="N236" s="26">
        <v>145</v>
      </c>
      <c r="O236" s="26">
        <v>76</v>
      </c>
      <c r="P236" s="26">
        <v>69</v>
      </c>
      <c r="Q236" s="26">
        <v>5</v>
      </c>
      <c r="R236" s="26">
        <v>1</v>
      </c>
      <c r="S236" s="26">
        <v>4</v>
      </c>
      <c r="T236" s="26">
        <v>7</v>
      </c>
      <c r="U236" s="26">
        <v>12</v>
      </c>
      <c r="V236" s="26">
        <v>1</v>
      </c>
      <c r="W236" s="26" t="s">
        <v>2076</v>
      </c>
    </row>
    <row r="237" spans="1:23" x14ac:dyDescent="0.25">
      <c r="A237" s="26" t="str">
        <f t="shared" si="26"/>
        <v>PREESCOLAR</v>
      </c>
      <c r="B237" s="26" t="str">
        <f>"09DJN0293B"</f>
        <v>09DJN0293B</v>
      </c>
      <c r="C237" s="26" t="str">
        <f>"TLAHUAC                                                                                             "</f>
        <v xml:space="preserve">TLAHUAC                                                                                             </v>
      </c>
      <c r="D237" s="26" t="str">
        <f>"MATUTINO"</f>
        <v>MATUTINO</v>
      </c>
      <c r="E237" s="26" t="str">
        <f>"AV. HIDALGO Y CUITLAHUAC S/N                                                    "</f>
        <v xml:space="preserve">AV. HIDALGO Y CUITLAHUAC S/N                                                    </v>
      </c>
      <c r="F237" s="26" t="str">
        <f>"SAN MATEO                                                                                                                                   "</f>
        <v xml:space="preserve">SAN MATEO                                                                                                                                   </v>
      </c>
      <c r="G237" s="26" t="str">
        <f>"TLAHUAC                                                                         "</f>
        <v xml:space="preserve">TLAHUAC                                                                         </v>
      </c>
      <c r="H237" s="26" t="str">
        <f>"142"</f>
        <v>142</v>
      </c>
      <c r="I237" s="26" t="str">
        <f t="shared" si="27"/>
        <v>00</v>
      </c>
      <c r="J237" s="26" t="str">
        <f>"35 "</f>
        <v xml:space="preserve">35 </v>
      </c>
      <c r="K237" s="26" t="str">
        <f t="shared" si="30"/>
        <v>EP</v>
      </c>
      <c r="L237" s="26" t="str">
        <f t="shared" si="31"/>
        <v>DGOSE</v>
      </c>
      <c r="M237" s="26" t="str">
        <f t="shared" si="28"/>
        <v>FEDERAL</v>
      </c>
      <c r="N237" s="26">
        <v>231</v>
      </c>
      <c r="O237" s="26">
        <v>113</v>
      </c>
      <c r="P237" s="26">
        <v>118</v>
      </c>
      <c r="Q237" s="26">
        <v>7</v>
      </c>
      <c r="R237" s="26">
        <v>1</v>
      </c>
      <c r="S237" s="26">
        <v>7</v>
      </c>
      <c r="T237" s="26">
        <v>10</v>
      </c>
      <c r="U237" s="26">
        <v>18</v>
      </c>
      <c r="V237" s="26">
        <v>1</v>
      </c>
      <c r="W237" s="26"/>
    </row>
    <row r="238" spans="1:23" x14ac:dyDescent="0.25">
      <c r="A238" s="26" t="str">
        <f t="shared" si="26"/>
        <v>PREESCOLAR</v>
      </c>
      <c r="B238" s="26" t="str">
        <f>"09DJN0295Z"</f>
        <v>09DJN0295Z</v>
      </c>
      <c r="C238" s="26" t="str">
        <f>"MIGUEL ANGEL BUONARROTI                                                                             "</f>
        <v xml:space="preserve">MIGUEL ANGEL BUONARROTI                                                                             </v>
      </c>
      <c r="D238" s="26" t="str">
        <f>"TIEMPO COMPLETO"</f>
        <v>TIEMPO COMPLETO</v>
      </c>
      <c r="E238" s="26" t="str">
        <f>"TENORIOS NO. 222                                                                "</f>
        <v xml:space="preserve">TENORIOS NO. 222                                                                </v>
      </c>
      <c r="F238" s="26" t="str">
        <f>"RESIDENCIAL EX-HACIENDA COAPA                                                                                                               "</f>
        <v xml:space="preserve">RESIDENCIAL EX-HACIENDA COAPA                                                                                                               </v>
      </c>
      <c r="G238" s="26" t="str">
        <f>"TLALPAN                                                                         "</f>
        <v xml:space="preserve">TLALPAN                                                                         </v>
      </c>
      <c r="H238" s="26" t="str">
        <f>"221"</f>
        <v>221</v>
      </c>
      <c r="I238" s="26" t="str">
        <f t="shared" si="27"/>
        <v>00</v>
      </c>
      <c r="J238" s="26" t="str">
        <f>"34 "</f>
        <v xml:space="preserve">34 </v>
      </c>
      <c r="K238" s="26" t="str">
        <f t="shared" si="30"/>
        <v>EP</v>
      </c>
      <c r="L238" s="26" t="str">
        <f t="shared" si="31"/>
        <v>DGOSE</v>
      </c>
      <c r="M238" s="26" t="str">
        <f t="shared" si="28"/>
        <v>FEDERAL</v>
      </c>
      <c r="N238" s="26">
        <v>161</v>
      </c>
      <c r="O238" s="26">
        <v>100</v>
      </c>
      <c r="P238" s="26">
        <v>61</v>
      </c>
      <c r="Q238" s="26">
        <v>6</v>
      </c>
      <c r="R238" s="26">
        <v>2</v>
      </c>
      <c r="S238" s="26">
        <v>6</v>
      </c>
      <c r="T238" s="26">
        <v>14</v>
      </c>
      <c r="U238" s="26">
        <v>22</v>
      </c>
      <c r="V238" s="26">
        <v>1</v>
      </c>
      <c r="W238" s="26" t="s">
        <v>218</v>
      </c>
    </row>
    <row r="239" spans="1:23" x14ac:dyDescent="0.25">
      <c r="A239" s="26" t="str">
        <f t="shared" si="26"/>
        <v>PREESCOLAR</v>
      </c>
      <c r="B239" s="26" t="str">
        <f>"09DJN0296Z"</f>
        <v>09DJN0296Z</v>
      </c>
      <c r="C239" s="26" t="str">
        <f>"LA PRADERA                                                                                          "</f>
        <v xml:space="preserve">LA PRADERA                                                                                          </v>
      </c>
      <c r="D239" s="26" t="str">
        <f>"MATUTINO"</f>
        <v>MATUTINO</v>
      </c>
      <c r="E239" s="26" t="str">
        <f>"PICO DE ORIZABA S/N                                                             "</f>
        <v xml:space="preserve">PICO DE ORIZABA S/N                                                             </v>
      </c>
      <c r="F239" s="26" t="str">
        <f>"LA PRADERA                                                                                                                                  "</f>
        <v xml:space="preserve">LA PRADERA                                                                                                                                  </v>
      </c>
      <c r="G239" s="26" t="str">
        <f>"GUSTAVO A. MADERO                                                               "</f>
        <v xml:space="preserve">GUSTAVO A. MADERO                                                               </v>
      </c>
      <c r="H239" s="26" t="str">
        <f>"191"</f>
        <v>191</v>
      </c>
      <c r="I239" s="26" t="str">
        <f t="shared" si="27"/>
        <v>00</v>
      </c>
      <c r="J239" s="26" t="str">
        <f>"32 "</f>
        <v xml:space="preserve">32 </v>
      </c>
      <c r="K239" s="26" t="str">
        <f t="shared" si="30"/>
        <v>EP</v>
      </c>
      <c r="L239" s="26" t="str">
        <f t="shared" si="31"/>
        <v>DGOSE</v>
      </c>
      <c r="M239" s="26" t="str">
        <f t="shared" si="28"/>
        <v>FEDERAL</v>
      </c>
      <c r="N239" s="26">
        <v>230</v>
      </c>
      <c r="O239" s="26">
        <v>124</v>
      </c>
      <c r="P239" s="26">
        <v>106</v>
      </c>
      <c r="Q239" s="26">
        <v>8</v>
      </c>
      <c r="R239" s="26">
        <v>1</v>
      </c>
      <c r="S239" s="26">
        <v>7</v>
      </c>
      <c r="T239" s="26">
        <v>8</v>
      </c>
      <c r="U239" s="26">
        <v>16</v>
      </c>
      <c r="V239" s="26">
        <v>1</v>
      </c>
      <c r="W239" s="26"/>
    </row>
    <row r="240" spans="1:23" x14ac:dyDescent="0.25">
      <c r="A240" s="26" t="str">
        <f t="shared" si="26"/>
        <v>PREESCOLAR</v>
      </c>
      <c r="B240" s="26" t="str">
        <f>"09DJN0297Y"</f>
        <v>09DJN0297Y</v>
      </c>
      <c r="C240" s="26" t="str">
        <f>"ITZCCAN                                                                                             "</f>
        <v xml:space="preserve">ITZCCAN                                                                                             </v>
      </c>
      <c r="D240" s="26" t="str">
        <f>"JORNADA AMPLIADA"</f>
        <v>JORNADA AMPLIADA</v>
      </c>
      <c r="E240" s="26" t="str">
        <f>"CALZ. SAN SEBASTIAN NO. 245 Y AV. LAS GRANJAS                                   "</f>
        <v xml:space="preserve">CALZ. SAN SEBASTIAN NO. 245 Y AV. LAS GRANJAS                                   </v>
      </c>
      <c r="F240" s="26" t="str">
        <f>"SAN SEBASTIAN AMPLIACION                                                                                                                    "</f>
        <v xml:space="preserve">SAN SEBASTIAN AMPLIACION                                                                                                                    </v>
      </c>
      <c r="G240" s="26" t="str">
        <f>"AZCAPOTZALCO                                                                    "</f>
        <v xml:space="preserve">AZCAPOTZALCO                                                                    </v>
      </c>
      <c r="H240" s="26" t="str">
        <f>"008"</f>
        <v>008</v>
      </c>
      <c r="I240" s="26" t="str">
        <f t="shared" si="27"/>
        <v>00</v>
      </c>
      <c r="J240" s="26" t="str">
        <f>"31 "</f>
        <v xml:space="preserve">31 </v>
      </c>
      <c r="K240" s="26" t="str">
        <f t="shared" si="30"/>
        <v>EP</v>
      </c>
      <c r="L240" s="26" t="str">
        <f t="shared" si="31"/>
        <v>DGOSE</v>
      </c>
      <c r="M240" s="26" t="str">
        <f t="shared" si="28"/>
        <v>FEDERAL</v>
      </c>
      <c r="N240" s="26">
        <v>132</v>
      </c>
      <c r="O240" s="26">
        <v>66</v>
      </c>
      <c r="P240" s="26">
        <v>66</v>
      </c>
      <c r="Q240" s="26">
        <v>5</v>
      </c>
      <c r="R240" s="26">
        <v>1</v>
      </c>
      <c r="S240" s="26">
        <v>5</v>
      </c>
      <c r="T240" s="26">
        <v>7</v>
      </c>
      <c r="U240" s="26">
        <v>13</v>
      </c>
      <c r="V240" s="26">
        <v>1</v>
      </c>
      <c r="W240" s="26" t="s">
        <v>2076</v>
      </c>
    </row>
    <row r="241" spans="1:23" x14ac:dyDescent="0.25">
      <c r="A241" s="26" t="str">
        <f t="shared" si="26"/>
        <v>PREESCOLAR</v>
      </c>
      <c r="B241" s="26" t="str">
        <f>"09DJN0298X"</f>
        <v>09DJN0298X</v>
      </c>
      <c r="C241" s="26" t="str">
        <f>"MANUEL JOSE OTHON                                                                                   "</f>
        <v xml:space="preserve">MANUEL JOSE OTHON                                                                                   </v>
      </c>
      <c r="D241" s="26" t="str">
        <f>"MATUTINO"</f>
        <v>MATUTINO</v>
      </c>
      <c r="E241" s="26" t="str">
        <f>"NORTE 87 Y ASPIROS S/N                                                          "</f>
        <v xml:space="preserve">NORTE 87 Y ASPIROS S/N                                                          </v>
      </c>
      <c r="F241" s="26" t="str">
        <f>"SINDICATO MEXICANO DE ELECTRICISTAS                                                                                                         "</f>
        <v xml:space="preserve">SINDICATO MEXICANO DE ELECTRICISTAS                                                                                                         </v>
      </c>
      <c r="G241" s="26" t="str">
        <f>"AZCAPOTZALCO                                                                    "</f>
        <v xml:space="preserve">AZCAPOTZALCO                                                                    </v>
      </c>
      <c r="H241" s="26" t="str">
        <f>"059"</f>
        <v>059</v>
      </c>
      <c r="I241" s="26" t="str">
        <f t="shared" si="27"/>
        <v>00</v>
      </c>
      <c r="J241" s="26" t="str">
        <f>"32 "</f>
        <v xml:space="preserve">32 </v>
      </c>
      <c r="K241" s="26" t="str">
        <f t="shared" si="30"/>
        <v>EP</v>
      </c>
      <c r="L241" s="26" t="str">
        <f t="shared" si="31"/>
        <v>DGOSE</v>
      </c>
      <c r="M241" s="26" t="str">
        <f t="shared" si="28"/>
        <v>FEDERAL</v>
      </c>
      <c r="N241" s="26">
        <v>197</v>
      </c>
      <c r="O241" s="26">
        <v>97</v>
      </c>
      <c r="P241" s="26">
        <v>100</v>
      </c>
      <c r="Q241" s="26">
        <v>7</v>
      </c>
      <c r="R241" s="26">
        <v>1</v>
      </c>
      <c r="S241" s="26">
        <v>7</v>
      </c>
      <c r="T241" s="26">
        <v>7</v>
      </c>
      <c r="U241" s="26">
        <v>15</v>
      </c>
      <c r="V241" s="26">
        <v>1</v>
      </c>
      <c r="W241" s="26"/>
    </row>
    <row r="242" spans="1:23" x14ac:dyDescent="0.25">
      <c r="A242" s="26" t="str">
        <f t="shared" si="26"/>
        <v>PREESCOLAR</v>
      </c>
      <c r="B242" s="26" t="str">
        <f>"09DJN0300V"</f>
        <v>09DJN0300V</v>
      </c>
      <c r="C242" s="26" t="str">
        <f>"GENERAL FRANCISCO VILLA                                                                             "</f>
        <v xml:space="preserve">GENERAL FRANCISCO VILLA                                                                             </v>
      </c>
      <c r="D242" s="26" t="str">
        <f>"VESPERTINO"</f>
        <v>VESPERTINO</v>
      </c>
      <c r="E242" s="26" t="str">
        <f>"TOMAS URBINA S/N                                                                "</f>
        <v xml:space="preserve">TOMAS URBINA S/N                                                                </v>
      </c>
      <c r="F242" s="26" t="str">
        <f>"FRANCISCO VILLA                                                                                                                             "</f>
        <v xml:space="preserve">FRANCISCO VILLA                                                                                                                             </v>
      </c>
      <c r="G242" s="26" t="str">
        <f>"IZTAPALAPA                                                                      "</f>
        <v xml:space="preserve">IZTAPALAPA                                                                      </v>
      </c>
      <c r="H242" s="26" t="str">
        <f>"030"</f>
        <v>030</v>
      </c>
      <c r="I242" s="26" t="str">
        <f t="shared" si="27"/>
        <v>00</v>
      </c>
      <c r="J242" s="26" t="str">
        <f>"64 "</f>
        <v xml:space="preserve">64 </v>
      </c>
      <c r="K242" s="26" t="str">
        <f>"IZ"</f>
        <v>IZ</v>
      </c>
      <c r="L242" s="26" t="str">
        <f>"DGSEI"</f>
        <v>DGSEI</v>
      </c>
      <c r="M242" s="26" t="str">
        <f t="shared" si="28"/>
        <v>FEDERAL</v>
      </c>
      <c r="N242" s="26">
        <v>102</v>
      </c>
      <c r="O242" s="26">
        <v>58</v>
      </c>
      <c r="P242" s="26">
        <v>44</v>
      </c>
      <c r="Q242" s="26">
        <v>4</v>
      </c>
      <c r="R242" s="26">
        <v>1</v>
      </c>
      <c r="S242" s="26">
        <v>4</v>
      </c>
      <c r="T242" s="26">
        <v>2</v>
      </c>
      <c r="U242" s="26">
        <v>7</v>
      </c>
      <c r="V242" s="26">
        <v>1</v>
      </c>
      <c r="W242" s="26"/>
    </row>
    <row r="243" spans="1:23" x14ac:dyDescent="0.25">
      <c r="A243" s="26" t="str">
        <f t="shared" si="26"/>
        <v>PREESCOLAR</v>
      </c>
      <c r="B243" s="26" t="str">
        <f>"09DJN0301U"</f>
        <v>09DJN0301U</v>
      </c>
      <c r="C243" s="26" t="str">
        <f>"CONSTITUCION DE 1917                                                                                "</f>
        <v xml:space="preserve">CONSTITUCION DE 1917                                                                                </v>
      </c>
      <c r="D243" s="26" t="str">
        <f>"JORNADA AMPLIADA"</f>
        <v>JORNADA AMPLIADA</v>
      </c>
      <c r="E243" s="26" t="str">
        <f>"RICARDO FLORES MAGON NO. 77                                                     "</f>
        <v xml:space="preserve">RICARDO FLORES MAGON NO. 77                                                     </v>
      </c>
      <c r="F243" s="26" t="str">
        <f>"UNIDAD NONOALCO TLATELOLCO                                                                                                                  "</f>
        <v xml:space="preserve">UNIDAD NONOALCO TLATELOLCO                                                                                                                  </v>
      </c>
      <c r="G243" s="26" t="s">
        <v>4128</v>
      </c>
      <c r="H243" s="26" t="str">
        <f>"016"</f>
        <v>016</v>
      </c>
      <c r="I243" s="26" t="str">
        <f t="shared" si="27"/>
        <v>00</v>
      </c>
      <c r="J243" s="26" t="str">
        <f>"31 "</f>
        <v xml:space="preserve">31 </v>
      </c>
      <c r="K243" s="26" t="str">
        <f t="shared" ref="K243:K254" si="32">"EP"</f>
        <v>EP</v>
      </c>
      <c r="L243" s="26" t="str">
        <f t="shared" ref="L243:L254" si="33">"DGOSE"</f>
        <v>DGOSE</v>
      </c>
      <c r="M243" s="26" t="str">
        <f t="shared" si="28"/>
        <v>FEDERAL</v>
      </c>
      <c r="N243" s="26">
        <v>171</v>
      </c>
      <c r="O243" s="26">
        <v>81</v>
      </c>
      <c r="P243" s="26">
        <v>90</v>
      </c>
      <c r="Q243" s="26">
        <v>6</v>
      </c>
      <c r="R243" s="26">
        <v>1</v>
      </c>
      <c r="S243" s="26">
        <v>5</v>
      </c>
      <c r="T243" s="26">
        <v>6</v>
      </c>
      <c r="U243" s="26">
        <v>12</v>
      </c>
      <c r="V243" s="26">
        <v>1</v>
      </c>
      <c r="W243" s="26" t="s">
        <v>2076</v>
      </c>
    </row>
    <row r="244" spans="1:23" x14ac:dyDescent="0.25">
      <c r="A244" s="26" t="str">
        <f t="shared" si="26"/>
        <v>PREESCOLAR</v>
      </c>
      <c r="B244" s="26" t="str">
        <f>"09DJN0302T"</f>
        <v>09DJN0302T</v>
      </c>
      <c r="C244" s="26" t="str">
        <f>"JOSE MARIA LUIS MORA                                                                                "</f>
        <v xml:space="preserve">JOSE MARIA LUIS MORA                                                                                </v>
      </c>
      <c r="D244" s="26" t="str">
        <f>"TIEMPO COMPLETO"</f>
        <v>TIEMPO COMPLETO</v>
      </c>
      <c r="E244" s="26" t="str">
        <f>"GUERRERO  NO. 363                                                               "</f>
        <v xml:space="preserve">GUERRERO  NO. 363                                                               </v>
      </c>
      <c r="F244" s="26" t="str">
        <f>"UNIDAD NONOALCO TLATELOLCO                                                                                                                  "</f>
        <v xml:space="preserve">UNIDAD NONOALCO TLATELOLCO                                                                                                                  </v>
      </c>
      <c r="G244" s="26" t="s">
        <v>4128</v>
      </c>
      <c r="H244" s="26" t="str">
        <f>"016"</f>
        <v>016</v>
      </c>
      <c r="I244" s="26" t="str">
        <f t="shared" si="27"/>
        <v>00</v>
      </c>
      <c r="J244" s="26" t="str">
        <f>"31 "</f>
        <v xml:space="preserve">31 </v>
      </c>
      <c r="K244" s="26" t="str">
        <f t="shared" si="32"/>
        <v>EP</v>
      </c>
      <c r="L244" s="26" t="str">
        <f t="shared" si="33"/>
        <v>DGOSE</v>
      </c>
      <c r="M244" s="26" t="str">
        <f t="shared" si="28"/>
        <v>FEDERAL</v>
      </c>
      <c r="N244" s="26">
        <v>168</v>
      </c>
      <c r="O244" s="26">
        <v>94</v>
      </c>
      <c r="P244" s="26">
        <v>74</v>
      </c>
      <c r="Q244" s="26">
        <v>6</v>
      </c>
      <c r="R244" s="26">
        <v>2</v>
      </c>
      <c r="S244" s="26">
        <v>6</v>
      </c>
      <c r="T244" s="26">
        <v>18</v>
      </c>
      <c r="U244" s="26">
        <v>26</v>
      </c>
      <c r="V244" s="26">
        <v>1</v>
      </c>
      <c r="W244" s="26" t="s">
        <v>218</v>
      </c>
    </row>
    <row r="245" spans="1:23" x14ac:dyDescent="0.25">
      <c r="A245" s="26" t="str">
        <f t="shared" si="26"/>
        <v>PREESCOLAR</v>
      </c>
      <c r="B245" s="26" t="str">
        <f>"09DJN0303S"</f>
        <v>09DJN0303S</v>
      </c>
      <c r="C245" s="26" t="str">
        <f>"TONATIUH                                                                                            "</f>
        <v xml:space="preserve">TONATIUH                                                                                            </v>
      </c>
      <c r="D245" s="26" t="str">
        <f>"MATUTINO"</f>
        <v>MATUTINO</v>
      </c>
      <c r="E245" s="26" t="str">
        <f>"REP. DE GUATEMALA NO. 124                                                       "</f>
        <v xml:space="preserve">REP. DE GUATEMALA NO. 124                                                       </v>
      </c>
      <c r="F245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245" s="26" t="s">
        <v>4128</v>
      </c>
      <c r="H245" s="26" t="str">
        <f>"204"</f>
        <v>204</v>
      </c>
      <c r="I245" s="26" t="str">
        <f t="shared" si="27"/>
        <v>00</v>
      </c>
      <c r="J245" s="26" t="str">
        <f>"32 "</f>
        <v xml:space="preserve">32 </v>
      </c>
      <c r="K245" s="26" t="str">
        <f t="shared" si="32"/>
        <v>EP</v>
      </c>
      <c r="L245" s="26" t="str">
        <f t="shared" si="33"/>
        <v>DGOSE</v>
      </c>
      <c r="M245" s="26" t="str">
        <f t="shared" si="28"/>
        <v>FEDERAL</v>
      </c>
      <c r="N245" s="26">
        <v>180</v>
      </c>
      <c r="O245" s="26">
        <v>84</v>
      </c>
      <c r="P245" s="26">
        <v>96</v>
      </c>
      <c r="Q245" s="26">
        <v>6</v>
      </c>
      <c r="R245" s="26">
        <v>0</v>
      </c>
      <c r="S245" s="26">
        <v>6</v>
      </c>
      <c r="T245" s="26">
        <v>4</v>
      </c>
      <c r="U245" s="26">
        <v>10</v>
      </c>
      <c r="V245" s="26">
        <v>1</v>
      </c>
      <c r="W245" s="26"/>
    </row>
    <row r="246" spans="1:23" x14ac:dyDescent="0.25">
      <c r="A246" s="26" t="str">
        <f t="shared" si="26"/>
        <v>PREESCOLAR</v>
      </c>
      <c r="B246" s="26" t="str">
        <f>"09DJN0304R"</f>
        <v>09DJN0304R</v>
      </c>
      <c r="C246" s="26" t="str">
        <f>"ARQ. RAMIRO GONZALEZ DEL SORDO                                                                      "</f>
        <v xml:space="preserve">ARQ. RAMIRO GONZALEZ DEL SORDO                                                                      </v>
      </c>
      <c r="D246" s="26" t="str">
        <f>"JORNADA AMPLIADA"</f>
        <v>JORNADA AMPLIADA</v>
      </c>
      <c r="E246" s="26" t="str">
        <f>"PRESA SANTA ROSA Y PRESA ENDO                                                   "</f>
        <v xml:space="preserve">PRESA SANTA ROSA Y PRESA ENDO                                                   </v>
      </c>
      <c r="F246" s="26" t="str">
        <f>"IRRIGACION                                                                                                                                  "</f>
        <v xml:space="preserve">IRRIGACION                                                                                                                                  </v>
      </c>
      <c r="G246" s="26" t="str">
        <f>"MIGUEL HIDALGO                                                                  "</f>
        <v xml:space="preserve">MIGUEL HIDALGO                                                                  </v>
      </c>
      <c r="H246" s="26" t="str">
        <f>"136"</f>
        <v>136</v>
      </c>
      <c r="I246" s="26" t="str">
        <f t="shared" si="27"/>
        <v>00</v>
      </c>
      <c r="J246" s="26" t="str">
        <f>"31 "</f>
        <v xml:space="preserve">31 </v>
      </c>
      <c r="K246" s="26" t="str">
        <f t="shared" si="32"/>
        <v>EP</v>
      </c>
      <c r="L246" s="26" t="str">
        <f t="shared" si="33"/>
        <v>DGOSE</v>
      </c>
      <c r="M246" s="26" t="str">
        <f t="shared" si="28"/>
        <v>FEDERAL</v>
      </c>
      <c r="N246" s="26">
        <v>185</v>
      </c>
      <c r="O246" s="26">
        <v>93</v>
      </c>
      <c r="P246" s="26">
        <v>92</v>
      </c>
      <c r="Q246" s="26">
        <v>7</v>
      </c>
      <c r="R246" s="26">
        <v>1</v>
      </c>
      <c r="S246" s="26">
        <v>7</v>
      </c>
      <c r="T246" s="26">
        <v>7</v>
      </c>
      <c r="U246" s="26">
        <v>15</v>
      </c>
      <c r="V246" s="26">
        <v>1</v>
      </c>
      <c r="W246" s="26" t="s">
        <v>2076</v>
      </c>
    </row>
    <row r="247" spans="1:23" x14ac:dyDescent="0.25">
      <c r="A247" s="26" t="str">
        <f t="shared" si="26"/>
        <v>PREESCOLAR</v>
      </c>
      <c r="B247" s="26" t="str">
        <f>"09DJN0305Q"</f>
        <v>09DJN0305Q</v>
      </c>
      <c r="C247" s="26" t="str">
        <f>"ERNESTO P. URUCHURTU                                                                                "</f>
        <v xml:space="preserve">ERNESTO P. URUCHURTU                                                                                </v>
      </c>
      <c r="D247" s="26" t="str">
        <f>"JORNADA AMPLIADA"</f>
        <v>JORNADA AMPLIADA</v>
      </c>
      <c r="E247" s="26" t="str">
        <f>"ITZCOATL NO. 68                                                                 "</f>
        <v xml:space="preserve">ITZCOATL NO. 68                                                                 </v>
      </c>
      <c r="F247" s="26" t="str">
        <f>"TLAXPANA                                                                                                                                    "</f>
        <v xml:space="preserve">TLAXPANA                                                                                                                                    </v>
      </c>
      <c r="G247" s="26" t="str">
        <f>"MIGUEL HIDALGO                                                                  "</f>
        <v xml:space="preserve">MIGUEL HIDALGO                                                                  </v>
      </c>
      <c r="H247" s="26" t="str">
        <f>"012"</f>
        <v>012</v>
      </c>
      <c r="I247" s="26" t="str">
        <f t="shared" si="27"/>
        <v>00</v>
      </c>
      <c r="J247" s="26" t="str">
        <f>"31 "</f>
        <v xml:space="preserve">31 </v>
      </c>
      <c r="K247" s="26" t="str">
        <f t="shared" si="32"/>
        <v>EP</v>
      </c>
      <c r="L247" s="26" t="str">
        <f t="shared" si="33"/>
        <v>DGOSE</v>
      </c>
      <c r="M247" s="26" t="str">
        <f t="shared" si="28"/>
        <v>FEDERAL</v>
      </c>
      <c r="N247" s="26">
        <v>172</v>
      </c>
      <c r="O247" s="26">
        <v>87</v>
      </c>
      <c r="P247" s="26">
        <v>85</v>
      </c>
      <c r="Q247" s="26">
        <v>6</v>
      </c>
      <c r="R247" s="26">
        <v>1</v>
      </c>
      <c r="S247" s="26">
        <v>6</v>
      </c>
      <c r="T247" s="26">
        <v>7</v>
      </c>
      <c r="U247" s="26">
        <v>14</v>
      </c>
      <c r="V247" s="26">
        <v>1</v>
      </c>
      <c r="W247" s="26" t="s">
        <v>2076</v>
      </c>
    </row>
    <row r="248" spans="1:23" x14ac:dyDescent="0.25">
      <c r="A248" s="26" t="str">
        <f t="shared" si="26"/>
        <v>PREESCOLAR</v>
      </c>
      <c r="B248" s="26" t="str">
        <f>"09DJN0307O"</f>
        <v>09DJN0307O</v>
      </c>
      <c r="C248" s="26" t="str">
        <f>"JULIAN CARRILLO                                                                                     "</f>
        <v xml:space="preserve">JULIAN CARRILLO                                                                                     </v>
      </c>
      <c r="D248" s="26" t="str">
        <f>"JORNADA AMPLIADA"</f>
        <v>JORNADA AMPLIADA</v>
      </c>
      <c r="E248" s="26" t="str">
        <f>"COLEGIO SALESIANO NO. 69                                                        "</f>
        <v xml:space="preserve">COLEGIO SALESIANO NO. 69                                                        </v>
      </c>
      <c r="F248" s="26" t="str">
        <f>"ANAHUAC I                                                                                                                                   "</f>
        <v xml:space="preserve">ANAHUAC I                                                                                                                                   </v>
      </c>
      <c r="G248" s="26" t="str">
        <f>"MIGUEL HIDALGO                                                                  "</f>
        <v xml:space="preserve">MIGUEL HIDALGO                                                                  </v>
      </c>
      <c r="H248" s="26" t="str">
        <f>"012"</f>
        <v>012</v>
      </c>
      <c r="I248" s="26" t="str">
        <f t="shared" si="27"/>
        <v>00</v>
      </c>
      <c r="J248" s="26" t="str">
        <f>"31 "</f>
        <v xml:space="preserve">31 </v>
      </c>
      <c r="K248" s="26" t="str">
        <f t="shared" si="32"/>
        <v>EP</v>
      </c>
      <c r="L248" s="26" t="str">
        <f t="shared" si="33"/>
        <v>DGOSE</v>
      </c>
      <c r="M248" s="26" t="str">
        <f t="shared" si="28"/>
        <v>FEDERAL</v>
      </c>
      <c r="N248" s="26">
        <v>162</v>
      </c>
      <c r="O248" s="26">
        <v>85</v>
      </c>
      <c r="P248" s="26">
        <v>77</v>
      </c>
      <c r="Q248" s="26">
        <v>7</v>
      </c>
      <c r="R248" s="26">
        <v>1</v>
      </c>
      <c r="S248" s="26">
        <v>6</v>
      </c>
      <c r="T248" s="26">
        <v>6</v>
      </c>
      <c r="U248" s="26">
        <v>13</v>
      </c>
      <c r="V248" s="26">
        <v>1</v>
      </c>
      <c r="W248" s="26" t="s">
        <v>2076</v>
      </c>
    </row>
    <row r="249" spans="1:23" x14ac:dyDescent="0.25">
      <c r="A249" s="26" t="str">
        <f t="shared" si="26"/>
        <v>PREESCOLAR</v>
      </c>
      <c r="B249" s="26" t="str">
        <f>"09DJN0308N"</f>
        <v>09DJN0308N</v>
      </c>
      <c r="C249" s="26" t="str">
        <f>"OFELIA CUEVAS DE RODRIGUEZ                                                                          "</f>
        <v xml:space="preserve">OFELIA CUEVAS DE RODRIGUEZ                                                                          </v>
      </c>
      <c r="D249" s="26" t="str">
        <f>"JORNADA AMPLIADA"</f>
        <v>JORNADA AMPLIADA</v>
      </c>
      <c r="E249" s="26" t="str">
        <f>"BAHIA DE TODOS LOS SANTOS S/N                                                   "</f>
        <v xml:space="preserve">BAHIA DE TODOS LOS SANTOS S/N                                                   </v>
      </c>
      <c r="F249" s="26" t="str">
        <f>"VERONICA ANZURES                                                                                                                            "</f>
        <v xml:space="preserve">VERONICA ANZURES                                                                                                                            </v>
      </c>
      <c r="G249" s="26" t="str">
        <f>"MIGUEL HIDALGO                                                                  "</f>
        <v xml:space="preserve">MIGUEL HIDALGO                                                                  </v>
      </c>
      <c r="H249" s="26" t="str">
        <f>"075"</f>
        <v>075</v>
      </c>
      <c r="I249" s="26" t="str">
        <f t="shared" si="27"/>
        <v>00</v>
      </c>
      <c r="J249" s="26" t="str">
        <f>"32 "</f>
        <v xml:space="preserve">32 </v>
      </c>
      <c r="K249" s="26" t="str">
        <f t="shared" si="32"/>
        <v>EP</v>
      </c>
      <c r="L249" s="26" t="str">
        <f t="shared" si="33"/>
        <v>DGOSE</v>
      </c>
      <c r="M249" s="26" t="str">
        <f t="shared" si="28"/>
        <v>FEDERAL</v>
      </c>
      <c r="N249" s="26">
        <v>47</v>
      </c>
      <c r="O249" s="26">
        <v>28</v>
      </c>
      <c r="P249" s="26">
        <v>19</v>
      </c>
      <c r="Q249" s="26">
        <v>3</v>
      </c>
      <c r="R249" s="26">
        <v>1</v>
      </c>
      <c r="S249" s="26">
        <v>3</v>
      </c>
      <c r="T249" s="26">
        <v>4</v>
      </c>
      <c r="U249" s="26">
        <v>8</v>
      </c>
      <c r="V249" s="26">
        <v>1</v>
      </c>
      <c r="W249" s="26" t="s">
        <v>2076</v>
      </c>
    </row>
    <row r="250" spans="1:23" x14ac:dyDescent="0.25">
      <c r="A250" s="26" t="str">
        <f t="shared" si="26"/>
        <v>PREESCOLAR</v>
      </c>
      <c r="B250" s="26" t="str">
        <f>"09DJN0310B"</f>
        <v>09DJN0310B</v>
      </c>
      <c r="C250" s="26" t="str">
        <f>"JOSEFINA CASTAÑEDA Y DEL POZO                                                                       "</f>
        <v xml:space="preserve">JOSEFINA CASTAÑEDA Y DEL POZO                                                                       </v>
      </c>
      <c r="D250" s="26" t="str">
        <f>"MATUTINO"</f>
        <v>MATUTINO</v>
      </c>
      <c r="E250" s="26" t="str">
        <f>"JACARANDAS Y DURAZNOS S/N                                                       "</f>
        <v xml:space="preserve">JACARANDAS Y DURAZNOS S/N                                                       </v>
      </c>
      <c r="F250" s="26" t="str">
        <f>"PASTEROS                                                                                                                                    "</f>
        <v xml:space="preserve">PASTEROS                                                                                                                                    </v>
      </c>
      <c r="G250" s="26" t="str">
        <f>"AZCAPOTZALCO                                                                    "</f>
        <v xml:space="preserve">AZCAPOTZALCO                                                                    </v>
      </c>
      <c r="H250" s="26" t="str">
        <f>"014"</f>
        <v>014</v>
      </c>
      <c r="I250" s="26" t="str">
        <f t="shared" si="27"/>
        <v>00</v>
      </c>
      <c r="J250" s="26" t="str">
        <f>"32 "</f>
        <v xml:space="preserve">32 </v>
      </c>
      <c r="K250" s="26" t="str">
        <f t="shared" si="32"/>
        <v>EP</v>
      </c>
      <c r="L250" s="26" t="str">
        <f t="shared" si="33"/>
        <v>DGOSE</v>
      </c>
      <c r="M250" s="26" t="str">
        <f t="shared" si="28"/>
        <v>FEDERAL</v>
      </c>
      <c r="N250" s="26">
        <v>130</v>
      </c>
      <c r="O250" s="26">
        <v>67</v>
      </c>
      <c r="P250" s="26">
        <v>63</v>
      </c>
      <c r="Q250" s="26">
        <v>5</v>
      </c>
      <c r="R250" s="26">
        <v>1</v>
      </c>
      <c r="S250" s="26">
        <v>5</v>
      </c>
      <c r="T250" s="26">
        <v>5</v>
      </c>
      <c r="U250" s="26">
        <v>11</v>
      </c>
      <c r="V250" s="26">
        <v>1</v>
      </c>
      <c r="W250" s="26"/>
    </row>
    <row r="251" spans="1:23" x14ac:dyDescent="0.25">
      <c r="A251" s="26" t="str">
        <f t="shared" si="26"/>
        <v>PREESCOLAR</v>
      </c>
      <c r="B251" s="26" t="str">
        <f>"09DJN0311A"</f>
        <v>09DJN0311A</v>
      </c>
      <c r="C251" s="26" t="str">
        <f>"TONATIUH                                                                                            "</f>
        <v xml:space="preserve">TONATIUH                                                                                            </v>
      </c>
      <c r="D251" s="26" t="str">
        <f>"VESPERTINO"</f>
        <v>VESPERTINO</v>
      </c>
      <c r="E251" s="26" t="str">
        <f>"REP. DE GUATEMALA NO. 124                                                       "</f>
        <v xml:space="preserve">REP. DE GUATEMALA NO. 124                                                       </v>
      </c>
      <c r="F251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251" s="26" t="s">
        <v>4128</v>
      </c>
      <c r="H251" s="26" t="str">
        <f>"204"</f>
        <v>204</v>
      </c>
      <c r="I251" s="26" t="str">
        <f t="shared" si="27"/>
        <v>00</v>
      </c>
      <c r="J251" s="26" t="str">
        <f>"32 "</f>
        <v xml:space="preserve">32 </v>
      </c>
      <c r="K251" s="26" t="str">
        <f t="shared" si="32"/>
        <v>EP</v>
      </c>
      <c r="L251" s="26" t="str">
        <f t="shared" si="33"/>
        <v>DGOSE</v>
      </c>
      <c r="M251" s="26" t="str">
        <f t="shared" si="28"/>
        <v>FEDERAL</v>
      </c>
      <c r="N251" s="26">
        <v>147</v>
      </c>
      <c r="O251" s="26">
        <v>74</v>
      </c>
      <c r="P251" s="26">
        <v>73</v>
      </c>
      <c r="Q251" s="26">
        <v>5</v>
      </c>
      <c r="R251" s="26">
        <v>1</v>
      </c>
      <c r="S251" s="26">
        <v>4</v>
      </c>
      <c r="T251" s="26">
        <v>5</v>
      </c>
      <c r="U251" s="26">
        <v>10</v>
      </c>
      <c r="V251" s="26">
        <v>1</v>
      </c>
      <c r="W251" s="26"/>
    </row>
    <row r="252" spans="1:23" x14ac:dyDescent="0.25">
      <c r="A252" s="26" t="str">
        <f t="shared" si="26"/>
        <v>PREESCOLAR</v>
      </c>
      <c r="B252" s="26" t="str">
        <f>"09DJN0312Z"</f>
        <v>09DJN0312Z</v>
      </c>
      <c r="C252" s="26" t="str">
        <f>"COYOLXAUHQUI                                                                                        "</f>
        <v xml:space="preserve">COYOLXAUHQUI                                                                                        </v>
      </c>
      <c r="D252" s="26" t="str">
        <f>"JORNADA AMPLIADA"</f>
        <v>JORNADA AMPLIADA</v>
      </c>
      <c r="E252" s="26" t="str">
        <f>"CIRCUITO ESCOLAR S/N                                                            "</f>
        <v xml:space="preserve">CIRCUITO ESCOLAR S/N                                                            </v>
      </c>
      <c r="F252" s="26" t="str">
        <f>"LA PILA                                                                                                                                     "</f>
        <v xml:space="preserve">LA PILA                                                                                                                                     </v>
      </c>
      <c r="G252" s="26" t="str">
        <f>"CUAJIMALPA DE MORELOS                                                           "</f>
        <v xml:space="preserve">CUAJIMALPA DE MORELOS                                                           </v>
      </c>
      <c r="H252" s="26" t="str">
        <f>"094"</f>
        <v>094</v>
      </c>
      <c r="I252" s="26" t="str">
        <f t="shared" si="27"/>
        <v>00</v>
      </c>
      <c r="J252" s="26" t="str">
        <f>"34 "</f>
        <v xml:space="preserve">34 </v>
      </c>
      <c r="K252" s="26" t="str">
        <f t="shared" si="32"/>
        <v>EP</v>
      </c>
      <c r="L252" s="26" t="str">
        <f t="shared" si="33"/>
        <v>DGOSE</v>
      </c>
      <c r="M252" s="26" t="str">
        <f t="shared" si="28"/>
        <v>FEDERAL</v>
      </c>
      <c r="N252" s="26">
        <v>223</v>
      </c>
      <c r="O252" s="26">
        <v>115</v>
      </c>
      <c r="P252" s="26">
        <v>108</v>
      </c>
      <c r="Q252" s="26">
        <v>6</v>
      </c>
      <c r="R252" s="26">
        <v>1</v>
      </c>
      <c r="S252" s="26">
        <v>6</v>
      </c>
      <c r="T252" s="26">
        <v>5</v>
      </c>
      <c r="U252" s="26">
        <v>12</v>
      </c>
      <c r="V252" s="26">
        <v>1</v>
      </c>
      <c r="W252" s="26" t="s">
        <v>2076</v>
      </c>
    </row>
    <row r="253" spans="1:23" x14ac:dyDescent="0.25">
      <c r="A253" s="26" t="str">
        <f t="shared" si="26"/>
        <v>PREESCOLAR</v>
      </c>
      <c r="B253" s="26" t="str">
        <f>"09DJN0313Z"</f>
        <v>09DJN0313Z</v>
      </c>
      <c r="C253" s="26" t="str">
        <f>"DAVID GUTIERREZ PEÑA                                                                                "</f>
        <v xml:space="preserve">DAVID GUTIERREZ PEÑA                                                                                </v>
      </c>
      <c r="D253" s="26" t="str">
        <f>"JORNADA AMPLIADA"</f>
        <v>JORNADA AMPLIADA</v>
      </c>
      <c r="E253" s="26" t="str">
        <f>"2A CDA TABACHINES NO. 7                                                         "</f>
        <v xml:space="preserve">2A CDA TABACHINES NO. 7                                                         </v>
      </c>
      <c r="F253" s="26" t="str">
        <f>"SAN MARCOS                                                                                                                                  "</f>
        <v xml:space="preserve">SAN MARCOS                                                                                                                                  </v>
      </c>
      <c r="G253" s="26" t="str">
        <f>"XOCHIMILCO                                                                      "</f>
        <v xml:space="preserve">XOCHIMILCO                                                                      </v>
      </c>
      <c r="H253" s="26" t="str">
        <f>"036"</f>
        <v>036</v>
      </c>
      <c r="I253" s="26" t="str">
        <f t="shared" si="27"/>
        <v>00</v>
      </c>
      <c r="J253" s="26" t="str">
        <f>"34 "</f>
        <v xml:space="preserve">34 </v>
      </c>
      <c r="K253" s="26" t="str">
        <f t="shared" si="32"/>
        <v>EP</v>
      </c>
      <c r="L253" s="26" t="str">
        <f t="shared" si="33"/>
        <v>DGOSE</v>
      </c>
      <c r="M253" s="26" t="str">
        <f t="shared" si="28"/>
        <v>FEDERAL</v>
      </c>
      <c r="N253" s="26">
        <v>279</v>
      </c>
      <c r="O253" s="26">
        <v>148</v>
      </c>
      <c r="P253" s="26">
        <v>131</v>
      </c>
      <c r="Q253" s="26">
        <v>8</v>
      </c>
      <c r="R253" s="26">
        <v>1</v>
      </c>
      <c r="S253" s="26">
        <v>8</v>
      </c>
      <c r="T253" s="26">
        <v>7</v>
      </c>
      <c r="U253" s="26">
        <v>16</v>
      </c>
      <c r="V253" s="26">
        <v>1</v>
      </c>
      <c r="W253" s="26" t="s">
        <v>2076</v>
      </c>
    </row>
    <row r="254" spans="1:23" x14ac:dyDescent="0.25">
      <c r="A254" s="26" t="str">
        <f t="shared" si="26"/>
        <v>PREESCOLAR</v>
      </c>
      <c r="B254" s="26" t="str">
        <f>"09DJN0314Y"</f>
        <v>09DJN0314Y</v>
      </c>
      <c r="C254" s="26" t="str">
        <f>"ADOLFO LOPEZ MATEOS                                                                                 "</f>
        <v xml:space="preserve">ADOLFO LOPEZ MATEOS                                                                                 </v>
      </c>
      <c r="D254" s="26" t="str">
        <f>"VESPERTINO"</f>
        <v>VESPERTINO</v>
      </c>
      <c r="E254" s="26" t="str">
        <f>"ROMAN LUGO Y EDUARDO BUSTAMANTE                                                 "</f>
        <v xml:space="preserve">ROMAN LUGO Y EDUARDO BUSTAMANTE                                                 </v>
      </c>
      <c r="F254" s="26" t="str">
        <f>"ADOLFO LOPEZ MATEOS                                                                                                                         "</f>
        <v xml:space="preserve">ADOLFO LOPEZ MATEOS                                                                                                                         </v>
      </c>
      <c r="G254" s="26" t="str">
        <f>"VENUSTIANO CARRANZA                                                             "</f>
        <v xml:space="preserve">VENUSTIANO CARRANZA                                                             </v>
      </c>
      <c r="H254" s="26" t="str">
        <f>"096"</f>
        <v>096</v>
      </c>
      <c r="I254" s="26" t="str">
        <f t="shared" si="27"/>
        <v>00</v>
      </c>
      <c r="J254" s="26" t="str">
        <f>"33 "</f>
        <v xml:space="preserve">33 </v>
      </c>
      <c r="K254" s="26" t="str">
        <f t="shared" si="32"/>
        <v>EP</v>
      </c>
      <c r="L254" s="26" t="str">
        <f t="shared" si="33"/>
        <v>DGOSE</v>
      </c>
      <c r="M254" s="26" t="str">
        <f t="shared" si="28"/>
        <v>FEDERAL</v>
      </c>
      <c r="N254" s="26">
        <v>154</v>
      </c>
      <c r="O254" s="26">
        <v>79</v>
      </c>
      <c r="P254" s="26">
        <v>75</v>
      </c>
      <c r="Q254" s="26">
        <v>6</v>
      </c>
      <c r="R254" s="26">
        <v>1</v>
      </c>
      <c r="S254" s="26">
        <v>6</v>
      </c>
      <c r="T254" s="26">
        <v>4</v>
      </c>
      <c r="U254" s="26">
        <v>11</v>
      </c>
      <c r="V254" s="26">
        <v>1</v>
      </c>
      <c r="W254" s="26"/>
    </row>
    <row r="255" spans="1:23" x14ac:dyDescent="0.25">
      <c r="A255" s="26" t="str">
        <f t="shared" si="26"/>
        <v>PREESCOLAR</v>
      </c>
      <c r="B255" s="26" t="str">
        <f>"09DJN0315X"</f>
        <v>09DJN0315X</v>
      </c>
      <c r="C255" s="26" t="str">
        <f>"IGNACIO ZARAGOZA                                                                                    "</f>
        <v xml:space="preserve">IGNACIO ZARAGOZA                                                                                    </v>
      </c>
      <c r="D255" s="26" t="str">
        <f>"VESPERTINO"</f>
        <v>VESPERTINO</v>
      </c>
      <c r="E255" s="26" t="str">
        <f>"SUPER MANZANA 1 ANTONIO DE LEON S/N                                             "</f>
        <v xml:space="preserve">SUPER MANZANA 1 ANTONIO DE LEON S/N                                             </v>
      </c>
      <c r="F255" s="26" t="str">
        <f>"UNIDAD HABITACIONAL EJERCITO CONSTI                                                                                                         "</f>
        <v xml:space="preserve">UNIDAD HABITACIONAL EJERCITO CONSTI                                                                                                         </v>
      </c>
      <c r="G255" s="26" t="str">
        <f>"IZTAPALAPA                                                                      "</f>
        <v xml:space="preserve">IZTAPALAPA                                                                      </v>
      </c>
      <c r="H255" s="26" t="str">
        <f>"018"</f>
        <v>018</v>
      </c>
      <c r="I255" s="26" t="str">
        <f t="shared" si="27"/>
        <v>00</v>
      </c>
      <c r="J255" s="26" t="str">
        <f>"62 "</f>
        <v xml:space="preserve">62 </v>
      </c>
      <c r="K255" s="26" t="str">
        <f>"IZ"</f>
        <v>IZ</v>
      </c>
      <c r="L255" s="26" t="str">
        <f>"DGSEI"</f>
        <v>DGSEI</v>
      </c>
      <c r="M255" s="26" t="str">
        <f t="shared" si="28"/>
        <v>FEDERAL</v>
      </c>
      <c r="N255" s="26">
        <v>122</v>
      </c>
      <c r="O255" s="26">
        <v>66</v>
      </c>
      <c r="P255" s="26">
        <v>56</v>
      </c>
      <c r="Q255" s="26">
        <v>4</v>
      </c>
      <c r="R255" s="26">
        <v>1</v>
      </c>
      <c r="S255" s="26">
        <v>4</v>
      </c>
      <c r="T255" s="26">
        <v>3</v>
      </c>
      <c r="U255" s="26">
        <v>8</v>
      </c>
      <c r="V255" s="26">
        <v>1</v>
      </c>
      <c r="W255" s="26"/>
    </row>
    <row r="256" spans="1:23" x14ac:dyDescent="0.25">
      <c r="A256" s="26" t="str">
        <f t="shared" si="26"/>
        <v>PREESCOLAR</v>
      </c>
      <c r="B256" s="26" t="str">
        <f>"09DJN0316W"</f>
        <v>09DJN0316W</v>
      </c>
      <c r="C256" s="26" t="str">
        <f>"ADOLFO RUIZ CORTINES                                                                                "</f>
        <v xml:space="preserve">ADOLFO RUIZ CORTINES                                                                                </v>
      </c>
      <c r="D256" s="26" t="str">
        <f>"VESPERTINO"</f>
        <v>VESPERTINO</v>
      </c>
      <c r="E256" s="26" t="str">
        <f>"TEJAMANIL Y ZIHUATLAN                                                           "</f>
        <v xml:space="preserve">TEJAMANIL Y ZIHUATLAN                                                           </v>
      </c>
      <c r="F256" s="26" t="str">
        <f>"PEDREGAL DE SANTO DOMINGO                                                                                                                   "</f>
        <v xml:space="preserve">PEDREGAL DE SANTO DOMINGO                                                                                                                   </v>
      </c>
      <c r="G256" s="26" t="str">
        <f>"COYOACAN                                                                        "</f>
        <v xml:space="preserve">COYOACAN                                                                        </v>
      </c>
      <c r="H256" s="26" t="str">
        <f>"043"</f>
        <v>043</v>
      </c>
      <c r="I256" s="26" t="str">
        <f t="shared" si="27"/>
        <v>00</v>
      </c>
      <c r="J256" s="26" t="str">
        <f>"35 "</f>
        <v xml:space="preserve">35 </v>
      </c>
      <c r="K256" s="26" t="str">
        <f t="shared" ref="K256:K265" si="34">"EP"</f>
        <v>EP</v>
      </c>
      <c r="L256" s="26" t="str">
        <f t="shared" ref="L256:L265" si="35">"DGOSE"</f>
        <v>DGOSE</v>
      </c>
      <c r="M256" s="26" t="str">
        <f t="shared" si="28"/>
        <v>FEDERAL</v>
      </c>
      <c r="N256" s="26">
        <v>188</v>
      </c>
      <c r="O256" s="26">
        <v>100</v>
      </c>
      <c r="P256" s="26">
        <v>88</v>
      </c>
      <c r="Q256" s="26">
        <v>7</v>
      </c>
      <c r="R256" s="26">
        <v>1</v>
      </c>
      <c r="S256" s="26">
        <v>7</v>
      </c>
      <c r="T256" s="26">
        <v>5</v>
      </c>
      <c r="U256" s="26">
        <v>13</v>
      </c>
      <c r="V256" s="26">
        <v>1</v>
      </c>
      <c r="W256" s="26"/>
    </row>
    <row r="257" spans="1:23" x14ac:dyDescent="0.25">
      <c r="A257" s="26" t="str">
        <f t="shared" si="26"/>
        <v>PREESCOLAR</v>
      </c>
      <c r="B257" s="26" t="str">
        <f>"09DJN0317V"</f>
        <v>09DJN0317V</v>
      </c>
      <c r="C257" s="26" t="str">
        <f>"FRAY PEDRO DE GANTE                                                                                 "</f>
        <v xml:space="preserve">FRAY PEDRO DE GANTE                                                                                 </v>
      </c>
      <c r="D257" s="26" t="str">
        <f>"TIEMPO COMPLETO"</f>
        <v>TIEMPO COMPLETO</v>
      </c>
      <c r="E257" s="26" t="str">
        <f>"AV. PATRIOTISMO NO. 651                                                         "</f>
        <v xml:space="preserve">AV. PATRIOTISMO NO. 651                                                         </v>
      </c>
      <c r="F257" s="26" t="str">
        <f>"MIXCOAC                                                                                                                                     "</f>
        <v xml:space="preserve">MIXCOAC                                                                                                                                     </v>
      </c>
      <c r="G257" s="26" t="str">
        <f>"BENITO JUAREZ                                                                   "</f>
        <v xml:space="preserve">BENITO JUAREZ                                                                   </v>
      </c>
      <c r="H257" s="26" t="str">
        <f>"233"</f>
        <v>233</v>
      </c>
      <c r="I257" s="26" t="str">
        <f t="shared" si="27"/>
        <v>00</v>
      </c>
      <c r="J257" s="26" t="str">
        <f>"34 "</f>
        <v xml:space="preserve">34 </v>
      </c>
      <c r="K257" s="26" t="str">
        <f t="shared" si="34"/>
        <v>EP</v>
      </c>
      <c r="L257" s="26" t="str">
        <f t="shared" si="35"/>
        <v>DGOSE</v>
      </c>
      <c r="M257" s="26" t="str">
        <f t="shared" si="28"/>
        <v>FEDERAL</v>
      </c>
      <c r="N257" s="26">
        <v>215</v>
      </c>
      <c r="O257" s="26">
        <v>110</v>
      </c>
      <c r="P257" s="26">
        <v>105</v>
      </c>
      <c r="Q257" s="26">
        <v>7</v>
      </c>
      <c r="R257" s="26">
        <v>2</v>
      </c>
      <c r="S257" s="26">
        <v>7</v>
      </c>
      <c r="T257" s="26">
        <v>14</v>
      </c>
      <c r="U257" s="26">
        <v>23</v>
      </c>
      <c r="V257" s="26">
        <v>1</v>
      </c>
      <c r="W257" s="26" t="s">
        <v>218</v>
      </c>
    </row>
    <row r="258" spans="1:23" x14ac:dyDescent="0.25">
      <c r="A258" s="26" t="str">
        <f t="shared" ref="A258:A321" si="36">"PREESCOLAR"</f>
        <v>PREESCOLAR</v>
      </c>
      <c r="B258" s="26" t="str">
        <f>"09DJN0318U"</f>
        <v>09DJN0318U</v>
      </c>
      <c r="C258" s="26" t="str">
        <f>"JUAN E. HERNANDEZ Y DAVALOS                                                                         "</f>
        <v xml:space="preserve">JUAN E. HERNANDEZ Y DAVALOS                                                                         </v>
      </c>
      <c r="D258" s="26" t="str">
        <f>"MATUTINO"</f>
        <v>MATUTINO</v>
      </c>
      <c r="E258" s="26" t="str">
        <f>"MIGUEL NEGRETE S/N                                                              "</f>
        <v xml:space="preserve">MIGUEL NEGRETE S/N                                                              </v>
      </c>
      <c r="F258" s="26" t="str">
        <f>"SAN JUAN IXTAYOPAN                                                                                                                          "</f>
        <v xml:space="preserve">SAN JUAN IXTAYOPAN                                                                                                                          </v>
      </c>
      <c r="G258" s="26" t="str">
        <f>"TLAHUAC                                                                         "</f>
        <v xml:space="preserve">TLAHUAC                                                                         </v>
      </c>
      <c r="H258" s="26" t="str">
        <f>"142"</f>
        <v>142</v>
      </c>
      <c r="I258" s="26" t="str">
        <f t="shared" ref="I258:I321" si="37">"00"</f>
        <v>00</v>
      </c>
      <c r="J258" s="26" t="str">
        <f>"35 "</f>
        <v xml:space="preserve">35 </v>
      </c>
      <c r="K258" s="26" t="str">
        <f t="shared" si="34"/>
        <v>EP</v>
      </c>
      <c r="L258" s="26" t="str">
        <f t="shared" si="35"/>
        <v>DGOSE</v>
      </c>
      <c r="M258" s="26" t="str">
        <f t="shared" ref="M258:M321" si="38">"FEDERAL"</f>
        <v>FEDERAL</v>
      </c>
      <c r="N258" s="26">
        <v>169</v>
      </c>
      <c r="O258" s="26">
        <v>85</v>
      </c>
      <c r="P258" s="26">
        <v>84</v>
      </c>
      <c r="Q258" s="26">
        <v>5</v>
      </c>
      <c r="R258" s="26">
        <v>1</v>
      </c>
      <c r="S258" s="26">
        <v>5</v>
      </c>
      <c r="T258" s="26">
        <v>4</v>
      </c>
      <c r="U258" s="26">
        <v>10</v>
      </c>
      <c r="V258" s="26">
        <v>1</v>
      </c>
      <c r="W258" s="26"/>
    </row>
    <row r="259" spans="1:23" x14ac:dyDescent="0.25">
      <c r="A259" s="26" t="str">
        <f t="shared" si="36"/>
        <v>PREESCOLAR</v>
      </c>
      <c r="B259" s="26" t="str">
        <f>"09DJN0319T"</f>
        <v>09DJN0319T</v>
      </c>
      <c r="C259" s="26" t="str">
        <f>"REPUBLICA DE KENIA                                                                                  "</f>
        <v xml:space="preserve">REPUBLICA DE KENIA                                                                                  </v>
      </c>
      <c r="D259" s="26" t="str">
        <f>"MATUTINO"</f>
        <v>MATUTINO</v>
      </c>
      <c r="E259" s="26" t="str">
        <f>"ALDAMA NO. 1                                                                    "</f>
        <v xml:space="preserve">ALDAMA NO. 1                                                                    </v>
      </c>
      <c r="F259" s="26" t="str">
        <f>"SAN BARTOLO AMEYALCO                                                                                                                        "</f>
        <v xml:space="preserve">SAN BARTOLO AMEYALCO                                                                                                                        </v>
      </c>
      <c r="G259" s="26" t="str">
        <f>"ALVARO OBREGON                                                                  "</f>
        <v xml:space="preserve">ALVARO OBREGON                                                                  </v>
      </c>
      <c r="H259" s="26" t="str">
        <f>"150"</f>
        <v>150</v>
      </c>
      <c r="I259" s="26" t="str">
        <f t="shared" si="37"/>
        <v>00</v>
      </c>
      <c r="J259" s="26" t="str">
        <f>"33 "</f>
        <v xml:space="preserve">33 </v>
      </c>
      <c r="K259" s="26" t="str">
        <f t="shared" si="34"/>
        <v>EP</v>
      </c>
      <c r="L259" s="26" t="str">
        <f t="shared" si="35"/>
        <v>DGOSE</v>
      </c>
      <c r="M259" s="26" t="str">
        <f t="shared" si="38"/>
        <v>FEDERAL</v>
      </c>
      <c r="N259" s="26">
        <v>251</v>
      </c>
      <c r="O259" s="26">
        <v>129</v>
      </c>
      <c r="P259" s="26">
        <v>122</v>
      </c>
      <c r="Q259" s="26">
        <v>7</v>
      </c>
      <c r="R259" s="26">
        <v>1</v>
      </c>
      <c r="S259" s="26">
        <v>6</v>
      </c>
      <c r="T259" s="26">
        <v>4</v>
      </c>
      <c r="U259" s="26">
        <v>11</v>
      </c>
      <c r="V259" s="26">
        <v>1</v>
      </c>
      <c r="W259" s="26"/>
    </row>
    <row r="260" spans="1:23" x14ac:dyDescent="0.25">
      <c r="A260" s="26" t="str">
        <f t="shared" si="36"/>
        <v>PREESCOLAR</v>
      </c>
      <c r="B260" s="26" t="str">
        <f>"09DJN0320I"</f>
        <v>09DJN0320I</v>
      </c>
      <c r="C260" s="26" t="str">
        <f>"JAPON                                                                                               "</f>
        <v xml:space="preserve">JAPON                                                                                               </v>
      </c>
      <c r="D260" s="26" t="str">
        <f>"VESPERTINO"</f>
        <v>VESPERTINO</v>
      </c>
      <c r="E260" s="26" t="str">
        <f>"PEDRO NEGRETE Y JOAQUIN HERRERA                                                 "</f>
        <v xml:space="preserve">PEDRO NEGRETE Y JOAQUIN HERRERA                                                 </v>
      </c>
      <c r="F260" s="26" t="str">
        <f>"MARTIN CARRERA                                                                                                                              "</f>
        <v xml:space="preserve">MARTIN CARRERA                                                                                                                              </v>
      </c>
      <c r="G260" s="26" t="str">
        <f>"GUSTAVO A. MADERO                                                               "</f>
        <v xml:space="preserve">GUSTAVO A. MADERO                                                               </v>
      </c>
      <c r="H260" s="26" t="str">
        <f>"192"</f>
        <v>192</v>
      </c>
      <c r="I260" s="26" t="str">
        <f t="shared" si="37"/>
        <v>00</v>
      </c>
      <c r="J260" s="26" t="str">
        <f>"32 "</f>
        <v xml:space="preserve">32 </v>
      </c>
      <c r="K260" s="26" t="str">
        <f t="shared" si="34"/>
        <v>EP</v>
      </c>
      <c r="L260" s="26" t="str">
        <f t="shared" si="35"/>
        <v>DGOSE</v>
      </c>
      <c r="M260" s="26" t="str">
        <f t="shared" si="38"/>
        <v>FEDERAL</v>
      </c>
      <c r="N260" s="26">
        <v>162</v>
      </c>
      <c r="O260" s="26">
        <v>80</v>
      </c>
      <c r="P260" s="26">
        <v>82</v>
      </c>
      <c r="Q260" s="26">
        <v>6</v>
      </c>
      <c r="R260" s="26">
        <v>1</v>
      </c>
      <c r="S260" s="26">
        <v>6</v>
      </c>
      <c r="T260" s="26">
        <v>4</v>
      </c>
      <c r="U260" s="26">
        <v>11</v>
      </c>
      <c r="V260" s="26">
        <v>1</v>
      </c>
      <c r="W260" s="26"/>
    </row>
    <row r="261" spans="1:23" x14ac:dyDescent="0.25">
      <c r="A261" s="26" t="str">
        <f t="shared" si="36"/>
        <v>PREESCOLAR</v>
      </c>
      <c r="B261" s="26" t="str">
        <f>"09DJN0321H"</f>
        <v>09DJN0321H</v>
      </c>
      <c r="C261" s="26" t="str">
        <f>"NUMUTSHE                                                                                            "</f>
        <v xml:space="preserve">NUMUTSHE                                                                                            </v>
      </c>
      <c r="D261" s="26" t="str">
        <f>"JORNADA AMPLIADA"</f>
        <v>JORNADA AMPLIADA</v>
      </c>
      <c r="E261" s="26" t="str">
        <f>"TOCHTLI NO. 33                                                                  "</f>
        <v xml:space="preserve">TOCHTLI NO. 33                                                                  </v>
      </c>
      <c r="F261" s="26" t="str">
        <f>"SANTA APOLONIA                                                                                                                              "</f>
        <v xml:space="preserve">SANTA APOLONIA                                                                                                                              </v>
      </c>
      <c r="G261" s="26" t="str">
        <f>"AZCAPOTZALCO                                                                    "</f>
        <v xml:space="preserve">AZCAPOTZALCO                                                                    </v>
      </c>
      <c r="H261" s="26" t="str">
        <f>"067"</f>
        <v>067</v>
      </c>
      <c r="I261" s="26" t="str">
        <f t="shared" si="37"/>
        <v>00</v>
      </c>
      <c r="J261" s="26" t="str">
        <f>"31 "</f>
        <v xml:space="preserve">31 </v>
      </c>
      <c r="K261" s="26" t="str">
        <f t="shared" si="34"/>
        <v>EP</v>
      </c>
      <c r="L261" s="26" t="str">
        <f t="shared" si="35"/>
        <v>DGOSE</v>
      </c>
      <c r="M261" s="26" t="str">
        <f t="shared" si="38"/>
        <v>FEDERAL</v>
      </c>
      <c r="N261" s="26">
        <v>198</v>
      </c>
      <c r="O261" s="26">
        <v>90</v>
      </c>
      <c r="P261" s="26">
        <v>108</v>
      </c>
      <c r="Q261" s="26">
        <v>7</v>
      </c>
      <c r="R261" s="26">
        <v>1</v>
      </c>
      <c r="S261" s="26">
        <v>7</v>
      </c>
      <c r="T261" s="26">
        <v>6</v>
      </c>
      <c r="U261" s="26">
        <v>14</v>
      </c>
      <c r="V261" s="26">
        <v>1</v>
      </c>
      <c r="W261" s="26" t="s">
        <v>2076</v>
      </c>
    </row>
    <row r="262" spans="1:23" x14ac:dyDescent="0.25">
      <c r="A262" s="26" t="str">
        <f t="shared" si="36"/>
        <v>PREESCOLAR</v>
      </c>
      <c r="B262" s="26" t="str">
        <f>"09DJN0322G"</f>
        <v>09DJN0322G</v>
      </c>
      <c r="C262" s="26" t="str">
        <f>"ITLATIUH                                                                                            "</f>
        <v xml:space="preserve">ITLATIUH                                                                                            </v>
      </c>
      <c r="D262" s="26" t="str">
        <f>"TIEMPO COMPLETO"</f>
        <v>TIEMPO COMPLETO</v>
      </c>
      <c r="E262" s="26" t="str">
        <f>"OSA MAYOR Y RENACIMIENTO                                                        "</f>
        <v xml:space="preserve">OSA MAYOR Y RENACIMIENTO                                                        </v>
      </c>
      <c r="F262" s="26" t="str">
        <f>"UNIDAD INFONAVIT EL ROSARIO                                                                                                                 "</f>
        <v xml:space="preserve">UNIDAD INFONAVIT EL ROSARIO                                                                                                                 </v>
      </c>
      <c r="G262" s="26" t="str">
        <f>"AZCAPOTZALCO                                                                    "</f>
        <v xml:space="preserve">AZCAPOTZALCO                                                                    </v>
      </c>
      <c r="H262" s="26" t="str">
        <f>"101"</f>
        <v>101</v>
      </c>
      <c r="I262" s="26" t="str">
        <f t="shared" si="37"/>
        <v>00</v>
      </c>
      <c r="J262" s="26" t="str">
        <f>"31 "</f>
        <v xml:space="preserve">31 </v>
      </c>
      <c r="K262" s="26" t="str">
        <f t="shared" si="34"/>
        <v>EP</v>
      </c>
      <c r="L262" s="26" t="str">
        <f t="shared" si="35"/>
        <v>DGOSE</v>
      </c>
      <c r="M262" s="26" t="str">
        <f t="shared" si="38"/>
        <v>FEDERAL</v>
      </c>
      <c r="N262" s="26">
        <v>165</v>
      </c>
      <c r="O262" s="26">
        <v>93</v>
      </c>
      <c r="P262" s="26">
        <v>72</v>
      </c>
      <c r="Q262" s="26">
        <v>6</v>
      </c>
      <c r="R262" s="26">
        <v>2</v>
      </c>
      <c r="S262" s="26">
        <v>6</v>
      </c>
      <c r="T262" s="26">
        <v>16</v>
      </c>
      <c r="U262" s="26">
        <v>24</v>
      </c>
      <c r="V262" s="26">
        <v>1</v>
      </c>
      <c r="W262" s="26" t="s">
        <v>218</v>
      </c>
    </row>
    <row r="263" spans="1:23" x14ac:dyDescent="0.25">
      <c r="A263" s="26" t="str">
        <f t="shared" si="36"/>
        <v>PREESCOLAR</v>
      </c>
      <c r="B263" s="26" t="str">
        <f>"09DJN0323F"</f>
        <v>09DJN0323F</v>
      </c>
      <c r="C263" s="26" t="str">
        <f>"FRANCISCO GABILONDO SOLER                                                                           "</f>
        <v xml:space="preserve">FRANCISCO GABILONDO SOLER                                                                           </v>
      </c>
      <c r="D263" s="26" t="str">
        <f>"JORNADA AMPLIADA"</f>
        <v>JORNADA AMPLIADA</v>
      </c>
      <c r="E263" s="26" t="str">
        <f>"RET. 1 AV. INGENIEROS MILITARES S/N                                             "</f>
        <v xml:space="preserve">RET. 1 AV. INGENIEROS MILITARES S/N                                             </v>
      </c>
      <c r="F263" s="26" t="str">
        <f>"LOMAS DE SOTELO                                                                                                                             "</f>
        <v xml:space="preserve">LOMAS DE SOTELO                                                                                                                             </v>
      </c>
      <c r="G263" s="26" t="str">
        <f>"MIGUEL HIDALGO                                                                  "</f>
        <v xml:space="preserve">MIGUEL HIDALGO                                                                  </v>
      </c>
      <c r="H263" s="26" t="str">
        <f>"136"</f>
        <v>136</v>
      </c>
      <c r="I263" s="26" t="str">
        <f t="shared" si="37"/>
        <v>00</v>
      </c>
      <c r="J263" s="26" t="str">
        <f>"31 "</f>
        <v xml:space="preserve">31 </v>
      </c>
      <c r="K263" s="26" t="str">
        <f t="shared" si="34"/>
        <v>EP</v>
      </c>
      <c r="L263" s="26" t="str">
        <f t="shared" si="35"/>
        <v>DGOSE</v>
      </c>
      <c r="M263" s="26" t="str">
        <f t="shared" si="38"/>
        <v>FEDERAL</v>
      </c>
      <c r="N263" s="26">
        <v>129</v>
      </c>
      <c r="O263" s="26">
        <v>69</v>
      </c>
      <c r="P263" s="26">
        <v>60</v>
      </c>
      <c r="Q263" s="26">
        <v>5</v>
      </c>
      <c r="R263" s="26">
        <v>1</v>
      </c>
      <c r="S263" s="26">
        <v>5</v>
      </c>
      <c r="T263" s="26">
        <v>5</v>
      </c>
      <c r="U263" s="26">
        <v>11</v>
      </c>
      <c r="V263" s="26">
        <v>1</v>
      </c>
      <c r="W263" s="26" t="s">
        <v>2076</v>
      </c>
    </row>
    <row r="264" spans="1:23" x14ac:dyDescent="0.25">
      <c r="A264" s="26" t="str">
        <f t="shared" si="36"/>
        <v>PREESCOLAR</v>
      </c>
      <c r="B264" s="26" t="str">
        <f>"09DJN0324E"</f>
        <v>09DJN0324E</v>
      </c>
      <c r="C264" s="26" t="str">
        <f>"FRIDA KAHLO                                                                                         "</f>
        <v xml:space="preserve">FRIDA KAHLO                                                                                         </v>
      </c>
      <c r="D264" s="26" t="str">
        <f>"JORNADA AMPLIADA"</f>
        <v>JORNADA AMPLIADA</v>
      </c>
      <c r="E264" s="26" t="str">
        <f>"1A. CERRADA DE LEGARIA NO. 29                                                   "</f>
        <v xml:space="preserve">1A. CERRADA DE LEGARIA NO. 29                                                   </v>
      </c>
      <c r="F264" s="26" t="str">
        <f>"TORRE BLANCA                                                                                                                                "</f>
        <v xml:space="preserve">TORRE BLANCA                                                                                                                                </v>
      </c>
      <c r="G264" s="26" t="str">
        <f>"MIGUEL HIDALGO                                                                  "</f>
        <v xml:space="preserve">MIGUEL HIDALGO                                                                  </v>
      </c>
      <c r="H264" s="26" t="str">
        <f>"206"</f>
        <v>206</v>
      </c>
      <c r="I264" s="26" t="str">
        <f t="shared" si="37"/>
        <v>00</v>
      </c>
      <c r="J264" s="26" t="str">
        <f>"31 "</f>
        <v xml:space="preserve">31 </v>
      </c>
      <c r="K264" s="26" t="str">
        <f t="shared" si="34"/>
        <v>EP</v>
      </c>
      <c r="L264" s="26" t="str">
        <f t="shared" si="35"/>
        <v>DGOSE</v>
      </c>
      <c r="M264" s="26" t="str">
        <f t="shared" si="38"/>
        <v>FEDERAL</v>
      </c>
      <c r="N264" s="26">
        <v>101</v>
      </c>
      <c r="O264" s="26">
        <v>50</v>
      </c>
      <c r="P264" s="26">
        <v>51</v>
      </c>
      <c r="Q264" s="26">
        <v>5</v>
      </c>
      <c r="R264" s="26">
        <v>1</v>
      </c>
      <c r="S264" s="26">
        <v>5</v>
      </c>
      <c r="T264" s="26">
        <v>4</v>
      </c>
      <c r="U264" s="26">
        <v>10</v>
      </c>
      <c r="V264" s="26">
        <v>1</v>
      </c>
      <c r="W264" s="26" t="s">
        <v>2076</v>
      </c>
    </row>
    <row r="265" spans="1:23" x14ac:dyDescent="0.25">
      <c r="A265" s="26" t="str">
        <f t="shared" si="36"/>
        <v>PREESCOLAR</v>
      </c>
      <c r="B265" s="26" t="str">
        <f>"09DJN0326C"</f>
        <v>09DJN0326C</v>
      </c>
      <c r="C265" s="26" t="str">
        <f>"XOCHITLALZIN                                                                                        "</f>
        <v xml:space="preserve">XOCHITLALZIN                                                                                        </v>
      </c>
      <c r="D265" s="26" t="str">
        <f>"JORNADA AMPLIADA"</f>
        <v>JORNADA AMPLIADA</v>
      </c>
      <c r="E265" s="26" t="str">
        <f>"CORREGIDORA Y COYUYA                                                            "</f>
        <v xml:space="preserve">CORREGIDORA Y COYUYA                                                            </v>
      </c>
      <c r="F265" s="26" t="str">
        <f>"SANTA ANITA                                                                                                                                 "</f>
        <v xml:space="preserve">SANTA ANITA                                                                                                                                 </v>
      </c>
      <c r="G265" s="26" t="str">
        <f>"IZTACALCO                                                                       "</f>
        <v xml:space="preserve">IZTACALCO                                                                       </v>
      </c>
      <c r="H265" s="26" t="str">
        <f>"234"</f>
        <v>234</v>
      </c>
      <c r="I265" s="26" t="str">
        <f t="shared" si="37"/>
        <v>00</v>
      </c>
      <c r="J265" s="26" t="str">
        <f>"33 "</f>
        <v xml:space="preserve">33 </v>
      </c>
      <c r="K265" s="26" t="str">
        <f t="shared" si="34"/>
        <v>EP</v>
      </c>
      <c r="L265" s="26" t="str">
        <f t="shared" si="35"/>
        <v>DGOSE</v>
      </c>
      <c r="M265" s="26" t="str">
        <f t="shared" si="38"/>
        <v>FEDERAL</v>
      </c>
      <c r="N265" s="26">
        <v>201</v>
      </c>
      <c r="O265" s="26">
        <v>98</v>
      </c>
      <c r="P265" s="26">
        <v>103</v>
      </c>
      <c r="Q265" s="26">
        <v>6</v>
      </c>
      <c r="R265" s="26">
        <v>1</v>
      </c>
      <c r="S265" s="26">
        <v>6</v>
      </c>
      <c r="T265" s="26">
        <v>6</v>
      </c>
      <c r="U265" s="26">
        <v>13</v>
      </c>
      <c r="V265" s="26">
        <v>1</v>
      </c>
      <c r="W265" s="26" t="s">
        <v>2076</v>
      </c>
    </row>
    <row r="266" spans="1:23" x14ac:dyDescent="0.25">
      <c r="A266" s="26" t="str">
        <f t="shared" si="36"/>
        <v>PREESCOLAR</v>
      </c>
      <c r="B266" s="26" t="str">
        <f>"09DJN0328A"</f>
        <v>09DJN0328A</v>
      </c>
      <c r="C266" s="26" t="str">
        <f>"GENERAL FRANCISCO VILLA                                                                             "</f>
        <v xml:space="preserve">GENERAL FRANCISCO VILLA                                                                             </v>
      </c>
      <c r="D266" s="26" t="str">
        <f>"MATUTINO"</f>
        <v>MATUTINO</v>
      </c>
      <c r="E266" s="26" t="str">
        <f>"TOMAS URBINA S/N                                                                "</f>
        <v xml:space="preserve">TOMAS URBINA S/N                                                                </v>
      </c>
      <c r="F266" s="26" t="str">
        <f>"FRANCISCO VILLA                                                                                                                             "</f>
        <v xml:space="preserve">FRANCISCO VILLA                                                                                                                             </v>
      </c>
      <c r="G266" s="26" t="str">
        <f>"IZTAPALAPA                                                                      "</f>
        <v xml:space="preserve">IZTAPALAPA                                                                      </v>
      </c>
      <c r="H266" s="26" t="str">
        <f>"030"</f>
        <v>030</v>
      </c>
      <c r="I266" s="26" t="str">
        <f t="shared" si="37"/>
        <v>00</v>
      </c>
      <c r="J266" s="26" t="str">
        <f>"64 "</f>
        <v xml:space="preserve">64 </v>
      </c>
      <c r="K266" s="26" t="str">
        <f>"IZ"</f>
        <v>IZ</v>
      </c>
      <c r="L266" s="26" t="str">
        <f>"DGSEI"</f>
        <v>DGSEI</v>
      </c>
      <c r="M266" s="26" t="str">
        <f t="shared" si="38"/>
        <v>FEDERAL</v>
      </c>
      <c r="N266" s="26">
        <v>224</v>
      </c>
      <c r="O266" s="26">
        <v>123</v>
      </c>
      <c r="P266" s="26">
        <v>101</v>
      </c>
      <c r="Q266" s="26">
        <v>7</v>
      </c>
      <c r="R266" s="26">
        <v>1</v>
      </c>
      <c r="S266" s="26">
        <v>7</v>
      </c>
      <c r="T266" s="26">
        <v>3</v>
      </c>
      <c r="U266" s="26">
        <v>11</v>
      </c>
      <c r="V266" s="26">
        <v>1</v>
      </c>
      <c r="W266" s="26"/>
    </row>
    <row r="267" spans="1:23" x14ac:dyDescent="0.25">
      <c r="A267" s="26" t="str">
        <f t="shared" si="36"/>
        <v>PREESCOLAR</v>
      </c>
      <c r="B267" s="26" t="str">
        <f>"09DJN0329Z"</f>
        <v>09DJN0329Z</v>
      </c>
      <c r="C267" s="26" t="str">
        <f>"CARMEN GONZALEZ DE LA VEGA                                                                          "</f>
        <v xml:space="preserve">CARMEN GONZALEZ DE LA VEGA                                                                          </v>
      </c>
      <c r="D267" s="26" t="str">
        <f>"JORNADA AMPLIADA"</f>
        <v>JORNADA AMPLIADA</v>
      </c>
      <c r="E267" s="26" t="str">
        <f>"NAVOJOA NO. 42                                                                  "</f>
        <v xml:space="preserve">NAVOJOA NO. 42                                                                  </v>
      </c>
      <c r="F267" s="26" t="str">
        <f>"MEMETLA                                                                                                                                     "</f>
        <v xml:space="preserve">MEMETLA                                                                                                                                     </v>
      </c>
      <c r="G267" s="26" t="str">
        <f>"CUAJIMALPA DE MORELOS                                                           "</f>
        <v xml:space="preserve">CUAJIMALPA DE MORELOS                                                           </v>
      </c>
      <c r="H267" s="26" t="str">
        <f>"094"</f>
        <v>094</v>
      </c>
      <c r="I267" s="26" t="str">
        <f t="shared" si="37"/>
        <v>00</v>
      </c>
      <c r="J267" s="26" t="str">
        <f>"34 "</f>
        <v xml:space="preserve">34 </v>
      </c>
      <c r="K267" s="26" t="str">
        <f t="shared" ref="K267:K274" si="39">"EP"</f>
        <v>EP</v>
      </c>
      <c r="L267" s="26" t="str">
        <f t="shared" ref="L267:L274" si="40">"DGOSE"</f>
        <v>DGOSE</v>
      </c>
      <c r="M267" s="26" t="str">
        <f t="shared" si="38"/>
        <v>FEDERAL</v>
      </c>
      <c r="N267" s="26">
        <v>103</v>
      </c>
      <c r="O267" s="26">
        <v>53</v>
      </c>
      <c r="P267" s="26">
        <v>50</v>
      </c>
      <c r="Q267" s="26">
        <v>3</v>
      </c>
      <c r="R267" s="26">
        <v>1</v>
      </c>
      <c r="S267" s="26">
        <v>3</v>
      </c>
      <c r="T267" s="26">
        <v>5</v>
      </c>
      <c r="U267" s="26">
        <v>9</v>
      </c>
      <c r="V267" s="26">
        <v>1</v>
      </c>
      <c r="W267" s="26" t="s">
        <v>2076</v>
      </c>
    </row>
    <row r="268" spans="1:23" x14ac:dyDescent="0.25">
      <c r="A268" s="26" t="str">
        <f t="shared" si="36"/>
        <v>PREESCOLAR</v>
      </c>
      <c r="B268" s="26" t="str">
        <f>"09DJN0330P"</f>
        <v>09DJN0330P</v>
      </c>
      <c r="C268" s="26" t="str">
        <f>"CELIC                                                                                               "</f>
        <v xml:space="preserve">CELIC                                                                                               </v>
      </c>
      <c r="D268" s="26" t="str">
        <f>"MATUTINO"</f>
        <v>MATUTINO</v>
      </c>
      <c r="E268" s="26" t="str">
        <f>"PISTE E IZAMAL S/N                                                              "</f>
        <v xml:space="preserve">PISTE E IZAMAL S/N                                                              </v>
      </c>
      <c r="F268" s="26" t="str">
        <f>"LOMAS DE PADIERNA                                                                                                                           "</f>
        <v xml:space="preserve">LOMAS DE PADIERNA                                                                                                                           </v>
      </c>
      <c r="G268" s="26" t="str">
        <f>"TLALPAN                                                                         "</f>
        <v xml:space="preserve">TLALPAN                                                                         </v>
      </c>
      <c r="H268" s="26" t="str">
        <f>"147"</f>
        <v>147</v>
      </c>
      <c r="I268" s="26" t="str">
        <f t="shared" si="37"/>
        <v>00</v>
      </c>
      <c r="J268" s="26" t="str">
        <f>"35 "</f>
        <v xml:space="preserve">35 </v>
      </c>
      <c r="K268" s="26" t="str">
        <f t="shared" si="39"/>
        <v>EP</v>
      </c>
      <c r="L268" s="26" t="str">
        <f t="shared" si="40"/>
        <v>DGOSE</v>
      </c>
      <c r="M268" s="26" t="str">
        <f t="shared" si="38"/>
        <v>FEDERAL</v>
      </c>
      <c r="N268" s="26">
        <v>185</v>
      </c>
      <c r="O268" s="26">
        <v>101</v>
      </c>
      <c r="P268" s="26">
        <v>84</v>
      </c>
      <c r="Q268" s="26">
        <v>6</v>
      </c>
      <c r="R268" s="26">
        <v>1</v>
      </c>
      <c r="S268" s="26">
        <v>6</v>
      </c>
      <c r="T268" s="26">
        <v>5</v>
      </c>
      <c r="U268" s="26">
        <v>12</v>
      </c>
      <c r="V268" s="26">
        <v>1</v>
      </c>
      <c r="W268" s="26"/>
    </row>
    <row r="269" spans="1:23" x14ac:dyDescent="0.25">
      <c r="A269" s="26" t="str">
        <f t="shared" si="36"/>
        <v>PREESCOLAR</v>
      </c>
      <c r="B269" s="26" t="str">
        <f>"09DJN0331O"</f>
        <v>09DJN0331O</v>
      </c>
      <c r="C269" s="26" t="str">
        <f>"C.A.S.I. EL ROSAL                                                                                   "</f>
        <v xml:space="preserve">C.A.S.I. EL ROSAL                                                                                   </v>
      </c>
      <c r="D269" s="26" t="str">
        <f>"JORNADA AMPLIADA"</f>
        <v>JORNADA AMPLIADA</v>
      </c>
      <c r="E269" s="26" t="str">
        <f>"SUBIDA SAN BERNABE NO. 24                                                       "</f>
        <v xml:space="preserve">SUBIDA SAN BERNABE NO. 24                                                       </v>
      </c>
      <c r="F269" s="26" t="str">
        <f>"EL ROSAL ALTO                                                                                                                               "</f>
        <v xml:space="preserve">EL ROSAL ALTO                                                                                                                               </v>
      </c>
      <c r="G269" s="26" t="str">
        <f>"LA MAGDALENA CONTRERAS                                                          "</f>
        <v xml:space="preserve">LA MAGDALENA CONTRERAS                                                          </v>
      </c>
      <c r="H269" s="26" t="str">
        <f>"079"</f>
        <v>079</v>
      </c>
      <c r="I269" s="26" t="str">
        <f t="shared" si="37"/>
        <v>00</v>
      </c>
      <c r="J269" s="26" t="str">
        <f>"34 "</f>
        <v xml:space="preserve">34 </v>
      </c>
      <c r="K269" s="26" t="str">
        <f t="shared" si="39"/>
        <v>EP</v>
      </c>
      <c r="L269" s="26" t="str">
        <f t="shared" si="40"/>
        <v>DGOSE</v>
      </c>
      <c r="M269" s="26" t="str">
        <f t="shared" si="38"/>
        <v>FEDERAL</v>
      </c>
      <c r="N269" s="26">
        <v>146</v>
      </c>
      <c r="O269" s="26">
        <v>63</v>
      </c>
      <c r="P269" s="26">
        <v>83</v>
      </c>
      <c r="Q269" s="26">
        <v>5</v>
      </c>
      <c r="R269" s="26">
        <v>1</v>
      </c>
      <c r="S269" s="26">
        <v>5</v>
      </c>
      <c r="T269" s="26">
        <v>3</v>
      </c>
      <c r="U269" s="26">
        <v>9</v>
      </c>
      <c r="V269" s="26">
        <v>1</v>
      </c>
      <c r="W269" s="26" t="s">
        <v>2076</v>
      </c>
    </row>
    <row r="270" spans="1:23" x14ac:dyDescent="0.25">
      <c r="A270" s="26" t="str">
        <f t="shared" si="36"/>
        <v>PREESCOLAR</v>
      </c>
      <c r="B270" s="26" t="str">
        <f>"09DJN0332N"</f>
        <v>09DJN0332N</v>
      </c>
      <c r="C270" s="26" t="str">
        <f>"NAYELI NENETLI                                                                                      "</f>
        <v xml:space="preserve">NAYELI NENETLI                                                                                      </v>
      </c>
      <c r="D270" s="26" t="str">
        <f>"MATUTINO"</f>
        <v>MATUTINO</v>
      </c>
      <c r="E270" s="26" t="str">
        <f>"ALVARO OBREGON S/N                                                              "</f>
        <v xml:space="preserve">ALVARO OBREGON S/N                                                              </v>
      </c>
      <c r="F270" s="26" t="str">
        <f>"SAN BERNABE OCOTEPEC                                                                                                                        "</f>
        <v xml:space="preserve">SAN BERNABE OCOTEPEC                                                                                                                        </v>
      </c>
      <c r="G270" s="26" t="str">
        <f>"LA MAGDALENA CONTRERAS                                                          "</f>
        <v xml:space="preserve">LA MAGDALENA CONTRERAS                                                          </v>
      </c>
      <c r="H270" s="26" t="str">
        <f>"066"</f>
        <v>066</v>
      </c>
      <c r="I270" s="26" t="str">
        <f t="shared" si="37"/>
        <v>00</v>
      </c>
      <c r="J270" s="26" t="str">
        <f>"35 "</f>
        <v xml:space="preserve">35 </v>
      </c>
      <c r="K270" s="26" t="str">
        <f t="shared" si="39"/>
        <v>EP</v>
      </c>
      <c r="L270" s="26" t="str">
        <f t="shared" si="40"/>
        <v>DGOSE</v>
      </c>
      <c r="M270" s="26" t="str">
        <f t="shared" si="38"/>
        <v>FEDERAL</v>
      </c>
      <c r="N270" s="26">
        <v>236</v>
      </c>
      <c r="O270" s="26">
        <v>123</v>
      </c>
      <c r="P270" s="26">
        <v>113</v>
      </c>
      <c r="Q270" s="26">
        <v>7</v>
      </c>
      <c r="R270" s="26">
        <v>1</v>
      </c>
      <c r="S270" s="26">
        <v>7</v>
      </c>
      <c r="T270" s="26">
        <v>3</v>
      </c>
      <c r="U270" s="26">
        <v>11</v>
      </c>
      <c r="V270" s="26">
        <v>1</v>
      </c>
      <c r="W270" s="26"/>
    </row>
    <row r="271" spans="1:23" x14ac:dyDescent="0.25">
      <c r="A271" s="26" t="str">
        <f t="shared" si="36"/>
        <v>PREESCOLAR</v>
      </c>
      <c r="B271" s="26" t="str">
        <f>"09DJN0333M"</f>
        <v>09DJN0333M</v>
      </c>
      <c r="C271" s="26" t="str">
        <f>"ATLITIC                                                                                             "</f>
        <v xml:space="preserve">ATLITIC                                                                                             </v>
      </c>
      <c r="D271" s="26" t="str">
        <f>"MATUTINO"</f>
        <v>MATUTINO</v>
      </c>
      <c r="E271" s="26" t="str">
        <f>"GERANIO Y DALIA                                                                 "</f>
        <v xml:space="preserve">GERANIO Y DALIA                                                                 </v>
      </c>
      <c r="F271" s="26" t="str">
        <f>"EL TORO                                                                                                                                     "</f>
        <v xml:space="preserve">EL TORO                                                                                                                                     </v>
      </c>
      <c r="G271" s="26" t="str">
        <f>"LA MAGDALENA CONTRERAS                                                          "</f>
        <v xml:space="preserve">LA MAGDALENA CONTRERAS                                                          </v>
      </c>
      <c r="H271" s="26" t="str">
        <f>"280"</f>
        <v>280</v>
      </c>
      <c r="I271" s="26" t="str">
        <f t="shared" si="37"/>
        <v>00</v>
      </c>
      <c r="J271" s="26" t="str">
        <f>"35 "</f>
        <v xml:space="preserve">35 </v>
      </c>
      <c r="K271" s="26" t="str">
        <f t="shared" si="39"/>
        <v>EP</v>
      </c>
      <c r="L271" s="26" t="str">
        <f t="shared" si="40"/>
        <v>DGOSE</v>
      </c>
      <c r="M271" s="26" t="str">
        <f t="shared" si="38"/>
        <v>FEDERAL</v>
      </c>
      <c r="N271" s="26">
        <v>170</v>
      </c>
      <c r="O271" s="26">
        <v>74</v>
      </c>
      <c r="P271" s="26">
        <v>96</v>
      </c>
      <c r="Q271" s="26">
        <v>6</v>
      </c>
      <c r="R271" s="26">
        <v>1</v>
      </c>
      <c r="S271" s="26">
        <v>6</v>
      </c>
      <c r="T271" s="26">
        <v>5</v>
      </c>
      <c r="U271" s="26">
        <v>12</v>
      </c>
      <c r="V271" s="26">
        <v>1</v>
      </c>
      <c r="W271" s="26"/>
    </row>
    <row r="272" spans="1:23" x14ac:dyDescent="0.25">
      <c r="A272" s="26" t="str">
        <f t="shared" si="36"/>
        <v>PREESCOLAR</v>
      </c>
      <c r="B272" s="26" t="str">
        <f>"09DJN0334L"</f>
        <v>09DJN0334L</v>
      </c>
      <c r="C272" s="26" t="str">
        <f>"PARRES                                                                                              "</f>
        <v xml:space="preserve">PARRES                                                                                              </v>
      </c>
      <c r="D272" s="26" t="str">
        <f>"JORNADA AMPLIADA"</f>
        <v>JORNADA AMPLIADA</v>
      </c>
      <c r="E272" s="26" t="str">
        <f>"CARRETERA FEDERAL Y AV JUAREZ S/N                                               "</f>
        <v xml:space="preserve">CARRETERA FEDERAL Y AV JUAREZ S/N                                               </v>
      </c>
      <c r="F272" s="26" t="str">
        <f>"PARRES                                                                                                                                      "</f>
        <v xml:space="preserve">PARRES                                                                                                                                      </v>
      </c>
      <c r="G272" s="26" t="str">
        <f>"TLALPAN                                                                         "</f>
        <v xml:space="preserve">TLALPAN                                                                         </v>
      </c>
      <c r="H272" s="26" t="str">
        <f>"229"</f>
        <v>229</v>
      </c>
      <c r="I272" s="26" t="str">
        <f t="shared" si="37"/>
        <v>00</v>
      </c>
      <c r="J272" s="26" t="str">
        <f>"34 "</f>
        <v xml:space="preserve">34 </v>
      </c>
      <c r="K272" s="26" t="str">
        <f t="shared" si="39"/>
        <v>EP</v>
      </c>
      <c r="L272" s="26" t="str">
        <f t="shared" si="40"/>
        <v>DGOSE</v>
      </c>
      <c r="M272" s="26" t="str">
        <f t="shared" si="38"/>
        <v>FEDERAL</v>
      </c>
      <c r="N272" s="26">
        <v>138</v>
      </c>
      <c r="O272" s="26">
        <v>71</v>
      </c>
      <c r="P272" s="26">
        <v>67</v>
      </c>
      <c r="Q272" s="26">
        <v>4</v>
      </c>
      <c r="R272" s="26">
        <v>1</v>
      </c>
      <c r="S272" s="26">
        <v>4</v>
      </c>
      <c r="T272" s="26">
        <v>3</v>
      </c>
      <c r="U272" s="26">
        <v>8</v>
      </c>
      <c r="V272" s="26">
        <v>1</v>
      </c>
      <c r="W272" s="26" t="s">
        <v>2076</v>
      </c>
    </row>
    <row r="273" spans="1:23" x14ac:dyDescent="0.25">
      <c r="A273" s="26" t="str">
        <f t="shared" si="36"/>
        <v>PREESCOLAR</v>
      </c>
      <c r="B273" s="26" t="str">
        <f>"09DJN0335K"</f>
        <v>09DJN0335K</v>
      </c>
      <c r="C273" s="26" t="str">
        <f>"YOLICUALCAN                                                                                         "</f>
        <v xml:space="preserve">YOLICUALCAN                                                                                         </v>
      </c>
      <c r="D273" s="26" t="str">
        <f>"JORNADA AMPLIADA"</f>
        <v>JORNADA AMPLIADA</v>
      </c>
      <c r="E273" s="26" t="str">
        <f>"AV. MATAMOROS NO. 2                                                             "</f>
        <v xml:space="preserve">AV. MATAMOROS NO. 2                                                             </v>
      </c>
      <c r="F273" s="26" t="str">
        <f>"SAN AGUSTIN OHTENCO                                                                                                                         "</f>
        <v xml:space="preserve">SAN AGUSTIN OHTENCO                                                                                                                         </v>
      </c>
      <c r="G273" s="26" t="str">
        <f>"MILPA ALTA                                                                      "</f>
        <v xml:space="preserve">MILPA ALTA                                                                      </v>
      </c>
      <c r="H273" s="26" t="str">
        <f>"055"</f>
        <v>055</v>
      </c>
      <c r="I273" s="26" t="str">
        <f t="shared" si="37"/>
        <v>00</v>
      </c>
      <c r="J273" s="26" t="str">
        <f>"34 "</f>
        <v xml:space="preserve">34 </v>
      </c>
      <c r="K273" s="26" t="str">
        <f t="shared" si="39"/>
        <v>EP</v>
      </c>
      <c r="L273" s="26" t="str">
        <f t="shared" si="40"/>
        <v>DGOSE</v>
      </c>
      <c r="M273" s="26" t="str">
        <f t="shared" si="38"/>
        <v>FEDERAL</v>
      </c>
      <c r="N273" s="26">
        <v>199</v>
      </c>
      <c r="O273" s="26">
        <v>97</v>
      </c>
      <c r="P273" s="26">
        <v>102</v>
      </c>
      <c r="Q273" s="26">
        <v>6</v>
      </c>
      <c r="R273" s="26">
        <v>1</v>
      </c>
      <c r="S273" s="26">
        <v>6</v>
      </c>
      <c r="T273" s="26">
        <v>7</v>
      </c>
      <c r="U273" s="26">
        <v>14</v>
      </c>
      <c r="V273" s="26">
        <v>1</v>
      </c>
      <c r="W273" s="26" t="s">
        <v>2076</v>
      </c>
    </row>
    <row r="274" spans="1:23" x14ac:dyDescent="0.25">
      <c r="A274" s="26" t="str">
        <f t="shared" si="36"/>
        <v>PREESCOLAR</v>
      </c>
      <c r="B274" s="26" t="str">
        <f>"09DJN0336J"</f>
        <v>09DJN0336J</v>
      </c>
      <c r="C274" s="26" t="str">
        <f>"MIGUEL HIDALGO                                                                                      "</f>
        <v xml:space="preserve">MIGUEL HIDALGO                                                                                      </v>
      </c>
      <c r="D274" s="26" t="str">
        <f>"JORNADA AMPLIADA"</f>
        <v>JORNADA AMPLIADA</v>
      </c>
      <c r="E274" s="26" t="str">
        <f>"AV. DE LAS TORRES Y JESUS LECUONA S/N                                           "</f>
        <v xml:space="preserve">AV. DE LAS TORRES Y JESUS LECUONA S/N                                           </v>
      </c>
      <c r="F274" s="26" t="str">
        <f>"MIGUEL HIDALGO                                                                                                                              "</f>
        <v xml:space="preserve">MIGUEL HIDALGO                                                                                                                              </v>
      </c>
      <c r="G274" s="26" t="str">
        <f>"TLALPAN                                                                         "</f>
        <v xml:space="preserve">TLALPAN                                                                         </v>
      </c>
      <c r="H274" s="26" t="str">
        <f>"224"</f>
        <v>224</v>
      </c>
      <c r="I274" s="26" t="str">
        <f t="shared" si="37"/>
        <v>00</v>
      </c>
      <c r="J274" s="26" t="str">
        <f>"34 "</f>
        <v xml:space="preserve">34 </v>
      </c>
      <c r="K274" s="26" t="str">
        <f t="shared" si="39"/>
        <v>EP</v>
      </c>
      <c r="L274" s="26" t="str">
        <f t="shared" si="40"/>
        <v>DGOSE</v>
      </c>
      <c r="M274" s="26" t="str">
        <f t="shared" si="38"/>
        <v>FEDERAL</v>
      </c>
      <c r="N274" s="26">
        <v>175</v>
      </c>
      <c r="O274" s="26">
        <v>89</v>
      </c>
      <c r="P274" s="26">
        <v>86</v>
      </c>
      <c r="Q274" s="26">
        <v>5</v>
      </c>
      <c r="R274" s="26">
        <v>1</v>
      </c>
      <c r="S274" s="26">
        <v>5</v>
      </c>
      <c r="T274" s="26">
        <v>3</v>
      </c>
      <c r="U274" s="26">
        <v>9</v>
      </c>
      <c r="V274" s="26">
        <v>1</v>
      </c>
      <c r="W274" s="26" t="s">
        <v>2076</v>
      </c>
    </row>
    <row r="275" spans="1:23" x14ac:dyDescent="0.25">
      <c r="A275" s="26" t="str">
        <f t="shared" si="36"/>
        <v>PREESCOLAR</v>
      </c>
      <c r="B275" s="26" t="str">
        <f>"09DJN0337I"</f>
        <v>09DJN0337I</v>
      </c>
      <c r="C275" s="26" t="str">
        <f>"ANGELINA CORTES SILVA DE GAMBOA                                                                     "</f>
        <v xml:space="preserve">ANGELINA CORTES SILVA DE GAMBOA                                                                     </v>
      </c>
      <c r="D275" s="26" t="str">
        <f>"TIEMPO COMPLETO"</f>
        <v>TIEMPO COMPLETO</v>
      </c>
      <c r="E275" s="26" t="str">
        <f>"SILOS NO. 54                                                                    "</f>
        <v xml:space="preserve">SILOS NO. 54                                                                    </v>
      </c>
      <c r="F275" s="26" t="str">
        <f>"MINERVA                                                                                                                                     "</f>
        <v xml:space="preserve">MINERVA                                                                                                                                     </v>
      </c>
      <c r="G275" s="26" t="str">
        <f>"IZTAPALAPA                                                                      "</f>
        <v xml:space="preserve">IZTAPALAPA                                                                      </v>
      </c>
      <c r="H275" s="26" t="str">
        <f>"003"</f>
        <v>003</v>
      </c>
      <c r="I275" s="26" t="str">
        <f t="shared" si="37"/>
        <v>00</v>
      </c>
      <c r="J275" s="26" t="str">
        <f>"61 "</f>
        <v xml:space="preserve">61 </v>
      </c>
      <c r="K275" s="26" t="str">
        <f>"IZ"</f>
        <v>IZ</v>
      </c>
      <c r="L275" s="26" t="str">
        <f>"DGSEI"</f>
        <v>DGSEI</v>
      </c>
      <c r="M275" s="26" t="str">
        <f t="shared" si="38"/>
        <v>FEDERAL</v>
      </c>
      <c r="N275" s="26">
        <v>80</v>
      </c>
      <c r="O275" s="26">
        <v>38</v>
      </c>
      <c r="P275" s="26">
        <v>42</v>
      </c>
      <c r="Q275" s="26">
        <v>4</v>
      </c>
      <c r="R275" s="26">
        <v>1</v>
      </c>
      <c r="S275" s="26">
        <v>4</v>
      </c>
      <c r="T275" s="26">
        <v>8</v>
      </c>
      <c r="U275" s="26">
        <v>13</v>
      </c>
      <c r="V275" s="26">
        <v>1</v>
      </c>
      <c r="W275" s="26" t="s">
        <v>218</v>
      </c>
    </row>
    <row r="276" spans="1:23" x14ac:dyDescent="0.25">
      <c r="A276" s="26" t="str">
        <f t="shared" si="36"/>
        <v>PREESCOLAR</v>
      </c>
      <c r="B276" s="26" t="str">
        <f>"09DJN0338H"</f>
        <v>09DJN0338H</v>
      </c>
      <c r="C276" s="26" t="str">
        <f>"IGNACIO ZARAGOZA                                                                                    "</f>
        <v xml:space="preserve">IGNACIO ZARAGOZA                                                                                    </v>
      </c>
      <c r="D276" s="26" t="str">
        <f>"MATUTINO"</f>
        <v>MATUTINO</v>
      </c>
      <c r="E276" s="26" t="str">
        <f>"SUPER MANZANA 1 ANTONIO DE LEON S/N                                             "</f>
        <v xml:space="preserve">SUPER MANZANA 1 ANTONIO DE LEON S/N                                             </v>
      </c>
      <c r="F276" s="26" t="str">
        <f>"UNIDAD HABITACIONAL EJERCITO CONSTI                                                                                                         "</f>
        <v xml:space="preserve">UNIDAD HABITACIONAL EJERCITO CONSTI                                                                                                         </v>
      </c>
      <c r="G276" s="26" t="str">
        <f>"IZTAPALAPA                                                                      "</f>
        <v xml:space="preserve">IZTAPALAPA                                                                      </v>
      </c>
      <c r="H276" s="26" t="str">
        <f>"018"</f>
        <v>018</v>
      </c>
      <c r="I276" s="26" t="str">
        <f t="shared" si="37"/>
        <v>00</v>
      </c>
      <c r="J276" s="26" t="str">
        <f>"62 "</f>
        <v xml:space="preserve">62 </v>
      </c>
      <c r="K276" s="26" t="str">
        <f>"IZ"</f>
        <v>IZ</v>
      </c>
      <c r="L276" s="26" t="str">
        <f>"DGSEI"</f>
        <v>DGSEI</v>
      </c>
      <c r="M276" s="26" t="str">
        <f t="shared" si="38"/>
        <v>FEDERAL</v>
      </c>
      <c r="N276" s="26">
        <v>156</v>
      </c>
      <c r="O276" s="26">
        <v>73</v>
      </c>
      <c r="P276" s="26">
        <v>83</v>
      </c>
      <c r="Q276" s="26">
        <v>5</v>
      </c>
      <c r="R276" s="26">
        <v>1</v>
      </c>
      <c r="S276" s="26">
        <v>5</v>
      </c>
      <c r="T276" s="26">
        <v>4</v>
      </c>
      <c r="U276" s="26">
        <v>10</v>
      </c>
      <c r="V276" s="26">
        <v>1</v>
      </c>
      <c r="W276" s="26"/>
    </row>
    <row r="277" spans="1:23" x14ac:dyDescent="0.25">
      <c r="A277" s="26" t="str">
        <f t="shared" si="36"/>
        <v>PREESCOLAR</v>
      </c>
      <c r="B277" s="26" t="str">
        <f>"09DJN0339G"</f>
        <v>09DJN0339G</v>
      </c>
      <c r="C277" s="26" t="str">
        <f>"AÑO DE LA REPUBLICA FEDERAL Y DEL SENADO                                                            "</f>
        <v xml:space="preserve">AÑO DE LA REPUBLICA FEDERAL Y DEL SENADO                                                            </v>
      </c>
      <c r="D277" s="26" t="str">
        <f>"JORNADA AMPLIADA"</f>
        <v>JORNADA AMPLIADA</v>
      </c>
      <c r="E277" s="26" t="str">
        <f>"MARIA HERNANDEZ ZARCO Y ROQUE ESTRADA                                           "</f>
        <v xml:space="preserve">MARIA HERNANDEZ ZARCO Y ROQUE ESTRADA                                           </v>
      </c>
      <c r="F277" s="26" t="str">
        <f>"UNIDAD HABITACIONAL BELISARIO DOMIN                                                                                                         "</f>
        <v xml:space="preserve">UNIDAD HABITACIONAL BELISARIO DOMIN                                                                                                         </v>
      </c>
      <c r="G277" s="26" t="str">
        <f>"TLALPAN                                                                         "</f>
        <v xml:space="preserve">TLALPAN                                                                         </v>
      </c>
      <c r="H277" s="26" t="str">
        <f>"221"</f>
        <v>221</v>
      </c>
      <c r="I277" s="26" t="str">
        <f t="shared" si="37"/>
        <v>00</v>
      </c>
      <c r="J277" s="26" t="str">
        <f>"34 "</f>
        <v xml:space="preserve">34 </v>
      </c>
      <c r="K277" s="26" t="str">
        <f t="shared" ref="K277:K290" si="41">"EP"</f>
        <v>EP</v>
      </c>
      <c r="L277" s="26" t="str">
        <f t="shared" ref="L277:L290" si="42">"DGOSE"</f>
        <v>DGOSE</v>
      </c>
      <c r="M277" s="26" t="str">
        <f t="shared" si="38"/>
        <v>FEDERAL</v>
      </c>
      <c r="N277" s="26">
        <v>223</v>
      </c>
      <c r="O277" s="26">
        <v>112</v>
      </c>
      <c r="P277" s="26">
        <v>111</v>
      </c>
      <c r="Q277" s="26">
        <v>8</v>
      </c>
      <c r="R277" s="26">
        <v>1</v>
      </c>
      <c r="S277" s="26">
        <v>8</v>
      </c>
      <c r="T277" s="26">
        <v>8</v>
      </c>
      <c r="U277" s="26">
        <v>17</v>
      </c>
      <c r="V277" s="26">
        <v>1</v>
      </c>
      <c r="W277" s="26" t="s">
        <v>2076</v>
      </c>
    </row>
    <row r="278" spans="1:23" x14ac:dyDescent="0.25">
      <c r="A278" s="26" t="str">
        <f t="shared" si="36"/>
        <v>PREESCOLAR</v>
      </c>
      <c r="B278" s="26" t="str">
        <f>"09DJN0340W"</f>
        <v>09DJN0340W</v>
      </c>
      <c r="C278" s="26" t="str">
        <f>"LUXEMBURGO                                                                                          "</f>
        <v xml:space="preserve">LUXEMBURGO                                                                                          </v>
      </c>
      <c r="D278" s="26" t="str">
        <f>"JORNADA AMPLIADA"</f>
        <v>JORNADA AMPLIADA</v>
      </c>
      <c r="E278" s="26" t="str">
        <f>"PONIENTE 150 MZA.1                                                              "</f>
        <v xml:space="preserve">PONIENTE 150 MZA.1                                                              </v>
      </c>
      <c r="F278" s="26" t="str">
        <f>"UNIDAD LINDAVISTA VALLEJO                                                                                                                   "</f>
        <v xml:space="preserve">UNIDAD LINDAVISTA VALLEJO                                                                                                                   </v>
      </c>
      <c r="G278" s="26" t="str">
        <f>"GUSTAVO A. MADERO                                                               "</f>
        <v xml:space="preserve">GUSTAVO A. MADERO                                                               </v>
      </c>
      <c r="H278" s="26" t="str">
        <f>"005"</f>
        <v>005</v>
      </c>
      <c r="I278" s="26" t="str">
        <f t="shared" si="37"/>
        <v>00</v>
      </c>
      <c r="J278" s="26" t="str">
        <f>"31 "</f>
        <v xml:space="preserve">31 </v>
      </c>
      <c r="K278" s="26" t="str">
        <f t="shared" si="41"/>
        <v>EP</v>
      </c>
      <c r="L278" s="26" t="str">
        <f t="shared" si="42"/>
        <v>DGOSE</v>
      </c>
      <c r="M278" s="26" t="str">
        <f t="shared" si="38"/>
        <v>FEDERAL</v>
      </c>
      <c r="N278" s="26">
        <v>89</v>
      </c>
      <c r="O278" s="26">
        <v>42</v>
      </c>
      <c r="P278" s="26">
        <v>47</v>
      </c>
      <c r="Q278" s="26">
        <v>3</v>
      </c>
      <c r="R278" s="26">
        <v>1</v>
      </c>
      <c r="S278" s="26">
        <v>3</v>
      </c>
      <c r="T278" s="26">
        <v>6</v>
      </c>
      <c r="U278" s="26">
        <v>10</v>
      </c>
      <c r="V278" s="26">
        <v>1</v>
      </c>
      <c r="W278" s="26" t="s">
        <v>2076</v>
      </c>
    </row>
    <row r="279" spans="1:23" x14ac:dyDescent="0.25">
      <c r="A279" s="26" t="str">
        <f t="shared" si="36"/>
        <v>PREESCOLAR</v>
      </c>
      <c r="B279" s="26" t="str">
        <f>"09DJN0341V"</f>
        <v>09DJN0341V</v>
      </c>
      <c r="C279" s="26" t="str">
        <f>"REPUBLICA DE VENEZUELA                                                                              "</f>
        <v xml:space="preserve">REPUBLICA DE VENEZUELA                                                                              </v>
      </c>
      <c r="D279" s="26" t="str">
        <f>"JORNADA AMPLIADA"</f>
        <v>JORNADA AMPLIADA</v>
      </c>
      <c r="E279" s="26" t="str">
        <f>"PROLONG. DE OPALO NO. 24                                                        "</f>
        <v xml:space="preserve">PROLONG. DE OPALO NO. 24                                                        </v>
      </c>
      <c r="F279" s="26" t="str">
        <f>"ESTRELLA                                                                                                                                    "</f>
        <v xml:space="preserve">ESTRELLA                                                                                                                                    </v>
      </c>
      <c r="G279" s="26" t="str">
        <f>"GUSTAVO A. MADERO                                                               "</f>
        <v xml:space="preserve">GUSTAVO A. MADERO                                                               </v>
      </c>
      <c r="H279" s="26" t="str">
        <f>"121"</f>
        <v>121</v>
      </c>
      <c r="I279" s="26" t="str">
        <f t="shared" si="37"/>
        <v>00</v>
      </c>
      <c r="J279" s="26" t="str">
        <f>"31 "</f>
        <v xml:space="preserve">31 </v>
      </c>
      <c r="K279" s="26" t="str">
        <f t="shared" si="41"/>
        <v>EP</v>
      </c>
      <c r="L279" s="26" t="str">
        <f t="shared" si="42"/>
        <v>DGOSE</v>
      </c>
      <c r="M279" s="26" t="str">
        <f t="shared" si="38"/>
        <v>FEDERAL</v>
      </c>
      <c r="N279" s="26">
        <v>191</v>
      </c>
      <c r="O279" s="26">
        <v>99</v>
      </c>
      <c r="P279" s="26">
        <v>92</v>
      </c>
      <c r="Q279" s="26">
        <v>6</v>
      </c>
      <c r="R279" s="26">
        <v>1</v>
      </c>
      <c r="S279" s="26">
        <v>6</v>
      </c>
      <c r="T279" s="26">
        <v>6</v>
      </c>
      <c r="U279" s="26">
        <v>13</v>
      </c>
      <c r="V279" s="26">
        <v>1</v>
      </c>
      <c r="W279" s="26" t="s">
        <v>2076</v>
      </c>
    </row>
    <row r="280" spans="1:23" x14ac:dyDescent="0.25">
      <c r="A280" s="26" t="str">
        <f t="shared" si="36"/>
        <v>PREESCOLAR</v>
      </c>
      <c r="B280" s="26" t="str">
        <f>"09DJN0342U"</f>
        <v>09DJN0342U</v>
      </c>
      <c r="C280" s="26" t="str">
        <f>"AMELIA ARELLANO                                                                                     "</f>
        <v xml:space="preserve">AMELIA ARELLANO                                                                                     </v>
      </c>
      <c r="D280" s="26" t="str">
        <f>"JORNADA AMPLIADA"</f>
        <v>JORNADA AMPLIADA</v>
      </c>
      <c r="E280" s="26" t="str">
        <f>"RANCHO SAN LORENZO Y MIRADORES                                                  "</f>
        <v xml:space="preserve">RANCHO SAN LORENZO Y MIRADORES                                                  </v>
      </c>
      <c r="F280" s="26" t="str">
        <f>"LOS GIRASOLES                                                                                                                               "</f>
        <v xml:space="preserve">LOS GIRASOLES                                                                                                                               </v>
      </c>
      <c r="G280" s="26" t="str">
        <f>"COYOACAN                                                                        "</f>
        <v xml:space="preserve">COYOACAN                                                                        </v>
      </c>
      <c r="H280" s="26" t="str">
        <f>"064"</f>
        <v>064</v>
      </c>
      <c r="I280" s="26" t="str">
        <f t="shared" si="37"/>
        <v>00</v>
      </c>
      <c r="J280" s="26" t="str">
        <f>"34 "</f>
        <v xml:space="preserve">34 </v>
      </c>
      <c r="K280" s="26" t="str">
        <f t="shared" si="41"/>
        <v>EP</v>
      </c>
      <c r="L280" s="26" t="str">
        <f t="shared" si="42"/>
        <v>DGOSE</v>
      </c>
      <c r="M280" s="26" t="str">
        <f t="shared" si="38"/>
        <v>FEDERAL</v>
      </c>
      <c r="N280" s="26">
        <v>105</v>
      </c>
      <c r="O280" s="26">
        <v>62</v>
      </c>
      <c r="P280" s="26">
        <v>43</v>
      </c>
      <c r="Q280" s="26">
        <v>4</v>
      </c>
      <c r="R280" s="26">
        <v>1</v>
      </c>
      <c r="S280" s="26">
        <v>4</v>
      </c>
      <c r="T280" s="26">
        <v>5</v>
      </c>
      <c r="U280" s="26">
        <v>10</v>
      </c>
      <c r="V280" s="26">
        <v>1</v>
      </c>
      <c r="W280" s="26" t="s">
        <v>2076</v>
      </c>
    </row>
    <row r="281" spans="1:23" x14ac:dyDescent="0.25">
      <c r="A281" s="26" t="str">
        <f t="shared" si="36"/>
        <v>PREESCOLAR</v>
      </c>
      <c r="B281" s="26" t="str">
        <f>"09DJN0343T"</f>
        <v>09DJN0343T</v>
      </c>
      <c r="C281" s="26" t="str">
        <f>"MIGUEL RAMOS ARIZPE                                                                                 "</f>
        <v xml:space="preserve">MIGUEL RAMOS ARIZPE                                                                                 </v>
      </c>
      <c r="D281" s="26" t="str">
        <f>"MATUTINO"</f>
        <v>MATUTINO</v>
      </c>
      <c r="E281" s="26" t="str">
        <f>"27 DE SEPTIEMBRE MZA. 26-B S/N                                                  "</f>
        <v xml:space="preserve">27 DE SEPTIEMBRE MZA. 26-B S/N                                                  </v>
      </c>
      <c r="F281" s="26" t="str">
        <f>"TICOMAN                                                                                                                                     "</f>
        <v xml:space="preserve">TICOMAN                                                                                                                                     </v>
      </c>
      <c r="G281" s="26" t="str">
        <f>"GUSTAVO A. MADERO                                                               "</f>
        <v xml:space="preserve">GUSTAVO A. MADERO                                                               </v>
      </c>
      <c r="H281" s="26" t="str">
        <f>"003"</f>
        <v>003</v>
      </c>
      <c r="I281" s="26" t="str">
        <f t="shared" si="37"/>
        <v>00</v>
      </c>
      <c r="J281" s="26" t="str">
        <f>"32 "</f>
        <v xml:space="preserve">32 </v>
      </c>
      <c r="K281" s="26" t="str">
        <f t="shared" si="41"/>
        <v>EP</v>
      </c>
      <c r="L281" s="26" t="str">
        <f t="shared" si="42"/>
        <v>DGOSE</v>
      </c>
      <c r="M281" s="26" t="str">
        <f t="shared" si="38"/>
        <v>FEDERAL</v>
      </c>
      <c r="N281" s="26">
        <v>124</v>
      </c>
      <c r="O281" s="26">
        <v>61</v>
      </c>
      <c r="P281" s="26">
        <v>63</v>
      </c>
      <c r="Q281" s="26">
        <v>5</v>
      </c>
      <c r="R281" s="26">
        <v>1</v>
      </c>
      <c r="S281" s="26">
        <v>5</v>
      </c>
      <c r="T281" s="26">
        <v>4</v>
      </c>
      <c r="U281" s="26">
        <v>10</v>
      </c>
      <c r="V281" s="26">
        <v>1</v>
      </c>
      <c r="W281" s="26"/>
    </row>
    <row r="282" spans="1:23" x14ac:dyDescent="0.25">
      <c r="A282" s="26" t="str">
        <f t="shared" si="36"/>
        <v>PREESCOLAR</v>
      </c>
      <c r="B282" s="26" t="str">
        <f>"09DJN0344S"</f>
        <v>09DJN0344S</v>
      </c>
      <c r="C282" s="26" t="str">
        <f>"GRAL. MANUEL GONZALEZ ORTEGA                                                                        "</f>
        <v xml:space="preserve">GRAL. MANUEL GONZALEZ ORTEGA                                                                        </v>
      </c>
      <c r="D282" s="26" t="str">
        <f>"JORNADA AMPLIADA"</f>
        <v>JORNADA AMPLIADA</v>
      </c>
      <c r="E282" s="26" t="str">
        <f>"PEHUAME Y TECACALO S/N                                                          "</f>
        <v xml:space="preserve">PEHUAME Y TECACALO S/N                                                          </v>
      </c>
      <c r="F282" s="26" t="str">
        <f>"ADOLFO RUIZ CORTINES                                                                                                                        "</f>
        <v xml:space="preserve">ADOLFO RUIZ CORTINES                                                                                                                        </v>
      </c>
      <c r="G282" s="26" t="str">
        <f>"COYOACAN                                                                        "</f>
        <v xml:space="preserve">COYOACAN                                                                        </v>
      </c>
      <c r="H282" s="26" t="str">
        <f>"239"</f>
        <v>239</v>
      </c>
      <c r="I282" s="26" t="str">
        <f t="shared" si="37"/>
        <v>00</v>
      </c>
      <c r="J282" s="26" t="str">
        <f>"35 "</f>
        <v xml:space="preserve">35 </v>
      </c>
      <c r="K282" s="26" t="str">
        <f t="shared" si="41"/>
        <v>EP</v>
      </c>
      <c r="L282" s="26" t="str">
        <f t="shared" si="42"/>
        <v>DGOSE</v>
      </c>
      <c r="M282" s="26" t="str">
        <f t="shared" si="38"/>
        <v>FEDERAL</v>
      </c>
      <c r="N282" s="26">
        <v>141</v>
      </c>
      <c r="O282" s="26">
        <v>65</v>
      </c>
      <c r="P282" s="26">
        <v>76</v>
      </c>
      <c r="Q282" s="26">
        <v>5</v>
      </c>
      <c r="R282" s="26">
        <v>1</v>
      </c>
      <c r="S282" s="26">
        <v>5</v>
      </c>
      <c r="T282" s="26">
        <v>5</v>
      </c>
      <c r="U282" s="26">
        <v>11</v>
      </c>
      <c r="V282" s="26">
        <v>1</v>
      </c>
      <c r="W282" s="26" t="s">
        <v>2076</v>
      </c>
    </row>
    <row r="283" spans="1:23" x14ac:dyDescent="0.25">
      <c r="A283" s="26" t="str">
        <f t="shared" si="36"/>
        <v>PREESCOLAR</v>
      </c>
      <c r="B283" s="26" t="str">
        <f>"09DJN0345R"</f>
        <v>09DJN0345R</v>
      </c>
      <c r="C283" s="26" t="str">
        <f>"RICARDO FLORES MAGON                                                                                "</f>
        <v xml:space="preserve">RICARDO FLORES MAGON                                                                                </v>
      </c>
      <c r="D283" s="26" t="str">
        <f>"VESPERTINO"</f>
        <v>VESPERTINO</v>
      </c>
      <c r="E283" s="26" t="str">
        <f>"ORIENTE 110 Y SUR 105                                                           "</f>
        <v xml:space="preserve">ORIENTE 110 Y SUR 105                                                           </v>
      </c>
      <c r="F283" s="26" t="str">
        <f>"JUVENTINO ROSAS                                                                                                                             "</f>
        <v xml:space="preserve">JUVENTINO ROSAS                                                                                                                             </v>
      </c>
      <c r="G283" s="26" t="str">
        <f>"IZTACALCO                                                                       "</f>
        <v xml:space="preserve">IZTACALCO                                                                       </v>
      </c>
      <c r="H283" s="26" t="str">
        <f>"231"</f>
        <v>231</v>
      </c>
      <c r="I283" s="26" t="str">
        <f t="shared" si="37"/>
        <v>00</v>
      </c>
      <c r="J283" s="26" t="str">
        <f>"33 "</f>
        <v xml:space="preserve">33 </v>
      </c>
      <c r="K283" s="26" t="str">
        <f t="shared" si="41"/>
        <v>EP</v>
      </c>
      <c r="L283" s="26" t="str">
        <f t="shared" si="42"/>
        <v>DGOSE</v>
      </c>
      <c r="M283" s="26" t="str">
        <f t="shared" si="38"/>
        <v>FEDERAL</v>
      </c>
      <c r="N283" s="26">
        <v>87</v>
      </c>
      <c r="O283" s="26">
        <v>45</v>
      </c>
      <c r="P283" s="26">
        <v>42</v>
      </c>
      <c r="Q283" s="26">
        <v>3</v>
      </c>
      <c r="R283" s="26">
        <v>1</v>
      </c>
      <c r="S283" s="26">
        <v>3</v>
      </c>
      <c r="T283" s="26">
        <v>3</v>
      </c>
      <c r="U283" s="26">
        <v>7</v>
      </c>
      <c r="V283" s="26">
        <v>1</v>
      </c>
      <c r="W283" s="26"/>
    </row>
    <row r="284" spans="1:23" x14ac:dyDescent="0.25">
      <c r="A284" s="26" t="str">
        <f t="shared" si="36"/>
        <v>PREESCOLAR</v>
      </c>
      <c r="B284" s="26" t="str">
        <f>"09DJN0346Q"</f>
        <v>09DJN0346Q</v>
      </c>
      <c r="C284" s="26" t="str">
        <f>"JUAN RAMON JIMENEZ                                                                                  "</f>
        <v xml:space="preserve">JUAN RAMON JIMENEZ                                                                                  </v>
      </c>
      <c r="D284" s="26" t="str">
        <f>"JORNADA AMPLIADA"</f>
        <v>JORNADA AMPLIADA</v>
      </c>
      <c r="E284" s="26" t="str">
        <f>"CUMBRES S/N ESQ. GIRASOL                                                        "</f>
        <v xml:space="preserve">CUMBRES S/N ESQ. GIRASOL                                                        </v>
      </c>
      <c r="F284" s="26" t="str">
        <f>"IZTACALCO                                                                                                                                   "</f>
        <v xml:space="preserve">IZTACALCO                                                                                                                                   </v>
      </c>
      <c r="G284" s="26" t="str">
        <f>"IZTACALCO                                                                       "</f>
        <v xml:space="preserve">IZTACALCO                                                                       </v>
      </c>
      <c r="H284" s="26" t="str">
        <f>"232"</f>
        <v>232</v>
      </c>
      <c r="I284" s="26" t="str">
        <f t="shared" si="37"/>
        <v>00</v>
      </c>
      <c r="J284" s="26" t="str">
        <f>"33 "</f>
        <v xml:space="preserve">33 </v>
      </c>
      <c r="K284" s="26" t="str">
        <f t="shared" si="41"/>
        <v>EP</v>
      </c>
      <c r="L284" s="26" t="str">
        <f t="shared" si="42"/>
        <v>DGOSE</v>
      </c>
      <c r="M284" s="26" t="str">
        <f t="shared" si="38"/>
        <v>FEDERAL</v>
      </c>
      <c r="N284" s="26">
        <v>235</v>
      </c>
      <c r="O284" s="26">
        <v>128</v>
      </c>
      <c r="P284" s="26">
        <v>107</v>
      </c>
      <c r="Q284" s="26">
        <v>7</v>
      </c>
      <c r="R284" s="26">
        <v>1</v>
      </c>
      <c r="S284" s="26">
        <v>7</v>
      </c>
      <c r="T284" s="26">
        <v>7</v>
      </c>
      <c r="U284" s="26">
        <v>15</v>
      </c>
      <c r="V284" s="26">
        <v>1</v>
      </c>
      <c r="W284" s="26" t="s">
        <v>2076</v>
      </c>
    </row>
    <row r="285" spans="1:23" x14ac:dyDescent="0.25">
      <c r="A285" s="26" t="str">
        <f t="shared" si="36"/>
        <v>PREESCOLAR</v>
      </c>
      <c r="B285" s="26" t="str">
        <f>"09DJN0347P"</f>
        <v>09DJN0347P</v>
      </c>
      <c r="C285" s="26" t="str">
        <f>"ANGELINA JUAREZ ABAUNZA                                                                             "</f>
        <v xml:space="preserve">ANGELINA JUAREZ ABAUNZA                                                                             </v>
      </c>
      <c r="D285" s="26" t="str">
        <f>"JORNADA AMPLIADA"</f>
        <v>JORNADA AMPLIADA</v>
      </c>
      <c r="E285" s="26" t="str">
        <f>"CALZ. TLATILCO S/N                                                              "</f>
        <v xml:space="preserve">CALZ. TLATILCO S/N                                                              </v>
      </c>
      <c r="F285" s="26" t="str">
        <f>"TLATILCO                                                                                                                                    "</f>
        <v xml:space="preserve">TLATILCO                                                                                                                                    </v>
      </c>
      <c r="G285" s="26" t="str">
        <f>"AZCAPOTZALCO                                                                    "</f>
        <v xml:space="preserve">AZCAPOTZALCO                                                                    </v>
      </c>
      <c r="H285" s="26" t="str">
        <f>"007"</f>
        <v>007</v>
      </c>
      <c r="I285" s="26" t="str">
        <f t="shared" si="37"/>
        <v>00</v>
      </c>
      <c r="J285" s="26" t="str">
        <f>"31 "</f>
        <v xml:space="preserve">31 </v>
      </c>
      <c r="K285" s="26" t="str">
        <f t="shared" si="41"/>
        <v>EP</v>
      </c>
      <c r="L285" s="26" t="str">
        <f t="shared" si="42"/>
        <v>DGOSE</v>
      </c>
      <c r="M285" s="26" t="str">
        <f t="shared" si="38"/>
        <v>FEDERAL</v>
      </c>
      <c r="N285" s="26">
        <v>89</v>
      </c>
      <c r="O285" s="26">
        <v>52</v>
      </c>
      <c r="P285" s="26">
        <v>37</v>
      </c>
      <c r="Q285" s="26">
        <v>4</v>
      </c>
      <c r="R285" s="26">
        <v>1</v>
      </c>
      <c r="S285" s="26">
        <v>4</v>
      </c>
      <c r="T285" s="26">
        <v>5</v>
      </c>
      <c r="U285" s="26">
        <v>10</v>
      </c>
      <c r="V285" s="26">
        <v>1</v>
      </c>
      <c r="W285" s="26" t="s">
        <v>2076</v>
      </c>
    </row>
    <row r="286" spans="1:23" x14ac:dyDescent="0.25">
      <c r="A286" s="26" t="str">
        <f t="shared" si="36"/>
        <v>PREESCOLAR</v>
      </c>
      <c r="B286" s="26" t="str">
        <f>"09DJN0348O"</f>
        <v>09DJN0348O</v>
      </c>
      <c r="C286" s="26" t="str">
        <f>"LEONARDA GOMEZ BLANCO                                                                               "</f>
        <v xml:space="preserve">LEONARDA GOMEZ BLANCO                                                                               </v>
      </c>
      <c r="D286" s="26" t="str">
        <f>"JORNADA AMPLIADA"</f>
        <v>JORNADA AMPLIADA</v>
      </c>
      <c r="E286" s="26" t="str">
        <f>"BOULEVARD DEL FERROCARRIL S/N Y AV. JARD                                        "</f>
        <v xml:space="preserve">BOULEVARD DEL FERROCARRIL S/N Y AV. JARD                                        </v>
      </c>
      <c r="F286" s="26" t="str">
        <f>"EUZKADI                                                                                                                                     "</f>
        <v xml:space="preserve">EUZKADI                                                                                                                                     </v>
      </c>
      <c r="G286" s="26" t="str">
        <f>"AZCAPOTZALCO                                                                    "</f>
        <v xml:space="preserve">AZCAPOTZALCO                                                                    </v>
      </c>
      <c r="H286" s="26" t="str">
        <f>"060"</f>
        <v>060</v>
      </c>
      <c r="I286" s="26" t="str">
        <f t="shared" si="37"/>
        <v>00</v>
      </c>
      <c r="J286" s="26" t="str">
        <f>"31 "</f>
        <v xml:space="preserve">31 </v>
      </c>
      <c r="K286" s="26" t="str">
        <f t="shared" si="41"/>
        <v>EP</v>
      </c>
      <c r="L286" s="26" t="str">
        <f t="shared" si="42"/>
        <v>DGOSE</v>
      </c>
      <c r="M286" s="26" t="str">
        <f t="shared" si="38"/>
        <v>FEDERAL</v>
      </c>
      <c r="N286" s="26">
        <v>169</v>
      </c>
      <c r="O286" s="26">
        <v>87</v>
      </c>
      <c r="P286" s="26">
        <v>82</v>
      </c>
      <c r="Q286" s="26">
        <v>7</v>
      </c>
      <c r="R286" s="26">
        <v>1</v>
      </c>
      <c r="S286" s="26">
        <v>7</v>
      </c>
      <c r="T286" s="26">
        <v>7</v>
      </c>
      <c r="U286" s="26">
        <v>15</v>
      </c>
      <c r="V286" s="26">
        <v>1</v>
      </c>
      <c r="W286" s="26" t="s">
        <v>2076</v>
      </c>
    </row>
    <row r="287" spans="1:23" x14ac:dyDescent="0.25">
      <c r="A287" s="26" t="str">
        <f t="shared" si="36"/>
        <v>PREESCOLAR</v>
      </c>
      <c r="B287" s="26" t="str">
        <f>"09DJN0349N"</f>
        <v>09DJN0349N</v>
      </c>
      <c r="C287" s="26" t="str">
        <f>"RICARDO CASTRO                                                                                      "</f>
        <v xml:space="preserve">RICARDO CASTRO                                                                                      </v>
      </c>
      <c r="D287" s="26" t="str">
        <f>"TIEMPO COMPLETO"</f>
        <v>TIEMPO COMPLETO</v>
      </c>
      <c r="E287" s="26" t="str">
        <f>"AV. GENERAL ANAYA NO. 293                                                       "</f>
        <v xml:space="preserve">AV. GENERAL ANAYA NO. 293                                                       </v>
      </c>
      <c r="F287" s="26" t="str">
        <f>"SAN LUCAS                                                                                                                                   "</f>
        <v xml:space="preserve">SAN LUCAS                                                                                                                                   </v>
      </c>
      <c r="G287" s="26" t="str">
        <f>"COYOACAN                                                                        "</f>
        <v xml:space="preserve">COYOACAN                                                                        </v>
      </c>
      <c r="H287" s="26" t="str">
        <f>"228"</f>
        <v>228</v>
      </c>
      <c r="I287" s="26" t="str">
        <f t="shared" si="37"/>
        <v>00</v>
      </c>
      <c r="J287" s="26" t="str">
        <f>"34 "</f>
        <v xml:space="preserve">34 </v>
      </c>
      <c r="K287" s="26" t="str">
        <f t="shared" si="41"/>
        <v>EP</v>
      </c>
      <c r="L287" s="26" t="str">
        <f t="shared" si="42"/>
        <v>DGOSE</v>
      </c>
      <c r="M287" s="26" t="str">
        <f t="shared" si="38"/>
        <v>FEDERAL</v>
      </c>
      <c r="N287" s="26">
        <v>145</v>
      </c>
      <c r="O287" s="26">
        <v>70</v>
      </c>
      <c r="P287" s="26">
        <v>75</v>
      </c>
      <c r="Q287" s="26">
        <v>5</v>
      </c>
      <c r="R287" s="26">
        <v>2</v>
      </c>
      <c r="S287" s="26">
        <v>5</v>
      </c>
      <c r="T287" s="26">
        <v>15</v>
      </c>
      <c r="U287" s="26">
        <v>22</v>
      </c>
      <c r="V287" s="26">
        <v>1</v>
      </c>
      <c r="W287" s="26" t="s">
        <v>218</v>
      </c>
    </row>
    <row r="288" spans="1:23" x14ac:dyDescent="0.25">
      <c r="A288" s="26" t="str">
        <f t="shared" si="36"/>
        <v>PREESCOLAR</v>
      </c>
      <c r="B288" s="26" t="str">
        <f>"09DJN0350C"</f>
        <v>09DJN0350C</v>
      </c>
      <c r="C288" s="26" t="str">
        <f>"DOLORES GUERRERO                                                                                    "</f>
        <v xml:space="preserve">DOLORES GUERRERO                                                                                    </v>
      </c>
      <c r="D288" s="26" t="str">
        <f>"JORNADA AMPLIADA"</f>
        <v>JORNADA AMPLIADA</v>
      </c>
      <c r="E288" s="26" t="str">
        <f>"BELISARIO DOMINGUEZ Y AV. MEXICO                                                "</f>
        <v xml:space="preserve">BELISARIO DOMINGUEZ Y AV. MEXICO                                                </v>
      </c>
      <c r="F288" s="26" t="str">
        <f>"COYOACAN                                                                                                                                    "</f>
        <v xml:space="preserve">COYOACAN                                                                                                                                    </v>
      </c>
      <c r="G288" s="26" t="str">
        <f>"COYOACAN                                                                        "</f>
        <v xml:space="preserve">COYOACAN                                                                        </v>
      </c>
      <c r="H288" s="26" t="str">
        <f>"115"</f>
        <v>115</v>
      </c>
      <c r="I288" s="26" t="str">
        <f t="shared" si="37"/>
        <v>00</v>
      </c>
      <c r="J288" s="26" t="str">
        <f>"34 "</f>
        <v xml:space="preserve">34 </v>
      </c>
      <c r="K288" s="26" t="str">
        <f t="shared" si="41"/>
        <v>EP</v>
      </c>
      <c r="L288" s="26" t="str">
        <f t="shared" si="42"/>
        <v>DGOSE</v>
      </c>
      <c r="M288" s="26" t="str">
        <f t="shared" si="38"/>
        <v>FEDERAL</v>
      </c>
      <c r="N288" s="26">
        <v>214</v>
      </c>
      <c r="O288" s="26">
        <v>100</v>
      </c>
      <c r="P288" s="26">
        <v>114</v>
      </c>
      <c r="Q288" s="26">
        <v>7</v>
      </c>
      <c r="R288" s="26">
        <v>1</v>
      </c>
      <c r="S288" s="26">
        <v>7</v>
      </c>
      <c r="T288" s="26">
        <v>5</v>
      </c>
      <c r="U288" s="26">
        <v>13</v>
      </c>
      <c r="V288" s="26">
        <v>1</v>
      </c>
      <c r="W288" s="26" t="s">
        <v>2076</v>
      </c>
    </row>
    <row r="289" spans="1:23" x14ac:dyDescent="0.25">
      <c r="A289" s="26" t="str">
        <f t="shared" si="36"/>
        <v>PREESCOLAR</v>
      </c>
      <c r="B289" s="26" t="str">
        <f>"09DJN0351B"</f>
        <v>09DJN0351B</v>
      </c>
      <c r="C289" s="26" t="str">
        <f>"PIPILCALLI                                                                                          "</f>
        <v xml:space="preserve">PIPILCALLI                                                                                          </v>
      </c>
      <c r="D289" s="26" t="str">
        <f>"JORNADA AMPLIADA"</f>
        <v>JORNADA AMPLIADA</v>
      </c>
      <c r="E289" s="26" t="str">
        <f>"CALLE 8 NO. 78                                                                  "</f>
        <v xml:space="preserve">CALLE 8 NO. 78                                                                  </v>
      </c>
      <c r="F289" s="26" t="str">
        <f>"ESPARTACO                                                                                                                                   "</f>
        <v xml:space="preserve">ESPARTACO                                                                                                                                   </v>
      </c>
      <c r="G289" s="26" t="str">
        <f>"COYOACAN                                                                        "</f>
        <v xml:space="preserve">COYOACAN                                                                        </v>
      </c>
      <c r="H289" s="26" t="str">
        <f>"064"</f>
        <v>064</v>
      </c>
      <c r="I289" s="26" t="str">
        <f t="shared" si="37"/>
        <v>00</v>
      </c>
      <c r="J289" s="26" t="str">
        <f>"34 "</f>
        <v xml:space="preserve">34 </v>
      </c>
      <c r="K289" s="26" t="str">
        <f t="shared" si="41"/>
        <v>EP</v>
      </c>
      <c r="L289" s="26" t="str">
        <f t="shared" si="42"/>
        <v>DGOSE</v>
      </c>
      <c r="M289" s="26" t="str">
        <f t="shared" si="38"/>
        <v>FEDERAL</v>
      </c>
      <c r="N289" s="26">
        <v>145</v>
      </c>
      <c r="O289" s="26">
        <v>68</v>
      </c>
      <c r="P289" s="26">
        <v>77</v>
      </c>
      <c r="Q289" s="26">
        <v>5</v>
      </c>
      <c r="R289" s="26">
        <v>1</v>
      </c>
      <c r="S289" s="26">
        <v>5</v>
      </c>
      <c r="T289" s="26">
        <v>5</v>
      </c>
      <c r="U289" s="26">
        <v>11</v>
      </c>
      <c r="V289" s="26">
        <v>1</v>
      </c>
      <c r="W289" s="26" t="s">
        <v>2076</v>
      </c>
    </row>
    <row r="290" spans="1:23" x14ac:dyDescent="0.25">
      <c r="A290" s="26" t="str">
        <f t="shared" si="36"/>
        <v>PREESCOLAR</v>
      </c>
      <c r="B290" s="26" t="str">
        <f>"09DJN0352A"</f>
        <v>09DJN0352A</v>
      </c>
      <c r="C290" s="26" t="str">
        <f>"EVA SAMANO DE LOPEZ MATEOS                                                                          "</f>
        <v xml:space="preserve">EVA SAMANO DE LOPEZ MATEOS                                                                          </v>
      </c>
      <c r="D290" s="26" t="str">
        <f>"JORNADA AMPLIADA"</f>
        <v>JORNADA AMPLIADA</v>
      </c>
      <c r="E290" s="26" t="str">
        <f>"GUERRERO NO. 368                                                                "</f>
        <v xml:space="preserve">GUERRERO NO. 368                                                                </v>
      </c>
      <c r="F290" s="26" t="str">
        <f>"UNIDAD NONOALCO TLATELOLCO                                                                                                                  "</f>
        <v xml:space="preserve">UNIDAD NONOALCO TLATELOLCO                                                                                                                  </v>
      </c>
      <c r="G290" s="26" t="s">
        <v>4128</v>
      </c>
      <c r="H290" s="26" t="str">
        <f>"016"</f>
        <v>016</v>
      </c>
      <c r="I290" s="26" t="str">
        <f t="shared" si="37"/>
        <v>00</v>
      </c>
      <c r="J290" s="26" t="str">
        <f>"31 "</f>
        <v xml:space="preserve">31 </v>
      </c>
      <c r="K290" s="26" t="str">
        <f t="shared" si="41"/>
        <v>EP</v>
      </c>
      <c r="L290" s="26" t="str">
        <f t="shared" si="42"/>
        <v>DGOSE</v>
      </c>
      <c r="M290" s="26" t="str">
        <f t="shared" si="38"/>
        <v>FEDERAL</v>
      </c>
      <c r="N290" s="26">
        <v>116</v>
      </c>
      <c r="O290" s="26">
        <v>55</v>
      </c>
      <c r="P290" s="26">
        <v>61</v>
      </c>
      <c r="Q290" s="26">
        <v>5</v>
      </c>
      <c r="R290" s="26">
        <v>1</v>
      </c>
      <c r="S290" s="26">
        <v>5</v>
      </c>
      <c r="T290" s="26">
        <v>6</v>
      </c>
      <c r="U290" s="26">
        <v>12</v>
      </c>
      <c r="V290" s="26">
        <v>1</v>
      </c>
      <c r="W290" s="26" t="s">
        <v>2076</v>
      </c>
    </row>
    <row r="291" spans="1:23" x14ac:dyDescent="0.25">
      <c r="A291" s="26" t="str">
        <f t="shared" si="36"/>
        <v>PREESCOLAR</v>
      </c>
      <c r="B291" s="26" t="str">
        <f>"09DJN0353Z"</f>
        <v>09DJN0353Z</v>
      </c>
      <c r="C291" s="26" t="str">
        <f>"TTE. SANTIAGO XICOTENCATL                                                                           "</f>
        <v xml:space="preserve">TTE. SANTIAGO XICOTENCATL                                                                           </v>
      </c>
      <c r="D291" s="26" t="str">
        <f>"JORNADA AMPLIADA"</f>
        <v>JORNADA AMPLIADA</v>
      </c>
      <c r="E291" s="26" t="str">
        <f>"ORIENTE 178-A NO. 304                                                           "</f>
        <v xml:space="preserve">ORIENTE 178-A NO. 304                                                           </v>
      </c>
      <c r="F291" s="26" t="str">
        <f>"UNIDAD MODELO                                                                                                                               "</f>
        <v xml:space="preserve">UNIDAD MODELO                                                                                                                               </v>
      </c>
      <c r="G291" s="26" t="str">
        <f>"IZTAPALAPA                                                                      "</f>
        <v xml:space="preserve">IZTAPALAPA                                                                      </v>
      </c>
      <c r="H291" s="26" t="str">
        <f>"002"</f>
        <v>002</v>
      </c>
      <c r="I291" s="26" t="str">
        <f t="shared" si="37"/>
        <v>00</v>
      </c>
      <c r="J291" s="26" t="str">
        <f>"61 "</f>
        <v xml:space="preserve">61 </v>
      </c>
      <c r="K291" s="26" t="str">
        <f>"IZ"</f>
        <v>IZ</v>
      </c>
      <c r="L291" s="26" t="str">
        <f>"DGSEI"</f>
        <v>DGSEI</v>
      </c>
      <c r="M291" s="26" t="str">
        <f t="shared" si="38"/>
        <v>FEDERAL</v>
      </c>
      <c r="N291" s="26">
        <v>69</v>
      </c>
      <c r="O291" s="26">
        <v>25</v>
      </c>
      <c r="P291" s="26">
        <v>44</v>
      </c>
      <c r="Q291" s="26">
        <v>3</v>
      </c>
      <c r="R291" s="26">
        <v>1</v>
      </c>
      <c r="S291" s="26">
        <v>3</v>
      </c>
      <c r="T291" s="26">
        <v>5</v>
      </c>
      <c r="U291" s="26">
        <v>9</v>
      </c>
      <c r="V291" s="26">
        <v>1</v>
      </c>
      <c r="W291" s="26" t="s">
        <v>2076</v>
      </c>
    </row>
    <row r="292" spans="1:23" x14ac:dyDescent="0.25">
      <c r="A292" s="26" t="str">
        <f t="shared" si="36"/>
        <v>PREESCOLAR</v>
      </c>
      <c r="B292" s="26" t="str">
        <f>"09DJN0354Z"</f>
        <v>09DJN0354Z</v>
      </c>
      <c r="C292" s="26" t="str">
        <f>"VASCO DE QUIROGA                                                                                    "</f>
        <v xml:space="preserve">VASCO DE QUIROGA                                                                                    </v>
      </c>
      <c r="D292" s="26" t="str">
        <f>"MATUTINO"</f>
        <v>MATUTINO</v>
      </c>
      <c r="E292" s="26" t="str">
        <f>"CORREGIDORA NO. 3                                                               "</f>
        <v xml:space="preserve">CORREGIDORA NO. 3                                                               </v>
      </c>
      <c r="F292" s="26" t="str">
        <f>"SANTA FE                                                                                                                                    "</f>
        <v xml:space="preserve">SANTA FE                                                                                                                                    </v>
      </c>
      <c r="G292" s="26" t="str">
        <f>"ALVARO OBREGON                                                                  "</f>
        <v xml:space="preserve">ALVARO OBREGON                                                                  </v>
      </c>
      <c r="H292" s="26" t="str">
        <f>"166"</f>
        <v>166</v>
      </c>
      <c r="I292" s="26" t="str">
        <f t="shared" si="37"/>
        <v>00</v>
      </c>
      <c r="J292" s="26" t="str">
        <f>"33 "</f>
        <v xml:space="preserve">33 </v>
      </c>
      <c r="K292" s="26" t="str">
        <f t="shared" ref="K292:K297" si="43">"EP"</f>
        <v>EP</v>
      </c>
      <c r="L292" s="26" t="str">
        <f t="shared" ref="L292:L297" si="44">"DGOSE"</f>
        <v>DGOSE</v>
      </c>
      <c r="M292" s="26" t="str">
        <f t="shared" si="38"/>
        <v>FEDERAL</v>
      </c>
      <c r="N292" s="26">
        <v>194</v>
      </c>
      <c r="O292" s="26">
        <v>91</v>
      </c>
      <c r="P292" s="26">
        <v>103</v>
      </c>
      <c r="Q292" s="26">
        <v>6</v>
      </c>
      <c r="R292" s="26">
        <v>1</v>
      </c>
      <c r="S292" s="26">
        <v>6</v>
      </c>
      <c r="T292" s="26">
        <v>5</v>
      </c>
      <c r="U292" s="26">
        <v>12</v>
      </c>
      <c r="V292" s="26">
        <v>1</v>
      </c>
      <c r="W292" s="26"/>
    </row>
    <row r="293" spans="1:23" x14ac:dyDescent="0.25">
      <c r="A293" s="26" t="str">
        <f t="shared" si="36"/>
        <v>PREESCOLAR</v>
      </c>
      <c r="B293" s="26" t="str">
        <f>"09DJN0356X"</f>
        <v>09DJN0356X</v>
      </c>
      <c r="C293" s="26" t="str">
        <f>"REFUGIO CLEMENTE OROZCO                                                                             "</f>
        <v xml:space="preserve">REFUGIO CLEMENTE OROZCO                                                                             </v>
      </c>
      <c r="D293" s="26" t="str">
        <f>"JORNADA AMPLIADA"</f>
        <v>JORNADA AMPLIADA</v>
      </c>
      <c r="E293" s="26" t="str">
        <f>"CALZ. DE TLALPAN NO. 1090                                                       "</f>
        <v xml:space="preserve">CALZ. DE TLALPAN NO. 1090                                                       </v>
      </c>
      <c r="F293" s="26" t="str">
        <f>"NATIVITAS                                                                                                                                   "</f>
        <v xml:space="preserve">NATIVITAS                                                                                                                                   </v>
      </c>
      <c r="G293" s="26" t="str">
        <f>"BENITO JUAREZ                                                                   "</f>
        <v xml:space="preserve">BENITO JUAREZ                                                                   </v>
      </c>
      <c r="H293" s="26" t="str">
        <f>"034"</f>
        <v>034</v>
      </c>
      <c r="I293" s="26" t="str">
        <f t="shared" si="37"/>
        <v>00</v>
      </c>
      <c r="J293" s="26" t="str">
        <f>"34 "</f>
        <v xml:space="preserve">34 </v>
      </c>
      <c r="K293" s="26" t="str">
        <f t="shared" si="43"/>
        <v>EP</v>
      </c>
      <c r="L293" s="26" t="str">
        <f t="shared" si="44"/>
        <v>DGOSE</v>
      </c>
      <c r="M293" s="26" t="str">
        <f t="shared" si="38"/>
        <v>FEDERAL</v>
      </c>
      <c r="N293" s="26">
        <v>83</v>
      </c>
      <c r="O293" s="26">
        <v>49</v>
      </c>
      <c r="P293" s="26">
        <v>34</v>
      </c>
      <c r="Q293" s="26">
        <v>4</v>
      </c>
      <c r="R293" s="26">
        <v>1</v>
      </c>
      <c r="S293" s="26">
        <v>4</v>
      </c>
      <c r="T293" s="26">
        <v>5</v>
      </c>
      <c r="U293" s="26">
        <v>10</v>
      </c>
      <c r="V293" s="26">
        <v>1</v>
      </c>
      <c r="W293" s="26" t="s">
        <v>2076</v>
      </c>
    </row>
    <row r="294" spans="1:23" x14ac:dyDescent="0.25">
      <c r="A294" s="26" t="str">
        <f t="shared" si="36"/>
        <v>PREESCOLAR</v>
      </c>
      <c r="B294" s="26" t="str">
        <f>"09DJN0358V"</f>
        <v>09DJN0358V</v>
      </c>
      <c r="C294" s="26" t="str">
        <f>"BENITO JUAREZ                                                                                       "</f>
        <v xml:space="preserve">BENITO JUAREZ                                                                                       </v>
      </c>
      <c r="D294" s="26" t="str">
        <f>"JORNADA AMPLIADA"</f>
        <v>JORNADA AMPLIADA</v>
      </c>
      <c r="E294" s="26" t="str">
        <f>"CALLEJON DE HUIHUITITLA S/N                                                     "</f>
        <v xml:space="preserve">CALLEJON DE HUIHUITITLA S/N                                                     </v>
      </c>
      <c r="F294" s="26" t="str">
        <f>"CUADRANTE DE SAN FRANCISCO                                                                                                                  "</f>
        <v xml:space="preserve">CUADRANTE DE SAN FRANCISCO                                                                                                                  </v>
      </c>
      <c r="G294" s="26" t="str">
        <f>"COYOACAN                                                                        "</f>
        <v xml:space="preserve">COYOACAN                                                                        </v>
      </c>
      <c r="H294" s="26" t="str">
        <f>"044"</f>
        <v>044</v>
      </c>
      <c r="I294" s="26" t="str">
        <f t="shared" si="37"/>
        <v>00</v>
      </c>
      <c r="J294" s="26" t="str">
        <f>"34 "</f>
        <v xml:space="preserve">34 </v>
      </c>
      <c r="K294" s="26" t="str">
        <f t="shared" si="43"/>
        <v>EP</v>
      </c>
      <c r="L294" s="26" t="str">
        <f t="shared" si="44"/>
        <v>DGOSE</v>
      </c>
      <c r="M294" s="26" t="str">
        <f t="shared" si="38"/>
        <v>FEDERAL</v>
      </c>
      <c r="N294" s="26">
        <v>71</v>
      </c>
      <c r="O294" s="26">
        <v>37</v>
      </c>
      <c r="P294" s="26">
        <v>34</v>
      </c>
      <c r="Q294" s="26">
        <v>3</v>
      </c>
      <c r="R294" s="26">
        <v>1</v>
      </c>
      <c r="S294" s="26">
        <v>2</v>
      </c>
      <c r="T294" s="26">
        <v>4</v>
      </c>
      <c r="U294" s="26">
        <v>7</v>
      </c>
      <c r="V294" s="26">
        <v>1</v>
      </c>
      <c r="W294" s="26" t="s">
        <v>2076</v>
      </c>
    </row>
    <row r="295" spans="1:23" x14ac:dyDescent="0.25">
      <c r="A295" s="26" t="str">
        <f t="shared" si="36"/>
        <v>PREESCOLAR</v>
      </c>
      <c r="B295" s="26" t="str">
        <f>"09DJN0359U"</f>
        <v>09DJN0359U</v>
      </c>
      <c r="C295" s="26" t="str">
        <f>"MATEANA M DE AVELEYRA                                                                               "</f>
        <v xml:space="preserve">MATEANA M DE AVELEYRA                                                                               </v>
      </c>
      <c r="D295" s="26" t="str">
        <f>"JORNADA AMPLIADA"</f>
        <v>JORNADA AMPLIADA</v>
      </c>
      <c r="E295" s="26" t="str">
        <f>"CALZ. DE TLALPAN Y EMPERADORES S/N                                              "</f>
        <v xml:space="preserve">CALZ. DE TLALPAN Y EMPERADORES S/N                                              </v>
      </c>
      <c r="F295" s="26" t="str">
        <f>"PORTALES                                                                                                                                    "</f>
        <v xml:space="preserve">PORTALES                                                                                                                                    </v>
      </c>
      <c r="G295" s="26" t="str">
        <f>"BENITO JUAREZ                                                                   "</f>
        <v xml:space="preserve">BENITO JUAREZ                                                                   </v>
      </c>
      <c r="H295" s="26" t="str">
        <f>"228"</f>
        <v>228</v>
      </c>
      <c r="I295" s="26" t="str">
        <f t="shared" si="37"/>
        <v>00</v>
      </c>
      <c r="J295" s="26" t="str">
        <f>"34 "</f>
        <v xml:space="preserve">34 </v>
      </c>
      <c r="K295" s="26" t="str">
        <f t="shared" si="43"/>
        <v>EP</v>
      </c>
      <c r="L295" s="26" t="str">
        <f t="shared" si="44"/>
        <v>DGOSE</v>
      </c>
      <c r="M295" s="26" t="str">
        <f t="shared" si="38"/>
        <v>FEDERAL</v>
      </c>
      <c r="N295" s="26">
        <v>169</v>
      </c>
      <c r="O295" s="26">
        <v>89</v>
      </c>
      <c r="P295" s="26">
        <v>80</v>
      </c>
      <c r="Q295" s="26">
        <v>6</v>
      </c>
      <c r="R295" s="26">
        <v>1</v>
      </c>
      <c r="S295" s="26">
        <v>6</v>
      </c>
      <c r="T295" s="26">
        <v>9</v>
      </c>
      <c r="U295" s="26">
        <v>16</v>
      </c>
      <c r="V295" s="26">
        <v>1</v>
      </c>
      <c r="W295" s="26" t="s">
        <v>2076</v>
      </c>
    </row>
    <row r="296" spans="1:23" x14ac:dyDescent="0.25">
      <c r="A296" s="26" t="str">
        <f t="shared" si="36"/>
        <v>PREESCOLAR</v>
      </c>
      <c r="B296" s="26" t="str">
        <f>"09DJN0360J"</f>
        <v>09DJN0360J</v>
      </c>
      <c r="C296" s="26" t="str">
        <f>"PATRIA                                                                                              "</f>
        <v xml:space="preserve">PATRIA                                                                                              </v>
      </c>
      <c r="D296" s="26" t="str">
        <f>"TIEMPO COMPLETO"</f>
        <v>TIEMPO COMPLETO</v>
      </c>
      <c r="E296" s="26" t="str">
        <f>"BELGICA Y REPUBLICAS S/N                                                        "</f>
        <v xml:space="preserve">BELGICA Y REPUBLICAS S/N                                                        </v>
      </c>
      <c r="F296" s="26" t="str">
        <f>"PORTALES                                                                                                                                    "</f>
        <v xml:space="preserve">PORTALES                                                                                                                                    </v>
      </c>
      <c r="G296" s="26" t="str">
        <f>"BENITO JUAREZ                                                                   "</f>
        <v xml:space="preserve">BENITO JUAREZ                                                                   </v>
      </c>
      <c r="H296" s="26" t="str">
        <f>"228"</f>
        <v>228</v>
      </c>
      <c r="I296" s="26" t="str">
        <f t="shared" si="37"/>
        <v>00</v>
      </c>
      <c r="J296" s="26" t="str">
        <f>"34 "</f>
        <v xml:space="preserve">34 </v>
      </c>
      <c r="K296" s="26" t="str">
        <f t="shared" si="43"/>
        <v>EP</v>
      </c>
      <c r="L296" s="26" t="str">
        <f t="shared" si="44"/>
        <v>DGOSE</v>
      </c>
      <c r="M296" s="26" t="str">
        <f t="shared" si="38"/>
        <v>FEDERAL</v>
      </c>
      <c r="N296" s="26">
        <v>149</v>
      </c>
      <c r="O296" s="26">
        <v>79</v>
      </c>
      <c r="P296" s="26">
        <v>70</v>
      </c>
      <c r="Q296" s="26">
        <v>5</v>
      </c>
      <c r="R296" s="26">
        <v>2</v>
      </c>
      <c r="S296" s="26">
        <v>5</v>
      </c>
      <c r="T296" s="26">
        <v>13</v>
      </c>
      <c r="U296" s="26">
        <v>20</v>
      </c>
      <c r="V296" s="26">
        <v>1</v>
      </c>
      <c r="W296" s="26" t="s">
        <v>218</v>
      </c>
    </row>
    <row r="297" spans="1:23" x14ac:dyDescent="0.25">
      <c r="A297" s="26" t="str">
        <f t="shared" si="36"/>
        <v>PREESCOLAR</v>
      </c>
      <c r="B297" s="26" t="str">
        <f>"09DJN0361I"</f>
        <v>09DJN0361I</v>
      </c>
      <c r="C297" s="26" t="str">
        <f>"LIC. ALEJANDRO QUIJANO                                                                              "</f>
        <v xml:space="preserve">LIC. ALEJANDRO QUIJANO                                                                              </v>
      </c>
      <c r="D297" s="26" t="str">
        <f>"JORNADA AMPLIADA"</f>
        <v>JORNADA AMPLIADA</v>
      </c>
      <c r="E297" s="26" t="str">
        <f>"AV. DE LOS MONTES NO. 14                                                        "</f>
        <v xml:space="preserve">AV. DE LOS MONTES NO. 14                                                        </v>
      </c>
      <c r="F297" s="26" t="str">
        <f>"MIRAVALLE                                                                                                                                   "</f>
        <v xml:space="preserve">MIRAVALLE                                                                                                                                   </v>
      </c>
      <c r="G297" s="26" t="str">
        <f>"BENITO JUAREZ                                                                   "</f>
        <v xml:space="preserve">BENITO JUAREZ                                                                   </v>
      </c>
      <c r="H297" s="26" t="str">
        <f>"034"</f>
        <v>034</v>
      </c>
      <c r="I297" s="26" t="str">
        <f t="shared" si="37"/>
        <v>00</v>
      </c>
      <c r="J297" s="26" t="str">
        <f>"34 "</f>
        <v xml:space="preserve">34 </v>
      </c>
      <c r="K297" s="26" t="str">
        <f t="shared" si="43"/>
        <v>EP</v>
      </c>
      <c r="L297" s="26" t="str">
        <f t="shared" si="44"/>
        <v>DGOSE</v>
      </c>
      <c r="M297" s="26" t="str">
        <f t="shared" si="38"/>
        <v>FEDERAL</v>
      </c>
      <c r="N297" s="26">
        <v>108</v>
      </c>
      <c r="O297" s="26">
        <v>54</v>
      </c>
      <c r="P297" s="26">
        <v>54</v>
      </c>
      <c r="Q297" s="26">
        <v>4</v>
      </c>
      <c r="R297" s="26">
        <v>1</v>
      </c>
      <c r="S297" s="26">
        <v>4</v>
      </c>
      <c r="T297" s="26">
        <v>4</v>
      </c>
      <c r="U297" s="26">
        <v>9</v>
      </c>
      <c r="V297" s="26">
        <v>1</v>
      </c>
      <c r="W297" s="26" t="s">
        <v>2076</v>
      </c>
    </row>
    <row r="298" spans="1:23" x14ac:dyDescent="0.25">
      <c r="A298" s="26" t="str">
        <f t="shared" si="36"/>
        <v>PREESCOLAR</v>
      </c>
      <c r="B298" s="26" t="str">
        <f>"09DJN0362H"</f>
        <v>09DJN0362H</v>
      </c>
      <c r="C298" s="26" t="str">
        <f>"CITLALTEPETL                                                                                        "</f>
        <v xml:space="preserve">CITLALTEPETL                                                                                        </v>
      </c>
      <c r="D298" s="26" t="str">
        <f>"MATUTINO"</f>
        <v>MATUTINO</v>
      </c>
      <c r="E298" s="26" t="str">
        <f>"ISIDRO SERNA NO. 2 Y RAFAEL SIERRA                                              "</f>
        <v xml:space="preserve">ISIDRO SERNA NO. 2 Y RAFAEL SIERRA                                              </v>
      </c>
      <c r="F298" s="26" t="str">
        <f>"PARAJE SAN JUAN                                                                                                                             "</f>
        <v xml:space="preserve">PARAJE SAN JUAN                                                                                                                             </v>
      </c>
      <c r="G298" s="26" t="str">
        <f>"IZTAPALAPA                                                                      "</f>
        <v xml:space="preserve">IZTAPALAPA                                                                      </v>
      </c>
      <c r="H298" s="26" t="str">
        <f>"028"</f>
        <v>028</v>
      </c>
      <c r="I298" s="26" t="str">
        <f t="shared" si="37"/>
        <v>00</v>
      </c>
      <c r="J298" s="26" t="str">
        <f>"63 "</f>
        <v xml:space="preserve">63 </v>
      </c>
      <c r="K298" s="26" t="str">
        <f>"IZ"</f>
        <v>IZ</v>
      </c>
      <c r="L298" s="26" t="str">
        <f>"DGSEI"</f>
        <v>DGSEI</v>
      </c>
      <c r="M298" s="26" t="str">
        <f t="shared" si="38"/>
        <v>FEDERAL</v>
      </c>
      <c r="N298" s="26">
        <v>160</v>
      </c>
      <c r="O298" s="26">
        <v>80</v>
      </c>
      <c r="P298" s="26">
        <v>80</v>
      </c>
      <c r="Q298" s="26">
        <v>5</v>
      </c>
      <c r="R298" s="26">
        <v>1</v>
      </c>
      <c r="S298" s="26">
        <v>5</v>
      </c>
      <c r="T298" s="26">
        <v>3</v>
      </c>
      <c r="U298" s="26">
        <v>9</v>
      </c>
      <c r="V298" s="26">
        <v>1</v>
      </c>
      <c r="W298" s="26"/>
    </row>
    <row r="299" spans="1:23" x14ac:dyDescent="0.25">
      <c r="A299" s="26" t="str">
        <f t="shared" si="36"/>
        <v>PREESCOLAR</v>
      </c>
      <c r="B299" s="26" t="str">
        <f>"09DJN0363G"</f>
        <v>09DJN0363G</v>
      </c>
      <c r="C299" s="26" t="str">
        <f>"ARTEMIO DEL VALLE ARIZPE                                                                            "</f>
        <v xml:space="preserve">ARTEMIO DEL VALLE ARIZPE                                                                            </v>
      </c>
      <c r="D299" s="26" t="str">
        <f>"MATUTINO"</f>
        <v>MATUTINO</v>
      </c>
      <c r="E299" s="26" t="str">
        <f>"FRANCISCO SARABIA S/N                                                           "</f>
        <v xml:space="preserve">FRANCISCO SARABIA S/N                                                           </v>
      </c>
      <c r="F299" s="26" t="str">
        <f>"SANTA MARTHA ACATITLA                                                                                                                       "</f>
        <v xml:space="preserve">SANTA MARTHA ACATITLA                                                                                                                       </v>
      </c>
      <c r="G299" s="26" t="str">
        <f>"IZTAPALAPA                                                                      "</f>
        <v xml:space="preserve">IZTAPALAPA                                                                      </v>
      </c>
      <c r="H299" s="26" t="str">
        <f>"017"</f>
        <v>017</v>
      </c>
      <c r="I299" s="26" t="str">
        <f t="shared" si="37"/>
        <v>00</v>
      </c>
      <c r="J299" s="26" t="str">
        <f>"62 "</f>
        <v xml:space="preserve">62 </v>
      </c>
      <c r="K299" s="26" t="str">
        <f>"IZ"</f>
        <v>IZ</v>
      </c>
      <c r="L299" s="26" t="str">
        <f>"DGSEI"</f>
        <v>DGSEI</v>
      </c>
      <c r="M299" s="26" t="str">
        <f t="shared" si="38"/>
        <v>FEDERAL</v>
      </c>
      <c r="N299" s="26">
        <v>197</v>
      </c>
      <c r="O299" s="26">
        <v>98</v>
      </c>
      <c r="P299" s="26">
        <v>99</v>
      </c>
      <c r="Q299" s="26">
        <v>6</v>
      </c>
      <c r="R299" s="26">
        <v>1</v>
      </c>
      <c r="S299" s="26">
        <v>6</v>
      </c>
      <c r="T299" s="26">
        <v>3</v>
      </c>
      <c r="U299" s="26">
        <v>10</v>
      </c>
      <c r="V299" s="26">
        <v>1</v>
      </c>
      <c r="W299" s="26"/>
    </row>
    <row r="300" spans="1:23" x14ac:dyDescent="0.25">
      <c r="A300" s="26" t="str">
        <f t="shared" si="36"/>
        <v>PREESCOLAR</v>
      </c>
      <c r="B300" s="26" t="str">
        <f>"09DJN0364F"</f>
        <v>09DJN0364F</v>
      </c>
      <c r="C300" s="26" t="str">
        <f>"PEDRO PABLO RUBENS                                                                                  "</f>
        <v xml:space="preserve">PEDRO PABLO RUBENS                                                                                  </v>
      </c>
      <c r="D300" s="26" t="str">
        <f>"MATUTINO"</f>
        <v>MATUTINO</v>
      </c>
      <c r="E300" s="26" t="str">
        <f>"TRINIDAD S/N                                                                    "</f>
        <v xml:space="preserve">TRINIDAD S/N                                                                    </v>
      </c>
      <c r="F300" s="26" t="str">
        <f>"SAN LORENZO XICOTENCATL                                                                                                                     "</f>
        <v xml:space="preserve">SAN LORENZO XICOTENCATL                                                                                                                     </v>
      </c>
      <c r="G300" s="26" t="str">
        <f>"IZTAPALAPA                                                                      "</f>
        <v xml:space="preserve">IZTAPALAPA                                                                      </v>
      </c>
      <c r="H300" s="26" t="str">
        <f>"016"</f>
        <v>016</v>
      </c>
      <c r="I300" s="26" t="str">
        <f t="shared" si="37"/>
        <v>00</v>
      </c>
      <c r="J300" s="26" t="str">
        <f>"62 "</f>
        <v xml:space="preserve">62 </v>
      </c>
      <c r="K300" s="26" t="str">
        <f>"IZ"</f>
        <v>IZ</v>
      </c>
      <c r="L300" s="26" t="str">
        <f>"DGSEI"</f>
        <v>DGSEI</v>
      </c>
      <c r="M300" s="26" t="str">
        <f t="shared" si="38"/>
        <v>FEDERAL</v>
      </c>
      <c r="N300" s="26">
        <v>201</v>
      </c>
      <c r="O300" s="26">
        <v>95</v>
      </c>
      <c r="P300" s="26">
        <v>106</v>
      </c>
      <c r="Q300" s="26">
        <v>6</v>
      </c>
      <c r="R300" s="26">
        <v>1</v>
      </c>
      <c r="S300" s="26">
        <v>6</v>
      </c>
      <c r="T300" s="26">
        <v>4</v>
      </c>
      <c r="U300" s="26">
        <v>11</v>
      </c>
      <c r="V300" s="26">
        <v>1</v>
      </c>
      <c r="W300" s="26"/>
    </row>
    <row r="301" spans="1:23" x14ac:dyDescent="0.25">
      <c r="A301" s="26" t="str">
        <f t="shared" si="36"/>
        <v>PREESCOLAR</v>
      </c>
      <c r="B301" s="26" t="str">
        <f>"09DJN0365E"</f>
        <v>09DJN0365E</v>
      </c>
      <c r="C301" s="26" t="str">
        <f>"MIGUEL F. MARTINEZ                                                                                  "</f>
        <v xml:space="preserve">MIGUEL F. MARTINEZ                                                                                  </v>
      </c>
      <c r="D301" s="26" t="str">
        <f>"MATUTINO"</f>
        <v>MATUTINO</v>
      </c>
      <c r="E301" s="26" t="str">
        <f>"ESTRELLA S/N                                                                    "</f>
        <v xml:space="preserve">ESTRELLA S/N                                                                    </v>
      </c>
      <c r="F301" s="26" t="str">
        <f>"BARRIO SAN PABLO                                                                                                                            "</f>
        <v xml:space="preserve">BARRIO SAN PABLO                                                                                                                            </v>
      </c>
      <c r="G301" s="26" t="str">
        <f>"IZTAPALAPA                                                                      "</f>
        <v xml:space="preserve">IZTAPALAPA                                                                      </v>
      </c>
      <c r="H301" s="26" t="str">
        <f>"022"</f>
        <v>022</v>
      </c>
      <c r="I301" s="26" t="str">
        <f t="shared" si="37"/>
        <v>00</v>
      </c>
      <c r="J301" s="26" t="str">
        <f>"63 "</f>
        <v xml:space="preserve">63 </v>
      </c>
      <c r="K301" s="26" t="str">
        <f>"IZ"</f>
        <v>IZ</v>
      </c>
      <c r="L301" s="26" t="str">
        <f>"DGSEI"</f>
        <v>DGSEI</v>
      </c>
      <c r="M301" s="26" t="str">
        <f t="shared" si="38"/>
        <v>FEDERAL</v>
      </c>
      <c r="N301" s="26">
        <v>210</v>
      </c>
      <c r="O301" s="26">
        <v>108</v>
      </c>
      <c r="P301" s="26">
        <v>102</v>
      </c>
      <c r="Q301" s="26">
        <v>6</v>
      </c>
      <c r="R301" s="26">
        <v>1</v>
      </c>
      <c r="S301" s="26">
        <v>6</v>
      </c>
      <c r="T301" s="26">
        <v>5</v>
      </c>
      <c r="U301" s="26">
        <v>12</v>
      </c>
      <c r="V301" s="26">
        <v>1</v>
      </c>
      <c r="W301" s="26"/>
    </row>
    <row r="302" spans="1:23" x14ac:dyDescent="0.25">
      <c r="A302" s="26" t="str">
        <f t="shared" si="36"/>
        <v>PREESCOLAR</v>
      </c>
      <c r="B302" s="26" t="str">
        <f>"09DJN0366D"</f>
        <v>09DJN0366D</v>
      </c>
      <c r="C302" s="26" t="str">
        <f>"AÑO DE LA CONSTITUCION                                                                              "</f>
        <v xml:space="preserve">AÑO DE LA CONSTITUCION                                                                              </v>
      </c>
      <c r="D302" s="26" t="str">
        <f>"JORNADA AMPLIADA"</f>
        <v>JORNADA AMPLIADA</v>
      </c>
      <c r="E302" s="26" t="str">
        <f>"LEGUMINOSAS S/N ESQ. ARNESES                                                    "</f>
        <v xml:space="preserve">LEGUMINOSAS S/N ESQ. ARNESES                                                    </v>
      </c>
      <c r="F302" s="26" t="str">
        <f>"VALLE DEL SUR                                                                                                                               "</f>
        <v xml:space="preserve">VALLE DEL SUR                                                                                                                               </v>
      </c>
      <c r="G302" s="26" t="str">
        <f>"IZTAPALAPA                                                                      "</f>
        <v xml:space="preserve">IZTAPALAPA                                                                      </v>
      </c>
      <c r="H302" s="26" t="str">
        <f>"004"</f>
        <v>004</v>
      </c>
      <c r="I302" s="26" t="str">
        <f t="shared" si="37"/>
        <v>00</v>
      </c>
      <c r="J302" s="26" t="str">
        <f>"61 "</f>
        <v xml:space="preserve">61 </v>
      </c>
      <c r="K302" s="26" t="str">
        <f>"IZ"</f>
        <v>IZ</v>
      </c>
      <c r="L302" s="26" t="str">
        <f>"DGSEI"</f>
        <v>DGSEI</v>
      </c>
      <c r="M302" s="26" t="str">
        <f t="shared" si="38"/>
        <v>FEDERAL</v>
      </c>
      <c r="N302" s="26">
        <v>154</v>
      </c>
      <c r="O302" s="26">
        <v>92</v>
      </c>
      <c r="P302" s="26">
        <v>62</v>
      </c>
      <c r="Q302" s="26">
        <v>5</v>
      </c>
      <c r="R302" s="26">
        <v>1</v>
      </c>
      <c r="S302" s="26">
        <v>5</v>
      </c>
      <c r="T302" s="26">
        <v>5</v>
      </c>
      <c r="U302" s="26">
        <v>11</v>
      </c>
      <c r="V302" s="26">
        <v>1</v>
      </c>
      <c r="W302" s="26" t="s">
        <v>2076</v>
      </c>
    </row>
    <row r="303" spans="1:23" x14ac:dyDescent="0.25">
      <c r="A303" s="26" t="str">
        <f t="shared" si="36"/>
        <v>PREESCOLAR</v>
      </c>
      <c r="B303" s="26" t="str">
        <f>"09DJN0367C"</f>
        <v>09DJN0367C</v>
      </c>
      <c r="C303" s="26" t="str">
        <f>"JOSE MARIA PINO SUAREZ                                                                              "</f>
        <v xml:space="preserve">JOSE MARIA PINO SUAREZ                                                                              </v>
      </c>
      <c r="D303" s="26" t="str">
        <f>"MATUTINO"</f>
        <v>MATUTINO</v>
      </c>
      <c r="E303" s="26" t="str">
        <f>"CASTILLO LEDON S/N                                                              "</f>
        <v xml:space="preserve">CASTILLO LEDON S/N                                                              </v>
      </c>
      <c r="F303" s="26" t="str">
        <f>"CUAJIMALPA                                                                                                                                  "</f>
        <v xml:space="preserve">CUAJIMALPA                                                                                                                                  </v>
      </c>
      <c r="G303" s="26" t="str">
        <f>"CUAJIMALPA DE MORELOS                                                           "</f>
        <v xml:space="preserve">CUAJIMALPA DE MORELOS                                                           </v>
      </c>
      <c r="H303" s="26" t="str">
        <f>"151"</f>
        <v>151</v>
      </c>
      <c r="I303" s="26" t="str">
        <f t="shared" si="37"/>
        <v>00</v>
      </c>
      <c r="J303" s="26" t="str">
        <f>"33 "</f>
        <v xml:space="preserve">33 </v>
      </c>
      <c r="K303" s="26" t="str">
        <f t="shared" ref="K303:K312" si="45">"EP"</f>
        <v>EP</v>
      </c>
      <c r="L303" s="26" t="str">
        <f t="shared" ref="L303:L312" si="46">"DGOSE"</f>
        <v>DGOSE</v>
      </c>
      <c r="M303" s="26" t="str">
        <f t="shared" si="38"/>
        <v>FEDERAL</v>
      </c>
      <c r="N303" s="26">
        <v>288</v>
      </c>
      <c r="O303" s="26">
        <v>137</v>
      </c>
      <c r="P303" s="26">
        <v>151</v>
      </c>
      <c r="Q303" s="26">
        <v>9</v>
      </c>
      <c r="R303" s="26">
        <v>1</v>
      </c>
      <c r="S303" s="26">
        <v>7</v>
      </c>
      <c r="T303" s="26">
        <v>4</v>
      </c>
      <c r="U303" s="26">
        <v>12</v>
      </c>
      <c r="V303" s="26">
        <v>1</v>
      </c>
      <c r="W303" s="26"/>
    </row>
    <row r="304" spans="1:23" x14ac:dyDescent="0.25">
      <c r="A304" s="26" t="str">
        <f t="shared" si="36"/>
        <v>PREESCOLAR</v>
      </c>
      <c r="B304" s="26" t="str">
        <f>"09DJN0368B"</f>
        <v>09DJN0368B</v>
      </c>
      <c r="C304" s="26" t="str">
        <f>"FRANCISCO ZARCO                                                                                     "</f>
        <v xml:space="preserve">FRANCISCO ZARCO                                                                                     </v>
      </c>
      <c r="D304" s="26" t="str">
        <f>"JORNADA AMPLIADA"</f>
        <v>JORNADA AMPLIADA</v>
      </c>
      <c r="E304" s="26" t="str">
        <f>"CALZ. SAN JUAN DE ARAGON S/N                                                    "</f>
        <v xml:space="preserve">CALZ. SAN JUAN DE ARAGON S/N                                                    </v>
      </c>
      <c r="F304" s="26" t="str">
        <f>"SAN JUAN DE ARAGON                                                                                                                          "</f>
        <v xml:space="preserve">SAN JUAN DE ARAGON                                                                                                                          </v>
      </c>
      <c r="G304" s="26" t="str">
        <f>"GUSTAVO A. MADERO                                                               "</f>
        <v xml:space="preserve">GUSTAVO A. MADERO                                                               </v>
      </c>
      <c r="H304" s="26" t="str">
        <f>"063"</f>
        <v>063</v>
      </c>
      <c r="I304" s="26" t="str">
        <f t="shared" si="37"/>
        <v>00</v>
      </c>
      <c r="J304" s="26" t="str">
        <f>"31 "</f>
        <v xml:space="preserve">31 </v>
      </c>
      <c r="K304" s="26" t="str">
        <f t="shared" si="45"/>
        <v>EP</v>
      </c>
      <c r="L304" s="26" t="str">
        <f t="shared" si="46"/>
        <v>DGOSE</v>
      </c>
      <c r="M304" s="26" t="str">
        <f t="shared" si="38"/>
        <v>FEDERAL</v>
      </c>
      <c r="N304" s="26">
        <v>112</v>
      </c>
      <c r="O304" s="26">
        <v>64</v>
      </c>
      <c r="P304" s="26">
        <v>48</v>
      </c>
      <c r="Q304" s="26">
        <v>4</v>
      </c>
      <c r="R304" s="26">
        <v>1</v>
      </c>
      <c r="S304" s="26">
        <v>4</v>
      </c>
      <c r="T304" s="26">
        <v>5</v>
      </c>
      <c r="U304" s="26">
        <v>10</v>
      </c>
      <c r="V304" s="26">
        <v>1</v>
      </c>
      <c r="W304" s="26" t="s">
        <v>2076</v>
      </c>
    </row>
    <row r="305" spans="1:23" x14ac:dyDescent="0.25">
      <c r="A305" s="26" t="str">
        <f t="shared" si="36"/>
        <v>PREESCOLAR</v>
      </c>
      <c r="B305" s="26" t="str">
        <f>"09DJN0369A"</f>
        <v>09DJN0369A</v>
      </c>
      <c r="C305" s="26" t="str">
        <f>"NIÑO JOSE LUIS ORDAZ LOPEZ                                                                          "</f>
        <v xml:space="preserve">NIÑO JOSE LUIS ORDAZ LOPEZ                                                                          </v>
      </c>
      <c r="D305" s="26" t="str">
        <f>"JORNADA AMPLIADA"</f>
        <v>JORNADA AMPLIADA</v>
      </c>
      <c r="E305" s="26" t="str">
        <f>"RIO CONSULADO Y NORTE 94 S/N                                                    "</f>
        <v xml:space="preserve">RIO CONSULADO Y NORTE 94 S/N                                                    </v>
      </c>
      <c r="F305" s="26" t="str">
        <f>"MALINCHE                                                                                                                                    "</f>
        <v xml:space="preserve">MALINCHE                                                                                                                                    </v>
      </c>
      <c r="G305" s="26" t="str">
        <f>"GUSTAVO A. MADERO                                                               "</f>
        <v xml:space="preserve">GUSTAVO A. MADERO                                                               </v>
      </c>
      <c r="H305" s="26" t="str">
        <f>"080"</f>
        <v>080</v>
      </c>
      <c r="I305" s="26" t="str">
        <f t="shared" si="37"/>
        <v>00</v>
      </c>
      <c r="J305" s="26" t="str">
        <f>"31 "</f>
        <v xml:space="preserve">31 </v>
      </c>
      <c r="K305" s="26" t="str">
        <f t="shared" si="45"/>
        <v>EP</v>
      </c>
      <c r="L305" s="26" t="str">
        <f t="shared" si="46"/>
        <v>DGOSE</v>
      </c>
      <c r="M305" s="26" t="str">
        <f t="shared" si="38"/>
        <v>FEDERAL</v>
      </c>
      <c r="N305" s="26">
        <v>162</v>
      </c>
      <c r="O305" s="26">
        <v>81</v>
      </c>
      <c r="P305" s="26">
        <v>81</v>
      </c>
      <c r="Q305" s="26">
        <v>6</v>
      </c>
      <c r="R305" s="26">
        <v>1</v>
      </c>
      <c r="S305" s="26">
        <v>6</v>
      </c>
      <c r="T305" s="26">
        <v>4</v>
      </c>
      <c r="U305" s="26">
        <v>11</v>
      </c>
      <c r="V305" s="26">
        <v>1</v>
      </c>
      <c r="W305" s="26" t="s">
        <v>2076</v>
      </c>
    </row>
    <row r="306" spans="1:23" x14ac:dyDescent="0.25">
      <c r="A306" s="26" t="str">
        <f t="shared" si="36"/>
        <v>PREESCOLAR</v>
      </c>
      <c r="B306" s="26" t="str">
        <f>"09DJN0370Q"</f>
        <v>09DJN0370Q</v>
      </c>
      <c r="C306" s="26" t="str">
        <f>"LIBANO                                                                                              "</f>
        <v xml:space="preserve">LIBANO                                                                                              </v>
      </c>
      <c r="D306" s="26" t="str">
        <f>"MATUTINO"</f>
        <v>MATUTINO</v>
      </c>
      <c r="E306" s="26" t="str">
        <f>"AV. 16 DE SEPTIEMBRE S/N                                                        "</f>
        <v xml:space="preserve">AV. 16 DE SEPTIEMBRE S/N                                                        </v>
      </c>
      <c r="F306" s="26" t="str">
        <f>"CONTADERO                                                                                                                                   "</f>
        <v xml:space="preserve">CONTADERO                                                                                                                                   </v>
      </c>
      <c r="G306" s="26" t="str">
        <f>"CUAJIMALPA DE MORELOS                                                           "</f>
        <v xml:space="preserve">CUAJIMALPA DE MORELOS                                                           </v>
      </c>
      <c r="H306" s="26" t="str">
        <f>"151"</f>
        <v>151</v>
      </c>
      <c r="I306" s="26" t="str">
        <f t="shared" si="37"/>
        <v>00</v>
      </c>
      <c r="J306" s="26" t="str">
        <f>"33 "</f>
        <v xml:space="preserve">33 </v>
      </c>
      <c r="K306" s="26" t="str">
        <f t="shared" si="45"/>
        <v>EP</v>
      </c>
      <c r="L306" s="26" t="str">
        <f t="shared" si="46"/>
        <v>DGOSE</v>
      </c>
      <c r="M306" s="26" t="str">
        <f t="shared" si="38"/>
        <v>FEDERAL</v>
      </c>
      <c r="N306" s="26">
        <v>187</v>
      </c>
      <c r="O306" s="26">
        <v>93</v>
      </c>
      <c r="P306" s="26">
        <v>94</v>
      </c>
      <c r="Q306" s="26">
        <v>5</v>
      </c>
      <c r="R306" s="26">
        <v>1</v>
      </c>
      <c r="S306" s="26">
        <v>5</v>
      </c>
      <c r="T306" s="26">
        <v>4</v>
      </c>
      <c r="U306" s="26">
        <v>10</v>
      </c>
      <c r="V306" s="26">
        <v>1</v>
      </c>
      <c r="W306" s="26"/>
    </row>
    <row r="307" spans="1:23" x14ac:dyDescent="0.25">
      <c r="A307" s="26" t="str">
        <f t="shared" si="36"/>
        <v>PREESCOLAR</v>
      </c>
      <c r="B307" s="26" t="str">
        <f>"09DJN0371P"</f>
        <v>09DJN0371P</v>
      </c>
      <c r="C307" s="26" t="str">
        <f>"NONANTZIN                                                                                           "</f>
        <v xml:space="preserve">NONANTZIN                                                                                           </v>
      </c>
      <c r="D307" s="26" t="str">
        <f>"TIEMPO COMPLETO"</f>
        <v>TIEMPO COMPLETO</v>
      </c>
      <c r="E307" s="26" t="str">
        <f>"AV. CIENFUEGOS NO. 1071                                                         "</f>
        <v xml:space="preserve">AV. CIENFUEGOS NO. 1071                                                         </v>
      </c>
      <c r="F307" s="26" t="str">
        <f>"SAN PEDRO ZACATENCO                                                                                                                         "</f>
        <v xml:space="preserve">SAN PEDRO ZACATENCO                                                                                                                         </v>
      </c>
      <c r="G307" s="26" t="str">
        <f>"GUSTAVO A. MADERO                                                               "</f>
        <v xml:space="preserve">GUSTAVO A. MADERO                                                               </v>
      </c>
      <c r="H307" s="26" t="str">
        <f>"194"</f>
        <v>194</v>
      </c>
      <c r="I307" s="26" t="str">
        <f t="shared" si="37"/>
        <v>00</v>
      </c>
      <c r="J307" s="26" t="str">
        <f>"31 "</f>
        <v xml:space="preserve">31 </v>
      </c>
      <c r="K307" s="26" t="str">
        <f t="shared" si="45"/>
        <v>EP</v>
      </c>
      <c r="L307" s="26" t="str">
        <f t="shared" si="46"/>
        <v>DGOSE</v>
      </c>
      <c r="M307" s="26" t="str">
        <f t="shared" si="38"/>
        <v>FEDERAL</v>
      </c>
      <c r="N307" s="26">
        <v>243</v>
      </c>
      <c r="O307" s="26">
        <v>116</v>
      </c>
      <c r="P307" s="26">
        <v>127</v>
      </c>
      <c r="Q307" s="26">
        <v>7</v>
      </c>
      <c r="R307" s="26">
        <v>2</v>
      </c>
      <c r="S307" s="26">
        <v>7</v>
      </c>
      <c r="T307" s="26">
        <v>14</v>
      </c>
      <c r="U307" s="26">
        <v>23</v>
      </c>
      <c r="V307" s="26">
        <v>1</v>
      </c>
      <c r="W307" s="26" t="s">
        <v>218</v>
      </c>
    </row>
    <row r="308" spans="1:23" x14ac:dyDescent="0.25">
      <c r="A308" s="26" t="str">
        <f t="shared" si="36"/>
        <v>PREESCOLAR</v>
      </c>
      <c r="B308" s="26" t="str">
        <f>"09DJN0373N"</f>
        <v>09DJN0373N</v>
      </c>
      <c r="C308" s="26" t="str">
        <f>"MIGUEL LERDO DE TEJADA                                                                              "</f>
        <v xml:space="preserve">MIGUEL LERDO DE TEJADA                                                                              </v>
      </c>
      <c r="D308" s="26" t="str">
        <f>"JORNADA AMPLIADA"</f>
        <v>JORNADA AMPLIADA</v>
      </c>
      <c r="E308" s="26" t="str">
        <f>"PROFR. MIGUEL LERDO DE TEJADA NO. 107                                           "</f>
        <v xml:space="preserve">PROFR. MIGUEL LERDO DE TEJADA NO. 107                                           </v>
      </c>
      <c r="F308" s="26" t="str">
        <f>"LA PRECIOSA                                                                                                                                 "</f>
        <v xml:space="preserve">LA PRECIOSA                                                                                                                                 </v>
      </c>
      <c r="G308" s="26" t="str">
        <f>"AZCAPOTZALCO                                                                    "</f>
        <v xml:space="preserve">AZCAPOTZALCO                                                                    </v>
      </c>
      <c r="H308" s="26" t="str">
        <f>"067"</f>
        <v>067</v>
      </c>
      <c r="I308" s="26" t="str">
        <f t="shared" si="37"/>
        <v>00</v>
      </c>
      <c r="J308" s="26" t="str">
        <f>"31 "</f>
        <v xml:space="preserve">31 </v>
      </c>
      <c r="K308" s="26" t="str">
        <f t="shared" si="45"/>
        <v>EP</v>
      </c>
      <c r="L308" s="26" t="str">
        <f t="shared" si="46"/>
        <v>DGOSE</v>
      </c>
      <c r="M308" s="26" t="str">
        <f t="shared" si="38"/>
        <v>FEDERAL</v>
      </c>
      <c r="N308" s="26">
        <v>97</v>
      </c>
      <c r="O308" s="26">
        <v>55</v>
      </c>
      <c r="P308" s="26">
        <v>42</v>
      </c>
      <c r="Q308" s="26">
        <v>5</v>
      </c>
      <c r="R308" s="26">
        <v>1</v>
      </c>
      <c r="S308" s="26">
        <v>5</v>
      </c>
      <c r="T308" s="26">
        <v>4</v>
      </c>
      <c r="U308" s="26">
        <v>10</v>
      </c>
      <c r="V308" s="26">
        <v>1</v>
      </c>
      <c r="W308" s="26" t="s">
        <v>2076</v>
      </c>
    </row>
    <row r="309" spans="1:23" x14ac:dyDescent="0.25">
      <c r="A309" s="26" t="str">
        <f t="shared" si="36"/>
        <v>PREESCOLAR</v>
      </c>
      <c r="B309" s="26" t="str">
        <f>"09DJN0374M"</f>
        <v>09DJN0374M</v>
      </c>
      <c r="C309" s="26" t="str">
        <f>"JOSE MARIA DIAZ ORDAZ                                                                               "</f>
        <v xml:space="preserve">JOSE MARIA DIAZ ORDAZ                                                                               </v>
      </c>
      <c r="D309" s="26" t="str">
        <f>"JORNADA AMPLIADA"</f>
        <v>JORNADA AMPLIADA</v>
      </c>
      <c r="E309" s="26" t="str">
        <f>"SAN RAUL Y SAN GABRIEL                                                          "</f>
        <v xml:space="preserve">SAN RAUL Y SAN GABRIEL                                                          </v>
      </c>
      <c r="F309" s="26" t="str">
        <f>"SANTA URSULA COAPA                                                                                                                          "</f>
        <v xml:space="preserve">SANTA URSULA COAPA                                                                                                                          </v>
      </c>
      <c r="G309" s="26" t="str">
        <f>"COYOACAN                                                                        "</f>
        <v xml:space="preserve">COYOACAN                                                                        </v>
      </c>
      <c r="H309" s="26" t="str">
        <f>"058"</f>
        <v>058</v>
      </c>
      <c r="I309" s="26" t="str">
        <f t="shared" si="37"/>
        <v>00</v>
      </c>
      <c r="J309" s="26" t="str">
        <f>"34 "</f>
        <v xml:space="preserve">34 </v>
      </c>
      <c r="K309" s="26" t="str">
        <f t="shared" si="45"/>
        <v>EP</v>
      </c>
      <c r="L309" s="26" t="str">
        <f t="shared" si="46"/>
        <v>DGOSE</v>
      </c>
      <c r="M309" s="26" t="str">
        <f t="shared" si="38"/>
        <v>FEDERAL</v>
      </c>
      <c r="N309" s="26">
        <v>120</v>
      </c>
      <c r="O309" s="26">
        <v>62</v>
      </c>
      <c r="P309" s="26">
        <v>58</v>
      </c>
      <c r="Q309" s="26">
        <v>4</v>
      </c>
      <c r="R309" s="26">
        <v>1</v>
      </c>
      <c r="S309" s="26">
        <v>4</v>
      </c>
      <c r="T309" s="26">
        <v>4</v>
      </c>
      <c r="U309" s="26">
        <v>9</v>
      </c>
      <c r="V309" s="26">
        <v>1</v>
      </c>
      <c r="W309" s="26" t="s">
        <v>2076</v>
      </c>
    </row>
    <row r="310" spans="1:23" x14ac:dyDescent="0.25">
      <c r="A310" s="26" t="str">
        <f t="shared" si="36"/>
        <v>PREESCOLAR</v>
      </c>
      <c r="B310" s="26" t="str">
        <f>"09DJN0375L"</f>
        <v>09DJN0375L</v>
      </c>
      <c r="C310" s="26" t="str">
        <f>"MATIAS ROMERO                                                                                       "</f>
        <v xml:space="preserve">MATIAS ROMERO                                                                                       </v>
      </c>
      <c r="D310" s="26" t="str">
        <f>"JORNADA AMPLIADA"</f>
        <v>JORNADA AMPLIADA</v>
      </c>
      <c r="E310" s="26" t="str">
        <f>"AV. EJIDO S/N                                                                   "</f>
        <v xml:space="preserve">AV. EJIDO S/N                                                                   </v>
      </c>
      <c r="F310" s="26" t="str">
        <f>"25 DE JULIO                                                                                                                                 "</f>
        <v xml:space="preserve">25 DE JULIO                                                                                                                                 </v>
      </c>
      <c r="G310" s="26" t="str">
        <f>"GUSTAVO A. MADERO                                                               "</f>
        <v xml:space="preserve">GUSTAVO A. MADERO                                                               </v>
      </c>
      <c r="H310" s="26" t="str">
        <f>"070"</f>
        <v>070</v>
      </c>
      <c r="I310" s="26" t="str">
        <f t="shared" si="37"/>
        <v>00</v>
      </c>
      <c r="J310" s="26" t="str">
        <f>"31 "</f>
        <v xml:space="preserve">31 </v>
      </c>
      <c r="K310" s="26" t="str">
        <f t="shared" si="45"/>
        <v>EP</v>
      </c>
      <c r="L310" s="26" t="str">
        <f t="shared" si="46"/>
        <v>DGOSE</v>
      </c>
      <c r="M310" s="26" t="str">
        <f t="shared" si="38"/>
        <v>FEDERAL</v>
      </c>
      <c r="N310" s="26">
        <v>202</v>
      </c>
      <c r="O310" s="26">
        <v>95</v>
      </c>
      <c r="P310" s="26">
        <v>107</v>
      </c>
      <c r="Q310" s="26">
        <v>7</v>
      </c>
      <c r="R310" s="26">
        <v>1</v>
      </c>
      <c r="S310" s="26">
        <v>7</v>
      </c>
      <c r="T310" s="26">
        <v>10</v>
      </c>
      <c r="U310" s="26">
        <v>18</v>
      </c>
      <c r="V310" s="26">
        <v>1</v>
      </c>
      <c r="W310" s="26" t="s">
        <v>2076</v>
      </c>
    </row>
    <row r="311" spans="1:23" x14ac:dyDescent="0.25">
      <c r="A311" s="26" t="str">
        <f t="shared" si="36"/>
        <v>PREESCOLAR</v>
      </c>
      <c r="B311" s="26" t="str">
        <f>"09DJN0377J"</f>
        <v>09DJN0377J</v>
      </c>
      <c r="C311" s="26" t="str">
        <f>"BATALLON DE SAN BLAS                                                                                "</f>
        <v xml:space="preserve">BATALLON DE SAN BLAS                                                                                </v>
      </c>
      <c r="D311" s="26" t="str">
        <f>"TIEMPO COMPLETO"</f>
        <v>TIEMPO COMPLETO</v>
      </c>
      <c r="E311" s="26" t="str">
        <f>"EJE LAZARO CARDENAS NO. 448                                                     "</f>
        <v xml:space="preserve">EJE LAZARO CARDENAS NO. 448                                                     </v>
      </c>
      <c r="F311" s="26" t="str">
        <f>"UNIDAD NONOALCO TLATELOLCO                                                                                                                  "</f>
        <v xml:space="preserve">UNIDAD NONOALCO TLATELOLCO                                                                                                                  </v>
      </c>
      <c r="G311" s="26" t="s">
        <v>4128</v>
      </c>
      <c r="H311" s="26" t="str">
        <f>"017"</f>
        <v>017</v>
      </c>
      <c r="I311" s="26" t="str">
        <f t="shared" si="37"/>
        <v>00</v>
      </c>
      <c r="J311" s="26" t="str">
        <f>"31 "</f>
        <v xml:space="preserve">31 </v>
      </c>
      <c r="K311" s="26" t="str">
        <f t="shared" si="45"/>
        <v>EP</v>
      </c>
      <c r="L311" s="26" t="str">
        <f t="shared" si="46"/>
        <v>DGOSE</v>
      </c>
      <c r="M311" s="26" t="str">
        <f t="shared" si="38"/>
        <v>FEDERAL</v>
      </c>
      <c r="N311" s="26">
        <v>194</v>
      </c>
      <c r="O311" s="26">
        <v>114</v>
      </c>
      <c r="P311" s="26">
        <v>80</v>
      </c>
      <c r="Q311" s="26">
        <v>6</v>
      </c>
      <c r="R311" s="26">
        <v>1</v>
      </c>
      <c r="S311" s="26">
        <v>6</v>
      </c>
      <c r="T311" s="26">
        <v>17</v>
      </c>
      <c r="U311" s="26">
        <v>24</v>
      </c>
      <c r="V311" s="26">
        <v>1</v>
      </c>
      <c r="W311" s="26" t="s">
        <v>218</v>
      </c>
    </row>
    <row r="312" spans="1:23" x14ac:dyDescent="0.25">
      <c r="A312" s="26" t="str">
        <f t="shared" si="36"/>
        <v>PREESCOLAR</v>
      </c>
      <c r="B312" s="26" t="str">
        <f>"09DJN0379H"</f>
        <v>09DJN0379H</v>
      </c>
      <c r="C312" s="26" t="str">
        <f>"MELCHOR OCAMPO                                                                                      "</f>
        <v xml:space="preserve">MELCHOR OCAMPO                                                                                      </v>
      </c>
      <c r="D312" s="26" t="str">
        <f>"JORNADA AMPLIADA"</f>
        <v>JORNADA AMPLIADA</v>
      </c>
      <c r="E312" s="26" t="str">
        <f>"PEÑON NO. 20                                                                    "</f>
        <v xml:space="preserve">PEÑON NO. 20                                                                    </v>
      </c>
      <c r="F312" s="26" t="str">
        <f>"MORELOS                                                                                                                                     "</f>
        <v xml:space="preserve">MORELOS                                                                                                                                     </v>
      </c>
      <c r="G312" s="26" t="s">
        <v>4128</v>
      </c>
      <c r="H312" s="26" t="str">
        <f>"149"</f>
        <v>149</v>
      </c>
      <c r="I312" s="26" t="str">
        <f t="shared" si="37"/>
        <v>00</v>
      </c>
      <c r="J312" s="26" t="str">
        <f>"31 "</f>
        <v xml:space="preserve">31 </v>
      </c>
      <c r="K312" s="26" t="str">
        <f t="shared" si="45"/>
        <v>EP</v>
      </c>
      <c r="L312" s="26" t="str">
        <f t="shared" si="46"/>
        <v>DGOSE</v>
      </c>
      <c r="M312" s="26" t="str">
        <f t="shared" si="38"/>
        <v>FEDERAL</v>
      </c>
      <c r="N312" s="26">
        <v>134</v>
      </c>
      <c r="O312" s="26">
        <v>67</v>
      </c>
      <c r="P312" s="26">
        <v>67</v>
      </c>
      <c r="Q312" s="26">
        <v>6</v>
      </c>
      <c r="R312" s="26">
        <v>1</v>
      </c>
      <c r="S312" s="26">
        <v>6</v>
      </c>
      <c r="T312" s="26">
        <v>9</v>
      </c>
      <c r="U312" s="26">
        <v>16</v>
      </c>
      <c r="V312" s="26">
        <v>1</v>
      </c>
      <c r="W312" s="26" t="s">
        <v>2076</v>
      </c>
    </row>
    <row r="313" spans="1:23" x14ac:dyDescent="0.25">
      <c r="A313" s="26" t="str">
        <f t="shared" si="36"/>
        <v>PREESCOLAR</v>
      </c>
      <c r="B313" s="26" t="str">
        <f>"09DJN0380X"</f>
        <v>09DJN0380X</v>
      </c>
      <c r="C313" s="26" t="str">
        <f>"BELGICA                                                                                             "</f>
        <v xml:space="preserve">BELGICA                                                                                             </v>
      </c>
      <c r="D313" s="26" t="str">
        <f>"MATUTINO"</f>
        <v>MATUTINO</v>
      </c>
      <c r="E313" s="26" t="str">
        <f>"CALLE 47 Y AV. 6                                                                "</f>
        <v xml:space="preserve">CALLE 47 Y AV. 6                                                                </v>
      </c>
      <c r="F313" s="26" t="str">
        <f>"UNIDAD SANTA CRUZ MEYEHUALCO                                                                                                                "</f>
        <v xml:space="preserve">UNIDAD SANTA CRUZ MEYEHUALCO                                                                                                                </v>
      </c>
      <c r="G313" s="26" t="str">
        <f>"IZTAPALAPA                                                                      "</f>
        <v xml:space="preserve">IZTAPALAPA                                                                      </v>
      </c>
      <c r="H313" s="26" t="str">
        <f>"033"</f>
        <v>033</v>
      </c>
      <c r="I313" s="26" t="str">
        <f t="shared" si="37"/>
        <v>00</v>
      </c>
      <c r="J313" s="26" t="str">
        <f>"64 "</f>
        <v xml:space="preserve">64 </v>
      </c>
      <c r="K313" s="26" t="str">
        <f>"IZ"</f>
        <v>IZ</v>
      </c>
      <c r="L313" s="26" t="str">
        <f>"DGSEI"</f>
        <v>DGSEI</v>
      </c>
      <c r="M313" s="26" t="str">
        <f t="shared" si="38"/>
        <v>FEDERAL</v>
      </c>
      <c r="N313" s="26">
        <v>194</v>
      </c>
      <c r="O313" s="26">
        <v>97</v>
      </c>
      <c r="P313" s="26">
        <v>97</v>
      </c>
      <c r="Q313" s="26">
        <v>6</v>
      </c>
      <c r="R313" s="26">
        <v>1</v>
      </c>
      <c r="S313" s="26">
        <v>6</v>
      </c>
      <c r="T313" s="26">
        <v>3</v>
      </c>
      <c r="U313" s="26">
        <v>10</v>
      </c>
      <c r="V313" s="26">
        <v>1</v>
      </c>
      <c r="W313" s="26"/>
    </row>
    <row r="314" spans="1:23" x14ac:dyDescent="0.25">
      <c r="A314" s="26" t="str">
        <f t="shared" si="36"/>
        <v>PREESCOLAR</v>
      </c>
      <c r="B314" s="26" t="str">
        <f>"09DJN0381W"</f>
        <v>09DJN0381W</v>
      </c>
      <c r="C314" s="26" t="str">
        <f>"MACUIZOCHITL                                                                                        "</f>
        <v xml:space="preserve">MACUIZOCHITL                                                                                        </v>
      </c>
      <c r="D314" s="26" t="str">
        <f>"MATUTINO"</f>
        <v>MATUTINO</v>
      </c>
      <c r="E314" s="26" t="str">
        <f>"BATALLA DE LOMA ALTA ESQ. GUERRA DE REFORMA                                     "</f>
        <v xml:space="preserve">BATALLA DE LOMA ALTA ESQ. GUERRA DE REFORMA                                     </v>
      </c>
      <c r="F314" s="26" t="str">
        <f>"LEYES DE REFORMA                                                                                                                            "</f>
        <v xml:space="preserve">LEYES DE REFORMA                                                                                                                            </v>
      </c>
      <c r="G314" s="26" t="str">
        <f>"IZTAPALAPA                                                                      "</f>
        <v xml:space="preserve">IZTAPALAPA                                                                      </v>
      </c>
      <c r="H314" s="26" t="str">
        <f>"020"</f>
        <v>020</v>
      </c>
      <c r="I314" s="26" t="str">
        <f t="shared" si="37"/>
        <v>00</v>
      </c>
      <c r="J314" s="26" t="str">
        <f>"63 "</f>
        <v xml:space="preserve">63 </v>
      </c>
      <c r="K314" s="26" t="str">
        <f>"IZ"</f>
        <v>IZ</v>
      </c>
      <c r="L314" s="26" t="str">
        <f>"DGSEI"</f>
        <v>DGSEI</v>
      </c>
      <c r="M314" s="26" t="str">
        <f t="shared" si="38"/>
        <v>FEDERAL</v>
      </c>
      <c r="N314" s="26">
        <v>216</v>
      </c>
      <c r="O314" s="26">
        <v>107</v>
      </c>
      <c r="P314" s="26">
        <v>109</v>
      </c>
      <c r="Q314" s="26">
        <v>6</v>
      </c>
      <c r="R314" s="26">
        <v>1</v>
      </c>
      <c r="S314" s="26">
        <v>6</v>
      </c>
      <c r="T314" s="26">
        <v>4</v>
      </c>
      <c r="U314" s="26">
        <v>11</v>
      </c>
      <c r="V314" s="26">
        <v>1</v>
      </c>
      <c r="W314" s="26"/>
    </row>
    <row r="315" spans="1:23" x14ac:dyDescent="0.25">
      <c r="A315" s="26" t="str">
        <f t="shared" si="36"/>
        <v>PREESCOLAR</v>
      </c>
      <c r="B315" s="26" t="str">
        <f>"09DJN0382V"</f>
        <v>09DJN0382V</v>
      </c>
      <c r="C315" s="26" t="str">
        <f>"CUBA                                                                                                "</f>
        <v xml:space="preserve">CUBA                                                                                                </v>
      </c>
      <c r="D315" s="26" t="str">
        <f>"TIEMPO COMPLETO"</f>
        <v>TIEMPO COMPLETO</v>
      </c>
      <c r="E315" s="26" t="str">
        <f>"CALLE 39 NO. 135 Y AV. 12                                                       "</f>
        <v xml:space="preserve">CALLE 39 NO. 135 Y AV. 12                                                       </v>
      </c>
      <c r="F315" s="26" t="str">
        <f>"UNIDAD SANTA CRUZ MEYEHUALCO                                                                                                                "</f>
        <v xml:space="preserve">UNIDAD SANTA CRUZ MEYEHUALCO                                                                                                                </v>
      </c>
      <c r="G315" s="26" t="str">
        <f>"IZTAPALAPA                                                                      "</f>
        <v xml:space="preserve">IZTAPALAPA                                                                      </v>
      </c>
      <c r="H315" s="26" t="str">
        <f>"012"</f>
        <v>012</v>
      </c>
      <c r="I315" s="26" t="str">
        <f t="shared" si="37"/>
        <v>00</v>
      </c>
      <c r="J315" s="26" t="str">
        <f>"61 "</f>
        <v xml:space="preserve">61 </v>
      </c>
      <c r="K315" s="26" t="str">
        <f>"IZ"</f>
        <v>IZ</v>
      </c>
      <c r="L315" s="26" t="str">
        <f>"DGSEI"</f>
        <v>DGSEI</v>
      </c>
      <c r="M315" s="26" t="str">
        <f t="shared" si="38"/>
        <v>FEDERAL</v>
      </c>
      <c r="N315" s="26">
        <v>225</v>
      </c>
      <c r="O315" s="26">
        <v>128</v>
      </c>
      <c r="P315" s="26">
        <v>97</v>
      </c>
      <c r="Q315" s="26">
        <v>6</v>
      </c>
      <c r="R315" s="26">
        <v>1</v>
      </c>
      <c r="S315" s="26">
        <v>6</v>
      </c>
      <c r="T315" s="26">
        <v>10</v>
      </c>
      <c r="U315" s="26">
        <v>17</v>
      </c>
      <c r="V315" s="26">
        <v>1</v>
      </c>
      <c r="W315" s="26" t="s">
        <v>218</v>
      </c>
    </row>
    <row r="316" spans="1:23" x14ac:dyDescent="0.25">
      <c r="A316" s="26" t="str">
        <f t="shared" si="36"/>
        <v>PREESCOLAR</v>
      </c>
      <c r="B316" s="26" t="str">
        <f>"09DJN0383U"</f>
        <v>09DJN0383U</v>
      </c>
      <c r="C316" s="26" t="str">
        <f>"XOCHIPITZAHUAC                                                                                      "</f>
        <v xml:space="preserve">XOCHIPITZAHUAC                                                                                      </v>
      </c>
      <c r="D316" s="26" t="str">
        <f>"JORNADA AMPLIADA"</f>
        <v>JORNADA AMPLIADA</v>
      </c>
      <c r="E316" s="26" t="str">
        <f>"PROCURADORES Y FISICOS S/N                                                      "</f>
        <v xml:space="preserve">PROCURADORES Y FISICOS S/N                                                      </v>
      </c>
      <c r="F316" s="26" t="str">
        <f>"SIFON AMPLIACION                                                                                                                            "</f>
        <v xml:space="preserve">SIFON AMPLIACION                                                                                                                            </v>
      </c>
      <c r="G316" s="26" t="str">
        <f>"IZTAPALAPA                                                                      "</f>
        <v xml:space="preserve">IZTAPALAPA                                                                      </v>
      </c>
      <c r="H316" s="26" t="str">
        <f>"001"</f>
        <v>001</v>
      </c>
      <c r="I316" s="26" t="str">
        <f t="shared" si="37"/>
        <v>00</v>
      </c>
      <c r="J316" s="26" t="str">
        <f>"61 "</f>
        <v xml:space="preserve">61 </v>
      </c>
      <c r="K316" s="26" t="str">
        <f>"IZ"</f>
        <v>IZ</v>
      </c>
      <c r="L316" s="26" t="str">
        <f>"DGSEI"</f>
        <v>DGSEI</v>
      </c>
      <c r="M316" s="26" t="str">
        <f t="shared" si="38"/>
        <v>FEDERAL</v>
      </c>
      <c r="N316" s="26">
        <v>135</v>
      </c>
      <c r="O316" s="26">
        <v>60</v>
      </c>
      <c r="P316" s="26">
        <v>75</v>
      </c>
      <c r="Q316" s="26">
        <v>5</v>
      </c>
      <c r="R316" s="26">
        <v>1</v>
      </c>
      <c r="S316" s="26">
        <v>5</v>
      </c>
      <c r="T316" s="26">
        <v>6</v>
      </c>
      <c r="U316" s="26">
        <v>12</v>
      </c>
      <c r="V316" s="26">
        <v>1</v>
      </c>
      <c r="W316" s="26" t="s">
        <v>2076</v>
      </c>
    </row>
    <row r="317" spans="1:23" x14ac:dyDescent="0.25">
      <c r="A317" s="26" t="str">
        <f t="shared" si="36"/>
        <v>PREESCOLAR</v>
      </c>
      <c r="B317" s="26" t="str">
        <f>"09DJN0384T"</f>
        <v>09DJN0384T</v>
      </c>
      <c r="C317" s="26" t="str">
        <f>"LUZ MARIA SERRADELL                                                                                 "</f>
        <v xml:space="preserve">LUZ MARIA SERRADELL                                                                                 </v>
      </c>
      <c r="D317" s="26" t="str">
        <f>"VESPERTINO"</f>
        <v>VESPERTINO</v>
      </c>
      <c r="E317" s="26" t="str">
        <f>"CORUÑA Y ANDRES MOLINA ENRIQUEZ                                                 "</f>
        <v xml:space="preserve">CORUÑA Y ANDRES MOLINA ENRIQUEZ                                                 </v>
      </c>
      <c r="F317" s="26" t="str">
        <f>"VIADUCTO PIEDAD                                                                                                                             "</f>
        <v xml:space="preserve">VIADUCTO PIEDAD                                                                                                                             </v>
      </c>
      <c r="G317" s="26" t="str">
        <f>"IZTACALCO                                                                       "</f>
        <v xml:space="preserve">IZTACALCO                                                                       </v>
      </c>
      <c r="H317" s="26" t="str">
        <f>"032"</f>
        <v>032</v>
      </c>
      <c r="I317" s="26" t="str">
        <f t="shared" si="37"/>
        <v>00</v>
      </c>
      <c r="J317" s="26" t="str">
        <f>"33 "</f>
        <v xml:space="preserve">33 </v>
      </c>
      <c r="K317" s="26" t="str">
        <f>"EP"</f>
        <v>EP</v>
      </c>
      <c r="L317" s="26" t="str">
        <f>"DGOSE"</f>
        <v>DGOSE</v>
      </c>
      <c r="M317" s="26" t="str">
        <f t="shared" si="38"/>
        <v>FEDERAL</v>
      </c>
      <c r="N317" s="26">
        <v>131</v>
      </c>
      <c r="O317" s="26">
        <v>80</v>
      </c>
      <c r="P317" s="26">
        <v>51</v>
      </c>
      <c r="Q317" s="26">
        <v>5</v>
      </c>
      <c r="R317" s="26">
        <v>1</v>
      </c>
      <c r="S317" s="26">
        <v>5</v>
      </c>
      <c r="T317" s="26">
        <v>4</v>
      </c>
      <c r="U317" s="26">
        <v>10</v>
      </c>
      <c r="V317" s="26">
        <v>1</v>
      </c>
      <c r="W317" s="26"/>
    </row>
    <row r="318" spans="1:23" x14ac:dyDescent="0.25">
      <c r="A318" s="26" t="str">
        <f t="shared" si="36"/>
        <v>PREESCOLAR</v>
      </c>
      <c r="B318" s="26" t="str">
        <f>"09DJN0386R"</f>
        <v>09DJN0386R</v>
      </c>
      <c r="C318" s="26" t="str">
        <f>"ELISA NUÑEZ                                                                                         "</f>
        <v xml:space="preserve">ELISA NUÑEZ                                                                                         </v>
      </c>
      <c r="D318" s="26" t="str">
        <f>"MATUTINO"</f>
        <v>MATUTINO</v>
      </c>
      <c r="E318" s="26" t="str">
        <f>"CANELA Y VAINILLA  NO. 463                                                      "</f>
        <v xml:space="preserve">CANELA Y VAINILLA  NO. 463                                                      </v>
      </c>
      <c r="F318" s="26" t="str">
        <f>"GRANJAS MEXICO                                                                                                                              "</f>
        <v xml:space="preserve">GRANJAS MEXICO                                                                                                                              </v>
      </c>
      <c r="G318" s="26" t="str">
        <f>"IZTACALCO                                                                       "</f>
        <v xml:space="preserve">IZTACALCO                                                                       </v>
      </c>
      <c r="H318" s="26" t="str">
        <f>"144"</f>
        <v>144</v>
      </c>
      <c r="I318" s="26" t="str">
        <f t="shared" si="37"/>
        <v>00</v>
      </c>
      <c r="J318" s="26" t="str">
        <f>"33 "</f>
        <v xml:space="preserve">33 </v>
      </c>
      <c r="K318" s="26" t="str">
        <f>"EP"</f>
        <v>EP</v>
      </c>
      <c r="L318" s="26" t="str">
        <f>"DGOSE"</f>
        <v>DGOSE</v>
      </c>
      <c r="M318" s="26" t="str">
        <f t="shared" si="38"/>
        <v>FEDERAL</v>
      </c>
      <c r="N318" s="26">
        <v>168</v>
      </c>
      <c r="O318" s="26">
        <v>91</v>
      </c>
      <c r="P318" s="26">
        <v>77</v>
      </c>
      <c r="Q318" s="26">
        <v>6</v>
      </c>
      <c r="R318" s="26">
        <v>0</v>
      </c>
      <c r="S318" s="26">
        <v>6</v>
      </c>
      <c r="T318" s="26">
        <v>5</v>
      </c>
      <c r="U318" s="26">
        <v>11</v>
      </c>
      <c r="V318" s="26">
        <v>1</v>
      </c>
      <c r="W318" s="26"/>
    </row>
    <row r="319" spans="1:23" x14ac:dyDescent="0.25">
      <c r="A319" s="26" t="str">
        <f t="shared" si="36"/>
        <v>PREESCOLAR</v>
      </c>
      <c r="B319" s="26" t="str">
        <f>"09DJN0387Q"</f>
        <v>09DJN0387Q</v>
      </c>
      <c r="C319" s="26" t="str">
        <f>"ANTON S. MAKARENKO                                                                                  "</f>
        <v xml:space="preserve">ANTON S. MAKARENKO                                                                                  </v>
      </c>
      <c r="D319" s="26" t="str">
        <f>"JORNADA AMPLIADA"</f>
        <v>JORNADA AMPLIADA</v>
      </c>
      <c r="E319" s="26" t="str">
        <f>"MUNICIPIO LIBRE NO. 200                                                         "</f>
        <v xml:space="preserve">MUNICIPIO LIBRE NO. 200                                                         </v>
      </c>
      <c r="F319" s="26" t="str">
        <f>"PORTALES                                                                                                                                    "</f>
        <v xml:space="preserve">PORTALES                                                                                                                                    </v>
      </c>
      <c r="G319" s="26" t="str">
        <f>"BENITO JUAREZ                                                                   "</f>
        <v xml:space="preserve">BENITO JUAREZ                                                                   </v>
      </c>
      <c r="H319" s="26" t="str">
        <f>"228"</f>
        <v>228</v>
      </c>
      <c r="I319" s="26" t="str">
        <f t="shared" si="37"/>
        <v>00</v>
      </c>
      <c r="J319" s="26" t="str">
        <f>"34 "</f>
        <v xml:space="preserve">34 </v>
      </c>
      <c r="K319" s="26" t="str">
        <f>"EP"</f>
        <v>EP</v>
      </c>
      <c r="L319" s="26" t="str">
        <f>"DGOSE"</f>
        <v>DGOSE</v>
      </c>
      <c r="M319" s="26" t="str">
        <f t="shared" si="38"/>
        <v>FEDERAL</v>
      </c>
      <c r="N319" s="26">
        <v>175</v>
      </c>
      <c r="O319" s="26">
        <v>98</v>
      </c>
      <c r="P319" s="26">
        <v>77</v>
      </c>
      <c r="Q319" s="26">
        <v>6</v>
      </c>
      <c r="R319" s="26">
        <v>1</v>
      </c>
      <c r="S319" s="26">
        <v>6</v>
      </c>
      <c r="T319" s="26">
        <v>7</v>
      </c>
      <c r="U319" s="26">
        <v>14</v>
      </c>
      <c r="V319" s="26">
        <v>1</v>
      </c>
      <c r="W319" s="26" t="s">
        <v>2076</v>
      </c>
    </row>
    <row r="320" spans="1:23" x14ac:dyDescent="0.25">
      <c r="A320" s="26" t="str">
        <f t="shared" si="36"/>
        <v>PREESCOLAR</v>
      </c>
      <c r="B320" s="26" t="str">
        <f>"09DJN0388P"</f>
        <v>09DJN0388P</v>
      </c>
      <c r="C320" s="26" t="str">
        <f>"ANGELICA FLORES DURAN                                                                               "</f>
        <v xml:space="preserve">ANGELICA FLORES DURAN                                                                               </v>
      </c>
      <c r="D320" s="26" t="str">
        <f>"TIEMPO COMPLETO"</f>
        <v>TIEMPO COMPLETO</v>
      </c>
      <c r="E320" s="26" t="str">
        <f>"AV. 5 NO. 81                                                                    "</f>
        <v xml:space="preserve">AV. 5 NO. 81                                                                    </v>
      </c>
      <c r="F320" s="26" t="str">
        <f>"GRANJAS SAN ANTONIO                                                                                                                         "</f>
        <v xml:space="preserve">GRANJAS SAN ANTONIO                                                                                                                         </v>
      </c>
      <c r="G320" s="26" t="str">
        <f>"IZTAPALAPA                                                                      "</f>
        <v xml:space="preserve">IZTAPALAPA                                                                      </v>
      </c>
      <c r="H320" s="26" t="str">
        <f>"003"</f>
        <v>003</v>
      </c>
      <c r="I320" s="26" t="str">
        <f t="shared" si="37"/>
        <v>00</v>
      </c>
      <c r="J320" s="26" t="str">
        <f>"61 "</f>
        <v xml:space="preserve">61 </v>
      </c>
      <c r="K320" s="26" t="str">
        <f>"IZ"</f>
        <v>IZ</v>
      </c>
      <c r="L320" s="26" t="str">
        <f>"DGSEI"</f>
        <v>DGSEI</v>
      </c>
      <c r="M320" s="26" t="str">
        <f t="shared" si="38"/>
        <v>FEDERAL</v>
      </c>
      <c r="N320" s="26">
        <v>195</v>
      </c>
      <c r="O320" s="26">
        <v>84</v>
      </c>
      <c r="P320" s="26">
        <v>111</v>
      </c>
      <c r="Q320" s="26">
        <v>7</v>
      </c>
      <c r="R320" s="26">
        <v>1</v>
      </c>
      <c r="S320" s="26">
        <v>7</v>
      </c>
      <c r="T320" s="26">
        <v>11</v>
      </c>
      <c r="U320" s="26">
        <v>19</v>
      </c>
      <c r="V320" s="26">
        <v>1</v>
      </c>
      <c r="W320" s="26" t="s">
        <v>218</v>
      </c>
    </row>
    <row r="321" spans="1:23" x14ac:dyDescent="0.25">
      <c r="A321" s="26" t="str">
        <f t="shared" si="36"/>
        <v>PREESCOLAR</v>
      </c>
      <c r="B321" s="26" t="str">
        <f>"09DJN0389O"</f>
        <v>09DJN0389O</v>
      </c>
      <c r="C321" s="26" t="str">
        <f>"JUVENTINO ROSAS                                                                                     "</f>
        <v xml:space="preserve">JUVENTINO ROSAS                                                                                     </v>
      </c>
      <c r="D321" s="26" t="str">
        <f>"JORNADA AMPLIADA"</f>
        <v>JORNADA AMPLIADA</v>
      </c>
      <c r="E321" s="26" t="str">
        <f>"EJE 5 Y BIOGRAFOS NO. 119                                                       "</f>
        <v xml:space="preserve">EJE 5 Y BIOGRAFOS NO. 119                                                       </v>
      </c>
      <c r="F321" s="26" t="str">
        <f>"NUEVA ROSITA                                                                                                                                "</f>
        <v xml:space="preserve">NUEVA ROSITA                                                                                                                                </v>
      </c>
      <c r="G321" s="26" t="str">
        <f>"IZTAPALAPA                                                                      "</f>
        <v xml:space="preserve">IZTAPALAPA                                                                      </v>
      </c>
      <c r="H321" s="26" t="str">
        <f>"003"</f>
        <v>003</v>
      </c>
      <c r="I321" s="26" t="str">
        <f t="shared" si="37"/>
        <v>00</v>
      </c>
      <c r="J321" s="26" t="str">
        <f>"61 "</f>
        <v xml:space="preserve">61 </v>
      </c>
      <c r="K321" s="26" t="str">
        <f>"IZ"</f>
        <v>IZ</v>
      </c>
      <c r="L321" s="26" t="str">
        <f>"DGSEI"</f>
        <v>DGSEI</v>
      </c>
      <c r="M321" s="26" t="str">
        <f t="shared" si="38"/>
        <v>FEDERAL</v>
      </c>
      <c r="N321" s="26">
        <v>154</v>
      </c>
      <c r="O321" s="26">
        <v>79</v>
      </c>
      <c r="P321" s="26">
        <v>75</v>
      </c>
      <c r="Q321" s="26">
        <v>5</v>
      </c>
      <c r="R321" s="26">
        <v>1</v>
      </c>
      <c r="S321" s="26">
        <v>5</v>
      </c>
      <c r="T321" s="26">
        <v>6</v>
      </c>
      <c r="U321" s="26">
        <v>12</v>
      </c>
      <c r="V321" s="26">
        <v>1</v>
      </c>
      <c r="W321" s="26" t="s">
        <v>2076</v>
      </c>
    </row>
    <row r="322" spans="1:23" x14ac:dyDescent="0.25">
      <c r="A322" s="26" t="str">
        <f t="shared" ref="A322:A385" si="47">"PREESCOLAR"</f>
        <v>PREESCOLAR</v>
      </c>
      <c r="B322" s="26" t="str">
        <f>"09DJN0390D"</f>
        <v>09DJN0390D</v>
      </c>
      <c r="C322" s="26" t="str">
        <f>"EDUARDO CLAPAREDE                                                                                   "</f>
        <v xml:space="preserve">EDUARDO CLAPAREDE                                                                                   </v>
      </c>
      <c r="D322" s="26" t="str">
        <f>"JORNADA AMPLIADA"</f>
        <v>JORNADA AMPLIADA</v>
      </c>
      <c r="E322" s="26" t="s">
        <v>85</v>
      </c>
      <c r="F322" s="26" t="str">
        <f>"UNIDAD INFONAVIT EL ROSARIO                                                                                                                 "</f>
        <v xml:space="preserve">UNIDAD INFONAVIT EL ROSARIO                                                                                                                 </v>
      </c>
      <c r="G322" s="26" t="str">
        <f>"AZCAPOTZALCO                                                                    "</f>
        <v xml:space="preserve">AZCAPOTZALCO                                                                    </v>
      </c>
      <c r="H322" s="26" t="str">
        <f>"101"</f>
        <v>101</v>
      </c>
      <c r="I322" s="26" t="str">
        <f t="shared" ref="I322:I385" si="48">"00"</f>
        <v>00</v>
      </c>
      <c r="J322" s="26" t="str">
        <f>"31 "</f>
        <v xml:space="preserve">31 </v>
      </c>
      <c r="K322" s="26" t="str">
        <f t="shared" ref="K322:K334" si="49">"EP"</f>
        <v>EP</v>
      </c>
      <c r="L322" s="26" t="str">
        <f t="shared" ref="L322:L334" si="50">"DGOSE"</f>
        <v>DGOSE</v>
      </c>
      <c r="M322" s="26" t="str">
        <f t="shared" ref="M322:M385" si="51">"FEDERAL"</f>
        <v>FEDERAL</v>
      </c>
      <c r="N322" s="26">
        <v>143</v>
      </c>
      <c r="O322" s="26">
        <v>75</v>
      </c>
      <c r="P322" s="26">
        <v>68</v>
      </c>
      <c r="Q322" s="26">
        <v>5</v>
      </c>
      <c r="R322" s="26">
        <v>1</v>
      </c>
      <c r="S322" s="26">
        <v>5</v>
      </c>
      <c r="T322" s="26">
        <v>8</v>
      </c>
      <c r="U322" s="26">
        <v>14</v>
      </c>
      <c r="V322" s="26">
        <v>1</v>
      </c>
      <c r="W322" s="26" t="s">
        <v>2076</v>
      </c>
    </row>
    <row r="323" spans="1:23" x14ac:dyDescent="0.25">
      <c r="A323" s="26" t="str">
        <f t="shared" si="47"/>
        <v>PREESCOLAR</v>
      </c>
      <c r="B323" s="26" t="str">
        <f>"09DJN0391C"</f>
        <v>09DJN0391C</v>
      </c>
      <c r="C323" s="26" t="str">
        <f>"RUDYARD KIPLING                                                                                     "</f>
        <v xml:space="preserve">RUDYARD KIPLING                                                                                     </v>
      </c>
      <c r="D323" s="26" t="str">
        <f>"JORNADA AMPLIADA"</f>
        <v>JORNADA AMPLIADA</v>
      </c>
      <c r="E323" s="26" t="str">
        <f>"HIDROGENO S/N                                                                   "</f>
        <v xml:space="preserve">HIDROGENO S/N                                                                   </v>
      </c>
      <c r="F323" s="26" t="str">
        <f>"UNIDAD INFONAVIT EL ROSARIO                                                                                                                 "</f>
        <v xml:space="preserve">UNIDAD INFONAVIT EL ROSARIO                                                                                                                 </v>
      </c>
      <c r="G323" s="26" t="str">
        <f>"AZCAPOTZALCO                                                                    "</f>
        <v xml:space="preserve">AZCAPOTZALCO                                                                    </v>
      </c>
      <c r="H323" s="26" t="str">
        <f>"101"</f>
        <v>101</v>
      </c>
      <c r="I323" s="26" t="str">
        <f t="shared" si="48"/>
        <v>00</v>
      </c>
      <c r="J323" s="26" t="str">
        <f>"31 "</f>
        <v xml:space="preserve">31 </v>
      </c>
      <c r="K323" s="26" t="str">
        <f t="shared" si="49"/>
        <v>EP</v>
      </c>
      <c r="L323" s="26" t="str">
        <f t="shared" si="50"/>
        <v>DGOSE</v>
      </c>
      <c r="M323" s="26" t="str">
        <f t="shared" si="51"/>
        <v>FEDERAL</v>
      </c>
      <c r="N323" s="26">
        <v>185</v>
      </c>
      <c r="O323" s="26">
        <v>92</v>
      </c>
      <c r="P323" s="26">
        <v>93</v>
      </c>
      <c r="Q323" s="26">
        <v>6</v>
      </c>
      <c r="R323" s="26">
        <v>1</v>
      </c>
      <c r="S323" s="26">
        <v>6</v>
      </c>
      <c r="T323" s="26">
        <v>7</v>
      </c>
      <c r="U323" s="26">
        <v>14</v>
      </c>
      <c r="V323" s="26">
        <v>1</v>
      </c>
      <c r="W323" s="26" t="s">
        <v>2076</v>
      </c>
    </row>
    <row r="324" spans="1:23" x14ac:dyDescent="0.25">
      <c r="A324" s="26" t="str">
        <f t="shared" si="47"/>
        <v>PREESCOLAR</v>
      </c>
      <c r="B324" s="26" t="str">
        <f>"09DJN0392B"</f>
        <v>09DJN0392B</v>
      </c>
      <c r="C324" s="26" t="str">
        <f>"LUIS BRAILLE                                                                                        "</f>
        <v xml:space="preserve">LUIS BRAILLE                                                                                        </v>
      </c>
      <c r="D324" s="26" t="str">
        <f>"MATUTINO"</f>
        <v>MATUTINO</v>
      </c>
      <c r="E324" s="26" t="str">
        <f>"ALDEBARAN Y HERREROS                                                            "</f>
        <v xml:space="preserve">ALDEBARAN Y HERREROS                                                            </v>
      </c>
      <c r="F324" s="26" t="str">
        <f>"UNIDAD INFONAVIT EL ROSARIO                                                                                                                 "</f>
        <v xml:space="preserve">UNIDAD INFONAVIT EL ROSARIO                                                                                                                 </v>
      </c>
      <c r="G324" s="26" t="str">
        <f>"AZCAPOTZALCO                                                                    "</f>
        <v xml:space="preserve">AZCAPOTZALCO                                                                    </v>
      </c>
      <c r="H324" s="26" t="str">
        <f>"009"</f>
        <v>009</v>
      </c>
      <c r="I324" s="26" t="str">
        <f t="shared" si="48"/>
        <v>00</v>
      </c>
      <c r="J324" s="26" t="str">
        <f>"32 "</f>
        <v xml:space="preserve">32 </v>
      </c>
      <c r="K324" s="26" t="str">
        <f t="shared" si="49"/>
        <v>EP</v>
      </c>
      <c r="L324" s="26" t="str">
        <f t="shared" si="50"/>
        <v>DGOSE</v>
      </c>
      <c r="M324" s="26" t="str">
        <f t="shared" si="51"/>
        <v>FEDERAL</v>
      </c>
      <c r="N324" s="26">
        <v>136</v>
      </c>
      <c r="O324" s="26">
        <v>81</v>
      </c>
      <c r="P324" s="26">
        <v>55</v>
      </c>
      <c r="Q324" s="26">
        <v>5</v>
      </c>
      <c r="R324" s="26">
        <v>1</v>
      </c>
      <c r="S324" s="26">
        <v>5</v>
      </c>
      <c r="T324" s="26">
        <v>5</v>
      </c>
      <c r="U324" s="26">
        <v>11</v>
      </c>
      <c r="V324" s="26">
        <v>1</v>
      </c>
      <c r="W324" s="26"/>
    </row>
    <row r="325" spans="1:23" x14ac:dyDescent="0.25">
      <c r="A325" s="26" t="str">
        <f t="shared" si="47"/>
        <v>PREESCOLAR</v>
      </c>
      <c r="B325" s="26" t="str">
        <f>"09DJN0393A"</f>
        <v>09DJN0393A</v>
      </c>
      <c r="C325" s="26" t="str">
        <f>"JUAN DE DIOS RODRIGUEZ HEREDIA                                                                      "</f>
        <v xml:space="preserve">JUAN DE DIOS RODRIGUEZ HEREDIA                                                                      </v>
      </c>
      <c r="D325" s="26" t="str">
        <f>"MATUTINO"</f>
        <v>MATUTINO</v>
      </c>
      <c r="E325" s="26" t="str">
        <f>"JARDINEROS S/N                                                                  "</f>
        <v xml:space="preserve">JARDINEROS S/N                                                                  </v>
      </c>
      <c r="F325" s="26" t="str">
        <f>"UNIDAD INFONAVIT EL ROSARIO                                                                                                                 "</f>
        <v xml:space="preserve">UNIDAD INFONAVIT EL ROSARIO                                                                                                                 </v>
      </c>
      <c r="G325" s="26" t="str">
        <f>"AZCAPOTZALCO                                                                    "</f>
        <v xml:space="preserve">AZCAPOTZALCO                                                                    </v>
      </c>
      <c r="H325" s="26" t="str">
        <f>"207"</f>
        <v>207</v>
      </c>
      <c r="I325" s="26" t="str">
        <f t="shared" si="48"/>
        <v>00</v>
      </c>
      <c r="J325" s="26" t="str">
        <f>"32 "</f>
        <v xml:space="preserve">32 </v>
      </c>
      <c r="K325" s="26" t="str">
        <f t="shared" si="49"/>
        <v>EP</v>
      </c>
      <c r="L325" s="26" t="str">
        <f t="shared" si="50"/>
        <v>DGOSE</v>
      </c>
      <c r="M325" s="26" t="str">
        <f t="shared" si="51"/>
        <v>FEDERAL</v>
      </c>
      <c r="N325" s="26">
        <v>153</v>
      </c>
      <c r="O325" s="26">
        <v>77</v>
      </c>
      <c r="P325" s="26">
        <v>76</v>
      </c>
      <c r="Q325" s="26">
        <v>5</v>
      </c>
      <c r="R325" s="26">
        <v>1</v>
      </c>
      <c r="S325" s="26">
        <v>5</v>
      </c>
      <c r="T325" s="26">
        <v>3</v>
      </c>
      <c r="U325" s="26">
        <v>9</v>
      </c>
      <c r="V325" s="26">
        <v>1</v>
      </c>
      <c r="W325" s="26"/>
    </row>
    <row r="326" spans="1:23" x14ac:dyDescent="0.25">
      <c r="A326" s="26" t="str">
        <f t="shared" si="47"/>
        <v>PREESCOLAR</v>
      </c>
      <c r="B326" s="26" t="str">
        <f>"09DJN0396Y"</f>
        <v>09DJN0396Y</v>
      </c>
      <c r="C326" s="26" t="str">
        <f>"YOLOTLI                                                                                             "</f>
        <v xml:space="preserve">YOLOTLI                                                                                             </v>
      </c>
      <c r="D326" s="26" t="str">
        <f>"JORNADA AMPLIADA"</f>
        <v>JORNADA AMPLIADA</v>
      </c>
      <c r="E326" s="26" t="str">
        <f>"PLAZA DEL EJECUTIVO Y FABRILES                                                  "</f>
        <v xml:space="preserve">PLAZA DEL EJECUTIVO Y FABRILES                                                  </v>
      </c>
      <c r="F326" s="26" t="str">
        <f>"FEDERAL                                                                                                                                     "</f>
        <v xml:space="preserve">FEDERAL                                                                                                                                     </v>
      </c>
      <c r="G326" s="26" t="str">
        <f>"VENUSTIANO CARRANZA                                                             "</f>
        <v xml:space="preserve">VENUSTIANO CARRANZA                                                             </v>
      </c>
      <c r="H326" s="26" t="str">
        <f>"249"</f>
        <v>249</v>
      </c>
      <c r="I326" s="26" t="str">
        <f t="shared" si="48"/>
        <v>00</v>
      </c>
      <c r="J326" s="26" t="str">
        <f>"31 "</f>
        <v xml:space="preserve">31 </v>
      </c>
      <c r="K326" s="26" t="str">
        <f t="shared" si="49"/>
        <v>EP</v>
      </c>
      <c r="L326" s="26" t="str">
        <f t="shared" si="50"/>
        <v>DGOSE</v>
      </c>
      <c r="M326" s="26" t="str">
        <f t="shared" si="51"/>
        <v>FEDERAL</v>
      </c>
      <c r="N326" s="26">
        <v>134</v>
      </c>
      <c r="O326" s="26">
        <v>61</v>
      </c>
      <c r="P326" s="26">
        <v>73</v>
      </c>
      <c r="Q326" s="26">
        <v>5</v>
      </c>
      <c r="R326" s="26">
        <v>1</v>
      </c>
      <c r="S326" s="26">
        <v>5</v>
      </c>
      <c r="T326" s="26">
        <v>5</v>
      </c>
      <c r="U326" s="26">
        <v>11</v>
      </c>
      <c r="V326" s="26">
        <v>1</v>
      </c>
      <c r="W326" s="26" t="s">
        <v>2076</v>
      </c>
    </row>
    <row r="327" spans="1:23" x14ac:dyDescent="0.25">
      <c r="A327" s="26" t="str">
        <f t="shared" si="47"/>
        <v>PREESCOLAR</v>
      </c>
      <c r="B327" s="26" t="str">
        <f>"09DJN0398W"</f>
        <v>09DJN0398W</v>
      </c>
      <c r="C327" s="26" t="str">
        <f>"DANI HUINI                                                                                          "</f>
        <v xml:space="preserve">DANI HUINI                                                                                          </v>
      </c>
      <c r="D327" s="26" t="str">
        <f>"JORNADA AMPLIADA"</f>
        <v>JORNADA AMPLIADA</v>
      </c>
      <c r="E327" s="26" t="str">
        <f>"JAZMIN Y JACARANDAS S/N                                                         "</f>
        <v xml:space="preserve">JAZMIN Y JACARANDAS S/N                                                         </v>
      </c>
      <c r="F327" s="26" t="str">
        <f>"EL PIRUL                                                                                                                                    "</f>
        <v xml:space="preserve">EL PIRUL                                                                                                                                    </v>
      </c>
      <c r="G327" s="26" t="str">
        <f>"ALVARO OBREGON                                                                  "</f>
        <v xml:space="preserve">ALVARO OBREGON                                                                  </v>
      </c>
      <c r="H327" s="26" t="str">
        <f>"133"</f>
        <v>133</v>
      </c>
      <c r="I327" s="26" t="str">
        <f t="shared" si="48"/>
        <v>00</v>
      </c>
      <c r="J327" s="26" t="str">
        <f>"34 "</f>
        <v xml:space="preserve">34 </v>
      </c>
      <c r="K327" s="26" t="str">
        <f t="shared" si="49"/>
        <v>EP</v>
      </c>
      <c r="L327" s="26" t="str">
        <f t="shared" si="50"/>
        <v>DGOSE</v>
      </c>
      <c r="M327" s="26" t="str">
        <f t="shared" si="51"/>
        <v>FEDERAL</v>
      </c>
      <c r="N327" s="26">
        <v>188</v>
      </c>
      <c r="O327" s="26">
        <v>93</v>
      </c>
      <c r="P327" s="26">
        <v>95</v>
      </c>
      <c r="Q327" s="26">
        <v>6</v>
      </c>
      <c r="R327" s="26">
        <v>1</v>
      </c>
      <c r="S327" s="26">
        <v>6</v>
      </c>
      <c r="T327" s="26">
        <v>7</v>
      </c>
      <c r="U327" s="26">
        <v>14</v>
      </c>
      <c r="V327" s="26">
        <v>1</v>
      </c>
      <c r="W327" s="26" t="s">
        <v>2076</v>
      </c>
    </row>
    <row r="328" spans="1:23" x14ac:dyDescent="0.25">
      <c r="A328" s="26" t="str">
        <f t="shared" si="47"/>
        <v>PREESCOLAR</v>
      </c>
      <c r="B328" s="26" t="str">
        <f>"09DJN0399V"</f>
        <v>09DJN0399V</v>
      </c>
      <c r="C328" s="26" t="str">
        <f>"TONALI                                                                                              "</f>
        <v xml:space="preserve">TONALI                                                                                              </v>
      </c>
      <c r="D328" s="26" t="str">
        <f>"MATUTINO"</f>
        <v>MATUTINO</v>
      </c>
      <c r="E328" s="26" t="str">
        <f>"CALLE 2 Y TEPOZAN MZA. 114                                                      "</f>
        <v xml:space="preserve">CALLE 2 Y TEPOZAN MZA. 114                                                      </v>
      </c>
      <c r="F328" s="26" t="str">
        <f>"PEDREGAL DE SAN NICOLAS                                                                                                                     "</f>
        <v xml:space="preserve">PEDREGAL DE SAN NICOLAS                                                                                                                     </v>
      </c>
      <c r="G328" s="26" t="str">
        <f>"TLALPAN                                                                         "</f>
        <v xml:space="preserve">TLALPAN                                                                         </v>
      </c>
      <c r="H328" s="26" t="str">
        <f>"049"</f>
        <v>049</v>
      </c>
      <c r="I328" s="26" t="str">
        <f t="shared" si="48"/>
        <v>00</v>
      </c>
      <c r="J328" s="26" t="str">
        <f>"35 "</f>
        <v xml:space="preserve">35 </v>
      </c>
      <c r="K328" s="26" t="str">
        <f t="shared" si="49"/>
        <v>EP</v>
      </c>
      <c r="L328" s="26" t="str">
        <f t="shared" si="50"/>
        <v>DGOSE</v>
      </c>
      <c r="M328" s="26" t="str">
        <f t="shared" si="51"/>
        <v>FEDERAL</v>
      </c>
      <c r="N328" s="26">
        <v>257</v>
      </c>
      <c r="O328" s="26">
        <v>136</v>
      </c>
      <c r="P328" s="26">
        <v>121</v>
      </c>
      <c r="Q328" s="26">
        <v>7</v>
      </c>
      <c r="R328" s="26">
        <v>1</v>
      </c>
      <c r="S328" s="26">
        <v>7</v>
      </c>
      <c r="T328" s="26">
        <v>4</v>
      </c>
      <c r="U328" s="26">
        <v>12</v>
      </c>
      <c r="V328" s="26">
        <v>1</v>
      </c>
      <c r="W328" s="26"/>
    </row>
    <row r="329" spans="1:23" x14ac:dyDescent="0.25">
      <c r="A329" s="26" t="str">
        <f t="shared" si="47"/>
        <v>PREESCOLAR</v>
      </c>
      <c r="B329" s="26" t="str">
        <f>"09DJN0400U"</f>
        <v>09DJN0400U</v>
      </c>
      <c r="C329" s="26" t="str">
        <f>"ITZCALLI                                                                                            "</f>
        <v xml:space="preserve">ITZCALLI                                                                                            </v>
      </c>
      <c r="D329" s="26" t="str">
        <f>"JORNADA AMPLIADA"</f>
        <v>JORNADA AMPLIADA</v>
      </c>
      <c r="E329" s="26" t="str">
        <f>"GUADALAJARA S/N                                                                 "</f>
        <v xml:space="preserve">GUADALAJARA S/N                                                                 </v>
      </c>
      <c r="F329" s="26" t="str">
        <f>"MIGUEL HIDALGO                                                                                                                              "</f>
        <v xml:space="preserve">MIGUEL HIDALGO                                                                                                                              </v>
      </c>
      <c r="G329" s="26" t="str">
        <f>"TLALPAN                                                                         "</f>
        <v xml:space="preserve">TLALPAN                                                                         </v>
      </c>
      <c r="H329" s="26" t="str">
        <f>"139"</f>
        <v>139</v>
      </c>
      <c r="I329" s="26" t="str">
        <f t="shared" si="48"/>
        <v>00</v>
      </c>
      <c r="J329" s="26" t="str">
        <f>"34 "</f>
        <v xml:space="preserve">34 </v>
      </c>
      <c r="K329" s="26" t="str">
        <f t="shared" si="49"/>
        <v>EP</v>
      </c>
      <c r="L329" s="26" t="str">
        <f t="shared" si="50"/>
        <v>DGOSE</v>
      </c>
      <c r="M329" s="26" t="str">
        <f t="shared" si="51"/>
        <v>FEDERAL</v>
      </c>
      <c r="N329" s="26">
        <v>173</v>
      </c>
      <c r="O329" s="26">
        <v>78</v>
      </c>
      <c r="P329" s="26">
        <v>95</v>
      </c>
      <c r="Q329" s="26">
        <v>6</v>
      </c>
      <c r="R329" s="26">
        <v>1</v>
      </c>
      <c r="S329" s="26">
        <v>6</v>
      </c>
      <c r="T329" s="26">
        <v>6</v>
      </c>
      <c r="U329" s="26">
        <v>13</v>
      </c>
      <c r="V329" s="26">
        <v>1</v>
      </c>
      <c r="W329" s="26" t="s">
        <v>2076</v>
      </c>
    </row>
    <row r="330" spans="1:23" x14ac:dyDescent="0.25">
      <c r="A330" s="26" t="str">
        <f t="shared" si="47"/>
        <v>PREESCOLAR</v>
      </c>
      <c r="B330" s="26" t="str">
        <f>"09DJN0401T"</f>
        <v>09DJN0401T</v>
      </c>
      <c r="C330" s="26" t="str">
        <f>"CUETLAXOCHITL                                                                                       "</f>
        <v xml:space="preserve">CUETLAXOCHITL                                                                                       </v>
      </c>
      <c r="D330" s="26" t="str">
        <f>"JORNADA AMPLIADA"</f>
        <v>JORNADA AMPLIADA</v>
      </c>
      <c r="E330" s="26" t="str">
        <f>"CANAL SECO No.7                                                                 "</f>
        <v xml:space="preserve">CANAL SECO No.7                                                                 </v>
      </c>
      <c r="F330" s="26" t="str">
        <f>"GUADALUPE                                                                                                                                   "</f>
        <v xml:space="preserve">GUADALUPE                                                                                                                                   </v>
      </c>
      <c r="G330" s="26" t="str">
        <f>"TLAHUAC                                                                         "</f>
        <v xml:space="preserve">TLAHUAC                                                                         </v>
      </c>
      <c r="H330" s="26" t="str">
        <f>"173"</f>
        <v>173</v>
      </c>
      <c r="I330" s="26" t="str">
        <f t="shared" si="48"/>
        <v>00</v>
      </c>
      <c r="J330" s="26" t="str">
        <f>"34 "</f>
        <v xml:space="preserve">34 </v>
      </c>
      <c r="K330" s="26" t="str">
        <f t="shared" si="49"/>
        <v>EP</v>
      </c>
      <c r="L330" s="26" t="str">
        <f t="shared" si="50"/>
        <v>DGOSE</v>
      </c>
      <c r="M330" s="26" t="str">
        <f t="shared" si="51"/>
        <v>FEDERAL</v>
      </c>
      <c r="N330" s="26">
        <v>147</v>
      </c>
      <c r="O330" s="26">
        <v>73</v>
      </c>
      <c r="P330" s="26">
        <v>74</v>
      </c>
      <c r="Q330" s="26">
        <v>5</v>
      </c>
      <c r="R330" s="26">
        <v>1</v>
      </c>
      <c r="S330" s="26">
        <v>5</v>
      </c>
      <c r="T330" s="26">
        <v>9</v>
      </c>
      <c r="U330" s="26">
        <v>15</v>
      </c>
      <c r="V330" s="26">
        <v>1</v>
      </c>
      <c r="W330" s="26" t="s">
        <v>2076</v>
      </c>
    </row>
    <row r="331" spans="1:23" x14ac:dyDescent="0.25">
      <c r="A331" s="26" t="str">
        <f t="shared" si="47"/>
        <v>PREESCOLAR</v>
      </c>
      <c r="B331" s="26" t="str">
        <f>"09DJN0402S"</f>
        <v>09DJN0402S</v>
      </c>
      <c r="C331" s="26" t="str">
        <f>"PROFRA.MA.LUISA ARAMBURO VDA.DE ALVARADO                                                            "</f>
        <v xml:space="preserve">PROFRA.MA.LUISA ARAMBURO VDA.DE ALVARADO                                                            </v>
      </c>
      <c r="D331" s="26" t="str">
        <f>"JORNADA AMPLIADA"</f>
        <v>JORNADA AMPLIADA</v>
      </c>
      <c r="E331" s="26" t="str">
        <f>"RAFAEL CASTILLO S/N                                                             "</f>
        <v xml:space="preserve">RAFAEL CASTILLO S/N                                                             </v>
      </c>
      <c r="F331" s="26" t="str">
        <f>"SAN MATEO                                                                                                                                   "</f>
        <v xml:space="preserve">SAN MATEO                                                                                                                                   </v>
      </c>
      <c r="G331" s="26" t="str">
        <f>"TLAHUAC                                                                         "</f>
        <v xml:space="preserve">TLAHUAC                                                                         </v>
      </c>
      <c r="H331" s="26" t="str">
        <f>"173"</f>
        <v>173</v>
      </c>
      <c r="I331" s="26" t="str">
        <f t="shared" si="48"/>
        <v>00</v>
      </c>
      <c r="J331" s="26" t="str">
        <f>"34 "</f>
        <v xml:space="preserve">34 </v>
      </c>
      <c r="K331" s="26" t="str">
        <f t="shared" si="49"/>
        <v>EP</v>
      </c>
      <c r="L331" s="26" t="str">
        <f t="shared" si="50"/>
        <v>DGOSE</v>
      </c>
      <c r="M331" s="26" t="str">
        <f t="shared" si="51"/>
        <v>FEDERAL</v>
      </c>
      <c r="N331" s="26">
        <v>195</v>
      </c>
      <c r="O331" s="26">
        <v>97</v>
      </c>
      <c r="P331" s="26">
        <v>98</v>
      </c>
      <c r="Q331" s="26">
        <v>6</v>
      </c>
      <c r="R331" s="26">
        <v>1</v>
      </c>
      <c r="S331" s="26">
        <v>6</v>
      </c>
      <c r="T331" s="26">
        <v>6</v>
      </c>
      <c r="U331" s="26">
        <v>13</v>
      </c>
      <c r="V331" s="26">
        <v>1</v>
      </c>
      <c r="W331" s="26" t="s">
        <v>2076</v>
      </c>
    </row>
    <row r="332" spans="1:23" x14ac:dyDescent="0.25">
      <c r="A332" s="26" t="str">
        <f t="shared" si="47"/>
        <v>PREESCOLAR</v>
      </c>
      <c r="B332" s="26" t="str">
        <f>"09DJN0403R"</f>
        <v>09DJN0403R</v>
      </c>
      <c r="C332" s="26" t="str">
        <f>"TEZCATLIPOCA                                                                                        "</f>
        <v xml:space="preserve">TEZCATLIPOCA                                                                                        </v>
      </c>
      <c r="D332" s="26" t="str">
        <f>"MATUTINO"</f>
        <v>MATUTINO</v>
      </c>
      <c r="E332" s="26" t="str">
        <f>"ADOLFO UNDA Y DOMINGO ALVARADO S/N                                              "</f>
        <v xml:space="preserve">ADOLFO UNDA Y DOMINGO ALVARADO S/N                                              </v>
      </c>
      <c r="F332" s="26" t="str">
        <f>"SANTIAGO CENTRO                                                                                                                             "</f>
        <v xml:space="preserve">SANTIAGO CENTRO                                                                                                                             </v>
      </c>
      <c r="G332" s="26" t="str">
        <f>"TLAHUAC                                                                         "</f>
        <v xml:space="preserve">TLAHUAC                                                                         </v>
      </c>
      <c r="H332" s="26" t="str">
        <f>"065"</f>
        <v>065</v>
      </c>
      <c r="I332" s="26" t="str">
        <f t="shared" si="48"/>
        <v>00</v>
      </c>
      <c r="J332" s="26" t="str">
        <f>"35 "</f>
        <v xml:space="preserve">35 </v>
      </c>
      <c r="K332" s="26" t="str">
        <f t="shared" si="49"/>
        <v>EP</v>
      </c>
      <c r="L332" s="26" t="str">
        <f t="shared" si="50"/>
        <v>DGOSE</v>
      </c>
      <c r="M332" s="26" t="str">
        <f t="shared" si="51"/>
        <v>FEDERAL</v>
      </c>
      <c r="N332" s="26">
        <v>242</v>
      </c>
      <c r="O332" s="26">
        <v>116</v>
      </c>
      <c r="P332" s="26">
        <v>126</v>
      </c>
      <c r="Q332" s="26">
        <v>7</v>
      </c>
      <c r="R332" s="26">
        <v>1</v>
      </c>
      <c r="S332" s="26">
        <v>7</v>
      </c>
      <c r="T332" s="26">
        <v>5</v>
      </c>
      <c r="U332" s="26">
        <v>13</v>
      </c>
      <c r="V332" s="26">
        <v>1</v>
      </c>
      <c r="W332" s="26"/>
    </row>
    <row r="333" spans="1:23" x14ac:dyDescent="0.25">
      <c r="A333" s="26" t="str">
        <f t="shared" si="47"/>
        <v>PREESCOLAR</v>
      </c>
      <c r="B333" s="26" t="str">
        <f>"09DJN0405P"</f>
        <v>09DJN0405P</v>
      </c>
      <c r="C333" s="26" t="str">
        <f>"FRANCISCO INDALECIO MADERO                                                                          "</f>
        <v xml:space="preserve">FRANCISCO INDALECIO MADERO                                                                          </v>
      </c>
      <c r="D333" s="26" t="str">
        <f>"MATUTINO"</f>
        <v>MATUTINO</v>
      </c>
      <c r="E333" s="26" t="str">
        <f>"MIXTECAS Y TOPILTZIN                                                            "</f>
        <v xml:space="preserve">MIXTECAS Y TOPILTZIN                                                            </v>
      </c>
      <c r="F333" s="26" t="str">
        <f>"AJUSCO                                                                                                                                      "</f>
        <v xml:space="preserve">AJUSCO                                                                                                                                      </v>
      </c>
      <c r="G333" s="26" t="str">
        <f>"COYOACAN                                                                        "</f>
        <v xml:space="preserve">COYOACAN                                                                        </v>
      </c>
      <c r="H333" s="26" t="str">
        <f>"125"</f>
        <v>125</v>
      </c>
      <c r="I333" s="26" t="str">
        <f t="shared" si="48"/>
        <v>00</v>
      </c>
      <c r="J333" s="26" t="str">
        <f>"35 "</f>
        <v xml:space="preserve">35 </v>
      </c>
      <c r="K333" s="26" t="str">
        <f t="shared" si="49"/>
        <v>EP</v>
      </c>
      <c r="L333" s="26" t="str">
        <f t="shared" si="50"/>
        <v>DGOSE</v>
      </c>
      <c r="M333" s="26" t="str">
        <f t="shared" si="51"/>
        <v>FEDERAL</v>
      </c>
      <c r="N333" s="26">
        <v>203</v>
      </c>
      <c r="O333" s="26">
        <v>113</v>
      </c>
      <c r="P333" s="26">
        <v>90</v>
      </c>
      <c r="Q333" s="26">
        <v>7</v>
      </c>
      <c r="R333" s="26">
        <v>1</v>
      </c>
      <c r="S333" s="26">
        <v>7</v>
      </c>
      <c r="T333" s="26">
        <v>6</v>
      </c>
      <c r="U333" s="26">
        <v>14</v>
      </c>
      <c r="V333" s="26">
        <v>1</v>
      </c>
      <c r="W333" s="26"/>
    </row>
    <row r="334" spans="1:23" x14ac:dyDescent="0.25">
      <c r="A334" s="26" t="str">
        <f t="shared" si="47"/>
        <v>PREESCOLAR</v>
      </c>
      <c r="B334" s="26" t="str">
        <f>"09DJN0406O"</f>
        <v>09DJN0406O</v>
      </c>
      <c r="C334" s="26" t="str">
        <f>"PAPALOTZIN                                                                                          "</f>
        <v xml:space="preserve">PAPALOTZIN                                                                                          </v>
      </c>
      <c r="D334" s="26" t="str">
        <f>"TIEMPO COMPLETO"</f>
        <v>TIEMPO COMPLETO</v>
      </c>
      <c r="E334" s="26" t="str">
        <f>"REFORMA S/N ESQ. LA VENTA                                                       "</f>
        <v xml:space="preserve">REFORMA S/N ESQ. LA VENTA                                                       </v>
      </c>
      <c r="F334" s="26" t="str">
        <f>"SANTA TERESA                                                                                                                                "</f>
        <v xml:space="preserve">SANTA TERESA                                                                                                                                </v>
      </c>
      <c r="G334" s="26" t="str">
        <f>"LA MAGDALENA CONTRERAS                                                          "</f>
        <v xml:space="preserve">LA MAGDALENA CONTRERAS                                                          </v>
      </c>
      <c r="H334" s="26" t="str">
        <f>"079"</f>
        <v>079</v>
      </c>
      <c r="I334" s="26" t="str">
        <f t="shared" si="48"/>
        <v>00</v>
      </c>
      <c r="J334" s="26" t="str">
        <f>"34 "</f>
        <v xml:space="preserve">34 </v>
      </c>
      <c r="K334" s="26" t="str">
        <f t="shared" si="49"/>
        <v>EP</v>
      </c>
      <c r="L334" s="26" t="str">
        <f t="shared" si="50"/>
        <v>DGOSE</v>
      </c>
      <c r="M334" s="26" t="str">
        <f t="shared" si="51"/>
        <v>FEDERAL</v>
      </c>
      <c r="N334" s="26">
        <v>196</v>
      </c>
      <c r="O334" s="26">
        <v>101</v>
      </c>
      <c r="P334" s="26">
        <v>95</v>
      </c>
      <c r="Q334" s="26">
        <v>6</v>
      </c>
      <c r="R334" s="26">
        <v>1</v>
      </c>
      <c r="S334" s="26">
        <v>6</v>
      </c>
      <c r="T334" s="26">
        <v>15</v>
      </c>
      <c r="U334" s="26">
        <v>22</v>
      </c>
      <c r="V334" s="26">
        <v>1</v>
      </c>
      <c r="W334" s="26" t="s">
        <v>218</v>
      </c>
    </row>
    <row r="335" spans="1:23" x14ac:dyDescent="0.25">
      <c r="A335" s="26" t="str">
        <f t="shared" si="47"/>
        <v>PREESCOLAR</v>
      </c>
      <c r="B335" s="26" t="str">
        <f>"09DJN0407N"</f>
        <v>09DJN0407N</v>
      </c>
      <c r="C335" s="26" t="str">
        <f>"TEOLINCACIHUATL                                                                                     "</f>
        <v xml:space="preserve">TEOLINCACIHUATL                                                                                     </v>
      </c>
      <c r="D335" s="26" t="str">
        <f>"MATUTINO"</f>
        <v>MATUTINO</v>
      </c>
      <c r="E335" s="26" t="str">
        <f>"NAUTLA S/N                                                                      "</f>
        <v xml:space="preserve">NAUTLA S/N                                                                      </v>
      </c>
      <c r="F335" s="26" t="str">
        <f>"EL RODEO                                                                                                                                    "</f>
        <v xml:space="preserve">EL RODEO                                                                                                                                    </v>
      </c>
      <c r="G335" s="26" t="str">
        <f>"IZTAPALAPA                                                                      "</f>
        <v xml:space="preserve">IZTAPALAPA                                                                      </v>
      </c>
      <c r="H335" s="26" t="str">
        <f>"028"</f>
        <v>028</v>
      </c>
      <c r="I335" s="26" t="str">
        <f t="shared" si="48"/>
        <v>00</v>
      </c>
      <c r="J335" s="26" t="str">
        <f>"63 "</f>
        <v xml:space="preserve">63 </v>
      </c>
      <c r="K335" s="26" t="str">
        <f>"IZ"</f>
        <v>IZ</v>
      </c>
      <c r="L335" s="26" t="str">
        <f>"DGSEI"</f>
        <v>DGSEI</v>
      </c>
      <c r="M335" s="26" t="str">
        <f t="shared" si="51"/>
        <v>FEDERAL</v>
      </c>
      <c r="N335" s="26">
        <v>190</v>
      </c>
      <c r="O335" s="26">
        <v>100</v>
      </c>
      <c r="P335" s="26">
        <v>90</v>
      </c>
      <c r="Q335" s="26">
        <v>6</v>
      </c>
      <c r="R335" s="26">
        <v>1</v>
      </c>
      <c r="S335" s="26">
        <v>6</v>
      </c>
      <c r="T335" s="26">
        <v>4</v>
      </c>
      <c r="U335" s="26">
        <v>11</v>
      </c>
      <c r="V335" s="26">
        <v>1</v>
      </c>
      <c r="W335" s="26"/>
    </row>
    <row r="336" spans="1:23" x14ac:dyDescent="0.25">
      <c r="A336" s="26" t="str">
        <f t="shared" si="47"/>
        <v>PREESCOLAR</v>
      </c>
      <c r="B336" s="26" t="str">
        <f>"09DJN0408M"</f>
        <v>09DJN0408M</v>
      </c>
      <c r="C336" s="26" t="str">
        <f>"FELIPE SANTIAGO XICOTENCATL                                                                         "</f>
        <v xml:space="preserve">FELIPE SANTIAGO XICOTENCATL                                                                         </v>
      </c>
      <c r="D336" s="26" t="str">
        <f>"JORNADA AMPLIADA"</f>
        <v>JORNADA AMPLIADA</v>
      </c>
      <c r="E336" s="26" t="str">
        <f>"AV. PERGOLEROS NO. 40                                                           "</f>
        <v xml:space="preserve">AV. PERGOLEROS NO. 40                                                           </v>
      </c>
      <c r="F336" s="26" t="str">
        <f>"UNIDAD HABITACIONAL ISSFAM 1                                                                                                                "</f>
        <v xml:space="preserve">UNIDAD HABITACIONAL ISSFAM 1                                                                                                                </v>
      </c>
      <c r="G336" s="26" t="str">
        <f>"TLALPAN                                                                         "</f>
        <v xml:space="preserve">TLALPAN                                                                         </v>
      </c>
      <c r="H336" s="26" t="str">
        <f>"221"</f>
        <v>221</v>
      </c>
      <c r="I336" s="26" t="str">
        <f t="shared" si="48"/>
        <v>00</v>
      </c>
      <c r="J336" s="26" t="str">
        <f>"34 "</f>
        <v xml:space="preserve">34 </v>
      </c>
      <c r="K336" s="26" t="str">
        <f>"EP"</f>
        <v>EP</v>
      </c>
      <c r="L336" s="26" t="str">
        <f>"DGOSE"</f>
        <v>DGOSE</v>
      </c>
      <c r="M336" s="26" t="str">
        <f t="shared" si="51"/>
        <v>FEDERAL</v>
      </c>
      <c r="N336" s="26">
        <v>205</v>
      </c>
      <c r="O336" s="26">
        <v>104</v>
      </c>
      <c r="P336" s="26">
        <v>101</v>
      </c>
      <c r="Q336" s="26">
        <v>6</v>
      </c>
      <c r="R336" s="26">
        <v>1</v>
      </c>
      <c r="S336" s="26">
        <v>6</v>
      </c>
      <c r="T336" s="26">
        <v>5</v>
      </c>
      <c r="U336" s="26">
        <v>12</v>
      </c>
      <c r="V336" s="26">
        <v>1</v>
      </c>
      <c r="W336" s="26" t="s">
        <v>2076</v>
      </c>
    </row>
    <row r="337" spans="1:23" x14ac:dyDescent="0.25">
      <c r="A337" s="26" t="str">
        <f t="shared" si="47"/>
        <v>PREESCOLAR</v>
      </c>
      <c r="B337" s="26" t="str">
        <f>"09DJN0409L"</f>
        <v>09DJN0409L</v>
      </c>
      <c r="C337" s="26" t="str">
        <f>"SIGMUND FREUD                                                                                       "</f>
        <v xml:space="preserve">SIGMUND FREUD                                                                                       </v>
      </c>
      <c r="D337" s="26" t="str">
        <f>"MATUTINO"</f>
        <v>MATUTINO</v>
      </c>
      <c r="E337" s="26" t="str">
        <f>"CALMECAC Y TECACALO S/N                                                         "</f>
        <v xml:space="preserve">CALMECAC Y TECACALO S/N                                                         </v>
      </c>
      <c r="F337" s="26" t="str">
        <f>"ADOLFO RUIZ CORTINES                                                                                                                        "</f>
        <v xml:space="preserve">ADOLFO RUIZ CORTINES                                                                                                                        </v>
      </c>
      <c r="G337" s="26" t="str">
        <f>"COYOACAN                                                                        "</f>
        <v xml:space="preserve">COYOACAN                                                                        </v>
      </c>
      <c r="H337" s="26" t="str">
        <f>"077"</f>
        <v>077</v>
      </c>
      <c r="I337" s="26" t="str">
        <f t="shared" si="48"/>
        <v>00</v>
      </c>
      <c r="J337" s="26" t="str">
        <f>"35 "</f>
        <v xml:space="preserve">35 </v>
      </c>
      <c r="K337" s="26" t="str">
        <f>"EP"</f>
        <v>EP</v>
      </c>
      <c r="L337" s="26" t="str">
        <f>"DGOSE"</f>
        <v>DGOSE</v>
      </c>
      <c r="M337" s="26" t="str">
        <f t="shared" si="51"/>
        <v>FEDERAL</v>
      </c>
      <c r="N337" s="26">
        <v>122</v>
      </c>
      <c r="O337" s="26">
        <v>62</v>
      </c>
      <c r="P337" s="26">
        <v>60</v>
      </c>
      <c r="Q337" s="26">
        <v>4</v>
      </c>
      <c r="R337" s="26">
        <v>1</v>
      </c>
      <c r="S337" s="26">
        <v>4</v>
      </c>
      <c r="T337" s="26">
        <v>4</v>
      </c>
      <c r="U337" s="26">
        <v>9</v>
      </c>
      <c r="V337" s="26">
        <v>1</v>
      </c>
      <c r="W337" s="26"/>
    </row>
    <row r="338" spans="1:23" x14ac:dyDescent="0.25">
      <c r="A338" s="26" t="str">
        <f t="shared" si="47"/>
        <v>PREESCOLAR</v>
      </c>
      <c r="B338" s="26" t="str">
        <f>"09DJN0410A"</f>
        <v>09DJN0410A</v>
      </c>
      <c r="C338" s="26" t="str">
        <f>"HEROES DEL MOLINO DEL REY                                                                           "</f>
        <v xml:space="preserve">HEROES DEL MOLINO DEL REY                                                                           </v>
      </c>
      <c r="D338" s="26" t="str">
        <f>"VESPERTINO"</f>
        <v>VESPERTINO</v>
      </c>
      <c r="E338" s="26" t="str">
        <f>"JULIAN DE LOS REYES NO. 14                                                      "</f>
        <v xml:space="preserve">JULIAN DE LOS REYES NO. 14                                                      </v>
      </c>
      <c r="F338" s="26" t="str">
        <f>"JUAN ESCUTIA                                                                                                                                "</f>
        <v xml:space="preserve">JUAN ESCUTIA                                                                                                                                </v>
      </c>
      <c r="G338" s="26" t="str">
        <f>"IZTAPALAPA                                                                      "</f>
        <v xml:space="preserve">IZTAPALAPA                                                                      </v>
      </c>
      <c r="H338" s="26" t="str">
        <f>"014"</f>
        <v>014</v>
      </c>
      <c r="I338" s="26" t="str">
        <f t="shared" si="48"/>
        <v>00</v>
      </c>
      <c r="J338" s="26" t="str">
        <f>"62 "</f>
        <v xml:space="preserve">62 </v>
      </c>
      <c r="K338" s="26" t="str">
        <f>"IZ"</f>
        <v>IZ</v>
      </c>
      <c r="L338" s="26" t="str">
        <f>"DGSEI"</f>
        <v>DGSEI</v>
      </c>
      <c r="M338" s="26" t="str">
        <f t="shared" si="51"/>
        <v>FEDERAL</v>
      </c>
      <c r="N338" s="26">
        <v>88</v>
      </c>
      <c r="O338" s="26">
        <v>42</v>
      </c>
      <c r="P338" s="26">
        <v>46</v>
      </c>
      <c r="Q338" s="26">
        <v>3</v>
      </c>
      <c r="R338" s="26">
        <v>1</v>
      </c>
      <c r="S338" s="26">
        <v>3</v>
      </c>
      <c r="T338" s="26">
        <v>2</v>
      </c>
      <c r="U338" s="26">
        <v>6</v>
      </c>
      <c r="V338" s="26">
        <v>1</v>
      </c>
      <c r="W338" s="26"/>
    </row>
    <row r="339" spans="1:23" x14ac:dyDescent="0.25">
      <c r="A339" s="26" t="str">
        <f t="shared" si="47"/>
        <v>PREESCOLAR</v>
      </c>
      <c r="B339" s="26" t="str">
        <f>"09DJN0411Z"</f>
        <v>09DJN0411Z</v>
      </c>
      <c r="C339" s="26" t="str">
        <f>"ROSA AGAZZI                                                                                         "</f>
        <v xml:space="preserve">ROSA AGAZZI                                                                                         </v>
      </c>
      <c r="D339" s="26" t="str">
        <f>"JORNADA AMPLIADA"</f>
        <v>JORNADA AMPLIADA</v>
      </c>
      <c r="E339" s="26" t="str">
        <f>"SANTA ANA Y ROSA MA SEQUEIRA Z-23                                               "</f>
        <v xml:space="preserve">SANTA ANA Y ROSA MA SEQUEIRA Z-23                                               </v>
      </c>
      <c r="F339" s="26" t="str">
        <f>"SAN FRANCISCO CULHUACAN                                                                                                                     "</f>
        <v xml:space="preserve">SAN FRANCISCO CULHUACAN                                                                                                                     </v>
      </c>
      <c r="G339" s="26" t="str">
        <f>"COYOACAN                                                                        "</f>
        <v xml:space="preserve">COYOACAN                                                                        </v>
      </c>
      <c r="H339" s="26" t="str">
        <f>"209"</f>
        <v>209</v>
      </c>
      <c r="I339" s="26" t="str">
        <f t="shared" si="48"/>
        <v>00</v>
      </c>
      <c r="J339" s="26" t="str">
        <f>"34 "</f>
        <v xml:space="preserve">34 </v>
      </c>
      <c r="K339" s="26" t="str">
        <f t="shared" ref="K339:K344" si="52">"EP"</f>
        <v>EP</v>
      </c>
      <c r="L339" s="26" t="str">
        <f t="shared" ref="L339:L344" si="53">"DGOSE"</f>
        <v>DGOSE</v>
      </c>
      <c r="M339" s="26" t="str">
        <f t="shared" si="51"/>
        <v>FEDERAL</v>
      </c>
      <c r="N339" s="26">
        <v>176</v>
      </c>
      <c r="O339" s="26">
        <v>90</v>
      </c>
      <c r="P339" s="26">
        <v>86</v>
      </c>
      <c r="Q339" s="26">
        <v>5</v>
      </c>
      <c r="R339" s="26">
        <v>1</v>
      </c>
      <c r="S339" s="26">
        <v>4</v>
      </c>
      <c r="T339" s="26">
        <v>5</v>
      </c>
      <c r="U339" s="26">
        <v>10</v>
      </c>
      <c r="V339" s="26">
        <v>1</v>
      </c>
      <c r="W339" s="26" t="s">
        <v>2076</v>
      </c>
    </row>
    <row r="340" spans="1:23" x14ac:dyDescent="0.25">
      <c r="A340" s="26" t="str">
        <f t="shared" si="47"/>
        <v>PREESCOLAR</v>
      </c>
      <c r="B340" s="26" t="str">
        <f>"09DJN0412Z"</f>
        <v>09DJN0412Z</v>
      </c>
      <c r="C340" s="26" t="str">
        <f>"21 DE ABRIL                                                                                         "</f>
        <v xml:space="preserve">21 DE ABRIL                                                                                         </v>
      </c>
      <c r="D340" s="26" t="str">
        <f>"JORNADA AMPLIADA"</f>
        <v>JORNADA AMPLIADA</v>
      </c>
      <c r="E340" s="26" t="str">
        <f>"AVENIDA STA. ANA Y ROSA MA. SEQUEIRA                                            "</f>
        <v xml:space="preserve">AVENIDA STA. ANA Y ROSA MA. SEQUEIRA                                            </v>
      </c>
      <c r="F340" s="26" t="str">
        <f>"SAN FRANCISCO CULHUACAN                                                                                                                     "</f>
        <v xml:space="preserve">SAN FRANCISCO CULHUACAN                                                                                                                     </v>
      </c>
      <c r="G340" s="26" t="str">
        <f>"COYOACAN                                                                        "</f>
        <v xml:space="preserve">COYOACAN                                                                        </v>
      </c>
      <c r="H340" s="26" t="str">
        <f>"209"</f>
        <v>209</v>
      </c>
      <c r="I340" s="26" t="str">
        <f t="shared" si="48"/>
        <v>00</v>
      </c>
      <c r="J340" s="26" t="str">
        <f>"34 "</f>
        <v xml:space="preserve">34 </v>
      </c>
      <c r="K340" s="26" t="str">
        <f t="shared" si="52"/>
        <v>EP</v>
      </c>
      <c r="L340" s="26" t="str">
        <f t="shared" si="53"/>
        <v>DGOSE</v>
      </c>
      <c r="M340" s="26" t="str">
        <f t="shared" si="51"/>
        <v>FEDERAL</v>
      </c>
      <c r="N340" s="26">
        <v>189</v>
      </c>
      <c r="O340" s="26">
        <v>94</v>
      </c>
      <c r="P340" s="26">
        <v>95</v>
      </c>
      <c r="Q340" s="26">
        <v>6</v>
      </c>
      <c r="R340" s="26">
        <v>1</v>
      </c>
      <c r="S340" s="26">
        <v>6</v>
      </c>
      <c r="T340" s="26">
        <v>6</v>
      </c>
      <c r="U340" s="26">
        <v>13</v>
      </c>
      <c r="V340" s="26">
        <v>1</v>
      </c>
      <c r="W340" s="26" t="s">
        <v>2076</v>
      </c>
    </row>
    <row r="341" spans="1:23" x14ac:dyDescent="0.25">
      <c r="A341" s="26" t="str">
        <f t="shared" si="47"/>
        <v>PREESCOLAR</v>
      </c>
      <c r="B341" s="26" t="str">
        <f>"09DJN0413Y"</f>
        <v>09DJN0413Y</v>
      </c>
      <c r="C341" s="26" t="str">
        <f>"TONANTZIN                                                                                           "</f>
        <v xml:space="preserve">TONANTZIN                                                                                           </v>
      </c>
      <c r="D341" s="26" t="str">
        <f>"JORNADA AMPLIADA"</f>
        <v>JORNADA AMPLIADA</v>
      </c>
      <c r="E341" s="26" t="str">
        <f>"EST. MERCEDES ABREGO S/N                                                        "</f>
        <v xml:space="preserve">EST. MERCEDES ABREGO S/N                                                        </v>
      </c>
      <c r="F341" s="26" t="str">
        <f>"SAN FRANCISCO CULHUACAN                                                                                                                     "</f>
        <v xml:space="preserve">SAN FRANCISCO CULHUACAN                                                                                                                     </v>
      </c>
      <c r="G341" s="26" t="str">
        <f>"COYOACAN                                                                        "</f>
        <v xml:space="preserve">COYOACAN                                                                        </v>
      </c>
      <c r="H341" s="26" t="str">
        <f>"042"</f>
        <v>042</v>
      </c>
      <c r="I341" s="26" t="str">
        <f t="shared" si="48"/>
        <v>00</v>
      </c>
      <c r="J341" s="26" t="str">
        <f>"34 "</f>
        <v xml:space="preserve">34 </v>
      </c>
      <c r="K341" s="26" t="str">
        <f t="shared" si="52"/>
        <v>EP</v>
      </c>
      <c r="L341" s="26" t="str">
        <f t="shared" si="53"/>
        <v>DGOSE</v>
      </c>
      <c r="M341" s="26" t="str">
        <f t="shared" si="51"/>
        <v>FEDERAL</v>
      </c>
      <c r="N341" s="26">
        <v>79</v>
      </c>
      <c r="O341" s="26">
        <v>41</v>
      </c>
      <c r="P341" s="26">
        <v>38</v>
      </c>
      <c r="Q341" s="26">
        <v>3</v>
      </c>
      <c r="R341" s="26">
        <v>1</v>
      </c>
      <c r="S341" s="26">
        <v>3</v>
      </c>
      <c r="T341" s="26">
        <v>5</v>
      </c>
      <c r="U341" s="26">
        <v>9</v>
      </c>
      <c r="V341" s="26">
        <v>1</v>
      </c>
      <c r="W341" s="26" t="s">
        <v>2076</v>
      </c>
    </row>
    <row r="342" spans="1:23" x14ac:dyDescent="0.25">
      <c r="A342" s="26" t="str">
        <f t="shared" si="47"/>
        <v>PREESCOLAR</v>
      </c>
      <c r="B342" s="26" t="str">
        <f>"09DJN0414X"</f>
        <v>09DJN0414X</v>
      </c>
      <c r="C342" s="26" t="str">
        <f>"ORGANIZACION MUNDIAL DE EDUC. PREESCOLAR                                                            "</f>
        <v xml:space="preserve">ORGANIZACION MUNDIAL DE EDUC. PREESCOLAR                                                            </v>
      </c>
      <c r="D342" s="26" t="str">
        <f>"JORNADA AMPLIADA"</f>
        <v>JORNADA AMPLIADA</v>
      </c>
      <c r="E342" s="26" t="str">
        <f>"OTE. 157 ENTRE EDUARDO MOLINA Y GRAN CAN                                        "</f>
        <v xml:space="preserve">OTE. 157 ENTRE EDUARDO MOLINA Y GRAN CAN                                        </v>
      </c>
      <c r="F342" s="26" t="str">
        <f>"UNIDAD HABITACIONAL EL COYOL                                                                                                                "</f>
        <v xml:space="preserve">UNIDAD HABITACIONAL EL COYOL                                                                                                                </v>
      </c>
      <c r="G342" s="26" t="str">
        <f>"GUSTAVO A. MADERO                                                               "</f>
        <v xml:space="preserve">GUSTAVO A. MADERO                                                               </v>
      </c>
      <c r="H342" s="26" t="str">
        <f>"063"</f>
        <v>063</v>
      </c>
      <c r="I342" s="26" t="str">
        <f t="shared" si="48"/>
        <v>00</v>
      </c>
      <c r="J342" s="26" t="str">
        <f>"31 "</f>
        <v xml:space="preserve">31 </v>
      </c>
      <c r="K342" s="26" t="str">
        <f t="shared" si="52"/>
        <v>EP</v>
      </c>
      <c r="L342" s="26" t="str">
        <f t="shared" si="53"/>
        <v>DGOSE</v>
      </c>
      <c r="M342" s="26" t="str">
        <f t="shared" si="51"/>
        <v>FEDERAL</v>
      </c>
      <c r="N342" s="26">
        <v>220</v>
      </c>
      <c r="O342" s="26">
        <v>116</v>
      </c>
      <c r="P342" s="26">
        <v>104</v>
      </c>
      <c r="Q342" s="26">
        <v>7</v>
      </c>
      <c r="R342" s="26">
        <v>1</v>
      </c>
      <c r="S342" s="26">
        <v>7</v>
      </c>
      <c r="T342" s="26">
        <v>5</v>
      </c>
      <c r="U342" s="26">
        <v>13</v>
      </c>
      <c r="V342" s="26">
        <v>1</v>
      </c>
      <c r="W342" s="26" t="s">
        <v>2076</v>
      </c>
    </row>
    <row r="343" spans="1:23" x14ac:dyDescent="0.25">
      <c r="A343" s="26" t="str">
        <f t="shared" si="47"/>
        <v>PREESCOLAR</v>
      </c>
      <c r="B343" s="26" t="str">
        <f>"09DJN0415W"</f>
        <v>09DJN0415W</v>
      </c>
      <c r="C343" s="26" t="str">
        <f>"PROFRA. EMMA OLGUIN HERMIDA                                                                         "</f>
        <v xml:space="preserve">PROFRA. EMMA OLGUIN HERMIDA                                                                         </v>
      </c>
      <c r="D343" s="26" t="str">
        <f>"TIEMPO COMPLETO"</f>
        <v>TIEMPO COMPLETO</v>
      </c>
      <c r="E343" s="26" t="str">
        <f>"CAMELLON EDUARDO MOLINA S/N                                                     "</f>
        <v xml:space="preserve">CAMELLON EDUARDO MOLINA S/N                                                     </v>
      </c>
      <c r="F343" s="26" t="str">
        <f>"NUEVA ATZACOALCO                                                                                                                            "</f>
        <v xml:space="preserve">NUEVA ATZACOALCO                                                                                                                            </v>
      </c>
      <c r="G343" s="26" t="str">
        <f>"GUSTAVO A. MADERO                                                               "</f>
        <v xml:space="preserve">GUSTAVO A. MADERO                                                               </v>
      </c>
      <c r="H343" s="26" t="str">
        <f>"178"</f>
        <v>178</v>
      </c>
      <c r="I343" s="26" t="str">
        <f t="shared" si="48"/>
        <v>00</v>
      </c>
      <c r="J343" s="26" t="str">
        <f>"31 "</f>
        <v xml:space="preserve">31 </v>
      </c>
      <c r="K343" s="26" t="str">
        <f t="shared" si="52"/>
        <v>EP</v>
      </c>
      <c r="L343" s="26" t="str">
        <f t="shared" si="53"/>
        <v>DGOSE</v>
      </c>
      <c r="M343" s="26" t="str">
        <f t="shared" si="51"/>
        <v>FEDERAL</v>
      </c>
      <c r="N343" s="26">
        <v>278</v>
      </c>
      <c r="O343" s="26">
        <v>145</v>
      </c>
      <c r="P343" s="26">
        <v>133</v>
      </c>
      <c r="Q343" s="26">
        <v>8</v>
      </c>
      <c r="R343" s="26">
        <v>2</v>
      </c>
      <c r="S343" s="26">
        <v>8</v>
      </c>
      <c r="T343" s="26">
        <v>14</v>
      </c>
      <c r="U343" s="26">
        <v>24</v>
      </c>
      <c r="V343" s="26">
        <v>1</v>
      </c>
      <c r="W343" s="26" t="s">
        <v>218</v>
      </c>
    </row>
    <row r="344" spans="1:23" x14ac:dyDescent="0.25">
      <c r="A344" s="26" t="str">
        <f t="shared" si="47"/>
        <v>PREESCOLAR</v>
      </c>
      <c r="B344" s="26" t="str">
        <f>"09DJN0416V"</f>
        <v>09DJN0416V</v>
      </c>
      <c r="C344" s="26" t="str">
        <f>"CHINKULTIC                                                                                          "</f>
        <v xml:space="preserve">CHINKULTIC                                                                                          </v>
      </c>
      <c r="D344" s="26" t="str">
        <f>"JORNADA AMPLIADA"</f>
        <v>JORNADA AMPLIADA</v>
      </c>
      <c r="E344" s="26" t="str">
        <f>"PONIENTE 146 Y AV. CEYLAN                                                       "</f>
        <v xml:space="preserve">PONIENTE 146 Y AV. CEYLAN                                                       </v>
      </c>
      <c r="F344" s="26" t="str">
        <f>"INDUSTRIAL VALLEJO                                                                                                                          "</f>
        <v xml:space="preserve">INDUSTRIAL VALLEJO                                                                                                                          </v>
      </c>
      <c r="G344" s="26" t="str">
        <f>"AZCAPOTZALCO                                                                    "</f>
        <v xml:space="preserve">AZCAPOTZALCO                                                                    </v>
      </c>
      <c r="H344" s="26" t="str">
        <f>"008"</f>
        <v>008</v>
      </c>
      <c r="I344" s="26" t="str">
        <f t="shared" si="48"/>
        <v>00</v>
      </c>
      <c r="J344" s="26" t="str">
        <f>"31 "</f>
        <v xml:space="preserve">31 </v>
      </c>
      <c r="K344" s="26" t="str">
        <f t="shared" si="52"/>
        <v>EP</v>
      </c>
      <c r="L344" s="26" t="str">
        <f t="shared" si="53"/>
        <v>DGOSE</v>
      </c>
      <c r="M344" s="26" t="str">
        <f t="shared" si="51"/>
        <v>FEDERAL</v>
      </c>
      <c r="N344" s="26">
        <v>202</v>
      </c>
      <c r="O344" s="26">
        <v>108</v>
      </c>
      <c r="P344" s="26">
        <v>94</v>
      </c>
      <c r="Q344" s="26">
        <v>7</v>
      </c>
      <c r="R344" s="26">
        <v>1</v>
      </c>
      <c r="S344" s="26">
        <v>7</v>
      </c>
      <c r="T344" s="26">
        <v>7</v>
      </c>
      <c r="U344" s="26">
        <v>15</v>
      </c>
      <c r="V344" s="26">
        <v>1</v>
      </c>
      <c r="W344" s="26" t="s">
        <v>2076</v>
      </c>
    </row>
    <row r="345" spans="1:23" x14ac:dyDescent="0.25">
      <c r="A345" s="26" t="str">
        <f t="shared" si="47"/>
        <v>PREESCOLAR</v>
      </c>
      <c r="B345" s="26" t="str">
        <f>"09DJN0417U"</f>
        <v>09DJN0417U</v>
      </c>
      <c r="C345" s="26" t="str">
        <f>"MIGUEL F. MARTINEZ                                                                                  "</f>
        <v xml:space="preserve">MIGUEL F. MARTINEZ                                                                                  </v>
      </c>
      <c r="D345" s="26" t="str">
        <f>"VESPERTINO"</f>
        <v>VESPERTINO</v>
      </c>
      <c r="E345" s="26" t="str">
        <f>"ESTRELLA S/N                                                                    "</f>
        <v xml:space="preserve">ESTRELLA S/N                                                                    </v>
      </c>
      <c r="F345" s="26" t="str">
        <f>"BARRIO SAN PABLO                                                                                                                            "</f>
        <v xml:space="preserve">BARRIO SAN PABLO                                                                                                                            </v>
      </c>
      <c r="G345" s="26" t="str">
        <f>"IZTAPALAPA                                                                      "</f>
        <v xml:space="preserve">IZTAPALAPA                                                                      </v>
      </c>
      <c r="H345" s="26" t="str">
        <f>"022"</f>
        <v>022</v>
      </c>
      <c r="I345" s="26" t="str">
        <f t="shared" si="48"/>
        <v>00</v>
      </c>
      <c r="J345" s="26" t="str">
        <f>"63 "</f>
        <v xml:space="preserve">63 </v>
      </c>
      <c r="K345" s="26" t="str">
        <f>"IZ"</f>
        <v>IZ</v>
      </c>
      <c r="L345" s="26" t="str">
        <f>"DGSEI"</f>
        <v>DGSEI</v>
      </c>
      <c r="M345" s="26" t="str">
        <f t="shared" si="51"/>
        <v>FEDERAL</v>
      </c>
      <c r="N345" s="26">
        <v>189</v>
      </c>
      <c r="O345" s="26">
        <v>99</v>
      </c>
      <c r="P345" s="26">
        <v>90</v>
      </c>
      <c r="Q345" s="26">
        <v>6</v>
      </c>
      <c r="R345" s="26">
        <v>1</v>
      </c>
      <c r="S345" s="26">
        <v>6</v>
      </c>
      <c r="T345" s="26">
        <v>4</v>
      </c>
      <c r="U345" s="26">
        <v>11</v>
      </c>
      <c r="V345" s="26">
        <v>1</v>
      </c>
      <c r="W345" s="26"/>
    </row>
    <row r="346" spans="1:23" x14ac:dyDescent="0.25">
      <c r="A346" s="26" t="str">
        <f t="shared" si="47"/>
        <v>PREESCOLAR</v>
      </c>
      <c r="B346" s="26" t="str">
        <f>"09DJN0419S"</f>
        <v>09DJN0419S</v>
      </c>
      <c r="C346" s="26" t="str">
        <f>"PILTZINTECUTLI                                                                                      "</f>
        <v xml:space="preserve">PILTZINTECUTLI                                                                                      </v>
      </c>
      <c r="D346" s="26" t="str">
        <f>"JORNADA AMPLIADA"</f>
        <v>JORNADA AMPLIADA</v>
      </c>
      <c r="E346" s="26" t="str">
        <f>"AV. PANAMERICANA S/N 5A. SECCION                                                "</f>
        <v xml:space="preserve">AV. PANAMERICANA S/N 5A. SECCION                                                </v>
      </c>
      <c r="F346" s="26" t="str">
        <f>"PEDREGAL DE CARRASCO                                                                                                                        "</f>
        <v xml:space="preserve">PEDREGAL DE CARRASCO                                                                                                                        </v>
      </c>
      <c r="G346" s="26" t="str">
        <f>"COYOACAN                                                                        "</f>
        <v xml:space="preserve">COYOACAN                                                                        </v>
      </c>
      <c r="H346" s="26" t="str">
        <f>"058"</f>
        <v>058</v>
      </c>
      <c r="I346" s="26" t="str">
        <f t="shared" si="48"/>
        <v>00</v>
      </c>
      <c r="J346" s="26" t="str">
        <f>"34 "</f>
        <v xml:space="preserve">34 </v>
      </c>
      <c r="K346" s="26" t="str">
        <f>"EP"</f>
        <v>EP</v>
      </c>
      <c r="L346" s="26" t="str">
        <f>"DGOSE"</f>
        <v>DGOSE</v>
      </c>
      <c r="M346" s="26" t="str">
        <f t="shared" si="51"/>
        <v>FEDERAL</v>
      </c>
      <c r="N346" s="26">
        <v>186</v>
      </c>
      <c r="O346" s="26">
        <v>93</v>
      </c>
      <c r="P346" s="26">
        <v>93</v>
      </c>
      <c r="Q346" s="26">
        <v>6</v>
      </c>
      <c r="R346" s="26">
        <v>1</v>
      </c>
      <c r="S346" s="26">
        <v>6</v>
      </c>
      <c r="T346" s="26">
        <v>6</v>
      </c>
      <c r="U346" s="26">
        <v>13</v>
      </c>
      <c r="V346" s="26">
        <v>1</v>
      </c>
      <c r="W346" s="26" t="s">
        <v>2076</v>
      </c>
    </row>
    <row r="347" spans="1:23" x14ac:dyDescent="0.25">
      <c r="A347" s="26" t="str">
        <f t="shared" si="47"/>
        <v>PREESCOLAR</v>
      </c>
      <c r="B347" s="26" t="str">
        <f>"09DJN0421G"</f>
        <v>09DJN0421G</v>
      </c>
      <c r="C347" s="26" t="str">
        <f>"NINOMACHTIA                                                                                         "</f>
        <v xml:space="preserve">NINOMACHTIA                                                                                         </v>
      </c>
      <c r="D347" s="26" t="str">
        <f>"JORNADA AMPLIADA"</f>
        <v>JORNADA AMPLIADA</v>
      </c>
      <c r="E347" s="26" t="str">
        <f>"MARGARITAS NO. 42                                                               "</f>
        <v xml:space="preserve">MARGARITAS NO. 42                                                               </v>
      </c>
      <c r="F347" s="26" t="str">
        <f>"LOMAS DE MEMETLA                                                                                                                            "</f>
        <v xml:space="preserve">LOMAS DE MEMETLA                                                                                                                            </v>
      </c>
      <c r="G347" s="26" t="str">
        <f>"CUAJIMALPA DE MORELOS                                                           "</f>
        <v xml:space="preserve">CUAJIMALPA DE MORELOS                                                           </v>
      </c>
      <c r="H347" s="26" t="str">
        <f>"200"</f>
        <v>200</v>
      </c>
      <c r="I347" s="26" t="str">
        <f t="shared" si="48"/>
        <v>00</v>
      </c>
      <c r="J347" s="26" t="str">
        <f>"34 "</f>
        <v xml:space="preserve">34 </v>
      </c>
      <c r="K347" s="26" t="str">
        <f>"EP"</f>
        <v>EP</v>
      </c>
      <c r="L347" s="26" t="str">
        <f>"DGOSE"</f>
        <v>DGOSE</v>
      </c>
      <c r="M347" s="26" t="str">
        <f t="shared" si="51"/>
        <v>FEDERAL</v>
      </c>
      <c r="N347" s="26">
        <v>148</v>
      </c>
      <c r="O347" s="26">
        <v>77</v>
      </c>
      <c r="P347" s="26">
        <v>71</v>
      </c>
      <c r="Q347" s="26">
        <v>5</v>
      </c>
      <c r="R347" s="26">
        <v>1</v>
      </c>
      <c r="S347" s="26">
        <v>5</v>
      </c>
      <c r="T347" s="26">
        <v>5</v>
      </c>
      <c r="U347" s="26">
        <v>11</v>
      </c>
      <c r="V347" s="26">
        <v>1</v>
      </c>
      <c r="W347" s="26" t="s">
        <v>2076</v>
      </c>
    </row>
    <row r="348" spans="1:23" x14ac:dyDescent="0.25">
      <c r="A348" s="26" t="str">
        <f t="shared" si="47"/>
        <v>PREESCOLAR</v>
      </c>
      <c r="B348" s="26" t="str">
        <f>"09DJN0422F"</f>
        <v>09DJN0422F</v>
      </c>
      <c r="C348" s="26" t="str">
        <f>"SELMA LAGERLOF                                                                                      "</f>
        <v xml:space="preserve">SELMA LAGERLOF                                                                                      </v>
      </c>
      <c r="D348" s="26" t="str">
        <f>"MATUTINO"</f>
        <v>MATUTINO</v>
      </c>
      <c r="E348" s="26" t="str">
        <f>"CALLE 5 NO. 24                                                                  "</f>
        <v xml:space="preserve">CALLE 5 NO. 24                                                                  </v>
      </c>
      <c r="F348" s="26" t="str">
        <f>"PROGRESO NACIONAL                                                                                                                           "</f>
        <v xml:space="preserve">PROGRESO NACIONAL                                                                                                                           </v>
      </c>
      <c r="G348" s="26" t="str">
        <f>"GUSTAVO A. MADERO                                                               "</f>
        <v xml:space="preserve">GUSTAVO A. MADERO                                                               </v>
      </c>
      <c r="H348" s="26" t="str">
        <f>"196"</f>
        <v>196</v>
      </c>
      <c r="I348" s="26" t="str">
        <f t="shared" si="48"/>
        <v>00</v>
      </c>
      <c r="J348" s="26" t="str">
        <f>"32 "</f>
        <v xml:space="preserve">32 </v>
      </c>
      <c r="K348" s="26" t="str">
        <f>"EP"</f>
        <v>EP</v>
      </c>
      <c r="L348" s="26" t="str">
        <f>"DGOSE"</f>
        <v>DGOSE</v>
      </c>
      <c r="M348" s="26" t="str">
        <f t="shared" si="51"/>
        <v>FEDERAL</v>
      </c>
      <c r="N348" s="26">
        <v>99</v>
      </c>
      <c r="O348" s="26">
        <v>50</v>
      </c>
      <c r="P348" s="26">
        <v>49</v>
      </c>
      <c r="Q348" s="26">
        <v>5</v>
      </c>
      <c r="R348" s="26">
        <v>1</v>
      </c>
      <c r="S348" s="26">
        <v>5</v>
      </c>
      <c r="T348" s="26">
        <v>5</v>
      </c>
      <c r="U348" s="26">
        <v>11</v>
      </c>
      <c r="V348" s="26">
        <v>1</v>
      </c>
      <c r="W348" s="26"/>
    </row>
    <row r="349" spans="1:23" x14ac:dyDescent="0.25">
      <c r="A349" s="26" t="str">
        <f t="shared" si="47"/>
        <v>PREESCOLAR</v>
      </c>
      <c r="B349" s="26" t="str">
        <f>"09DJN0424D"</f>
        <v>09DJN0424D</v>
      </c>
      <c r="C349" s="26" t="str">
        <f>"NAVIDAD                                                                                             "</f>
        <v xml:space="preserve">NAVIDAD                                                                                             </v>
      </c>
      <c r="D349" s="26" t="str">
        <f>"JORNADA AMPLIADA"</f>
        <v>JORNADA AMPLIADA</v>
      </c>
      <c r="E349" s="26" t="str">
        <f>"25 DE DICIEMBRE Y BALTAZAR S/N                                                  "</f>
        <v xml:space="preserve">25 DE DICIEMBRE Y BALTAZAR S/N                                                  </v>
      </c>
      <c r="F349" s="26" t="str">
        <f>"GRANJAS DE NAVIDAD                                                                                                                          "</f>
        <v xml:space="preserve">GRANJAS DE NAVIDAD                                                                                                                          </v>
      </c>
      <c r="G349" s="26" t="str">
        <f>"CUAJIMALPA DE MORELOS                                                           "</f>
        <v xml:space="preserve">CUAJIMALPA DE MORELOS                                                           </v>
      </c>
      <c r="H349" s="26" t="str">
        <f>"048"</f>
        <v>048</v>
      </c>
      <c r="I349" s="26" t="str">
        <f t="shared" si="48"/>
        <v>00</v>
      </c>
      <c r="J349" s="26" t="str">
        <f>"34 "</f>
        <v xml:space="preserve">34 </v>
      </c>
      <c r="K349" s="26" t="str">
        <f>"EP"</f>
        <v>EP</v>
      </c>
      <c r="L349" s="26" t="str">
        <f>"DGOSE"</f>
        <v>DGOSE</v>
      </c>
      <c r="M349" s="26" t="str">
        <f t="shared" si="51"/>
        <v>FEDERAL</v>
      </c>
      <c r="N349" s="26">
        <v>243</v>
      </c>
      <c r="O349" s="26">
        <v>125</v>
      </c>
      <c r="P349" s="26">
        <v>118</v>
      </c>
      <c r="Q349" s="26">
        <v>7</v>
      </c>
      <c r="R349" s="26">
        <v>1</v>
      </c>
      <c r="S349" s="26">
        <v>6</v>
      </c>
      <c r="T349" s="26">
        <v>7</v>
      </c>
      <c r="U349" s="26">
        <v>14</v>
      </c>
      <c r="V349" s="26">
        <v>1</v>
      </c>
      <c r="W349" s="26" t="s">
        <v>2076</v>
      </c>
    </row>
    <row r="350" spans="1:23" x14ac:dyDescent="0.25">
      <c r="A350" s="26" t="str">
        <f t="shared" si="47"/>
        <v>PREESCOLAR</v>
      </c>
      <c r="B350" s="26" t="str">
        <f>"09DJN0426B"</f>
        <v>09DJN0426B</v>
      </c>
      <c r="C350" s="26" t="str">
        <f>"ANTONIA NAVA DE CATALAN                                                                             "</f>
        <v xml:space="preserve">ANTONIA NAVA DE CATALAN                                                                             </v>
      </c>
      <c r="D350" s="26" t="str">
        <f>"MATUTINO"</f>
        <v>MATUTINO</v>
      </c>
      <c r="E350" s="26" t="str">
        <f>"ANTONIO CARBAJAL Y BRIGADA DE CARBAJAL S/N                                      "</f>
        <v xml:space="preserve">ANTONIO CARBAJAL Y BRIGADA DE CARBAJAL S/N                                      </v>
      </c>
      <c r="F350" s="26" t="str">
        <f>"UNIDAD HABITACIONAL EJERCITO DE ORI                                                                                                         "</f>
        <v xml:space="preserve">UNIDAD HABITACIONAL EJERCITO DE ORI                                                                                                         </v>
      </c>
      <c r="G350" s="26" t="str">
        <f>"IZTAPALAPA                                                                      "</f>
        <v xml:space="preserve">IZTAPALAPA                                                                      </v>
      </c>
      <c r="H350" s="26" t="str">
        <f>"017"</f>
        <v>017</v>
      </c>
      <c r="I350" s="26" t="str">
        <f t="shared" si="48"/>
        <v>00</v>
      </c>
      <c r="J350" s="26" t="str">
        <f>"62 "</f>
        <v xml:space="preserve">62 </v>
      </c>
      <c r="K350" s="26" t="str">
        <f>"IZ"</f>
        <v>IZ</v>
      </c>
      <c r="L350" s="26" t="str">
        <f>"DGSEI"</f>
        <v>DGSEI</v>
      </c>
      <c r="M350" s="26" t="str">
        <f t="shared" si="51"/>
        <v>FEDERAL</v>
      </c>
      <c r="N350" s="26">
        <v>178</v>
      </c>
      <c r="O350" s="26">
        <v>90</v>
      </c>
      <c r="P350" s="26">
        <v>88</v>
      </c>
      <c r="Q350" s="26">
        <v>6</v>
      </c>
      <c r="R350" s="26">
        <v>1</v>
      </c>
      <c r="S350" s="26">
        <v>6</v>
      </c>
      <c r="T350" s="26">
        <v>5</v>
      </c>
      <c r="U350" s="26">
        <v>12</v>
      </c>
      <c r="V350" s="26">
        <v>1</v>
      </c>
      <c r="W350" s="26"/>
    </row>
    <row r="351" spans="1:23" x14ac:dyDescent="0.25">
      <c r="A351" s="26" t="str">
        <f t="shared" si="47"/>
        <v>PREESCOLAR</v>
      </c>
      <c r="B351" s="26" t="str">
        <f>"09DJN0427A"</f>
        <v>09DJN0427A</v>
      </c>
      <c r="C351" s="26" t="str">
        <f>"GIBRAN JALIL GIBRAN                                                                                 "</f>
        <v xml:space="preserve">GIBRAN JALIL GIBRAN                                                                                 </v>
      </c>
      <c r="D351" s="26" t="str">
        <f>"JORNADA AMPLIADA"</f>
        <v>JORNADA AMPLIADA</v>
      </c>
      <c r="E351" s="26" t="str">
        <f>"AMALPICA S/N                                                                    "</f>
        <v xml:space="preserve">AMALPICA S/N                                                                    </v>
      </c>
      <c r="F351" s="26" t="str">
        <f>"EL MANTO                                                                                                                                    "</f>
        <v xml:space="preserve">EL MANTO                                                                                                                                    </v>
      </c>
      <c r="G351" s="26" t="str">
        <f>"IZTAPALAPA                                                                      "</f>
        <v xml:space="preserve">IZTAPALAPA                                                                      </v>
      </c>
      <c r="H351" s="26" t="str">
        <f>"004"</f>
        <v>004</v>
      </c>
      <c r="I351" s="26" t="str">
        <f t="shared" si="48"/>
        <v>00</v>
      </c>
      <c r="J351" s="26" t="str">
        <f>"61 "</f>
        <v xml:space="preserve">61 </v>
      </c>
      <c r="K351" s="26" t="str">
        <f>"IZ"</f>
        <v>IZ</v>
      </c>
      <c r="L351" s="26" t="str">
        <f>"DGSEI"</f>
        <v>DGSEI</v>
      </c>
      <c r="M351" s="26" t="str">
        <f t="shared" si="51"/>
        <v>FEDERAL</v>
      </c>
      <c r="N351" s="26">
        <v>170</v>
      </c>
      <c r="O351" s="26">
        <v>87</v>
      </c>
      <c r="P351" s="26">
        <v>83</v>
      </c>
      <c r="Q351" s="26">
        <v>5</v>
      </c>
      <c r="R351" s="26">
        <v>1</v>
      </c>
      <c r="S351" s="26">
        <v>5</v>
      </c>
      <c r="T351" s="26">
        <v>5</v>
      </c>
      <c r="U351" s="26">
        <v>11</v>
      </c>
      <c r="V351" s="26">
        <v>1</v>
      </c>
      <c r="W351" s="26" t="s">
        <v>2076</v>
      </c>
    </row>
    <row r="352" spans="1:23" x14ac:dyDescent="0.25">
      <c r="A352" s="26" t="str">
        <f t="shared" si="47"/>
        <v>PREESCOLAR</v>
      </c>
      <c r="B352" s="26" t="str">
        <f>"09DJN0428Z"</f>
        <v>09DJN0428Z</v>
      </c>
      <c r="C352" s="26" t="str">
        <f>"SUECIA                                                                                              "</f>
        <v xml:space="preserve">SUECIA                                                                                              </v>
      </c>
      <c r="D352" s="26" t="str">
        <f>"JORNADA AMPLIADA"</f>
        <v>JORNADA AMPLIADA</v>
      </c>
      <c r="E352" s="26" t="str">
        <f>"PAJARES NO. 197                                                                 "</f>
        <v xml:space="preserve">PAJARES NO. 197                                                                 </v>
      </c>
      <c r="F352" s="26" t="str">
        <f>"PROGRESO DEL SUR                                                                                                                            "</f>
        <v xml:space="preserve">PROGRESO DEL SUR                                                                                                                            </v>
      </c>
      <c r="G352" s="26" t="str">
        <f>"IZTAPALAPA                                                                      "</f>
        <v xml:space="preserve">IZTAPALAPA                                                                      </v>
      </c>
      <c r="H352" s="26" t="str">
        <f>"004"</f>
        <v>004</v>
      </c>
      <c r="I352" s="26" t="str">
        <f t="shared" si="48"/>
        <v>00</v>
      </c>
      <c r="J352" s="26" t="str">
        <f>"61 "</f>
        <v xml:space="preserve">61 </v>
      </c>
      <c r="K352" s="26" t="str">
        <f>"IZ"</f>
        <v>IZ</v>
      </c>
      <c r="L352" s="26" t="str">
        <f>"DGSEI"</f>
        <v>DGSEI</v>
      </c>
      <c r="M352" s="26" t="str">
        <f t="shared" si="51"/>
        <v>FEDERAL</v>
      </c>
      <c r="N352" s="26">
        <v>78</v>
      </c>
      <c r="O352" s="26">
        <v>39</v>
      </c>
      <c r="P352" s="26">
        <v>39</v>
      </c>
      <c r="Q352" s="26">
        <v>4</v>
      </c>
      <c r="R352" s="26">
        <v>1</v>
      </c>
      <c r="S352" s="26">
        <v>4</v>
      </c>
      <c r="T352" s="26">
        <v>4</v>
      </c>
      <c r="U352" s="26">
        <v>9</v>
      </c>
      <c r="V352" s="26">
        <v>1</v>
      </c>
      <c r="W352" s="26" t="s">
        <v>2076</v>
      </c>
    </row>
    <row r="353" spans="1:23" x14ac:dyDescent="0.25">
      <c r="A353" s="26" t="str">
        <f t="shared" si="47"/>
        <v>PREESCOLAR</v>
      </c>
      <c r="B353" s="26" t="str">
        <f>"09DJN0432M"</f>
        <v>09DJN0432M</v>
      </c>
      <c r="C353" s="26" t="str">
        <f>"MARIANO MATAMOROS                                                                                   "</f>
        <v xml:space="preserve">MARIANO MATAMOROS                                                                                   </v>
      </c>
      <c r="D353" s="26" t="str">
        <f>"JORNADA AMPLIADA"</f>
        <v>JORNADA AMPLIADA</v>
      </c>
      <c r="E353" s="26" t="str">
        <f>"SERAFIN OLARTE NO. 196                                                          "</f>
        <v xml:space="preserve">SERAFIN OLARTE NO. 196                                                          </v>
      </c>
      <c r="F353" s="26" t="str">
        <f>"INDEPENDENCIA                                                                                                                               "</f>
        <v xml:space="preserve">INDEPENDENCIA                                                                                                                               </v>
      </c>
      <c r="G353" s="26" t="str">
        <f>"BENITO JUAREZ                                                                   "</f>
        <v xml:space="preserve">BENITO JUAREZ                                                                   </v>
      </c>
      <c r="H353" s="26" t="str">
        <f>"088"</f>
        <v>088</v>
      </c>
      <c r="I353" s="26" t="str">
        <f t="shared" si="48"/>
        <v>00</v>
      </c>
      <c r="J353" s="26" t="str">
        <f>"34 "</f>
        <v xml:space="preserve">34 </v>
      </c>
      <c r="K353" s="26" t="str">
        <f>"EP"</f>
        <v>EP</v>
      </c>
      <c r="L353" s="26" t="str">
        <f>"DGOSE"</f>
        <v>DGOSE</v>
      </c>
      <c r="M353" s="26" t="str">
        <f t="shared" si="51"/>
        <v>FEDERAL</v>
      </c>
      <c r="N353" s="26">
        <v>135</v>
      </c>
      <c r="O353" s="26">
        <v>67</v>
      </c>
      <c r="P353" s="26">
        <v>68</v>
      </c>
      <c r="Q353" s="26">
        <v>5</v>
      </c>
      <c r="R353" s="26">
        <v>1</v>
      </c>
      <c r="S353" s="26">
        <v>5</v>
      </c>
      <c r="T353" s="26">
        <v>6</v>
      </c>
      <c r="U353" s="26">
        <v>12</v>
      </c>
      <c r="V353" s="26">
        <v>1</v>
      </c>
      <c r="W353" s="26" t="s">
        <v>2076</v>
      </c>
    </row>
    <row r="354" spans="1:23" x14ac:dyDescent="0.25">
      <c r="A354" s="26" t="str">
        <f t="shared" si="47"/>
        <v>PREESCOLAR</v>
      </c>
      <c r="B354" s="26" t="str">
        <f>"09DJN0433L"</f>
        <v>09DJN0433L</v>
      </c>
      <c r="C354" s="26" t="str">
        <f>"MA. LUISA LATOUR                                                                                    "</f>
        <v xml:space="preserve">MA. LUISA LATOUR                                                                                    </v>
      </c>
      <c r="D354" s="26" t="str">
        <f>"JORNADA AMPLIADA"</f>
        <v>JORNADA AMPLIADA</v>
      </c>
      <c r="E354" s="26" t="str">
        <f>"TRIANGULO NO. 174                                                               "</f>
        <v xml:space="preserve">TRIANGULO NO. 174                                                               </v>
      </c>
      <c r="F354" s="26" t="str">
        <f>"PRADO CHURUBUSCO                                                                                                                            "</f>
        <v xml:space="preserve">PRADO CHURUBUSCO                                                                                                                            </v>
      </c>
      <c r="G354" s="26" t="str">
        <f>"COYOACAN                                                                        "</f>
        <v xml:space="preserve">COYOACAN                                                                        </v>
      </c>
      <c r="H354" s="26" t="str">
        <f>"235"</f>
        <v>235</v>
      </c>
      <c r="I354" s="26" t="str">
        <f t="shared" si="48"/>
        <v>00</v>
      </c>
      <c r="J354" s="26" t="str">
        <f>"34 "</f>
        <v xml:space="preserve">34 </v>
      </c>
      <c r="K354" s="26" t="str">
        <f>"EP"</f>
        <v>EP</v>
      </c>
      <c r="L354" s="26" t="str">
        <f>"DGOSE"</f>
        <v>DGOSE</v>
      </c>
      <c r="M354" s="26" t="str">
        <f t="shared" si="51"/>
        <v>FEDERAL</v>
      </c>
      <c r="N354" s="26">
        <v>113</v>
      </c>
      <c r="O354" s="26">
        <v>53</v>
      </c>
      <c r="P354" s="26">
        <v>60</v>
      </c>
      <c r="Q354" s="26">
        <v>4</v>
      </c>
      <c r="R354" s="26">
        <v>1</v>
      </c>
      <c r="S354" s="26">
        <v>4</v>
      </c>
      <c r="T354" s="26">
        <v>6</v>
      </c>
      <c r="U354" s="26">
        <v>11</v>
      </c>
      <c r="V354" s="26">
        <v>1</v>
      </c>
      <c r="W354" s="26" t="s">
        <v>2076</v>
      </c>
    </row>
    <row r="355" spans="1:23" x14ac:dyDescent="0.25">
      <c r="A355" s="26" t="str">
        <f t="shared" si="47"/>
        <v>PREESCOLAR</v>
      </c>
      <c r="B355" s="26" t="str">
        <f>"09DJN0434K"</f>
        <v>09DJN0434K</v>
      </c>
      <c r="C355" s="26" t="str">
        <f>"VICENTE SUAREZ                                                                                      "</f>
        <v xml:space="preserve">VICENTE SUAREZ                                                                                      </v>
      </c>
      <c r="D355" s="26" t="str">
        <f>"TIEMPO COMPLETO"</f>
        <v>TIEMPO COMPLETO</v>
      </c>
      <c r="E355" s="26" t="str">
        <f>"LEO NO. 79                                                                      "</f>
        <v xml:space="preserve">LEO NO. 79                                                                      </v>
      </c>
      <c r="F355" s="26" t="str">
        <f>"PRADO CHURUBUSCO                                                                                                                            "</f>
        <v xml:space="preserve">PRADO CHURUBUSCO                                                                                                                            </v>
      </c>
      <c r="G355" s="26" t="str">
        <f>"COYOACAN                                                                        "</f>
        <v xml:space="preserve">COYOACAN                                                                        </v>
      </c>
      <c r="H355" s="26" t="str">
        <f>"235"</f>
        <v>235</v>
      </c>
      <c r="I355" s="26" t="str">
        <f t="shared" si="48"/>
        <v>00</v>
      </c>
      <c r="J355" s="26" t="str">
        <f>"34 "</f>
        <v xml:space="preserve">34 </v>
      </c>
      <c r="K355" s="26" t="str">
        <f>"EP"</f>
        <v>EP</v>
      </c>
      <c r="L355" s="26" t="str">
        <f>"DGOSE"</f>
        <v>DGOSE</v>
      </c>
      <c r="M355" s="26" t="str">
        <f t="shared" si="51"/>
        <v>FEDERAL</v>
      </c>
      <c r="N355" s="26">
        <v>188</v>
      </c>
      <c r="O355" s="26">
        <v>96</v>
      </c>
      <c r="P355" s="26">
        <v>92</v>
      </c>
      <c r="Q355" s="26">
        <v>6</v>
      </c>
      <c r="R355" s="26">
        <v>2</v>
      </c>
      <c r="S355" s="26">
        <v>5</v>
      </c>
      <c r="T355" s="26">
        <v>14</v>
      </c>
      <c r="U355" s="26">
        <v>21</v>
      </c>
      <c r="V355" s="26">
        <v>1</v>
      </c>
      <c r="W355" s="26" t="s">
        <v>218</v>
      </c>
    </row>
    <row r="356" spans="1:23" x14ac:dyDescent="0.25">
      <c r="A356" s="26" t="str">
        <f t="shared" si="47"/>
        <v>PREESCOLAR</v>
      </c>
      <c r="B356" s="26" t="str">
        <f>"09DJN0435J"</f>
        <v>09DJN0435J</v>
      </c>
      <c r="C356" s="26" t="str">
        <f>"ISRAEL                                                                                              "</f>
        <v xml:space="preserve">ISRAEL                                                                                              </v>
      </c>
      <c r="D356" s="26" t="str">
        <f>"TIEMPO COMPLETO"</f>
        <v>TIEMPO COMPLETO</v>
      </c>
      <c r="E356" s="26" t="str">
        <f>"SOJA NO. 71                                                                     "</f>
        <v xml:space="preserve">SOJA NO. 71                                                                     </v>
      </c>
      <c r="F356" s="26" t="str">
        <f>"GRANJAS ESMERALDA                                                                                                                           "</f>
        <v xml:space="preserve">GRANJAS ESMERALDA                                                                                                                           </v>
      </c>
      <c r="G356" s="26" t="str">
        <f>"IZTAPALAPA                                                                      "</f>
        <v xml:space="preserve">IZTAPALAPA                                                                      </v>
      </c>
      <c r="H356" s="26" t="str">
        <f>"003"</f>
        <v>003</v>
      </c>
      <c r="I356" s="26" t="str">
        <f t="shared" si="48"/>
        <v>00</v>
      </c>
      <c r="J356" s="26" t="str">
        <f>"61 "</f>
        <v xml:space="preserve">61 </v>
      </c>
      <c r="K356" s="26" t="str">
        <f>"IZ"</f>
        <v>IZ</v>
      </c>
      <c r="L356" s="26" t="str">
        <f>"DGSEI"</f>
        <v>DGSEI</v>
      </c>
      <c r="M356" s="26" t="str">
        <f t="shared" si="51"/>
        <v>FEDERAL</v>
      </c>
      <c r="N356" s="26">
        <v>142</v>
      </c>
      <c r="O356" s="26">
        <v>79</v>
      </c>
      <c r="P356" s="26">
        <v>63</v>
      </c>
      <c r="Q356" s="26">
        <v>6</v>
      </c>
      <c r="R356" s="26">
        <v>1</v>
      </c>
      <c r="S356" s="26">
        <v>5</v>
      </c>
      <c r="T356" s="26">
        <v>9</v>
      </c>
      <c r="U356" s="26">
        <v>15</v>
      </c>
      <c r="V356" s="26">
        <v>1</v>
      </c>
      <c r="W356" s="26" t="s">
        <v>218</v>
      </c>
    </row>
    <row r="357" spans="1:23" x14ac:dyDescent="0.25">
      <c r="A357" s="26" t="str">
        <f t="shared" si="47"/>
        <v>PREESCOLAR</v>
      </c>
      <c r="B357" s="26" t="str">
        <f>"09DJN0436I"</f>
        <v>09DJN0436I</v>
      </c>
      <c r="C357" s="26" t="str">
        <f>"MARIA DEL CARMEN MENDOZA ARZATE                                                                     "</f>
        <v xml:space="preserve">MARIA DEL CARMEN MENDOZA ARZATE                                                                     </v>
      </c>
      <c r="D357" s="26" t="str">
        <f>"MATUTINO"</f>
        <v>MATUTINO</v>
      </c>
      <c r="E357" s="26" t="str">
        <f>"AV. HIDALGO NO. 8                                                               "</f>
        <v xml:space="preserve">AV. HIDALGO NO. 8                                                               </v>
      </c>
      <c r="F357" s="26" t="str">
        <f>"PURISIMA ATLAZOLPA                                                                                                                          "</f>
        <v xml:space="preserve">PURISIMA ATLAZOLPA                                                                                                                          </v>
      </c>
      <c r="G357" s="26" t="str">
        <f>"IZTAPALAPA                                                                      "</f>
        <v xml:space="preserve">IZTAPALAPA                                                                      </v>
      </c>
      <c r="H357" s="26" t="str">
        <f>"019"</f>
        <v>019</v>
      </c>
      <c r="I357" s="26" t="str">
        <f t="shared" si="48"/>
        <v>00</v>
      </c>
      <c r="J357" s="26" t="str">
        <f>"62 "</f>
        <v xml:space="preserve">62 </v>
      </c>
      <c r="K357" s="26" t="str">
        <f>"IZ"</f>
        <v>IZ</v>
      </c>
      <c r="L357" s="26" t="str">
        <f>"DGSEI"</f>
        <v>DGSEI</v>
      </c>
      <c r="M357" s="26" t="str">
        <f t="shared" si="51"/>
        <v>FEDERAL</v>
      </c>
      <c r="N357" s="26">
        <v>199</v>
      </c>
      <c r="O357" s="26">
        <v>91</v>
      </c>
      <c r="P357" s="26">
        <v>108</v>
      </c>
      <c r="Q357" s="26">
        <v>6</v>
      </c>
      <c r="R357" s="26">
        <v>1</v>
      </c>
      <c r="S357" s="26">
        <v>6</v>
      </c>
      <c r="T357" s="26">
        <v>4</v>
      </c>
      <c r="U357" s="26">
        <v>11</v>
      </c>
      <c r="V357" s="26">
        <v>1</v>
      </c>
      <c r="W357" s="26"/>
    </row>
    <row r="358" spans="1:23" x14ac:dyDescent="0.25">
      <c r="A358" s="26" t="str">
        <f t="shared" si="47"/>
        <v>PREESCOLAR</v>
      </c>
      <c r="B358" s="26" t="str">
        <f>"09DJN0438G"</f>
        <v>09DJN0438G</v>
      </c>
      <c r="C358" s="26" t="str">
        <f>"HERMILO NOVELO                                                                                      "</f>
        <v xml:space="preserve">HERMILO NOVELO                                                                                      </v>
      </c>
      <c r="D358" s="26" t="str">
        <f>"JORNADA AMPLIADA"</f>
        <v>JORNADA AMPLIADA</v>
      </c>
      <c r="E358" s="26" t="str">
        <f>"GUILLERMO PRIETO S/N                                                            "</f>
        <v xml:space="preserve">GUILLERMO PRIETO S/N                                                            </v>
      </c>
      <c r="F358" s="26" t="str">
        <f>"BENITO JUAREZ  FRACCIONAMIENTO                                                                                                              "</f>
        <v xml:space="preserve">BENITO JUAREZ  FRACCIONAMIENTO                                                                                                              </v>
      </c>
      <c r="G358" s="26" t="str">
        <f>"IZTACALCO                                                                       "</f>
        <v xml:space="preserve">IZTACALCO                                                                       </v>
      </c>
      <c r="H358" s="26" t="str">
        <f>"028"</f>
        <v>028</v>
      </c>
      <c r="I358" s="26" t="str">
        <f t="shared" si="48"/>
        <v>00</v>
      </c>
      <c r="J358" s="26" t="str">
        <f>"31 "</f>
        <v xml:space="preserve">31 </v>
      </c>
      <c r="K358" s="26" t="str">
        <f>"EP"</f>
        <v>EP</v>
      </c>
      <c r="L358" s="26" t="str">
        <f>"DGOSE"</f>
        <v>DGOSE</v>
      </c>
      <c r="M358" s="26" t="str">
        <f t="shared" si="51"/>
        <v>FEDERAL</v>
      </c>
      <c r="N358" s="26">
        <v>224</v>
      </c>
      <c r="O358" s="26">
        <v>99</v>
      </c>
      <c r="P358" s="26">
        <v>125</v>
      </c>
      <c r="Q358" s="26">
        <v>7</v>
      </c>
      <c r="R358" s="26">
        <v>0</v>
      </c>
      <c r="S358" s="26">
        <v>7</v>
      </c>
      <c r="T358" s="26">
        <v>10</v>
      </c>
      <c r="U358" s="26">
        <v>17</v>
      </c>
      <c r="V358" s="26">
        <v>1</v>
      </c>
      <c r="W358" s="26" t="s">
        <v>2076</v>
      </c>
    </row>
    <row r="359" spans="1:23" x14ac:dyDescent="0.25">
      <c r="A359" s="26" t="str">
        <f t="shared" si="47"/>
        <v>PREESCOLAR</v>
      </c>
      <c r="B359" s="26" t="str">
        <f>"09DJN0439F"</f>
        <v>09DJN0439F</v>
      </c>
      <c r="C359" s="26" t="str">
        <f>"GUELAGUETZA                                                                                         "</f>
        <v xml:space="preserve">GUELAGUETZA                                                                                         </v>
      </c>
      <c r="D359" s="26" t="str">
        <f>"MATUTINO"</f>
        <v>MATUTINO</v>
      </c>
      <c r="E359" s="26" t="str">
        <f>"SUR 125 Y ORIENTE 100                                                           "</f>
        <v xml:space="preserve">SUR 125 Y ORIENTE 100                                                           </v>
      </c>
      <c r="F359" s="26" t="str">
        <f>"GABRIEL RAMOS MILLAN                                                                                                                        "</f>
        <v xml:space="preserve">GABRIEL RAMOS MILLAN                                                                                                                        </v>
      </c>
      <c r="G359" s="26" t="str">
        <f>"IZTACALCO                                                                       "</f>
        <v xml:space="preserve">IZTACALCO                                                                       </v>
      </c>
      <c r="H359" s="26" t="str">
        <f>"029"</f>
        <v>029</v>
      </c>
      <c r="I359" s="26" t="str">
        <f t="shared" si="48"/>
        <v>00</v>
      </c>
      <c r="J359" s="26" t="str">
        <f>"33 "</f>
        <v xml:space="preserve">33 </v>
      </c>
      <c r="K359" s="26" t="str">
        <f>"EP"</f>
        <v>EP</v>
      </c>
      <c r="L359" s="26" t="str">
        <f>"DGOSE"</f>
        <v>DGOSE</v>
      </c>
      <c r="M359" s="26" t="str">
        <f t="shared" si="51"/>
        <v>FEDERAL</v>
      </c>
      <c r="N359" s="26">
        <v>192</v>
      </c>
      <c r="O359" s="26">
        <v>101</v>
      </c>
      <c r="P359" s="26">
        <v>91</v>
      </c>
      <c r="Q359" s="26">
        <v>6</v>
      </c>
      <c r="R359" s="26">
        <v>1</v>
      </c>
      <c r="S359" s="26">
        <v>6</v>
      </c>
      <c r="T359" s="26">
        <v>6</v>
      </c>
      <c r="U359" s="26">
        <v>13</v>
      </c>
      <c r="V359" s="26">
        <v>1</v>
      </c>
      <c r="W359" s="26"/>
    </row>
    <row r="360" spans="1:23" x14ac:dyDescent="0.25">
      <c r="A360" s="26" t="str">
        <f t="shared" si="47"/>
        <v>PREESCOLAR</v>
      </c>
      <c r="B360" s="26" t="str">
        <f>"09DJN0440V"</f>
        <v>09DJN0440V</v>
      </c>
      <c r="C360" s="26" t="str">
        <f>"PROFRA. GUADALUPE CENICEROS DE ZAVALETA                                                             "</f>
        <v xml:space="preserve">PROFRA. GUADALUPE CENICEROS DE ZAVALETA                                                             </v>
      </c>
      <c r="D360" s="26" t="str">
        <f>"JORNADA AMPLIADA"</f>
        <v>JORNADA AMPLIADA</v>
      </c>
      <c r="E360" s="26" t="str">
        <f>"CALZ. VALLEJO NO. 512                                                           "</f>
        <v xml:space="preserve">CALZ. VALLEJO NO. 512                                                           </v>
      </c>
      <c r="F360" s="26" t="str">
        <f>"PRO  HOGAR                                                                                                                                  "</f>
        <v xml:space="preserve">PRO  HOGAR                                                                                                                                  </v>
      </c>
      <c r="G360" s="26" t="str">
        <f>"AZCAPOTZALCO                                                                    "</f>
        <v xml:space="preserve">AZCAPOTZALCO                                                                    </v>
      </c>
      <c r="H360" s="26" t="str">
        <f>"060"</f>
        <v>060</v>
      </c>
      <c r="I360" s="26" t="str">
        <f t="shared" si="48"/>
        <v>00</v>
      </c>
      <c r="J360" s="26" t="str">
        <f>"31 "</f>
        <v xml:space="preserve">31 </v>
      </c>
      <c r="K360" s="26" t="str">
        <f>"EP"</f>
        <v>EP</v>
      </c>
      <c r="L360" s="26" t="str">
        <f>"DGOSE"</f>
        <v>DGOSE</v>
      </c>
      <c r="M360" s="26" t="str">
        <f t="shared" si="51"/>
        <v>FEDERAL</v>
      </c>
      <c r="N360" s="26">
        <v>75</v>
      </c>
      <c r="O360" s="26">
        <v>40</v>
      </c>
      <c r="P360" s="26">
        <v>35</v>
      </c>
      <c r="Q360" s="26">
        <v>4</v>
      </c>
      <c r="R360" s="26">
        <v>1</v>
      </c>
      <c r="S360" s="26">
        <v>4</v>
      </c>
      <c r="T360" s="26">
        <v>5</v>
      </c>
      <c r="U360" s="26">
        <v>10</v>
      </c>
      <c r="V360" s="26">
        <v>1</v>
      </c>
      <c r="W360" s="26" t="s">
        <v>2076</v>
      </c>
    </row>
    <row r="361" spans="1:23" x14ac:dyDescent="0.25">
      <c r="A361" s="26" t="str">
        <f t="shared" si="47"/>
        <v>PREESCOLAR</v>
      </c>
      <c r="B361" s="26" t="str">
        <f>"09DJN0441U"</f>
        <v>09DJN0441U</v>
      </c>
      <c r="C361" s="26" t="str">
        <f>"PROFRA. SOCORRO LEGORRETA PALACIOS                                                                  "</f>
        <v xml:space="preserve">PROFRA. SOCORRO LEGORRETA PALACIOS                                                                  </v>
      </c>
      <c r="D361" s="26" t="str">
        <f>"TIEMPO COMPLETO"</f>
        <v>TIEMPO COMPLETO</v>
      </c>
      <c r="E361" s="26" t="str">
        <f>"5TA. DE CASIMIRO DEL VALLE S/N                                                  "</f>
        <v xml:space="preserve">5TA. DE CASIMIRO DEL VALLE S/N                                                  </v>
      </c>
      <c r="F361" s="26" t="str">
        <f>"UNIDAD HABITACIONAL VICENTE GUERRER                                                                                                         "</f>
        <v xml:space="preserve">UNIDAD HABITACIONAL VICENTE GUERRER                                                                                                         </v>
      </c>
      <c r="G361" s="26" t="str">
        <f>"IZTAPALAPA                                                                      "</f>
        <v xml:space="preserve">IZTAPALAPA                                                                      </v>
      </c>
      <c r="H361" s="26" t="str">
        <f>"012"</f>
        <v>012</v>
      </c>
      <c r="I361" s="26" t="str">
        <f t="shared" si="48"/>
        <v>00</v>
      </c>
      <c r="J361" s="26" t="str">
        <f>"61 "</f>
        <v xml:space="preserve">61 </v>
      </c>
      <c r="K361" s="26" t="str">
        <f>"IZ"</f>
        <v>IZ</v>
      </c>
      <c r="L361" s="26" t="str">
        <f>"DGSEI"</f>
        <v>DGSEI</v>
      </c>
      <c r="M361" s="26" t="str">
        <f t="shared" si="51"/>
        <v>FEDERAL</v>
      </c>
      <c r="N361" s="26">
        <v>171</v>
      </c>
      <c r="O361" s="26">
        <v>90</v>
      </c>
      <c r="P361" s="26">
        <v>81</v>
      </c>
      <c r="Q361" s="26">
        <v>6</v>
      </c>
      <c r="R361" s="26">
        <v>1</v>
      </c>
      <c r="S361" s="26">
        <v>6</v>
      </c>
      <c r="T361" s="26">
        <v>10</v>
      </c>
      <c r="U361" s="26">
        <v>17</v>
      </c>
      <c r="V361" s="26">
        <v>1</v>
      </c>
      <c r="W361" s="26" t="s">
        <v>218</v>
      </c>
    </row>
    <row r="362" spans="1:23" x14ac:dyDescent="0.25">
      <c r="A362" s="26" t="str">
        <f t="shared" si="47"/>
        <v>PREESCOLAR</v>
      </c>
      <c r="B362" s="26" t="str">
        <f>"09DJN0442T"</f>
        <v>09DJN0442T</v>
      </c>
      <c r="C362" s="26" t="str">
        <f>"CLUB DE LEONES DE IZTACALCO NO. 2                                                                   "</f>
        <v xml:space="preserve">CLUB DE LEONES DE IZTACALCO NO. 2                                                                   </v>
      </c>
      <c r="D362" s="26" t="str">
        <f>"TIEMPO COMPLETO"</f>
        <v>TIEMPO COMPLETO</v>
      </c>
      <c r="E362" s="26" t="str">
        <f>"ESTUDIOS CHURUBUSCO NO. 30                                                      "</f>
        <v xml:space="preserve">ESTUDIOS CHURUBUSCO NO. 30                                                      </v>
      </c>
      <c r="F362" s="26" t="str">
        <f>"JARDINES TECMA                                                                                                                              "</f>
        <v xml:space="preserve">JARDINES TECMA                                                                                                                              </v>
      </c>
      <c r="G362" s="26" t="str">
        <f>"IZTACALCO                                                                       "</f>
        <v xml:space="preserve">IZTACALCO                                                                       </v>
      </c>
      <c r="H362" s="26" t="str">
        <f>"085"</f>
        <v>085</v>
      </c>
      <c r="I362" s="26" t="str">
        <f t="shared" si="48"/>
        <v>00</v>
      </c>
      <c r="J362" s="26" t="str">
        <f>"31 "</f>
        <v xml:space="preserve">31 </v>
      </c>
      <c r="K362" s="26" t="str">
        <f>"EP"</f>
        <v>EP</v>
      </c>
      <c r="L362" s="26" t="str">
        <f>"DGOSE"</f>
        <v>DGOSE</v>
      </c>
      <c r="M362" s="26" t="str">
        <f t="shared" si="51"/>
        <v>FEDERAL</v>
      </c>
      <c r="N362" s="26">
        <v>182</v>
      </c>
      <c r="O362" s="26">
        <v>95</v>
      </c>
      <c r="P362" s="26">
        <v>87</v>
      </c>
      <c r="Q362" s="26">
        <v>6</v>
      </c>
      <c r="R362" s="26">
        <v>2</v>
      </c>
      <c r="S362" s="26">
        <v>6</v>
      </c>
      <c r="T362" s="26">
        <v>17</v>
      </c>
      <c r="U362" s="26">
        <v>25</v>
      </c>
      <c r="V362" s="26">
        <v>1</v>
      </c>
      <c r="W362" s="26" t="s">
        <v>218</v>
      </c>
    </row>
    <row r="363" spans="1:23" x14ac:dyDescent="0.25">
      <c r="A363" s="26" t="str">
        <f t="shared" si="47"/>
        <v>PREESCOLAR</v>
      </c>
      <c r="B363" s="26" t="str">
        <f>"09DJN0445Q"</f>
        <v>09DJN0445Q</v>
      </c>
      <c r="C363" s="26" t="str">
        <f>"GUILLERMO GRIMM                                                                                     "</f>
        <v xml:space="preserve">GUILLERMO GRIMM                                                                                     </v>
      </c>
      <c r="D363" s="26" t="str">
        <f>"JORNADA AMPLIADA"</f>
        <v>JORNADA AMPLIADA</v>
      </c>
      <c r="E363" s="26" t="str">
        <f>"1RO. DE MODESTO LECHUGA S/N                                                     "</f>
        <v xml:space="preserve">1RO. DE MODESTO LECHUGA S/N                                                     </v>
      </c>
      <c r="F363" s="26" t="str">
        <f>"UNIDAD HABITACIONAL VICENTE GUERRER                                                                                                         "</f>
        <v xml:space="preserve">UNIDAD HABITACIONAL VICENTE GUERRER                                                                                                         </v>
      </c>
      <c r="G363" s="26" t="str">
        <f>"IZTAPALAPA                                                                      "</f>
        <v xml:space="preserve">IZTAPALAPA                                                                      </v>
      </c>
      <c r="H363" s="26" t="str">
        <f>"011"</f>
        <v>011</v>
      </c>
      <c r="I363" s="26" t="str">
        <f t="shared" si="48"/>
        <v>00</v>
      </c>
      <c r="J363" s="26" t="str">
        <f>"61 "</f>
        <v xml:space="preserve">61 </v>
      </c>
      <c r="K363" s="26" t="str">
        <f>"IZ"</f>
        <v>IZ</v>
      </c>
      <c r="L363" s="26" t="str">
        <f>"DGSEI"</f>
        <v>DGSEI</v>
      </c>
      <c r="M363" s="26" t="str">
        <f t="shared" si="51"/>
        <v>FEDERAL</v>
      </c>
      <c r="N363" s="26">
        <v>156</v>
      </c>
      <c r="O363" s="26">
        <v>71</v>
      </c>
      <c r="P363" s="26">
        <v>85</v>
      </c>
      <c r="Q363" s="26">
        <v>5</v>
      </c>
      <c r="R363" s="26">
        <v>1</v>
      </c>
      <c r="S363" s="26">
        <v>5</v>
      </c>
      <c r="T363" s="26">
        <v>4</v>
      </c>
      <c r="U363" s="26">
        <v>10</v>
      </c>
      <c r="V363" s="26">
        <v>1</v>
      </c>
      <c r="W363" s="26" t="s">
        <v>2076</v>
      </c>
    </row>
    <row r="364" spans="1:23" x14ac:dyDescent="0.25">
      <c r="A364" s="26" t="str">
        <f t="shared" si="47"/>
        <v>PREESCOLAR</v>
      </c>
      <c r="B364" s="26" t="str">
        <f>"09DJN0447O"</f>
        <v>09DJN0447O</v>
      </c>
      <c r="C364" s="26" t="str">
        <f>"MACUIZOCHITL                                                                                        "</f>
        <v xml:space="preserve">MACUIZOCHITL                                                                                        </v>
      </c>
      <c r="D364" s="26" t="str">
        <f>"VESPERTINO"</f>
        <v>VESPERTINO</v>
      </c>
      <c r="E364" s="26" t="str">
        <f>"BATALLA DE LOMA ALTA ESQ. GUERRA DE REFORMA                                     "</f>
        <v xml:space="preserve">BATALLA DE LOMA ALTA ESQ. GUERRA DE REFORMA                                     </v>
      </c>
      <c r="F364" s="26" t="str">
        <f>"LEYES DE REFORMA                                                                                                                            "</f>
        <v xml:space="preserve">LEYES DE REFORMA                                                                                                                            </v>
      </c>
      <c r="G364" s="26" t="str">
        <f>"IZTAPALAPA                                                                      "</f>
        <v xml:space="preserve">IZTAPALAPA                                                                      </v>
      </c>
      <c r="H364" s="26" t="str">
        <f>"020"</f>
        <v>020</v>
      </c>
      <c r="I364" s="26" t="str">
        <f t="shared" si="48"/>
        <v>00</v>
      </c>
      <c r="J364" s="26" t="str">
        <f>"63 "</f>
        <v xml:space="preserve">63 </v>
      </c>
      <c r="K364" s="26" t="str">
        <f>"IZ"</f>
        <v>IZ</v>
      </c>
      <c r="L364" s="26" t="str">
        <f>"DGSEI"</f>
        <v>DGSEI</v>
      </c>
      <c r="M364" s="26" t="str">
        <f t="shared" si="51"/>
        <v>FEDERAL</v>
      </c>
      <c r="N364" s="26">
        <v>140</v>
      </c>
      <c r="O364" s="26">
        <v>64</v>
      </c>
      <c r="P364" s="26">
        <v>76</v>
      </c>
      <c r="Q364" s="26">
        <v>5</v>
      </c>
      <c r="R364" s="26">
        <v>1</v>
      </c>
      <c r="S364" s="26">
        <v>5</v>
      </c>
      <c r="T364" s="26">
        <v>3</v>
      </c>
      <c r="U364" s="26">
        <v>9</v>
      </c>
      <c r="V364" s="26">
        <v>1</v>
      </c>
      <c r="W364" s="26"/>
    </row>
    <row r="365" spans="1:23" x14ac:dyDescent="0.25">
      <c r="A365" s="26" t="str">
        <f t="shared" si="47"/>
        <v>PREESCOLAR</v>
      </c>
      <c r="B365" s="26" t="str">
        <f>"09DJN0448N"</f>
        <v>09DJN0448N</v>
      </c>
      <c r="C365" s="26" t="str">
        <f>"TLACAELEL                                                                                           "</f>
        <v xml:space="preserve">TLACAELEL                                                                                           </v>
      </c>
      <c r="D365" s="26" t="str">
        <f>"JORNADA AMPLIADA"</f>
        <v>JORNADA AMPLIADA</v>
      </c>
      <c r="E365" s="26" t="str">
        <f>"FCO DEL PASO Y TRONCOSO Y FCO. I. MADERO                                        "</f>
        <v xml:space="preserve">FCO DEL PASO Y TRONCOSO Y FCO. I. MADERO                                        </v>
      </c>
      <c r="F365" s="26" t="str">
        <f>"CONJUNTO HABITACIONAL LOS PICOS                                                                                                             "</f>
        <v xml:space="preserve">CONJUNTO HABITACIONAL LOS PICOS                                                                                                             </v>
      </c>
      <c r="G365" s="26" t="str">
        <f>"IZTACALCO                                                                       "</f>
        <v xml:space="preserve">IZTACALCO                                                                       </v>
      </c>
      <c r="H365" s="26" t="str">
        <f>"085"</f>
        <v>085</v>
      </c>
      <c r="I365" s="26" t="str">
        <f t="shared" si="48"/>
        <v>00</v>
      </c>
      <c r="J365" s="26" t="str">
        <f>"31 "</f>
        <v xml:space="preserve">31 </v>
      </c>
      <c r="K365" s="26" t="str">
        <f>"EP"</f>
        <v>EP</v>
      </c>
      <c r="L365" s="26" t="str">
        <f>"DGOSE"</f>
        <v>DGOSE</v>
      </c>
      <c r="M365" s="26" t="str">
        <f t="shared" si="51"/>
        <v>FEDERAL</v>
      </c>
      <c r="N365" s="26">
        <v>125</v>
      </c>
      <c r="O365" s="26">
        <v>53</v>
      </c>
      <c r="P365" s="26">
        <v>72</v>
      </c>
      <c r="Q365" s="26">
        <v>5</v>
      </c>
      <c r="R365" s="26">
        <v>0</v>
      </c>
      <c r="S365" s="26">
        <v>5</v>
      </c>
      <c r="T365" s="26">
        <v>6</v>
      </c>
      <c r="U365" s="26">
        <v>11</v>
      </c>
      <c r="V365" s="26">
        <v>1</v>
      </c>
      <c r="W365" s="26" t="s">
        <v>2076</v>
      </c>
    </row>
    <row r="366" spans="1:23" x14ac:dyDescent="0.25">
      <c r="A366" s="26" t="str">
        <f t="shared" si="47"/>
        <v>PREESCOLAR</v>
      </c>
      <c r="B366" s="26" t="str">
        <f>"09DJN0449M"</f>
        <v>09DJN0449M</v>
      </c>
      <c r="C366" s="26" t="str">
        <f>"ITZURI                                                                                              "</f>
        <v xml:space="preserve">ITZURI                                                                                              </v>
      </c>
      <c r="D366" s="26" t="str">
        <f>"MATUTINO"</f>
        <v>MATUTINO</v>
      </c>
      <c r="E366" s="26" t="str">
        <f>"FRANCISCO JAVIER MINA ESQ. MATAMOROS S/N                                        "</f>
        <v xml:space="preserve">FRANCISCO JAVIER MINA ESQ. MATAMOROS S/N                                        </v>
      </c>
      <c r="F366" s="26" t="str">
        <f>"SANTA CRUZ MEYEHUALCO                                                                                                                       "</f>
        <v xml:space="preserve">SANTA CRUZ MEYEHUALCO                                                                                                                       </v>
      </c>
      <c r="G366" s="26" t="str">
        <f>"IZTAPALAPA                                                                      "</f>
        <v xml:space="preserve">IZTAPALAPA                                                                      </v>
      </c>
      <c r="H366" s="26" t="str">
        <f>"034"</f>
        <v>034</v>
      </c>
      <c r="I366" s="26" t="str">
        <f t="shared" si="48"/>
        <v>00</v>
      </c>
      <c r="J366" s="26" t="str">
        <f>"64 "</f>
        <v xml:space="preserve">64 </v>
      </c>
      <c r="K366" s="26" t="str">
        <f>"IZ"</f>
        <v>IZ</v>
      </c>
      <c r="L366" s="26" t="str">
        <f>"DGSEI"</f>
        <v>DGSEI</v>
      </c>
      <c r="M366" s="26" t="str">
        <f t="shared" si="51"/>
        <v>FEDERAL</v>
      </c>
      <c r="N366" s="26">
        <v>239</v>
      </c>
      <c r="O366" s="26">
        <v>109</v>
      </c>
      <c r="P366" s="26">
        <v>130</v>
      </c>
      <c r="Q366" s="26">
        <v>6</v>
      </c>
      <c r="R366" s="26">
        <v>1</v>
      </c>
      <c r="S366" s="26">
        <v>6</v>
      </c>
      <c r="T366" s="26">
        <v>2</v>
      </c>
      <c r="U366" s="26">
        <v>9</v>
      </c>
      <c r="V366" s="26">
        <v>1</v>
      </c>
      <c r="W366" s="26"/>
    </row>
    <row r="367" spans="1:23" x14ac:dyDescent="0.25">
      <c r="A367" s="26" t="str">
        <f t="shared" si="47"/>
        <v>PREESCOLAR</v>
      </c>
      <c r="B367" s="26" t="str">
        <f>"09DJN0450B"</f>
        <v>09DJN0450B</v>
      </c>
      <c r="C367" s="26" t="str">
        <f>"JACARANDAS                                                                                          "</f>
        <v xml:space="preserve">JACARANDAS                                                                                          </v>
      </c>
      <c r="D367" s="26" t="str">
        <f>"JORNADA AMPLIADA"</f>
        <v>JORNADA AMPLIADA</v>
      </c>
      <c r="E367" s="26" t="str">
        <f>"ING. GUILLERMO GONZALEZ CAMARENA NO. 75                                         "</f>
        <v xml:space="preserve">ING. GUILLERMO GONZALEZ CAMARENA NO. 75                                         </v>
      </c>
      <c r="F367" s="26" t="str">
        <f>"JACARANDAS                                                                                                                                  "</f>
        <v xml:space="preserve">JACARANDAS                                                                                                                                  </v>
      </c>
      <c r="G367" s="26" t="str">
        <f>"IZTAPALAPA                                                                      "</f>
        <v xml:space="preserve">IZTAPALAPA                                                                      </v>
      </c>
      <c r="H367" s="26" t="str">
        <f>"011"</f>
        <v>011</v>
      </c>
      <c r="I367" s="26" t="str">
        <f t="shared" si="48"/>
        <v>00</v>
      </c>
      <c r="J367" s="26" t="str">
        <f>"61 "</f>
        <v xml:space="preserve">61 </v>
      </c>
      <c r="K367" s="26" t="str">
        <f>"IZ"</f>
        <v>IZ</v>
      </c>
      <c r="L367" s="26" t="str">
        <f>"DGSEI"</f>
        <v>DGSEI</v>
      </c>
      <c r="M367" s="26" t="str">
        <f t="shared" si="51"/>
        <v>FEDERAL</v>
      </c>
      <c r="N367" s="26">
        <v>200</v>
      </c>
      <c r="O367" s="26">
        <v>100</v>
      </c>
      <c r="P367" s="26">
        <v>100</v>
      </c>
      <c r="Q367" s="26">
        <v>7</v>
      </c>
      <c r="R367" s="26">
        <v>1</v>
      </c>
      <c r="S367" s="26">
        <v>7</v>
      </c>
      <c r="T367" s="26">
        <v>7</v>
      </c>
      <c r="U367" s="26">
        <v>15</v>
      </c>
      <c r="V367" s="26">
        <v>1</v>
      </c>
      <c r="W367" s="26" t="s">
        <v>2076</v>
      </c>
    </row>
    <row r="368" spans="1:23" x14ac:dyDescent="0.25">
      <c r="A368" s="26" t="str">
        <f t="shared" si="47"/>
        <v>PREESCOLAR</v>
      </c>
      <c r="B368" s="26" t="str">
        <f>"09DJN0451A"</f>
        <v>09DJN0451A</v>
      </c>
      <c r="C368" s="26" t="str">
        <f>"PROFRA. RAMONA MARTINEZ ARCOS                                                                       "</f>
        <v xml:space="preserve">PROFRA. RAMONA MARTINEZ ARCOS                                                                       </v>
      </c>
      <c r="D368" s="26" t="str">
        <f>"MATUTINO"</f>
        <v>MATUTINO</v>
      </c>
      <c r="E368" s="26" t="str">
        <f>"AV. 298-A S/N ENTRE C-309 Y C-317                                               "</f>
        <v xml:space="preserve">AV. 298-A S/N ENTRE C-309 Y C-317                                               </v>
      </c>
      <c r="F368" s="26" t="str">
        <f>"UNIDAD HABITACIONAL EL COYOL                                                                                                                "</f>
        <v xml:space="preserve">UNIDAD HABITACIONAL EL COYOL                                                                                                                </v>
      </c>
      <c r="G368" s="26" t="str">
        <f>"GUSTAVO A. MADERO                                                               "</f>
        <v xml:space="preserve">GUSTAVO A. MADERO                                                               </v>
      </c>
      <c r="H368" s="26" t="str">
        <f>"095"</f>
        <v>095</v>
      </c>
      <c r="I368" s="26" t="str">
        <f t="shared" si="48"/>
        <v>00</v>
      </c>
      <c r="J368" s="26" t="str">
        <f>"32 "</f>
        <v xml:space="preserve">32 </v>
      </c>
      <c r="K368" s="26" t="str">
        <f>"EP"</f>
        <v>EP</v>
      </c>
      <c r="L368" s="26" t="str">
        <f>"DGOSE"</f>
        <v>DGOSE</v>
      </c>
      <c r="M368" s="26" t="str">
        <f t="shared" si="51"/>
        <v>FEDERAL</v>
      </c>
      <c r="N368" s="26">
        <v>248</v>
      </c>
      <c r="O368" s="26">
        <v>130</v>
      </c>
      <c r="P368" s="26">
        <v>118</v>
      </c>
      <c r="Q368" s="26">
        <v>8</v>
      </c>
      <c r="R368" s="26">
        <v>1</v>
      </c>
      <c r="S368" s="26">
        <v>8</v>
      </c>
      <c r="T368" s="26">
        <v>7</v>
      </c>
      <c r="U368" s="26">
        <v>16</v>
      </c>
      <c r="V368" s="26">
        <v>1</v>
      </c>
      <c r="W368" s="26"/>
    </row>
    <row r="369" spans="1:23" x14ac:dyDescent="0.25">
      <c r="A369" s="26" t="str">
        <f t="shared" si="47"/>
        <v>PREESCOLAR</v>
      </c>
      <c r="B369" s="26" t="str">
        <f>"09DJN0452Z"</f>
        <v>09DJN0452Z</v>
      </c>
      <c r="C369" s="26" t="str">
        <f>"REPUBLICA MEXICANA                                                                                  "</f>
        <v xml:space="preserve">REPUBLICA MEXICANA                                                                                  </v>
      </c>
      <c r="D369" s="26" t="str">
        <f>"MATUTINO"</f>
        <v>MATUTINO</v>
      </c>
      <c r="E369" s="26" t="str">
        <f>"PLAZA HIDALGO S/N                                                               "</f>
        <v xml:space="preserve">PLAZA HIDALGO S/N                                                               </v>
      </c>
      <c r="F369" s="26" t="str">
        <f>"CUAUTEPEC EL ALTO                                                                                                                           "</f>
        <v xml:space="preserve">CUAUTEPEC EL ALTO                                                                                                                           </v>
      </c>
      <c r="G369" s="26" t="str">
        <f>"GUSTAVO A. MADERO                                                               "</f>
        <v xml:space="preserve">GUSTAVO A. MADERO                                                               </v>
      </c>
      <c r="H369" s="26" t="str">
        <f>"117"</f>
        <v>117</v>
      </c>
      <c r="I369" s="26" t="str">
        <f t="shared" si="48"/>
        <v>00</v>
      </c>
      <c r="J369" s="26" t="str">
        <f>"32 "</f>
        <v xml:space="preserve">32 </v>
      </c>
      <c r="K369" s="26" t="str">
        <f>"EP"</f>
        <v>EP</v>
      </c>
      <c r="L369" s="26" t="str">
        <f>"DGOSE"</f>
        <v>DGOSE</v>
      </c>
      <c r="M369" s="26" t="str">
        <f t="shared" si="51"/>
        <v>FEDERAL</v>
      </c>
      <c r="N369" s="26">
        <v>222</v>
      </c>
      <c r="O369" s="26">
        <v>116</v>
      </c>
      <c r="P369" s="26">
        <v>106</v>
      </c>
      <c r="Q369" s="26">
        <v>6</v>
      </c>
      <c r="R369" s="26">
        <v>1</v>
      </c>
      <c r="S369" s="26">
        <v>6</v>
      </c>
      <c r="T369" s="26">
        <v>4</v>
      </c>
      <c r="U369" s="26">
        <v>11</v>
      </c>
      <c r="V369" s="26">
        <v>1</v>
      </c>
      <c r="W369" s="26"/>
    </row>
    <row r="370" spans="1:23" x14ac:dyDescent="0.25">
      <c r="A370" s="26" t="str">
        <f t="shared" si="47"/>
        <v>PREESCOLAR</v>
      </c>
      <c r="B370" s="26" t="str">
        <f>"09DJN0453Z"</f>
        <v>09DJN0453Z</v>
      </c>
      <c r="C370" s="26" t="str">
        <f>"JOHN F. KENNEDY                                                                                     "</f>
        <v xml:space="preserve">JOHN F. KENNEDY                                                                                     </v>
      </c>
      <c r="D370" s="26" t="str">
        <f>"TIEMPO COMPLETO"</f>
        <v>TIEMPO COMPLETO</v>
      </c>
      <c r="E370" s="26" t="str">
        <f>"ANDRES MOLINA ENRIQUEZ NO. 300                                                  "</f>
        <v xml:space="preserve">ANDRES MOLINA ENRIQUEZ NO. 300                                                  </v>
      </c>
      <c r="F370" s="26" t="str">
        <f>"SINATEL AMPLIACION                                                                                                                          "</f>
        <v xml:space="preserve">SINATEL AMPLIACION                                                                                                                          </v>
      </c>
      <c r="G370" s="26" t="str">
        <f>"IZTAPALAPA                                                                      "</f>
        <v xml:space="preserve">IZTAPALAPA                                                                      </v>
      </c>
      <c r="H370" s="26" t="str">
        <f>"001"</f>
        <v>001</v>
      </c>
      <c r="I370" s="26" t="str">
        <f t="shared" si="48"/>
        <v>00</v>
      </c>
      <c r="J370" s="26" t="str">
        <f>"61 "</f>
        <v xml:space="preserve">61 </v>
      </c>
      <c r="K370" s="26" t="str">
        <f>"IZ"</f>
        <v>IZ</v>
      </c>
      <c r="L370" s="26" t="str">
        <f>"DGSEI"</f>
        <v>DGSEI</v>
      </c>
      <c r="M370" s="26" t="str">
        <f t="shared" si="51"/>
        <v>FEDERAL</v>
      </c>
      <c r="N370" s="26">
        <v>129</v>
      </c>
      <c r="O370" s="26">
        <v>76</v>
      </c>
      <c r="P370" s="26">
        <v>53</v>
      </c>
      <c r="Q370" s="26">
        <v>5</v>
      </c>
      <c r="R370" s="26">
        <v>1</v>
      </c>
      <c r="S370" s="26">
        <v>5</v>
      </c>
      <c r="T370" s="26">
        <v>10</v>
      </c>
      <c r="U370" s="26">
        <v>16</v>
      </c>
      <c r="V370" s="26">
        <v>1</v>
      </c>
      <c r="W370" s="26" t="s">
        <v>218</v>
      </c>
    </row>
    <row r="371" spans="1:23" x14ac:dyDescent="0.25">
      <c r="A371" s="26" t="str">
        <f t="shared" si="47"/>
        <v>PREESCOLAR</v>
      </c>
      <c r="B371" s="26" t="str">
        <f>"09DJN0454Y"</f>
        <v>09DJN0454Y</v>
      </c>
      <c r="C371" s="26" t="str">
        <f>"APATLACO                                                                                            "</f>
        <v xml:space="preserve">APATLACO                                                                                            </v>
      </c>
      <c r="D371" s="26" t="str">
        <f>"TIEMPO COMPLETO"</f>
        <v>TIEMPO COMPLETO</v>
      </c>
      <c r="E371" s="26" t="str">
        <f>"AV.RIO CHURUBUSCO Y TEZONTLE                                                    "</f>
        <v xml:space="preserve">AV.RIO CHURUBUSCO Y TEZONTLE                                                    </v>
      </c>
      <c r="F371" s="26" t="str">
        <f>"IZTACALCO                                                                                                                                   "</f>
        <v xml:space="preserve">IZTACALCO                                                                                                                                   </v>
      </c>
      <c r="G371" s="26" t="str">
        <f>"IZTACALCO                                                                       "</f>
        <v xml:space="preserve">IZTACALCO                                                                       </v>
      </c>
      <c r="H371" s="26" t="str">
        <f>"108"</f>
        <v>108</v>
      </c>
      <c r="I371" s="26" t="str">
        <f t="shared" si="48"/>
        <v>00</v>
      </c>
      <c r="J371" s="26" t="str">
        <f>"31 "</f>
        <v xml:space="preserve">31 </v>
      </c>
      <c r="K371" s="26" t="str">
        <f>"EP"</f>
        <v>EP</v>
      </c>
      <c r="L371" s="26" t="str">
        <f>"DGOSE"</f>
        <v>DGOSE</v>
      </c>
      <c r="M371" s="26" t="str">
        <f t="shared" si="51"/>
        <v>FEDERAL</v>
      </c>
      <c r="N371" s="26">
        <v>152</v>
      </c>
      <c r="O371" s="26">
        <v>86</v>
      </c>
      <c r="P371" s="26">
        <v>66</v>
      </c>
      <c r="Q371" s="26">
        <v>5</v>
      </c>
      <c r="R371" s="26">
        <v>2</v>
      </c>
      <c r="S371" s="26">
        <v>5</v>
      </c>
      <c r="T371" s="26">
        <v>17</v>
      </c>
      <c r="U371" s="26">
        <v>24</v>
      </c>
      <c r="V371" s="26">
        <v>1</v>
      </c>
      <c r="W371" s="26" t="s">
        <v>218</v>
      </c>
    </row>
    <row r="372" spans="1:23" x14ac:dyDescent="0.25">
      <c r="A372" s="26" t="str">
        <f t="shared" si="47"/>
        <v>PREESCOLAR</v>
      </c>
      <c r="B372" s="26" t="str">
        <f>"09DJN0455X"</f>
        <v>09DJN0455X</v>
      </c>
      <c r="C372" s="26" t="str">
        <f>"VICENTE GUERRERO                                                                                    "</f>
        <v xml:space="preserve">VICENTE GUERRERO                                                                                    </v>
      </c>
      <c r="D372" s="26" t="str">
        <f>"TIEMPO COMPLETO"</f>
        <v>TIEMPO COMPLETO</v>
      </c>
      <c r="E372" s="26" t="str">
        <f>"CUCURPE 1-A                                                                     "</f>
        <v xml:space="preserve">CUCURPE 1-A                                                                     </v>
      </c>
      <c r="F372" s="26" t="str">
        <f>"EL PARQUE                                                                                                                                   "</f>
        <v xml:space="preserve">EL PARQUE                                                                                                                                   </v>
      </c>
      <c r="G372" s="26" t="str">
        <f>"VENUSTIANO CARRANZA                                                             "</f>
        <v xml:space="preserve">VENUSTIANO CARRANZA                                                             </v>
      </c>
      <c r="H372" s="26" t="str">
        <f>"093"</f>
        <v>093</v>
      </c>
      <c r="I372" s="26" t="str">
        <f t="shared" si="48"/>
        <v>00</v>
      </c>
      <c r="J372" s="26" t="str">
        <f>"31 "</f>
        <v xml:space="preserve">31 </v>
      </c>
      <c r="K372" s="26" t="str">
        <f>"EP"</f>
        <v>EP</v>
      </c>
      <c r="L372" s="26" t="str">
        <f>"DGOSE"</f>
        <v>DGOSE</v>
      </c>
      <c r="M372" s="26" t="str">
        <f t="shared" si="51"/>
        <v>FEDERAL</v>
      </c>
      <c r="N372" s="26">
        <v>337</v>
      </c>
      <c r="O372" s="26">
        <v>161</v>
      </c>
      <c r="P372" s="26">
        <v>176</v>
      </c>
      <c r="Q372" s="26">
        <v>10</v>
      </c>
      <c r="R372" s="26">
        <v>2</v>
      </c>
      <c r="S372" s="26">
        <v>10</v>
      </c>
      <c r="T372" s="26">
        <v>19</v>
      </c>
      <c r="U372" s="26">
        <v>31</v>
      </c>
      <c r="V372" s="26">
        <v>1</v>
      </c>
      <c r="W372" s="26" t="s">
        <v>218</v>
      </c>
    </row>
    <row r="373" spans="1:23" x14ac:dyDescent="0.25">
      <c r="A373" s="26" t="str">
        <f t="shared" si="47"/>
        <v>PREESCOLAR</v>
      </c>
      <c r="B373" s="26" t="str">
        <f>"09DJN0456W"</f>
        <v>09DJN0456W</v>
      </c>
      <c r="C373" s="26" t="str">
        <f>"REPUBLICA DE HONDURAS                                                                               "</f>
        <v xml:space="preserve">REPUBLICA DE HONDURAS                                                                               </v>
      </c>
      <c r="D373" s="26" t="str">
        <f>"TIEMPO COMPLETO"</f>
        <v>TIEMPO COMPLETO</v>
      </c>
      <c r="E373" s="26" t="str">
        <f>"SUR 119 NO. 1919                                                                "</f>
        <v xml:space="preserve">SUR 119 NO. 1919                                                                </v>
      </c>
      <c r="F373" s="26" t="str">
        <f>"JUVENTINO ROSAS                                                                                                                             "</f>
        <v xml:space="preserve">JUVENTINO ROSAS                                                                                                                             </v>
      </c>
      <c r="G373" s="26" t="str">
        <f>"IZTACALCO                                                                       "</f>
        <v xml:space="preserve">IZTACALCO                                                                       </v>
      </c>
      <c r="H373" s="26" t="str">
        <f>"028"</f>
        <v>028</v>
      </c>
      <c r="I373" s="26" t="str">
        <f t="shared" si="48"/>
        <v>00</v>
      </c>
      <c r="J373" s="26" t="str">
        <f>"31 "</f>
        <v xml:space="preserve">31 </v>
      </c>
      <c r="K373" s="26" t="str">
        <f>"EP"</f>
        <v>EP</v>
      </c>
      <c r="L373" s="26" t="str">
        <f>"DGOSE"</f>
        <v>DGOSE</v>
      </c>
      <c r="M373" s="26" t="str">
        <f t="shared" si="51"/>
        <v>FEDERAL</v>
      </c>
      <c r="N373" s="26">
        <v>160</v>
      </c>
      <c r="O373" s="26">
        <v>78</v>
      </c>
      <c r="P373" s="26">
        <v>82</v>
      </c>
      <c r="Q373" s="26">
        <v>5</v>
      </c>
      <c r="R373" s="26">
        <v>2</v>
      </c>
      <c r="S373" s="26">
        <v>4</v>
      </c>
      <c r="T373" s="26">
        <v>14</v>
      </c>
      <c r="U373" s="26">
        <v>20</v>
      </c>
      <c r="V373" s="26">
        <v>1</v>
      </c>
      <c r="W373" s="26" t="s">
        <v>218</v>
      </c>
    </row>
    <row r="374" spans="1:23" x14ac:dyDescent="0.25">
      <c r="A374" s="26" t="str">
        <f t="shared" si="47"/>
        <v>PREESCOLAR</v>
      </c>
      <c r="B374" s="26" t="str">
        <f>"09DJN0457V"</f>
        <v>09DJN0457V</v>
      </c>
      <c r="C374" s="26" t="str">
        <f>"GUILLERMO PRIETO                                                                                    "</f>
        <v xml:space="preserve">GUILLERMO PRIETO                                                                                    </v>
      </c>
      <c r="D374" s="26" t="str">
        <f>"MATUTINO"</f>
        <v>MATUTINO</v>
      </c>
      <c r="E374" s="26" t="str">
        <f>"VALLE DE BRAVO S/N                                                              "</f>
        <v xml:space="preserve">VALLE DE BRAVO S/N                                                              </v>
      </c>
      <c r="F374" s="26" t="str">
        <f>"LOMAS DE ZARAGOZA                                                                                                                           "</f>
        <v xml:space="preserve">LOMAS DE ZARAGOZA                                                                                                                           </v>
      </c>
      <c r="G374" s="26" t="str">
        <f>"IZTAPALAPA                                                                      "</f>
        <v xml:space="preserve">IZTAPALAPA                                                                      </v>
      </c>
      <c r="H374" s="26" t="str">
        <f>"037"</f>
        <v>037</v>
      </c>
      <c r="I374" s="26" t="str">
        <f t="shared" si="48"/>
        <v>00</v>
      </c>
      <c r="J374" s="26" t="str">
        <f>"64 "</f>
        <v xml:space="preserve">64 </v>
      </c>
      <c r="K374" s="26" t="str">
        <f>"IZ"</f>
        <v>IZ</v>
      </c>
      <c r="L374" s="26" t="str">
        <f>"DGSEI"</f>
        <v>DGSEI</v>
      </c>
      <c r="M374" s="26" t="str">
        <f t="shared" si="51"/>
        <v>FEDERAL</v>
      </c>
      <c r="N374" s="26">
        <v>188</v>
      </c>
      <c r="O374" s="26">
        <v>98</v>
      </c>
      <c r="P374" s="26">
        <v>90</v>
      </c>
      <c r="Q374" s="26">
        <v>6</v>
      </c>
      <c r="R374" s="26">
        <v>1</v>
      </c>
      <c r="S374" s="26">
        <v>6</v>
      </c>
      <c r="T374" s="26">
        <v>2</v>
      </c>
      <c r="U374" s="26">
        <v>9</v>
      </c>
      <c r="V374" s="26">
        <v>1</v>
      </c>
      <c r="W374" s="26"/>
    </row>
    <row r="375" spans="1:23" x14ac:dyDescent="0.25">
      <c r="A375" s="26" t="str">
        <f t="shared" si="47"/>
        <v>PREESCOLAR</v>
      </c>
      <c r="B375" s="26" t="str">
        <f>"09DJN0458U"</f>
        <v>09DJN0458U</v>
      </c>
      <c r="C375" s="26" t="str">
        <f>"REPUBLICA DE KENIA                                                                                  "</f>
        <v xml:space="preserve">REPUBLICA DE KENIA                                                                                  </v>
      </c>
      <c r="D375" s="26" t="str">
        <f>"VESPERTINO"</f>
        <v>VESPERTINO</v>
      </c>
      <c r="E375" s="26" t="str">
        <f>"ALDAMA NO. 1                                                                    "</f>
        <v xml:space="preserve">ALDAMA NO. 1                                                                    </v>
      </c>
      <c r="F375" s="26" t="str">
        <f>"SAN BARTOLO AMEYALCO                                                                                                                        "</f>
        <v xml:space="preserve">SAN BARTOLO AMEYALCO                                                                                                                        </v>
      </c>
      <c r="G375" s="26" t="str">
        <f>"ALVARO OBREGON                                                                  "</f>
        <v xml:space="preserve">ALVARO OBREGON                                                                  </v>
      </c>
      <c r="H375" s="26" t="str">
        <f>"150"</f>
        <v>150</v>
      </c>
      <c r="I375" s="26" t="str">
        <f t="shared" si="48"/>
        <v>00</v>
      </c>
      <c r="J375" s="26" t="str">
        <f>"33 "</f>
        <v xml:space="preserve">33 </v>
      </c>
      <c r="K375" s="26" t="str">
        <f t="shared" ref="K375:K402" si="54">"EP"</f>
        <v>EP</v>
      </c>
      <c r="L375" s="26" t="str">
        <f t="shared" ref="L375:L402" si="55">"DGOSE"</f>
        <v>DGOSE</v>
      </c>
      <c r="M375" s="26" t="str">
        <f t="shared" si="51"/>
        <v>FEDERAL</v>
      </c>
      <c r="N375" s="26">
        <v>198</v>
      </c>
      <c r="O375" s="26">
        <v>98</v>
      </c>
      <c r="P375" s="26">
        <v>100</v>
      </c>
      <c r="Q375" s="26">
        <v>6</v>
      </c>
      <c r="R375" s="26">
        <v>1</v>
      </c>
      <c r="S375" s="26">
        <v>5</v>
      </c>
      <c r="T375" s="26">
        <v>7</v>
      </c>
      <c r="U375" s="26">
        <v>13</v>
      </c>
      <c r="V375" s="26">
        <v>1</v>
      </c>
      <c r="W375" s="26"/>
    </row>
    <row r="376" spans="1:23" x14ac:dyDescent="0.25">
      <c r="A376" s="26" t="str">
        <f t="shared" si="47"/>
        <v>PREESCOLAR</v>
      </c>
      <c r="B376" s="26" t="str">
        <f>"09DJN0459T"</f>
        <v>09DJN0459T</v>
      </c>
      <c r="C376" s="26" t="str">
        <f>"C.A.S.I. MORELOS                                                                                    "</f>
        <v xml:space="preserve">C.A.S.I. MORELOS                                                                                    </v>
      </c>
      <c r="D376" s="26" t="str">
        <f>"JORNADA AMPLIADA"</f>
        <v>JORNADA AMPLIADA</v>
      </c>
      <c r="E376" s="26" t="str">
        <f>"CAMINO REAL DE CONTRERAS S/N                                                    "</f>
        <v xml:space="preserve">CAMINO REAL DE CONTRERAS S/N                                                    </v>
      </c>
      <c r="F376" s="26" t="str">
        <f>"LA CONCEPCION                                                                                                                               "</f>
        <v xml:space="preserve">LA CONCEPCION                                                                                                                               </v>
      </c>
      <c r="G376" s="26" t="str">
        <f>"LA MAGDALENA CONTRERAS                                                          "</f>
        <v xml:space="preserve">LA MAGDALENA CONTRERAS                                                          </v>
      </c>
      <c r="H376" s="26" t="str">
        <f>"123"</f>
        <v>123</v>
      </c>
      <c r="I376" s="26" t="str">
        <f t="shared" si="48"/>
        <v>00</v>
      </c>
      <c r="J376" s="26" t="str">
        <f>"34 "</f>
        <v xml:space="preserve">34 </v>
      </c>
      <c r="K376" s="26" t="str">
        <f t="shared" si="54"/>
        <v>EP</v>
      </c>
      <c r="L376" s="26" t="str">
        <f t="shared" si="55"/>
        <v>DGOSE</v>
      </c>
      <c r="M376" s="26" t="str">
        <f t="shared" si="51"/>
        <v>FEDERAL</v>
      </c>
      <c r="N376" s="26">
        <v>135</v>
      </c>
      <c r="O376" s="26">
        <v>64</v>
      </c>
      <c r="P376" s="26">
        <v>71</v>
      </c>
      <c r="Q376" s="26">
        <v>5</v>
      </c>
      <c r="R376" s="26">
        <v>1</v>
      </c>
      <c r="S376" s="26">
        <v>5</v>
      </c>
      <c r="T376" s="26">
        <v>5</v>
      </c>
      <c r="U376" s="26">
        <v>11</v>
      </c>
      <c r="V376" s="26">
        <v>1</v>
      </c>
      <c r="W376" s="26" t="s">
        <v>2076</v>
      </c>
    </row>
    <row r="377" spans="1:23" x14ac:dyDescent="0.25">
      <c r="A377" s="26" t="str">
        <f t="shared" si="47"/>
        <v>PREESCOLAR</v>
      </c>
      <c r="B377" s="26" t="str">
        <f>"09DJN0460I"</f>
        <v>09DJN0460I</v>
      </c>
      <c r="C377" s="26" t="str">
        <f>"WOLFGANG AMADEUS MOZART                                                                             "</f>
        <v xml:space="preserve">WOLFGANG AMADEUS MOZART                                                                             </v>
      </c>
      <c r="D377" s="26" t="str">
        <f>"MATUTINO"</f>
        <v>MATUTINO</v>
      </c>
      <c r="E377" s="26" t="str">
        <f>"PROLONG. PARQUE CENTRAL S/N                                                     "</f>
        <v xml:space="preserve">PROLONG. PARQUE CENTRAL S/N                                                     </v>
      </c>
      <c r="F377" s="26" t="str">
        <f>"CAMPESTRE ARAGON                                                                                                                            "</f>
        <v xml:space="preserve">CAMPESTRE ARAGON                                                                                                                            </v>
      </c>
      <c r="G377" s="26" t="str">
        <f>"GUSTAVO A. MADERO                                                               "</f>
        <v xml:space="preserve">GUSTAVO A. MADERO                                                               </v>
      </c>
      <c r="H377" s="26" t="str">
        <f>"195"</f>
        <v>195</v>
      </c>
      <c r="I377" s="26" t="str">
        <f t="shared" si="48"/>
        <v>00</v>
      </c>
      <c r="J377" s="26" t="str">
        <f>"32 "</f>
        <v xml:space="preserve">32 </v>
      </c>
      <c r="K377" s="26" t="str">
        <f t="shared" si="54"/>
        <v>EP</v>
      </c>
      <c r="L377" s="26" t="str">
        <f t="shared" si="55"/>
        <v>DGOSE</v>
      </c>
      <c r="M377" s="26" t="str">
        <f t="shared" si="51"/>
        <v>FEDERAL</v>
      </c>
      <c r="N377" s="26">
        <v>196</v>
      </c>
      <c r="O377" s="26">
        <v>97</v>
      </c>
      <c r="P377" s="26">
        <v>99</v>
      </c>
      <c r="Q377" s="26">
        <v>7</v>
      </c>
      <c r="R377" s="26">
        <v>1</v>
      </c>
      <c r="S377" s="26">
        <v>7</v>
      </c>
      <c r="T377" s="26">
        <v>6</v>
      </c>
      <c r="U377" s="26">
        <v>14</v>
      </c>
      <c r="V377" s="26">
        <v>1</v>
      </c>
      <c r="W377" s="26"/>
    </row>
    <row r="378" spans="1:23" x14ac:dyDescent="0.25">
      <c r="A378" s="26" t="str">
        <f t="shared" si="47"/>
        <v>PREESCOLAR</v>
      </c>
      <c r="B378" s="26" t="str">
        <f>"09DJN0461H"</f>
        <v>09DJN0461H</v>
      </c>
      <c r="C378" s="26" t="str">
        <f>"EULALIA GUZMAN                                                                                      "</f>
        <v xml:space="preserve">EULALIA GUZMAN                                                                                      </v>
      </c>
      <c r="D378" s="26" t="str">
        <f>"TIEMPO COMPLETO"</f>
        <v>TIEMPO COMPLETO</v>
      </c>
      <c r="E378" s="26" t="str">
        <f>"ROMAN ALVAREZ NO. 40                                                            "</f>
        <v xml:space="preserve">ROMAN ALVAREZ NO. 40                                                            </v>
      </c>
      <c r="F378" s="26" t="str">
        <f>"SAN JUAN TLIHUACA                                                                                                                           "</f>
        <v xml:space="preserve">SAN JUAN TLIHUACA                                                                                                                           </v>
      </c>
      <c r="G378" s="26" t="str">
        <f>"AZCAPOTZALCO                                                                    "</f>
        <v xml:space="preserve">AZCAPOTZALCO                                                                    </v>
      </c>
      <c r="H378" s="26" t="str">
        <f>"181"</f>
        <v>181</v>
      </c>
      <c r="I378" s="26" t="str">
        <f t="shared" si="48"/>
        <v>00</v>
      </c>
      <c r="J378" s="26" t="str">
        <f>"31 "</f>
        <v xml:space="preserve">31 </v>
      </c>
      <c r="K378" s="26" t="str">
        <f t="shared" si="54"/>
        <v>EP</v>
      </c>
      <c r="L378" s="26" t="str">
        <f t="shared" si="55"/>
        <v>DGOSE</v>
      </c>
      <c r="M378" s="26" t="str">
        <f t="shared" si="51"/>
        <v>FEDERAL</v>
      </c>
      <c r="N378" s="26">
        <v>180</v>
      </c>
      <c r="O378" s="26">
        <v>98</v>
      </c>
      <c r="P378" s="26">
        <v>82</v>
      </c>
      <c r="Q378" s="26">
        <v>7</v>
      </c>
      <c r="R378" s="26">
        <v>2</v>
      </c>
      <c r="S378" s="26">
        <v>7</v>
      </c>
      <c r="T378" s="26">
        <v>17</v>
      </c>
      <c r="U378" s="26">
        <v>26</v>
      </c>
      <c r="V378" s="26">
        <v>1</v>
      </c>
      <c r="W378" s="26" t="s">
        <v>218</v>
      </c>
    </row>
    <row r="379" spans="1:23" x14ac:dyDescent="0.25">
      <c r="A379" s="26" t="str">
        <f t="shared" si="47"/>
        <v>PREESCOLAR</v>
      </c>
      <c r="B379" s="26" t="str">
        <f>"09DJN0463F"</f>
        <v>09DJN0463F</v>
      </c>
      <c r="C379" s="26" t="str">
        <f>"C.A.S.I. SAN BERNABE                                                                                "</f>
        <v xml:space="preserve">C.A.S.I. SAN BERNABE                                                                                </v>
      </c>
      <c r="D379" s="26" t="str">
        <f>"JORNADA AMPLIADA"</f>
        <v>JORNADA AMPLIADA</v>
      </c>
      <c r="E379" s="26" t="str">
        <f>"EMILIANO ZAPATA NO. 20                                                          "</f>
        <v xml:space="preserve">EMILIANO ZAPATA NO. 20                                                          </v>
      </c>
      <c r="F379" s="26" t="str">
        <f>"SAN BERNABE OCOTEPEC                                                                                                                        "</f>
        <v xml:space="preserve">SAN BERNABE OCOTEPEC                                                                                                                        </v>
      </c>
      <c r="G379" s="26" t="str">
        <f>"LA MAGDALENA CONTRERAS                                                          "</f>
        <v xml:space="preserve">LA MAGDALENA CONTRERAS                                                          </v>
      </c>
      <c r="H379" s="26" t="str">
        <f>"123"</f>
        <v>123</v>
      </c>
      <c r="I379" s="26" t="str">
        <f t="shared" si="48"/>
        <v>00</v>
      </c>
      <c r="J379" s="26" t="str">
        <f>"34 "</f>
        <v xml:space="preserve">34 </v>
      </c>
      <c r="K379" s="26" t="str">
        <f t="shared" si="54"/>
        <v>EP</v>
      </c>
      <c r="L379" s="26" t="str">
        <f t="shared" si="55"/>
        <v>DGOSE</v>
      </c>
      <c r="M379" s="26" t="str">
        <f t="shared" si="51"/>
        <v>FEDERAL</v>
      </c>
      <c r="N379" s="26">
        <v>152</v>
      </c>
      <c r="O379" s="26">
        <v>78</v>
      </c>
      <c r="P379" s="26">
        <v>74</v>
      </c>
      <c r="Q379" s="26">
        <v>5</v>
      </c>
      <c r="R379" s="26">
        <v>1</v>
      </c>
      <c r="S379" s="26">
        <v>5</v>
      </c>
      <c r="T379" s="26">
        <v>4</v>
      </c>
      <c r="U379" s="26">
        <v>10</v>
      </c>
      <c r="V379" s="26">
        <v>1</v>
      </c>
      <c r="W379" s="26" t="s">
        <v>2076</v>
      </c>
    </row>
    <row r="380" spans="1:23" x14ac:dyDescent="0.25">
      <c r="A380" s="26" t="str">
        <f t="shared" si="47"/>
        <v>PREESCOLAR</v>
      </c>
      <c r="B380" s="26" t="str">
        <f>"09DJN0465D"</f>
        <v>09DJN0465D</v>
      </c>
      <c r="C380" s="26" t="str">
        <f>"LAS AGUILAS                                                                                         "</f>
        <v xml:space="preserve">LAS AGUILAS                                                                                         </v>
      </c>
      <c r="D380" s="26" t="str">
        <f>"JORNADA AMPLIADA"</f>
        <v>JORNADA AMPLIADA</v>
      </c>
      <c r="E380" s="26" t="str">
        <f>"CALZ. LAS AGUILAS S/N                                                           "</f>
        <v xml:space="preserve">CALZ. LAS AGUILAS S/N                                                           </v>
      </c>
      <c r="F380" s="26" t="str">
        <f>"LAS AGUILAS AMPLIACION                                                                                                                      "</f>
        <v xml:space="preserve">LAS AGUILAS AMPLIACION                                                                                                                      </v>
      </c>
      <c r="G380" s="26" t="str">
        <f>"ALVARO OBREGON                                                                  "</f>
        <v xml:space="preserve">ALVARO OBREGON                                                                  </v>
      </c>
      <c r="H380" s="26" t="str">
        <f>"100"</f>
        <v>100</v>
      </c>
      <c r="I380" s="26" t="str">
        <f t="shared" si="48"/>
        <v>00</v>
      </c>
      <c r="J380" s="26" t="str">
        <f>"34 "</f>
        <v xml:space="preserve">34 </v>
      </c>
      <c r="K380" s="26" t="str">
        <f t="shared" si="54"/>
        <v>EP</v>
      </c>
      <c r="L380" s="26" t="str">
        <f t="shared" si="55"/>
        <v>DGOSE</v>
      </c>
      <c r="M380" s="26" t="str">
        <f t="shared" si="51"/>
        <v>FEDERAL</v>
      </c>
      <c r="N380" s="26">
        <v>238</v>
      </c>
      <c r="O380" s="26">
        <v>122</v>
      </c>
      <c r="P380" s="26">
        <v>116</v>
      </c>
      <c r="Q380" s="26">
        <v>7</v>
      </c>
      <c r="R380" s="26">
        <v>1</v>
      </c>
      <c r="S380" s="26">
        <v>7</v>
      </c>
      <c r="T380" s="26">
        <v>6</v>
      </c>
      <c r="U380" s="26">
        <v>14</v>
      </c>
      <c r="V380" s="26">
        <v>1</v>
      </c>
      <c r="W380" s="26" t="s">
        <v>2076</v>
      </c>
    </row>
    <row r="381" spans="1:23" x14ac:dyDescent="0.25">
      <c r="A381" s="26" t="str">
        <f t="shared" si="47"/>
        <v>PREESCOLAR</v>
      </c>
      <c r="B381" s="26" t="str">
        <f>"09DJN0467B"</f>
        <v>09DJN0467B</v>
      </c>
      <c r="C381" s="26" t="str">
        <f>"ROSARIO CASTELLANOS                                                                                 "</f>
        <v xml:space="preserve">ROSARIO CASTELLANOS                                                                                 </v>
      </c>
      <c r="D381" s="26" t="str">
        <f>"JORNADA AMPLIADA"</f>
        <v>JORNADA AMPLIADA</v>
      </c>
      <c r="E381" s="26" t="str">
        <f>"ASISTENCIA PUBLICA Y NORTE 3                                                    "</f>
        <v xml:space="preserve">ASISTENCIA PUBLICA Y NORTE 3                                                    </v>
      </c>
      <c r="F381" s="26" t="str">
        <f>"FEDERAL                                                                                                                                     "</f>
        <v xml:space="preserve">FEDERAL                                                                                                                                     </v>
      </c>
      <c r="G381" s="26" t="str">
        <f>"VENUSTIANO CARRANZA                                                             "</f>
        <v xml:space="preserve">VENUSTIANO CARRANZA                                                             </v>
      </c>
      <c r="H381" s="26" t="str">
        <f>"026"</f>
        <v>026</v>
      </c>
      <c r="I381" s="26" t="str">
        <f t="shared" si="48"/>
        <v>00</v>
      </c>
      <c r="J381" s="26" t="str">
        <f>"31 "</f>
        <v xml:space="preserve">31 </v>
      </c>
      <c r="K381" s="26" t="str">
        <f t="shared" si="54"/>
        <v>EP</v>
      </c>
      <c r="L381" s="26" t="str">
        <f t="shared" si="55"/>
        <v>DGOSE</v>
      </c>
      <c r="M381" s="26" t="str">
        <f t="shared" si="51"/>
        <v>FEDERAL</v>
      </c>
      <c r="N381" s="26">
        <v>112</v>
      </c>
      <c r="O381" s="26">
        <v>56</v>
      </c>
      <c r="P381" s="26">
        <v>56</v>
      </c>
      <c r="Q381" s="26">
        <v>4</v>
      </c>
      <c r="R381" s="26">
        <v>1</v>
      </c>
      <c r="S381" s="26">
        <v>4</v>
      </c>
      <c r="T381" s="26">
        <v>5</v>
      </c>
      <c r="U381" s="26">
        <v>10</v>
      </c>
      <c r="V381" s="26">
        <v>1</v>
      </c>
      <c r="W381" s="26" t="s">
        <v>2076</v>
      </c>
    </row>
    <row r="382" spans="1:23" x14ac:dyDescent="0.25">
      <c r="A382" s="26" t="str">
        <f t="shared" si="47"/>
        <v>PREESCOLAR</v>
      </c>
      <c r="B382" s="26" t="str">
        <f>"09DJN0469Z"</f>
        <v>09DJN0469Z</v>
      </c>
      <c r="C382" s="26" t="str">
        <f>"CASA DEL VOCEADOR                                                                                   "</f>
        <v xml:space="preserve">CASA DEL VOCEADOR                                                                                   </v>
      </c>
      <c r="D382" s="26" t="str">
        <f>"JORNADA AMPLIADA"</f>
        <v>JORNADA AMPLIADA</v>
      </c>
      <c r="E382" s="26" t="str">
        <f>"ZOQUIPA Y SUR NO. 89                                                            "</f>
        <v xml:space="preserve">ZOQUIPA Y SUR NO. 89                                                            </v>
      </c>
      <c r="F382" s="26" t="str">
        <f>"EL PARQUE                                                                                                                                   "</f>
        <v xml:space="preserve">EL PARQUE                                                                                                                                   </v>
      </c>
      <c r="G382" s="26" t="str">
        <f>"VENUSTIANO CARRANZA                                                             "</f>
        <v xml:space="preserve">VENUSTIANO CARRANZA                                                             </v>
      </c>
      <c r="H382" s="26" t="str">
        <f>"026"</f>
        <v>026</v>
      </c>
      <c r="I382" s="26" t="str">
        <f t="shared" si="48"/>
        <v>00</v>
      </c>
      <c r="J382" s="26" t="str">
        <f>"31 "</f>
        <v xml:space="preserve">31 </v>
      </c>
      <c r="K382" s="26" t="str">
        <f t="shared" si="54"/>
        <v>EP</v>
      </c>
      <c r="L382" s="26" t="str">
        <f t="shared" si="55"/>
        <v>DGOSE</v>
      </c>
      <c r="M382" s="26" t="str">
        <f t="shared" si="51"/>
        <v>FEDERAL</v>
      </c>
      <c r="N382" s="26">
        <v>171</v>
      </c>
      <c r="O382" s="26">
        <v>85</v>
      </c>
      <c r="P382" s="26">
        <v>86</v>
      </c>
      <c r="Q382" s="26">
        <v>6</v>
      </c>
      <c r="R382" s="26">
        <v>1</v>
      </c>
      <c r="S382" s="26">
        <v>6</v>
      </c>
      <c r="T382" s="26">
        <v>6</v>
      </c>
      <c r="U382" s="26">
        <v>13</v>
      </c>
      <c r="V382" s="26">
        <v>1</v>
      </c>
      <c r="W382" s="26" t="s">
        <v>2076</v>
      </c>
    </row>
    <row r="383" spans="1:23" x14ac:dyDescent="0.25">
      <c r="A383" s="26" t="str">
        <f t="shared" si="47"/>
        <v>PREESCOLAR</v>
      </c>
      <c r="B383" s="26" t="str">
        <f>"09DJN0470P"</f>
        <v>09DJN0470P</v>
      </c>
      <c r="C383" s="26" t="str">
        <f>"MARIA OROPEZA HERMIDA                                                                               "</f>
        <v xml:space="preserve">MARIA OROPEZA HERMIDA                                                                               </v>
      </c>
      <c r="D383" s="26" t="str">
        <f>"JORNADA AMPLIADA"</f>
        <v>JORNADA AMPLIADA</v>
      </c>
      <c r="E383" s="26" t="str">
        <f>"MIGUEL ANGEL ESQ. SANTA ANITA                                                   "</f>
        <v xml:space="preserve">MIGUEL ANGEL ESQ. SANTA ANITA                                                   </v>
      </c>
      <c r="F383" s="26" t="str">
        <f>"MODERNA                                                                                                                                     "</f>
        <v xml:space="preserve">MODERNA                                                                                                                                     </v>
      </c>
      <c r="G383" s="26" t="str">
        <f>"BENITO JUAREZ                                                                   "</f>
        <v xml:space="preserve">BENITO JUAREZ                                                                   </v>
      </c>
      <c r="H383" s="26" t="str">
        <f>"034"</f>
        <v>034</v>
      </c>
      <c r="I383" s="26" t="str">
        <f t="shared" si="48"/>
        <v>00</v>
      </c>
      <c r="J383" s="26" t="str">
        <f>"34 "</f>
        <v xml:space="preserve">34 </v>
      </c>
      <c r="K383" s="26" t="str">
        <f t="shared" si="54"/>
        <v>EP</v>
      </c>
      <c r="L383" s="26" t="str">
        <f t="shared" si="55"/>
        <v>DGOSE</v>
      </c>
      <c r="M383" s="26" t="str">
        <f t="shared" si="51"/>
        <v>FEDERAL</v>
      </c>
      <c r="N383" s="26">
        <v>200</v>
      </c>
      <c r="O383" s="26">
        <v>107</v>
      </c>
      <c r="P383" s="26">
        <v>93</v>
      </c>
      <c r="Q383" s="26">
        <v>6</v>
      </c>
      <c r="R383" s="26">
        <v>1</v>
      </c>
      <c r="S383" s="26">
        <v>6</v>
      </c>
      <c r="T383" s="26">
        <v>6</v>
      </c>
      <c r="U383" s="26">
        <v>13</v>
      </c>
      <c r="V383" s="26">
        <v>1</v>
      </c>
      <c r="W383" s="26" t="s">
        <v>2076</v>
      </c>
    </row>
    <row r="384" spans="1:23" x14ac:dyDescent="0.25">
      <c r="A384" s="26" t="str">
        <f t="shared" si="47"/>
        <v>PREESCOLAR</v>
      </c>
      <c r="B384" s="26" t="str">
        <f>"09DJN0471O"</f>
        <v>09DJN0471O</v>
      </c>
      <c r="C384" s="26" t="str">
        <f>"PAPALOAPAN                                                                                          "</f>
        <v xml:space="preserve">PAPALOAPAN                                                                                          </v>
      </c>
      <c r="D384" s="26" t="str">
        <f>"TIEMPO COMPLETO"</f>
        <v>TIEMPO COMPLETO</v>
      </c>
      <c r="E384" s="26" t="str">
        <f>"J. VILLAURRUTIA Y CALZ. LA VIGA                                                 "</f>
        <v xml:space="preserve">J. VILLAURRUTIA Y CALZ. LA VIGA                                                 </v>
      </c>
      <c r="F384" s="26" t="str">
        <f>"PAULINO NAVARRO                                                                                                                             "</f>
        <v xml:space="preserve">PAULINO NAVARRO                                                                                                                             </v>
      </c>
      <c r="G384" s="26" t="s">
        <v>4128</v>
      </c>
      <c r="H384" s="26" t="str">
        <f>"021"</f>
        <v>021</v>
      </c>
      <c r="I384" s="26" t="str">
        <f t="shared" si="48"/>
        <v>00</v>
      </c>
      <c r="J384" s="26" t="str">
        <f>"31 "</f>
        <v xml:space="preserve">31 </v>
      </c>
      <c r="K384" s="26" t="str">
        <f t="shared" si="54"/>
        <v>EP</v>
      </c>
      <c r="L384" s="26" t="str">
        <f t="shared" si="55"/>
        <v>DGOSE</v>
      </c>
      <c r="M384" s="26" t="str">
        <f t="shared" si="51"/>
        <v>FEDERAL</v>
      </c>
      <c r="N384" s="26">
        <v>167</v>
      </c>
      <c r="O384" s="26">
        <v>78</v>
      </c>
      <c r="P384" s="26">
        <v>89</v>
      </c>
      <c r="Q384" s="26">
        <v>6</v>
      </c>
      <c r="R384" s="26">
        <v>2</v>
      </c>
      <c r="S384" s="26">
        <v>6</v>
      </c>
      <c r="T384" s="26">
        <v>18</v>
      </c>
      <c r="U384" s="26">
        <v>26</v>
      </c>
      <c r="V384" s="26">
        <v>1</v>
      </c>
      <c r="W384" s="26" t="s">
        <v>218</v>
      </c>
    </row>
    <row r="385" spans="1:23" x14ac:dyDescent="0.25">
      <c r="A385" s="26" t="str">
        <f t="shared" si="47"/>
        <v>PREESCOLAR</v>
      </c>
      <c r="B385" s="26" t="str">
        <f>"09DJN0473M"</f>
        <v>09DJN0473M</v>
      </c>
      <c r="C385" s="26" t="str">
        <f>"JOSEFA ORTIZ DE DOMINGUEZ                                                                           "</f>
        <v xml:space="preserve">JOSEFA ORTIZ DE DOMINGUEZ                                                                           </v>
      </c>
      <c r="D385" s="26" t="str">
        <f>"MATUTINO"</f>
        <v>MATUTINO</v>
      </c>
      <c r="E385" s="26" t="str">
        <f>"PRIV. EMILIANO ZAPATA NO. 32                                                    "</f>
        <v xml:space="preserve">PRIV. EMILIANO ZAPATA NO. 32                                                    </v>
      </c>
      <c r="F385" s="26" t="str">
        <f>"CUAUTEPEC DE MADERO                                                                                                                         "</f>
        <v xml:space="preserve">CUAUTEPEC DE MADERO                                                                                                                         </v>
      </c>
      <c r="G385" s="26" t="str">
        <f>"GUSTAVO A. MADERO                                                               "</f>
        <v xml:space="preserve">GUSTAVO A. MADERO                                                               </v>
      </c>
      <c r="H385" s="26" t="str">
        <f>"155"</f>
        <v>155</v>
      </c>
      <c r="I385" s="26" t="str">
        <f t="shared" si="48"/>
        <v>00</v>
      </c>
      <c r="J385" s="26" t="str">
        <f>"32 "</f>
        <v xml:space="preserve">32 </v>
      </c>
      <c r="K385" s="26" t="str">
        <f t="shared" si="54"/>
        <v>EP</v>
      </c>
      <c r="L385" s="26" t="str">
        <f t="shared" si="55"/>
        <v>DGOSE</v>
      </c>
      <c r="M385" s="26" t="str">
        <f t="shared" si="51"/>
        <v>FEDERAL</v>
      </c>
      <c r="N385" s="26">
        <v>225</v>
      </c>
      <c r="O385" s="26">
        <v>114</v>
      </c>
      <c r="P385" s="26">
        <v>111</v>
      </c>
      <c r="Q385" s="26">
        <v>6</v>
      </c>
      <c r="R385" s="26">
        <v>1</v>
      </c>
      <c r="S385" s="26">
        <v>6</v>
      </c>
      <c r="T385" s="26">
        <v>4</v>
      </c>
      <c r="U385" s="26">
        <v>11</v>
      </c>
      <c r="V385" s="26">
        <v>1</v>
      </c>
      <c r="W385" s="26"/>
    </row>
    <row r="386" spans="1:23" x14ac:dyDescent="0.25">
      <c r="A386" s="26" t="str">
        <f t="shared" ref="A386:A449" si="56">"PREESCOLAR"</f>
        <v>PREESCOLAR</v>
      </c>
      <c r="B386" s="26" t="str">
        <f>"09DJN0474L"</f>
        <v>09DJN0474L</v>
      </c>
      <c r="C386" s="26" t="str">
        <f>"LAS ROSAS                                                                                           "</f>
        <v xml:space="preserve">LAS ROSAS                                                                                           </v>
      </c>
      <c r="D386" s="26" t="str">
        <f>"JORNADA AMPLIADA"</f>
        <v>JORNADA AMPLIADA</v>
      </c>
      <c r="E386" s="26" t="str">
        <f>"BOLIVAR NO. 1102                                                                "</f>
        <v xml:space="preserve">BOLIVAR NO. 1102                                                                </v>
      </c>
      <c r="F386" s="26" t="str">
        <f>"PERIODISTAS                                                                                                                                 "</f>
        <v xml:space="preserve">PERIODISTAS                                                                                                                                 </v>
      </c>
      <c r="G386" s="26" t="str">
        <f>"BENITO JUAREZ                                                                   "</f>
        <v xml:space="preserve">BENITO JUAREZ                                                                   </v>
      </c>
      <c r="H386" s="26" t="str">
        <f>"210"</f>
        <v>210</v>
      </c>
      <c r="I386" s="26" t="str">
        <f t="shared" ref="I386:I449" si="57">"00"</f>
        <v>00</v>
      </c>
      <c r="J386" s="26" t="str">
        <f>"34 "</f>
        <v xml:space="preserve">34 </v>
      </c>
      <c r="K386" s="26" t="str">
        <f t="shared" si="54"/>
        <v>EP</v>
      </c>
      <c r="L386" s="26" t="str">
        <f t="shared" si="55"/>
        <v>DGOSE</v>
      </c>
      <c r="M386" s="26" t="str">
        <f t="shared" ref="M386:M449" si="58">"FEDERAL"</f>
        <v>FEDERAL</v>
      </c>
      <c r="N386" s="26">
        <v>145</v>
      </c>
      <c r="O386" s="26">
        <v>78</v>
      </c>
      <c r="P386" s="26">
        <v>67</v>
      </c>
      <c r="Q386" s="26">
        <v>5</v>
      </c>
      <c r="R386" s="26">
        <v>1</v>
      </c>
      <c r="S386" s="26">
        <v>4</v>
      </c>
      <c r="T386" s="26">
        <v>6</v>
      </c>
      <c r="U386" s="26">
        <v>11</v>
      </c>
      <c r="V386" s="26">
        <v>1</v>
      </c>
      <c r="W386" s="26" t="s">
        <v>2076</v>
      </c>
    </row>
    <row r="387" spans="1:23" x14ac:dyDescent="0.25">
      <c r="A387" s="26" t="str">
        <f t="shared" si="56"/>
        <v>PREESCOLAR</v>
      </c>
      <c r="B387" s="26" t="str">
        <f>"09DJN0475K"</f>
        <v>09DJN0475K</v>
      </c>
      <c r="C387" s="26" t="str">
        <f>"SIRIA                                                                                               "</f>
        <v xml:space="preserve">SIRIA                                                                                               </v>
      </c>
      <c r="D387" s="26" t="str">
        <f>"TIEMPO COMPLETO"</f>
        <v>TIEMPO COMPLETO</v>
      </c>
      <c r="E387" s="26" t="str">
        <f>"MZA. 111                                                                        "</f>
        <v xml:space="preserve">MZA. 111                                                                        </v>
      </c>
      <c r="F387" s="26" t="str">
        <f>"UNIDAD LINDAVISTA VALLEJO                                                                                                                   "</f>
        <v xml:space="preserve">UNIDAD LINDAVISTA VALLEJO                                                                                                                   </v>
      </c>
      <c r="G387" s="26" t="str">
        <f>"GUSTAVO A. MADERO                                                               "</f>
        <v xml:space="preserve">GUSTAVO A. MADERO                                                               </v>
      </c>
      <c r="H387" s="26" t="str">
        <f>"005"</f>
        <v>005</v>
      </c>
      <c r="I387" s="26" t="str">
        <f t="shared" si="57"/>
        <v>00</v>
      </c>
      <c r="J387" s="26" t="str">
        <f>"31 "</f>
        <v xml:space="preserve">31 </v>
      </c>
      <c r="K387" s="26" t="str">
        <f t="shared" si="54"/>
        <v>EP</v>
      </c>
      <c r="L387" s="26" t="str">
        <f t="shared" si="55"/>
        <v>DGOSE</v>
      </c>
      <c r="M387" s="26" t="str">
        <f t="shared" si="58"/>
        <v>FEDERAL</v>
      </c>
      <c r="N387" s="26">
        <v>162</v>
      </c>
      <c r="O387" s="26">
        <v>81</v>
      </c>
      <c r="P387" s="26">
        <v>81</v>
      </c>
      <c r="Q387" s="26">
        <v>6</v>
      </c>
      <c r="R387" s="26">
        <v>2</v>
      </c>
      <c r="S387" s="26">
        <v>6</v>
      </c>
      <c r="T387" s="26">
        <v>14</v>
      </c>
      <c r="U387" s="26">
        <v>22</v>
      </c>
      <c r="V387" s="26">
        <v>1</v>
      </c>
      <c r="W387" s="26" t="s">
        <v>218</v>
      </c>
    </row>
    <row r="388" spans="1:23" x14ac:dyDescent="0.25">
      <c r="A388" s="26" t="str">
        <f t="shared" si="56"/>
        <v>PREESCOLAR</v>
      </c>
      <c r="B388" s="26" t="str">
        <f>"09DJN0476J"</f>
        <v>09DJN0476J</v>
      </c>
      <c r="C388" s="26" t="str">
        <f>"MTRO. TEODOMIRO MANZANO                                                                             "</f>
        <v xml:space="preserve">MTRO. TEODOMIRO MANZANO                                                                             </v>
      </c>
      <c r="D388" s="26" t="str">
        <f>"TIEMPO COMPLETO"</f>
        <v>TIEMPO COMPLETO</v>
      </c>
      <c r="E388" s="26" t="str">
        <f>"SALVADOR ALVARADO NO. 71                                                        "</f>
        <v xml:space="preserve">SALVADOR ALVARADO NO. 71                                                        </v>
      </c>
      <c r="F388" s="26" t="str">
        <f>"ESCANDON                                                                                                                                    "</f>
        <v xml:space="preserve">ESCANDON                                                                                                                                    </v>
      </c>
      <c r="G388" s="26" t="str">
        <f>"MIGUEL HIDALGO                                                                  "</f>
        <v xml:space="preserve">MIGUEL HIDALGO                                                                  </v>
      </c>
      <c r="H388" s="26" t="str">
        <f>"013"</f>
        <v>013</v>
      </c>
      <c r="I388" s="26" t="str">
        <f t="shared" si="57"/>
        <v>00</v>
      </c>
      <c r="J388" s="26" t="str">
        <f>"31 "</f>
        <v xml:space="preserve">31 </v>
      </c>
      <c r="K388" s="26" t="str">
        <f t="shared" si="54"/>
        <v>EP</v>
      </c>
      <c r="L388" s="26" t="str">
        <f t="shared" si="55"/>
        <v>DGOSE</v>
      </c>
      <c r="M388" s="26" t="str">
        <f t="shared" si="58"/>
        <v>FEDERAL</v>
      </c>
      <c r="N388" s="26">
        <v>95</v>
      </c>
      <c r="O388" s="26">
        <v>46</v>
      </c>
      <c r="P388" s="26">
        <v>49</v>
      </c>
      <c r="Q388" s="26">
        <v>5</v>
      </c>
      <c r="R388" s="26">
        <v>2</v>
      </c>
      <c r="S388" s="26">
        <v>5</v>
      </c>
      <c r="T388" s="26">
        <v>14</v>
      </c>
      <c r="U388" s="26">
        <v>21</v>
      </c>
      <c r="V388" s="26">
        <v>1</v>
      </c>
      <c r="W388" s="26" t="s">
        <v>218</v>
      </c>
    </row>
    <row r="389" spans="1:23" x14ac:dyDescent="0.25">
      <c r="A389" s="26" t="str">
        <f t="shared" si="56"/>
        <v>PREESCOLAR</v>
      </c>
      <c r="B389" s="26" t="str">
        <f>"09DJN0477I"</f>
        <v>09DJN0477I</v>
      </c>
      <c r="C389" s="26" t="str">
        <f>"JUANA DE ASBAJE                                                                                     "</f>
        <v xml:space="preserve">JUANA DE ASBAJE                                                                                     </v>
      </c>
      <c r="D389" s="26" t="str">
        <f>"JORNADA AMPLIADA"</f>
        <v>JORNADA AMPLIADA</v>
      </c>
      <c r="E389" s="26" t="str">
        <f>"CALLE DE LA MESA S/N                                                            "</f>
        <v xml:space="preserve">CALLE DE LA MESA S/N                                                            </v>
      </c>
      <c r="F389" s="26" t="str">
        <f>"SANTA URSULA XITLA                                                                                                                          "</f>
        <v xml:space="preserve">SANTA URSULA XITLA                                                                                                                          </v>
      </c>
      <c r="G389" s="26" t="str">
        <f>"TLALPAN                                                                         "</f>
        <v xml:space="preserve">TLALPAN                                                                         </v>
      </c>
      <c r="H389" s="26" t="str">
        <f>"224"</f>
        <v>224</v>
      </c>
      <c r="I389" s="26" t="str">
        <f t="shared" si="57"/>
        <v>00</v>
      </c>
      <c r="J389" s="26" t="str">
        <f>"34 "</f>
        <v xml:space="preserve">34 </v>
      </c>
      <c r="K389" s="26" t="str">
        <f t="shared" si="54"/>
        <v>EP</v>
      </c>
      <c r="L389" s="26" t="str">
        <f t="shared" si="55"/>
        <v>DGOSE</v>
      </c>
      <c r="M389" s="26" t="str">
        <f t="shared" si="58"/>
        <v>FEDERAL</v>
      </c>
      <c r="N389" s="26">
        <v>102</v>
      </c>
      <c r="O389" s="26">
        <v>52</v>
      </c>
      <c r="P389" s="26">
        <v>50</v>
      </c>
      <c r="Q389" s="26">
        <v>4</v>
      </c>
      <c r="R389" s="26">
        <v>1</v>
      </c>
      <c r="S389" s="26">
        <v>4</v>
      </c>
      <c r="T389" s="26">
        <v>5</v>
      </c>
      <c r="U389" s="26">
        <v>10</v>
      </c>
      <c r="V389" s="26">
        <v>1</v>
      </c>
      <c r="W389" s="26" t="s">
        <v>2076</v>
      </c>
    </row>
    <row r="390" spans="1:23" x14ac:dyDescent="0.25">
      <c r="A390" s="26" t="str">
        <f t="shared" si="56"/>
        <v>PREESCOLAR</v>
      </c>
      <c r="B390" s="26" t="str">
        <f>"09DJN0478H"</f>
        <v>09DJN0478H</v>
      </c>
      <c r="C390" s="26" t="str">
        <f>"JOSEFA MURILLO                                                                                      "</f>
        <v xml:space="preserve">JOSEFA MURILLO                                                                                      </v>
      </c>
      <c r="D390" s="26" t="str">
        <f>"MATUTINO"</f>
        <v>MATUTINO</v>
      </c>
      <c r="E390" s="26" t="str">
        <f>"BRAVO 83 ESQ. NACIONAL                                                          "</f>
        <v xml:space="preserve">BRAVO 83 ESQ. NACIONAL                                                          </v>
      </c>
      <c r="F390" s="26" t="str">
        <f>"MORELOS                                                                                                                                     "</f>
        <v xml:space="preserve">MORELOS                                                                                                                                     </v>
      </c>
      <c r="G390" s="26" t="str">
        <f>"VENUSTIANO CARRANZA                                                             "</f>
        <v xml:space="preserve">VENUSTIANO CARRANZA                                                             </v>
      </c>
      <c r="H390" s="26" t="str">
        <f>"025"</f>
        <v>025</v>
      </c>
      <c r="I390" s="26" t="str">
        <f t="shared" si="57"/>
        <v>00</v>
      </c>
      <c r="J390" s="26" t="str">
        <f>"33 "</f>
        <v xml:space="preserve">33 </v>
      </c>
      <c r="K390" s="26" t="str">
        <f t="shared" si="54"/>
        <v>EP</v>
      </c>
      <c r="L390" s="26" t="str">
        <f t="shared" si="55"/>
        <v>DGOSE</v>
      </c>
      <c r="M390" s="26" t="str">
        <f t="shared" si="58"/>
        <v>FEDERAL</v>
      </c>
      <c r="N390" s="26">
        <v>197</v>
      </c>
      <c r="O390" s="26">
        <v>95</v>
      </c>
      <c r="P390" s="26">
        <v>102</v>
      </c>
      <c r="Q390" s="26">
        <v>6</v>
      </c>
      <c r="R390" s="26">
        <v>1</v>
      </c>
      <c r="S390" s="26">
        <v>6</v>
      </c>
      <c r="T390" s="26">
        <v>3</v>
      </c>
      <c r="U390" s="26">
        <v>10</v>
      </c>
      <c r="V390" s="26">
        <v>1</v>
      </c>
      <c r="W390" s="26"/>
    </row>
    <row r="391" spans="1:23" x14ac:dyDescent="0.25">
      <c r="A391" s="26" t="str">
        <f t="shared" si="56"/>
        <v>PREESCOLAR</v>
      </c>
      <c r="B391" s="26" t="str">
        <f>"09DJN0479G"</f>
        <v>09DJN0479G</v>
      </c>
      <c r="C391" s="26" t="str">
        <f>"ANTONIO VANEGAS ARROYO                                                                              "</f>
        <v xml:space="preserve">ANTONIO VANEGAS ARROYO                                                                              </v>
      </c>
      <c r="D391" s="26" t="str">
        <f>"TIEMPO COMPLETO"</f>
        <v>TIEMPO COMPLETO</v>
      </c>
      <c r="E391" s="26" t="str">
        <f>"HEROES DE GRANADITAS NO. 85                                                     "</f>
        <v xml:space="preserve">HEROES DE GRANADITAS NO. 85                                                     </v>
      </c>
      <c r="F391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391" s="26" t="s">
        <v>4128</v>
      </c>
      <c r="H391" s="26" t="str">
        <f>"149"</f>
        <v>149</v>
      </c>
      <c r="I391" s="26" t="str">
        <f t="shared" si="57"/>
        <v>00</v>
      </c>
      <c r="J391" s="26" t="str">
        <f>"31 "</f>
        <v xml:space="preserve">31 </v>
      </c>
      <c r="K391" s="26" t="str">
        <f t="shared" si="54"/>
        <v>EP</v>
      </c>
      <c r="L391" s="26" t="str">
        <f t="shared" si="55"/>
        <v>DGOSE</v>
      </c>
      <c r="M391" s="26" t="str">
        <f t="shared" si="58"/>
        <v>FEDERAL</v>
      </c>
      <c r="N391" s="26">
        <v>274</v>
      </c>
      <c r="O391" s="26">
        <v>138</v>
      </c>
      <c r="P391" s="26">
        <v>136</v>
      </c>
      <c r="Q391" s="26">
        <v>8</v>
      </c>
      <c r="R391" s="26">
        <v>2</v>
      </c>
      <c r="S391" s="26">
        <v>8</v>
      </c>
      <c r="T391" s="26">
        <v>21</v>
      </c>
      <c r="U391" s="26">
        <v>31</v>
      </c>
      <c r="V391" s="26">
        <v>1</v>
      </c>
      <c r="W391" s="26" t="s">
        <v>218</v>
      </c>
    </row>
    <row r="392" spans="1:23" x14ac:dyDescent="0.25">
      <c r="A392" s="26" t="str">
        <f t="shared" si="56"/>
        <v>PREESCOLAR</v>
      </c>
      <c r="B392" s="26" t="str">
        <f>"09DJN0480W"</f>
        <v>09DJN0480W</v>
      </c>
      <c r="C392" s="26" t="str">
        <f>"BARTOLOME DE MEDINA                                                                                 "</f>
        <v xml:space="preserve">BARTOLOME DE MEDINA                                                                                 </v>
      </c>
      <c r="D392" s="26" t="str">
        <f>"JORNADA AMPLIADA"</f>
        <v>JORNADA AMPLIADA</v>
      </c>
      <c r="E392" s="26" t="str">
        <f>"SOSTENES ROCHA NO. 42                                                           "</f>
        <v xml:space="preserve">SOSTENES ROCHA NO. 42                                                           </v>
      </c>
      <c r="F392" s="26" t="str">
        <f>"COVE                                                                                                                                        "</f>
        <v xml:space="preserve">COVE                                                                                                                                        </v>
      </c>
      <c r="G392" s="26" t="str">
        <f>"ALVARO OBREGON                                                                  "</f>
        <v xml:space="preserve">ALVARO OBREGON                                                                  </v>
      </c>
      <c r="H392" s="26" t="str">
        <f>"216"</f>
        <v>216</v>
      </c>
      <c r="I392" s="26" t="str">
        <f t="shared" si="57"/>
        <v>00</v>
      </c>
      <c r="J392" s="26" t="str">
        <f>"34 "</f>
        <v xml:space="preserve">34 </v>
      </c>
      <c r="K392" s="26" t="str">
        <f t="shared" si="54"/>
        <v>EP</v>
      </c>
      <c r="L392" s="26" t="str">
        <f t="shared" si="55"/>
        <v>DGOSE</v>
      </c>
      <c r="M392" s="26" t="str">
        <f t="shared" si="58"/>
        <v>FEDERAL</v>
      </c>
      <c r="N392" s="26">
        <v>216</v>
      </c>
      <c r="O392" s="26">
        <v>107</v>
      </c>
      <c r="P392" s="26">
        <v>109</v>
      </c>
      <c r="Q392" s="26">
        <v>7</v>
      </c>
      <c r="R392" s="26">
        <v>1</v>
      </c>
      <c r="S392" s="26">
        <v>7</v>
      </c>
      <c r="T392" s="26">
        <v>5</v>
      </c>
      <c r="U392" s="26">
        <v>13</v>
      </c>
      <c r="V392" s="26">
        <v>1</v>
      </c>
      <c r="W392" s="26" t="s">
        <v>2076</v>
      </c>
    </row>
    <row r="393" spans="1:23" x14ac:dyDescent="0.25">
      <c r="A393" s="26" t="str">
        <f t="shared" si="56"/>
        <v>PREESCOLAR</v>
      </c>
      <c r="B393" s="26" t="str">
        <f>"09DJN0481V"</f>
        <v>09DJN0481V</v>
      </c>
      <c r="C393" s="26" t="str">
        <f>"FAMILIA JUAREZ MAZA                                                                                 "</f>
        <v xml:space="preserve">FAMILIA JUAREZ MAZA                                                                                 </v>
      </c>
      <c r="D393" s="26" t="str">
        <f>"VESPERTINO"</f>
        <v>VESPERTINO</v>
      </c>
      <c r="E393" s="26" t="str">
        <f>"AV. ANACAHUITA S/N                                                              "</f>
        <v xml:space="preserve">AV. ANACAHUITA S/N                                                              </v>
      </c>
      <c r="F393" s="26" t="str">
        <f>"COYOACAN                                                                                                                                    "</f>
        <v xml:space="preserve">COYOACAN                                                                                                                                    </v>
      </c>
      <c r="G393" s="26" t="str">
        <f>"COYOACAN                                                                        "</f>
        <v xml:space="preserve">COYOACAN                                                                        </v>
      </c>
      <c r="H393" s="26" t="str">
        <f>"111"</f>
        <v>111</v>
      </c>
      <c r="I393" s="26" t="str">
        <f t="shared" si="57"/>
        <v>00</v>
      </c>
      <c r="J393" s="26" t="str">
        <f>"35 "</f>
        <v xml:space="preserve">35 </v>
      </c>
      <c r="K393" s="26" t="str">
        <f t="shared" si="54"/>
        <v>EP</v>
      </c>
      <c r="L393" s="26" t="str">
        <f t="shared" si="55"/>
        <v>DGOSE</v>
      </c>
      <c r="M393" s="26" t="str">
        <f t="shared" si="58"/>
        <v>FEDERAL</v>
      </c>
      <c r="N393" s="26">
        <v>144</v>
      </c>
      <c r="O393" s="26">
        <v>78</v>
      </c>
      <c r="P393" s="26">
        <v>66</v>
      </c>
      <c r="Q393" s="26">
        <v>5</v>
      </c>
      <c r="R393" s="26">
        <v>1</v>
      </c>
      <c r="S393" s="26">
        <v>5</v>
      </c>
      <c r="T393" s="26">
        <v>4</v>
      </c>
      <c r="U393" s="26">
        <v>10</v>
      </c>
      <c r="V393" s="26">
        <v>1</v>
      </c>
      <c r="W393" s="26"/>
    </row>
    <row r="394" spans="1:23" x14ac:dyDescent="0.25">
      <c r="A394" s="26" t="str">
        <f t="shared" si="56"/>
        <v>PREESCOLAR</v>
      </c>
      <c r="B394" s="26" t="str">
        <f>"09DJN0482U"</f>
        <v>09DJN0482U</v>
      </c>
      <c r="C394" s="26" t="str">
        <f>"CITLALI                                                                                             "</f>
        <v xml:space="preserve">CITLALI                                                                                             </v>
      </c>
      <c r="D394" s="26" t="str">
        <f>"MATUTINO"</f>
        <v>MATUTINO</v>
      </c>
      <c r="E394" s="26" t="str">
        <f>"AV. TLAHUAC KM. 22.5                                                            "</f>
        <v xml:space="preserve">AV. TLAHUAC KM. 22.5                                                            </v>
      </c>
      <c r="F394" s="26" t="str">
        <f>"SANTIAGO ZAPOTITLAN                                                                                                                         "</f>
        <v xml:space="preserve">SANTIAGO ZAPOTITLAN                                                                                                                         </v>
      </c>
      <c r="G394" s="26" t="str">
        <f>"TLAHUAC                                                                         "</f>
        <v xml:space="preserve">TLAHUAC                                                                         </v>
      </c>
      <c r="H394" s="26" t="str">
        <f>"242"</f>
        <v>242</v>
      </c>
      <c r="I394" s="26" t="str">
        <f t="shared" si="57"/>
        <v>00</v>
      </c>
      <c r="J394" s="26" t="str">
        <f>"35 "</f>
        <v xml:space="preserve">35 </v>
      </c>
      <c r="K394" s="26" t="str">
        <f t="shared" si="54"/>
        <v>EP</v>
      </c>
      <c r="L394" s="26" t="str">
        <f t="shared" si="55"/>
        <v>DGOSE</v>
      </c>
      <c r="M394" s="26" t="str">
        <f t="shared" si="58"/>
        <v>FEDERAL</v>
      </c>
      <c r="N394" s="26">
        <v>255</v>
      </c>
      <c r="O394" s="26">
        <v>117</v>
      </c>
      <c r="P394" s="26">
        <v>138</v>
      </c>
      <c r="Q394" s="26">
        <v>7</v>
      </c>
      <c r="R394" s="26">
        <v>1</v>
      </c>
      <c r="S394" s="26">
        <v>7</v>
      </c>
      <c r="T394" s="26">
        <v>6</v>
      </c>
      <c r="U394" s="26">
        <v>14</v>
      </c>
      <c r="V394" s="26">
        <v>1</v>
      </c>
      <c r="W394" s="26"/>
    </row>
    <row r="395" spans="1:23" x14ac:dyDescent="0.25">
      <c r="A395" s="26" t="str">
        <f t="shared" si="56"/>
        <v>PREESCOLAR</v>
      </c>
      <c r="B395" s="26" t="str">
        <f>"09DJN0483T"</f>
        <v>09DJN0483T</v>
      </c>
      <c r="C395" s="26" t="str">
        <f>"IGNACIO RAMIREZ                                                                                     "</f>
        <v xml:space="preserve">IGNACIO RAMIREZ                                                                                     </v>
      </c>
      <c r="D395" s="26" t="str">
        <f>"MATUTINO"</f>
        <v>MATUTINO</v>
      </c>
      <c r="E395" s="26" t="str">
        <f>"HERMENEGILDO GALEANA NO. 11                                                     "</f>
        <v xml:space="preserve">HERMENEGILDO GALEANA NO. 11                                                     </v>
      </c>
      <c r="F395" s="26" t="str">
        <f>"XOCHIMILCO                                                                                                                                  "</f>
        <v xml:space="preserve">XOCHIMILCO                                                                                                                                  </v>
      </c>
      <c r="G395" s="26" t="str">
        <f>"XOCHIMILCO                                                                      "</f>
        <v xml:space="preserve">XOCHIMILCO                                                                      </v>
      </c>
      <c r="H395" s="26" t="str">
        <f>"053"</f>
        <v>053</v>
      </c>
      <c r="I395" s="26" t="str">
        <f t="shared" si="57"/>
        <v>00</v>
      </c>
      <c r="J395" s="26" t="str">
        <f>"35 "</f>
        <v xml:space="preserve">35 </v>
      </c>
      <c r="K395" s="26" t="str">
        <f t="shared" si="54"/>
        <v>EP</v>
      </c>
      <c r="L395" s="26" t="str">
        <f t="shared" si="55"/>
        <v>DGOSE</v>
      </c>
      <c r="M395" s="26" t="str">
        <f t="shared" si="58"/>
        <v>FEDERAL</v>
      </c>
      <c r="N395" s="26">
        <v>300</v>
      </c>
      <c r="O395" s="26">
        <v>148</v>
      </c>
      <c r="P395" s="26">
        <v>152</v>
      </c>
      <c r="Q395" s="26">
        <v>8</v>
      </c>
      <c r="R395" s="26">
        <v>1</v>
      </c>
      <c r="S395" s="26">
        <v>8</v>
      </c>
      <c r="T395" s="26">
        <v>5</v>
      </c>
      <c r="U395" s="26">
        <v>14</v>
      </c>
      <c r="V395" s="26">
        <v>1</v>
      </c>
      <c r="W395" s="26"/>
    </row>
    <row r="396" spans="1:23" x14ac:dyDescent="0.25">
      <c r="A396" s="26" t="str">
        <f t="shared" si="56"/>
        <v>PREESCOLAR</v>
      </c>
      <c r="B396" s="26" t="str">
        <f>"09DJN0484S"</f>
        <v>09DJN0484S</v>
      </c>
      <c r="C396" s="26" t="str">
        <f>"HANS CHRISTIAN ANDERSEN                                                                             "</f>
        <v xml:space="preserve">HANS CHRISTIAN ANDERSEN                                                                             </v>
      </c>
      <c r="D396" s="26" t="str">
        <f>"TIEMPO COMPLETO"</f>
        <v>TIEMPO COMPLETO</v>
      </c>
      <c r="E396" s="26" t="str">
        <f>"ANDERSEN GELATTI NO. 24                                                         "</f>
        <v xml:space="preserve">ANDERSEN GELATTI NO. 24                                                         </v>
      </c>
      <c r="F396" s="26" t="str">
        <f>"SAN MIGUEL CHAPULTEPEC                                                                                                                      "</f>
        <v xml:space="preserve">SAN MIGUEL CHAPULTEPEC                                                                                                                      </v>
      </c>
      <c r="G396" s="26" t="str">
        <f>"MIGUEL HIDALGO                                                                  "</f>
        <v xml:space="preserve">MIGUEL HIDALGO                                                                  </v>
      </c>
      <c r="H396" s="26" t="str">
        <f>"109"</f>
        <v>109</v>
      </c>
      <c r="I396" s="26" t="str">
        <f t="shared" si="57"/>
        <v>00</v>
      </c>
      <c r="J396" s="26" t="str">
        <f>"31 "</f>
        <v xml:space="preserve">31 </v>
      </c>
      <c r="K396" s="26" t="str">
        <f t="shared" si="54"/>
        <v>EP</v>
      </c>
      <c r="L396" s="26" t="str">
        <f t="shared" si="55"/>
        <v>DGOSE</v>
      </c>
      <c r="M396" s="26" t="str">
        <f t="shared" si="58"/>
        <v>FEDERAL</v>
      </c>
      <c r="N396" s="26">
        <v>239</v>
      </c>
      <c r="O396" s="26">
        <v>127</v>
      </c>
      <c r="P396" s="26">
        <v>112</v>
      </c>
      <c r="Q396" s="26">
        <v>8</v>
      </c>
      <c r="R396" s="26">
        <v>2</v>
      </c>
      <c r="S396" s="26">
        <v>7</v>
      </c>
      <c r="T396" s="26">
        <v>22</v>
      </c>
      <c r="U396" s="26">
        <v>31</v>
      </c>
      <c r="V396" s="26">
        <v>1</v>
      </c>
      <c r="W396" s="26" t="s">
        <v>218</v>
      </c>
    </row>
    <row r="397" spans="1:23" x14ac:dyDescent="0.25">
      <c r="A397" s="26" t="str">
        <f t="shared" si="56"/>
        <v>PREESCOLAR</v>
      </c>
      <c r="B397" s="26" t="str">
        <f>"09DJN0485R"</f>
        <v>09DJN0485R</v>
      </c>
      <c r="C397" s="26" t="str">
        <f>"CHALCHIUHTLICUE                                                                                     "</f>
        <v xml:space="preserve">CHALCHIUHTLICUE                                                                                     </v>
      </c>
      <c r="D397" s="26" t="str">
        <f>"MATUTINO"</f>
        <v>MATUTINO</v>
      </c>
      <c r="E397" s="26" t="str">
        <f>"QUINTANA ROO Y GUERRERO                                                         "</f>
        <v xml:space="preserve">QUINTANA ROO Y GUERRERO                                                         </v>
      </c>
      <c r="F397" s="26" t="str">
        <f>"SAN FRANCISCO TLALTENCO                                                                                                                     "</f>
        <v xml:space="preserve">SAN FRANCISCO TLALTENCO                                                                                                                     </v>
      </c>
      <c r="G397" s="26" t="str">
        <f>"TLAHUAC                                                                         "</f>
        <v xml:space="preserve">TLAHUAC                                                                         </v>
      </c>
      <c r="H397" s="26" t="str">
        <f>"242"</f>
        <v>242</v>
      </c>
      <c r="I397" s="26" t="str">
        <f t="shared" si="57"/>
        <v>00</v>
      </c>
      <c r="J397" s="26" t="str">
        <f>"35 "</f>
        <v xml:space="preserve">35 </v>
      </c>
      <c r="K397" s="26" t="str">
        <f t="shared" si="54"/>
        <v>EP</v>
      </c>
      <c r="L397" s="26" t="str">
        <f t="shared" si="55"/>
        <v>DGOSE</v>
      </c>
      <c r="M397" s="26" t="str">
        <f t="shared" si="58"/>
        <v>FEDERAL</v>
      </c>
      <c r="N397" s="26">
        <v>268</v>
      </c>
      <c r="O397" s="26">
        <v>129</v>
      </c>
      <c r="P397" s="26">
        <v>139</v>
      </c>
      <c r="Q397" s="26">
        <v>8</v>
      </c>
      <c r="R397" s="26">
        <v>1</v>
      </c>
      <c r="S397" s="26">
        <v>6</v>
      </c>
      <c r="T397" s="26">
        <v>5</v>
      </c>
      <c r="U397" s="26">
        <v>12</v>
      </c>
      <c r="V397" s="26">
        <v>1</v>
      </c>
      <c r="W397" s="26"/>
    </row>
    <row r="398" spans="1:23" x14ac:dyDescent="0.25">
      <c r="A398" s="26" t="str">
        <f t="shared" si="56"/>
        <v>PREESCOLAR</v>
      </c>
      <c r="B398" s="26" t="str">
        <f>"09DJN0486Q"</f>
        <v>09DJN0486Q</v>
      </c>
      <c r="C398" s="26" t="str">
        <f>"NARCISO MENDOZA                                                                                     "</f>
        <v xml:space="preserve">NARCISO MENDOZA                                                                                     </v>
      </c>
      <c r="D398" s="26" t="str">
        <f>"JORNADA AMPLIADA"</f>
        <v>JORNADA AMPLIADA</v>
      </c>
      <c r="E398" s="26" t="str">
        <f>"CALLES B C LL Y M MZA.  X                                                       "</f>
        <v xml:space="preserve">CALLES B C LL Y M MZA.  X                                                       </v>
      </c>
      <c r="F398" s="26" t="str">
        <f>"EDUCACION                                                                                                                                   "</f>
        <v xml:space="preserve">EDUCACION                                                                                                                                   </v>
      </c>
      <c r="G398" s="26" t="str">
        <f>"COYOACAN                                                                        "</f>
        <v xml:space="preserve">COYOACAN                                                                        </v>
      </c>
      <c r="H398" s="26" t="str">
        <f>"235"</f>
        <v>235</v>
      </c>
      <c r="I398" s="26" t="str">
        <f t="shared" si="57"/>
        <v>00</v>
      </c>
      <c r="J398" s="26" t="str">
        <f>"34 "</f>
        <v xml:space="preserve">34 </v>
      </c>
      <c r="K398" s="26" t="str">
        <f t="shared" si="54"/>
        <v>EP</v>
      </c>
      <c r="L398" s="26" t="str">
        <f t="shared" si="55"/>
        <v>DGOSE</v>
      </c>
      <c r="M398" s="26" t="str">
        <f t="shared" si="58"/>
        <v>FEDERAL</v>
      </c>
      <c r="N398" s="26">
        <v>132</v>
      </c>
      <c r="O398" s="26">
        <v>67</v>
      </c>
      <c r="P398" s="26">
        <v>65</v>
      </c>
      <c r="Q398" s="26">
        <v>4</v>
      </c>
      <c r="R398" s="26">
        <v>1</v>
      </c>
      <c r="S398" s="26">
        <v>3</v>
      </c>
      <c r="T398" s="26">
        <v>5</v>
      </c>
      <c r="U398" s="26">
        <v>9</v>
      </c>
      <c r="V398" s="26">
        <v>1</v>
      </c>
      <c r="W398" s="26" t="s">
        <v>2076</v>
      </c>
    </row>
    <row r="399" spans="1:23" x14ac:dyDescent="0.25">
      <c r="A399" s="26" t="str">
        <f t="shared" si="56"/>
        <v>PREESCOLAR</v>
      </c>
      <c r="B399" s="26" t="str">
        <f>"09DJN0487P"</f>
        <v>09DJN0487P</v>
      </c>
      <c r="C399" s="26" t="str">
        <f>"CUITLAHUAC                                                                                          "</f>
        <v xml:space="preserve">CUITLAHUAC                                                                                          </v>
      </c>
      <c r="D399" s="26" t="str">
        <f>"TIEMPO COMPLETO"</f>
        <v>TIEMPO COMPLETO</v>
      </c>
      <c r="E399" s="26" t="str">
        <f>"LA RONDALLA Y CARLOS MARTINEZ NO. 916                                           "</f>
        <v xml:space="preserve">LA RONDALLA Y CARLOS MARTINEZ NO. 916                                           </v>
      </c>
      <c r="F399" s="26" t="str">
        <f>"SAN JOSE                                                                                                                                    "</f>
        <v xml:space="preserve">SAN JOSE                                                                                                                                    </v>
      </c>
      <c r="G399" s="26" t="str">
        <f>"TLAHUAC                                                                         "</f>
        <v xml:space="preserve">TLAHUAC                                                                         </v>
      </c>
      <c r="H399" s="26" t="str">
        <f>"054"</f>
        <v>054</v>
      </c>
      <c r="I399" s="26" t="str">
        <f t="shared" si="57"/>
        <v>00</v>
      </c>
      <c r="J399" s="26" t="str">
        <f>"34 "</f>
        <v xml:space="preserve">34 </v>
      </c>
      <c r="K399" s="26" t="str">
        <f t="shared" si="54"/>
        <v>EP</v>
      </c>
      <c r="L399" s="26" t="str">
        <f t="shared" si="55"/>
        <v>DGOSE</v>
      </c>
      <c r="M399" s="26" t="str">
        <f t="shared" si="58"/>
        <v>FEDERAL</v>
      </c>
      <c r="N399" s="26">
        <v>295</v>
      </c>
      <c r="O399" s="26">
        <v>155</v>
      </c>
      <c r="P399" s="26">
        <v>140</v>
      </c>
      <c r="Q399" s="26">
        <v>9</v>
      </c>
      <c r="R399" s="26">
        <v>2</v>
      </c>
      <c r="S399" s="26">
        <v>9</v>
      </c>
      <c r="T399" s="26">
        <v>24</v>
      </c>
      <c r="U399" s="26">
        <v>35</v>
      </c>
      <c r="V399" s="26">
        <v>1</v>
      </c>
      <c r="W399" s="26" t="s">
        <v>218</v>
      </c>
    </row>
    <row r="400" spans="1:23" x14ac:dyDescent="0.25">
      <c r="A400" s="26" t="str">
        <f t="shared" si="56"/>
        <v>PREESCOLAR</v>
      </c>
      <c r="B400" s="26" t="str">
        <f>"09DJN0488O"</f>
        <v>09DJN0488O</v>
      </c>
      <c r="C400" s="26" t="str">
        <f>"INSURGENTES                                                                                         "</f>
        <v xml:space="preserve">INSURGENTES                                                                                         </v>
      </c>
      <c r="D400" s="26" t="str">
        <f>"TIEMPO COMPLETO"</f>
        <v>TIEMPO COMPLETO</v>
      </c>
      <c r="E400" s="26" t="str">
        <f>"AV. YUCATAN SUR S/N                                                             "</f>
        <v xml:space="preserve">AV. YUCATAN SUR S/N                                                             </v>
      </c>
      <c r="F400" s="26" t="str">
        <f>"LA CONCEPCION BARRIO                                                                                                                        "</f>
        <v xml:space="preserve">LA CONCEPCION BARRIO                                                                                                                        </v>
      </c>
      <c r="G400" s="26" t="str">
        <f>"MILPA ALTA                                                                      "</f>
        <v xml:space="preserve">MILPA ALTA                                                                      </v>
      </c>
      <c r="H400" s="26" t="str">
        <f>"055"</f>
        <v>055</v>
      </c>
      <c r="I400" s="26" t="str">
        <f t="shared" si="57"/>
        <v>00</v>
      </c>
      <c r="J400" s="26" t="str">
        <f>"34 "</f>
        <v xml:space="preserve">34 </v>
      </c>
      <c r="K400" s="26" t="str">
        <f t="shared" si="54"/>
        <v>EP</v>
      </c>
      <c r="L400" s="26" t="str">
        <f t="shared" si="55"/>
        <v>DGOSE</v>
      </c>
      <c r="M400" s="26" t="str">
        <f t="shared" si="58"/>
        <v>FEDERAL</v>
      </c>
      <c r="N400" s="26">
        <v>231</v>
      </c>
      <c r="O400" s="26">
        <v>121</v>
      </c>
      <c r="P400" s="26">
        <v>110</v>
      </c>
      <c r="Q400" s="26">
        <v>7</v>
      </c>
      <c r="R400" s="26">
        <v>2</v>
      </c>
      <c r="S400" s="26">
        <v>6</v>
      </c>
      <c r="T400" s="26">
        <v>16</v>
      </c>
      <c r="U400" s="26">
        <v>24</v>
      </c>
      <c r="V400" s="26">
        <v>1</v>
      </c>
      <c r="W400" s="26" t="s">
        <v>218</v>
      </c>
    </row>
    <row r="401" spans="1:23" x14ac:dyDescent="0.25">
      <c r="A401" s="26" t="str">
        <f t="shared" si="56"/>
        <v>PREESCOLAR</v>
      </c>
      <c r="B401" s="26" t="str">
        <f>"09DJN0489N"</f>
        <v>09DJN0489N</v>
      </c>
      <c r="C401" s="26" t="str">
        <f>"DR. JOSE MARIA LUIS MORA                                                                            "</f>
        <v xml:space="preserve">DR. JOSE MARIA LUIS MORA                                                                            </v>
      </c>
      <c r="D401" s="26" t="str">
        <f>"JORNADA AMPLIADA"</f>
        <v>JORNADA AMPLIADA</v>
      </c>
      <c r="E401" s="26" t="str">
        <f>"ROSAL S/N                                                                       "</f>
        <v xml:space="preserve">ROSAL S/N                                                                       </v>
      </c>
      <c r="F401" s="26" t="str">
        <f>"PUEBLO NUEVO                                                                                                                                "</f>
        <v xml:space="preserve">PUEBLO NUEVO                                                                                                                                </v>
      </c>
      <c r="G401" s="26" t="str">
        <f>"LA MAGDALENA CONTRERAS                                                          "</f>
        <v xml:space="preserve">LA MAGDALENA CONTRERAS                                                          </v>
      </c>
      <c r="H401" s="26" t="str">
        <f>"079"</f>
        <v>079</v>
      </c>
      <c r="I401" s="26" t="str">
        <f t="shared" si="57"/>
        <v>00</v>
      </c>
      <c r="J401" s="26" t="str">
        <f>"34 "</f>
        <v xml:space="preserve">34 </v>
      </c>
      <c r="K401" s="26" t="str">
        <f t="shared" si="54"/>
        <v>EP</v>
      </c>
      <c r="L401" s="26" t="str">
        <f t="shared" si="55"/>
        <v>DGOSE</v>
      </c>
      <c r="M401" s="26" t="str">
        <f t="shared" si="58"/>
        <v>FEDERAL</v>
      </c>
      <c r="N401" s="26">
        <v>261</v>
      </c>
      <c r="O401" s="26">
        <v>119</v>
      </c>
      <c r="P401" s="26">
        <v>142</v>
      </c>
      <c r="Q401" s="26">
        <v>7</v>
      </c>
      <c r="R401" s="26">
        <v>1</v>
      </c>
      <c r="S401" s="26">
        <v>7</v>
      </c>
      <c r="T401" s="26">
        <v>5</v>
      </c>
      <c r="U401" s="26">
        <v>13</v>
      </c>
      <c r="V401" s="26">
        <v>1</v>
      </c>
      <c r="W401" s="26" t="s">
        <v>2076</v>
      </c>
    </row>
    <row r="402" spans="1:23" x14ac:dyDescent="0.25">
      <c r="A402" s="26" t="str">
        <f t="shared" si="56"/>
        <v>PREESCOLAR</v>
      </c>
      <c r="B402" s="26" t="str">
        <f>"09DJN0491B"</f>
        <v>09DJN0491B</v>
      </c>
      <c r="C402" s="26" t="str">
        <f>"ALVARO OBREGON                                                                                      "</f>
        <v xml:space="preserve">ALVARO OBREGON                                                                                      </v>
      </c>
      <c r="D402" s="26" t="str">
        <f>"VESPERTINO"</f>
        <v>VESPERTINO</v>
      </c>
      <c r="E402" s="26" t="str">
        <f>"VOL. POPOCATEPETL Y VOL. ZUNIL                                                  "</f>
        <v xml:space="preserve">VOL. POPOCATEPETL Y VOL. ZUNIL                                                  </v>
      </c>
      <c r="F402" s="26" t="str">
        <f>"LA PROVIDENCIA                                                                                                                              "</f>
        <v xml:space="preserve">LA PROVIDENCIA                                                                                                                              </v>
      </c>
      <c r="G402" s="26" t="str">
        <f>"GUSTAVO A. MADERO                                                               "</f>
        <v xml:space="preserve">GUSTAVO A. MADERO                                                               </v>
      </c>
      <c r="H402" s="26" t="str">
        <f>"180"</f>
        <v>180</v>
      </c>
      <c r="I402" s="26" t="str">
        <f t="shared" si="57"/>
        <v>00</v>
      </c>
      <c r="J402" s="26" t="str">
        <f>"32 "</f>
        <v xml:space="preserve">32 </v>
      </c>
      <c r="K402" s="26" t="str">
        <f t="shared" si="54"/>
        <v>EP</v>
      </c>
      <c r="L402" s="26" t="str">
        <f t="shared" si="55"/>
        <v>DGOSE</v>
      </c>
      <c r="M402" s="26" t="str">
        <f t="shared" si="58"/>
        <v>FEDERAL</v>
      </c>
      <c r="N402" s="26">
        <v>149</v>
      </c>
      <c r="O402" s="26">
        <v>65</v>
      </c>
      <c r="P402" s="26">
        <v>84</v>
      </c>
      <c r="Q402" s="26">
        <v>5</v>
      </c>
      <c r="R402" s="26">
        <v>1</v>
      </c>
      <c r="S402" s="26">
        <v>5</v>
      </c>
      <c r="T402" s="26">
        <v>3</v>
      </c>
      <c r="U402" s="26">
        <v>9</v>
      </c>
      <c r="V402" s="26">
        <v>1</v>
      </c>
      <c r="W402" s="26"/>
    </row>
    <row r="403" spans="1:23" x14ac:dyDescent="0.25">
      <c r="A403" s="26" t="str">
        <f t="shared" si="56"/>
        <v>PREESCOLAR</v>
      </c>
      <c r="B403" s="26" t="str">
        <f>"09DJN0492A"</f>
        <v>09DJN0492A</v>
      </c>
      <c r="C403" s="26" t="str">
        <f>"FRAY MARTIN DE VALENCIA                                                                             "</f>
        <v xml:space="preserve">FRAY MARTIN DE VALENCIA                                                                             </v>
      </c>
      <c r="D403" s="26" t="str">
        <f>"MATUTINO"</f>
        <v>MATUTINO</v>
      </c>
      <c r="E403" s="26" t="str">
        <f>"EMILIANO ZAPATA Y PLAN DE AYALA S/N                                             "</f>
        <v xml:space="preserve">EMILIANO ZAPATA Y PLAN DE AYALA S/N                                             </v>
      </c>
      <c r="F403" s="26" t="str">
        <f>"SANTA MARIA AZTAHUACAN                                                                                                                      "</f>
        <v xml:space="preserve">SANTA MARIA AZTAHUACAN                                                                                                                      </v>
      </c>
      <c r="G403" s="26" t="str">
        <f>"IZTAPALAPA                                                                      "</f>
        <v xml:space="preserve">IZTAPALAPA                                                                      </v>
      </c>
      <c r="H403" s="26" t="str">
        <f>"033"</f>
        <v>033</v>
      </c>
      <c r="I403" s="26" t="str">
        <f t="shared" si="57"/>
        <v>00</v>
      </c>
      <c r="J403" s="26" t="str">
        <f>"64 "</f>
        <v xml:space="preserve">64 </v>
      </c>
      <c r="K403" s="26" t="str">
        <f>"IZ"</f>
        <v>IZ</v>
      </c>
      <c r="L403" s="26" t="str">
        <f>"DGSEI"</f>
        <v>DGSEI</v>
      </c>
      <c r="M403" s="26" t="str">
        <f t="shared" si="58"/>
        <v>FEDERAL</v>
      </c>
      <c r="N403" s="26">
        <v>305</v>
      </c>
      <c r="O403" s="26">
        <v>152</v>
      </c>
      <c r="P403" s="26">
        <v>153</v>
      </c>
      <c r="Q403" s="26">
        <v>8</v>
      </c>
      <c r="R403" s="26">
        <v>1</v>
      </c>
      <c r="S403" s="26">
        <v>8</v>
      </c>
      <c r="T403" s="26">
        <v>6</v>
      </c>
      <c r="U403" s="26">
        <v>15</v>
      </c>
      <c r="V403" s="26">
        <v>1</v>
      </c>
      <c r="W403" s="26"/>
    </row>
    <row r="404" spans="1:23" x14ac:dyDescent="0.25">
      <c r="A404" s="26" t="str">
        <f t="shared" si="56"/>
        <v>PREESCOLAR</v>
      </c>
      <c r="B404" s="26" t="str">
        <f>"09DJN0493Z"</f>
        <v>09DJN0493Z</v>
      </c>
      <c r="C404" s="26" t="str">
        <f>"ALFONSO QUIROZ                                                                                      "</f>
        <v xml:space="preserve">ALFONSO QUIROZ                                                                                      </v>
      </c>
      <c r="D404" s="26" t="str">
        <f>"JORNADA AMPLIADA"</f>
        <v>JORNADA AMPLIADA</v>
      </c>
      <c r="E404" s="26" t="str">
        <f>"ANTIGUA VIA LA VENTA S/N                                                        "</f>
        <v xml:space="preserve">ANTIGUA VIA LA VENTA S/N                                                        </v>
      </c>
      <c r="F404" s="26" t="str">
        <f>"LOMAS DE BECERRA                                                                                                                            "</f>
        <v xml:space="preserve">LOMAS DE BECERRA                                                                                                                            </v>
      </c>
      <c r="G404" s="26" t="str">
        <f>"ALVARO OBREGON                                                                  "</f>
        <v xml:space="preserve">ALVARO OBREGON                                                                  </v>
      </c>
      <c r="H404" s="26" t="str">
        <f>"216"</f>
        <v>216</v>
      </c>
      <c r="I404" s="26" t="str">
        <f t="shared" si="57"/>
        <v>00</v>
      </c>
      <c r="J404" s="26" t="str">
        <f>"34 "</f>
        <v xml:space="preserve">34 </v>
      </c>
      <c r="K404" s="26" t="str">
        <f>"EP"</f>
        <v>EP</v>
      </c>
      <c r="L404" s="26" t="str">
        <f>"DGOSE"</f>
        <v>DGOSE</v>
      </c>
      <c r="M404" s="26" t="str">
        <f t="shared" si="58"/>
        <v>FEDERAL</v>
      </c>
      <c r="N404" s="26">
        <v>240</v>
      </c>
      <c r="O404" s="26">
        <v>111</v>
      </c>
      <c r="P404" s="26">
        <v>129</v>
      </c>
      <c r="Q404" s="26">
        <v>7</v>
      </c>
      <c r="R404" s="26">
        <v>1</v>
      </c>
      <c r="S404" s="26">
        <v>7</v>
      </c>
      <c r="T404" s="26">
        <v>6</v>
      </c>
      <c r="U404" s="26">
        <v>14</v>
      </c>
      <c r="V404" s="26">
        <v>1</v>
      </c>
      <c r="W404" s="26" t="s">
        <v>2076</v>
      </c>
    </row>
    <row r="405" spans="1:23" x14ac:dyDescent="0.25">
      <c r="A405" s="26" t="str">
        <f t="shared" si="56"/>
        <v>PREESCOLAR</v>
      </c>
      <c r="B405" s="26" t="str">
        <f>"09DJN0494Z"</f>
        <v>09DJN0494Z</v>
      </c>
      <c r="C405" s="26" t="str">
        <f>"PAQUILIZCALLI                                                                                       "</f>
        <v xml:space="preserve">PAQUILIZCALLI                                                                                       </v>
      </c>
      <c r="D405" s="26" t="str">
        <f>"JORNADA AMPLIADA"</f>
        <v>JORNADA AMPLIADA</v>
      </c>
      <c r="E405" s="26" t="str">
        <f>"AV. DE LOS CULHUAS Y DIOSES AZTECAS                                             "</f>
        <v xml:space="preserve">AV. DE LOS CULHUAS Y DIOSES AZTECAS                                             </v>
      </c>
      <c r="F405" s="26" t="str">
        <f>"CULHUACAN SECTOR PILOTO                                                                                                                     "</f>
        <v xml:space="preserve">CULHUACAN SECTOR PILOTO                                                                                                                     </v>
      </c>
      <c r="G405" s="26" t="str">
        <f>"COYOACAN                                                                        "</f>
        <v xml:space="preserve">COYOACAN                                                                        </v>
      </c>
      <c r="H405" s="26" t="str">
        <f>"042"</f>
        <v>042</v>
      </c>
      <c r="I405" s="26" t="str">
        <f t="shared" si="57"/>
        <v>00</v>
      </c>
      <c r="J405" s="26" t="str">
        <f>"34 "</f>
        <v xml:space="preserve">34 </v>
      </c>
      <c r="K405" s="26" t="str">
        <f>"EP"</f>
        <v>EP</v>
      </c>
      <c r="L405" s="26" t="str">
        <f>"DGOSE"</f>
        <v>DGOSE</v>
      </c>
      <c r="M405" s="26" t="str">
        <f t="shared" si="58"/>
        <v>FEDERAL</v>
      </c>
      <c r="N405" s="26">
        <v>160</v>
      </c>
      <c r="O405" s="26">
        <v>73</v>
      </c>
      <c r="P405" s="26">
        <v>87</v>
      </c>
      <c r="Q405" s="26">
        <v>5</v>
      </c>
      <c r="R405" s="26">
        <v>1</v>
      </c>
      <c r="S405" s="26">
        <v>5</v>
      </c>
      <c r="T405" s="26">
        <v>6</v>
      </c>
      <c r="U405" s="26">
        <v>12</v>
      </c>
      <c r="V405" s="26">
        <v>1</v>
      </c>
      <c r="W405" s="26" t="s">
        <v>2076</v>
      </c>
    </row>
    <row r="406" spans="1:23" x14ac:dyDescent="0.25">
      <c r="A406" s="26" t="str">
        <f t="shared" si="56"/>
        <v>PREESCOLAR</v>
      </c>
      <c r="B406" s="26" t="str">
        <f>"09DJN0495Y"</f>
        <v>09DJN0495Y</v>
      </c>
      <c r="C406" s="26" t="str">
        <f>"XOCHITLA                                                                                            "</f>
        <v xml:space="preserve">XOCHITLA                                                                                            </v>
      </c>
      <c r="D406" s="26" t="str">
        <f>"JORNADA AMPLIADA"</f>
        <v>JORNADA AMPLIADA</v>
      </c>
      <c r="E406" s="26" t="str">
        <f>"CALZ. DE TLALPAN NO. 3372                                                       "</f>
        <v xml:space="preserve">CALZ. DE TLALPAN NO. 3372                                                       </v>
      </c>
      <c r="F406" s="26" t="str">
        <f>"SANTA URSULA COAPA                                                                                                                          "</f>
        <v xml:space="preserve">SANTA URSULA COAPA                                                                                                                          </v>
      </c>
      <c r="G406" s="26" t="str">
        <f>"COYOACAN                                                                        "</f>
        <v xml:space="preserve">COYOACAN                                                                        </v>
      </c>
      <c r="H406" s="26" t="str">
        <f>"058"</f>
        <v>058</v>
      </c>
      <c r="I406" s="26" t="str">
        <f t="shared" si="57"/>
        <v>00</v>
      </c>
      <c r="J406" s="26" t="str">
        <f>"34 "</f>
        <v xml:space="preserve">34 </v>
      </c>
      <c r="K406" s="26" t="str">
        <f>"EP"</f>
        <v>EP</v>
      </c>
      <c r="L406" s="26" t="str">
        <f>"DGOSE"</f>
        <v>DGOSE</v>
      </c>
      <c r="M406" s="26" t="str">
        <f t="shared" si="58"/>
        <v>FEDERAL</v>
      </c>
      <c r="N406" s="26">
        <v>181</v>
      </c>
      <c r="O406" s="26">
        <v>87</v>
      </c>
      <c r="P406" s="26">
        <v>94</v>
      </c>
      <c r="Q406" s="26">
        <v>6</v>
      </c>
      <c r="R406" s="26">
        <v>1</v>
      </c>
      <c r="S406" s="26">
        <v>6</v>
      </c>
      <c r="T406" s="26">
        <v>7</v>
      </c>
      <c r="U406" s="26">
        <v>14</v>
      </c>
      <c r="V406" s="26">
        <v>1</v>
      </c>
      <c r="W406" s="26" t="s">
        <v>2076</v>
      </c>
    </row>
    <row r="407" spans="1:23" x14ac:dyDescent="0.25">
      <c r="A407" s="26" t="str">
        <f t="shared" si="56"/>
        <v>PREESCOLAR</v>
      </c>
      <c r="B407" s="26" t="str">
        <f>"09DJN0496X"</f>
        <v>09DJN0496X</v>
      </c>
      <c r="C407" s="26" t="str">
        <f>"FRANCISCO MARQUEZ                                                                                   "</f>
        <v xml:space="preserve">FRANCISCO MARQUEZ                                                                                   </v>
      </c>
      <c r="D407" s="26" t="str">
        <f>"JORNADA AMPLIADA"</f>
        <v>JORNADA AMPLIADA</v>
      </c>
      <c r="E407" s="26" t="str">
        <f>"CERRO GORDO NO. 125                                                             "</f>
        <v xml:space="preserve">CERRO GORDO NO. 125                                                             </v>
      </c>
      <c r="F407" s="26" t="str">
        <f>"CAMPESTRE CHURUBUSCO                                                                                                                        "</f>
        <v xml:space="preserve">CAMPESTRE CHURUBUSCO                                                                                                                        </v>
      </c>
      <c r="G407" s="26" t="str">
        <f>"COYOACAN                                                                        "</f>
        <v xml:space="preserve">COYOACAN                                                                        </v>
      </c>
      <c r="H407" s="26" t="str">
        <f>"235"</f>
        <v>235</v>
      </c>
      <c r="I407" s="26" t="str">
        <f t="shared" si="57"/>
        <v>00</v>
      </c>
      <c r="J407" s="26" t="str">
        <f>"34 "</f>
        <v xml:space="preserve">34 </v>
      </c>
      <c r="K407" s="26" t="str">
        <f>"EP"</f>
        <v>EP</v>
      </c>
      <c r="L407" s="26" t="str">
        <f>"DGOSE"</f>
        <v>DGOSE</v>
      </c>
      <c r="M407" s="26" t="str">
        <f t="shared" si="58"/>
        <v>FEDERAL</v>
      </c>
      <c r="N407" s="26">
        <v>108</v>
      </c>
      <c r="O407" s="26">
        <v>53</v>
      </c>
      <c r="P407" s="26">
        <v>55</v>
      </c>
      <c r="Q407" s="26">
        <v>4</v>
      </c>
      <c r="R407" s="26">
        <v>1</v>
      </c>
      <c r="S407" s="26">
        <v>4</v>
      </c>
      <c r="T407" s="26">
        <v>6</v>
      </c>
      <c r="U407" s="26">
        <v>11</v>
      </c>
      <c r="V407" s="26">
        <v>1</v>
      </c>
      <c r="W407" s="26" t="s">
        <v>2076</v>
      </c>
    </row>
    <row r="408" spans="1:23" x14ac:dyDescent="0.25">
      <c r="A408" s="26" t="str">
        <f t="shared" si="56"/>
        <v>PREESCOLAR</v>
      </c>
      <c r="B408" s="26" t="str">
        <f>"09DJN0497W"</f>
        <v>09DJN0497W</v>
      </c>
      <c r="C408" s="26" t="str">
        <f>"XOCHITLCALLI                                                                                        "</f>
        <v xml:space="preserve">XOCHITLCALLI                                                                                        </v>
      </c>
      <c r="D408" s="26" t="str">
        <f>"VESPERTINO"</f>
        <v>VESPERTINO</v>
      </c>
      <c r="E408" s="26" t="str">
        <f>"ROBERTO FULTON S/N                                                              "</f>
        <v xml:space="preserve">ROBERTO FULTON S/N                                                              </v>
      </c>
      <c r="F408" s="26" t="str">
        <f>"SAN ANDRES TOMATLAN                                                                                                                         "</f>
        <v xml:space="preserve">SAN ANDRES TOMATLAN                                                                                                                         </v>
      </c>
      <c r="G408" s="26" t="str">
        <f>"IZTAPALAPA                                                                      "</f>
        <v xml:space="preserve">IZTAPALAPA                                                                      </v>
      </c>
      <c r="H408" s="26" t="str">
        <f>"024"</f>
        <v>024</v>
      </c>
      <c r="I408" s="26" t="str">
        <f t="shared" si="57"/>
        <v>00</v>
      </c>
      <c r="J408" s="26" t="str">
        <f>"63 "</f>
        <v xml:space="preserve">63 </v>
      </c>
      <c r="K408" s="26" t="str">
        <f>"IZ"</f>
        <v>IZ</v>
      </c>
      <c r="L408" s="26" t="str">
        <f>"DGSEI"</f>
        <v>DGSEI</v>
      </c>
      <c r="M408" s="26" t="str">
        <f t="shared" si="58"/>
        <v>FEDERAL</v>
      </c>
      <c r="N408" s="26">
        <v>127</v>
      </c>
      <c r="O408" s="26">
        <v>64</v>
      </c>
      <c r="P408" s="26">
        <v>63</v>
      </c>
      <c r="Q408" s="26">
        <v>4</v>
      </c>
      <c r="R408" s="26">
        <v>1</v>
      </c>
      <c r="S408" s="26">
        <v>4</v>
      </c>
      <c r="T408" s="26">
        <v>2</v>
      </c>
      <c r="U408" s="26">
        <v>7</v>
      </c>
      <c r="V408" s="26">
        <v>1</v>
      </c>
      <c r="W408" s="26"/>
    </row>
    <row r="409" spans="1:23" x14ac:dyDescent="0.25">
      <c r="A409" s="26" t="str">
        <f t="shared" si="56"/>
        <v>PREESCOLAR</v>
      </c>
      <c r="B409" s="26" t="str">
        <f>"09DJN0498V"</f>
        <v>09DJN0498V</v>
      </c>
      <c r="C409" s="26" t="str">
        <f>"GIRUYU                                                                                              "</f>
        <v xml:space="preserve">GIRUYU                                                                                              </v>
      </c>
      <c r="D409" s="26" t="str">
        <f>"JORNADA AMPLIADA"</f>
        <v>JORNADA AMPLIADA</v>
      </c>
      <c r="E409" s="26" t="str">
        <f>"PINO ESQUINA POLVORA                                                            "</f>
        <v xml:space="preserve">PINO ESQUINA POLVORA                                                            </v>
      </c>
      <c r="F409" s="26" t="str">
        <f>"SANTA FE                                                                                                                                    "</f>
        <v xml:space="preserve">SANTA FE                                                                                                                                    </v>
      </c>
      <c r="G409" s="26" t="str">
        <f>"ALVARO OBREGON                                                                  "</f>
        <v xml:space="preserve">ALVARO OBREGON                                                                  </v>
      </c>
      <c r="H409" s="26" t="str">
        <f>"133"</f>
        <v>133</v>
      </c>
      <c r="I409" s="26" t="str">
        <f t="shared" si="57"/>
        <v>00</v>
      </c>
      <c r="J409" s="26" t="str">
        <f>"34 "</f>
        <v xml:space="preserve">34 </v>
      </c>
      <c r="K409" s="26" t="str">
        <f t="shared" ref="K409:K417" si="59">"EP"</f>
        <v>EP</v>
      </c>
      <c r="L409" s="26" t="str">
        <f t="shared" ref="L409:L417" si="60">"DGOSE"</f>
        <v>DGOSE</v>
      </c>
      <c r="M409" s="26" t="str">
        <f t="shared" si="58"/>
        <v>FEDERAL</v>
      </c>
      <c r="N409" s="26">
        <v>156</v>
      </c>
      <c r="O409" s="26">
        <v>76</v>
      </c>
      <c r="P409" s="26">
        <v>80</v>
      </c>
      <c r="Q409" s="26">
        <v>5</v>
      </c>
      <c r="R409" s="26">
        <v>1</v>
      </c>
      <c r="S409" s="26">
        <v>4</v>
      </c>
      <c r="T409" s="26">
        <v>6</v>
      </c>
      <c r="U409" s="26">
        <v>11</v>
      </c>
      <c r="V409" s="26">
        <v>1</v>
      </c>
      <c r="W409" s="26" t="s">
        <v>2076</v>
      </c>
    </row>
    <row r="410" spans="1:23" x14ac:dyDescent="0.25">
      <c r="A410" s="26" t="str">
        <f t="shared" si="56"/>
        <v>PREESCOLAR</v>
      </c>
      <c r="B410" s="26" t="str">
        <f>"09DJN0499U"</f>
        <v>09DJN0499U</v>
      </c>
      <c r="C410" s="26" t="str">
        <f>"ANAHUACALLI                                                                                         "</f>
        <v xml:space="preserve">ANAHUACALLI                                                                                         </v>
      </c>
      <c r="D410" s="26" t="str">
        <f>"TIEMPO COMPLETO"</f>
        <v>TIEMPO COMPLETO</v>
      </c>
      <c r="E410" s="26" t="str">
        <f>"MITL Y TABARE                                                                   "</f>
        <v xml:space="preserve">MITL Y TABARE                                                                   </v>
      </c>
      <c r="F410" s="26" t="str">
        <f>"ADOLFO RUIZ CORTINES                                                                                                                        "</f>
        <v xml:space="preserve">ADOLFO RUIZ CORTINES                                                                                                                        </v>
      </c>
      <c r="G410" s="26" t="str">
        <f>"COYOACAN                                                                        "</f>
        <v xml:space="preserve">COYOACAN                                                                        </v>
      </c>
      <c r="H410" s="26" t="str">
        <f>"064"</f>
        <v>064</v>
      </c>
      <c r="I410" s="26" t="str">
        <f t="shared" si="57"/>
        <v>00</v>
      </c>
      <c r="J410" s="26" t="str">
        <f>"34 "</f>
        <v xml:space="preserve">34 </v>
      </c>
      <c r="K410" s="26" t="str">
        <f t="shared" si="59"/>
        <v>EP</v>
      </c>
      <c r="L410" s="26" t="str">
        <f t="shared" si="60"/>
        <v>DGOSE</v>
      </c>
      <c r="M410" s="26" t="str">
        <f t="shared" si="58"/>
        <v>FEDERAL</v>
      </c>
      <c r="N410" s="26">
        <v>241</v>
      </c>
      <c r="O410" s="26">
        <v>140</v>
      </c>
      <c r="P410" s="26">
        <v>101</v>
      </c>
      <c r="Q410" s="26">
        <v>8</v>
      </c>
      <c r="R410" s="26">
        <v>2</v>
      </c>
      <c r="S410" s="26">
        <v>7</v>
      </c>
      <c r="T410" s="26">
        <v>11</v>
      </c>
      <c r="U410" s="26">
        <v>20</v>
      </c>
      <c r="V410" s="26">
        <v>1</v>
      </c>
      <c r="W410" s="26" t="s">
        <v>218</v>
      </c>
    </row>
    <row r="411" spans="1:23" x14ac:dyDescent="0.25">
      <c r="A411" s="26" t="str">
        <f t="shared" si="56"/>
        <v>PREESCOLAR</v>
      </c>
      <c r="B411" s="26" t="str">
        <f>"09DJN0500T"</f>
        <v>09DJN0500T</v>
      </c>
      <c r="C411" s="26" t="str">
        <f>"MIGUEL OTHON MENDIZABAL                                                                             "</f>
        <v xml:space="preserve">MIGUEL OTHON MENDIZABAL                                                                             </v>
      </c>
      <c r="D411" s="26" t="str">
        <f>"TIEMPO COMPLETO"</f>
        <v>TIEMPO COMPLETO</v>
      </c>
      <c r="E411" s="26" t="str">
        <f>"PLAYA S/N                                                                       "</f>
        <v xml:space="preserve">PLAYA S/N                                                                       </v>
      </c>
      <c r="F411" s="26" t="str">
        <f>"LA PATERA VALLEJO                                                                                                                           "</f>
        <v xml:space="preserve">LA PATERA VALLEJO                                                                                                                           </v>
      </c>
      <c r="G411" s="26" t="str">
        <f>"GUSTAVO A. MADERO                                                               "</f>
        <v xml:space="preserve">GUSTAVO A. MADERO                                                               </v>
      </c>
      <c r="H411" s="26" t="str">
        <f>"005"</f>
        <v>005</v>
      </c>
      <c r="I411" s="26" t="str">
        <f t="shared" si="57"/>
        <v>00</v>
      </c>
      <c r="J411" s="26" t="str">
        <f>"31 "</f>
        <v xml:space="preserve">31 </v>
      </c>
      <c r="K411" s="26" t="str">
        <f t="shared" si="59"/>
        <v>EP</v>
      </c>
      <c r="L411" s="26" t="str">
        <f t="shared" si="60"/>
        <v>DGOSE</v>
      </c>
      <c r="M411" s="26" t="str">
        <f t="shared" si="58"/>
        <v>FEDERAL</v>
      </c>
      <c r="N411" s="26">
        <v>155</v>
      </c>
      <c r="O411" s="26">
        <v>79</v>
      </c>
      <c r="P411" s="26">
        <v>76</v>
      </c>
      <c r="Q411" s="26">
        <v>6</v>
      </c>
      <c r="R411" s="26">
        <v>2</v>
      </c>
      <c r="S411" s="26">
        <v>6</v>
      </c>
      <c r="T411" s="26">
        <v>15</v>
      </c>
      <c r="U411" s="26">
        <v>23</v>
      </c>
      <c r="V411" s="26">
        <v>1</v>
      </c>
      <c r="W411" s="26" t="s">
        <v>218</v>
      </c>
    </row>
    <row r="412" spans="1:23" x14ac:dyDescent="0.25">
      <c r="A412" s="26" t="str">
        <f t="shared" si="56"/>
        <v>PREESCOLAR</v>
      </c>
      <c r="B412" s="26" t="str">
        <f>"09DJN0501S"</f>
        <v>09DJN0501S</v>
      </c>
      <c r="C412" s="26" t="str">
        <f>"TAVICHE                                                                                             "</f>
        <v xml:space="preserve">TAVICHE                                                                                             </v>
      </c>
      <c r="D412" s="26" t="str">
        <f>"MATUTINO"</f>
        <v>MATUTINO</v>
      </c>
      <c r="E412" s="26" t="str">
        <f>"HIDALGO Y MARIANO ESCOBEDO S/N                                                  "</f>
        <v xml:space="preserve">HIDALGO Y MARIANO ESCOBEDO S/N                                                  </v>
      </c>
      <c r="F412" s="26" t="str">
        <f>"SAN MIGUEL AJUSCO                                                                                                                           "</f>
        <v xml:space="preserve">SAN MIGUEL AJUSCO                                                                                                                           </v>
      </c>
      <c r="G412" s="26" t="str">
        <f>"TLALPAN                                                                         "</f>
        <v xml:space="preserve">TLALPAN                                                                         </v>
      </c>
      <c r="H412" s="26" t="str">
        <f>"076"</f>
        <v>076</v>
      </c>
      <c r="I412" s="26" t="str">
        <f t="shared" si="57"/>
        <v>00</v>
      </c>
      <c r="J412" s="26" t="str">
        <f>"35 "</f>
        <v xml:space="preserve">35 </v>
      </c>
      <c r="K412" s="26" t="str">
        <f t="shared" si="59"/>
        <v>EP</v>
      </c>
      <c r="L412" s="26" t="str">
        <f t="shared" si="60"/>
        <v>DGOSE</v>
      </c>
      <c r="M412" s="26" t="str">
        <f t="shared" si="58"/>
        <v>FEDERAL</v>
      </c>
      <c r="N412" s="26">
        <v>265</v>
      </c>
      <c r="O412" s="26">
        <v>140</v>
      </c>
      <c r="P412" s="26">
        <v>125</v>
      </c>
      <c r="Q412" s="26">
        <v>7</v>
      </c>
      <c r="R412" s="26">
        <v>1</v>
      </c>
      <c r="S412" s="26">
        <v>7</v>
      </c>
      <c r="T412" s="26">
        <v>3</v>
      </c>
      <c r="U412" s="26">
        <v>11</v>
      </c>
      <c r="V412" s="26">
        <v>1</v>
      </c>
      <c r="W412" s="26"/>
    </row>
    <row r="413" spans="1:23" x14ac:dyDescent="0.25">
      <c r="A413" s="26" t="str">
        <f t="shared" si="56"/>
        <v>PREESCOLAR</v>
      </c>
      <c r="B413" s="26" t="str">
        <f>"09DJN0502R"</f>
        <v>09DJN0502R</v>
      </c>
      <c r="C413" s="26" t="str">
        <f>"AJUCHITAN                                                                                           "</f>
        <v xml:space="preserve">AJUCHITAN                                                                                           </v>
      </c>
      <c r="D413" s="26" t="str">
        <f>"MATUTINO"</f>
        <v>MATUTINO</v>
      </c>
      <c r="E413" s="26" t="str">
        <f>"MORELOS Y LEONA VICARIO S/N                                                     "</f>
        <v xml:space="preserve">MORELOS Y LEONA VICARIO S/N                                                     </v>
      </c>
      <c r="F413" s="26" t="str">
        <f>"SANTO TOMAS AJUSCO                                                                                                                          "</f>
        <v xml:space="preserve">SANTO TOMAS AJUSCO                                                                                                                          </v>
      </c>
      <c r="G413" s="26" t="str">
        <f>"TLALPAN                                                                         "</f>
        <v xml:space="preserve">TLALPAN                                                                         </v>
      </c>
      <c r="H413" s="26" t="str">
        <f>"076"</f>
        <v>076</v>
      </c>
      <c r="I413" s="26" t="str">
        <f t="shared" si="57"/>
        <v>00</v>
      </c>
      <c r="J413" s="26" t="str">
        <f>"35 "</f>
        <v xml:space="preserve">35 </v>
      </c>
      <c r="K413" s="26" t="str">
        <f t="shared" si="59"/>
        <v>EP</v>
      </c>
      <c r="L413" s="26" t="str">
        <f t="shared" si="60"/>
        <v>DGOSE</v>
      </c>
      <c r="M413" s="26" t="str">
        <f t="shared" si="58"/>
        <v>FEDERAL</v>
      </c>
      <c r="N413" s="26">
        <v>293</v>
      </c>
      <c r="O413" s="26">
        <v>160</v>
      </c>
      <c r="P413" s="26">
        <v>133</v>
      </c>
      <c r="Q413" s="26">
        <v>8</v>
      </c>
      <c r="R413" s="26">
        <v>1</v>
      </c>
      <c r="S413" s="26">
        <v>8</v>
      </c>
      <c r="T413" s="26">
        <v>6</v>
      </c>
      <c r="U413" s="26">
        <v>15</v>
      </c>
      <c r="V413" s="26">
        <v>1</v>
      </c>
      <c r="W413" s="26"/>
    </row>
    <row r="414" spans="1:23" x14ac:dyDescent="0.25">
      <c r="A414" s="26" t="str">
        <f t="shared" si="56"/>
        <v>PREESCOLAR</v>
      </c>
      <c r="B414" s="26" t="str">
        <f>"09DJN0504P"</f>
        <v>09DJN0504P</v>
      </c>
      <c r="C414" s="26" t="str">
        <f>"MIAHUATZINTLI                                                                                       "</f>
        <v xml:space="preserve">MIAHUATZINTLI                                                                                       </v>
      </c>
      <c r="D414" s="26" t="str">
        <f>"JORNADA AMPLIADA"</f>
        <v>JORNADA AMPLIADA</v>
      </c>
      <c r="E414" s="26" t="str">
        <f>"CLUB DEPORTIVO UNIVERSIDAD S/N                                                  "</f>
        <v xml:space="preserve">CLUB DEPORTIVO UNIVERSIDAD S/N                                                  </v>
      </c>
      <c r="F414" s="26" t="str">
        <f>"VILLA LAZARO CARDENAS                                                                                                                       "</f>
        <v xml:space="preserve">VILLA LAZARO CARDENAS                                                                                                                       </v>
      </c>
      <c r="G414" s="26" t="str">
        <f>"TLALPAN                                                                         "</f>
        <v xml:space="preserve">TLALPAN                                                                         </v>
      </c>
      <c r="H414" s="26" t="str">
        <f>"221"</f>
        <v>221</v>
      </c>
      <c r="I414" s="26" t="str">
        <f t="shared" si="57"/>
        <v>00</v>
      </c>
      <c r="J414" s="26" t="str">
        <f>"34 "</f>
        <v xml:space="preserve">34 </v>
      </c>
      <c r="K414" s="26" t="str">
        <f t="shared" si="59"/>
        <v>EP</v>
      </c>
      <c r="L414" s="26" t="str">
        <f t="shared" si="60"/>
        <v>DGOSE</v>
      </c>
      <c r="M414" s="26" t="str">
        <f t="shared" si="58"/>
        <v>FEDERAL</v>
      </c>
      <c r="N414" s="26">
        <v>194</v>
      </c>
      <c r="O414" s="26">
        <v>96</v>
      </c>
      <c r="P414" s="26">
        <v>98</v>
      </c>
      <c r="Q414" s="26">
        <v>6</v>
      </c>
      <c r="R414" s="26">
        <v>1</v>
      </c>
      <c r="S414" s="26">
        <v>6</v>
      </c>
      <c r="T414" s="26">
        <v>6</v>
      </c>
      <c r="U414" s="26">
        <v>13</v>
      </c>
      <c r="V414" s="26">
        <v>1</v>
      </c>
      <c r="W414" s="26" t="s">
        <v>2076</v>
      </c>
    </row>
    <row r="415" spans="1:23" x14ac:dyDescent="0.25">
      <c r="A415" s="26" t="str">
        <f t="shared" si="56"/>
        <v>PREESCOLAR</v>
      </c>
      <c r="B415" s="26" t="str">
        <f>"09DJN0506N"</f>
        <v>09DJN0506N</v>
      </c>
      <c r="C415" s="26" t="str">
        <f>"MONACO                                                                                              "</f>
        <v xml:space="preserve">MONACO                                                                                              </v>
      </c>
      <c r="D415" s="26" t="str">
        <f>"MATUTINO"</f>
        <v>MATUTINO</v>
      </c>
      <c r="E415" s="26" t="str">
        <f>"CORREGIDORA NO. 1                                                               "</f>
        <v xml:space="preserve">CORREGIDORA NO. 1                                                               </v>
      </c>
      <c r="F415" s="26" t="str">
        <f>"SANTA LUCIA                                                                                                                                 "</f>
        <v xml:space="preserve">SANTA LUCIA                                                                                                                                 </v>
      </c>
      <c r="G415" s="26" t="str">
        <f>"ALVARO OBREGON                                                                  "</f>
        <v xml:space="preserve">ALVARO OBREGON                                                                  </v>
      </c>
      <c r="H415" s="26" t="str">
        <f>"046"</f>
        <v>046</v>
      </c>
      <c r="I415" s="26" t="str">
        <f t="shared" si="57"/>
        <v>00</v>
      </c>
      <c r="J415" s="26" t="str">
        <f>"33 "</f>
        <v xml:space="preserve">33 </v>
      </c>
      <c r="K415" s="26" t="str">
        <f t="shared" si="59"/>
        <v>EP</v>
      </c>
      <c r="L415" s="26" t="str">
        <f t="shared" si="60"/>
        <v>DGOSE</v>
      </c>
      <c r="M415" s="26" t="str">
        <f t="shared" si="58"/>
        <v>FEDERAL</v>
      </c>
      <c r="N415" s="26">
        <v>165</v>
      </c>
      <c r="O415" s="26">
        <v>83</v>
      </c>
      <c r="P415" s="26">
        <v>82</v>
      </c>
      <c r="Q415" s="26">
        <v>5</v>
      </c>
      <c r="R415" s="26">
        <v>1</v>
      </c>
      <c r="S415" s="26">
        <v>5</v>
      </c>
      <c r="T415" s="26">
        <v>4</v>
      </c>
      <c r="U415" s="26">
        <v>10</v>
      </c>
      <c r="V415" s="26">
        <v>1</v>
      </c>
      <c r="W415" s="26"/>
    </row>
    <row r="416" spans="1:23" x14ac:dyDescent="0.25">
      <c r="A416" s="26" t="str">
        <f t="shared" si="56"/>
        <v>PREESCOLAR</v>
      </c>
      <c r="B416" s="26" t="str">
        <f>"09DJN0507M"</f>
        <v>09DJN0507M</v>
      </c>
      <c r="C416" s="26" t="str">
        <f>"ESTHER HUIDOBRO DE AZUA                                                                             "</f>
        <v xml:space="preserve">ESTHER HUIDOBRO DE AZUA                                                                             </v>
      </c>
      <c r="D416" s="26" t="str">
        <f>"JORNADA AMPLIADA"</f>
        <v>JORNADA AMPLIADA</v>
      </c>
      <c r="E416" s="26" t="str">
        <f>"NAYARITAS ESQ. CHONTALES S/N                                                    "</f>
        <v xml:space="preserve">NAYARITAS ESQ. CHONTALES S/N                                                    </v>
      </c>
      <c r="F416" s="26" t="str">
        <f>"AJUSCO                                                                                                                                      "</f>
        <v xml:space="preserve">AJUSCO                                                                                                                                      </v>
      </c>
      <c r="G416" s="26" t="str">
        <f>"COYOACAN                                                                        "</f>
        <v xml:space="preserve">COYOACAN                                                                        </v>
      </c>
      <c r="H416" s="26" t="str">
        <f>"044"</f>
        <v>044</v>
      </c>
      <c r="I416" s="26" t="str">
        <f t="shared" si="57"/>
        <v>00</v>
      </c>
      <c r="J416" s="26" t="str">
        <f>"34 "</f>
        <v xml:space="preserve">34 </v>
      </c>
      <c r="K416" s="26" t="str">
        <f t="shared" si="59"/>
        <v>EP</v>
      </c>
      <c r="L416" s="26" t="str">
        <f t="shared" si="60"/>
        <v>DGOSE</v>
      </c>
      <c r="M416" s="26" t="str">
        <f t="shared" si="58"/>
        <v>FEDERAL</v>
      </c>
      <c r="N416" s="26">
        <v>204</v>
      </c>
      <c r="O416" s="26">
        <v>95</v>
      </c>
      <c r="P416" s="26">
        <v>109</v>
      </c>
      <c r="Q416" s="26">
        <v>6</v>
      </c>
      <c r="R416" s="26">
        <v>1</v>
      </c>
      <c r="S416" s="26">
        <v>6</v>
      </c>
      <c r="T416" s="26">
        <v>7</v>
      </c>
      <c r="U416" s="26">
        <v>14</v>
      </c>
      <c r="V416" s="26">
        <v>1</v>
      </c>
      <c r="W416" s="26" t="s">
        <v>2076</v>
      </c>
    </row>
    <row r="417" spans="1:23" x14ac:dyDescent="0.25">
      <c r="A417" s="26" t="str">
        <f t="shared" si="56"/>
        <v>PREESCOLAR</v>
      </c>
      <c r="B417" s="26" t="str">
        <f>"09DJN0508L"</f>
        <v>09DJN0508L</v>
      </c>
      <c r="C417" s="26" t="str">
        <f>"JULIO VERNE                                                                                         "</f>
        <v xml:space="preserve">JULIO VERNE                                                                                         </v>
      </c>
      <c r="D417" s="26" t="str">
        <f>"MATUTINO"</f>
        <v>MATUTINO</v>
      </c>
      <c r="E417" s="26" t="str">
        <f>"AV. TEZONTLE Y PIMA ALTO                                                        "</f>
        <v xml:space="preserve">AV. TEZONTLE Y PIMA ALTO                                                        </v>
      </c>
      <c r="F417" s="26" t="str">
        <f>"CARLOS ZAPATA VELA                                                                                                                          "</f>
        <v xml:space="preserve">CARLOS ZAPATA VELA                                                                                                                          </v>
      </c>
      <c r="G417" s="26" t="str">
        <f>"IZTACALCO                                                                       "</f>
        <v xml:space="preserve">IZTACALCO                                                                       </v>
      </c>
      <c r="H417" s="26" t="str">
        <f>"236"</f>
        <v>236</v>
      </c>
      <c r="I417" s="26" t="str">
        <f t="shared" si="57"/>
        <v>00</v>
      </c>
      <c r="J417" s="26" t="str">
        <f>"33 "</f>
        <v xml:space="preserve">33 </v>
      </c>
      <c r="K417" s="26" t="str">
        <f t="shared" si="59"/>
        <v>EP</v>
      </c>
      <c r="L417" s="26" t="str">
        <f t="shared" si="60"/>
        <v>DGOSE</v>
      </c>
      <c r="M417" s="26" t="str">
        <f t="shared" si="58"/>
        <v>FEDERAL</v>
      </c>
      <c r="N417" s="26">
        <v>168</v>
      </c>
      <c r="O417" s="26">
        <v>90</v>
      </c>
      <c r="P417" s="26">
        <v>78</v>
      </c>
      <c r="Q417" s="26">
        <v>5</v>
      </c>
      <c r="R417" s="26">
        <v>1</v>
      </c>
      <c r="S417" s="26">
        <v>5</v>
      </c>
      <c r="T417" s="26">
        <v>5</v>
      </c>
      <c r="U417" s="26">
        <v>11</v>
      </c>
      <c r="V417" s="26">
        <v>1</v>
      </c>
      <c r="W417" s="26"/>
    </row>
    <row r="418" spans="1:23" x14ac:dyDescent="0.25">
      <c r="A418" s="26" t="str">
        <f t="shared" si="56"/>
        <v>PREESCOLAR</v>
      </c>
      <c r="B418" s="26" t="str">
        <f>"09DJN0510Z"</f>
        <v>09DJN0510Z</v>
      </c>
      <c r="C418" s="26" t="str">
        <f>"TLALOCAN                                                                                            "</f>
        <v xml:space="preserve">TLALOCAN                                                                                            </v>
      </c>
      <c r="D418" s="26" t="str">
        <f>"JORNADA AMPLIADA"</f>
        <v>JORNADA AMPLIADA</v>
      </c>
      <c r="E418" s="26" t="str">
        <f>"LIC. DIAZ SOTO Y GAMA S/N                                                       "</f>
        <v xml:space="preserve">LIC. DIAZ SOTO Y GAMA S/N                                                       </v>
      </c>
      <c r="F418" s="26" t="str">
        <f>"UNIDAD HABITACIONAL VICENTE GUERRER                                                                                                         "</f>
        <v xml:space="preserve">UNIDAD HABITACIONAL VICENTE GUERRER                                                                                                         </v>
      </c>
      <c r="G418" s="26" t="str">
        <f>"IZTAPALAPA                                                                      "</f>
        <v xml:space="preserve">IZTAPALAPA                                                                      </v>
      </c>
      <c r="H418" s="26" t="str">
        <f>"011"</f>
        <v>011</v>
      </c>
      <c r="I418" s="26" t="str">
        <f t="shared" si="57"/>
        <v>00</v>
      </c>
      <c r="J418" s="26" t="str">
        <f>"61 "</f>
        <v xml:space="preserve">61 </v>
      </c>
      <c r="K418" s="26" t="str">
        <f>"IZ"</f>
        <v>IZ</v>
      </c>
      <c r="L418" s="26" t="str">
        <f>"DGSEI"</f>
        <v>DGSEI</v>
      </c>
      <c r="M418" s="26" t="str">
        <f t="shared" si="58"/>
        <v>FEDERAL</v>
      </c>
      <c r="N418" s="26">
        <v>176</v>
      </c>
      <c r="O418" s="26">
        <v>101</v>
      </c>
      <c r="P418" s="26">
        <v>75</v>
      </c>
      <c r="Q418" s="26">
        <v>5</v>
      </c>
      <c r="R418" s="26">
        <v>1</v>
      </c>
      <c r="S418" s="26">
        <v>5</v>
      </c>
      <c r="T418" s="26">
        <v>5</v>
      </c>
      <c r="U418" s="26">
        <v>11</v>
      </c>
      <c r="V418" s="26">
        <v>1</v>
      </c>
      <c r="W418" s="26" t="s">
        <v>2076</v>
      </c>
    </row>
    <row r="419" spans="1:23" x14ac:dyDescent="0.25">
      <c r="A419" s="26" t="str">
        <f t="shared" si="56"/>
        <v>PREESCOLAR</v>
      </c>
      <c r="B419" s="26" t="str">
        <f>"09DJN0512Y"</f>
        <v>09DJN0512Y</v>
      </c>
      <c r="C419" s="26" t="str">
        <f>"SATURNINO HERRAN                                                                                    "</f>
        <v xml:space="preserve">SATURNINO HERRAN                                                                                    </v>
      </c>
      <c r="D419" s="26" t="str">
        <f>"JORNADA AMPLIADA"</f>
        <v>JORNADA AMPLIADA</v>
      </c>
      <c r="E419" s="26" t="str">
        <f>"AV. JESUS DEL MONTE Y LOPEZ MATEOS                                              "</f>
        <v xml:space="preserve">AV. JESUS DEL MONTE Y LOPEZ MATEOS                                              </v>
      </c>
      <c r="F419" s="26" t="str">
        <f>"JESUS DEL MONTE                                                                                                                             "</f>
        <v xml:space="preserve">JESUS DEL MONTE                                                                                                                             </v>
      </c>
      <c r="G419" s="26" t="str">
        <f>"CUAJIMALPA DE MORELOS                                                           "</f>
        <v xml:space="preserve">CUAJIMALPA DE MORELOS                                                           </v>
      </c>
      <c r="H419" s="26" t="str">
        <f>"048"</f>
        <v>048</v>
      </c>
      <c r="I419" s="26" t="str">
        <f t="shared" si="57"/>
        <v>00</v>
      </c>
      <c r="J419" s="26" t="str">
        <f>"34 "</f>
        <v xml:space="preserve">34 </v>
      </c>
      <c r="K419" s="26" t="str">
        <f>"EP"</f>
        <v>EP</v>
      </c>
      <c r="L419" s="26" t="str">
        <f>"DGOSE"</f>
        <v>DGOSE</v>
      </c>
      <c r="M419" s="26" t="str">
        <f t="shared" si="58"/>
        <v>FEDERAL</v>
      </c>
      <c r="N419" s="26">
        <v>275</v>
      </c>
      <c r="O419" s="26">
        <v>142</v>
      </c>
      <c r="P419" s="26">
        <v>133</v>
      </c>
      <c r="Q419" s="26">
        <v>8</v>
      </c>
      <c r="R419" s="26">
        <v>1</v>
      </c>
      <c r="S419" s="26">
        <v>8</v>
      </c>
      <c r="T419" s="26">
        <v>6</v>
      </c>
      <c r="U419" s="26">
        <v>15</v>
      </c>
      <c r="V419" s="26">
        <v>1</v>
      </c>
      <c r="W419" s="26" t="s">
        <v>2076</v>
      </c>
    </row>
    <row r="420" spans="1:23" x14ac:dyDescent="0.25">
      <c r="A420" s="26" t="str">
        <f t="shared" si="56"/>
        <v>PREESCOLAR</v>
      </c>
      <c r="B420" s="26" t="str">
        <f>"09DJN0514W"</f>
        <v>09DJN0514W</v>
      </c>
      <c r="C420" s="26" t="str">
        <f>"ESTRELLA                                                                                            "</f>
        <v xml:space="preserve">ESTRELLA                                                                                            </v>
      </c>
      <c r="D420" s="26" t="str">
        <f>"JORNADA AMPLIADA"</f>
        <v>JORNADA AMPLIADA</v>
      </c>
      <c r="E420" s="26" t="str">
        <f>"CERRO DE LA ESTRELLA S/N                                                        "</f>
        <v xml:space="preserve">CERRO DE LA ESTRELLA S/N                                                        </v>
      </c>
      <c r="F420" s="26" t="str">
        <f>"PARAJE SAN JUAN                                                                                                                             "</f>
        <v xml:space="preserve">PARAJE SAN JUAN                                                                                                                             </v>
      </c>
      <c r="G420" s="26" t="str">
        <f>"IZTAPALAPA                                                                      "</f>
        <v xml:space="preserve">IZTAPALAPA                                                                      </v>
      </c>
      <c r="H420" s="26" t="str">
        <f>"004"</f>
        <v>004</v>
      </c>
      <c r="I420" s="26" t="str">
        <f t="shared" si="57"/>
        <v>00</v>
      </c>
      <c r="J420" s="26" t="str">
        <f>"61 "</f>
        <v xml:space="preserve">61 </v>
      </c>
      <c r="K420" s="26" t="str">
        <f>"IZ"</f>
        <v>IZ</v>
      </c>
      <c r="L420" s="26" t="str">
        <f>"DGSEI"</f>
        <v>DGSEI</v>
      </c>
      <c r="M420" s="26" t="str">
        <f t="shared" si="58"/>
        <v>FEDERAL</v>
      </c>
      <c r="N420" s="26">
        <v>225</v>
      </c>
      <c r="O420" s="26">
        <v>117</v>
      </c>
      <c r="P420" s="26">
        <v>108</v>
      </c>
      <c r="Q420" s="26">
        <v>6</v>
      </c>
      <c r="R420" s="26">
        <v>1</v>
      </c>
      <c r="S420" s="26">
        <v>6</v>
      </c>
      <c r="T420" s="26">
        <v>4</v>
      </c>
      <c r="U420" s="26">
        <v>11</v>
      </c>
      <c r="V420" s="26">
        <v>1</v>
      </c>
      <c r="W420" s="26" t="s">
        <v>2076</v>
      </c>
    </row>
    <row r="421" spans="1:23" x14ac:dyDescent="0.25">
      <c r="A421" s="26" t="str">
        <f t="shared" si="56"/>
        <v>PREESCOLAR</v>
      </c>
      <c r="B421" s="26" t="str">
        <f>"09DJN0515V"</f>
        <v>09DJN0515V</v>
      </c>
      <c r="C421" s="26" t="str">
        <f>"LUZ MARIA CHACON DURAN                                                                              "</f>
        <v xml:space="preserve">LUZ MARIA CHACON DURAN                                                                              </v>
      </c>
      <c r="D421" s="26" t="str">
        <f>"MATUTINO"</f>
        <v>MATUTINO</v>
      </c>
      <c r="E421" s="26" t="str">
        <f>"BENITO JUAREZ Y GRAL. VERTIZ S/N                                                "</f>
        <v xml:space="preserve">BENITO JUAREZ Y GRAL. VERTIZ S/N                                                </v>
      </c>
      <c r="F421" s="26" t="str">
        <f>"SAN NICOLAS TOTOLAPAN                                                                                                                       "</f>
        <v xml:space="preserve">SAN NICOLAS TOTOLAPAN                                                                                                                       </v>
      </c>
      <c r="G421" s="26" t="str">
        <f>"LA MAGDALENA CONTRERAS                                                          "</f>
        <v xml:space="preserve">LA MAGDALENA CONTRERAS                                                          </v>
      </c>
      <c r="H421" s="26" t="str">
        <f>"112"</f>
        <v>112</v>
      </c>
      <c r="I421" s="26" t="str">
        <f t="shared" si="57"/>
        <v>00</v>
      </c>
      <c r="J421" s="26" t="str">
        <f>"35 "</f>
        <v xml:space="preserve">35 </v>
      </c>
      <c r="K421" s="26" t="str">
        <f t="shared" ref="K421:K431" si="61">"EP"</f>
        <v>EP</v>
      </c>
      <c r="L421" s="26" t="str">
        <f t="shared" ref="L421:L431" si="62">"DGOSE"</f>
        <v>DGOSE</v>
      </c>
      <c r="M421" s="26" t="str">
        <f t="shared" si="58"/>
        <v>FEDERAL</v>
      </c>
      <c r="N421" s="26">
        <v>158</v>
      </c>
      <c r="O421" s="26">
        <v>74</v>
      </c>
      <c r="P421" s="26">
        <v>84</v>
      </c>
      <c r="Q421" s="26">
        <v>5</v>
      </c>
      <c r="R421" s="26">
        <v>1</v>
      </c>
      <c r="S421" s="26">
        <v>4</v>
      </c>
      <c r="T421" s="26">
        <v>4</v>
      </c>
      <c r="U421" s="26">
        <v>9</v>
      </c>
      <c r="V421" s="26">
        <v>1</v>
      </c>
      <c r="W421" s="26"/>
    </row>
    <row r="422" spans="1:23" x14ac:dyDescent="0.25">
      <c r="A422" s="26" t="str">
        <f t="shared" si="56"/>
        <v>PREESCOLAR</v>
      </c>
      <c r="B422" s="26" t="str">
        <f>"09DJN0516U"</f>
        <v>09DJN0516U</v>
      </c>
      <c r="C422" s="26" t="str">
        <f>"TETELPAN                                                                                            "</f>
        <v xml:space="preserve">TETELPAN                                                                                            </v>
      </c>
      <c r="D422" s="26" t="str">
        <f>"MATUTINO"</f>
        <v>MATUTINO</v>
      </c>
      <c r="E422" s="26" t="str">
        <f>"OLIVO NO. 1                                                                     "</f>
        <v xml:space="preserve">OLIVO NO. 1                                                                     </v>
      </c>
      <c r="F422" s="26" t="str">
        <f>"TETELPAN                                                                                                                                    "</f>
        <v xml:space="preserve">TETELPAN                                                                                                                                    </v>
      </c>
      <c r="G422" s="26" t="str">
        <f>"ALVARO OBREGON                                                                  "</f>
        <v xml:space="preserve">ALVARO OBREGON                                                                  </v>
      </c>
      <c r="H422" s="26" t="str">
        <f>"214"</f>
        <v>214</v>
      </c>
      <c r="I422" s="26" t="str">
        <f t="shared" si="57"/>
        <v>00</v>
      </c>
      <c r="J422" s="26" t="str">
        <f>"33 "</f>
        <v xml:space="preserve">33 </v>
      </c>
      <c r="K422" s="26" t="str">
        <f t="shared" si="61"/>
        <v>EP</v>
      </c>
      <c r="L422" s="26" t="str">
        <f t="shared" si="62"/>
        <v>DGOSE</v>
      </c>
      <c r="M422" s="26" t="str">
        <f t="shared" si="58"/>
        <v>FEDERAL</v>
      </c>
      <c r="N422" s="26">
        <v>196</v>
      </c>
      <c r="O422" s="26">
        <v>103</v>
      </c>
      <c r="P422" s="26">
        <v>93</v>
      </c>
      <c r="Q422" s="26">
        <v>5</v>
      </c>
      <c r="R422" s="26">
        <v>1</v>
      </c>
      <c r="S422" s="26">
        <v>5</v>
      </c>
      <c r="T422" s="26">
        <v>4</v>
      </c>
      <c r="U422" s="26">
        <v>10</v>
      </c>
      <c r="V422" s="26">
        <v>1</v>
      </c>
      <c r="W422" s="26"/>
    </row>
    <row r="423" spans="1:23" x14ac:dyDescent="0.25">
      <c r="A423" s="26" t="str">
        <f t="shared" si="56"/>
        <v>PREESCOLAR</v>
      </c>
      <c r="B423" s="26" t="str">
        <f>"09DJN0517T"</f>
        <v>09DJN0517T</v>
      </c>
      <c r="C423" s="26" t="str">
        <f>"DAVID VILCHIS                                                                                       "</f>
        <v xml:space="preserve">DAVID VILCHIS                                                                                       </v>
      </c>
      <c r="D423" s="26" t="str">
        <f>"JORNADA AMPLIADA"</f>
        <v>JORNADA AMPLIADA</v>
      </c>
      <c r="E423" s="26" t="str">
        <f>"DIVISION DEL NORTE Y BAMBU                                                      "</f>
        <v xml:space="preserve">DIVISION DEL NORTE Y BAMBU                                                      </v>
      </c>
      <c r="F423" s="26" t="str">
        <f>"XOTEPINGO                                                                                                                                   "</f>
        <v xml:space="preserve">XOTEPINGO                                                                                                                                   </v>
      </c>
      <c r="G423" s="26" t="str">
        <f>"COYOACAN                                                                        "</f>
        <v xml:space="preserve">COYOACAN                                                                        </v>
      </c>
      <c r="H423" s="26" t="str">
        <f>"044"</f>
        <v>044</v>
      </c>
      <c r="I423" s="26" t="str">
        <f t="shared" si="57"/>
        <v>00</v>
      </c>
      <c r="J423" s="26" t="str">
        <f>"34 "</f>
        <v xml:space="preserve">34 </v>
      </c>
      <c r="K423" s="26" t="str">
        <f t="shared" si="61"/>
        <v>EP</v>
      </c>
      <c r="L423" s="26" t="str">
        <f t="shared" si="62"/>
        <v>DGOSE</v>
      </c>
      <c r="M423" s="26" t="str">
        <f t="shared" si="58"/>
        <v>FEDERAL</v>
      </c>
      <c r="N423" s="26">
        <v>98</v>
      </c>
      <c r="O423" s="26">
        <v>49</v>
      </c>
      <c r="P423" s="26">
        <v>49</v>
      </c>
      <c r="Q423" s="26">
        <v>3</v>
      </c>
      <c r="R423" s="26">
        <v>1</v>
      </c>
      <c r="S423" s="26">
        <v>3</v>
      </c>
      <c r="T423" s="26">
        <v>5</v>
      </c>
      <c r="U423" s="26">
        <v>9</v>
      </c>
      <c r="V423" s="26">
        <v>1</v>
      </c>
      <c r="W423" s="26" t="s">
        <v>2076</v>
      </c>
    </row>
    <row r="424" spans="1:23" x14ac:dyDescent="0.25">
      <c r="A424" s="26" t="str">
        <f t="shared" si="56"/>
        <v>PREESCOLAR</v>
      </c>
      <c r="B424" s="26" t="str">
        <f>"09DJN0518S"</f>
        <v>09DJN0518S</v>
      </c>
      <c r="C424" s="26" t="str">
        <f>"ALBERTO LENZ SR                                                                                     "</f>
        <v xml:space="preserve">ALBERTO LENZ SR                                                                                     </v>
      </c>
      <c r="D424" s="26" t="str">
        <f>"JORNADA AMPLIADA"</f>
        <v>JORNADA AMPLIADA</v>
      </c>
      <c r="E424" s="26" t="str">
        <f>"CDA. ZARAGOZA S/N                                                               "</f>
        <v xml:space="preserve">CDA. ZARAGOZA S/N                                                               </v>
      </c>
      <c r="F424" s="26" t="str">
        <f>"MIGUEL HIDALGO                                                                                                                              "</f>
        <v xml:space="preserve">MIGUEL HIDALGO                                                                                                                              </v>
      </c>
      <c r="G424" s="26" t="str">
        <f>"TLALPAN                                                                         "</f>
        <v xml:space="preserve">TLALPAN                                                                         </v>
      </c>
      <c r="H424" s="26" t="str">
        <f>"139"</f>
        <v>139</v>
      </c>
      <c r="I424" s="26" t="str">
        <f t="shared" si="57"/>
        <v>00</v>
      </c>
      <c r="J424" s="26" t="str">
        <f>"34 "</f>
        <v xml:space="preserve">34 </v>
      </c>
      <c r="K424" s="26" t="str">
        <f t="shared" si="61"/>
        <v>EP</v>
      </c>
      <c r="L424" s="26" t="str">
        <f t="shared" si="62"/>
        <v>DGOSE</v>
      </c>
      <c r="M424" s="26" t="str">
        <f t="shared" si="58"/>
        <v>FEDERAL</v>
      </c>
      <c r="N424" s="26">
        <v>168</v>
      </c>
      <c r="O424" s="26">
        <v>84</v>
      </c>
      <c r="P424" s="26">
        <v>84</v>
      </c>
      <c r="Q424" s="26">
        <v>6</v>
      </c>
      <c r="R424" s="26">
        <v>1</v>
      </c>
      <c r="S424" s="26">
        <v>6</v>
      </c>
      <c r="T424" s="26">
        <v>5</v>
      </c>
      <c r="U424" s="26">
        <v>12</v>
      </c>
      <c r="V424" s="26">
        <v>1</v>
      </c>
      <c r="W424" s="26" t="s">
        <v>2076</v>
      </c>
    </row>
    <row r="425" spans="1:23" x14ac:dyDescent="0.25">
      <c r="A425" s="26" t="str">
        <f t="shared" si="56"/>
        <v>PREESCOLAR</v>
      </c>
      <c r="B425" s="26" t="str">
        <f>"09DJN0519R"</f>
        <v>09DJN0519R</v>
      </c>
      <c r="C425" s="26" t="str">
        <f>"GABINO A. PALMA                                                                                     "</f>
        <v xml:space="preserve">GABINO A. PALMA                                                                                     </v>
      </c>
      <c r="D425" s="26" t="str">
        <f>"JORNADA AMPLIADA"</f>
        <v>JORNADA AMPLIADA</v>
      </c>
      <c r="E425" s="26" t="str">
        <f>"CONCORDIA S/N                                                                   "</f>
        <v xml:space="preserve">CONCORDIA S/N                                                                   </v>
      </c>
      <c r="F425" s="26" t="str">
        <f>"CHIMALPA                                                                                                                                    "</f>
        <v xml:space="preserve">CHIMALPA                                                                                                                                    </v>
      </c>
      <c r="G425" s="26" t="str">
        <f>"CUAJIMALPA DE MORELOS                                                           "</f>
        <v xml:space="preserve">CUAJIMALPA DE MORELOS                                                           </v>
      </c>
      <c r="H425" s="26" t="str">
        <f>"094"</f>
        <v>094</v>
      </c>
      <c r="I425" s="26" t="str">
        <f t="shared" si="57"/>
        <v>00</v>
      </c>
      <c r="J425" s="26" t="str">
        <f>"34 "</f>
        <v xml:space="preserve">34 </v>
      </c>
      <c r="K425" s="26" t="str">
        <f t="shared" si="61"/>
        <v>EP</v>
      </c>
      <c r="L425" s="26" t="str">
        <f t="shared" si="62"/>
        <v>DGOSE</v>
      </c>
      <c r="M425" s="26" t="str">
        <f t="shared" si="58"/>
        <v>FEDERAL</v>
      </c>
      <c r="N425" s="26">
        <v>207</v>
      </c>
      <c r="O425" s="26">
        <v>92</v>
      </c>
      <c r="P425" s="26">
        <v>115</v>
      </c>
      <c r="Q425" s="26">
        <v>6</v>
      </c>
      <c r="R425" s="26">
        <v>1</v>
      </c>
      <c r="S425" s="26">
        <v>6</v>
      </c>
      <c r="T425" s="26">
        <v>5</v>
      </c>
      <c r="U425" s="26">
        <v>12</v>
      </c>
      <c r="V425" s="26">
        <v>1</v>
      </c>
      <c r="W425" s="26" t="s">
        <v>2076</v>
      </c>
    </row>
    <row r="426" spans="1:23" x14ac:dyDescent="0.25">
      <c r="A426" s="26" t="str">
        <f t="shared" si="56"/>
        <v>PREESCOLAR</v>
      </c>
      <c r="B426" s="26" t="str">
        <f>"09DJN0520G"</f>
        <v>09DJN0520G</v>
      </c>
      <c r="C426" s="26" t="str">
        <f>"PORTUGAL                                                                                            "</f>
        <v xml:space="preserve">PORTUGAL                                                                                            </v>
      </c>
      <c r="D426" s="26" t="str">
        <f>"MATUTINO"</f>
        <v>MATUTINO</v>
      </c>
      <c r="E426" s="26" t="str">
        <f>"MINA S/N                                                                        "</f>
        <v xml:space="preserve">MINA S/N                                                                        </v>
      </c>
      <c r="F426" s="26" t="str">
        <f>"SAN MATEO TLALTENANGO                                                                                                                       "</f>
        <v xml:space="preserve">SAN MATEO TLALTENANGO                                                                                                                       </v>
      </c>
      <c r="G426" s="26" t="str">
        <f>"CUAJIMALPA DE MORELOS                                                           "</f>
        <v xml:space="preserve">CUAJIMALPA DE MORELOS                                                           </v>
      </c>
      <c r="H426" s="26" t="str">
        <f>"213"</f>
        <v>213</v>
      </c>
      <c r="I426" s="26" t="str">
        <f t="shared" si="57"/>
        <v>00</v>
      </c>
      <c r="J426" s="26" t="str">
        <f>"33 "</f>
        <v xml:space="preserve">33 </v>
      </c>
      <c r="K426" s="26" t="str">
        <f t="shared" si="61"/>
        <v>EP</v>
      </c>
      <c r="L426" s="26" t="str">
        <f t="shared" si="62"/>
        <v>DGOSE</v>
      </c>
      <c r="M426" s="26" t="str">
        <f t="shared" si="58"/>
        <v>FEDERAL</v>
      </c>
      <c r="N426" s="26">
        <v>227</v>
      </c>
      <c r="O426" s="26">
        <v>107</v>
      </c>
      <c r="P426" s="26">
        <v>120</v>
      </c>
      <c r="Q426" s="26">
        <v>6</v>
      </c>
      <c r="R426" s="26">
        <v>1</v>
      </c>
      <c r="S426" s="26">
        <v>6</v>
      </c>
      <c r="T426" s="26">
        <v>2</v>
      </c>
      <c r="U426" s="26">
        <v>9</v>
      </c>
      <c r="V426" s="26">
        <v>1</v>
      </c>
      <c r="W426" s="26"/>
    </row>
    <row r="427" spans="1:23" x14ac:dyDescent="0.25">
      <c r="A427" s="26" t="str">
        <f t="shared" si="56"/>
        <v>PREESCOLAR</v>
      </c>
      <c r="B427" s="26" t="str">
        <f>"09DJN0521F"</f>
        <v>09DJN0521F</v>
      </c>
      <c r="C427" s="26" t="str">
        <f>"SILVESTRE REVUELTAS                                                                                 "</f>
        <v xml:space="preserve">SILVESTRE REVUELTAS                                                                                 </v>
      </c>
      <c r="D427" s="26" t="str">
        <f>"TIEMPO COMPLETO"</f>
        <v>TIEMPO COMPLETO</v>
      </c>
      <c r="E427" s="26" t="str">
        <f>"PORVENIR NO. 29                                                                 "</f>
        <v xml:space="preserve">PORVENIR NO. 29                                                                 </v>
      </c>
      <c r="F427" s="26" t="str">
        <f>"AXOTLA PUEBLO                                                                                                                               "</f>
        <v xml:space="preserve">AXOTLA PUEBLO                                                                                                                               </v>
      </c>
      <c r="G427" s="26" t="str">
        <f>"ALVARO OBREGON                                                                  "</f>
        <v xml:space="preserve">ALVARO OBREGON                                                                  </v>
      </c>
      <c r="H427" s="26" t="str">
        <f>"128"</f>
        <v>128</v>
      </c>
      <c r="I427" s="26" t="str">
        <f t="shared" si="57"/>
        <v>00</v>
      </c>
      <c r="J427" s="26" t="str">
        <f>"34 "</f>
        <v xml:space="preserve">34 </v>
      </c>
      <c r="K427" s="26" t="str">
        <f t="shared" si="61"/>
        <v>EP</v>
      </c>
      <c r="L427" s="26" t="str">
        <f t="shared" si="62"/>
        <v>DGOSE</v>
      </c>
      <c r="M427" s="26" t="str">
        <f t="shared" si="58"/>
        <v>FEDERAL</v>
      </c>
      <c r="N427" s="26">
        <v>92</v>
      </c>
      <c r="O427" s="26">
        <v>39</v>
      </c>
      <c r="P427" s="26">
        <v>53</v>
      </c>
      <c r="Q427" s="26">
        <v>4</v>
      </c>
      <c r="R427" s="26">
        <v>2</v>
      </c>
      <c r="S427" s="26">
        <v>4</v>
      </c>
      <c r="T427" s="26">
        <v>9</v>
      </c>
      <c r="U427" s="26">
        <v>15</v>
      </c>
      <c r="V427" s="26">
        <v>1</v>
      </c>
      <c r="W427" s="26" t="s">
        <v>218</v>
      </c>
    </row>
    <row r="428" spans="1:23" x14ac:dyDescent="0.25">
      <c r="A428" s="26" t="str">
        <f t="shared" si="56"/>
        <v>PREESCOLAR</v>
      </c>
      <c r="B428" s="26" t="str">
        <f>"09DJN0523D"</f>
        <v>09DJN0523D</v>
      </c>
      <c r="C428" s="26" t="str">
        <f>"ROSAURA ZAPATA CANO                                                                                 "</f>
        <v xml:space="preserve">ROSAURA ZAPATA CANO                                                                                 </v>
      </c>
      <c r="D428" s="26" t="str">
        <f>"JORNADA AMPLIADA"</f>
        <v>JORNADA AMPLIADA</v>
      </c>
      <c r="E428" s="26" t="str">
        <f>"VICTORIA NO. 110                                                                "</f>
        <v xml:space="preserve">VICTORIA NO. 110                                                                </v>
      </c>
      <c r="F428" s="26" t="str">
        <f>"COPILCO EL BAJO                                                                                                                             "</f>
        <v xml:space="preserve">COPILCO EL BAJO                                                                                                                             </v>
      </c>
      <c r="G428" s="26" t="str">
        <f>"COYOACAN                                                                        "</f>
        <v xml:space="preserve">COYOACAN                                                                        </v>
      </c>
      <c r="H428" s="26" t="str">
        <f>"208"</f>
        <v>208</v>
      </c>
      <c r="I428" s="26" t="str">
        <f t="shared" si="57"/>
        <v>00</v>
      </c>
      <c r="J428" s="26" t="str">
        <f>"34 "</f>
        <v xml:space="preserve">34 </v>
      </c>
      <c r="K428" s="26" t="str">
        <f t="shared" si="61"/>
        <v>EP</v>
      </c>
      <c r="L428" s="26" t="str">
        <f t="shared" si="62"/>
        <v>DGOSE</v>
      </c>
      <c r="M428" s="26" t="str">
        <f t="shared" si="58"/>
        <v>FEDERAL</v>
      </c>
      <c r="N428" s="26">
        <v>61</v>
      </c>
      <c r="O428" s="26">
        <v>30</v>
      </c>
      <c r="P428" s="26">
        <v>31</v>
      </c>
      <c r="Q428" s="26">
        <v>3</v>
      </c>
      <c r="R428" s="26">
        <v>1</v>
      </c>
      <c r="S428" s="26">
        <v>3</v>
      </c>
      <c r="T428" s="26">
        <v>7</v>
      </c>
      <c r="U428" s="26">
        <v>11</v>
      </c>
      <c r="V428" s="26">
        <v>1</v>
      </c>
      <c r="W428" s="26" t="s">
        <v>2076</v>
      </c>
    </row>
    <row r="429" spans="1:23" x14ac:dyDescent="0.25">
      <c r="A429" s="26" t="str">
        <f t="shared" si="56"/>
        <v>PREESCOLAR</v>
      </c>
      <c r="B429" s="26" t="str">
        <f>"09DJN0525B"</f>
        <v>09DJN0525B</v>
      </c>
      <c r="C429" s="26" t="str">
        <f>"ROBERTO KOCH                                                                                        "</f>
        <v xml:space="preserve">ROBERTO KOCH                                                                                        </v>
      </c>
      <c r="D429" s="26" t="str">
        <f>"MATUTINO"</f>
        <v>MATUTINO</v>
      </c>
      <c r="E429" s="26" t="str">
        <f>"CALLE 21 NO. 103                                                                "</f>
        <v xml:space="preserve">CALLE 21 NO. 103                                                                </v>
      </c>
      <c r="F429" s="26" t="str">
        <f>"PRO  HOGAR                                                                                                                                  "</f>
        <v xml:space="preserve">PRO  HOGAR                                                                                                                                  </v>
      </c>
      <c r="G429" s="26" t="str">
        <f>"AZCAPOTZALCO                                                                    "</f>
        <v xml:space="preserve">AZCAPOTZALCO                                                                    </v>
      </c>
      <c r="H429" s="26" t="str">
        <f>"190"</f>
        <v>190</v>
      </c>
      <c r="I429" s="26" t="str">
        <f t="shared" si="57"/>
        <v>00</v>
      </c>
      <c r="J429" s="26" t="str">
        <f>"32 "</f>
        <v xml:space="preserve">32 </v>
      </c>
      <c r="K429" s="26" t="str">
        <f t="shared" si="61"/>
        <v>EP</v>
      </c>
      <c r="L429" s="26" t="str">
        <f t="shared" si="62"/>
        <v>DGOSE</v>
      </c>
      <c r="M429" s="26" t="str">
        <f t="shared" si="58"/>
        <v>FEDERAL</v>
      </c>
      <c r="N429" s="26">
        <v>146</v>
      </c>
      <c r="O429" s="26">
        <v>82</v>
      </c>
      <c r="P429" s="26">
        <v>64</v>
      </c>
      <c r="Q429" s="26">
        <v>6</v>
      </c>
      <c r="R429" s="26">
        <v>1</v>
      </c>
      <c r="S429" s="26">
        <v>6</v>
      </c>
      <c r="T429" s="26">
        <v>5</v>
      </c>
      <c r="U429" s="26">
        <v>12</v>
      </c>
      <c r="V429" s="26">
        <v>1</v>
      </c>
      <c r="W429" s="26"/>
    </row>
    <row r="430" spans="1:23" x14ac:dyDescent="0.25">
      <c r="A430" s="26" t="str">
        <f t="shared" si="56"/>
        <v>PREESCOLAR</v>
      </c>
      <c r="B430" s="26" t="str">
        <f>"09DJN0526A"</f>
        <v>09DJN0526A</v>
      </c>
      <c r="C430" s="26" t="str">
        <f>"QUETZALCOATL                                                                                        "</f>
        <v xml:space="preserve">QUETZALCOATL                                                                                        </v>
      </c>
      <c r="D430" s="26" t="str">
        <f>"JORNADA AMPLIADA"</f>
        <v>JORNADA AMPLIADA</v>
      </c>
      <c r="E430" s="26" t="str">
        <f>"LAGO HIELMAR NO. 12                                                             "</f>
        <v xml:space="preserve">LAGO HIELMAR NO. 12                                                             </v>
      </c>
      <c r="F430" s="26" t="str">
        <f>"PENSIL                                                                                                                                      "</f>
        <v xml:space="preserve">PENSIL                                                                                                                                      </v>
      </c>
      <c r="G430" s="26" t="str">
        <f>"MIGUEL HIDALGO                                                                  "</f>
        <v xml:space="preserve">MIGUEL HIDALGO                                                                  </v>
      </c>
      <c r="H430" s="26" t="str">
        <f>"011"</f>
        <v>011</v>
      </c>
      <c r="I430" s="26" t="str">
        <f t="shared" si="57"/>
        <v>00</v>
      </c>
      <c r="J430" s="26" t="str">
        <f>"31 "</f>
        <v xml:space="preserve">31 </v>
      </c>
      <c r="K430" s="26" t="str">
        <f t="shared" si="61"/>
        <v>EP</v>
      </c>
      <c r="L430" s="26" t="str">
        <f t="shared" si="62"/>
        <v>DGOSE</v>
      </c>
      <c r="M430" s="26" t="str">
        <f t="shared" si="58"/>
        <v>FEDERAL</v>
      </c>
      <c r="N430" s="26">
        <v>163</v>
      </c>
      <c r="O430" s="26">
        <v>87</v>
      </c>
      <c r="P430" s="26">
        <v>76</v>
      </c>
      <c r="Q430" s="26">
        <v>6</v>
      </c>
      <c r="R430" s="26">
        <v>0</v>
      </c>
      <c r="S430" s="26">
        <v>6</v>
      </c>
      <c r="T430" s="26">
        <v>6</v>
      </c>
      <c r="U430" s="26">
        <v>12</v>
      </c>
      <c r="V430" s="26">
        <v>1</v>
      </c>
      <c r="W430" s="26" t="s">
        <v>2076</v>
      </c>
    </row>
    <row r="431" spans="1:23" x14ac:dyDescent="0.25">
      <c r="A431" s="26" t="str">
        <f t="shared" si="56"/>
        <v>PREESCOLAR</v>
      </c>
      <c r="B431" s="26" t="str">
        <f>"09DJN0527Z"</f>
        <v>09DJN0527Z</v>
      </c>
      <c r="C431" s="26" t="str">
        <f>"ESTADO DE AGUASCALIENTES                                                                            "</f>
        <v xml:space="preserve">ESTADO DE AGUASCALIENTES                                                                            </v>
      </c>
      <c r="D431" s="26" t="str">
        <f>"JORNADA AMPLIADA"</f>
        <v>JORNADA AMPLIADA</v>
      </c>
      <c r="E431" s="26" t="str">
        <f>"ARGELIA NO. 36                                                                  "</f>
        <v xml:space="preserve">ARGELIA NO. 36                                                                  </v>
      </c>
      <c r="F431" s="26" t="str">
        <f>"ROMERO RUBIO                                                                                                                                "</f>
        <v xml:space="preserve">ROMERO RUBIO                                                                                                                                </v>
      </c>
      <c r="G431" s="26" t="str">
        <f>"VENUSTIANO CARRANZA                                                             "</f>
        <v xml:space="preserve">VENUSTIANO CARRANZA                                                             </v>
      </c>
      <c r="H431" s="26" t="str">
        <f>"246"</f>
        <v>246</v>
      </c>
      <c r="I431" s="26" t="str">
        <f t="shared" si="57"/>
        <v>00</v>
      </c>
      <c r="J431" s="26" t="str">
        <f>"31 "</f>
        <v xml:space="preserve">31 </v>
      </c>
      <c r="K431" s="26" t="str">
        <f t="shared" si="61"/>
        <v>EP</v>
      </c>
      <c r="L431" s="26" t="str">
        <f t="shared" si="62"/>
        <v>DGOSE</v>
      </c>
      <c r="M431" s="26" t="str">
        <f t="shared" si="58"/>
        <v>FEDERAL</v>
      </c>
      <c r="N431" s="26">
        <v>164</v>
      </c>
      <c r="O431" s="26">
        <v>86</v>
      </c>
      <c r="P431" s="26">
        <v>78</v>
      </c>
      <c r="Q431" s="26">
        <v>5</v>
      </c>
      <c r="R431" s="26">
        <v>1</v>
      </c>
      <c r="S431" s="26">
        <v>5</v>
      </c>
      <c r="T431" s="26">
        <v>7</v>
      </c>
      <c r="U431" s="26">
        <v>13</v>
      </c>
      <c r="V431" s="26">
        <v>1</v>
      </c>
      <c r="W431" s="26" t="s">
        <v>2076</v>
      </c>
    </row>
    <row r="432" spans="1:23" x14ac:dyDescent="0.25">
      <c r="A432" s="26" t="str">
        <f t="shared" si="56"/>
        <v>PREESCOLAR</v>
      </c>
      <c r="B432" s="26" t="str">
        <f>"09DJN0528Z"</f>
        <v>09DJN0528Z</v>
      </c>
      <c r="C432" s="26" t="str">
        <f>"TEOLINCACIHUATL                                                                                     "</f>
        <v xml:space="preserve">TEOLINCACIHUATL                                                                                     </v>
      </c>
      <c r="D432" s="26" t="str">
        <f>"VESPERTINO"</f>
        <v>VESPERTINO</v>
      </c>
      <c r="E432" s="26" t="str">
        <f>"NAUTLA S/N                                                                      "</f>
        <v xml:space="preserve">NAUTLA S/N                                                                      </v>
      </c>
      <c r="F432" s="26" t="str">
        <f>"EL RODEO                                                                                                                                    "</f>
        <v xml:space="preserve">EL RODEO                                                                                                                                    </v>
      </c>
      <c r="G432" s="26" t="str">
        <f>"IZTAPALAPA                                                                      "</f>
        <v xml:space="preserve">IZTAPALAPA                                                                      </v>
      </c>
      <c r="H432" s="26" t="str">
        <f>"028"</f>
        <v>028</v>
      </c>
      <c r="I432" s="26" t="str">
        <f t="shared" si="57"/>
        <v>00</v>
      </c>
      <c r="J432" s="26" t="str">
        <f>"63 "</f>
        <v xml:space="preserve">63 </v>
      </c>
      <c r="K432" s="26" t="str">
        <f>"IZ"</f>
        <v>IZ</v>
      </c>
      <c r="L432" s="26" t="str">
        <f>"DGSEI"</f>
        <v>DGSEI</v>
      </c>
      <c r="M432" s="26" t="str">
        <f t="shared" si="58"/>
        <v>FEDERAL</v>
      </c>
      <c r="N432" s="26">
        <v>97</v>
      </c>
      <c r="O432" s="26">
        <v>44</v>
      </c>
      <c r="P432" s="26">
        <v>53</v>
      </c>
      <c r="Q432" s="26">
        <v>4</v>
      </c>
      <c r="R432" s="26">
        <v>1</v>
      </c>
      <c r="S432" s="26">
        <v>4</v>
      </c>
      <c r="T432" s="26">
        <v>1</v>
      </c>
      <c r="U432" s="26">
        <v>6</v>
      </c>
      <c r="V432" s="26">
        <v>1</v>
      </c>
      <c r="W432" s="26"/>
    </row>
    <row r="433" spans="1:23" x14ac:dyDescent="0.25">
      <c r="A433" s="26" t="str">
        <f t="shared" si="56"/>
        <v>PREESCOLAR</v>
      </c>
      <c r="B433" s="26" t="str">
        <f>"09DJN0529Y"</f>
        <v>09DJN0529Y</v>
      </c>
      <c r="C433" s="26" t="str">
        <f>"ING. JAVIER BARROS SIERRA                                                                           "</f>
        <v xml:space="preserve">ING. JAVIER BARROS SIERRA                                                                           </v>
      </c>
      <c r="D433" s="26" t="str">
        <f>"VESPERTINO"</f>
        <v>VESPERTINO</v>
      </c>
      <c r="E433" s="26" t="str">
        <f>"CUMBRES S/N ESQ. PEYOTE                                                         "</f>
        <v xml:space="preserve">CUMBRES S/N ESQ. PEYOTE                                                         </v>
      </c>
      <c r="F433" s="26" t="str">
        <f>"IZTACALCO                                                                                                                                   "</f>
        <v xml:space="preserve">IZTACALCO                                                                                                                                   </v>
      </c>
      <c r="G433" s="26" t="str">
        <f>"IZTACALCO                                                                       "</f>
        <v xml:space="preserve">IZTACALCO                                                                       </v>
      </c>
      <c r="H433" s="26" t="str">
        <f>"090"</f>
        <v>090</v>
      </c>
      <c r="I433" s="26" t="str">
        <f t="shared" si="57"/>
        <v>00</v>
      </c>
      <c r="J433" s="26" t="str">
        <f>"33 "</f>
        <v xml:space="preserve">33 </v>
      </c>
      <c r="K433" s="26" t="str">
        <f>"EP"</f>
        <v>EP</v>
      </c>
      <c r="L433" s="26" t="str">
        <f>"DGOSE"</f>
        <v>DGOSE</v>
      </c>
      <c r="M433" s="26" t="str">
        <f t="shared" si="58"/>
        <v>FEDERAL</v>
      </c>
      <c r="N433" s="26">
        <v>104</v>
      </c>
      <c r="O433" s="26">
        <v>53</v>
      </c>
      <c r="P433" s="26">
        <v>51</v>
      </c>
      <c r="Q433" s="26">
        <v>4</v>
      </c>
      <c r="R433" s="26">
        <v>1</v>
      </c>
      <c r="S433" s="26">
        <v>3</v>
      </c>
      <c r="T433" s="26">
        <v>6</v>
      </c>
      <c r="U433" s="26">
        <v>10</v>
      </c>
      <c r="V433" s="26">
        <v>1</v>
      </c>
      <c r="W433" s="26"/>
    </row>
    <row r="434" spans="1:23" x14ac:dyDescent="0.25">
      <c r="A434" s="26" t="str">
        <f t="shared" si="56"/>
        <v>PREESCOLAR</v>
      </c>
      <c r="B434" s="26" t="str">
        <f>"09DJN0530N"</f>
        <v>09DJN0530N</v>
      </c>
      <c r="C434" s="26" t="str">
        <f>"CLUB DE LEONES DE LA CD. DE MEXICO                                                                  "</f>
        <v xml:space="preserve">CLUB DE LEONES DE LA CD. DE MEXICO                                                                  </v>
      </c>
      <c r="D434" s="26" t="str">
        <f>"JORNADA AMPLIADA"</f>
        <v>JORNADA AMPLIADA</v>
      </c>
      <c r="E434" s="26" t="str">
        <f>"AV. SANTIAGO NO. 50                                                             "</f>
        <v xml:space="preserve">AV. SANTIAGO NO. 50                                                             </v>
      </c>
      <c r="F434" s="26" t="str">
        <f>"SANTIAGO SUR BARRIO                                                                                                                         "</f>
        <v xml:space="preserve">SANTIAGO SUR BARRIO                                                                                                                         </v>
      </c>
      <c r="G434" s="26" t="str">
        <f>"IZTACALCO                                                                       "</f>
        <v xml:space="preserve">IZTACALCO                                                                       </v>
      </c>
      <c r="H434" s="26" t="str">
        <f>"028"</f>
        <v>028</v>
      </c>
      <c r="I434" s="26" t="str">
        <f t="shared" si="57"/>
        <v>00</v>
      </c>
      <c r="J434" s="26" t="str">
        <f>"31 "</f>
        <v xml:space="preserve">31 </v>
      </c>
      <c r="K434" s="26" t="str">
        <f>"EP"</f>
        <v>EP</v>
      </c>
      <c r="L434" s="26" t="str">
        <f>"DGOSE"</f>
        <v>DGOSE</v>
      </c>
      <c r="M434" s="26" t="str">
        <f t="shared" si="58"/>
        <v>FEDERAL</v>
      </c>
      <c r="N434" s="26">
        <v>224</v>
      </c>
      <c r="O434" s="26">
        <v>119</v>
      </c>
      <c r="P434" s="26">
        <v>105</v>
      </c>
      <c r="Q434" s="26">
        <v>8</v>
      </c>
      <c r="R434" s="26">
        <v>1</v>
      </c>
      <c r="S434" s="26">
        <v>7</v>
      </c>
      <c r="T434" s="26">
        <v>8</v>
      </c>
      <c r="U434" s="26">
        <v>16</v>
      </c>
      <c r="V434" s="26">
        <v>1</v>
      </c>
      <c r="W434" s="26" t="s">
        <v>2076</v>
      </c>
    </row>
    <row r="435" spans="1:23" x14ac:dyDescent="0.25">
      <c r="A435" s="26" t="str">
        <f t="shared" si="56"/>
        <v>PREESCOLAR</v>
      </c>
      <c r="B435" s="26" t="str">
        <f>"09DJN0532L"</f>
        <v>09DJN0532L</v>
      </c>
      <c r="C435" s="26" t="str">
        <f>"PROFR. JOSE REFUGIO BELIO MERCADO                                                                   "</f>
        <v xml:space="preserve">PROFR. JOSE REFUGIO BELIO MERCADO                                                                   </v>
      </c>
      <c r="D435" s="26" t="str">
        <f>"MATUTINO"</f>
        <v>MATUTINO</v>
      </c>
      <c r="E435" s="26" t="str">
        <f>"ILHUICAMINA S/N                                                                 "</f>
        <v xml:space="preserve">ILHUICAMINA S/N                                                                 </v>
      </c>
      <c r="F435" s="26" t="str">
        <f>"LOS REYES                                                                                                                                   "</f>
        <v xml:space="preserve">LOS REYES                                                                                                                                   </v>
      </c>
      <c r="G435" s="26" t="str">
        <f>"IZTAPALAPA                                                                      "</f>
        <v xml:space="preserve">IZTAPALAPA                                                                      </v>
      </c>
      <c r="H435" s="26" t="str">
        <f>"023"</f>
        <v>023</v>
      </c>
      <c r="I435" s="26" t="str">
        <f t="shared" si="57"/>
        <v>00</v>
      </c>
      <c r="J435" s="26" t="str">
        <f>"63 "</f>
        <v xml:space="preserve">63 </v>
      </c>
      <c r="K435" s="26" t="str">
        <f>"IZ"</f>
        <v>IZ</v>
      </c>
      <c r="L435" s="26" t="str">
        <f>"DGSEI"</f>
        <v>DGSEI</v>
      </c>
      <c r="M435" s="26" t="str">
        <f t="shared" si="58"/>
        <v>FEDERAL</v>
      </c>
      <c r="N435" s="26">
        <v>201</v>
      </c>
      <c r="O435" s="26">
        <v>96</v>
      </c>
      <c r="P435" s="26">
        <v>105</v>
      </c>
      <c r="Q435" s="26">
        <v>6</v>
      </c>
      <c r="R435" s="26">
        <v>1</v>
      </c>
      <c r="S435" s="26">
        <v>6</v>
      </c>
      <c r="T435" s="26">
        <v>3</v>
      </c>
      <c r="U435" s="26">
        <v>10</v>
      </c>
      <c r="V435" s="26">
        <v>1</v>
      </c>
      <c r="W435" s="26"/>
    </row>
    <row r="436" spans="1:23" x14ac:dyDescent="0.25">
      <c r="A436" s="26" t="str">
        <f t="shared" si="56"/>
        <v>PREESCOLAR</v>
      </c>
      <c r="B436" s="26" t="str">
        <f>"09DJN0533K"</f>
        <v>09DJN0533K</v>
      </c>
      <c r="C436" s="26" t="str">
        <f>"TETELPAN                                                                                            "</f>
        <v xml:space="preserve">TETELPAN                                                                                            </v>
      </c>
      <c r="D436" s="26" t="str">
        <f>"VESPERTINO"</f>
        <v>VESPERTINO</v>
      </c>
      <c r="E436" s="26" t="str">
        <f>"OLIVO NO. 1                                                                     "</f>
        <v xml:space="preserve">OLIVO NO. 1                                                                     </v>
      </c>
      <c r="F436" s="26" t="str">
        <f>"TETELPAN                                                                                                                                    "</f>
        <v xml:space="preserve">TETELPAN                                                                                                                                    </v>
      </c>
      <c r="G436" s="26" t="str">
        <f>"ALVARO OBREGON                                                                  "</f>
        <v xml:space="preserve">ALVARO OBREGON                                                                  </v>
      </c>
      <c r="H436" s="26" t="str">
        <f>"214"</f>
        <v>214</v>
      </c>
      <c r="I436" s="26" t="str">
        <f t="shared" si="57"/>
        <v>00</v>
      </c>
      <c r="J436" s="26" t="str">
        <f>"33 "</f>
        <v xml:space="preserve">33 </v>
      </c>
      <c r="K436" s="26" t="str">
        <f t="shared" ref="K436:K451" si="63">"EP"</f>
        <v>EP</v>
      </c>
      <c r="L436" s="26" t="str">
        <f t="shared" ref="L436:L451" si="64">"DGOSE"</f>
        <v>DGOSE</v>
      </c>
      <c r="M436" s="26" t="str">
        <f t="shared" si="58"/>
        <v>FEDERAL</v>
      </c>
      <c r="N436" s="26">
        <v>159</v>
      </c>
      <c r="O436" s="26">
        <v>81</v>
      </c>
      <c r="P436" s="26">
        <v>78</v>
      </c>
      <c r="Q436" s="26">
        <v>6</v>
      </c>
      <c r="R436" s="26">
        <v>1</v>
      </c>
      <c r="S436" s="26">
        <v>6</v>
      </c>
      <c r="T436" s="26">
        <v>4</v>
      </c>
      <c r="U436" s="26">
        <v>11</v>
      </c>
      <c r="V436" s="26">
        <v>1</v>
      </c>
      <c r="W436" s="26"/>
    </row>
    <row r="437" spans="1:23" x14ac:dyDescent="0.25">
      <c r="A437" s="26" t="str">
        <f t="shared" si="56"/>
        <v>PREESCOLAR</v>
      </c>
      <c r="B437" s="26" t="str">
        <f>"09DJN0534J"</f>
        <v>09DJN0534J</v>
      </c>
      <c r="C437" s="26" t="str">
        <f>"LUZ MARIA CHACON DURAN                                                                              "</f>
        <v xml:space="preserve">LUZ MARIA CHACON DURAN                                                                              </v>
      </c>
      <c r="D437" s="26" t="str">
        <f>"VESPERTINO"</f>
        <v>VESPERTINO</v>
      </c>
      <c r="E437" s="26" t="str">
        <f>"BENITO JUAREZ Y GRAL. VERTIZ S/N                                                "</f>
        <v xml:space="preserve">BENITO JUAREZ Y GRAL. VERTIZ S/N                                                </v>
      </c>
      <c r="F437" s="26" t="str">
        <f>"SAN NICOLAS TOTOLAPAN                                                                                                                       "</f>
        <v xml:space="preserve">SAN NICOLAS TOTOLAPAN                                                                                                                       </v>
      </c>
      <c r="G437" s="26" t="str">
        <f>"LA MAGDALENA CONTRERAS                                                          "</f>
        <v xml:space="preserve">LA MAGDALENA CONTRERAS                                                          </v>
      </c>
      <c r="H437" s="26" t="str">
        <f>"112"</f>
        <v>112</v>
      </c>
      <c r="I437" s="26" t="str">
        <f t="shared" si="57"/>
        <v>00</v>
      </c>
      <c r="J437" s="26" t="str">
        <f>"35 "</f>
        <v xml:space="preserve">35 </v>
      </c>
      <c r="K437" s="26" t="str">
        <f t="shared" si="63"/>
        <v>EP</v>
      </c>
      <c r="L437" s="26" t="str">
        <f t="shared" si="64"/>
        <v>DGOSE</v>
      </c>
      <c r="M437" s="26" t="str">
        <f t="shared" si="58"/>
        <v>FEDERAL</v>
      </c>
      <c r="N437" s="26">
        <v>151</v>
      </c>
      <c r="O437" s="26">
        <v>76</v>
      </c>
      <c r="P437" s="26">
        <v>75</v>
      </c>
      <c r="Q437" s="26">
        <v>5</v>
      </c>
      <c r="R437" s="26">
        <v>1</v>
      </c>
      <c r="S437" s="26">
        <v>4</v>
      </c>
      <c r="T437" s="26">
        <v>3</v>
      </c>
      <c r="U437" s="26">
        <v>8</v>
      </c>
      <c r="V437" s="26">
        <v>1</v>
      </c>
      <c r="W437" s="26"/>
    </row>
    <row r="438" spans="1:23" x14ac:dyDescent="0.25">
      <c r="A438" s="26" t="str">
        <f t="shared" si="56"/>
        <v>PREESCOLAR</v>
      </c>
      <c r="B438" s="26" t="str">
        <f>"09DJN0535I"</f>
        <v>09DJN0535I</v>
      </c>
      <c r="C438" s="26" t="str">
        <f>"MARGARITA ESTEVANE SALAS                                                                            "</f>
        <v xml:space="preserve">MARGARITA ESTEVANE SALAS                                                                            </v>
      </c>
      <c r="D438" s="26" t="str">
        <f>"MATUTINO"</f>
        <v>MATUTINO</v>
      </c>
      <c r="E438" s="26" t="str">
        <f>"AV. 29 DE OCTUBRE S/N                                                           "</f>
        <v xml:space="preserve">AV. 29 DE OCTUBRE S/N                                                           </v>
      </c>
      <c r="F438" s="26" t="str">
        <f>"LOMAS DE LA HERA                                                                                                                            "</f>
        <v xml:space="preserve">LOMAS DE LA HERA                                                                                                                            </v>
      </c>
      <c r="G438" s="26" t="str">
        <f>"ALVARO OBREGON                                                                  "</f>
        <v xml:space="preserve">ALVARO OBREGON                                                                  </v>
      </c>
      <c r="H438" s="26" t="str">
        <f>"175"</f>
        <v>175</v>
      </c>
      <c r="I438" s="26" t="str">
        <f t="shared" si="57"/>
        <v>00</v>
      </c>
      <c r="J438" s="26" t="str">
        <f>"33 "</f>
        <v xml:space="preserve">33 </v>
      </c>
      <c r="K438" s="26" t="str">
        <f t="shared" si="63"/>
        <v>EP</v>
      </c>
      <c r="L438" s="26" t="str">
        <f t="shared" si="64"/>
        <v>DGOSE</v>
      </c>
      <c r="M438" s="26" t="str">
        <f t="shared" si="58"/>
        <v>FEDERAL</v>
      </c>
      <c r="N438" s="26">
        <v>253</v>
      </c>
      <c r="O438" s="26">
        <v>115</v>
      </c>
      <c r="P438" s="26">
        <v>138</v>
      </c>
      <c r="Q438" s="26">
        <v>7</v>
      </c>
      <c r="R438" s="26">
        <v>1</v>
      </c>
      <c r="S438" s="26">
        <v>7</v>
      </c>
      <c r="T438" s="26">
        <v>4</v>
      </c>
      <c r="U438" s="26">
        <v>12</v>
      </c>
      <c r="V438" s="26">
        <v>1</v>
      </c>
      <c r="W438" s="26"/>
    </row>
    <row r="439" spans="1:23" x14ac:dyDescent="0.25">
      <c r="A439" s="26" t="str">
        <f t="shared" si="56"/>
        <v>PREESCOLAR</v>
      </c>
      <c r="B439" s="26" t="str">
        <f>"09DJN0536H"</f>
        <v>09DJN0536H</v>
      </c>
      <c r="C439" s="26" t="str">
        <f>"MAINOEL                                                                                             "</f>
        <v xml:space="preserve">MAINOEL                                                                                             </v>
      </c>
      <c r="D439" s="26" t="str">
        <f>"MATUTINO"</f>
        <v>MATUTINO</v>
      </c>
      <c r="E439" s="26" t="str">
        <f>"AV. SAN JERONIMO S/N                                                            "</f>
        <v xml:space="preserve">AV. SAN JERONIMO S/N                                                            </v>
      </c>
      <c r="F439" s="26" t="str">
        <f>"POTRERILLO                                                                                                                                  "</f>
        <v xml:space="preserve">POTRERILLO                                                                                                                                  </v>
      </c>
      <c r="G439" s="26" t="str">
        <f>"LA MAGDALENA CONTRERAS                                                          "</f>
        <v xml:space="preserve">LA MAGDALENA CONTRERAS                                                          </v>
      </c>
      <c r="H439" s="26" t="str">
        <f>"280"</f>
        <v>280</v>
      </c>
      <c r="I439" s="26" t="str">
        <f t="shared" si="57"/>
        <v>00</v>
      </c>
      <c r="J439" s="26" t="str">
        <f>"35 "</f>
        <v xml:space="preserve">35 </v>
      </c>
      <c r="K439" s="26" t="str">
        <f t="shared" si="63"/>
        <v>EP</v>
      </c>
      <c r="L439" s="26" t="str">
        <f t="shared" si="64"/>
        <v>DGOSE</v>
      </c>
      <c r="M439" s="26" t="str">
        <f t="shared" si="58"/>
        <v>FEDERAL</v>
      </c>
      <c r="N439" s="26">
        <v>174</v>
      </c>
      <c r="O439" s="26">
        <v>85</v>
      </c>
      <c r="P439" s="26">
        <v>89</v>
      </c>
      <c r="Q439" s="26">
        <v>6</v>
      </c>
      <c r="R439" s="26">
        <v>1</v>
      </c>
      <c r="S439" s="26">
        <v>6</v>
      </c>
      <c r="T439" s="26">
        <v>3</v>
      </c>
      <c r="U439" s="26">
        <v>10</v>
      </c>
      <c r="V439" s="26">
        <v>1</v>
      </c>
      <c r="W439" s="26"/>
    </row>
    <row r="440" spans="1:23" x14ac:dyDescent="0.25">
      <c r="A440" s="26" t="str">
        <f t="shared" si="56"/>
        <v>PREESCOLAR</v>
      </c>
      <c r="B440" s="26" t="str">
        <f>"09DJN0537G"</f>
        <v>09DJN0537G</v>
      </c>
      <c r="C440" s="26" t="str">
        <f>"HUITZILIN                                                                                           "</f>
        <v xml:space="preserve">HUITZILIN                                                                                           </v>
      </c>
      <c r="D440" s="26" t="str">
        <f>"JORNADA AMPLIADA"</f>
        <v>JORNADA AMPLIADA</v>
      </c>
      <c r="E440" s="26" t="str">
        <f>"PRIV. CHABACANO S/N                                                             "</f>
        <v xml:space="preserve">PRIV. CHABACANO S/N                                                             </v>
      </c>
      <c r="F440" s="26" t="str">
        <f>"LA CRUZ                                                                                                                                     "</f>
        <v xml:space="preserve">LA CRUZ                                                                                                                                     </v>
      </c>
      <c r="G440" s="26" t="str">
        <f>"LA MAGDALENA CONTRERAS                                                          "</f>
        <v xml:space="preserve">LA MAGDALENA CONTRERAS                                                          </v>
      </c>
      <c r="H440" s="26" t="str">
        <f>"123"</f>
        <v>123</v>
      </c>
      <c r="I440" s="26" t="str">
        <f t="shared" si="57"/>
        <v>00</v>
      </c>
      <c r="J440" s="26" t="str">
        <f>"34 "</f>
        <v xml:space="preserve">34 </v>
      </c>
      <c r="K440" s="26" t="str">
        <f t="shared" si="63"/>
        <v>EP</v>
      </c>
      <c r="L440" s="26" t="str">
        <f t="shared" si="64"/>
        <v>DGOSE</v>
      </c>
      <c r="M440" s="26" t="str">
        <f t="shared" si="58"/>
        <v>FEDERAL</v>
      </c>
      <c r="N440" s="26">
        <v>121</v>
      </c>
      <c r="O440" s="26">
        <v>58</v>
      </c>
      <c r="P440" s="26">
        <v>63</v>
      </c>
      <c r="Q440" s="26">
        <v>4</v>
      </c>
      <c r="R440" s="26">
        <v>1</v>
      </c>
      <c r="S440" s="26">
        <v>4</v>
      </c>
      <c r="T440" s="26">
        <v>4</v>
      </c>
      <c r="U440" s="26">
        <v>9</v>
      </c>
      <c r="V440" s="26">
        <v>1</v>
      </c>
      <c r="W440" s="26" t="s">
        <v>2076</v>
      </c>
    </row>
    <row r="441" spans="1:23" x14ac:dyDescent="0.25">
      <c r="A441" s="26" t="str">
        <f t="shared" si="56"/>
        <v>PREESCOLAR</v>
      </c>
      <c r="B441" s="26" t="str">
        <f>"09DJN0538F"</f>
        <v>09DJN0538F</v>
      </c>
      <c r="C441" s="26" t="str">
        <f>"ROTARIOS DE TLALPAN                                                                                 "</f>
        <v xml:space="preserve">ROTARIOS DE TLALPAN                                                                                 </v>
      </c>
      <c r="D441" s="26" t="str">
        <f>"MATUTINO"</f>
        <v>MATUTINO</v>
      </c>
      <c r="E441" s="26" t="str">
        <f>"CUARTA PONIENTE S/N                                                             "</f>
        <v xml:space="preserve">CUARTA PONIENTE S/N                                                             </v>
      </c>
      <c r="F441" s="26" t="str">
        <f>"ISIDRO FABELA                                                                                                                               "</f>
        <v xml:space="preserve">ISIDRO FABELA                                                                                                                               </v>
      </c>
      <c r="G441" s="26" t="str">
        <f>"TLALPAN                                                                         "</f>
        <v xml:space="preserve">TLALPAN                                                                         </v>
      </c>
      <c r="H441" s="26" t="str">
        <f>"222"</f>
        <v>222</v>
      </c>
      <c r="I441" s="26" t="str">
        <f t="shared" si="57"/>
        <v>00</v>
      </c>
      <c r="J441" s="26" t="str">
        <f>"35 "</f>
        <v xml:space="preserve">35 </v>
      </c>
      <c r="K441" s="26" t="str">
        <f t="shared" si="63"/>
        <v>EP</v>
      </c>
      <c r="L441" s="26" t="str">
        <f t="shared" si="64"/>
        <v>DGOSE</v>
      </c>
      <c r="M441" s="26" t="str">
        <f t="shared" si="58"/>
        <v>FEDERAL</v>
      </c>
      <c r="N441" s="26">
        <v>190</v>
      </c>
      <c r="O441" s="26">
        <v>92</v>
      </c>
      <c r="P441" s="26">
        <v>98</v>
      </c>
      <c r="Q441" s="26">
        <v>7</v>
      </c>
      <c r="R441" s="26">
        <v>1</v>
      </c>
      <c r="S441" s="26">
        <v>7</v>
      </c>
      <c r="T441" s="26">
        <v>4</v>
      </c>
      <c r="U441" s="26">
        <v>12</v>
      </c>
      <c r="V441" s="26">
        <v>1</v>
      </c>
      <c r="W441" s="26"/>
    </row>
    <row r="442" spans="1:23" x14ac:dyDescent="0.25">
      <c r="A442" s="26" t="str">
        <f t="shared" si="56"/>
        <v>PREESCOLAR</v>
      </c>
      <c r="B442" s="26" t="str">
        <f>"09DJN0539E"</f>
        <v>09DJN0539E</v>
      </c>
      <c r="C442" s="26" t="str">
        <f>"MARIA DE LOS ANGELES QUINTANAR Y ALVA                                                               "</f>
        <v xml:space="preserve">MARIA DE LOS ANGELES QUINTANAR Y ALVA                                                               </v>
      </c>
      <c r="D442" s="26" t="str">
        <f>"JORNADA AMPLIADA"</f>
        <v>JORNADA AMPLIADA</v>
      </c>
      <c r="E442" s="26" t="str">
        <f>"AMADOR SALAZAR Y EMILIANO ZAPATA                                                "</f>
        <v xml:space="preserve">AMADOR SALAZAR Y EMILIANO ZAPATA                                                </v>
      </c>
      <c r="F442" s="26" t="str">
        <f>"SAN NICOLAS TETELCO                                                                                                                         "</f>
        <v xml:space="preserve">SAN NICOLAS TETELCO                                                                                                                         </v>
      </c>
      <c r="G442" s="26" t="str">
        <f>"TLAHUAC                                                                         "</f>
        <v xml:space="preserve">TLAHUAC                                                                         </v>
      </c>
      <c r="H442" s="26" t="str">
        <f>"173"</f>
        <v>173</v>
      </c>
      <c r="I442" s="26" t="str">
        <f t="shared" si="57"/>
        <v>00</v>
      </c>
      <c r="J442" s="26" t="str">
        <f>"34 "</f>
        <v xml:space="preserve">34 </v>
      </c>
      <c r="K442" s="26" t="str">
        <f t="shared" si="63"/>
        <v>EP</v>
      </c>
      <c r="L442" s="26" t="str">
        <f t="shared" si="64"/>
        <v>DGOSE</v>
      </c>
      <c r="M442" s="26" t="str">
        <f t="shared" si="58"/>
        <v>FEDERAL</v>
      </c>
      <c r="N442" s="26">
        <v>205</v>
      </c>
      <c r="O442" s="26">
        <v>98</v>
      </c>
      <c r="P442" s="26">
        <v>107</v>
      </c>
      <c r="Q442" s="26">
        <v>6</v>
      </c>
      <c r="R442" s="26">
        <v>1</v>
      </c>
      <c r="S442" s="26">
        <v>6</v>
      </c>
      <c r="T442" s="26">
        <v>7</v>
      </c>
      <c r="U442" s="26">
        <v>14</v>
      </c>
      <c r="V442" s="26">
        <v>1</v>
      </c>
      <c r="W442" s="26" t="s">
        <v>2076</v>
      </c>
    </row>
    <row r="443" spans="1:23" x14ac:dyDescent="0.25">
      <c r="A443" s="26" t="str">
        <f t="shared" si="56"/>
        <v>PREESCOLAR</v>
      </c>
      <c r="B443" s="26" t="str">
        <f>"09DJN0541T"</f>
        <v>09DJN0541T</v>
      </c>
      <c r="C443" s="26" t="str">
        <f>"JOSE MARIA MORELOS Y PAVON                                                                          "</f>
        <v xml:space="preserve">JOSE MARIA MORELOS Y PAVON                                                                          </v>
      </c>
      <c r="D443" s="26" t="str">
        <f>"MATUTINO"</f>
        <v>MATUTINO</v>
      </c>
      <c r="E443" s="26" t="str">
        <f>"EBANO Y HERMANDAD S/N                                                           "</f>
        <v xml:space="preserve">EBANO Y HERMANDAD S/N                                                           </v>
      </c>
      <c r="F443" s="26" t="str">
        <f>"GRANJAS DE NAVIDAD                                                                                                                          "</f>
        <v xml:space="preserve">GRANJAS DE NAVIDAD                                                                                                                          </v>
      </c>
      <c r="G443" s="26" t="str">
        <f>"CUAJIMALPA DE MORELOS                                                           "</f>
        <v xml:space="preserve">CUAJIMALPA DE MORELOS                                                           </v>
      </c>
      <c r="H443" s="26" t="str">
        <f>"212"</f>
        <v>212</v>
      </c>
      <c r="I443" s="26" t="str">
        <f t="shared" si="57"/>
        <v>00</v>
      </c>
      <c r="J443" s="26" t="str">
        <f>"33 "</f>
        <v xml:space="preserve">33 </v>
      </c>
      <c r="K443" s="26" t="str">
        <f t="shared" si="63"/>
        <v>EP</v>
      </c>
      <c r="L443" s="26" t="str">
        <f t="shared" si="64"/>
        <v>DGOSE</v>
      </c>
      <c r="M443" s="26" t="str">
        <f t="shared" si="58"/>
        <v>FEDERAL</v>
      </c>
      <c r="N443" s="26">
        <v>162</v>
      </c>
      <c r="O443" s="26">
        <v>80</v>
      </c>
      <c r="P443" s="26">
        <v>82</v>
      </c>
      <c r="Q443" s="26">
        <v>5</v>
      </c>
      <c r="R443" s="26">
        <v>1</v>
      </c>
      <c r="S443" s="26">
        <v>5</v>
      </c>
      <c r="T443" s="26">
        <v>3</v>
      </c>
      <c r="U443" s="26">
        <v>9</v>
      </c>
      <c r="V443" s="26">
        <v>1</v>
      </c>
      <c r="W443" s="26"/>
    </row>
    <row r="444" spans="1:23" x14ac:dyDescent="0.25">
      <c r="A444" s="26" t="str">
        <f t="shared" si="56"/>
        <v>PREESCOLAR</v>
      </c>
      <c r="B444" s="26" t="str">
        <f>"09DJN0542S"</f>
        <v>09DJN0542S</v>
      </c>
      <c r="C444" s="26" t="str">
        <f>"FRANCISCO JAVIER MINA                                                                               "</f>
        <v xml:space="preserve">FRANCISCO JAVIER MINA                                                                               </v>
      </c>
      <c r="D444" s="26" t="str">
        <f>"MATUTINO"</f>
        <v>MATUTINO</v>
      </c>
      <c r="E444" s="26" t="str">
        <f>"ORIENTE 235 C Y SUR 16                                                          "</f>
        <v xml:space="preserve">ORIENTE 235 C Y SUR 16                                                          </v>
      </c>
      <c r="F444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444" s="26" t="str">
        <f>"IZTACALCO                                                                       "</f>
        <v xml:space="preserve">IZTACALCO                                                                       </v>
      </c>
      <c r="H444" s="26" t="str">
        <f>"027"</f>
        <v>027</v>
      </c>
      <c r="I444" s="26" t="str">
        <f t="shared" si="57"/>
        <v>00</v>
      </c>
      <c r="J444" s="26" t="str">
        <f>"33 "</f>
        <v xml:space="preserve">33 </v>
      </c>
      <c r="K444" s="26" t="str">
        <f t="shared" si="63"/>
        <v>EP</v>
      </c>
      <c r="L444" s="26" t="str">
        <f t="shared" si="64"/>
        <v>DGOSE</v>
      </c>
      <c r="M444" s="26" t="str">
        <f t="shared" si="58"/>
        <v>FEDERAL</v>
      </c>
      <c r="N444" s="26">
        <v>175</v>
      </c>
      <c r="O444" s="26">
        <v>93</v>
      </c>
      <c r="P444" s="26">
        <v>82</v>
      </c>
      <c r="Q444" s="26">
        <v>5</v>
      </c>
      <c r="R444" s="26">
        <v>1</v>
      </c>
      <c r="S444" s="26">
        <v>5</v>
      </c>
      <c r="T444" s="26">
        <v>4</v>
      </c>
      <c r="U444" s="26">
        <v>10</v>
      </c>
      <c r="V444" s="26">
        <v>1</v>
      </c>
      <c r="W444" s="26"/>
    </row>
    <row r="445" spans="1:23" x14ac:dyDescent="0.25">
      <c r="A445" s="26" t="str">
        <f t="shared" si="56"/>
        <v>PREESCOLAR</v>
      </c>
      <c r="B445" s="26" t="str">
        <f>"09DJN0543R"</f>
        <v>09DJN0543R</v>
      </c>
      <c r="C445" s="26" t="str">
        <f>"JOSE MARIA VELASCO                                                                                  "</f>
        <v xml:space="preserve">JOSE MARIA VELASCO                                                                                  </v>
      </c>
      <c r="D445" s="26" t="str">
        <f>"VESPERTINO"</f>
        <v>VESPERTINO</v>
      </c>
      <c r="E445" s="26" t="str">
        <f>"ORIENTE 245 B Y SUR 16                                                          "</f>
        <v xml:space="preserve">ORIENTE 245 B Y SUR 16                                                          </v>
      </c>
      <c r="F445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445" s="26" t="str">
        <f>"IZTACALCO                                                                       "</f>
        <v xml:space="preserve">IZTACALCO                                                                       </v>
      </c>
      <c r="H445" s="26" t="str">
        <f>"238"</f>
        <v>238</v>
      </c>
      <c r="I445" s="26" t="str">
        <f t="shared" si="57"/>
        <v>00</v>
      </c>
      <c r="J445" s="26" t="str">
        <f>"33 "</f>
        <v xml:space="preserve">33 </v>
      </c>
      <c r="K445" s="26" t="str">
        <f t="shared" si="63"/>
        <v>EP</v>
      </c>
      <c r="L445" s="26" t="str">
        <f t="shared" si="64"/>
        <v>DGOSE</v>
      </c>
      <c r="M445" s="26" t="str">
        <f t="shared" si="58"/>
        <v>FEDERAL</v>
      </c>
      <c r="N445" s="26">
        <v>166</v>
      </c>
      <c r="O445" s="26">
        <v>74</v>
      </c>
      <c r="P445" s="26">
        <v>92</v>
      </c>
      <c r="Q445" s="26">
        <v>5</v>
      </c>
      <c r="R445" s="26">
        <v>1</v>
      </c>
      <c r="S445" s="26">
        <v>5</v>
      </c>
      <c r="T445" s="26">
        <v>7</v>
      </c>
      <c r="U445" s="26">
        <v>13</v>
      </c>
      <c r="V445" s="26">
        <v>1</v>
      </c>
      <c r="W445" s="26"/>
    </row>
    <row r="446" spans="1:23" x14ac:dyDescent="0.25">
      <c r="A446" s="26" t="str">
        <f t="shared" si="56"/>
        <v>PREESCOLAR</v>
      </c>
      <c r="B446" s="26" t="str">
        <f>"09DJN0544Q"</f>
        <v>09DJN0544Q</v>
      </c>
      <c r="C446" s="26" t="str">
        <f>"JUAN BOSCO                                                                                          "</f>
        <v xml:space="preserve">JUAN BOSCO                                                                                          </v>
      </c>
      <c r="D446" s="26" t="str">
        <f>"JORNADA AMPLIADA"</f>
        <v>JORNADA AMPLIADA</v>
      </c>
      <c r="E446" s="26" t="str">
        <f>"SUR 149 ORIENTE 116                                                             "</f>
        <v xml:space="preserve">SUR 149 ORIENTE 116                                                             </v>
      </c>
      <c r="F446" s="26" t="str">
        <f>"GABRIEL RAMOS MILLAN AMPLIACION                                                                                                             "</f>
        <v xml:space="preserve">GABRIEL RAMOS MILLAN AMPLIACION                                                                                                             </v>
      </c>
      <c r="G446" s="26" t="str">
        <f>"IZTACALCO                                                                       "</f>
        <v xml:space="preserve">IZTACALCO                                                                       </v>
      </c>
      <c r="H446" s="26" t="str">
        <f>"108"</f>
        <v>108</v>
      </c>
      <c r="I446" s="26" t="str">
        <f t="shared" si="57"/>
        <v>00</v>
      </c>
      <c r="J446" s="26" t="str">
        <f>"31 "</f>
        <v xml:space="preserve">31 </v>
      </c>
      <c r="K446" s="26" t="str">
        <f t="shared" si="63"/>
        <v>EP</v>
      </c>
      <c r="L446" s="26" t="str">
        <f t="shared" si="64"/>
        <v>DGOSE</v>
      </c>
      <c r="M446" s="26" t="str">
        <f t="shared" si="58"/>
        <v>FEDERAL</v>
      </c>
      <c r="N446" s="26">
        <v>182</v>
      </c>
      <c r="O446" s="26">
        <v>96</v>
      </c>
      <c r="P446" s="26">
        <v>86</v>
      </c>
      <c r="Q446" s="26">
        <v>6</v>
      </c>
      <c r="R446" s="26">
        <v>1</v>
      </c>
      <c r="S446" s="26">
        <v>6</v>
      </c>
      <c r="T446" s="26">
        <v>7</v>
      </c>
      <c r="U446" s="26">
        <v>14</v>
      </c>
      <c r="V446" s="26">
        <v>1</v>
      </c>
      <c r="W446" s="26" t="s">
        <v>2076</v>
      </c>
    </row>
    <row r="447" spans="1:23" x14ac:dyDescent="0.25">
      <c r="A447" s="26" t="str">
        <f t="shared" si="56"/>
        <v>PREESCOLAR</v>
      </c>
      <c r="B447" s="26" t="str">
        <f>"09DJN0545P"</f>
        <v>09DJN0545P</v>
      </c>
      <c r="C447" s="26" t="str">
        <f>"LUZ GONZALEZ BAZ                                                                                    "</f>
        <v xml:space="preserve">LUZ GONZALEZ BAZ                                                                                    </v>
      </c>
      <c r="D447" s="26" t="str">
        <f>"JORNADA AMPLIADA"</f>
        <v>JORNADA AMPLIADA</v>
      </c>
      <c r="E447" s="26" t="str">
        <f>"ORIENTE 116 Y SUR 133 S\N                                                       "</f>
        <v xml:space="preserve">ORIENTE 116 Y SUR 133 S\N                                                       </v>
      </c>
      <c r="F447" s="26" t="str">
        <f>"GABRIEL RAMOS MILLAN                                                                                                                        "</f>
        <v xml:space="preserve">GABRIEL RAMOS MILLAN                                                                                                                        </v>
      </c>
      <c r="G447" s="26" t="str">
        <f>"IZTACALCO                                                                       "</f>
        <v xml:space="preserve">IZTACALCO                                                                       </v>
      </c>
      <c r="H447" s="26" t="str">
        <f>"085"</f>
        <v>085</v>
      </c>
      <c r="I447" s="26" t="str">
        <f t="shared" si="57"/>
        <v>00</v>
      </c>
      <c r="J447" s="26" t="str">
        <f>"31 "</f>
        <v xml:space="preserve">31 </v>
      </c>
      <c r="K447" s="26" t="str">
        <f t="shared" si="63"/>
        <v>EP</v>
      </c>
      <c r="L447" s="26" t="str">
        <f t="shared" si="64"/>
        <v>DGOSE</v>
      </c>
      <c r="M447" s="26" t="str">
        <f t="shared" si="58"/>
        <v>FEDERAL</v>
      </c>
      <c r="N447" s="26">
        <v>157</v>
      </c>
      <c r="O447" s="26">
        <v>81</v>
      </c>
      <c r="P447" s="26">
        <v>76</v>
      </c>
      <c r="Q447" s="26">
        <v>5</v>
      </c>
      <c r="R447" s="26">
        <v>1</v>
      </c>
      <c r="S447" s="26">
        <v>4</v>
      </c>
      <c r="T447" s="26">
        <v>4</v>
      </c>
      <c r="U447" s="26">
        <v>9</v>
      </c>
      <c r="V447" s="26">
        <v>1</v>
      </c>
      <c r="W447" s="26" t="s">
        <v>2076</v>
      </c>
    </row>
    <row r="448" spans="1:23" x14ac:dyDescent="0.25">
      <c r="A448" s="26" t="str">
        <f t="shared" si="56"/>
        <v>PREESCOLAR</v>
      </c>
      <c r="B448" s="26" t="str">
        <f>"09DJN0546O"</f>
        <v>09DJN0546O</v>
      </c>
      <c r="C448" s="26" t="str">
        <f>"MARIA PEREZ VALIENTE                                                                                "</f>
        <v xml:space="preserve">MARIA PEREZ VALIENTE                                                                                </v>
      </c>
      <c r="D448" s="26" t="str">
        <f>"VESPERTINO"</f>
        <v>VESPERTINO</v>
      </c>
      <c r="E448" s="26" t="str">
        <f>"AV. 3A 5A Y CALLE 34-A                                                          "</f>
        <v xml:space="preserve">AV. 3A 5A Y CALLE 34-A                                                          </v>
      </c>
      <c r="F448" s="26" t="str">
        <f>"SANTA ROSA                                                                                                                                  "</f>
        <v xml:space="preserve">SANTA ROSA                                                                                                                                  </v>
      </c>
      <c r="G448" s="26" t="str">
        <f>"GUSTAVO A. MADERO                                                               "</f>
        <v xml:space="preserve">GUSTAVO A. MADERO                                                               </v>
      </c>
      <c r="H448" s="26" t="str">
        <f>"196"</f>
        <v>196</v>
      </c>
      <c r="I448" s="26" t="str">
        <f t="shared" si="57"/>
        <v>00</v>
      </c>
      <c r="J448" s="26" t="str">
        <f>"32 "</f>
        <v xml:space="preserve">32 </v>
      </c>
      <c r="K448" s="26" t="str">
        <f t="shared" si="63"/>
        <v>EP</v>
      </c>
      <c r="L448" s="26" t="str">
        <f t="shared" si="64"/>
        <v>DGOSE</v>
      </c>
      <c r="M448" s="26" t="str">
        <f t="shared" si="58"/>
        <v>FEDERAL</v>
      </c>
      <c r="N448" s="26">
        <v>72</v>
      </c>
      <c r="O448" s="26">
        <v>37</v>
      </c>
      <c r="P448" s="26">
        <v>35</v>
      </c>
      <c r="Q448" s="26">
        <v>3</v>
      </c>
      <c r="R448" s="26">
        <v>1</v>
      </c>
      <c r="S448" s="26">
        <v>3</v>
      </c>
      <c r="T448" s="26">
        <v>3</v>
      </c>
      <c r="U448" s="26">
        <v>7</v>
      </c>
      <c r="V448" s="26">
        <v>1</v>
      </c>
      <c r="W448" s="26"/>
    </row>
    <row r="449" spans="1:23" x14ac:dyDescent="0.25">
      <c r="A449" s="26" t="str">
        <f t="shared" si="56"/>
        <v>PREESCOLAR</v>
      </c>
      <c r="B449" s="26" t="str">
        <f>"09DJN0547N"</f>
        <v>09DJN0547N</v>
      </c>
      <c r="C449" s="26" t="str">
        <f>"INDEPENDENCIA                                                                                       "</f>
        <v xml:space="preserve">INDEPENDENCIA                                                                                       </v>
      </c>
      <c r="D449" s="26" t="str">
        <f>"JORNADA AMPLIADA"</f>
        <v>JORNADA AMPLIADA</v>
      </c>
      <c r="E449" s="26" t="str">
        <f>"JARANA NO. 2                                                                    "</f>
        <v xml:space="preserve">JARANA NO. 2                                                                    </v>
      </c>
      <c r="F449" s="26" t="str">
        <f>"UNIDAD INDEPENDENCIA                                                                                                                        "</f>
        <v xml:space="preserve">UNIDAD INDEPENDENCIA                                                                                                                        </v>
      </c>
      <c r="G449" s="26" t="str">
        <f>"LA MAGDALENA CONTRERAS                                                          "</f>
        <v xml:space="preserve">LA MAGDALENA CONTRERAS                                                          </v>
      </c>
      <c r="H449" s="26" t="str">
        <f>"200"</f>
        <v>200</v>
      </c>
      <c r="I449" s="26" t="str">
        <f t="shared" si="57"/>
        <v>00</v>
      </c>
      <c r="J449" s="26" t="str">
        <f>"34 "</f>
        <v xml:space="preserve">34 </v>
      </c>
      <c r="K449" s="26" t="str">
        <f t="shared" si="63"/>
        <v>EP</v>
      </c>
      <c r="L449" s="26" t="str">
        <f t="shared" si="64"/>
        <v>DGOSE</v>
      </c>
      <c r="M449" s="26" t="str">
        <f t="shared" si="58"/>
        <v>FEDERAL</v>
      </c>
      <c r="N449" s="26">
        <v>96</v>
      </c>
      <c r="O449" s="26">
        <v>53</v>
      </c>
      <c r="P449" s="26">
        <v>43</v>
      </c>
      <c r="Q449" s="26">
        <v>4</v>
      </c>
      <c r="R449" s="26">
        <v>1</v>
      </c>
      <c r="S449" s="26">
        <v>3</v>
      </c>
      <c r="T449" s="26">
        <v>4</v>
      </c>
      <c r="U449" s="26">
        <v>8</v>
      </c>
      <c r="V449" s="26">
        <v>1</v>
      </c>
      <c r="W449" s="26" t="s">
        <v>2076</v>
      </c>
    </row>
    <row r="450" spans="1:23" x14ac:dyDescent="0.25">
      <c r="A450" s="26" t="str">
        <f t="shared" ref="A450:A513" si="65">"PREESCOLAR"</f>
        <v>PREESCOLAR</v>
      </c>
      <c r="B450" s="26" t="str">
        <f>"09DJN0548M"</f>
        <v>09DJN0548M</v>
      </c>
      <c r="C450" s="26" t="str">
        <f>"MANUEL CERVANTES IMAZ                                                                               "</f>
        <v xml:space="preserve">MANUEL CERVANTES IMAZ                                                                               </v>
      </c>
      <c r="D450" s="26" t="str">
        <f>"MATUTINO"</f>
        <v>MATUTINO</v>
      </c>
      <c r="E450" s="26" t="str">
        <f>"FLOR DE SAN JUAN S/N                                                            "</f>
        <v xml:space="preserve">FLOR DE SAN JUAN S/N                                                            </v>
      </c>
      <c r="F450" s="26" t="str">
        <f>"TORRES DE POTRERO                                                                                                                           "</f>
        <v xml:space="preserve">TORRES DE POTRERO                                                                                                                           </v>
      </c>
      <c r="G450" s="26" t="str">
        <f>"ALVARO OBREGON                                                                  "</f>
        <v xml:space="preserve">ALVARO OBREGON                                                                  </v>
      </c>
      <c r="H450" s="26" t="str">
        <f>"214"</f>
        <v>214</v>
      </c>
      <c r="I450" s="26" t="str">
        <f t="shared" ref="I450:I513" si="66">"00"</f>
        <v>00</v>
      </c>
      <c r="J450" s="26" t="str">
        <f>"33 "</f>
        <v xml:space="preserve">33 </v>
      </c>
      <c r="K450" s="26" t="str">
        <f t="shared" si="63"/>
        <v>EP</v>
      </c>
      <c r="L450" s="26" t="str">
        <f t="shared" si="64"/>
        <v>DGOSE</v>
      </c>
      <c r="M450" s="26" t="str">
        <f t="shared" ref="M450:M513" si="67">"FEDERAL"</f>
        <v>FEDERAL</v>
      </c>
      <c r="N450" s="26">
        <v>303</v>
      </c>
      <c r="O450" s="26">
        <v>159</v>
      </c>
      <c r="P450" s="26">
        <v>144</v>
      </c>
      <c r="Q450" s="26">
        <v>8</v>
      </c>
      <c r="R450" s="26">
        <v>1</v>
      </c>
      <c r="S450" s="26">
        <v>8</v>
      </c>
      <c r="T450" s="26">
        <v>4</v>
      </c>
      <c r="U450" s="26">
        <v>13</v>
      </c>
      <c r="V450" s="26">
        <v>1</v>
      </c>
      <c r="W450" s="26"/>
    </row>
    <row r="451" spans="1:23" x14ac:dyDescent="0.25">
      <c r="A451" s="26" t="str">
        <f t="shared" si="65"/>
        <v>PREESCOLAR</v>
      </c>
      <c r="B451" s="26" t="str">
        <f>"09DJN0549L"</f>
        <v>09DJN0549L</v>
      </c>
      <c r="C451" s="26" t="str">
        <f>"ROBERTO KOCH                                                                                        "</f>
        <v xml:space="preserve">ROBERTO KOCH                                                                                        </v>
      </c>
      <c r="D451" s="26" t="str">
        <f>"VESPERTINO"</f>
        <v>VESPERTINO</v>
      </c>
      <c r="E451" s="26" t="str">
        <f>"CALLE 21 NO. 103                                                                "</f>
        <v xml:space="preserve">CALLE 21 NO. 103                                                                </v>
      </c>
      <c r="F451" s="26" t="str">
        <f>"PRO  HOGAR                                                                                                                                  "</f>
        <v xml:space="preserve">PRO  HOGAR                                                                                                                                  </v>
      </c>
      <c r="G451" s="26" t="str">
        <f>"AZCAPOTZALCO                                                                    "</f>
        <v xml:space="preserve">AZCAPOTZALCO                                                                    </v>
      </c>
      <c r="H451" s="26" t="str">
        <f>"190"</f>
        <v>190</v>
      </c>
      <c r="I451" s="26" t="str">
        <f t="shared" si="66"/>
        <v>00</v>
      </c>
      <c r="J451" s="26" t="str">
        <f>"32 "</f>
        <v xml:space="preserve">32 </v>
      </c>
      <c r="K451" s="26" t="str">
        <f t="shared" si="63"/>
        <v>EP</v>
      </c>
      <c r="L451" s="26" t="str">
        <f t="shared" si="64"/>
        <v>DGOSE</v>
      </c>
      <c r="M451" s="26" t="str">
        <f t="shared" si="67"/>
        <v>FEDERAL</v>
      </c>
      <c r="N451" s="26">
        <v>75</v>
      </c>
      <c r="O451" s="26">
        <v>44</v>
      </c>
      <c r="P451" s="26">
        <v>31</v>
      </c>
      <c r="Q451" s="26">
        <v>4</v>
      </c>
      <c r="R451" s="26">
        <v>1</v>
      </c>
      <c r="S451" s="26">
        <v>2</v>
      </c>
      <c r="T451" s="26">
        <v>5</v>
      </c>
      <c r="U451" s="26">
        <v>8</v>
      </c>
      <c r="V451" s="26">
        <v>1</v>
      </c>
      <c r="W451" s="26"/>
    </row>
    <row r="452" spans="1:23" x14ac:dyDescent="0.25">
      <c r="A452" s="26" t="str">
        <f t="shared" si="65"/>
        <v>PREESCOLAR</v>
      </c>
      <c r="B452" s="26" t="str">
        <f>"09DJN0550A"</f>
        <v>09DJN0550A</v>
      </c>
      <c r="C452" s="26" t="str">
        <f>"CARLOS CHAVEZ                                                                                       "</f>
        <v xml:space="preserve">CARLOS CHAVEZ                                                                                       </v>
      </c>
      <c r="D452" s="26" t="str">
        <f>"JORNADA AMPLIADA"</f>
        <v>JORNADA AMPLIADA</v>
      </c>
      <c r="E452" s="26" t="str">
        <f>"CIRCUITO RIO MIXTECO S/N                                                        "</f>
        <v xml:space="preserve">CIRCUITO RIO MIXTECO S/N                                                        </v>
      </c>
      <c r="F452" s="26" t="str">
        <f>"REAL DEL MORAL                                                                                                                              "</f>
        <v xml:space="preserve">REAL DEL MORAL                                                                                                                              </v>
      </c>
      <c r="G452" s="26" t="str">
        <f>"IZTAPALAPA                                                                      "</f>
        <v xml:space="preserve">IZTAPALAPA                                                                      </v>
      </c>
      <c r="H452" s="26" t="str">
        <f>"005"</f>
        <v>005</v>
      </c>
      <c r="I452" s="26" t="str">
        <f t="shared" si="66"/>
        <v>00</v>
      </c>
      <c r="J452" s="26" t="str">
        <f>"61 "</f>
        <v xml:space="preserve">61 </v>
      </c>
      <c r="K452" s="26" t="str">
        <f>"IZ"</f>
        <v>IZ</v>
      </c>
      <c r="L452" s="26" t="str">
        <f>"DGSEI"</f>
        <v>DGSEI</v>
      </c>
      <c r="M452" s="26" t="str">
        <f t="shared" si="67"/>
        <v>FEDERAL</v>
      </c>
      <c r="N452" s="26">
        <v>136</v>
      </c>
      <c r="O452" s="26">
        <v>76</v>
      </c>
      <c r="P452" s="26">
        <v>60</v>
      </c>
      <c r="Q452" s="26">
        <v>4</v>
      </c>
      <c r="R452" s="26">
        <v>1</v>
      </c>
      <c r="S452" s="26">
        <v>4</v>
      </c>
      <c r="T452" s="26">
        <v>5</v>
      </c>
      <c r="U452" s="26">
        <v>10</v>
      </c>
      <c r="V452" s="26">
        <v>1</v>
      </c>
      <c r="W452" s="26" t="s">
        <v>2076</v>
      </c>
    </row>
    <row r="453" spans="1:23" x14ac:dyDescent="0.25">
      <c r="A453" s="26" t="str">
        <f t="shared" si="65"/>
        <v>PREESCOLAR</v>
      </c>
      <c r="B453" s="26" t="str">
        <f>"09DJN0551Z"</f>
        <v>09DJN0551Z</v>
      </c>
      <c r="C453" s="26" t="str">
        <f>"ACUEDUCTO DE GUADALUPE                                                                              "</f>
        <v xml:space="preserve">ACUEDUCTO DE GUADALUPE                                                                              </v>
      </c>
      <c r="D453" s="26" t="str">
        <f>"JORNADA AMPLIADA"</f>
        <v>JORNADA AMPLIADA</v>
      </c>
      <c r="E453" s="26" t="str">
        <f>"AV. MAREJADA Y ANDADOR DE LA SIERRA                                             "</f>
        <v xml:space="preserve">AV. MAREJADA Y ANDADOR DE LA SIERRA                                             </v>
      </c>
      <c r="F453" s="26" t="str">
        <f>"ACUEDUCTO DE GUADALUPE                                                                                                                      "</f>
        <v xml:space="preserve">ACUEDUCTO DE GUADALUPE                                                                                                                      </v>
      </c>
      <c r="G453" s="26" t="str">
        <f>"GUSTAVO A. MADERO                                                               "</f>
        <v xml:space="preserve">GUSTAVO A. MADERO                                                               </v>
      </c>
      <c r="H453" s="26" t="str">
        <f>"080"</f>
        <v>080</v>
      </c>
      <c r="I453" s="26" t="str">
        <f t="shared" si="66"/>
        <v>00</v>
      </c>
      <c r="J453" s="26" t="str">
        <f>"31 "</f>
        <v xml:space="preserve">31 </v>
      </c>
      <c r="K453" s="26" t="str">
        <f>"EP"</f>
        <v>EP</v>
      </c>
      <c r="L453" s="26" t="str">
        <f>"DGOSE"</f>
        <v>DGOSE</v>
      </c>
      <c r="M453" s="26" t="str">
        <f t="shared" si="67"/>
        <v>FEDERAL</v>
      </c>
      <c r="N453" s="26">
        <v>250</v>
      </c>
      <c r="O453" s="26">
        <v>132</v>
      </c>
      <c r="P453" s="26">
        <v>118</v>
      </c>
      <c r="Q453" s="26">
        <v>8</v>
      </c>
      <c r="R453" s="26">
        <v>1</v>
      </c>
      <c r="S453" s="26">
        <v>8</v>
      </c>
      <c r="T453" s="26">
        <v>8</v>
      </c>
      <c r="U453" s="26">
        <v>17</v>
      </c>
      <c r="V453" s="26">
        <v>1</v>
      </c>
      <c r="W453" s="26" t="s">
        <v>2076</v>
      </c>
    </row>
    <row r="454" spans="1:23" x14ac:dyDescent="0.25">
      <c r="A454" s="26" t="str">
        <f t="shared" si="65"/>
        <v>PREESCOLAR</v>
      </c>
      <c r="B454" s="26" t="str">
        <f>"09DJN0552Z"</f>
        <v>09DJN0552Z</v>
      </c>
      <c r="C454" s="26" t="str">
        <f>"XILONEM                                                                                             "</f>
        <v xml:space="preserve">XILONEM                                                                                             </v>
      </c>
      <c r="D454" s="26" t="str">
        <f>"VESPERTINO"</f>
        <v>VESPERTINO</v>
      </c>
      <c r="E454" s="26" t="str">
        <f>"ORIENTE 158 NO. 236                                                             "</f>
        <v xml:space="preserve">ORIENTE 158 NO. 236                                                             </v>
      </c>
      <c r="F454" s="26" t="str">
        <f>"MOCTEZUMA 2A SECCION                                                                                                                        "</f>
        <v xml:space="preserve">MOCTEZUMA 2A SECCION                                                                                                                        </v>
      </c>
      <c r="G454" s="26" t="str">
        <f>"VENUSTIANO CARRANZA                                                             "</f>
        <v xml:space="preserve">VENUSTIANO CARRANZA                                                             </v>
      </c>
      <c r="H454" s="26" t="str">
        <f>"248"</f>
        <v>248</v>
      </c>
      <c r="I454" s="26" t="str">
        <f t="shared" si="66"/>
        <v>00</v>
      </c>
      <c r="J454" s="26" t="str">
        <f>"33 "</f>
        <v xml:space="preserve">33 </v>
      </c>
      <c r="K454" s="26" t="str">
        <f>"EP"</f>
        <v>EP</v>
      </c>
      <c r="L454" s="26" t="str">
        <f>"DGOSE"</f>
        <v>DGOSE</v>
      </c>
      <c r="M454" s="26" t="str">
        <f t="shared" si="67"/>
        <v>FEDERAL</v>
      </c>
      <c r="N454" s="26">
        <v>132</v>
      </c>
      <c r="O454" s="26">
        <v>66</v>
      </c>
      <c r="P454" s="26">
        <v>66</v>
      </c>
      <c r="Q454" s="26">
        <v>5</v>
      </c>
      <c r="R454" s="26">
        <v>1</v>
      </c>
      <c r="S454" s="26">
        <v>5</v>
      </c>
      <c r="T454" s="26">
        <v>7</v>
      </c>
      <c r="U454" s="26">
        <v>13</v>
      </c>
      <c r="V454" s="26">
        <v>1</v>
      </c>
      <c r="W454" s="26"/>
    </row>
    <row r="455" spans="1:23" x14ac:dyDescent="0.25">
      <c r="A455" s="26" t="str">
        <f t="shared" si="65"/>
        <v>PREESCOLAR</v>
      </c>
      <c r="B455" s="26" t="str">
        <f>"09DJN0553Y"</f>
        <v>09DJN0553Y</v>
      </c>
      <c r="C455" s="26" t="str">
        <f>"CONSTITUCION DE 1917                                                                                "</f>
        <v xml:space="preserve">CONSTITUCION DE 1917                                                                                </v>
      </c>
      <c r="D455" s="26" t="str">
        <f>"JORNADA AMPLIADA"</f>
        <v>JORNADA AMPLIADA</v>
      </c>
      <c r="E455" s="26" t="str">
        <f>"4TO. RET. DE APATZINGAN S/N 3ER. SECC.                                          "</f>
        <v xml:space="preserve">4TO. RET. DE APATZINGAN S/N 3ER. SECC.                                          </v>
      </c>
      <c r="F455" s="26" t="str">
        <f>"UNIDAD HABITACIONAL ERMITA ZARAGOZA                                                                                                         "</f>
        <v xml:space="preserve">UNIDAD HABITACIONAL ERMITA ZARAGOZA                                                                                                         </v>
      </c>
      <c r="G455" s="26" t="str">
        <f>"IZTAPALAPA                                                                      "</f>
        <v xml:space="preserve">IZTAPALAPA                                                                      </v>
      </c>
      <c r="H455" s="26" t="str">
        <f>"008"</f>
        <v>008</v>
      </c>
      <c r="I455" s="26" t="str">
        <f t="shared" si="66"/>
        <v>00</v>
      </c>
      <c r="J455" s="26" t="str">
        <f>"61 "</f>
        <v xml:space="preserve">61 </v>
      </c>
      <c r="K455" s="26" t="str">
        <f>"IZ"</f>
        <v>IZ</v>
      </c>
      <c r="L455" s="26" t="str">
        <f>"DGSEI"</f>
        <v>DGSEI</v>
      </c>
      <c r="M455" s="26" t="str">
        <f t="shared" si="67"/>
        <v>FEDERAL</v>
      </c>
      <c r="N455" s="26">
        <v>140</v>
      </c>
      <c r="O455" s="26">
        <v>69</v>
      </c>
      <c r="P455" s="26">
        <v>71</v>
      </c>
      <c r="Q455" s="26">
        <v>4</v>
      </c>
      <c r="R455" s="26">
        <v>1</v>
      </c>
      <c r="S455" s="26">
        <v>4</v>
      </c>
      <c r="T455" s="26">
        <v>4</v>
      </c>
      <c r="U455" s="26">
        <v>9</v>
      </c>
      <c r="V455" s="26">
        <v>1</v>
      </c>
      <c r="W455" s="26" t="s">
        <v>2076</v>
      </c>
    </row>
    <row r="456" spans="1:23" x14ac:dyDescent="0.25">
      <c r="A456" s="26" t="str">
        <f t="shared" si="65"/>
        <v>PREESCOLAR</v>
      </c>
      <c r="B456" s="26" t="str">
        <f>"09DJN0555W"</f>
        <v>09DJN0555W</v>
      </c>
      <c r="C456" s="26" t="str">
        <f>"BENJAMIN LEON                                                                                       "</f>
        <v xml:space="preserve">BENJAMIN LEON                                                                                       </v>
      </c>
      <c r="D456" s="26" t="str">
        <f>"TIEMPO COMPLETO"</f>
        <v>TIEMPO COMPLETO</v>
      </c>
      <c r="E456" s="26" t="str">
        <f>"RETORNO 49 S/N                                                                  "</f>
        <v xml:space="preserve">RETORNO 49 S/N                                                                  </v>
      </c>
      <c r="F456" s="26" t="str">
        <f>"AVANTE                                                                                                                                      "</f>
        <v xml:space="preserve">AVANTE                                                                                                                                      </v>
      </c>
      <c r="G456" s="26" t="str">
        <f>"COYOACAN                                                                        "</f>
        <v xml:space="preserve">COYOACAN                                                                        </v>
      </c>
      <c r="H456" s="26" t="str">
        <f>"064"</f>
        <v>064</v>
      </c>
      <c r="I456" s="26" t="str">
        <f t="shared" si="66"/>
        <v>00</v>
      </c>
      <c r="J456" s="26" t="str">
        <f>"34 "</f>
        <v xml:space="preserve">34 </v>
      </c>
      <c r="K456" s="26" t="str">
        <f t="shared" ref="K456:K473" si="68">"EP"</f>
        <v>EP</v>
      </c>
      <c r="L456" s="26" t="str">
        <f t="shared" ref="L456:L473" si="69">"DGOSE"</f>
        <v>DGOSE</v>
      </c>
      <c r="M456" s="26" t="str">
        <f t="shared" si="67"/>
        <v>FEDERAL</v>
      </c>
      <c r="N456" s="26">
        <v>165</v>
      </c>
      <c r="O456" s="26">
        <v>95</v>
      </c>
      <c r="P456" s="26">
        <v>70</v>
      </c>
      <c r="Q456" s="26">
        <v>5</v>
      </c>
      <c r="R456" s="26">
        <v>2</v>
      </c>
      <c r="S456" s="26">
        <v>5</v>
      </c>
      <c r="T456" s="26">
        <v>13</v>
      </c>
      <c r="U456" s="26">
        <v>20</v>
      </c>
      <c r="V456" s="26">
        <v>1</v>
      </c>
      <c r="W456" s="26" t="s">
        <v>218</v>
      </c>
    </row>
    <row r="457" spans="1:23" x14ac:dyDescent="0.25">
      <c r="A457" s="26" t="str">
        <f t="shared" si="65"/>
        <v>PREESCOLAR</v>
      </c>
      <c r="B457" s="26" t="str">
        <f>"09DJN0556V"</f>
        <v>09DJN0556V</v>
      </c>
      <c r="C457" s="26" t="str">
        <f>"ESTATUTO JURIDICO                                                                                   "</f>
        <v xml:space="preserve">ESTATUTO JURIDICO                                                                                   </v>
      </c>
      <c r="D457" s="26" t="str">
        <f>"JORNADA AMPLIADA"</f>
        <v>JORNADA AMPLIADA</v>
      </c>
      <c r="E457" s="26" t="str">
        <f>"JACARANDAS Y COPA DE ORO                                                        "</f>
        <v xml:space="preserve">JACARANDAS Y COPA DE ORO                                                        </v>
      </c>
      <c r="F457" s="26" t="str">
        <f>"CIUDAD JARDIN                                                                                                                               "</f>
        <v xml:space="preserve">CIUDAD JARDIN                                                                                                                               </v>
      </c>
      <c r="G457" s="26" t="str">
        <f>"COYOACAN                                                                        "</f>
        <v xml:space="preserve">COYOACAN                                                                        </v>
      </c>
      <c r="H457" s="26" t="str">
        <f>"208"</f>
        <v>208</v>
      </c>
      <c r="I457" s="26" t="str">
        <f t="shared" si="66"/>
        <v>00</v>
      </c>
      <c r="J457" s="26" t="str">
        <f>"34 "</f>
        <v xml:space="preserve">34 </v>
      </c>
      <c r="K457" s="26" t="str">
        <f t="shared" si="68"/>
        <v>EP</v>
      </c>
      <c r="L457" s="26" t="str">
        <f t="shared" si="69"/>
        <v>DGOSE</v>
      </c>
      <c r="M457" s="26" t="str">
        <f t="shared" si="67"/>
        <v>FEDERAL</v>
      </c>
      <c r="N457" s="26">
        <v>132</v>
      </c>
      <c r="O457" s="26">
        <v>64</v>
      </c>
      <c r="P457" s="26">
        <v>68</v>
      </c>
      <c r="Q457" s="26">
        <v>4</v>
      </c>
      <c r="R457" s="26">
        <v>1</v>
      </c>
      <c r="S457" s="26">
        <v>4</v>
      </c>
      <c r="T457" s="26">
        <v>6</v>
      </c>
      <c r="U457" s="26">
        <v>11</v>
      </c>
      <c r="V457" s="26">
        <v>1</v>
      </c>
      <c r="W457" s="26" t="s">
        <v>2076</v>
      </c>
    </row>
    <row r="458" spans="1:23" x14ac:dyDescent="0.25">
      <c r="A458" s="26" t="str">
        <f t="shared" si="65"/>
        <v>PREESCOLAR</v>
      </c>
      <c r="B458" s="26" t="str">
        <f>"09DJN0558T"</f>
        <v>09DJN0558T</v>
      </c>
      <c r="C458" s="26" t="str">
        <f>"REPUBLICA DE CHILE                                                                                  "</f>
        <v xml:space="preserve">REPUBLICA DE CHILE                                                                                  </v>
      </c>
      <c r="D458" s="26" t="str">
        <f>"TIEMPO COMPLETO"</f>
        <v>TIEMPO COMPLETO</v>
      </c>
      <c r="E458" s="26" t="str">
        <f>"5 DE MAYO NO. 38                                                                "</f>
        <v xml:space="preserve">5 DE MAYO NO. 38                                                                </v>
      </c>
      <c r="F458" s="26" t="str">
        <f>"TEPEPAN                                                                                                                                     "</f>
        <v xml:space="preserve">TEPEPAN                                                                                                                                     </v>
      </c>
      <c r="G458" s="26" t="str">
        <f>"XOCHIMILCO                                                                      "</f>
        <v xml:space="preserve">XOCHIMILCO                                                                      </v>
      </c>
      <c r="H458" s="26" t="str">
        <f>"036"</f>
        <v>036</v>
      </c>
      <c r="I458" s="26" t="str">
        <f t="shared" si="66"/>
        <v>00</v>
      </c>
      <c r="J458" s="26" t="str">
        <f>"34 "</f>
        <v xml:space="preserve">34 </v>
      </c>
      <c r="K458" s="26" t="str">
        <f t="shared" si="68"/>
        <v>EP</v>
      </c>
      <c r="L458" s="26" t="str">
        <f t="shared" si="69"/>
        <v>DGOSE</v>
      </c>
      <c r="M458" s="26" t="str">
        <f t="shared" si="67"/>
        <v>FEDERAL</v>
      </c>
      <c r="N458" s="26">
        <v>162</v>
      </c>
      <c r="O458" s="26">
        <v>80</v>
      </c>
      <c r="P458" s="26">
        <v>82</v>
      </c>
      <c r="Q458" s="26">
        <v>7</v>
      </c>
      <c r="R458" s="26">
        <v>2</v>
      </c>
      <c r="S458" s="26">
        <v>7</v>
      </c>
      <c r="T458" s="26">
        <v>15</v>
      </c>
      <c r="U458" s="26">
        <v>24</v>
      </c>
      <c r="V458" s="26">
        <v>1</v>
      </c>
      <c r="W458" s="26" t="s">
        <v>218</v>
      </c>
    </row>
    <row r="459" spans="1:23" x14ac:dyDescent="0.25">
      <c r="A459" s="26" t="str">
        <f t="shared" si="65"/>
        <v>PREESCOLAR</v>
      </c>
      <c r="B459" s="26" t="str">
        <f>"09DJN0559S"</f>
        <v>09DJN0559S</v>
      </c>
      <c r="C459" s="26" t="str">
        <f>"CUAUHTEMOC                                                                                          "</f>
        <v xml:space="preserve">CUAUHTEMOC                                                                                          </v>
      </c>
      <c r="D459" s="26" t="str">
        <f>"MATUTINO"</f>
        <v>MATUTINO</v>
      </c>
      <c r="E459" s="26" t="str">
        <f>"REFORMA Y 5 DE MAYO S/N                                                         "</f>
        <v xml:space="preserve">REFORMA Y 5 DE MAYO S/N                                                         </v>
      </c>
      <c r="F459" s="26" t="str">
        <f>"SAN ANDRES TOTOLTEPEC                                                                                                                       "</f>
        <v xml:space="preserve">SAN ANDRES TOTOLTEPEC                                                                                                                       </v>
      </c>
      <c r="G459" s="26" t="str">
        <f>"TLALPAN                                                                         "</f>
        <v xml:space="preserve">TLALPAN                                                                         </v>
      </c>
      <c r="H459" s="26" t="str">
        <f>"226"</f>
        <v>226</v>
      </c>
      <c r="I459" s="26" t="str">
        <f t="shared" si="66"/>
        <v>00</v>
      </c>
      <c r="J459" s="26" t="str">
        <f>"35 "</f>
        <v xml:space="preserve">35 </v>
      </c>
      <c r="K459" s="26" t="str">
        <f t="shared" si="68"/>
        <v>EP</v>
      </c>
      <c r="L459" s="26" t="str">
        <f t="shared" si="69"/>
        <v>DGOSE</v>
      </c>
      <c r="M459" s="26" t="str">
        <f t="shared" si="67"/>
        <v>FEDERAL</v>
      </c>
      <c r="N459" s="26">
        <v>256</v>
      </c>
      <c r="O459" s="26">
        <v>122</v>
      </c>
      <c r="P459" s="26">
        <v>134</v>
      </c>
      <c r="Q459" s="26">
        <v>7</v>
      </c>
      <c r="R459" s="26">
        <v>1</v>
      </c>
      <c r="S459" s="26">
        <v>7</v>
      </c>
      <c r="T459" s="26">
        <v>6</v>
      </c>
      <c r="U459" s="26">
        <v>14</v>
      </c>
      <c r="V459" s="26">
        <v>1</v>
      </c>
      <c r="W459" s="26"/>
    </row>
    <row r="460" spans="1:23" x14ac:dyDescent="0.25">
      <c r="A460" s="26" t="str">
        <f t="shared" si="65"/>
        <v>PREESCOLAR</v>
      </c>
      <c r="B460" s="26" t="str">
        <f>"09DJN0560H"</f>
        <v>09DJN0560H</v>
      </c>
      <c r="C460" s="26" t="str">
        <f>"CAMARA JUNIOR                                                                                       "</f>
        <v xml:space="preserve">CAMARA JUNIOR                                                                                       </v>
      </c>
      <c r="D460" s="26" t="str">
        <f>"JORNADA AMPLIADA"</f>
        <v>JORNADA AMPLIADA</v>
      </c>
      <c r="E460" s="26" t="str">
        <f>"SAN JUAN BOSCO NO. 1                                                            "</f>
        <v xml:space="preserve">SAN JUAN BOSCO NO. 1                                                            </v>
      </c>
      <c r="F460" s="26" t="str">
        <f>"HUIPULCO                                                                                                                                    "</f>
        <v xml:space="preserve">HUIPULCO                                                                                                                                    </v>
      </c>
      <c r="G460" s="26" t="str">
        <f>"TLALPAN                                                                         "</f>
        <v xml:space="preserve">TLALPAN                                                                         </v>
      </c>
      <c r="H460" s="26" t="str">
        <f>"145"</f>
        <v>145</v>
      </c>
      <c r="I460" s="26" t="str">
        <f t="shared" si="66"/>
        <v>00</v>
      </c>
      <c r="J460" s="26" t="str">
        <f>"34 "</f>
        <v xml:space="preserve">34 </v>
      </c>
      <c r="K460" s="26" t="str">
        <f t="shared" si="68"/>
        <v>EP</v>
      </c>
      <c r="L460" s="26" t="str">
        <f t="shared" si="69"/>
        <v>DGOSE</v>
      </c>
      <c r="M460" s="26" t="str">
        <f t="shared" si="67"/>
        <v>FEDERAL</v>
      </c>
      <c r="N460" s="26">
        <v>222</v>
      </c>
      <c r="O460" s="26">
        <v>100</v>
      </c>
      <c r="P460" s="26">
        <v>122</v>
      </c>
      <c r="Q460" s="26">
        <v>7</v>
      </c>
      <c r="R460" s="26">
        <v>1</v>
      </c>
      <c r="S460" s="26">
        <v>7</v>
      </c>
      <c r="T460" s="26">
        <v>7</v>
      </c>
      <c r="U460" s="26">
        <v>15</v>
      </c>
      <c r="V460" s="26">
        <v>1</v>
      </c>
      <c r="W460" s="26" t="s">
        <v>2076</v>
      </c>
    </row>
    <row r="461" spans="1:23" x14ac:dyDescent="0.25">
      <c r="A461" s="26" t="str">
        <f t="shared" si="65"/>
        <v>PREESCOLAR</v>
      </c>
      <c r="B461" s="26" t="str">
        <f>"09DJN0561G"</f>
        <v>09DJN0561G</v>
      </c>
      <c r="C461" s="26" t="str">
        <f>"REPUBLICA DE ARGENTINA                                                                              "</f>
        <v xml:space="preserve">REPUBLICA DE ARGENTINA                                                                              </v>
      </c>
      <c r="D461" s="26" t="str">
        <f>"MATUTINO"</f>
        <v>MATUTINO</v>
      </c>
      <c r="E461" s="26" t="str">
        <f>"MORELOS NO. 4                                                                   "</f>
        <v xml:space="preserve">MORELOS NO. 4                                                                   </v>
      </c>
      <c r="F461" s="26" t="str">
        <f>"TLALPAN                                                                                                                                     "</f>
        <v xml:space="preserve">TLALPAN                                                                                                                                     </v>
      </c>
      <c r="G461" s="26" t="str">
        <f>"TLALPAN                                                                         "</f>
        <v xml:space="preserve">TLALPAN                                                                         </v>
      </c>
      <c r="H461" s="26" t="str">
        <f>"051"</f>
        <v>051</v>
      </c>
      <c r="I461" s="26" t="str">
        <f t="shared" si="66"/>
        <v>00</v>
      </c>
      <c r="J461" s="26" t="str">
        <f>"35 "</f>
        <v xml:space="preserve">35 </v>
      </c>
      <c r="K461" s="26" t="str">
        <f t="shared" si="68"/>
        <v>EP</v>
      </c>
      <c r="L461" s="26" t="str">
        <f t="shared" si="69"/>
        <v>DGOSE</v>
      </c>
      <c r="M461" s="26" t="str">
        <f t="shared" si="67"/>
        <v>FEDERAL</v>
      </c>
      <c r="N461" s="26">
        <v>227</v>
      </c>
      <c r="O461" s="26">
        <v>102</v>
      </c>
      <c r="P461" s="26">
        <v>125</v>
      </c>
      <c r="Q461" s="26">
        <v>7</v>
      </c>
      <c r="R461" s="26">
        <v>1</v>
      </c>
      <c r="S461" s="26">
        <v>7</v>
      </c>
      <c r="T461" s="26">
        <v>6</v>
      </c>
      <c r="U461" s="26">
        <v>14</v>
      </c>
      <c r="V461" s="26">
        <v>1</v>
      </c>
      <c r="W461" s="26"/>
    </row>
    <row r="462" spans="1:23" x14ac:dyDescent="0.25">
      <c r="A462" s="26" t="str">
        <f t="shared" si="65"/>
        <v>PREESCOLAR</v>
      </c>
      <c r="B462" s="26" t="str">
        <f>"09DJN0562F"</f>
        <v>09DJN0562F</v>
      </c>
      <c r="C462" s="26" t="str">
        <f>"MEXTLIXOCHITL                                                                                       "</f>
        <v xml:space="preserve">MEXTLIXOCHITL                                                                                       </v>
      </c>
      <c r="D462" s="26" t="str">
        <f>"TIEMPO COMPLETO"</f>
        <v>TIEMPO COMPLETO</v>
      </c>
      <c r="E462" s="26" t="str">
        <f>"CDA. CALLEJON DE 1 DE MAYO S/N                                                  "</f>
        <v xml:space="preserve">CDA. CALLEJON DE 1 DE MAYO S/N                                                  </v>
      </c>
      <c r="F462" s="26" t="str">
        <f>"SAN MIGUEL XICALCO                                                                                                                          "</f>
        <v xml:space="preserve">SAN MIGUEL XICALCO                                                                                                                          </v>
      </c>
      <c r="G462" s="26" t="str">
        <f>"TLALPAN                                                                         "</f>
        <v xml:space="preserve">TLALPAN                                                                         </v>
      </c>
      <c r="H462" s="26" t="str">
        <f>"229"</f>
        <v>229</v>
      </c>
      <c r="I462" s="26" t="str">
        <f t="shared" si="66"/>
        <v>00</v>
      </c>
      <c r="J462" s="26" t="str">
        <f>"34 "</f>
        <v xml:space="preserve">34 </v>
      </c>
      <c r="K462" s="26" t="str">
        <f t="shared" si="68"/>
        <v>EP</v>
      </c>
      <c r="L462" s="26" t="str">
        <f t="shared" si="69"/>
        <v>DGOSE</v>
      </c>
      <c r="M462" s="26" t="str">
        <f t="shared" si="67"/>
        <v>FEDERAL</v>
      </c>
      <c r="N462" s="26">
        <v>332</v>
      </c>
      <c r="O462" s="26">
        <v>176</v>
      </c>
      <c r="P462" s="26">
        <v>156</v>
      </c>
      <c r="Q462" s="26">
        <v>9</v>
      </c>
      <c r="R462" s="26">
        <v>2</v>
      </c>
      <c r="S462" s="26">
        <v>9</v>
      </c>
      <c r="T462" s="26">
        <v>17</v>
      </c>
      <c r="U462" s="26">
        <v>28</v>
      </c>
      <c r="V462" s="26">
        <v>1</v>
      </c>
      <c r="W462" s="26" t="s">
        <v>218</v>
      </c>
    </row>
    <row r="463" spans="1:23" x14ac:dyDescent="0.25">
      <c r="A463" s="26" t="str">
        <f t="shared" si="65"/>
        <v>PREESCOLAR</v>
      </c>
      <c r="B463" s="26" t="str">
        <f>"09DJN0563E"</f>
        <v>09DJN0563E</v>
      </c>
      <c r="C463" s="26" t="str">
        <f>"ROSARIO CASTELLANOS                                                                                 "</f>
        <v xml:space="preserve">ROSARIO CASTELLANOS                                                                                 </v>
      </c>
      <c r="D463" s="26" t="str">
        <f>"TIEMPO COMPLETO"</f>
        <v>TIEMPO COMPLETO</v>
      </c>
      <c r="E463" s="26" t="str">
        <f>"AV. MEXICO CONTRERAS NO. 646                                                    "</f>
        <v xml:space="preserve">AV. MEXICO CONTRERAS NO. 646                                                    </v>
      </c>
      <c r="F463" s="26" t="str">
        <f>"HEROES DE PADIERNA                                                                                                                          "</f>
        <v xml:space="preserve">HEROES DE PADIERNA                                                                                                                          </v>
      </c>
      <c r="G463" s="26" t="str">
        <f>"LA MAGDALENA CONTRERAS                                                          "</f>
        <v xml:space="preserve">LA MAGDALENA CONTRERAS                                                          </v>
      </c>
      <c r="H463" s="26" t="str">
        <f>"123"</f>
        <v>123</v>
      </c>
      <c r="I463" s="26" t="str">
        <f t="shared" si="66"/>
        <v>00</v>
      </c>
      <c r="J463" s="26" t="str">
        <f>"34 "</f>
        <v xml:space="preserve">34 </v>
      </c>
      <c r="K463" s="26" t="str">
        <f t="shared" si="68"/>
        <v>EP</v>
      </c>
      <c r="L463" s="26" t="str">
        <f t="shared" si="69"/>
        <v>DGOSE</v>
      </c>
      <c r="M463" s="26" t="str">
        <f t="shared" si="67"/>
        <v>FEDERAL</v>
      </c>
      <c r="N463" s="26">
        <v>189</v>
      </c>
      <c r="O463" s="26">
        <v>112</v>
      </c>
      <c r="P463" s="26">
        <v>77</v>
      </c>
      <c r="Q463" s="26">
        <v>6</v>
      </c>
      <c r="R463" s="26">
        <v>2</v>
      </c>
      <c r="S463" s="26">
        <v>6</v>
      </c>
      <c r="T463" s="26">
        <v>17</v>
      </c>
      <c r="U463" s="26">
        <v>25</v>
      </c>
      <c r="V463" s="26">
        <v>1</v>
      </c>
      <c r="W463" s="26" t="s">
        <v>218</v>
      </c>
    </row>
    <row r="464" spans="1:23" x14ac:dyDescent="0.25">
      <c r="A464" s="26" t="str">
        <f t="shared" si="65"/>
        <v>PREESCOLAR</v>
      </c>
      <c r="B464" s="26" t="str">
        <f>"09DJN0564D"</f>
        <v>09DJN0564D</v>
      </c>
      <c r="C464" s="26" t="str">
        <f>"CITLALI                                                                                             "</f>
        <v xml:space="preserve">CITLALI                                                                                             </v>
      </c>
      <c r="D464" s="26" t="str">
        <f>"MATUTINO"</f>
        <v>MATUTINO</v>
      </c>
      <c r="E464" s="26" t="str">
        <f>"5 DE MAYO Y ZARAGOZA NO. 12                                                     "</f>
        <v xml:space="preserve">5 DE MAYO Y ZARAGOZA NO. 12                                                     </v>
      </c>
      <c r="F464" s="26" t="str">
        <f>"MAGDALENA PETLACALCO                                                                                                                        "</f>
        <v xml:space="preserve">MAGDALENA PETLACALCO                                                                                                                        </v>
      </c>
      <c r="G464" s="26" t="str">
        <f>"TLALPAN                                                                         "</f>
        <v xml:space="preserve">TLALPAN                                                                         </v>
      </c>
      <c r="H464" s="26" t="str">
        <f>"226"</f>
        <v>226</v>
      </c>
      <c r="I464" s="26" t="str">
        <f t="shared" si="66"/>
        <v>00</v>
      </c>
      <c r="J464" s="26" t="str">
        <f>"35 "</f>
        <v xml:space="preserve">35 </v>
      </c>
      <c r="K464" s="26" t="str">
        <f t="shared" si="68"/>
        <v>EP</v>
      </c>
      <c r="L464" s="26" t="str">
        <f t="shared" si="69"/>
        <v>DGOSE</v>
      </c>
      <c r="M464" s="26" t="str">
        <f t="shared" si="67"/>
        <v>FEDERAL</v>
      </c>
      <c r="N464" s="26">
        <v>167</v>
      </c>
      <c r="O464" s="26">
        <v>82</v>
      </c>
      <c r="P464" s="26">
        <v>85</v>
      </c>
      <c r="Q464" s="26">
        <v>5</v>
      </c>
      <c r="R464" s="26">
        <v>1</v>
      </c>
      <c r="S464" s="26">
        <v>5</v>
      </c>
      <c r="T464" s="26">
        <v>3</v>
      </c>
      <c r="U464" s="26">
        <v>9</v>
      </c>
      <c r="V464" s="26">
        <v>1</v>
      </c>
      <c r="W464" s="26"/>
    </row>
    <row r="465" spans="1:23" x14ac:dyDescent="0.25">
      <c r="A465" s="26" t="str">
        <f t="shared" si="65"/>
        <v>PREESCOLAR</v>
      </c>
      <c r="B465" s="26" t="str">
        <f>"09DJN0565C"</f>
        <v>09DJN0565C</v>
      </c>
      <c r="C465" s="26" t="str">
        <f>"MAGDALENA CONTRERAS MILLAN                                                                          "</f>
        <v xml:space="preserve">MAGDALENA CONTRERAS MILLAN                                                                          </v>
      </c>
      <c r="D465" s="26" t="str">
        <f>"MATUTINO"</f>
        <v>MATUTINO</v>
      </c>
      <c r="E465" s="26" t="str">
        <f>"ENSEÑANZA S/N                                                                   "</f>
        <v xml:space="preserve">ENSEÑANZA S/N                                                                   </v>
      </c>
      <c r="F465" s="26" t="str">
        <f>"SAN PEDRO MARTIR                                                                                                                            "</f>
        <v xml:space="preserve">SAN PEDRO MARTIR                                                                                                                            </v>
      </c>
      <c r="G465" s="26" t="str">
        <f>"TLALPAN                                                                         "</f>
        <v xml:space="preserve">TLALPAN                                                                         </v>
      </c>
      <c r="H465" s="26" t="str">
        <f>"132"</f>
        <v>132</v>
      </c>
      <c r="I465" s="26" t="str">
        <f t="shared" si="66"/>
        <v>00</v>
      </c>
      <c r="J465" s="26" t="str">
        <f>"35 "</f>
        <v xml:space="preserve">35 </v>
      </c>
      <c r="K465" s="26" t="str">
        <f t="shared" si="68"/>
        <v>EP</v>
      </c>
      <c r="L465" s="26" t="str">
        <f t="shared" si="69"/>
        <v>DGOSE</v>
      </c>
      <c r="M465" s="26" t="str">
        <f t="shared" si="67"/>
        <v>FEDERAL</v>
      </c>
      <c r="N465" s="26">
        <v>263</v>
      </c>
      <c r="O465" s="26">
        <v>132</v>
      </c>
      <c r="P465" s="26">
        <v>131</v>
      </c>
      <c r="Q465" s="26">
        <v>7</v>
      </c>
      <c r="R465" s="26">
        <v>0</v>
      </c>
      <c r="S465" s="26">
        <v>7</v>
      </c>
      <c r="T465" s="26">
        <v>4</v>
      </c>
      <c r="U465" s="26">
        <v>11</v>
      </c>
      <c r="V465" s="26">
        <v>1</v>
      </c>
      <c r="W465" s="26"/>
    </row>
    <row r="466" spans="1:23" x14ac:dyDescent="0.25">
      <c r="A466" s="26" t="str">
        <f t="shared" si="65"/>
        <v>PREESCOLAR</v>
      </c>
      <c r="B466" s="26" t="str">
        <f>"09DJN0566B"</f>
        <v>09DJN0566B</v>
      </c>
      <c r="C466" s="26" t="str">
        <f>"TOPILTZIN                                                                                           "</f>
        <v xml:space="preserve">TOPILTZIN                                                                                           </v>
      </c>
      <c r="D466" s="26" t="str">
        <f>"MATUTINO"</f>
        <v>MATUTINO</v>
      </c>
      <c r="E466" s="26" t="str">
        <f>"AV. TOLUCA NO. 730                                                              "</f>
        <v xml:space="preserve">AV. TOLUCA NO. 730                                                              </v>
      </c>
      <c r="F466" s="26" t="str">
        <f>"OLIVAR DE LOS PADRES                                                                                                                        "</f>
        <v xml:space="preserve">OLIVAR DE LOS PADRES                                                                                                                        </v>
      </c>
      <c r="G466" s="26" t="str">
        <f>"ALVARO OBREGON                                                                  "</f>
        <v xml:space="preserve">ALVARO OBREGON                                                                  </v>
      </c>
      <c r="H466" s="26" t="str">
        <f>"150"</f>
        <v>150</v>
      </c>
      <c r="I466" s="26" t="str">
        <f t="shared" si="66"/>
        <v>00</v>
      </c>
      <c r="J466" s="26" t="str">
        <f>"33 "</f>
        <v xml:space="preserve">33 </v>
      </c>
      <c r="K466" s="26" t="str">
        <f t="shared" si="68"/>
        <v>EP</v>
      </c>
      <c r="L466" s="26" t="str">
        <f t="shared" si="69"/>
        <v>DGOSE</v>
      </c>
      <c r="M466" s="26" t="str">
        <f t="shared" si="67"/>
        <v>FEDERAL</v>
      </c>
      <c r="N466" s="26">
        <v>186</v>
      </c>
      <c r="O466" s="26">
        <v>93</v>
      </c>
      <c r="P466" s="26">
        <v>93</v>
      </c>
      <c r="Q466" s="26">
        <v>6</v>
      </c>
      <c r="R466" s="26">
        <v>1</v>
      </c>
      <c r="S466" s="26">
        <v>6</v>
      </c>
      <c r="T466" s="26">
        <v>5</v>
      </c>
      <c r="U466" s="26">
        <v>12</v>
      </c>
      <c r="V466" s="26">
        <v>1</v>
      </c>
      <c r="W466" s="26"/>
    </row>
    <row r="467" spans="1:23" x14ac:dyDescent="0.25">
      <c r="A467" s="26" t="str">
        <f t="shared" si="65"/>
        <v>PREESCOLAR</v>
      </c>
      <c r="B467" s="26" t="str">
        <f>"09DJN0567A"</f>
        <v>09DJN0567A</v>
      </c>
      <c r="C467" s="26" t="str">
        <f>"SUECIA                                                                                              "</f>
        <v xml:space="preserve">SUECIA                                                                                              </v>
      </c>
      <c r="D467" s="26" t="str">
        <f>"JORNADA AMPLIADA"</f>
        <v>JORNADA AMPLIADA</v>
      </c>
      <c r="E467" s="26" t="str">
        <f>"MZA. 3 SECCION H                                                                "</f>
        <v xml:space="preserve">MZA. 3 SECCION H                                                                </v>
      </c>
      <c r="F467" s="26" t="str">
        <f>"LOMAS DE PLATEROS                                                                                                                           "</f>
        <v xml:space="preserve">LOMAS DE PLATEROS                                                                                                                           </v>
      </c>
      <c r="G467" s="26" t="str">
        <f>"ALVARO OBREGON                                                                  "</f>
        <v xml:space="preserve">ALVARO OBREGON                                                                  </v>
      </c>
      <c r="H467" s="26" t="str">
        <f>"100"</f>
        <v>100</v>
      </c>
      <c r="I467" s="26" t="str">
        <f t="shared" si="66"/>
        <v>00</v>
      </c>
      <c r="J467" s="26" t="str">
        <f>"34 "</f>
        <v xml:space="preserve">34 </v>
      </c>
      <c r="K467" s="26" t="str">
        <f t="shared" si="68"/>
        <v>EP</v>
      </c>
      <c r="L467" s="26" t="str">
        <f t="shared" si="69"/>
        <v>DGOSE</v>
      </c>
      <c r="M467" s="26" t="str">
        <f t="shared" si="67"/>
        <v>FEDERAL</v>
      </c>
      <c r="N467" s="26">
        <v>196</v>
      </c>
      <c r="O467" s="26">
        <v>100</v>
      </c>
      <c r="P467" s="26">
        <v>96</v>
      </c>
      <c r="Q467" s="26">
        <v>6</v>
      </c>
      <c r="R467" s="26">
        <v>1</v>
      </c>
      <c r="S467" s="26">
        <v>6</v>
      </c>
      <c r="T467" s="26">
        <v>5</v>
      </c>
      <c r="U467" s="26">
        <v>12</v>
      </c>
      <c r="V467" s="26">
        <v>1</v>
      </c>
      <c r="W467" s="26" t="s">
        <v>2076</v>
      </c>
    </row>
    <row r="468" spans="1:23" x14ac:dyDescent="0.25">
      <c r="A468" s="26" t="str">
        <f t="shared" si="65"/>
        <v>PREESCOLAR</v>
      </c>
      <c r="B468" s="26" t="str">
        <f>"09DJN0568Z"</f>
        <v>09DJN0568Z</v>
      </c>
      <c r="C468" s="26" t="str">
        <f>"DAHOMEY                                                                                             "</f>
        <v xml:space="preserve">DAHOMEY                                                                                             </v>
      </c>
      <c r="D468" s="26" t="str">
        <f>"TIEMPO COMPLETO"</f>
        <v>TIEMPO COMPLETO</v>
      </c>
      <c r="E468" s="26" t="str">
        <f>"MZA. 2 SECCION G                                                                "</f>
        <v xml:space="preserve">MZA. 2 SECCION G                                                                </v>
      </c>
      <c r="F468" s="26" t="str">
        <f>"LOMAS DE PLATEROS                                                                                                                           "</f>
        <v xml:space="preserve">LOMAS DE PLATEROS                                                                                                                           </v>
      </c>
      <c r="G468" s="26" t="str">
        <f>"ALVARO OBREGON                                                                  "</f>
        <v xml:space="preserve">ALVARO OBREGON                                                                  </v>
      </c>
      <c r="H468" s="26" t="str">
        <f>"100"</f>
        <v>100</v>
      </c>
      <c r="I468" s="26" t="str">
        <f t="shared" si="66"/>
        <v>00</v>
      </c>
      <c r="J468" s="26" t="str">
        <f>"34 "</f>
        <v xml:space="preserve">34 </v>
      </c>
      <c r="K468" s="26" t="str">
        <f t="shared" si="68"/>
        <v>EP</v>
      </c>
      <c r="L468" s="26" t="str">
        <f t="shared" si="69"/>
        <v>DGOSE</v>
      </c>
      <c r="M468" s="26" t="str">
        <f t="shared" si="67"/>
        <v>FEDERAL</v>
      </c>
      <c r="N468" s="26">
        <v>196</v>
      </c>
      <c r="O468" s="26">
        <v>93</v>
      </c>
      <c r="P468" s="26">
        <v>103</v>
      </c>
      <c r="Q468" s="26">
        <v>6</v>
      </c>
      <c r="R468" s="26">
        <v>2</v>
      </c>
      <c r="S468" s="26">
        <v>6</v>
      </c>
      <c r="T468" s="26">
        <v>15</v>
      </c>
      <c r="U468" s="26">
        <v>23</v>
      </c>
      <c r="V468" s="26">
        <v>1</v>
      </c>
      <c r="W468" s="26" t="s">
        <v>218</v>
      </c>
    </row>
    <row r="469" spans="1:23" x14ac:dyDescent="0.25">
      <c r="A469" s="26" t="str">
        <f t="shared" si="65"/>
        <v>PREESCOLAR</v>
      </c>
      <c r="B469" s="26" t="str">
        <f>"09DJN0569Z"</f>
        <v>09DJN0569Z</v>
      </c>
      <c r="C469" s="26" t="str">
        <f>"PILTZILLI                                                                                           "</f>
        <v xml:space="preserve">PILTZILLI                                                                                           </v>
      </c>
      <c r="D469" s="26" t="str">
        <f>"MATUTINO"</f>
        <v>MATUTINO</v>
      </c>
      <c r="E469" s="26" t="str">
        <f>"22 DE FEBRERO Y ANTIGUA CALZ. DE GPE.                                           "</f>
        <v xml:space="preserve">22 DE FEBRERO Y ANTIGUA CALZ. DE GPE.                                           </v>
      </c>
      <c r="F469" s="26" t="str">
        <f>"SAN MARCOS                                                                                                                                  "</f>
        <v xml:space="preserve">SAN MARCOS                                                                                                                                  </v>
      </c>
      <c r="G469" s="26" t="str">
        <f>"AZCAPOTZALCO                                                                    "</f>
        <v xml:space="preserve">AZCAPOTZALCO                                                                    </v>
      </c>
      <c r="H469" s="26" t="str">
        <f>"189"</f>
        <v>189</v>
      </c>
      <c r="I469" s="26" t="str">
        <f t="shared" si="66"/>
        <v>00</v>
      </c>
      <c r="J469" s="26" t="str">
        <f>"32 "</f>
        <v xml:space="preserve">32 </v>
      </c>
      <c r="K469" s="26" t="str">
        <f t="shared" si="68"/>
        <v>EP</v>
      </c>
      <c r="L469" s="26" t="str">
        <f t="shared" si="69"/>
        <v>DGOSE</v>
      </c>
      <c r="M469" s="26" t="str">
        <f t="shared" si="67"/>
        <v>FEDERAL</v>
      </c>
      <c r="N469" s="26">
        <v>263</v>
      </c>
      <c r="O469" s="26">
        <v>142</v>
      </c>
      <c r="P469" s="26">
        <v>121</v>
      </c>
      <c r="Q469" s="26">
        <v>8</v>
      </c>
      <c r="R469" s="26">
        <v>1</v>
      </c>
      <c r="S469" s="26">
        <v>8</v>
      </c>
      <c r="T469" s="26">
        <v>6</v>
      </c>
      <c r="U469" s="26">
        <v>15</v>
      </c>
      <c r="V469" s="26">
        <v>1</v>
      </c>
      <c r="W469" s="26"/>
    </row>
    <row r="470" spans="1:23" x14ac:dyDescent="0.25">
      <c r="A470" s="26" t="str">
        <f t="shared" si="65"/>
        <v>PREESCOLAR</v>
      </c>
      <c r="B470" s="26" t="str">
        <f>"09DJN0570O"</f>
        <v>09DJN0570O</v>
      </c>
      <c r="C470" s="26" t="str">
        <f>"ESPERANZA GARCIA CONDE DE NYSSEN                                                                    "</f>
        <v xml:space="preserve">ESPERANZA GARCIA CONDE DE NYSSEN                                                                    </v>
      </c>
      <c r="D470" s="26" t="str">
        <f>"MATUTINO"</f>
        <v>MATUTINO</v>
      </c>
      <c r="E470" s="26" t="str">
        <f>"AV. 20 DE NOVIEMBRE S/N                                                         "</f>
        <v xml:space="preserve">AV. 20 DE NOVIEMBRE S/N                                                         </v>
      </c>
      <c r="F470" s="26" t="str">
        <f>"25 DE JULIO                                                                                                                                 "</f>
        <v xml:space="preserve">25 DE JULIO                                                                                                                                 </v>
      </c>
      <c r="G470" s="26" t="str">
        <f>"GUSTAVO A. MADERO                                                               "</f>
        <v xml:space="preserve">GUSTAVO A. MADERO                                                               </v>
      </c>
      <c r="H470" s="26" t="str">
        <f>"095"</f>
        <v>095</v>
      </c>
      <c r="I470" s="26" t="str">
        <f t="shared" si="66"/>
        <v>00</v>
      </c>
      <c r="J470" s="26" t="str">
        <f>"32 "</f>
        <v xml:space="preserve">32 </v>
      </c>
      <c r="K470" s="26" t="str">
        <f t="shared" si="68"/>
        <v>EP</v>
      </c>
      <c r="L470" s="26" t="str">
        <f t="shared" si="69"/>
        <v>DGOSE</v>
      </c>
      <c r="M470" s="26" t="str">
        <f t="shared" si="67"/>
        <v>FEDERAL</v>
      </c>
      <c r="N470" s="26">
        <v>197</v>
      </c>
      <c r="O470" s="26">
        <v>107</v>
      </c>
      <c r="P470" s="26">
        <v>90</v>
      </c>
      <c r="Q470" s="26">
        <v>8</v>
      </c>
      <c r="R470" s="26">
        <v>1</v>
      </c>
      <c r="S470" s="26">
        <v>8</v>
      </c>
      <c r="T470" s="26">
        <v>8</v>
      </c>
      <c r="U470" s="26">
        <v>17</v>
      </c>
      <c r="V470" s="26">
        <v>1</v>
      </c>
      <c r="W470" s="26"/>
    </row>
    <row r="471" spans="1:23" x14ac:dyDescent="0.25">
      <c r="A471" s="26" t="str">
        <f t="shared" si="65"/>
        <v>PREESCOLAR</v>
      </c>
      <c r="B471" s="26" t="str">
        <f>"09DJN0571N"</f>
        <v>09DJN0571N</v>
      </c>
      <c r="C471" s="26" t="str">
        <f>"DINAMARCA                                                                                           "</f>
        <v xml:space="preserve">DINAMARCA                                                                                           </v>
      </c>
      <c r="D471" s="26" t="str">
        <f>"JORNADA AMPLIADA"</f>
        <v>JORNADA AMPLIADA</v>
      </c>
      <c r="E471" s="26" t="str">
        <f>"MZA. 1 SECCION F                                                                "</f>
        <v xml:space="preserve">MZA. 1 SECCION F                                                                </v>
      </c>
      <c r="F471" s="26" t="str">
        <f>"LOMAS DE PLATEROS                                                                                                                           "</f>
        <v xml:space="preserve">LOMAS DE PLATEROS                                                                                                                           </v>
      </c>
      <c r="G471" s="26" t="str">
        <f>"ALVARO OBREGON                                                                  "</f>
        <v xml:space="preserve">ALVARO OBREGON                                                                  </v>
      </c>
      <c r="H471" s="26" t="str">
        <f>"216"</f>
        <v>216</v>
      </c>
      <c r="I471" s="26" t="str">
        <f t="shared" si="66"/>
        <v>00</v>
      </c>
      <c r="J471" s="26" t="str">
        <f>"34 "</f>
        <v xml:space="preserve">34 </v>
      </c>
      <c r="K471" s="26" t="str">
        <f t="shared" si="68"/>
        <v>EP</v>
      </c>
      <c r="L471" s="26" t="str">
        <f t="shared" si="69"/>
        <v>DGOSE</v>
      </c>
      <c r="M471" s="26" t="str">
        <f t="shared" si="67"/>
        <v>FEDERAL</v>
      </c>
      <c r="N471" s="26">
        <v>161</v>
      </c>
      <c r="O471" s="26">
        <v>80</v>
      </c>
      <c r="P471" s="26">
        <v>81</v>
      </c>
      <c r="Q471" s="26">
        <v>5</v>
      </c>
      <c r="R471" s="26">
        <v>1</v>
      </c>
      <c r="S471" s="26">
        <v>4</v>
      </c>
      <c r="T471" s="26">
        <v>7</v>
      </c>
      <c r="U471" s="26">
        <v>12</v>
      </c>
      <c r="V471" s="26">
        <v>1</v>
      </c>
      <c r="W471" s="26" t="s">
        <v>2076</v>
      </c>
    </row>
    <row r="472" spans="1:23" x14ac:dyDescent="0.25">
      <c r="A472" s="26" t="str">
        <f t="shared" si="65"/>
        <v>PREESCOLAR</v>
      </c>
      <c r="B472" s="26" t="str">
        <f>"09DJN0572M"</f>
        <v>09DJN0572M</v>
      </c>
      <c r="C472" s="26" t="str">
        <f>"JUAN BAUTISTA DE LA SALLE                                                                           "</f>
        <v xml:space="preserve">JUAN BAUTISTA DE LA SALLE                                                                           </v>
      </c>
      <c r="D472" s="26" t="str">
        <f>"JORNADA AMPLIADA"</f>
        <v>JORNADA AMPLIADA</v>
      </c>
      <c r="E472" s="26" t="str">
        <f>"SECC. AHUEHUETES Y PIRUL                                                        "</f>
        <v xml:space="preserve">SECC. AHUEHUETES Y PIRUL                                                        </v>
      </c>
      <c r="F472" s="26" t="str">
        <f>"IZTACALCO                                                                                                                                   "</f>
        <v xml:space="preserve">IZTACALCO                                                                                                                                   </v>
      </c>
      <c r="G472" s="26" t="str">
        <f>"IZTACALCO                                                                       "</f>
        <v xml:space="preserve">IZTACALCO                                                                       </v>
      </c>
      <c r="H472" s="26" t="str">
        <f>"108"</f>
        <v>108</v>
      </c>
      <c r="I472" s="26" t="str">
        <f t="shared" si="66"/>
        <v>00</v>
      </c>
      <c r="J472" s="26" t="str">
        <f>"31 "</f>
        <v xml:space="preserve">31 </v>
      </c>
      <c r="K472" s="26" t="str">
        <f t="shared" si="68"/>
        <v>EP</v>
      </c>
      <c r="L472" s="26" t="str">
        <f t="shared" si="69"/>
        <v>DGOSE</v>
      </c>
      <c r="M472" s="26" t="str">
        <f t="shared" si="67"/>
        <v>FEDERAL</v>
      </c>
      <c r="N472" s="26">
        <v>201</v>
      </c>
      <c r="O472" s="26">
        <v>89</v>
      </c>
      <c r="P472" s="26">
        <v>112</v>
      </c>
      <c r="Q472" s="26">
        <v>7</v>
      </c>
      <c r="R472" s="26">
        <v>1</v>
      </c>
      <c r="S472" s="26">
        <v>6</v>
      </c>
      <c r="T472" s="26">
        <v>7</v>
      </c>
      <c r="U472" s="26">
        <v>14</v>
      </c>
      <c r="V472" s="26">
        <v>1</v>
      </c>
      <c r="W472" s="26" t="s">
        <v>2076</v>
      </c>
    </row>
    <row r="473" spans="1:23" x14ac:dyDescent="0.25">
      <c r="A473" s="26" t="str">
        <f t="shared" si="65"/>
        <v>PREESCOLAR</v>
      </c>
      <c r="B473" s="26" t="str">
        <f>"09DJN0573L"</f>
        <v>09DJN0573L</v>
      </c>
      <c r="C473" s="26" t="str">
        <f>"IZTACXOCHITL                                                                                        "</f>
        <v xml:space="preserve">IZTACXOCHITL                                                                                        </v>
      </c>
      <c r="D473" s="26" t="str">
        <f>"TIEMPO COMPLETO"</f>
        <v>TIEMPO COMPLETO</v>
      </c>
      <c r="E473" s="26" t="str">
        <f>"TARASQUILLO S/N                                                                 "</f>
        <v xml:space="preserve">TARASQUILLO S/N                                                                 </v>
      </c>
      <c r="F473" s="26" t="str">
        <f>"PUENTE SIERRA                                                                                                                               "</f>
        <v xml:space="preserve">PUENTE SIERRA                                                                                                                               </v>
      </c>
      <c r="G473" s="26" t="str">
        <f>"LA MAGDALENA CONTRERAS                                                          "</f>
        <v xml:space="preserve">LA MAGDALENA CONTRERAS                                                          </v>
      </c>
      <c r="H473" s="26" t="str">
        <f>"071"</f>
        <v>071</v>
      </c>
      <c r="I473" s="26" t="str">
        <f t="shared" si="66"/>
        <v>00</v>
      </c>
      <c r="J473" s="26" t="str">
        <f>"34 "</f>
        <v xml:space="preserve">34 </v>
      </c>
      <c r="K473" s="26" t="str">
        <f t="shared" si="68"/>
        <v>EP</v>
      </c>
      <c r="L473" s="26" t="str">
        <f t="shared" si="69"/>
        <v>DGOSE</v>
      </c>
      <c r="M473" s="26" t="str">
        <f t="shared" si="67"/>
        <v>FEDERAL</v>
      </c>
      <c r="N473" s="26">
        <v>156</v>
      </c>
      <c r="O473" s="26">
        <v>87</v>
      </c>
      <c r="P473" s="26">
        <v>69</v>
      </c>
      <c r="Q473" s="26">
        <v>5</v>
      </c>
      <c r="R473" s="26">
        <v>2</v>
      </c>
      <c r="S473" s="26">
        <v>5</v>
      </c>
      <c r="T473" s="26">
        <v>11</v>
      </c>
      <c r="U473" s="26">
        <v>18</v>
      </c>
      <c r="V473" s="26">
        <v>1</v>
      </c>
      <c r="W473" s="26" t="s">
        <v>218</v>
      </c>
    </row>
    <row r="474" spans="1:23" x14ac:dyDescent="0.25">
      <c r="A474" s="26" t="str">
        <f t="shared" si="65"/>
        <v>PREESCOLAR</v>
      </c>
      <c r="B474" s="26" t="str">
        <f>"09DJN0575J"</f>
        <v>09DJN0575J</v>
      </c>
      <c r="C474" s="26" t="str">
        <f>"BELGICA                                                                                             "</f>
        <v xml:space="preserve">BELGICA                                                                                             </v>
      </c>
      <c r="D474" s="26" t="str">
        <f>"VESPERTINO"</f>
        <v>VESPERTINO</v>
      </c>
      <c r="E474" s="26" t="str">
        <f>"CALLE 47 Y AV. 6                                                                "</f>
        <v xml:space="preserve">CALLE 47 Y AV. 6                                                                </v>
      </c>
      <c r="F474" s="26" t="str">
        <f>"UNIDAD SANTA CRUZ MEYEHUALCO                                                                                                                "</f>
        <v xml:space="preserve">UNIDAD SANTA CRUZ MEYEHUALCO                                                                                                                </v>
      </c>
      <c r="G474" s="26" t="str">
        <f>"IZTAPALAPA                                                                      "</f>
        <v xml:space="preserve">IZTAPALAPA                                                                      </v>
      </c>
      <c r="H474" s="26" t="str">
        <f>"033"</f>
        <v>033</v>
      </c>
      <c r="I474" s="26" t="str">
        <f t="shared" si="66"/>
        <v>00</v>
      </c>
      <c r="J474" s="26" t="str">
        <f>"64 "</f>
        <v xml:space="preserve">64 </v>
      </c>
      <c r="K474" s="26" t="str">
        <f>"IZ"</f>
        <v>IZ</v>
      </c>
      <c r="L474" s="26" t="str">
        <f>"DGSEI"</f>
        <v>DGSEI</v>
      </c>
      <c r="M474" s="26" t="str">
        <f t="shared" si="67"/>
        <v>FEDERAL</v>
      </c>
      <c r="N474" s="26">
        <v>118</v>
      </c>
      <c r="O474" s="26">
        <v>63</v>
      </c>
      <c r="P474" s="26">
        <v>55</v>
      </c>
      <c r="Q474" s="26">
        <v>4</v>
      </c>
      <c r="R474" s="26">
        <v>1</v>
      </c>
      <c r="S474" s="26">
        <v>4</v>
      </c>
      <c r="T474" s="26">
        <v>2</v>
      </c>
      <c r="U474" s="26">
        <v>7</v>
      </c>
      <c r="V474" s="26">
        <v>1</v>
      </c>
      <c r="W474" s="26"/>
    </row>
    <row r="475" spans="1:23" x14ac:dyDescent="0.25">
      <c r="A475" s="26" t="str">
        <f t="shared" si="65"/>
        <v>PREESCOLAR</v>
      </c>
      <c r="B475" s="26" t="str">
        <f>"09DJN0576I"</f>
        <v>09DJN0576I</v>
      </c>
      <c r="C475" s="26" t="str">
        <f>"JOSEFINA CASTAÑEDA Y DEL POZO                                                                       "</f>
        <v xml:space="preserve">JOSEFINA CASTAÑEDA Y DEL POZO                                                                       </v>
      </c>
      <c r="D475" s="26" t="str">
        <f>"VESPERTINO"</f>
        <v>VESPERTINO</v>
      </c>
      <c r="E475" s="26" t="str">
        <f>"JACARANDAS Y DURAZNOS S/N                                                       "</f>
        <v xml:space="preserve">JACARANDAS Y DURAZNOS S/N                                                       </v>
      </c>
      <c r="F475" s="26" t="str">
        <f>"PASTEROS                                                                                                                                    "</f>
        <v xml:space="preserve">PASTEROS                                                                                                                                    </v>
      </c>
      <c r="G475" s="26" t="str">
        <f>"AZCAPOTZALCO                                                                    "</f>
        <v xml:space="preserve">AZCAPOTZALCO                                                                    </v>
      </c>
      <c r="H475" s="26" t="str">
        <f>"014"</f>
        <v>014</v>
      </c>
      <c r="I475" s="26" t="str">
        <f t="shared" si="66"/>
        <v>00</v>
      </c>
      <c r="J475" s="26" t="str">
        <f>"32 "</f>
        <v xml:space="preserve">32 </v>
      </c>
      <c r="K475" s="26" t="str">
        <f>"EP"</f>
        <v>EP</v>
      </c>
      <c r="L475" s="26" t="str">
        <f>"DGOSE"</f>
        <v>DGOSE</v>
      </c>
      <c r="M475" s="26" t="str">
        <f t="shared" si="67"/>
        <v>FEDERAL</v>
      </c>
      <c r="N475" s="26">
        <v>34</v>
      </c>
      <c r="O475" s="26">
        <v>18</v>
      </c>
      <c r="P475" s="26">
        <v>16</v>
      </c>
      <c r="Q475" s="26">
        <v>3</v>
      </c>
      <c r="R475" s="26">
        <v>1</v>
      </c>
      <c r="S475" s="26">
        <v>3</v>
      </c>
      <c r="T475" s="26">
        <v>4</v>
      </c>
      <c r="U475" s="26">
        <v>8</v>
      </c>
      <c r="V475" s="26">
        <v>1</v>
      </c>
      <c r="W475" s="26"/>
    </row>
    <row r="476" spans="1:23" x14ac:dyDescent="0.25">
      <c r="A476" s="26" t="str">
        <f t="shared" si="65"/>
        <v>PREESCOLAR</v>
      </c>
      <c r="B476" s="26" t="str">
        <f>"09DJN0598U"</f>
        <v>09DJN0598U</v>
      </c>
      <c r="C476" s="26" t="str">
        <f>"PROFRA. I. GLORIA CARBAJAL                                                                          "</f>
        <v xml:space="preserve">PROFRA. I. GLORIA CARBAJAL                                                                          </v>
      </c>
      <c r="D476" s="26" t="str">
        <f>"JORNADA AMPLIADA"</f>
        <v>JORNADA AMPLIADA</v>
      </c>
      <c r="E476" s="26" t="str">
        <f>"RIO DE LOS REMEDIOS Y EJE CENTRAL                                               "</f>
        <v xml:space="preserve">RIO DE LOS REMEDIOS Y EJE CENTRAL                                               </v>
      </c>
      <c r="F476" s="26" t="str">
        <f>"PROGRESO NACIONAL                                                                                                                           "</f>
        <v xml:space="preserve">PROGRESO NACIONAL                                                                                                                           </v>
      </c>
      <c r="G476" s="26" t="str">
        <f>"GUSTAVO A. MADERO                                                               "</f>
        <v xml:space="preserve">GUSTAVO A. MADERO                                                               </v>
      </c>
      <c r="H476" s="26" t="str">
        <f>"005"</f>
        <v>005</v>
      </c>
      <c r="I476" s="26" t="str">
        <f t="shared" si="66"/>
        <v>00</v>
      </c>
      <c r="J476" s="26" t="str">
        <f>"31 "</f>
        <v xml:space="preserve">31 </v>
      </c>
      <c r="K476" s="26" t="str">
        <f>"EP"</f>
        <v>EP</v>
      </c>
      <c r="L476" s="26" t="str">
        <f>"DGOSE"</f>
        <v>DGOSE</v>
      </c>
      <c r="M476" s="26" t="str">
        <f t="shared" si="67"/>
        <v>FEDERAL</v>
      </c>
      <c r="N476" s="26">
        <v>177</v>
      </c>
      <c r="O476" s="26">
        <v>82</v>
      </c>
      <c r="P476" s="26">
        <v>95</v>
      </c>
      <c r="Q476" s="26">
        <v>6</v>
      </c>
      <c r="R476" s="26">
        <v>1</v>
      </c>
      <c r="S476" s="26">
        <v>6</v>
      </c>
      <c r="T476" s="26">
        <v>7</v>
      </c>
      <c r="U476" s="26">
        <v>14</v>
      </c>
      <c r="V476" s="26">
        <v>1</v>
      </c>
      <c r="W476" s="26" t="s">
        <v>2076</v>
      </c>
    </row>
    <row r="477" spans="1:23" x14ac:dyDescent="0.25">
      <c r="A477" s="26" t="str">
        <f t="shared" si="65"/>
        <v>PREESCOLAR</v>
      </c>
      <c r="B477" s="26" t="str">
        <f>"09DJN0604O"</f>
        <v>09DJN0604O</v>
      </c>
      <c r="C477" s="26" t="str">
        <f>"KUKULKAN                                                                                            "</f>
        <v xml:space="preserve">KUKULKAN                                                                                            </v>
      </c>
      <c r="D477" s="26" t="str">
        <f>"MATUTINO"</f>
        <v>MATUTINO</v>
      </c>
      <c r="E477" s="26" t="s">
        <v>86</v>
      </c>
      <c r="F477" s="26" t="str">
        <f>"JUAN ESCUTIA                                                                                                                                "</f>
        <v xml:space="preserve">JUAN ESCUTIA                                                                                                                                </v>
      </c>
      <c r="G477" s="26" t="str">
        <f>"IZTAPALAPA                                                                      "</f>
        <v xml:space="preserve">IZTAPALAPA                                                                      </v>
      </c>
      <c r="H477" s="26" t="str">
        <f>"014"</f>
        <v>014</v>
      </c>
      <c r="I477" s="26" t="str">
        <f t="shared" si="66"/>
        <v>00</v>
      </c>
      <c r="J477" s="26" t="str">
        <f>"62 "</f>
        <v xml:space="preserve">62 </v>
      </c>
      <c r="K477" s="26" t="str">
        <f>"IZ"</f>
        <v>IZ</v>
      </c>
      <c r="L477" s="26" t="str">
        <f>"DGSEI"</f>
        <v>DGSEI</v>
      </c>
      <c r="M477" s="26" t="str">
        <f t="shared" si="67"/>
        <v>FEDERAL</v>
      </c>
      <c r="N477" s="26">
        <v>150</v>
      </c>
      <c r="O477" s="26">
        <v>77</v>
      </c>
      <c r="P477" s="26">
        <v>73</v>
      </c>
      <c r="Q477" s="26">
        <v>6</v>
      </c>
      <c r="R477" s="26">
        <v>1</v>
      </c>
      <c r="S477" s="26">
        <v>6</v>
      </c>
      <c r="T477" s="26">
        <v>7</v>
      </c>
      <c r="U477" s="26">
        <v>14</v>
      </c>
      <c r="V477" s="26">
        <v>1</v>
      </c>
      <c r="W477" s="26"/>
    </row>
    <row r="478" spans="1:23" x14ac:dyDescent="0.25">
      <c r="A478" s="26" t="str">
        <f t="shared" si="65"/>
        <v>PREESCOLAR</v>
      </c>
      <c r="B478" s="26" t="str">
        <f>"09DJN0605N"</f>
        <v>09DJN0605N</v>
      </c>
      <c r="C478" s="26" t="str">
        <f>"ACATITLA                                                                                            "</f>
        <v xml:space="preserve">ACATITLA                                                                                            </v>
      </c>
      <c r="D478" s="26" t="str">
        <f>"JORNADA AMPLIADA"</f>
        <v>JORNADA AMPLIADA</v>
      </c>
      <c r="E478" s="26" t="str">
        <f>"CESAR ELPIDIO CANALES MZ. 83 LT. 9                                              "</f>
        <v xml:space="preserve">CESAR ELPIDIO CANALES MZ. 83 LT. 9                                              </v>
      </c>
      <c r="F478" s="26" t="str">
        <f>"SANTA MARTHA ACATITLA                                                                                                                       "</f>
        <v xml:space="preserve">SANTA MARTHA ACATITLA                                                                                                                       </v>
      </c>
      <c r="G478" s="26" t="str">
        <f>"IZTAPALAPA                                                                      "</f>
        <v xml:space="preserve">IZTAPALAPA                                                                      </v>
      </c>
      <c r="H478" s="26" t="str">
        <f>"008"</f>
        <v>008</v>
      </c>
      <c r="I478" s="26" t="str">
        <f t="shared" si="66"/>
        <v>00</v>
      </c>
      <c r="J478" s="26" t="str">
        <f>"61 "</f>
        <v xml:space="preserve">61 </v>
      </c>
      <c r="K478" s="26" t="str">
        <f>"IZ"</f>
        <v>IZ</v>
      </c>
      <c r="L478" s="26" t="str">
        <f>"DGSEI"</f>
        <v>DGSEI</v>
      </c>
      <c r="M478" s="26" t="str">
        <f t="shared" si="67"/>
        <v>FEDERAL</v>
      </c>
      <c r="N478" s="26">
        <v>157</v>
      </c>
      <c r="O478" s="26">
        <v>74</v>
      </c>
      <c r="P478" s="26">
        <v>83</v>
      </c>
      <c r="Q478" s="26">
        <v>5</v>
      </c>
      <c r="R478" s="26">
        <v>1</v>
      </c>
      <c r="S478" s="26">
        <v>5</v>
      </c>
      <c r="T478" s="26">
        <v>4</v>
      </c>
      <c r="U478" s="26">
        <v>10</v>
      </c>
      <c r="V478" s="26">
        <v>1</v>
      </c>
      <c r="W478" s="26" t="s">
        <v>2076</v>
      </c>
    </row>
    <row r="479" spans="1:23" x14ac:dyDescent="0.25">
      <c r="A479" s="26" t="str">
        <f t="shared" si="65"/>
        <v>PREESCOLAR</v>
      </c>
      <c r="B479" s="26" t="str">
        <f>"09DJN0610Z"</f>
        <v>09DJN0610Z</v>
      </c>
      <c r="C479" s="26" t="str">
        <f>"CHIMALCOYOTL                                                                                        "</f>
        <v xml:space="preserve">CHIMALCOYOTL                                                                                        </v>
      </c>
      <c r="D479" s="26" t="str">
        <f>"MATUTINO"</f>
        <v>MATUTINO</v>
      </c>
      <c r="E479" s="26" t="str">
        <f>"CRISTOBAL COLON NO. 10                                                          "</f>
        <v xml:space="preserve">CRISTOBAL COLON NO. 10                                                          </v>
      </c>
      <c r="F479" s="26" t="str">
        <f>"CHIMALCOYOTL                                                                                                                                "</f>
        <v xml:space="preserve">CHIMALCOYOTL                                                                                                                                </v>
      </c>
      <c r="G479" s="26" t="str">
        <f>"TLALPAN                                                                         "</f>
        <v xml:space="preserve">TLALPAN                                                                         </v>
      </c>
      <c r="H479" s="26" t="str">
        <f>"051"</f>
        <v>051</v>
      </c>
      <c r="I479" s="26" t="str">
        <f t="shared" si="66"/>
        <v>00</v>
      </c>
      <c r="J479" s="26" t="str">
        <f>"35 "</f>
        <v xml:space="preserve">35 </v>
      </c>
      <c r="K479" s="26" t="str">
        <f t="shared" ref="K479:K488" si="70">"EP"</f>
        <v>EP</v>
      </c>
      <c r="L479" s="26" t="str">
        <f t="shared" ref="L479:L488" si="71">"DGOSE"</f>
        <v>DGOSE</v>
      </c>
      <c r="M479" s="26" t="str">
        <f t="shared" si="67"/>
        <v>FEDERAL</v>
      </c>
      <c r="N479" s="26">
        <v>128</v>
      </c>
      <c r="O479" s="26">
        <v>74</v>
      </c>
      <c r="P479" s="26">
        <v>54</v>
      </c>
      <c r="Q479" s="26">
        <v>5</v>
      </c>
      <c r="R479" s="26">
        <v>1</v>
      </c>
      <c r="S479" s="26">
        <v>5</v>
      </c>
      <c r="T479" s="26">
        <v>1</v>
      </c>
      <c r="U479" s="26">
        <v>7</v>
      </c>
      <c r="V479" s="26">
        <v>1</v>
      </c>
      <c r="W479" s="26"/>
    </row>
    <row r="480" spans="1:23" x14ac:dyDescent="0.25">
      <c r="A480" s="26" t="str">
        <f t="shared" si="65"/>
        <v>PREESCOLAR</v>
      </c>
      <c r="B480" s="26" t="str">
        <f>"09DJN0611Y"</f>
        <v>09DJN0611Y</v>
      </c>
      <c r="C480" s="26" t="str">
        <f>"EUCARIO LEON LOPEZ                                                                                  "</f>
        <v xml:space="preserve">EUCARIO LEON LOPEZ                                                                                  </v>
      </c>
      <c r="D480" s="26" t="str">
        <f>"JORNADA AMPLIADA"</f>
        <v>JORNADA AMPLIADA</v>
      </c>
      <c r="E480" s="26" t="str">
        <f>"AV. CENTRAL NO. 3                                                               "</f>
        <v xml:space="preserve">AV. CENTRAL NO. 3                                                               </v>
      </c>
      <c r="F480" s="26" t="str">
        <f>"A M S A                                                                                                                                     "</f>
        <v xml:space="preserve">A M S A                                                                                                                                     </v>
      </c>
      <c r="G480" s="26" t="str">
        <f>"TLALPAN                                                                         "</f>
        <v xml:space="preserve">TLALPAN                                                                         </v>
      </c>
      <c r="H480" s="26" t="str">
        <f>"221"</f>
        <v>221</v>
      </c>
      <c r="I480" s="26" t="str">
        <f t="shared" si="66"/>
        <v>00</v>
      </c>
      <c r="J480" s="26" t="str">
        <f>"34 "</f>
        <v xml:space="preserve">34 </v>
      </c>
      <c r="K480" s="26" t="str">
        <f t="shared" si="70"/>
        <v>EP</v>
      </c>
      <c r="L480" s="26" t="str">
        <f t="shared" si="71"/>
        <v>DGOSE</v>
      </c>
      <c r="M480" s="26" t="str">
        <f t="shared" si="67"/>
        <v>FEDERAL</v>
      </c>
      <c r="N480" s="26">
        <v>172</v>
      </c>
      <c r="O480" s="26">
        <v>94</v>
      </c>
      <c r="P480" s="26">
        <v>78</v>
      </c>
      <c r="Q480" s="26">
        <v>5</v>
      </c>
      <c r="R480" s="26">
        <v>1</v>
      </c>
      <c r="S480" s="26">
        <v>5</v>
      </c>
      <c r="T480" s="26">
        <v>5</v>
      </c>
      <c r="U480" s="26">
        <v>11</v>
      </c>
      <c r="V480" s="26">
        <v>1</v>
      </c>
      <c r="W480" s="26" t="s">
        <v>2076</v>
      </c>
    </row>
    <row r="481" spans="1:23" x14ac:dyDescent="0.25">
      <c r="A481" s="26" t="str">
        <f t="shared" si="65"/>
        <v>PREESCOLAR</v>
      </c>
      <c r="B481" s="26" t="str">
        <f>"09DJN0612X"</f>
        <v>09DJN0612X</v>
      </c>
      <c r="C481" s="26" t="str">
        <f>"BRIGIDA GARCIA DE JUAREZ                                                                            "</f>
        <v xml:space="preserve">BRIGIDA GARCIA DE JUAREZ                                                                            </v>
      </c>
      <c r="D481" s="26" t="str">
        <f>"MATUTINO"</f>
        <v>MATUTINO</v>
      </c>
      <c r="E481" s="26" t="str">
        <f>"JOSE LUGO GUERRERO Y LA TURBA S/N                                               "</f>
        <v xml:space="preserve">JOSE LUGO GUERRERO Y LA TURBA S/N                                               </v>
      </c>
      <c r="F481" s="26" t="str">
        <f>"GRANJAS CABRERA                                                                                                                             "</f>
        <v xml:space="preserve">GRANJAS CABRERA                                                                                                                             </v>
      </c>
      <c r="G481" s="26" t="str">
        <f>"TLAHUAC                                                                         "</f>
        <v xml:space="preserve">TLAHUAC                                                                         </v>
      </c>
      <c r="H481" s="26" t="str">
        <f>"244"</f>
        <v>244</v>
      </c>
      <c r="I481" s="26" t="str">
        <f t="shared" si="66"/>
        <v>00</v>
      </c>
      <c r="J481" s="26" t="str">
        <f>"35 "</f>
        <v xml:space="preserve">35 </v>
      </c>
      <c r="K481" s="26" t="str">
        <f t="shared" si="70"/>
        <v>EP</v>
      </c>
      <c r="L481" s="26" t="str">
        <f t="shared" si="71"/>
        <v>DGOSE</v>
      </c>
      <c r="M481" s="26" t="str">
        <f t="shared" si="67"/>
        <v>FEDERAL</v>
      </c>
      <c r="N481" s="26">
        <v>243</v>
      </c>
      <c r="O481" s="26">
        <v>123</v>
      </c>
      <c r="P481" s="26">
        <v>120</v>
      </c>
      <c r="Q481" s="26">
        <v>7</v>
      </c>
      <c r="R481" s="26">
        <v>1</v>
      </c>
      <c r="S481" s="26">
        <v>7</v>
      </c>
      <c r="T481" s="26">
        <v>4</v>
      </c>
      <c r="U481" s="26">
        <v>12</v>
      </c>
      <c r="V481" s="26">
        <v>1</v>
      </c>
      <c r="W481" s="26"/>
    </row>
    <row r="482" spans="1:23" x14ac:dyDescent="0.25">
      <c r="A482" s="26" t="str">
        <f t="shared" si="65"/>
        <v>PREESCOLAR</v>
      </c>
      <c r="B482" s="26" t="str">
        <f>"09DJN0613W"</f>
        <v>09DJN0613W</v>
      </c>
      <c r="C482" s="26" t="str">
        <f>"ALFONSO REYES                                                                                       "</f>
        <v xml:space="preserve">ALFONSO REYES                                                                                       </v>
      </c>
      <c r="D482" s="26" t="str">
        <f>"MATUTINO"</f>
        <v>MATUTINO</v>
      </c>
      <c r="E482" s="26" t="str">
        <f>"AV. SAN BERNABE S/N                                                             "</f>
        <v xml:space="preserve">AV. SAN BERNABE S/N                                                             </v>
      </c>
      <c r="F482" s="26" t="str">
        <f>"CUAUHTEMOC                                                                                                                                  "</f>
        <v xml:space="preserve">CUAUHTEMOC                                                                                                                                  </v>
      </c>
      <c r="G482" s="26" t="str">
        <f>"LA MAGDALENA CONTRERAS                                                          "</f>
        <v xml:space="preserve">LA MAGDALENA CONTRERAS                                                          </v>
      </c>
      <c r="H482" s="26" t="str">
        <f>"113"</f>
        <v>113</v>
      </c>
      <c r="I482" s="26" t="str">
        <f t="shared" si="66"/>
        <v>00</v>
      </c>
      <c r="J482" s="26" t="str">
        <f>"35 "</f>
        <v xml:space="preserve">35 </v>
      </c>
      <c r="K482" s="26" t="str">
        <f t="shared" si="70"/>
        <v>EP</v>
      </c>
      <c r="L482" s="26" t="str">
        <f t="shared" si="71"/>
        <v>DGOSE</v>
      </c>
      <c r="M482" s="26" t="str">
        <f t="shared" si="67"/>
        <v>FEDERAL</v>
      </c>
      <c r="N482" s="26">
        <v>204</v>
      </c>
      <c r="O482" s="26">
        <v>101</v>
      </c>
      <c r="P482" s="26">
        <v>103</v>
      </c>
      <c r="Q482" s="26">
        <v>6</v>
      </c>
      <c r="R482" s="26">
        <v>1</v>
      </c>
      <c r="S482" s="26">
        <v>6</v>
      </c>
      <c r="T482" s="26">
        <v>3</v>
      </c>
      <c r="U482" s="26">
        <v>10</v>
      </c>
      <c r="V482" s="26">
        <v>1</v>
      </c>
      <c r="W482" s="26"/>
    </row>
    <row r="483" spans="1:23" x14ac:dyDescent="0.25">
      <c r="A483" s="26" t="str">
        <f t="shared" si="65"/>
        <v>PREESCOLAR</v>
      </c>
      <c r="B483" s="26" t="str">
        <f>"09DJN0614V"</f>
        <v>09DJN0614V</v>
      </c>
      <c r="C483" s="26" t="str">
        <f>"LEOPOLDO MENDEZ                                                                                     "</f>
        <v xml:space="preserve">LEOPOLDO MENDEZ                                                                                     </v>
      </c>
      <c r="D483" s="26" t="str">
        <f>"JORNADA AMPLIADA"</f>
        <v>JORNADA AMPLIADA</v>
      </c>
      <c r="E483" s="26" t="str">
        <f>"CAHITAS S/N                                                                     "</f>
        <v xml:space="preserve">CAHITAS S/N                                                                     </v>
      </c>
      <c r="F483" s="26" t="str">
        <f>"UNIDAD HABITACIONAL CTM CINCO                                                                                                               "</f>
        <v xml:space="preserve">UNIDAD HABITACIONAL CTM CINCO                                                                                                               </v>
      </c>
      <c r="G483" s="26" t="str">
        <f>"COYOACAN                                                                        "</f>
        <v xml:space="preserve">COYOACAN                                                                        </v>
      </c>
      <c r="H483" s="26" t="str">
        <f>"209"</f>
        <v>209</v>
      </c>
      <c r="I483" s="26" t="str">
        <f t="shared" si="66"/>
        <v>00</v>
      </c>
      <c r="J483" s="26" t="str">
        <f>"34 "</f>
        <v xml:space="preserve">34 </v>
      </c>
      <c r="K483" s="26" t="str">
        <f t="shared" si="70"/>
        <v>EP</v>
      </c>
      <c r="L483" s="26" t="str">
        <f t="shared" si="71"/>
        <v>DGOSE</v>
      </c>
      <c r="M483" s="26" t="str">
        <f t="shared" si="67"/>
        <v>FEDERAL</v>
      </c>
      <c r="N483" s="26">
        <v>182</v>
      </c>
      <c r="O483" s="26">
        <v>95</v>
      </c>
      <c r="P483" s="26">
        <v>87</v>
      </c>
      <c r="Q483" s="26">
        <v>6</v>
      </c>
      <c r="R483" s="26">
        <v>1</v>
      </c>
      <c r="S483" s="26">
        <v>6</v>
      </c>
      <c r="T483" s="26">
        <v>7</v>
      </c>
      <c r="U483" s="26">
        <v>14</v>
      </c>
      <c r="V483" s="26">
        <v>1</v>
      </c>
      <c r="W483" s="26" t="s">
        <v>2076</v>
      </c>
    </row>
    <row r="484" spans="1:23" x14ac:dyDescent="0.25">
      <c r="A484" s="26" t="str">
        <f t="shared" si="65"/>
        <v>PREESCOLAR</v>
      </c>
      <c r="B484" s="26" t="str">
        <f>"09DJN0615U"</f>
        <v>09DJN0615U</v>
      </c>
      <c r="C484" s="26" t="str">
        <f>"10 DE ABRIL                                                                                         "</f>
        <v xml:space="preserve">10 DE ABRIL                                                                                         </v>
      </c>
      <c r="D484" s="26" t="str">
        <f>"MATUTINO"</f>
        <v>MATUTINO</v>
      </c>
      <c r="E484" s="26" t="str">
        <f>"CDA. LEANDRO VALLE S/N                                                          "</f>
        <v xml:space="preserve">CDA. LEANDRO VALLE S/N                                                          </v>
      </c>
      <c r="F484" s="26" t="str">
        <f>"SAN LORENZO ACOPILCO                                                                                                                        "</f>
        <v xml:space="preserve">SAN LORENZO ACOPILCO                                                                                                                        </v>
      </c>
      <c r="G484" s="26" t="str">
        <f>"CUAJIMALPA DE MORELOS                                                           "</f>
        <v xml:space="preserve">CUAJIMALPA DE MORELOS                                                           </v>
      </c>
      <c r="H484" s="26" t="str">
        <f>"279"</f>
        <v>279</v>
      </c>
      <c r="I484" s="26" t="str">
        <f t="shared" si="66"/>
        <v>00</v>
      </c>
      <c r="J484" s="26" t="str">
        <f>"33 "</f>
        <v xml:space="preserve">33 </v>
      </c>
      <c r="K484" s="26" t="str">
        <f t="shared" si="70"/>
        <v>EP</v>
      </c>
      <c r="L484" s="26" t="str">
        <f t="shared" si="71"/>
        <v>DGOSE</v>
      </c>
      <c r="M484" s="26" t="str">
        <f t="shared" si="67"/>
        <v>FEDERAL</v>
      </c>
      <c r="N484" s="26">
        <v>252</v>
      </c>
      <c r="O484" s="26">
        <v>113</v>
      </c>
      <c r="P484" s="26">
        <v>139</v>
      </c>
      <c r="Q484" s="26">
        <v>7</v>
      </c>
      <c r="R484" s="26">
        <v>1</v>
      </c>
      <c r="S484" s="26">
        <v>7</v>
      </c>
      <c r="T484" s="26">
        <v>4</v>
      </c>
      <c r="U484" s="26">
        <v>12</v>
      </c>
      <c r="V484" s="26">
        <v>1</v>
      </c>
      <c r="W484" s="26"/>
    </row>
    <row r="485" spans="1:23" x14ac:dyDescent="0.25">
      <c r="A485" s="26" t="str">
        <f t="shared" si="65"/>
        <v>PREESCOLAR</v>
      </c>
      <c r="B485" s="26" t="str">
        <f>"09DJN0616T"</f>
        <v>09DJN0616T</v>
      </c>
      <c r="C485" s="26" t="str">
        <f>"XOCHIAC                                                                                             "</f>
        <v xml:space="preserve">XOCHIAC                                                                                             </v>
      </c>
      <c r="D485" s="26" t="str">
        <f>"MATUTINO"</f>
        <v>MATUTINO</v>
      </c>
      <c r="E485" s="26" t="str">
        <f>"REAL DE GUADALUPE S/N                                                           "</f>
        <v xml:space="preserve">REAL DE GUADALUPE S/N                                                           </v>
      </c>
      <c r="F485" s="26" t="str">
        <f>"SANTA ROSA XOCHIAC                                                                                                                          "</f>
        <v xml:space="preserve">SANTA ROSA XOCHIAC                                                                                                                          </v>
      </c>
      <c r="G485" s="26" t="str">
        <f>"ALVARO OBREGON                                                                  "</f>
        <v xml:space="preserve">ALVARO OBREGON                                                                  </v>
      </c>
      <c r="H485" s="26" t="str">
        <f>"175"</f>
        <v>175</v>
      </c>
      <c r="I485" s="26" t="str">
        <f t="shared" si="66"/>
        <v>00</v>
      </c>
      <c r="J485" s="26" t="str">
        <f>"33 "</f>
        <v xml:space="preserve">33 </v>
      </c>
      <c r="K485" s="26" t="str">
        <f t="shared" si="70"/>
        <v>EP</v>
      </c>
      <c r="L485" s="26" t="str">
        <f t="shared" si="71"/>
        <v>DGOSE</v>
      </c>
      <c r="M485" s="26" t="str">
        <f t="shared" si="67"/>
        <v>FEDERAL</v>
      </c>
      <c r="N485" s="26">
        <v>216</v>
      </c>
      <c r="O485" s="26">
        <v>118</v>
      </c>
      <c r="P485" s="26">
        <v>98</v>
      </c>
      <c r="Q485" s="26">
        <v>6</v>
      </c>
      <c r="R485" s="26">
        <v>0</v>
      </c>
      <c r="S485" s="26">
        <v>6</v>
      </c>
      <c r="T485" s="26">
        <v>5</v>
      </c>
      <c r="U485" s="26">
        <v>11</v>
      </c>
      <c r="V485" s="26">
        <v>1</v>
      </c>
      <c r="W485" s="26"/>
    </row>
    <row r="486" spans="1:23" x14ac:dyDescent="0.25">
      <c r="A486" s="26" t="str">
        <f t="shared" si="65"/>
        <v>PREESCOLAR</v>
      </c>
      <c r="B486" s="26" t="str">
        <f>"09DJN0621E"</f>
        <v>09DJN0621E</v>
      </c>
      <c r="C486" s="26" t="str">
        <f>"DR. JOSE MA. LUIS MORA                                                                              "</f>
        <v xml:space="preserve">DR. JOSE MA. LUIS MORA                                                                              </v>
      </c>
      <c r="D486" s="26" t="str">
        <f>"JORNADA AMPLIADA"</f>
        <v>JORNADA AMPLIADA</v>
      </c>
      <c r="E486" s="26" t="str">
        <f>"FERROCARRIL MONTE ALTO NO. 39                                                   "</f>
        <v xml:space="preserve">FERROCARRIL MONTE ALTO NO. 39                                                   </v>
      </c>
      <c r="F486" s="26" t="str">
        <f>"SAN JOSE DE LA ESCALERA                                                                                                                     "</f>
        <v xml:space="preserve">SAN JOSE DE LA ESCALERA                                                                                                                     </v>
      </c>
      <c r="G486" s="26" t="str">
        <f>"GUSTAVO A. MADERO                                                               "</f>
        <v xml:space="preserve">GUSTAVO A. MADERO                                                               </v>
      </c>
      <c r="H486" s="26" t="str">
        <f>"080"</f>
        <v>080</v>
      </c>
      <c r="I486" s="26" t="str">
        <f t="shared" si="66"/>
        <v>00</v>
      </c>
      <c r="J486" s="26" t="str">
        <f>"31 "</f>
        <v xml:space="preserve">31 </v>
      </c>
      <c r="K486" s="26" t="str">
        <f t="shared" si="70"/>
        <v>EP</v>
      </c>
      <c r="L486" s="26" t="str">
        <f t="shared" si="71"/>
        <v>DGOSE</v>
      </c>
      <c r="M486" s="26" t="str">
        <f t="shared" si="67"/>
        <v>FEDERAL</v>
      </c>
      <c r="N486" s="26">
        <v>60</v>
      </c>
      <c r="O486" s="26">
        <v>30</v>
      </c>
      <c r="P486" s="26">
        <v>30</v>
      </c>
      <c r="Q486" s="26">
        <v>3</v>
      </c>
      <c r="R486" s="26">
        <v>1</v>
      </c>
      <c r="S486" s="26">
        <v>3</v>
      </c>
      <c r="T486" s="26">
        <v>5</v>
      </c>
      <c r="U486" s="26">
        <v>9</v>
      </c>
      <c r="V486" s="26">
        <v>1</v>
      </c>
      <c r="W486" s="26" t="s">
        <v>2076</v>
      </c>
    </row>
    <row r="487" spans="1:23" x14ac:dyDescent="0.25">
      <c r="A487" s="26" t="str">
        <f t="shared" si="65"/>
        <v>PREESCOLAR</v>
      </c>
      <c r="B487" s="26" t="str">
        <f>"09DJN0622D"</f>
        <v>09DJN0622D</v>
      </c>
      <c r="C487" s="26" t="str">
        <f>"TLAHUIZ                                                                                             "</f>
        <v xml:space="preserve">TLAHUIZ                                                                                             </v>
      </c>
      <c r="D487" s="26" t="str">
        <f>"MATUTINO"</f>
        <v>MATUTINO</v>
      </c>
      <c r="E487" s="26" t="str">
        <f>"PROLONG. AQUILES SERDAN S/N                                                     "</f>
        <v xml:space="preserve">PROLONG. AQUILES SERDAN S/N                                                     </v>
      </c>
      <c r="F487" s="26" t="str">
        <f>"SANTIAGO TEPALCATLAPAN                                                                                                                      "</f>
        <v xml:space="preserve">SANTIAGO TEPALCATLAPAN                                                                                                                      </v>
      </c>
      <c r="G487" s="26" t="str">
        <f>"XOCHIMILCO                                                                      "</f>
        <v xml:space="preserve">XOCHIMILCO                                                                      </v>
      </c>
      <c r="H487" s="26" t="str">
        <f>"081"</f>
        <v>081</v>
      </c>
      <c r="I487" s="26" t="str">
        <f t="shared" si="66"/>
        <v>00</v>
      </c>
      <c r="J487" s="26" t="str">
        <f>"35 "</f>
        <v xml:space="preserve">35 </v>
      </c>
      <c r="K487" s="26" t="str">
        <f t="shared" si="70"/>
        <v>EP</v>
      </c>
      <c r="L487" s="26" t="str">
        <f t="shared" si="71"/>
        <v>DGOSE</v>
      </c>
      <c r="M487" s="26" t="str">
        <f t="shared" si="67"/>
        <v>FEDERAL</v>
      </c>
      <c r="N487" s="26">
        <v>242</v>
      </c>
      <c r="O487" s="26">
        <v>135</v>
      </c>
      <c r="P487" s="26">
        <v>107</v>
      </c>
      <c r="Q487" s="26">
        <v>7</v>
      </c>
      <c r="R487" s="26">
        <v>1</v>
      </c>
      <c r="S487" s="26">
        <v>7</v>
      </c>
      <c r="T487" s="26">
        <v>8</v>
      </c>
      <c r="U487" s="26">
        <v>16</v>
      </c>
      <c r="V487" s="26">
        <v>1</v>
      </c>
      <c r="W487" s="26"/>
    </row>
    <row r="488" spans="1:23" x14ac:dyDescent="0.25">
      <c r="A488" s="26" t="str">
        <f t="shared" si="65"/>
        <v>PREESCOLAR</v>
      </c>
      <c r="B488" s="26" t="str">
        <f>"09DJN0623C"</f>
        <v>09DJN0623C</v>
      </c>
      <c r="C488" s="26" t="str">
        <f>"REHABILITACION D.I.F                                                                                "</f>
        <v xml:space="preserve">REHABILITACION D.I.F                                                                                </v>
      </c>
      <c r="D488" s="26" t="str">
        <f>"JORNADA AMPLIADA"</f>
        <v>JORNADA AMPLIADA</v>
      </c>
      <c r="E488" s="26" t="str">
        <f>"EMILIANO ZAPATA NO. 300                                                         "</f>
        <v xml:space="preserve">EMILIANO ZAPATA NO. 300                                                         </v>
      </c>
      <c r="F488" s="26" t="str">
        <f>"PORTALES                                                                                                                                    "</f>
        <v xml:space="preserve">PORTALES                                                                                                                                    </v>
      </c>
      <c r="G488" s="26" t="str">
        <f>"BENITO JUAREZ                                                                   "</f>
        <v xml:space="preserve">BENITO JUAREZ                                                                   </v>
      </c>
      <c r="H488" s="26" t="str">
        <f>"228"</f>
        <v>228</v>
      </c>
      <c r="I488" s="26" t="str">
        <f t="shared" si="66"/>
        <v>00</v>
      </c>
      <c r="J488" s="26" t="str">
        <f>"34 "</f>
        <v xml:space="preserve">34 </v>
      </c>
      <c r="K488" s="26" t="str">
        <f t="shared" si="70"/>
        <v>EP</v>
      </c>
      <c r="L488" s="26" t="str">
        <f t="shared" si="71"/>
        <v>DGOSE</v>
      </c>
      <c r="M488" s="26" t="str">
        <f t="shared" si="67"/>
        <v>FEDERAL</v>
      </c>
      <c r="N488" s="26">
        <v>21</v>
      </c>
      <c r="O488" s="26">
        <v>8</v>
      </c>
      <c r="P488" s="26">
        <v>13</v>
      </c>
      <c r="Q488" s="26">
        <v>3</v>
      </c>
      <c r="R488" s="26">
        <v>1</v>
      </c>
      <c r="S488" s="26">
        <v>3</v>
      </c>
      <c r="T488" s="26">
        <v>5</v>
      </c>
      <c r="U488" s="26">
        <v>9</v>
      </c>
      <c r="V488" s="26">
        <v>1</v>
      </c>
      <c r="W488" s="26" t="s">
        <v>2076</v>
      </c>
    </row>
    <row r="489" spans="1:23" x14ac:dyDescent="0.25">
      <c r="A489" s="26" t="str">
        <f t="shared" si="65"/>
        <v>PREESCOLAR</v>
      </c>
      <c r="B489" s="26" t="str">
        <f>"09DJN0629X"</f>
        <v>09DJN0629X</v>
      </c>
      <c r="C489" s="26" t="str">
        <f>"FRAY MARTIN DE VALENCIA                                                                             "</f>
        <v xml:space="preserve">FRAY MARTIN DE VALENCIA                                                                             </v>
      </c>
      <c r="D489" s="26" t="str">
        <f>"VESPERTINO"</f>
        <v>VESPERTINO</v>
      </c>
      <c r="E489" s="26" t="str">
        <f>"EMILIANO ZAPATA Y PLAN DE AYALA S/N                                             "</f>
        <v xml:space="preserve">EMILIANO ZAPATA Y PLAN DE AYALA S/N                                             </v>
      </c>
      <c r="F489" s="26" t="str">
        <f>"SANTA MARIA AZTAHUACAN                                                                                                                      "</f>
        <v xml:space="preserve">SANTA MARIA AZTAHUACAN                                                                                                                      </v>
      </c>
      <c r="G489" s="26" t="str">
        <f>"IZTAPALAPA                                                                      "</f>
        <v xml:space="preserve">IZTAPALAPA                                                                      </v>
      </c>
      <c r="H489" s="26" t="str">
        <f>"033"</f>
        <v>033</v>
      </c>
      <c r="I489" s="26" t="str">
        <f t="shared" si="66"/>
        <v>00</v>
      </c>
      <c r="J489" s="26" t="str">
        <f>"64 "</f>
        <v xml:space="preserve">64 </v>
      </c>
      <c r="K489" s="26" t="str">
        <f>"IZ"</f>
        <v>IZ</v>
      </c>
      <c r="L489" s="26" t="str">
        <f>"DGSEI"</f>
        <v>DGSEI</v>
      </c>
      <c r="M489" s="26" t="str">
        <f t="shared" si="67"/>
        <v>FEDERAL</v>
      </c>
      <c r="N489" s="26">
        <v>162</v>
      </c>
      <c r="O489" s="26">
        <v>87</v>
      </c>
      <c r="P489" s="26">
        <v>75</v>
      </c>
      <c r="Q489" s="26">
        <v>5</v>
      </c>
      <c r="R489" s="26">
        <v>1</v>
      </c>
      <c r="S489" s="26">
        <v>5</v>
      </c>
      <c r="T489" s="26">
        <v>3</v>
      </c>
      <c r="U489" s="26">
        <v>9</v>
      </c>
      <c r="V489" s="26">
        <v>1</v>
      </c>
      <c r="W489" s="26"/>
    </row>
    <row r="490" spans="1:23" x14ac:dyDescent="0.25">
      <c r="A490" s="26" t="str">
        <f t="shared" si="65"/>
        <v>PREESCOLAR</v>
      </c>
      <c r="B490" s="26" t="str">
        <f>"09DJN0630M"</f>
        <v>09DJN0630M</v>
      </c>
      <c r="C490" s="26" t="str">
        <f>"COATLICUE                                                                                           "</f>
        <v xml:space="preserve">COATLICUE                                                                                           </v>
      </c>
      <c r="D490" s="26" t="str">
        <f>"MATUTINO"</f>
        <v>MATUTINO</v>
      </c>
      <c r="E490" s="26" t="str">
        <f>"CALLE 4 Y CALLE 5 S/N                                                           "</f>
        <v xml:space="preserve">CALLE 4 Y CALLE 5 S/N                                                           </v>
      </c>
      <c r="F490" s="26" t="str">
        <f>"SANTIAGO ACAHUALTEPEC 2A AMPLIACION                                                                                                         "</f>
        <v xml:space="preserve">SANTIAGO ACAHUALTEPEC 2A AMPLIACION                                                                                                         </v>
      </c>
      <c r="G490" s="26" t="str">
        <f>"IZTAPALAPA                                                                      "</f>
        <v xml:space="preserve">IZTAPALAPA                                                                      </v>
      </c>
      <c r="H490" s="26" t="str">
        <f>"036"</f>
        <v>036</v>
      </c>
      <c r="I490" s="26" t="str">
        <f t="shared" si="66"/>
        <v>00</v>
      </c>
      <c r="J490" s="26" t="str">
        <f>"64 "</f>
        <v xml:space="preserve">64 </v>
      </c>
      <c r="K490" s="26" t="str">
        <f>"IZ"</f>
        <v>IZ</v>
      </c>
      <c r="L490" s="26" t="str">
        <f>"DGSEI"</f>
        <v>DGSEI</v>
      </c>
      <c r="M490" s="26" t="str">
        <f t="shared" si="67"/>
        <v>FEDERAL</v>
      </c>
      <c r="N490" s="26">
        <v>240</v>
      </c>
      <c r="O490" s="26">
        <v>129</v>
      </c>
      <c r="P490" s="26">
        <v>111</v>
      </c>
      <c r="Q490" s="26">
        <v>6</v>
      </c>
      <c r="R490" s="26">
        <v>1</v>
      </c>
      <c r="S490" s="26">
        <v>6</v>
      </c>
      <c r="T490" s="26">
        <v>4</v>
      </c>
      <c r="U490" s="26">
        <v>11</v>
      </c>
      <c r="V490" s="26">
        <v>1</v>
      </c>
      <c r="W490" s="26"/>
    </row>
    <row r="491" spans="1:23" x14ac:dyDescent="0.25">
      <c r="A491" s="26" t="str">
        <f t="shared" si="65"/>
        <v>PREESCOLAR</v>
      </c>
      <c r="B491" s="26" t="str">
        <f>"09DJN0632K"</f>
        <v>09DJN0632K</v>
      </c>
      <c r="C491" s="26" t="str">
        <f>"COATLICUE                                                                                           "</f>
        <v xml:space="preserve">COATLICUE                                                                                           </v>
      </c>
      <c r="D491" s="26" t="str">
        <f>"VESPERTINO"</f>
        <v>VESPERTINO</v>
      </c>
      <c r="E491" s="26" t="str">
        <f>"CALLE 4 Y CALLE 5 S/N                                                           "</f>
        <v xml:space="preserve">CALLE 4 Y CALLE 5 S/N                                                           </v>
      </c>
      <c r="F491" s="26" t="str">
        <f>"SANTIAGO ACAHUALTEPEC 2A AMPLIACION                                                                                                         "</f>
        <v xml:space="preserve">SANTIAGO ACAHUALTEPEC 2A AMPLIACION                                                                                                         </v>
      </c>
      <c r="G491" s="26" t="str">
        <f>"IZTAPALAPA                                                                      "</f>
        <v xml:space="preserve">IZTAPALAPA                                                                      </v>
      </c>
      <c r="H491" s="26" t="str">
        <f>"036"</f>
        <v>036</v>
      </c>
      <c r="I491" s="26" t="str">
        <f t="shared" si="66"/>
        <v>00</v>
      </c>
      <c r="J491" s="26" t="str">
        <f>"64 "</f>
        <v xml:space="preserve">64 </v>
      </c>
      <c r="K491" s="26" t="str">
        <f>"IZ"</f>
        <v>IZ</v>
      </c>
      <c r="L491" s="26" t="str">
        <f>"DGSEI"</f>
        <v>DGSEI</v>
      </c>
      <c r="M491" s="26" t="str">
        <f t="shared" si="67"/>
        <v>FEDERAL</v>
      </c>
      <c r="N491" s="26">
        <v>135</v>
      </c>
      <c r="O491" s="26">
        <v>80</v>
      </c>
      <c r="P491" s="26">
        <v>55</v>
      </c>
      <c r="Q491" s="26">
        <v>4</v>
      </c>
      <c r="R491" s="26">
        <v>1</v>
      </c>
      <c r="S491" s="26">
        <v>4</v>
      </c>
      <c r="T491" s="26">
        <v>3</v>
      </c>
      <c r="U491" s="26">
        <v>8</v>
      </c>
      <c r="V491" s="26">
        <v>1</v>
      </c>
      <c r="W491" s="26"/>
    </row>
    <row r="492" spans="1:23" x14ac:dyDescent="0.25">
      <c r="A492" s="26" t="str">
        <f t="shared" si="65"/>
        <v>PREESCOLAR</v>
      </c>
      <c r="B492" s="26" t="str">
        <f>"09DJN0633J"</f>
        <v>09DJN0633J</v>
      </c>
      <c r="C492" s="26" t="str">
        <f>"PROFR. ISAIAS MORONES ESCAMILLA                                                                     "</f>
        <v xml:space="preserve">PROFR. ISAIAS MORONES ESCAMILLA                                                                     </v>
      </c>
      <c r="D492" s="26" t="str">
        <f>"MATUTINO"</f>
        <v>MATUTINO</v>
      </c>
      <c r="E492" s="26" t="str">
        <f>"VICENTE GUERRERO S/N                                                            "</f>
        <v xml:space="preserve">VICENTE GUERRERO S/N                                                            </v>
      </c>
      <c r="F492" s="26" t="str">
        <f>"SAN ANDRES AHUAYUCAN                                                                                                                        "</f>
        <v xml:space="preserve">SAN ANDRES AHUAYUCAN                                                                                                                        </v>
      </c>
      <c r="G492" s="26" t="str">
        <f t="shared" ref="G492:G497" si="72">"XOCHIMILCO                                                                      "</f>
        <v xml:space="preserve">XOCHIMILCO                                                                      </v>
      </c>
      <c r="H492" s="26" t="str">
        <f>"081"</f>
        <v>081</v>
      </c>
      <c r="I492" s="26" t="str">
        <f t="shared" si="66"/>
        <v>00</v>
      </c>
      <c r="J492" s="26" t="str">
        <f>"35 "</f>
        <v xml:space="preserve">35 </v>
      </c>
      <c r="K492" s="26" t="str">
        <f t="shared" ref="K492:K520" si="73">"EP"</f>
        <v>EP</v>
      </c>
      <c r="L492" s="26" t="str">
        <f t="shared" ref="L492:L520" si="74">"DGOSE"</f>
        <v>DGOSE</v>
      </c>
      <c r="M492" s="26" t="str">
        <f t="shared" si="67"/>
        <v>FEDERAL</v>
      </c>
      <c r="N492" s="26">
        <v>226</v>
      </c>
      <c r="O492" s="26">
        <v>115</v>
      </c>
      <c r="P492" s="26">
        <v>111</v>
      </c>
      <c r="Q492" s="26">
        <v>7</v>
      </c>
      <c r="R492" s="26">
        <v>1</v>
      </c>
      <c r="S492" s="26">
        <v>7</v>
      </c>
      <c r="T492" s="26">
        <v>4</v>
      </c>
      <c r="U492" s="26">
        <v>12</v>
      </c>
      <c r="V492" s="26">
        <v>1</v>
      </c>
      <c r="W492" s="26"/>
    </row>
    <row r="493" spans="1:23" x14ac:dyDescent="0.25">
      <c r="A493" s="26" t="str">
        <f t="shared" si="65"/>
        <v>PREESCOLAR</v>
      </c>
      <c r="B493" s="26" t="str">
        <f>"09DJN0634I"</f>
        <v>09DJN0634I</v>
      </c>
      <c r="C493" s="26" t="str">
        <f>"CITLALXALPA                                                                                         "</f>
        <v xml:space="preserve">CITLALXALPA                                                                                         </v>
      </c>
      <c r="D493" s="26" t="str">
        <f>"JORNADA AMPLIADA"</f>
        <v>JORNADA AMPLIADA</v>
      </c>
      <c r="E493" s="26" t="str">
        <f>"PROLONG. JUAREZ Y ZARAGOZA                                                      "</f>
        <v xml:space="preserve">PROLONG. JUAREZ Y ZARAGOZA                                                      </v>
      </c>
      <c r="F493" s="26" t="str">
        <f>"SAN MATEO XALPA                                                                                                                             "</f>
        <v xml:space="preserve">SAN MATEO XALPA                                                                                                                             </v>
      </c>
      <c r="G493" s="26" t="str">
        <f t="shared" si="72"/>
        <v xml:space="preserve">XOCHIMILCO                                                                      </v>
      </c>
      <c r="H493" s="26" t="str">
        <f>"245"</f>
        <v>245</v>
      </c>
      <c r="I493" s="26" t="str">
        <f t="shared" si="66"/>
        <v>00</v>
      </c>
      <c r="J493" s="26" t="str">
        <f>"34 "</f>
        <v xml:space="preserve">34 </v>
      </c>
      <c r="K493" s="26" t="str">
        <f t="shared" si="73"/>
        <v>EP</v>
      </c>
      <c r="L493" s="26" t="str">
        <f t="shared" si="74"/>
        <v>DGOSE</v>
      </c>
      <c r="M493" s="26" t="str">
        <f t="shared" si="67"/>
        <v>FEDERAL</v>
      </c>
      <c r="N493" s="26">
        <v>263</v>
      </c>
      <c r="O493" s="26">
        <v>142</v>
      </c>
      <c r="P493" s="26">
        <v>121</v>
      </c>
      <c r="Q493" s="26">
        <v>7</v>
      </c>
      <c r="R493" s="26">
        <v>1</v>
      </c>
      <c r="S493" s="26">
        <v>7</v>
      </c>
      <c r="T493" s="26">
        <v>6</v>
      </c>
      <c r="U493" s="26">
        <v>14</v>
      </c>
      <c r="V493" s="26">
        <v>1</v>
      </c>
      <c r="W493" s="26" t="s">
        <v>2076</v>
      </c>
    </row>
    <row r="494" spans="1:23" x14ac:dyDescent="0.25">
      <c r="A494" s="26" t="str">
        <f t="shared" si="65"/>
        <v>PREESCOLAR</v>
      </c>
      <c r="B494" s="26" t="str">
        <f>"09DJN0635H"</f>
        <v>09DJN0635H</v>
      </c>
      <c r="C494" s="26" t="str">
        <f>"COSTA DE MARFIL                                                                                     "</f>
        <v xml:space="preserve">COSTA DE MARFIL                                                                                     </v>
      </c>
      <c r="D494" s="26" t="str">
        <f>"MATUTINO"</f>
        <v>MATUTINO</v>
      </c>
      <c r="E494" s="26" t="str">
        <f>"CALLE 18 DE MARZO NO. 15                                                        "</f>
        <v xml:space="preserve">CALLE 18 DE MARZO NO. 15                                                        </v>
      </c>
      <c r="F494" s="26" t="str">
        <f>"HUICHAPAN                                                                                                                                   "</f>
        <v xml:space="preserve">HUICHAPAN                                                                                                                                   </v>
      </c>
      <c r="G494" s="26" t="str">
        <f t="shared" si="72"/>
        <v xml:space="preserve">XOCHIMILCO                                                                      </v>
      </c>
      <c r="H494" s="26" t="str">
        <f>"050"</f>
        <v>050</v>
      </c>
      <c r="I494" s="26" t="str">
        <f t="shared" si="66"/>
        <v>00</v>
      </c>
      <c r="J494" s="26" t="str">
        <f>"35 "</f>
        <v xml:space="preserve">35 </v>
      </c>
      <c r="K494" s="26" t="str">
        <f t="shared" si="73"/>
        <v>EP</v>
      </c>
      <c r="L494" s="26" t="str">
        <f t="shared" si="74"/>
        <v>DGOSE</v>
      </c>
      <c r="M494" s="26" t="str">
        <f t="shared" si="67"/>
        <v>FEDERAL</v>
      </c>
      <c r="N494" s="26">
        <v>263</v>
      </c>
      <c r="O494" s="26">
        <v>130</v>
      </c>
      <c r="P494" s="26">
        <v>133</v>
      </c>
      <c r="Q494" s="26">
        <v>8</v>
      </c>
      <c r="R494" s="26">
        <v>1</v>
      </c>
      <c r="S494" s="26">
        <v>8</v>
      </c>
      <c r="T494" s="26">
        <v>7</v>
      </c>
      <c r="U494" s="26">
        <v>16</v>
      </c>
      <c r="V494" s="26">
        <v>1</v>
      </c>
      <c r="W494" s="26"/>
    </row>
    <row r="495" spans="1:23" x14ac:dyDescent="0.25">
      <c r="A495" s="26" t="str">
        <f t="shared" si="65"/>
        <v>PREESCOLAR</v>
      </c>
      <c r="B495" s="26" t="str">
        <f>"09DJN0636G"</f>
        <v>09DJN0636G</v>
      </c>
      <c r="C495" s="26" t="str">
        <f>"XOCHIPILOYA                                                                                         "</f>
        <v xml:space="preserve">XOCHIPILOYA                                                                                         </v>
      </c>
      <c r="D495" s="26" t="str">
        <f>"JORNADA AMPLIADA"</f>
        <v>JORNADA AMPLIADA</v>
      </c>
      <c r="E495" s="26" t="str">
        <f>"CALLEJON DE REFORMA Y REFORMA                                                   "</f>
        <v xml:space="preserve">CALLEJON DE REFORMA Y REFORMA                                                   </v>
      </c>
      <c r="F495" s="26" t="str">
        <f>"SAN FRANCISCO TLALNEPANTLA                                                                                                                  "</f>
        <v xml:space="preserve">SAN FRANCISCO TLALNEPANTLA                                                                                                                  </v>
      </c>
      <c r="G495" s="26" t="str">
        <f t="shared" si="72"/>
        <v xml:space="preserve">XOCHIMILCO                                                                      </v>
      </c>
      <c r="H495" s="26" t="str">
        <f>"245"</f>
        <v>245</v>
      </c>
      <c r="I495" s="26" t="str">
        <f t="shared" si="66"/>
        <v>00</v>
      </c>
      <c r="J495" s="26" t="str">
        <f>"34 "</f>
        <v xml:space="preserve">34 </v>
      </c>
      <c r="K495" s="26" t="str">
        <f t="shared" si="73"/>
        <v>EP</v>
      </c>
      <c r="L495" s="26" t="str">
        <f t="shared" si="74"/>
        <v>DGOSE</v>
      </c>
      <c r="M495" s="26" t="str">
        <f t="shared" si="67"/>
        <v>FEDERAL</v>
      </c>
      <c r="N495" s="26">
        <v>156</v>
      </c>
      <c r="O495" s="26">
        <v>79</v>
      </c>
      <c r="P495" s="26">
        <v>77</v>
      </c>
      <c r="Q495" s="26">
        <v>5</v>
      </c>
      <c r="R495" s="26">
        <v>1</v>
      </c>
      <c r="S495" s="26">
        <v>5</v>
      </c>
      <c r="T495" s="26">
        <v>4</v>
      </c>
      <c r="U495" s="26">
        <v>10</v>
      </c>
      <c r="V495" s="26">
        <v>1</v>
      </c>
      <c r="W495" s="26" t="s">
        <v>2076</v>
      </c>
    </row>
    <row r="496" spans="1:23" x14ac:dyDescent="0.25">
      <c r="A496" s="26" t="str">
        <f t="shared" si="65"/>
        <v>PREESCOLAR</v>
      </c>
      <c r="B496" s="26" t="str">
        <f>"09DJN0637F"</f>
        <v>09DJN0637F</v>
      </c>
      <c r="C496" s="26" t="str">
        <f>"JOSE APIS DERVICH                                                                                   "</f>
        <v xml:space="preserve">JOSE APIS DERVICH                                                                                   </v>
      </c>
      <c r="D496" s="26" t="str">
        <f>"JORNADA AMPLIADA"</f>
        <v>JORNADA AMPLIADA</v>
      </c>
      <c r="E496" s="26" t="str">
        <f>"JARDIN S/N                                                                      "</f>
        <v xml:space="preserve">JARDIN S/N                                                                      </v>
      </c>
      <c r="F496" s="26" t="str">
        <f>"SANTA CECILIA TEPETLAPA                                                                                                                     "</f>
        <v xml:space="preserve">SANTA CECILIA TEPETLAPA                                                                                                                     </v>
      </c>
      <c r="G496" s="26" t="str">
        <f t="shared" si="72"/>
        <v xml:space="preserve">XOCHIMILCO                                                                      </v>
      </c>
      <c r="H496" s="26" t="str">
        <f>"245"</f>
        <v>245</v>
      </c>
      <c r="I496" s="26" t="str">
        <f t="shared" si="66"/>
        <v>00</v>
      </c>
      <c r="J496" s="26" t="str">
        <f>"34 "</f>
        <v xml:space="preserve">34 </v>
      </c>
      <c r="K496" s="26" t="str">
        <f t="shared" si="73"/>
        <v>EP</v>
      </c>
      <c r="L496" s="26" t="str">
        <f t="shared" si="74"/>
        <v>DGOSE</v>
      </c>
      <c r="M496" s="26" t="str">
        <f t="shared" si="67"/>
        <v>FEDERAL</v>
      </c>
      <c r="N496" s="26">
        <v>171</v>
      </c>
      <c r="O496" s="26">
        <v>111</v>
      </c>
      <c r="P496" s="26">
        <v>60</v>
      </c>
      <c r="Q496" s="26">
        <v>5</v>
      </c>
      <c r="R496" s="26">
        <v>1</v>
      </c>
      <c r="S496" s="26">
        <v>5</v>
      </c>
      <c r="T496" s="26">
        <v>6</v>
      </c>
      <c r="U496" s="26">
        <v>12</v>
      </c>
      <c r="V496" s="26">
        <v>1</v>
      </c>
      <c r="W496" s="26" t="s">
        <v>2076</v>
      </c>
    </row>
    <row r="497" spans="1:23" x14ac:dyDescent="0.25">
      <c r="A497" s="26" t="str">
        <f t="shared" si="65"/>
        <v>PREESCOLAR</v>
      </c>
      <c r="B497" s="26" t="str">
        <f>"09DJN0638E"</f>
        <v>09DJN0638E</v>
      </c>
      <c r="C497" s="26" t="str">
        <f>"JOSE MARTI                                                                                          "</f>
        <v xml:space="preserve">JOSE MARTI                                                                                          </v>
      </c>
      <c r="D497" s="26" t="str">
        <f>"MATUTINO"</f>
        <v>MATUTINO</v>
      </c>
      <c r="E497" s="26" t="str">
        <f>"AV. SANTIAGO S/N                                                                "</f>
        <v xml:space="preserve">AV. SANTIAGO S/N                                                                </v>
      </c>
      <c r="F497" s="26" t="str">
        <f>"SANTA CRUZ XOCHITEPEC                                                                                                                       "</f>
        <v xml:space="preserve">SANTA CRUZ XOCHITEPEC                                                                                                                       </v>
      </c>
      <c r="G497" s="26" t="str">
        <f t="shared" si="72"/>
        <v xml:space="preserve">XOCHIMILCO                                                                      </v>
      </c>
      <c r="H497" s="26" t="str">
        <f>"172"</f>
        <v>172</v>
      </c>
      <c r="I497" s="26" t="str">
        <f t="shared" si="66"/>
        <v>00</v>
      </c>
      <c r="J497" s="26" t="str">
        <f>"35 "</f>
        <v xml:space="preserve">35 </v>
      </c>
      <c r="K497" s="26" t="str">
        <f t="shared" si="73"/>
        <v>EP</v>
      </c>
      <c r="L497" s="26" t="str">
        <f t="shared" si="74"/>
        <v>DGOSE</v>
      </c>
      <c r="M497" s="26" t="str">
        <f t="shared" si="67"/>
        <v>FEDERAL</v>
      </c>
      <c r="N497" s="26">
        <v>172</v>
      </c>
      <c r="O497" s="26">
        <v>91</v>
      </c>
      <c r="P497" s="26">
        <v>81</v>
      </c>
      <c r="Q497" s="26">
        <v>5</v>
      </c>
      <c r="R497" s="26">
        <v>1</v>
      </c>
      <c r="S497" s="26">
        <v>5</v>
      </c>
      <c r="T497" s="26">
        <v>2</v>
      </c>
      <c r="U497" s="26">
        <v>8</v>
      </c>
      <c r="V497" s="26">
        <v>1</v>
      </c>
      <c r="W497" s="26"/>
    </row>
    <row r="498" spans="1:23" x14ac:dyDescent="0.25">
      <c r="A498" s="26" t="str">
        <f t="shared" si="65"/>
        <v>PREESCOLAR</v>
      </c>
      <c r="B498" s="26" t="str">
        <f>"09DJN0639D"</f>
        <v>09DJN0639D</v>
      </c>
      <c r="C498" s="26" t="str">
        <f>"TOPILLI                                                                                             "</f>
        <v xml:space="preserve">TOPILLI                                                                                             </v>
      </c>
      <c r="D498" s="26" t="str">
        <f>"MATUTINO"</f>
        <v>MATUTINO</v>
      </c>
      <c r="E498" s="26" t="str">
        <f>"CALLE SANTA CRUZ NO. 33                                                         "</f>
        <v xml:space="preserve">CALLE SANTA CRUZ NO. 33                                                         </v>
      </c>
      <c r="F498" s="26" t="str">
        <f>"SAN MIGUEL TOPILEJO                                                                                                                         "</f>
        <v xml:space="preserve">SAN MIGUEL TOPILEJO                                                                                                                         </v>
      </c>
      <c r="G498" s="26" t="str">
        <f>"TLALPAN                                                                         "</f>
        <v xml:space="preserve">TLALPAN                                                                         </v>
      </c>
      <c r="H498" s="26" t="str">
        <f>"062"</f>
        <v>062</v>
      </c>
      <c r="I498" s="26" t="str">
        <f t="shared" si="66"/>
        <v>00</v>
      </c>
      <c r="J498" s="26" t="str">
        <f>"35 "</f>
        <v xml:space="preserve">35 </v>
      </c>
      <c r="K498" s="26" t="str">
        <f t="shared" si="73"/>
        <v>EP</v>
      </c>
      <c r="L498" s="26" t="str">
        <f t="shared" si="74"/>
        <v>DGOSE</v>
      </c>
      <c r="M498" s="26" t="str">
        <f t="shared" si="67"/>
        <v>FEDERAL</v>
      </c>
      <c r="N498" s="26">
        <v>385</v>
      </c>
      <c r="O498" s="26">
        <v>192</v>
      </c>
      <c r="P498" s="26">
        <v>193</v>
      </c>
      <c r="Q498" s="26">
        <v>10</v>
      </c>
      <c r="R498" s="26">
        <v>1</v>
      </c>
      <c r="S498" s="26">
        <v>10</v>
      </c>
      <c r="T498" s="26">
        <v>4</v>
      </c>
      <c r="U498" s="26">
        <v>15</v>
      </c>
      <c r="V498" s="26">
        <v>1</v>
      </c>
      <c r="W498" s="26"/>
    </row>
    <row r="499" spans="1:23" x14ac:dyDescent="0.25">
      <c r="A499" s="26" t="str">
        <f t="shared" si="65"/>
        <v>PREESCOLAR</v>
      </c>
      <c r="B499" s="26" t="str">
        <f>"09DJN0640T"</f>
        <v>09DJN0640T</v>
      </c>
      <c r="C499" s="26" t="str">
        <f>"YOLILIZTLI                                                                                          "</f>
        <v xml:space="preserve">YOLILIZTLI                                                                                          </v>
      </c>
      <c r="D499" s="26" t="str">
        <f>"MATUTINO"</f>
        <v>MATUTINO</v>
      </c>
      <c r="E499" s="26" t="str">
        <f>"AV. JUAREZ S/N ESQ. ACUEXCOMAC                                                  "</f>
        <v xml:space="preserve">AV. JUAREZ S/N ESQ. ACUEXCOMAC                                                  </v>
      </c>
      <c r="F499" s="26" t="str">
        <f>"SAN LUIS TLAXIALTEMALCO                                                                                                                     "</f>
        <v xml:space="preserve">SAN LUIS TLAXIALTEMALCO                                                                                                                     </v>
      </c>
      <c r="G499" s="26" t="str">
        <f>"XOCHIMILCO                                                                      "</f>
        <v xml:space="preserve">XOCHIMILCO                                                                      </v>
      </c>
      <c r="H499" s="26" t="str">
        <f>"033"</f>
        <v>033</v>
      </c>
      <c r="I499" s="26" t="str">
        <f t="shared" si="66"/>
        <v>00</v>
      </c>
      <c r="J499" s="26" t="str">
        <f>"35 "</f>
        <v xml:space="preserve">35 </v>
      </c>
      <c r="K499" s="26" t="str">
        <f t="shared" si="73"/>
        <v>EP</v>
      </c>
      <c r="L499" s="26" t="str">
        <f t="shared" si="74"/>
        <v>DGOSE</v>
      </c>
      <c r="M499" s="26" t="str">
        <f t="shared" si="67"/>
        <v>FEDERAL</v>
      </c>
      <c r="N499" s="26">
        <v>212</v>
      </c>
      <c r="O499" s="26">
        <v>111</v>
      </c>
      <c r="P499" s="26">
        <v>101</v>
      </c>
      <c r="Q499" s="26">
        <v>6</v>
      </c>
      <c r="R499" s="26">
        <v>1</v>
      </c>
      <c r="S499" s="26">
        <v>5</v>
      </c>
      <c r="T499" s="26">
        <v>6</v>
      </c>
      <c r="U499" s="26">
        <v>12</v>
      </c>
      <c r="V499" s="26">
        <v>1</v>
      </c>
      <c r="W499" s="26"/>
    </row>
    <row r="500" spans="1:23" x14ac:dyDescent="0.25">
      <c r="A500" s="26" t="str">
        <f t="shared" si="65"/>
        <v>PREESCOLAR</v>
      </c>
      <c r="B500" s="26" t="str">
        <f>"09DJN0641S"</f>
        <v>09DJN0641S</v>
      </c>
      <c r="C500" s="26" t="str">
        <f>"FRANCISCO GOITIA                                                                                    "</f>
        <v xml:space="preserve">FRANCISCO GOITIA                                                                                    </v>
      </c>
      <c r="D500" s="26" t="str">
        <f>"MATUTINO"</f>
        <v>MATUTINO</v>
      </c>
      <c r="E500" s="26" t="str">
        <f>"AV. MORELOS Y SELVA                                                             "</f>
        <v xml:space="preserve">AV. MORELOS Y SELVA                                                             </v>
      </c>
      <c r="F500" s="26" t="str">
        <f>"SAN PEDRO                                                                                                                                   "</f>
        <v xml:space="preserve">SAN PEDRO                                                                                                                                   </v>
      </c>
      <c r="G500" s="26" t="str">
        <f>"XOCHIMILCO                                                                      "</f>
        <v xml:space="preserve">XOCHIMILCO                                                                      </v>
      </c>
      <c r="H500" s="26" t="str">
        <f>"276"</f>
        <v>276</v>
      </c>
      <c r="I500" s="26" t="str">
        <f t="shared" si="66"/>
        <v>00</v>
      </c>
      <c r="J500" s="26" t="str">
        <f>"35 "</f>
        <v xml:space="preserve">35 </v>
      </c>
      <c r="K500" s="26" t="str">
        <f t="shared" si="73"/>
        <v>EP</v>
      </c>
      <c r="L500" s="26" t="str">
        <f t="shared" si="74"/>
        <v>DGOSE</v>
      </c>
      <c r="M500" s="26" t="str">
        <f t="shared" si="67"/>
        <v>FEDERAL</v>
      </c>
      <c r="N500" s="26">
        <v>273</v>
      </c>
      <c r="O500" s="26">
        <v>126</v>
      </c>
      <c r="P500" s="26">
        <v>147</v>
      </c>
      <c r="Q500" s="26">
        <v>8</v>
      </c>
      <c r="R500" s="26">
        <v>0</v>
      </c>
      <c r="S500" s="26">
        <v>8</v>
      </c>
      <c r="T500" s="26">
        <v>5</v>
      </c>
      <c r="U500" s="26">
        <v>13</v>
      </c>
      <c r="V500" s="26">
        <v>1</v>
      </c>
      <c r="W500" s="26"/>
    </row>
    <row r="501" spans="1:23" x14ac:dyDescent="0.25">
      <c r="A501" s="26" t="str">
        <f t="shared" si="65"/>
        <v>PREESCOLAR</v>
      </c>
      <c r="B501" s="26" t="str">
        <f>"09DJN0642R"</f>
        <v>09DJN0642R</v>
      </c>
      <c r="C501" s="26" t="str">
        <f>"SANTOS DEGOLLADO                                                                                    "</f>
        <v xml:space="preserve">SANTOS DEGOLLADO                                                                                    </v>
      </c>
      <c r="D501" s="26" t="str">
        <f>"JORNADA AMPLIADA"</f>
        <v>JORNADA AMPLIADA</v>
      </c>
      <c r="E501" s="26" t="str">
        <f>"AV. CENTENARIO NO. 2200                                                         "</f>
        <v xml:space="preserve">AV. CENTENARIO NO. 2200                                                         </v>
      </c>
      <c r="F501" s="26" t="str">
        <f>"ATZACOALCO                                                                                                                                  "</f>
        <v xml:space="preserve">ATZACOALCO                                                                                                                                  </v>
      </c>
      <c r="G501" s="26" t="str">
        <f>"GUSTAVO A. MADERO                                                               "</f>
        <v xml:space="preserve">GUSTAVO A. MADERO                                                               </v>
      </c>
      <c r="H501" s="26" t="str">
        <f>"063"</f>
        <v>063</v>
      </c>
      <c r="I501" s="26" t="str">
        <f t="shared" si="66"/>
        <v>00</v>
      </c>
      <c r="J501" s="26" t="str">
        <f>"31 "</f>
        <v xml:space="preserve">31 </v>
      </c>
      <c r="K501" s="26" t="str">
        <f t="shared" si="73"/>
        <v>EP</v>
      </c>
      <c r="L501" s="26" t="str">
        <f t="shared" si="74"/>
        <v>DGOSE</v>
      </c>
      <c r="M501" s="26" t="str">
        <f t="shared" si="67"/>
        <v>FEDERAL</v>
      </c>
      <c r="N501" s="26">
        <v>103</v>
      </c>
      <c r="O501" s="26">
        <v>51</v>
      </c>
      <c r="P501" s="26">
        <v>52</v>
      </c>
      <c r="Q501" s="26">
        <v>4</v>
      </c>
      <c r="R501" s="26">
        <v>1</v>
      </c>
      <c r="S501" s="26">
        <v>4</v>
      </c>
      <c r="T501" s="26">
        <v>5</v>
      </c>
      <c r="U501" s="26">
        <v>10</v>
      </c>
      <c r="V501" s="26">
        <v>1</v>
      </c>
      <c r="W501" s="26" t="s">
        <v>2076</v>
      </c>
    </row>
    <row r="502" spans="1:23" x14ac:dyDescent="0.25">
      <c r="A502" s="26" t="str">
        <f t="shared" si="65"/>
        <v>PREESCOLAR</v>
      </c>
      <c r="B502" s="26" t="str">
        <f>"09DJN0643Q"</f>
        <v>09DJN0643Q</v>
      </c>
      <c r="C502" s="26" t="str">
        <f>"CUAILAMA                                                                                            "</f>
        <v xml:space="preserve">CUAILAMA                                                                                            </v>
      </c>
      <c r="D502" s="26" t="str">
        <f>"MATUTINO"</f>
        <v>MATUTINO</v>
      </c>
      <c r="E502" s="26" t="str">
        <f>"AHUALAPA S/N                                                                    "</f>
        <v xml:space="preserve">AHUALAPA S/N                                                                    </v>
      </c>
      <c r="F502" s="26" t="str">
        <f>"SANTA CRUZ ACALPIXCA                                                                                                                        "</f>
        <v xml:space="preserve">SANTA CRUZ ACALPIXCA                                                                                                                        </v>
      </c>
      <c r="G502" s="26" t="str">
        <f>"XOCHIMILCO                                                                      "</f>
        <v xml:space="preserve">XOCHIMILCO                                                                      </v>
      </c>
      <c r="H502" s="26" t="str">
        <f>"052"</f>
        <v>052</v>
      </c>
      <c r="I502" s="26" t="str">
        <f t="shared" si="66"/>
        <v>00</v>
      </c>
      <c r="J502" s="26" t="str">
        <f>"35 "</f>
        <v xml:space="preserve">35 </v>
      </c>
      <c r="K502" s="26" t="str">
        <f t="shared" si="73"/>
        <v>EP</v>
      </c>
      <c r="L502" s="26" t="str">
        <f t="shared" si="74"/>
        <v>DGOSE</v>
      </c>
      <c r="M502" s="26" t="str">
        <f t="shared" si="67"/>
        <v>FEDERAL</v>
      </c>
      <c r="N502" s="26">
        <v>250</v>
      </c>
      <c r="O502" s="26">
        <v>134</v>
      </c>
      <c r="P502" s="26">
        <v>116</v>
      </c>
      <c r="Q502" s="26">
        <v>8</v>
      </c>
      <c r="R502" s="26">
        <v>1</v>
      </c>
      <c r="S502" s="26">
        <v>8</v>
      </c>
      <c r="T502" s="26">
        <v>5</v>
      </c>
      <c r="U502" s="26">
        <v>14</v>
      </c>
      <c r="V502" s="26">
        <v>1</v>
      </c>
      <c r="W502" s="26"/>
    </row>
    <row r="503" spans="1:23" x14ac:dyDescent="0.25">
      <c r="A503" s="26" t="str">
        <f t="shared" si="65"/>
        <v>PREESCOLAR</v>
      </c>
      <c r="B503" s="26" t="str">
        <f>"09DJN0644P"</f>
        <v>09DJN0644P</v>
      </c>
      <c r="C503" s="26" t="str">
        <f>"MIXQUIC                                                                                             "</f>
        <v xml:space="preserve">MIXQUIC                                                                                             </v>
      </c>
      <c r="D503" s="26" t="str">
        <f>"MATUTINO"</f>
        <v>MATUTINO</v>
      </c>
      <c r="E503" s="26" t="str">
        <f>"JOSEFA ORTIZ DE DOMINGUEZ NO. 15                                                "</f>
        <v xml:space="preserve">JOSEFA ORTIZ DE DOMINGUEZ NO. 15                                                </v>
      </c>
      <c r="F503" s="26" t="str">
        <f>"SAN ANDRES MIXQUIC                                                                                                                          "</f>
        <v xml:space="preserve">SAN ANDRES MIXQUIC                                                                                                                          </v>
      </c>
      <c r="G503" s="26" t="str">
        <f>"TLAHUAC                                                                         "</f>
        <v xml:space="preserve">TLAHUAC                                                                         </v>
      </c>
      <c r="H503" s="26" t="str">
        <f>"083"</f>
        <v>083</v>
      </c>
      <c r="I503" s="26" t="str">
        <f t="shared" si="66"/>
        <v>00</v>
      </c>
      <c r="J503" s="26" t="str">
        <f>"35 "</f>
        <v xml:space="preserve">35 </v>
      </c>
      <c r="K503" s="26" t="str">
        <f t="shared" si="73"/>
        <v>EP</v>
      </c>
      <c r="L503" s="26" t="str">
        <f t="shared" si="74"/>
        <v>DGOSE</v>
      </c>
      <c r="M503" s="26" t="str">
        <f t="shared" si="67"/>
        <v>FEDERAL</v>
      </c>
      <c r="N503" s="26">
        <v>208</v>
      </c>
      <c r="O503" s="26">
        <v>107</v>
      </c>
      <c r="P503" s="26">
        <v>101</v>
      </c>
      <c r="Q503" s="26">
        <v>6</v>
      </c>
      <c r="R503" s="26">
        <v>1</v>
      </c>
      <c r="S503" s="26">
        <v>6</v>
      </c>
      <c r="T503" s="26">
        <v>7</v>
      </c>
      <c r="U503" s="26">
        <v>14</v>
      </c>
      <c r="V503" s="26">
        <v>1</v>
      </c>
      <c r="W503" s="26"/>
    </row>
    <row r="504" spans="1:23" x14ac:dyDescent="0.25">
      <c r="A504" s="26" t="str">
        <f t="shared" si="65"/>
        <v>PREESCOLAR</v>
      </c>
      <c r="B504" s="26" t="str">
        <f>"09DJN0645O"</f>
        <v>09DJN0645O</v>
      </c>
      <c r="C504" s="26" t="str">
        <f>"OLINCAL                                                                                             "</f>
        <v xml:space="preserve">OLINCAL                                                                                             </v>
      </c>
      <c r="D504" s="26" t="str">
        <f>"TIEMPO COMPLETO"</f>
        <v>TIEMPO COMPLETO</v>
      </c>
      <c r="E504" s="26" t="str">
        <f>"MONTE MORELOS NO. 24                                                            "</f>
        <v xml:space="preserve">MONTE MORELOS NO. 24                                                            </v>
      </c>
      <c r="F504" s="26" t="str">
        <f>"SAN LUCAS XOCHIMANCA                                                                                                                        "</f>
        <v xml:space="preserve">SAN LUCAS XOCHIMANCA                                                                                                                        </v>
      </c>
      <c r="G504" s="26" t="str">
        <f>"XOCHIMILCO                                                                      "</f>
        <v xml:space="preserve">XOCHIMILCO                                                                      </v>
      </c>
      <c r="H504" s="26" t="str">
        <f>"036"</f>
        <v>036</v>
      </c>
      <c r="I504" s="26" t="str">
        <f t="shared" si="66"/>
        <v>00</v>
      </c>
      <c r="J504" s="26" t="str">
        <f>"34 "</f>
        <v xml:space="preserve">34 </v>
      </c>
      <c r="K504" s="26" t="str">
        <f t="shared" si="73"/>
        <v>EP</v>
      </c>
      <c r="L504" s="26" t="str">
        <f t="shared" si="74"/>
        <v>DGOSE</v>
      </c>
      <c r="M504" s="26" t="str">
        <f t="shared" si="67"/>
        <v>FEDERAL</v>
      </c>
      <c r="N504" s="26">
        <v>249</v>
      </c>
      <c r="O504" s="26">
        <v>122</v>
      </c>
      <c r="P504" s="26">
        <v>127</v>
      </c>
      <c r="Q504" s="26">
        <v>7</v>
      </c>
      <c r="R504" s="26">
        <v>2</v>
      </c>
      <c r="S504" s="26">
        <v>7</v>
      </c>
      <c r="T504" s="26">
        <v>13</v>
      </c>
      <c r="U504" s="26">
        <v>22</v>
      </c>
      <c r="V504" s="26">
        <v>1</v>
      </c>
      <c r="W504" s="26" t="s">
        <v>218</v>
      </c>
    </row>
    <row r="505" spans="1:23" x14ac:dyDescent="0.25">
      <c r="A505" s="26" t="str">
        <f t="shared" si="65"/>
        <v>PREESCOLAR</v>
      </c>
      <c r="B505" s="26" t="str">
        <f>"09DJN0648L"</f>
        <v>09DJN0648L</v>
      </c>
      <c r="C505" s="26" t="str">
        <f>"MARIA DE LOS ANGELES LIZARRAGA                                                                      "</f>
        <v xml:space="preserve">MARIA DE LOS ANGELES LIZARRAGA                                                                      </v>
      </c>
      <c r="D505" s="26" t="str">
        <f>"MATUTINO"</f>
        <v>MATUTINO</v>
      </c>
      <c r="E505" s="26" t="str">
        <f>"AV. ALVARO OBREGON S/N                                                          "</f>
        <v xml:space="preserve">AV. ALVARO OBREGON S/N                                                          </v>
      </c>
      <c r="F505" s="26" t="str">
        <f>"BARRANCA SECA                                                                                                                               "</f>
        <v xml:space="preserve">BARRANCA SECA                                                                                                                               </v>
      </c>
      <c r="G505" s="26" t="str">
        <f>"LA MAGDALENA CONTRERAS                                                          "</f>
        <v xml:space="preserve">LA MAGDALENA CONTRERAS                                                          </v>
      </c>
      <c r="H505" s="26" t="str">
        <f>"112"</f>
        <v>112</v>
      </c>
      <c r="I505" s="26" t="str">
        <f t="shared" si="66"/>
        <v>00</v>
      </c>
      <c r="J505" s="26" t="str">
        <f>"35 "</f>
        <v xml:space="preserve">35 </v>
      </c>
      <c r="K505" s="26" t="str">
        <f t="shared" si="73"/>
        <v>EP</v>
      </c>
      <c r="L505" s="26" t="str">
        <f t="shared" si="74"/>
        <v>DGOSE</v>
      </c>
      <c r="M505" s="26" t="str">
        <f t="shared" si="67"/>
        <v>FEDERAL</v>
      </c>
      <c r="N505" s="26">
        <v>168</v>
      </c>
      <c r="O505" s="26">
        <v>84</v>
      </c>
      <c r="P505" s="26">
        <v>84</v>
      </c>
      <c r="Q505" s="26">
        <v>5</v>
      </c>
      <c r="R505" s="26">
        <v>1</v>
      </c>
      <c r="S505" s="26">
        <v>5</v>
      </c>
      <c r="T505" s="26">
        <v>4</v>
      </c>
      <c r="U505" s="26">
        <v>10</v>
      </c>
      <c r="V505" s="26">
        <v>1</v>
      </c>
      <c r="W505" s="26"/>
    </row>
    <row r="506" spans="1:23" x14ac:dyDescent="0.25">
      <c r="A506" s="26" t="str">
        <f t="shared" si="65"/>
        <v>PREESCOLAR</v>
      </c>
      <c r="B506" s="26" t="str">
        <f>"09DJN0649K"</f>
        <v>09DJN0649K</v>
      </c>
      <c r="C506" s="26" t="str">
        <f>"GUADALUPE SERVIN DE LA MORA                                                                         "</f>
        <v xml:space="preserve">GUADALUPE SERVIN DE LA MORA                                                                         </v>
      </c>
      <c r="D506" s="26" t="str">
        <f>"JORNADA AMPLIADA"</f>
        <v>JORNADA AMPLIADA</v>
      </c>
      <c r="E506" s="26" t="str">
        <f>"DULCE OLIVA NO. 72                                                              "</f>
        <v xml:space="preserve">DULCE OLIVA NO. 72                                                              </v>
      </c>
      <c r="F506" s="26" t="str">
        <f>"VILLA COYOACAN                                                                                                                              "</f>
        <v xml:space="preserve">VILLA COYOACAN                                                                                                                              </v>
      </c>
      <c r="G506" s="26" t="str">
        <f>"COYOACAN                                                                        "</f>
        <v xml:space="preserve">COYOACAN                                                                        </v>
      </c>
      <c r="H506" s="26" t="str">
        <f>"208"</f>
        <v>208</v>
      </c>
      <c r="I506" s="26" t="str">
        <f t="shared" si="66"/>
        <v>00</v>
      </c>
      <c r="J506" s="26" t="str">
        <f>"34 "</f>
        <v xml:space="preserve">34 </v>
      </c>
      <c r="K506" s="26" t="str">
        <f t="shared" si="73"/>
        <v>EP</v>
      </c>
      <c r="L506" s="26" t="str">
        <f t="shared" si="74"/>
        <v>DGOSE</v>
      </c>
      <c r="M506" s="26" t="str">
        <f t="shared" si="67"/>
        <v>FEDERAL</v>
      </c>
      <c r="N506" s="26">
        <v>170</v>
      </c>
      <c r="O506" s="26">
        <v>83</v>
      </c>
      <c r="P506" s="26">
        <v>87</v>
      </c>
      <c r="Q506" s="26">
        <v>7</v>
      </c>
      <c r="R506" s="26">
        <v>1</v>
      </c>
      <c r="S506" s="26">
        <v>7</v>
      </c>
      <c r="T506" s="26">
        <v>6</v>
      </c>
      <c r="U506" s="26">
        <v>14</v>
      </c>
      <c r="V506" s="26">
        <v>1</v>
      </c>
      <c r="W506" s="26" t="s">
        <v>2076</v>
      </c>
    </row>
    <row r="507" spans="1:23" x14ac:dyDescent="0.25">
      <c r="A507" s="26" t="str">
        <f t="shared" si="65"/>
        <v>PREESCOLAR</v>
      </c>
      <c r="B507" s="26" t="str">
        <f>"09DJN0650Z"</f>
        <v>09DJN0650Z</v>
      </c>
      <c r="C507" s="26" t="str">
        <f>"DOLORES CARBAJAL DE GORTARI                                                                         "</f>
        <v xml:space="preserve">DOLORES CARBAJAL DE GORTARI                                                                         </v>
      </c>
      <c r="D507" s="26" t="str">
        <f>"TIEMPO COMPLETO"</f>
        <v>TIEMPO COMPLETO</v>
      </c>
      <c r="E507" s="26" t="str">
        <f>"MIGUEL KRAMER ESQ. JARDIN                                                       "</f>
        <v xml:space="preserve">MIGUEL KRAMER ESQ. JARDIN                                                       </v>
      </c>
      <c r="F507" s="26" t="str">
        <f>"ATLANTIDA                                                                                                                                   "</f>
        <v xml:space="preserve">ATLANTIDA                                                                                                                                   </v>
      </c>
      <c r="G507" s="26" t="str">
        <f>"COYOACAN                                                                        "</f>
        <v xml:space="preserve">COYOACAN                                                                        </v>
      </c>
      <c r="H507" s="26" t="str">
        <f>"208"</f>
        <v>208</v>
      </c>
      <c r="I507" s="26" t="str">
        <f t="shared" si="66"/>
        <v>00</v>
      </c>
      <c r="J507" s="26" t="str">
        <f>"34 "</f>
        <v xml:space="preserve">34 </v>
      </c>
      <c r="K507" s="26" t="str">
        <f t="shared" si="73"/>
        <v>EP</v>
      </c>
      <c r="L507" s="26" t="str">
        <f t="shared" si="74"/>
        <v>DGOSE</v>
      </c>
      <c r="M507" s="26" t="str">
        <f t="shared" si="67"/>
        <v>FEDERAL</v>
      </c>
      <c r="N507" s="26">
        <v>125</v>
      </c>
      <c r="O507" s="26">
        <v>74</v>
      </c>
      <c r="P507" s="26">
        <v>51</v>
      </c>
      <c r="Q507" s="26">
        <v>4</v>
      </c>
      <c r="R507" s="26">
        <v>2</v>
      </c>
      <c r="S507" s="26">
        <v>4</v>
      </c>
      <c r="T507" s="26">
        <v>12</v>
      </c>
      <c r="U507" s="26">
        <v>18</v>
      </c>
      <c r="V507" s="26">
        <v>1</v>
      </c>
      <c r="W507" s="26" t="s">
        <v>218</v>
      </c>
    </row>
    <row r="508" spans="1:23" x14ac:dyDescent="0.25">
      <c r="A508" s="26" t="str">
        <f t="shared" si="65"/>
        <v>PREESCOLAR</v>
      </c>
      <c r="B508" s="26" t="str">
        <f>"09DJN0651Z"</f>
        <v>09DJN0651Z</v>
      </c>
      <c r="C508" s="26" t="str">
        <f>"MARIA CURIE                                                                                         "</f>
        <v xml:space="preserve">MARIA CURIE                                                                                         </v>
      </c>
      <c r="D508" s="26" t="str">
        <f>"TIEMPO COMPLETO"</f>
        <v>TIEMPO COMPLETO</v>
      </c>
      <c r="E508" s="26" t="str">
        <f>"JACINTO PALLARES Y LEOPOLDO SALAZAR                                             "</f>
        <v xml:space="preserve">JACINTO PALLARES Y LEOPOLDO SALAZAR                                             </v>
      </c>
      <c r="F508" s="26" t="str">
        <f>"COPILCO EL ALTO                                                                                                                             "</f>
        <v xml:space="preserve">COPILCO EL ALTO                                                                                                                             </v>
      </c>
      <c r="G508" s="26" t="str">
        <f>"COYOACAN                                                                        "</f>
        <v xml:space="preserve">COYOACAN                                                                        </v>
      </c>
      <c r="H508" s="26" t="str">
        <f>"044"</f>
        <v>044</v>
      </c>
      <c r="I508" s="26" t="str">
        <f t="shared" si="66"/>
        <v>00</v>
      </c>
      <c r="J508" s="26" t="str">
        <f>"34 "</f>
        <v xml:space="preserve">34 </v>
      </c>
      <c r="K508" s="26" t="str">
        <f t="shared" si="73"/>
        <v>EP</v>
      </c>
      <c r="L508" s="26" t="str">
        <f t="shared" si="74"/>
        <v>DGOSE</v>
      </c>
      <c r="M508" s="26" t="str">
        <f t="shared" si="67"/>
        <v>FEDERAL</v>
      </c>
      <c r="N508" s="26">
        <v>220</v>
      </c>
      <c r="O508" s="26">
        <v>100</v>
      </c>
      <c r="P508" s="26">
        <v>120</v>
      </c>
      <c r="Q508" s="26">
        <v>8</v>
      </c>
      <c r="R508" s="26">
        <v>2</v>
      </c>
      <c r="S508" s="26">
        <v>8</v>
      </c>
      <c r="T508" s="26">
        <v>20</v>
      </c>
      <c r="U508" s="26">
        <v>30</v>
      </c>
      <c r="V508" s="26">
        <v>1</v>
      </c>
      <c r="W508" s="26" t="s">
        <v>218</v>
      </c>
    </row>
    <row r="509" spans="1:23" x14ac:dyDescent="0.25">
      <c r="A509" s="26" t="str">
        <f t="shared" si="65"/>
        <v>PREESCOLAR</v>
      </c>
      <c r="B509" s="26" t="str">
        <f>"09DJN0652Y"</f>
        <v>09DJN0652Y</v>
      </c>
      <c r="C509" s="26" t="str">
        <f>"TEPETENCHI                                                                                          "</f>
        <v xml:space="preserve">TEPETENCHI                                                                                          </v>
      </c>
      <c r="D509" s="26" t="str">
        <f>"MATUTINO"</f>
        <v>MATUTINO</v>
      </c>
      <c r="E509" s="26" t="str">
        <f>"AV. JUAREZ S/N                                                                  "</f>
        <v xml:space="preserve">AV. JUAREZ S/N                                                                  </v>
      </c>
      <c r="F509" s="26" t="str">
        <f>"SANTA MARIA NATIVITAS                                                                                                                       "</f>
        <v xml:space="preserve">SANTA MARIA NATIVITAS                                                                                                                       </v>
      </c>
      <c r="G509" s="26" t="str">
        <f>"XOCHIMILCO                                                                      "</f>
        <v xml:space="preserve">XOCHIMILCO                                                                      </v>
      </c>
      <c r="H509" s="26" t="str">
        <f>"052"</f>
        <v>052</v>
      </c>
      <c r="I509" s="26" t="str">
        <f t="shared" si="66"/>
        <v>00</v>
      </c>
      <c r="J509" s="26" t="str">
        <f>"35 "</f>
        <v xml:space="preserve">35 </v>
      </c>
      <c r="K509" s="26" t="str">
        <f t="shared" si="73"/>
        <v>EP</v>
      </c>
      <c r="L509" s="26" t="str">
        <f t="shared" si="74"/>
        <v>DGOSE</v>
      </c>
      <c r="M509" s="26" t="str">
        <f t="shared" si="67"/>
        <v>FEDERAL</v>
      </c>
      <c r="N509" s="26">
        <v>329</v>
      </c>
      <c r="O509" s="26">
        <v>172</v>
      </c>
      <c r="P509" s="26">
        <v>157</v>
      </c>
      <c r="Q509" s="26">
        <v>9</v>
      </c>
      <c r="R509" s="26">
        <v>1</v>
      </c>
      <c r="S509" s="26">
        <v>9</v>
      </c>
      <c r="T509" s="26">
        <v>8</v>
      </c>
      <c r="U509" s="26">
        <v>18</v>
      </c>
      <c r="V509" s="26">
        <v>1</v>
      </c>
      <c r="W509" s="26"/>
    </row>
    <row r="510" spans="1:23" x14ac:dyDescent="0.25">
      <c r="A510" s="26" t="str">
        <f t="shared" si="65"/>
        <v>PREESCOLAR</v>
      </c>
      <c r="B510" s="26" t="str">
        <f>"09DJN0653X"</f>
        <v>09DJN0653X</v>
      </c>
      <c r="C510" s="26" t="str">
        <f>"COCOXOCHITL                                                                                         "</f>
        <v xml:space="preserve">COCOXOCHITL                                                                                         </v>
      </c>
      <c r="D510" s="26" t="str">
        <f>"MATUTINO"</f>
        <v>MATUTINO</v>
      </c>
      <c r="E510" s="26" t="str">
        <f>"AV. CUAUHTEMOC NO. 28                                                           "</f>
        <v xml:space="preserve">AV. CUAUHTEMOC NO. 28                                                           </v>
      </c>
      <c r="F510" s="26" t="str">
        <f>"SAN GREGORIO ATLAPULCO                                                                                                                      "</f>
        <v xml:space="preserve">SAN GREGORIO ATLAPULCO                                                                                                                      </v>
      </c>
      <c r="G510" s="26" t="str">
        <f>"XOCHIMILCO                                                                      "</f>
        <v xml:space="preserve">XOCHIMILCO                                                                      </v>
      </c>
      <c r="H510" s="26" t="str">
        <f>"033"</f>
        <v>033</v>
      </c>
      <c r="I510" s="26" t="str">
        <f t="shared" si="66"/>
        <v>00</v>
      </c>
      <c r="J510" s="26" t="str">
        <f>"35 "</f>
        <v xml:space="preserve">35 </v>
      </c>
      <c r="K510" s="26" t="str">
        <f t="shared" si="73"/>
        <v>EP</v>
      </c>
      <c r="L510" s="26" t="str">
        <f t="shared" si="74"/>
        <v>DGOSE</v>
      </c>
      <c r="M510" s="26" t="str">
        <f t="shared" si="67"/>
        <v>FEDERAL</v>
      </c>
      <c r="N510" s="26">
        <v>340</v>
      </c>
      <c r="O510" s="26">
        <v>169</v>
      </c>
      <c r="P510" s="26">
        <v>171</v>
      </c>
      <c r="Q510" s="26">
        <v>9</v>
      </c>
      <c r="R510" s="26">
        <v>1</v>
      </c>
      <c r="S510" s="26">
        <v>9</v>
      </c>
      <c r="T510" s="26">
        <v>9</v>
      </c>
      <c r="U510" s="26">
        <v>19</v>
      </c>
      <c r="V510" s="26">
        <v>1</v>
      </c>
      <c r="W510" s="26"/>
    </row>
    <row r="511" spans="1:23" x14ac:dyDescent="0.25">
      <c r="A511" s="26" t="str">
        <f t="shared" si="65"/>
        <v>PREESCOLAR</v>
      </c>
      <c r="B511" s="26" t="str">
        <f>"09DJN0654W"</f>
        <v>09DJN0654W</v>
      </c>
      <c r="C511" s="26" t="str">
        <f>"TUTUL-XIU                                                                                           "</f>
        <v xml:space="preserve">TUTUL-XIU                                                                                           </v>
      </c>
      <c r="D511" s="26" t="str">
        <f>"JORNADA AMPLIADA"</f>
        <v>JORNADA AMPLIADA</v>
      </c>
      <c r="E511" s="26" t="str">
        <f>"RAMON CARDONA NO. 8                                                             "</f>
        <v xml:space="preserve">RAMON CARDONA NO. 8                                                             </v>
      </c>
      <c r="F511" s="26" t="str">
        <f>"SANTA CECILIA                                                                                                                               "</f>
        <v xml:space="preserve">SANTA CECILIA                                                                                                                               </v>
      </c>
      <c r="G511" s="26" t="str">
        <f>"TLAHUAC                                                                         "</f>
        <v xml:space="preserve">TLAHUAC                                                                         </v>
      </c>
      <c r="H511" s="26" t="str">
        <f>"054"</f>
        <v>054</v>
      </c>
      <c r="I511" s="26" t="str">
        <f t="shared" si="66"/>
        <v>00</v>
      </c>
      <c r="J511" s="26" t="str">
        <f>"34 "</f>
        <v xml:space="preserve">34 </v>
      </c>
      <c r="K511" s="26" t="str">
        <f t="shared" si="73"/>
        <v>EP</v>
      </c>
      <c r="L511" s="26" t="str">
        <f t="shared" si="74"/>
        <v>DGOSE</v>
      </c>
      <c r="M511" s="26" t="str">
        <f t="shared" si="67"/>
        <v>FEDERAL</v>
      </c>
      <c r="N511" s="26">
        <v>177</v>
      </c>
      <c r="O511" s="26">
        <v>96</v>
      </c>
      <c r="P511" s="26">
        <v>81</v>
      </c>
      <c r="Q511" s="26">
        <v>6</v>
      </c>
      <c r="R511" s="26">
        <v>1</v>
      </c>
      <c r="S511" s="26">
        <v>5</v>
      </c>
      <c r="T511" s="26">
        <v>6</v>
      </c>
      <c r="U511" s="26">
        <v>12</v>
      </c>
      <c r="V511" s="26">
        <v>1</v>
      </c>
      <c r="W511" s="26" t="s">
        <v>2076</v>
      </c>
    </row>
    <row r="512" spans="1:23" x14ac:dyDescent="0.25">
      <c r="A512" s="26" t="str">
        <f t="shared" si="65"/>
        <v>PREESCOLAR</v>
      </c>
      <c r="B512" s="26" t="str">
        <f>"09DJN0655V"</f>
        <v>09DJN0655V</v>
      </c>
      <c r="C512" s="26" t="str">
        <f>"CUAUHTZIN                                                                                           "</f>
        <v xml:space="preserve">CUAUHTZIN                                                                                           </v>
      </c>
      <c r="D512" s="26" t="str">
        <f>"MATUTINO"</f>
        <v>MATUTINO</v>
      </c>
      <c r="E512" s="26" t="str">
        <f>"NINOS HEROES S/N                                                                "</f>
        <v xml:space="preserve">NINOS HEROES S/N                                                                </v>
      </c>
      <c r="F512" s="26" t="str">
        <f>"SAN SALVADOR CUAUHTENCO                                                                                                                     "</f>
        <v xml:space="preserve">SAN SALVADOR CUAUHTENCO                                                                                                                     </v>
      </c>
      <c r="G512" s="26" t="str">
        <f>"MILPA ALTA                                                                      "</f>
        <v xml:space="preserve">MILPA ALTA                                                                      </v>
      </c>
      <c r="H512" s="26" t="str">
        <f>"281"</f>
        <v>281</v>
      </c>
      <c r="I512" s="26" t="str">
        <f t="shared" si="66"/>
        <v>00</v>
      </c>
      <c r="J512" s="26" t="str">
        <f>"35 "</f>
        <v xml:space="preserve">35 </v>
      </c>
      <c r="K512" s="26" t="str">
        <f t="shared" si="73"/>
        <v>EP</v>
      </c>
      <c r="L512" s="26" t="str">
        <f t="shared" si="74"/>
        <v>DGOSE</v>
      </c>
      <c r="M512" s="26" t="str">
        <f t="shared" si="67"/>
        <v>FEDERAL</v>
      </c>
      <c r="N512" s="26">
        <v>244</v>
      </c>
      <c r="O512" s="26">
        <v>124</v>
      </c>
      <c r="P512" s="26">
        <v>120</v>
      </c>
      <c r="Q512" s="26">
        <v>7</v>
      </c>
      <c r="R512" s="26">
        <v>1</v>
      </c>
      <c r="S512" s="26">
        <v>7</v>
      </c>
      <c r="T512" s="26">
        <v>6</v>
      </c>
      <c r="U512" s="26">
        <v>14</v>
      </c>
      <c r="V512" s="26">
        <v>1</v>
      </c>
      <c r="W512" s="26"/>
    </row>
    <row r="513" spans="1:23" x14ac:dyDescent="0.25">
      <c r="A513" s="26" t="str">
        <f t="shared" si="65"/>
        <v>PREESCOLAR</v>
      </c>
      <c r="B513" s="26" t="str">
        <f>"09DJN0656U"</f>
        <v>09DJN0656U</v>
      </c>
      <c r="C513" s="26" t="str">
        <f>"TLAZCALTENCO                                                                                        "</f>
        <v xml:space="preserve">TLAZCALTENCO                                                                                        </v>
      </c>
      <c r="D513" s="26" t="str">
        <f>"MATUTINO"</f>
        <v>MATUTINO</v>
      </c>
      <c r="E513" s="26" t="str">
        <f>"GALEANA NO. 54                                                                  "</f>
        <v xml:space="preserve">GALEANA NO. 54                                                                  </v>
      </c>
      <c r="F513" s="26" t="str">
        <f>"SAN PABLO OZTOTEPEC                                                                                                                         "</f>
        <v xml:space="preserve">SAN PABLO OZTOTEPEC                                                                                                                         </v>
      </c>
      <c r="G513" s="26" t="str">
        <f>"MILPA ALTA                                                                      "</f>
        <v xml:space="preserve">MILPA ALTA                                                                      </v>
      </c>
      <c r="H513" s="26" t="str">
        <f>"281"</f>
        <v>281</v>
      </c>
      <c r="I513" s="26" t="str">
        <f t="shared" si="66"/>
        <v>00</v>
      </c>
      <c r="J513" s="26" t="str">
        <f>"35 "</f>
        <v xml:space="preserve">35 </v>
      </c>
      <c r="K513" s="26" t="str">
        <f t="shared" si="73"/>
        <v>EP</v>
      </c>
      <c r="L513" s="26" t="str">
        <f t="shared" si="74"/>
        <v>DGOSE</v>
      </c>
      <c r="M513" s="26" t="str">
        <f t="shared" si="67"/>
        <v>FEDERAL</v>
      </c>
      <c r="N513" s="26">
        <v>295</v>
      </c>
      <c r="O513" s="26">
        <v>146</v>
      </c>
      <c r="P513" s="26">
        <v>149</v>
      </c>
      <c r="Q513" s="26">
        <v>9</v>
      </c>
      <c r="R513" s="26">
        <v>1</v>
      </c>
      <c r="S513" s="26">
        <v>9</v>
      </c>
      <c r="T513" s="26">
        <v>7</v>
      </c>
      <c r="U513" s="26">
        <v>17</v>
      </c>
      <c r="V513" s="26">
        <v>1</v>
      </c>
      <c r="W513" s="26"/>
    </row>
    <row r="514" spans="1:23" x14ac:dyDescent="0.25">
      <c r="A514" s="26" t="str">
        <f t="shared" ref="A514:A577" si="75">"PREESCOLAR"</f>
        <v>PREESCOLAR</v>
      </c>
      <c r="B514" s="26" t="str">
        <f>"09DJN0657T"</f>
        <v>09DJN0657T</v>
      </c>
      <c r="C514" s="26" t="str">
        <f>"ETELVINA R. OSORIO                                                                                  "</f>
        <v xml:space="preserve">ETELVINA R. OSORIO                                                                                  </v>
      </c>
      <c r="D514" s="26" t="str">
        <f>"MATUTINO"</f>
        <v>MATUTINO</v>
      </c>
      <c r="E514" s="26" t="str">
        <f>"AV. CUAUHTEMOC NO. 28                                                           "</f>
        <v xml:space="preserve">AV. CUAUHTEMOC NO. 28                                                           </v>
      </c>
      <c r="F514" s="26" t="str">
        <f>"SAN PEDRO ATOCPAN                                                                                                                           "</f>
        <v xml:space="preserve">SAN PEDRO ATOCPAN                                                                                                                           </v>
      </c>
      <c r="G514" s="26" t="str">
        <f>"MILPA ALTA                                                                      "</f>
        <v xml:space="preserve">MILPA ALTA                                                                      </v>
      </c>
      <c r="H514" s="26" t="str">
        <f>"104"</f>
        <v>104</v>
      </c>
      <c r="I514" s="26" t="str">
        <f t="shared" ref="I514:I577" si="76">"00"</f>
        <v>00</v>
      </c>
      <c r="J514" s="26" t="str">
        <f>"35 "</f>
        <v xml:space="preserve">35 </v>
      </c>
      <c r="K514" s="26" t="str">
        <f t="shared" si="73"/>
        <v>EP</v>
      </c>
      <c r="L514" s="26" t="str">
        <f t="shared" si="74"/>
        <v>DGOSE</v>
      </c>
      <c r="M514" s="26" t="str">
        <f t="shared" ref="M514:M577" si="77">"FEDERAL"</f>
        <v>FEDERAL</v>
      </c>
      <c r="N514" s="26">
        <v>285</v>
      </c>
      <c r="O514" s="26">
        <v>142</v>
      </c>
      <c r="P514" s="26">
        <v>143</v>
      </c>
      <c r="Q514" s="26">
        <v>8</v>
      </c>
      <c r="R514" s="26">
        <v>1</v>
      </c>
      <c r="S514" s="26">
        <v>8</v>
      </c>
      <c r="T514" s="26">
        <v>7</v>
      </c>
      <c r="U514" s="26">
        <v>16</v>
      </c>
      <c r="V514" s="26">
        <v>1</v>
      </c>
      <c r="W514" s="26"/>
    </row>
    <row r="515" spans="1:23" x14ac:dyDescent="0.25">
      <c r="A515" s="26" t="str">
        <f t="shared" si="75"/>
        <v>PREESCOLAR</v>
      </c>
      <c r="B515" s="26" t="str">
        <f>"09DJN0658S"</f>
        <v>09DJN0658S</v>
      </c>
      <c r="C515" s="26" t="str">
        <f>"XOCHIQUETZALLI                                                                                      "</f>
        <v xml:space="preserve">XOCHIQUETZALLI                                                                                      </v>
      </c>
      <c r="D515" s="26" t="str">
        <f>"MATUTINO"</f>
        <v>MATUTINO</v>
      </c>
      <c r="E515" s="26" t="str">
        <f>"AV. HIDALGO NO.69                                                               "</f>
        <v xml:space="preserve">AV. HIDALGO NO.69                                                               </v>
      </c>
      <c r="F515" s="26" t="str">
        <f>"LA ASUNCION                                                                                                                                 "</f>
        <v xml:space="preserve">LA ASUNCION                                                                                                                                 </v>
      </c>
      <c r="G515" s="26" t="str">
        <f>"XOCHIMILCO                                                                      "</f>
        <v xml:space="preserve">XOCHIMILCO                                                                      </v>
      </c>
      <c r="H515" s="26" t="str">
        <f>"103"</f>
        <v>103</v>
      </c>
      <c r="I515" s="26" t="str">
        <f t="shared" si="76"/>
        <v>00</v>
      </c>
      <c r="J515" s="26" t="str">
        <f>"35 "</f>
        <v xml:space="preserve">35 </v>
      </c>
      <c r="K515" s="26" t="str">
        <f t="shared" si="73"/>
        <v>EP</v>
      </c>
      <c r="L515" s="26" t="str">
        <f t="shared" si="74"/>
        <v>DGOSE</v>
      </c>
      <c r="M515" s="26" t="str">
        <f t="shared" si="77"/>
        <v>FEDERAL</v>
      </c>
      <c r="N515" s="26">
        <v>265</v>
      </c>
      <c r="O515" s="26">
        <v>120</v>
      </c>
      <c r="P515" s="26">
        <v>145</v>
      </c>
      <c r="Q515" s="26">
        <v>8</v>
      </c>
      <c r="R515" s="26">
        <v>1</v>
      </c>
      <c r="S515" s="26">
        <v>8</v>
      </c>
      <c r="T515" s="26">
        <v>6</v>
      </c>
      <c r="U515" s="26">
        <v>15</v>
      </c>
      <c r="V515" s="26">
        <v>1</v>
      </c>
      <c r="W515" s="26"/>
    </row>
    <row r="516" spans="1:23" x14ac:dyDescent="0.25">
      <c r="A516" s="26" t="str">
        <f t="shared" si="75"/>
        <v>PREESCOLAR</v>
      </c>
      <c r="B516" s="26" t="str">
        <f>"09DJN0659R"</f>
        <v>09DJN0659R</v>
      </c>
      <c r="C516" s="26" t="str">
        <f>"ANA MARIA GALLAGA                                                                                   "</f>
        <v xml:space="preserve">ANA MARIA GALLAGA                                                                                   </v>
      </c>
      <c r="D516" s="26" t="str">
        <f>"MATUTINO"</f>
        <v>MATUTINO</v>
      </c>
      <c r="E516" s="26" t="str">
        <f>"GREGORIO ALLEGRI S/N                                                            "</f>
        <v xml:space="preserve">GREGORIO ALLEGRI S/N                                                            </v>
      </c>
      <c r="F516" s="26" t="str">
        <f>"MIGUEL HIDALGO                                                                                                                              "</f>
        <v xml:space="preserve">MIGUEL HIDALGO                                                                                                                              </v>
      </c>
      <c r="G516" s="26" t="str">
        <f>"TLAHUAC                                                                         "</f>
        <v xml:space="preserve">TLAHUAC                                                                         </v>
      </c>
      <c r="H516" s="26" t="str">
        <f>"244"</f>
        <v>244</v>
      </c>
      <c r="I516" s="26" t="str">
        <f t="shared" si="76"/>
        <v>00</v>
      </c>
      <c r="J516" s="26" t="str">
        <f>"35 "</f>
        <v xml:space="preserve">35 </v>
      </c>
      <c r="K516" s="26" t="str">
        <f t="shared" si="73"/>
        <v>EP</v>
      </c>
      <c r="L516" s="26" t="str">
        <f t="shared" si="74"/>
        <v>DGOSE</v>
      </c>
      <c r="M516" s="26" t="str">
        <f t="shared" si="77"/>
        <v>FEDERAL</v>
      </c>
      <c r="N516" s="26">
        <v>180</v>
      </c>
      <c r="O516" s="26">
        <v>93</v>
      </c>
      <c r="P516" s="26">
        <v>87</v>
      </c>
      <c r="Q516" s="26">
        <v>5</v>
      </c>
      <c r="R516" s="26">
        <v>1</v>
      </c>
      <c r="S516" s="26">
        <v>5</v>
      </c>
      <c r="T516" s="26">
        <v>7</v>
      </c>
      <c r="U516" s="26">
        <v>13</v>
      </c>
      <c r="V516" s="26">
        <v>1</v>
      </c>
      <c r="W516" s="26"/>
    </row>
    <row r="517" spans="1:23" x14ac:dyDescent="0.25">
      <c r="A517" s="26" t="str">
        <f t="shared" si="75"/>
        <v>PREESCOLAR</v>
      </c>
      <c r="B517" s="26" t="str">
        <f>"09DJN0660G"</f>
        <v>09DJN0660G</v>
      </c>
      <c r="C517" s="26" t="str">
        <f>"REPUBLICA ARABE UNIDA                                                                               "</f>
        <v xml:space="preserve">REPUBLICA ARABE UNIDA                                                                               </v>
      </c>
      <c r="D517" s="26" t="str">
        <f>"JORNADA AMPLIADA"</f>
        <v>JORNADA AMPLIADA</v>
      </c>
      <c r="E517" s="26" t="str">
        <f>"SUR 75 Y 1A CERRADA SUR 77                                                      "</f>
        <v xml:space="preserve">SUR 75 Y 1A CERRADA SUR 77                                                      </v>
      </c>
      <c r="F517" s="26" t="str">
        <f>"NUEVA SANTA ANITA                                                                                                                           "</f>
        <v xml:space="preserve">NUEVA SANTA ANITA                                                                                                                           </v>
      </c>
      <c r="G517" s="26" t="str">
        <f>"IZTACALCO                                                                       "</f>
        <v xml:space="preserve">IZTACALCO                                                                       </v>
      </c>
      <c r="H517" s="26" t="str">
        <f>"037"</f>
        <v>037</v>
      </c>
      <c r="I517" s="26" t="str">
        <f t="shared" si="76"/>
        <v>00</v>
      </c>
      <c r="J517" s="26" t="str">
        <f>"33 "</f>
        <v xml:space="preserve">33 </v>
      </c>
      <c r="K517" s="26" t="str">
        <f t="shared" si="73"/>
        <v>EP</v>
      </c>
      <c r="L517" s="26" t="str">
        <f t="shared" si="74"/>
        <v>DGOSE</v>
      </c>
      <c r="M517" s="26" t="str">
        <f t="shared" si="77"/>
        <v>FEDERAL</v>
      </c>
      <c r="N517" s="26">
        <v>201</v>
      </c>
      <c r="O517" s="26">
        <v>107</v>
      </c>
      <c r="P517" s="26">
        <v>94</v>
      </c>
      <c r="Q517" s="26">
        <v>6</v>
      </c>
      <c r="R517" s="26">
        <v>1</v>
      </c>
      <c r="S517" s="26">
        <v>6</v>
      </c>
      <c r="T517" s="26">
        <v>6</v>
      </c>
      <c r="U517" s="26">
        <v>13</v>
      </c>
      <c r="V517" s="26">
        <v>1</v>
      </c>
      <c r="W517" s="26" t="s">
        <v>2076</v>
      </c>
    </row>
    <row r="518" spans="1:23" x14ac:dyDescent="0.25">
      <c r="A518" s="26" t="str">
        <f t="shared" si="75"/>
        <v>PREESCOLAR</v>
      </c>
      <c r="B518" s="26" t="str">
        <f>"09DJN0661F"</f>
        <v>09DJN0661F</v>
      </c>
      <c r="C518" s="26" t="str">
        <f>"SOR JUANA INES DE LA CRUZ                                                                           "</f>
        <v xml:space="preserve">SOR JUANA INES DE LA CRUZ                                                                           </v>
      </c>
      <c r="D518" s="26" t="str">
        <f>"JORNADA AMPLIADA"</f>
        <v>JORNADA AMPLIADA</v>
      </c>
      <c r="E518" s="26" t="str">
        <f>"SAN MIGUEL NO. 19                                                               "</f>
        <v xml:space="preserve">SAN MIGUEL NO. 19                                                               </v>
      </c>
      <c r="F518" s="26" t="str">
        <f>"LA ASUNCION BARRIO                                                                                                                          "</f>
        <v xml:space="preserve">LA ASUNCION BARRIO                                                                                                                          </v>
      </c>
      <c r="G518" s="26" t="str">
        <f>"IZTACALCO                                                                       "</f>
        <v xml:space="preserve">IZTACALCO                                                                       </v>
      </c>
      <c r="H518" s="26" t="str">
        <f>"028"</f>
        <v>028</v>
      </c>
      <c r="I518" s="26" t="str">
        <f t="shared" si="76"/>
        <v>00</v>
      </c>
      <c r="J518" s="26" t="str">
        <f>"31 "</f>
        <v xml:space="preserve">31 </v>
      </c>
      <c r="K518" s="26" t="str">
        <f t="shared" si="73"/>
        <v>EP</v>
      </c>
      <c r="L518" s="26" t="str">
        <f t="shared" si="74"/>
        <v>DGOSE</v>
      </c>
      <c r="M518" s="26" t="str">
        <f t="shared" si="77"/>
        <v>FEDERAL</v>
      </c>
      <c r="N518" s="26">
        <v>147</v>
      </c>
      <c r="O518" s="26">
        <v>72</v>
      </c>
      <c r="P518" s="26">
        <v>75</v>
      </c>
      <c r="Q518" s="26">
        <v>6</v>
      </c>
      <c r="R518" s="26">
        <v>1</v>
      </c>
      <c r="S518" s="26">
        <v>6</v>
      </c>
      <c r="T518" s="26">
        <v>6</v>
      </c>
      <c r="U518" s="26">
        <v>13</v>
      </c>
      <c r="V518" s="26">
        <v>1</v>
      </c>
      <c r="W518" s="26" t="s">
        <v>2076</v>
      </c>
    </row>
    <row r="519" spans="1:23" x14ac:dyDescent="0.25">
      <c r="A519" s="26" t="str">
        <f t="shared" si="75"/>
        <v>PREESCOLAR</v>
      </c>
      <c r="B519" s="26" t="str">
        <f>"09DJN0663D"</f>
        <v>09DJN0663D</v>
      </c>
      <c r="C519" s="26" t="str">
        <f>"SUIZA                                                                                               "</f>
        <v xml:space="preserve">SUIZA                                                                                               </v>
      </c>
      <c r="D519" s="26" t="str">
        <f>"TIEMPO COMPLETO"</f>
        <v>TIEMPO COMPLETO</v>
      </c>
      <c r="E519" s="26" t="str">
        <f>"ESFUERZO NO. 36                                                                 "</f>
        <v xml:space="preserve">ESFUERZO NO. 36                                                                 </v>
      </c>
      <c r="F519" s="26" t="str">
        <f>"SANTA URSULA COAPA                                                                                                                          "</f>
        <v xml:space="preserve">SANTA URSULA COAPA                                                                                                                          </v>
      </c>
      <c r="G519" s="26" t="str">
        <f>"COYOACAN                                                                        "</f>
        <v xml:space="preserve">COYOACAN                                                                        </v>
      </c>
      <c r="H519" s="26" t="str">
        <f>"058"</f>
        <v>058</v>
      </c>
      <c r="I519" s="26" t="str">
        <f t="shared" si="76"/>
        <v>00</v>
      </c>
      <c r="J519" s="26" t="str">
        <f>"34 "</f>
        <v xml:space="preserve">34 </v>
      </c>
      <c r="K519" s="26" t="str">
        <f t="shared" si="73"/>
        <v>EP</v>
      </c>
      <c r="L519" s="26" t="str">
        <f t="shared" si="74"/>
        <v>DGOSE</v>
      </c>
      <c r="M519" s="26" t="str">
        <f t="shared" si="77"/>
        <v>FEDERAL</v>
      </c>
      <c r="N519" s="26">
        <v>173</v>
      </c>
      <c r="O519" s="26">
        <v>87</v>
      </c>
      <c r="P519" s="26">
        <v>86</v>
      </c>
      <c r="Q519" s="26">
        <v>6</v>
      </c>
      <c r="R519" s="26">
        <v>2</v>
      </c>
      <c r="S519" s="26">
        <v>6</v>
      </c>
      <c r="T519" s="26">
        <v>14</v>
      </c>
      <c r="U519" s="26">
        <v>22</v>
      </c>
      <c r="V519" s="26">
        <v>1</v>
      </c>
      <c r="W519" s="26" t="s">
        <v>218</v>
      </c>
    </row>
    <row r="520" spans="1:23" x14ac:dyDescent="0.25">
      <c r="A520" s="26" t="str">
        <f t="shared" si="75"/>
        <v>PREESCOLAR</v>
      </c>
      <c r="B520" s="26" t="str">
        <f>"09DJN0664C"</f>
        <v>09DJN0664C</v>
      </c>
      <c r="C520" s="26" t="str">
        <f>"LEON GUZMAN                                                                                         "</f>
        <v xml:space="preserve">LEON GUZMAN                                                                                         </v>
      </c>
      <c r="D520" s="26" t="str">
        <f>"JORNADA AMPLIADA"</f>
        <v>JORNADA AMPLIADA</v>
      </c>
      <c r="E520" s="26" t="str">
        <f>"ERNESTO P URUCHURTU NO. 89                                                      "</f>
        <v xml:space="preserve">ERNESTO P URUCHURTU NO. 89                                                      </v>
      </c>
      <c r="F520" s="26" t="str">
        <f>"OLIVAR DEL CONDE 2A SECCION                                                                                                                 "</f>
        <v xml:space="preserve">OLIVAR DEL CONDE 2A SECCION                                                                                                                 </v>
      </c>
      <c r="G520" s="26" t="str">
        <f>"ALVARO OBREGON                                                                  "</f>
        <v xml:space="preserve">ALVARO OBREGON                                                                  </v>
      </c>
      <c r="H520" s="26" t="str">
        <f>"128"</f>
        <v>128</v>
      </c>
      <c r="I520" s="26" t="str">
        <f t="shared" si="76"/>
        <v>00</v>
      </c>
      <c r="J520" s="26" t="str">
        <f>"34 "</f>
        <v xml:space="preserve">34 </v>
      </c>
      <c r="K520" s="26" t="str">
        <f t="shared" si="73"/>
        <v>EP</v>
      </c>
      <c r="L520" s="26" t="str">
        <f t="shared" si="74"/>
        <v>DGOSE</v>
      </c>
      <c r="M520" s="26" t="str">
        <f t="shared" si="77"/>
        <v>FEDERAL</v>
      </c>
      <c r="N520" s="26">
        <v>93</v>
      </c>
      <c r="O520" s="26">
        <v>53</v>
      </c>
      <c r="P520" s="26">
        <v>40</v>
      </c>
      <c r="Q520" s="26">
        <v>4</v>
      </c>
      <c r="R520" s="26">
        <v>1</v>
      </c>
      <c r="S520" s="26">
        <v>4</v>
      </c>
      <c r="T520" s="26">
        <v>3</v>
      </c>
      <c r="U520" s="26">
        <v>8</v>
      </c>
      <c r="V520" s="26">
        <v>1</v>
      </c>
      <c r="W520" s="26" t="s">
        <v>2076</v>
      </c>
    </row>
    <row r="521" spans="1:23" x14ac:dyDescent="0.25">
      <c r="A521" s="26" t="str">
        <f t="shared" si="75"/>
        <v>PREESCOLAR</v>
      </c>
      <c r="B521" s="26" t="str">
        <f>"09DJN0665B"</f>
        <v>09DJN0665B</v>
      </c>
      <c r="C521" s="26" t="str">
        <f>"IGNACIO ALLENDE                                                                                     "</f>
        <v xml:space="preserve">IGNACIO ALLENDE                                                                                     </v>
      </c>
      <c r="D521" s="26" t="str">
        <f>"JORNADA AMPLIADA"</f>
        <v>JORNADA AMPLIADA</v>
      </c>
      <c r="E521" s="26" t="str">
        <f>"RETORNO 111 DE RIO CHURUBUSCO Y RET. 104 DE ORIENTE 160                         "</f>
        <v xml:space="preserve">RETORNO 111 DE RIO CHURUBUSCO Y RET. 104 DE ORIENTE 160                         </v>
      </c>
      <c r="F521" s="26" t="str">
        <f>"UNIDAD MODELO                                                                                                                               "</f>
        <v xml:space="preserve">UNIDAD MODELO                                                                                                                               </v>
      </c>
      <c r="G521" s="26" t="str">
        <f>"IZTAPALAPA                                                                      "</f>
        <v xml:space="preserve">IZTAPALAPA                                                                      </v>
      </c>
      <c r="H521" s="26" t="str">
        <f>"001"</f>
        <v>001</v>
      </c>
      <c r="I521" s="26" t="str">
        <f t="shared" si="76"/>
        <v>00</v>
      </c>
      <c r="J521" s="26" t="str">
        <f>"61 "</f>
        <v xml:space="preserve">61 </v>
      </c>
      <c r="K521" s="26" t="str">
        <f>"IZ"</f>
        <v>IZ</v>
      </c>
      <c r="L521" s="26" t="str">
        <f>"DGSEI"</f>
        <v>DGSEI</v>
      </c>
      <c r="M521" s="26" t="str">
        <f t="shared" si="77"/>
        <v>FEDERAL</v>
      </c>
      <c r="N521" s="26">
        <v>91</v>
      </c>
      <c r="O521" s="26">
        <v>46</v>
      </c>
      <c r="P521" s="26">
        <v>45</v>
      </c>
      <c r="Q521" s="26">
        <v>3</v>
      </c>
      <c r="R521" s="26">
        <v>1</v>
      </c>
      <c r="S521" s="26">
        <v>3</v>
      </c>
      <c r="T521" s="26">
        <v>6</v>
      </c>
      <c r="U521" s="26">
        <v>10</v>
      </c>
      <c r="V521" s="26">
        <v>1</v>
      </c>
      <c r="W521" s="26" t="s">
        <v>2076</v>
      </c>
    </row>
    <row r="522" spans="1:23" x14ac:dyDescent="0.25">
      <c r="A522" s="26" t="str">
        <f t="shared" si="75"/>
        <v>PREESCOLAR</v>
      </c>
      <c r="B522" s="26" t="str">
        <f>"09DJN0666A"</f>
        <v>09DJN0666A</v>
      </c>
      <c r="C522" s="26" t="str">
        <f>"HEROES DE CHURUBUSCO                                                                                "</f>
        <v xml:space="preserve">HEROES DE CHURUBUSCO                                                                                </v>
      </c>
      <c r="D522" s="26" t="str">
        <f>"JORNADA AMPLIADA"</f>
        <v>JORNADA AMPLIADA</v>
      </c>
      <c r="E522" s="26" t="str">
        <f>"JORGE ENCISO NO. 1303                                                           "</f>
        <v xml:space="preserve">JORGE ENCISO NO. 1303                                                           </v>
      </c>
      <c r="F522" s="26" t="str">
        <f>"HEROES DE CHURUBUSCO                                                                                                                        "</f>
        <v xml:space="preserve">HEROES DE CHURUBUSCO                                                                                                                        </v>
      </c>
      <c r="G522" s="26" t="str">
        <f>"IZTAPALAPA                                                                      "</f>
        <v xml:space="preserve">IZTAPALAPA                                                                      </v>
      </c>
      <c r="H522" s="26" t="str">
        <f>"002"</f>
        <v>002</v>
      </c>
      <c r="I522" s="26" t="str">
        <f t="shared" si="76"/>
        <v>00</v>
      </c>
      <c r="J522" s="26" t="str">
        <f>"61 "</f>
        <v xml:space="preserve">61 </v>
      </c>
      <c r="K522" s="26" t="str">
        <f>"IZ"</f>
        <v>IZ</v>
      </c>
      <c r="L522" s="26" t="str">
        <f>"DGSEI"</f>
        <v>DGSEI</v>
      </c>
      <c r="M522" s="26" t="str">
        <f t="shared" si="77"/>
        <v>FEDERAL</v>
      </c>
      <c r="N522" s="26">
        <v>112</v>
      </c>
      <c r="O522" s="26">
        <v>55</v>
      </c>
      <c r="P522" s="26">
        <v>57</v>
      </c>
      <c r="Q522" s="26">
        <v>4</v>
      </c>
      <c r="R522" s="26">
        <v>1</v>
      </c>
      <c r="S522" s="26">
        <v>4</v>
      </c>
      <c r="T522" s="26">
        <v>4</v>
      </c>
      <c r="U522" s="26">
        <v>9</v>
      </c>
      <c r="V522" s="26">
        <v>1</v>
      </c>
      <c r="W522" s="26" t="s">
        <v>2076</v>
      </c>
    </row>
    <row r="523" spans="1:23" x14ac:dyDescent="0.25">
      <c r="A523" s="26" t="str">
        <f t="shared" si="75"/>
        <v>PREESCOLAR</v>
      </c>
      <c r="B523" s="26" t="str">
        <f>"09DJN0668Z"</f>
        <v>09DJN0668Z</v>
      </c>
      <c r="C523" s="26" t="str">
        <f>"NACIONES UNIDAS                                                                                     "</f>
        <v xml:space="preserve">NACIONES UNIDAS                                                                                     </v>
      </c>
      <c r="D523" s="26" t="str">
        <f>"JORNADA AMPLIADA"</f>
        <v>JORNADA AMPLIADA</v>
      </c>
      <c r="E523" s="26" t="str">
        <f>"EMILIANO ZAPATA NO. 15                                                          "</f>
        <v xml:space="preserve">EMILIANO ZAPATA NO. 15                                                          </v>
      </c>
      <c r="F523" s="26" t="str">
        <f>"SAN JERONIMO ACULCO                                                                                                                         "</f>
        <v xml:space="preserve">SAN JERONIMO ACULCO                                                                                                                         </v>
      </c>
      <c r="G523" s="26" t="str">
        <f>"LA MAGDALENA CONTRERAS                                                          "</f>
        <v xml:space="preserve">LA MAGDALENA CONTRERAS                                                          </v>
      </c>
      <c r="H523" s="26" t="str">
        <f>"123"</f>
        <v>123</v>
      </c>
      <c r="I523" s="26" t="str">
        <f t="shared" si="76"/>
        <v>00</v>
      </c>
      <c r="J523" s="26" t="str">
        <f>"34 "</f>
        <v xml:space="preserve">34 </v>
      </c>
      <c r="K523" s="26" t="str">
        <f>"EP"</f>
        <v>EP</v>
      </c>
      <c r="L523" s="26" t="str">
        <f>"DGOSE"</f>
        <v>DGOSE</v>
      </c>
      <c r="M523" s="26" t="str">
        <f t="shared" si="77"/>
        <v>FEDERAL</v>
      </c>
      <c r="N523" s="26">
        <v>186</v>
      </c>
      <c r="O523" s="26">
        <v>82</v>
      </c>
      <c r="P523" s="26">
        <v>104</v>
      </c>
      <c r="Q523" s="26">
        <v>6</v>
      </c>
      <c r="R523" s="26">
        <v>1</v>
      </c>
      <c r="S523" s="26">
        <v>6</v>
      </c>
      <c r="T523" s="26">
        <v>6</v>
      </c>
      <c r="U523" s="26">
        <v>13</v>
      </c>
      <c r="V523" s="26">
        <v>1</v>
      </c>
      <c r="W523" s="26" t="s">
        <v>2076</v>
      </c>
    </row>
    <row r="524" spans="1:23" x14ac:dyDescent="0.25">
      <c r="A524" s="26" t="str">
        <f t="shared" si="75"/>
        <v>PREESCOLAR</v>
      </c>
      <c r="B524" s="26" t="str">
        <f>"09DJN0669Y"</f>
        <v>09DJN0669Y</v>
      </c>
      <c r="C524" s="26" t="str">
        <f>"DONAJI                                                                                              "</f>
        <v xml:space="preserve">DONAJI                                                                                              </v>
      </c>
      <c r="D524" s="26" t="str">
        <f>"JORNADA AMPLIADA"</f>
        <v>JORNADA AMPLIADA</v>
      </c>
      <c r="E524" s="26" t="str">
        <f>"IZCALLI NO. 5                                                                   "</f>
        <v xml:space="preserve">IZCALLI NO. 5                                                                   </v>
      </c>
      <c r="F524" s="26" t="str">
        <f>"UNIDAD INDEPENDENCIA                                                                                                                        "</f>
        <v xml:space="preserve">UNIDAD INDEPENDENCIA                                                                                                                        </v>
      </c>
      <c r="G524" s="26" t="str">
        <f>"LA MAGDALENA CONTRERAS                                                          "</f>
        <v xml:space="preserve">LA MAGDALENA CONTRERAS                                                          </v>
      </c>
      <c r="H524" s="26" t="str">
        <f>"200"</f>
        <v>200</v>
      </c>
      <c r="I524" s="26" t="str">
        <f t="shared" si="76"/>
        <v>00</v>
      </c>
      <c r="J524" s="26" t="str">
        <f>"34 "</f>
        <v xml:space="preserve">34 </v>
      </c>
      <c r="K524" s="26" t="str">
        <f>"EP"</f>
        <v>EP</v>
      </c>
      <c r="L524" s="26" t="str">
        <f>"DGOSE"</f>
        <v>DGOSE</v>
      </c>
      <c r="M524" s="26" t="str">
        <f t="shared" si="77"/>
        <v>FEDERAL</v>
      </c>
      <c r="N524" s="26">
        <v>95</v>
      </c>
      <c r="O524" s="26">
        <v>51</v>
      </c>
      <c r="P524" s="26">
        <v>44</v>
      </c>
      <c r="Q524" s="26">
        <v>3</v>
      </c>
      <c r="R524" s="26">
        <v>1</v>
      </c>
      <c r="S524" s="26">
        <v>3</v>
      </c>
      <c r="T524" s="26">
        <v>3</v>
      </c>
      <c r="U524" s="26">
        <v>7</v>
      </c>
      <c r="V524" s="26">
        <v>1</v>
      </c>
      <c r="W524" s="26" t="s">
        <v>2076</v>
      </c>
    </row>
    <row r="525" spans="1:23" x14ac:dyDescent="0.25">
      <c r="A525" s="26" t="str">
        <f t="shared" si="75"/>
        <v>PREESCOLAR</v>
      </c>
      <c r="B525" s="26" t="str">
        <f>"09DJN0671M"</f>
        <v>09DJN0671M</v>
      </c>
      <c r="C525" s="26" t="str">
        <f>"LUZ MARIA SERRADELL                                                                                 "</f>
        <v xml:space="preserve">LUZ MARIA SERRADELL                                                                                 </v>
      </c>
      <c r="D525" s="26" t="str">
        <f>"MATUTINO"</f>
        <v>MATUTINO</v>
      </c>
      <c r="E525" s="26" t="str">
        <f>"CORUÑA Y ANDRES MOLINA ENRIQUEZ                                                 "</f>
        <v xml:space="preserve">CORUÑA Y ANDRES MOLINA ENRIQUEZ                                                 </v>
      </c>
      <c r="F525" s="26" t="str">
        <f>"VIADUCTO PIEDAD                                                                                                                             "</f>
        <v xml:space="preserve">VIADUCTO PIEDAD                                                                                                                             </v>
      </c>
      <c r="G525" s="26" t="str">
        <f>"IZTACALCO                                                                       "</f>
        <v xml:space="preserve">IZTACALCO                                                                       </v>
      </c>
      <c r="H525" s="26" t="str">
        <f>"032"</f>
        <v>032</v>
      </c>
      <c r="I525" s="26" t="str">
        <f t="shared" si="76"/>
        <v>00</v>
      </c>
      <c r="J525" s="26" t="str">
        <f>"33 "</f>
        <v xml:space="preserve">33 </v>
      </c>
      <c r="K525" s="26" t="str">
        <f>"EP"</f>
        <v>EP</v>
      </c>
      <c r="L525" s="26" t="str">
        <f>"DGOSE"</f>
        <v>DGOSE</v>
      </c>
      <c r="M525" s="26" t="str">
        <f t="shared" si="77"/>
        <v>FEDERAL</v>
      </c>
      <c r="N525" s="26">
        <v>299</v>
      </c>
      <c r="O525" s="26">
        <v>134</v>
      </c>
      <c r="P525" s="26">
        <v>165</v>
      </c>
      <c r="Q525" s="26">
        <v>9</v>
      </c>
      <c r="R525" s="26">
        <v>1</v>
      </c>
      <c r="S525" s="26">
        <v>9</v>
      </c>
      <c r="T525" s="26">
        <v>8</v>
      </c>
      <c r="U525" s="26">
        <v>18</v>
      </c>
      <c r="V525" s="26">
        <v>1</v>
      </c>
      <c r="W525" s="26"/>
    </row>
    <row r="526" spans="1:23" x14ac:dyDescent="0.25">
      <c r="A526" s="26" t="str">
        <f t="shared" si="75"/>
        <v>PREESCOLAR</v>
      </c>
      <c r="B526" s="26" t="str">
        <f>"09DJN0673K"</f>
        <v>09DJN0673K</v>
      </c>
      <c r="C526" s="26" t="str">
        <f>"JOSE JOAQUIN FERNANDEZ DE LIZARDI                                                                   "</f>
        <v xml:space="preserve">JOSE JOAQUIN FERNANDEZ DE LIZARDI                                                                   </v>
      </c>
      <c r="D526" s="26" t="str">
        <f>"JORNADA AMPLIADA"</f>
        <v>JORNADA AMPLIADA</v>
      </c>
      <c r="E526" s="26" t="str">
        <f>"PROLONG. CENTENARIO Y CALLE 1 S/N                                               "</f>
        <v xml:space="preserve">PROLONG. CENTENARIO Y CALLE 1 S/N                                               </v>
      </c>
      <c r="F526" s="26" t="str">
        <f>"HERON PROAL                                                                                                                                 "</f>
        <v xml:space="preserve">HERON PROAL                                                                                                                                 </v>
      </c>
      <c r="G526" s="26" t="str">
        <f>"ALVARO OBREGON                                                                  "</f>
        <v xml:space="preserve">ALVARO OBREGON                                                                  </v>
      </c>
      <c r="H526" s="26" t="str">
        <f>"215"</f>
        <v>215</v>
      </c>
      <c r="I526" s="26" t="str">
        <f t="shared" si="76"/>
        <v>00</v>
      </c>
      <c r="J526" s="26" t="str">
        <f>"33 "</f>
        <v xml:space="preserve">33 </v>
      </c>
      <c r="K526" s="26" t="str">
        <f>"EP"</f>
        <v>EP</v>
      </c>
      <c r="L526" s="26" t="str">
        <f>"DGOSE"</f>
        <v>DGOSE</v>
      </c>
      <c r="M526" s="26" t="str">
        <f t="shared" si="77"/>
        <v>FEDERAL</v>
      </c>
      <c r="N526" s="26">
        <v>263</v>
      </c>
      <c r="O526" s="26">
        <v>128</v>
      </c>
      <c r="P526" s="26">
        <v>135</v>
      </c>
      <c r="Q526" s="26">
        <v>7</v>
      </c>
      <c r="R526" s="26">
        <v>1</v>
      </c>
      <c r="S526" s="26">
        <v>7</v>
      </c>
      <c r="T526" s="26">
        <v>4</v>
      </c>
      <c r="U526" s="26">
        <v>12</v>
      </c>
      <c r="V526" s="26">
        <v>1</v>
      </c>
      <c r="W526" s="26" t="s">
        <v>2076</v>
      </c>
    </row>
    <row r="527" spans="1:23" x14ac:dyDescent="0.25">
      <c r="A527" s="26" t="str">
        <f t="shared" si="75"/>
        <v>PREESCOLAR</v>
      </c>
      <c r="B527" s="26" t="str">
        <f>"09DJN0674J"</f>
        <v>09DJN0674J</v>
      </c>
      <c r="C527" s="26" t="str">
        <f>"TOTOMCALLI                                                                                          "</f>
        <v xml:space="preserve">TOTOMCALLI                                                                                          </v>
      </c>
      <c r="D527" s="26" t="str">
        <f>"TIEMPO COMPLETO"</f>
        <v>TIEMPO COMPLETO</v>
      </c>
      <c r="E527" s="26" t="str">
        <f>"LOMAS DE PLATEROS Y DR. CABRERA S/N                                             "</f>
        <v xml:space="preserve">LOMAS DE PLATEROS Y DR. CABRERA S/N                                             </v>
      </c>
      <c r="F527" s="26" t="str">
        <f>"MIXCOAC                                                                                                                                     "</f>
        <v xml:space="preserve">MIXCOAC                                                                                                                                     </v>
      </c>
      <c r="G527" s="26" t="str">
        <f>"ALVARO OBREGON                                                                  "</f>
        <v xml:space="preserve">ALVARO OBREGON                                                                  </v>
      </c>
      <c r="H527" s="26" t="str">
        <f>"216"</f>
        <v>216</v>
      </c>
      <c r="I527" s="26" t="str">
        <f t="shared" si="76"/>
        <v>00</v>
      </c>
      <c r="J527" s="26" t="str">
        <f>"34 "</f>
        <v xml:space="preserve">34 </v>
      </c>
      <c r="K527" s="26" t="str">
        <f>"EP"</f>
        <v>EP</v>
      </c>
      <c r="L527" s="26" t="str">
        <f>"DGOSE"</f>
        <v>DGOSE</v>
      </c>
      <c r="M527" s="26" t="str">
        <f t="shared" si="77"/>
        <v>FEDERAL</v>
      </c>
      <c r="N527" s="26">
        <v>210</v>
      </c>
      <c r="O527" s="26">
        <v>116</v>
      </c>
      <c r="P527" s="26">
        <v>94</v>
      </c>
      <c r="Q527" s="26">
        <v>7</v>
      </c>
      <c r="R527" s="26">
        <v>2</v>
      </c>
      <c r="S527" s="26">
        <v>7</v>
      </c>
      <c r="T527" s="26">
        <v>13</v>
      </c>
      <c r="U527" s="26">
        <v>22</v>
      </c>
      <c r="V527" s="26">
        <v>1</v>
      </c>
      <c r="W527" s="26" t="s">
        <v>218</v>
      </c>
    </row>
    <row r="528" spans="1:23" x14ac:dyDescent="0.25">
      <c r="A528" s="26" t="str">
        <f t="shared" si="75"/>
        <v>PREESCOLAR</v>
      </c>
      <c r="B528" s="26" t="str">
        <f>"09DJN0676H"</f>
        <v>09DJN0676H</v>
      </c>
      <c r="C528" s="26" t="str">
        <f>"MOLINXOCHIO                                                                                         "</f>
        <v xml:space="preserve">MOLINXOCHIO                                                                                         </v>
      </c>
      <c r="D528" s="26" t="str">
        <f>"VESPERTINO"</f>
        <v>VESPERTINO</v>
      </c>
      <c r="E528" s="26" t="str">
        <f>"GABRIELA MISTRAL Y V. TERESKOVA                                                 "</f>
        <v xml:space="preserve">GABRIELA MISTRAL Y V. TERESKOVA                                                 </v>
      </c>
      <c r="F528" s="26" t="str">
        <f>"UNIDAD HABITACIONAL MARGARITA MAZA                                                                                                          "</f>
        <v xml:space="preserve">UNIDAD HABITACIONAL MARGARITA MAZA                                                                                                          </v>
      </c>
      <c r="G528" s="26" t="str">
        <f>"IZTAPALAPA                                                                      "</f>
        <v xml:space="preserve">IZTAPALAPA                                                                      </v>
      </c>
      <c r="H528" s="26" t="str">
        <f>"020"</f>
        <v>020</v>
      </c>
      <c r="I528" s="26" t="str">
        <f t="shared" si="76"/>
        <v>00</v>
      </c>
      <c r="J528" s="26" t="str">
        <f>"63 "</f>
        <v xml:space="preserve">63 </v>
      </c>
      <c r="K528" s="26" t="str">
        <f>"IZ"</f>
        <v>IZ</v>
      </c>
      <c r="L528" s="26" t="str">
        <f>"DGSEI"</f>
        <v>DGSEI</v>
      </c>
      <c r="M528" s="26" t="str">
        <f t="shared" si="77"/>
        <v>FEDERAL</v>
      </c>
      <c r="N528" s="26">
        <v>107</v>
      </c>
      <c r="O528" s="26">
        <v>56</v>
      </c>
      <c r="P528" s="26">
        <v>51</v>
      </c>
      <c r="Q528" s="26">
        <v>4</v>
      </c>
      <c r="R528" s="26">
        <v>1</v>
      </c>
      <c r="S528" s="26">
        <v>4</v>
      </c>
      <c r="T528" s="26">
        <v>4</v>
      </c>
      <c r="U528" s="26">
        <v>9</v>
      </c>
      <c r="V528" s="26">
        <v>1</v>
      </c>
      <c r="W528" s="26"/>
    </row>
    <row r="529" spans="1:23" x14ac:dyDescent="0.25">
      <c r="A529" s="26" t="str">
        <f t="shared" si="75"/>
        <v>PREESCOLAR</v>
      </c>
      <c r="B529" s="26" t="str">
        <f>"09DJN0677G"</f>
        <v>09DJN0677G</v>
      </c>
      <c r="C529" s="26" t="str">
        <f>"EL PIPILA                                                                                           "</f>
        <v xml:space="preserve">EL PIPILA                                                                                           </v>
      </c>
      <c r="D529" s="26" t="str">
        <f>"TIEMPO COMPLETO"</f>
        <v>TIEMPO COMPLETO</v>
      </c>
      <c r="E529" s="26" t="str">
        <f>"ELECTRIFICACION Y PERIFERICO S/N                                                "</f>
        <v xml:space="preserve">ELECTRIFICACION Y PERIFERICO S/N                                                </v>
      </c>
      <c r="F529" s="26" t="str">
        <f>"TACUBAYA                                                                                                                                    "</f>
        <v xml:space="preserve">TACUBAYA                                                                                                                                    </v>
      </c>
      <c r="G529" s="26" t="str">
        <f>"MIGUEL HIDALGO                                                                  "</f>
        <v xml:space="preserve">MIGUEL HIDALGO                                                                  </v>
      </c>
      <c r="H529" s="26" t="str">
        <f>"109"</f>
        <v>109</v>
      </c>
      <c r="I529" s="26" t="str">
        <f t="shared" si="76"/>
        <v>00</v>
      </c>
      <c r="J529" s="26" t="str">
        <f>"31 "</f>
        <v xml:space="preserve">31 </v>
      </c>
      <c r="K529" s="26" t="str">
        <f>"EP"</f>
        <v>EP</v>
      </c>
      <c r="L529" s="26" t="str">
        <f>"DGOSE"</f>
        <v>DGOSE</v>
      </c>
      <c r="M529" s="26" t="str">
        <f t="shared" si="77"/>
        <v>FEDERAL</v>
      </c>
      <c r="N529" s="26">
        <v>164</v>
      </c>
      <c r="O529" s="26">
        <v>80</v>
      </c>
      <c r="P529" s="26">
        <v>84</v>
      </c>
      <c r="Q529" s="26">
        <v>6</v>
      </c>
      <c r="R529" s="26">
        <v>2</v>
      </c>
      <c r="S529" s="26">
        <v>6</v>
      </c>
      <c r="T529" s="26">
        <v>19</v>
      </c>
      <c r="U529" s="26">
        <v>27</v>
      </c>
      <c r="V529" s="26">
        <v>1</v>
      </c>
      <c r="W529" s="26" t="s">
        <v>218</v>
      </c>
    </row>
    <row r="530" spans="1:23" x14ac:dyDescent="0.25">
      <c r="A530" s="26" t="str">
        <f t="shared" si="75"/>
        <v>PREESCOLAR</v>
      </c>
      <c r="B530" s="26" t="str">
        <f>"09DJN0678F"</f>
        <v>09DJN0678F</v>
      </c>
      <c r="C530" s="26" t="str">
        <f>"PONCIANO G. PADILLA                                                                                 "</f>
        <v xml:space="preserve">PONCIANO G. PADILLA                                                                                 </v>
      </c>
      <c r="D530" s="26" t="str">
        <f>"TIEMPO COMPLETO"</f>
        <v>TIEMPO COMPLETO</v>
      </c>
      <c r="E530" s="26" t="str">
        <f>"CALZ. PANTEON CIVIL DOLORES NO. 18-A                                            "</f>
        <v xml:space="preserve">CALZ. PANTEON CIVIL DOLORES NO. 18-A                                            </v>
      </c>
      <c r="F530" s="26" t="str">
        <f>"MIGUEL HIDALGO                                                                                                                              "</f>
        <v xml:space="preserve">MIGUEL HIDALGO                                                                                                                              </v>
      </c>
      <c r="G530" s="26" t="str">
        <f>"MIGUEL HIDALGO                                                                  "</f>
        <v xml:space="preserve">MIGUEL HIDALGO                                                                  </v>
      </c>
      <c r="H530" s="26" t="str">
        <f>"013"</f>
        <v>013</v>
      </c>
      <c r="I530" s="26" t="str">
        <f t="shared" si="76"/>
        <v>00</v>
      </c>
      <c r="J530" s="26" t="str">
        <f>"31 "</f>
        <v xml:space="preserve">31 </v>
      </c>
      <c r="K530" s="26" t="str">
        <f>"EP"</f>
        <v>EP</v>
      </c>
      <c r="L530" s="26" t="str">
        <f>"DGOSE"</f>
        <v>DGOSE</v>
      </c>
      <c r="M530" s="26" t="str">
        <f t="shared" si="77"/>
        <v>FEDERAL</v>
      </c>
      <c r="N530" s="26">
        <v>145</v>
      </c>
      <c r="O530" s="26">
        <v>84</v>
      </c>
      <c r="P530" s="26">
        <v>61</v>
      </c>
      <c r="Q530" s="26">
        <v>5</v>
      </c>
      <c r="R530" s="26">
        <v>2</v>
      </c>
      <c r="S530" s="26">
        <v>5</v>
      </c>
      <c r="T530" s="26">
        <v>14</v>
      </c>
      <c r="U530" s="26">
        <v>21</v>
      </c>
      <c r="V530" s="26">
        <v>1</v>
      </c>
      <c r="W530" s="26" t="s">
        <v>218</v>
      </c>
    </row>
    <row r="531" spans="1:23" x14ac:dyDescent="0.25">
      <c r="A531" s="26" t="str">
        <f t="shared" si="75"/>
        <v>PREESCOLAR</v>
      </c>
      <c r="B531" s="26" t="str">
        <f>"09DJN0680U"</f>
        <v>09DJN0680U</v>
      </c>
      <c r="C531" s="26" t="str">
        <f>"FERNANDO MONTES DE OCA                                                                              "</f>
        <v xml:space="preserve">FERNANDO MONTES DE OCA                                                                              </v>
      </c>
      <c r="D531" s="26" t="str">
        <f>"JORNADA AMPLIADA"</f>
        <v>JORNADA AMPLIADA</v>
      </c>
      <c r="E531" s="26" t="str">
        <f>"RODOLFO USIGLI  S/N Y SUR 105-A                                                 "</f>
        <v xml:space="preserve">RODOLFO USIGLI  S/N Y SUR 105-A                                                 </v>
      </c>
      <c r="F531" s="26" t="str">
        <f>"SECTOR POPULAR                                                                                                                              "</f>
        <v xml:space="preserve">SECTOR POPULAR                                                                                                                              </v>
      </c>
      <c r="G531" s="26" t="str">
        <f>"IZTAPALAPA                                                                      "</f>
        <v xml:space="preserve">IZTAPALAPA                                                                      </v>
      </c>
      <c r="H531" s="26" t="str">
        <f>"002"</f>
        <v>002</v>
      </c>
      <c r="I531" s="26" t="str">
        <f t="shared" si="76"/>
        <v>00</v>
      </c>
      <c r="J531" s="26" t="str">
        <f>"61 "</f>
        <v xml:space="preserve">61 </v>
      </c>
      <c r="K531" s="26" t="str">
        <f>"IZ"</f>
        <v>IZ</v>
      </c>
      <c r="L531" s="26" t="str">
        <f>"DGSEI"</f>
        <v>DGSEI</v>
      </c>
      <c r="M531" s="26" t="str">
        <f t="shared" si="77"/>
        <v>FEDERAL</v>
      </c>
      <c r="N531" s="26">
        <v>184</v>
      </c>
      <c r="O531" s="26">
        <v>94</v>
      </c>
      <c r="P531" s="26">
        <v>90</v>
      </c>
      <c r="Q531" s="26">
        <v>7</v>
      </c>
      <c r="R531" s="26">
        <v>1</v>
      </c>
      <c r="S531" s="26">
        <v>7</v>
      </c>
      <c r="T531" s="26">
        <v>6</v>
      </c>
      <c r="U531" s="26">
        <v>14</v>
      </c>
      <c r="V531" s="26">
        <v>1</v>
      </c>
      <c r="W531" s="26" t="s">
        <v>2076</v>
      </c>
    </row>
    <row r="532" spans="1:23" x14ac:dyDescent="0.25">
      <c r="A532" s="26" t="str">
        <f t="shared" si="75"/>
        <v>PREESCOLAR</v>
      </c>
      <c r="B532" s="26" t="str">
        <f>"09DJN0681T"</f>
        <v>09DJN0681T</v>
      </c>
      <c r="C532" s="26" t="str">
        <f>"PROFRA. ELSA CASTRO ULLOA                                                                           "</f>
        <v xml:space="preserve">PROFRA. ELSA CASTRO ULLOA                                                                           </v>
      </c>
      <c r="D532" s="26" t="str">
        <f>"JORNADA AMPLIADA"</f>
        <v>JORNADA AMPLIADA</v>
      </c>
      <c r="E532" s="26" t="str">
        <f>"JOSE DE TERESA NO. 107                                                          "</f>
        <v xml:space="preserve">JOSE DE TERESA NO. 107                                                          </v>
      </c>
      <c r="F532" s="26" t="str">
        <f>"SAN ANGEL                                                                                                                                   "</f>
        <v xml:space="preserve">SAN ANGEL                                                                                                                                   </v>
      </c>
      <c r="G532" s="26" t="str">
        <f>"ALVARO OBREGON                                                                  "</f>
        <v xml:space="preserve">ALVARO OBREGON                                                                  </v>
      </c>
      <c r="H532" s="26" t="str">
        <f>"174"</f>
        <v>174</v>
      </c>
      <c r="I532" s="26" t="str">
        <f t="shared" si="76"/>
        <v>00</v>
      </c>
      <c r="J532" s="26" t="str">
        <f>"34 "</f>
        <v xml:space="preserve">34 </v>
      </c>
      <c r="K532" s="26" t="str">
        <f>"EP"</f>
        <v>EP</v>
      </c>
      <c r="L532" s="26" t="str">
        <f>"DGOSE"</f>
        <v>DGOSE</v>
      </c>
      <c r="M532" s="26" t="str">
        <f t="shared" si="77"/>
        <v>FEDERAL</v>
      </c>
      <c r="N532" s="26">
        <v>166</v>
      </c>
      <c r="O532" s="26">
        <v>83</v>
      </c>
      <c r="P532" s="26">
        <v>83</v>
      </c>
      <c r="Q532" s="26">
        <v>5</v>
      </c>
      <c r="R532" s="26">
        <v>1</v>
      </c>
      <c r="S532" s="26">
        <v>5</v>
      </c>
      <c r="T532" s="26">
        <v>5</v>
      </c>
      <c r="U532" s="26">
        <v>11</v>
      </c>
      <c r="V532" s="26">
        <v>1</v>
      </c>
      <c r="W532" s="26" t="s">
        <v>2076</v>
      </c>
    </row>
    <row r="533" spans="1:23" x14ac:dyDescent="0.25">
      <c r="A533" s="26" t="str">
        <f t="shared" si="75"/>
        <v>PREESCOLAR</v>
      </c>
      <c r="B533" s="26" t="str">
        <f>"09DJN0682S"</f>
        <v>09DJN0682S</v>
      </c>
      <c r="C533" s="26" t="str">
        <f>"TIZAPAN                                                                                             "</f>
        <v xml:space="preserve">TIZAPAN                                                                                             </v>
      </c>
      <c r="D533" s="26" t="str">
        <f>"JORNADA AMPLIADA"</f>
        <v>JORNADA AMPLIADA</v>
      </c>
      <c r="E533" s="26" t="str">
        <f>"RIO CHICO S/N                                                                   "</f>
        <v xml:space="preserve">RIO CHICO S/N                                                                   </v>
      </c>
      <c r="F533" s="26" t="str">
        <f>"TIZAPAN                                                                                                                                     "</f>
        <v xml:space="preserve">TIZAPAN                                                                                                                                     </v>
      </c>
      <c r="G533" s="26" t="str">
        <f>"ALVARO OBREGON                                                                  "</f>
        <v xml:space="preserve">ALVARO OBREGON                                                                  </v>
      </c>
      <c r="H533" s="26" t="str">
        <f>"128"</f>
        <v>128</v>
      </c>
      <c r="I533" s="26" t="str">
        <f t="shared" si="76"/>
        <v>00</v>
      </c>
      <c r="J533" s="26" t="str">
        <f>"34 "</f>
        <v xml:space="preserve">34 </v>
      </c>
      <c r="K533" s="26" t="str">
        <f>"EP"</f>
        <v>EP</v>
      </c>
      <c r="L533" s="26" t="str">
        <f>"DGOSE"</f>
        <v>DGOSE</v>
      </c>
      <c r="M533" s="26" t="str">
        <f t="shared" si="77"/>
        <v>FEDERAL</v>
      </c>
      <c r="N533" s="26">
        <v>130</v>
      </c>
      <c r="O533" s="26">
        <v>65</v>
      </c>
      <c r="P533" s="26">
        <v>65</v>
      </c>
      <c r="Q533" s="26">
        <v>5</v>
      </c>
      <c r="R533" s="26">
        <v>1</v>
      </c>
      <c r="S533" s="26">
        <v>4</v>
      </c>
      <c r="T533" s="26">
        <v>4</v>
      </c>
      <c r="U533" s="26">
        <v>9</v>
      </c>
      <c r="V533" s="26">
        <v>1</v>
      </c>
      <c r="W533" s="26" t="s">
        <v>2076</v>
      </c>
    </row>
    <row r="534" spans="1:23" x14ac:dyDescent="0.25">
      <c r="A534" s="26" t="str">
        <f t="shared" si="75"/>
        <v>PREESCOLAR</v>
      </c>
      <c r="B534" s="26" t="str">
        <f>"09DJN0683R"</f>
        <v>09DJN0683R</v>
      </c>
      <c r="C534" s="26" t="str">
        <f>"CARLOS PERRAULT                                                                                     "</f>
        <v xml:space="preserve">CARLOS PERRAULT                                                                                     </v>
      </c>
      <c r="D534" s="26" t="str">
        <f>"JORNADA AMPLIADA"</f>
        <v>JORNADA AMPLIADA</v>
      </c>
      <c r="E534" s="26" t="str">
        <f>"TRASMISIONES Y SALVATIERRA S/N                                                  "</f>
        <v xml:space="preserve">TRASMISIONES Y SALVATIERRA S/N                                                  </v>
      </c>
      <c r="F534" s="26" t="str">
        <f>"LOMAS DE SAN ANGEL INN                                                                                                                      "</f>
        <v xml:space="preserve">LOMAS DE SAN ANGEL INN                                                                                                                      </v>
      </c>
      <c r="G534" s="26" t="str">
        <f>"ALVARO OBREGON                                                                  "</f>
        <v xml:space="preserve">ALVARO OBREGON                                                                  </v>
      </c>
      <c r="H534" s="26" t="str">
        <f>"128"</f>
        <v>128</v>
      </c>
      <c r="I534" s="26" t="str">
        <f t="shared" si="76"/>
        <v>00</v>
      </c>
      <c r="J534" s="26" t="str">
        <f>"34 "</f>
        <v xml:space="preserve">34 </v>
      </c>
      <c r="K534" s="26" t="str">
        <f>"EP"</f>
        <v>EP</v>
      </c>
      <c r="L534" s="26" t="str">
        <f>"DGOSE"</f>
        <v>DGOSE</v>
      </c>
      <c r="M534" s="26" t="str">
        <f t="shared" si="77"/>
        <v>FEDERAL</v>
      </c>
      <c r="N534" s="26">
        <v>160</v>
      </c>
      <c r="O534" s="26">
        <v>80</v>
      </c>
      <c r="P534" s="26">
        <v>80</v>
      </c>
      <c r="Q534" s="26">
        <v>5</v>
      </c>
      <c r="R534" s="26">
        <v>1</v>
      </c>
      <c r="S534" s="26">
        <v>5</v>
      </c>
      <c r="T534" s="26">
        <v>6</v>
      </c>
      <c r="U534" s="26">
        <v>12</v>
      </c>
      <c r="V534" s="26">
        <v>1</v>
      </c>
      <c r="W534" s="26" t="s">
        <v>2076</v>
      </c>
    </row>
    <row r="535" spans="1:23" x14ac:dyDescent="0.25">
      <c r="A535" s="26" t="str">
        <f t="shared" si="75"/>
        <v>PREESCOLAR</v>
      </c>
      <c r="B535" s="26" t="str">
        <f>"09DJN0684Q"</f>
        <v>09DJN0684Q</v>
      </c>
      <c r="C535" s="26" t="str">
        <f>"ANA FRANK                                                                                           "</f>
        <v xml:space="preserve">ANA FRANK                                                                                           </v>
      </c>
      <c r="D535" s="26" t="str">
        <f>"TIEMPO COMPLETO"</f>
        <v>TIEMPO COMPLETO</v>
      </c>
      <c r="E535" s="26" t="str">
        <f>"AV. REVOLUCION Y REY CUAUHTEMOC                                                 "</f>
        <v xml:space="preserve">AV. REVOLUCION Y REY CUAUHTEMOC                                                 </v>
      </c>
      <c r="F535" s="26" t="str">
        <f>"SAN ANGEL                                                                                                                                   "</f>
        <v xml:space="preserve">SAN ANGEL                                                                                                                                   </v>
      </c>
      <c r="G535" s="26" t="str">
        <f>"ALVARO OBREGON                                                                  "</f>
        <v xml:space="preserve">ALVARO OBREGON                                                                  </v>
      </c>
      <c r="H535" s="26" t="str">
        <f>"100"</f>
        <v>100</v>
      </c>
      <c r="I535" s="26" t="str">
        <f t="shared" si="76"/>
        <v>00</v>
      </c>
      <c r="J535" s="26" t="str">
        <f>"34 "</f>
        <v xml:space="preserve">34 </v>
      </c>
      <c r="K535" s="26" t="str">
        <f>"EP"</f>
        <v>EP</v>
      </c>
      <c r="L535" s="26" t="str">
        <f>"DGOSE"</f>
        <v>DGOSE</v>
      </c>
      <c r="M535" s="26" t="str">
        <f t="shared" si="77"/>
        <v>FEDERAL</v>
      </c>
      <c r="N535" s="26">
        <v>140</v>
      </c>
      <c r="O535" s="26">
        <v>64</v>
      </c>
      <c r="P535" s="26">
        <v>76</v>
      </c>
      <c r="Q535" s="26">
        <v>5</v>
      </c>
      <c r="R535" s="26">
        <v>2</v>
      </c>
      <c r="S535" s="26">
        <v>5</v>
      </c>
      <c r="T535" s="26">
        <v>13</v>
      </c>
      <c r="U535" s="26">
        <v>20</v>
      </c>
      <c r="V535" s="26">
        <v>1</v>
      </c>
      <c r="W535" s="26" t="s">
        <v>218</v>
      </c>
    </row>
    <row r="536" spans="1:23" x14ac:dyDescent="0.25">
      <c r="A536" s="26" t="str">
        <f t="shared" si="75"/>
        <v>PREESCOLAR</v>
      </c>
      <c r="B536" s="26" t="str">
        <f>"09DJN0686O"</f>
        <v>09DJN0686O</v>
      </c>
      <c r="C536" s="26" t="str">
        <f>"LIC. FIDENCIO SORIA BARAJAS                                                                         "</f>
        <v xml:space="preserve">LIC. FIDENCIO SORIA BARAJAS                                                                         </v>
      </c>
      <c r="D536" s="26" t="str">
        <f>"JORNADA AMPLIADA"</f>
        <v>JORNADA AMPLIADA</v>
      </c>
      <c r="E536" s="26" t="str">
        <f>"LTE. 326 MZA.3 FORTIN Y FAROL                                                   "</f>
        <v xml:space="preserve">LTE. 326 MZA.3 FORTIN Y FAROL                                                   </v>
      </c>
      <c r="F536" s="26" t="str">
        <f>"VILLA COAPA                                                                                                                                 "</f>
        <v xml:space="preserve">VILLA COAPA                                                                                                                                 </v>
      </c>
      <c r="G536" s="26" t="str">
        <f>"TLALPAN                                                                         "</f>
        <v xml:space="preserve">TLALPAN                                                                         </v>
      </c>
      <c r="H536" s="26" t="str">
        <f>"145"</f>
        <v>145</v>
      </c>
      <c r="I536" s="26" t="str">
        <f t="shared" si="76"/>
        <v>00</v>
      </c>
      <c r="J536" s="26" t="str">
        <f>"34 "</f>
        <v xml:space="preserve">34 </v>
      </c>
      <c r="K536" s="26" t="str">
        <f>"EP"</f>
        <v>EP</v>
      </c>
      <c r="L536" s="26" t="str">
        <f>"DGOSE"</f>
        <v>DGOSE</v>
      </c>
      <c r="M536" s="26" t="str">
        <f t="shared" si="77"/>
        <v>FEDERAL</v>
      </c>
      <c r="N536" s="26">
        <v>200</v>
      </c>
      <c r="O536" s="26">
        <v>106</v>
      </c>
      <c r="P536" s="26">
        <v>94</v>
      </c>
      <c r="Q536" s="26">
        <v>6</v>
      </c>
      <c r="R536" s="26">
        <v>1</v>
      </c>
      <c r="S536" s="26">
        <v>6</v>
      </c>
      <c r="T536" s="26">
        <v>5</v>
      </c>
      <c r="U536" s="26">
        <v>12</v>
      </c>
      <c r="V536" s="26">
        <v>1</v>
      </c>
      <c r="W536" s="26" t="s">
        <v>2076</v>
      </c>
    </row>
    <row r="537" spans="1:23" x14ac:dyDescent="0.25">
      <c r="A537" s="26" t="str">
        <f t="shared" si="75"/>
        <v>PREESCOLAR</v>
      </c>
      <c r="B537" s="26" t="str">
        <f>"09DJN0687N"</f>
        <v>09DJN0687N</v>
      </c>
      <c r="C537" s="26" t="str">
        <f>"CALLICATEPETL                                                                                       "</f>
        <v xml:space="preserve">CALLICATEPETL                                                                                       </v>
      </c>
      <c r="D537" s="26" t="str">
        <f>"MATUTINO"</f>
        <v>MATUTINO</v>
      </c>
      <c r="E537" s="26" t="str">
        <f>"DESPOSORIOS NO. 7                                                               "</f>
        <v xml:space="preserve">DESPOSORIOS NO. 7                                                               </v>
      </c>
      <c r="F537" s="26" t="str">
        <f>"SAN LORENZO TEZONCO                                                                                                                         "</f>
        <v xml:space="preserve">SAN LORENZO TEZONCO                                                                                                                         </v>
      </c>
      <c r="G537" s="26" t="str">
        <f>"IZTAPALAPA                                                                      "</f>
        <v xml:space="preserve">IZTAPALAPA                                                                      </v>
      </c>
      <c r="H537" s="26" t="str">
        <f>"026"</f>
        <v>026</v>
      </c>
      <c r="I537" s="26" t="str">
        <f t="shared" si="76"/>
        <v>00</v>
      </c>
      <c r="J537" s="26" t="str">
        <f>"63 "</f>
        <v xml:space="preserve">63 </v>
      </c>
      <c r="K537" s="26" t="str">
        <f>"IZ"</f>
        <v>IZ</v>
      </c>
      <c r="L537" s="26" t="str">
        <f>"DGSEI"</f>
        <v>DGSEI</v>
      </c>
      <c r="M537" s="26" t="str">
        <f t="shared" si="77"/>
        <v>FEDERAL</v>
      </c>
      <c r="N537" s="26">
        <v>253</v>
      </c>
      <c r="O537" s="26">
        <v>123</v>
      </c>
      <c r="P537" s="26">
        <v>130</v>
      </c>
      <c r="Q537" s="26">
        <v>7</v>
      </c>
      <c r="R537" s="26">
        <v>1</v>
      </c>
      <c r="S537" s="26">
        <v>7</v>
      </c>
      <c r="T537" s="26">
        <v>4</v>
      </c>
      <c r="U537" s="26">
        <v>12</v>
      </c>
      <c r="V537" s="26">
        <v>1</v>
      </c>
      <c r="W537" s="26"/>
    </row>
    <row r="538" spans="1:23" x14ac:dyDescent="0.25">
      <c r="A538" s="26" t="str">
        <f t="shared" si="75"/>
        <v>PREESCOLAR</v>
      </c>
      <c r="B538" s="26" t="str">
        <f>"09DJN0688M"</f>
        <v>09DJN0688M</v>
      </c>
      <c r="C538" s="26" t="str">
        <f>"MOCTEZUMA ILHUICAMINA                                                                               "</f>
        <v xml:space="preserve">MOCTEZUMA ILHUICAMINA                                                                               </v>
      </c>
      <c r="D538" s="26" t="str">
        <f>"MATUTINO"</f>
        <v>MATUTINO</v>
      </c>
      <c r="E538" s="26" t="str">
        <f>"VICENTE GUERRERO NO. 45                                                         "</f>
        <v xml:space="preserve">VICENTE GUERRERO NO. 45                                                         </v>
      </c>
      <c r="F538" s="26" t="str">
        <f>"CULHUACAN                                                                                                                                   "</f>
        <v xml:space="preserve">CULHUACAN                                                                                                                                   </v>
      </c>
      <c r="G538" s="26" t="str">
        <f>"IZTAPALAPA                                                                      "</f>
        <v xml:space="preserve">IZTAPALAPA                                                                      </v>
      </c>
      <c r="H538" s="26" t="str">
        <f>"023"</f>
        <v>023</v>
      </c>
      <c r="I538" s="26" t="str">
        <f t="shared" si="76"/>
        <v>00</v>
      </c>
      <c r="J538" s="26" t="str">
        <f>"63 "</f>
        <v xml:space="preserve">63 </v>
      </c>
      <c r="K538" s="26" t="str">
        <f>"IZ"</f>
        <v>IZ</v>
      </c>
      <c r="L538" s="26" t="str">
        <f>"DGSEI"</f>
        <v>DGSEI</v>
      </c>
      <c r="M538" s="26" t="str">
        <f t="shared" si="77"/>
        <v>FEDERAL</v>
      </c>
      <c r="N538" s="26">
        <v>239</v>
      </c>
      <c r="O538" s="26">
        <v>121</v>
      </c>
      <c r="P538" s="26">
        <v>118</v>
      </c>
      <c r="Q538" s="26">
        <v>7</v>
      </c>
      <c r="R538" s="26">
        <v>1</v>
      </c>
      <c r="S538" s="26">
        <v>6</v>
      </c>
      <c r="T538" s="26">
        <v>3</v>
      </c>
      <c r="U538" s="26">
        <v>10</v>
      </c>
      <c r="V538" s="26">
        <v>1</v>
      </c>
      <c r="W538" s="26"/>
    </row>
    <row r="539" spans="1:23" x14ac:dyDescent="0.25">
      <c r="A539" s="26" t="str">
        <f t="shared" si="75"/>
        <v>PREESCOLAR</v>
      </c>
      <c r="B539" s="26" t="str">
        <f>"09DJN0689L"</f>
        <v>09DJN0689L</v>
      </c>
      <c r="C539" s="26" t="str">
        <f>"AMELIA FIERRO BANDALA                                                                               "</f>
        <v xml:space="preserve">AMELIA FIERRO BANDALA                                                                               </v>
      </c>
      <c r="D539" s="26" t="str">
        <f>"MATUTINO"</f>
        <v>MATUTINO</v>
      </c>
      <c r="E539" s="26" t="str">
        <f>"AV. CUAUHTEMOC NO. 38                                                           "</f>
        <v xml:space="preserve">AV. CUAUHTEMOC NO. 38                                                           </v>
      </c>
      <c r="F539" s="26" t="str">
        <f>"SAN ANTONIO TECOMITL                                                                                                                        "</f>
        <v xml:space="preserve">SAN ANTONIO TECOMITL                                                                                                                        </v>
      </c>
      <c r="G539" s="26" t="str">
        <f>"MILPA ALTA                                                                      "</f>
        <v xml:space="preserve">MILPA ALTA                                                                      </v>
      </c>
      <c r="H539" s="26" t="str">
        <f>"141"</f>
        <v>141</v>
      </c>
      <c r="I539" s="26" t="str">
        <f t="shared" si="76"/>
        <v>00</v>
      </c>
      <c r="J539" s="26" t="str">
        <f>"35 "</f>
        <v xml:space="preserve">35 </v>
      </c>
      <c r="K539" s="26" t="str">
        <f t="shared" ref="K539:K576" si="78">"EP"</f>
        <v>EP</v>
      </c>
      <c r="L539" s="26" t="str">
        <f t="shared" ref="L539:L576" si="79">"DGOSE"</f>
        <v>DGOSE</v>
      </c>
      <c r="M539" s="26" t="str">
        <f t="shared" si="77"/>
        <v>FEDERAL</v>
      </c>
      <c r="N539" s="26">
        <v>278</v>
      </c>
      <c r="O539" s="26">
        <v>135</v>
      </c>
      <c r="P539" s="26">
        <v>143</v>
      </c>
      <c r="Q539" s="26">
        <v>8</v>
      </c>
      <c r="R539" s="26">
        <v>1</v>
      </c>
      <c r="S539" s="26">
        <v>7</v>
      </c>
      <c r="T539" s="26">
        <v>6</v>
      </c>
      <c r="U539" s="26">
        <v>14</v>
      </c>
      <c r="V539" s="26">
        <v>1</v>
      </c>
      <c r="W539" s="26"/>
    </row>
    <row r="540" spans="1:23" x14ac:dyDescent="0.25">
      <c r="A540" s="26" t="str">
        <f t="shared" si="75"/>
        <v>PREESCOLAR</v>
      </c>
      <c r="B540" s="26" t="str">
        <f>"09DJN0690A"</f>
        <v>09DJN0690A</v>
      </c>
      <c r="C540" s="26" t="str">
        <f>"BRIGIDA GARCIA DE JUAREZ                                                                            "</f>
        <v xml:space="preserve">BRIGIDA GARCIA DE JUAREZ                                                                            </v>
      </c>
      <c r="D540" s="26" t="str">
        <f>"VESPERTINO"</f>
        <v>VESPERTINO</v>
      </c>
      <c r="E540" s="26" t="str">
        <f>"JOSE LUGO GUERRERO Y LA TURBA S/N                                               "</f>
        <v xml:space="preserve">JOSE LUGO GUERRERO Y LA TURBA S/N                                               </v>
      </c>
      <c r="F540" s="26" t="str">
        <f>"GRANJAS CABRERA                                                                                                                             "</f>
        <v xml:space="preserve">GRANJAS CABRERA                                                                                                                             </v>
      </c>
      <c r="G540" s="26" t="str">
        <f>"TLAHUAC                                                                         "</f>
        <v xml:space="preserve">TLAHUAC                                                                         </v>
      </c>
      <c r="H540" s="26" t="str">
        <f>"244"</f>
        <v>244</v>
      </c>
      <c r="I540" s="26" t="str">
        <f t="shared" si="76"/>
        <v>00</v>
      </c>
      <c r="J540" s="26" t="str">
        <f>"35 "</f>
        <v xml:space="preserve">35 </v>
      </c>
      <c r="K540" s="26" t="str">
        <f t="shared" si="78"/>
        <v>EP</v>
      </c>
      <c r="L540" s="26" t="str">
        <f t="shared" si="79"/>
        <v>DGOSE</v>
      </c>
      <c r="M540" s="26" t="str">
        <f t="shared" si="77"/>
        <v>FEDERAL</v>
      </c>
      <c r="N540" s="26">
        <v>182</v>
      </c>
      <c r="O540" s="26">
        <v>89</v>
      </c>
      <c r="P540" s="26">
        <v>93</v>
      </c>
      <c r="Q540" s="26">
        <v>6</v>
      </c>
      <c r="R540" s="26">
        <v>1</v>
      </c>
      <c r="S540" s="26">
        <v>6</v>
      </c>
      <c r="T540" s="26">
        <v>6</v>
      </c>
      <c r="U540" s="26">
        <v>13</v>
      </c>
      <c r="V540" s="26">
        <v>1</v>
      </c>
      <c r="W540" s="26"/>
    </row>
    <row r="541" spans="1:23" x14ac:dyDescent="0.25">
      <c r="A541" s="26" t="str">
        <f t="shared" si="75"/>
        <v>PREESCOLAR</v>
      </c>
      <c r="B541" s="26" t="str">
        <f>"09DJN0692Z"</f>
        <v>09DJN0692Z</v>
      </c>
      <c r="C541" s="26" t="str">
        <f>"ALICIA LOPEZ AMADOR                                                                                 "</f>
        <v xml:space="preserve">ALICIA LOPEZ AMADOR                                                                                 </v>
      </c>
      <c r="D541" s="26" t="str">
        <f>"JORNADA AMPLIADA"</f>
        <v>JORNADA AMPLIADA</v>
      </c>
      <c r="E541" s="26" t="str">
        <f>"PLAZUELA DE LOS REYES S/N                                                       "</f>
        <v xml:space="preserve">PLAZUELA DE LOS REYES S/N                                                       </v>
      </c>
      <c r="F541" s="26" t="str">
        <f>"LOS REYES                                                                                                                                   "</f>
        <v xml:space="preserve">LOS REYES                                                                                                                                   </v>
      </c>
      <c r="G541" s="26" t="str">
        <f>"COYOACAN                                                                        "</f>
        <v xml:space="preserve">COYOACAN                                                                        </v>
      </c>
      <c r="H541" s="26" t="str">
        <f>"044"</f>
        <v>044</v>
      </c>
      <c r="I541" s="26" t="str">
        <f t="shared" si="76"/>
        <v>00</v>
      </c>
      <c r="J541" s="26" t="str">
        <f>"34 "</f>
        <v xml:space="preserve">34 </v>
      </c>
      <c r="K541" s="26" t="str">
        <f t="shared" si="78"/>
        <v>EP</v>
      </c>
      <c r="L541" s="26" t="str">
        <f t="shared" si="79"/>
        <v>DGOSE</v>
      </c>
      <c r="M541" s="26" t="str">
        <f t="shared" si="77"/>
        <v>FEDERAL</v>
      </c>
      <c r="N541" s="26">
        <v>132</v>
      </c>
      <c r="O541" s="26">
        <v>78</v>
      </c>
      <c r="P541" s="26">
        <v>54</v>
      </c>
      <c r="Q541" s="26">
        <v>5</v>
      </c>
      <c r="R541" s="26">
        <v>1</v>
      </c>
      <c r="S541" s="26">
        <v>5</v>
      </c>
      <c r="T541" s="26">
        <v>5</v>
      </c>
      <c r="U541" s="26">
        <v>11</v>
      </c>
      <c r="V541" s="26">
        <v>1</v>
      </c>
      <c r="W541" s="26" t="s">
        <v>2076</v>
      </c>
    </row>
    <row r="542" spans="1:23" x14ac:dyDescent="0.25">
      <c r="A542" s="26" t="str">
        <f t="shared" si="75"/>
        <v>PREESCOLAR</v>
      </c>
      <c r="B542" s="26" t="str">
        <f>"09DJN0693Y"</f>
        <v>09DJN0693Y</v>
      </c>
      <c r="C542" s="26" t="str">
        <f>"SEGURO SOCIAL B                                                                                     "</f>
        <v xml:space="preserve">SEGURO SOCIAL B                                                                                     </v>
      </c>
      <c r="D542" s="26" t="str">
        <f>"MATUTINO"</f>
        <v>MATUTINO</v>
      </c>
      <c r="E542" s="26" t="str">
        <f>"MZA. 1 GRUPO 4 U.HAB. STA. FE                                                   "</f>
        <v xml:space="preserve">MZA. 1 GRUPO 4 U.HAB. STA. FE                                                   </v>
      </c>
      <c r="F542" s="26" t="str">
        <f>"CRISTO REY                                                                                                                                  "</f>
        <v xml:space="preserve">CRISTO REY                                                                                                                                  </v>
      </c>
      <c r="G542" s="26" t="str">
        <f>"ALVARO OBREGON                                                                  "</f>
        <v xml:space="preserve">ALVARO OBREGON                                                                  </v>
      </c>
      <c r="H542" s="26" t="str">
        <f>"165"</f>
        <v>165</v>
      </c>
      <c r="I542" s="26" t="str">
        <f t="shared" si="76"/>
        <v>00</v>
      </c>
      <c r="J542" s="26" t="str">
        <f>"33 "</f>
        <v xml:space="preserve">33 </v>
      </c>
      <c r="K542" s="26" t="str">
        <f t="shared" si="78"/>
        <v>EP</v>
      </c>
      <c r="L542" s="26" t="str">
        <f t="shared" si="79"/>
        <v>DGOSE</v>
      </c>
      <c r="M542" s="26" t="str">
        <f t="shared" si="77"/>
        <v>FEDERAL</v>
      </c>
      <c r="N542" s="26">
        <v>170</v>
      </c>
      <c r="O542" s="26">
        <v>83</v>
      </c>
      <c r="P542" s="26">
        <v>87</v>
      </c>
      <c r="Q542" s="26">
        <v>6</v>
      </c>
      <c r="R542" s="26">
        <v>1</v>
      </c>
      <c r="S542" s="26">
        <v>6</v>
      </c>
      <c r="T542" s="26">
        <v>4</v>
      </c>
      <c r="U542" s="26">
        <v>11</v>
      </c>
      <c r="V542" s="26">
        <v>1</v>
      </c>
      <c r="W542" s="26"/>
    </row>
    <row r="543" spans="1:23" x14ac:dyDescent="0.25">
      <c r="A543" s="26" t="str">
        <f t="shared" si="75"/>
        <v>PREESCOLAR</v>
      </c>
      <c r="B543" s="26" t="str">
        <f>"09DJN0694X"</f>
        <v>09DJN0694X</v>
      </c>
      <c r="C543" s="26" t="str">
        <f>"SEGURO SOCIAL A                                                                                     "</f>
        <v xml:space="preserve">SEGURO SOCIAL A                                                                                     </v>
      </c>
      <c r="D543" s="26" t="str">
        <f>"JORNADA AMPLIADA"</f>
        <v>JORNADA AMPLIADA</v>
      </c>
      <c r="E543" s="26" t="str">
        <f>"MZA. 4 ENTRE GPOS 13 Y 14 U.HAB. STA. FE                                        "</f>
        <v xml:space="preserve">MZA. 4 ENTRE GPOS 13 Y 14 U.HAB. STA. FE                                        </v>
      </c>
      <c r="F543" s="26" t="str">
        <f>"CRISTO REY                                                                                                                                  "</f>
        <v xml:space="preserve">CRISTO REY                                                                                                                                  </v>
      </c>
      <c r="G543" s="26" t="str">
        <f>"ALVARO OBREGON                                                                  "</f>
        <v xml:space="preserve">ALVARO OBREGON                                                                  </v>
      </c>
      <c r="H543" s="26" t="str">
        <f>"133"</f>
        <v>133</v>
      </c>
      <c r="I543" s="26" t="str">
        <f t="shared" si="76"/>
        <v>00</v>
      </c>
      <c r="J543" s="26" t="str">
        <f>"34 "</f>
        <v xml:space="preserve">34 </v>
      </c>
      <c r="K543" s="26" t="str">
        <f t="shared" si="78"/>
        <v>EP</v>
      </c>
      <c r="L543" s="26" t="str">
        <f t="shared" si="79"/>
        <v>DGOSE</v>
      </c>
      <c r="M543" s="26" t="str">
        <f t="shared" si="77"/>
        <v>FEDERAL</v>
      </c>
      <c r="N543" s="26">
        <v>202</v>
      </c>
      <c r="O543" s="26">
        <v>94</v>
      </c>
      <c r="P543" s="26">
        <v>108</v>
      </c>
      <c r="Q543" s="26">
        <v>6</v>
      </c>
      <c r="R543" s="26">
        <v>1</v>
      </c>
      <c r="S543" s="26">
        <v>6</v>
      </c>
      <c r="T543" s="26">
        <v>7</v>
      </c>
      <c r="U543" s="26">
        <v>14</v>
      </c>
      <c r="V543" s="26">
        <v>1</v>
      </c>
      <c r="W543" s="26" t="s">
        <v>2076</v>
      </c>
    </row>
    <row r="544" spans="1:23" x14ac:dyDescent="0.25">
      <c r="A544" s="26" t="str">
        <f t="shared" si="75"/>
        <v>PREESCOLAR</v>
      </c>
      <c r="B544" s="26" t="str">
        <f>"09DJN0695W"</f>
        <v>09DJN0695W</v>
      </c>
      <c r="C544" s="26" t="str">
        <f>"JOSEFA MURILLO                                                                                      "</f>
        <v xml:space="preserve">JOSEFA MURILLO                                                                                      </v>
      </c>
      <c r="D544" s="26" t="str">
        <f>"VESPERTINO"</f>
        <v>VESPERTINO</v>
      </c>
      <c r="E544" s="26" t="str">
        <f>"BRAVO 83 ESQ. NACIONAL                                                          "</f>
        <v xml:space="preserve">BRAVO 83 ESQ. NACIONAL                                                          </v>
      </c>
      <c r="F544" s="26" t="str">
        <f>"MORELOS                                                                                                                                     "</f>
        <v xml:space="preserve">MORELOS                                                                                                                                     </v>
      </c>
      <c r="G544" s="26" t="str">
        <f>"VENUSTIANO CARRANZA                                                             "</f>
        <v xml:space="preserve">VENUSTIANO CARRANZA                                                             </v>
      </c>
      <c r="H544" s="26" t="str">
        <f>"025"</f>
        <v>025</v>
      </c>
      <c r="I544" s="26" t="str">
        <f t="shared" si="76"/>
        <v>00</v>
      </c>
      <c r="J544" s="26" t="str">
        <f>"33 "</f>
        <v xml:space="preserve">33 </v>
      </c>
      <c r="K544" s="26" t="str">
        <f t="shared" si="78"/>
        <v>EP</v>
      </c>
      <c r="L544" s="26" t="str">
        <f t="shared" si="79"/>
        <v>DGOSE</v>
      </c>
      <c r="M544" s="26" t="str">
        <f t="shared" si="77"/>
        <v>FEDERAL</v>
      </c>
      <c r="N544" s="26">
        <v>108</v>
      </c>
      <c r="O544" s="26">
        <v>50</v>
      </c>
      <c r="P544" s="26">
        <v>58</v>
      </c>
      <c r="Q544" s="26">
        <v>3</v>
      </c>
      <c r="R544" s="26">
        <v>1</v>
      </c>
      <c r="S544" s="26">
        <v>3</v>
      </c>
      <c r="T544" s="26">
        <v>4</v>
      </c>
      <c r="U544" s="26">
        <v>8</v>
      </c>
      <c r="V544" s="26">
        <v>1</v>
      </c>
      <c r="W544" s="26"/>
    </row>
    <row r="545" spans="1:23" x14ac:dyDescent="0.25">
      <c r="A545" s="26" t="str">
        <f t="shared" si="75"/>
        <v>PREESCOLAR</v>
      </c>
      <c r="B545" s="26" t="str">
        <f>"09DJN0696V"</f>
        <v>09DJN0696V</v>
      </c>
      <c r="C545" s="26" t="str">
        <f>"ENRIQUE PESTALOZZI                                                                                  "</f>
        <v xml:space="preserve">ENRIQUE PESTALOZZI                                                                                  </v>
      </c>
      <c r="D545" s="26" t="str">
        <f>"MATUTINO"</f>
        <v>MATUTINO</v>
      </c>
      <c r="E545" s="26" t="str">
        <f>"PEÑA Y PEÑA NO. 38                                                              "</f>
        <v xml:space="preserve">PEÑA Y PEÑA NO. 38                                                              </v>
      </c>
      <c r="F545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545" s="26" t="s">
        <v>4128</v>
      </c>
      <c r="H545" s="26" t="str">
        <f>"204"</f>
        <v>204</v>
      </c>
      <c r="I545" s="26" t="str">
        <f t="shared" si="76"/>
        <v>00</v>
      </c>
      <c r="J545" s="26" t="str">
        <f>"32 "</f>
        <v xml:space="preserve">32 </v>
      </c>
      <c r="K545" s="26" t="str">
        <f t="shared" si="78"/>
        <v>EP</v>
      </c>
      <c r="L545" s="26" t="str">
        <f t="shared" si="79"/>
        <v>DGOSE</v>
      </c>
      <c r="M545" s="26" t="str">
        <f t="shared" si="77"/>
        <v>FEDERAL</v>
      </c>
      <c r="N545" s="26">
        <v>219</v>
      </c>
      <c r="O545" s="26">
        <v>101</v>
      </c>
      <c r="P545" s="26">
        <v>118</v>
      </c>
      <c r="Q545" s="26">
        <v>7</v>
      </c>
      <c r="R545" s="26">
        <v>1</v>
      </c>
      <c r="S545" s="26">
        <v>7</v>
      </c>
      <c r="T545" s="26">
        <v>4</v>
      </c>
      <c r="U545" s="26">
        <v>12</v>
      </c>
      <c r="V545" s="26">
        <v>1</v>
      </c>
      <c r="W545" s="26"/>
    </row>
    <row r="546" spans="1:23" x14ac:dyDescent="0.25">
      <c r="A546" s="26" t="str">
        <f t="shared" si="75"/>
        <v>PREESCOLAR</v>
      </c>
      <c r="B546" s="26" t="str">
        <f>"09DJN0697U"</f>
        <v>09DJN0697U</v>
      </c>
      <c r="C546" s="26" t="str">
        <f>"HERBERT SPENCER                                                                                     "</f>
        <v xml:space="preserve">HERBERT SPENCER                                                                                     </v>
      </c>
      <c r="D546" s="26" t="str">
        <f>"VESPERTINO"</f>
        <v>VESPERTINO</v>
      </c>
      <c r="E546" s="26" t="str">
        <f>"HEROES NO. 53                                                                   "</f>
        <v xml:space="preserve">HEROES NO. 53                                                                   </v>
      </c>
      <c r="F546" s="26" t="str">
        <f>"GUERRERO                                                                                                                                    "</f>
        <v xml:space="preserve">GUERRERO                                                                                                                                    </v>
      </c>
      <c r="G546" s="26" t="s">
        <v>4128</v>
      </c>
      <c r="H546" s="26" t="str">
        <f>"203"</f>
        <v>203</v>
      </c>
      <c r="I546" s="26" t="str">
        <f t="shared" si="76"/>
        <v>00</v>
      </c>
      <c r="J546" s="26" t="str">
        <f>"32 "</f>
        <v xml:space="preserve">32 </v>
      </c>
      <c r="K546" s="26" t="str">
        <f t="shared" si="78"/>
        <v>EP</v>
      </c>
      <c r="L546" s="26" t="str">
        <f t="shared" si="79"/>
        <v>DGOSE</v>
      </c>
      <c r="M546" s="26" t="str">
        <f t="shared" si="77"/>
        <v>FEDERAL</v>
      </c>
      <c r="N546" s="26">
        <v>164</v>
      </c>
      <c r="O546" s="26">
        <v>79</v>
      </c>
      <c r="P546" s="26">
        <v>85</v>
      </c>
      <c r="Q546" s="26">
        <v>5</v>
      </c>
      <c r="R546" s="26">
        <v>1</v>
      </c>
      <c r="S546" s="26">
        <v>5</v>
      </c>
      <c r="T546" s="26">
        <v>6</v>
      </c>
      <c r="U546" s="26">
        <v>12</v>
      </c>
      <c r="V546" s="26">
        <v>1</v>
      </c>
      <c r="W546" s="26"/>
    </row>
    <row r="547" spans="1:23" x14ac:dyDescent="0.25">
      <c r="A547" s="26" t="str">
        <f t="shared" si="75"/>
        <v>PREESCOLAR</v>
      </c>
      <c r="B547" s="26" t="str">
        <f>"09DJN0698T"</f>
        <v>09DJN0698T</v>
      </c>
      <c r="C547" s="26" t="str">
        <f>"JAIME NUNO                                                                                          "</f>
        <v xml:space="preserve">JAIME NUNO                                                                                          </v>
      </c>
      <c r="D547" s="26" t="str">
        <f>"JORNADA AMPLIADA"</f>
        <v>JORNADA AMPLIADA</v>
      </c>
      <c r="E547" s="26" t="str">
        <f>"FRANCISCO GONZALEZ BOCANEGRA NO. 16                                             "</f>
        <v xml:space="preserve">FRANCISCO GONZALEZ BOCANEGRA NO. 16                                             </v>
      </c>
      <c r="F547" s="26" t="str">
        <f>"GUERRERO                                                                                                                                    "</f>
        <v xml:space="preserve">GUERRERO                                                                                                                                    </v>
      </c>
      <c r="G547" s="26" t="s">
        <v>4128</v>
      </c>
      <c r="H547" s="26" t="str">
        <f>"021"</f>
        <v>021</v>
      </c>
      <c r="I547" s="26" t="str">
        <f t="shared" si="76"/>
        <v>00</v>
      </c>
      <c r="J547" s="26" t="str">
        <f>"31 "</f>
        <v xml:space="preserve">31 </v>
      </c>
      <c r="K547" s="26" t="str">
        <f t="shared" si="78"/>
        <v>EP</v>
      </c>
      <c r="L547" s="26" t="str">
        <f t="shared" si="79"/>
        <v>DGOSE</v>
      </c>
      <c r="M547" s="26" t="str">
        <f t="shared" si="77"/>
        <v>FEDERAL</v>
      </c>
      <c r="N547" s="26">
        <v>188</v>
      </c>
      <c r="O547" s="26">
        <v>94</v>
      </c>
      <c r="P547" s="26">
        <v>94</v>
      </c>
      <c r="Q547" s="26">
        <v>6</v>
      </c>
      <c r="R547" s="26">
        <v>1</v>
      </c>
      <c r="S547" s="26">
        <v>6</v>
      </c>
      <c r="T547" s="26">
        <v>7</v>
      </c>
      <c r="U547" s="26">
        <v>14</v>
      </c>
      <c r="V547" s="26">
        <v>1</v>
      </c>
      <c r="W547" s="26" t="s">
        <v>2076</v>
      </c>
    </row>
    <row r="548" spans="1:23" x14ac:dyDescent="0.25">
      <c r="A548" s="26" t="str">
        <f t="shared" si="75"/>
        <v>PREESCOLAR</v>
      </c>
      <c r="B548" s="26" t="str">
        <f>"09DJN0699S"</f>
        <v>09DJN0699S</v>
      </c>
      <c r="C548" s="26" t="str">
        <f>"AMADO NERVO                                                                                         "</f>
        <v xml:space="preserve">AMADO NERVO                                                                                         </v>
      </c>
      <c r="D548" s="26" t="str">
        <f>"VESPERTINO"</f>
        <v>VESPERTINO</v>
      </c>
      <c r="E548" s="26" t="str">
        <f>"MOCTEZUMA NO. 123                                                               "</f>
        <v xml:space="preserve">MOCTEZUMA NO. 123                                                               </v>
      </c>
      <c r="F548" s="26" t="str">
        <f>"GUERRERO                                                                                                                                    "</f>
        <v xml:space="preserve">GUERRERO                                                                                                                                    </v>
      </c>
      <c r="G548" s="26" t="s">
        <v>4128</v>
      </c>
      <c r="H548" s="26" t="str">
        <f>"205"</f>
        <v>205</v>
      </c>
      <c r="I548" s="26" t="str">
        <f t="shared" si="76"/>
        <v>00</v>
      </c>
      <c r="J548" s="26" t="str">
        <f>"32 "</f>
        <v xml:space="preserve">32 </v>
      </c>
      <c r="K548" s="26" t="str">
        <f t="shared" si="78"/>
        <v>EP</v>
      </c>
      <c r="L548" s="26" t="str">
        <f t="shared" si="79"/>
        <v>DGOSE</v>
      </c>
      <c r="M548" s="26" t="str">
        <f t="shared" si="77"/>
        <v>FEDERAL</v>
      </c>
      <c r="N548" s="26">
        <v>130</v>
      </c>
      <c r="O548" s="26">
        <v>61</v>
      </c>
      <c r="P548" s="26">
        <v>69</v>
      </c>
      <c r="Q548" s="26">
        <v>5</v>
      </c>
      <c r="R548" s="26">
        <v>1</v>
      </c>
      <c r="S548" s="26">
        <v>5</v>
      </c>
      <c r="T548" s="26">
        <v>4</v>
      </c>
      <c r="U548" s="26">
        <v>10</v>
      </c>
      <c r="V548" s="26">
        <v>1</v>
      </c>
      <c r="W548" s="26"/>
    </row>
    <row r="549" spans="1:23" x14ac:dyDescent="0.25">
      <c r="A549" s="26" t="str">
        <f t="shared" si="75"/>
        <v>PREESCOLAR</v>
      </c>
      <c r="B549" s="26" t="str">
        <f>"09DJN0700R"</f>
        <v>09DJN0700R</v>
      </c>
      <c r="C549" s="26" t="str">
        <f>"VALERIO TRUJANO                                                                                     "</f>
        <v xml:space="preserve">VALERIO TRUJANO                                                                                     </v>
      </c>
      <c r="D549" s="26" t="str">
        <f>"TIEMPO COMPLETO"</f>
        <v>TIEMPO COMPLETO</v>
      </c>
      <c r="E549" s="26" t="str">
        <f>"RICARDO FLORES MAGON NO. 175                                                    "</f>
        <v xml:space="preserve">RICARDO FLORES MAGON NO. 175                                                    </v>
      </c>
      <c r="F549" s="26" t="str">
        <f>"UNIDAD NONOALCO TLATELOLCO                                                                                                                  "</f>
        <v xml:space="preserve">UNIDAD NONOALCO TLATELOLCO                                                                                                                  </v>
      </c>
      <c r="G549" s="26" t="s">
        <v>4128</v>
      </c>
      <c r="H549" s="26" t="str">
        <f>"016"</f>
        <v>016</v>
      </c>
      <c r="I549" s="26" t="str">
        <f t="shared" si="76"/>
        <v>00</v>
      </c>
      <c r="J549" s="26" t="str">
        <f>"31 "</f>
        <v xml:space="preserve">31 </v>
      </c>
      <c r="K549" s="26" t="str">
        <f t="shared" si="78"/>
        <v>EP</v>
      </c>
      <c r="L549" s="26" t="str">
        <f t="shared" si="79"/>
        <v>DGOSE</v>
      </c>
      <c r="M549" s="26" t="str">
        <f t="shared" si="77"/>
        <v>FEDERAL</v>
      </c>
      <c r="N549" s="26">
        <v>170</v>
      </c>
      <c r="O549" s="26">
        <v>89</v>
      </c>
      <c r="P549" s="26">
        <v>81</v>
      </c>
      <c r="Q549" s="26">
        <v>6</v>
      </c>
      <c r="R549" s="26">
        <v>2</v>
      </c>
      <c r="S549" s="26">
        <v>5</v>
      </c>
      <c r="T549" s="26">
        <v>14</v>
      </c>
      <c r="U549" s="26">
        <v>21</v>
      </c>
      <c r="V549" s="26">
        <v>1</v>
      </c>
      <c r="W549" s="26" t="s">
        <v>218</v>
      </c>
    </row>
    <row r="550" spans="1:23" x14ac:dyDescent="0.25">
      <c r="A550" s="26" t="str">
        <f t="shared" si="75"/>
        <v>PREESCOLAR</v>
      </c>
      <c r="B550" s="26" t="str">
        <f>"09DJN0701Q"</f>
        <v>09DJN0701Q</v>
      </c>
      <c r="C550" s="26" t="str">
        <f>"MA. ELENA CHANES                                                                                    "</f>
        <v xml:space="preserve">MA. ELENA CHANES                                                                                    </v>
      </c>
      <c r="D550" s="26" t="str">
        <f>"MATUTINO"</f>
        <v>MATUTINO</v>
      </c>
      <c r="E550" s="26" t="str">
        <f>"FRANCISCO GONZALEZ BOCANEGRA NO. 72                                             "</f>
        <v xml:space="preserve">FRANCISCO GONZALEZ BOCANEGRA NO. 72                                             </v>
      </c>
      <c r="F550" s="26" t="str">
        <f>"MORELOS                                                                                                                                     "</f>
        <v xml:space="preserve">MORELOS                                                                                                                                     </v>
      </c>
      <c r="G550" s="26" t="s">
        <v>4128</v>
      </c>
      <c r="H550" s="26" t="str">
        <f>"205"</f>
        <v>205</v>
      </c>
      <c r="I550" s="26" t="str">
        <f t="shared" si="76"/>
        <v>00</v>
      </c>
      <c r="J550" s="26" t="str">
        <f>"32 "</f>
        <v xml:space="preserve">32 </v>
      </c>
      <c r="K550" s="26" t="str">
        <f t="shared" si="78"/>
        <v>EP</v>
      </c>
      <c r="L550" s="26" t="str">
        <f t="shared" si="79"/>
        <v>DGOSE</v>
      </c>
      <c r="M550" s="26" t="str">
        <f t="shared" si="77"/>
        <v>FEDERAL</v>
      </c>
      <c r="N550" s="26">
        <v>197</v>
      </c>
      <c r="O550" s="26">
        <v>99</v>
      </c>
      <c r="P550" s="26">
        <v>98</v>
      </c>
      <c r="Q550" s="26">
        <v>7</v>
      </c>
      <c r="R550" s="26">
        <v>1</v>
      </c>
      <c r="S550" s="26">
        <v>7</v>
      </c>
      <c r="T550" s="26">
        <v>5</v>
      </c>
      <c r="U550" s="26">
        <v>13</v>
      </c>
      <c r="V550" s="26">
        <v>1</v>
      </c>
      <c r="W550" s="26"/>
    </row>
    <row r="551" spans="1:23" x14ac:dyDescent="0.25">
      <c r="A551" s="26" t="str">
        <f t="shared" si="75"/>
        <v>PREESCOLAR</v>
      </c>
      <c r="B551" s="26" t="str">
        <f>"09DJN0702P"</f>
        <v>09DJN0702P</v>
      </c>
      <c r="C551" s="26" t="str">
        <f>"ADELA OSORIO GRANADOS                                                                               "</f>
        <v xml:space="preserve">ADELA OSORIO GRANADOS                                                                               </v>
      </c>
      <c r="D551" s="26" t="str">
        <f>"JORNADA AMPLIADA"</f>
        <v>JORNADA AMPLIADA</v>
      </c>
      <c r="E551" s="26" t="str">
        <f>"PLOMEROS NO. 285                                                                "</f>
        <v xml:space="preserve">PLOMEROS NO. 285                                                                </v>
      </c>
      <c r="F551" s="26" t="str">
        <f>"MICHOACANA                                                                                                                                  "</f>
        <v xml:space="preserve">MICHOACANA                                                                                                                                  </v>
      </c>
      <c r="G551" s="26" t="str">
        <f>"VENUSTIANO CARRANZA                                                             "</f>
        <v xml:space="preserve">VENUSTIANO CARRANZA                                                             </v>
      </c>
      <c r="H551" s="26" t="str">
        <f>"246"</f>
        <v>246</v>
      </c>
      <c r="I551" s="26" t="str">
        <f t="shared" si="76"/>
        <v>00</v>
      </c>
      <c r="J551" s="26" t="str">
        <f>"31 "</f>
        <v xml:space="preserve">31 </v>
      </c>
      <c r="K551" s="26" t="str">
        <f t="shared" si="78"/>
        <v>EP</v>
      </c>
      <c r="L551" s="26" t="str">
        <f t="shared" si="79"/>
        <v>DGOSE</v>
      </c>
      <c r="M551" s="26" t="str">
        <f t="shared" si="77"/>
        <v>FEDERAL</v>
      </c>
      <c r="N551" s="26">
        <v>272</v>
      </c>
      <c r="O551" s="26">
        <v>122</v>
      </c>
      <c r="P551" s="26">
        <v>150</v>
      </c>
      <c r="Q551" s="26">
        <v>9</v>
      </c>
      <c r="R551" s="26">
        <v>1</v>
      </c>
      <c r="S551" s="26">
        <v>9</v>
      </c>
      <c r="T551" s="26">
        <v>8</v>
      </c>
      <c r="U551" s="26">
        <v>18</v>
      </c>
      <c r="V551" s="26">
        <v>1</v>
      </c>
      <c r="W551" s="26" t="s">
        <v>2076</v>
      </c>
    </row>
    <row r="552" spans="1:23" x14ac:dyDescent="0.25">
      <c r="A552" s="26" t="str">
        <f t="shared" si="75"/>
        <v>PREESCOLAR</v>
      </c>
      <c r="B552" s="26" t="str">
        <f>"09DJN0703O"</f>
        <v>09DJN0703O</v>
      </c>
      <c r="C552" s="26" t="str">
        <f>"CAMPANITAS                                                                                          "</f>
        <v xml:space="preserve">CAMPANITAS                                                                                          </v>
      </c>
      <c r="D552" s="26" t="str">
        <f>"TIEMPO COMPLETO"</f>
        <v>TIEMPO COMPLETO</v>
      </c>
      <c r="E552" s="26" t="str">
        <f>"MAPIMI NO. 41                                                                   "</f>
        <v xml:space="preserve">MAPIMI NO. 41                                                                   </v>
      </c>
      <c r="F552" s="26" t="str">
        <f>"VALLE GOMEZ                                                                                                                                 "</f>
        <v xml:space="preserve">VALLE GOMEZ                                                                                                                                 </v>
      </c>
      <c r="G552" s="26" t="s">
        <v>4128</v>
      </c>
      <c r="H552" s="26" t="str">
        <f>"021"</f>
        <v>021</v>
      </c>
      <c r="I552" s="26" t="str">
        <f t="shared" si="76"/>
        <v>00</v>
      </c>
      <c r="J552" s="26" t="str">
        <f>"31 "</f>
        <v xml:space="preserve">31 </v>
      </c>
      <c r="K552" s="26" t="str">
        <f t="shared" si="78"/>
        <v>EP</v>
      </c>
      <c r="L552" s="26" t="str">
        <f t="shared" si="79"/>
        <v>DGOSE</v>
      </c>
      <c r="M552" s="26" t="str">
        <f t="shared" si="77"/>
        <v>FEDERAL</v>
      </c>
      <c r="N552" s="26">
        <v>113</v>
      </c>
      <c r="O552" s="26">
        <v>62</v>
      </c>
      <c r="P552" s="26">
        <v>51</v>
      </c>
      <c r="Q552" s="26">
        <v>6</v>
      </c>
      <c r="R552" s="26">
        <v>2</v>
      </c>
      <c r="S552" s="26">
        <v>6</v>
      </c>
      <c r="T552" s="26">
        <v>13</v>
      </c>
      <c r="U552" s="26">
        <v>21</v>
      </c>
      <c r="V552" s="26">
        <v>1</v>
      </c>
      <c r="W552" s="26" t="s">
        <v>218</v>
      </c>
    </row>
    <row r="553" spans="1:23" x14ac:dyDescent="0.25">
      <c r="A553" s="26" t="str">
        <f t="shared" si="75"/>
        <v>PREESCOLAR</v>
      </c>
      <c r="B553" s="26" t="str">
        <f>"09DJN0704N"</f>
        <v>09DJN0704N</v>
      </c>
      <c r="C553" s="26" t="str">
        <f>"PRESIDENTE CALLES                                                                                   "</f>
        <v xml:space="preserve">PRESIDENTE CALLES                                                                                   </v>
      </c>
      <c r="D553" s="26" t="str">
        <f>"JORNADA AMPLIADA"</f>
        <v>JORNADA AMPLIADA</v>
      </c>
      <c r="E553" s="26" t="str">
        <f>"PLATINO Y CALLE EL CATORCE                                                      "</f>
        <v xml:space="preserve">PLATINO Y CALLE EL CATORCE                                                      </v>
      </c>
      <c r="F553" s="26" t="str">
        <f>"VALLE GOMEZ                                                                                                                                 "</f>
        <v xml:space="preserve">VALLE GOMEZ                                                                                                                                 </v>
      </c>
      <c r="G553" s="26" t="str">
        <f>"VENUSTIANO CARRANZA                                                             "</f>
        <v xml:space="preserve">VENUSTIANO CARRANZA                                                             </v>
      </c>
      <c r="H553" s="26" t="str">
        <f>"246"</f>
        <v>246</v>
      </c>
      <c r="I553" s="26" t="str">
        <f t="shared" si="76"/>
        <v>00</v>
      </c>
      <c r="J553" s="26" t="str">
        <f>"31 "</f>
        <v xml:space="preserve">31 </v>
      </c>
      <c r="K553" s="26" t="str">
        <f t="shared" si="78"/>
        <v>EP</v>
      </c>
      <c r="L553" s="26" t="str">
        <f t="shared" si="79"/>
        <v>DGOSE</v>
      </c>
      <c r="M553" s="26" t="str">
        <f t="shared" si="77"/>
        <v>FEDERAL</v>
      </c>
      <c r="N553" s="26">
        <v>256</v>
      </c>
      <c r="O553" s="26">
        <v>148</v>
      </c>
      <c r="P553" s="26">
        <v>108</v>
      </c>
      <c r="Q553" s="26">
        <v>8</v>
      </c>
      <c r="R553" s="26">
        <v>1</v>
      </c>
      <c r="S553" s="26">
        <v>8</v>
      </c>
      <c r="T553" s="26">
        <v>8</v>
      </c>
      <c r="U553" s="26">
        <v>17</v>
      </c>
      <c r="V553" s="26">
        <v>1</v>
      </c>
      <c r="W553" s="26" t="s">
        <v>2076</v>
      </c>
    </row>
    <row r="554" spans="1:23" x14ac:dyDescent="0.25">
      <c r="A554" s="26" t="str">
        <f t="shared" si="75"/>
        <v>PREESCOLAR</v>
      </c>
      <c r="B554" s="26" t="str">
        <f>"09DJN0705M"</f>
        <v>09DJN0705M</v>
      </c>
      <c r="C554" s="26" t="str">
        <f>"BERTHA DOMINGUEZ                                                                                    "</f>
        <v xml:space="preserve">BERTHA DOMINGUEZ                                                                                    </v>
      </c>
      <c r="D554" s="26" t="str">
        <f>"JORNADA AMPLIADA"</f>
        <v>JORNADA AMPLIADA</v>
      </c>
      <c r="E554" s="26" t="str">
        <f>"H. DE GRANADITAS Y TENOCHTITLAN                                                 "</f>
        <v xml:space="preserve">H. DE GRANADITAS Y TENOCHTITLAN                                                 </v>
      </c>
      <c r="F554" s="26" t="str">
        <f>"MORELOS                                                                                                                                     "</f>
        <v xml:space="preserve">MORELOS                                                                                                                                     </v>
      </c>
      <c r="G554" s="26" t="s">
        <v>4128</v>
      </c>
      <c r="H554" s="26" t="str">
        <f>"149"</f>
        <v>149</v>
      </c>
      <c r="I554" s="26" t="str">
        <f t="shared" si="76"/>
        <v>00</v>
      </c>
      <c r="J554" s="26" t="str">
        <f>"31 "</f>
        <v xml:space="preserve">31 </v>
      </c>
      <c r="K554" s="26" t="str">
        <f t="shared" si="78"/>
        <v>EP</v>
      </c>
      <c r="L554" s="26" t="str">
        <f t="shared" si="79"/>
        <v>DGOSE</v>
      </c>
      <c r="M554" s="26" t="str">
        <f t="shared" si="77"/>
        <v>FEDERAL</v>
      </c>
      <c r="N554" s="26">
        <v>244</v>
      </c>
      <c r="O554" s="26">
        <v>135</v>
      </c>
      <c r="P554" s="26">
        <v>109</v>
      </c>
      <c r="Q554" s="26">
        <v>8</v>
      </c>
      <c r="R554" s="26">
        <v>1</v>
      </c>
      <c r="S554" s="26">
        <v>7</v>
      </c>
      <c r="T554" s="26">
        <v>6</v>
      </c>
      <c r="U554" s="26">
        <v>14</v>
      </c>
      <c r="V554" s="26">
        <v>1</v>
      </c>
      <c r="W554" s="26" t="s">
        <v>2076</v>
      </c>
    </row>
    <row r="555" spans="1:23" x14ac:dyDescent="0.25">
      <c r="A555" s="26" t="str">
        <f t="shared" si="75"/>
        <v>PREESCOLAR</v>
      </c>
      <c r="B555" s="26" t="str">
        <f>"09DJN0706L"</f>
        <v>09DJN0706L</v>
      </c>
      <c r="C555" s="26" t="str">
        <f>"GRAL. CESAREO CASTRO                                                                                "</f>
        <v xml:space="preserve">GRAL. CESAREO CASTRO                                                                                </v>
      </c>
      <c r="D555" s="26" t="str">
        <f>"MATUTINO"</f>
        <v>MATUTINO</v>
      </c>
      <c r="E555" s="26" t="str">
        <f>"TRANSVAAL NO. 81                                                                "</f>
        <v xml:space="preserve">TRANSVAAL NO. 81                                                                </v>
      </c>
      <c r="F555" s="26" t="str">
        <f>"ROMERO RUBIO                                                                                                                                "</f>
        <v xml:space="preserve">ROMERO RUBIO                                                                                                                                </v>
      </c>
      <c r="G555" s="26" t="str">
        <f>"VENUSTIANO CARRANZA                                                             "</f>
        <v xml:space="preserve">VENUSTIANO CARRANZA                                                             </v>
      </c>
      <c r="H555" s="26" t="str">
        <f>"130"</f>
        <v>130</v>
      </c>
      <c r="I555" s="26" t="str">
        <f t="shared" si="76"/>
        <v>00</v>
      </c>
      <c r="J555" s="26" t="str">
        <f>"33 "</f>
        <v xml:space="preserve">33 </v>
      </c>
      <c r="K555" s="26" t="str">
        <f t="shared" si="78"/>
        <v>EP</v>
      </c>
      <c r="L555" s="26" t="str">
        <f t="shared" si="79"/>
        <v>DGOSE</v>
      </c>
      <c r="M555" s="26" t="str">
        <f t="shared" si="77"/>
        <v>FEDERAL</v>
      </c>
      <c r="N555" s="26">
        <v>191</v>
      </c>
      <c r="O555" s="26">
        <v>88</v>
      </c>
      <c r="P555" s="26">
        <v>103</v>
      </c>
      <c r="Q555" s="26">
        <v>6</v>
      </c>
      <c r="R555" s="26">
        <v>1</v>
      </c>
      <c r="S555" s="26">
        <v>6</v>
      </c>
      <c r="T555" s="26">
        <v>6</v>
      </c>
      <c r="U555" s="26">
        <v>13</v>
      </c>
      <c r="V555" s="26">
        <v>1</v>
      </c>
      <c r="W555" s="26"/>
    </row>
    <row r="556" spans="1:23" x14ac:dyDescent="0.25">
      <c r="A556" s="26" t="str">
        <f t="shared" si="75"/>
        <v>PREESCOLAR</v>
      </c>
      <c r="B556" s="26" t="str">
        <f>"09DJN0707K"</f>
        <v>09DJN0707K</v>
      </c>
      <c r="C556" s="26" t="str">
        <f>"IRENE MARIN DE AYALA                                                                                "</f>
        <v xml:space="preserve">IRENE MARIN DE AYALA                                                                                </v>
      </c>
      <c r="D556" s="26" t="str">
        <f>"MATUTINO"</f>
        <v>MATUTINO</v>
      </c>
      <c r="E556" s="26" t="str">
        <f>"HUICHAPAN S/N                                                                   "</f>
        <v xml:space="preserve">HUICHAPAN S/N                                                                   </v>
      </c>
      <c r="F556" s="26" t="str">
        <f>"MICHOACANA                                                                                                                                  "</f>
        <v xml:space="preserve">MICHOACANA                                                                                                                                  </v>
      </c>
      <c r="G556" s="26" t="str">
        <f>"VENUSTIANO CARRANZA                                                             "</f>
        <v xml:space="preserve">VENUSTIANO CARRANZA                                                             </v>
      </c>
      <c r="H556" s="26" t="str">
        <f>"130"</f>
        <v>130</v>
      </c>
      <c r="I556" s="26" t="str">
        <f t="shared" si="76"/>
        <v>00</v>
      </c>
      <c r="J556" s="26" t="str">
        <f>"33 "</f>
        <v xml:space="preserve">33 </v>
      </c>
      <c r="K556" s="26" t="str">
        <f t="shared" si="78"/>
        <v>EP</v>
      </c>
      <c r="L556" s="26" t="str">
        <f t="shared" si="79"/>
        <v>DGOSE</v>
      </c>
      <c r="M556" s="26" t="str">
        <f t="shared" si="77"/>
        <v>FEDERAL</v>
      </c>
      <c r="N556" s="26">
        <v>186</v>
      </c>
      <c r="O556" s="26">
        <v>96</v>
      </c>
      <c r="P556" s="26">
        <v>90</v>
      </c>
      <c r="Q556" s="26">
        <v>6</v>
      </c>
      <c r="R556" s="26">
        <v>1</v>
      </c>
      <c r="S556" s="26">
        <v>6</v>
      </c>
      <c r="T556" s="26">
        <v>6</v>
      </c>
      <c r="U556" s="26">
        <v>13</v>
      </c>
      <c r="V556" s="26">
        <v>1</v>
      </c>
      <c r="W556" s="26"/>
    </row>
    <row r="557" spans="1:23" x14ac:dyDescent="0.25">
      <c r="A557" s="26" t="str">
        <f t="shared" si="75"/>
        <v>PREESCOLAR</v>
      </c>
      <c r="B557" s="26" t="str">
        <f>"09DJN0708J"</f>
        <v>09DJN0708J</v>
      </c>
      <c r="C557" s="26" t="str">
        <f>"MA. RAQUEL FERRIZ                                                                                   "</f>
        <v xml:space="preserve">MA. RAQUEL FERRIZ                                                                                   </v>
      </c>
      <c r="D557" s="26" t="str">
        <f>"TIEMPO COMPLETO"</f>
        <v>TIEMPO COMPLETO</v>
      </c>
      <c r="E557" s="26" t="str">
        <f>"AV. TEXCOCO Y TAHEL                                                             "</f>
        <v xml:space="preserve">AV. TEXCOCO Y TAHEL                                                             </v>
      </c>
      <c r="F557" s="26" t="str">
        <f>"PEÑON DE LOS BAÑOS                                                                                                                          "</f>
        <v xml:space="preserve">PEÑON DE LOS BAÑOS                                                                                                                          </v>
      </c>
      <c r="G557" s="26" t="str">
        <f>"VENUSTIANO CARRANZA                                                             "</f>
        <v xml:space="preserve">VENUSTIANO CARRANZA                                                             </v>
      </c>
      <c r="H557" s="26" t="str">
        <f>"247"</f>
        <v>247</v>
      </c>
      <c r="I557" s="26" t="str">
        <f t="shared" si="76"/>
        <v>00</v>
      </c>
      <c r="J557" s="26" t="str">
        <f>"31 "</f>
        <v xml:space="preserve">31 </v>
      </c>
      <c r="K557" s="26" t="str">
        <f t="shared" si="78"/>
        <v>EP</v>
      </c>
      <c r="L557" s="26" t="str">
        <f t="shared" si="79"/>
        <v>DGOSE</v>
      </c>
      <c r="M557" s="26" t="str">
        <f t="shared" si="77"/>
        <v>FEDERAL</v>
      </c>
      <c r="N557" s="26">
        <v>193</v>
      </c>
      <c r="O557" s="26">
        <v>112</v>
      </c>
      <c r="P557" s="26">
        <v>81</v>
      </c>
      <c r="Q557" s="26">
        <v>7</v>
      </c>
      <c r="R557" s="26">
        <v>2</v>
      </c>
      <c r="S557" s="26">
        <v>7</v>
      </c>
      <c r="T557" s="26">
        <v>17</v>
      </c>
      <c r="U557" s="26">
        <v>26</v>
      </c>
      <c r="V557" s="26">
        <v>1</v>
      </c>
      <c r="W557" s="26" t="s">
        <v>218</v>
      </c>
    </row>
    <row r="558" spans="1:23" x14ac:dyDescent="0.25">
      <c r="A558" s="26" t="str">
        <f t="shared" si="75"/>
        <v>PREESCOLAR</v>
      </c>
      <c r="B558" s="26" t="str">
        <f>"09DJN0710Y"</f>
        <v>09DJN0710Y</v>
      </c>
      <c r="C558" s="26" t="str">
        <f>"FILIPINAS                                                                                           "</f>
        <v xml:space="preserve">FILIPINAS                                                                                           </v>
      </c>
      <c r="D558" s="26" t="str">
        <f>"JORNADA AMPLIADA"</f>
        <v>JORNADA AMPLIADA</v>
      </c>
      <c r="E558" s="26" t="str">
        <f>"RETORNO 9 DE G.GARCIA Y 10 DE NICOLAS L.                                        "</f>
        <v xml:space="preserve">RETORNO 9 DE G.GARCIA Y 10 DE NICOLAS L.                                        </v>
      </c>
      <c r="F558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558" s="26" t="str">
        <f>"VENUSTIANO CARRANZA                                                             "</f>
        <v xml:space="preserve">VENUSTIANO CARRANZA                                                             </v>
      </c>
      <c r="H558" s="26" t="str">
        <f>"093"</f>
        <v>093</v>
      </c>
      <c r="I558" s="26" t="str">
        <f t="shared" si="76"/>
        <v>00</v>
      </c>
      <c r="J558" s="26" t="str">
        <f>"31 "</f>
        <v xml:space="preserve">31 </v>
      </c>
      <c r="K558" s="26" t="str">
        <f t="shared" si="78"/>
        <v>EP</v>
      </c>
      <c r="L558" s="26" t="str">
        <f t="shared" si="79"/>
        <v>DGOSE</v>
      </c>
      <c r="M558" s="26" t="str">
        <f t="shared" si="77"/>
        <v>FEDERAL</v>
      </c>
      <c r="N558" s="26">
        <v>157</v>
      </c>
      <c r="O558" s="26">
        <v>72</v>
      </c>
      <c r="P558" s="26">
        <v>85</v>
      </c>
      <c r="Q558" s="26">
        <v>5</v>
      </c>
      <c r="R558" s="26">
        <v>1</v>
      </c>
      <c r="S558" s="26">
        <v>5</v>
      </c>
      <c r="T558" s="26">
        <v>7</v>
      </c>
      <c r="U558" s="26">
        <v>13</v>
      </c>
      <c r="V558" s="26">
        <v>1</v>
      </c>
      <c r="W558" s="26" t="s">
        <v>2076</v>
      </c>
    </row>
    <row r="559" spans="1:23" x14ac:dyDescent="0.25">
      <c r="A559" s="26" t="str">
        <f t="shared" si="75"/>
        <v>PREESCOLAR</v>
      </c>
      <c r="B559" s="26" t="str">
        <f>"09DJN0711X"</f>
        <v>09DJN0711X</v>
      </c>
      <c r="C559" s="26" t="str">
        <f>"JUAN JACOBO ROUSSEAU                                                                                "</f>
        <v xml:space="preserve">JUAN JACOBO ROUSSEAU                                                                                </v>
      </c>
      <c r="D559" s="26" t="str">
        <f>"JORNADA AMPLIADA"</f>
        <v>JORNADA AMPLIADA</v>
      </c>
      <c r="E559" s="26" t="str">
        <f>"CALLEJON DEL HORMIGUERO NO. 5                                                   "</f>
        <v xml:space="preserve">CALLEJON DEL HORMIGUERO NO. 5                                                   </v>
      </c>
      <c r="F559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559" s="26" t="s">
        <v>4128</v>
      </c>
      <c r="H559" s="26" t="str">
        <f>"021"</f>
        <v>021</v>
      </c>
      <c r="I559" s="26" t="str">
        <f t="shared" si="76"/>
        <v>00</v>
      </c>
      <c r="J559" s="26" t="str">
        <f>"31 "</f>
        <v xml:space="preserve">31 </v>
      </c>
      <c r="K559" s="26" t="str">
        <f t="shared" si="78"/>
        <v>EP</v>
      </c>
      <c r="L559" s="26" t="str">
        <f t="shared" si="79"/>
        <v>DGOSE</v>
      </c>
      <c r="M559" s="26" t="str">
        <f t="shared" si="77"/>
        <v>FEDERAL</v>
      </c>
      <c r="N559" s="26">
        <v>252</v>
      </c>
      <c r="O559" s="26">
        <v>128</v>
      </c>
      <c r="P559" s="26">
        <v>124</v>
      </c>
      <c r="Q559" s="26">
        <v>7</v>
      </c>
      <c r="R559" s="26">
        <v>1</v>
      </c>
      <c r="S559" s="26">
        <v>7</v>
      </c>
      <c r="T559" s="26">
        <v>6</v>
      </c>
      <c r="U559" s="26">
        <v>14</v>
      </c>
      <c r="V559" s="26">
        <v>1</v>
      </c>
      <c r="W559" s="26" t="s">
        <v>2076</v>
      </c>
    </row>
    <row r="560" spans="1:23" x14ac:dyDescent="0.25">
      <c r="A560" s="26" t="str">
        <f t="shared" si="75"/>
        <v>PREESCOLAR</v>
      </c>
      <c r="B560" s="26" t="str">
        <f>"09DJN0712W"</f>
        <v>09DJN0712W</v>
      </c>
      <c r="C560" s="26" t="str">
        <f>"BENITO JUAREZ                                                                                       "</f>
        <v xml:space="preserve">BENITO JUAREZ                                                                                       </v>
      </c>
      <c r="D560" s="26" t="str">
        <f>"VESPERTINO"</f>
        <v>VESPERTINO</v>
      </c>
      <c r="E560" s="26" t="str">
        <f>"JALAPA NO. 290                                                                  "</f>
        <v xml:space="preserve">JALAPA NO. 290                                                                  </v>
      </c>
      <c r="F560" s="26" t="str">
        <f>"ROMA SUR                                                                                                                                    "</f>
        <v xml:space="preserve">ROMA SUR                                                                                                                                    </v>
      </c>
      <c r="G560" s="26" t="s">
        <v>4128</v>
      </c>
      <c r="H560" s="26" t="str">
        <f>"202"</f>
        <v>202</v>
      </c>
      <c r="I560" s="26" t="str">
        <f t="shared" si="76"/>
        <v>00</v>
      </c>
      <c r="J560" s="26" t="str">
        <f>"32 "</f>
        <v xml:space="preserve">32 </v>
      </c>
      <c r="K560" s="26" t="str">
        <f t="shared" si="78"/>
        <v>EP</v>
      </c>
      <c r="L560" s="26" t="str">
        <f t="shared" si="79"/>
        <v>DGOSE</v>
      </c>
      <c r="M560" s="26" t="str">
        <f t="shared" si="77"/>
        <v>FEDERAL</v>
      </c>
      <c r="N560" s="26">
        <v>134</v>
      </c>
      <c r="O560" s="26">
        <v>60</v>
      </c>
      <c r="P560" s="26">
        <v>74</v>
      </c>
      <c r="Q560" s="26">
        <v>6</v>
      </c>
      <c r="R560" s="26">
        <v>1</v>
      </c>
      <c r="S560" s="26">
        <v>5</v>
      </c>
      <c r="T560" s="26">
        <v>4</v>
      </c>
      <c r="U560" s="26">
        <v>10</v>
      </c>
      <c r="V560" s="26">
        <v>1</v>
      </c>
      <c r="W560" s="26"/>
    </row>
    <row r="561" spans="1:23" x14ac:dyDescent="0.25">
      <c r="A561" s="26" t="str">
        <f t="shared" si="75"/>
        <v>PREESCOLAR</v>
      </c>
      <c r="B561" s="26" t="str">
        <f>"09DJN0714U"</f>
        <v>09DJN0714U</v>
      </c>
      <c r="C561" s="26" t="str">
        <f>"CINCO DE MAYO                                                                                       "</f>
        <v xml:space="preserve">CINCO DE MAYO                                                                                       </v>
      </c>
      <c r="D561" s="26" t="str">
        <f>"JORNADA AMPLIADA"</f>
        <v>JORNADA AMPLIADA</v>
      </c>
      <c r="E561" s="26" t="str">
        <f>"J. MARIA BUSTILLOS NO. 10                                                       "</f>
        <v xml:space="preserve">J. MARIA BUSTILLOS NO. 10                                                       </v>
      </c>
      <c r="F561" s="26" t="str">
        <f>"ALGARIN                                                                                                                                     "</f>
        <v xml:space="preserve">ALGARIN                                                                                                                                     </v>
      </c>
      <c r="G561" s="26" t="s">
        <v>4128</v>
      </c>
      <c r="H561" s="26" t="str">
        <f>"074"</f>
        <v>074</v>
      </c>
      <c r="I561" s="26" t="str">
        <f t="shared" si="76"/>
        <v>00</v>
      </c>
      <c r="J561" s="26" t="str">
        <f>"31 "</f>
        <v xml:space="preserve">31 </v>
      </c>
      <c r="K561" s="26" t="str">
        <f t="shared" si="78"/>
        <v>EP</v>
      </c>
      <c r="L561" s="26" t="str">
        <f t="shared" si="79"/>
        <v>DGOSE</v>
      </c>
      <c r="M561" s="26" t="str">
        <f t="shared" si="77"/>
        <v>FEDERAL</v>
      </c>
      <c r="N561" s="26">
        <v>118</v>
      </c>
      <c r="O561" s="26">
        <v>60</v>
      </c>
      <c r="P561" s="26">
        <v>58</v>
      </c>
      <c r="Q561" s="26">
        <v>6</v>
      </c>
      <c r="R561" s="26">
        <v>1</v>
      </c>
      <c r="S561" s="26">
        <v>6</v>
      </c>
      <c r="T561" s="26">
        <v>6</v>
      </c>
      <c r="U561" s="26">
        <v>13</v>
      </c>
      <c r="V561" s="26">
        <v>1</v>
      </c>
      <c r="W561" s="26" t="s">
        <v>2076</v>
      </c>
    </row>
    <row r="562" spans="1:23" x14ac:dyDescent="0.25">
      <c r="A562" s="26" t="str">
        <f t="shared" si="75"/>
        <v>PREESCOLAR</v>
      </c>
      <c r="B562" s="26" t="str">
        <f>"09DJN0715T"</f>
        <v>09DJN0715T</v>
      </c>
      <c r="C562" s="26" t="str">
        <f>"DR. ALFREDO M. SAAVEDRA                                                                             "</f>
        <v xml:space="preserve">DR. ALFREDO M. SAAVEDRA                                                                             </v>
      </c>
      <c r="D562" s="26" t="str">
        <f>"JORNADA AMPLIADA"</f>
        <v>JORNADA AMPLIADA</v>
      </c>
      <c r="E562" s="26" t="str">
        <f>"TEHUANTEPEC NO. 75                                                              "</f>
        <v xml:space="preserve">TEHUANTEPEC NO. 75                                                              </v>
      </c>
      <c r="F562" s="26" t="str">
        <f>"ROMA SUR                                                                                                                                    "</f>
        <v xml:space="preserve">ROMA SUR                                                                                                                                    </v>
      </c>
      <c r="G562" s="26" t="s">
        <v>4128</v>
      </c>
      <c r="H562" s="26" t="str">
        <f>"074"</f>
        <v>074</v>
      </c>
      <c r="I562" s="26" t="str">
        <f t="shared" si="76"/>
        <v>00</v>
      </c>
      <c r="J562" s="26" t="str">
        <f>"31 "</f>
        <v xml:space="preserve">31 </v>
      </c>
      <c r="K562" s="26" t="str">
        <f t="shared" si="78"/>
        <v>EP</v>
      </c>
      <c r="L562" s="26" t="str">
        <f t="shared" si="79"/>
        <v>DGOSE</v>
      </c>
      <c r="M562" s="26" t="str">
        <f t="shared" si="77"/>
        <v>FEDERAL</v>
      </c>
      <c r="N562" s="26">
        <v>94</v>
      </c>
      <c r="O562" s="26">
        <v>46</v>
      </c>
      <c r="P562" s="26">
        <v>48</v>
      </c>
      <c r="Q562" s="26">
        <v>5</v>
      </c>
      <c r="R562" s="26">
        <v>1</v>
      </c>
      <c r="S562" s="26">
        <v>5</v>
      </c>
      <c r="T562" s="26">
        <v>5</v>
      </c>
      <c r="U562" s="26">
        <v>11</v>
      </c>
      <c r="V562" s="26">
        <v>1</v>
      </c>
      <c r="W562" s="26" t="s">
        <v>2076</v>
      </c>
    </row>
    <row r="563" spans="1:23" x14ac:dyDescent="0.25">
      <c r="A563" s="26" t="str">
        <f t="shared" si="75"/>
        <v>PREESCOLAR</v>
      </c>
      <c r="B563" s="26" t="str">
        <f>"09DJN0716S"</f>
        <v>09DJN0716S</v>
      </c>
      <c r="C563" s="26" t="str">
        <f>"MA. GUADALUPE DE ALBA                                                                               "</f>
        <v xml:space="preserve">MA. GUADALUPE DE ALBA                                                                               </v>
      </c>
      <c r="D563" s="26" t="str">
        <f>"JORNADA AMPLIADA"</f>
        <v>JORNADA AMPLIADA</v>
      </c>
      <c r="E563" s="26" t="str">
        <f>"COLIMA NO. 229                                                                  "</f>
        <v xml:space="preserve">COLIMA NO. 229                                                                  </v>
      </c>
      <c r="F563" s="26" t="str">
        <f>"ROMA NORTE                                                                                                                                  "</f>
        <v xml:space="preserve">ROMA NORTE                                                                                                                                  </v>
      </c>
      <c r="G563" s="26" t="s">
        <v>4128</v>
      </c>
      <c r="H563" s="26" t="str">
        <f>"031"</f>
        <v>031</v>
      </c>
      <c r="I563" s="26" t="str">
        <f t="shared" si="76"/>
        <v>00</v>
      </c>
      <c r="J563" s="26" t="str">
        <f>"31 "</f>
        <v xml:space="preserve">31 </v>
      </c>
      <c r="K563" s="26" t="str">
        <f t="shared" si="78"/>
        <v>EP</v>
      </c>
      <c r="L563" s="26" t="str">
        <f t="shared" si="79"/>
        <v>DGOSE</v>
      </c>
      <c r="M563" s="26" t="str">
        <f t="shared" si="77"/>
        <v>FEDERAL</v>
      </c>
      <c r="N563" s="26">
        <v>118</v>
      </c>
      <c r="O563" s="26">
        <v>60</v>
      </c>
      <c r="P563" s="26">
        <v>58</v>
      </c>
      <c r="Q563" s="26">
        <v>6</v>
      </c>
      <c r="R563" s="26">
        <v>1</v>
      </c>
      <c r="S563" s="26">
        <v>6</v>
      </c>
      <c r="T563" s="26">
        <v>6</v>
      </c>
      <c r="U563" s="26">
        <v>13</v>
      </c>
      <c r="V563" s="26">
        <v>1</v>
      </c>
      <c r="W563" s="26" t="s">
        <v>2076</v>
      </c>
    </row>
    <row r="564" spans="1:23" x14ac:dyDescent="0.25">
      <c r="A564" s="26" t="str">
        <f t="shared" si="75"/>
        <v>PREESCOLAR</v>
      </c>
      <c r="B564" s="26" t="str">
        <f>"09DJN0718Q"</f>
        <v>09DJN0718Q</v>
      </c>
      <c r="C564" s="26" t="str">
        <f>"JUAN DE DIOS PEZA                                                                                   "</f>
        <v xml:space="preserve">JUAN DE DIOS PEZA                                                                                   </v>
      </c>
      <c r="D564" s="26" t="str">
        <f>"MATUTINO"</f>
        <v>MATUTINO</v>
      </c>
      <c r="E564" s="26" t="str">
        <f>"JUAN DE DIOS PEZA NO. 111                                                       "</f>
        <v xml:space="preserve">JUAN DE DIOS PEZA NO. 111                                                       </v>
      </c>
      <c r="F564" s="26" t="str">
        <f>"OBRERA                                                                                                                                      "</f>
        <v xml:space="preserve">OBRERA                                                                                                                                      </v>
      </c>
      <c r="G564" s="26" t="s">
        <v>4128</v>
      </c>
      <c r="H564" s="26" t="str">
        <f>"022"</f>
        <v>022</v>
      </c>
      <c r="I564" s="26" t="str">
        <f t="shared" si="76"/>
        <v>00</v>
      </c>
      <c r="J564" s="26" t="str">
        <f>"32 "</f>
        <v xml:space="preserve">32 </v>
      </c>
      <c r="K564" s="26" t="str">
        <f t="shared" si="78"/>
        <v>EP</v>
      </c>
      <c r="L564" s="26" t="str">
        <f t="shared" si="79"/>
        <v>DGOSE</v>
      </c>
      <c r="M564" s="26" t="str">
        <f t="shared" si="77"/>
        <v>FEDERAL</v>
      </c>
      <c r="N564" s="26">
        <v>108</v>
      </c>
      <c r="O564" s="26">
        <v>63</v>
      </c>
      <c r="P564" s="26">
        <v>45</v>
      </c>
      <c r="Q564" s="26">
        <v>6</v>
      </c>
      <c r="R564" s="26">
        <v>1</v>
      </c>
      <c r="S564" s="26">
        <v>6</v>
      </c>
      <c r="T564" s="26">
        <v>5</v>
      </c>
      <c r="U564" s="26">
        <v>12</v>
      </c>
      <c r="V564" s="26">
        <v>1</v>
      </c>
      <c r="W564" s="26"/>
    </row>
    <row r="565" spans="1:23" x14ac:dyDescent="0.25">
      <c r="A565" s="26" t="str">
        <f t="shared" si="75"/>
        <v>PREESCOLAR</v>
      </c>
      <c r="B565" s="26" t="str">
        <f>"09DJN0719P"</f>
        <v>09DJN0719P</v>
      </c>
      <c r="C565" s="26" t="str">
        <f>"INES VILLARREAL                                                                                     "</f>
        <v xml:space="preserve">INES VILLARREAL                                                                                     </v>
      </c>
      <c r="D565" s="26" t="str">
        <f>"JORNADA AMPLIADA"</f>
        <v>JORNADA AMPLIADA</v>
      </c>
      <c r="E565" s="26" t="str">
        <f>"DR. MORONES PRIETO NO. 91                                                       "</f>
        <v xml:space="preserve">DR. MORONES PRIETO NO. 91                                                       </v>
      </c>
      <c r="F565" s="26" t="str">
        <f>"DOCTORES                                                                                                                                    "</f>
        <v xml:space="preserve">DOCTORES                                                                                                                                    </v>
      </c>
      <c r="G565" s="26" t="s">
        <v>4128</v>
      </c>
      <c r="H565" s="26" t="str">
        <f>"074"</f>
        <v>074</v>
      </c>
      <c r="I565" s="26" t="str">
        <f t="shared" si="76"/>
        <v>00</v>
      </c>
      <c r="J565" s="26" t="str">
        <f>"31 "</f>
        <v xml:space="preserve">31 </v>
      </c>
      <c r="K565" s="26" t="str">
        <f t="shared" si="78"/>
        <v>EP</v>
      </c>
      <c r="L565" s="26" t="str">
        <f t="shared" si="79"/>
        <v>DGOSE</v>
      </c>
      <c r="M565" s="26" t="str">
        <f t="shared" si="77"/>
        <v>FEDERAL</v>
      </c>
      <c r="N565" s="26">
        <v>144</v>
      </c>
      <c r="O565" s="26">
        <v>68</v>
      </c>
      <c r="P565" s="26">
        <v>76</v>
      </c>
      <c r="Q565" s="26">
        <v>6</v>
      </c>
      <c r="R565" s="26">
        <v>1</v>
      </c>
      <c r="S565" s="26">
        <v>5</v>
      </c>
      <c r="T565" s="26">
        <v>7</v>
      </c>
      <c r="U565" s="26">
        <v>13</v>
      </c>
      <c r="V565" s="26">
        <v>1</v>
      </c>
      <c r="W565" s="26" t="s">
        <v>2076</v>
      </c>
    </row>
    <row r="566" spans="1:23" x14ac:dyDescent="0.25">
      <c r="A566" s="26" t="str">
        <f t="shared" si="75"/>
        <v>PREESCOLAR</v>
      </c>
      <c r="B566" s="26" t="str">
        <f>"09DJN0720E"</f>
        <v>09DJN0720E</v>
      </c>
      <c r="C566" s="26" t="str">
        <f>"RICARDO BELL                                                                                        "</f>
        <v xml:space="preserve">RICARDO BELL                                                                                        </v>
      </c>
      <c r="D566" s="26" t="str">
        <f>"JORNADA AMPLIADA"</f>
        <v>JORNADA AMPLIADA</v>
      </c>
      <c r="E566" s="26" t="str">
        <f>"STAND DE TIRO S/N                                                               "</f>
        <v xml:space="preserve">STAND DE TIRO S/N                                                               </v>
      </c>
      <c r="F566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566" s="26" t="str">
        <f>"VENUSTIANO CARRANZA                                                             "</f>
        <v xml:space="preserve">VENUSTIANO CARRANZA                                                             </v>
      </c>
      <c r="H566" s="26" t="str">
        <f>"246"</f>
        <v>246</v>
      </c>
      <c r="I566" s="26" t="str">
        <f t="shared" si="76"/>
        <v>00</v>
      </c>
      <c r="J566" s="26" t="str">
        <f>"31 "</f>
        <v xml:space="preserve">31 </v>
      </c>
      <c r="K566" s="26" t="str">
        <f t="shared" si="78"/>
        <v>EP</v>
      </c>
      <c r="L566" s="26" t="str">
        <f t="shared" si="79"/>
        <v>DGOSE</v>
      </c>
      <c r="M566" s="26" t="str">
        <f t="shared" si="77"/>
        <v>FEDERAL</v>
      </c>
      <c r="N566" s="26">
        <v>246</v>
      </c>
      <c r="O566" s="26">
        <v>125</v>
      </c>
      <c r="P566" s="26">
        <v>121</v>
      </c>
      <c r="Q566" s="26">
        <v>8</v>
      </c>
      <c r="R566" s="26">
        <v>1</v>
      </c>
      <c r="S566" s="26">
        <v>8</v>
      </c>
      <c r="T566" s="26">
        <v>8</v>
      </c>
      <c r="U566" s="26">
        <v>17</v>
      </c>
      <c r="V566" s="26">
        <v>1</v>
      </c>
      <c r="W566" s="26" t="s">
        <v>2076</v>
      </c>
    </row>
    <row r="567" spans="1:23" x14ac:dyDescent="0.25">
      <c r="A567" s="26" t="str">
        <f t="shared" si="75"/>
        <v>PREESCOLAR</v>
      </c>
      <c r="B567" s="26" t="str">
        <f>"09DJN0721D"</f>
        <v>09DJN0721D</v>
      </c>
      <c r="C567" s="26" t="str">
        <f>"MANUEL MARIA PONCE                                                                                  "</f>
        <v xml:space="preserve">MANUEL MARIA PONCE                                                                                  </v>
      </c>
      <c r="D567" s="26" t="str">
        <f>"JORNADA AMPLIADA"</f>
        <v>JORNADA AMPLIADA</v>
      </c>
      <c r="E567" s="26" t="str">
        <f>"ASTURIAS NO. 39                                                                 "</f>
        <v xml:space="preserve">ASTURIAS NO. 39                                                                 </v>
      </c>
      <c r="F567" s="26" t="str">
        <f>"ALAMOS                                                                                                                                      "</f>
        <v xml:space="preserve">ALAMOS                                                                                                                                      </v>
      </c>
      <c r="G567" s="26" t="str">
        <f>"BENITO JUAREZ                                                                   "</f>
        <v xml:space="preserve">BENITO JUAREZ                                                                   </v>
      </c>
      <c r="H567" s="26" t="str">
        <f>"210"</f>
        <v>210</v>
      </c>
      <c r="I567" s="26" t="str">
        <f t="shared" si="76"/>
        <v>00</v>
      </c>
      <c r="J567" s="26" t="str">
        <f>"34 "</f>
        <v xml:space="preserve">34 </v>
      </c>
      <c r="K567" s="26" t="str">
        <f t="shared" si="78"/>
        <v>EP</v>
      </c>
      <c r="L567" s="26" t="str">
        <f t="shared" si="79"/>
        <v>DGOSE</v>
      </c>
      <c r="M567" s="26" t="str">
        <f t="shared" si="77"/>
        <v>FEDERAL</v>
      </c>
      <c r="N567" s="26">
        <v>129</v>
      </c>
      <c r="O567" s="26">
        <v>70</v>
      </c>
      <c r="P567" s="26">
        <v>59</v>
      </c>
      <c r="Q567" s="26">
        <v>5</v>
      </c>
      <c r="R567" s="26">
        <v>1</v>
      </c>
      <c r="S567" s="26">
        <v>5</v>
      </c>
      <c r="T567" s="26">
        <v>4</v>
      </c>
      <c r="U567" s="26">
        <v>10</v>
      </c>
      <c r="V567" s="26">
        <v>1</v>
      </c>
      <c r="W567" s="26" t="s">
        <v>2076</v>
      </c>
    </row>
    <row r="568" spans="1:23" x14ac:dyDescent="0.25">
      <c r="A568" s="26" t="str">
        <f t="shared" si="75"/>
        <v>PREESCOLAR</v>
      </c>
      <c r="B568" s="26" t="str">
        <f>"09DJN0722C"</f>
        <v>09DJN0722C</v>
      </c>
      <c r="C568" s="26" t="str">
        <f>"JUAN DE DIOS PEZA                                                                                   "</f>
        <v xml:space="preserve">JUAN DE DIOS PEZA                                                                                   </v>
      </c>
      <c r="D568" s="26" t="str">
        <f>"VESPERTINO"</f>
        <v>VESPERTINO</v>
      </c>
      <c r="E568" s="26" t="str">
        <f>"JUAN DE DIOS PEZA NO. 111                                                       "</f>
        <v xml:space="preserve">JUAN DE DIOS PEZA NO. 111                                                       </v>
      </c>
      <c r="F568" s="26" t="str">
        <f>"OBRERA                                                                                                                                      "</f>
        <v xml:space="preserve">OBRERA                                                                                                                                      </v>
      </c>
      <c r="G568" s="26" t="s">
        <v>4128</v>
      </c>
      <c r="H568" s="26" t="str">
        <f>"022"</f>
        <v>022</v>
      </c>
      <c r="I568" s="26" t="str">
        <f t="shared" si="76"/>
        <v>00</v>
      </c>
      <c r="J568" s="26" t="str">
        <f>"32 "</f>
        <v xml:space="preserve">32 </v>
      </c>
      <c r="K568" s="26" t="str">
        <f t="shared" si="78"/>
        <v>EP</v>
      </c>
      <c r="L568" s="26" t="str">
        <f t="shared" si="79"/>
        <v>DGOSE</v>
      </c>
      <c r="M568" s="26" t="str">
        <f t="shared" si="77"/>
        <v>FEDERAL</v>
      </c>
      <c r="N568" s="26">
        <v>105</v>
      </c>
      <c r="O568" s="26">
        <v>53</v>
      </c>
      <c r="P568" s="26">
        <v>52</v>
      </c>
      <c r="Q568" s="26">
        <v>6</v>
      </c>
      <c r="R568" s="26">
        <v>0</v>
      </c>
      <c r="S568" s="26">
        <v>6</v>
      </c>
      <c r="T568" s="26">
        <v>3</v>
      </c>
      <c r="U568" s="26">
        <v>9</v>
      </c>
      <c r="V568" s="26">
        <v>1</v>
      </c>
      <c r="W568" s="26"/>
    </row>
    <row r="569" spans="1:23" x14ac:dyDescent="0.25">
      <c r="A569" s="26" t="str">
        <f t="shared" si="75"/>
        <v>PREESCOLAR</v>
      </c>
      <c r="B569" s="26" t="str">
        <f>"09DJN0723B"</f>
        <v>09DJN0723B</v>
      </c>
      <c r="C569" s="26" t="str">
        <f>"MTRO. LUIS G. SALOMA                                                                                "</f>
        <v xml:space="preserve">MTRO. LUIS G. SALOMA                                                                                </v>
      </c>
      <c r="D569" s="26" t="str">
        <f>"JORNADA AMPLIADA"</f>
        <v>JORNADA AMPLIADA</v>
      </c>
      <c r="E569" s="26" t="str">
        <f>"J. HERNANDEZ Y DAVALOS NO. 154                                                  "</f>
        <v xml:space="preserve">J. HERNANDEZ Y DAVALOS NO. 154                                                  </v>
      </c>
      <c r="F569" s="26" t="str">
        <f>"ALGARIN                                                                                                                                     "</f>
        <v xml:space="preserve">ALGARIN                                                                                                                                     </v>
      </c>
      <c r="G569" s="26" t="s">
        <v>4128</v>
      </c>
      <c r="H569" s="26" t="str">
        <f>"074"</f>
        <v>074</v>
      </c>
      <c r="I569" s="26" t="str">
        <f t="shared" si="76"/>
        <v>00</v>
      </c>
      <c r="J569" s="26" t="str">
        <f>"31 "</f>
        <v xml:space="preserve">31 </v>
      </c>
      <c r="K569" s="26" t="str">
        <f t="shared" si="78"/>
        <v>EP</v>
      </c>
      <c r="L569" s="26" t="str">
        <f t="shared" si="79"/>
        <v>DGOSE</v>
      </c>
      <c r="M569" s="26" t="str">
        <f t="shared" si="77"/>
        <v>FEDERAL</v>
      </c>
      <c r="N569" s="26">
        <v>138</v>
      </c>
      <c r="O569" s="26">
        <v>67</v>
      </c>
      <c r="P569" s="26">
        <v>71</v>
      </c>
      <c r="Q569" s="26">
        <v>5</v>
      </c>
      <c r="R569" s="26">
        <v>1</v>
      </c>
      <c r="S569" s="26">
        <v>5</v>
      </c>
      <c r="T569" s="26">
        <v>5</v>
      </c>
      <c r="U569" s="26">
        <v>11</v>
      </c>
      <c r="V569" s="26">
        <v>1</v>
      </c>
      <c r="W569" s="26" t="s">
        <v>2076</v>
      </c>
    </row>
    <row r="570" spans="1:23" x14ac:dyDescent="0.25">
      <c r="A570" s="26" t="str">
        <f t="shared" si="75"/>
        <v>PREESCOLAR</v>
      </c>
      <c r="B570" s="26" t="str">
        <f>"09DJN0724A"</f>
        <v>09DJN0724A</v>
      </c>
      <c r="C570" s="26" t="str">
        <f>"LEONARDO DA VINCI                                                                                   "</f>
        <v xml:space="preserve">LEONARDO DA VINCI                                                                                   </v>
      </c>
      <c r="D570" s="26" t="str">
        <f>"JORNADA AMPLIADA"</f>
        <v>JORNADA AMPLIADA</v>
      </c>
      <c r="E570" s="26" t="str">
        <f>"RETORNO 22 DE FRAY SERVANDO S/N                                                 "</f>
        <v xml:space="preserve">RETORNO 22 DE FRAY SERVANDO S/N                                                 </v>
      </c>
      <c r="F570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570" s="26" t="str">
        <f>"VENUSTIANO CARRANZA                                                             "</f>
        <v xml:space="preserve">VENUSTIANO CARRANZA                                                             </v>
      </c>
      <c r="H570" s="26" t="str">
        <f>"093"</f>
        <v>093</v>
      </c>
      <c r="I570" s="26" t="str">
        <f t="shared" si="76"/>
        <v>00</v>
      </c>
      <c r="J570" s="26" t="str">
        <f>"31 "</f>
        <v xml:space="preserve">31 </v>
      </c>
      <c r="K570" s="26" t="str">
        <f t="shared" si="78"/>
        <v>EP</v>
      </c>
      <c r="L570" s="26" t="str">
        <f t="shared" si="79"/>
        <v>DGOSE</v>
      </c>
      <c r="M570" s="26" t="str">
        <f t="shared" si="77"/>
        <v>FEDERAL</v>
      </c>
      <c r="N570" s="26">
        <v>151</v>
      </c>
      <c r="O570" s="26">
        <v>78</v>
      </c>
      <c r="P570" s="26">
        <v>73</v>
      </c>
      <c r="Q570" s="26">
        <v>5</v>
      </c>
      <c r="R570" s="26">
        <v>1</v>
      </c>
      <c r="S570" s="26">
        <v>5</v>
      </c>
      <c r="T570" s="26">
        <v>6</v>
      </c>
      <c r="U570" s="26">
        <v>12</v>
      </c>
      <c r="V570" s="26">
        <v>1</v>
      </c>
      <c r="W570" s="26" t="s">
        <v>2076</v>
      </c>
    </row>
    <row r="571" spans="1:23" x14ac:dyDescent="0.25">
      <c r="A571" s="26" t="str">
        <f t="shared" si="75"/>
        <v>PREESCOLAR</v>
      </c>
      <c r="B571" s="26" t="str">
        <f>"09DJN0726Z"</f>
        <v>09DJN0726Z</v>
      </c>
      <c r="C571" s="26" t="str">
        <f>"GUADALUPE CAMPOS SOLIS                                                                              "</f>
        <v xml:space="preserve">GUADALUPE CAMPOS SOLIS                                                                              </v>
      </c>
      <c r="D571" s="26" t="str">
        <f>"TIEMPO COMPLETO"</f>
        <v>TIEMPO COMPLETO</v>
      </c>
      <c r="E571" s="26" t="str">
        <f>"ABRAHAM GONZALEZ NO. 80                                                         "</f>
        <v xml:space="preserve">ABRAHAM GONZALEZ NO. 80                                                         </v>
      </c>
      <c r="F571" s="26" t="str">
        <f>"JUAREZ                                                                                                                                      "</f>
        <v xml:space="preserve">JUAREZ                                                                                                                                      </v>
      </c>
      <c r="G571" s="26" t="s">
        <v>4128</v>
      </c>
      <c r="H571" s="26" t="str">
        <f>"149"</f>
        <v>149</v>
      </c>
      <c r="I571" s="26" t="str">
        <f t="shared" si="76"/>
        <v>00</v>
      </c>
      <c r="J571" s="26" t="str">
        <f>"31 "</f>
        <v xml:space="preserve">31 </v>
      </c>
      <c r="K571" s="26" t="str">
        <f t="shared" si="78"/>
        <v>EP</v>
      </c>
      <c r="L571" s="26" t="str">
        <f t="shared" si="79"/>
        <v>DGOSE</v>
      </c>
      <c r="M571" s="26" t="str">
        <f t="shared" si="77"/>
        <v>FEDERAL</v>
      </c>
      <c r="N571" s="26">
        <v>163</v>
      </c>
      <c r="O571" s="26">
        <v>78</v>
      </c>
      <c r="P571" s="26">
        <v>85</v>
      </c>
      <c r="Q571" s="26">
        <v>6</v>
      </c>
      <c r="R571" s="26">
        <v>2</v>
      </c>
      <c r="S571" s="26">
        <v>6</v>
      </c>
      <c r="T571" s="26">
        <v>17</v>
      </c>
      <c r="U571" s="26">
        <v>25</v>
      </c>
      <c r="V571" s="26">
        <v>1</v>
      </c>
      <c r="W571" s="26" t="s">
        <v>218</v>
      </c>
    </row>
    <row r="572" spans="1:23" x14ac:dyDescent="0.25">
      <c r="A572" s="26" t="str">
        <f t="shared" si="75"/>
        <v>PREESCOLAR</v>
      </c>
      <c r="B572" s="26" t="str">
        <f>"09DJN0727Y"</f>
        <v>09DJN0727Y</v>
      </c>
      <c r="C572" s="26" t="str">
        <f>"XILONEM                                                                                             "</f>
        <v xml:space="preserve">XILONEM                                                                                             </v>
      </c>
      <c r="D572" s="26" t="str">
        <f>"MATUTINO"</f>
        <v>MATUTINO</v>
      </c>
      <c r="E572" s="26" t="str">
        <f>"ORIENTE 158 NO. 236                                                             "</f>
        <v xml:space="preserve">ORIENTE 158 NO. 236                                                             </v>
      </c>
      <c r="F572" s="26" t="str">
        <f>"MOCTEZUMA 2A SECCION                                                                                                                        "</f>
        <v xml:space="preserve">MOCTEZUMA 2A SECCION                                                                                                                        </v>
      </c>
      <c r="G572" s="26" t="str">
        <f>"VENUSTIANO CARRANZA                                                             "</f>
        <v xml:space="preserve">VENUSTIANO CARRANZA                                                             </v>
      </c>
      <c r="H572" s="26" t="str">
        <f>"248"</f>
        <v>248</v>
      </c>
      <c r="I572" s="26" t="str">
        <f t="shared" si="76"/>
        <v>00</v>
      </c>
      <c r="J572" s="26" t="str">
        <f>"33 "</f>
        <v xml:space="preserve">33 </v>
      </c>
      <c r="K572" s="26" t="str">
        <f t="shared" si="78"/>
        <v>EP</v>
      </c>
      <c r="L572" s="26" t="str">
        <f t="shared" si="79"/>
        <v>DGOSE</v>
      </c>
      <c r="M572" s="26" t="str">
        <f t="shared" si="77"/>
        <v>FEDERAL</v>
      </c>
      <c r="N572" s="26">
        <v>220</v>
      </c>
      <c r="O572" s="26">
        <v>120</v>
      </c>
      <c r="P572" s="26">
        <v>100</v>
      </c>
      <c r="Q572" s="26">
        <v>7</v>
      </c>
      <c r="R572" s="26">
        <v>1</v>
      </c>
      <c r="S572" s="26">
        <v>7</v>
      </c>
      <c r="T572" s="26">
        <v>5</v>
      </c>
      <c r="U572" s="26">
        <v>13</v>
      </c>
      <c r="V572" s="26">
        <v>1</v>
      </c>
      <c r="W572" s="26"/>
    </row>
    <row r="573" spans="1:23" x14ac:dyDescent="0.25">
      <c r="A573" s="26" t="str">
        <f t="shared" si="75"/>
        <v>PREESCOLAR</v>
      </c>
      <c r="B573" s="26" t="str">
        <f>"09DJN0728X"</f>
        <v>09DJN0728X</v>
      </c>
      <c r="C573" s="26" t="str">
        <f>"XOCHIPILLI                                                                                          "</f>
        <v xml:space="preserve">XOCHIPILLI                                                                                          </v>
      </c>
      <c r="D573" s="26" t="str">
        <f>"MATUTINO"</f>
        <v>MATUTINO</v>
      </c>
      <c r="E573" s="26" t="str">
        <f>"5 DE FEBRERO NO. 188                                                            "</f>
        <v xml:space="preserve">5 DE FEBRERO NO. 188                                                            </v>
      </c>
      <c r="F573" s="26" t="str">
        <f>"OBRERA                                                                                                                                      "</f>
        <v xml:space="preserve">OBRERA                                                                                                                                      </v>
      </c>
      <c r="G573" s="26" t="s">
        <v>4128</v>
      </c>
      <c r="H573" s="26" t="str">
        <f>"022"</f>
        <v>022</v>
      </c>
      <c r="I573" s="26" t="str">
        <f t="shared" si="76"/>
        <v>00</v>
      </c>
      <c r="J573" s="26" t="str">
        <f>"32 "</f>
        <v xml:space="preserve">32 </v>
      </c>
      <c r="K573" s="26" t="str">
        <f t="shared" si="78"/>
        <v>EP</v>
      </c>
      <c r="L573" s="26" t="str">
        <f t="shared" si="79"/>
        <v>DGOSE</v>
      </c>
      <c r="M573" s="26" t="str">
        <f t="shared" si="77"/>
        <v>FEDERAL</v>
      </c>
      <c r="N573" s="26">
        <v>182</v>
      </c>
      <c r="O573" s="26">
        <v>91</v>
      </c>
      <c r="P573" s="26">
        <v>91</v>
      </c>
      <c r="Q573" s="26">
        <v>6</v>
      </c>
      <c r="R573" s="26">
        <v>1</v>
      </c>
      <c r="S573" s="26">
        <v>6</v>
      </c>
      <c r="T573" s="26">
        <v>2</v>
      </c>
      <c r="U573" s="26">
        <v>9</v>
      </c>
      <c r="V573" s="26">
        <v>1</v>
      </c>
      <c r="W573" s="26"/>
    </row>
    <row r="574" spans="1:23" x14ac:dyDescent="0.25">
      <c r="A574" s="26" t="str">
        <f t="shared" si="75"/>
        <v>PREESCOLAR</v>
      </c>
      <c r="B574" s="26" t="str">
        <f>"09DJN0729W"</f>
        <v>09DJN0729W</v>
      </c>
      <c r="C574" s="26" t="str">
        <f>"BENITO JUAREZ                                                                                       "</f>
        <v xml:space="preserve">BENITO JUAREZ                                                                                       </v>
      </c>
      <c r="D574" s="26" t="str">
        <f>"MATUTINO"</f>
        <v>MATUTINO</v>
      </c>
      <c r="E574" s="26" t="str">
        <f>"JALAPA NO. 290                                                                  "</f>
        <v xml:space="preserve">JALAPA NO. 290                                                                  </v>
      </c>
      <c r="F574" s="26" t="str">
        <f>"ROMA SUR                                                                                                                                    "</f>
        <v xml:space="preserve">ROMA SUR                                                                                                                                    </v>
      </c>
      <c r="G574" s="26" t="s">
        <v>4128</v>
      </c>
      <c r="H574" s="26" t="str">
        <f>"202"</f>
        <v>202</v>
      </c>
      <c r="I574" s="26" t="str">
        <f t="shared" si="76"/>
        <v>00</v>
      </c>
      <c r="J574" s="26" t="str">
        <f>"32 "</f>
        <v xml:space="preserve">32 </v>
      </c>
      <c r="K574" s="26" t="str">
        <f t="shared" si="78"/>
        <v>EP</v>
      </c>
      <c r="L574" s="26" t="str">
        <f t="shared" si="79"/>
        <v>DGOSE</v>
      </c>
      <c r="M574" s="26" t="str">
        <f t="shared" si="77"/>
        <v>FEDERAL</v>
      </c>
      <c r="N574" s="26">
        <v>219</v>
      </c>
      <c r="O574" s="26">
        <v>101</v>
      </c>
      <c r="P574" s="26">
        <v>118</v>
      </c>
      <c r="Q574" s="26">
        <v>8</v>
      </c>
      <c r="R574" s="26">
        <v>1</v>
      </c>
      <c r="S574" s="26">
        <v>8</v>
      </c>
      <c r="T574" s="26">
        <v>7</v>
      </c>
      <c r="U574" s="26">
        <v>16</v>
      </c>
      <c r="V574" s="26">
        <v>1</v>
      </c>
      <c r="W574" s="26"/>
    </row>
    <row r="575" spans="1:23" x14ac:dyDescent="0.25">
      <c r="A575" s="26" t="str">
        <f t="shared" si="75"/>
        <v>PREESCOLAR</v>
      </c>
      <c r="B575" s="26" t="str">
        <f>"09DJN0730L"</f>
        <v>09DJN0730L</v>
      </c>
      <c r="C575" s="26" t="str">
        <f>"RUBEN DARIO                                                                                         "</f>
        <v xml:space="preserve">RUBEN DARIO                                                                                         </v>
      </c>
      <c r="D575" s="26" t="str">
        <f>"VESPERTINO"</f>
        <v>VESPERTINO</v>
      </c>
      <c r="E575" s="26" t="str">
        <f>"FELIPE ANGELES Y ZENZONTLE                                                      "</f>
        <v xml:space="preserve">FELIPE ANGELES Y ZENZONTLE                                                      </v>
      </c>
      <c r="F575" s="26" t="str">
        <f>"BELLA VISTA                                                                                                                                 "</f>
        <v xml:space="preserve">BELLA VISTA                                                                                                                                 </v>
      </c>
      <c r="G575" s="26" t="str">
        <f>"ALVARO OBREGON                                                                  "</f>
        <v xml:space="preserve">ALVARO OBREGON                                                                  </v>
      </c>
      <c r="H575" s="26" t="str">
        <f>"165"</f>
        <v>165</v>
      </c>
      <c r="I575" s="26" t="str">
        <f t="shared" si="76"/>
        <v>00</v>
      </c>
      <c r="J575" s="26" t="str">
        <f>"33 "</f>
        <v xml:space="preserve">33 </v>
      </c>
      <c r="K575" s="26" t="str">
        <f t="shared" si="78"/>
        <v>EP</v>
      </c>
      <c r="L575" s="26" t="str">
        <f t="shared" si="79"/>
        <v>DGOSE</v>
      </c>
      <c r="M575" s="26" t="str">
        <f t="shared" si="77"/>
        <v>FEDERAL</v>
      </c>
      <c r="N575" s="26">
        <v>147</v>
      </c>
      <c r="O575" s="26">
        <v>65</v>
      </c>
      <c r="P575" s="26">
        <v>82</v>
      </c>
      <c r="Q575" s="26">
        <v>5</v>
      </c>
      <c r="R575" s="26">
        <v>1</v>
      </c>
      <c r="S575" s="26">
        <v>5</v>
      </c>
      <c r="T575" s="26">
        <v>5</v>
      </c>
      <c r="U575" s="26">
        <v>11</v>
      </c>
      <c r="V575" s="26">
        <v>1</v>
      </c>
      <c r="W575" s="26"/>
    </row>
    <row r="576" spans="1:23" x14ac:dyDescent="0.25">
      <c r="A576" s="26" t="str">
        <f t="shared" si="75"/>
        <v>PREESCOLAR</v>
      </c>
      <c r="B576" s="26" t="str">
        <f>"09DJN0731K"</f>
        <v>09DJN0731K</v>
      </c>
      <c r="C576" s="26" t="str">
        <f>"GUSTAVO ADOLFO BECQUER                                                                              "</f>
        <v xml:space="preserve">GUSTAVO ADOLFO BECQUER                                                                              </v>
      </c>
      <c r="D576" s="26" t="str">
        <f>"MATUTINO"</f>
        <v>MATUTINO</v>
      </c>
      <c r="E576" s="26" t="str">
        <f>"RETORNO 6 DE AV. DEL TALLER S/N                                                 "</f>
        <v xml:space="preserve">RETORNO 6 DE AV. DEL TALLER S/N                                                 </v>
      </c>
      <c r="F576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576" s="26" t="str">
        <f>"VENUSTIANO CARRANZA                                                             "</f>
        <v xml:space="preserve">VENUSTIANO CARRANZA                                                             </v>
      </c>
      <c r="H576" s="26" t="str">
        <f>"250"</f>
        <v>250</v>
      </c>
      <c r="I576" s="26" t="str">
        <f t="shared" si="76"/>
        <v>00</v>
      </c>
      <c r="J576" s="26" t="str">
        <f>"33 "</f>
        <v xml:space="preserve">33 </v>
      </c>
      <c r="K576" s="26" t="str">
        <f t="shared" si="78"/>
        <v>EP</v>
      </c>
      <c r="L576" s="26" t="str">
        <f t="shared" si="79"/>
        <v>DGOSE</v>
      </c>
      <c r="M576" s="26" t="str">
        <f t="shared" si="77"/>
        <v>FEDERAL</v>
      </c>
      <c r="N576" s="26">
        <v>143</v>
      </c>
      <c r="O576" s="26">
        <v>74</v>
      </c>
      <c r="P576" s="26">
        <v>69</v>
      </c>
      <c r="Q576" s="26">
        <v>5</v>
      </c>
      <c r="R576" s="26">
        <v>1</v>
      </c>
      <c r="S576" s="26">
        <v>5</v>
      </c>
      <c r="T576" s="26">
        <v>6</v>
      </c>
      <c r="U576" s="26">
        <v>12</v>
      </c>
      <c r="V576" s="26">
        <v>1</v>
      </c>
      <c r="W576" s="26"/>
    </row>
    <row r="577" spans="1:23" x14ac:dyDescent="0.25">
      <c r="A577" s="26" t="str">
        <f t="shared" si="75"/>
        <v>PREESCOLAR</v>
      </c>
      <c r="B577" s="26" t="str">
        <f>"09DJN0732J"</f>
        <v>09DJN0732J</v>
      </c>
      <c r="C577" s="26" t="str">
        <f>"CANADA                                                                                              "</f>
        <v xml:space="preserve">CANADA                                                                                              </v>
      </c>
      <c r="D577" s="26" t="str">
        <f>"JORNADA AMPLIADA"</f>
        <v>JORNADA AMPLIADA</v>
      </c>
      <c r="E577" s="26" t="str">
        <f>"LABORISTAS S/N                                                                  "</f>
        <v xml:space="preserve">LABORISTAS S/N                                                                  </v>
      </c>
      <c r="F577" s="26" t="str">
        <f>"ZACAHUITZCO                                                                                                                                 "</f>
        <v xml:space="preserve">ZACAHUITZCO                                                                                                                                 </v>
      </c>
      <c r="G577" s="26" t="str">
        <f>"IZTAPALAPA                                                                      "</f>
        <v xml:space="preserve">IZTAPALAPA                                                                      </v>
      </c>
      <c r="H577" s="26" t="str">
        <f>"001"</f>
        <v>001</v>
      </c>
      <c r="I577" s="26" t="str">
        <f t="shared" si="76"/>
        <v>00</v>
      </c>
      <c r="J577" s="26" t="str">
        <f>"61 "</f>
        <v xml:space="preserve">61 </v>
      </c>
      <c r="K577" s="26" t="str">
        <f>"IZ"</f>
        <v>IZ</v>
      </c>
      <c r="L577" s="26" t="str">
        <f>"DGSEI"</f>
        <v>DGSEI</v>
      </c>
      <c r="M577" s="26" t="str">
        <f t="shared" si="77"/>
        <v>FEDERAL</v>
      </c>
      <c r="N577" s="26">
        <v>135</v>
      </c>
      <c r="O577" s="26">
        <v>69</v>
      </c>
      <c r="P577" s="26">
        <v>66</v>
      </c>
      <c r="Q577" s="26">
        <v>5</v>
      </c>
      <c r="R577" s="26">
        <v>1</v>
      </c>
      <c r="S577" s="26">
        <v>5</v>
      </c>
      <c r="T577" s="26">
        <v>6</v>
      </c>
      <c r="U577" s="26">
        <v>12</v>
      </c>
      <c r="V577" s="26">
        <v>1</v>
      </c>
      <c r="W577" s="26" t="s">
        <v>2076</v>
      </c>
    </row>
    <row r="578" spans="1:23" x14ac:dyDescent="0.25">
      <c r="A578" s="26" t="str">
        <f t="shared" ref="A578:A641" si="80">"PREESCOLAR"</f>
        <v>PREESCOLAR</v>
      </c>
      <c r="B578" s="26" t="str">
        <f>"09DJN0734H"</f>
        <v>09DJN0734H</v>
      </c>
      <c r="C578" s="26" t="str">
        <f>"RUBEN DARIO                                                                                         "</f>
        <v xml:space="preserve">RUBEN DARIO                                                                                         </v>
      </c>
      <c r="D578" s="26" t="str">
        <f>"MATUTINO"</f>
        <v>MATUTINO</v>
      </c>
      <c r="E578" s="26" t="str">
        <f>"FELIPE ANGELES Y ZENZONTLE                                                      "</f>
        <v xml:space="preserve">FELIPE ANGELES Y ZENZONTLE                                                      </v>
      </c>
      <c r="F578" s="26" t="str">
        <f>"BELLA VISTA                                                                                                                                 "</f>
        <v xml:space="preserve">BELLA VISTA                                                                                                                                 </v>
      </c>
      <c r="G578" s="26" t="str">
        <f>"ALVARO OBREGON                                                                  "</f>
        <v xml:space="preserve">ALVARO OBREGON                                                                  </v>
      </c>
      <c r="H578" s="26" t="str">
        <f>"165"</f>
        <v>165</v>
      </c>
      <c r="I578" s="26" t="str">
        <f t="shared" ref="I578:I641" si="81">"00"</f>
        <v>00</v>
      </c>
      <c r="J578" s="26" t="str">
        <f>"33 "</f>
        <v xml:space="preserve">33 </v>
      </c>
      <c r="K578" s="26" t="str">
        <f>"EP"</f>
        <v>EP</v>
      </c>
      <c r="L578" s="26" t="str">
        <f>"DGOSE"</f>
        <v>DGOSE</v>
      </c>
      <c r="M578" s="26" t="str">
        <f t="shared" ref="M578:M641" si="82">"FEDERAL"</f>
        <v>FEDERAL</v>
      </c>
      <c r="N578" s="26">
        <v>166</v>
      </c>
      <c r="O578" s="26">
        <v>72</v>
      </c>
      <c r="P578" s="26">
        <v>94</v>
      </c>
      <c r="Q578" s="26">
        <v>5</v>
      </c>
      <c r="R578" s="26">
        <v>1</v>
      </c>
      <c r="S578" s="26">
        <v>5</v>
      </c>
      <c r="T578" s="26">
        <v>3</v>
      </c>
      <c r="U578" s="26">
        <v>9</v>
      </c>
      <c r="V578" s="26">
        <v>1</v>
      </c>
      <c r="W578" s="26"/>
    </row>
    <row r="579" spans="1:23" x14ac:dyDescent="0.25">
      <c r="A579" s="26" t="str">
        <f t="shared" si="80"/>
        <v>PREESCOLAR</v>
      </c>
      <c r="B579" s="26" t="str">
        <f>"09DJN0735G"</f>
        <v>09DJN0735G</v>
      </c>
      <c r="C579" s="26" t="str">
        <f>"ALFREDO B. NOBEL                                                                                    "</f>
        <v xml:space="preserve">ALFREDO B. NOBEL                                                                                    </v>
      </c>
      <c r="D579" s="26" t="str">
        <f>"JORNADA AMPLIADA"</f>
        <v>JORNADA AMPLIADA</v>
      </c>
      <c r="E579" s="26" t="str">
        <f>"EL CHICO NO. 51                                                                 "</f>
        <v xml:space="preserve">EL CHICO NO. 51                                                                 </v>
      </c>
      <c r="F579" s="26" t="str">
        <f>"ESTADO DE HIDALGO                                                                                                                           "</f>
        <v xml:space="preserve">ESTADO DE HIDALGO                                                                                                                           </v>
      </c>
      <c r="G579" s="26" t="str">
        <f>"ALVARO OBREGON                                                                  "</f>
        <v xml:space="preserve">ALVARO OBREGON                                                                  </v>
      </c>
      <c r="H579" s="26" t="str">
        <f>"216"</f>
        <v>216</v>
      </c>
      <c r="I579" s="26" t="str">
        <f t="shared" si="81"/>
        <v>00</v>
      </c>
      <c r="J579" s="26" t="str">
        <f>"34 "</f>
        <v xml:space="preserve">34 </v>
      </c>
      <c r="K579" s="26" t="str">
        <f>"EP"</f>
        <v>EP</v>
      </c>
      <c r="L579" s="26" t="str">
        <f>"DGOSE"</f>
        <v>DGOSE</v>
      </c>
      <c r="M579" s="26" t="str">
        <f t="shared" si="82"/>
        <v>FEDERAL</v>
      </c>
      <c r="N579" s="26">
        <v>157</v>
      </c>
      <c r="O579" s="26">
        <v>86</v>
      </c>
      <c r="P579" s="26">
        <v>71</v>
      </c>
      <c r="Q579" s="26">
        <v>5</v>
      </c>
      <c r="R579" s="26">
        <v>1</v>
      </c>
      <c r="S579" s="26">
        <v>5</v>
      </c>
      <c r="T579" s="26">
        <v>6</v>
      </c>
      <c r="U579" s="26">
        <v>12</v>
      </c>
      <c r="V579" s="26">
        <v>1</v>
      </c>
      <c r="W579" s="26" t="s">
        <v>2076</v>
      </c>
    </row>
    <row r="580" spans="1:23" x14ac:dyDescent="0.25">
      <c r="A580" s="26" t="str">
        <f t="shared" si="80"/>
        <v>PREESCOLAR</v>
      </c>
      <c r="B580" s="26" t="str">
        <f>"09DJN0736F"</f>
        <v>09DJN0736F</v>
      </c>
      <c r="C580" s="26" t="str">
        <f>"REPUBLICA DE PERU                                                                                   "</f>
        <v xml:space="preserve">REPUBLICA DE PERU                                                                                   </v>
      </c>
      <c r="D580" s="26" t="str">
        <f>"JORNADA AMPLIADA"</f>
        <v>JORNADA AMPLIADA</v>
      </c>
      <c r="E580" s="26" t="str">
        <f>"NORTE 94 NO. 4419                                                               "</f>
        <v xml:space="preserve">NORTE 94 NO. 4419                                                               </v>
      </c>
      <c r="F580" s="26" t="str">
        <f>"MALINCHE                                                                                                                                    "</f>
        <v xml:space="preserve">MALINCHE                                                                                                                                    </v>
      </c>
      <c r="G580" s="26" t="str">
        <f>"GUSTAVO A. MADERO                                                               "</f>
        <v xml:space="preserve">GUSTAVO A. MADERO                                                               </v>
      </c>
      <c r="H580" s="26" t="str">
        <f>"080"</f>
        <v>080</v>
      </c>
      <c r="I580" s="26" t="str">
        <f t="shared" si="81"/>
        <v>00</v>
      </c>
      <c r="J580" s="26" t="str">
        <f>"31 "</f>
        <v xml:space="preserve">31 </v>
      </c>
      <c r="K580" s="26" t="str">
        <f>"EP"</f>
        <v>EP</v>
      </c>
      <c r="L580" s="26" t="str">
        <f>"DGOSE"</f>
        <v>DGOSE</v>
      </c>
      <c r="M580" s="26" t="str">
        <f t="shared" si="82"/>
        <v>FEDERAL</v>
      </c>
      <c r="N580" s="26">
        <v>159</v>
      </c>
      <c r="O580" s="26">
        <v>77</v>
      </c>
      <c r="P580" s="26">
        <v>82</v>
      </c>
      <c r="Q580" s="26">
        <v>5</v>
      </c>
      <c r="R580" s="26">
        <v>1</v>
      </c>
      <c r="S580" s="26">
        <v>5</v>
      </c>
      <c r="T580" s="26">
        <v>6</v>
      </c>
      <c r="U580" s="26">
        <v>12</v>
      </c>
      <c r="V580" s="26">
        <v>1</v>
      </c>
      <c r="W580" s="26" t="s">
        <v>2076</v>
      </c>
    </row>
    <row r="581" spans="1:23" x14ac:dyDescent="0.25">
      <c r="A581" s="26" t="str">
        <f t="shared" si="80"/>
        <v>PREESCOLAR</v>
      </c>
      <c r="B581" s="26" t="str">
        <f>"09DJN0737E"</f>
        <v>09DJN0737E</v>
      </c>
      <c r="C581" s="26" t="str">
        <f>"ITZAMNA                                                                                             "</f>
        <v xml:space="preserve">ITZAMNA                                                                                             </v>
      </c>
      <c r="D581" s="26" t="str">
        <f>"TIEMPO COMPLETO"</f>
        <v>TIEMPO COMPLETO</v>
      </c>
      <c r="E581" s="26" t="str">
        <f>"RETORNO 5 DE LIC GENARO GARCIA S/N                                              "</f>
        <v xml:space="preserve">RETORNO 5 DE LIC GENARO GARCIA S/N                                              </v>
      </c>
      <c r="F581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581" s="26" t="str">
        <f>"VENUSTIANO CARRANZA                                                             "</f>
        <v xml:space="preserve">VENUSTIANO CARRANZA                                                             </v>
      </c>
      <c r="H581" s="26" t="str">
        <f>"026"</f>
        <v>026</v>
      </c>
      <c r="I581" s="26" t="str">
        <f t="shared" si="81"/>
        <v>00</v>
      </c>
      <c r="J581" s="26" t="str">
        <f>"31 "</f>
        <v xml:space="preserve">31 </v>
      </c>
      <c r="K581" s="26" t="str">
        <f>"EP"</f>
        <v>EP</v>
      </c>
      <c r="L581" s="26" t="str">
        <f>"DGOSE"</f>
        <v>DGOSE</v>
      </c>
      <c r="M581" s="26" t="str">
        <f t="shared" si="82"/>
        <v>FEDERAL</v>
      </c>
      <c r="N581" s="26">
        <v>148</v>
      </c>
      <c r="O581" s="26">
        <v>69</v>
      </c>
      <c r="P581" s="26">
        <v>79</v>
      </c>
      <c r="Q581" s="26">
        <v>5</v>
      </c>
      <c r="R581" s="26">
        <v>2</v>
      </c>
      <c r="S581" s="26">
        <v>5</v>
      </c>
      <c r="T581" s="26">
        <v>14</v>
      </c>
      <c r="U581" s="26">
        <v>21</v>
      </c>
      <c r="V581" s="26">
        <v>1</v>
      </c>
      <c r="W581" s="26" t="s">
        <v>218</v>
      </c>
    </row>
    <row r="582" spans="1:23" x14ac:dyDescent="0.25">
      <c r="A582" s="26" t="str">
        <f t="shared" si="80"/>
        <v>PREESCOLAR</v>
      </c>
      <c r="B582" s="26" t="str">
        <f>"09DJN0738D"</f>
        <v>09DJN0738D</v>
      </c>
      <c r="C582" s="26" t="str">
        <f>"HEROES DEL MOLINO DEL REY                                                                           "</f>
        <v xml:space="preserve">HEROES DEL MOLINO DEL REY                                                                           </v>
      </c>
      <c r="D582" s="26" t="str">
        <f>"MATUTINO"</f>
        <v>MATUTINO</v>
      </c>
      <c r="E582" s="26" t="str">
        <f>"JULIAN DE LOS REYES NO. 14                                                      "</f>
        <v xml:space="preserve">JULIAN DE LOS REYES NO. 14                                                      </v>
      </c>
      <c r="F582" s="26" t="str">
        <f>"JUAN ESCUTIA                                                                                                                                "</f>
        <v xml:space="preserve">JUAN ESCUTIA                                                                                                                                </v>
      </c>
      <c r="G582" s="26" t="str">
        <f>"IZTAPALAPA                                                                      "</f>
        <v xml:space="preserve">IZTAPALAPA                                                                      </v>
      </c>
      <c r="H582" s="26" t="str">
        <f>"014"</f>
        <v>014</v>
      </c>
      <c r="I582" s="26" t="str">
        <f t="shared" si="81"/>
        <v>00</v>
      </c>
      <c r="J582" s="26" t="str">
        <f>"62 "</f>
        <v xml:space="preserve">62 </v>
      </c>
      <c r="K582" s="26" t="str">
        <f>"IZ"</f>
        <v>IZ</v>
      </c>
      <c r="L582" s="26" t="str">
        <f>"DGSEI"</f>
        <v>DGSEI</v>
      </c>
      <c r="M582" s="26" t="str">
        <f t="shared" si="82"/>
        <v>FEDERAL</v>
      </c>
      <c r="N582" s="26">
        <v>136</v>
      </c>
      <c r="O582" s="26">
        <v>73</v>
      </c>
      <c r="P582" s="26">
        <v>63</v>
      </c>
      <c r="Q582" s="26">
        <v>4</v>
      </c>
      <c r="R582" s="26">
        <v>1</v>
      </c>
      <c r="S582" s="26">
        <v>4</v>
      </c>
      <c r="T582" s="26">
        <v>3</v>
      </c>
      <c r="U582" s="26">
        <v>8</v>
      </c>
      <c r="V582" s="26">
        <v>1</v>
      </c>
      <c r="W582" s="26"/>
    </row>
    <row r="583" spans="1:23" x14ac:dyDescent="0.25">
      <c r="A583" s="26" t="str">
        <f t="shared" si="80"/>
        <v>PREESCOLAR</v>
      </c>
      <c r="B583" s="26" t="str">
        <f>"09DJN0739C"</f>
        <v>09DJN0739C</v>
      </c>
      <c r="C583" s="26" t="str">
        <f>"LAURA ESCUDERO                                                                                      "</f>
        <v xml:space="preserve">LAURA ESCUDERO                                                                                      </v>
      </c>
      <c r="D583" s="26" t="str">
        <f>"TIEMPO COMPLETO"</f>
        <v>TIEMPO COMPLETO</v>
      </c>
      <c r="E583" s="26" t="str">
        <f>"TRABAJO Y PREVISION SOCIAL NO. 682                                              "</f>
        <v xml:space="preserve">TRABAJO Y PREVISION SOCIAL NO. 682                                              </v>
      </c>
      <c r="F583" s="26" t="str">
        <f>"FEDERAL                                                                                                                                     "</f>
        <v xml:space="preserve">FEDERAL                                                                                                                                     </v>
      </c>
      <c r="G583" s="26" t="str">
        <f>"VENUSTIANO CARRANZA                                                             "</f>
        <v xml:space="preserve">VENUSTIANO CARRANZA                                                             </v>
      </c>
      <c r="H583" s="26" t="str">
        <f>"249"</f>
        <v>249</v>
      </c>
      <c r="I583" s="26" t="str">
        <f t="shared" si="81"/>
        <v>00</v>
      </c>
      <c r="J583" s="26" t="str">
        <f>"31 "</f>
        <v xml:space="preserve">31 </v>
      </c>
      <c r="K583" s="26" t="str">
        <f>"EP"</f>
        <v>EP</v>
      </c>
      <c r="L583" s="26" t="str">
        <f>"DGOSE"</f>
        <v>DGOSE</v>
      </c>
      <c r="M583" s="26" t="str">
        <f t="shared" si="82"/>
        <v>FEDERAL</v>
      </c>
      <c r="N583" s="26">
        <v>139</v>
      </c>
      <c r="O583" s="26">
        <v>77</v>
      </c>
      <c r="P583" s="26">
        <v>62</v>
      </c>
      <c r="Q583" s="26">
        <v>6</v>
      </c>
      <c r="R583" s="26">
        <v>2</v>
      </c>
      <c r="S583" s="26">
        <v>6</v>
      </c>
      <c r="T583" s="26">
        <v>16</v>
      </c>
      <c r="U583" s="26">
        <v>24</v>
      </c>
      <c r="V583" s="26">
        <v>1</v>
      </c>
      <c r="W583" s="26" t="s">
        <v>218</v>
      </c>
    </row>
    <row r="584" spans="1:23" x14ac:dyDescent="0.25">
      <c r="A584" s="26" t="str">
        <f t="shared" si="80"/>
        <v>PREESCOLAR</v>
      </c>
      <c r="B584" s="26" t="str">
        <f>"09DJN0740S"</f>
        <v>09DJN0740S</v>
      </c>
      <c r="C584" s="26" t="str">
        <f>"YOLOXOCHITL                                                                                         "</f>
        <v xml:space="preserve">YOLOXOCHITL                                                                                         </v>
      </c>
      <c r="D584" s="26" t="str">
        <f>"VESPERTINO"</f>
        <v>VESPERTINO</v>
      </c>
      <c r="E584" s="26" t="str">
        <f>"PROLONG. CALLE 7 Y AV. DEL ROSAL                                                "</f>
        <v xml:space="preserve">PROLONG. CALLE 7 Y AV. DEL ROSAL                                                </v>
      </c>
      <c r="F584" s="26" t="str">
        <f>"OLIVAR DEL CONDE 1A SECCION                                                                                                                 "</f>
        <v xml:space="preserve">OLIVAR DEL CONDE 1A SECCION                                                                                                                 </v>
      </c>
      <c r="G584" s="26" t="str">
        <f>"ALVARO OBREGON                                                                  "</f>
        <v xml:space="preserve">ALVARO OBREGON                                                                  </v>
      </c>
      <c r="H584" s="26" t="str">
        <f>"218"</f>
        <v>218</v>
      </c>
      <c r="I584" s="26" t="str">
        <f t="shared" si="81"/>
        <v>00</v>
      </c>
      <c r="J584" s="26" t="str">
        <f>"33 "</f>
        <v xml:space="preserve">33 </v>
      </c>
      <c r="K584" s="26" t="str">
        <f>"EP"</f>
        <v>EP</v>
      </c>
      <c r="L584" s="26" t="str">
        <f>"DGOSE"</f>
        <v>DGOSE</v>
      </c>
      <c r="M584" s="26" t="str">
        <f t="shared" si="82"/>
        <v>FEDERAL</v>
      </c>
      <c r="N584" s="26">
        <v>122</v>
      </c>
      <c r="O584" s="26">
        <v>63</v>
      </c>
      <c r="P584" s="26">
        <v>59</v>
      </c>
      <c r="Q584" s="26">
        <v>4</v>
      </c>
      <c r="R584" s="26">
        <v>1</v>
      </c>
      <c r="S584" s="26">
        <v>4</v>
      </c>
      <c r="T584" s="26">
        <v>3</v>
      </c>
      <c r="U584" s="26">
        <v>8</v>
      </c>
      <c r="V584" s="26">
        <v>1</v>
      </c>
      <c r="W584" s="26"/>
    </row>
    <row r="585" spans="1:23" x14ac:dyDescent="0.25">
      <c r="A585" s="26" t="str">
        <f t="shared" si="80"/>
        <v>PREESCOLAR</v>
      </c>
      <c r="B585" s="26" t="str">
        <f>"09DJN0741R"</f>
        <v>09DJN0741R</v>
      </c>
      <c r="C585" s="26" t="str">
        <f>"CUICUICANI                                                                                          "</f>
        <v xml:space="preserve">CUICUICANI                                                                                          </v>
      </c>
      <c r="D585" s="26" t="str">
        <f>"MATUTINO"</f>
        <v>MATUTINO</v>
      </c>
      <c r="E585" s="26" t="str">
        <f>"VILLA DEL REY S/N                                                               "</f>
        <v xml:space="preserve">VILLA DEL REY S/N                                                               </v>
      </c>
      <c r="F585" s="26" t="str">
        <f>"DESARROLLO URBANO QUETZALCOATL                                                                                                              "</f>
        <v xml:space="preserve">DESARROLLO URBANO QUETZALCOATL                                                                                                              </v>
      </c>
      <c r="G585" s="26" t="str">
        <f>"IZTAPALAPA                                                                      "</f>
        <v xml:space="preserve">IZTAPALAPA                                                                      </v>
      </c>
      <c r="H585" s="26" t="str">
        <f>"031"</f>
        <v>031</v>
      </c>
      <c r="I585" s="26" t="str">
        <f t="shared" si="81"/>
        <v>00</v>
      </c>
      <c r="J585" s="26" t="str">
        <f>"64 "</f>
        <v xml:space="preserve">64 </v>
      </c>
      <c r="K585" s="26" t="str">
        <f>"IZ"</f>
        <v>IZ</v>
      </c>
      <c r="L585" s="26" t="str">
        <f>"DGSEI"</f>
        <v>DGSEI</v>
      </c>
      <c r="M585" s="26" t="str">
        <f t="shared" si="82"/>
        <v>FEDERAL</v>
      </c>
      <c r="N585" s="26">
        <v>236</v>
      </c>
      <c r="O585" s="26">
        <v>128</v>
      </c>
      <c r="P585" s="26">
        <v>108</v>
      </c>
      <c r="Q585" s="26">
        <v>6</v>
      </c>
      <c r="R585" s="26">
        <v>1</v>
      </c>
      <c r="S585" s="26">
        <v>6</v>
      </c>
      <c r="T585" s="26">
        <v>3</v>
      </c>
      <c r="U585" s="26">
        <v>10</v>
      </c>
      <c r="V585" s="26">
        <v>1</v>
      </c>
      <c r="W585" s="26"/>
    </row>
    <row r="586" spans="1:23" x14ac:dyDescent="0.25">
      <c r="A586" s="26" t="str">
        <f t="shared" si="80"/>
        <v>PREESCOLAR</v>
      </c>
      <c r="B586" s="26" t="str">
        <f>"09DJN0742Q"</f>
        <v>09DJN0742Q</v>
      </c>
      <c r="C586" s="26" t="str">
        <f>"ANEXO CENTRO ESCOLAR REVOLUCION                                                                     "</f>
        <v xml:space="preserve">ANEXO CENTRO ESCOLAR REVOLUCION                                                                     </v>
      </c>
      <c r="D586" s="26" t="str">
        <f>"JORNADA AMPLIADA"</f>
        <v>JORNADA AMPLIADA</v>
      </c>
      <c r="E586" s="26" t="str">
        <f>"ARCOS DE BELEN Y GABRIEL HERNANDEZ                                              "</f>
        <v xml:space="preserve">ARCOS DE BELEN Y GABRIEL HERNANDEZ                                              </v>
      </c>
      <c r="F586" s="26" t="str">
        <f>"DOCTORES                                                                                                                                    "</f>
        <v xml:space="preserve">DOCTORES                                                                                                                                    </v>
      </c>
      <c r="G586" s="26" t="s">
        <v>4128</v>
      </c>
      <c r="H586" s="26" t="str">
        <f>"031"</f>
        <v>031</v>
      </c>
      <c r="I586" s="26" t="str">
        <f t="shared" si="81"/>
        <v>00</v>
      </c>
      <c r="J586" s="26" t="str">
        <f>"31 "</f>
        <v xml:space="preserve">31 </v>
      </c>
      <c r="K586" s="26" t="str">
        <f t="shared" ref="K586:K597" si="83">"EP"</f>
        <v>EP</v>
      </c>
      <c r="L586" s="26" t="str">
        <f t="shared" ref="L586:L597" si="84">"DGOSE"</f>
        <v>DGOSE</v>
      </c>
      <c r="M586" s="26" t="str">
        <f t="shared" si="82"/>
        <v>FEDERAL</v>
      </c>
      <c r="N586" s="26">
        <v>190</v>
      </c>
      <c r="O586" s="26">
        <v>92</v>
      </c>
      <c r="P586" s="26">
        <v>98</v>
      </c>
      <c r="Q586" s="26">
        <v>6</v>
      </c>
      <c r="R586" s="26">
        <v>1</v>
      </c>
      <c r="S586" s="26">
        <v>6</v>
      </c>
      <c r="T586" s="26">
        <v>5</v>
      </c>
      <c r="U586" s="26">
        <v>12</v>
      </c>
      <c r="V586" s="26">
        <v>1</v>
      </c>
      <c r="W586" s="26" t="s">
        <v>2076</v>
      </c>
    </row>
    <row r="587" spans="1:23" x14ac:dyDescent="0.25">
      <c r="A587" s="26" t="str">
        <f t="shared" si="80"/>
        <v>PREESCOLAR</v>
      </c>
      <c r="B587" s="26" t="str">
        <f>"09DJN0743P"</f>
        <v>09DJN0743P</v>
      </c>
      <c r="C587" s="26" t="str">
        <f>"HERBERT SPENCER                                                                                     "</f>
        <v xml:space="preserve">HERBERT SPENCER                                                                                     </v>
      </c>
      <c r="D587" s="26" t="str">
        <f>"MATUTINO"</f>
        <v>MATUTINO</v>
      </c>
      <c r="E587" s="26" t="str">
        <f>"HEROES NO. 53                                                                   "</f>
        <v xml:space="preserve">HEROES NO. 53                                                                   </v>
      </c>
      <c r="F587" s="26" t="str">
        <f>"GUERRERO                                                                                                                                    "</f>
        <v xml:space="preserve">GUERRERO                                                                                                                                    </v>
      </c>
      <c r="G587" s="26" t="s">
        <v>4128</v>
      </c>
      <c r="H587" s="26" t="str">
        <f>"203"</f>
        <v>203</v>
      </c>
      <c r="I587" s="26" t="str">
        <f t="shared" si="81"/>
        <v>00</v>
      </c>
      <c r="J587" s="26" t="str">
        <f>"32 "</f>
        <v xml:space="preserve">32 </v>
      </c>
      <c r="K587" s="26" t="str">
        <f t="shared" si="83"/>
        <v>EP</v>
      </c>
      <c r="L587" s="26" t="str">
        <f t="shared" si="84"/>
        <v>DGOSE</v>
      </c>
      <c r="M587" s="26" t="str">
        <f t="shared" si="82"/>
        <v>FEDERAL</v>
      </c>
      <c r="N587" s="26">
        <v>177</v>
      </c>
      <c r="O587" s="26">
        <v>76</v>
      </c>
      <c r="P587" s="26">
        <v>101</v>
      </c>
      <c r="Q587" s="26">
        <v>6</v>
      </c>
      <c r="R587" s="26">
        <v>1</v>
      </c>
      <c r="S587" s="26">
        <v>6</v>
      </c>
      <c r="T587" s="26">
        <v>4</v>
      </c>
      <c r="U587" s="26">
        <v>11</v>
      </c>
      <c r="V587" s="26">
        <v>1</v>
      </c>
      <c r="W587" s="26"/>
    </row>
    <row r="588" spans="1:23" x14ac:dyDescent="0.25">
      <c r="A588" s="26" t="str">
        <f t="shared" si="80"/>
        <v>PREESCOLAR</v>
      </c>
      <c r="B588" s="26" t="str">
        <f>"09DJN0744O"</f>
        <v>09DJN0744O</v>
      </c>
      <c r="C588" s="26" t="str">
        <f>"AMADO NERVO                                                                                         "</f>
        <v xml:space="preserve">AMADO NERVO                                                                                         </v>
      </c>
      <c r="D588" s="26" t="str">
        <f>"MATUTINO"</f>
        <v>MATUTINO</v>
      </c>
      <c r="E588" s="26" t="str">
        <f>"MOCTEZUMA NO. 123                                                               "</f>
        <v xml:space="preserve">MOCTEZUMA NO. 123                                                               </v>
      </c>
      <c r="F588" s="26" t="str">
        <f>"GUERRERO                                                                                                                                    "</f>
        <v xml:space="preserve">GUERRERO                                                                                                                                    </v>
      </c>
      <c r="G588" s="26" t="s">
        <v>4128</v>
      </c>
      <c r="H588" s="26" t="str">
        <f>"205"</f>
        <v>205</v>
      </c>
      <c r="I588" s="26" t="str">
        <f t="shared" si="81"/>
        <v>00</v>
      </c>
      <c r="J588" s="26" t="str">
        <f>"32 "</f>
        <v xml:space="preserve">32 </v>
      </c>
      <c r="K588" s="26" t="str">
        <f t="shared" si="83"/>
        <v>EP</v>
      </c>
      <c r="L588" s="26" t="str">
        <f t="shared" si="84"/>
        <v>DGOSE</v>
      </c>
      <c r="M588" s="26" t="str">
        <f t="shared" si="82"/>
        <v>FEDERAL</v>
      </c>
      <c r="N588" s="26">
        <v>175</v>
      </c>
      <c r="O588" s="26">
        <v>87</v>
      </c>
      <c r="P588" s="26">
        <v>88</v>
      </c>
      <c r="Q588" s="26">
        <v>6</v>
      </c>
      <c r="R588" s="26">
        <v>1</v>
      </c>
      <c r="S588" s="26">
        <v>6</v>
      </c>
      <c r="T588" s="26">
        <v>8</v>
      </c>
      <c r="U588" s="26">
        <v>15</v>
      </c>
      <c r="V588" s="26">
        <v>1</v>
      </c>
      <c r="W588" s="26"/>
    </row>
    <row r="589" spans="1:23" x14ac:dyDescent="0.25">
      <c r="A589" s="26" t="str">
        <f t="shared" si="80"/>
        <v>PREESCOLAR</v>
      </c>
      <c r="B589" s="26" t="str">
        <f>"09DJN0745N"</f>
        <v>09DJN0745N</v>
      </c>
      <c r="C589" s="26" t="str">
        <f>"ISLANDIA                                                                                            "</f>
        <v xml:space="preserve">ISLANDIA                                                                                            </v>
      </c>
      <c r="D589" s="26" t="str">
        <f>"JORNADA AMPLIADA"</f>
        <v>JORNADA AMPLIADA</v>
      </c>
      <c r="E589" s="26" t="str">
        <f>"AV. NUEVO LEON NO. 268                                                          "</f>
        <v xml:space="preserve">AV. NUEVO LEON NO. 268                                                          </v>
      </c>
      <c r="F589" s="26" t="str">
        <f>"CONDESA                                                                                                                                     "</f>
        <v xml:space="preserve">CONDESA                                                                                                                                     </v>
      </c>
      <c r="G589" s="26" t="s">
        <v>4128</v>
      </c>
      <c r="H589" s="26" t="str">
        <f>"031"</f>
        <v>031</v>
      </c>
      <c r="I589" s="26" t="str">
        <f t="shared" si="81"/>
        <v>00</v>
      </c>
      <c r="J589" s="26" t="str">
        <f t="shared" ref="J589:J597" si="85">"31 "</f>
        <v xml:space="preserve">31 </v>
      </c>
      <c r="K589" s="26" t="str">
        <f t="shared" si="83"/>
        <v>EP</v>
      </c>
      <c r="L589" s="26" t="str">
        <f t="shared" si="84"/>
        <v>DGOSE</v>
      </c>
      <c r="M589" s="26" t="str">
        <f t="shared" si="82"/>
        <v>FEDERAL</v>
      </c>
      <c r="N589" s="26">
        <v>69</v>
      </c>
      <c r="O589" s="26">
        <v>29</v>
      </c>
      <c r="P589" s="26">
        <v>40</v>
      </c>
      <c r="Q589" s="26">
        <v>4</v>
      </c>
      <c r="R589" s="26">
        <v>1</v>
      </c>
      <c r="S589" s="26">
        <v>4</v>
      </c>
      <c r="T589" s="26">
        <v>5</v>
      </c>
      <c r="U589" s="26">
        <v>10</v>
      </c>
      <c r="V589" s="26">
        <v>1</v>
      </c>
      <c r="W589" s="26" t="s">
        <v>2076</v>
      </c>
    </row>
    <row r="590" spans="1:23" x14ac:dyDescent="0.25">
      <c r="A590" s="26" t="str">
        <f t="shared" si="80"/>
        <v>PREESCOLAR</v>
      </c>
      <c r="B590" s="26" t="str">
        <f>"09DJN0746M"</f>
        <v>09DJN0746M</v>
      </c>
      <c r="C590" s="26" t="str">
        <f>"CADETES DE LA NAVAL                                                                                 "</f>
        <v xml:space="preserve">CADETES DE LA NAVAL                                                                                 </v>
      </c>
      <c r="D590" s="26" t="str">
        <f>"TIEMPO COMPLETO"</f>
        <v>TIEMPO COMPLETO</v>
      </c>
      <c r="E590" s="26" t="str">
        <f>"ARCOS DE BELEN NO. 47                                                           "</f>
        <v xml:space="preserve">ARCOS DE BELEN NO. 47                                                           </v>
      </c>
      <c r="F590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590" s="26" t="s">
        <v>4128</v>
      </c>
      <c r="H590" s="26" t="str">
        <f>"149"</f>
        <v>149</v>
      </c>
      <c r="I590" s="26" t="str">
        <f t="shared" si="81"/>
        <v>00</v>
      </c>
      <c r="J590" s="26" t="str">
        <f t="shared" si="85"/>
        <v xml:space="preserve">31 </v>
      </c>
      <c r="K590" s="26" t="str">
        <f t="shared" si="83"/>
        <v>EP</v>
      </c>
      <c r="L590" s="26" t="str">
        <f t="shared" si="84"/>
        <v>DGOSE</v>
      </c>
      <c r="M590" s="26" t="str">
        <f t="shared" si="82"/>
        <v>FEDERAL</v>
      </c>
      <c r="N590" s="26">
        <v>172</v>
      </c>
      <c r="O590" s="26">
        <v>98</v>
      </c>
      <c r="P590" s="26">
        <v>74</v>
      </c>
      <c r="Q590" s="26">
        <v>6</v>
      </c>
      <c r="R590" s="26">
        <v>2</v>
      </c>
      <c r="S590" s="26">
        <v>6</v>
      </c>
      <c r="T590" s="26">
        <v>17</v>
      </c>
      <c r="U590" s="26">
        <v>25</v>
      </c>
      <c r="V590" s="26">
        <v>1</v>
      </c>
      <c r="W590" s="26" t="s">
        <v>218</v>
      </c>
    </row>
    <row r="591" spans="1:23" x14ac:dyDescent="0.25">
      <c r="A591" s="26" t="str">
        <f t="shared" si="80"/>
        <v>PREESCOLAR</v>
      </c>
      <c r="B591" s="26" t="str">
        <f>"09DJN0747L"</f>
        <v>09DJN0747L</v>
      </c>
      <c r="C591" s="26" t="str">
        <f>"ALTAGRACIA PADILLA                                                                                  "</f>
        <v xml:space="preserve">ALTAGRACIA PADILLA                                                                                  </v>
      </c>
      <c r="D591" s="26" t="str">
        <f>"JORNADA AMPLIADA"</f>
        <v>JORNADA AMPLIADA</v>
      </c>
      <c r="E591" s="26" t="str">
        <f>"ARQUIMEDES NO. 227                                                              "</f>
        <v xml:space="preserve">ARQUIMEDES NO. 227                                                              </v>
      </c>
      <c r="F591" s="26" t="str">
        <f>"POLANCO REFORMA                                                                                                                             "</f>
        <v xml:space="preserve">POLANCO REFORMA                                                                                                                             </v>
      </c>
      <c r="G591" s="26" t="str">
        <f>"MIGUEL HIDALGO                                                                  "</f>
        <v xml:space="preserve">MIGUEL HIDALGO                                                                  </v>
      </c>
      <c r="H591" s="26" t="str">
        <f>"206"</f>
        <v>206</v>
      </c>
      <c r="I591" s="26" t="str">
        <f t="shared" si="81"/>
        <v>00</v>
      </c>
      <c r="J591" s="26" t="str">
        <f t="shared" si="85"/>
        <v xml:space="preserve">31 </v>
      </c>
      <c r="K591" s="26" t="str">
        <f t="shared" si="83"/>
        <v>EP</v>
      </c>
      <c r="L591" s="26" t="str">
        <f t="shared" si="84"/>
        <v>DGOSE</v>
      </c>
      <c r="M591" s="26" t="str">
        <f t="shared" si="82"/>
        <v>FEDERAL</v>
      </c>
      <c r="N591" s="26">
        <v>108</v>
      </c>
      <c r="O591" s="26">
        <v>53</v>
      </c>
      <c r="P591" s="26">
        <v>55</v>
      </c>
      <c r="Q591" s="26">
        <v>5</v>
      </c>
      <c r="R591" s="26">
        <v>1</v>
      </c>
      <c r="S591" s="26">
        <v>5</v>
      </c>
      <c r="T591" s="26">
        <v>6</v>
      </c>
      <c r="U591" s="26">
        <v>12</v>
      </c>
      <c r="V591" s="26">
        <v>1</v>
      </c>
      <c r="W591" s="26" t="s">
        <v>2076</v>
      </c>
    </row>
    <row r="592" spans="1:23" x14ac:dyDescent="0.25">
      <c r="A592" s="26" t="str">
        <f t="shared" si="80"/>
        <v>PREESCOLAR</v>
      </c>
      <c r="B592" s="26" t="str">
        <f>"09DJN0748K"</f>
        <v>09DJN0748K</v>
      </c>
      <c r="C592" s="26" t="str">
        <f>"UNIDAD ARTISTICA Y CULTURAL DEL BOSQUE                                                              "</f>
        <v xml:space="preserve">UNIDAD ARTISTICA Y CULTURAL DEL BOSQUE                                                              </v>
      </c>
      <c r="D592" s="26" t="str">
        <f>"TIEMPO COMPLETO"</f>
        <v>TIEMPO COMPLETO</v>
      </c>
      <c r="E592" s="26" t="str">
        <f>"JUAN ESCUTIA NO. 112-114                                                        "</f>
        <v xml:space="preserve">JUAN ESCUTIA NO. 112-114                                                        </v>
      </c>
      <c r="F592" s="26" t="str">
        <f>"CONDESA                                                                                                                                     "</f>
        <v xml:space="preserve">CONDESA                                                                                                                                     </v>
      </c>
      <c r="G592" s="26" t="s">
        <v>4128</v>
      </c>
      <c r="H592" s="26" t="str">
        <f>"019"</f>
        <v>019</v>
      </c>
      <c r="I592" s="26" t="str">
        <f t="shared" si="81"/>
        <v>00</v>
      </c>
      <c r="J592" s="26" t="str">
        <f t="shared" si="85"/>
        <v xml:space="preserve">31 </v>
      </c>
      <c r="K592" s="26" t="str">
        <f t="shared" si="83"/>
        <v>EP</v>
      </c>
      <c r="L592" s="26" t="str">
        <f t="shared" si="84"/>
        <v>DGOSE</v>
      </c>
      <c r="M592" s="26" t="str">
        <f t="shared" si="82"/>
        <v>FEDERAL</v>
      </c>
      <c r="N592" s="26">
        <v>135</v>
      </c>
      <c r="O592" s="26">
        <v>63</v>
      </c>
      <c r="P592" s="26">
        <v>72</v>
      </c>
      <c r="Q592" s="26">
        <v>5</v>
      </c>
      <c r="R592" s="26">
        <v>2</v>
      </c>
      <c r="S592" s="26">
        <v>5</v>
      </c>
      <c r="T592" s="26">
        <v>14</v>
      </c>
      <c r="U592" s="26">
        <v>21</v>
      </c>
      <c r="V592" s="26">
        <v>1</v>
      </c>
      <c r="W592" s="26" t="s">
        <v>218</v>
      </c>
    </row>
    <row r="593" spans="1:23" x14ac:dyDescent="0.25">
      <c r="A593" s="26" t="str">
        <f t="shared" si="80"/>
        <v>PREESCOLAR</v>
      </c>
      <c r="B593" s="26" t="str">
        <f>"09DJN0749J"</f>
        <v>09DJN0749J</v>
      </c>
      <c r="C593" s="26" t="str">
        <f>"MA. DE LA LUZ RIVERA DE YSUNZA                                                                      "</f>
        <v xml:space="preserve">MA. DE LA LUZ RIVERA DE YSUNZA                                                                      </v>
      </c>
      <c r="D593" s="26" t="str">
        <f>"TIEMPO COMPLETO"</f>
        <v>TIEMPO COMPLETO</v>
      </c>
      <c r="E593" s="26" t="str">
        <f>"CERRADA DE CAMELIA NO. 9                                                        "</f>
        <v xml:space="preserve">CERRADA DE CAMELIA NO. 9                                                        </v>
      </c>
      <c r="F593" s="26" t="str">
        <f>"GUERRERO                                                                                                                                    "</f>
        <v xml:space="preserve">GUERRERO                                                                                                                                    </v>
      </c>
      <c r="G593" s="26" t="s">
        <v>4128</v>
      </c>
      <c r="H593" s="26" t="str">
        <f>"017"</f>
        <v>017</v>
      </c>
      <c r="I593" s="26" t="str">
        <f t="shared" si="81"/>
        <v>00</v>
      </c>
      <c r="J593" s="26" t="str">
        <f t="shared" si="85"/>
        <v xml:space="preserve">31 </v>
      </c>
      <c r="K593" s="26" t="str">
        <f t="shared" si="83"/>
        <v>EP</v>
      </c>
      <c r="L593" s="26" t="str">
        <f t="shared" si="84"/>
        <v>DGOSE</v>
      </c>
      <c r="M593" s="26" t="str">
        <f t="shared" si="82"/>
        <v>FEDERAL</v>
      </c>
      <c r="N593" s="26">
        <v>203</v>
      </c>
      <c r="O593" s="26">
        <v>114</v>
      </c>
      <c r="P593" s="26">
        <v>89</v>
      </c>
      <c r="Q593" s="26">
        <v>6</v>
      </c>
      <c r="R593" s="26">
        <v>2</v>
      </c>
      <c r="S593" s="26">
        <v>6</v>
      </c>
      <c r="T593" s="26">
        <v>16</v>
      </c>
      <c r="U593" s="26">
        <v>24</v>
      </c>
      <c r="V593" s="26">
        <v>1</v>
      </c>
      <c r="W593" s="26" t="s">
        <v>218</v>
      </c>
    </row>
    <row r="594" spans="1:23" x14ac:dyDescent="0.25">
      <c r="A594" s="26" t="str">
        <f t="shared" si="80"/>
        <v>PREESCOLAR</v>
      </c>
      <c r="B594" s="26" t="str">
        <f>"09DJN0750Z"</f>
        <v>09DJN0750Z</v>
      </c>
      <c r="C594" s="26" t="str">
        <f>"CARLOS ALCALDE                                                                                      "</f>
        <v xml:space="preserve">CARLOS ALCALDE                                                                                      </v>
      </c>
      <c r="D594" s="26" t="str">
        <f>"JORNADA AMPLIADA"</f>
        <v>JORNADA AMPLIADA</v>
      </c>
      <c r="E594" s="26" t="str">
        <f>"VIRREYES Y PRADO SUR                                                            "</f>
        <v xml:space="preserve">VIRREYES Y PRADO SUR                                                            </v>
      </c>
      <c r="F594" s="26" t="str">
        <f>"LOMAS DE CHAPULTEPEC                                                                                                                        "</f>
        <v xml:space="preserve">LOMAS DE CHAPULTEPEC                                                                                                                        </v>
      </c>
      <c r="G594" s="26" t="str">
        <f>"MIGUEL HIDALGO                                                                  "</f>
        <v xml:space="preserve">MIGUEL HIDALGO                                                                  </v>
      </c>
      <c r="H594" s="26" t="str">
        <f>"109"</f>
        <v>109</v>
      </c>
      <c r="I594" s="26" t="str">
        <f t="shared" si="81"/>
        <v>00</v>
      </c>
      <c r="J594" s="26" t="str">
        <f t="shared" si="85"/>
        <v xml:space="preserve">31 </v>
      </c>
      <c r="K594" s="26" t="str">
        <f t="shared" si="83"/>
        <v>EP</v>
      </c>
      <c r="L594" s="26" t="str">
        <f t="shared" si="84"/>
        <v>DGOSE</v>
      </c>
      <c r="M594" s="26" t="str">
        <f t="shared" si="82"/>
        <v>FEDERAL</v>
      </c>
      <c r="N594" s="26">
        <v>92</v>
      </c>
      <c r="O594" s="26">
        <v>46</v>
      </c>
      <c r="P594" s="26">
        <v>46</v>
      </c>
      <c r="Q594" s="26">
        <v>4</v>
      </c>
      <c r="R594" s="26">
        <v>1</v>
      </c>
      <c r="S594" s="26">
        <v>4</v>
      </c>
      <c r="T594" s="26">
        <v>6</v>
      </c>
      <c r="U594" s="26">
        <v>11</v>
      </c>
      <c r="V594" s="26">
        <v>1</v>
      </c>
      <c r="W594" s="26" t="s">
        <v>2076</v>
      </c>
    </row>
    <row r="595" spans="1:23" x14ac:dyDescent="0.25">
      <c r="A595" s="26" t="str">
        <f t="shared" si="80"/>
        <v>PREESCOLAR</v>
      </c>
      <c r="B595" s="26" t="str">
        <f>"09DJN0751Y"</f>
        <v>09DJN0751Y</v>
      </c>
      <c r="C595" s="26" t="str">
        <f>"LUIS TIJERINA ALMAGUER                                                                              "</f>
        <v xml:space="preserve">LUIS TIJERINA ALMAGUER                                                                              </v>
      </c>
      <c r="D595" s="26" t="str">
        <f>"JORNADA AMPLIADA"</f>
        <v>JORNADA AMPLIADA</v>
      </c>
      <c r="E595" s="26" t="str">
        <f>"RIO EBRO NO. 79                                                                 "</f>
        <v xml:space="preserve">RIO EBRO NO. 79                                                                 </v>
      </c>
      <c r="F595" s="26" t="str">
        <f>"CUAUHTEMOC                                                                                                                                  "</f>
        <v xml:space="preserve">CUAUHTEMOC                                                                                                                                  </v>
      </c>
      <c r="G595" s="26" t="s">
        <v>4128</v>
      </c>
      <c r="H595" s="26" t="str">
        <f>"019"</f>
        <v>019</v>
      </c>
      <c r="I595" s="26" t="str">
        <f t="shared" si="81"/>
        <v>00</v>
      </c>
      <c r="J595" s="26" t="str">
        <f t="shared" si="85"/>
        <v xml:space="preserve">31 </v>
      </c>
      <c r="K595" s="26" t="str">
        <f t="shared" si="83"/>
        <v>EP</v>
      </c>
      <c r="L595" s="26" t="str">
        <f t="shared" si="84"/>
        <v>DGOSE</v>
      </c>
      <c r="M595" s="26" t="str">
        <f t="shared" si="82"/>
        <v>FEDERAL</v>
      </c>
      <c r="N595" s="26">
        <v>114</v>
      </c>
      <c r="O595" s="26">
        <v>56</v>
      </c>
      <c r="P595" s="26">
        <v>58</v>
      </c>
      <c r="Q595" s="26">
        <v>5</v>
      </c>
      <c r="R595" s="26">
        <v>1</v>
      </c>
      <c r="S595" s="26">
        <v>4</v>
      </c>
      <c r="T595" s="26">
        <v>5</v>
      </c>
      <c r="U595" s="26">
        <v>10</v>
      </c>
      <c r="V595" s="26">
        <v>1</v>
      </c>
      <c r="W595" s="26" t="s">
        <v>2076</v>
      </c>
    </row>
    <row r="596" spans="1:23" x14ac:dyDescent="0.25">
      <c r="A596" s="26" t="str">
        <f t="shared" si="80"/>
        <v>PREESCOLAR</v>
      </c>
      <c r="B596" s="26" t="str">
        <f>"09DJN0753W"</f>
        <v>09DJN0753W</v>
      </c>
      <c r="C596" s="26" t="str">
        <f>"CHAPULTEPEC                                                                                         "</f>
        <v xml:space="preserve">CHAPULTEPEC                                                                                         </v>
      </c>
      <c r="D596" s="26" t="str">
        <f>"JORNADA AMPLIADA"</f>
        <v>JORNADA AMPLIADA</v>
      </c>
      <c r="E596" s="26" t="str">
        <f>"DR. LUCIO NO. 103 4TO. PISO                                                     "</f>
        <v xml:space="preserve">DR. LUCIO NO. 103 4TO. PISO                                                     </v>
      </c>
      <c r="F596" s="26" t="str">
        <f>"DOCTORES                                                                                                                                    "</f>
        <v xml:space="preserve">DOCTORES                                                                                                                                    </v>
      </c>
      <c r="G596" s="26" t="s">
        <v>4128</v>
      </c>
      <c r="H596" s="26" t="str">
        <f>"031"</f>
        <v>031</v>
      </c>
      <c r="I596" s="26" t="str">
        <f t="shared" si="81"/>
        <v>00</v>
      </c>
      <c r="J596" s="26" t="str">
        <f t="shared" si="85"/>
        <v xml:space="preserve">31 </v>
      </c>
      <c r="K596" s="26" t="str">
        <f t="shared" si="83"/>
        <v>EP</v>
      </c>
      <c r="L596" s="26" t="str">
        <f t="shared" si="84"/>
        <v>DGOSE</v>
      </c>
      <c r="M596" s="26" t="str">
        <f t="shared" si="82"/>
        <v>FEDERAL</v>
      </c>
      <c r="N596" s="26">
        <v>115</v>
      </c>
      <c r="O596" s="26">
        <v>64</v>
      </c>
      <c r="P596" s="26">
        <v>51</v>
      </c>
      <c r="Q596" s="26">
        <v>5</v>
      </c>
      <c r="R596" s="26">
        <v>1</v>
      </c>
      <c r="S596" s="26">
        <v>5</v>
      </c>
      <c r="T596" s="26">
        <v>5</v>
      </c>
      <c r="U596" s="26">
        <v>11</v>
      </c>
      <c r="V596" s="26">
        <v>1</v>
      </c>
      <c r="W596" s="26" t="s">
        <v>2076</v>
      </c>
    </row>
    <row r="597" spans="1:23" x14ac:dyDescent="0.25">
      <c r="A597" s="26" t="str">
        <f t="shared" si="80"/>
        <v>PREESCOLAR</v>
      </c>
      <c r="B597" s="26" t="str">
        <f>"09DJN0754V"</f>
        <v>09DJN0754V</v>
      </c>
      <c r="C597" s="26" t="str">
        <f>"CUAUHTEMOC                                                                                          "</f>
        <v xml:space="preserve">CUAUHTEMOC                                                                                          </v>
      </c>
      <c r="D597" s="26" t="str">
        <f>"JORNADA AMPLIADA"</f>
        <v>JORNADA AMPLIADA</v>
      </c>
      <c r="E597" s="26" t="str">
        <f>"COZUMEL NO. 55                                                                  "</f>
        <v xml:space="preserve">COZUMEL NO. 55                                                                  </v>
      </c>
      <c r="F597" s="26" t="str">
        <f>"ROMA NORTE                                                                                                                                  "</f>
        <v xml:space="preserve">ROMA NORTE                                                                                                                                  </v>
      </c>
      <c r="G597" s="26" t="s">
        <v>4128</v>
      </c>
      <c r="H597" s="26" t="str">
        <f>"031"</f>
        <v>031</v>
      </c>
      <c r="I597" s="26" t="str">
        <f t="shared" si="81"/>
        <v>00</v>
      </c>
      <c r="J597" s="26" t="str">
        <f t="shared" si="85"/>
        <v xml:space="preserve">31 </v>
      </c>
      <c r="K597" s="26" t="str">
        <f t="shared" si="83"/>
        <v>EP</v>
      </c>
      <c r="L597" s="26" t="str">
        <f t="shared" si="84"/>
        <v>DGOSE</v>
      </c>
      <c r="M597" s="26" t="str">
        <f t="shared" si="82"/>
        <v>FEDERAL</v>
      </c>
      <c r="N597" s="26">
        <v>120</v>
      </c>
      <c r="O597" s="26">
        <v>61</v>
      </c>
      <c r="P597" s="26">
        <v>59</v>
      </c>
      <c r="Q597" s="26">
        <v>5</v>
      </c>
      <c r="R597" s="26">
        <v>1</v>
      </c>
      <c r="S597" s="26">
        <v>5</v>
      </c>
      <c r="T597" s="26">
        <v>5</v>
      </c>
      <c r="U597" s="26">
        <v>11</v>
      </c>
      <c r="V597" s="26">
        <v>1</v>
      </c>
      <c r="W597" s="26" t="s">
        <v>2076</v>
      </c>
    </row>
    <row r="598" spans="1:23" x14ac:dyDescent="0.25">
      <c r="A598" s="26" t="str">
        <f t="shared" si="80"/>
        <v>PREESCOLAR</v>
      </c>
      <c r="B598" s="26" t="str">
        <f>"09DJN0757S"</f>
        <v>09DJN0757S</v>
      </c>
      <c r="C598" s="26" t="str">
        <f>"PROFR. ARTURO PICHARDO                                                                              "</f>
        <v xml:space="preserve">PROFR. ARTURO PICHARDO                                                                              </v>
      </c>
      <c r="D598" s="26" t="str">
        <f>"MATUTINO"</f>
        <v>MATUTINO</v>
      </c>
      <c r="E598" s="26" t="str">
        <f>"EJIDO Y PRIMAVERA S/N                                                           "</f>
        <v xml:space="preserve">EJIDO Y PRIMAVERA S/N                                                           </v>
      </c>
      <c r="F598" s="26" t="str">
        <f>"SANTA MARIA AZTAHUACAN                                                                                                                      "</f>
        <v xml:space="preserve">SANTA MARIA AZTAHUACAN                                                                                                                      </v>
      </c>
      <c r="G598" s="26" t="str">
        <f>"IZTAPALAPA                                                                      "</f>
        <v xml:space="preserve">IZTAPALAPA                                                                      </v>
      </c>
      <c r="H598" s="26" t="str">
        <f>"033"</f>
        <v>033</v>
      </c>
      <c r="I598" s="26" t="str">
        <f t="shared" si="81"/>
        <v>00</v>
      </c>
      <c r="J598" s="26" t="str">
        <f>"64 "</f>
        <v xml:space="preserve">64 </v>
      </c>
      <c r="K598" s="26" t="str">
        <f>"IZ"</f>
        <v>IZ</v>
      </c>
      <c r="L598" s="26" t="str">
        <f>"DGSEI"</f>
        <v>DGSEI</v>
      </c>
      <c r="M598" s="26" t="str">
        <f t="shared" si="82"/>
        <v>FEDERAL</v>
      </c>
      <c r="N598" s="26">
        <v>216</v>
      </c>
      <c r="O598" s="26">
        <v>106</v>
      </c>
      <c r="P598" s="26">
        <v>110</v>
      </c>
      <c r="Q598" s="26">
        <v>6</v>
      </c>
      <c r="R598" s="26">
        <v>1</v>
      </c>
      <c r="S598" s="26">
        <v>6</v>
      </c>
      <c r="T598" s="26">
        <v>2</v>
      </c>
      <c r="U598" s="26">
        <v>9</v>
      </c>
      <c r="V598" s="26">
        <v>1</v>
      </c>
      <c r="W598" s="26"/>
    </row>
    <row r="599" spans="1:23" x14ac:dyDescent="0.25">
      <c r="A599" s="26" t="str">
        <f t="shared" si="80"/>
        <v>PREESCOLAR</v>
      </c>
      <c r="B599" s="26" t="str">
        <f>"09DJN0758R"</f>
        <v>09DJN0758R</v>
      </c>
      <c r="C599" s="26" t="str">
        <f>"PROFR. ALFONSO SIERRA PARTIDA                                                                       "</f>
        <v xml:space="preserve">PROFR. ALFONSO SIERRA PARTIDA                                                                       </v>
      </c>
      <c r="D599" s="26" t="str">
        <f>"MATUTINO"</f>
        <v>MATUTINO</v>
      </c>
      <c r="E599" s="26" t="str">
        <f>"NOGAL Y SAN JOSE DE LOS CEDROS                                                  "</f>
        <v xml:space="preserve">NOGAL Y SAN JOSE DE LOS CEDROS                                                  </v>
      </c>
      <c r="F599" s="26" t="str">
        <f>"SAN JOSE DE LOS CEDROS                                                                                                                      "</f>
        <v xml:space="preserve">SAN JOSE DE LOS CEDROS                                                                                                                      </v>
      </c>
      <c r="G599" s="26" t="str">
        <f>"CUAJIMALPA DE MORELOS                                                           "</f>
        <v xml:space="preserve">CUAJIMALPA DE MORELOS                                                           </v>
      </c>
      <c r="H599" s="26" t="str">
        <f>"089"</f>
        <v>089</v>
      </c>
      <c r="I599" s="26" t="str">
        <f t="shared" si="81"/>
        <v>00</v>
      </c>
      <c r="J599" s="26" t="str">
        <f>"33 "</f>
        <v xml:space="preserve">33 </v>
      </c>
      <c r="K599" s="26" t="str">
        <f t="shared" ref="K599:K617" si="86">"EP"</f>
        <v>EP</v>
      </c>
      <c r="L599" s="26" t="str">
        <f t="shared" ref="L599:L617" si="87">"DGOSE"</f>
        <v>DGOSE</v>
      </c>
      <c r="M599" s="26" t="str">
        <f t="shared" si="82"/>
        <v>FEDERAL</v>
      </c>
      <c r="N599" s="26">
        <v>259</v>
      </c>
      <c r="O599" s="26">
        <v>132</v>
      </c>
      <c r="P599" s="26">
        <v>127</v>
      </c>
      <c r="Q599" s="26">
        <v>8</v>
      </c>
      <c r="R599" s="26">
        <v>1</v>
      </c>
      <c r="S599" s="26">
        <v>8</v>
      </c>
      <c r="T599" s="26">
        <v>8</v>
      </c>
      <c r="U599" s="26">
        <v>17</v>
      </c>
      <c r="V599" s="26">
        <v>1</v>
      </c>
      <c r="W599" s="26"/>
    </row>
    <row r="600" spans="1:23" x14ac:dyDescent="0.25">
      <c r="A600" s="26" t="str">
        <f t="shared" si="80"/>
        <v>PREESCOLAR</v>
      </c>
      <c r="B600" s="26" t="str">
        <f>"09DJN0760F"</f>
        <v>09DJN0760F</v>
      </c>
      <c r="C600" s="26" t="str">
        <f>"ALEJANDRO HUMBOLDT                                                                                  "</f>
        <v xml:space="preserve">ALEJANDRO HUMBOLDT                                                                                  </v>
      </c>
      <c r="D600" s="26" t="str">
        <f>"MATUTINO"</f>
        <v>MATUTINO</v>
      </c>
      <c r="E600" s="26" t="str">
        <f>"PLAYA ENCANTADA NO. 234                                                         "</f>
        <v xml:space="preserve">PLAYA ENCANTADA NO. 234                                                         </v>
      </c>
      <c r="F600" s="26" t="str">
        <f>"MILITAR MARTE                                                                                                                               "</f>
        <v xml:space="preserve">MILITAR MARTE                                                                                                                               </v>
      </c>
      <c r="G600" s="26" t="str">
        <f>"IZTACALCO                                                                       "</f>
        <v xml:space="preserve">IZTACALCO                                                                       </v>
      </c>
      <c r="H600" s="26" t="str">
        <f>"230"</f>
        <v>230</v>
      </c>
      <c r="I600" s="26" t="str">
        <f t="shared" si="81"/>
        <v>00</v>
      </c>
      <c r="J600" s="26" t="str">
        <f>"33 "</f>
        <v xml:space="preserve">33 </v>
      </c>
      <c r="K600" s="26" t="str">
        <f t="shared" si="86"/>
        <v>EP</v>
      </c>
      <c r="L600" s="26" t="str">
        <f t="shared" si="87"/>
        <v>DGOSE</v>
      </c>
      <c r="M600" s="26" t="str">
        <f t="shared" si="82"/>
        <v>FEDERAL</v>
      </c>
      <c r="N600" s="26">
        <v>95</v>
      </c>
      <c r="O600" s="26">
        <v>42</v>
      </c>
      <c r="P600" s="26">
        <v>53</v>
      </c>
      <c r="Q600" s="26">
        <v>6</v>
      </c>
      <c r="R600" s="26">
        <v>1</v>
      </c>
      <c r="S600" s="26">
        <v>5</v>
      </c>
      <c r="T600" s="26">
        <v>6</v>
      </c>
      <c r="U600" s="26">
        <v>12</v>
      </c>
      <c r="V600" s="26">
        <v>1</v>
      </c>
      <c r="W600" s="26"/>
    </row>
    <row r="601" spans="1:23" x14ac:dyDescent="0.25">
      <c r="A601" s="26" t="str">
        <f t="shared" si="80"/>
        <v>PREESCOLAR</v>
      </c>
      <c r="B601" s="26" t="str">
        <f>"09DJN0761E"</f>
        <v>09DJN0761E</v>
      </c>
      <c r="C601" s="26" t="str">
        <f>"LUZ PADILLA DE AZUELA                                                                               "</f>
        <v xml:space="preserve">LUZ PADILLA DE AZUELA                                                                               </v>
      </c>
      <c r="D601" s="26" t="str">
        <f>"JORNADA AMPLIADA"</f>
        <v>JORNADA AMPLIADA</v>
      </c>
      <c r="E601" s="26" t="str">
        <f>"INSURGENTES NORTE NO. 439                                                       "</f>
        <v xml:space="preserve">INSURGENTES NORTE NO. 439                                                       </v>
      </c>
      <c r="F601" s="26" t="str">
        <f>"UNIDAD NONOALCO TLATELOLCO                                                                                                                  "</f>
        <v xml:space="preserve">UNIDAD NONOALCO TLATELOLCO                                                                                                                  </v>
      </c>
      <c r="G601" s="26" t="s">
        <v>4128</v>
      </c>
      <c r="H601" s="26" t="str">
        <f>"015"</f>
        <v>015</v>
      </c>
      <c r="I601" s="26" t="str">
        <f t="shared" si="81"/>
        <v>00</v>
      </c>
      <c r="J601" s="26" t="str">
        <f>"31 "</f>
        <v xml:space="preserve">31 </v>
      </c>
      <c r="K601" s="26" t="str">
        <f t="shared" si="86"/>
        <v>EP</v>
      </c>
      <c r="L601" s="26" t="str">
        <f t="shared" si="87"/>
        <v>DGOSE</v>
      </c>
      <c r="M601" s="26" t="str">
        <f t="shared" si="82"/>
        <v>FEDERAL</v>
      </c>
      <c r="N601" s="26">
        <v>125</v>
      </c>
      <c r="O601" s="26">
        <v>58</v>
      </c>
      <c r="P601" s="26">
        <v>67</v>
      </c>
      <c r="Q601" s="26">
        <v>5</v>
      </c>
      <c r="R601" s="26">
        <v>1</v>
      </c>
      <c r="S601" s="26">
        <v>5</v>
      </c>
      <c r="T601" s="26">
        <v>4</v>
      </c>
      <c r="U601" s="26">
        <v>10</v>
      </c>
      <c r="V601" s="26">
        <v>1</v>
      </c>
      <c r="W601" s="26" t="s">
        <v>2076</v>
      </c>
    </row>
    <row r="602" spans="1:23" x14ac:dyDescent="0.25">
      <c r="A602" s="26" t="str">
        <f t="shared" si="80"/>
        <v>PREESCOLAR</v>
      </c>
      <c r="B602" s="26" t="str">
        <f>"09DJN0765A"</f>
        <v>09DJN0765A</v>
      </c>
      <c r="C602" s="26" t="str">
        <f>"AXAYACATL                                                                                           "</f>
        <v xml:space="preserve">AXAYACATL                                                                                           </v>
      </c>
      <c r="D602" s="26" t="str">
        <f>"MATUTINO"</f>
        <v>MATUTINO</v>
      </c>
      <c r="E602" s="26" t="str">
        <f>"CALLE 73 Y AV. SEIS                                                             "</f>
        <v xml:space="preserve">CALLE 73 Y AV. SEIS                                                             </v>
      </c>
      <c r="F602" s="26" t="str">
        <f>"PUEBLA                                                                                                                                      "</f>
        <v xml:space="preserve">PUEBLA                                                                                                                                      </v>
      </c>
      <c r="G602" s="26" t="str">
        <f>"VENUSTIANO CARRANZA                                                             "</f>
        <v xml:space="preserve">VENUSTIANO CARRANZA                                                             </v>
      </c>
      <c r="H602" s="26" t="str">
        <f>"250"</f>
        <v>250</v>
      </c>
      <c r="I602" s="26" t="str">
        <f t="shared" si="81"/>
        <v>00</v>
      </c>
      <c r="J602" s="26" t="str">
        <f>"33 "</f>
        <v xml:space="preserve">33 </v>
      </c>
      <c r="K602" s="26" t="str">
        <f t="shared" si="86"/>
        <v>EP</v>
      </c>
      <c r="L602" s="26" t="str">
        <f t="shared" si="87"/>
        <v>DGOSE</v>
      </c>
      <c r="M602" s="26" t="str">
        <f t="shared" si="82"/>
        <v>FEDERAL</v>
      </c>
      <c r="N602" s="26">
        <v>168</v>
      </c>
      <c r="O602" s="26">
        <v>81</v>
      </c>
      <c r="P602" s="26">
        <v>87</v>
      </c>
      <c r="Q602" s="26">
        <v>5</v>
      </c>
      <c r="R602" s="26">
        <v>1</v>
      </c>
      <c r="S602" s="26">
        <v>5</v>
      </c>
      <c r="T602" s="26">
        <v>4</v>
      </c>
      <c r="U602" s="26">
        <v>10</v>
      </c>
      <c r="V602" s="26">
        <v>1</v>
      </c>
      <c r="W602" s="26"/>
    </row>
    <row r="603" spans="1:23" x14ac:dyDescent="0.25">
      <c r="A603" s="26" t="str">
        <f t="shared" si="80"/>
        <v>PREESCOLAR</v>
      </c>
      <c r="B603" s="26" t="str">
        <f>"09DJN0766Z"</f>
        <v>09DJN0766Z</v>
      </c>
      <c r="C603" s="26" t="str">
        <f>"CUAUHXIMALPAN                                                                                       "</f>
        <v xml:space="preserve">CUAUHXIMALPAN                                                                                       </v>
      </c>
      <c r="D603" s="26" t="str">
        <f>"JORNADA AMPLIADA"</f>
        <v>JORNADA AMPLIADA</v>
      </c>
      <c r="E603" s="26" t="str">
        <f>"CARRETERA MEXICO-TOLUCA KM 21 1/2                                               "</f>
        <v xml:space="preserve">CARRETERA MEXICO-TOLUCA KM 21 1/2                                               </v>
      </c>
      <c r="F603" s="26" t="str">
        <f>"CONTADERO                                                                                                                                   "</f>
        <v xml:space="preserve">CONTADERO                                                                                                                                   </v>
      </c>
      <c r="G603" s="26" t="str">
        <f>"CUAJIMALPA DE MORELOS                                                           "</f>
        <v xml:space="preserve">CUAJIMALPA DE MORELOS                                                           </v>
      </c>
      <c r="H603" s="26" t="str">
        <f>"048"</f>
        <v>048</v>
      </c>
      <c r="I603" s="26" t="str">
        <f t="shared" si="81"/>
        <v>00</v>
      </c>
      <c r="J603" s="26" t="str">
        <f>"34 "</f>
        <v xml:space="preserve">34 </v>
      </c>
      <c r="K603" s="26" t="str">
        <f t="shared" si="86"/>
        <v>EP</v>
      </c>
      <c r="L603" s="26" t="str">
        <f t="shared" si="87"/>
        <v>DGOSE</v>
      </c>
      <c r="M603" s="26" t="str">
        <f t="shared" si="82"/>
        <v>FEDERAL</v>
      </c>
      <c r="N603" s="26">
        <v>153</v>
      </c>
      <c r="O603" s="26">
        <v>69</v>
      </c>
      <c r="P603" s="26">
        <v>84</v>
      </c>
      <c r="Q603" s="26">
        <v>5</v>
      </c>
      <c r="R603" s="26">
        <v>1</v>
      </c>
      <c r="S603" s="26">
        <v>5</v>
      </c>
      <c r="T603" s="26">
        <v>7</v>
      </c>
      <c r="U603" s="26">
        <v>13</v>
      </c>
      <c r="V603" s="26">
        <v>1</v>
      </c>
      <c r="W603" s="26" t="s">
        <v>2076</v>
      </c>
    </row>
    <row r="604" spans="1:23" x14ac:dyDescent="0.25">
      <c r="A604" s="26" t="str">
        <f t="shared" si="80"/>
        <v>PREESCOLAR</v>
      </c>
      <c r="B604" s="26" t="str">
        <f>"09DJN0767Z"</f>
        <v>09DJN0767Z</v>
      </c>
      <c r="C604" s="26" t="str">
        <f>"FRANCISCO ZARCO                                                                                     "</f>
        <v xml:space="preserve">FRANCISCO ZARCO                                                                                     </v>
      </c>
      <c r="D604" s="26" t="str">
        <f>"JORNADA AMPLIADA"</f>
        <v>JORNADA AMPLIADA</v>
      </c>
      <c r="E604" s="26" t="str">
        <f>"MIGUEL E. SCHULTZ NO. 55                                                        "</f>
        <v xml:space="preserve">MIGUEL E. SCHULTZ NO. 55                                                        </v>
      </c>
      <c r="F604" s="26" t="str">
        <f>"SAN RAFAEL                                                                                                                                  "</f>
        <v xml:space="preserve">SAN RAFAEL                                                                                                                                  </v>
      </c>
      <c r="G604" s="26" t="s">
        <v>4128</v>
      </c>
      <c r="H604" s="26" t="str">
        <f>"019"</f>
        <v>019</v>
      </c>
      <c r="I604" s="26" t="str">
        <f t="shared" si="81"/>
        <v>00</v>
      </c>
      <c r="J604" s="26" t="str">
        <f>"31 "</f>
        <v xml:space="preserve">31 </v>
      </c>
      <c r="K604" s="26" t="str">
        <f t="shared" si="86"/>
        <v>EP</v>
      </c>
      <c r="L604" s="26" t="str">
        <f t="shared" si="87"/>
        <v>DGOSE</v>
      </c>
      <c r="M604" s="26" t="str">
        <f t="shared" si="82"/>
        <v>FEDERAL</v>
      </c>
      <c r="N604" s="26">
        <v>115</v>
      </c>
      <c r="O604" s="26">
        <v>50</v>
      </c>
      <c r="P604" s="26">
        <v>65</v>
      </c>
      <c r="Q604" s="26">
        <v>5</v>
      </c>
      <c r="R604" s="26">
        <v>1</v>
      </c>
      <c r="S604" s="26">
        <v>5</v>
      </c>
      <c r="T604" s="26">
        <v>7</v>
      </c>
      <c r="U604" s="26">
        <v>13</v>
      </c>
      <c r="V604" s="26">
        <v>1</v>
      </c>
      <c r="W604" s="26" t="s">
        <v>2076</v>
      </c>
    </row>
    <row r="605" spans="1:23" x14ac:dyDescent="0.25">
      <c r="A605" s="26" t="str">
        <f t="shared" si="80"/>
        <v>PREESCOLAR</v>
      </c>
      <c r="B605" s="26" t="str">
        <f>"09DJN0768Y"</f>
        <v>09DJN0768Y</v>
      </c>
      <c r="C605" s="26" t="str">
        <f>"AMPARO SOLIS PAYAN                                                                                  "</f>
        <v xml:space="preserve">AMPARO SOLIS PAYAN                                                                                  </v>
      </c>
      <c r="D605" s="26" t="str">
        <f>"JORNADA AMPLIADA"</f>
        <v>JORNADA AMPLIADA</v>
      </c>
      <c r="E605" s="26" t="str">
        <f>"LAUREL NO. 10                                                                   "</f>
        <v xml:space="preserve">LAUREL NO. 10                                                                   </v>
      </c>
      <c r="F605" s="26" t="str">
        <f>"SANTA MARIA LA RIBERA                                                                                                                       "</f>
        <v xml:space="preserve">SANTA MARIA LA RIBERA                                                                                                                       </v>
      </c>
      <c r="G605" s="26" t="s">
        <v>4128</v>
      </c>
      <c r="H605" s="26" t="str">
        <f>"015"</f>
        <v>015</v>
      </c>
      <c r="I605" s="26" t="str">
        <f t="shared" si="81"/>
        <v>00</v>
      </c>
      <c r="J605" s="26" t="str">
        <f>"31 "</f>
        <v xml:space="preserve">31 </v>
      </c>
      <c r="K605" s="26" t="str">
        <f t="shared" si="86"/>
        <v>EP</v>
      </c>
      <c r="L605" s="26" t="str">
        <f t="shared" si="87"/>
        <v>DGOSE</v>
      </c>
      <c r="M605" s="26" t="str">
        <f t="shared" si="82"/>
        <v>FEDERAL</v>
      </c>
      <c r="N605" s="26">
        <v>124</v>
      </c>
      <c r="O605" s="26">
        <v>58</v>
      </c>
      <c r="P605" s="26">
        <v>66</v>
      </c>
      <c r="Q605" s="26">
        <v>5</v>
      </c>
      <c r="R605" s="26">
        <v>1</v>
      </c>
      <c r="S605" s="26">
        <v>5</v>
      </c>
      <c r="T605" s="26">
        <v>5</v>
      </c>
      <c r="U605" s="26">
        <v>11</v>
      </c>
      <c r="V605" s="26">
        <v>1</v>
      </c>
      <c r="W605" s="26" t="s">
        <v>2076</v>
      </c>
    </row>
    <row r="606" spans="1:23" x14ac:dyDescent="0.25">
      <c r="A606" s="26" t="str">
        <f t="shared" si="80"/>
        <v>PREESCOLAR</v>
      </c>
      <c r="B606" s="26" t="str">
        <f>"09DJN0769X"</f>
        <v>09DJN0769X</v>
      </c>
      <c r="C606" s="26" t="str">
        <f>"VIRGILIO URIBE                                                                                      "</f>
        <v xml:space="preserve">VIRGILIO URIBE                                                                                      </v>
      </c>
      <c r="D606" s="26" t="str">
        <f>"JORNADA AMPLIADA"</f>
        <v>JORNADA AMPLIADA</v>
      </c>
      <c r="E606" s="26" t="str">
        <f>"W MARTIN DEL CAMPO 108                                                          "</f>
        <v xml:space="preserve">W MARTIN DEL CAMPO 108                                                          </v>
      </c>
      <c r="F606" s="26" t="str">
        <f>"MOCTEZUMA 1A SECCION                                                                                                                        "</f>
        <v xml:space="preserve">MOCTEZUMA 1A SECCION                                                                                                                        </v>
      </c>
      <c r="G606" s="26" t="str">
        <f>"VENUSTIANO CARRANZA                                                             "</f>
        <v xml:space="preserve">VENUSTIANO CARRANZA                                                             </v>
      </c>
      <c r="H606" s="26" t="str">
        <f>"247"</f>
        <v>247</v>
      </c>
      <c r="I606" s="26" t="str">
        <f t="shared" si="81"/>
        <v>00</v>
      </c>
      <c r="J606" s="26" t="str">
        <f>"31 "</f>
        <v xml:space="preserve">31 </v>
      </c>
      <c r="K606" s="26" t="str">
        <f t="shared" si="86"/>
        <v>EP</v>
      </c>
      <c r="L606" s="26" t="str">
        <f t="shared" si="87"/>
        <v>DGOSE</v>
      </c>
      <c r="M606" s="26" t="str">
        <f t="shared" si="82"/>
        <v>FEDERAL</v>
      </c>
      <c r="N606" s="26">
        <v>112</v>
      </c>
      <c r="O606" s="26">
        <v>58</v>
      </c>
      <c r="P606" s="26">
        <v>54</v>
      </c>
      <c r="Q606" s="26">
        <v>5</v>
      </c>
      <c r="R606" s="26">
        <v>1</v>
      </c>
      <c r="S606" s="26">
        <v>5</v>
      </c>
      <c r="T606" s="26">
        <v>6</v>
      </c>
      <c r="U606" s="26">
        <v>12</v>
      </c>
      <c r="V606" s="26">
        <v>1</v>
      </c>
      <c r="W606" s="26" t="s">
        <v>2076</v>
      </c>
    </row>
    <row r="607" spans="1:23" x14ac:dyDescent="0.25">
      <c r="A607" s="26" t="str">
        <f t="shared" si="80"/>
        <v>PREESCOLAR</v>
      </c>
      <c r="B607" s="26" t="str">
        <f>"09DJN0770M"</f>
        <v>09DJN0770M</v>
      </c>
      <c r="C607" s="26" t="str">
        <f>"ELVIRA JIMENEZ VILLAFUERTE                                                                          "</f>
        <v xml:space="preserve">ELVIRA JIMENEZ VILLAFUERTE                                                                          </v>
      </c>
      <c r="D607" s="26" t="str">
        <f>"MATUTINO"</f>
        <v>MATUTINO</v>
      </c>
      <c r="E607" s="26" t="str">
        <f>"CARRETERA AJUSCO Y TIZIMIN S/N                                                  "</f>
        <v xml:space="preserve">CARRETERA AJUSCO Y TIZIMIN S/N                                                  </v>
      </c>
      <c r="F607" s="26" t="str">
        <f>"ZONA EJIDOS DE PADIERNA                                                                                                                     "</f>
        <v xml:space="preserve">ZONA EJIDOS DE PADIERNA                                                                                                                     </v>
      </c>
      <c r="G607" s="26" t="str">
        <f>"TLALPAN                                                                         "</f>
        <v xml:space="preserve">TLALPAN                                                                         </v>
      </c>
      <c r="H607" s="26" t="str">
        <f>"147"</f>
        <v>147</v>
      </c>
      <c r="I607" s="26" t="str">
        <f t="shared" si="81"/>
        <v>00</v>
      </c>
      <c r="J607" s="26" t="str">
        <f>"35 "</f>
        <v xml:space="preserve">35 </v>
      </c>
      <c r="K607" s="26" t="str">
        <f t="shared" si="86"/>
        <v>EP</v>
      </c>
      <c r="L607" s="26" t="str">
        <f t="shared" si="87"/>
        <v>DGOSE</v>
      </c>
      <c r="M607" s="26" t="str">
        <f t="shared" si="82"/>
        <v>FEDERAL</v>
      </c>
      <c r="N607" s="26">
        <v>160</v>
      </c>
      <c r="O607" s="26">
        <v>75</v>
      </c>
      <c r="P607" s="26">
        <v>85</v>
      </c>
      <c r="Q607" s="26">
        <v>6</v>
      </c>
      <c r="R607" s="26">
        <v>1</v>
      </c>
      <c r="S607" s="26">
        <v>6</v>
      </c>
      <c r="T607" s="26">
        <v>4</v>
      </c>
      <c r="U607" s="26">
        <v>11</v>
      </c>
      <c r="V607" s="26">
        <v>1</v>
      </c>
      <c r="W607" s="26"/>
    </row>
    <row r="608" spans="1:23" x14ac:dyDescent="0.25">
      <c r="A608" s="26" t="str">
        <f t="shared" si="80"/>
        <v>PREESCOLAR</v>
      </c>
      <c r="B608" s="26" t="str">
        <f>"09DJN0771L"</f>
        <v>09DJN0771L</v>
      </c>
      <c r="C608" s="26" t="str">
        <f>"AYOTZIN                                                                                             "</f>
        <v xml:space="preserve">AYOTZIN                                                                                             </v>
      </c>
      <c r="D608" s="26" t="str">
        <f>"JORNADA AMPLIADA"</f>
        <v>JORNADA AMPLIADA</v>
      </c>
      <c r="E608" s="26" t="str">
        <f>"CHUMAYEL Y SACALUM S/N                                                          "</f>
        <v xml:space="preserve">CHUMAYEL Y SACALUM S/N                                                          </v>
      </c>
      <c r="F608" s="26" t="str">
        <f>"TORRES DE PADIERNA                                                                                                                          "</f>
        <v xml:space="preserve">TORRES DE PADIERNA                                                                                                                          </v>
      </c>
      <c r="G608" s="26" t="str">
        <f>"TLALPAN                                                                         "</f>
        <v xml:space="preserve">TLALPAN                                                                         </v>
      </c>
      <c r="H608" s="26" t="str">
        <f>"277"</f>
        <v>277</v>
      </c>
      <c r="I608" s="26" t="str">
        <f t="shared" si="81"/>
        <v>00</v>
      </c>
      <c r="J608" s="26" t="str">
        <f>"34 "</f>
        <v xml:space="preserve">34 </v>
      </c>
      <c r="K608" s="26" t="str">
        <f t="shared" si="86"/>
        <v>EP</v>
      </c>
      <c r="L608" s="26" t="str">
        <f t="shared" si="87"/>
        <v>DGOSE</v>
      </c>
      <c r="M608" s="26" t="str">
        <f t="shared" si="82"/>
        <v>FEDERAL</v>
      </c>
      <c r="N608" s="26">
        <v>157</v>
      </c>
      <c r="O608" s="26">
        <v>87</v>
      </c>
      <c r="P608" s="26">
        <v>70</v>
      </c>
      <c r="Q608" s="26">
        <v>5</v>
      </c>
      <c r="R608" s="26">
        <v>1</v>
      </c>
      <c r="S608" s="26">
        <v>5</v>
      </c>
      <c r="T608" s="26">
        <v>5</v>
      </c>
      <c r="U608" s="26">
        <v>11</v>
      </c>
      <c r="V608" s="26">
        <v>1</v>
      </c>
      <c r="W608" s="26" t="s">
        <v>2076</v>
      </c>
    </row>
    <row r="609" spans="1:23" x14ac:dyDescent="0.25">
      <c r="A609" s="26" t="str">
        <f t="shared" si="80"/>
        <v>PREESCOLAR</v>
      </c>
      <c r="B609" s="26" t="str">
        <f>"09DJN0772K"</f>
        <v>09DJN0772K</v>
      </c>
      <c r="C609" s="26" t="str">
        <f>"ANAHUAC                                                                                             "</f>
        <v xml:space="preserve">ANAHUAC                                                                                             </v>
      </c>
      <c r="D609" s="26" t="str">
        <f>"TIEMPO COMPLETO"</f>
        <v>TIEMPO COMPLETO</v>
      </c>
      <c r="E609" s="26" t="str">
        <f>"ORIENTE 171 S/N ESQ. AV. CONGRESO DE LA                                         "</f>
        <v xml:space="preserve">ORIENTE 171 S/N ESQ. AV. CONGRESO DE LA                                         </v>
      </c>
      <c r="F609" s="26" t="str">
        <f>"SAN JUAN DE ARAGON AMPLIACION                                                                                                               "</f>
        <v xml:space="preserve">SAN JUAN DE ARAGON AMPLIACION                                                                                                               </v>
      </c>
      <c r="G609" s="26" t="str">
        <f>"GUSTAVO A. MADERO                                                               "</f>
        <v xml:space="preserve">GUSTAVO A. MADERO                                                               </v>
      </c>
      <c r="H609" s="26" t="str">
        <f>"179"</f>
        <v>179</v>
      </c>
      <c r="I609" s="26" t="str">
        <f t="shared" si="81"/>
        <v>00</v>
      </c>
      <c r="J609" s="26" t="str">
        <f>"31 "</f>
        <v xml:space="preserve">31 </v>
      </c>
      <c r="K609" s="26" t="str">
        <f t="shared" si="86"/>
        <v>EP</v>
      </c>
      <c r="L609" s="26" t="str">
        <f t="shared" si="87"/>
        <v>DGOSE</v>
      </c>
      <c r="M609" s="26" t="str">
        <f t="shared" si="82"/>
        <v>FEDERAL</v>
      </c>
      <c r="N609" s="26">
        <v>151</v>
      </c>
      <c r="O609" s="26">
        <v>69</v>
      </c>
      <c r="P609" s="26">
        <v>82</v>
      </c>
      <c r="Q609" s="26">
        <v>5</v>
      </c>
      <c r="R609" s="26">
        <v>2</v>
      </c>
      <c r="S609" s="26">
        <v>5</v>
      </c>
      <c r="T609" s="26">
        <v>14</v>
      </c>
      <c r="U609" s="26">
        <v>21</v>
      </c>
      <c r="V609" s="26">
        <v>1</v>
      </c>
      <c r="W609" s="26" t="s">
        <v>218</v>
      </c>
    </row>
    <row r="610" spans="1:23" x14ac:dyDescent="0.25">
      <c r="A610" s="26" t="str">
        <f t="shared" si="80"/>
        <v>PREESCOLAR</v>
      </c>
      <c r="B610" s="26" t="str">
        <f>"09DJN0773J"</f>
        <v>09DJN0773J</v>
      </c>
      <c r="C610" s="26" t="str">
        <f>"IGNACIO MANUEL ALTAMIRANO                                                                           "</f>
        <v xml:space="preserve">IGNACIO MANUEL ALTAMIRANO                                                                           </v>
      </c>
      <c r="D610" s="26" t="str">
        <f>"JORNADA AMPLIADA"</f>
        <v>JORNADA AMPLIADA</v>
      </c>
      <c r="E610" s="26" t="str">
        <f>"SUR 4 A NO. 27                                                                  "</f>
        <v xml:space="preserve">SUR 4 A NO. 27                                                                  </v>
      </c>
      <c r="F610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610" s="26" t="str">
        <f>"IZTACALCO                                                                       "</f>
        <v xml:space="preserve">IZTACALCO                                                                       </v>
      </c>
      <c r="H610" s="26" t="str">
        <f>"072"</f>
        <v>072</v>
      </c>
      <c r="I610" s="26" t="str">
        <f t="shared" si="81"/>
        <v>00</v>
      </c>
      <c r="J610" s="26" t="str">
        <f>"31 "</f>
        <v xml:space="preserve">31 </v>
      </c>
      <c r="K610" s="26" t="str">
        <f t="shared" si="86"/>
        <v>EP</v>
      </c>
      <c r="L610" s="26" t="str">
        <f t="shared" si="87"/>
        <v>DGOSE</v>
      </c>
      <c r="M610" s="26" t="str">
        <f t="shared" si="82"/>
        <v>FEDERAL</v>
      </c>
      <c r="N610" s="26">
        <v>217</v>
      </c>
      <c r="O610" s="26">
        <v>118</v>
      </c>
      <c r="P610" s="26">
        <v>99</v>
      </c>
      <c r="Q610" s="26">
        <v>7</v>
      </c>
      <c r="R610" s="26">
        <v>1</v>
      </c>
      <c r="S610" s="26">
        <v>7</v>
      </c>
      <c r="T610" s="26">
        <v>8</v>
      </c>
      <c r="U610" s="26">
        <v>16</v>
      </c>
      <c r="V610" s="26">
        <v>1</v>
      </c>
      <c r="W610" s="26" t="s">
        <v>2076</v>
      </c>
    </row>
    <row r="611" spans="1:23" x14ac:dyDescent="0.25">
      <c r="A611" s="26" t="str">
        <f t="shared" si="80"/>
        <v>PREESCOLAR</v>
      </c>
      <c r="B611" s="26" t="str">
        <f>"09DJN0774I"</f>
        <v>09DJN0774I</v>
      </c>
      <c r="C611" s="26" t="str">
        <f>"DAVID ALFARO SIQUEIROS                                                                              "</f>
        <v xml:space="preserve">DAVID ALFARO SIQUEIROS                                                                              </v>
      </c>
      <c r="D611" s="26" t="str">
        <f>"JORNADA AMPLIADA"</f>
        <v>JORNADA AMPLIADA</v>
      </c>
      <c r="E611" s="26" t="str">
        <f>"RET. NORBERTO FONSECA AND 16 R  MZA.4                                           "</f>
        <v xml:space="preserve">RET. NORBERTO FONSECA AND 16 R  MZA.4                                           </v>
      </c>
      <c r="F611" s="26" t="str">
        <f>"UNIDAD HABITACIONAL EL RISCO CTM                                                                                                            "</f>
        <v xml:space="preserve">UNIDAD HABITACIONAL EL RISCO CTM                                                                                                            </v>
      </c>
      <c r="G611" s="26" t="str">
        <f>"GUSTAVO A. MADERO                                                               "</f>
        <v xml:space="preserve">GUSTAVO A. MADERO                                                               </v>
      </c>
      <c r="H611" s="26" t="str">
        <f>"070"</f>
        <v>070</v>
      </c>
      <c r="I611" s="26" t="str">
        <f t="shared" si="81"/>
        <v>00</v>
      </c>
      <c r="J611" s="26" t="str">
        <f>"31 "</f>
        <v xml:space="preserve">31 </v>
      </c>
      <c r="K611" s="26" t="str">
        <f t="shared" si="86"/>
        <v>EP</v>
      </c>
      <c r="L611" s="26" t="str">
        <f t="shared" si="87"/>
        <v>DGOSE</v>
      </c>
      <c r="M611" s="26" t="str">
        <f t="shared" si="82"/>
        <v>FEDERAL</v>
      </c>
      <c r="N611" s="26">
        <v>249</v>
      </c>
      <c r="O611" s="26">
        <v>147</v>
      </c>
      <c r="P611" s="26">
        <v>102</v>
      </c>
      <c r="Q611" s="26">
        <v>8</v>
      </c>
      <c r="R611" s="26">
        <v>1</v>
      </c>
      <c r="S611" s="26">
        <v>8</v>
      </c>
      <c r="T611" s="26">
        <v>11</v>
      </c>
      <c r="U611" s="26">
        <v>20</v>
      </c>
      <c r="V611" s="26">
        <v>1</v>
      </c>
      <c r="W611" s="26" t="s">
        <v>2076</v>
      </c>
    </row>
    <row r="612" spans="1:23" x14ac:dyDescent="0.25">
      <c r="A612" s="26" t="str">
        <f t="shared" si="80"/>
        <v>PREESCOLAR</v>
      </c>
      <c r="B612" s="26" t="str">
        <f>"09DJN0775H"</f>
        <v>09DJN0775H</v>
      </c>
      <c r="C612" s="26" t="str">
        <f>"JOSE REVUELTAS                                                                                      "</f>
        <v xml:space="preserve">JOSE REVUELTAS                                                                                      </v>
      </c>
      <c r="D612" s="26" t="str">
        <f>"TIEMPO COMPLETO"</f>
        <v>TIEMPO COMPLETO</v>
      </c>
      <c r="E612" s="26" t="str">
        <f>"JUAN DE LA GRANJA S/N                                                           "</f>
        <v xml:space="preserve">JUAN DE LA GRANJA S/N                                                           </v>
      </c>
      <c r="F612" s="26" t="str">
        <f>"MERCED BALBUENA                                                                                                                             "</f>
        <v xml:space="preserve">MERCED BALBUENA                                                                                                                             </v>
      </c>
      <c r="G612" s="26" t="str">
        <f>"VENUSTIANO CARRANZA                                                             "</f>
        <v xml:space="preserve">VENUSTIANO CARRANZA                                                             </v>
      </c>
      <c r="H612" s="26" t="str">
        <f>"026"</f>
        <v>026</v>
      </c>
      <c r="I612" s="26" t="str">
        <f t="shared" si="81"/>
        <v>00</v>
      </c>
      <c r="J612" s="26" t="str">
        <f>"31 "</f>
        <v xml:space="preserve">31 </v>
      </c>
      <c r="K612" s="26" t="str">
        <f t="shared" si="86"/>
        <v>EP</v>
      </c>
      <c r="L612" s="26" t="str">
        <f t="shared" si="87"/>
        <v>DGOSE</v>
      </c>
      <c r="M612" s="26" t="str">
        <f t="shared" si="82"/>
        <v>FEDERAL</v>
      </c>
      <c r="N612" s="26">
        <v>147</v>
      </c>
      <c r="O612" s="26">
        <v>75</v>
      </c>
      <c r="P612" s="26">
        <v>72</v>
      </c>
      <c r="Q612" s="26">
        <v>5</v>
      </c>
      <c r="R612" s="26">
        <v>2</v>
      </c>
      <c r="S612" s="26">
        <v>5</v>
      </c>
      <c r="T612" s="26">
        <v>17</v>
      </c>
      <c r="U612" s="26">
        <v>24</v>
      </c>
      <c r="V612" s="26">
        <v>1</v>
      </c>
      <c r="W612" s="26" t="s">
        <v>218</v>
      </c>
    </row>
    <row r="613" spans="1:23" x14ac:dyDescent="0.25">
      <c r="A613" s="26" t="str">
        <f t="shared" si="80"/>
        <v>PREESCOLAR</v>
      </c>
      <c r="B613" s="26" t="str">
        <f>"09DJN0776G"</f>
        <v>09DJN0776G</v>
      </c>
      <c r="C613" s="26" t="str">
        <f>"AMANECER                                                                                            "</f>
        <v xml:space="preserve">AMANECER                                                                                            </v>
      </c>
      <c r="D613" s="26" t="str">
        <f>"JORNADA AMPLIADA"</f>
        <v>JORNADA AMPLIADA</v>
      </c>
      <c r="E613" s="26" t="str">
        <f>"TLAHUICAS S/N                                                                   "</f>
        <v xml:space="preserve">TLAHUICAS S/N                                                                   </v>
      </c>
      <c r="F613" s="26" t="str">
        <f>"TEZOZOMOC                                                                                                                                   "</f>
        <v xml:space="preserve">TEZOZOMOC                                                                                                                                   </v>
      </c>
      <c r="G613" s="26" t="str">
        <f>"AZCAPOTZALCO                                                                    "</f>
        <v xml:space="preserve">AZCAPOTZALCO                                                                    </v>
      </c>
      <c r="H613" s="26" t="str">
        <f>"176"</f>
        <v>176</v>
      </c>
      <c r="I613" s="26" t="str">
        <f t="shared" si="81"/>
        <v>00</v>
      </c>
      <c r="J613" s="26" t="str">
        <f>"31 "</f>
        <v xml:space="preserve">31 </v>
      </c>
      <c r="K613" s="26" t="str">
        <f t="shared" si="86"/>
        <v>EP</v>
      </c>
      <c r="L613" s="26" t="str">
        <f t="shared" si="87"/>
        <v>DGOSE</v>
      </c>
      <c r="M613" s="26" t="str">
        <f t="shared" si="82"/>
        <v>FEDERAL</v>
      </c>
      <c r="N613" s="26">
        <v>224</v>
      </c>
      <c r="O613" s="26">
        <v>106</v>
      </c>
      <c r="P613" s="26">
        <v>118</v>
      </c>
      <c r="Q613" s="26">
        <v>7</v>
      </c>
      <c r="R613" s="26">
        <v>1</v>
      </c>
      <c r="S613" s="26">
        <v>7</v>
      </c>
      <c r="T613" s="26">
        <v>7</v>
      </c>
      <c r="U613" s="26">
        <v>15</v>
      </c>
      <c r="V613" s="26">
        <v>1</v>
      </c>
      <c r="W613" s="26" t="s">
        <v>2076</v>
      </c>
    </row>
    <row r="614" spans="1:23" x14ac:dyDescent="0.25">
      <c r="A614" s="26" t="str">
        <f t="shared" si="80"/>
        <v>PREESCOLAR</v>
      </c>
      <c r="B614" s="26" t="str">
        <f>"09DJN0777F"</f>
        <v>09DJN0777F</v>
      </c>
      <c r="C614" s="26" t="str">
        <f>"ALFONSO REYES                                                                                       "</f>
        <v xml:space="preserve">ALFONSO REYES                                                                                       </v>
      </c>
      <c r="D614" s="26" t="str">
        <f>"VESPERTINO"</f>
        <v>VESPERTINO</v>
      </c>
      <c r="E614" s="26" t="str">
        <f>"AV. SAN BERNABE S/N                                                             "</f>
        <v xml:space="preserve">AV. SAN BERNABE S/N                                                             </v>
      </c>
      <c r="F614" s="26" t="str">
        <f>"CUAUHTEMOC                                                                                                                                  "</f>
        <v xml:space="preserve">CUAUHTEMOC                                                                                                                                  </v>
      </c>
      <c r="G614" s="26" t="str">
        <f>"LA MAGDALENA CONTRERAS                                                          "</f>
        <v xml:space="preserve">LA MAGDALENA CONTRERAS                                                          </v>
      </c>
      <c r="H614" s="26" t="str">
        <f>"113"</f>
        <v>113</v>
      </c>
      <c r="I614" s="26" t="str">
        <f t="shared" si="81"/>
        <v>00</v>
      </c>
      <c r="J614" s="26" t="str">
        <f>"35 "</f>
        <v xml:space="preserve">35 </v>
      </c>
      <c r="K614" s="26" t="str">
        <f t="shared" si="86"/>
        <v>EP</v>
      </c>
      <c r="L614" s="26" t="str">
        <f t="shared" si="87"/>
        <v>DGOSE</v>
      </c>
      <c r="M614" s="26" t="str">
        <f t="shared" si="82"/>
        <v>FEDERAL</v>
      </c>
      <c r="N614" s="26">
        <v>100</v>
      </c>
      <c r="O614" s="26">
        <v>47</v>
      </c>
      <c r="P614" s="26">
        <v>53</v>
      </c>
      <c r="Q614" s="26">
        <v>5</v>
      </c>
      <c r="R614" s="26">
        <v>1</v>
      </c>
      <c r="S614" s="26">
        <v>4</v>
      </c>
      <c r="T614" s="26">
        <v>4</v>
      </c>
      <c r="U614" s="26">
        <v>9</v>
      </c>
      <c r="V614" s="26">
        <v>1</v>
      </c>
      <c r="W614" s="26"/>
    </row>
    <row r="615" spans="1:23" x14ac:dyDescent="0.25">
      <c r="A615" s="26" t="str">
        <f t="shared" si="80"/>
        <v>PREESCOLAR</v>
      </c>
      <c r="B615" s="26" t="str">
        <f>"09DJN0778E"</f>
        <v>09DJN0778E</v>
      </c>
      <c r="C615" s="26" t="str">
        <f>"MIGUEL HIDALGO Y COSTILLA                                                                           "</f>
        <v xml:space="preserve">MIGUEL HIDALGO Y COSTILLA                                                                           </v>
      </c>
      <c r="D615" s="26" t="str">
        <f>"VESPERTINO"</f>
        <v>VESPERTINO</v>
      </c>
      <c r="E615" s="26" t="str">
        <f>"PONIENTE 112 NO. 609                                                            "</f>
        <v xml:space="preserve">PONIENTE 112 NO. 609                                                            </v>
      </c>
      <c r="F615" s="26" t="str">
        <f>"MAGDALENA DE LAS SALINAS                                                                                                                    "</f>
        <v xml:space="preserve">MAGDALENA DE LAS SALINAS                                                                                                                    </v>
      </c>
      <c r="G615" s="26" t="str">
        <f>"GUSTAVO A. MADERO                                                               "</f>
        <v xml:space="preserve">GUSTAVO A. MADERO                                                               </v>
      </c>
      <c r="H615" s="26" t="str">
        <f>"193"</f>
        <v>193</v>
      </c>
      <c r="I615" s="26" t="str">
        <f t="shared" si="81"/>
        <v>00</v>
      </c>
      <c r="J615" s="26" t="str">
        <f>"32 "</f>
        <v xml:space="preserve">32 </v>
      </c>
      <c r="K615" s="26" t="str">
        <f t="shared" si="86"/>
        <v>EP</v>
      </c>
      <c r="L615" s="26" t="str">
        <f t="shared" si="87"/>
        <v>DGOSE</v>
      </c>
      <c r="M615" s="26" t="str">
        <f t="shared" si="82"/>
        <v>FEDERAL</v>
      </c>
      <c r="N615" s="26">
        <v>74</v>
      </c>
      <c r="O615" s="26">
        <v>38</v>
      </c>
      <c r="P615" s="26">
        <v>36</v>
      </c>
      <c r="Q615" s="26">
        <v>3</v>
      </c>
      <c r="R615" s="26">
        <v>1</v>
      </c>
      <c r="S615" s="26">
        <v>3</v>
      </c>
      <c r="T615" s="26">
        <v>3</v>
      </c>
      <c r="U615" s="26">
        <v>7</v>
      </c>
      <c r="V615" s="26">
        <v>1</v>
      </c>
      <c r="W615" s="26"/>
    </row>
    <row r="616" spans="1:23" x14ac:dyDescent="0.25">
      <c r="A616" s="26" t="str">
        <f t="shared" si="80"/>
        <v>PREESCOLAR</v>
      </c>
      <c r="B616" s="26" t="str">
        <f>"09DJN0779D"</f>
        <v>09DJN0779D</v>
      </c>
      <c r="C616" s="26" t="str">
        <f>"GABRIELA BRIMMER                                                                                    "</f>
        <v xml:space="preserve">GABRIELA BRIMMER                                                                                    </v>
      </c>
      <c r="D616" s="26" t="str">
        <f>"VESPERTINO"</f>
        <v>VESPERTINO</v>
      </c>
      <c r="E616" s="26" t="str">
        <f>"MACARIO GAXIOLA NO. 84                                                          "</f>
        <v xml:space="preserve">MACARIO GAXIOLA NO. 84                                                          </v>
      </c>
      <c r="F616" s="26" t="str">
        <f>"SAN PEDRO XALPA AMPLIACION                                                                                                                  "</f>
        <v xml:space="preserve">SAN PEDRO XALPA AMPLIACION                                                                                                                  </v>
      </c>
      <c r="G616" s="26" t="str">
        <f>"AZCAPOTZALCO                                                                    "</f>
        <v xml:space="preserve">AZCAPOTZALCO                                                                    </v>
      </c>
      <c r="H616" s="26" t="str">
        <f>"059"</f>
        <v>059</v>
      </c>
      <c r="I616" s="26" t="str">
        <f t="shared" si="81"/>
        <v>00</v>
      </c>
      <c r="J616" s="26" t="str">
        <f>"32 "</f>
        <v xml:space="preserve">32 </v>
      </c>
      <c r="K616" s="26" t="str">
        <f t="shared" si="86"/>
        <v>EP</v>
      </c>
      <c r="L616" s="26" t="str">
        <f t="shared" si="87"/>
        <v>DGOSE</v>
      </c>
      <c r="M616" s="26" t="str">
        <f t="shared" si="82"/>
        <v>FEDERAL</v>
      </c>
      <c r="N616" s="26">
        <v>178</v>
      </c>
      <c r="O616" s="26">
        <v>85</v>
      </c>
      <c r="P616" s="26">
        <v>93</v>
      </c>
      <c r="Q616" s="26">
        <v>6</v>
      </c>
      <c r="R616" s="26">
        <v>0</v>
      </c>
      <c r="S616" s="26">
        <v>5</v>
      </c>
      <c r="T616" s="26">
        <v>3</v>
      </c>
      <c r="U616" s="26">
        <v>8</v>
      </c>
      <c r="V616" s="26">
        <v>1</v>
      </c>
      <c r="W616" s="26"/>
    </row>
    <row r="617" spans="1:23" x14ac:dyDescent="0.25">
      <c r="A617" s="26" t="str">
        <f t="shared" si="80"/>
        <v>PREESCOLAR</v>
      </c>
      <c r="B617" s="26" t="str">
        <f>"09DJN0781S"</f>
        <v>09DJN0781S</v>
      </c>
      <c r="C617" s="26" t="str">
        <f>"ESTADO DE VERACRUZ                                                                                  "</f>
        <v xml:space="preserve">ESTADO DE VERACRUZ                                                                                  </v>
      </c>
      <c r="D617" s="26" t="str">
        <f>"TIEMPO COMPLETO"</f>
        <v>TIEMPO COMPLETO</v>
      </c>
      <c r="E617" s="26" t="str">
        <f>"RETORNO 27 Y 29  DE FRAY SERVANDO                                               "</f>
        <v xml:space="preserve">RETORNO 27 Y 29  DE FRAY SERVANDO                                               </v>
      </c>
      <c r="F617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617" s="26" t="str">
        <f>"VENUSTIANO CARRANZA                                                             "</f>
        <v xml:space="preserve">VENUSTIANO CARRANZA                                                             </v>
      </c>
      <c r="H617" s="26" t="str">
        <f>"093"</f>
        <v>093</v>
      </c>
      <c r="I617" s="26" t="str">
        <f t="shared" si="81"/>
        <v>00</v>
      </c>
      <c r="J617" s="26" t="str">
        <f>"31 "</f>
        <v xml:space="preserve">31 </v>
      </c>
      <c r="K617" s="26" t="str">
        <f t="shared" si="86"/>
        <v>EP</v>
      </c>
      <c r="L617" s="26" t="str">
        <f t="shared" si="87"/>
        <v>DGOSE</v>
      </c>
      <c r="M617" s="26" t="str">
        <f t="shared" si="82"/>
        <v>FEDERAL</v>
      </c>
      <c r="N617" s="26">
        <v>161</v>
      </c>
      <c r="O617" s="26">
        <v>82</v>
      </c>
      <c r="P617" s="26">
        <v>79</v>
      </c>
      <c r="Q617" s="26">
        <v>5</v>
      </c>
      <c r="R617" s="26">
        <v>2</v>
      </c>
      <c r="S617" s="26">
        <v>5</v>
      </c>
      <c r="T617" s="26">
        <v>15</v>
      </c>
      <c r="U617" s="26">
        <v>22</v>
      </c>
      <c r="V617" s="26">
        <v>1</v>
      </c>
      <c r="W617" s="26" t="s">
        <v>218</v>
      </c>
    </row>
    <row r="618" spans="1:23" x14ac:dyDescent="0.25">
      <c r="A618" s="26" t="str">
        <f t="shared" si="80"/>
        <v>PREESCOLAR</v>
      </c>
      <c r="B618" s="26" t="str">
        <f>"09DJN0782R"</f>
        <v>09DJN0782R</v>
      </c>
      <c r="C618" s="26" t="str">
        <f>"IGNACIO RAMIREZ                                                                                     "</f>
        <v xml:space="preserve">IGNACIO RAMIREZ                                                                                     </v>
      </c>
      <c r="D618" s="26" t="str">
        <f>"TIEMPO COMPLETO"</f>
        <v>TIEMPO COMPLETO</v>
      </c>
      <c r="E618" s="26" t="str">
        <f>"FELIPE DE LA GARZA NO. 251 Y J. SUBIETA N.                                      "</f>
        <v xml:space="preserve">FELIPE DE LA GARZA NO. 251 Y J. SUBIETA N.                                      </v>
      </c>
      <c r="F618" s="26" t="str">
        <f>"JUAN ESCUTIA                                                                                                                                "</f>
        <v xml:space="preserve">JUAN ESCUTIA                                                                                                                                </v>
      </c>
      <c r="G618" s="26" t="str">
        <f>"IZTAPALAPA                                                                      "</f>
        <v xml:space="preserve">IZTAPALAPA                                                                      </v>
      </c>
      <c r="H618" s="26" t="str">
        <f>"006"</f>
        <v>006</v>
      </c>
      <c r="I618" s="26" t="str">
        <f t="shared" si="81"/>
        <v>00</v>
      </c>
      <c r="J618" s="26" t="str">
        <f>"61 "</f>
        <v xml:space="preserve">61 </v>
      </c>
      <c r="K618" s="26" t="str">
        <f>"IZ"</f>
        <v>IZ</v>
      </c>
      <c r="L618" s="26" t="str">
        <f>"DGSEI"</f>
        <v>DGSEI</v>
      </c>
      <c r="M618" s="26" t="str">
        <f t="shared" si="82"/>
        <v>FEDERAL</v>
      </c>
      <c r="N618" s="26">
        <v>269</v>
      </c>
      <c r="O618" s="26">
        <v>123</v>
      </c>
      <c r="P618" s="26">
        <v>146</v>
      </c>
      <c r="Q618" s="26">
        <v>8</v>
      </c>
      <c r="R618" s="26">
        <v>1</v>
      </c>
      <c r="S618" s="26">
        <v>8</v>
      </c>
      <c r="T618" s="26">
        <v>10</v>
      </c>
      <c r="U618" s="26">
        <v>19</v>
      </c>
      <c r="V618" s="26">
        <v>1</v>
      </c>
      <c r="W618" s="26" t="s">
        <v>218</v>
      </c>
    </row>
    <row r="619" spans="1:23" x14ac:dyDescent="0.25">
      <c r="A619" s="26" t="str">
        <f t="shared" si="80"/>
        <v>PREESCOLAR</v>
      </c>
      <c r="B619" s="26" t="str">
        <f>"09DJN0783Q"</f>
        <v>09DJN0783Q</v>
      </c>
      <c r="C619" s="26" t="str">
        <f>"PROGRESO                                                                                            "</f>
        <v xml:space="preserve">PROGRESO                                                                                            </v>
      </c>
      <c r="D619" s="26" t="str">
        <f>"JORNADA AMPLIADA"</f>
        <v>JORNADA AMPLIADA</v>
      </c>
      <c r="E619" s="26" t="str">
        <f>"PROGRESO NO. 193                                                                "</f>
        <v xml:space="preserve">PROGRESO NO. 193                                                                </v>
      </c>
      <c r="F619" s="26" t="str">
        <f>"ESCANDON                                                                                                                                    "</f>
        <v xml:space="preserve">ESCANDON                                                                                                                                    </v>
      </c>
      <c r="G619" s="26" t="str">
        <f>"MIGUEL HIDALGO                                                                  "</f>
        <v xml:space="preserve">MIGUEL HIDALGO                                                                  </v>
      </c>
      <c r="H619" s="26" t="str">
        <f>"013"</f>
        <v>013</v>
      </c>
      <c r="I619" s="26" t="str">
        <f t="shared" si="81"/>
        <v>00</v>
      </c>
      <c r="J619" s="26" t="str">
        <f>"31 "</f>
        <v xml:space="preserve">31 </v>
      </c>
      <c r="K619" s="26" t="str">
        <f>"EP"</f>
        <v>EP</v>
      </c>
      <c r="L619" s="26" t="str">
        <f>"DGOSE"</f>
        <v>DGOSE</v>
      </c>
      <c r="M619" s="26" t="str">
        <f t="shared" si="82"/>
        <v>FEDERAL</v>
      </c>
      <c r="N619" s="26">
        <v>72</v>
      </c>
      <c r="O619" s="26">
        <v>40</v>
      </c>
      <c r="P619" s="26">
        <v>32</v>
      </c>
      <c r="Q619" s="26">
        <v>4</v>
      </c>
      <c r="R619" s="26">
        <v>1</v>
      </c>
      <c r="S619" s="26">
        <v>4</v>
      </c>
      <c r="T619" s="26">
        <v>7</v>
      </c>
      <c r="U619" s="26">
        <v>12</v>
      </c>
      <c r="V619" s="26">
        <v>1</v>
      </c>
      <c r="W619" s="26" t="s">
        <v>2076</v>
      </c>
    </row>
    <row r="620" spans="1:23" x14ac:dyDescent="0.25">
      <c r="A620" s="26" t="str">
        <f t="shared" si="80"/>
        <v>PREESCOLAR</v>
      </c>
      <c r="B620" s="26" t="str">
        <f>"09DJN0784P"</f>
        <v>09DJN0784P</v>
      </c>
      <c r="C620" s="26" t="str">
        <f>"PROFESORA DOLORES PASOS                                                                             "</f>
        <v xml:space="preserve">PROFESORA DOLORES PASOS                                                                             </v>
      </c>
      <c r="D620" s="26" t="str">
        <f>"JORNADA AMPLIADA"</f>
        <v>JORNADA AMPLIADA</v>
      </c>
      <c r="E620" s="26" t="str">
        <f>"HIPERION S/N                                                                    "</f>
        <v xml:space="preserve">HIPERION S/N                                                                    </v>
      </c>
      <c r="F620" s="26" t="str">
        <f>"SIDERAL                                                                                                                                     "</f>
        <v xml:space="preserve">SIDERAL                                                                                                                                     </v>
      </c>
      <c r="G620" s="26" t="str">
        <f>"IZTAPALAPA                                                                      "</f>
        <v xml:space="preserve">IZTAPALAPA                                                                      </v>
      </c>
      <c r="H620" s="26" t="str">
        <f>"005"</f>
        <v>005</v>
      </c>
      <c r="I620" s="26" t="str">
        <f t="shared" si="81"/>
        <v>00</v>
      </c>
      <c r="J620" s="26" t="str">
        <f>"61 "</f>
        <v xml:space="preserve">61 </v>
      </c>
      <c r="K620" s="26" t="str">
        <f>"IZ"</f>
        <v>IZ</v>
      </c>
      <c r="L620" s="26" t="str">
        <f>"DGSEI"</f>
        <v>DGSEI</v>
      </c>
      <c r="M620" s="26" t="str">
        <f t="shared" si="82"/>
        <v>FEDERAL</v>
      </c>
      <c r="N620" s="26">
        <v>178</v>
      </c>
      <c r="O620" s="26">
        <v>100</v>
      </c>
      <c r="P620" s="26">
        <v>78</v>
      </c>
      <c r="Q620" s="26">
        <v>5</v>
      </c>
      <c r="R620" s="26">
        <v>1</v>
      </c>
      <c r="S620" s="26">
        <v>5</v>
      </c>
      <c r="T620" s="26">
        <v>7</v>
      </c>
      <c r="U620" s="26">
        <v>13</v>
      </c>
      <c r="V620" s="26">
        <v>1</v>
      </c>
      <c r="W620" s="26" t="s">
        <v>2076</v>
      </c>
    </row>
    <row r="621" spans="1:23" x14ac:dyDescent="0.25">
      <c r="A621" s="26" t="str">
        <f t="shared" si="80"/>
        <v>PREESCOLAR</v>
      </c>
      <c r="B621" s="26" t="str">
        <f>"09DJN0785O"</f>
        <v>09DJN0785O</v>
      </c>
      <c r="C621" s="26" t="str">
        <f>"CLUB DE LEONES IZTACALCO                                                                            "</f>
        <v xml:space="preserve">CLUB DE LEONES IZTACALCO                                                                            </v>
      </c>
      <c r="D621" s="26" t="str">
        <f>"JORNADA AMPLIADA"</f>
        <v>JORNADA AMPLIADA</v>
      </c>
      <c r="E621" s="26" t="str">
        <f>"JUAREZ NO. 29                                                                   "</f>
        <v xml:space="preserve">JUAREZ NO. 29                                                                   </v>
      </c>
      <c r="F621" s="26" t="str">
        <f>"SANTA ANITA                                                                                                                                 "</f>
        <v xml:space="preserve">SANTA ANITA                                                                                                                                 </v>
      </c>
      <c r="G621" s="26" t="str">
        <f>"IZTACALCO                                                                       "</f>
        <v xml:space="preserve">IZTACALCO                                                                       </v>
      </c>
      <c r="H621" s="26" t="str">
        <f>"085"</f>
        <v>085</v>
      </c>
      <c r="I621" s="26" t="str">
        <f t="shared" si="81"/>
        <v>00</v>
      </c>
      <c r="J621" s="26" t="str">
        <f>"31 "</f>
        <v xml:space="preserve">31 </v>
      </c>
      <c r="K621" s="26" t="str">
        <f t="shared" ref="K621:K643" si="88">"EP"</f>
        <v>EP</v>
      </c>
      <c r="L621" s="26" t="str">
        <f t="shared" ref="L621:L643" si="89">"DGOSE"</f>
        <v>DGOSE</v>
      </c>
      <c r="M621" s="26" t="str">
        <f t="shared" si="82"/>
        <v>FEDERAL</v>
      </c>
      <c r="N621" s="26">
        <v>91</v>
      </c>
      <c r="O621" s="26">
        <v>55</v>
      </c>
      <c r="P621" s="26">
        <v>36</v>
      </c>
      <c r="Q621" s="26">
        <v>3</v>
      </c>
      <c r="R621" s="26">
        <v>1</v>
      </c>
      <c r="S621" s="26">
        <v>3</v>
      </c>
      <c r="T621" s="26">
        <v>4</v>
      </c>
      <c r="U621" s="26">
        <v>8</v>
      </c>
      <c r="V621" s="26">
        <v>1</v>
      </c>
      <c r="W621" s="26" t="s">
        <v>2076</v>
      </c>
    </row>
    <row r="622" spans="1:23" x14ac:dyDescent="0.25">
      <c r="A622" s="26" t="str">
        <f t="shared" si="80"/>
        <v>PREESCOLAR</v>
      </c>
      <c r="B622" s="26" t="str">
        <f>"09DJN0786N"</f>
        <v>09DJN0786N</v>
      </c>
      <c r="C622" s="26" t="str">
        <f>"KALLINPILTONTLI                                                                                     "</f>
        <v xml:space="preserve">KALLINPILTONTLI                                                                                     </v>
      </c>
      <c r="D622" s="26" t="str">
        <f>"VESPERTINO"</f>
        <v>VESPERTINO</v>
      </c>
      <c r="E622" s="26" t="str">
        <f>"V.C. Y A. BONFIL MZA. 110 B LTE. 813-B                                          "</f>
        <v xml:space="preserve">V.C. Y A. BONFIL MZA. 110 B LTE. 813-B                                          </v>
      </c>
      <c r="F622" s="26" t="str">
        <f>"MIGUEL HIDALGO AMPLIACION                                                                                                                   "</f>
        <v xml:space="preserve">MIGUEL HIDALGO AMPLIACION                                                                                                                   </v>
      </c>
      <c r="G622" s="26" t="str">
        <f>"TLALPAN                                                                         "</f>
        <v xml:space="preserve">TLALPAN                                                                         </v>
      </c>
      <c r="H622" s="26" t="str">
        <f>"225"</f>
        <v>225</v>
      </c>
      <c r="I622" s="26" t="str">
        <f t="shared" si="81"/>
        <v>00</v>
      </c>
      <c r="J622" s="26" t="str">
        <f>"35 "</f>
        <v xml:space="preserve">35 </v>
      </c>
      <c r="K622" s="26" t="str">
        <f t="shared" si="88"/>
        <v>EP</v>
      </c>
      <c r="L622" s="26" t="str">
        <f t="shared" si="89"/>
        <v>DGOSE</v>
      </c>
      <c r="M622" s="26" t="str">
        <f t="shared" si="82"/>
        <v>FEDERAL</v>
      </c>
      <c r="N622" s="26">
        <v>120</v>
      </c>
      <c r="O622" s="26">
        <v>67</v>
      </c>
      <c r="P622" s="26">
        <v>53</v>
      </c>
      <c r="Q622" s="26">
        <v>3</v>
      </c>
      <c r="R622" s="26">
        <v>1</v>
      </c>
      <c r="S622" s="26">
        <v>3</v>
      </c>
      <c r="T622" s="26">
        <v>2</v>
      </c>
      <c r="U622" s="26">
        <v>6</v>
      </c>
      <c r="V622" s="26">
        <v>1</v>
      </c>
      <c r="W622" s="26"/>
    </row>
    <row r="623" spans="1:23" x14ac:dyDescent="0.25">
      <c r="A623" s="26" t="str">
        <f t="shared" si="80"/>
        <v>PREESCOLAR</v>
      </c>
      <c r="B623" s="26" t="str">
        <f>"09DJN0787M"</f>
        <v>09DJN0787M</v>
      </c>
      <c r="C623" s="26" t="str">
        <f>"HERMINIO KENNY                                                                                      "</f>
        <v xml:space="preserve">HERMINIO KENNY                                                                                      </v>
      </c>
      <c r="D623" s="26" t="str">
        <f>"MATUTINO"</f>
        <v>MATUTINO</v>
      </c>
      <c r="E623" s="26" t="str">
        <f>"CAMPO MINATITLAN NO. 98                                                         "</f>
        <v xml:space="preserve">CAMPO MINATITLAN NO. 98                                                         </v>
      </c>
      <c r="F623" s="26" t="str">
        <f>"REYNOSA TAMAULIPAS                                                                                                                          "</f>
        <v xml:space="preserve">REYNOSA TAMAULIPAS                                                                                                                          </v>
      </c>
      <c r="G623" s="26" t="str">
        <f>"AZCAPOTZALCO                                                                    "</f>
        <v xml:space="preserve">AZCAPOTZALCO                                                                    </v>
      </c>
      <c r="H623" s="26" t="str">
        <f>"059"</f>
        <v>059</v>
      </c>
      <c r="I623" s="26" t="str">
        <f t="shared" si="81"/>
        <v>00</v>
      </c>
      <c r="J623" s="26" t="str">
        <f>"32 "</f>
        <v xml:space="preserve">32 </v>
      </c>
      <c r="K623" s="26" t="str">
        <f t="shared" si="88"/>
        <v>EP</v>
      </c>
      <c r="L623" s="26" t="str">
        <f t="shared" si="89"/>
        <v>DGOSE</v>
      </c>
      <c r="M623" s="26" t="str">
        <f t="shared" si="82"/>
        <v>FEDERAL</v>
      </c>
      <c r="N623" s="26">
        <v>151</v>
      </c>
      <c r="O623" s="26">
        <v>78</v>
      </c>
      <c r="P623" s="26">
        <v>73</v>
      </c>
      <c r="Q623" s="26">
        <v>5</v>
      </c>
      <c r="R623" s="26">
        <v>1</v>
      </c>
      <c r="S623" s="26">
        <v>5</v>
      </c>
      <c r="T623" s="26">
        <v>4</v>
      </c>
      <c r="U623" s="26">
        <v>10</v>
      </c>
      <c r="V623" s="26">
        <v>1</v>
      </c>
      <c r="W623" s="26"/>
    </row>
    <row r="624" spans="1:23" x14ac:dyDescent="0.25">
      <c r="A624" s="26" t="str">
        <f t="shared" si="80"/>
        <v>PREESCOLAR</v>
      </c>
      <c r="B624" s="26" t="str">
        <f>"09DJN0788L"</f>
        <v>09DJN0788L</v>
      </c>
      <c r="C624" s="26" t="str">
        <f>"REP. DE PARAGUAY                                                                                    "</f>
        <v xml:space="preserve">REP. DE PARAGUAY                                                                                    </v>
      </c>
      <c r="D624" s="26" t="str">
        <f>"JORNADA AMPLIADA"</f>
        <v>JORNADA AMPLIADA</v>
      </c>
      <c r="E624" s="26" t="str">
        <f>"2DA. Y 3RA. CDA. AV. AQUILES SERDAN NO.                                         "</f>
        <v xml:space="preserve">2DA. Y 3RA. CDA. AV. AQUILES SERDAN NO.                                         </v>
      </c>
      <c r="F624" s="26" t="str">
        <f>"SANTO DOMINGO                                                                                                                               "</f>
        <v xml:space="preserve">SANTO DOMINGO                                                                                                                               </v>
      </c>
      <c r="G624" s="26" t="str">
        <f>"AZCAPOTZALCO                                                                    "</f>
        <v xml:space="preserve">AZCAPOTZALCO                                                                    </v>
      </c>
      <c r="H624" s="26" t="str">
        <f>"067"</f>
        <v>067</v>
      </c>
      <c r="I624" s="26" t="str">
        <f t="shared" si="81"/>
        <v>00</v>
      </c>
      <c r="J624" s="26" t="str">
        <f>"31 "</f>
        <v xml:space="preserve">31 </v>
      </c>
      <c r="K624" s="26" t="str">
        <f t="shared" si="88"/>
        <v>EP</v>
      </c>
      <c r="L624" s="26" t="str">
        <f t="shared" si="89"/>
        <v>DGOSE</v>
      </c>
      <c r="M624" s="26" t="str">
        <f t="shared" si="82"/>
        <v>FEDERAL</v>
      </c>
      <c r="N624" s="26">
        <v>245</v>
      </c>
      <c r="O624" s="26">
        <v>126</v>
      </c>
      <c r="P624" s="26">
        <v>119</v>
      </c>
      <c r="Q624" s="26">
        <v>8</v>
      </c>
      <c r="R624" s="26">
        <v>1</v>
      </c>
      <c r="S624" s="26">
        <v>7</v>
      </c>
      <c r="T624" s="26">
        <v>7</v>
      </c>
      <c r="U624" s="26">
        <v>15</v>
      </c>
      <c r="V624" s="26">
        <v>1</v>
      </c>
      <c r="W624" s="26" t="s">
        <v>2076</v>
      </c>
    </row>
    <row r="625" spans="1:23" x14ac:dyDescent="0.25">
      <c r="A625" s="26" t="str">
        <f t="shared" si="80"/>
        <v>PREESCOLAR</v>
      </c>
      <c r="B625" s="26" t="str">
        <f>"09DJN0789K"</f>
        <v>09DJN0789K</v>
      </c>
      <c r="C625" s="26" t="str">
        <f>"CELIA AMEZCUA                                                                                       "</f>
        <v xml:space="preserve">CELIA AMEZCUA                                                                                       </v>
      </c>
      <c r="D625" s="26" t="str">
        <f>"JORNADA AMPLIADA"</f>
        <v>JORNADA AMPLIADA</v>
      </c>
      <c r="E625" s="26" t="str">
        <f>"CALZ. DEL ROSARIO S/N                                                           "</f>
        <v xml:space="preserve">CALZ. DEL ROSARIO S/N                                                           </v>
      </c>
      <c r="F625" s="26" t="str">
        <f>"SAN MARTIN XOCHINAHUAC                                                                                                                      "</f>
        <v xml:space="preserve">SAN MARTIN XOCHINAHUAC                                                                                                                      </v>
      </c>
      <c r="G625" s="26" t="str">
        <f>"AZCAPOTZALCO                                                                    "</f>
        <v xml:space="preserve">AZCAPOTZALCO                                                                    </v>
      </c>
      <c r="H625" s="26" t="str">
        <f>"176"</f>
        <v>176</v>
      </c>
      <c r="I625" s="26" t="str">
        <f t="shared" si="81"/>
        <v>00</v>
      </c>
      <c r="J625" s="26" t="str">
        <f>"31 "</f>
        <v xml:space="preserve">31 </v>
      </c>
      <c r="K625" s="26" t="str">
        <f t="shared" si="88"/>
        <v>EP</v>
      </c>
      <c r="L625" s="26" t="str">
        <f t="shared" si="89"/>
        <v>DGOSE</v>
      </c>
      <c r="M625" s="26" t="str">
        <f t="shared" si="82"/>
        <v>FEDERAL</v>
      </c>
      <c r="N625" s="26">
        <v>202</v>
      </c>
      <c r="O625" s="26">
        <v>97</v>
      </c>
      <c r="P625" s="26">
        <v>105</v>
      </c>
      <c r="Q625" s="26">
        <v>7</v>
      </c>
      <c r="R625" s="26">
        <v>1</v>
      </c>
      <c r="S625" s="26">
        <v>7</v>
      </c>
      <c r="T625" s="26">
        <v>8</v>
      </c>
      <c r="U625" s="26">
        <v>16</v>
      </c>
      <c r="V625" s="26">
        <v>1</v>
      </c>
      <c r="W625" s="26" t="s">
        <v>2076</v>
      </c>
    </row>
    <row r="626" spans="1:23" x14ac:dyDescent="0.25">
      <c r="A626" s="26" t="str">
        <f t="shared" si="80"/>
        <v>PREESCOLAR</v>
      </c>
      <c r="B626" s="26" t="str">
        <f>"09DJN0790Z"</f>
        <v>09DJN0790Z</v>
      </c>
      <c r="C626" s="26" t="str">
        <f>"CLOTILDE GONZALEZ GARCIA                                                                            "</f>
        <v xml:space="preserve">CLOTILDE GONZALEZ GARCIA                                                                            </v>
      </c>
      <c r="D626" s="26" t="str">
        <f>"MATUTINO"</f>
        <v>MATUTINO</v>
      </c>
      <c r="E626" s="26" t="str">
        <f>"CAMINO REAL DE SAN MARTIN NO. 78                                                "</f>
        <v xml:space="preserve">CAMINO REAL DE SAN MARTIN NO. 78                                                </v>
      </c>
      <c r="F626" s="26" t="str">
        <f>"SANTA BARBARA                                                                                                                               "</f>
        <v xml:space="preserve">SANTA BARBARA                                                                                                                               </v>
      </c>
      <c r="G626" s="26" t="str">
        <f>"AZCAPOTZALCO                                                                    "</f>
        <v xml:space="preserve">AZCAPOTZALCO                                                                    </v>
      </c>
      <c r="H626" s="26" t="str">
        <f>"056"</f>
        <v>056</v>
      </c>
      <c r="I626" s="26" t="str">
        <f t="shared" si="81"/>
        <v>00</v>
      </c>
      <c r="J626" s="26" t="str">
        <f>"32 "</f>
        <v xml:space="preserve">32 </v>
      </c>
      <c r="K626" s="26" t="str">
        <f t="shared" si="88"/>
        <v>EP</v>
      </c>
      <c r="L626" s="26" t="str">
        <f t="shared" si="89"/>
        <v>DGOSE</v>
      </c>
      <c r="M626" s="26" t="str">
        <f t="shared" si="82"/>
        <v>FEDERAL</v>
      </c>
      <c r="N626" s="26">
        <v>166</v>
      </c>
      <c r="O626" s="26">
        <v>89</v>
      </c>
      <c r="P626" s="26">
        <v>77</v>
      </c>
      <c r="Q626" s="26">
        <v>7</v>
      </c>
      <c r="R626" s="26">
        <v>1</v>
      </c>
      <c r="S626" s="26">
        <v>6</v>
      </c>
      <c r="T626" s="26">
        <v>6</v>
      </c>
      <c r="U626" s="26">
        <v>13</v>
      </c>
      <c r="V626" s="26">
        <v>1</v>
      </c>
      <c r="W626" s="26"/>
    </row>
    <row r="627" spans="1:23" x14ac:dyDescent="0.25">
      <c r="A627" s="26" t="str">
        <f t="shared" si="80"/>
        <v>PREESCOLAR</v>
      </c>
      <c r="B627" s="26" t="str">
        <f>"09DJN0791Z"</f>
        <v>09DJN0791Z</v>
      </c>
      <c r="C627" s="26" t="str">
        <f>"JOSE AZUETA                                                                                         "</f>
        <v xml:space="preserve">JOSE AZUETA                                                                                         </v>
      </c>
      <c r="D627" s="26" t="str">
        <f>"TIEMPO COMPLETO"</f>
        <v>TIEMPO COMPLETO</v>
      </c>
      <c r="E627" s="26" t="str">
        <f>"CARLOS B. ZETINA NO. 50                                                         "</f>
        <v xml:space="preserve">CARLOS B. ZETINA NO. 50                                                         </v>
      </c>
      <c r="F627" s="26" t="str">
        <f>"ESCANDON                                                                                                                                    "</f>
        <v xml:space="preserve">ESCANDON                                                                                                                                    </v>
      </c>
      <c r="G627" s="26" t="str">
        <f>"MIGUEL HIDALGO                                                                  "</f>
        <v xml:space="preserve">MIGUEL HIDALGO                                                                  </v>
      </c>
      <c r="H627" s="26" t="str">
        <f>"013"</f>
        <v>013</v>
      </c>
      <c r="I627" s="26" t="str">
        <f t="shared" si="81"/>
        <v>00</v>
      </c>
      <c r="J627" s="26" t="str">
        <f>"31 "</f>
        <v xml:space="preserve">31 </v>
      </c>
      <c r="K627" s="26" t="str">
        <f t="shared" si="88"/>
        <v>EP</v>
      </c>
      <c r="L627" s="26" t="str">
        <f t="shared" si="89"/>
        <v>DGOSE</v>
      </c>
      <c r="M627" s="26" t="str">
        <f t="shared" si="82"/>
        <v>FEDERAL</v>
      </c>
      <c r="N627" s="26">
        <v>173</v>
      </c>
      <c r="O627" s="26">
        <v>91</v>
      </c>
      <c r="P627" s="26">
        <v>82</v>
      </c>
      <c r="Q627" s="26">
        <v>7</v>
      </c>
      <c r="R627" s="26">
        <v>1</v>
      </c>
      <c r="S627" s="26">
        <v>7</v>
      </c>
      <c r="T627" s="26">
        <v>16</v>
      </c>
      <c r="U627" s="26">
        <v>24</v>
      </c>
      <c r="V627" s="26">
        <v>1</v>
      </c>
      <c r="W627" s="26" t="s">
        <v>218</v>
      </c>
    </row>
    <row r="628" spans="1:23" x14ac:dyDescent="0.25">
      <c r="A628" s="26" t="str">
        <f t="shared" si="80"/>
        <v>PREESCOLAR</v>
      </c>
      <c r="B628" s="26" t="str">
        <f>"09DJN0792Y"</f>
        <v>09DJN0792Y</v>
      </c>
      <c r="C628" s="26" t="str">
        <f>"MEXICO                                                                                              "</f>
        <v xml:space="preserve">MEXICO                                                                                              </v>
      </c>
      <c r="D628" s="26" t="str">
        <f>"JORNADA AMPLIADA"</f>
        <v>JORNADA AMPLIADA</v>
      </c>
      <c r="E628" s="26" t="str">
        <f>"LAGO CONSTANZA NO. 43                                                           "</f>
        <v xml:space="preserve">LAGO CONSTANZA NO. 43                                                           </v>
      </c>
      <c r="F628" s="26" t="str">
        <f>"AHUEHUETES ANAHUAC                                                                                                                          "</f>
        <v xml:space="preserve">AHUEHUETES ANAHUAC                                                                                                                          </v>
      </c>
      <c r="G628" s="26" t="str">
        <f>"MIGUEL HIDALGO                                                                  "</f>
        <v xml:space="preserve">MIGUEL HIDALGO                                                                  </v>
      </c>
      <c r="H628" s="26" t="str">
        <f>"206"</f>
        <v>206</v>
      </c>
      <c r="I628" s="26" t="str">
        <f t="shared" si="81"/>
        <v>00</v>
      </c>
      <c r="J628" s="26" t="str">
        <f>"31 "</f>
        <v xml:space="preserve">31 </v>
      </c>
      <c r="K628" s="26" t="str">
        <f t="shared" si="88"/>
        <v>EP</v>
      </c>
      <c r="L628" s="26" t="str">
        <f t="shared" si="89"/>
        <v>DGOSE</v>
      </c>
      <c r="M628" s="26" t="str">
        <f t="shared" si="82"/>
        <v>FEDERAL</v>
      </c>
      <c r="N628" s="26">
        <v>121</v>
      </c>
      <c r="O628" s="26">
        <v>56</v>
      </c>
      <c r="P628" s="26">
        <v>65</v>
      </c>
      <c r="Q628" s="26">
        <v>6</v>
      </c>
      <c r="R628" s="26">
        <v>1</v>
      </c>
      <c r="S628" s="26">
        <v>6</v>
      </c>
      <c r="T628" s="26">
        <v>5</v>
      </c>
      <c r="U628" s="26">
        <v>12</v>
      </c>
      <c r="V628" s="26">
        <v>1</v>
      </c>
      <c r="W628" s="26" t="s">
        <v>2076</v>
      </c>
    </row>
    <row r="629" spans="1:23" x14ac:dyDescent="0.25">
      <c r="A629" s="26" t="str">
        <f t="shared" si="80"/>
        <v>PREESCOLAR</v>
      </c>
      <c r="B629" s="26" t="str">
        <f>"09DJN0794W"</f>
        <v>09DJN0794W</v>
      </c>
      <c r="C629" s="26" t="str">
        <f>"LIC. JOSE VASCONCELOS                                                                               "</f>
        <v xml:space="preserve">LIC. JOSE VASCONCELOS                                                                               </v>
      </c>
      <c r="D629" s="26" t="str">
        <f>"VESPERTINO"</f>
        <v>VESPERTINO</v>
      </c>
      <c r="E629" s="26" t="str">
        <f>"CALLE 311 NO. 185                                                               "</f>
        <v xml:space="preserve">CALLE 311 NO. 185                                                               </v>
      </c>
      <c r="F629" s="26" t="str">
        <f>"NUEVA ATZACOALCO                                                                                                                            "</f>
        <v xml:space="preserve">NUEVA ATZACOALCO                                                                                                                            </v>
      </c>
      <c r="G629" s="26" t="str">
        <f>"GUSTAVO A. MADERO                                                               "</f>
        <v xml:space="preserve">GUSTAVO A. MADERO                                                               </v>
      </c>
      <c r="H629" s="26" t="str">
        <f>"197"</f>
        <v>197</v>
      </c>
      <c r="I629" s="26" t="str">
        <f t="shared" si="81"/>
        <v>00</v>
      </c>
      <c r="J629" s="26" t="str">
        <f>"32 "</f>
        <v xml:space="preserve">32 </v>
      </c>
      <c r="K629" s="26" t="str">
        <f t="shared" si="88"/>
        <v>EP</v>
      </c>
      <c r="L629" s="26" t="str">
        <f t="shared" si="89"/>
        <v>DGOSE</v>
      </c>
      <c r="M629" s="26" t="str">
        <f t="shared" si="82"/>
        <v>FEDERAL</v>
      </c>
      <c r="N629" s="26">
        <v>218</v>
      </c>
      <c r="O629" s="26">
        <v>123</v>
      </c>
      <c r="P629" s="26">
        <v>95</v>
      </c>
      <c r="Q629" s="26">
        <v>8</v>
      </c>
      <c r="R629" s="26">
        <v>1</v>
      </c>
      <c r="S629" s="26">
        <v>8</v>
      </c>
      <c r="T629" s="26">
        <v>7</v>
      </c>
      <c r="U629" s="26">
        <v>16</v>
      </c>
      <c r="V629" s="26">
        <v>1</v>
      </c>
      <c r="W629" s="26"/>
    </row>
    <row r="630" spans="1:23" x14ac:dyDescent="0.25">
      <c r="A630" s="26" t="str">
        <f t="shared" si="80"/>
        <v>PREESCOLAR</v>
      </c>
      <c r="B630" s="26" t="str">
        <f>"09DJN0795V"</f>
        <v>09DJN0795V</v>
      </c>
      <c r="C630" s="26" t="str">
        <f>"DR. RAUL ISIDRO BURGOS ALANIS                                                                       "</f>
        <v xml:space="preserve">DR. RAUL ISIDRO BURGOS ALANIS                                                                       </v>
      </c>
      <c r="D630" s="26" t="str">
        <f>"VESPERTINO"</f>
        <v>VESPERTINO</v>
      </c>
      <c r="E630" s="26" t="str">
        <f>"ORIENTE 95 Y NORTE 72-A                                                         "</f>
        <v xml:space="preserve">ORIENTE 95 Y NORTE 72-A                                                         </v>
      </c>
      <c r="F630" s="26" t="str">
        <f>"LA JOYA                                                                                                                                     "</f>
        <v xml:space="preserve">LA JOYA                                                                                                                                     </v>
      </c>
      <c r="G630" s="26" t="str">
        <f>"GUSTAVO A. MADERO                                                               "</f>
        <v xml:space="preserve">GUSTAVO A. MADERO                                                               </v>
      </c>
      <c r="H630" s="26" t="str">
        <f>"152"</f>
        <v>152</v>
      </c>
      <c r="I630" s="26" t="str">
        <f t="shared" si="81"/>
        <v>00</v>
      </c>
      <c r="J630" s="26" t="str">
        <f>"32 "</f>
        <v xml:space="preserve">32 </v>
      </c>
      <c r="K630" s="26" t="str">
        <f t="shared" si="88"/>
        <v>EP</v>
      </c>
      <c r="L630" s="26" t="str">
        <f t="shared" si="89"/>
        <v>DGOSE</v>
      </c>
      <c r="M630" s="26" t="str">
        <f t="shared" si="82"/>
        <v>FEDERAL</v>
      </c>
      <c r="N630" s="26">
        <v>82</v>
      </c>
      <c r="O630" s="26">
        <v>35</v>
      </c>
      <c r="P630" s="26">
        <v>47</v>
      </c>
      <c r="Q630" s="26">
        <v>3</v>
      </c>
      <c r="R630" s="26">
        <v>1</v>
      </c>
      <c r="S630" s="26">
        <v>3</v>
      </c>
      <c r="T630" s="26">
        <v>3</v>
      </c>
      <c r="U630" s="26">
        <v>7</v>
      </c>
      <c r="V630" s="26">
        <v>1</v>
      </c>
      <c r="W630" s="26"/>
    </row>
    <row r="631" spans="1:23" x14ac:dyDescent="0.25">
      <c r="A631" s="26" t="str">
        <f t="shared" si="80"/>
        <v>PREESCOLAR</v>
      </c>
      <c r="B631" s="26" t="str">
        <f>"09DJN0796U"</f>
        <v>09DJN0796U</v>
      </c>
      <c r="C631" s="26" t="str">
        <f>"BEATRIZ ORDOÑEZ ACUÑA                                                                               "</f>
        <v xml:space="preserve">BEATRIZ ORDOÑEZ ACUÑA                                                                               </v>
      </c>
      <c r="D631" s="26" t="str">
        <f>"MATUTINO"</f>
        <v>MATUTINO</v>
      </c>
      <c r="E631" s="26" t="str">
        <f>"AV. 541 Y 543 MZA-8                                                             "</f>
        <v xml:space="preserve">AV. 541 Y 543 MZA-8                                                             </v>
      </c>
      <c r="F631" s="26" t="str">
        <f>"UNIDAD SAN JUAN DE ARAGON 2A SECCIO                                                                                                         "</f>
        <v xml:space="preserve">UNIDAD SAN JUAN DE ARAGON 2A SECCIO                                                                                                         </v>
      </c>
      <c r="G631" s="26" t="str">
        <f>"GUSTAVO A. MADERO                                                               "</f>
        <v xml:space="preserve">GUSTAVO A. MADERO                                                               </v>
      </c>
      <c r="H631" s="26" t="str">
        <f>"198"</f>
        <v>198</v>
      </c>
      <c r="I631" s="26" t="str">
        <f t="shared" si="81"/>
        <v>00</v>
      </c>
      <c r="J631" s="26" t="str">
        <f>"32 "</f>
        <v xml:space="preserve">32 </v>
      </c>
      <c r="K631" s="26" t="str">
        <f t="shared" si="88"/>
        <v>EP</v>
      </c>
      <c r="L631" s="26" t="str">
        <f t="shared" si="89"/>
        <v>DGOSE</v>
      </c>
      <c r="M631" s="26" t="str">
        <f t="shared" si="82"/>
        <v>FEDERAL</v>
      </c>
      <c r="N631" s="26">
        <v>150</v>
      </c>
      <c r="O631" s="26">
        <v>83</v>
      </c>
      <c r="P631" s="26">
        <v>67</v>
      </c>
      <c r="Q631" s="26">
        <v>6</v>
      </c>
      <c r="R631" s="26">
        <v>1</v>
      </c>
      <c r="S631" s="26">
        <v>6</v>
      </c>
      <c r="T631" s="26">
        <v>5</v>
      </c>
      <c r="U631" s="26">
        <v>12</v>
      </c>
      <c r="V631" s="26">
        <v>1</v>
      </c>
      <c r="W631" s="26"/>
    </row>
    <row r="632" spans="1:23" x14ac:dyDescent="0.25">
      <c r="A632" s="26" t="str">
        <f t="shared" si="80"/>
        <v>PREESCOLAR</v>
      </c>
      <c r="B632" s="26" t="str">
        <f>"09DJN0799R"</f>
        <v>09DJN0799R</v>
      </c>
      <c r="C632" s="26" t="str">
        <f>"MARGARITA ISAS PEREA                                                                                "</f>
        <v xml:space="preserve">MARGARITA ISAS PEREA                                                                                </v>
      </c>
      <c r="D632" s="26" t="str">
        <f>"MATUTINO"</f>
        <v>MATUTINO</v>
      </c>
      <c r="E632" s="26" t="str">
        <f>"NIÑOS HEROES NO. 150                                                            "</f>
        <v xml:space="preserve">NIÑOS HEROES NO. 150                                                            </v>
      </c>
      <c r="F632" s="26" t="str">
        <f>"DOCTORES                                                                                                                                    "</f>
        <v xml:space="preserve">DOCTORES                                                                                                                                    </v>
      </c>
      <c r="G632" s="26" t="s">
        <v>4128</v>
      </c>
      <c r="H632" s="26" t="str">
        <f>"020"</f>
        <v>020</v>
      </c>
      <c r="I632" s="26" t="str">
        <f t="shared" si="81"/>
        <v>00</v>
      </c>
      <c r="J632" s="26" t="str">
        <f>"32 "</f>
        <v xml:space="preserve">32 </v>
      </c>
      <c r="K632" s="26" t="str">
        <f t="shared" si="88"/>
        <v>EP</v>
      </c>
      <c r="L632" s="26" t="str">
        <f t="shared" si="89"/>
        <v>DGOSE</v>
      </c>
      <c r="M632" s="26" t="str">
        <f t="shared" si="82"/>
        <v>FEDERAL</v>
      </c>
      <c r="N632" s="26">
        <v>99</v>
      </c>
      <c r="O632" s="26">
        <v>51</v>
      </c>
      <c r="P632" s="26">
        <v>48</v>
      </c>
      <c r="Q632" s="26">
        <v>4</v>
      </c>
      <c r="R632" s="26">
        <v>1</v>
      </c>
      <c r="S632" s="26">
        <v>4</v>
      </c>
      <c r="T632" s="26">
        <v>3</v>
      </c>
      <c r="U632" s="26">
        <v>8</v>
      </c>
      <c r="V632" s="26">
        <v>1</v>
      </c>
      <c r="W632" s="26"/>
    </row>
    <row r="633" spans="1:23" x14ac:dyDescent="0.25">
      <c r="A633" s="26" t="str">
        <f t="shared" si="80"/>
        <v>PREESCOLAR</v>
      </c>
      <c r="B633" s="26" t="str">
        <f>"09DJN0800Q"</f>
        <v>09DJN0800Q</v>
      </c>
      <c r="C633" s="26" t="str">
        <f>"MANUEL GUTIERREZ NAJERA                                                                             "</f>
        <v xml:space="preserve">MANUEL GUTIERREZ NAJERA                                                                             </v>
      </c>
      <c r="D633" s="26" t="str">
        <f>"JORNADA AMPLIADA"</f>
        <v>JORNADA AMPLIADA</v>
      </c>
      <c r="E633" s="26" t="str">
        <f>"CAMINO DEL RECREO NO. 117                                                       "</f>
        <v xml:space="preserve">CAMINO DEL RECREO NO. 117                                                       </v>
      </c>
      <c r="F633" s="26" t="str">
        <f>"EL RECREO                                                                                                                                   "</f>
        <v xml:space="preserve">EL RECREO                                                                                                                                   </v>
      </c>
      <c r="G633" s="26" t="str">
        <f>"AZCAPOTZALCO                                                                    "</f>
        <v xml:space="preserve">AZCAPOTZALCO                                                                    </v>
      </c>
      <c r="H633" s="26" t="str">
        <f>"067"</f>
        <v>067</v>
      </c>
      <c r="I633" s="26" t="str">
        <f t="shared" si="81"/>
        <v>00</v>
      </c>
      <c r="J633" s="26" t="str">
        <f>"31 "</f>
        <v xml:space="preserve">31 </v>
      </c>
      <c r="K633" s="26" t="str">
        <f t="shared" si="88"/>
        <v>EP</v>
      </c>
      <c r="L633" s="26" t="str">
        <f t="shared" si="89"/>
        <v>DGOSE</v>
      </c>
      <c r="M633" s="26" t="str">
        <f t="shared" si="82"/>
        <v>FEDERAL</v>
      </c>
      <c r="N633" s="26">
        <v>237</v>
      </c>
      <c r="O633" s="26">
        <v>132</v>
      </c>
      <c r="P633" s="26">
        <v>105</v>
      </c>
      <c r="Q633" s="26">
        <v>8</v>
      </c>
      <c r="R633" s="26">
        <v>1</v>
      </c>
      <c r="S633" s="26">
        <v>7</v>
      </c>
      <c r="T633" s="26">
        <v>6</v>
      </c>
      <c r="U633" s="26">
        <v>14</v>
      </c>
      <c r="V633" s="26">
        <v>1</v>
      </c>
      <c r="W633" s="26" t="s">
        <v>2076</v>
      </c>
    </row>
    <row r="634" spans="1:23" x14ac:dyDescent="0.25">
      <c r="A634" s="26" t="str">
        <f t="shared" si="80"/>
        <v>PREESCOLAR</v>
      </c>
      <c r="B634" s="26" t="str">
        <f>"09DJN0801P"</f>
        <v>09DJN0801P</v>
      </c>
      <c r="C634" s="26" t="str">
        <f>"CHIMALISTAC                                                                                         "</f>
        <v xml:space="preserve">CHIMALISTAC                                                                                         </v>
      </c>
      <c r="D634" s="26" t="str">
        <f>"JORNADA AMPLIADA"</f>
        <v>JORNADA AMPLIADA</v>
      </c>
      <c r="E634" s="26" t="str">
        <f>"PILARES NO. 416                                                                 "</f>
        <v xml:space="preserve">PILARES NO. 416                                                                 </v>
      </c>
      <c r="F634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634" s="26" t="str">
        <f>"BENITO JUAREZ                                                                   "</f>
        <v xml:space="preserve">BENITO JUAREZ                                                                   </v>
      </c>
      <c r="H634" s="26" t="str">
        <f>"115"</f>
        <v>115</v>
      </c>
      <c r="I634" s="26" t="str">
        <f t="shared" si="81"/>
        <v>00</v>
      </c>
      <c r="J634" s="26" t="str">
        <f>"34 "</f>
        <v xml:space="preserve">34 </v>
      </c>
      <c r="K634" s="26" t="str">
        <f t="shared" si="88"/>
        <v>EP</v>
      </c>
      <c r="L634" s="26" t="str">
        <f t="shared" si="89"/>
        <v>DGOSE</v>
      </c>
      <c r="M634" s="26" t="str">
        <f t="shared" si="82"/>
        <v>FEDERAL</v>
      </c>
      <c r="N634" s="26">
        <v>70</v>
      </c>
      <c r="O634" s="26">
        <v>43</v>
      </c>
      <c r="P634" s="26">
        <v>27</v>
      </c>
      <c r="Q634" s="26">
        <v>4</v>
      </c>
      <c r="R634" s="26">
        <v>1</v>
      </c>
      <c r="S634" s="26">
        <v>4</v>
      </c>
      <c r="T634" s="26">
        <v>5</v>
      </c>
      <c r="U634" s="26">
        <v>10</v>
      </c>
      <c r="V634" s="26">
        <v>1</v>
      </c>
      <c r="W634" s="26" t="s">
        <v>2076</v>
      </c>
    </row>
    <row r="635" spans="1:23" x14ac:dyDescent="0.25">
      <c r="A635" s="26" t="str">
        <f t="shared" si="80"/>
        <v>PREESCOLAR</v>
      </c>
      <c r="B635" s="26" t="str">
        <f>"09DJN0802O"</f>
        <v>09DJN0802O</v>
      </c>
      <c r="C635" s="26" t="str">
        <f>"JUAN ESCUTIA                                                                                        "</f>
        <v xml:space="preserve">JUAN ESCUTIA                                                                                        </v>
      </c>
      <c r="D635" s="26" t="str">
        <f>"VESPERTINO"</f>
        <v>VESPERTINO</v>
      </c>
      <c r="E635" s="26" t="str">
        <f>"PUERTO MAZATLAN S/N                                                             "</f>
        <v xml:space="preserve">PUERTO MAZATLAN S/N                                                             </v>
      </c>
      <c r="F635" s="26" t="str">
        <f>"CASAS ALEMAN                                                                                                                                "</f>
        <v xml:space="preserve">CASAS ALEMAN                                                                                                                                </v>
      </c>
      <c r="G635" s="26" t="str">
        <f>"GUSTAVO A. MADERO                                                               "</f>
        <v xml:space="preserve">GUSTAVO A. MADERO                                                               </v>
      </c>
      <c r="H635" s="26" t="str">
        <f>"006"</f>
        <v>006</v>
      </c>
      <c r="I635" s="26" t="str">
        <f t="shared" si="81"/>
        <v>00</v>
      </c>
      <c r="J635" s="26" t="str">
        <f>"32 "</f>
        <v xml:space="preserve">32 </v>
      </c>
      <c r="K635" s="26" t="str">
        <f t="shared" si="88"/>
        <v>EP</v>
      </c>
      <c r="L635" s="26" t="str">
        <f t="shared" si="89"/>
        <v>DGOSE</v>
      </c>
      <c r="M635" s="26" t="str">
        <f t="shared" si="82"/>
        <v>FEDERAL</v>
      </c>
      <c r="N635" s="26">
        <v>173</v>
      </c>
      <c r="O635" s="26">
        <v>94</v>
      </c>
      <c r="P635" s="26">
        <v>79</v>
      </c>
      <c r="Q635" s="26">
        <v>6</v>
      </c>
      <c r="R635" s="26">
        <v>1</v>
      </c>
      <c r="S635" s="26">
        <v>6</v>
      </c>
      <c r="T635" s="26">
        <v>4</v>
      </c>
      <c r="U635" s="26">
        <v>11</v>
      </c>
      <c r="V635" s="26">
        <v>1</v>
      </c>
      <c r="W635" s="26"/>
    </row>
    <row r="636" spans="1:23" x14ac:dyDescent="0.25">
      <c r="A636" s="26" t="str">
        <f t="shared" si="80"/>
        <v>PREESCOLAR</v>
      </c>
      <c r="B636" s="26" t="str">
        <f>"09DJN0804M"</f>
        <v>09DJN0804M</v>
      </c>
      <c r="C636" s="26" t="str">
        <f>"DR. MARIANO AZUELA                                                                                  "</f>
        <v xml:space="preserve">DR. MARIANO AZUELA                                                                                  </v>
      </c>
      <c r="D636" s="26" t="str">
        <f>"VESPERTINO"</f>
        <v>VESPERTINO</v>
      </c>
      <c r="E636" s="26" t="str">
        <f>"NORTE 70-A NO. 10040                                                            "</f>
        <v xml:space="preserve">NORTE 70-A NO. 10040                                                            </v>
      </c>
      <c r="F636" s="26" t="str">
        <f>"VILLAHERMOSA                                                                                                                                "</f>
        <v xml:space="preserve">VILLAHERMOSA                                                                                                                                </v>
      </c>
      <c r="G636" s="26" t="str">
        <f>"GUSTAVO A. MADERO                                                               "</f>
        <v xml:space="preserve">GUSTAVO A. MADERO                                                               </v>
      </c>
      <c r="H636" s="26" t="str">
        <f>"152"</f>
        <v>152</v>
      </c>
      <c r="I636" s="26" t="str">
        <f t="shared" si="81"/>
        <v>00</v>
      </c>
      <c r="J636" s="26" t="str">
        <f>"32 "</f>
        <v xml:space="preserve">32 </v>
      </c>
      <c r="K636" s="26" t="str">
        <f t="shared" si="88"/>
        <v>EP</v>
      </c>
      <c r="L636" s="26" t="str">
        <f t="shared" si="89"/>
        <v>DGOSE</v>
      </c>
      <c r="M636" s="26" t="str">
        <f t="shared" si="82"/>
        <v>FEDERAL</v>
      </c>
      <c r="N636" s="26">
        <v>123</v>
      </c>
      <c r="O636" s="26">
        <v>51</v>
      </c>
      <c r="P636" s="26">
        <v>72</v>
      </c>
      <c r="Q636" s="26">
        <v>5</v>
      </c>
      <c r="R636" s="26">
        <v>1</v>
      </c>
      <c r="S636" s="26">
        <v>5</v>
      </c>
      <c r="T636" s="26">
        <v>3</v>
      </c>
      <c r="U636" s="26">
        <v>9</v>
      </c>
      <c r="V636" s="26">
        <v>1</v>
      </c>
      <c r="W636" s="26"/>
    </row>
    <row r="637" spans="1:23" x14ac:dyDescent="0.25">
      <c r="A637" s="26" t="str">
        <f t="shared" si="80"/>
        <v>PREESCOLAR</v>
      </c>
      <c r="B637" s="26" t="str">
        <f>"09DJN0805L"</f>
        <v>09DJN0805L</v>
      </c>
      <c r="C637" s="26" t="str">
        <f>"LA PRADERA                                                                                          "</f>
        <v xml:space="preserve">LA PRADERA                                                                                          </v>
      </c>
      <c r="D637" s="26" t="str">
        <f>"VESPERTINO"</f>
        <v>VESPERTINO</v>
      </c>
      <c r="E637" s="26" t="str">
        <f>"PICO DE ORIZABA S/N                                                             "</f>
        <v xml:space="preserve">PICO DE ORIZABA S/N                                                             </v>
      </c>
      <c r="F637" s="26" t="str">
        <f>"LA PRADERA                                                                                                                                  "</f>
        <v xml:space="preserve">LA PRADERA                                                                                                                                  </v>
      </c>
      <c r="G637" s="26" t="str">
        <f>"GUSTAVO A. MADERO                                                               "</f>
        <v xml:space="preserve">GUSTAVO A. MADERO                                                               </v>
      </c>
      <c r="H637" s="26" t="str">
        <f>"191"</f>
        <v>191</v>
      </c>
      <c r="I637" s="26" t="str">
        <f t="shared" si="81"/>
        <v>00</v>
      </c>
      <c r="J637" s="26" t="str">
        <f>"32 "</f>
        <v xml:space="preserve">32 </v>
      </c>
      <c r="K637" s="26" t="str">
        <f t="shared" si="88"/>
        <v>EP</v>
      </c>
      <c r="L637" s="26" t="str">
        <f t="shared" si="89"/>
        <v>DGOSE</v>
      </c>
      <c r="M637" s="26" t="str">
        <f t="shared" si="82"/>
        <v>FEDERAL</v>
      </c>
      <c r="N637" s="26">
        <v>125</v>
      </c>
      <c r="O637" s="26">
        <v>60</v>
      </c>
      <c r="P637" s="26">
        <v>65</v>
      </c>
      <c r="Q637" s="26">
        <v>5</v>
      </c>
      <c r="R637" s="26">
        <v>1</v>
      </c>
      <c r="S637" s="26">
        <v>5</v>
      </c>
      <c r="T637" s="26">
        <v>4</v>
      </c>
      <c r="U637" s="26">
        <v>10</v>
      </c>
      <c r="V637" s="26">
        <v>1</v>
      </c>
      <c r="W637" s="26"/>
    </row>
    <row r="638" spans="1:23" x14ac:dyDescent="0.25">
      <c r="A638" s="26" t="str">
        <f t="shared" si="80"/>
        <v>PREESCOLAR</v>
      </c>
      <c r="B638" s="26" t="str">
        <f>"09DJN0806K"</f>
        <v>09DJN0806K</v>
      </c>
      <c r="C638" s="26" t="str">
        <f>"GRAL. CESAREO CASTRO                                                                                "</f>
        <v xml:space="preserve">GRAL. CESAREO CASTRO                                                                                </v>
      </c>
      <c r="D638" s="26" t="str">
        <f>"VESPERTINO"</f>
        <v>VESPERTINO</v>
      </c>
      <c r="E638" s="26" t="str">
        <f>"TRANSVAAL NO. 81                                                                "</f>
        <v xml:space="preserve">TRANSVAAL NO. 81                                                                </v>
      </c>
      <c r="F638" s="26" t="str">
        <f>"ROMERO RUBIO                                                                                                                                "</f>
        <v xml:space="preserve">ROMERO RUBIO                                                                                                                                </v>
      </c>
      <c r="G638" s="26" t="str">
        <f>"VENUSTIANO CARRANZA                                                             "</f>
        <v xml:space="preserve">VENUSTIANO CARRANZA                                                             </v>
      </c>
      <c r="H638" s="26" t="str">
        <f>"130"</f>
        <v>130</v>
      </c>
      <c r="I638" s="26" t="str">
        <f t="shared" si="81"/>
        <v>00</v>
      </c>
      <c r="J638" s="26" t="str">
        <f>"33 "</f>
        <v xml:space="preserve">33 </v>
      </c>
      <c r="K638" s="26" t="str">
        <f t="shared" si="88"/>
        <v>EP</v>
      </c>
      <c r="L638" s="26" t="str">
        <f t="shared" si="89"/>
        <v>DGOSE</v>
      </c>
      <c r="M638" s="26" t="str">
        <f t="shared" si="82"/>
        <v>FEDERAL</v>
      </c>
      <c r="N638" s="26">
        <v>133</v>
      </c>
      <c r="O638" s="26">
        <v>63</v>
      </c>
      <c r="P638" s="26">
        <v>70</v>
      </c>
      <c r="Q638" s="26">
        <v>5</v>
      </c>
      <c r="R638" s="26">
        <v>1</v>
      </c>
      <c r="S638" s="26">
        <v>5</v>
      </c>
      <c r="T638" s="26">
        <v>5</v>
      </c>
      <c r="U638" s="26">
        <v>11</v>
      </c>
      <c r="V638" s="26">
        <v>1</v>
      </c>
      <c r="W638" s="26"/>
    </row>
    <row r="639" spans="1:23" x14ac:dyDescent="0.25">
      <c r="A639" s="26" t="str">
        <f t="shared" si="80"/>
        <v>PREESCOLAR</v>
      </c>
      <c r="B639" s="26" t="str">
        <f>"09DJN0807J"</f>
        <v>09DJN0807J</v>
      </c>
      <c r="C639" s="26" t="str">
        <f>"ANDRES MOLINA ENRIQUEZ                                                                              "</f>
        <v xml:space="preserve">ANDRES MOLINA ENRIQUEZ                                                                              </v>
      </c>
      <c r="D639" s="26" t="str">
        <f>"JORNADA AMPLIADA"</f>
        <v>JORNADA AMPLIADA</v>
      </c>
      <c r="E639" s="26" t="str">
        <f>"CALZ. DEL PEÑON Y CANTERIA                                                      "</f>
        <v xml:space="preserve">CALZ. DEL PEÑON Y CANTERIA                                                      </v>
      </c>
      <c r="F639" s="26" t="str">
        <f>"TRES MOSQUETEROS                                                                                                                            "</f>
        <v xml:space="preserve">TRES MOSQUETEROS                                                                                                                            </v>
      </c>
      <c r="G639" s="26" t="str">
        <f>"VENUSTIANO CARRANZA                                                             "</f>
        <v xml:space="preserve">VENUSTIANO CARRANZA                                                             </v>
      </c>
      <c r="H639" s="26" t="str">
        <f>"247"</f>
        <v>247</v>
      </c>
      <c r="I639" s="26" t="str">
        <f t="shared" si="81"/>
        <v>00</v>
      </c>
      <c r="J639" s="26" t="str">
        <f>"31 "</f>
        <v xml:space="preserve">31 </v>
      </c>
      <c r="K639" s="26" t="str">
        <f t="shared" si="88"/>
        <v>EP</v>
      </c>
      <c r="L639" s="26" t="str">
        <f t="shared" si="89"/>
        <v>DGOSE</v>
      </c>
      <c r="M639" s="26" t="str">
        <f t="shared" si="82"/>
        <v>FEDERAL</v>
      </c>
      <c r="N639" s="26">
        <v>212</v>
      </c>
      <c r="O639" s="26">
        <v>100</v>
      </c>
      <c r="P639" s="26">
        <v>112</v>
      </c>
      <c r="Q639" s="26">
        <v>7</v>
      </c>
      <c r="R639" s="26">
        <v>1</v>
      </c>
      <c r="S639" s="26">
        <v>6</v>
      </c>
      <c r="T639" s="26">
        <v>8</v>
      </c>
      <c r="U639" s="26">
        <v>15</v>
      </c>
      <c r="V639" s="26">
        <v>1</v>
      </c>
      <c r="W639" s="26" t="s">
        <v>2076</v>
      </c>
    </row>
    <row r="640" spans="1:23" x14ac:dyDescent="0.25">
      <c r="A640" s="26" t="str">
        <f t="shared" si="80"/>
        <v>PREESCOLAR</v>
      </c>
      <c r="B640" s="26" t="str">
        <f>"09DJN0810X"</f>
        <v>09DJN0810X</v>
      </c>
      <c r="C640" s="26" t="str">
        <f>"TENOCHTITLAN                                                                                        "</f>
        <v xml:space="preserve">TENOCHTITLAN                                                                                        </v>
      </c>
      <c r="D640" s="26" t="str">
        <f>"TIEMPO COMPLETO"</f>
        <v>TIEMPO COMPLETO</v>
      </c>
      <c r="E640" s="26" t="str">
        <f>"SAN FRANCISCO NO. 1717                                                          "</f>
        <v xml:space="preserve">SAN FRANCISCO NO. 1717                                                          </v>
      </c>
      <c r="F640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640" s="26" t="str">
        <f>"BENITO JUAREZ                                                                   "</f>
        <v xml:space="preserve">BENITO JUAREZ                                                                   </v>
      </c>
      <c r="H640" s="26" t="str">
        <f>"115"</f>
        <v>115</v>
      </c>
      <c r="I640" s="26" t="str">
        <f t="shared" si="81"/>
        <v>00</v>
      </c>
      <c r="J640" s="26" t="str">
        <f>"34 "</f>
        <v xml:space="preserve">34 </v>
      </c>
      <c r="K640" s="26" t="str">
        <f t="shared" si="88"/>
        <v>EP</v>
      </c>
      <c r="L640" s="26" t="str">
        <f t="shared" si="89"/>
        <v>DGOSE</v>
      </c>
      <c r="M640" s="26" t="str">
        <f t="shared" si="82"/>
        <v>FEDERAL</v>
      </c>
      <c r="N640" s="26">
        <v>132</v>
      </c>
      <c r="O640" s="26">
        <v>70</v>
      </c>
      <c r="P640" s="26">
        <v>62</v>
      </c>
      <c r="Q640" s="26">
        <v>5</v>
      </c>
      <c r="R640" s="26">
        <v>2</v>
      </c>
      <c r="S640" s="26">
        <v>3</v>
      </c>
      <c r="T640" s="26">
        <v>14</v>
      </c>
      <c r="U640" s="26">
        <v>19</v>
      </c>
      <c r="V640" s="26">
        <v>1</v>
      </c>
      <c r="W640" s="26" t="s">
        <v>218</v>
      </c>
    </row>
    <row r="641" spans="1:23" x14ac:dyDescent="0.25">
      <c r="A641" s="26" t="str">
        <f t="shared" si="80"/>
        <v>PREESCOLAR</v>
      </c>
      <c r="B641" s="26" t="str">
        <f>"09DJN0811W"</f>
        <v>09DJN0811W</v>
      </c>
      <c r="C641" s="26" t="str">
        <f>"YECAHUIZOTL                                                                                         "</f>
        <v xml:space="preserve">YECAHUIZOTL                                                                                         </v>
      </c>
      <c r="D641" s="26" t="str">
        <f>"MATUTINO"</f>
        <v>MATUTINO</v>
      </c>
      <c r="E641" s="26" t="str">
        <f>"AV. SANTA CATARINA Y MARIANO HGO.                                               "</f>
        <v xml:space="preserve">AV. SANTA CATARINA Y MARIANO HGO.                                               </v>
      </c>
      <c r="F641" s="26" t="str">
        <f>"SANTA CATARINA YECAHUIZOTL PUEBLO                                                                                                           "</f>
        <v xml:space="preserve">SANTA CATARINA YECAHUIZOTL PUEBLO                                                                                                           </v>
      </c>
      <c r="G641" s="26" t="str">
        <f>"TLAHUAC                                                                         "</f>
        <v xml:space="preserve">TLAHUAC                                                                         </v>
      </c>
      <c r="H641" s="26" t="str">
        <f>"242"</f>
        <v>242</v>
      </c>
      <c r="I641" s="26" t="str">
        <f t="shared" si="81"/>
        <v>00</v>
      </c>
      <c r="J641" s="26" t="str">
        <f>"35 "</f>
        <v xml:space="preserve">35 </v>
      </c>
      <c r="K641" s="26" t="str">
        <f t="shared" si="88"/>
        <v>EP</v>
      </c>
      <c r="L641" s="26" t="str">
        <f t="shared" si="89"/>
        <v>DGOSE</v>
      </c>
      <c r="M641" s="26" t="str">
        <f t="shared" si="82"/>
        <v>FEDERAL</v>
      </c>
      <c r="N641" s="26">
        <v>192</v>
      </c>
      <c r="O641" s="26">
        <v>105</v>
      </c>
      <c r="P641" s="26">
        <v>87</v>
      </c>
      <c r="Q641" s="26">
        <v>6</v>
      </c>
      <c r="R641" s="26">
        <v>0</v>
      </c>
      <c r="S641" s="26">
        <v>6</v>
      </c>
      <c r="T641" s="26">
        <v>8</v>
      </c>
      <c r="U641" s="26">
        <v>14</v>
      </c>
      <c r="V641" s="26">
        <v>1</v>
      </c>
      <c r="W641" s="26"/>
    </row>
    <row r="642" spans="1:23" x14ac:dyDescent="0.25">
      <c r="A642" s="26" t="str">
        <f t="shared" ref="A642:A705" si="90">"PREESCOLAR"</f>
        <v>PREESCOLAR</v>
      </c>
      <c r="B642" s="26" t="str">
        <f>"09DJN0812V"</f>
        <v>09DJN0812V</v>
      </c>
      <c r="C642" s="26" t="str">
        <f>"FRANCISCO GOITIA                                                                                    "</f>
        <v xml:space="preserve">FRANCISCO GOITIA                                                                                    </v>
      </c>
      <c r="D642" s="26" t="str">
        <f>"VESPERTINO"</f>
        <v>VESPERTINO</v>
      </c>
      <c r="E642" s="26" t="str">
        <f>"AV. MORELOS Y SELVA                                                             "</f>
        <v xml:space="preserve">AV. MORELOS Y SELVA                                                             </v>
      </c>
      <c r="F642" s="26" t="str">
        <f>"SAN PEDRO                                                                                                                                   "</f>
        <v xml:space="preserve">SAN PEDRO                                                                                                                                   </v>
      </c>
      <c r="G642" s="26" t="str">
        <f>"XOCHIMILCO                                                                      "</f>
        <v xml:space="preserve">XOCHIMILCO                                                                      </v>
      </c>
      <c r="H642" s="26" t="str">
        <f>"276"</f>
        <v>276</v>
      </c>
      <c r="I642" s="26" t="str">
        <f t="shared" ref="I642:I705" si="91">"00"</f>
        <v>00</v>
      </c>
      <c r="J642" s="26" t="str">
        <f>"35 "</f>
        <v xml:space="preserve">35 </v>
      </c>
      <c r="K642" s="26" t="str">
        <f t="shared" si="88"/>
        <v>EP</v>
      </c>
      <c r="L642" s="26" t="str">
        <f t="shared" si="89"/>
        <v>DGOSE</v>
      </c>
      <c r="M642" s="26" t="str">
        <f t="shared" ref="M642:M705" si="92">"FEDERAL"</f>
        <v>FEDERAL</v>
      </c>
      <c r="N642" s="26">
        <v>222</v>
      </c>
      <c r="O642" s="26">
        <v>116</v>
      </c>
      <c r="P642" s="26">
        <v>106</v>
      </c>
      <c r="Q642" s="26">
        <v>8</v>
      </c>
      <c r="R642" s="26">
        <v>1</v>
      </c>
      <c r="S642" s="26">
        <v>8</v>
      </c>
      <c r="T642" s="26">
        <v>5</v>
      </c>
      <c r="U642" s="26">
        <v>14</v>
      </c>
      <c r="V642" s="26">
        <v>1</v>
      </c>
      <c r="W642" s="26"/>
    </row>
    <row r="643" spans="1:23" x14ac:dyDescent="0.25">
      <c r="A643" s="26" t="str">
        <f t="shared" si="90"/>
        <v>PREESCOLAR</v>
      </c>
      <c r="B643" s="26" t="str">
        <f>"09DJN0813U"</f>
        <v>09DJN0813U</v>
      </c>
      <c r="C643" s="26" t="str">
        <f>"XOCHICALPILLI                                                                                       "</f>
        <v xml:space="preserve">XOCHICALPILLI                                                                                       </v>
      </c>
      <c r="D643" s="26" t="str">
        <f>"TIEMPO COMPLETO"</f>
        <v>TIEMPO COMPLETO</v>
      </c>
      <c r="E643" s="26" t="str">
        <f>"AV. EL ALTILLO MZA. 1                                                           "</f>
        <v xml:space="preserve">AV. EL ALTILLO MZA. 1                                                           </v>
      </c>
      <c r="F643" s="26" t="str">
        <f>"VILLA COAPA                                                                                                                                 "</f>
        <v xml:space="preserve">VILLA COAPA                                                                                                                                 </v>
      </c>
      <c r="G643" s="26" t="str">
        <f>"TLALPAN                                                                         "</f>
        <v xml:space="preserve">TLALPAN                                                                         </v>
      </c>
      <c r="H643" s="26" t="str">
        <f>"145"</f>
        <v>145</v>
      </c>
      <c r="I643" s="26" t="str">
        <f t="shared" si="91"/>
        <v>00</v>
      </c>
      <c r="J643" s="26" t="str">
        <f>"34 "</f>
        <v xml:space="preserve">34 </v>
      </c>
      <c r="K643" s="26" t="str">
        <f t="shared" si="88"/>
        <v>EP</v>
      </c>
      <c r="L643" s="26" t="str">
        <f t="shared" si="89"/>
        <v>DGOSE</v>
      </c>
      <c r="M643" s="26" t="str">
        <f t="shared" si="92"/>
        <v>FEDERAL</v>
      </c>
      <c r="N643" s="26">
        <v>284</v>
      </c>
      <c r="O643" s="26">
        <v>141</v>
      </c>
      <c r="P643" s="26">
        <v>143</v>
      </c>
      <c r="Q643" s="26">
        <v>9</v>
      </c>
      <c r="R643" s="26">
        <v>2</v>
      </c>
      <c r="S643" s="26">
        <v>9</v>
      </c>
      <c r="T643" s="26">
        <v>19</v>
      </c>
      <c r="U643" s="26">
        <v>30</v>
      </c>
      <c r="V643" s="26">
        <v>1</v>
      </c>
      <c r="W643" s="26" t="s">
        <v>218</v>
      </c>
    </row>
    <row r="644" spans="1:23" x14ac:dyDescent="0.25">
      <c r="A644" s="26" t="str">
        <f t="shared" si="90"/>
        <v>PREESCOLAR</v>
      </c>
      <c r="B644" s="26" t="str">
        <f>"09DJN0814T"</f>
        <v>09DJN0814T</v>
      </c>
      <c r="C644" s="26" t="str">
        <f>"MOCTEZUMA ILHUICAMINA                                                                               "</f>
        <v xml:space="preserve">MOCTEZUMA ILHUICAMINA                                                                               </v>
      </c>
      <c r="D644" s="26" t="str">
        <f>"VESPERTINO"</f>
        <v>VESPERTINO</v>
      </c>
      <c r="E644" s="26" t="str">
        <f>"VICENTE GUERRERO NO. 45                                                         "</f>
        <v xml:space="preserve">VICENTE GUERRERO NO. 45                                                         </v>
      </c>
      <c r="F644" s="26" t="str">
        <f>"CULHUACAN                                                                                                                                   "</f>
        <v xml:space="preserve">CULHUACAN                                                                                                                                   </v>
      </c>
      <c r="G644" s="26" t="str">
        <f>"IZTAPALAPA                                                                      "</f>
        <v xml:space="preserve">IZTAPALAPA                                                                      </v>
      </c>
      <c r="H644" s="26" t="str">
        <f>"023"</f>
        <v>023</v>
      </c>
      <c r="I644" s="26" t="str">
        <f t="shared" si="91"/>
        <v>00</v>
      </c>
      <c r="J644" s="26" t="str">
        <f>"63 "</f>
        <v xml:space="preserve">63 </v>
      </c>
      <c r="K644" s="26" t="str">
        <f>"IZ"</f>
        <v>IZ</v>
      </c>
      <c r="L644" s="26" t="str">
        <f>"DGSEI"</f>
        <v>DGSEI</v>
      </c>
      <c r="M644" s="26" t="str">
        <f t="shared" si="92"/>
        <v>FEDERAL</v>
      </c>
      <c r="N644" s="26">
        <v>89</v>
      </c>
      <c r="O644" s="26">
        <v>50</v>
      </c>
      <c r="P644" s="26">
        <v>39</v>
      </c>
      <c r="Q644" s="26">
        <v>3</v>
      </c>
      <c r="R644" s="26">
        <v>1</v>
      </c>
      <c r="S644" s="26">
        <v>3</v>
      </c>
      <c r="T644" s="26">
        <v>3</v>
      </c>
      <c r="U644" s="26">
        <v>7</v>
      </c>
      <c r="V644" s="26">
        <v>1</v>
      </c>
      <c r="W644" s="26"/>
    </row>
    <row r="645" spans="1:23" x14ac:dyDescent="0.25">
      <c r="A645" s="26" t="str">
        <f t="shared" si="90"/>
        <v>PREESCOLAR</v>
      </c>
      <c r="B645" s="26" t="str">
        <f>"09DJN0815S"</f>
        <v>09DJN0815S</v>
      </c>
      <c r="C645" s="26" t="str">
        <f>"LUIS EMILIO SUAREZ                                                                                  "</f>
        <v xml:space="preserve">LUIS EMILIO SUAREZ                                                                                  </v>
      </c>
      <c r="D645" s="26" t="str">
        <f>"JORNADA AMPLIADA"</f>
        <v>JORNADA AMPLIADA</v>
      </c>
      <c r="E645" s="26" t="str">
        <f>"POUSSIN NO. 69                                                                  "</f>
        <v xml:space="preserve">POUSSIN NO. 69                                                                  </v>
      </c>
      <c r="F645" s="26" t="str">
        <f>"MIXCOAC                                                                                                                                     "</f>
        <v xml:space="preserve">MIXCOAC                                                                                                                                     </v>
      </c>
      <c r="G645" s="26" t="str">
        <f>"BENITO JUAREZ                                                                   "</f>
        <v xml:space="preserve">BENITO JUAREZ                                                                   </v>
      </c>
      <c r="H645" s="26" t="str">
        <f>"115"</f>
        <v>115</v>
      </c>
      <c r="I645" s="26" t="str">
        <f t="shared" si="91"/>
        <v>00</v>
      </c>
      <c r="J645" s="26" t="str">
        <f>"34 "</f>
        <v xml:space="preserve">34 </v>
      </c>
      <c r="K645" s="26" t="str">
        <f>"EP"</f>
        <v>EP</v>
      </c>
      <c r="L645" s="26" t="str">
        <f>"DGOSE"</f>
        <v>DGOSE</v>
      </c>
      <c r="M645" s="26" t="str">
        <f t="shared" si="92"/>
        <v>FEDERAL</v>
      </c>
      <c r="N645" s="26">
        <v>135</v>
      </c>
      <c r="O645" s="26">
        <v>64</v>
      </c>
      <c r="P645" s="26">
        <v>71</v>
      </c>
      <c r="Q645" s="26">
        <v>5</v>
      </c>
      <c r="R645" s="26">
        <v>1</v>
      </c>
      <c r="S645" s="26">
        <v>4</v>
      </c>
      <c r="T645" s="26">
        <v>5</v>
      </c>
      <c r="U645" s="26">
        <v>10</v>
      </c>
      <c r="V645" s="26">
        <v>1</v>
      </c>
      <c r="W645" s="26" t="s">
        <v>2076</v>
      </c>
    </row>
    <row r="646" spans="1:23" x14ac:dyDescent="0.25">
      <c r="A646" s="26" t="str">
        <f t="shared" si="90"/>
        <v>PREESCOLAR</v>
      </c>
      <c r="B646" s="26" t="str">
        <f>"09DJN0816R"</f>
        <v>09DJN0816R</v>
      </c>
      <c r="C646" s="26" t="str">
        <f>"DR. RAUL ISIDRO BURGOS ALANIS                                                                       "</f>
        <v xml:space="preserve">DR. RAUL ISIDRO BURGOS ALANIS                                                                       </v>
      </c>
      <c r="D646" s="26" t="str">
        <f>"MATUTINO"</f>
        <v>MATUTINO</v>
      </c>
      <c r="E646" s="26" t="str">
        <f>"ORIENTE 95 Y NORTE 72-A                                                         "</f>
        <v xml:space="preserve">ORIENTE 95 Y NORTE 72-A                                                         </v>
      </c>
      <c r="F646" s="26" t="str">
        <f>"LA JOYA                                                                                                                                     "</f>
        <v xml:space="preserve">LA JOYA                                                                                                                                     </v>
      </c>
      <c r="G646" s="26" t="str">
        <f>"GUSTAVO A. MADERO                                                               "</f>
        <v xml:space="preserve">GUSTAVO A. MADERO                                                               </v>
      </c>
      <c r="H646" s="26" t="str">
        <f>"152"</f>
        <v>152</v>
      </c>
      <c r="I646" s="26" t="str">
        <f t="shared" si="91"/>
        <v>00</v>
      </c>
      <c r="J646" s="26" t="str">
        <f>"32 "</f>
        <v xml:space="preserve">32 </v>
      </c>
      <c r="K646" s="26" t="str">
        <f>"EP"</f>
        <v>EP</v>
      </c>
      <c r="L646" s="26" t="str">
        <f>"DGOSE"</f>
        <v>DGOSE</v>
      </c>
      <c r="M646" s="26" t="str">
        <f t="shared" si="92"/>
        <v>FEDERAL</v>
      </c>
      <c r="N646" s="26">
        <v>249</v>
      </c>
      <c r="O646" s="26">
        <v>130</v>
      </c>
      <c r="P646" s="26">
        <v>119</v>
      </c>
      <c r="Q646" s="26">
        <v>8</v>
      </c>
      <c r="R646" s="26">
        <v>1</v>
      </c>
      <c r="S646" s="26">
        <v>8</v>
      </c>
      <c r="T646" s="26">
        <v>6</v>
      </c>
      <c r="U646" s="26">
        <v>15</v>
      </c>
      <c r="V646" s="26">
        <v>1</v>
      </c>
      <c r="W646" s="26"/>
    </row>
    <row r="647" spans="1:23" x14ac:dyDescent="0.25">
      <c r="A647" s="26" t="str">
        <f t="shared" si="90"/>
        <v>PREESCOLAR</v>
      </c>
      <c r="B647" s="26" t="str">
        <f>"09DJN0818P"</f>
        <v>09DJN0818P</v>
      </c>
      <c r="C647" s="26" t="str">
        <f>"SALVADOR M. LIMA                                                                                    "</f>
        <v xml:space="preserve">SALVADOR M. LIMA                                                                                    </v>
      </c>
      <c r="D647" s="26" t="str">
        <f>"JORNADA AMPLIADA"</f>
        <v>JORNADA AMPLIADA</v>
      </c>
      <c r="E647" s="26" t="str">
        <f>"AV. ACOXPA ANDADOR 68 MZA. 6                                                    "</f>
        <v xml:space="preserve">AV. ACOXPA ANDADOR 68 MZA. 6                                                    </v>
      </c>
      <c r="F647" s="26" t="str">
        <f>"VILLA COAPA                                                                                                                                 "</f>
        <v xml:space="preserve">VILLA COAPA                                                                                                                                 </v>
      </c>
      <c r="G647" s="26" t="str">
        <f>"TLALPAN                                                                         "</f>
        <v xml:space="preserve">TLALPAN                                                                         </v>
      </c>
      <c r="H647" s="26" t="str">
        <f>"145"</f>
        <v>145</v>
      </c>
      <c r="I647" s="26" t="str">
        <f t="shared" si="91"/>
        <v>00</v>
      </c>
      <c r="J647" s="26" t="str">
        <f>"34 "</f>
        <v xml:space="preserve">34 </v>
      </c>
      <c r="K647" s="26" t="str">
        <f>"EP"</f>
        <v>EP</v>
      </c>
      <c r="L647" s="26" t="str">
        <f>"DGOSE"</f>
        <v>DGOSE</v>
      </c>
      <c r="M647" s="26" t="str">
        <f t="shared" si="92"/>
        <v>FEDERAL</v>
      </c>
      <c r="N647" s="26">
        <v>177</v>
      </c>
      <c r="O647" s="26">
        <v>100</v>
      </c>
      <c r="P647" s="26">
        <v>77</v>
      </c>
      <c r="Q647" s="26">
        <v>6</v>
      </c>
      <c r="R647" s="26">
        <v>1</v>
      </c>
      <c r="S647" s="26">
        <v>6</v>
      </c>
      <c r="T647" s="26">
        <v>7</v>
      </c>
      <c r="U647" s="26">
        <v>14</v>
      </c>
      <c r="V647" s="26">
        <v>1</v>
      </c>
      <c r="W647" s="26" t="s">
        <v>2076</v>
      </c>
    </row>
    <row r="648" spans="1:23" x14ac:dyDescent="0.25">
      <c r="A648" s="26" t="str">
        <f t="shared" si="90"/>
        <v>PREESCOLAR</v>
      </c>
      <c r="B648" s="26" t="str">
        <f>"09DJN0819O"</f>
        <v>09DJN0819O</v>
      </c>
      <c r="C648" s="26" t="str">
        <f>"RICARDO ZAMORA BUITRON                                                                              "</f>
        <v xml:space="preserve">RICARDO ZAMORA BUITRON                                                                              </v>
      </c>
      <c r="D648" s="26" t="str">
        <f>"MATUTINO"</f>
        <v>MATUTINO</v>
      </c>
      <c r="E648" s="26" t="str">
        <f>"ADOLFO RUIZ CORTINEZ NO. 26                                                     "</f>
        <v xml:space="preserve">ADOLFO RUIZ CORTINEZ NO. 26                                                     </v>
      </c>
      <c r="F648" s="26" t="str">
        <f>"PRESIDENTES                                                                                                                                 "</f>
        <v xml:space="preserve">PRESIDENTES                                                                                                                                 </v>
      </c>
      <c r="G648" s="26" t="str">
        <f>"ALVARO OBREGON                                                                  "</f>
        <v xml:space="preserve">ALVARO OBREGON                                                                  </v>
      </c>
      <c r="H648" s="26" t="str">
        <f>"217"</f>
        <v>217</v>
      </c>
      <c r="I648" s="26" t="str">
        <f t="shared" si="91"/>
        <v>00</v>
      </c>
      <c r="J648" s="26" t="str">
        <f>"33 "</f>
        <v xml:space="preserve">33 </v>
      </c>
      <c r="K648" s="26" t="str">
        <f>"EP"</f>
        <v>EP</v>
      </c>
      <c r="L648" s="26" t="str">
        <f>"DGOSE"</f>
        <v>DGOSE</v>
      </c>
      <c r="M648" s="26" t="str">
        <f t="shared" si="92"/>
        <v>FEDERAL</v>
      </c>
      <c r="N648" s="26">
        <v>155</v>
      </c>
      <c r="O648" s="26">
        <v>74</v>
      </c>
      <c r="P648" s="26">
        <v>81</v>
      </c>
      <c r="Q648" s="26">
        <v>5</v>
      </c>
      <c r="R648" s="26">
        <v>1</v>
      </c>
      <c r="S648" s="26">
        <v>5</v>
      </c>
      <c r="T648" s="26">
        <v>3</v>
      </c>
      <c r="U648" s="26">
        <v>9</v>
      </c>
      <c r="V648" s="26">
        <v>1</v>
      </c>
      <c r="W648" s="26"/>
    </row>
    <row r="649" spans="1:23" x14ac:dyDescent="0.25">
      <c r="A649" s="26" t="str">
        <f t="shared" si="90"/>
        <v>PREESCOLAR</v>
      </c>
      <c r="B649" s="26" t="str">
        <f>"09DJN0820D"</f>
        <v>09DJN0820D</v>
      </c>
      <c r="C649" s="26" t="str">
        <f>"TOMAS MIER GARCIA                                                                                   "</f>
        <v xml:space="preserve">TOMAS MIER GARCIA                                                                                   </v>
      </c>
      <c r="D649" s="26" t="str">
        <f>"JORNADA AMPLIADA"</f>
        <v>JORNADA AMPLIADA</v>
      </c>
      <c r="E649" s="26" t="str">
        <f>"ANTIGUA TAXQUENA NO. 139                                                        "</f>
        <v xml:space="preserve">ANTIGUA TAXQUENA NO. 139                                                        </v>
      </c>
      <c r="F649" s="26" t="str">
        <f>"SAN LUCAS                                                                                                                                   "</f>
        <v xml:space="preserve">SAN LUCAS                                                                                                                                   </v>
      </c>
      <c r="G649" s="26" t="str">
        <f>"COYOACAN                                                                        "</f>
        <v xml:space="preserve">COYOACAN                                                                        </v>
      </c>
      <c r="H649" s="26" t="str">
        <f>"208"</f>
        <v>208</v>
      </c>
      <c r="I649" s="26" t="str">
        <f t="shared" si="91"/>
        <v>00</v>
      </c>
      <c r="J649" s="26" t="str">
        <f>"34 "</f>
        <v xml:space="preserve">34 </v>
      </c>
      <c r="K649" s="26" t="str">
        <f>"EP"</f>
        <v>EP</v>
      </c>
      <c r="L649" s="26" t="str">
        <f>"DGOSE"</f>
        <v>DGOSE</v>
      </c>
      <c r="M649" s="26" t="str">
        <f t="shared" si="92"/>
        <v>FEDERAL</v>
      </c>
      <c r="N649" s="26">
        <v>84</v>
      </c>
      <c r="O649" s="26">
        <v>30</v>
      </c>
      <c r="P649" s="26">
        <v>54</v>
      </c>
      <c r="Q649" s="26">
        <v>3</v>
      </c>
      <c r="R649" s="26">
        <v>1</v>
      </c>
      <c r="S649" s="26">
        <v>3</v>
      </c>
      <c r="T649" s="26">
        <v>5</v>
      </c>
      <c r="U649" s="26">
        <v>9</v>
      </c>
      <c r="V649" s="26">
        <v>1</v>
      </c>
      <c r="W649" s="26" t="s">
        <v>2076</v>
      </c>
    </row>
    <row r="650" spans="1:23" x14ac:dyDescent="0.25">
      <c r="A650" s="26" t="str">
        <f t="shared" si="90"/>
        <v>PREESCOLAR</v>
      </c>
      <c r="B650" s="26" t="str">
        <f>"09DJN0821C"</f>
        <v>09DJN0821C</v>
      </c>
      <c r="C650" s="26" t="str">
        <f>"XOCHITLCALLI                                                                                        "</f>
        <v xml:space="preserve">XOCHITLCALLI                                                                                        </v>
      </c>
      <c r="D650" s="26" t="str">
        <f>"MATUTINO"</f>
        <v>MATUTINO</v>
      </c>
      <c r="E650" s="26" t="str">
        <f>"ROBERTO FULTON S/N                                                              "</f>
        <v xml:space="preserve">ROBERTO FULTON S/N                                                              </v>
      </c>
      <c r="F650" s="26" t="str">
        <f>"SAN ANDRES TOMATLAN                                                                                                                         "</f>
        <v xml:space="preserve">SAN ANDRES TOMATLAN                                                                                                                         </v>
      </c>
      <c r="G650" s="26" t="str">
        <f>"IZTAPALAPA                                                                      "</f>
        <v xml:space="preserve">IZTAPALAPA                                                                      </v>
      </c>
      <c r="H650" s="26" t="str">
        <f>"024"</f>
        <v>024</v>
      </c>
      <c r="I650" s="26" t="str">
        <f t="shared" si="91"/>
        <v>00</v>
      </c>
      <c r="J650" s="26" t="str">
        <f>"63 "</f>
        <v xml:space="preserve">63 </v>
      </c>
      <c r="K650" s="26" t="str">
        <f>"IZ"</f>
        <v>IZ</v>
      </c>
      <c r="L650" s="26" t="str">
        <f>"DGSEI"</f>
        <v>DGSEI</v>
      </c>
      <c r="M650" s="26" t="str">
        <f t="shared" si="92"/>
        <v>FEDERAL</v>
      </c>
      <c r="N650" s="26">
        <v>251</v>
      </c>
      <c r="O650" s="26">
        <v>116</v>
      </c>
      <c r="P650" s="26">
        <v>135</v>
      </c>
      <c r="Q650" s="26">
        <v>7</v>
      </c>
      <c r="R650" s="26">
        <v>1</v>
      </c>
      <c r="S650" s="26">
        <v>7</v>
      </c>
      <c r="T650" s="26">
        <v>4</v>
      </c>
      <c r="U650" s="26">
        <v>12</v>
      </c>
      <c r="V650" s="26">
        <v>1</v>
      </c>
      <c r="W650" s="26"/>
    </row>
    <row r="651" spans="1:23" x14ac:dyDescent="0.25">
      <c r="A651" s="26" t="str">
        <f t="shared" si="90"/>
        <v>PREESCOLAR</v>
      </c>
      <c r="B651" s="26" t="str">
        <f>"09DJN0822B"</f>
        <v>09DJN0822B</v>
      </c>
      <c r="C651" s="26" t="str">
        <f>"LAZARO CARDENAS                                                                                     "</f>
        <v xml:space="preserve">LAZARO CARDENAS                                                                                     </v>
      </c>
      <c r="D651" s="26" t="str">
        <f>"MATUTINO"</f>
        <v>MATUTINO</v>
      </c>
      <c r="E651" s="26" t="str">
        <f>"CARDIOLOGOS Y PENALISTAS                                                        "</f>
        <v xml:space="preserve">CARDIOLOGOS Y PENALISTAS                                                        </v>
      </c>
      <c r="F651" s="26" t="str">
        <f>"SAN JUANICO MEXTIPAC                                                                                                                        "</f>
        <v xml:space="preserve">SAN JUANICO MEXTIPAC                                                                                                                        </v>
      </c>
      <c r="G651" s="26" t="str">
        <f>"IZTAPALAPA                                                                      "</f>
        <v xml:space="preserve">IZTAPALAPA                                                                      </v>
      </c>
      <c r="H651" s="26" t="str">
        <f>"021"</f>
        <v>021</v>
      </c>
      <c r="I651" s="26" t="str">
        <f t="shared" si="91"/>
        <v>00</v>
      </c>
      <c r="J651" s="26" t="str">
        <f>"63 "</f>
        <v xml:space="preserve">63 </v>
      </c>
      <c r="K651" s="26" t="str">
        <f>"IZ"</f>
        <v>IZ</v>
      </c>
      <c r="L651" s="26" t="str">
        <f>"DGSEI"</f>
        <v>DGSEI</v>
      </c>
      <c r="M651" s="26" t="str">
        <f t="shared" si="92"/>
        <v>FEDERAL</v>
      </c>
      <c r="N651" s="26">
        <v>158</v>
      </c>
      <c r="O651" s="26">
        <v>75</v>
      </c>
      <c r="P651" s="26">
        <v>83</v>
      </c>
      <c r="Q651" s="26">
        <v>5</v>
      </c>
      <c r="R651" s="26">
        <v>1</v>
      </c>
      <c r="S651" s="26">
        <v>4</v>
      </c>
      <c r="T651" s="26">
        <v>5</v>
      </c>
      <c r="U651" s="26">
        <v>10</v>
      </c>
      <c r="V651" s="26">
        <v>1</v>
      </c>
      <c r="W651" s="26"/>
    </row>
    <row r="652" spans="1:23" x14ac:dyDescent="0.25">
      <c r="A652" s="26" t="str">
        <f t="shared" si="90"/>
        <v>PREESCOLAR</v>
      </c>
      <c r="B652" s="26" t="str">
        <f>"09DJN0823A"</f>
        <v>09DJN0823A</v>
      </c>
      <c r="C652" s="26" t="str">
        <f>"REPUBLICA MEXICANA                                                                                  "</f>
        <v xml:space="preserve">REPUBLICA MEXICANA                                                                                  </v>
      </c>
      <c r="D652" s="26" t="str">
        <f>"VESPERTINO"</f>
        <v>VESPERTINO</v>
      </c>
      <c r="E652" s="26" t="str">
        <f>"PLAZA HIDALGO S/N                                                               "</f>
        <v xml:space="preserve">PLAZA HIDALGO S/N                                                               </v>
      </c>
      <c r="F652" s="26" t="str">
        <f>"CUAUTEPEC EL ALTO                                                                                                                           "</f>
        <v xml:space="preserve">CUAUTEPEC EL ALTO                                                                                                                           </v>
      </c>
      <c r="G652" s="26" t="str">
        <f>"GUSTAVO A. MADERO                                                               "</f>
        <v xml:space="preserve">GUSTAVO A. MADERO                                                               </v>
      </c>
      <c r="H652" s="26" t="str">
        <f>"117"</f>
        <v>117</v>
      </c>
      <c r="I652" s="26" t="str">
        <f t="shared" si="91"/>
        <v>00</v>
      </c>
      <c r="J652" s="26" t="str">
        <f>"32 "</f>
        <v xml:space="preserve">32 </v>
      </c>
      <c r="K652" s="26" t="str">
        <f t="shared" ref="K652:K659" si="93">"EP"</f>
        <v>EP</v>
      </c>
      <c r="L652" s="26" t="str">
        <f t="shared" ref="L652:L659" si="94">"DGOSE"</f>
        <v>DGOSE</v>
      </c>
      <c r="M652" s="26" t="str">
        <f t="shared" si="92"/>
        <v>FEDERAL</v>
      </c>
      <c r="N652" s="26">
        <v>212</v>
      </c>
      <c r="O652" s="26">
        <v>110</v>
      </c>
      <c r="P652" s="26">
        <v>102</v>
      </c>
      <c r="Q652" s="26">
        <v>6</v>
      </c>
      <c r="R652" s="26">
        <v>1</v>
      </c>
      <c r="S652" s="26">
        <v>6</v>
      </c>
      <c r="T652" s="26">
        <v>3</v>
      </c>
      <c r="U652" s="26">
        <v>10</v>
      </c>
      <c r="V652" s="26">
        <v>1</v>
      </c>
      <c r="W652" s="26"/>
    </row>
    <row r="653" spans="1:23" x14ac:dyDescent="0.25">
      <c r="A653" s="26" t="str">
        <f t="shared" si="90"/>
        <v>PREESCOLAR</v>
      </c>
      <c r="B653" s="26" t="str">
        <f>"09DJN0826Y"</f>
        <v>09DJN0826Y</v>
      </c>
      <c r="C653" s="26" t="str">
        <f>"LUZ OLIVEROS SARMINA                                                                                "</f>
        <v xml:space="preserve">LUZ OLIVEROS SARMINA                                                                                </v>
      </c>
      <c r="D653" s="26" t="str">
        <f>"TIEMPO COMPLETO"</f>
        <v>TIEMPO COMPLETO</v>
      </c>
      <c r="E653" s="26" t="str">
        <f>"MIGUEL E. SCHULTZ NO. 105                                                       "</f>
        <v xml:space="preserve">MIGUEL E. SCHULTZ NO. 105                                                       </v>
      </c>
      <c r="F653" s="26" t="str">
        <f>"SAN RAFAEL                                                                                                                                  "</f>
        <v xml:space="preserve">SAN RAFAEL                                                                                                                                  </v>
      </c>
      <c r="G653" s="26" t="s">
        <v>4128</v>
      </c>
      <c r="H653" s="26" t="str">
        <f>"019"</f>
        <v>019</v>
      </c>
      <c r="I653" s="26" t="str">
        <f t="shared" si="91"/>
        <v>00</v>
      </c>
      <c r="J653" s="26" t="str">
        <f>"31 "</f>
        <v xml:space="preserve">31 </v>
      </c>
      <c r="K653" s="26" t="str">
        <f t="shared" si="93"/>
        <v>EP</v>
      </c>
      <c r="L653" s="26" t="str">
        <f t="shared" si="94"/>
        <v>DGOSE</v>
      </c>
      <c r="M653" s="26" t="str">
        <f t="shared" si="92"/>
        <v>FEDERAL</v>
      </c>
      <c r="N653" s="26">
        <v>130</v>
      </c>
      <c r="O653" s="26">
        <v>69</v>
      </c>
      <c r="P653" s="26">
        <v>61</v>
      </c>
      <c r="Q653" s="26">
        <v>7</v>
      </c>
      <c r="R653" s="26">
        <v>2</v>
      </c>
      <c r="S653" s="26">
        <v>7</v>
      </c>
      <c r="T653" s="26">
        <v>16</v>
      </c>
      <c r="U653" s="26">
        <v>25</v>
      </c>
      <c r="V653" s="26">
        <v>1</v>
      </c>
      <c r="W653" s="26" t="s">
        <v>218</v>
      </c>
    </row>
    <row r="654" spans="1:23" x14ac:dyDescent="0.25">
      <c r="A654" s="26" t="str">
        <f t="shared" si="90"/>
        <v>PREESCOLAR</v>
      </c>
      <c r="B654" s="26" t="str">
        <f>"09DJN0827X"</f>
        <v>09DJN0827X</v>
      </c>
      <c r="C654" s="26" t="str">
        <f>"RAMON LOPEZ VELARDE                                                                                 "</f>
        <v xml:space="preserve">RAMON LOPEZ VELARDE                                                                                 </v>
      </c>
      <c r="D654" s="26" t="str">
        <f>"JORNADA AMPLIADA"</f>
        <v>JORNADA AMPLIADA</v>
      </c>
      <c r="E654" s="26" t="str">
        <f>"AV. REVOLUCION NO. 469                                                          "</f>
        <v xml:space="preserve">AV. REVOLUCION NO. 469                                                          </v>
      </c>
      <c r="F654" s="26" t="str">
        <f>"SAN PEDRO DE LOS PINOS                                                                                                                      "</f>
        <v xml:space="preserve">SAN PEDRO DE LOS PINOS                                                                                                                      </v>
      </c>
      <c r="G654" s="26" t="str">
        <f>"BENITO JUAREZ                                                                   "</f>
        <v xml:space="preserve">BENITO JUAREZ                                                                   </v>
      </c>
      <c r="H654" s="26" t="str">
        <f>"233"</f>
        <v>233</v>
      </c>
      <c r="I654" s="26" t="str">
        <f t="shared" si="91"/>
        <v>00</v>
      </c>
      <c r="J654" s="26" t="str">
        <f>"34 "</f>
        <v xml:space="preserve">34 </v>
      </c>
      <c r="K654" s="26" t="str">
        <f t="shared" si="93"/>
        <v>EP</v>
      </c>
      <c r="L654" s="26" t="str">
        <f t="shared" si="94"/>
        <v>DGOSE</v>
      </c>
      <c r="M654" s="26" t="str">
        <f t="shared" si="92"/>
        <v>FEDERAL</v>
      </c>
      <c r="N654" s="26">
        <v>158</v>
      </c>
      <c r="O654" s="26">
        <v>76</v>
      </c>
      <c r="P654" s="26">
        <v>82</v>
      </c>
      <c r="Q654" s="26">
        <v>5</v>
      </c>
      <c r="R654" s="26">
        <v>1</v>
      </c>
      <c r="S654" s="26">
        <v>5</v>
      </c>
      <c r="T654" s="26">
        <v>5</v>
      </c>
      <c r="U654" s="26">
        <v>11</v>
      </c>
      <c r="V654" s="26">
        <v>1</v>
      </c>
      <c r="W654" s="26" t="s">
        <v>2076</v>
      </c>
    </row>
    <row r="655" spans="1:23" x14ac:dyDescent="0.25">
      <c r="A655" s="26" t="str">
        <f t="shared" si="90"/>
        <v>PREESCOLAR</v>
      </c>
      <c r="B655" s="26" t="str">
        <f>"09DJN0828W"</f>
        <v>09DJN0828W</v>
      </c>
      <c r="C655" s="26" t="str">
        <f>"MEXICO OLIMPICO                                                                                     "</f>
        <v xml:space="preserve">MEXICO OLIMPICO                                                                                     </v>
      </c>
      <c r="D655" s="26" t="str">
        <f>"JORNADA AMPLIADA"</f>
        <v>JORNADA AMPLIADA</v>
      </c>
      <c r="E655" s="26" t="str">
        <f>"RETORNO 30 Y 32 DE CECILIO ROBELO                                               "</f>
        <v xml:space="preserve">RETORNO 30 Y 32 DE CECILIO ROBELO                                               </v>
      </c>
      <c r="F655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655" s="26" t="str">
        <f>"VENUSTIANO CARRANZA                                                             "</f>
        <v xml:space="preserve">VENUSTIANO CARRANZA                                                             </v>
      </c>
      <c r="H655" s="26" t="str">
        <f>"026"</f>
        <v>026</v>
      </c>
      <c r="I655" s="26" t="str">
        <f t="shared" si="91"/>
        <v>00</v>
      </c>
      <c r="J655" s="26" t="str">
        <f>"31 "</f>
        <v xml:space="preserve">31 </v>
      </c>
      <c r="K655" s="26" t="str">
        <f t="shared" si="93"/>
        <v>EP</v>
      </c>
      <c r="L655" s="26" t="str">
        <f t="shared" si="94"/>
        <v>DGOSE</v>
      </c>
      <c r="M655" s="26" t="str">
        <f t="shared" si="92"/>
        <v>FEDERAL</v>
      </c>
      <c r="N655" s="26">
        <v>244</v>
      </c>
      <c r="O655" s="26">
        <v>123</v>
      </c>
      <c r="P655" s="26">
        <v>121</v>
      </c>
      <c r="Q655" s="26">
        <v>8</v>
      </c>
      <c r="R655" s="26">
        <v>1</v>
      </c>
      <c r="S655" s="26">
        <v>8</v>
      </c>
      <c r="T655" s="26">
        <v>9</v>
      </c>
      <c r="U655" s="26">
        <v>18</v>
      </c>
      <c r="V655" s="26">
        <v>1</v>
      </c>
      <c r="W655" s="26" t="s">
        <v>2076</v>
      </c>
    </row>
    <row r="656" spans="1:23" x14ac:dyDescent="0.25">
      <c r="A656" s="26" t="str">
        <f t="shared" si="90"/>
        <v>PREESCOLAR</v>
      </c>
      <c r="B656" s="26" t="str">
        <f>"09DJN0829V"</f>
        <v>09DJN0829V</v>
      </c>
      <c r="C656" s="26" t="str">
        <f>"VITO ALESSIO ROBLES                                                                                 "</f>
        <v xml:space="preserve">VITO ALESSIO ROBLES                                                                                 </v>
      </c>
      <c r="D656" s="26" t="str">
        <f>"TIEMPO COMPLETO"</f>
        <v>TIEMPO COMPLETO</v>
      </c>
      <c r="E656" s="26" t="str">
        <f>"ORIZABA NO. 94                                                                  "</f>
        <v xml:space="preserve">ORIZABA NO. 94                                                                  </v>
      </c>
      <c r="F656" s="26" t="str">
        <f>"ROMA NORTE                                                                                                                                  "</f>
        <v xml:space="preserve">ROMA NORTE                                                                                                                                  </v>
      </c>
      <c r="G656" s="26" t="s">
        <v>4128</v>
      </c>
      <c r="H656" s="26" t="str">
        <f>"031"</f>
        <v>031</v>
      </c>
      <c r="I656" s="26" t="str">
        <f t="shared" si="91"/>
        <v>00</v>
      </c>
      <c r="J656" s="26" t="str">
        <f>"31 "</f>
        <v xml:space="preserve">31 </v>
      </c>
      <c r="K656" s="26" t="str">
        <f t="shared" si="93"/>
        <v>EP</v>
      </c>
      <c r="L656" s="26" t="str">
        <f t="shared" si="94"/>
        <v>DGOSE</v>
      </c>
      <c r="M656" s="26" t="str">
        <f t="shared" si="92"/>
        <v>FEDERAL</v>
      </c>
      <c r="N656" s="26">
        <v>163</v>
      </c>
      <c r="O656" s="26">
        <v>86</v>
      </c>
      <c r="P656" s="26">
        <v>77</v>
      </c>
      <c r="Q656" s="26">
        <v>5</v>
      </c>
      <c r="R656" s="26">
        <v>1</v>
      </c>
      <c r="S656" s="26">
        <v>5</v>
      </c>
      <c r="T656" s="26">
        <v>16</v>
      </c>
      <c r="U656" s="26">
        <v>22</v>
      </c>
      <c r="V656" s="26">
        <v>1</v>
      </c>
      <c r="W656" s="26" t="s">
        <v>218</v>
      </c>
    </row>
    <row r="657" spans="1:23" x14ac:dyDescent="0.25">
      <c r="A657" s="26" t="str">
        <f t="shared" si="90"/>
        <v>PREESCOLAR</v>
      </c>
      <c r="B657" s="26" t="str">
        <f>"09DJN0830K"</f>
        <v>09DJN0830K</v>
      </c>
      <c r="C657" s="26" t="str">
        <f>"REP. FEDERAL DE ALEMANIA                                                                            "</f>
        <v xml:space="preserve">REP. FEDERAL DE ALEMANIA                                                                            </v>
      </c>
      <c r="D657" s="26" t="str">
        <f>"MATUTINO"</f>
        <v>MATUTINO</v>
      </c>
      <c r="E657" s="26" t="str">
        <f>"LAGO SUIZA NO. 252                                                              "</f>
        <v xml:space="preserve">LAGO SUIZA NO. 252                                                              </v>
      </c>
      <c r="F657" s="26" t="str">
        <f>"5 DE MAYO                                                                                                                                   "</f>
        <v xml:space="preserve">5 DE MAYO                                                                                                                                   </v>
      </c>
      <c r="G657" s="26" t="str">
        <f>"MIGUEL HIDALGO                                                                  "</f>
        <v xml:space="preserve">MIGUEL HIDALGO                                                                  </v>
      </c>
      <c r="H657" s="26" t="str">
        <f>"131"</f>
        <v>131</v>
      </c>
      <c r="I657" s="26" t="str">
        <f t="shared" si="91"/>
        <v>00</v>
      </c>
      <c r="J657" s="26" t="str">
        <f>"32 "</f>
        <v xml:space="preserve">32 </v>
      </c>
      <c r="K657" s="26" t="str">
        <f t="shared" si="93"/>
        <v>EP</v>
      </c>
      <c r="L657" s="26" t="str">
        <f t="shared" si="94"/>
        <v>DGOSE</v>
      </c>
      <c r="M657" s="26" t="str">
        <f t="shared" si="92"/>
        <v>FEDERAL</v>
      </c>
      <c r="N657" s="26">
        <v>80</v>
      </c>
      <c r="O657" s="26">
        <v>34</v>
      </c>
      <c r="P657" s="26">
        <v>46</v>
      </c>
      <c r="Q657" s="26">
        <v>4</v>
      </c>
      <c r="R657" s="26">
        <v>1</v>
      </c>
      <c r="S657" s="26">
        <v>4</v>
      </c>
      <c r="T657" s="26">
        <v>3</v>
      </c>
      <c r="U657" s="26">
        <v>8</v>
      </c>
      <c r="V657" s="26">
        <v>1</v>
      </c>
      <c r="W657" s="26"/>
    </row>
    <row r="658" spans="1:23" x14ac:dyDescent="0.25">
      <c r="A658" s="26" t="str">
        <f t="shared" si="90"/>
        <v>PREESCOLAR</v>
      </c>
      <c r="B658" s="26" t="str">
        <f>"09DJN0831J"</f>
        <v>09DJN0831J</v>
      </c>
      <c r="C658" s="26" t="str">
        <f>"FEDERICO FROEBEL                                                                                    "</f>
        <v xml:space="preserve">FEDERICO FROEBEL                                                                                    </v>
      </c>
      <c r="D658" s="26" t="str">
        <f>"JORNADA AMPLIADA"</f>
        <v>JORNADA AMPLIADA</v>
      </c>
      <c r="E658" s="26" t="str">
        <f>"STA. MARIA LA RIBERA NO. 64                                                     "</f>
        <v xml:space="preserve">STA. MARIA LA RIBERA NO. 64                                                     </v>
      </c>
      <c r="F658" s="26" t="str">
        <f>"SANTA MARIA LA RIBERA                                                                                                                       "</f>
        <v xml:space="preserve">SANTA MARIA LA RIBERA                                                                                                                       </v>
      </c>
      <c r="G658" s="26" t="s">
        <v>4128</v>
      </c>
      <c r="H658" s="26" t="str">
        <f>"019"</f>
        <v>019</v>
      </c>
      <c r="I658" s="26" t="str">
        <f t="shared" si="91"/>
        <v>00</v>
      </c>
      <c r="J658" s="26" t="str">
        <f>"31 "</f>
        <v xml:space="preserve">31 </v>
      </c>
      <c r="K658" s="26" t="str">
        <f t="shared" si="93"/>
        <v>EP</v>
      </c>
      <c r="L658" s="26" t="str">
        <f t="shared" si="94"/>
        <v>DGOSE</v>
      </c>
      <c r="M658" s="26" t="str">
        <f t="shared" si="92"/>
        <v>FEDERAL</v>
      </c>
      <c r="N658" s="26">
        <v>225</v>
      </c>
      <c r="O658" s="26">
        <v>100</v>
      </c>
      <c r="P658" s="26">
        <v>125</v>
      </c>
      <c r="Q658" s="26">
        <v>8</v>
      </c>
      <c r="R658" s="26">
        <v>1</v>
      </c>
      <c r="S658" s="26">
        <v>8</v>
      </c>
      <c r="T658" s="26">
        <v>8</v>
      </c>
      <c r="U658" s="26">
        <v>17</v>
      </c>
      <c r="V658" s="26">
        <v>1</v>
      </c>
      <c r="W658" s="26" t="s">
        <v>2076</v>
      </c>
    </row>
    <row r="659" spans="1:23" x14ac:dyDescent="0.25">
      <c r="A659" s="26" t="str">
        <f t="shared" si="90"/>
        <v>PREESCOLAR</v>
      </c>
      <c r="B659" s="26" t="str">
        <f>"09DJN0833H"</f>
        <v>09DJN0833H</v>
      </c>
      <c r="C659" s="26" t="str">
        <f>"REPUBLICA DE EL SALVADOR                                                                            "</f>
        <v xml:space="preserve">REPUBLICA DE EL SALVADOR                                                                            </v>
      </c>
      <c r="D659" s="26" t="str">
        <f>"JORNADA AMPLIADA"</f>
        <v>JORNADA AMPLIADA</v>
      </c>
      <c r="E659" s="26" t="str">
        <f>"NUEVA JERSEY NO. 9                                                              "</f>
        <v xml:space="preserve">NUEVA JERSEY NO. 9                                                              </v>
      </c>
      <c r="F659" s="26" t="str">
        <f>"NAPOLES                                                                                                                                     "</f>
        <v xml:space="preserve">NAPOLES                                                                                                                                     </v>
      </c>
      <c r="G659" s="26" t="str">
        <f>"BENITO JUAREZ                                                                   "</f>
        <v xml:space="preserve">BENITO JUAREZ                                                                   </v>
      </c>
      <c r="H659" s="26" t="str">
        <f>"115"</f>
        <v>115</v>
      </c>
      <c r="I659" s="26" t="str">
        <f t="shared" si="91"/>
        <v>00</v>
      </c>
      <c r="J659" s="26" t="str">
        <f>"34 "</f>
        <v xml:space="preserve">34 </v>
      </c>
      <c r="K659" s="26" t="str">
        <f t="shared" si="93"/>
        <v>EP</v>
      </c>
      <c r="L659" s="26" t="str">
        <f t="shared" si="94"/>
        <v>DGOSE</v>
      </c>
      <c r="M659" s="26" t="str">
        <f t="shared" si="92"/>
        <v>FEDERAL</v>
      </c>
      <c r="N659" s="26">
        <v>109</v>
      </c>
      <c r="O659" s="26">
        <v>54</v>
      </c>
      <c r="P659" s="26">
        <v>55</v>
      </c>
      <c r="Q659" s="26">
        <v>6</v>
      </c>
      <c r="R659" s="26">
        <v>1</v>
      </c>
      <c r="S659" s="26">
        <v>6</v>
      </c>
      <c r="T659" s="26">
        <v>5</v>
      </c>
      <c r="U659" s="26">
        <v>12</v>
      </c>
      <c r="V659" s="26">
        <v>1</v>
      </c>
      <c r="W659" s="26" t="s">
        <v>2076</v>
      </c>
    </row>
    <row r="660" spans="1:23" x14ac:dyDescent="0.25">
      <c r="A660" s="26" t="str">
        <f t="shared" si="90"/>
        <v>PREESCOLAR</v>
      </c>
      <c r="B660" s="26" t="str">
        <f>"09DJN0834G"</f>
        <v>09DJN0834G</v>
      </c>
      <c r="C660" s="26" t="str">
        <f>"REFUGIO SONI                                                                                        "</f>
        <v xml:space="preserve">REFUGIO SONI                                                                                        </v>
      </c>
      <c r="D660" s="26" t="str">
        <f>"JORNADA AMPLIADA"</f>
        <v>JORNADA AMPLIADA</v>
      </c>
      <c r="E660" s="26" t="str">
        <f>"2RA. CDA. DE CALLE 12 Y RIO CHURUBUSCO                                          "</f>
        <v xml:space="preserve">2RA. CDA. DE CALLE 12 Y RIO CHURUBUSCO                                          </v>
      </c>
      <c r="F660" s="26" t="str">
        <f>"GRANJAS SAN ANTONIO                                                                                                                         "</f>
        <v xml:space="preserve">GRANJAS SAN ANTONIO                                                                                                                         </v>
      </c>
      <c r="G660" s="26" t="str">
        <f>"IZTAPALAPA                                                                      "</f>
        <v xml:space="preserve">IZTAPALAPA                                                                      </v>
      </c>
      <c r="H660" s="26" t="str">
        <f>"003"</f>
        <v>003</v>
      </c>
      <c r="I660" s="26" t="str">
        <f t="shared" si="91"/>
        <v>00</v>
      </c>
      <c r="J660" s="26" t="str">
        <f>"61 "</f>
        <v xml:space="preserve">61 </v>
      </c>
      <c r="K660" s="26" t="str">
        <f>"IZ"</f>
        <v>IZ</v>
      </c>
      <c r="L660" s="26" t="str">
        <f>"DGSEI"</f>
        <v>DGSEI</v>
      </c>
      <c r="M660" s="26" t="str">
        <f t="shared" si="92"/>
        <v>FEDERAL</v>
      </c>
      <c r="N660" s="26">
        <v>150</v>
      </c>
      <c r="O660" s="26">
        <v>77</v>
      </c>
      <c r="P660" s="26">
        <v>73</v>
      </c>
      <c r="Q660" s="26">
        <v>5</v>
      </c>
      <c r="R660" s="26">
        <v>0</v>
      </c>
      <c r="S660" s="26">
        <v>5</v>
      </c>
      <c r="T660" s="26">
        <v>5</v>
      </c>
      <c r="U660" s="26">
        <v>10</v>
      </c>
      <c r="V660" s="26">
        <v>1</v>
      </c>
      <c r="W660" s="26" t="s">
        <v>2076</v>
      </c>
    </row>
    <row r="661" spans="1:23" x14ac:dyDescent="0.25">
      <c r="A661" s="26" t="str">
        <f t="shared" si="90"/>
        <v>PREESCOLAR</v>
      </c>
      <c r="B661" s="26" t="str">
        <f>"09DJN0835F"</f>
        <v>09DJN0835F</v>
      </c>
      <c r="C661" s="26" t="str">
        <f>"XINACHTLI                                                                                           "</f>
        <v xml:space="preserve">XINACHTLI                                                                                           </v>
      </c>
      <c r="D661" s="26" t="str">
        <f>"TIEMPO COMPLETO"</f>
        <v>TIEMPO COMPLETO</v>
      </c>
      <c r="E661" s="26" t="str">
        <f>"TAPACHULA S/N ENTRE OAXACA Y YUCATAN                                            "</f>
        <v xml:space="preserve">TAPACHULA S/N ENTRE OAXACA Y YUCATAN                                            </v>
      </c>
      <c r="F661" s="26" t="str">
        <f>"SAN SEBASTIAN TECOLOXTITLAN                                                                                                                 "</f>
        <v xml:space="preserve">SAN SEBASTIAN TECOLOXTITLAN                                                                                                                 </v>
      </c>
      <c r="G661" s="26" t="str">
        <f>"IZTAPALAPA                                                                      "</f>
        <v xml:space="preserve">IZTAPALAPA                                                                      </v>
      </c>
      <c r="H661" s="26" t="str">
        <f>"008"</f>
        <v>008</v>
      </c>
      <c r="I661" s="26" t="str">
        <f t="shared" si="91"/>
        <v>00</v>
      </c>
      <c r="J661" s="26" t="str">
        <f>"61 "</f>
        <v xml:space="preserve">61 </v>
      </c>
      <c r="K661" s="26" t="str">
        <f>"IZ"</f>
        <v>IZ</v>
      </c>
      <c r="L661" s="26" t="str">
        <f>"DGSEI"</f>
        <v>DGSEI</v>
      </c>
      <c r="M661" s="26" t="str">
        <f t="shared" si="92"/>
        <v>FEDERAL</v>
      </c>
      <c r="N661" s="26">
        <v>323</v>
      </c>
      <c r="O661" s="26">
        <v>157</v>
      </c>
      <c r="P661" s="26">
        <v>166</v>
      </c>
      <c r="Q661" s="26">
        <v>8</v>
      </c>
      <c r="R661" s="26">
        <v>1</v>
      </c>
      <c r="S661" s="26">
        <v>8</v>
      </c>
      <c r="T661" s="26">
        <v>9</v>
      </c>
      <c r="U661" s="26">
        <v>18</v>
      </c>
      <c r="V661" s="26">
        <v>1</v>
      </c>
      <c r="W661" s="26" t="s">
        <v>218</v>
      </c>
    </row>
    <row r="662" spans="1:23" x14ac:dyDescent="0.25">
      <c r="A662" s="26" t="str">
        <f t="shared" si="90"/>
        <v>PREESCOLAR</v>
      </c>
      <c r="B662" s="26" t="str">
        <f>"09DJN0836E"</f>
        <v>09DJN0836E</v>
      </c>
      <c r="C662" s="26" t="str">
        <f>"XOCHIAC                                                                                             "</f>
        <v xml:space="preserve">XOCHIAC                                                                                             </v>
      </c>
      <c r="D662" s="26" t="str">
        <f>"VESPERTINO"</f>
        <v>VESPERTINO</v>
      </c>
      <c r="E662" s="26" t="str">
        <f>"REAL DE GUADALUPE S/N                                                           "</f>
        <v xml:space="preserve">REAL DE GUADALUPE S/N                                                           </v>
      </c>
      <c r="F662" s="26" t="str">
        <f>"SANTA ROSA XOCHIAC                                                                                                                          "</f>
        <v xml:space="preserve">SANTA ROSA XOCHIAC                                                                                                                          </v>
      </c>
      <c r="G662" s="26" t="str">
        <f t="shared" ref="G662:G667" si="95">"ALVARO OBREGON                                                                  "</f>
        <v xml:space="preserve">ALVARO OBREGON                                                                  </v>
      </c>
      <c r="H662" s="26" t="str">
        <f>"175"</f>
        <v>175</v>
      </c>
      <c r="I662" s="26" t="str">
        <f t="shared" si="91"/>
        <v>00</v>
      </c>
      <c r="J662" s="26" t="str">
        <f>"33 "</f>
        <v xml:space="preserve">33 </v>
      </c>
      <c r="K662" s="26" t="str">
        <f t="shared" ref="K662:K677" si="96">"EP"</f>
        <v>EP</v>
      </c>
      <c r="L662" s="26" t="str">
        <f t="shared" ref="L662:L677" si="97">"DGOSE"</f>
        <v>DGOSE</v>
      </c>
      <c r="M662" s="26" t="str">
        <f t="shared" si="92"/>
        <v>FEDERAL</v>
      </c>
      <c r="N662" s="26">
        <v>186</v>
      </c>
      <c r="O662" s="26">
        <v>97</v>
      </c>
      <c r="P662" s="26">
        <v>89</v>
      </c>
      <c r="Q662" s="26">
        <v>6</v>
      </c>
      <c r="R662" s="26">
        <v>0</v>
      </c>
      <c r="S662" s="26">
        <v>6</v>
      </c>
      <c r="T662" s="26">
        <v>7</v>
      </c>
      <c r="U662" s="26">
        <v>13</v>
      </c>
      <c r="V662" s="26">
        <v>1</v>
      </c>
      <c r="W662" s="26"/>
    </row>
    <row r="663" spans="1:23" x14ac:dyDescent="0.25">
      <c r="A663" s="26" t="str">
        <f t="shared" si="90"/>
        <v>PREESCOLAR</v>
      </c>
      <c r="B663" s="26" t="str">
        <f>"09DJN0837D"</f>
        <v>09DJN0837D</v>
      </c>
      <c r="C663" s="26" t="str">
        <f>"PABLO CASALS                                                                                        "</f>
        <v xml:space="preserve">PABLO CASALS                                                                                        </v>
      </c>
      <c r="D663" s="26" t="str">
        <f>"VESPERTINO"</f>
        <v>VESPERTINO</v>
      </c>
      <c r="E663" s="26" t="str">
        <f>"ROSA ROJA NO. 100                                                               "</f>
        <v xml:space="preserve">ROSA ROJA NO. 100                                                               </v>
      </c>
      <c r="F663" s="26" t="str">
        <f>"MOLINO DE ROSAS                                                                                                                             "</f>
        <v xml:space="preserve">MOLINO DE ROSAS                                                                                                                             </v>
      </c>
      <c r="G663" s="26" t="str">
        <f t="shared" si="95"/>
        <v xml:space="preserve">ALVARO OBREGON                                                                  </v>
      </c>
      <c r="H663" s="26" t="str">
        <f>"087"</f>
        <v>087</v>
      </c>
      <c r="I663" s="26" t="str">
        <f t="shared" si="91"/>
        <v>00</v>
      </c>
      <c r="J663" s="26" t="str">
        <f>"33 "</f>
        <v xml:space="preserve">33 </v>
      </c>
      <c r="K663" s="26" t="str">
        <f t="shared" si="96"/>
        <v>EP</v>
      </c>
      <c r="L663" s="26" t="str">
        <f t="shared" si="97"/>
        <v>DGOSE</v>
      </c>
      <c r="M663" s="26" t="str">
        <f t="shared" si="92"/>
        <v>FEDERAL</v>
      </c>
      <c r="N663" s="26">
        <v>116</v>
      </c>
      <c r="O663" s="26">
        <v>63</v>
      </c>
      <c r="P663" s="26">
        <v>53</v>
      </c>
      <c r="Q663" s="26">
        <v>4</v>
      </c>
      <c r="R663" s="26">
        <v>1</v>
      </c>
      <c r="S663" s="26">
        <v>4</v>
      </c>
      <c r="T663" s="26">
        <v>4</v>
      </c>
      <c r="U663" s="26">
        <v>9</v>
      </c>
      <c r="V663" s="26">
        <v>1</v>
      </c>
      <c r="W663" s="26"/>
    </row>
    <row r="664" spans="1:23" x14ac:dyDescent="0.25">
      <c r="A664" s="26" t="str">
        <f t="shared" si="90"/>
        <v>PREESCOLAR</v>
      </c>
      <c r="B664" s="26" t="str">
        <f>"09DJN0838C"</f>
        <v>09DJN0838C</v>
      </c>
      <c r="C664" s="26" t="str">
        <f>"PAULO FREIRE                                                                                        "</f>
        <v xml:space="preserve">PAULO FREIRE                                                                                        </v>
      </c>
      <c r="D664" s="26" t="str">
        <f>"VESPERTINO"</f>
        <v>VESPERTINO</v>
      </c>
      <c r="E664" s="26" t="str">
        <f>"PUERTO KINO MZA.  A LOTES 3 Y 4                                                 "</f>
        <v xml:space="preserve">PUERTO KINO MZA.  A LOTES 3 Y 4                                                 </v>
      </c>
      <c r="F664" s="26" t="str">
        <f>"PILOTO ADOLFO LOPEZ MATEOS                                                                                                                  "</f>
        <v xml:space="preserve">PILOTO ADOLFO LOPEZ MATEOS                                                                                                                  </v>
      </c>
      <c r="G664" s="26" t="str">
        <f t="shared" si="95"/>
        <v xml:space="preserve">ALVARO OBREGON                                                                  </v>
      </c>
      <c r="H664" s="26" t="str">
        <f>"217"</f>
        <v>217</v>
      </c>
      <c r="I664" s="26" t="str">
        <f t="shared" si="91"/>
        <v>00</v>
      </c>
      <c r="J664" s="26" t="str">
        <f>"33 "</f>
        <v xml:space="preserve">33 </v>
      </c>
      <c r="K664" s="26" t="str">
        <f t="shared" si="96"/>
        <v>EP</v>
      </c>
      <c r="L664" s="26" t="str">
        <f t="shared" si="97"/>
        <v>DGOSE</v>
      </c>
      <c r="M664" s="26" t="str">
        <f t="shared" si="92"/>
        <v>FEDERAL</v>
      </c>
      <c r="N664" s="26">
        <v>68</v>
      </c>
      <c r="O664" s="26">
        <v>34</v>
      </c>
      <c r="P664" s="26">
        <v>34</v>
      </c>
      <c r="Q664" s="26">
        <v>2</v>
      </c>
      <c r="R664" s="26">
        <v>1</v>
      </c>
      <c r="S664" s="26">
        <v>2</v>
      </c>
      <c r="T664" s="26">
        <v>2</v>
      </c>
      <c r="U664" s="26">
        <v>5</v>
      </c>
      <c r="V664" s="26">
        <v>1</v>
      </c>
      <c r="W664" s="26"/>
    </row>
    <row r="665" spans="1:23" x14ac:dyDescent="0.25">
      <c r="A665" s="26" t="str">
        <f t="shared" si="90"/>
        <v>PREESCOLAR</v>
      </c>
      <c r="B665" s="26" t="str">
        <f>"09DJN0839B"</f>
        <v>09DJN0839B</v>
      </c>
      <c r="C665" s="26" t="str">
        <f>"LIBERALES DE 1857                                                                                   "</f>
        <v xml:space="preserve">LIBERALES DE 1857                                                                                   </v>
      </c>
      <c r="D665" s="26" t="str">
        <f>"JORNADA AMPLIADA"</f>
        <v>JORNADA AMPLIADA</v>
      </c>
      <c r="E665" s="26" t="str">
        <f>"V. GOMEZ FARIAS ESQ. PRESIDENTE JUAREZ                                          "</f>
        <v xml:space="preserve">V. GOMEZ FARIAS ESQ. PRESIDENTE JUAREZ                                          </v>
      </c>
      <c r="F665" s="26" t="str">
        <f>"LIBERALES DE 1857                                                                                                                           "</f>
        <v xml:space="preserve">LIBERALES DE 1857                                                                                                                           </v>
      </c>
      <c r="G665" s="26" t="str">
        <f t="shared" si="95"/>
        <v xml:space="preserve">ALVARO OBREGON                                                                  </v>
      </c>
      <c r="H665" s="26" t="str">
        <f>"216"</f>
        <v>216</v>
      </c>
      <c r="I665" s="26" t="str">
        <f t="shared" si="91"/>
        <v>00</v>
      </c>
      <c r="J665" s="26" t="str">
        <f>"34 "</f>
        <v xml:space="preserve">34 </v>
      </c>
      <c r="K665" s="26" t="str">
        <f t="shared" si="96"/>
        <v>EP</v>
      </c>
      <c r="L665" s="26" t="str">
        <f t="shared" si="97"/>
        <v>DGOSE</v>
      </c>
      <c r="M665" s="26" t="str">
        <f t="shared" si="92"/>
        <v>FEDERAL</v>
      </c>
      <c r="N665" s="26">
        <v>210</v>
      </c>
      <c r="O665" s="26">
        <v>105</v>
      </c>
      <c r="P665" s="26">
        <v>105</v>
      </c>
      <c r="Q665" s="26">
        <v>7</v>
      </c>
      <c r="R665" s="26">
        <v>1</v>
      </c>
      <c r="S665" s="26">
        <v>7</v>
      </c>
      <c r="T665" s="26">
        <v>6</v>
      </c>
      <c r="U665" s="26">
        <v>14</v>
      </c>
      <c r="V665" s="26">
        <v>1</v>
      </c>
      <c r="W665" s="26" t="s">
        <v>2076</v>
      </c>
    </row>
    <row r="666" spans="1:23" x14ac:dyDescent="0.25">
      <c r="A666" s="26" t="str">
        <f t="shared" si="90"/>
        <v>PREESCOLAR</v>
      </c>
      <c r="B666" s="26" t="str">
        <f>"09DJN0840R"</f>
        <v>09DJN0840R</v>
      </c>
      <c r="C666" s="26" t="str">
        <f>"ROSAURA ZAPATA                                                                                      "</f>
        <v xml:space="preserve">ROSAURA ZAPATA                                                                                      </v>
      </c>
      <c r="D666" s="26" t="str">
        <f>"MATUTINO"</f>
        <v>MATUTINO</v>
      </c>
      <c r="E666" s="26" t="str">
        <f>"AV. VASCO DE QUIROGA NO. 1401                                                   "</f>
        <v xml:space="preserve">AV. VASCO DE QUIROGA NO. 1401                                                   </v>
      </c>
      <c r="F666" s="26" t="str">
        <f>"SANTA FE                                                                                                                                    "</f>
        <v xml:space="preserve">SANTA FE                                                                                                                                    </v>
      </c>
      <c r="G666" s="26" t="str">
        <f t="shared" si="95"/>
        <v xml:space="preserve">ALVARO OBREGON                                                                  </v>
      </c>
      <c r="H666" s="26" t="str">
        <f>"219"</f>
        <v>219</v>
      </c>
      <c r="I666" s="26" t="str">
        <f t="shared" si="91"/>
        <v>00</v>
      </c>
      <c r="J666" s="26" t="str">
        <f>"33 "</f>
        <v xml:space="preserve">33 </v>
      </c>
      <c r="K666" s="26" t="str">
        <f t="shared" si="96"/>
        <v>EP</v>
      </c>
      <c r="L666" s="26" t="str">
        <f t="shared" si="97"/>
        <v>DGOSE</v>
      </c>
      <c r="M666" s="26" t="str">
        <f t="shared" si="92"/>
        <v>FEDERAL</v>
      </c>
      <c r="N666" s="26">
        <v>139</v>
      </c>
      <c r="O666" s="26">
        <v>68</v>
      </c>
      <c r="P666" s="26">
        <v>71</v>
      </c>
      <c r="Q666" s="26">
        <v>6</v>
      </c>
      <c r="R666" s="26">
        <v>1</v>
      </c>
      <c r="S666" s="26">
        <v>6</v>
      </c>
      <c r="T666" s="26">
        <v>4</v>
      </c>
      <c r="U666" s="26">
        <v>11</v>
      </c>
      <c r="V666" s="26">
        <v>1</v>
      </c>
      <c r="W666" s="26"/>
    </row>
    <row r="667" spans="1:23" x14ac:dyDescent="0.25">
      <c r="A667" s="26" t="str">
        <f t="shared" si="90"/>
        <v>PREESCOLAR</v>
      </c>
      <c r="B667" s="26" t="str">
        <f>"09DJN0841Q"</f>
        <v>09DJN0841Q</v>
      </c>
      <c r="C667" s="26" t="str">
        <f>"DR. ARNOLD GESELL                                                                                   "</f>
        <v xml:space="preserve">DR. ARNOLD GESELL                                                                                   </v>
      </c>
      <c r="D667" s="26" t="str">
        <f>"JORNADA AMPLIADA"</f>
        <v>JORNADA AMPLIADA</v>
      </c>
      <c r="E667" s="26" t="str">
        <f>"URBINA S/N                                                                      "</f>
        <v xml:space="preserve">URBINA S/N                                                                      </v>
      </c>
      <c r="F667" s="26" t="str">
        <f>"CAÑADA                                                                                                                                      "</f>
        <v xml:space="preserve">CAÑADA                                                                                                                                      </v>
      </c>
      <c r="G667" s="26" t="str">
        <f t="shared" si="95"/>
        <v xml:space="preserve">ALVARO OBREGON                                                                  </v>
      </c>
      <c r="H667" s="26" t="str">
        <f>"133"</f>
        <v>133</v>
      </c>
      <c r="I667" s="26" t="str">
        <f t="shared" si="91"/>
        <v>00</v>
      </c>
      <c r="J667" s="26" t="str">
        <f>"34 "</f>
        <v xml:space="preserve">34 </v>
      </c>
      <c r="K667" s="26" t="str">
        <f t="shared" si="96"/>
        <v>EP</v>
      </c>
      <c r="L667" s="26" t="str">
        <f t="shared" si="97"/>
        <v>DGOSE</v>
      </c>
      <c r="M667" s="26" t="str">
        <f t="shared" si="92"/>
        <v>FEDERAL</v>
      </c>
      <c r="N667" s="26">
        <v>208</v>
      </c>
      <c r="O667" s="26">
        <v>109</v>
      </c>
      <c r="P667" s="26">
        <v>99</v>
      </c>
      <c r="Q667" s="26">
        <v>6</v>
      </c>
      <c r="R667" s="26">
        <v>1</v>
      </c>
      <c r="S667" s="26">
        <v>6</v>
      </c>
      <c r="T667" s="26">
        <v>6</v>
      </c>
      <c r="U667" s="26">
        <v>13</v>
      </c>
      <c r="V667" s="26">
        <v>1</v>
      </c>
      <c r="W667" s="26" t="s">
        <v>2076</v>
      </c>
    </row>
    <row r="668" spans="1:23" x14ac:dyDescent="0.25">
      <c r="A668" s="26" t="str">
        <f t="shared" si="90"/>
        <v>PREESCOLAR</v>
      </c>
      <c r="B668" s="26" t="str">
        <f>"09DJN0845M"</f>
        <v>09DJN0845M</v>
      </c>
      <c r="C668" s="26" t="str">
        <f>"EJIDOS DE CULHUACAN                                                                                 "</f>
        <v xml:space="preserve">EJIDOS DE CULHUACAN                                                                                 </v>
      </c>
      <c r="D668" s="26" t="str">
        <f>"JORNADA AMPLIADA"</f>
        <v>JORNADA AMPLIADA</v>
      </c>
      <c r="E668" s="26" t="str">
        <f>"REMEDIOS VALLE Y MANUELA SAENZ C.T.M.                                           "</f>
        <v xml:space="preserve">REMEDIOS VALLE Y MANUELA SAENZ C.T.M.                                           </v>
      </c>
      <c r="F668" s="26" t="str">
        <f>"SAN FRANCISCO CULHUACAN                                                                                                                     "</f>
        <v xml:space="preserve">SAN FRANCISCO CULHUACAN                                                                                                                     </v>
      </c>
      <c r="G668" s="26" t="str">
        <f>"COYOACAN                                                                        "</f>
        <v xml:space="preserve">COYOACAN                                                                        </v>
      </c>
      <c r="H668" s="26" t="str">
        <f>"209"</f>
        <v>209</v>
      </c>
      <c r="I668" s="26" t="str">
        <f t="shared" si="91"/>
        <v>00</v>
      </c>
      <c r="J668" s="26" t="str">
        <f>"34 "</f>
        <v xml:space="preserve">34 </v>
      </c>
      <c r="K668" s="26" t="str">
        <f t="shared" si="96"/>
        <v>EP</v>
      </c>
      <c r="L668" s="26" t="str">
        <f t="shared" si="97"/>
        <v>DGOSE</v>
      </c>
      <c r="M668" s="26" t="str">
        <f t="shared" si="92"/>
        <v>FEDERAL</v>
      </c>
      <c r="N668" s="26">
        <v>222</v>
      </c>
      <c r="O668" s="26">
        <v>112</v>
      </c>
      <c r="P668" s="26">
        <v>110</v>
      </c>
      <c r="Q668" s="26">
        <v>7</v>
      </c>
      <c r="R668" s="26">
        <v>1</v>
      </c>
      <c r="S668" s="26">
        <v>7</v>
      </c>
      <c r="T668" s="26">
        <v>9</v>
      </c>
      <c r="U668" s="26">
        <v>17</v>
      </c>
      <c r="V668" s="26">
        <v>1</v>
      </c>
      <c r="W668" s="26" t="s">
        <v>2076</v>
      </c>
    </row>
    <row r="669" spans="1:23" x14ac:dyDescent="0.25">
      <c r="A669" s="26" t="str">
        <f t="shared" si="90"/>
        <v>PREESCOLAR</v>
      </c>
      <c r="B669" s="26" t="str">
        <f>"09DJN0846L"</f>
        <v>09DJN0846L</v>
      </c>
      <c r="C669" s="26" t="str">
        <f>"ROSA HELIA GARCIA DELGADO                                                                           "</f>
        <v xml:space="preserve">ROSA HELIA GARCIA DELGADO                                                                           </v>
      </c>
      <c r="D669" s="26" t="str">
        <f>"TIEMPO COMPLETO"</f>
        <v>TIEMPO COMPLETO</v>
      </c>
      <c r="E669" s="26" t="str">
        <f>"AV. SANTA ANA Y CANAL NACIONAL                                                  "</f>
        <v xml:space="preserve">AV. SANTA ANA Y CANAL NACIONAL                                                  </v>
      </c>
      <c r="F669" s="26" t="str">
        <f>"SAN FRANCISCO CULHUACAN                                                                                                                     "</f>
        <v xml:space="preserve">SAN FRANCISCO CULHUACAN                                                                                                                     </v>
      </c>
      <c r="G669" s="26" t="str">
        <f>"COYOACAN                                                                        "</f>
        <v xml:space="preserve">COYOACAN                                                                        </v>
      </c>
      <c r="H669" s="26" t="str">
        <f>"209"</f>
        <v>209</v>
      </c>
      <c r="I669" s="26" t="str">
        <f t="shared" si="91"/>
        <v>00</v>
      </c>
      <c r="J669" s="26" t="str">
        <f>"34 "</f>
        <v xml:space="preserve">34 </v>
      </c>
      <c r="K669" s="26" t="str">
        <f t="shared" si="96"/>
        <v>EP</v>
      </c>
      <c r="L669" s="26" t="str">
        <f t="shared" si="97"/>
        <v>DGOSE</v>
      </c>
      <c r="M669" s="26" t="str">
        <f t="shared" si="92"/>
        <v>FEDERAL</v>
      </c>
      <c r="N669" s="26">
        <v>198</v>
      </c>
      <c r="O669" s="26">
        <v>99</v>
      </c>
      <c r="P669" s="26">
        <v>99</v>
      </c>
      <c r="Q669" s="26">
        <v>6</v>
      </c>
      <c r="R669" s="26">
        <v>2</v>
      </c>
      <c r="S669" s="26">
        <v>6</v>
      </c>
      <c r="T669" s="26">
        <v>14</v>
      </c>
      <c r="U669" s="26">
        <v>22</v>
      </c>
      <c r="V669" s="26">
        <v>1</v>
      </c>
      <c r="W669" s="26" t="s">
        <v>218</v>
      </c>
    </row>
    <row r="670" spans="1:23" x14ac:dyDescent="0.25">
      <c r="A670" s="26" t="str">
        <f t="shared" si="90"/>
        <v>PREESCOLAR</v>
      </c>
      <c r="B670" s="26" t="str">
        <f>"09DJN0847K"</f>
        <v>09DJN0847K</v>
      </c>
      <c r="C670" s="26" t="str">
        <f>"CARLOS A. CARRILLO                                                                                  "</f>
        <v xml:space="preserve">CARLOS A. CARRILLO                                                                                  </v>
      </c>
      <c r="D670" s="26" t="str">
        <f>"MATUTINO"</f>
        <v>MATUTINO</v>
      </c>
      <c r="E670" s="26" t="str">
        <f>"SAN JORGE Y SANTO TOMAS                                                         "</f>
        <v xml:space="preserve">SAN JORGE Y SANTO TOMAS                                                         </v>
      </c>
      <c r="F670" s="26" t="str">
        <f>"PEDREGAL DE SANTA URSULA                                                                                                                    "</f>
        <v xml:space="preserve">PEDREGAL DE SANTA URSULA                                                                                                                    </v>
      </c>
      <c r="G670" s="26" t="str">
        <f>"COYOACAN                                                                        "</f>
        <v xml:space="preserve">COYOACAN                                                                        </v>
      </c>
      <c r="H670" s="26" t="str">
        <f>"156"</f>
        <v>156</v>
      </c>
      <c r="I670" s="26" t="str">
        <f t="shared" si="91"/>
        <v>00</v>
      </c>
      <c r="J670" s="26" t="str">
        <f>"35 "</f>
        <v xml:space="preserve">35 </v>
      </c>
      <c r="K670" s="26" t="str">
        <f t="shared" si="96"/>
        <v>EP</v>
      </c>
      <c r="L670" s="26" t="str">
        <f t="shared" si="97"/>
        <v>DGOSE</v>
      </c>
      <c r="M670" s="26" t="str">
        <f t="shared" si="92"/>
        <v>FEDERAL</v>
      </c>
      <c r="N670" s="26">
        <v>211</v>
      </c>
      <c r="O670" s="26">
        <v>102</v>
      </c>
      <c r="P670" s="26">
        <v>109</v>
      </c>
      <c r="Q670" s="26">
        <v>7</v>
      </c>
      <c r="R670" s="26">
        <v>1</v>
      </c>
      <c r="S670" s="26">
        <v>7</v>
      </c>
      <c r="T670" s="26">
        <v>6</v>
      </c>
      <c r="U670" s="26">
        <v>14</v>
      </c>
      <c r="V670" s="26">
        <v>1</v>
      </c>
      <c r="W670" s="26"/>
    </row>
    <row r="671" spans="1:23" x14ac:dyDescent="0.25">
      <c r="A671" s="26" t="str">
        <f t="shared" si="90"/>
        <v>PREESCOLAR</v>
      </c>
      <c r="B671" s="26" t="str">
        <f>"09DJN0849I"</f>
        <v>09DJN0849I</v>
      </c>
      <c r="C671" s="26" t="str">
        <f>"COLHUACAN                                                                                           "</f>
        <v xml:space="preserve">COLHUACAN                                                                                           </v>
      </c>
      <c r="D671" s="26" t="str">
        <f>"MATUTINO"</f>
        <v>MATUTINO</v>
      </c>
      <c r="E671" s="26" t="str">
        <f>"EJIDO SAN PEDRO XALPA Y TOMATLAN                                                "</f>
        <v xml:space="preserve">EJIDO SAN PEDRO XALPA Y TOMATLAN                                                </v>
      </c>
      <c r="F671" s="26" t="str">
        <f>"SAN FRANCISCO CULHUACAN                                                                                                                     "</f>
        <v xml:space="preserve">SAN FRANCISCO CULHUACAN                                                                                                                     </v>
      </c>
      <c r="G671" s="26" t="str">
        <f>"COYOACAN                                                                        "</f>
        <v xml:space="preserve">COYOACAN                                                                        </v>
      </c>
      <c r="H671" s="26" t="str">
        <f>"099"</f>
        <v>099</v>
      </c>
      <c r="I671" s="26" t="str">
        <f t="shared" si="91"/>
        <v>00</v>
      </c>
      <c r="J671" s="26" t="str">
        <f>"35 "</f>
        <v xml:space="preserve">35 </v>
      </c>
      <c r="K671" s="26" t="str">
        <f t="shared" si="96"/>
        <v>EP</v>
      </c>
      <c r="L671" s="26" t="str">
        <f t="shared" si="97"/>
        <v>DGOSE</v>
      </c>
      <c r="M671" s="26" t="str">
        <f t="shared" si="92"/>
        <v>FEDERAL</v>
      </c>
      <c r="N671" s="26">
        <v>218</v>
      </c>
      <c r="O671" s="26">
        <v>113</v>
      </c>
      <c r="P671" s="26">
        <v>105</v>
      </c>
      <c r="Q671" s="26">
        <v>7</v>
      </c>
      <c r="R671" s="26">
        <v>1</v>
      </c>
      <c r="S671" s="26">
        <v>7</v>
      </c>
      <c r="T671" s="26">
        <v>9</v>
      </c>
      <c r="U671" s="26">
        <v>17</v>
      </c>
      <c r="V671" s="26">
        <v>1</v>
      </c>
      <c r="W671" s="26"/>
    </row>
    <row r="672" spans="1:23" x14ac:dyDescent="0.25">
      <c r="A672" s="26" t="str">
        <f t="shared" si="90"/>
        <v>PREESCOLAR</v>
      </c>
      <c r="B672" s="26" t="str">
        <f>"09DJN0850Y"</f>
        <v>09DJN0850Y</v>
      </c>
      <c r="C672" s="26" t="str">
        <f>"LIC. AGUSTIN YAÑEZ                                                                                  "</f>
        <v xml:space="preserve">LIC. AGUSTIN YAÑEZ                                                                                  </v>
      </c>
      <c r="D672" s="26" t="str">
        <f>"JORNADA AMPLIADA"</f>
        <v>JORNADA AMPLIADA</v>
      </c>
      <c r="E672" s="26" t="str">
        <f>"RET. GENARO ALVARADO Y AV. TORRES                                               "</f>
        <v xml:space="preserve">RET. GENARO ALVARADO Y AV. TORRES                                               </v>
      </c>
      <c r="F672" s="26" t="str">
        <f>"UNIDAD CTM ATZACOALCO                                                                                                                       "</f>
        <v xml:space="preserve">UNIDAD CTM ATZACOALCO                                                                                                                       </v>
      </c>
      <c r="G672" s="26" t="str">
        <f>"GUSTAVO A. MADERO                                                               "</f>
        <v xml:space="preserve">GUSTAVO A. MADERO                                                               </v>
      </c>
      <c r="H672" s="26" t="str">
        <f>"121"</f>
        <v>121</v>
      </c>
      <c r="I672" s="26" t="str">
        <f t="shared" si="91"/>
        <v>00</v>
      </c>
      <c r="J672" s="26" t="str">
        <f>"31 "</f>
        <v xml:space="preserve">31 </v>
      </c>
      <c r="K672" s="26" t="str">
        <f t="shared" si="96"/>
        <v>EP</v>
      </c>
      <c r="L672" s="26" t="str">
        <f t="shared" si="97"/>
        <v>DGOSE</v>
      </c>
      <c r="M672" s="26" t="str">
        <f t="shared" si="92"/>
        <v>FEDERAL</v>
      </c>
      <c r="N672" s="26">
        <v>266</v>
      </c>
      <c r="O672" s="26">
        <v>137</v>
      </c>
      <c r="P672" s="26">
        <v>129</v>
      </c>
      <c r="Q672" s="26">
        <v>8</v>
      </c>
      <c r="R672" s="26">
        <v>1</v>
      </c>
      <c r="S672" s="26">
        <v>8</v>
      </c>
      <c r="T672" s="26">
        <v>8</v>
      </c>
      <c r="U672" s="26">
        <v>17</v>
      </c>
      <c r="V672" s="26">
        <v>1</v>
      </c>
      <c r="W672" s="26" t="s">
        <v>2076</v>
      </c>
    </row>
    <row r="673" spans="1:23" x14ac:dyDescent="0.25">
      <c r="A673" s="26" t="str">
        <f t="shared" si="90"/>
        <v>PREESCOLAR</v>
      </c>
      <c r="B673" s="26" t="str">
        <f>"09DJN0851X"</f>
        <v>09DJN0851X</v>
      </c>
      <c r="C673" s="26" t="str">
        <f>"ITZEL                                                                                               "</f>
        <v xml:space="preserve">ITZEL                                                                                               </v>
      </c>
      <c r="D673" s="26" t="str">
        <f>"JORNADA AMPLIADA"</f>
        <v>JORNADA AMPLIADA</v>
      </c>
      <c r="E673" s="26" t="str">
        <f>"2A. CDA. DE  AV. 603 NO. 86                                                     "</f>
        <v xml:space="preserve">2A. CDA. DE  AV. 603 NO. 86                                                     </v>
      </c>
      <c r="F673" s="26" t="str">
        <f>"UNIDAD SAN JUAN DE ARAGON 3A SECCIO                                                                                                         "</f>
        <v xml:space="preserve">UNIDAD SAN JUAN DE ARAGON 3A SECCIO                                                                                                         </v>
      </c>
      <c r="G673" s="26" t="str">
        <f>"GUSTAVO A. MADERO                                                               "</f>
        <v xml:space="preserve">GUSTAVO A. MADERO                                                               </v>
      </c>
      <c r="H673" s="26" t="str">
        <f>"179"</f>
        <v>179</v>
      </c>
      <c r="I673" s="26" t="str">
        <f t="shared" si="91"/>
        <v>00</v>
      </c>
      <c r="J673" s="26" t="str">
        <f>"31 "</f>
        <v xml:space="preserve">31 </v>
      </c>
      <c r="K673" s="26" t="str">
        <f t="shared" si="96"/>
        <v>EP</v>
      </c>
      <c r="L673" s="26" t="str">
        <f t="shared" si="97"/>
        <v>DGOSE</v>
      </c>
      <c r="M673" s="26" t="str">
        <f t="shared" si="92"/>
        <v>FEDERAL</v>
      </c>
      <c r="N673" s="26">
        <v>183</v>
      </c>
      <c r="O673" s="26">
        <v>99</v>
      </c>
      <c r="P673" s="26">
        <v>84</v>
      </c>
      <c r="Q673" s="26">
        <v>6</v>
      </c>
      <c r="R673" s="26">
        <v>1</v>
      </c>
      <c r="S673" s="26">
        <v>6</v>
      </c>
      <c r="T673" s="26">
        <v>7</v>
      </c>
      <c r="U673" s="26">
        <v>14</v>
      </c>
      <c r="V673" s="26">
        <v>1</v>
      </c>
      <c r="W673" s="26" t="s">
        <v>2076</v>
      </c>
    </row>
    <row r="674" spans="1:23" x14ac:dyDescent="0.25">
      <c r="A674" s="26" t="str">
        <f t="shared" si="90"/>
        <v>PREESCOLAR</v>
      </c>
      <c r="B674" s="26" t="str">
        <f>"09DJN0852W"</f>
        <v>09DJN0852W</v>
      </c>
      <c r="C674" s="26" t="str">
        <f>"CRISTOBAL COLON                                                                                     "</f>
        <v xml:space="preserve">CRISTOBAL COLON                                                                                     </v>
      </c>
      <c r="D674" s="26" t="str">
        <f>"JORNADA AMPLIADA"</f>
        <v>JORNADA AMPLIADA</v>
      </c>
      <c r="E674" s="26" t="str">
        <f>"MARIANO SALAS Y AV. CANTERA                                                     "</f>
        <v xml:space="preserve">MARIANO SALAS Y AV. CANTERA                                                     </v>
      </c>
      <c r="F674" s="26" t="str">
        <f>"ESTANZUELA                                                                                                                                  "</f>
        <v xml:space="preserve">ESTANZUELA                                                                                                                                  </v>
      </c>
      <c r="G674" s="26" t="str">
        <f>"GUSTAVO A. MADERO                                                               "</f>
        <v xml:space="preserve">GUSTAVO A. MADERO                                                               </v>
      </c>
      <c r="H674" s="26" t="str">
        <f>"001"</f>
        <v>001</v>
      </c>
      <c r="I674" s="26" t="str">
        <f t="shared" si="91"/>
        <v>00</v>
      </c>
      <c r="J674" s="26" t="str">
        <f>"31 "</f>
        <v xml:space="preserve">31 </v>
      </c>
      <c r="K674" s="26" t="str">
        <f t="shared" si="96"/>
        <v>EP</v>
      </c>
      <c r="L674" s="26" t="str">
        <f t="shared" si="97"/>
        <v>DGOSE</v>
      </c>
      <c r="M674" s="26" t="str">
        <f t="shared" si="92"/>
        <v>FEDERAL</v>
      </c>
      <c r="N674" s="26">
        <v>300</v>
      </c>
      <c r="O674" s="26">
        <v>131</v>
      </c>
      <c r="P674" s="26">
        <v>169</v>
      </c>
      <c r="Q674" s="26">
        <v>9</v>
      </c>
      <c r="R674" s="26">
        <v>1</v>
      </c>
      <c r="S674" s="26">
        <v>9</v>
      </c>
      <c r="T674" s="26">
        <v>12</v>
      </c>
      <c r="U674" s="26">
        <v>22</v>
      </c>
      <c r="V674" s="26">
        <v>1</v>
      </c>
      <c r="W674" s="26" t="s">
        <v>2076</v>
      </c>
    </row>
    <row r="675" spans="1:23" x14ac:dyDescent="0.25">
      <c r="A675" s="26" t="str">
        <f t="shared" si="90"/>
        <v>PREESCOLAR</v>
      </c>
      <c r="B675" s="26" t="str">
        <f>"09DJN0853V"</f>
        <v>09DJN0853V</v>
      </c>
      <c r="C675" s="26" t="str">
        <f>"MARCELINO DE CHAMPAGNAT                                                                             "</f>
        <v xml:space="preserve">MARCELINO DE CHAMPAGNAT                                                                             </v>
      </c>
      <c r="D675" s="26" t="str">
        <f>"MATUTINO"</f>
        <v>MATUTINO</v>
      </c>
      <c r="E675" s="26" t="str">
        <f>"CALLE 1513 S/N                                                                  "</f>
        <v xml:space="preserve">CALLE 1513 S/N                                                                  </v>
      </c>
      <c r="F675" s="26" t="str">
        <f>"UNIDAD SAN JUAN DE ARAGON 6A SECCIO                                                                                                         "</f>
        <v xml:space="preserve">UNIDAD SAN JUAN DE ARAGON 6A SECCIO                                                                                                         </v>
      </c>
      <c r="G675" s="26" t="str">
        <f>"GUSTAVO A. MADERO                                                               "</f>
        <v xml:space="preserve">GUSTAVO A. MADERO                                                               </v>
      </c>
      <c r="H675" s="26" t="str">
        <f>"201"</f>
        <v>201</v>
      </c>
      <c r="I675" s="26" t="str">
        <f t="shared" si="91"/>
        <v>00</v>
      </c>
      <c r="J675" s="26" t="str">
        <f>"32 "</f>
        <v xml:space="preserve">32 </v>
      </c>
      <c r="K675" s="26" t="str">
        <f t="shared" si="96"/>
        <v>EP</v>
      </c>
      <c r="L675" s="26" t="str">
        <f t="shared" si="97"/>
        <v>DGOSE</v>
      </c>
      <c r="M675" s="26" t="str">
        <f t="shared" si="92"/>
        <v>FEDERAL</v>
      </c>
      <c r="N675" s="26">
        <v>249</v>
      </c>
      <c r="O675" s="26">
        <v>127</v>
      </c>
      <c r="P675" s="26">
        <v>122</v>
      </c>
      <c r="Q675" s="26">
        <v>8</v>
      </c>
      <c r="R675" s="26">
        <v>1</v>
      </c>
      <c r="S675" s="26">
        <v>7</v>
      </c>
      <c r="T675" s="26">
        <v>4</v>
      </c>
      <c r="U675" s="26">
        <v>12</v>
      </c>
      <c r="V675" s="26">
        <v>1</v>
      </c>
      <c r="W675" s="26"/>
    </row>
    <row r="676" spans="1:23" x14ac:dyDescent="0.25">
      <c r="A676" s="26" t="str">
        <f t="shared" si="90"/>
        <v>PREESCOLAR</v>
      </c>
      <c r="B676" s="26" t="str">
        <f>"09DJN0854U"</f>
        <v>09DJN0854U</v>
      </c>
      <c r="C676" s="26" t="str">
        <f>"FRANCISCO JAVIER MINA                                                                               "</f>
        <v xml:space="preserve">FRANCISCO JAVIER MINA                                                                               </v>
      </c>
      <c r="D676" s="26" t="str">
        <f>"VESPERTINO"</f>
        <v>VESPERTINO</v>
      </c>
      <c r="E676" s="26" t="str">
        <f>"ORIENTE 235 C Y SUR 16                                                          "</f>
        <v xml:space="preserve">ORIENTE 235 C Y SUR 16                                                          </v>
      </c>
      <c r="F676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676" s="26" t="str">
        <f>"IZTACALCO                                                                       "</f>
        <v xml:space="preserve">IZTACALCO                                                                       </v>
      </c>
      <c r="H676" s="26" t="str">
        <f>"027"</f>
        <v>027</v>
      </c>
      <c r="I676" s="26" t="str">
        <f t="shared" si="91"/>
        <v>00</v>
      </c>
      <c r="J676" s="26" t="str">
        <f>"33 "</f>
        <v xml:space="preserve">33 </v>
      </c>
      <c r="K676" s="26" t="str">
        <f t="shared" si="96"/>
        <v>EP</v>
      </c>
      <c r="L676" s="26" t="str">
        <f t="shared" si="97"/>
        <v>DGOSE</v>
      </c>
      <c r="M676" s="26" t="str">
        <f t="shared" si="92"/>
        <v>FEDERAL</v>
      </c>
      <c r="N676" s="26">
        <v>136</v>
      </c>
      <c r="O676" s="26">
        <v>54</v>
      </c>
      <c r="P676" s="26">
        <v>82</v>
      </c>
      <c r="Q676" s="26">
        <v>5</v>
      </c>
      <c r="R676" s="26">
        <v>1</v>
      </c>
      <c r="S676" s="26">
        <v>5</v>
      </c>
      <c r="T676" s="26">
        <v>3</v>
      </c>
      <c r="U676" s="26">
        <v>9</v>
      </c>
      <c r="V676" s="26">
        <v>1</v>
      </c>
      <c r="W676" s="26"/>
    </row>
    <row r="677" spans="1:23" x14ac:dyDescent="0.25">
      <c r="A677" s="26" t="str">
        <f t="shared" si="90"/>
        <v>PREESCOLAR</v>
      </c>
      <c r="B677" s="26" t="str">
        <f>"09DJN0855T"</f>
        <v>09DJN0855T</v>
      </c>
      <c r="C677" s="26" t="str">
        <f>"ESTADO DE ZACATECAS                                                                                 "</f>
        <v xml:space="preserve">ESTADO DE ZACATECAS                                                                                 </v>
      </c>
      <c r="D677" s="26" t="str">
        <f>"JORNADA AMPLIADA"</f>
        <v>JORNADA AMPLIADA</v>
      </c>
      <c r="E677" s="26" t="str">
        <f>"CANAL DE SAN JUAN Y SUR 14 C                                                    "</f>
        <v xml:space="preserve">CANAL DE SAN JUAN Y SUR 14 C                                                    </v>
      </c>
      <c r="F677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677" s="26" t="str">
        <f>"IZTACALCO                                                                       "</f>
        <v xml:space="preserve">IZTACALCO                                                                       </v>
      </c>
      <c r="H677" s="26" t="str">
        <f>"240"</f>
        <v>240</v>
      </c>
      <c r="I677" s="26" t="str">
        <f t="shared" si="91"/>
        <v>00</v>
      </c>
      <c r="J677" s="26" t="str">
        <f>"33 "</f>
        <v xml:space="preserve">33 </v>
      </c>
      <c r="K677" s="26" t="str">
        <f t="shared" si="96"/>
        <v>EP</v>
      </c>
      <c r="L677" s="26" t="str">
        <f t="shared" si="97"/>
        <v>DGOSE</v>
      </c>
      <c r="M677" s="26" t="str">
        <f t="shared" si="92"/>
        <v>FEDERAL</v>
      </c>
      <c r="N677" s="26">
        <v>291</v>
      </c>
      <c r="O677" s="26">
        <v>155</v>
      </c>
      <c r="P677" s="26">
        <v>136</v>
      </c>
      <c r="Q677" s="26">
        <v>8</v>
      </c>
      <c r="R677" s="26">
        <v>1</v>
      </c>
      <c r="S677" s="26">
        <v>8</v>
      </c>
      <c r="T677" s="26">
        <v>10</v>
      </c>
      <c r="U677" s="26">
        <v>19</v>
      </c>
      <c r="V677" s="26">
        <v>1</v>
      </c>
      <c r="W677" s="26" t="s">
        <v>2076</v>
      </c>
    </row>
    <row r="678" spans="1:23" x14ac:dyDescent="0.25">
      <c r="A678" s="26" t="str">
        <f t="shared" si="90"/>
        <v>PREESCOLAR</v>
      </c>
      <c r="B678" s="26" t="str">
        <f>"09DJN0856S"</f>
        <v>09DJN0856S</v>
      </c>
      <c r="C678" s="26" t="str">
        <f>"IZCOATL                                                                                             "</f>
        <v xml:space="preserve">IZCOATL                                                                                             </v>
      </c>
      <c r="D678" s="26" t="str">
        <f>"MATUTINO"</f>
        <v>MATUTINO</v>
      </c>
      <c r="E678" s="26" t="str">
        <f>"NEUMATOLOGOS S/N                                                                "</f>
        <v xml:space="preserve">NEUMATOLOGOS S/N                                                                </v>
      </c>
      <c r="F678" s="26" t="str">
        <f>"SAN JOSE ACULCO                                                                                                                             "</f>
        <v xml:space="preserve">SAN JOSE ACULCO                                                                                                                             </v>
      </c>
      <c r="G678" s="26" t="str">
        <f>"IZTAPALAPA                                                                      "</f>
        <v xml:space="preserve">IZTAPALAPA                                                                      </v>
      </c>
      <c r="H678" s="26" t="str">
        <f>"021"</f>
        <v>021</v>
      </c>
      <c r="I678" s="26" t="str">
        <f t="shared" si="91"/>
        <v>00</v>
      </c>
      <c r="J678" s="26" t="str">
        <f>"63 "</f>
        <v xml:space="preserve">63 </v>
      </c>
      <c r="K678" s="26" t="str">
        <f>"IZ"</f>
        <v>IZ</v>
      </c>
      <c r="L678" s="26" t="str">
        <f>"DGSEI"</f>
        <v>DGSEI</v>
      </c>
      <c r="M678" s="26" t="str">
        <f t="shared" si="92"/>
        <v>FEDERAL</v>
      </c>
      <c r="N678" s="26">
        <v>138</v>
      </c>
      <c r="O678" s="26">
        <v>71</v>
      </c>
      <c r="P678" s="26">
        <v>67</v>
      </c>
      <c r="Q678" s="26">
        <v>5</v>
      </c>
      <c r="R678" s="26">
        <v>1</v>
      </c>
      <c r="S678" s="26">
        <v>5</v>
      </c>
      <c r="T678" s="26">
        <v>3</v>
      </c>
      <c r="U678" s="26">
        <v>9</v>
      </c>
      <c r="V678" s="26">
        <v>1</v>
      </c>
      <c r="W678" s="26"/>
    </row>
    <row r="679" spans="1:23" x14ac:dyDescent="0.25">
      <c r="A679" s="26" t="str">
        <f t="shared" si="90"/>
        <v>PREESCOLAR</v>
      </c>
      <c r="B679" s="26" t="str">
        <f>"09DJN0857R"</f>
        <v>09DJN0857R</v>
      </c>
      <c r="C679" s="26" t="str">
        <f>"REPUBLICA DE CHECOSLOVAQUIA                                                                         "</f>
        <v xml:space="preserve">REPUBLICA DE CHECOSLOVAQUIA                                                                         </v>
      </c>
      <c r="D679" s="26" t="str">
        <f>"MATUTINO"</f>
        <v>MATUTINO</v>
      </c>
      <c r="E679" s="26" t="str">
        <f>"MANUEL CAÑAS Y VILLA FEDERAL S/N                                                "</f>
        <v xml:space="preserve">MANUEL CAÑAS Y VILLA FEDERAL S/N                                                </v>
      </c>
      <c r="F679" s="26" t="str">
        <f>"DESARROLLO URBANO QUETZALCOATL                                                                                                              "</f>
        <v xml:space="preserve">DESARROLLO URBANO QUETZALCOATL                                                                                                              </v>
      </c>
      <c r="G679" s="26" t="str">
        <f>"IZTAPALAPA                                                                      "</f>
        <v xml:space="preserve">IZTAPALAPA                                                                      </v>
      </c>
      <c r="H679" s="26" t="str">
        <f>"032"</f>
        <v>032</v>
      </c>
      <c r="I679" s="26" t="str">
        <f t="shared" si="91"/>
        <v>00</v>
      </c>
      <c r="J679" s="26" t="str">
        <f>"64 "</f>
        <v xml:space="preserve">64 </v>
      </c>
      <c r="K679" s="26" t="str">
        <f>"IZ"</f>
        <v>IZ</v>
      </c>
      <c r="L679" s="26" t="str">
        <f>"DGSEI"</f>
        <v>DGSEI</v>
      </c>
      <c r="M679" s="26" t="str">
        <f t="shared" si="92"/>
        <v>FEDERAL</v>
      </c>
      <c r="N679" s="26">
        <v>329</v>
      </c>
      <c r="O679" s="26">
        <v>163</v>
      </c>
      <c r="P679" s="26">
        <v>166</v>
      </c>
      <c r="Q679" s="26">
        <v>8</v>
      </c>
      <c r="R679" s="26">
        <v>1</v>
      </c>
      <c r="S679" s="26">
        <v>7</v>
      </c>
      <c r="T679" s="26">
        <v>2</v>
      </c>
      <c r="U679" s="26">
        <v>10</v>
      </c>
      <c r="V679" s="26">
        <v>1</v>
      </c>
      <c r="W679" s="26"/>
    </row>
    <row r="680" spans="1:23" x14ac:dyDescent="0.25">
      <c r="A680" s="26" t="str">
        <f t="shared" si="90"/>
        <v>PREESCOLAR</v>
      </c>
      <c r="B680" s="26" t="str">
        <f>"09DJN0859P"</f>
        <v>09DJN0859P</v>
      </c>
      <c r="C680" s="26" t="str">
        <f>"TEPEYOLOTLI                                                                                         "</f>
        <v xml:space="preserve">TEPEYOLOTLI                                                                                         </v>
      </c>
      <c r="D680" s="26" t="str">
        <f>"TIEMPO COMPLETO"</f>
        <v>TIEMPO COMPLETO</v>
      </c>
      <c r="E680" s="26" t="str">
        <f>"ZOYATE NARDO Y AMAPA                                                            "</f>
        <v xml:space="preserve">ZOYATE NARDO Y AMAPA                                                            </v>
      </c>
      <c r="F680" s="26" t="str">
        <f>"AGRICOLA METROPOLITANA                                                                                                                      "</f>
        <v xml:space="preserve">AGRICOLA METROPOLITANA                                                                                                                      </v>
      </c>
      <c r="G680" s="26" t="str">
        <f>"TLAHUAC                                                                         "</f>
        <v xml:space="preserve">TLAHUAC                                                                         </v>
      </c>
      <c r="H680" s="26" t="str">
        <f>"243"</f>
        <v>243</v>
      </c>
      <c r="I680" s="26" t="str">
        <f t="shared" si="91"/>
        <v>00</v>
      </c>
      <c r="J680" s="26" t="str">
        <f>"34 "</f>
        <v xml:space="preserve">34 </v>
      </c>
      <c r="K680" s="26" t="str">
        <f>"EP"</f>
        <v>EP</v>
      </c>
      <c r="L680" s="26" t="str">
        <f>"DGOSE"</f>
        <v>DGOSE</v>
      </c>
      <c r="M680" s="26" t="str">
        <f t="shared" si="92"/>
        <v>FEDERAL</v>
      </c>
      <c r="N680" s="26">
        <v>263</v>
      </c>
      <c r="O680" s="26">
        <v>142</v>
      </c>
      <c r="P680" s="26">
        <v>121</v>
      </c>
      <c r="Q680" s="26">
        <v>8</v>
      </c>
      <c r="R680" s="26">
        <v>2</v>
      </c>
      <c r="S680" s="26">
        <v>8</v>
      </c>
      <c r="T680" s="26">
        <v>19</v>
      </c>
      <c r="U680" s="26">
        <v>29</v>
      </c>
      <c r="V680" s="26">
        <v>1</v>
      </c>
      <c r="W680" s="26" t="s">
        <v>218</v>
      </c>
    </row>
    <row r="681" spans="1:23" x14ac:dyDescent="0.25">
      <c r="A681" s="26" t="str">
        <f t="shared" si="90"/>
        <v>PREESCOLAR</v>
      </c>
      <c r="B681" s="26" t="str">
        <f>"09DJN0860E"</f>
        <v>09DJN0860E</v>
      </c>
      <c r="C681" s="26" t="str">
        <f>"SACBE                                                                                               "</f>
        <v xml:space="preserve">SACBE                                                                                               </v>
      </c>
      <c r="D681" s="26" t="str">
        <f>"TIEMPO COMPLETO"</f>
        <v>TIEMPO COMPLETO</v>
      </c>
      <c r="E681" s="26" t="str">
        <f>"CONTOY MZA. 167 LTE. 5                                                          "</f>
        <v xml:space="preserve">CONTOY MZA. 167 LTE. 5                                                          </v>
      </c>
      <c r="F681" s="26" t="str">
        <f>"HEROES DE PADIERNA                                                                                                                          "</f>
        <v xml:space="preserve">HEROES DE PADIERNA                                                                                                                          </v>
      </c>
      <c r="G681" s="26" t="str">
        <f>"TLALPAN                                                                         "</f>
        <v xml:space="preserve">TLALPAN                                                                         </v>
      </c>
      <c r="H681" s="26" t="str">
        <f>"277"</f>
        <v>277</v>
      </c>
      <c r="I681" s="26" t="str">
        <f t="shared" si="91"/>
        <v>00</v>
      </c>
      <c r="J681" s="26" t="str">
        <f>"34 "</f>
        <v xml:space="preserve">34 </v>
      </c>
      <c r="K681" s="26" t="str">
        <f>"EP"</f>
        <v>EP</v>
      </c>
      <c r="L681" s="26" t="str">
        <f>"DGOSE"</f>
        <v>DGOSE</v>
      </c>
      <c r="M681" s="26" t="str">
        <f t="shared" si="92"/>
        <v>FEDERAL</v>
      </c>
      <c r="N681" s="26">
        <v>293</v>
      </c>
      <c r="O681" s="26">
        <v>155</v>
      </c>
      <c r="P681" s="26">
        <v>138</v>
      </c>
      <c r="Q681" s="26">
        <v>8</v>
      </c>
      <c r="R681" s="26">
        <v>2</v>
      </c>
      <c r="S681" s="26">
        <v>8</v>
      </c>
      <c r="T681" s="26">
        <v>17</v>
      </c>
      <c r="U681" s="26">
        <v>27</v>
      </c>
      <c r="V681" s="26">
        <v>1</v>
      </c>
      <c r="W681" s="26" t="s">
        <v>218</v>
      </c>
    </row>
    <row r="682" spans="1:23" x14ac:dyDescent="0.25">
      <c r="A682" s="26" t="str">
        <f t="shared" si="90"/>
        <v>PREESCOLAR</v>
      </c>
      <c r="B682" s="26" t="str">
        <f>"09DJN0861D"</f>
        <v>09DJN0861D</v>
      </c>
      <c r="C682" s="26" t="str">
        <f>"CIHUAPILLI                                                                                          "</f>
        <v xml:space="preserve">CIHUAPILLI                                                                                          </v>
      </c>
      <c r="D682" s="26" t="str">
        <f>"TIEMPO COMPLETO"</f>
        <v>TIEMPO COMPLETO</v>
      </c>
      <c r="E682" s="26" t="str">
        <f>"U INFONAVIT NATIVITAS XOCHIMILCO                                                "</f>
        <v xml:space="preserve">U INFONAVIT NATIVITAS XOCHIMILCO                                                </v>
      </c>
      <c r="F682" s="26" t="str">
        <f>"SANTA MARIA NATIVITAS                                                                                                                       "</f>
        <v xml:space="preserve">SANTA MARIA NATIVITAS                                                                                                                       </v>
      </c>
      <c r="G682" s="26" t="str">
        <f>"XOCHIMILCO                                                                      "</f>
        <v xml:space="preserve">XOCHIMILCO                                                                      </v>
      </c>
      <c r="H682" s="26" t="str">
        <f>"158"</f>
        <v>158</v>
      </c>
      <c r="I682" s="26" t="str">
        <f t="shared" si="91"/>
        <v>00</v>
      </c>
      <c r="J682" s="26" t="str">
        <f>"34 "</f>
        <v xml:space="preserve">34 </v>
      </c>
      <c r="K682" s="26" t="str">
        <f>"EP"</f>
        <v>EP</v>
      </c>
      <c r="L682" s="26" t="str">
        <f>"DGOSE"</f>
        <v>DGOSE</v>
      </c>
      <c r="M682" s="26" t="str">
        <f t="shared" si="92"/>
        <v>FEDERAL</v>
      </c>
      <c r="N682" s="26">
        <v>211</v>
      </c>
      <c r="O682" s="26">
        <v>96</v>
      </c>
      <c r="P682" s="26">
        <v>115</v>
      </c>
      <c r="Q682" s="26">
        <v>6</v>
      </c>
      <c r="R682" s="26">
        <v>2</v>
      </c>
      <c r="S682" s="26">
        <v>6</v>
      </c>
      <c r="T682" s="26">
        <v>13</v>
      </c>
      <c r="U682" s="26">
        <v>21</v>
      </c>
      <c r="V682" s="26">
        <v>1</v>
      </c>
      <c r="W682" s="26" t="s">
        <v>218</v>
      </c>
    </row>
    <row r="683" spans="1:23" x14ac:dyDescent="0.25">
      <c r="A683" s="26" t="str">
        <f t="shared" si="90"/>
        <v>PREESCOLAR</v>
      </c>
      <c r="B683" s="26" t="str">
        <f>"09DJN0862C"</f>
        <v>09DJN0862C</v>
      </c>
      <c r="C683" s="26" t="str">
        <f>"FRANCISCO INDALECIO MADERO                                                                          "</f>
        <v xml:space="preserve">FRANCISCO INDALECIO MADERO                                                                          </v>
      </c>
      <c r="D683" s="26" t="str">
        <f>"VESPERTINO"</f>
        <v>VESPERTINO</v>
      </c>
      <c r="E683" s="26" t="str">
        <f>"MIXTECAS Y TOPILTZIN                                                            "</f>
        <v xml:space="preserve">MIXTECAS Y TOPILTZIN                                                            </v>
      </c>
      <c r="F683" s="26" t="str">
        <f>"AJUSCO                                                                                                                                      "</f>
        <v xml:space="preserve">AJUSCO                                                                                                                                      </v>
      </c>
      <c r="G683" s="26" t="str">
        <f>"COYOACAN                                                                        "</f>
        <v xml:space="preserve">COYOACAN                                                                        </v>
      </c>
      <c r="H683" s="26" t="str">
        <f>"125"</f>
        <v>125</v>
      </c>
      <c r="I683" s="26" t="str">
        <f t="shared" si="91"/>
        <v>00</v>
      </c>
      <c r="J683" s="26" t="str">
        <f>"35 "</f>
        <v xml:space="preserve">35 </v>
      </c>
      <c r="K683" s="26" t="str">
        <f>"EP"</f>
        <v>EP</v>
      </c>
      <c r="L683" s="26" t="str">
        <f>"DGOSE"</f>
        <v>DGOSE</v>
      </c>
      <c r="M683" s="26" t="str">
        <f t="shared" si="92"/>
        <v>FEDERAL</v>
      </c>
      <c r="N683" s="26">
        <v>109</v>
      </c>
      <c r="O683" s="26">
        <v>65</v>
      </c>
      <c r="P683" s="26">
        <v>44</v>
      </c>
      <c r="Q683" s="26">
        <v>4</v>
      </c>
      <c r="R683" s="26">
        <v>1</v>
      </c>
      <c r="S683" s="26">
        <v>3</v>
      </c>
      <c r="T683" s="26">
        <v>5</v>
      </c>
      <c r="U683" s="26">
        <v>9</v>
      </c>
      <c r="V683" s="26">
        <v>1</v>
      </c>
      <c r="W683" s="26"/>
    </row>
    <row r="684" spans="1:23" x14ac:dyDescent="0.25">
      <c r="A684" s="26" t="str">
        <f t="shared" si="90"/>
        <v>PREESCOLAR</v>
      </c>
      <c r="B684" s="26" t="str">
        <f>"09DJN0863B"</f>
        <v>09DJN0863B</v>
      </c>
      <c r="C684" s="26" t="str">
        <f>"LUZ GARCIA DE CAMPILLO                                                                              "</f>
        <v xml:space="preserve">LUZ GARCIA DE CAMPILLO                                                                              </v>
      </c>
      <c r="D684" s="26" t="str">
        <f>"MATUTINO"</f>
        <v>MATUTINO</v>
      </c>
      <c r="E684" s="26" t="str">
        <f>"EST. MANUELA MEDINA S/N                                                         "</f>
        <v xml:space="preserve">EST. MANUELA MEDINA S/N                                                         </v>
      </c>
      <c r="F684" s="26" t="str">
        <f>"UNIDAD HABITACIONAL CTM OCHO                                                                                                                "</f>
        <v xml:space="preserve">UNIDAD HABITACIONAL CTM OCHO                                                                                                                </v>
      </c>
      <c r="G684" s="26" t="str">
        <f>"COYOACAN                                                                        "</f>
        <v xml:space="preserve">COYOACAN                                                                        </v>
      </c>
      <c r="H684" s="26" t="str">
        <f>"024"</f>
        <v>024</v>
      </c>
      <c r="I684" s="26" t="str">
        <f t="shared" si="91"/>
        <v>00</v>
      </c>
      <c r="J684" s="26" t="str">
        <f>"35 "</f>
        <v xml:space="preserve">35 </v>
      </c>
      <c r="K684" s="26" t="str">
        <f>"EP"</f>
        <v>EP</v>
      </c>
      <c r="L684" s="26" t="str">
        <f>"DGOSE"</f>
        <v>DGOSE</v>
      </c>
      <c r="M684" s="26" t="str">
        <f t="shared" si="92"/>
        <v>FEDERAL</v>
      </c>
      <c r="N684" s="26">
        <v>168</v>
      </c>
      <c r="O684" s="26">
        <v>96</v>
      </c>
      <c r="P684" s="26">
        <v>72</v>
      </c>
      <c r="Q684" s="26">
        <v>6</v>
      </c>
      <c r="R684" s="26">
        <v>1</v>
      </c>
      <c r="S684" s="26">
        <v>6</v>
      </c>
      <c r="T684" s="26">
        <v>6</v>
      </c>
      <c r="U684" s="26">
        <v>13</v>
      </c>
      <c r="V684" s="26">
        <v>1</v>
      </c>
      <c r="W684" s="26"/>
    </row>
    <row r="685" spans="1:23" x14ac:dyDescent="0.25">
      <c r="A685" s="26" t="str">
        <f t="shared" si="90"/>
        <v>PREESCOLAR</v>
      </c>
      <c r="B685" s="26" t="str">
        <f>"09DJN0864A"</f>
        <v>09DJN0864A</v>
      </c>
      <c r="C685" s="26" t="str">
        <f>"KUKULKAN                                                                                            "</f>
        <v xml:space="preserve">KUKULKAN                                                                                            </v>
      </c>
      <c r="D685" s="26" t="str">
        <f>"VESPERTINO"</f>
        <v>VESPERTINO</v>
      </c>
      <c r="E685" s="26" t="s">
        <v>86</v>
      </c>
      <c r="F685" s="26" t="str">
        <f>"JUAN ESCUTIA                                                                                                                                "</f>
        <v xml:space="preserve">JUAN ESCUTIA                                                                                                                                </v>
      </c>
      <c r="G685" s="26" t="str">
        <f>"IZTAPALAPA                                                                      "</f>
        <v xml:space="preserve">IZTAPALAPA                                                                      </v>
      </c>
      <c r="H685" s="26" t="str">
        <f>"014"</f>
        <v>014</v>
      </c>
      <c r="I685" s="26" t="str">
        <f t="shared" si="91"/>
        <v>00</v>
      </c>
      <c r="J685" s="26" t="str">
        <f>"62 "</f>
        <v xml:space="preserve">62 </v>
      </c>
      <c r="K685" s="26" t="str">
        <f>"IZ"</f>
        <v>IZ</v>
      </c>
      <c r="L685" s="26" t="str">
        <f>"DGSEI"</f>
        <v>DGSEI</v>
      </c>
      <c r="M685" s="26" t="str">
        <f t="shared" si="92"/>
        <v>FEDERAL</v>
      </c>
      <c r="N685" s="26">
        <v>53</v>
      </c>
      <c r="O685" s="26">
        <v>22</v>
      </c>
      <c r="P685" s="26">
        <v>31</v>
      </c>
      <c r="Q685" s="26">
        <v>3</v>
      </c>
      <c r="R685" s="26">
        <v>1</v>
      </c>
      <c r="S685" s="26">
        <v>3</v>
      </c>
      <c r="T685" s="26">
        <v>2</v>
      </c>
      <c r="U685" s="26">
        <v>6</v>
      </c>
      <c r="V685" s="26">
        <v>1</v>
      </c>
      <c r="W685" s="26"/>
    </row>
    <row r="686" spans="1:23" x14ac:dyDescent="0.25">
      <c r="A686" s="26" t="str">
        <f t="shared" si="90"/>
        <v>PREESCOLAR</v>
      </c>
      <c r="B686" s="26" t="str">
        <f>"09DJN0865Z"</f>
        <v>09DJN0865Z</v>
      </c>
      <c r="C686" s="26" t="str">
        <f>"CALLICATEPETL                                                                                       "</f>
        <v xml:space="preserve">CALLICATEPETL                                                                                       </v>
      </c>
      <c r="D686" s="26" t="str">
        <f>"VESPERTINO"</f>
        <v>VESPERTINO</v>
      </c>
      <c r="E686" s="26" t="str">
        <f>"DESPOSORIOS NO. 7                                                               "</f>
        <v xml:space="preserve">DESPOSORIOS NO. 7                                                               </v>
      </c>
      <c r="F686" s="26" t="str">
        <f>"SAN LORENZO TEZONCO                                                                                                                         "</f>
        <v xml:space="preserve">SAN LORENZO TEZONCO                                                                                                                         </v>
      </c>
      <c r="G686" s="26" t="str">
        <f>"IZTAPALAPA                                                                      "</f>
        <v xml:space="preserve">IZTAPALAPA                                                                      </v>
      </c>
      <c r="H686" s="26" t="str">
        <f>"026"</f>
        <v>026</v>
      </c>
      <c r="I686" s="26" t="str">
        <f t="shared" si="91"/>
        <v>00</v>
      </c>
      <c r="J686" s="26" t="str">
        <f>"63 "</f>
        <v xml:space="preserve">63 </v>
      </c>
      <c r="K686" s="26" t="str">
        <f>"IZ"</f>
        <v>IZ</v>
      </c>
      <c r="L686" s="26" t="str">
        <f>"DGSEI"</f>
        <v>DGSEI</v>
      </c>
      <c r="M686" s="26" t="str">
        <f t="shared" si="92"/>
        <v>FEDERAL</v>
      </c>
      <c r="N686" s="26">
        <v>178</v>
      </c>
      <c r="O686" s="26">
        <v>95</v>
      </c>
      <c r="P686" s="26">
        <v>83</v>
      </c>
      <c r="Q686" s="26">
        <v>5</v>
      </c>
      <c r="R686" s="26">
        <v>1</v>
      </c>
      <c r="S686" s="26">
        <v>5</v>
      </c>
      <c r="T686" s="26">
        <v>2</v>
      </c>
      <c r="U686" s="26">
        <v>8</v>
      </c>
      <c r="V686" s="26">
        <v>1</v>
      </c>
      <c r="W686" s="26"/>
    </row>
    <row r="687" spans="1:23" x14ac:dyDescent="0.25">
      <c r="A687" s="26" t="str">
        <f t="shared" si="90"/>
        <v>PREESCOLAR</v>
      </c>
      <c r="B687" s="26" t="str">
        <f>"09DJN0866Z"</f>
        <v>09DJN0866Z</v>
      </c>
      <c r="C687" s="26" t="str">
        <f>"XALTOCAN                                                                                            "</f>
        <v xml:space="preserve">XALTOCAN                                                                                            </v>
      </c>
      <c r="D687" s="26" t="str">
        <f>"MATUTINO"</f>
        <v>MATUTINO</v>
      </c>
      <c r="E687" s="26" t="str">
        <f>"HELIOTROPO ESQ GALEANA                                                          "</f>
        <v xml:space="preserve">HELIOTROPO ESQ GALEANA                                                          </v>
      </c>
      <c r="F687" s="26" t="str">
        <f>"XALTOCAN                                                                                                                                    "</f>
        <v xml:space="preserve">XALTOCAN                                                                                                                                    </v>
      </c>
      <c r="G687" s="26" t="str">
        <f>"XOCHIMILCO                                                                      "</f>
        <v xml:space="preserve">XOCHIMILCO                                                                      </v>
      </c>
      <c r="H687" s="26" t="str">
        <f>"084"</f>
        <v>084</v>
      </c>
      <c r="I687" s="26" t="str">
        <f t="shared" si="91"/>
        <v>00</v>
      </c>
      <c r="J687" s="26" t="str">
        <f>"35 "</f>
        <v xml:space="preserve">35 </v>
      </c>
      <c r="K687" s="26" t="str">
        <f>"EP"</f>
        <v>EP</v>
      </c>
      <c r="L687" s="26" t="str">
        <f>"DGOSE"</f>
        <v>DGOSE</v>
      </c>
      <c r="M687" s="26" t="str">
        <f t="shared" si="92"/>
        <v>FEDERAL</v>
      </c>
      <c r="N687" s="26">
        <v>254</v>
      </c>
      <c r="O687" s="26">
        <v>129</v>
      </c>
      <c r="P687" s="26">
        <v>125</v>
      </c>
      <c r="Q687" s="26">
        <v>7</v>
      </c>
      <c r="R687" s="26">
        <v>1</v>
      </c>
      <c r="S687" s="26">
        <v>7</v>
      </c>
      <c r="T687" s="26">
        <v>5</v>
      </c>
      <c r="U687" s="26">
        <v>13</v>
      </c>
      <c r="V687" s="26">
        <v>1</v>
      </c>
      <c r="W687" s="26"/>
    </row>
    <row r="688" spans="1:23" x14ac:dyDescent="0.25">
      <c r="A688" s="26" t="str">
        <f t="shared" si="90"/>
        <v>PREESCOLAR</v>
      </c>
      <c r="B688" s="26" t="str">
        <f>"09DJN0867Y"</f>
        <v>09DJN0867Y</v>
      </c>
      <c r="C688" s="26" t="str">
        <f>"XOCHIQUETZALLI                                                                                      "</f>
        <v xml:space="preserve">XOCHIQUETZALLI                                                                                      </v>
      </c>
      <c r="D688" s="26" t="str">
        <f>"VESPERTINO"</f>
        <v>VESPERTINO</v>
      </c>
      <c r="E688" s="26" t="str">
        <f>"AV. HIDALGO NO.69                                                               "</f>
        <v xml:space="preserve">AV. HIDALGO NO.69                                                               </v>
      </c>
      <c r="F688" s="26" t="str">
        <f>"LA ASUNCION                                                                                                                                 "</f>
        <v xml:space="preserve">LA ASUNCION                                                                                                                                 </v>
      </c>
      <c r="G688" s="26" t="str">
        <f>"XOCHIMILCO                                                                      "</f>
        <v xml:space="preserve">XOCHIMILCO                                                                      </v>
      </c>
      <c r="H688" s="26" t="str">
        <f>"103"</f>
        <v>103</v>
      </c>
      <c r="I688" s="26" t="str">
        <f t="shared" si="91"/>
        <v>00</v>
      </c>
      <c r="J688" s="26" t="str">
        <f>"35 "</f>
        <v xml:space="preserve">35 </v>
      </c>
      <c r="K688" s="26" t="str">
        <f>"EP"</f>
        <v>EP</v>
      </c>
      <c r="L688" s="26" t="str">
        <f>"DGOSE"</f>
        <v>DGOSE</v>
      </c>
      <c r="M688" s="26" t="str">
        <f t="shared" si="92"/>
        <v>FEDERAL</v>
      </c>
      <c r="N688" s="26">
        <v>229</v>
      </c>
      <c r="O688" s="26">
        <v>119</v>
      </c>
      <c r="P688" s="26">
        <v>110</v>
      </c>
      <c r="Q688" s="26">
        <v>8</v>
      </c>
      <c r="R688" s="26">
        <v>1</v>
      </c>
      <c r="S688" s="26">
        <v>8</v>
      </c>
      <c r="T688" s="26">
        <v>7</v>
      </c>
      <c r="U688" s="26">
        <v>16</v>
      </c>
      <c r="V688" s="26">
        <v>1</v>
      </c>
      <c r="W688" s="26"/>
    </row>
    <row r="689" spans="1:23" x14ac:dyDescent="0.25">
      <c r="A689" s="26" t="str">
        <f t="shared" si="90"/>
        <v>PREESCOLAR</v>
      </c>
      <c r="B689" s="26" t="str">
        <f>"09DJN0868X"</f>
        <v>09DJN0868X</v>
      </c>
      <c r="C689" s="26" t="str">
        <f>"HERMENEGILDO GALEANA                                                                                "</f>
        <v xml:space="preserve">HERMENEGILDO GALEANA                                                                                </v>
      </c>
      <c r="D689" s="26" t="str">
        <f>"JORNADA AMPLIADA"</f>
        <v>JORNADA AMPLIADA</v>
      </c>
      <c r="E689" s="26" t="str">
        <f>"ROSALIO BUSTAMANTE ESQ. LUIS GARCIA                                             "</f>
        <v xml:space="preserve">ROSALIO BUSTAMANTE ESQ. LUIS GARCIA                                             </v>
      </c>
      <c r="F689" s="26" t="str">
        <f>"SANTA MARTHA ACATITLA  PUEBLO                                                                                                               "</f>
        <v xml:space="preserve">SANTA MARTHA ACATITLA  PUEBLO                                                                                                               </v>
      </c>
      <c r="G689" s="26" t="str">
        <f>"IZTAPALAPA                                                                      "</f>
        <v xml:space="preserve">IZTAPALAPA                                                                      </v>
      </c>
      <c r="H689" s="26" t="str">
        <f>"008"</f>
        <v>008</v>
      </c>
      <c r="I689" s="26" t="str">
        <f t="shared" si="91"/>
        <v>00</v>
      </c>
      <c r="J689" s="26" t="str">
        <f>"61 "</f>
        <v xml:space="preserve">61 </v>
      </c>
      <c r="K689" s="26" t="str">
        <f>"IZ"</f>
        <v>IZ</v>
      </c>
      <c r="L689" s="26" t="str">
        <f>"DGSEI"</f>
        <v>DGSEI</v>
      </c>
      <c r="M689" s="26" t="str">
        <f t="shared" si="92"/>
        <v>FEDERAL</v>
      </c>
      <c r="N689" s="26">
        <v>223</v>
      </c>
      <c r="O689" s="26">
        <v>114</v>
      </c>
      <c r="P689" s="26">
        <v>109</v>
      </c>
      <c r="Q689" s="26">
        <v>6</v>
      </c>
      <c r="R689" s="26">
        <v>1</v>
      </c>
      <c r="S689" s="26">
        <v>6</v>
      </c>
      <c r="T689" s="26">
        <v>6</v>
      </c>
      <c r="U689" s="26">
        <v>13</v>
      </c>
      <c r="V689" s="26">
        <v>1</v>
      </c>
      <c r="W689" s="26" t="s">
        <v>2076</v>
      </c>
    </row>
    <row r="690" spans="1:23" x14ac:dyDescent="0.25">
      <c r="A690" s="26" t="str">
        <f t="shared" si="90"/>
        <v>PREESCOLAR</v>
      </c>
      <c r="B690" s="26" t="str">
        <f>"09DJN0869W"</f>
        <v>09DJN0869W</v>
      </c>
      <c r="C690" s="26" t="str">
        <f>"YAXCHE                                                                                              "</f>
        <v xml:space="preserve">YAXCHE                                                                                              </v>
      </c>
      <c r="D690" s="26" t="str">
        <f>"MATUTINO"</f>
        <v>MATUTINO</v>
      </c>
      <c r="E690" s="26" t="str">
        <f>"GITANA ESQ. MORELOS                                                             "</f>
        <v xml:space="preserve">GITANA ESQ. MORELOS                                                             </v>
      </c>
      <c r="F690" s="26" t="str">
        <f>"LA NOPALERA                                                                                                                                 "</f>
        <v xml:space="preserve">LA NOPALERA                                                                                                                                 </v>
      </c>
      <c r="G690" s="26" t="str">
        <f>"TLAHUAC                                                                         "</f>
        <v xml:space="preserve">TLAHUAC                                                                         </v>
      </c>
      <c r="H690" s="26" t="str">
        <f>"124"</f>
        <v>124</v>
      </c>
      <c r="I690" s="26" t="str">
        <f t="shared" si="91"/>
        <v>00</v>
      </c>
      <c r="J690" s="26" t="str">
        <f>"35 "</f>
        <v xml:space="preserve">35 </v>
      </c>
      <c r="K690" s="26" t="str">
        <f t="shared" ref="K690:K706" si="98">"EP"</f>
        <v>EP</v>
      </c>
      <c r="L690" s="26" t="str">
        <f t="shared" ref="L690:L706" si="99">"DGOSE"</f>
        <v>DGOSE</v>
      </c>
      <c r="M690" s="26" t="str">
        <f t="shared" si="92"/>
        <v>FEDERAL</v>
      </c>
      <c r="N690" s="26">
        <v>337</v>
      </c>
      <c r="O690" s="26">
        <v>170</v>
      </c>
      <c r="P690" s="26">
        <v>167</v>
      </c>
      <c r="Q690" s="26">
        <v>9</v>
      </c>
      <c r="R690" s="26">
        <v>1</v>
      </c>
      <c r="S690" s="26">
        <v>9</v>
      </c>
      <c r="T690" s="26">
        <v>8</v>
      </c>
      <c r="U690" s="26">
        <v>18</v>
      </c>
      <c r="V690" s="26">
        <v>1</v>
      </c>
      <c r="W690" s="26"/>
    </row>
    <row r="691" spans="1:23" x14ac:dyDescent="0.25">
      <c r="A691" s="26" t="str">
        <f t="shared" si="90"/>
        <v>PREESCOLAR</v>
      </c>
      <c r="B691" s="26" t="str">
        <f>"09DJN0870L"</f>
        <v>09DJN0870L</v>
      </c>
      <c r="C691" s="26" t="str">
        <f>"LUCIA SANCHEZ MORA                                                                                  "</f>
        <v xml:space="preserve">LUCIA SANCHEZ MORA                                                                                  </v>
      </c>
      <c r="D691" s="26" t="str">
        <f>"TIEMPO COMPLETO"</f>
        <v>TIEMPO COMPLETO</v>
      </c>
      <c r="E691" s="26" t="str">
        <f>"CALLE 1 ENTRE AGRUPAMIENTO J Y K                                                "</f>
        <v xml:space="preserve">CALLE 1 ENTRE AGRUPAMIENTO J Y K                                                </v>
      </c>
      <c r="F691" s="26" t="str">
        <f>"UNIDAD HABITACIONAL NARCISO BASSOLS                                                                                                         "</f>
        <v xml:space="preserve">UNIDAD HABITACIONAL NARCISO BASSOLS                                                                                                         </v>
      </c>
      <c r="G691" s="26" t="str">
        <f>"GUSTAVO A. MADERO                                                               "</f>
        <v xml:space="preserve">GUSTAVO A. MADERO                                                               </v>
      </c>
      <c r="H691" s="26" t="str">
        <f>"179"</f>
        <v>179</v>
      </c>
      <c r="I691" s="26" t="str">
        <f t="shared" si="91"/>
        <v>00</v>
      </c>
      <c r="J691" s="26" t="str">
        <f>"31 "</f>
        <v xml:space="preserve">31 </v>
      </c>
      <c r="K691" s="26" t="str">
        <f t="shared" si="98"/>
        <v>EP</v>
      </c>
      <c r="L691" s="26" t="str">
        <f t="shared" si="99"/>
        <v>DGOSE</v>
      </c>
      <c r="M691" s="26" t="str">
        <f t="shared" si="92"/>
        <v>FEDERAL</v>
      </c>
      <c r="N691" s="26">
        <v>242</v>
      </c>
      <c r="O691" s="26">
        <v>119</v>
      </c>
      <c r="P691" s="26">
        <v>123</v>
      </c>
      <c r="Q691" s="26">
        <v>8</v>
      </c>
      <c r="R691" s="26">
        <v>2</v>
      </c>
      <c r="S691" s="26">
        <v>8</v>
      </c>
      <c r="T691" s="26">
        <v>14</v>
      </c>
      <c r="U691" s="26">
        <v>24</v>
      </c>
      <c r="V691" s="26">
        <v>1</v>
      </c>
      <c r="W691" s="26" t="s">
        <v>218</v>
      </c>
    </row>
    <row r="692" spans="1:23" x14ac:dyDescent="0.25">
      <c r="A692" s="26" t="str">
        <f t="shared" si="90"/>
        <v>PREESCOLAR</v>
      </c>
      <c r="B692" s="26" t="str">
        <f>"09DJN0871K"</f>
        <v>09DJN0871K</v>
      </c>
      <c r="C692" s="26" t="str">
        <f>"EL ARBOLILLO                                                                                        "</f>
        <v xml:space="preserve">EL ARBOLILLO                                                                                        </v>
      </c>
      <c r="D692" s="26" t="str">
        <f>"TIEMPO COMPLETO"</f>
        <v>TIEMPO COMPLETO</v>
      </c>
      <c r="E692" s="26" t="str">
        <f>"GABRIEL GUERRA S/N                                                              "</f>
        <v xml:space="preserve">GABRIEL GUERRA S/N                                                              </v>
      </c>
      <c r="F692" s="26" t="str">
        <f>"ZONA ESCOLAR                                                                                                                                "</f>
        <v xml:space="preserve">ZONA ESCOLAR                                                                                                                                </v>
      </c>
      <c r="G692" s="26" t="str">
        <f>"GUSTAVO A. MADERO                                                               "</f>
        <v xml:space="preserve">GUSTAVO A. MADERO                                                               </v>
      </c>
      <c r="H692" s="26" t="str">
        <f>"092"</f>
        <v>092</v>
      </c>
      <c r="I692" s="26" t="str">
        <f t="shared" si="91"/>
        <v>00</v>
      </c>
      <c r="J692" s="26" t="str">
        <f>"31 "</f>
        <v xml:space="preserve">31 </v>
      </c>
      <c r="K692" s="26" t="str">
        <f t="shared" si="98"/>
        <v>EP</v>
      </c>
      <c r="L692" s="26" t="str">
        <f t="shared" si="99"/>
        <v>DGOSE</v>
      </c>
      <c r="M692" s="26" t="str">
        <f t="shared" si="92"/>
        <v>FEDERAL</v>
      </c>
      <c r="N692" s="26">
        <v>266</v>
      </c>
      <c r="O692" s="26">
        <v>144</v>
      </c>
      <c r="P692" s="26">
        <v>122</v>
      </c>
      <c r="Q692" s="26">
        <v>7</v>
      </c>
      <c r="R692" s="26">
        <v>0</v>
      </c>
      <c r="S692" s="26">
        <v>7</v>
      </c>
      <c r="T692" s="26">
        <v>20</v>
      </c>
      <c r="U692" s="26">
        <v>27</v>
      </c>
      <c r="V692" s="26">
        <v>1</v>
      </c>
      <c r="W692" s="26" t="s">
        <v>218</v>
      </c>
    </row>
    <row r="693" spans="1:23" x14ac:dyDescent="0.25">
      <c r="A693" s="26" t="str">
        <f t="shared" si="90"/>
        <v>PREESCOLAR</v>
      </c>
      <c r="B693" s="26" t="str">
        <f>"09DJN0872J"</f>
        <v>09DJN0872J</v>
      </c>
      <c r="C693" s="26" t="str">
        <f>"CUAUHTEMOC                                                                                          "</f>
        <v xml:space="preserve">CUAUHTEMOC                                                                                          </v>
      </c>
      <c r="D693" s="26" t="str">
        <f>"VESPERTINO"</f>
        <v>VESPERTINO</v>
      </c>
      <c r="E693" s="26" t="str">
        <f>"REFORMA Y 5 DE MAYO S/N                                                         "</f>
        <v xml:space="preserve">REFORMA Y 5 DE MAYO S/N                                                         </v>
      </c>
      <c r="F693" s="26" t="str">
        <f>"SAN ANDRES TOTOLTEPEC                                                                                                                       "</f>
        <v xml:space="preserve">SAN ANDRES TOTOLTEPEC                                                                                                                       </v>
      </c>
      <c r="G693" s="26" t="str">
        <f>"TLALPAN                                                                         "</f>
        <v xml:space="preserve">TLALPAN                                                                         </v>
      </c>
      <c r="H693" s="26" t="str">
        <f>"226"</f>
        <v>226</v>
      </c>
      <c r="I693" s="26" t="str">
        <f t="shared" si="91"/>
        <v>00</v>
      </c>
      <c r="J693" s="26" t="str">
        <f>"35 "</f>
        <v xml:space="preserve">35 </v>
      </c>
      <c r="K693" s="26" t="str">
        <f t="shared" si="98"/>
        <v>EP</v>
      </c>
      <c r="L693" s="26" t="str">
        <f t="shared" si="99"/>
        <v>DGOSE</v>
      </c>
      <c r="M693" s="26" t="str">
        <f t="shared" si="92"/>
        <v>FEDERAL</v>
      </c>
      <c r="N693" s="26">
        <v>211</v>
      </c>
      <c r="O693" s="26">
        <v>118</v>
      </c>
      <c r="P693" s="26">
        <v>93</v>
      </c>
      <c r="Q693" s="26">
        <v>6</v>
      </c>
      <c r="R693" s="26">
        <v>1</v>
      </c>
      <c r="S693" s="26">
        <v>6</v>
      </c>
      <c r="T693" s="26">
        <v>4</v>
      </c>
      <c r="U693" s="26">
        <v>11</v>
      </c>
      <c r="V693" s="26">
        <v>1</v>
      </c>
      <c r="W693" s="26"/>
    </row>
    <row r="694" spans="1:23" x14ac:dyDescent="0.25">
      <c r="A694" s="26" t="str">
        <f t="shared" si="90"/>
        <v>PREESCOLAR</v>
      </c>
      <c r="B694" s="26" t="str">
        <f>"09DJN0873I"</f>
        <v>09DJN0873I</v>
      </c>
      <c r="C694" s="26" t="str">
        <f>"PROFR. RAFAEL RAMIREZ                                                                               "</f>
        <v xml:space="preserve">PROFR. RAFAEL RAMIREZ                                                                               </v>
      </c>
      <c r="D694" s="26" t="str">
        <f>"JORNADA AMPLIADA"</f>
        <v>JORNADA AMPLIADA</v>
      </c>
      <c r="E694" s="26" t="str">
        <f>"IZAMAL Y HOLPECHEN S/N                                                          "</f>
        <v xml:space="preserve">IZAMAL Y HOLPECHEN S/N                                                          </v>
      </c>
      <c r="F694" s="26" t="str">
        <f>"LOPEZ PORTILLO                                                                                                                              "</f>
        <v xml:space="preserve">LOPEZ PORTILLO                                                                                                                              </v>
      </c>
      <c r="G694" s="26" t="str">
        <f>"TLALPAN                                                                         "</f>
        <v xml:space="preserve">TLALPAN                                                                         </v>
      </c>
      <c r="H694" s="26" t="str">
        <f>"224"</f>
        <v>224</v>
      </c>
      <c r="I694" s="26" t="str">
        <f t="shared" si="91"/>
        <v>00</v>
      </c>
      <c r="J694" s="26" t="str">
        <f>"34 "</f>
        <v xml:space="preserve">34 </v>
      </c>
      <c r="K694" s="26" t="str">
        <f t="shared" si="98"/>
        <v>EP</v>
      </c>
      <c r="L694" s="26" t="str">
        <f t="shared" si="99"/>
        <v>DGOSE</v>
      </c>
      <c r="M694" s="26" t="str">
        <f t="shared" si="92"/>
        <v>FEDERAL</v>
      </c>
      <c r="N694" s="26">
        <v>227</v>
      </c>
      <c r="O694" s="26">
        <v>120</v>
      </c>
      <c r="P694" s="26">
        <v>107</v>
      </c>
      <c r="Q694" s="26">
        <v>7</v>
      </c>
      <c r="R694" s="26">
        <v>1</v>
      </c>
      <c r="S694" s="26">
        <v>7</v>
      </c>
      <c r="T694" s="26">
        <v>7</v>
      </c>
      <c r="U694" s="26">
        <v>15</v>
      </c>
      <c r="V694" s="26">
        <v>1</v>
      </c>
      <c r="W694" s="26" t="s">
        <v>2076</v>
      </c>
    </row>
    <row r="695" spans="1:23" x14ac:dyDescent="0.25">
      <c r="A695" s="26" t="str">
        <f t="shared" si="90"/>
        <v>PREESCOLAR</v>
      </c>
      <c r="B695" s="26" t="str">
        <f>"09DJN0874H"</f>
        <v>09DJN0874H</v>
      </c>
      <c r="C695" s="26" t="str">
        <f>"KANTUNIL                                                                                            "</f>
        <v xml:space="preserve">KANTUNIL                                                                                            </v>
      </c>
      <c r="D695" s="26" t="str">
        <f>"VESPERTINO"</f>
        <v>VESPERTINO</v>
      </c>
      <c r="E695" s="26" t="str">
        <f>"D'ZEMUL Y MANI S/N                                                              "</f>
        <v xml:space="preserve">D'ZEMUL Y MANI S/N                                                              </v>
      </c>
      <c r="F695" s="26" t="str">
        <f>"PEDREGAL DE SAN NICOLAS                                                                                                                     "</f>
        <v xml:space="preserve">PEDREGAL DE SAN NICOLAS                                                                                                                     </v>
      </c>
      <c r="G695" s="26" t="str">
        <f>"TLALPAN                                                                         "</f>
        <v xml:space="preserve">TLALPAN                                                                         </v>
      </c>
      <c r="H695" s="26" t="str">
        <f>"135"</f>
        <v>135</v>
      </c>
      <c r="I695" s="26" t="str">
        <f t="shared" si="91"/>
        <v>00</v>
      </c>
      <c r="J695" s="26" t="str">
        <f>"35 "</f>
        <v xml:space="preserve">35 </v>
      </c>
      <c r="K695" s="26" t="str">
        <f t="shared" si="98"/>
        <v>EP</v>
      </c>
      <c r="L695" s="26" t="str">
        <f t="shared" si="99"/>
        <v>DGOSE</v>
      </c>
      <c r="M695" s="26" t="str">
        <f t="shared" si="92"/>
        <v>FEDERAL</v>
      </c>
      <c r="N695" s="26">
        <v>95</v>
      </c>
      <c r="O695" s="26">
        <v>40</v>
      </c>
      <c r="P695" s="26">
        <v>55</v>
      </c>
      <c r="Q695" s="26">
        <v>4</v>
      </c>
      <c r="R695" s="26">
        <v>1</v>
      </c>
      <c r="S695" s="26">
        <v>4</v>
      </c>
      <c r="T695" s="26">
        <v>4</v>
      </c>
      <c r="U695" s="26">
        <v>9</v>
      </c>
      <c r="V695" s="26">
        <v>1</v>
      </c>
      <c r="W695" s="26"/>
    </row>
    <row r="696" spans="1:23" x14ac:dyDescent="0.25">
      <c r="A696" s="26" t="str">
        <f t="shared" si="90"/>
        <v>PREESCOLAR</v>
      </c>
      <c r="B696" s="26" t="str">
        <f>"09DJN0875G"</f>
        <v>09DJN0875G</v>
      </c>
      <c r="C696" s="26" t="str">
        <f>"ACAXOCHITL                                                                                          "</f>
        <v xml:space="preserve">ACAXOCHITL                                                                                          </v>
      </c>
      <c r="D696" s="26" t="str">
        <f>"JORNADA AMPLIADA"</f>
        <v>JORNADA AMPLIADA</v>
      </c>
      <c r="E696" s="26" t="str">
        <f>"JOHN F. KENNEDY S/N                                                             "</f>
        <v xml:space="preserve">JOHN F. KENNEDY S/N                                                             </v>
      </c>
      <c r="F696" s="26" t="str">
        <f>"PRESIDENTES AMPLIACION                                                                                                                      "</f>
        <v xml:space="preserve">PRESIDENTES AMPLIACION                                                                                                                      </v>
      </c>
      <c r="G696" s="26" t="str">
        <f>"ALVARO OBREGON                                                                  "</f>
        <v xml:space="preserve">ALVARO OBREGON                                                                  </v>
      </c>
      <c r="H696" s="26" t="str">
        <f>"045"</f>
        <v>045</v>
      </c>
      <c r="I696" s="26" t="str">
        <f t="shared" si="91"/>
        <v>00</v>
      </c>
      <c r="J696" s="26" t="str">
        <f>"34 "</f>
        <v xml:space="preserve">34 </v>
      </c>
      <c r="K696" s="26" t="str">
        <f t="shared" si="98"/>
        <v>EP</v>
      </c>
      <c r="L696" s="26" t="str">
        <f t="shared" si="99"/>
        <v>DGOSE</v>
      </c>
      <c r="M696" s="26" t="str">
        <f t="shared" si="92"/>
        <v>FEDERAL</v>
      </c>
      <c r="N696" s="26">
        <v>212</v>
      </c>
      <c r="O696" s="26">
        <v>95</v>
      </c>
      <c r="P696" s="26">
        <v>117</v>
      </c>
      <c r="Q696" s="26">
        <v>6</v>
      </c>
      <c r="R696" s="26">
        <v>1</v>
      </c>
      <c r="S696" s="26">
        <v>5</v>
      </c>
      <c r="T696" s="26">
        <v>5</v>
      </c>
      <c r="U696" s="26">
        <v>11</v>
      </c>
      <c r="V696" s="26">
        <v>1</v>
      </c>
      <c r="W696" s="26" t="s">
        <v>2076</v>
      </c>
    </row>
    <row r="697" spans="1:23" x14ac:dyDescent="0.25">
      <c r="A697" s="26" t="str">
        <f t="shared" si="90"/>
        <v>PREESCOLAR</v>
      </c>
      <c r="B697" s="26" t="str">
        <f>"09DJN0876F"</f>
        <v>09DJN0876F</v>
      </c>
      <c r="C697" s="26" t="str">
        <f>"PROFR. LEOBARDO TOVAR DIAZ                                                                          "</f>
        <v xml:space="preserve">PROFR. LEOBARDO TOVAR DIAZ                                                                          </v>
      </c>
      <c r="D697" s="26" t="str">
        <f>"JORNADA AMPLIADA"</f>
        <v>JORNADA AMPLIADA</v>
      </c>
      <c r="E697" s="26" t="str">
        <f>"PORFIRIO DIAZ NO. 48                                                            "</f>
        <v xml:space="preserve">PORFIRIO DIAZ NO. 48                                                            </v>
      </c>
      <c r="F697" s="26" t="str">
        <f>"CARACOL AMPLIACION                                                                                                                          "</f>
        <v xml:space="preserve">CARACOL AMPLIACION                                                                                                                          </v>
      </c>
      <c r="G697" s="26" t="str">
        <f>"VENUSTIANO CARRANZA                                                             "</f>
        <v xml:space="preserve">VENUSTIANO CARRANZA                                                             </v>
      </c>
      <c r="H697" s="26" t="str">
        <f>"249"</f>
        <v>249</v>
      </c>
      <c r="I697" s="26" t="str">
        <f t="shared" si="91"/>
        <v>00</v>
      </c>
      <c r="J697" s="26" t="str">
        <f>"31 "</f>
        <v xml:space="preserve">31 </v>
      </c>
      <c r="K697" s="26" t="str">
        <f t="shared" si="98"/>
        <v>EP</v>
      </c>
      <c r="L697" s="26" t="str">
        <f t="shared" si="99"/>
        <v>DGOSE</v>
      </c>
      <c r="M697" s="26" t="str">
        <f t="shared" si="92"/>
        <v>FEDERAL</v>
      </c>
      <c r="N697" s="26">
        <v>171</v>
      </c>
      <c r="O697" s="26">
        <v>96</v>
      </c>
      <c r="P697" s="26">
        <v>75</v>
      </c>
      <c r="Q697" s="26">
        <v>6</v>
      </c>
      <c r="R697" s="26">
        <v>1</v>
      </c>
      <c r="S697" s="26">
        <v>6</v>
      </c>
      <c r="T697" s="26">
        <v>8</v>
      </c>
      <c r="U697" s="26">
        <v>15</v>
      </c>
      <c r="V697" s="26">
        <v>1</v>
      </c>
      <c r="W697" s="26" t="s">
        <v>2076</v>
      </c>
    </row>
    <row r="698" spans="1:23" x14ac:dyDescent="0.25">
      <c r="A698" s="26" t="str">
        <f t="shared" si="90"/>
        <v>PREESCOLAR</v>
      </c>
      <c r="B698" s="26" t="str">
        <f>"09DJN0877E"</f>
        <v>09DJN0877E</v>
      </c>
      <c r="C698" s="26" t="str">
        <f>"JOSE CLEMENTE OROZCO                                                                                "</f>
        <v xml:space="preserve">JOSE CLEMENTE OROZCO                                                                                </v>
      </c>
      <c r="D698" s="26" t="str">
        <f>"VESPERTINO"</f>
        <v>VESPERTINO</v>
      </c>
      <c r="E698" s="26" t="str">
        <f>"MANUEL M. LOPEZ Y CECILIO ACOSTA                                                "</f>
        <v xml:space="preserve">MANUEL M. LOPEZ Y CECILIO ACOSTA                                                </v>
      </c>
      <c r="F698" s="26" t="str">
        <f>"ZAPOTITLA                                                                                                                                   "</f>
        <v xml:space="preserve">ZAPOTITLA                                                                                                                                   </v>
      </c>
      <c r="G698" s="26" t="str">
        <f>"TLAHUAC                                                                         "</f>
        <v xml:space="preserve">TLAHUAC                                                                         </v>
      </c>
      <c r="H698" s="26" t="str">
        <f>"065"</f>
        <v>065</v>
      </c>
      <c r="I698" s="26" t="str">
        <f t="shared" si="91"/>
        <v>00</v>
      </c>
      <c r="J698" s="26" t="str">
        <f>"35 "</f>
        <v xml:space="preserve">35 </v>
      </c>
      <c r="K698" s="26" t="str">
        <f t="shared" si="98"/>
        <v>EP</v>
      </c>
      <c r="L698" s="26" t="str">
        <f t="shared" si="99"/>
        <v>DGOSE</v>
      </c>
      <c r="M698" s="26" t="str">
        <f t="shared" si="92"/>
        <v>FEDERAL</v>
      </c>
      <c r="N698" s="26">
        <v>215</v>
      </c>
      <c r="O698" s="26">
        <v>99</v>
      </c>
      <c r="P698" s="26">
        <v>116</v>
      </c>
      <c r="Q698" s="26">
        <v>7</v>
      </c>
      <c r="R698" s="26">
        <v>1</v>
      </c>
      <c r="S698" s="26">
        <v>5</v>
      </c>
      <c r="T698" s="26">
        <v>3</v>
      </c>
      <c r="U698" s="26">
        <v>9</v>
      </c>
      <c r="V698" s="26">
        <v>1</v>
      </c>
      <c r="W698" s="26"/>
    </row>
    <row r="699" spans="1:23" x14ac:dyDescent="0.25">
      <c r="A699" s="26" t="str">
        <f t="shared" si="90"/>
        <v>PREESCOLAR</v>
      </c>
      <c r="B699" s="26" t="str">
        <f>"09DJN0880S"</f>
        <v>09DJN0880S</v>
      </c>
      <c r="C699" s="26" t="str">
        <f>"COMPOSITORES MEXICANOS                                                                              "</f>
        <v xml:space="preserve">COMPOSITORES MEXICANOS                                                                              </v>
      </c>
      <c r="D699" s="26" t="str">
        <f>"MATUTINO"</f>
        <v>MATUTINO</v>
      </c>
      <c r="E699" s="26" t="str">
        <f>"CDA. ABEL DOMINGUEZ LTE. 13 MZA. 87                                             "</f>
        <v xml:space="preserve">CDA. ABEL DOMINGUEZ LTE. 13 MZA. 87                                             </v>
      </c>
      <c r="F699" s="26" t="str">
        <f>"COMPOSITORES MEXICANOS                                                                                                                      "</f>
        <v xml:space="preserve">COMPOSITORES MEXICANOS                                                                                                                      </v>
      </c>
      <c r="G699" s="26" t="str">
        <f>"GUSTAVO A. MADERO                                                               "</f>
        <v xml:space="preserve">GUSTAVO A. MADERO                                                               </v>
      </c>
      <c r="H699" s="26" t="str">
        <f>"068"</f>
        <v>068</v>
      </c>
      <c r="I699" s="26" t="str">
        <f t="shared" si="91"/>
        <v>00</v>
      </c>
      <c r="J699" s="26" t="str">
        <f>"32 "</f>
        <v xml:space="preserve">32 </v>
      </c>
      <c r="K699" s="26" t="str">
        <f t="shared" si="98"/>
        <v>EP</v>
      </c>
      <c r="L699" s="26" t="str">
        <f t="shared" si="99"/>
        <v>DGOSE</v>
      </c>
      <c r="M699" s="26" t="str">
        <f t="shared" si="92"/>
        <v>FEDERAL</v>
      </c>
      <c r="N699" s="26">
        <v>234</v>
      </c>
      <c r="O699" s="26">
        <v>125</v>
      </c>
      <c r="P699" s="26">
        <v>109</v>
      </c>
      <c r="Q699" s="26">
        <v>7</v>
      </c>
      <c r="R699" s="26">
        <v>1</v>
      </c>
      <c r="S699" s="26">
        <v>7</v>
      </c>
      <c r="T699" s="26">
        <v>4</v>
      </c>
      <c r="U699" s="26">
        <v>12</v>
      </c>
      <c r="V699" s="26">
        <v>1</v>
      </c>
      <c r="W699" s="26"/>
    </row>
    <row r="700" spans="1:23" x14ac:dyDescent="0.25">
      <c r="A700" s="26" t="str">
        <f t="shared" si="90"/>
        <v>PREESCOLAR</v>
      </c>
      <c r="B700" s="26" t="str">
        <f>"09DJN0889J"</f>
        <v>09DJN0889J</v>
      </c>
      <c r="C700" s="26" t="str">
        <f>"YOALLI                                                                                              "</f>
        <v xml:space="preserve">YOALLI                                                                                              </v>
      </c>
      <c r="D700" s="26" t="str">
        <f>"MATUTINO"</f>
        <v>MATUTINO</v>
      </c>
      <c r="E700" s="26" t="str">
        <f>"AV. TENOCHTITLAN Y AV. RIO CHURUBUSCO                                           "</f>
        <v xml:space="preserve">AV. TENOCHTITLAN Y AV. RIO CHURUBUSCO                                           </v>
      </c>
      <c r="F700" s="26" t="str">
        <f>"ARENAL 1A SECCION                                                                                                                           "</f>
        <v xml:space="preserve">ARENAL 1A SECCION                                                                                                                           </v>
      </c>
      <c r="G700" s="26" t="str">
        <f>"VENUSTIANO CARRANZA                                                             "</f>
        <v xml:space="preserve">VENUSTIANO CARRANZA                                                             </v>
      </c>
      <c r="H700" s="26" t="str">
        <f>"161"</f>
        <v>161</v>
      </c>
      <c r="I700" s="26" t="str">
        <f t="shared" si="91"/>
        <v>00</v>
      </c>
      <c r="J700" s="26" t="str">
        <f>"33 "</f>
        <v xml:space="preserve">33 </v>
      </c>
      <c r="K700" s="26" t="str">
        <f t="shared" si="98"/>
        <v>EP</v>
      </c>
      <c r="L700" s="26" t="str">
        <f t="shared" si="99"/>
        <v>DGOSE</v>
      </c>
      <c r="M700" s="26" t="str">
        <f t="shared" si="92"/>
        <v>FEDERAL</v>
      </c>
      <c r="N700" s="26">
        <v>229</v>
      </c>
      <c r="O700" s="26">
        <v>112</v>
      </c>
      <c r="P700" s="26">
        <v>117</v>
      </c>
      <c r="Q700" s="26">
        <v>8</v>
      </c>
      <c r="R700" s="26">
        <v>1</v>
      </c>
      <c r="S700" s="26">
        <v>7</v>
      </c>
      <c r="T700" s="26">
        <v>7</v>
      </c>
      <c r="U700" s="26">
        <v>15</v>
      </c>
      <c r="V700" s="26">
        <v>1</v>
      </c>
      <c r="W700" s="26"/>
    </row>
    <row r="701" spans="1:23" x14ac:dyDescent="0.25">
      <c r="A701" s="26" t="str">
        <f t="shared" si="90"/>
        <v>PREESCOLAR</v>
      </c>
      <c r="B701" s="26" t="str">
        <f>"09DJN0900P"</f>
        <v>09DJN0900P</v>
      </c>
      <c r="C701" s="26" t="str">
        <f>"TONALI                                                                                              "</f>
        <v xml:space="preserve">TONALI                                                                                              </v>
      </c>
      <c r="D701" s="26" t="str">
        <f>"VESPERTINO"</f>
        <v>VESPERTINO</v>
      </c>
      <c r="E701" s="26" t="str">
        <f>"CALLE 2 Y TEPOZAN MZA. 114                                                      "</f>
        <v xml:space="preserve">CALLE 2 Y TEPOZAN MZA. 114                                                      </v>
      </c>
      <c r="F701" s="26" t="str">
        <f>"PEDREGAL DE SAN NICOLAS                                                                                                                     "</f>
        <v xml:space="preserve">PEDREGAL DE SAN NICOLAS                                                                                                                     </v>
      </c>
      <c r="G701" s="26" t="str">
        <f>"TLALPAN                                                                         "</f>
        <v xml:space="preserve">TLALPAN                                                                         </v>
      </c>
      <c r="H701" s="26" t="str">
        <f>"049"</f>
        <v>049</v>
      </c>
      <c r="I701" s="26" t="str">
        <f t="shared" si="91"/>
        <v>00</v>
      </c>
      <c r="J701" s="26" t="str">
        <f>"35 "</f>
        <v xml:space="preserve">35 </v>
      </c>
      <c r="K701" s="26" t="str">
        <f t="shared" si="98"/>
        <v>EP</v>
      </c>
      <c r="L701" s="26" t="str">
        <f t="shared" si="99"/>
        <v>DGOSE</v>
      </c>
      <c r="M701" s="26" t="str">
        <f t="shared" si="92"/>
        <v>FEDERAL</v>
      </c>
      <c r="N701" s="26">
        <v>143</v>
      </c>
      <c r="O701" s="26">
        <v>70</v>
      </c>
      <c r="P701" s="26">
        <v>73</v>
      </c>
      <c r="Q701" s="26">
        <v>5</v>
      </c>
      <c r="R701" s="26">
        <v>1</v>
      </c>
      <c r="S701" s="26">
        <v>5</v>
      </c>
      <c r="T701" s="26">
        <v>6</v>
      </c>
      <c r="U701" s="26">
        <v>12</v>
      </c>
      <c r="V701" s="26">
        <v>1</v>
      </c>
      <c r="W701" s="26"/>
    </row>
    <row r="702" spans="1:23" x14ac:dyDescent="0.25">
      <c r="A702" s="26" t="str">
        <f t="shared" si="90"/>
        <v>PREESCOLAR</v>
      </c>
      <c r="B702" s="26" t="str">
        <f>"09DJN0901O"</f>
        <v>09DJN0901O</v>
      </c>
      <c r="C702" s="26" t="str">
        <f>"CLOTILDE GONZALEZ GARCIA                                                                            "</f>
        <v xml:space="preserve">CLOTILDE GONZALEZ GARCIA                                                                            </v>
      </c>
      <c r="D702" s="26" t="str">
        <f>"VESPERTINO"</f>
        <v>VESPERTINO</v>
      </c>
      <c r="E702" s="26" t="str">
        <f>"CAMINO REAL DE SAN MARTIN NO. 78                                                "</f>
        <v xml:space="preserve">CAMINO REAL DE SAN MARTIN NO. 78                                                </v>
      </c>
      <c r="F702" s="26" t="str">
        <f>"SANTA BARBARA                                                                                                                               "</f>
        <v xml:space="preserve">SANTA BARBARA                                                                                                                               </v>
      </c>
      <c r="G702" s="26" t="str">
        <f>"AZCAPOTZALCO                                                                    "</f>
        <v xml:space="preserve">AZCAPOTZALCO                                                                    </v>
      </c>
      <c r="H702" s="26" t="str">
        <f>"056"</f>
        <v>056</v>
      </c>
      <c r="I702" s="26" t="str">
        <f t="shared" si="91"/>
        <v>00</v>
      </c>
      <c r="J702" s="26" t="str">
        <f>"32 "</f>
        <v xml:space="preserve">32 </v>
      </c>
      <c r="K702" s="26" t="str">
        <f t="shared" si="98"/>
        <v>EP</v>
      </c>
      <c r="L702" s="26" t="str">
        <f t="shared" si="99"/>
        <v>DGOSE</v>
      </c>
      <c r="M702" s="26" t="str">
        <f t="shared" si="92"/>
        <v>FEDERAL</v>
      </c>
      <c r="N702" s="26">
        <v>127</v>
      </c>
      <c r="O702" s="26">
        <v>66</v>
      </c>
      <c r="P702" s="26">
        <v>61</v>
      </c>
      <c r="Q702" s="26">
        <v>6</v>
      </c>
      <c r="R702" s="26">
        <v>1</v>
      </c>
      <c r="S702" s="26">
        <v>6</v>
      </c>
      <c r="T702" s="26">
        <v>3</v>
      </c>
      <c r="U702" s="26">
        <v>10</v>
      </c>
      <c r="V702" s="26">
        <v>1</v>
      </c>
      <c r="W702" s="26"/>
    </row>
    <row r="703" spans="1:23" x14ac:dyDescent="0.25">
      <c r="A703" s="26" t="str">
        <f t="shared" si="90"/>
        <v>PREESCOLAR</v>
      </c>
      <c r="B703" s="26" t="str">
        <f>"09DJN0902N"</f>
        <v>09DJN0902N</v>
      </c>
      <c r="C703" s="26" t="str">
        <f>"LUIS BRAILLE                                                                                        "</f>
        <v xml:space="preserve">LUIS BRAILLE                                                                                        </v>
      </c>
      <c r="D703" s="26" t="str">
        <f>"VESPERTINO"</f>
        <v>VESPERTINO</v>
      </c>
      <c r="E703" s="26" t="str">
        <f>"ALDEBARAN Y HERREROS                                                            "</f>
        <v xml:space="preserve">ALDEBARAN Y HERREROS                                                            </v>
      </c>
      <c r="F703" s="26" t="str">
        <f>"UNIDAD INFONAVIT EL ROSARIO                                                                                                                 "</f>
        <v xml:space="preserve">UNIDAD INFONAVIT EL ROSARIO                                                                                                                 </v>
      </c>
      <c r="G703" s="26" t="str">
        <f>"AZCAPOTZALCO                                                                    "</f>
        <v xml:space="preserve">AZCAPOTZALCO                                                                    </v>
      </c>
      <c r="H703" s="26" t="str">
        <f>"009"</f>
        <v>009</v>
      </c>
      <c r="I703" s="26" t="str">
        <f t="shared" si="91"/>
        <v>00</v>
      </c>
      <c r="J703" s="26" t="str">
        <f>"32 "</f>
        <v xml:space="preserve">32 </v>
      </c>
      <c r="K703" s="26" t="str">
        <f t="shared" si="98"/>
        <v>EP</v>
      </c>
      <c r="L703" s="26" t="str">
        <f t="shared" si="99"/>
        <v>DGOSE</v>
      </c>
      <c r="M703" s="26" t="str">
        <f t="shared" si="92"/>
        <v>FEDERAL</v>
      </c>
      <c r="N703" s="26">
        <v>63</v>
      </c>
      <c r="O703" s="26">
        <v>28</v>
      </c>
      <c r="P703" s="26">
        <v>35</v>
      </c>
      <c r="Q703" s="26">
        <v>3</v>
      </c>
      <c r="R703" s="26">
        <v>1</v>
      </c>
      <c r="S703" s="26">
        <v>3</v>
      </c>
      <c r="T703" s="26">
        <v>3</v>
      </c>
      <c r="U703" s="26">
        <v>7</v>
      </c>
      <c r="V703" s="26">
        <v>1</v>
      </c>
      <c r="W703" s="26"/>
    </row>
    <row r="704" spans="1:23" x14ac:dyDescent="0.25">
      <c r="A704" s="26" t="str">
        <f t="shared" si="90"/>
        <v>PREESCOLAR</v>
      </c>
      <c r="B704" s="26" t="str">
        <f>"09DJN0903M"</f>
        <v>09DJN0903M</v>
      </c>
      <c r="C704" s="26" t="str">
        <f>"CHULAVETE                                                                                           "</f>
        <v xml:space="preserve">CHULAVETE                                                                                           </v>
      </c>
      <c r="D704" s="26" t="str">
        <f>"VESPERTINO"</f>
        <v>VESPERTINO</v>
      </c>
      <c r="E704" s="26" t="str">
        <f>"CAMPO MOLUCO NO. 30                                                             "</f>
        <v xml:space="preserve">CAMPO MOLUCO NO. 30                                                             </v>
      </c>
      <c r="F704" s="26" t="str">
        <f>"SAN ANTONIO                                                                                                                                 "</f>
        <v xml:space="preserve">SAN ANTONIO                                                                                                                                 </v>
      </c>
      <c r="G704" s="26" t="str">
        <f>"AZCAPOTZALCO                                                                    "</f>
        <v xml:space="preserve">AZCAPOTZALCO                                                                    </v>
      </c>
      <c r="H704" s="26" t="str">
        <f>"106"</f>
        <v>106</v>
      </c>
      <c r="I704" s="26" t="str">
        <f t="shared" si="91"/>
        <v>00</v>
      </c>
      <c r="J704" s="26" t="str">
        <f>"32 "</f>
        <v xml:space="preserve">32 </v>
      </c>
      <c r="K704" s="26" t="str">
        <f t="shared" si="98"/>
        <v>EP</v>
      </c>
      <c r="L704" s="26" t="str">
        <f t="shared" si="99"/>
        <v>DGOSE</v>
      </c>
      <c r="M704" s="26" t="str">
        <f t="shared" si="92"/>
        <v>FEDERAL</v>
      </c>
      <c r="N704" s="26">
        <v>163</v>
      </c>
      <c r="O704" s="26">
        <v>87</v>
      </c>
      <c r="P704" s="26">
        <v>76</v>
      </c>
      <c r="Q704" s="26">
        <v>6</v>
      </c>
      <c r="R704" s="26">
        <v>0</v>
      </c>
      <c r="S704" s="26">
        <v>6</v>
      </c>
      <c r="T704" s="26">
        <v>5</v>
      </c>
      <c r="U704" s="26">
        <v>11</v>
      </c>
      <c r="V704" s="26">
        <v>1</v>
      </c>
      <c r="W704" s="26"/>
    </row>
    <row r="705" spans="1:23" x14ac:dyDescent="0.25">
      <c r="A705" s="26" t="str">
        <f t="shared" si="90"/>
        <v>PREESCOLAR</v>
      </c>
      <c r="B705" s="26" t="str">
        <f>"09DJN0905K"</f>
        <v>09DJN0905K</v>
      </c>
      <c r="C705" s="26" t="str">
        <f>"MAHATMA GANDHI                                                                                      "</f>
        <v xml:space="preserve">MAHATMA GANDHI                                                                                      </v>
      </c>
      <c r="D705" s="26" t="str">
        <f>"JORNADA AMPLIADA"</f>
        <v>JORNADA AMPLIADA</v>
      </c>
      <c r="E705" s="26" t="str">
        <f>"EST. CANDELARIA PEREZ                                                           "</f>
        <v xml:space="preserve">EST. CANDELARIA PEREZ                                                           </v>
      </c>
      <c r="F705" s="26" t="str">
        <f>"UNIDAD HABITACIONAL CTM NUEVE                                                                                                               "</f>
        <v xml:space="preserve">UNIDAD HABITACIONAL CTM NUEVE                                                                                                               </v>
      </c>
      <c r="G705" s="26" t="str">
        <f>"COYOACAN                                                                        "</f>
        <v xml:space="preserve">COYOACAN                                                                        </v>
      </c>
      <c r="H705" s="26" t="str">
        <f>"042"</f>
        <v>042</v>
      </c>
      <c r="I705" s="26" t="str">
        <f t="shared" si="91"/>
        <v>00</v>
      </c>
      <c r="J705" s="26" t="str">
        <f>"34 "</f>
        <v xml:space="preserve">34 </v>
      </c>
      <c r="K705" s="26" t="str">
        <f t="shared" si="98"/>
        <v>EP</v>
      </c>
      <c r="L705" s="26" t="str">
        <f t="shared" si="99"/>
        <v>DGOSE</v>
      </c>
      <c r="M705" s="26" t="str">
        <f t="shared" si="92"/>
        <v>FEDERAL</v>
      </c>
      <c r="N705" s="26">
        <v>195</v>
      </c>
      <c r="O705" s="26">
        <v>113</v>
      </c>
      <c r="P705" s="26">
        <v>82</v>
      </c>
      <c r="Q705" s="26">
        <v>7</v>
      </c>
      <c r="R705" s="26">
        <v>1</v>
      </c>
      <c r="S705" s="26">
        <v>7</v>
      </c>
      <c r="T705" s="26">
        <v>6</v>
      </c>
      <c r="U705" s="26">
        <v>14</v>
      </c>
      <c r="V705" s="26">
        <v>1</v>
      </c>
      <c r="W705" s="26" t="s">
        <v>2076</v>
      </c>
    </row>
    <row r="706" spans="1:23" x14ac:dyDescent="0.25">
      <c r="A706" s="26" t="str">
        <f t="shared" ref="A706:A769" si="100">"PREESCOLAR"</f>
        <v>PREESCOLAR</v>
      </c>
      <c r="B706" s="26" t="str">
        <f>"09DJN0906J"</f>
        <v>09DJN0906J</v>
      </c>
      <c r="C706" s="26" t="str">
        <f>"SIGMUND FREUD                                                                                       "</f>
        <v xml:space="preserve">SIGMUND FREUD                                                                                       </v>
      </c>
      <c r="D706" s="26" t="str">
        <f>"VESPERTINO"</f>
        <v>VESPERTINO</v>
      </c>
      <c r="E706" s="26" t="str">
        <f>"CALMECAC Y TECACALO S/N                                                         "</f>
        <v xml:space="preserve">CALMECAC Y TECACALO S/N                                                         </v>
      </c>
      <c r="F706" s="26" t="str">
        <f>"ADOLFO RUIZ CORTINES                                                                                                                        "</f>
        <v xml:space="preserve">ADOLFO RUIZ CORTINES                                                                                                                        </v>
      </c>
      <c r="G706" s="26" t="str">
        <f>"COYOACAN                                                                        "</f>
        <v xml:space="preserve">COYOACAN                                                                        </v>
      </c>
      <c r="H706" s="26" t="str">
        <f>"077"</f>
        <v>077</v>
      </c>
      <c r="I706" s="26" t="str">
        <f t="shared" ref="I706:I769" si="101">"00"</f>
        <v>00</v>
      </c>
      <c r="J706" s="26" t="str">
        <f>"35 "</f>
        <v xml:space="preserve">35 </v>
      </c>
      <c r="K706" s="26" t="str">
        <f t="shared" si="98"/>
        <v>EP</v>
      </c>
      <c r="L706" s="26" t="str">
        <f t="shared" si="99"/>
        <v>DGOSE</v>
      </c>
      <c r="M706" s="26" t="str">
        <f t="shared" ref="M706:M769" si="102">"FEDERAL"</f>
        <v>FEDERAL</v>
      </c>
      <c r="N706" s="26">
        <v>106</v>
      </c>
      <c r="O706" s="26">
        <v>57</v>
      </c>
      <c r="P706" s="26">
        <v>49</v>
      </c>
      <c r="Q706" s="26">
        <v>4</v>
      </c>
      <c r="R706" s="26">
        <v>1</v>
      </c>
      <c r="S706" s="26">
        <v>4</v>
      </c>
      <c r="T706" s="26">
        <v>5</v>
      </c>
      <c r="U706" s="26">
        <v>10</v>
      </c>
      <c r="V706" s="26">
        <v>1</v>
      </c>
      <c r="W706" s="26"/>
    </row>
    <row r="707" spans="1:23" x14ac:dyDescent="0.25">
      <c r="A707" s="26" t="str">
        <f t="shared" si="100"/>
        <v>PREESCOLAR</v>
      </c>
      <c r="B707" s="26" t="str">
        <f>"09DJN0908H"</f>
        <v>09DJN0908H</v>
      </c>
      <c r="C707" s="26" t="str">
        <f>"CHIPILINGO                                                                                          "</f>
        <v xml:space="preserve">CHIPILINGO                                                                                          </v>
      </c>
      <c r="D707" s="26" t="str">
        <f>"VESPERTINO"</f>
        <v>VESPERTINO</v>
      </c>
      <c r="E707" s="26" t="str">
        <f>"CALLE 18 NO. 99                                                                 "</f>
        <v xml:space="preserve">CALLE 18 NO. 99                                                                 </v>
      </c>
      <c r="F707" s="26" t="str">
        <f>"JOSE LOPEZ PORTILLO                                                                                                                         "</f>
        <v xml:space="preserve">JOSE LOPEZ PORTILLO                                                                                                                         </v>
      </c>
      <c r="G707" s="26" t="str">
        <f>"IZTAPALAPA                                                                      "</f>
        <v xml:space="preserve">IZTAPALAPA                                                                      </v>
      </c>
      <c r="H707" s="26" t="str">
        <f>"026"</f>
        <v>026</v>
      </c>
      <c r="I707" s="26" t="str">
        <f t="shared" si="101"/>
        <v>00</v>
      </c>
      <c r="J707" s="26" t="str">
        <f>"63 "</f>
        <v xml:space="preserve">63 </v>
      </c>
      <c r="K707" s="26" t="str">
        <f>"IZ"</f>
        <v>IZ</v>
      </c>
      <c r="L707" s="26" t="str">
        <f>"DGSEI"</f>
        <v>DGSEI</v>
      </c>
      <c r="M707" s="26" t="str">
        <f t="shared" si="102"/>
        <v>FEDERAL</v>
      </c>
      <c r="N707" s="26">
        <v>139</v>
      </c>
      <c r="O707" s="26">
        <v>69</v>
      </c>
      <c r="P707" s="26">
        <v>70</v>
      </c>
      <c r="Q707" s="26">
        <v>5</v>
      </c>
      <c r="R707" s="26">
        <v>1</v>
      </c>
      <c r="S707" s="26">
        <v>5</v>
      </c>
      <c r="T707" s="26">
        <v>3</v>
      </c>
      <c r="U707" s="26">
        <v>9</v>
      </c>
      <c r="V707" s="26">
        <v>1</v>
      </c>
      <c r="W707" s="26"/>
    </row>
    <row r="708" spans="1:23" x14ac:dyDescent="0.25">
      <c r="A708" s="26" t="str">
        <f t="shared" si="100"/>
        <v>PREESCOLAR</v>
      </c>
      <c r="B708" s="26" t="str">
        <f>"09DJN0910W"</f>
        <v>09DJN0910W</v>
      </c>
      <c r="C708" s="26" t="str">
        <f>"GREGORIO TORRES QUINTERO                                                                            "</f>
        <v xml:space="preserve">GREGORIO TORRES QUINTERO                                                                            </v>
      </c>
      <c r="D708" s="26" t="str">
        <f>"JORNADA AMPLIADA"</f>
        <v>JORNADA AMPLIADA</v>
      </c>
      <c r="E708" s="26" t="str">
        <f>"GENERAL ANTONIO NAVA S/N                                                        "</f>
        <v xml:space="preserve">GENERAL ANTONIO NAVA S/N                                                        </v>
      </c>
      <c r="F708" s="26" t="str">
        <f>"CARMEN SERDAN                                                                                                                               "</f>
        <v xml:space="preserve">CARMEN SERDAN                                                                                                                               </v>
      </c>
      <c r="G708" s="26" t="str">
        <f>"COYOACAN                                                                        "</f>
        <v xml:space="preserve">COYOACAN                                                                        </v>
      </c>
      <c r="H708" s="26" t="str">
        <f>"042"</f>
        <v>042</v>
      </c>
      <c r="I708" s="26" t="str">
        <f t="shared" si="101"/>
        <v>00</v>
      </c>
      <c r="J708" s="26" t="str">
        <f>"34 "</f>
        <v xml:space="preserve">34 </v>
      </c>
      <c r="K708" s="26" t="str">
        <f t="shared" ref="K708:K713" si="103">"EP"</f>
        <v>EP</v>
      </c>
      <c r="L708" s="26" t="str">
        <f t="shared" ref="L708:L713" si="104">"DGOSE"</f>
        <v>DGOSE</v>
      </c>
      <c r="M708" s="26" t="str">
        <f t="shared" si="102"/>
        <v>FEDERAL</v>
      </c>
      <c r="N708" s="26">
        <v>156</v>
      </c>
      <c r="O708" s="26">
        <v>83</v>
      </c>
      <c r="P708" s="26">
        <v>73</v>
      </c>
      <c r="Q708" s="26">
        <v>6</v>
      </c>
      <c r="R708" s="26">
        <v>1</v>
      </c>
      <c r="S708" s="26">
        <v>5</v>
      </c>
      <c r="T708" s="26">
        <v>7</v>
      </c>
      <c r="U708" s="26">
        <v>13</v>
      </c>
      <c r="V708" s="26">
        <v>1</v>
      </c>
      <c r="W708" s="26" t="s">
        <v>2076</v>
      </c>
    </row>
    <row r="709" spans="1:23" x14ac:dyDescent="0.25">
      <c r="A709" s="26" t="str">
        <f t="shared" si="100"/>
        <v>PREESCOLAR</v>
      </c>
      <c r="B709" s="26" t="str">
        <f>"09DJN0911V"</f>
        <v>09DJN0911V</v>
      </c>
      <c r="C709" s="26" t="str">
        <f>"TOHUI                                                                                               "</f>
        <v xml:space="preserve">TOHUI                                                                                               </v>
      </c>
      <c r="D709" s="26" t="str">
        <f>"MATUTINO"</f>
        <v>MATUTINO</v>
      </c>
      <c r="E709" s="26" t="str">
        <f>"AHUEJOTE ESQ. ESCUINAPA                                                         "</f>
        <v xml:space="preserve">AHUEJOTE ESQ. ESCUINAPA                                                         </v>
      </c>
      <c r="F709" s="26" t="str">
        <f>"COYOACAN                                                                                                                                    "</f>
        <v xml:space="preserve">COYOACAN                                                                                                                                    </v>
      </c>
      <c r="G709" s="26" t="str">
        <f>"COYOACAN                                                                        "</f>
        <v xml:space="preserve">COYOACAN                                                                        </v>
      </c>
      <c r="H709" s="26" t="str">
        <f>"237"</f>
        <v>237</v>
      </c>
      <c r="I709" s="26" t="str">
        <f t="shared" si="101"/>
        <v>00</v>
      </c>
      <c r="J709" s="26" t="str">
        <f>"35 "</f>
        <v xml:space="preserve">35 </v>
      </c>
      <c r="K709" s="26" t="str">
        <f t="shared" si="103"/>
        <v>EP</v>
      </c>
      <c r="L709" s="26" t="str">
        <f t="shared" si="104"/>
        <v>DGOSE</v>
      </c>
      <c r="M709" s="26" t="str">
        <f t="shared" si="102"/>
        <v>FEDERAL</v>
      </c>
      <c r="N709" s="26">
        <v>234</v>
      </c>
      <c r="O709" s="26">
        <v>125</v>
      </c>
      <c r="P709" s="26">
        <v>109</v>
      </c>
      <c r="Q709" s="26">
        <v>7</v>
      </c>
      <c r="R709" s="26">
        <v>0</v>
      </c>
      <c r="S709" s="26">
        <v>6</v>
      </c>
      <c r="T709" s="26">
        <v>8</v>
      </c>
      <c r="U709" s="26">
        <v>14</v>
      </c>
      <c r="V709" s="26">
        <v>1</v>
      </c>
      <c r="W709" s="26"/>
    </row>
    <row r="710" spans="1:23" x14ac:dyDescent="0.25">
      <c r="A710" s="26" t="str">
        <f t="shared" si="100"/>
        <v>PREESCOLAR</v>
      </c>
      <c r="B710" s="26" t="str">
        <f>"09DJN0912U"</f>
        <v>09DJN0912U</v>
      </c>
      <c r="C710" s="26" t="str">
        <f>"COLHUACAN                                                                                           "</f>
        <v xml:space="preserve">COLHUACAN                                                                                           </v>
      </c>
      <c r="D710" s="26" t="str">
        <f>"VESPERTINO"</f>
        <v>VESPERTINO</v>
      </c>
      <c r="E710" s="26" t="str">
        <f>"EJIDO SAN PEDRO XALPA Y TOMATLAN                                                "</f>
        <v xml:space="preserve">EJIDO SAN PEDRO XALPA Y TOMATLAN                                                </v>
      </c>
      <c r="F710" s="26" t="str">
        <f>"SAN FRANCISCO CULHUACAN                                                                                                                     "</f>
        <v xml:space="preserve">SAN FRANCISCO CULHUACAN                                                                                                                     </v>
      </c>
      <c r="G710" s="26" t="str">
        <f>"COYOACAN                                                                        "</f>
        <v xml:space="preserve">COYOACAN                                                                        </v>
      </c>
      <c r="H710" s="26" t="str">
        <f>"099"</f>
        <v>099</v>
      </c>
      <c r="I710" s="26" t="str">
        <f t="shared" si="101"/>
        <v>00</v>
      </c>
      <c r="J710" s="26" t="str">
        <f>"35 "</f>
        <v xml:space="preserve">35 </v>
      </c>
      <c r="K710" s="26" t="str">
        <f t="shared" si="103"/>
        <v>EP</v>
      </c>
      <c r="L710" s="26" t="str">
        <f t="shared" si="104"/>
        <v>DGOSE</v>
      </c>
      <c r="M710" s="26" t="str">
        <f t="shared" si="102"/>
        <v>FEDERAL</v>
      </c>
      <c r="N710" s="26">
        <v>110</v>
      </c>
      <c r="O710" s="26">
        <v>57</v>
      </c>
      <c r="P710" s="26">
        <v>53</v>
      </c>
      <c r="Q710" s="26">
        <v>4</v>
      </c>
      <c r="R710" s="26">
        <v>1</v>
      </c>
      <c r="S710" s="26">
        <v>4</v>
      </c>
      <c r="T710" s="26">
        <v>6</v>
      </c>
      <c r="U710" s="26">
        <v>11</v>
      </c>
      <c r="V710" s="26">
        <v>1</v>
      </c>
      <c r="W710" s="26"/>
    </row>
    <row r="711" spans="1:23" x14ac:dyDescent="0.25">
      <c r="A711" s="26" t="str">
        <f t="shared" si="100"/>
        <v>PREESCOLAR</v>
      </c>
      <c r="B711" s="26" t="str">
        <f>"09DJN0913T"</f>
        <v>09DJN0913T</v>
      </c>
      <c r="C711" s="26" t="str">
        <f>"LUZ GARCIA DE CAMPILLO                                                                              "</f>
        <v xml:space="preserve">LUZ GARCIA DE CAMPILLO                                                                              </v>
      </c>
      <c r="D711" s="26" t="str">
        <f>"VESPERTINO"</f>
        <v>VESPERTINO</v>
      </c>
      <c r="E711" s="26" t="str">
        <f>"EST. MANUELA MEDINA S/N                                                         "</f>
        <v xml:space="preserve">EST. MANUELA MEDINA S/N                                                         </v>
      </c>
      <c r="F711" s="26" t="str">
        <f>"UNIDAD HABITACIONAL CTM OCHO                                                                                                                "</f>
        <v xml:space="preserve">UNIDAD HABITACIONAL CTM OCHO                                                                                                                </v>
      </c>
      <c r="G711" s="26" t="str">
        <f>"COYOACAN                                                                        "</f>
        <v xml:space="preserve">COYOACAN                                                                        </v>
      </c>
      <c r="H711" s="26" t="str">
        <f>"024"</f>
        <v>024</v>
      </c>
      <c r="I711" s="26" t="str">
        <f t="shared" si="101"/>
        <v>00</v>
      </c>
      <c r="J711" s="26" t="str">
        <f>"35 "</f>
        <v xml:space="preserve">35 </v>
      </c>
      <c r="K711" s="26" t="str">
        <f t="shared" si="103"/>
        <v>EP</v>
      </c>
      <c r="L711" s="26" t="str">
        <f t="shared" si="104"/>
        <v>DGOSE</v>
      </c>
      <c r="M711" s="26" t="str">
        <f t="shared" si="102"/>
        <v>FEDERAL</v>
      </c>
      <c r="N711" s="26">
        <v>73</v>
      </c>
      <c r="O711" s="26">
        <v>35</v>
      </c>
      <c r="P711" s="26">
        <v>38</v>
      </c>
      <c r="Q711" s="26">
        <v>3</v>
      </c>
      <c r="R711" s="26">
        <v>1</v>
      </c>
      <c r="S711" s="26">
        <v>3</v>
      </c>
      <c r="T711" s="26">
        <v>3</v>
      </c>
      <c r="U711" s="26">
        <v>7</v>
      </c>
      <c r="V711" s="26">
        <v>1</v>
      </c>
      <c r="W711" s="26"/>
    </row>
    <row r="712" spans="1:23" x14ac:dyDescent="0.25">
      <c r="A712" s="26" t="str">
        <f t="shared" si="100"/>
        <v>PREESCOLAR</v>
      </c>
      <c r="B712" s="26" t="str">
        <f>"09DJN0916Q"</f>
        <v>09DJN0916Q</v>
      </c>
      <c r="C712" s="26" t="str">
        <f>"TIHUI                                                                                               "</f>
        <v xml:space="preserve">TIHUI                                                                                               </v>
      </c>
      <c r="D712" s="26" t="str">
        <f>"JORNADA AMPLIADA"</f>
        <v>JORNADA AMPLIADA</v>
      </c>
      <c r="E712" s="26" t="str">
        <f>"2A. CDA. DE SANTA RITA S/N                                                      "</f>
        <v xml:space="preserve">2A. CDA. DE SANTA RITA S/N                                                      </v>
      </c>
      <c r="F712" s="26" t="str">
        <f>"LOMAS DEL PADRE                                                                                                                             "</f>
        <v xml:space="preserve">LOMAS DEL PADRE                                                                                                                             </v>
      </c>
      <c r="G712" s="26" t="str">
        <f>"CUAJIMALPA DE MORELOS                                                           "</f>
        <v xml:space="preserve">CUAJIMALPA DE MORELOS                                                           </v>
      </c>
      <c r="H712" s="26" t="str">
        <f>"094"</f>
        <v>094</v>
      </c>
      <c r="I712" s="26" t="str">
        <f t="shared" si="101"/>
        <v>00</v>
      </c>
      <c r="J712" s="26" t="str">
        <f>"34 "</f>
        <v xml:space="preserve">34 </v>
      </c>
      <c r="K712" s="26" t="str">
        <f t="shared" si="103"/>
        <v>EP</v>
      </c>
      <c r="L712" s="26" t="str">
        <f t="shared" si="104"/>
        <v>DGOSE</v>
      </c>
      <c r="M712" s="26" t="str">
        <f t="shared" si="102"/>
        <v>FEDERAL</v>
      </c>
      <c r="N712" s="26">
        <v>169</v>
      </c>
      <c r="O712" s="26">
        <v>92</v>
      </c>
      <c r="P712" s="26">
        <v>77</v>
      </c>
      <c r="Q712" s="26">
        <v>5</v>
      </c>
      <c r="R712" s="26">
        <v>1</v>
      </c>
      <c r="S712" s="26">
        <v>4</v>
      </c>
      <c r="T712" s="26">
        <v>5</v>
      </c>
      <c r="U712" s="26">
        <v>10</v>
      </c>
      <c r="V712" s="26">
        <v>1</v>
      </c>
      <c r="W712" s="26" t="s">
        <v>2076</v>
      </c>
    </row>
    <row r="713" spans="1:23" x14ac:dyDescent="0.25">
      <c r="A713" s="26" t="str">
        <f t="shared" si="100"/>
        <v>PREESCOLAR</v>
      </c>
      <c r="B713" s="26" t="str">
        <f>"09DJN0917P"</f>
        <v>09DJN0917P</v>
      </c>
      <c r="C713" s="26" t="str">
        <f>"REPUBLICA DE ITALIA                                                                                 "</f>
        <v xml:space="preserve">REPUBLICA DE ITALIA                                                                                 </v>
      </c>
      <c r="D713" s="26" t="str">
        <f>"MATUTINO"</f>
        <v>MATUTINO</v>
      </c>
      <c r="E713" s="26" t="str">
        <f>"AV. DEL PARQUE Y AV. TEXCOCO                                                    "</f>
        <v xml:space="preserve">AV. DEL PARQUE Y AV. TEXCOCO                                                    </v>
      </c>
      <c r="F713" s="26" t="str">
        <f>"CUCHILLA DEL TESORO                                                                                                                         "</f>
        <v xml:space="preserve">CUCHILLA DEL TESORO                                                                                                                         </v>
      </c>
      <c r="G713" s="26" t="str">
        <f>"GUSTAVO A. MADERO                                                               "</f>
        <v xml:space="preserve">GUSTAVO A. MADERO                                                               </v>
      </c>
      <c r="H713" s="26" t="str">
        <f>"199"</f>
        <v>199</v>
      </c>
      <c r="I713" s="26" t="str">
        <f t="shared" si="101"/>
        <v>00</v>
      </c>
      <c r="J713" s="26" t="str">
        <f>"32 "</f>
        <v xml:space="preserve">32 </v>
      </c>
      <c r="K713" s="26" t="str">
        <f t="shared" si="103"/>
        <v>EP</v>
      </c>
      <c r="L713" s="26" t="str">
        <f t="shared" si="104"/>
        <v>DGOSE</v>
      </c>
      <c r="M713" s="26" t="str">
        <f t="shared" si="102"/>
        <v>FEDERAL</v>
      </c>
      <c r="N713" s="26">
        <v>196</v>
      </c>
      <c r="O713" s="26">
        <v>91</v>
      </c>
      <c r="P713" s="26">
        <v>105</v>
      </c>
      <c r="Q713" s="26">
        <v>7</v>
      </c>
      <c r="R713" s="26">
        <v>1</v>
      </c>
      <c r="S713" s="26">
        <v>7</v>
      </c>
      <c r="T713" s="26">
        <v>5</v>
      </c>
      <c r="U713" s="26">
        <v>13</v>
      </c>
      <c r="V713" s="26">
        <v>1</v>
      </c>
      <c r="W713" s="26"/>
    </row>
    <row r="714" spans="1:23" x14ac:dyDescent="0.25">
      <c r="A714" s="26" t="str">
        <f t="shared" si="100"/>
        <v>PREESCOLAR</v>
      </c>
      <c r="B714" s="26" t="str">
        <f>"09DJN0919N"</f>
        <v>09DJN0919N</v>
      </c>
      <c r="C714" s="26" t="str">
        <f>"ABELARDO L. RODRIGUEZ                                                                               "</f>
        <v xml:space="preserve">ABELARDO L. RODRIGUEZ                                                                               </v>
      </c>
      <c r="D714" s="26" t="str">
        <f>"MATUTINO"</f>
        <v>MATUTINO</v>
      </c>
      <c r="E714" s="26" t="str">
        <f>"ABELARDO L. RODRIGUEZ S/N                                                       "</f>
        <v xml:space="preserve">ABELARDO L. RODRIGUEZ S/N                                                       </v>
      </c>
      <c r="F714" s="26" t="str">
        <f>"PRESIDENTES DE MEXICO                                                                                                                       "</f>
        <v xml:space="preserve">PRESIDENTES DE MEXICO                                                                                                                       </v>
      </c>
      <c r="G714" s="26" t="str">
        <f>"IZTAPALAPA                                                                      "</f>
        <v xml:space="preserve">IZTAPALAPA                                                                      </v>
      </c>
      <c r="H714" s="26" t="str">
        <f>"030"</f>
        <v>030</v>
      </c>
      <c r="I714" s="26" t="str">
        <f t="shared" si="101"/>
        <v>00</v>
      </c>
      <c r="J714" s="26" t="str">
        <f>"64 "</f>
        <v xml:space="preserve">64 </v>
      </c>
      <c r="K714" s="26" t="str">
        <f>"IZ"</f>
        <v>IZ</v>
      </c>
      <c r="L714" s="26" t="str">
        <f>"DGSEI"</f>
        <v>DGSEI</v>
      </c>
      <c r="M714" s="26" t="str">
        <f t="shared" si="102"/>
        <v>FEDERAL</v>
      </c>
      <c r="N714" s="26">
        <v>171</v>
      </c>
      <c r="O714" s="26">
        <v>81</v>
      </c>
      <c r="P714" s="26">
        <v>90</v>
      </c>
      <c r="Q714" s="26">
        <v>5</v>
      </c>
      <c r="R714" s="26">
        <v>1</v>
      </c>
      <c r="S714" s="26">
        <v>5</v>
      </c>
      <c r="T714" s="26">
        <v>4</v>
      </c>
      <c r="U714" s="26">
        <v>10</v>
      </c>
      <c r="V714" s="26">
        <v>1</v>
      </c>
      <c r="W714" s="26"/>
    </row>
    <row r="715" spans="1:23" x14ac:dyDescent="0.25">
      <c r="A715" s="26" t="str">
        <f t="shared" si="100"/>
        <v>PREESCOLAR</v>
      </c>
      <c r="B715" s="26" t="str">
        <f>"09DJN0920C"</f>
        <v>09DJN0920C</v>
      </c>
      <c r="C715" s="26" t="str">
        <f>"BERTRAND RUSSELL                                                                                    "</f>
        <v xml:space="preserve">BERTRAND RUSSELL                                                                                    </v>
      </c>
      <c r="D715" s="26" t="str">
        <f>"TIEMPO COMPLETO"</f>
        <v>TIEMPO COMPLETO</v>
      </c>
      <c r="E715" s="26" t="str">
        <f>"AV. SANTA TERESA MZA. 36 LTE. 34                                                "</f>
        <v xml:space="preserve">AV. SANTA TERESA MZA. 36 LTE. 34                                                </v>
      </c>
      <c r="F715" s="26" t="str">
        <f>"JORGE NEGRETE                                                                                                                               "</f>
        <v xml:space="preserve">JORGE NEGRETE                                                                                                                               </v>
      </c>
      <c r="G715" s="26" t="str">
        <f t="shared" ref="G715:G721" si="105">"GUSTAVO A. MADERO                                                               "</f>
        <v xml:space="preserve">GUSTAVO A. MADERO                                                               </v>
      </c>
      <c r="H715" s="26" t="str">
        <f>"194"</f>
        <v>194</v>
      </c>
      <c r="I715" s="26" t="str">
        <f t="shared" si="101"/>
        <v>00</v>
      </c>
      <c r="J715" s="26" t="str">
        <f>"31 "</f>
        <v xml:space="preserve">31 </v>
      </c>
      <c r="K715" s="26" t="str">
        <f t="shared" ref="K715:K722" si="106">"EP"</f>
        <v>EP</v>
      </c>
      <c r="L715" s="26" t="str">
        <f t="shared" ref="L715:L722" si="107">"DGOSE"</f>
        <v>DGOSE</v>
      </c>
      <c r="M715" s="26" t="str">
        <f t="shared" si="102"/>
        <v>FEDERAL</v>
      </c>
      <c r="N715" s="26">
        <v>211</v>
      </c>
      <c r="O715" s="26">
        <v>112</v>
      </c>
      <c r="P715" s="26">
        <v>99</v>
      </c>
      <c r="Q715" s="26">
        <v>6</v>
      </c>
      <c r="R715" s="26">
        <v>0</v>
      </c>
      <c r="S715" s="26">
        <v>6</v>
      </c>
      <c r="T715" s="26">
        <v>18</v>
      </c>
      <c r="U715" s="26">
        <v>24</v>
      </c>
      <c r="V715" s="26">
        <v>1</v>
      </c>
      <c r="W715" s="26" t="s">
        <v>218</v>
      </c>
    </row>
    <row r="716" spans="1:23" x14ac:dyDescent="0.25">
      <c r="A716" s="26" t="str">
        <f t="shared" si="100"/>
        <v>PREESCOLAR</v>
      </c>
      <c r="B716" s="26" t="str">
        <f>"09DJN0921B"</f>
        <v>09DJN0921B</v>
      </c>
      <c r="C716" s="26" t="str">
        <f>"DR. ATL                                                                                             "</f>
        <v xml:space="preserve">DR. ATL                                                                                             </v>
      </c>
      <c r="D716" s="26" t="str">
        <f>"TIEMPO COMPLETO"</f>
        <v>TIEMPO COMPLETO</v>
      </c>
      <c r="E716" s="26" t="str">
        <f>"AV. MIGUEL BERNARD S/N                                                          "</f>
        <v xml:space="preserve">AV. MIGUEL BERNARD S/N                                                          </v>
      </c>
      <c r="F716" s="26" t="str">
        <f>"LA PURISIMA TICOMAN                                                                                                                         "</f>
        <v xml:space="preserve">LA PURISIMA TICOMAN                                                                                                                         </v>
      </c>
      <c r="G716" s="26" t="str">
        <f t="shared" si="105"/>
        <v xml:space="preserve">GUSTAVO A. MADERO                                                               </v>
      </c>
      <c r="H716" s="26" t="str">
        <f>"080"</f>
        <v>080</v>
      </c>
      <c r="I716" s="26" t="str">
        <f t="shared" si="101"/>
        <v>00</v>
      </c>
      <c r="J716" s="26" t="str">
        <f>"31 "</f>
        <v xml:space="preserve">31 </v>
      </c>
      <c r="K716" s="26" t="str">
        <f t="shared" si="106"/>
        <v>EP</v>
      </c>
      <c r="L716" s="26" t="str">
        <f t="shared" si="107"/>
        <v>DGOSE</v>
      </c>
      <c r="M716" s="26" t="str">
        <f t="shared" si="102"/>
        <v>FEDERAL</v>
      </c>
      <c r="N716" s="26">
        <v>180</v>
      </c>
      <c r="O716" s="26">
        <v>98</v>
      </c>
      <c r="P716" s="26">
        <v>82</v>
      </c>
      <c r="Q716" s="26">
        <v>6</v>
      </c>
      <c r="R716" s="26">
        <v>2</v>
      </c>
      <c r="S716" s="26">
        <v>6</v>
      </c>
      <c r="T716" s="26">
        <v>17</v>
      </c>
      <c r="U716" s="26">
        <v>25</v>
      </c>
      <c r="V716" s="26">
        <v>1</v>
      </c>
      <c r="W716" s="26" t="s">
        <v>218</v>
      </c>
    </row>
    <row r="717" spans="1:23" x14ac:dyDescent="0.25">
      <c r="A717" s="26" t="str">
        <f t="shared" si="100"/>
        <v>PREESCOLAR</v>
      </c>
      <c r="B717" s="26" t="str">
        <f>"09DJN0922A"</f>
        <v>09DJN0922A</v>
      </c>
      <c r="C717" s="26" t="str">
        <f>"CUAUHTLI                                                                                            "</f>
        <v xml:space="preserve">CUAUHTLI                                                                                            </v>
      </c>
      <c r="D717" s="26" t="str">
        <f>"MATUTINO"</f>
        <v>MATUTINO</v>
      </c>
      <c r="E717" s="26" t="str">
        <f>"AV. PEÑAS NEGRAS S/N                                                            "</f>
        <v xml:space="preserve">AV. PEÑAS NEGRAS S/N                                                            </v>
      </c>
      <c r="F717" s="26" t="str">
        <f>"EL TEPETATAL                                                                                                                                "</f>
        <v xml:space="preserve">EL TEPETATAL                                                                                                                                </v>
      </c>
      <c r="G717" s="26" t="str">
        <f t="shared" si="105"/>
        <v xml:space="preserve">GUSTAVO A. MADERO                                                               </v>
      </c>
      <c r="H717" s="26" t="str">
        <f>"227"</f>
        <v>227</v>
      </c>
      <c r="I717" s="26" t="str">
        <f t="shared" si="101"/>
        <v>00</v>
      </c>
      <c r="J717" s="26" t="str">
        <f>"32 "</f>
        <v xml:space="preserve">32 </v>
      </c>
      <c r="K717" s="26" t="str">
        <f t="shared" si="106"/>
        <v>EP</v>
      </c>
      <c r="L717" s="26" t="str">
        <f t="shared" si="107"/>
        <v>DGOSE</v>
      </c>
      <c r="M717" s="26" t="str">
        <f t="shared" si="102"/>
        <v>FEDERAL</v>
      </c>
      <c r="N717" s="26">
        <v>296</v>
      </c>
      <c r="O717" s="26">
        <v>153</v>
      </c>
      <c r="P717" s="26">
        <v>143</v>
      </c>
      <c r="Q717" s="26">
        <v>8</v>
      </c>
      <c r="R717" s="26">
        <v>1</v>
      </c>
      <c r="S717" s="26">
        <v>8</v>
      </c>
      <c r="T717" s="26">
        <v>7</v>
      </c>
      <c r="U717" s="26">
        <v>16</v>
      </c>
      <c r="V717" s="26">
        <v>1</v>
      </c>
      <c r="W717" s="26"/>
    </row>
    <row r="718" spans="1:23" x14ac:dyDescent="0.25">
      <c r="A718" s="26" t="str">
        <f t="shared" si="100"/>
        <v>PREESCOLAR</v>
      </c>
      <c r="B718" s="26" t="str">
        <f>"09DJN0924Z"</f>
        <v>09DJN0924Z</v>
      </c>
      <c r="C718" s="26" t="str">
        <f>"LAURA DOMINGUEZ AGUIRRE                                                                             "</f>
        <v xml:space="preserve">LAURA DOMINGUEZ AGUIRRE                                                                             </v>
      </c>
      <c r="D718" s="26" t="str">
        <f>"TIEMPO COMPLETO"</f>
        <v>TIEMPO COMPLETO</v>
      </c>
      <c r="E718" s="26" t="str">
        <f>"RUIZ CORTINEZ Y MIGUEL ALEMAN                                                   "</f>
        <v xml:space="preserve">RUIZ CORTINEZ Y MIGUEL ALEMAN                                                   </v>
      </c>
      <c r="F718" s="26" t="str">
        <f>"BENITO JUAREZ                                                                                                                               "</f>
        <v xml:space="preserve">BENITO JUAREZ                                                                                                                               </v>
      </c>
      <c r="G718" s="26" t="str">
        <f t="shared" si="105"/>
        <v xml:space="preserve">GUSTAVO A. MADERO                                                               </v>
      </c>
      <c r="H718" s="26" t="str">
        <f>"001"</f>
        <v>001</v>
      </c>
      <c r="I718" s="26" t="str">
        <f t="shared" si="101"/>
        <v>00</v>
      </c>
      <c r="J718" s="26" t="str">
        <f>"31 "</f>
        <v xml:space="preserve">31 </v>
      </c>
      <c r="K718" s="26" t="str">
        <f t="shared" si="106"/>
        <v>EP</v>
      </c>
      <c r="L718" s="26" t="str">
        <f t="shared" si="107"/>
        <v>DGOSE</v>
      </c>
      <c r="M718" s="26" t="str">
        <f t="shared" si="102"/>
        <v>FEDERAL</v>
      </c>
      <c r="N718" s="26">
        <v>177</v>
      </c>
      <c r="O718" s="26">
        <v>80</v>
      </c>
      <c r="P718" s="26">
        <v>97</v>
      </c>
      <c r="Q718" s="26">
        <v>5</v>
      </c>
      <c r="R718" s="26">
        <v>2</v>
      </c>
      <c r="S718" s="26">
        <v>5</v>
      </c>
      <c r="T718" s="26">
        <v>15</v>
      </c>
      <c r="U718" s="26">
        <v>22</v>
      </c>
      <c r="V718" s="26">
        <v>1</v>
      </c>
      <c r="W718" s="26" t="s">
        <v>218</v>
      </c>
    </row>
    <row r="719" spans="1:23" x14ac:dyDescent="0.25">
      <c r="A719" s="26" t="str">
        <f t="shared" si="100"/>
        <v>PREESCOLAR</v>
      </c>
      <c r="B719" s="26" t="str">
        <f>"09DJN0925Y"</f>
        <v>09DJN0925Y</v>
      </c>
      <c r="C719" s="26" t="str">
        <f>"LA PASTORA                                                                                          "</f>
        <v xml:space="preserve">LA PASTORA                                                                                          </v>
      </c>
      <c r="D719" s="26" t="str">
        <f>"JORNADA AMPLIADA"</f>
        <v>JORNADA AMPLIADA</v>
      </c>
      <c r="E719" s="26" t="str">
        <f>"CUAUHTEMOC Y MOCTEZUMA                                                          "</f>
        <v xml:space="preserve">CUAUHTEMOC Y MOCTEZUMA                                                          </v>
      </c>
      <c r="F719" s="26" t="str">
        <f>"LA PASTORA                                                                                                                                  "</f>
        <v xml:space="preserve">LA PASTORA                                                                                                                                  </v>
      </c>
      <c r="G719" s="26" t="str">
        <f t="shared" si="105"/>
        <v xml:space="preserve">GUSTAVO A. MADERO                                                               </v>
      </c>
      <c r="H719" s="26" t="str">
        <f>"194"</f>
        <v>194</v>
      </c>
      <c r="I719" s="26" t="str">
        <f t="shared" si="101"/>
        <v>00</v>
      </c>
      <c r="J719" s="26" t="str">
        <f>"31 "</f>
        <v xml:space="preserve">31 </v>
      </c>
      <c r="K719" s="26" t="str">
        <f t="shared" si="106"/>
        <v>EP</v>
      </c>
      <c r="L719" s="26" t="str">
        <f t="shared" si="107"/>
        <v>DGOSE</v>
      </c>
      <c r="M719" s="26" t="str">
        <f t="shared" si="102"/>
        <v>FEDERAL</v>
      </c>
      <c r="N719" s="26">
        <v>137</v>
      </c>
      <c r="O719" s="26">
        <v>67</v>
      </c>
      <c r="P719" s="26">
        <v>70</v>
      </c>
      <c r="Q719" s="26">
        <v>5</v>
      </c>
      <c r="R719" s="26">
        <v>1</v>
      </c>
      <c r="S719" s="26">
        <v>5</v>
      </c>
      <c r="T719" s="26">
        <v>4</v>
      </c>
      <c r="U719" s="26">
        <v>10</v>
      </c>
      <c r="V719" s="26">
        <v>1</v>
      </c>
      <c r="W719" s="26" t="s">
        <v>2076</v>
      </c>
    </row>
    <row r="720" spans="1:23" x14ac:dyDescent="0.25">
      <c r="A720" s="26" t="str">
        <f t="shared" si="100"/>
        <v>PREESCOLAR</v>
      </c>
      <c r="B720" s="26" t="str">
        <f>"09DJN0928V"</f>
        <v>09DJN0928V</v>
      </c>
      <c r="C720" s="26" t="str">
        <f>"CUECUECH                                                                                            "</f>
        <v xml:space="preserve">CUECUECH                                                                                            </v>
      </c>
      <c r="D720" s="26" t="str">
        <f>"JORNADA AMPLIADA"</f>
        <v>JORNADA AMPLIADA</v>
      </c>
      <c r="E720" s="26" t="str">
        <f>"LUIS ECHEVERRIA Y PUERTO MARFIL                                                 "</f>
        <v xml:space="preserve">LUIS ECHEVERRIA Y PUERTO MARFIL                                                 </v>
      </c>
      <c r="F720" s="26" t="str">
        <f>"LOMA DE LA PALMA                                                                                                                            "</f>
        <v xml:space="preserve">LOMA DE LA PALMA                                                                                                                            </v>
      </c>
      <c r="G720" s="26" t="str">
        <f t="shared" si="105"/>
        <v xml:space="preserve">GUSTAVO A. MADERO                                                               </v>
      </c>
      <c r="H720" s="26" t="str">
        <f>"092"</f>
        <v>092</v>
      </c>
      <c r="I720" s="26" t="str">
        <f t="shared" si="101"/>
        <v>00</v>
      </c>
      <c r="J720" s="26" t="str">
        <f>"31 "</f>
        <v xml:space="preserve">31 </v>
      </c>
      <c r="K720" s="26" t="str">
        <f t="shared" si="106"/>
        <v>EP</v>
      </c>
      <c r="L720" s="26" t="str">
        <f t="shared" si="107"/>
        <v>DGOSE</v>
      </c>
      <c r="M720" s="26" t="str">
        <f t="shared" si="102"/>
        <v>FEDERAL</v>
      </c>
      <c r="N720" s="26">
        <v>264</v>
      </c>
      <c r="O720" s="26">
        <v>132</v>
      </c>
      <c r="P720" s="26">
        <v>132</v>
      </c>
      <c r="Q720" s="26">
        <v>7</v>
      </c>
      <c r="R720" s="26">
        <v>1</v>
      </c>
      <c r="S720" s="26">
        <v>7</v>
      </c>
      <c r="T720" s="26">
        <v>5</v>
      </c>
      <c r="U720" s="26">
        <v>13</v>
      </c>
      <c r="V720" s="26">
        <v>1</v>
      </c>
      <c r="W720" s="26" t="s">
        <v>2076</v>
      </c>
    </row>
    <row r="721" spans="1:23" x14ac:dyDescent="0.25">
      <c r="A721" s="26" t="str">
        <f t="shared" si="100"/>
        <v>PREESCOLAR</v>
      </c>
      <c r="B721" s="26" t="str">
        <f>"09DJN0929U"</f>
        <v>09DJN0929U</v>
      </c>
      <c r="C721" s="26" t="str">
        <f>"PALMATITLA                                                                                          "</f>
        <v xml:space="preserve">PALMATITLA                                                                                          </v>
      </c>
      <c r="D721" s="26" t="str">
        <f>"MATUTINO"</f>
        <v>MATUTINO</v>
      </c>
      <c r="E721" s="26" t="str">
        <f>"ESCUELA SECUNDARIA 160 S/N                                                      "</f>
        <v xml:space="preserve">ESCUELA SECUNDARIA 160 S/N                                                      </v>
      </c>
      <c r="F721" s="26" t="str">
        <f>"VALLE MADERO                                                                                                                                "</f>
        <v xml:space="preserve">VALLE MADERO                                                                                                                                </v>
      </c>
      <c r="G721" s="26" t="str">
        <f t="shared" si="105"/>
        <v xml:space="preserve">GUSTAVO A. MADERO                                                               </v>
      </c>
      <c r="H721" s="26" t="str">
        <f>"117"</f>
        <v>117</v>
      </c>
      <c r="I721" s="26" t="str">
        <f t="shared" si="101"/>
        <v>00</v>
      </c>
      <c r="J721" s="26" t="str">
        <f>"32 "</f>
        <v xml:space="preserve">32 </v>
      </c>
      <c r="K721" s="26" t="str">
        <f t="shared" si="106"/>
        <v>EP</v>
      </c>
      <c r="L721" s="26" t="str">
        <f t="shared" si="107"/>
        <v>DGOSE</v>
      </c>
      <c r="M721" s="26" t="str">
        <f t="shared" si="102"/>
        <v>FEDERAL</v>
      </c>
      <c r="N721" s="26">
        <v>169</v>
      </c>
      <c r="O721" s="26">
        <v>87</v>
      </c>
      <c r="P721" s="26">
        <v>82</v>
      </c>
      <c r="Q721" s="26">
        <v>5</v>
      </c>
      <c r="R721" s="26">
        <v>1</v>
      </c>
      <c r="S721" s="26">
        <v>5</v>
      </c>
      <c r="T721" s="26">
        <v>4</v>
      </c>
      <c r="U721" s="26">
        <v>10</v>
      </c>
      <c r="V721" s="26">
        <v>1</v>
      </c>
      <c r="W721" s="26"/>
    </row>
    <row r="722" spans="1:23" x14ac:dyDescent="0.25">
      <c r="A722" s="26" t="str">
        <f t="shared" si="100"/>
        <v>PREESCOLAR</v>
      </c>
      <c r="B722" s="26" t="str">
        <f>"09DJN0930J"</f>
        <v>09DJN0930J</v>
      </c>
      <c r="C722" s="26" t="str">
        <f>"LUZ ALBA LORIA                                                                                      "</f>
        <v xml:space="preserve">LUZ ALBA LORIA                                                                                      </v>
      </c>
      <c r="D722" s="26" t="str">
        <f>"JORNADA AMPLIADA"</f>
        <v>JORNADA AMPLIADA</v>
      </c>
      <c r="E722" s="26" t="str">
        <f>"AV. HONORIO SEGURA S/N                                                          "</f>
        <v xml:space="preserve">AV. HONORIO SEGURA S/N                                                          </v>
      </c>
      <c r="F722" s="26" t="str">
        <f>"GRANJAS DE NAVIDAD                                                                                                                          "</f>
        <v xml:space="preserve">GRANJAS DE NAVIDAD                                                                                                                          </v>
      </c>
      <c r="G722" s="26" t="str">
        <f>"CUAJIMALPA DE MORELOS                                                           "</f>
        <v xml:space="preserve">CUAJIMALPA DE MORELOS                                                           </v>
      </c>
      <c r="H722" s="26" t="str">
        <f>"048"</f>
        <v>048</v>
      </c>
      <c r="I722" s="26" t="str">
        <f t="shared" si="101"/>
        <v>00</v>
      </c>
      <c r="J722" s="26" t="str">
        <f>"34 "</f>
        <v xml:space="preserve">34 </v>
      </c>
      <c r="K722" s="26" t="str">
        <f t="shared" si="106"/>
        <v>EP</v>
      </c>
      <c r="L722" s="26" t="str">
        <f t="shared" si="107"/>
        <v>DGOSE</v>
      </c>
      <c r="M722" s="26" t="str">
        <f t="shared" si="102"/>
        <v>FEDERAL</v>
      </c>
      <c r="N722" s="26">
        <v>184</v>
      </c>
      <c r="O722" s="26">
        <v>99</v>
      </c>
      <c r="P722" s="26">
        <v>85</v>
      </c>
      <c r="Q722" s="26">
        <v>5</v>
      </c>
      <c r="R722" s="26">
        <v>1</v>
      </c>
      <c r="S722" s="26">
        <v>5</v>
      </c>
      <c r="T722" s="26">
        <v>6</v>
      </c>
      <c r="U722" s="26">
        <v>12</v>
      </c>
      <c r="V722" s="26">
        <v>1</v>
      </c>
      <c r="W722" s="26" t="s">
        <v>2076</v>
      </c>
    </row>
    <row r="723" spans="1:23" x14ac:dyDescent="0.25">
      <c r="A723" s="26" t="str">
        <f t="shared" si="100"/>
        <v>PREESCOLAR</v>
      </c>
      <c r="B723" s="26" t="str">
        <f>"09DJN0931I"</f>
        <v>09DJN0931I</v>
      </c>
      <c r="C723" s="26" t="str">
        <f>"ALFONSO GARCIA ROBLES                                                                               "</f>
        <v xml:space="preserve">ALFONSO GARCIA ROBLES                                                                               </v>
      </c>
      <c r="D723" s="26" t="str">
        <f>"JORNADA AMPLIADA"</f>
        <v>JORNADA AMPLIADA</v>
      </c>
      <c r="E723" s="26" t="str">
        <f>"CANAL DE TEZONTLE Y RIO TUXPAN                                                  "</f>
        <v xml:space="preserve">CANAL DE TEZONTLE Y RIO TUXPAN                                                  </v>
      </c>
      <c r="F723" s="26" t="str">
        <f>"PASEOS DE CHURUBUSCO                                                                                                                        "</f>
        <v xml:space="preserve">PASEOS DE CHURUBUSCO                                                                                                                        </v>
      </c>
      <c r="G723" s="26" t="str">
        <f>"IZTAPALAPA                                                                      "</f>
        <v xml:space="preserve">IZTAPALAPA                                                                      </v>
      </c>
      <c r="H723" s="26" t="str">
        <f>"005"</f>
        <v>005</v>
      </c>
      <c r="I723" s="26" t="str">
        <f t="shared" si="101"/>
        <v>00</v>
      </c>
      <c r="J723" s="26" t="str">
        <f>"61 "</f>
        <v xml:space="preserve">61 </v>
      </c>
      <c r="K723" s="26" t="str">
        <f>"IZ"</f>
        <v>IZ</v>
      </c>
      <c r="L723" s="26" t="str">
        <f>"DGSEI"</f>
        <v>DGSEI</v>
      </c>
      <c r="M723" s="26" t="str">
        <f t="shared" si="102"/>
        <v>FEDERAL</v>
      </c>
      <c r="N723" s="26">
        <v>90</v>
      </c>
      <c r="O723" s="26">
        <v>45</v>
      </c>
      <c r="P723" s="26">
        <v>45</v>
      </c>
      <c r="Q723" s="26">
        <v>4</v>
      </c>
      <c r="R723" s="26">
        <v>1</v>
      </c>
      <c r="S723" s="26">
        <v>4</v>
      </c>
      <c r="T723" s="26">
        <v>6</v>
      </c>
      <c r="U723" s="26">
        <v>11</v>
      </c>
      <c r="V723" s="26">
        <v>1</v>
      </c>
      <c r="W723" s="26" t="s">
        <v>2076</v>
      </c>
    </row>
    <row r="724" spans="1:23" x14ac:dyDescent="0.25">
      <c r="A724" s="26" t="str">
        <f t="shared" si="100"/>
        <v>PREESCOLAR</v>
      </c>
      <c r="B724" s="26" t="str">
        <f>"09DJN0933G"</f>
        <v>09DJN0933G</v>
      </c>
      <c r="C724" s="26" t="str">
        <f>"XOLOTL                                                                                              "</f>
        <v xml:space="preserve">XOLOTL                                                                                              </v>
      </c>
      <c r="D724" s="26" t="str">
        <f>"VESPERTINO"</f>
        <v>VESPERTINO</v>
      </c>
      <c r="E724" s="26" t="str">
        <f>"AV. FRANCISCO VILLA Y ANTONIO CASO                                              "</f>
        <v xml:space="preserve">AV. FRANCISCO VILLA Y ANTONIO CASO                                              </v>
      </c>
      <c r="F724" s="26" t="str">
        <f>"ZONA ESCOLAR                                                                                                                                "</f>
        <v xml:space="preserve">ZONA ESCOLAR                                                                                                                                </v>
      </c>
      <c r="G724" s="26" t="str">
        <f>"GUSTAVO A. MADERO                                                               "</f>
        <v xml:space="preserve">GUSTAVO A. MADERO                                                               </v>
      </c>
      <c r="H724" s="26" t="str">
        <f>"105"</f>
        <v>105</v>
      </c>
      <c r="I724" s="26" t="str">
        <f t="shared" si="101"/>
        <v>00</v>
      </c>
      <c r="J724" s="26" t="str">
        <f>"32 "</f>
        <v xml:space="preserve">32 </v>
      </c>
      <c r="K724" s="26" t="str">
        <f>"EP"</f>
        <v>EP</v>
      </c>
      <c r="L724" s="26" t="str">
        <f>"DGOSE"</f>
        <v>DGOSE</v>
      </c>
      <c r="M724" s="26" t="str">
        <f t="shared" si="102"/>
        <v>FEDERAL</v>
      </c>
      <c r="N724" s="26">
        <v>244</v>
      </c>
      <c r="O724" s="26">
        <v>132</v>
      </c>
      <c r="P724" s="26">
        <v>112</v>
      </c>
      <c r="Q724" s="26">
        <v>8</v>
      </c>
      <c r="R724" s="26">
        <v>1</v>
      </c>
      <c r="S724" s="26">
        <v>8</v>
      </c>
      <c r="T724" s="26">
        <v>7</v>
      </c>
      <c r="U724" s="26">
        <v>16</v>
      </c>
      <c r="V724" s="26">
        <v>1</v>
      </c>
      <c r="W724" s="26"/>
    </row>
    <row r="725" spans="1:23" x14ac:dyDescent="0.25">
      <c r="A725" s="26" t="str">
        <f t="shared" si="100"/>
        <v>PREESCOLAR</v>
      </c>
      <c r="B725" s="26" t="str">
        <f>"09DJN0934F"</f>
        <v>09DJN0934F</v>
      </c>
      <c r="C725" s="26" t="str">
        <f>"TZITZITLINI                                                                                         "</f>
        <v xml:space="preserve">TZITZITLINI                                                                                         </v>
      </c>
      <c r="D725" s="26" t="str">
        <f>"VESPERTINO"</f>
        <v>VESPERTINO</v>
      </c>
      <c r="E725" s="26" t="str">
        <f>"TECNICOS Y MANUALES S/N                                                         "</f>
        <v xml:space="preserve">TECNICOS Y MANUALES S/N                                                         </v>
      </c>
      <c r="F725" s="26" t="str">
        <f>"LOMAS ESTRELLA                                                                                                                              "</f>
        <v xml:space="preserve">LOMAS ESTRELLA                                                                                                                              </v>
      </c>
      <c r="G725" s="26" t="str">
        <f t="shared" ref="G725:G739" si="108">"IZTAPALAPA                                                                      "</f>
        <v xml:space="preserve">IZTAPALAPA                                                                      </v>
      </c>
      <c r="H725" s="26" t="str">
        <f>"024"</f>
        <v>024</v>
      </c>
      <c r="I725" s="26" t="str">
        <f t="shared" si="101"/>
        <v>00</v>
      </c>
      <c r="J725" s="26" t="str">
        <f>"63 "</f>
        <v xml:space="preserve">63 </v>
      </c>
      <c r="K725" s="26" t="str">
        <f t="shared" ref="K725:K739" si="109">"IZ"</f>
        <v>IZ</v>
      </c>
      <c r="L725" s="26" t="str">
        <f t="shared" ref="L725:L739" si="110">"DGSEI"</f>
        <v>DGSEI</v>
      </c>
      <c r="M725" s="26" t="str">
        <f t="shared" si="102"/>
        <v>FEDERAL</v>
      </c>
      <c r="N725" s="26">
        <v>88</v>
      </c>
      <c r="O725" s="26">
        <v>47</v>
      </c>
      <c r="P725" s="26">
        <v>41</v>
      </c>
      <c r="Q725" s="26">
        <v>4</v>
      </c>
      <c r="R725" s="26">
        <v>1</v>
      </c>
      <c r="S725" s="26">
        <v>4</v>
      </c>
      <c r="T725" s="26">
        <v>1</v>
      </c>
      <c r="U725" s="26">
        <v>6</v>
      </c>
      <c r="V725" s="26">
        <v>1</v>
      </c>
      <c r="W725" s="26"/>
    </row>
    <row r="726" spans="1:23" x14ac:dyDescent="0.25">
      <c r="A726" s="26" t="str">
        <f t="shared" si="100"/>
        <v>PREESCOLAR</v>
      </c>
      <c r="B726" s="26" t="str">
        <f>"09DJN0937C"</f>
        <v>09DJN0937C</v>
      </c>
      <c r="C726" s="26" t="str">
        <f>"LIC. ISIDRO FABELA ALFARO                                                                           "</f>
        <v xml:space="preserve">LIC. ISIDRO FABELA ALFARO                                                                           </v>
      </c>
      <c r="D726" s="26" t="str">
        <f>"JORNADA AMPLIADA"</f>
        <v>JORNADA AMPLIADA</v>
      </c>
      <c r="E726" s="26" t="str">
        <f>"HERMENEGILDO GALEANA S/N Y MICHOACAN                                            "</f>
        <v xml:space="preserve">HERMENEGILDO GALEANA S/N Y MICHOACAN                                            </v>
      </c>
      <c r="F726" s="26" t="str">
        <f>"GUADALUPE DEL MORAL                                                                                                                         "</f>
        <v xml:space="preserve">GUADALUPE DEL MORAL                                                                                                                         </v>
      </c>
      <c r="G726" s="26" t="str">
        <f t="shared" si="108"/>
        <v xml:space="preserve">IZTAPALAPA                                                                      </v>
      </c>
      <c r="H726" s="26" t="str">
        <f>"005"</f>
        <v>005</v>
      </c>
      <c r="I726" s="26" t="str">
        <f t="shared" si="101"/>
        <v>00</v>
      </c>
      <c r="J726" s="26" t="str">
        <f>"61 "</f>
        <v xml:space="preserve">61 </v>
      </c>
      <c r="K726" s="26" t="str">
        <f t="shared" si="109"/>
        <v>IZ</v>
      </c>
      <c r="L726" s="26" t="str">
        <f t="shared" si="110"/>
        <v>DGSEI</v>
      </c>
      <c r="M726" s="26" t="str">
        <f t="shared" si="102"/>
        <v>FEDERAL</v>
      </c>
      <c r="N726" s="26">
        <v>116</v>
      </c>
      <c r="O726" s="26">
        <v>66</v>
      </c>
      <c r="P726" s="26">
        <v>50</v>
      </c>
      <c r="Q726" s="26">
        <v>4</v>
      </c>
      <c r="R726" s="26">
        <v>1</v>
      </c>
      <c r="S726" s="26">
        <v>4</v>
      </c>
      <c r="T726" s="26">
        <v>6</v>
      </c>
      <c r="U726" s="26">
        <v>11</v>
      </c>
      <c r="V726" s="26">
        <v>1</v>
      </c>
      <c r="W726" s="26" t="s">
        <v>2076</v>
      </c>
    </row>
    <row r="727" spans="1:23" x14ac:dyDescent="0.25">
      <c r="A727" s="26" t="str">
        <f t="shared" si="100"/>
        <v>PREESCOLAR</v>
      </c>
      <c r="B727" s="26" t="str">
        <f>"09DJN0939A"</f>
        <v>09DJN0939A</v>
      </c>
      <c r="C727" s="26" t="str">
        <f>"MARIA DEL CARMEN MENDOZA ARZATE                                                                     "</f>
        <v xml:space="preserve">MARIA DEL CARMEN MENDOZA ARZATE                                                                     </v>
      </c>
      <c r="D727" s="26" t="str">
        <f>"VESPERTINO"</f>
        <v>VESPERTINO</v>
      </c>
      <c r="E727" s="26" t="str">
        <f>"AV. HIDALGO NO. 8                                                               "</f>
        <v xml:space="preserve">AV. HIDALGO NO. 8                                                               </v>
      </c>
      <c r="F727" s="26" t="str">
        <f>"PURISIMA ATLAZOLPA                                                                                                                          "</f>
        <v xml:space="preserve">PURISIMA ATLAZOLPA                                                                                                                          </v>
      </c>
      <c r="G727" s="26" t="str">
        <f t="shared" si="108"/>
        <v xml:space="preserve">IZTAPALAPA                                                                      </v>
      </c>
      <c r="H727" s="26" t="str">
        <f>"019"</f>
        <v>019</v>
      </c>
      <c r="I727" s="26" t="str">
        <f t="shared" si="101"/>
        <v>00</v>
      </c>
      <c r="J727" s="26" t="str">
        <f>"62 "</f>
        <v xml:space="preserve">62 </v>
      </c>
      <c r="K727" s="26" t="str">
        <f t="shared" si="109"/>
        <v>IZ</v>
      </c>
      <c r="L727" s="26" t="str">
        <f t="shared" si="110"/>
        <v>DGSEI</v>
      </c>
      <c r="M727" s="26" t="str">
        <f t="shared" si="102"/>
        <v>FEDERAL</v>
      </c>
      <c r="N727" s="26">
        <v>115</v>
      </c>
      <c r="O727" s="26">
        <v>55</v>
      </c>
      <c r="P727" s="26">
        <v>60</v>
      </c>
      <c r="Q727" s="26">
        <v>4</v>
      </c>
      <c r="R727" s="26">
        <v>1</v>
      </c>
      <c r="S727" s="26">
        <v>4</v>
      </c>
      <c r="T727" s="26">
        <v>3</v>
      </c>
      <c r="U727" s="26">
        <v>8</v>
      </c>
      <c r="V727" s="26">
        <v>1</v>
      </c>
      <c r="W727" s="26"/>
    </row>
    <row r="728" spans="1:23" x14ac:dyDescent="0.25">
      <c r="A728" s="26" t="str">
        <f t="shared" si="100"/>
        <v>PREESCOLAR</v>
      </c>
      <c r="B728" s="26" t="str">
        <f>"09DJN0942O"</f>
        <v>09DJN0942O</v>
      </c>
      <c r="C728" s="26" t="str">
        <f>"OTZINCO                                                                                             "</f>
        <v xml:space="preserve">OTZINCO                                                                                             </v>
      </c>
      <c r="D728" s="26" t="str">
        <f>"MATUTINO"</f>
        <v>MATUTINO</v>
      </c>
      <c r="E728" s="26" t="str">
        <f>"EMILIANO ZAPATA NO. 1770                                                        "</f>
        <v xml:space="preserve">EMILIANO ZAPATA NO. 1770                                                        </v>
      </c>
      <c r="F728" s="26" t="str">
        <f>"SAN LORENZO TEZONCO                                                                                                                         "</f>
        <v xml:space="preserve">SAN LORENZO TEZONCO                                                                                                                         </v>
      </c>
      <c r="G728" s="26" t="str">
        <f t="shared" si="108"/>
        <v xml:space="preserve">IZTAPALAPA                                                                      </v>
      </c>
      <c r="H728" s="26" t="str">
        <f>"027"</f>
        <v>027</v>
      </c>
      <c r="I728" s="26" t="str">
        <f t="shared" si="101"/>
        <v>00</v>
      </c>
      <c r="J728" s="26" t="str">
        <f>"63 "</f>
        <v xml:space="preserve">63 </v>
      </c>
      <c r="K728" s="26" t="str">
        <f t="shared" si="109"/>
        <v>IZ</v>
      </c>
      <c r="L728" s="26" t="str">
        <f t="shared" si="110"/>
        <v>DGSEI</v>
      </c>
      <c r="M728" s="26" t="str">
        <f t="shared" si="102"/>
        <v>FEDERAL</v>
      </c>
      <c r="N728" s="26">
        <v>248</v>
      </c>
      <c r="O728" s="26">
        <v>121</v>
      </c>
      <c r="P728" s="26">
        <v>127</v>
      </c>
      <c r="Q728" s="26">
        <v>7</v>
      </c>
      <c r="R728" s="26">
        <v>1</v>
      </c>
      <c r="S728" s="26">
        <v>7</v>
      </c>
      <c r="T728" s="26">
        <v>3</v>
      </c>
      <c r="U728" s="26">
        <v>11</v>
      </c>
      <c r="V728" s="26">
        <v>1</v>
      </c>
      <c r="W728" s="26"/>
    </row>
    <row r="729" spans="1:23" x14ac:dyDescent="0.25">
      <c r="A729" s="26" t="str">
        <f t="shared" si="100"/>
        <v>PREESCOLAR</v>
      </c>
      <c r="B729" s="26" t="str">
        <f>"09DJN0943N"</f>
        <v>09DJN0943N</v>
      </c>
      <c r="C729" s="26" t="str">
        <f>"CUITLATITLA                                                                                         "</f>
        <v xml:space="preserve">CUITLATITLA                                                                                         </v>
      </c>
      <c r="D729" s="26" t="str">
        <f>"JORNADA AMPLIADA"</f>
        <v>JORNADA AMPLIADA</v>
      </c>
      <c r="E729" s="26" t="str">
        <f>"EMILIANO ZAPATA S/N                                                             "</f>
        <v xml:space="preserve">EMILIANO ZAPATA S/N                                                             </v>
      </c>
      <c r="F729" s="26" t="str">
        <f>"SANTA MARIA TOMATLAN                                                                                                                        "</f>
        <v xml:space="preserve">SANTA MARIA TOMATLAN                                                                                                                        </v>
      </c>
      <c r="G729" s="26" t="str">
        <f t="shared" si="108"/>
        <v xml:space="preserve">IZTAPALAPA                                                                      </v>
      </c>
      <c r="H729" s="26" t="str">
        <f>"010"</f>
        <v>010</v>
      </c>
      <c r="I729" s="26" t="str">
        <f t="shared" si="101"/>
        <v>00</v>
      </c>
      <c r="J729" s="26" t="str">
        <f>"61 "</f>
        <v xml:space="preserve">61 </v>
      </c>
      <c r="K729" s="26" t="str">
        <f t="shared" si="109"/>
        <v>IZ</v>
      </c>
      <c r="L729" s="26" t="str">
        <f t="shared" si="110"/>
        <v>DGSEI</v>
      </c>
      <c r="M729" s="26" t="str">
        <f t="shared" si="102"/>
        <v>FEDERAL</v>
      </c>
      <c r="N729" s="26">
        <v>213</v>
      </c>
      <c r="O729" s="26">
        <v>113</v>
      </c>
      <c r="P729" s="26">
        <v>100</v>
      </c>
      <c r="Q729" s="26">
        <v>6</v>
      </c>
      <c r="R729" s="26">
        <v>1</v>
      </c>
      <c r="S729" s="26">
        <v>6</v>
      </c>
      <c r="T729" s="26">
        <v>5</v>
      </c>
      <c r="U729" s="26">
        <v>12</v>
      </c>
      <c r="V729" s="26">
        <v>1</v>
      </c>
      <c r="W729" s="26" t="s">
        <v>2076</v>
      </c>
    </row>
    <row r="730" spans="1:23" x14ac:dyDescent="0.25">
      <c r="A730" s="26" t="str">
        <f t="shared" si="100"/>
        <v>PREESCOLAR</v>
      </c>
      <c r="B730" s="26" t="str">
        <f>"09DJN0945L"</f>
        <v>09DJN0945L</v>
      </c>
      <c r="C730" s="26" t="str">
        <f>"PILLI                                                                                               "</f>
        <v xml:space="preserve">PILLI                                                                                               </v>
      </c>
      <c r="D730" s="26" t="str">
        <f>"MATUTINO"</f>
        <v>MATUTINO</v>
      </c>
      <c r="E730" s="26" t="str">
        <f>"JUAN MORENO Y JESUS GARIBAY S/N                                                 "</f>
        <v xml:space="preserve">JUAN MORENO Y JESUS GARIBAY S/N                                                 </v>
      </c>
      <c r="F730" s="26" t="str">
        <f>"CONSEJO AGRARISTA MEXICANO                                                                                                                  "</f>
        <v xml:space="preserve">CONSEJO AGRARISTA MEXICANO                                                                                                                  </v>
      </c>
      <c r="G730" s="26" t="str">
        <f t="shared" si="108"/>
        <v xml:space="preserve">IZTAPALAPA                                                                      </v>
      </c>
      <c r="H730" s="26" t="str">
        <f>"029"</f>
        <v>029</v>
      </c>
      <c r="I730" s="26" t="str">
        <f t="shared" si="101"/>
        <v>00</v>
      </c>
      <c r="J730" s="26" t="str">
        <f>"64 "</f>
        <v xml:space="preserve">64 </v>
      </c>
      <c r="K730" s="26" t="str">
        <f t="shared" si="109"/>
        <v>IZ</v>
      </c>
      <c r="L730" s="26" t="str">
        <f t="shared" si="110"/>
        <v>DGSEI</v>
      </c>
      <c r="M730" s="26" t="str">
        <f t="shared" si="102"/>
        <v>FEDERAL</v>
      </c>
      <c r="N730" s="26">
        <v>233</v>
      </c>
      <c r="O730" s="26">
        <v>125</v>
      </c>
      <c r="P730" s="26">
        <v>108</v>
      </c>
      <c r="Q730" s="26">
        <v>7</v>
      </c>
      <c r="R730" s="26">
        <v>1</v>
      </c>
      <c r="S730" s="26">
        <v>6</v>
      </c>
      <c r="T730" s="26">
        <v>2</v>
      </c>
      <c r="U730" s="26">
        <v>9</v>
      </c>
      <c r="V730" s="26">
        <v>1</v>
      </c>
      <c r="W730" s="26"/>
    </row>
    <row r="731" spans="1:23" x14ac:dyDescent="0.25">
      <c r="A731" s="26" t="str">
        <f t="shared" si="100"/>
        <v>PREESCOLAR</v>
      </c>
      <c r="B731" s="26" t="str">
        <f>"09DJN0946K"</f>
        <v>09DJN0946K</v>
      </c>
      <c r="C731" s="26" t="str">
        <f>"CITLALTEPETL                                                                                        "</f>
        <v xml:space="preserve">CITLALTEPETL                                                                                        </v>
      </c>
      <c r="D731" s="26" t="str">
        <f>"VESPERTINO"</f>
        <v>VESPERTINO</v>
      </c>
      <c r="E731" s="26" t="str">
        <f>"ISIDRO SERNA NO. 2 Y RAFAEL SIERRA                                              "</f>
        <v xml:space="preserve">ISIDRO SERNA NO. 2 Y RAFAEL SIERRA                                              </v>
      </c>
      <c r="F731" s="26" t="str">
        <f>"PARAJE SAN JUAN                                                                                                                             "</f>
        <v xml:space="preserve">PARAJE SAN JUAN                                                                                                                             </v>
      </c>
      <c r="G731" s="26" t="str">
        <f t="shared" si="108"/>
        <v xml:space="preserve">IZTAPALAPA                                                                      </v>
      </c>
      <c r="H731" s="26" t="str">
        <f>"028"</f>
        <v>028</v>
      </c>
      <c r="I731" s="26" t="str">
        <f t="shared" si="101"/>
        <v>00</v>
      </c>
      <c r="J731" s="26" t="str">
        <f>"63 "</f>
        <v xml:space="preserve">63 </v>
      </c>
      <c r="K731" s="26" t="str">
        <f t="shared" si="109"/>
        <v>IZ</v>
      </c>
      <c r="L731" s="26" t="str">
        <f t="shared" si="110"/>
        <v>DGSEI</v>
      </c>
      <c r="M731" s="26" t="str">
        <f t="shared" si="102"/>
        <v>FEDERAL</v>
      </c>
      <c r="N731" s="26">
        <v>122</v>
      </c>
      <c r="O731" s="26">
        <v>55</v>
      </c>
      <c r="P731" s="26">
        <v>67</v>
      </c>
      <c r="Q731" s="26">
        <v>4</v>
      </c>
      <c r="R731" s="26">
        <v>1</v>
      </c>
      <c r="S731" s="26">
        <v>4</v>
      </c>
      <c r="T731" s="26">
        <v>2</v>
      </c>
      <c r="U731" s="26">
        <v>7</v>
      </c>
      <c r="V731" s="26">
        <v>1</v>
      </c>
      <c r="W731" s="26"/>
    </row>
    <row r="732" spans="1:23" x14ac:dyDescent="0.25">
      <c r="A732" s="26" t="str">
        <f t="shared" si="100"/>
        <v>PREESCOLAR</v>
      </c>
      <c r="B732" s="26" t="str">
        <f>"09DJN0947J"</f>
        <v>09DJN0947J</v>
      </c>
      <c r="C732" s="26" t="str">
        <f>"LAZARO CARDENAS                                                                                     "</f>
        <v xml:space="preserve">LAZARO CARDENAS                                                                                     </v>
      </c>
      <c r="D732" s="26" t="str">
        <f>"VESPERTINO"</f>
        <v>VESPERTINO</v>
      </c>
      <c r="E732" s="26" t="str">
        <f>"CARDIOLOGOS Y PENALISTAS                                                        "</f>
        <v xml:space="preserve">CARDIOLOGOS Y PENALISTAS                                                        </v>
      </c>
      <c r="F732" s="26" t="str">
        <f>"SAN JUANICO MEXTIPAC                                                                                                                        "</f>
        <v xml:space="preserve">SAN JUANICO MEXTIPAC                                                                                                                        </v>
      </c>
      <c r="G732" s="26" t="str">
        <f t="shared" si="108"/>
        <v xml:space="preserve">IZTAPALAPA                                                                      </v>
      </c>
      <c r="H732" s="26" t="str">
        <f>"021"</f>
        <v>021</v>
      </c>
      <c r="I732" s="26" t="str">
        <f t="shared" si="101"/>
        <v>00</v>
      </c>
      <c r="J732" s="26" t="str">
        <f>"63 "</f>
        <v xml:space="preserve">63 </v>
      </c>
      <c r="K732" s="26" t="str">
        <f t="shared" si="109"/>
        <v>IZ</v>
      </c>
      <c r="L732" s="26" t="str">
        <f t="shared" si="110"/>
        <v>DGSEI</v>
      </c>
      <c r="M732" s="26" t="str">
        <f t="shared" si="102"/>
        <v>FEDERAL</v>
      </c>
      <c r="N732" s="26">
        <v>116</v>
      </c>
      <c r="O732" s="26">
        <v>54</v>
      </c>
      <c r="P732" s="26">
        <v>62</v>
      </c>
      <c r="Q732" s="26">
        <v>4</v>
      </c>
      <c r="R732" s="26">
        <v>1</v>
      </c>
      <c r="S732" s="26">
        <v>4</v>
      </c>
      <c r="T732" s="26">
        <v>3</v>
      </c>
      <c r="U732" s="26">
        <v>8</v>
      </c>
      <c r="V732" s="26">
        <v>1</v>
      </c>
      <c r="W732" s="26"/>
    </row>
    <row r="733" spans="1:23" x14ac:dyDescent="0.25">
      <c r="A733" s="26" t="str">
        <f t="shared" si="100"/>
        <v>PREESCOLAR</v>
      </c>
      <c r="B733" s="26" t="str">
        <f>"09DJN0948I"</f>
        <v>09DJN0948I</v>
      </c>
      <c r="C733" s="26" t="str">
        <f>"CELESTIN FREINET                                                                                    "</f>
        <v xml:space="preserve">CELESTIN FREINET                                                                                    </v>
      </c>
      <c r="D733" s="26" t="str">
        <f>"VESPERTINO"</f>
        <v>VESPERTINO</v>
      </c>
      <c r="E733" s="26" t="str">
        <f>"BATALLA DE CALVILLO S/N                                                         "</f>
        <v xml:space="preserve">BATALLA DE CALVILLO S/N                                                         </v>
      </c>
      <c r="F733" s="26" t="str">
        <f>"ALVARO OBREGON FRACCIONAMIENTO                                                                                                              "</f>
        <v xml:space="preserve">ALVARO OBREGON FRACCIONAMIENTO                                                                                                              </v>
      </c>
      <c r="G733" s="26" t="str">
        <f t="shared" si="108"/>
        <v xml:space="preserve">IZTAPALAPA                                                                      </v>
      </c>
      <c r="H733" s="26" t="str">
        <f>"018"</f>
        <v>018</v>
      </c>
      <c r="I733" s="26" t="str">
        <f t="shared" si="101"/>
        <v>00</v>
      </c>
      <c r="J733" s="26" t="str">
        <f>"62 "</f>
        <v xml:space="preserve">62 </v>
      </c>
      <c r="K733" s="26" t="str">
        <f t="shared" si="109"/>
        <v>IZ</v>
      </c>
      <c r="L733" s="26" t="str">
        <f t="shared" si="110"/>
        <v>DGSEI</v>
      </c>
      <c r="M733" s="26" t="str">
        <f t="shared" si="102"/>
        <v>FEDERAL</v>
      </c>
      <c r="N733" s="26">
        <v>111</v>
      </c>
      <c r="O733" s="26">
        <v>62</v>
      </c>
      <c r="P733" s="26">
        <v>49</v>
      </c>
      <c r="Q733" s="26">
        <v>5</v>
      </c>
      <c r="R733" s="26">
        <v>1</v>
      </c>
      <c r="S733" s="26">
        <v>5</v>
      </c>
      <c r="T733" s="26">
        <v>3</v>
      </c>
      <c r="U733" s="26">
        <v>9</v>
      </c>
      <c r="V733" s="26">
        <v>1</v>
      </c>
      <c r="W733" s="26"/>
    </row>
    <row r="734" spans="1:23" x14ac:dyDescent="0.25">
      <c r="A734" s="26" t="str">
        <f t="shared" si="100"/>
        <v>PREESCOLAR</v>
      </c>
      <c r="B734" s="26" t="str">
        <f>"09DJN0949H"</f>
        <v>09DJN0949H</v>
      </c>
      <c r="C734" s="26" t="str">
        <f>"CHIPILINGO                                                                                          "</f>
        <v xml:space="preserve">CHIPILINGO                                                                                          </v>
      </c>
      <c r="D734" s="26" t="str">
        <f>"MATUTINO"</f>
        <v>MATUTINO</v>
      </c>
      <c r="E734" s="26" t="str">
        <f>"CALLE 18 NO. 99                                                                 "</f>
        <v xml:space="preserve">CALLE 18 NO. 99                                                                 </v>
      </c>
      <c r="F734" s="26" t="str">
        <f>"JOSE LOPEZ PORTILLO                                                                                                                         "</f>
        <v xml:space="preserve">JOSE LOPEZ PORTILLO                                                                                                                         </v>
      </c>
      <c r="G734" s="26" t="str">
        <f t="shared" si="108"/>
        <v xml:space="preserve">IZTAPALAPA                                                                      </v>
      </c>
      <c r="H734" s="26" t="str">
        <f>"026"</f>
        <v>026</v>
      </c>
      <c r="I734" s="26" t="str">
        <f t="shared" si="101"/>
        <v>00</v>
      </c>
      <c r="J734" s="26" t="str">
        <f>"63 "</f>
        <v xml:space="preserve">63 </v>
      </c>
      <c r="K734" s="26" t="str">
        <f t="shared" si="109"/>
        <v>IZ</v>
      </c>
      <c r="L734" s="26" t="str">
        <f t="shared" si="110"/>
        <v>DGSEI</v>
      </c>
      <c r="M734" s="26" t="str">
        <f t="shared" si="102"/>
        <v>FEDERAL</v>
      </c>
      <c r="N734" s="26">
        <v>241</v>
      </c>
      <c r="O734" s="26">
        <v>135</v>
      </c>
      <c r="P734" s="26">
        <v>106</v>
      </c>
      <c r="Q734" s="26">
        <v>7</v>
      </c>
      <c r="R734" s="26">
        <v>1</v>
      </c>
      <c r="S734" s="26">
        <v>7</v>
      </c>
      <c r="T734" s="26">
        <v>3</v>
      </c>
      <c r="U734" s="26">
        <v>11</v>
      </c>
      <c r="V734" s="26">
        <v>1</v>
      </c>
      <c r="W734" s="26"/>
    </row>
    <row r="735" spans="1:23" x14ac:dyDescent="0.25">
      <c r="A735" s="26" t="str">
        <f t="shared" si="100"/>
        <v>PREESCOLAR</v>
      </c>
      <c r="B735" s="26" t="str">
        <f>"09DJN0950X"</f>
        <v>09DJN0950X</v>
      </c>
      <c r="C735" s="26" t="str">
        <f>"ITZAMARAII                                                                                          "</f>
        <v xml:space="preserve">ITZAMARAII                                                                                          </v>
      </c>
      <c r="D735" s="26" t="str">
        <f>"JORNADA AMPLIADA"</f>
        <v>JORNADA AMPLIADA</v>
      </c>
      <c r="E735" s="26" t="str">
        <f>"GASTON SANTOS S/N                                                               "</f>
        <v xml:space="preserve">GASTON SANTOS S/N                                                               </v>
      </c>
      <c r="F735" s="26" t="str">
        <f>"SAN MIGUEL TEOTONGO                                                                                                                         "</f>
        <v xml:space="preserve">SAN MIGUEL TEOTONGO                                                                                                                         </v>
      </c>
      <c r="G735" s="26" t="str">
        <f t="shared" si="108"/>
        <v xml:space="preserve">IZTAPALAPA                                                                      </v>
      </c>
      <c r="H735" s="26" t="str">
        <f>"013"</f>
        <v>013</v>
      </c>
      <c r="I735" s="26" t="str">
        <f t="shared" si="101"/>
        <v>00</v>
      </c>
      <c r="J735" s="26" t="str">
        <f>"61 "</f>
        <v xml:space="preserve">61 </v>
      </c>
      <c r="K735" s="26" t="str">
        <f t="shared" si="109"/>
        <v>IZ</v>
      </c>
      <c r="L735" s="26" t="str">
        <f t="shared" si="110"/>
        <v>DGSEI</v>
      </c>
      <c r="M735" s="26" t="str">
        <f t="shared" si="102"/>
        <v>FEDERAL</v>
      </c>
      <c r="N735" s="26">
        <v>209</v>
      </c>
      <c r="O735" s="26">
        <v>94</v>
      </c>
      <c r="P735" s="26">
        <v>115</v>
      </c>
      <c r="Q735" s="26">
        <v>6</v>
      </c>
      <c r="R735" s="26">
        <v>1</v>
      </c>
      <c r="S735" s="26">
        <v>6</v>
      </c>
      <c r="T735" s="26">
        <v>5</v>
      </c>
      <c r="U735" s="26">
        <v>12</v>
      </c>
      <c r="V735" s="26">
        <v>1</v>
      </c>
      <c r="W735" s="26" t="s">
        <v>2076</v>
      </c>
    </row>
    <row r="736" spans="1:23" x14ac:dyDescent="0.25">
      <c r="A736" s="26" t="str">
        <f t="shared" si="100"/>
        <v>PREESCOLAR</v>
      </c>
      <c r="B736" s="26" t="str">
        <f>"09DJN0951W"</f>
        <v>09DJN0951W</v>
      </c>
      <c r="C736" s="26" t="str">
        <f>"OTZINCO                                                                                             "</f>
        <v xml:space="preserve">OTZINCO                                                                                             </v>
      </c>
      <c r="D736" s="26" t="str">
        <f>"VESPERTINO"</f>
        <v>VESPERTINO</v>
      </c>
      <c r="E736" s="26" t="str">
        <f>"EMILIANO ZAPATA NO. 1770                                                        "</f>
        <v xml:space="preserve">EMILIANO ZAPATA NO. 1770                                                        </v>
      </c>
      <c r="F736" s="26" t="str">
        <f>"SAN LORENZO TEZONCO                                                                                                                         "</f>
        <v xml:space="preserve">SAN LORENZO TEZONCO                                                                                                                         </v>
      </c>
      <c r="G736" s="26" t="str">
        <f t="shared" si="108"/>
        <v xml:space="preserve">IZTAPALAPA                                                                      </v>
      </c>
      <c r="H736" s="26" t="str">
        <f>"027"</f>
        <v>027</v>
      </c>
      <c r="I736" s="26" t="str">
        <f t="shared" si="101"/>
        <v>00</v>
      </c>
      <c r="J736" s="26" t="str">
        <f>"63 "</f>
        <v xml:space="preserve">63 </v>
      </c>
      <c r="K736" s="26" t="str">
        <f t="shared" si="109"/>
        <v>IZ</v>
      </c>
      <c r="L736" s="26" t="str">
        <f t="shared" si="110"/>
        <v>DGSEI</v>
      </c>
      <c r="M736" s="26" t="str">
        <f t="shared" si="102"/>
        <v>FEDERAL</v>
      </c>
      <c r="N736" s="26">
        <v>165</v>
      </c>
      <c r="O736" s="26">
        <v>89</v>
      </c>
      <c r="P736" s="26">
        <v>76</v>
      </c>
      <c r="Q736" s="26">
        <v>5</v>
      </c>
      <c r="R736" s="26">
        <v>1</v>
      </c>
      <c r="S736" s="26">
        <v>5</v>
      </c>
      <c r="T736" s="26">
        <v>2</v>
      </c>
      <c r="U736" s="26">
        <v>8</v>
      </c>
      <c r="V736" s="26">
        <v>1</v>
      </c>
      <c r="W736" s="26"/>
    </row>
    <row r="737" spans="1:23" x14ac:dyDescent="0.25">
      <c r="A737" s="26" t="str">
        <f t="shared" si="100"/>
        <v>PREESCOLAR</v>
      </c>
      <c r="B737" s="26" t="str">
        <f>"09DJN0952V"</f>
        <v>09DJN0952V</v>
      </c>
      <c r="C737" s="26" t="str">
        <f>"TLAYOLLI                                                                                            "</f>
        <v xml:space="preserve">TLAYOLLI                                                                                            </v>
      </c>
      <c r="D737" s="26" t="str">
        <f>"TIEMPO COMPLETO"</f>
        <v>TIEMPO COMPLETO</v>
      </c>
      <c r="E737" s="26" t="str">
        <f>"VERACRUZ S/N                                                                    "</f>
        <v xml:space="preserve">VERACRUZ S/N                                                                    </v>
      </c>
      <c r="F737" s="26" t="str">
        <f>"SAN MIGUEL TEOTONGO                                                                                                                         "</f>
        <v xml:space="preserve">SAN MIGUEL TEOTONGO                                                                                                                         </v>
      </c>
      <c r="G737" s="26" t="str">
        <f t="shared" si="108"/>
        <v xml:space="preserve">IZTAPALAPA                                                                      </v>
      </c>
      <c r="H737" s="26" t="str">
        <f>"039"</f>
        <v>039</v>
      </c>
      <c r="I737" s="26" t="str">
        <f t="shared" si="101"/>
        <v>00</v>
      </c>
      <c r="J737" s="26" t="str">
        <f>"61 "</f>
        <v xml:space="preserve">61 </v>
      </c>
      <c r="K737" s="26" t="str">
        <f t="shared" si="109"/>
        <v>IZ</v>
      </c>
      <c r="L737" s="26" t="str">
        <f t="shared" si="110"/>
        <v>DGSEI</v>
      </c>
      <c r="M737" s="26" t="str">
        <f t="shared" si="102"/>
        <v>FEDERAL</v>
      </c>
      <c r="N737" s="26">
        <v>235</v>
      </c>
      <c r="O737" s="26">
        <v>112</v>
      </c>
      <c r="P737" s="26">
        <v>123</v>
      </c>
      <c r="Q737" s="26">
        <v>6</v>
      </c>
      <c r="R737" s="26">
        <v>1</v>
      </c>
      <c r="S737" s="26">
        <v>6</v>
      </c>
      <c r="T737" s="26">
        <v>8</v>
      </c>
      <c r="U737" s="26">
        <v>15</v>
      </c>
      <c r="V737" s="26">
        <v>1</v>
      </c>
      <c r="W737" s="26" t="s">
        <v>218</v>
      </c>
    </row>
    <row r="738" spans="1:23" x14ac:dyDescent="0.25">
      <c r="A738" s="26" t="str">
        <f t="shared" si="100"/>
        <v>PREESCOLAR</v>
      </c>
      <c r="B738" s="26" t="str">
        <f>"09DJN0953U"</f>
        <v>09DJN0953U</v>
      </c>
      <c r="C738" s="26" t="str">
        <f>"VEKANI                                                                                              "</f>
        <v xml:space="preserve">VEKANI                                                                                              </v>
      </c>
      <c r="D738" s="26" t="str">
        <f>"VESPERTINO"</f>
        <v>VESPERTINO</v>
      </c>
      <c r="E738" s="26" t="str">
        <f>"AGUSTIN MELGAR Y HONORATO LEAL S/N                                              "</f>
        <v xml:space="preserve">AGUSTIN MELGAR Y HONORATO LEAL S/N                                              </v>
      </c>
      <c r="F738" s="26" t="str">
        <f>"LAS PEÑAS                                                                                                                                   "</f>
        <v xml:space="preserve">LAS PEÑAS                                                                                                                                   </v>
      </c>
      <c r="G738" s="26" t="str">
        <f t="shared" si="108"/>
        <v xml:space="preserve">IZTAPALAPA                                                                      </v>
      </c>
      <c r="H738" s="26" t="str">
        <f>"031"</f>
        <v>031</v>
      </c>
      <c r="I738" s="26" t="str">
        <f t="shared" si="101"/>
        <v>00</v>
      </c>
      <c r="J738" s="26" t="str">
        <f>"64 "</f>
        <v xml:space="preserve">64 </v>
      </c>
      <c r="K738" s="26" t="str">
        <f t="shared" si="109"/>
        <v>IZ</v>
      </c>
      <c r="L738" s="26" t="str">
        <f t="shared" si="110"/>
        <v>DGSEI</v>
      </c>
      <c r="M738" s="26" t="str">
        <f t="shared" si="102"/>
        <v>FEDERAL</v>
      </c>
      <c r="N738" s="26">
        <v>190</v>
      </c>
      <c r="O738" s="26">
        <v>97</v>
      </c>
      <c r="P738" s="26">
        <v>93</v>
      </c>
      <c r="Q738" s="26">
        <v>6</v>
      </c>
      <c r="R738" s="26">
        <v>1</v>
      </c>
      <c r="S738" s="26">
        <v>6</v>
      </c>
      <c r="T738" s="26">
        <v>3</v>
      </c>
      <c r="U738" s="26">
        <v>10</v>
      </c>
      <c r="V738" s="26">
        <v>1</v>
      </c>
      <c r="W738" s="26"/>
    </row>
    <row r="739" spans="1:23" x14ac:dyDescent="0.25">
      <c r="A739" s="26" t="str">
        <f t="shared" si="100"/>
        <v>PREESCOLAR</v>
      </c>
      <c r="B739" s="26" t="str">
        <f>"09DJN0954T"</f>
        <v>09DJN0954T</v>
      </c>
      <c r="C739" s="26" t="str">
        <f>"MARIA CRUZ MANJARREZ                                                                                "</f>
        <v xml:space="preserve">MARIA CRUZ MANJARREZ                                                                                </v>
      </c>
      <c r="D739" s="26" t="str">
        <f>"TIEMPO COMPLETO"</f>
        <v>TIEMPO COMPLETO</v>
      </c>
      <c r="E739" s="26" t="str">
        <f>"ANTONIO HGO. Y CANDIDO AGUILAR                                                  "</f>
        <v xml:space="preserve">ANTONIO HGO. Y CANDIDO AGUILAR                                                  </v>
      </c>
      <c r="F739" s="26" t="str">
        <f>"CONSTITUCION 1917                                                                                                                           "</f>
        <v xml:space="preserve">CONSTITUCION 1917                                                                                                                           </v>
      </c>
      <c r="G739" s="26" t="str">
        <f t="shared" si="108"/>
        <v xml:space="preserve">IZTAPALAPA                                                                      </v>
      </c>
      <c r="H739" s="26" t="str">
        <f>"011"</f>
        <v>011</v>
      </c>
      <c r="I739" s="26" t="str">
        <f t="shared" si="101"/>
        <v>00</v>
      </c>
      <c r="J739" s="26" t="str">
        <f>"61 "</f>
        <v xml:space="preserve">61 </v>
      </c>
      <c r="K739" s="26" t="str">
        <f t="shared" si="109"/>
        <v>IZ</v>
      </c>
      <c r="L739" s="26" t="str">
        <f t="shared" si="110"/>
        <v>DGSEI</v>
      </c>
      <c r="M739" s="26" t="str">
        <f t="shared" si="102"/>
        <v>FEDERAL</v>
      </c>
      <c r="N739" s="26">
        <v>202</v>
      </c>
      <c r="O739" s="26">
        <v>97</v>
      </c>
      <c r="P739" s="26">
        <v>105</v>
      </c>
      <c r="Q739" s="26">
        <v>7</v>
      </c>
      <c r="R739" s="26">
        <v>1</v>
      </c>
      <c r="S739" s="26">
        <v>7</v>
      </c>
      <c r="T739" s="26">
        <v>10</v>
      </c>
      <c r="U739" s="26">
        <v>18</v>
      </c>
      <c r="V739" s="26">
        <v>1</v>
      </c>
      <c r="W739" s="26" t="s">
        <v>218</v>
      </c>
    </row>
    <row r="740" spans="1:23" x14ac:dyDescent="0.25">
      <c r="A740" s="26" t="str">
        <f t="shared" si="100"/>
        <v>PREESCOLAR</v>
      </c>
      <c r="B740" s="26" t="str">
        <f>"09DJN0955S"</f>
        <v>09DJN0955S</v>
      </c>
      <c r="C740" s="26" t="str">
        <f>"IXTAYOPAN                                                                                           "</f>
        <v xml:space="preserve">IXTAYOPAN                                                                                           </v>
      </c>
      <c r="D740" s="26" t="str">
        <f>"JORNADA AMPLIADA"</f>
        <v>JORNADA AMPLIADA</v>
      </c>
      <c r="E740" s="26" t="str">
        <f>"CUAUHTEMOC S/N                                                                  "</f>
        <v xml:space="preserve">CUAUHTEMOC S/N                                                                  </v>
      </c>
      <c r="F740" s="26" t="str">
        <f>"LA SOLEDAD IXTAYOPAN                                                                                                                        "</f>
        <v xml:space="preserve">LA SOLEDAD IXTAYOPAN                                                                                                                        </v>
      </c>
      <c r="G740" s="26" t="str">
        <f>"TLAHUAC                                                                         "</f>
        <v xml:space="preserve">TLAHUAC                                                                         </v>
      </c>
      <c r="H740" s="26" t="str">
        <f>"173"</f>
        <v>173</v>
      </c>
      <c r="I740" s="26" t="str">
        <f t="shared" si="101"/>
        <v>00</v>
      </c>
      <c r="J740" s="26" t="str">
        <f>"34 "</f>
        <v xml:space="preserve">34 </v>
      </c>
      <c r="K740" s="26" t="str">
        <f>"EP"</f>
        <v>EP</v>
      </c>
      <c r="L740" s="26" t="str">
        <f>"DGOSE"</f>
        <v>DGOSE</v>
      </c>
      <c r="M740" s="26" t="str">
        <f t="shared" si="102"/>
        <v>FEDERAL</v>
      </c>
      <c r="N740" s="26">
        <v>240</v>
      </c>
      <c r="O740" s="26">
        <v>125</v>
      </c>
      <c r="P740" s="26">
        <v>115</v>
      </c>
      <c r="Q740" s="26">
        <v>7</v>
      </c>
      <c r="R740" s="26">
        <v>1</v>
      </c>
      <c r="S740" s="26">
        <v>7</v>
      </c>
      <c r="T740" s="26">
        <v>5</v>
      </c>
      <c r="U740" s="26">
        <v>13</v>
      </c>
      <c r="V740" s="26">
        <v>1</v>
      </c>
      <c r="W740" s="26" t="s">
        <v>2076</v>
      </c>
    </row>
    <row r="741" spans="1:23" x14ac:dyDescent="0.25">
      <c r="A741" s="26" t="str">
        <f t="shared" si="100"/>
        <v>PREESCOLAR</v>
      </c>
      <c r="B741" s="26" t="str">
        <f>"09DJN0956R"</f>
        <v>09DJN0956R</v>
      </c>
      <c r="C741" s="26" t="str">
        <f>"MIXQUIC                                                                                             "</f>
        <v xml:space="preserve">MIXQUIC                                                                                             </v>
      </c>
      <c r="D741" s="26" t="str">
        <f>"VESPERTINO"</f>
        <v>VESPERTINO</v>
      </c>
      <c r="E741" s="26" t="str">
        <f>"JOSEFA ORTIZ DE DOMINGUEZ NO. 15                                                "</f>
        <v xml:space="preserve">JOSEFA ORTIZ DE DOMINGUEZ NO. 15                                                </v>
      </c>
      <c r="F741" s="26" t="str">
        <f>"SAN ANDRES MIXQUIC                                                                                                                          "</f>
        <v xml:space="preserve">SAN ANDRES MIXQUIC                                                                                                                          </v>
      </c>
      <c r="G741" s="26" t="str">
        <f>"TLAHUAC                                                                         "</f>
        <v xml:space="preserve">TLAHUAC                                                                         </v>
      </c>
      <c r="H741" s="26" t="str">
        <f>"083"</f>
        <v>083</v>
      </c>
      <c r="I741" s="26" t="str">
        <f t="shared" si="101"/>
        <v>00</v>
      </c>
      <c r="J741" s="26" t="str">
        <f>"35 "</f>
        <v xml:space="preserve">35 </v>
      </c>
      <c r="K741" s="26" t="str">
        <f>"EP"</f>
        <v>EP</v>
      </c>
      <c r="L741" s="26" t="str">
        <f>"DGOSE"</f>
        <v>DGOSE</v>
      </c>
      <c r="M741" s="26" t="str">
        <f t="shared" si="102"/>
        <v>FEDERAL</v>
      </c>
      <c r="N741" s="26">
        <v>165</v>
      </c>
      <c r="O741" s="26">
        <v>80</v>
      </c>
      <c r="P741" s="26">
        <v>85</v>
      </c>
      <c r="Q741" s="26">
        <v>6</v>
      </c>
      <c r="R741" s="26">
        <v>1</v>
      </c>
      <c r="S741" s="26">
        <v>6</v>
      </c>
      <c r="T741" s="26">
        <v>7</v>
      </c>
      <c r="U741" s="26">
        <v>14</v>
      </c>
      <c r="V741" s="26">
        <v>1</v>
      </c>
      <c r="W741" s="26"/>
    </row>
    <row r="742" spans="1:23" x14ac:dyDescent="0.25">
      <c r="A742" s="26" t="str">
        <f t="shared" si="100"/>
        <v>PREESCOLAR</v>
      </c>
      <c r="B742" s="26" t="str">
        <f>"09DJN0958P"</f>
        <v>09DJN0958P</v>
      </c>
      <c r="C742" s="26" t="str">
        <f>"RICARDO ZAMORA BUITRON                                                                              "</f>
        <v xml:space="preserve">RICARDO ZAMORA BUITRON                                                                              </v>
      </c>
      <c r="D742" s="26" t="str">
        <f>"VESPERTINO"</f>
        <v>VESPERTINO</v>
      </c>
      <c r="E742" s="26" t="str">
        <f>"ADOLFO RUIZ CORTINEZ NO. 26                                                     "</f>
        <v xml:space="preserve">ADOLFO RUIZ CORTINEZ NO. 26                                                     </v>
      </c>
      <c r="F742" s="26" t="str">
        <f>"PRESIDENTES                                                                                                                                 "</f>
        <v xml:space="preserve">PRESIDENTES                                                                                                                                 </v>
      </c>
      <c r="G742" s="26" t="str">
        <f>"ALVARO OBREGON                                                                  "</f>
        <v xml:space="preserve">ALVARO OBREGON                                                                  </v>
      </c>
      <c r="H742" s="26" t="str">
        <f>"217"</f>
        <v>217</v>
      </c>
      <c r="I742" s="26" t="str">
        <f t="shared" si="101"/>
        <v>00</v>
      </c>
      <c r="J742" s="26" t="str">
        <f>"33 "</f>
        <v xml:space="preserve">33 </v>
      </c>
      <c r="K742" s="26" t="str">
        <f>"EP"</f>
        <v>EP</v>
      </c>
      <c r="L742" s="26" t="str">
        <f>"DGOSE"</f>
        <v>DGOSE</v>
      </c>
      <c r="M742" s="26" t="str">
        <f t="shared" si="102"/>
        <v>FEDERAL</v>
      </c>
      <c r="N742" s="26">
        <v>139</v>
      </c>
      <c r="O742" s="26">
        <v>61</v>
      </c>
      <c r="P742" s="26">
        <v>78</v>
      </c>
      <c r="Q742" s="26">
        <v>5</v>
      </c>
      <c r="R742" s="26">
        <v>1</v>
      </c>
      <c r="S742" s="26">
        <v>5</v>
      </c>
      <c r="T742" s="26">
        <v>4</v>
      </c>
      <c r="U742" s="26">
        <v>10</v>
      </c>
      <c r="V742" s="26">
        <v>1</v>
      </c>
      <c r="W742" s="26"/>
    </row>
    <row r="743" spans="1:23" x14ac:dyDescent="0.25">
      <c r="A743" s="26" t="str">
        <f t="shared" si="100"/>
        <v>PREESCOLAR</v>
      </c>
      <c r="B743" s="26" t="str">
        <f>"09DJN0960D"</f>
        <v>09DJN0960D</v>
      </c>
      <c r="C743" s="26" t="str">
        <f>"JUAN O'GORMAN                                                                                       "</f>
        <v xml:space="preserve">JUAN O'GORMAN                                                                                       </v>
      </c>
      <c r="D743" s="26" t="str">
        <f>"JORNADA AMPLIADA"</f>
        <v>JORNADA AMPLIADA</v>
      </c>
      <c r="E743" s="26" t="str">
        <f>"AV. TAMAULIPAS NO. 1300                                                         "</f>
        <v xml:space="preserve">AV. TAMAULIPAS NO. 1300                                                         </v>
      </c>
      <c r="F743" s="26" t="str">
        <f>"CORPUS CHRISTI                                                                                                                              "</f>
        <v xml:space="preserve">CORPUS CHRISTI                                                                                                                              </v>
      </c>
      <c r="G743" s="26" t="str">
        <f>"ALVARO OBREGON                                                                  "</f>
        <v xml:space="preserve">ALVARO OBREGON                                                                  </v>
      </c>
      <c r="H743" s="26" t="str">
        <f>"045"</f>
        <v>045</v>
      </c>
      <c r="I743" s="26" t="str">
        <f t="shared" si="101"/>
        <v>00</v>
      </c>
      <c r="J743" s="26" t="str">
        <f>"34 "</f>
        <v xml:space="preserve">34 </v>
      </c>
      <c r="K743" s="26" t="str">
        <f>"EP"</f>
        <v>EP</v>
      </c>
      <c r="L743" s="26" t="str">
        <f>"DGOSE"</f>
        <v>DGOSE</v>
      </c>
      <c r="M743" s="26" t="str">
        <f t="shared" si="102"/>
        <v>FEDERAL</v>
      </c>
      <c r="N743" s="26">
        <v>266</v>
      </c>
      <c r="O743" s="26">
        <v>132</v>
      </c>
      <c r="P743" s="26">
        <v>134</v>
      </c>
      <c r="Q743" s="26">
        <v>7</v>
      </c>
      <c r="R743" s="26">
        <v>1</v>
      </c>
      <c r="S743" s="26">
        <v>7</v>
      </c>
      <c r="T743" s="26">
        <v>7</v>
      </c>
      <c r="U743" s="26">
        <v>15</v>
      </c>
      <c r="V743" s="26">
        <v>1</v>
      </c>
      <c r="W743" s="26" t="s">
        <v>2076</v>
      </c>
    </row>
    <row r="744" spans="1:23" x14ac:dyDescent="0.25">
      <c r="A744" s="26" t="str">
        <f t="shared" si="100"/>
        <v>PREESCOLAR</v>
      </c>
      <c r="B744" s="26" t="str">
        <f>"09DJN0961C"</f>
        <v>09DJN0961C</v>
      </c>
      <c r="C744" s="26" t="str">
        <f>"CELIC                                                                                               "</f>
        <v xml:space="preserve">CELIC                                                                                               </v>
      </c>
      <c r="D744" s="26" t="str">
        <f>"TIEMPO COMPLETO"</f>
        <v>TIEMPO COMPLETO</v>
      </c>
      <c r="E744" s="26" t="str">
        <f>"AV. HIDALGO S/N                                                                 "</f>
        <v xml:space="preserve">AV. HIDALGO S/N                                                                 </v>
      </c>
      <c r="F744" s="26" t="str">
        <f>"SAN FRANCISCO TECOXPA                                                                                                                       "</f>
        <v xml:space="preserve">SAN FRANCISCO TECOXPA                                                                                                                       </v>
      </c>
      <c r="G744" s="26" t="str">
        <f>"MILPA ALTA                                                                      "</f>
        <v xml:space="preserve">MILPA ALTA                                                                      </v>
      </c>
      <c r="H744" s="26" t="str">
        <f>"055"</f>
        <v>055</v>
      </c>
      <c r="I744" s="26" t="str">
        <f t="shared" si="101"/>
        <v>00</v>
      </c>
      <c r="J744" s="26" t="str">
        <f>"34 "</f>
        <v xml:space="preserve">34 </v>
      </c>
      <c r="K744" s="26" t="str">
        <f>"EP"</f>
        <v>EP</v>
      </c>
      <c r="L744" s="26" t="str">
        <f>"DGOSE"</f>
        <v>DGOSE</v>
      </c>
      <c r="M744" s="26" t="str">
        <f t="shared" si="102"/>
        <v>FEDERAL</v>
      </c>
      <c r="N744" s="26">
        <v>170</v>
      </c>
      <c r="O744" s="26">
        <v>87</v>
      </c>
      <c r="P744" s="26">
        <v>83</v>
      </c>
      <c r="Q744" s="26">
        <v>6</v>
      </c>
      <c r="R744" s="26">
        <v>2</v>
      </c>
      <c r="S744" s="26">
        <v>6</v>
      </c>
      <c r="T744" s="26">
        <v>16</v>
      </c>
      <c r="U744" s="26">
        <v>24</v>
      </c>
      <c r="V744" s="26">
        <v>1</v>
      </c>
      <c r="W744" s="26" t="s">
        <v>218</v>
      </c>
    </row>
    <row r="745" spans="1:23" x14ac:dyDescent="0.25">
      <c r="A745" s="26" t="str">
        <f t="shared" si="100"/>
        <v>PREESCOLAR</v>
      </c>
      <c r="B745" s="26" t="str">
        <f>"09DJN0962B"</f>
        <v>09DJN0962B</v>
      </c>
      <c r="C745" s="26" t="str">
        <f>"MIAHUAXOCHITL                                                                                       "</f>
        <v xml:space="preserve">MIAHUAXOCHITL                                                                                       </v>
      </c>
      <c r="D745" s="26" t="str">
        <f>"MATUTINO"</f>
        <v>MATUTINO</v>
      </c>
      <c r="E745" s="26" t="str">
        <f>"SIMON BOLIVAR S/N                                                               "</f>
        <v xml:space="preserve">SIMON BOLIVAR S/N                                                               </v>
      </c>
      <c r="F745" s="26" t="str">
        <f>"IXTLAHUACAN                                                                                                                                 "</f>
        <v xml:space="preserve">IXTLAHUACAN                                                                                                                                 </v>
      </c>
      <c r="G745" s="26" t="str">
        <f>"IZTAPALAPA                                                                      "</f>
        <v xml:space="preserve">IZTAPALAPA                                                                      </v>
      </c>
      <c r="H745" s="26" t="str">
        <f>"038"</f>
        <v>038</v>
      </c>
      <c r="I745" s="26" t="str">
        <f t="shared" si="101"/>
        <v>00</v>
      </c>
      <c r="J745" s="26" t="str">
        <f>"64 "</f>
        <v xml:space="preserve">64 </v>
      </c>
      <c r="K745" s="26" t="str">
        <f>"IZ"</f>
        <v>IZ</v>
      </c>
      <c r="L745" s="26" t="str">
        <f>"DGSEI"</f>
        <v>DGSEI</v>
      </c>
      <c r="M745" s="26" t="str">
        <f t="shared" si="102"/>
        <v>FEDERAL</v>
      </c>
      <c r="N745" s="26">
        <v>247</v>
      </c>
      <c r="O745" s="26">
        <v>123</v>
      </c>
      <c r="P745" s="26">
        <v>124</v>
      </c>
      <c r="Q745" s="26">
        <v>7</v>
      </c>
      <c r="R745" s="26">
        <v>1</v>
      </c>
      <c r="S745" s="26">
        <v>7</v>
      </c>
      <c r="T745" s="26">
        <v>2</v>
      </c>
      <c r="U745" s="26">
        <v>10</v>
      </c>
      <c r="V745" s="26">
        <v>1</v>
      </c>
      <c r="W745" s="26"/>
    </row>
    <row r="746" spans="1:23" x14ac:dyDescent="0.25">
      <c r="A746" s="26" t="str">
        <f t="shared" si="100"/>
        <v>PREESCOLAR</v>
      </c>
      <c r="B746" s="26" t="str">
        <f>"09DJN0964Z"</f>
        <v>09DJN0964Z</v>
      </c>
      <c r="C746" s="26" t="str">
        <f>"JOSE CLEMENTE OROZCO                                                                                "</f>
        <v xml:space="preserve">JOSE CLEMENTE OROZCO                                                                                </v>
      </c>
      <c r="D746" s="26" t="str">
        <f>"MATUTINO"</f>
        <v>MATUTINO</v>
      </c>
      <c r="E746" s="26" t="str">
        <f>"MANUEL M. LOPEZ Y CECILIO ACOSTA                                                "</f>
        <v xml:space="preserve">MANUEL M. LOPEZ Y CECILIO ACOSTA                                                </v>
      </c>
      <c r="F746" s="26" t="str">
        <f>"ZAPOTITLA                                                                                                                                   "</f>
        <v xml:space="preserve">ZAPOTITLA                                                                                                                                   </v>
      </c>
      <c r="G746" s="26" t="str">
        <f>"TLAHUAC                                                                         "</f>
        <v xml:space="preserve">TLAHUAC                                                                         </v>
      </c>
      <c r="H746" s="26" t="str">
        <f>"065"</f>
        <v>065</v>
      </c>
      <c r="I746" s="26" t="str">
        <f t="shared" si="101"/>
        <v>00</v>
      </c>
      <c r="J746" s="26" t="str">
        <f>"35 "</f>
        <v xml:space="preserve">35 </v>
      </c>
      <c r="K746" s="26" t="str">
        <f>"EP"</f>
        <v>EP</v>
      </c>
      <c r="L746" s="26" t="str">
        <f>"DGOSE"</f>
        <v>DGOSE</v>
      </c>
      <c r="M746" s="26" t="str">
        <f t="shared" si="102"/>
        <v>FEDERAL</v>
      </c>
      <c r="N746" s="26">
        <v>276</v>
      </c>
      <c r="O746" s="26">
        <v>137</v>
      </c>
      <c r="P746" s="26">
        <v>139</v>
      </c>
      <c r="Q746" s="26">
        <v>8</v>
      </c>
      <c r="R746" s="26">
        <v>1</v>
      </c>
      <c r="S746" s="26">
        <v>8</v>
      </c>
      <c r="T746" s="26">
        <v>4</v>
      </c>
      <c r="U746" s="26">
        <v>13</v>
      </c>
      <c r="V746" s="26">
        <v>1</v>
      </c>
      <c r="W746" s="26"/>
    </row>
    <row r="747" spans="1:23" x14ac:dyDescent="0.25">
      <c r="A747" s="26" t="str">
        <f t="shared" si="100"/>
        <v>PREESCOLAR</v>
      </c>
      <c r="B747" s="26" t="str">
        <f>"09DJN0965Z"</f>
        <v>09DJN0965Z</v>
      </c>
      <c r="C747" s="26" t="str">
        <f>"PABLO NERUDA                                                                                        "</f>
        <v xml:space="preserve">PABLO NERUDA                                                                                        </v>
      </c>
      <c r="D747" s="26" t="str">
        <f>"TIEMPO COMPLETO"</f>
        <v>TIEMPO COMPLETO</v>
      </c>
      <c r="E747" s="26" t="str">
        <f>"MAR DE LAS CRISIS ESQ. MONTES CARPATOS                                          "</f>
        <v xml:space="preserve">MAR DE LAS CRISIS ESQ. MONTES CARPATOS                                          </v>
      </c>
      <c r="F747" s="26" t="str">
        <f>"SELENE                                                                                                                                      "</f>
        <v xml:space="preserve">SELENE                                                                                                                                      </v>
      </c>
      <c r="G747" s="26" t="str">
        <f>"TLAHUAC                                                                         "</f>
        <v xml:space="preserve">TLAHUAC                                                                         </v>
      </c>
      <c r="H747" s="26" t="str">
        <f>"054"</f>
        <v>054</v>
      </c>
      <c r="I747" s="26" t="str">
        <f t="shared" si="101"/>
        <v>00</v>
      </c>
      <c r="J747" s="26" t="str">
        <f>"34 "</f>
        <v xml:space="preserve">34 </v>
      </c>
      <c r="K747" s="26" t="str">
        <f>"EP"</f>
        <v>EP</v>
      </c>
      <c r="L747" s="26" t="str">
        <f>"DGOSE"</f>
        <v>DGOSE</v>
      </c>
      <c r="M747" s="26" t="str">
        <f t="shared" si="102"/>
        <v>FEDERAL</v>
      </c>
      <c r="N747" s="26">
        <v>209</v>
      </c>
      <c r="O747" s="26">
        <v>109</v>
      </c>
      <c r="P747" s="26">
        <v>100</v>
      </c>
      <c r="Q747" s="26">
        <v>7</v>
      </c>
      <c r="R747" s="26">
        <v>2</v>
      </c>
      <c r="S747" s="26">
        <v>6</v>
      </c>
      <c r="T747" s="26">
        <v>17</v>
      </c>
      <c r="U747" s="26">
        <v>25</v>
      </c>
      <c r="V747" s="26">
        <v>1</v>
      </c>
      <c r="W747" s="26" t="s">
        <v>218</v>
      </c>
    </row>
    <row r="748" spans="1:23" x14ac:dyDescent="0.25">
      <c r="A748" s="26" t="str">
        <f t="shared" si="100"/>
        <v>PREESCOLAR</v>
      </c>
      <c r="B748" s="26" t="str">
        <f>"09DJN0966Y"</f>
        <v>09DJN0966Y</v>
      </c>
      <c r="C748" s="26" t="str">
        <f>"NAHUI-OLLIN                                                                                         "</f>
        <v xml:space="preserve">NAHUI-OLLIN                                                                                         </v>
      </c>
      <c r="D748" s="26" t="str">
        <f>"VESPERTINO"</f>
        <v>VESPERTINO</v>
      </c>
      <c r="E748" s="26" t="str">
        <f>"CALLEJON HIDALGO NO. 1                                                          "</f>
        <v xml:space="preserve">CALLEJON HIDALGO NO. 1                                                          </v>
      </c>
      <c r="F748" s="26" t="str">
        <f>"SANTA ANA TLACOTENCO                                                                                                                        "</f>
        <v xml:space="preserve">SANTA ANA TLACOTENCO                                                                                                                        </v>
      </c>
      <c r="G748" s="26" t="str">
        <f>"MILPA ALTA                                                                      "</f>
        <v xml:space="preserve">MILPA ALTA                                                                      </v>
      </c>
      <c r="H748" s="26" t="str">
        <f>"104"</f>
        <v>104</v>
      </c>
      <c r="I748" s="26" t="str">
        <f t="shared" si="101"/>
        <v>00</v>
      </c>
      <c r="J748" s="26" t="str">
        <f>"35 "</f>
        <v xml:space="preserve">35 </v>
      </c>
      <c r="K748" s="26" t="str">
        <f>"EP"</f>
        <v>EP</v>
      </c>
      <c r="L748" s="26" t="str">
        <f>"DGOSE"</f>
        <v>DGOSE</v>
      </c>
      <c r="M748" s="26" t="str">
        <f t="shared" si="102"/>
        <v>FEDERAL</v>
      </c>
      <c r="N748" s="26">
        <v>105</v>
      </c>
      <c r="O748" s="26">
        <v>52</v>
      </c>
      <c r="P748" s="26">
        <v>53</v>
      </c>
      <c r="Q748" s="26">
        <v>4</v>
      </c>
      <c r="R748" s="26">
        <v>1</v>
      </c>
      <c r="S748" s="26">
        <v>3</v>
      </c>
      <c r="T748" s="26">
        <v>4</v>
      </c>
      <c r="U748" s="26">
        <v>8</v>
      </c>
      <c r="V748" s="26">
        <v>1</v>
      </c>
      <c r="W748" s="26"/>
    </row>
    <row r="749" spans="1:23" x14ac:dyDescent="0.25">
      <c r="A749" s="26" t="str">
        <f t="shared" si="100"/>
        <v>PREESCOLAR</v>
      </c>
      <c r="B749" s="26" t="str">
        <f>"09DJN0967X"</f>
        <v>09DJN0967X</v>
      </c>
      <c r="C749" s="26" t="str">
        <f>"HUITZAPIZTLI                                                                                        "</f>
        <v xml:space="preserve">HUITZAPIZTLI                                                                                        </v>
      </c>
      <c r="D749" s="26" t="str">
        <f>"JORNADA AMPLIADA"</f>
        <v>JORNADA AMPLIADA</v>
      </c>
      <c r="E749" s="26" t="str">
        <f>"HECELCHAKAN Y CHAPAB S/N                                                        "</f>
        <v xml:space="preserve">HECELCHAKAN Y CHAPAB S/N                                                        </v>
      </c>
      <c r="F749" s="26" t="str">
        <f>"CUCHILLA DE PADIERNA                                                                                                                        "</f>
        <v xml:space="preserve">CUCHILLA DE PADIERNA                                                                                                                        </v>
      </c>
      <c r="G749" s="26" t="str">
        <f>"TLALPAN                                                                         "</f>
        <v xml:space="preserve">TLALPAN                                                                         </v>
      </c>
      <c r="H749" s="26" t="str">
        <f>"277"</f>
        <v>277</v>
      </c>
      <c r="I749" s="26" t="str">
        <f t="shared" si="101"/>
        <v>00</v>
      </c>
      <c r="J749" s="26" t="str">
        <f>"34 "</f>
        <v xml:space="preserve">34 </v>
      </c>
      <c r="K749" s="26" t="str">
        <f>"EP"</f>
        <v>EP</v>
      </c>
      <c r="L749" s="26" t="str">
        <f>"DGOSE"</f>
        <v>DGOSE</v>
      </c>
      <c r="M749" s="26" t="str">
        <f t="shared" si="102"/>
        <v>FEDERAL</v>
      </c>
      <c r="N749" s="26">
        <v>184</v>
      </c>
      <c r="O749" s="26">
        <v>98</v>
      </c>
      <c r="P749" s="26">
        <v>86</v>
      </c>
      <c r="Q749" s="26">
        <v>6</v>
      </c>
      <c r="R749" s="26">
        <v>1</v>
      </c>
      <c r="S749" s="26">
        <v>5</v>
      </c>
      <c r="T749" s="26">
        <v>5</v>
      </c>
      <c r="U749" s="26">
        <v>11</v>
      </c>
      <c r="V749" s="26">
        <v>1</v>
      </c>
      <c r="W749" s="26" t="s">
        <v>2076</v>
      </c>
    </row>
    <row r="750" spans="1:23" x14ac:dyDescent="0.25">
      <c r="A750" s="26" t="str">
        <f t="shared" si="100"/>
        <v>PREESCOLAR</v>
      </c>
      <c r="B750" s="26" t="str">
        <f>"09DJN0970K"</f>
        <v>09DJN0970K</v>
      </c>
      <c r="C750" s="26" t="str">
        <f>"CAPUTZIHIL                                                                                          "</f>
        <v xml:space="preserve">CAPUTZIHIL                                                                                          </v>
      </c>
      <c r="D750" s="26" t="str">
        <f>"TIEMPO COMPLETO"</f>
        <v>TIEMPO COMPLETO</v>
      </c>
      <c r="E750" s="26" t="str">
        <f>"ALBERTO BRANIFF Y CALZ IGNACIO ZARAGOZA                                         "</f>
        <v xml:space="preserve">ALBERTO BRANIFF Y CALZ IGNACIO ZARAGOZA                                         </v>
      </c>
      <c r="F750" s="26" t="str">
        <f>"AVIACION CIVIL                                                                                                                              "</f>
        <v xml:space="preserve">AVIACION CIVIL                                                                                                                              </v>
      </c>
      <c r="G750" s="26" t="str">
        <f>"VENUSTIANO CARRANZA                                                             "</f>
        <v xml:space="preserve">VENUSTIANO CARRANZA                                                             </v>
      </c>
      <c r="H750" s="26" t="str">
        <f>"249"</f>
        <v>249</v>
      </c>
      <c r="I750" s="26" t="str">
        <f t="shared" si="101"/>
        <v>00</v>
      </c>
      <c r="J750" s="26" t="str">
        <f>"31 "</f>
        <v xml:space="preserve">31 </v>
      </c>
      <c r="K750" s="26" t="str">
        <f>"EP"</f>
        <v>EP</v>
      </c>
      <c r="L750" s="26" t="str">
        <f>"DGOSE"</f>
        <v>DGOSE</v>
      </c>
      <c r="M750" s="26" t="str">
        <f t="shared" si="102"/>
        <v>FEDERAL</v>
      </c>
      <c r="N750" s="26">
        <v>191</v>
      </c>
      <c r="O750" s="26">
        <v>95</v>
      </c>
      <c r="P750" s="26">
        <v>96</v>
      </c>
      <c r="Q750" s="26">
        <v>6</v>
      </c>
      <c r="R750" s="26">
        <v>2</v>
      </c>
      <c r="S750" s="26">
        <v>6</v>
      </c>
      <c r="T750" s="26">
        <v>17</v>
      </c>
      <c r="U750" s="26">
        <v>25</v>
      </c>
      <c r="V750" s="26">
        <v>1</v>
      </c>
      <c r="W750" s="26" t="s">
        <v>218</v>
      </c>
    </row>
    <row r="751" spans="1:23" x14ac:dyDescent="0.25">
      <c r="A751" s="26" t="str">
        <f t="shared" si="100"/>
        <v>PREESCOLAR</v>
      </c>
      <c r="B751" s="26" t="str">
        <f>"09DJN0973H"</f>
        <v>09DJN0973H</v>
      </c>
      <c r="C751" s="26" t="str">
        <f>"RAFAEL RAMIREZ                                                                                      "</f>
        <v xml:space="preserve">RAFAEL RAMIREZ                                                                                      </v>
      </c>
      <c r="D751" s="26" t="str">
        <f>"TIEMPO COMPLETO"</f>
        <v>TIEMPO COMPLETO</v>
      </c>
      <c r="E751" s="26" t="str">
        <f>"MARIO MORENO Y JILGUERILLAS                                                     "</f>
        <v xml:space="preserve">MARIO MORENO Y JILGUERILLAS                                                     </v>
      </c>
      <c r="F751" s="26" t="str">
        <f>"EMILIANO ZAPATA AMPLIACION                                                                                                                  "</f>
        <v xml:space="preserve">EMILIANO ZAPATA AMPLIACION                                                                                                                  </v>
      </c>
      <c r="G751" s="26" t="str">
        <f>"IZTAPALAPA                                                                      "</f>
        <v xml:space="preserve">IZTAPALAPA                                                                      </v>
      </c>
      <c r="H751" s="26" t="str">
        <f>"013"</f>
        <v>013</v>
      </c>
      <c r="I751" s="26" t="str">
        <f t="shared" si="101"/>
        <v>00</v>
      </c>
      <c r="J751" s="26" t="str">
        <f>"61 "</f>
        <v xml:space="preserve">61 </v>
      </c>
      <c r="K751" s="26" t="str">
        <f>"IZ"</f>
        <v>IZ</v>
      </c>
      <c r="L751" s="26" t="str">
        <f>"DGSEI"</f>
        <v>DGSEI</v>
      </c>
      <c r="M751" s="26" t="str">
        <f t="shared" si="102"/>
        <v>FEDERAL</v>
      </c>
      <c r="N751" s="26">
        <v>174</v>
      </c>
      <c r="O751" s="26">
        <v>87</v>
      </c>
      <c r="P751" s="26">
        <v>87</v>
      </c>
      <c r="Q751" s="26">
        <v>7</v>
      </c>
      <c r="R751" s="26">
        <v>1</v>
      </c>
      <c r="S751" s="26">
        <v>7</v>
      </c>
      <c r="T751" s="26">
        <v>9</v>
      </c>
      <c r="U751" s="26">
        <v>17</v>
      </c>
      <c r="V751" s="26">
        <v>1</v>
      </c>
      <c r="W751" s="26" t="s">
        <v>218</v>
      </c>
    </row>
    <row r="752" spans="1:23" x14ac:dyDescent="0.25">
      <c r="A752" s="26" t="str">
        <f t="shared" si="100"/>
        <v>PREESCOLAR</v>
      </c>
      <c r="B752" s="26" t="str">
        <f>"09DJN0975F"</f>
        <v>09DJN0975F</v>
      </c>
      <c r="C752" s="26" t="str">
        <f>"VIRGINIA MONASTERIO                                                                                 "</f>
        <v xml:space="preserve">VIRGINIA MONASTERIO                                                                                 </v>
      </c>
      <c r="D752" s="26" t="str">
        <f>"VESPERTINO"</f>
        <v>VESPERTINO</v>
      </c>
      <c r="E752" s="26" t="str">
        <f>"JUAN SIN MIEDO S/N                                                              "</f>
        <v xml:space="preserve">JUAN SIN MIEDO S/N                                                              </v>
      </c>
      <c r="F752" s="26" t="str">
        <f>"OLIVAR DEL CONDE 1A SECCION                                                                                                                 "</f>
        <v xml:space="preserve">OLIVAR DEL CONDE 1A SECCION                                                                                                                 </v>
      </c>
      <c r="G752" s="26" t="str">
        <f>"ALVARO OBREGON                                                                  "</f>
        <v xml:space="preserve">ALVARO OBREGON                                                                  </v>
      </c>
      <c r="H752" s="26" t="str">
        <f>"110"</f>
        <v>110</v>
      </c>
      <c r="I752" s="26" t="str">
        <f t="shared" si="101"/>
        <v>00</v>
      </c>
      <c r="J752" s="26" t="str">
        <f>"33 "</f>
        <v xml:space="preserve">33 </v>
      </c>
      <c r="K752" s="26" t="str">
        <f>"EP"</f>
        <v>EP</v>
      </c>
      <c r="L752" s="26" t="str">
        <f>"DGOSE"</f>
        <v>DGOSE</v>
      </c>
      <c r="M752" s="26" t="str">
        <f t="shared" si="102"/>
        <v>FEDERAL</v>
      </c>
      <c r="N752" s="26">
        <v>106</v>
      </c>
      <c r="O752" s="26">
        <v>51</v>
      </c>
      <c r="P752" s="26">
        <v>55</v>
      </c>
      <c r="Q752" s="26">
        <v>4</v>
      </c>
      <c r="R752" s="26">
        <v>1</v>
      </c>
      <c r="S752" s="26">
        <v>3</v>
      </c>
      <c r="T752" s="26">
        <v>2</v>
      </c>
      <c r="U752" s="26">
        <v>6</v>
      </c>
      <c r="V752" s="26">
        <v>1</v>
      </c>
      <c r="W752" s="26"/>
    </row>
    <row r="753" spans="1:23" x14ac:dyDescent="0.25">
      <c r="A753" s="26" t="str">
        <f t="shared" si="100"/>
        <v>PREESCOLAR</v>
      </c>
      <c r="B753" s="26" t="str">
        <f>"09DJN0976E"</f>
        <v>09DJN0976E</v>
      </c>
      <c r="C753" s="26" t="str">
        <f>"RAFAEL DONDE                                                                                        "</f>
        <v xml:space="preserve">RAFAEL DONDE                                                                                        </v>
      </c>
      <c r="D753" s="26" t="str">
        <f>"JORNADA AMPLIADA"</f>
        <v>JORNADA AMPLIADA</v>
      </c>
      <c r="E753" s="26" t="str">
        <f>"AV. MEXICO 68 S/N 7A SECCION                                                    "</f>
        <v xml:space="preserve">AV. MEXICO 68 S/N 7A SECCION                                                    </v>
      </c>
      <c r="F753" s="26" t="str">
        <f>"PEDREGAL DE CARRASCO                                                                                                                        "</f>
        <v xml:space="preserve">PEDREGAL DE CARRASCO                                                                                                                        </v>
      </c>
      <c r="G753" s="26" t="str">
        <f>"COYOACAN                                                                        "</f>
        <v xml:space="preserve">COYOACAN                                                                        </v>
      </c>
      <c r="H753" s="26" t="str">
        <f>"058"</f>
        <v>058</v>
      </c>
      <c r="I753" s="26" t="str">
        <f t="shared" si="101"/>
        <v>00</v>
      </c>
      <c r="J753" s="26" t="str">
        <f>"34 "</f>
        <v xml:space="preserve">34 </v>
      </c>
      <c r="K753" s="26" t="str">
        <f>"EP"</f>
        <v>EP</v>
      </c>
      <c r="L753" s="26" t="str">
        <f>"DGOSE"</f>
        <v>DGOSE</v>
      </c>
      <c r="M753" s="26" t="str">
        <f t="shared" si="102"/>
        <v>FEDERAL</v>
      </c>
      <c r="N753" s="26">
        <v>220</v>
      </c>
      <c r="O753" s="26">
        <v>100</v>
      </c>
      <c r="P753" s="26">
        <v>120</v>
      </c>
      <c r="Q753" s="26">
        <v>7</v>
      </c>
      <c r="R753" s="26">
        <v>1</v>
      </c>
      <c r="S753" s="26">
        <v>7</v>
      </c>
      <c r="T753" s="26">
        <v>7</v>
      </c>
      <c r="U753" s="26">
        <v>15</v>
      </c>
      <c r="V753" s="26">
        <v>1</v>
      </c>
      <c r="W753" s="26" t="s">
        <v>2076</v>
      </c>
    </row>
    <row r="754" spans="1:23" x14ac:dyDescent="0.25">
      <c r="A754" s="26" t="str">
        <f t="shared" si="100"/>
        <v>PREESCOLAR</v>
      </c>
      <c r="B754" s="26" t="str">
        <f>"09DJN0979B"</f>
        <v>09DJN0979B</v>
      </c>
      <c r="C754" s="26" t="str">
        <f>"CARL R. ROGERS                                                                                      "</f>
        <v xml:space="preserve">CARL R. ROGERS                                                                                      </v>
      </c>
      <c r="D754" s="26" t="str">
        <f>"MATUTINO"</f>
        <v>MATUTINO</v>
      </c>
      <c r="E754" s="26" t="str">
        <f>"BILBAO S/N                                                                      "</f>
        <v xml:space="preserve">BILBAO S/N                                                                      </v>
      </c>
      <c r="F754" s="26" t="str">
        <f>"CERRO DE LA ESTRELLA                                                                                                                        "</f>
        <v xml:space="preserve">CERRO DE LA ESTRELLA                                                                                                                        </v>
      </c>
      <c r="G754" s="26" t="str">
        <f>"IZTAPALAPA                                                                      "</f>
        <v xml:space="preserve">IZTAPALAPA                                                                      </v>
      </c>
      <c r="H754" s="26" t="str">
        <f>"025"</f>
        <v>025</v>
      </c>
      <c r="I754" s="26" t="str">
        <f t="shared" si="101"/>
        <v>00</v>
      </c>
      <c r="J754" s="26" t="str">
        <f>"63 "</f>
        <v xml:space="preserve">63 </v>
      </c>
      <c r="K754" s="26" t="str">
        <f>"IZ"</f>
        <v>IZ</v>
      </c>
      <c r="L754" s="26" t="str">
        <f>"DGSEI"</f>
        <v>DGSEI</v>
      </c>
      <c r="M754" s="26" t="str">
        <f t="shared" si="102"/>
        <v>FEDERAL</v>
      </c>
      <c r="N754" s="26">
        <v>227</v>
      </c>
      <c r="O754" s="26">
        <v>107</v>
      </c>
      <c r="P754" s="26">
        <v>120</v>
      </c>
      <c r="Q754" s="26">
        <v>7</v>
      </c>
      <c r="R754" s="26">
        <v>1</v>
      </c>
      <c r="S754" s="26">
        <v>7</v>
      </c>
      <c r="T754" s="26">
        <v>3</v>
      </c>
      <c r="U754" s="26">
        <v>11</v>
      </c>
      <c r="V754" s="26">
        <v>1</v>
      </c>
      <c r="W754" s="26"/>
    </row>
    <row r="755" spans="1:23" x14ac:dyDescent="0.25">
      <c r="A755" s="26" t="str">
        <f t="shared" si="100"/>
        <v>PREESCOLAR</v>
      </c>
      <c r="B755" s="26" t="str">
        <f>"09DJN0981Q"</f>
        <v>09DJN0981Q</v>
      </c>
      <c r="C755" s="26" t="str">
        <f>"SAC-NICTE                                                                                           "</f>
        <v xml:space="preserve">SAC-NICTE                                                                                           </v>
      </c>
      <c r="D755" s="26" t="str">
        <f>"TIEMPO COMPLETO"</f>
        <v>TIEMPO COMPLETO</v>
      </c>
      <c r="E755" s="26" t="str">
        <f>"AV. SAN BERNABE Y LUIS HIDALGO                                                  "</f>
        <v xml:space="preserve">AV. SAN BERNABE Y LUIS HIDALGO                                                  </v>
      </c>
      <c r="F755" s="26" t="str">
        <f>"EL MAESTRO                                                                                                                                  "</f>
        <v xml:space="preserve">EL MAESTRO                                                                                                                                  </v>
      </c>
      <c r="G755" s="26" t="str">
        <f>"LA MAGDALENA CONTRERAS                                                          "</f>
        <v xml:space="preserve">LA MAGDALENA CONTRERAS                                                          </v>
      </c>
      <c r="H755" s="26" t="str">
        <f>"200"</f>
        <v>200</v>
      </c>
      <c r="I755" s="26" t="str">
        <f t="shared" si="101"/>
        <v>00</v>
      </c>
      <c r="J755" s="26" t="str">
        <f>"34 "</f>
        <v xml:space="preserve">34 </v>
      </c>
      <c r="K755" s="26" t="str">
        <f t="shared" ref="K755:K767" si="111">"EP"</f>
        <v>EP</v>
      </c>
      <c r="L755" s="26" t="str">
        <f t="shared" ref="L755:L767" si="112">"DGOSE"</f>
        <v>DGOSE</v>
      </c>
      <c r="M755" s="26" t="str">
        <f t="shared" si="102"/>
        <v>FEDERAL</v>
      </c>
      <c r="N755" s="26">
        <v>147</v>
      </c>
      <c r="O755" s="26">
        <v>70</v>
      </c>
      <c r="P755" s="26">
        <v>77</v>
      </c>
      <c r="Q755" s="26">
        <v>5</v>
      </c>
      <c r="R755" s="26">
        <v>2</v>
      </c>
      <c r="S755" s="26">
        <v>3</v>
      </c>
      <c r="T755" s="26">
        <v>15</v>
      </c>
      <c r="U755" s="26">
        <v>20</v>
      </c>
      <c r="V755" s="26">
        <v>1</v>
      </c>
      <c r="W755" s="26" t="s">
        <v>218</v>
      </c>
    </row>
    <row r="756" spans="1:23" x14ac:dyDescent="0.25">
      <c r="A756" s="26" t="str">
        <f t="shared" si="100"/>
        <v>PREESCOLAR</v>
      </c>
      <c r="B756" s="26" t="str">
        <f>"09DJN0983O"</f>
        <v>09DJN0983O</v>
      </c>
      <c r="C756" s="26" t="str">
        <f>"CALNAHUAC                                                                                           "</f>
        <v xml:space="preserve">CALNAHUAC                                                                                           </v>
      </c>
      <c r="D756" s="26" t="str">
        <f>"MATUTINO"</f>
        <v>MATUTINO</v>
      </c>
      <c r="E756" s="26" t="str">
        <f>"COLIMA 118                                                                      "</f>
        <v xml:space="preserve">COLIMA 118                                                                      </v>
      </c>
      <c r="F756" s="26" t="str">
        <f>"SAN MATEO BARRIO                                                                                                                            "</f>
        <v xml:space="preserve">SAN MATEO BARRIO                                                                                                                            </v>
      </c>
      <c r="G756" s="26" t="str">
        <f>"MILPA ALTA                                                                      "</f>
        <v xml:space="preserve">MILPA ALTA                                                                      </v>
      </c>
      <c r="H756" s="26" t="str">
        <f>"281"</f>
        <v>281</v>
      </c>
      <c r="I756" s="26" t="str">
        <f t="shared" si="101"/>
        <v>00</v>
      </c>
      <c r="J756" s="26" t="str">
        <f>"35 "</f>
        <v xml:space="preserve">35 </v>
      </c>
      <c r="K756" s="26" t="str">
        <f t="shared" si="111"/>
        <v>EP</v>
      </c>
      <c r="L756" s="26" t="str">
        <f t="shared" si="112"/>
        <v>DGOSE</v>
      </c>
      <c r="M756" s="26" t="str">
        <f t="shared" si="102"/>
        <v>FEDERAL</v>
      </c>
      <c r="N756" s="26">
        <v>164</v>
      </c>
      <c r="O756" s="26">
        <v>82</v>
      </c>
      <c r="P756" s="26">
        <v>82</v>
      </c>
      <c r="Q756" s="26">
        <v>5</v>
      </c>
      <c r="R756" s="26">
        <v>1</v>
      </c>
      <c r="S756" s="26">
        <v>5</v>
      </c>
      <c r="T756" s="26">
        <v>8</v>
      </c>
      <c r="U756" s="26">
        <v>14</v>
      </c>
      <c r="V756" s="26">
        <v>1</v>
      </c>
      <c r="W756" s="26"/>
    </row>
    <row r="757" spans="1:23" x14ac:dyDescent="0.25">
      <c r="A757" s="26" t="str">
        <f t="shared" si="100"/>
        <v>PREESCOLAR</v>
      </c>
      <c r="B757" s="26" t="str">
        <f>"09DJN0984N"</f>
        <v>09DJN0984N</v>
      </c>
      <c r="C757" s="26" t="str">
        <f>"ATEMOAYA                                                                                            "</f>
        <v xml:space="preserve">ATEMOAYA                                                                                            </v>
      </c>
      <c r="D757" s="26" t="str">
        <f>"MATUTINO"</f>
        <v>MATUTINO</v>
      </c>
      <c r="E757" s="26" t="str">
        <f>"CIRCUITO CUAUHTEMOC S/N                                                         "</f>
        <v xml:space="preserve">CIRCUITO CUAUHTEMOC S/N                                                         </v>
      </c>
      <c r="F757" s="26" t="str">
        <f>"SAN LORENZO ATEMOAYA                                                                                                                        "</f>
        <v xml:space="preserve">SAN LORENZO ATEMOAYA                                                                                                                        </v>
      </c>
      <c r="G757" s="26" t="str">
        <f>"XOCHIMILCO                                                                      "</f>
        <v xml:space="preserve">XOCHIMILCO                                                                      </v>
      </c>
      <c r="H757" s="26" t="str">
        <f>"084"</f>
        <v>084</v>
      </c>
      <c r="I757" s="26" t="str">
        <f t="shared" si="101"/>
        <v>00</v>
      </c>
      <c r="J757" s="26" t="str">
        <f>"35 "</f>
        <v xml:space="preserve">35 </v>
      </c>
      <c r="K757" s="26" t="str">
        <f t="shared" si="111"/>
        <v>EP</v>
      </c>
      <c r="L757" s="26" t="str">
        <f t="shared" si="112"/>
        <v>DGOSE</v>
      </c>
      <c r="M757" s="26" t="str">
        <f t="shared" si="102"/>
        <v>FEDERAL</v>
      </c>
      <c r="N757" s="26">
        <v>236</v>
      </c>
      <c r="O757" s="26">
        <v>104</v>
      </c>
      <c r="P757" s="26">
        <v>132</v>
      </c>
      <c r="Q757" s="26">
        <v>7</v>
      </c>
      <c r="R757" s="26">
        <v>1</v>
      </c>
      <c r="S757" s="26">
        <v>7</v>
      </c>
      <c r="T757" s="26">
        <v>5</v>
      </c>
      <c r="U757" s="26">
        <v>13</v>
      </c>
      <c r="V757" s="26">
        <v>1</v>
      </c>
      <c r="W757" s="26"/>
    </row>
    <row r="758" spans="1:23" x14ac:dyDescent="0.25">
      <c r="A758" s="26" t="str">
        <f t="shared" si="100"/>
        <v>PREESCOLAR</v>
      </c>
      <c r="B758" s="26" t="str">
        <f>"09DJN0985M"</f>
        <v>09DJN0985M</v>
      </c>
      <c r="C758" s="26" t="str">
        <f>"MILPA ALTA                                                                                          "</f>
        <v xml:space="preserve">MILPA ALTA                                                                                          </v>
      </c>
      <c r="D758" s="26" t="str">
        <f>"JORNADA AMPLIADA"</f>
        <v>JORNADA AMPLIADA</v>
      </c>
      <c r="E758" s="26" t="str">
        <f>"AVENIDA NUEVO LEON S/N                                                          "</f>
        <v xml:space="preserve">AVENIDA NUEVO LEON S/N                                                          </v>
      </c>
      <c r="F758" s="26" t="str">
        <f>"SANTA CRUZ BARRIO                                                                                                                           "</f>
        <v xml:space="preserve">SANTA CRUZ BARRIO                                                                                                                           </v>
      </c>
      <c r="G758" s="26" t="str">
        <f>"MILPA ALTA                                                                      "</f>
        <v xml:space="preserve">MILPA ALTA                                                                      </v>
      </c>
      <c r="H758" s="26" t="str">
        <f>"158"</f>
        <v>158</v>
      </c>
      <c r="I758" s="26" t="str">
        <f t="shared" si="101"/>
        <v>00</v>
      </c>
      <c r="J758" s="26" t="str">
        <f>"34 "</f>
        <v xml:space="preserve">34 </v>
      </c>
      <c r="K758" s="26" t="str">
        <f t="shared" si="111"/>
        <v>EP</v>
      </c>
      <c r="L758" s="26" t="str">
        <f t="shared" si="112"/>
        <v>DGOSE</v>
      </c>
      <c r="M758" s="26" t="str">
        <f t="shared" si="102"/>
        <v>FEDERAL</v>
      </c>
      <c r="N758" s="26">
        <v>127</v>
      </c>
      <c r="O758" s="26">
        <v>67</v>
      </c>
      <c r="P758" s="26">
        <v>60</v>
      </c>
      <c r="Q758" s="26">
        <v>4</v>
      </c>
      <c r="R758" s="26">
        <v>1</v>
      </c>
      <c r="S758" s="26">
        <v>4</v>
      </c>
      <c r="T758" s="26">
        <v>5</v>
      </c>
      <c r="U758" s="26">
        <v>10</v>
      </c>
      <c r="V758" s="26">
        <v>1</v>
      </c>
      <c r="W758" s="26" t="s">
        <v>2076</v>
      </c>
    </row>
    <row r="759" spans="1:23" x14ac:dyDescent="0.25">
      <c r="A759" s="26" t="str">
        <f t="shared" si="100"/>
        <v>PREESCOLAR</v>
      </c>
      <c r="B759" s="26" t="str">
        <f>"09DJN0986L"</f>
        <v>09DJN0986L</v>
      </c>
      <c r="C759" s="26" t="str">
        <f>"QUETZALCOATL                                                                                        "</f>
        <v xml:space="preserve">QUETZALCOATL                                                                                        </v>
      </c>
      <c r="D759" s="26" t="str">
        <f>"VESPERTINO"</f>
        <v>VESPERTINO</v>
      </c>
      <c r="E759" s="26" t="str">
        <f>"ANDRES QUINTANA ROO Y CARLOS A. VIDAL                                           "</f>
        <v xml:space="preserve">ANDRES QUINTANA ROO Y CARLOS A. VIDAL                                           </v>
      </c>
      <c r="F759" s="26" t="str">
        <f>"SAN FRANCISCO TLALTENCO                                                                                                                     "</f>
        <v xml:space="preserve">SAN FRANCISCO TLALTENCO                                                                                                                     </v>
      </c>
      <c r="G759" s="26" t="str">
        <f>"TLAHUAC                                                                         "</f>
        <v xml:space="preserve">TLAHUAC                                                                         </v>
      </c>
      <c r="H759" s="26" t="str">
        <f>"223"</f>
        <v>223</v>
      </c>
      <c r="I759" s="26" t="str">
        <f t="shared" si="101"/>
        <v>00</v>
      </c>
      <c r="J759" s="26" t="str">
        <f>"35 "</f>
        <v xml:space="preserve">35 </v>
      </c>
      <c r="K759" s="26" t="str">
        <f t="shared" si="111"/>
        <v>EP</v>
      </c>
      <c r="L759" s="26" t="str">
        <f t="shared" si="112"/>
        <v>DGOSE</v>
      </c>
      <c r="M759" s="26" t="str">
        <f t="shared" si="102"/>
        <v>FEDERAL</v>
      </c>
      <c r="N759" s="26">
        <v>146</v>
      </c>
      <c r="O759" s="26">
        <v>70</v>
      </c>
      <c r="P759" s="26">
        <v>76</v>
      </c>
      <c r="Q759" s="26">
        <v>5</v>
      </c>
      <c r="R759" s="26">
        <v>1</v>
      </c>
      <c r="S759" s="26">
        <v>5</v>
      </c>
      <c r="T759" s="26">
        <v>5</v>
      </c>
      <c r="U759" s="26">
        <v>11</v>
      </c>
      <c r="V759" s="26">
        <v>1</v>
      </c>
      <c r="W759" s="26"/>
    </row>
    <row r="760" spans="1:23" x14ac:dyDescent="0.25">
      <c r="A760" s="26" t="str">
        <f t="shared" si="100"/>
        <v>PREESCOLAR</v>
      </c>
      <c r="B760" s="26" t="str">
        <f>"09DJN0990Y"</f>
        <v>09DJN0990Y</v>
      </c>
      <c r="C760" s="26" t="str">
        <f>"YEYETZI                                                                                             "</f>
        <v xml:space="preserve">YEYETZI                                                                                             </v>
      </c>
      <c r="D760" s="26" t="str">
        <f>"MATUTINO"</f>
        <v>MATUTINO</v>
      </c>
      <c r="E760" s="26" t="str">
        <f>"AV. CENTENARIO S/N                                                              "</f>
        <v xml:space="preserve">AV. CENTENARIO S/N                                                              </v>
      </c>
      <c r="F760" s="26" t="str">
        <f>"HERON PROAL                                                                                                                                 "</f>
        <v xml:space="preserve">HERON PROAL                                                                                                                                 </v>
      </c>
      <c r="G760" s="26" t="str">
        <f>"ALVARO OBREGON                                                                  "</f>
        <v xml:space="preserve">ALVARO OBREGON                                                                  </v>
      </c>
      <c r="H760" s="26" t="str">
        <f>"215"</f>
        <v>215</v>
      </c>
      <c r="I760" s="26" t="str">
        <f t="shared" si="101"/>
        <v>00</v>
      </c>
      <c r="J760" s="26" t="str">
        <f>"33 "</f>
        <v xml:space="preserve">33 </v>
      </c>
      <c r="K760" s="26" t="str">
        <f t="shared" si="111"/>
        <v>EP</v>
      </c>
      <c r="L760" s="26" t="str">
        <f t="shared" si="112"/>
        <v>DGOSE</v>
      </c>
      <c r="M760" s="26" t="str">
        <f t="shared" si="102"/>
        <v>FEDERAL</v>
      </c>
      <c r="N760" s="26">
        <v>285</v>
      </c>
      <c r="O760" s="26">
        <v>142</v>
      </c>
      <c r="P760" s="26">
        <v>143</v>
      </c>
      <c r="Q760" s="26">
        <v>8</v>
      </c>
      <c r="R760" s="26">
        <v>1</v>
      </c>
      <c r="S760" s="26">
        <v>8</v>
      </c>
      <c r="T760" s="26">
        <v>5</v>
      </c>
      <c r="U760" s="26">
        <v>14</v>
      </c>
      <c r="V760" s="26">
        <v>1</v>
      </c>
      <c r="W760" s="26"/>
    </row>
    <row r="761" spans="1:23" x14ac:dyDescent="0.25">
      <c r="A761" s="26" t="str">
        <f t="shared" si="100"/>
        <v>PREESCOLAR</v>
      </c>
      <c r="B761" s="26" t="str">
        <f>"09DJN0992W"</f>
        <v>09DJN0992W</v>
      </c>
      <c r="C761" s="26" t="str">
        <f>"VOLUNTARIADO NACIONAL                                                                               "</f>
        <v xml:space="preserve">VOLUNTARIADO NACIONAL                                                                               </v>
      </c>
      <c r="D761" s="26" t="str">
        <f>"JORNADA AMPLIADA"</f>
        <v>JORNADA AMPLIADA</v>
      </c>
      <c r="E761" s="26" t="str">
        <f>"VICENTE GUERRERO Y TENOCHTITLAN                                                 "</f>
        <v xml:space="preserve">VICENTE GUERRERO Y TENOCHTITLAN                                                 </v>
      </c>
      <c r="F761" s="26" t="str">
        <f>"CASTILLO CHICO                                                                                                                              "</f>
        <v xml:space="preserve">CASTILLO CHICO                                                                                                                              </v>
      </c>
      <c r="G761" s="26" t="str">
        <f>"GUSTAVO A. MADERO                                                               "</f>
        <v xml:space="preserve">GUSTAVO A. MADERO                                                               </v>
      </c>
      <c r="H761" s="26" t="str">
        <f>"092"</f>
        <v>092</v>
      </c>
      <c r="I761" s="26" t="str">
        <f t="shared" si="101"/>
        <v>00</v>
      </c>
      <c r="J761" s="26" t="str">
        <f>"31 "</f>
        <v xml:space="preserve">31 </v>
      </c>
      <c r="K761" s="26" t="str">
        <f t="shared" si="111"/>
        <v>EP</v>
      </c>
      <c r="L761" s="26" t="str">
        <f t="shared" si="112"/>
        <v>DGOSE</v>
      </c>
      <c r="M761" s="26" t="str">
        <f t="shared" si="102"/>
        <v>FEDERAL</v>
      </c>
      <c r="N761" s="26">
        <v>123</v>
      </c>
      <c r="O761" s="26">
        <v>55</v>
      </c>
      <c r="P761" s="26">
        <v>68</v>
      </c>
      <c r="Q761" s="26">
        <v>5</v>
      </c>
      <c r="R761" s="26">
        <v>1</v>
      </c>
      <c r="S761" s="26">
        <v>5</v>
      </c>
      <c r="T761" s="26">
        <v>5</v>
      </c>
      <c r="U761" s="26">
        <v>11</v>
      </c>
      <c r="V761" s="26">
        <v>1</v>
      </c>
      <c r="W761" s="26" t="s">
        <v>2076</v>
      </c>
    </row>
    <row r="762" spans="1:23" x14ac:dyDescent="0.25">
      <c r="A762" s="26" t="str">
        <f t="shared" si="100"/>
        <v>PREESCOLAR</v>
      </c>
      <c r="B762" s="26" t="str">
        <f>"09DJN0993V"</f>
        <v>09DJN0993V</v>
      </c>
      <c r="C762" s="26" t="str">
        <f>"MA. ELENA CHANES                                                                                    "</f>
        <v xml:space="preserve">MA. ELENA CHANES                                                                                    </v>
      </c>
      <c r="D762" s="26" t="str">
        <f>"VESPERTINO"</f>
        <v>VESPERTINO</v>
      </c>
      <c r="E762" s="26" t="str">
        <f>"FRANCISCO GONZALEZ BOCANEGRA NO. 72                                             "</f>
        <v xml:space="preserve">FRANCISCO GONZALEZ BOCANEGRA NO. 72                                             </v>
      </c>
      <c r="F762" s="26" t="str">
        <f>"MORELOS                                                                                                                                     "</f>
        <v xml:space="preserve">MORELOS                                                                                                                                     </v>
      </c>
      <c r="G762" s="26" t="s">
        <v>4128</v>
      </c>
      <c r="H762" s="26" t="str">
        <f>"205"</f>
        <v>205</v>
      </c>
      <c r="I762" s="26" t="str">
        <f t="shared" si="101"/>
        <v>00</v>
      </c>
      <c r="J762" s="26" t="str">
        <f>"32 "</f>
        <v xml:space="preserve">32 </v>
      </c>
      <c r="K762" s="26" t="str">
        <f t="shared" si="111"/>
        <v>EP</v>
      </c>
      <c r="L762" s="26" t="str">
        <f t="shared" si="112"/>
        <v>DGOSE</v>
      </c>
      <c r="M762" s="26" t="str">
        <f t="shared" si="102"/>
        <v>FEDERAL</v>
      </c>
      <c r="N762" s="26">
        <v>103</v>
      </c>
      <c r="O762" s="26">
        <v>53</v>
      </c>
      <c r="P762" s="26">
        <v>50</v>
      </c>
      <c r="Q762" s="26">
        <v>4</v>
      </c>
      <c r="R762" s="26">
        <v>1</v>
      </c>
      <c r="S762" s="26">
        <v>4</v>
      </c>
      <c r="T762" s="26">
        <v>6</v>
      </c>
      <c r="U762" s="26">
        <v>11</v>
      </c>
      <c r="V762" s="26">
        <v>1</v>
      </c>
      <c r="W762" s="26"/>
    </row>
    <row r="763" spans="1:23" x14ac:dyDescent="0.25">
      <c r="A763" s="26" t="str">
        <f t="shared" si="100"/>
        <v>PREESCOLAR</v>
      </c>
      <c r="B763" s="26" t="str">
        <f>"09DJN0994U"</f>
        <v>09DJN0994U</v>
      </c>
      <c r="C763" s="26" t="str">
        <f>"ANDRES QUINTANA ROO                                                                                 "</f>
        <v xml:space="preserve">ANDRES QUINTANA ROO                                                                                 </v>
      </c>
      <c r="D763" s="26" t="str">
        <f>"JORNADA AMPLIADA"</f>
        <v>JORNADA AMPLIADA</v>
      </c>
      <c r="E763" s="26" t="str">
        <f>"PUERTO JUAREZ S/N                                                               "</f>
        <v xml:space="preserve">PUERTO JUAREZ S/N                                                               </v>
      </c>
      <c r="F763" s="26" t="str">
        <f>"PILOTO ADOLFO LOPEZ  MATEOS AMPLIAC                                                                                                         "</f>
        <v xml:space="preserve">PILOTO ADOLFO LOPEZ  MATEOS AMPLIAC                                                                                                         </v>
      </c>
      <c r="G763" s="26" t="str">
        <f>"ALVARO OBREGON                                                                  "</f>
        <v xml:space="preserve">ALVARO OBREGON                                                                  </v>
      </c>
      <c r="H763" s="26" t="str">
        <f>"174"</f>
        <v>174</v>
      </c>
      <c r="I763" s="26" t="str">
        <f t="shared" si="101"/>
        <v>00</v>
      </c>
      <c r="J763" s="26" t="str">
        <f>"34 "</f>
        <v xml:space="preserve">34 </v>
      </c>
      <c r="K763" s="26" t="str">
        <f t="shared" si="111"/>
        <v>EP</v>
      </c>
      <c r="L763" s="26" t="str">
        <f t="shared" si="112"/>
        <v>DGOSE</v>
      </c>
      <c r="M763" s="26" t="str">
        <f t="shared" si="102"/>
        <v>FEDERAL</v>
      </c>
      <c r="N763" s="26">
        <v>170</v>
      </c>
      <c r="O763" s="26">
        <v>79</v>
      </c>
      <c r="P763" s="26">
        <v>91</v>
      </c>
      <c r="Q763" s="26">
        <v>5</v>
      </c>
      <c r="R763" s="26">
        <v>1</v>
      </c>
      <c r="S763" s="26">
        <v>5</v>
      </c>
      <c r="T763" s="26">
        <v>6</v>
      </c>
      <c r="U763" s="26">
        <v>12</v>
      </c>
      <c r="V763" s="26">
        <v>1</v>
      </c>
      <c r="W763" s="26" t="s">
        <v>2076</v>
      </c>
    </row>
    <row r="764" spans="1:23" x14ac:dyDescent="0.25">
      <c r="A764" s="26" t="str">
        <f t="shared" si="100"/>
        <v>PREESCOLAR</v>
      </c>
      <c r="B764" s="26" t="str">
        <f>"09DJN0995T"</f>
        <v>09DJN0995T</v>
      </c>
      <c r="C764" s="26" t="str">
        <f>"DR. IGNACIO CHAVEZ SANCHEZ                                                                          "</f>
        <v xml:space="preserve">DR. IGNACIO CHAVEZ SANCHEZ                                                                          </v>
      </c>
      <c r="D764" s="26" t="str">
        <f>"MATUTINO"</f>
        <v>MATUTINO</v>
      </c>
      <c r="E764" s="26" t="str">
        <f>"JALTIPAN ESQ. CHINAMECA                                                         "</f>
        <v xml:space="preserve">JALTIPAN ESQ. CHINAMECA                                                         </v>
      </c>
      <c r="F764" s="26" t="str">
        <f>"ZENON DELGADO                                                                                                                               "</f>
        <v xml:space="preserve">ZENON DELGADO                                                                                                                               </v>
      </c>
      <c r="G764" s="26" t="str">
        <f>"ALVARO OBREGON                                                                  "</f>
        <v xml:space="preserve">ALVARO OBREGON                                                                  </v>
      </c>
      <c r="H764" s="26" t="str">
        <f>"219"</f>
        <v>219</v>
      </c>
      <c r="I764" s="26" t="str">
        <f t="shared" si="101"/>
        <v>00</v>
      </c>
      <c r="J764" s="26" t="str">
        <f>"33 "</f>
        <v xml:space="preserve">33 </v>
      </c>
      <c r="K764" s="26" t="str">
        <f t="shared" si="111"/>
        <v>EP</v>
      </c>
      <c r="L764" s="26" t="str">
        <f t="shared" si="112"/>
        <v>DGOSE</v>
      </c>
      <c r="M764" s="26" t="str">
        <f t="shared" si="102"/>
        <v>FEDERAL</v>
      </c>
      <c r="N764" s="26">
        <v>152</v>
      </c>
      <c r="O764" s="26">
        <v>79</v>
      </c>
      <c r="P764" s="26">
        <v>73</v>
      </c>
      <c r="Q764" s="26">
        <v>5</v>
      </c>
      <c r="R764" s="26">
        <v>1</v>
      </c>
      <c r="S764" s="26">
        <v>5</v>
      </c>
      <c r="T764" s="26">
        <v>4</v>
      </c>
      <c r="U764" s="26">
        <v>10</v>
      </c>
      <c r="V764" s="26">
        <v>1</v>
      </c>
      <c r="W764" s="26"/>
    </row>
    <row r="765" spans="1:23" x14ac:dyDescent="0.25">
      <c r="A765" s="26" t="str">
        <f t="shared" si="100"/>
        <v>PREESCOLAR</v>
      </c>
      <c r="B765" s="26" t="str">
        <f>"09DJN0996S"</f>
        <v>09DJN0996S</v>
      </c>
      <c r="C765" s="26" t="str">
        <f>"XOLOTL                                                                                              "</f>
        <v xml:space="preserve">XOLOTL                                                                                              </v>
      </c>
      <c r="D765" s="26" t="str">
        <f>"MATUTINO"</f>
        <v>MATUTINO</v>
      </c>
      <c r="E765" s="26" t="str">
        <f>"AV. FRANCISCO VILLA Y ANTONIO CASO                                              "</f>
        <v xml:space="preserve">AV. FRANCISCO VILLA Y ANTONIO CASO                                              </v>
      </c>
      <c r="F765" s="26" t="str">
        <f>"ZONA ESCOLAR                                                                                                                                "</f>
        <v xml:space="preserve">ZONA ESCOLAR                                                                                                                                </v>
      </c>
      <c r="G765" s="26" t="str">
        <f>"GUSTAVO A. MADERO                                                               "</f>
        <v xml:space="preserve">GUSTAVO A. MADERO                                                               </v>
      </c>
      <c r="H765" s="26" t="str">
        <f>"105"</f>
        <v>105</v>
      </c>
      <c r="I765" s="26" t="str">
        <f t="shared" si="101"/>
        <v>00</v>
      </c>
      <c r="J765" s="26" t="str">
        <f>"32 "</f>
        <v xml:space="preserve">32 </v>
      </c>
      <c r="K765" s="26" t="str">
        <f t="shared" si="111"/>
        <v>EP</v>
      </c>
      <c r="L765" s="26" t="str">
        <f t="shared" si="112"/>
        <v>DGOSE</v>
      </c>
      <c r="M765" s="26" t="str">
        <f t="shared" si="102"/>
        <v>FEDERAL</v>
      </c>
      <c r="N765" s="26">
        <v>282</v>
      </c>
      <c r="O765" s="26">
        <v>134</v>
      </c>
      <c r="P765" s="26">
        <v>148</v>
      </c>
      <c r="Q765" s="26">
        <v>9</v>
      </c>
      <c r="R765" s="26">
        <v>1</v>
      </c>
      <c r="S765" s="26">
        <v>8</v>
      </c>
      <c r="T765" s="26">
        <v>3</v>
      </c>
      <c r="U765" s="26">
        <v>12</v>
      </c>
      <c r="V765" s="26">
        <v>1</v>
      </c>
      <c r="W765" s="26"/>
    </row>
    <row r="766" spans="1:23" x14ac:dyDescent="0.25">
      <c r="A766" s="26" t="str">
        <f t="shared" si="100"/>
        <v>PREESCOLAR</v>
      </c>
      <c r="B766" s="26" t="str">
        <f>"09DJN0998Q"</f>
        <v>09DJN0998Q</v>
      </c>
      <c r="C766" s="26" t="str">
        <f>"ELISA NUÑEZ                                                                                         "</f>
        <v xml:space="preserve">ELISA NUÑEZ                                                                                         </v>
      </c>
      <c r="D766" s="26" t="str">
        <f>"VESPERTINO"</f>
        <v>VESPERTINO</v>
      </c>
      <c r="E766" s="26" t="str">
        <f>"CANELA Y VAINILLA NO. 463                                                       "</f>
        <v xml:space="preserve">CANELA Y VAINILLA NO. 463                                                       </v>
      </c>
      <c r="F766" s="26" t="str">
        <f>"GRANJAS MEXICO                                                                                                                              "</f>
        <v xml:space="preserve">GRANJAS MEXICO                                                                                                                              </v>
      </c>
      <c r="G766" s="26" t="str">
        <f>"IZTACALCO                                                                       "</f>
        <v xml:space="preserve">IZTACALCO                                                                       </v>
      </c>
      <c r="H766" s="26" t="str">
        <f>"144"</f>
        <v>144</v>
      </c>
      <c r="I766" s="26" t="str">
        <f t="shared" si="101"/>
        <v>00</v>
      </c>
      <c r="J766" s="26" t="str">
        <f>"33 "</f>
        <v xml:space="preserve">33 </v>
      </c>
      <c r="K766" s="26" t="str">
        <f t="shared" si="111"/>
        <v>EP</v>
      </c>
      <c r="L766" s="26" t="str">
        <f t="shared" si="112"/>
        <v>DGOSE</v>
      </c>
      <c r="M766" s="26" t="str">
        <f t="shared" si="102"/>
        <v>FEDERAL</v>
      </c>
      <c r="N766" s="26">
        <v>109</v>
      </c>
      <c r="O766" s="26">
        <v>63</v>
      </c>
      <c r="P766" s="26">
        <v>46</v>
      </c>
      <c r="Q766" s="26">
        <v>4</v>
      </c>
      <c r="R766" s="26">
        <v>1</v>
      </c>
      <c r="S766" s="26">
        <v>4</v>
      </c>
      <c r="T766" s="26">
        <v>4</v>
      </c>
      <c r="U766" s="26">
        <v>9</v>
      </c>
      <c r="V766" s="26">
        <v>1</v>
      </c>
      <c r="W766" s="26"/>
    </row>
    <row r="767" spans="1:23" x14ac:dyDescent="0.25">
      <c r="A767" s="26" t="str">
        <f t="shared" si="100"/>
        <v>PREESCOLAR</v>
      </c>
      <c r="B767" s="26" t="str">
        <f>"09DJN0999P"</f>
        <v>09DJN0999P</v>
      </c>
      <c r="C767" s="26" t="str">
        <f>"AMERICA LATINA                                                                                      "</f>
        <v xml:space="preserve">AMERICA LATINA                                                                                      </v>
      </c>
      <c r="D767" s="26" t="str">
        <f>"JORNADA AMPLIADA"</f>
        <v>JORNADA AMPLIADA</v>
      </c>
      <c r="E767" s="26" t="str">
        <f>"ORIENTE 233 Y CDA. DE ORIENTE 233                                               "</f>
        <v xml:space="preserve">ORIENTE 233 Y CDA. DE ORIENTE 233                                               </v>
      </c>
      <c r="F767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767" s="26" t="str">
        <f>"IZTACALCO                                                                       "</f>
        <v xml:space="preserve">IZTACALCO                                                                       </v>
      </c>
      <c r="H767" s="26" t="str">
        <f>"108"</f>
        <v>108</v>
      </c>
      <c r="I767" s="26" t="str">
        <f t="shared" si="101"/>
        <v>00</v>
      </c>
      <c r="J767" s="26" t="str">
        <f>"31 "</f>
        <v xml:space="preserve">31 </v>
      </c>
      <c r="K767" s="26" t="str">
        <f t="shared" si="111"/>
        <v>EP</v>
      </c>
      <c r="L767" s="26" t="str">
        <f t="shared" si="112"/>
        <v>DGOSE</v>
      </c>
      <c r="M767" s="26" t="str">
        <f t="shared" si="102"/>
        <v>FEDERAL</v>
      </c>
      <c r="N767" s="26">
        <v>202</v>
      </c>
      <c r="O767" s="26">
        <v>104</v>
      </c>
      <c r="P767" s="26">
        <v>98</v>
      </c>
      <c r="Q767" s="26">
        <v>7</v>
      </c>
      <c r="R767" s="26">
        <v>1</v>
      </c>
      <c r="S767" s="26">
        <v>7</v>
      </c>
      <c r="T767" s="26">
        <v>6</v>
      </c>
      <c r="U767" s="26">
        <v>14</v>
      </c>
      <c r="V767" s="26">
        <v>1</v>
      </c>
      <c r="W767" s="26" t="s">
        <v>2076</v>
      </c>
    </row>
    <row r="768" spans="1:23" x14ac:dyDescent="0.25">
      <c r="A768" s="26" t="str">
        <f t="shared" si="100"/>
        <v>PREESCOLAR</v>
      </c>
      <c r="B768" s="26" t="str">
        <f>"09DJN1000E"</f>
        <v>09DJN1000E</v>
      </c>
      <c r="C768" s="26" t="str">
        <f>"MOLINXOCHIO                                                                                         "</f>
        <v xml:space="preserve">MOLINXOCHIO                                                                                         </v>
      </c>
      <c r="D768" s="26" t="str">
        <f>"MATUTINO"</f>
        <v>MATUTINO</v>
      </c>
      <c r="E768" s="26" t="str">
        <f>"GABRIELA MISTRAL Y V. TERESKOVA                                                 "</f>
        <v xml:space="preserve">GABRIELA MISTRAL Y V. TERESKOVA                                                 </v>
      </c>
      <c r="F768" s="26" t="str">
        <f>"UNIDAD HABITACIONAL MARGARITA MAZA                                                                                                          "</f>
        <v xml:space="preserve">UNIDAD HABITACIONAL MARGARITA MAZA                                                                                                          </v>
      </c>
      <c r="G768" s="26" t="str">
        <f>"IZTAPALAPA                                                                      "</f>
        <v xml:space="preserve">IZTAPALAPA                                                                      </v>
      </c>
      <c r="H768" s="26" t="str">
        <f>"020"</f>
        <v>020</v>
      </c>
      <c r="I768" s="26" t="str">
        <f t="shared" si="101"/>
        <v>00</v>
      </c>
      <c r="J768" s="26" t="str">
        <f>"63 "</f>
        <v xml:space="preserve">63 </v>
      </c>
      <c r="K768" s="26" t="str">
        <f>"IZ"</f>
        <v>IZ</v>
      </c>
      <c r="L768" s="26" t="str">
        <f>"DGSEI"</f>
        <v>DGSEI</v>
      </c>
      <c r="M768" s="26" t="str">
        <f t="shared" si="102"/>
        <v>FEDERAL</v>
      </c>
      <c r="N768" s="26">
        <v>177</v>
      </c>
      <c r="O768" s="26">
        <v>86</v>
      </c>
      <c r="P768" s="26">
        <v>91</v>
      </c>
      <c r="Q768" s="26">
        <v>6</v>
      </c>
      <c r="R768" s="26">
        <v>1</v>
      </c>
      <c r="S768" s="26">
        <v>6</v>
      </c>
      <c r="T768" s="26">
        <v>4</v>
      </c>
      <c r="U768" s="26">
        <v>11</v>
      </c>
      <c r="V768" s="26">
        <v>1</v>
      </c>
      <c r="W768" s="26"/>
    </row>
    <row r="769" spans="1:23" x14ac:dyDescent="0.25">
      <c r="A769" s="26" t="str">
        <f t="shared" si="100"/>
        <v>PREESCOLAR</v>
      </c>
      <c r="B769" s="26" t="str">
        <f>"09DJN1001D"</f>
        <v>09DJN1001D</v>
      </c>
      <c r="C769" s="26" t="str">
        <f>"REPUBLICA DE CHECOSLOVAQUIA                                                                         "</f>
        <v xml:space="preserve">REPUBLICA DE CHECOSLOVAQUIA                                                                         </v>
      </c>
      <c r="D769" s="26" t="str">
        <f>"VESPERTINO"</f>
        <v>VESPERTINO</v>
      </c>
      <c r="E769" s="26" t="str">
        <f>"MANUEL CAÑAS Y VILLA FEDERAL S/N                                                "</f>
        <v xml:space="preserve">MANUEL CAÑAS Y VILLA FEDERAL S/N                                                </v>
      </c>
      <c r="F769" s="26" t="str">
        <f>"DESARROLLO URBANO QUETZALCOATL                                                                                                              "</f>
        <v xml:space="preserve">DESARROLLO URBANO QUETZALCOATL                                                                                                              </v>
      </c>
      <c r="G769" s="26" t="str">
        <f>"IZTAPALAPA                                                                      "</f>
        <v xml:space="preserve">IZTAPALAPA                                                                      </v>
      </c>
      <c r="H769" s="26" t="str">
        <f>"032"</f>
        <v>032</v>
      </c>
      <c r="I769" s="26" t="str">
        <f t="shared" si="101"/>
        <v>00</v>
      </c>
      <c r="J769" s="26" t="str">
        <f>"64 "</f>
        <v xml:space="preserve">64 </v>
      </c>
      <c r="K769" s="26" t="str">
        <f>"IZ"</f>
        <v>IZ</v>
      </c>
      <c r="L769" s="26" t="str">
        <f>"DGSEI"</f>
        <v>DGSEI</v>
      </c>
      <c r="M769" s="26" t="str">
        <f t="shared" si="102"/>
        <v>FEDERAL</v>
      </c>
      <c r="N769" s="26">
        <v>324</v>
      </c>
      <c r="O769" s="26">
        <v>149</v>
      </c>
      <c r="P769" s="26">
        <v>175</v>
      </c>
      <c r="Q769" s="26">
        <v>8</v>
      </c>
      <c r="R769" s="26">
        <v>1</v>
      </c>
      <c r="S769" s="26">
        <v>8</v>
      </c>
      <c r="T769" s="26">
        <v>2</v>
      </c>
      <c r="U769" s="26">
        <v>11</v>
      </c>
      <c r="V769" s="26">
        <v>1</v>
      </c>
      <c r="W769" s="26"/>
    </row>
    <row r="770" spans="1:23" x14ac:dyDescent="0.25">
      <c r="A770" s="26" t="str">
        <f t="shared" ref="A770:A833" si="113">"PREESCOLAR"</f>
        <v>PREESCOLAR</v>
      </c>
      <c r="B770" s="26" t="str">
        <f>"09DJN1003B"</f>
        <v>09DJN1003B</v>
      </c>
      <c r="C770" s="26" t="str">
        <f>"CITLALICUE                                                                                          "</f>
        <v xml:space="preserve">CITLALICUE                                                                                          </v>
      </c>
      <c r="D770" s="26" t="str">
        <f>"MATUTINO"</f>
        <v>MATUTINO</v>
      </c>
      <c r="E770" s="26" t="str">
        <f>"UNION DE COLONOS Y CEMPAZUCHIL S/N                                              "</f>
        <v xml:space="preserve">UNION DE COLONOS Y CEMPAZUCHIL S/N                                              </v>
      </c>
      <c r="F770" s="26" t="str">
        <f>"SAN MIGUEL TEOTONGO                                                                                                                         "</f>
        <v xml:space="preserve">SAN MIGUEL TEOTONGO                                                                                                                         </v>
      </c>
      <c r="G770" s="26" t="str">
        <f>"IZTAPALAPA                                                                      "</f>
        <v xml:space="preserve">IZTAPALAPA                                                                      </v>
      </c>
      <c r="H770" s="26" t="str">
        <f>"038"</f>
        <v>038</v>
      </c>
      <c r="I770" s="26" t="str">
        <f t="shared" ref="I770:I833" si="114">"00"</f>
        <v>00</v>
      </c>
      <c r="J770" s="26" t="str">
        <f>"64 "</f>
        <v xml:space="preserve">64 </v>
      </c>
      <c r="K770" s="26" t="str">
        <f>"IZ"</f>
        <v>IZ</v>
      </c>
      <c r="L770" s="26" t="str">
        <f>"DGSEI"</f>
        <v>DGSEI</v>
      </c>
      <c r="M770" s="26" t="str">
        <f t="shared" ref="M770:M833" si="115">"FEDERAL"</f>
        <v>FEDERAL</v>
      </c>
      <c r="N770" s="26">
        <v>207</v>
      </c>
      <c r="O770" s="26">
        <v>107</v>
      </c>
      <c r="P770" s="26">
        <v>100</v>
      </c>
      <c r="Q770" s="26">
        <v>6</v>
      </c>
      <c r="R770" s="26">
        <v>1</v>
      </c>
      <c r="S770" s="26">
        <v>6</v>
      </c>
      <c r="T770" s="26">
        <v>3</v>
      </c>
      <c r="U770" s="26">
        <v>10</v>
      </c>
      <c r="V770" s="26">
        <v>1</v>
      </c>
      <c r="W770" s="26"/>
    </row>
    <row r="771" spans="1:23" x14ac:dyDescent="0.25">
      <c r="A771" s="26" t="str">
        <f t="shared" si="113"/>
        <v>PREESCOLAR</v>
      </c>
      <c r="B771" s="26" t="str">
        <f>"09DJN1004A"</f>
        <v>09DJN1004A</v>
      </c>
      <c r="C771" s="26" t="str">
        <f>"CITLALICUE                                                                                          "</f>
        <v xml:space="preserve">CITLALICUE                                                                                          </v>
      </c>
      <c r="D771" s="26" t="str">
        <f>"VESPERTINO"</f>
        <v>VESPERTINO</v>
      </c>
      <c r="E771" s="26" t="str">
        <f>"UNION DE COLONOS Y CEMPAZUCHIL S/N                                              "</f>
        <v xml:space="preserve">UNION DE COLONOS Y CEMPAZUCHIL S/N                                              </v>
      </c>
      <c r="F771" s="26" t="str">
        <f>"SAN MIGUEL TEOTONGO                                                                                                                         "</f>
        <v xml:space="preserve">SAN MIGUEL TEOTONGO                                                                                                                         </v>
      </c>
      <c r="G771" s="26" t="str">
        <f>"IZTAPALAPA                                                                      "</f>
        <v xml:space="preserve">IZTAPALAPA                                                                      </v>
      </c>
      <c r="H771" s="26" t="str">
        <f>"038"</f>
        <v>038</v>
      </c>
      <c r="I771" s="26" t="str">
        <f t="shared" si="114"/>
        <v>00</v>
      </c>
      <c r="J771" s="26" t="str">
        <f>"64 "</f>
        <v xml:space="preserve">64 </v>
      </c>
      <c r="K771" s="26" t="str">
        <f>"IZ"</f>
        <v>IZ</v>
      </c>
      <c r="L771" s="26" t="str">
        <f>"DGSEI"</f>
        <v>DGSEI</v>
      </c>
      <c r="M771" s="26" t="str">
        <f t="shared" si="115"/>
        <v>FEDERAL</v>
      </c>
      <c r="N771" s="26">
        <v>150</v>
      </c>
      <c r="O771" s="26">
        <v>92</v>
      </c>
      <c r="P771" s="26">
        <v>58</v>
      </c>
      <c r="Q771" s="26">
        <v>5</v>
      </c>
      <c r="R771" s="26">
        <v>1</v>
      </c>
      <c r="S771" s="26">
        <v>5</v>
      </c>
      <c r="T771" s="26">
        <v>2</v>
      </c>
      <c r="U771" s="26">
        <v>8</v>
      </c>
      <c r="V771" s="26">
        <v>1</v>
      </c>
      <c r="W771" s="26"/>
    </row>
    <row r="772" spans="1:23" x14ac:dyDescent="0.25">
      <c r="A772" s="26" t="str">
        <f t="shared" si="113"/>
        <v>PREESCOLAR</v>
      </c>
      <c r="B772" s="26" t="str">
        <f>"09DJN1005Z"</f>
        <v>09DJN1005Z</v>
      </c>
      <c r="C772" s="26" t="str">
        <f>"TZITZITLINI                                                                                         "</f>
        <v xml:space="preserve">TZITZITLINI                                                                                         </v>
      </c>
      <c r="D772" s="26" t="str">
        <f>"MATUTINO"</f>
        <v>MATUTINO</v>
      </c>
      <c r="E772" s="26" t="str">
        <f>"TECNICOS Y MANUALES S/N                                                         "</f>
        <v xml:space="preserve">TECNICOS Y MANUALES S/N                                                         </v>
      </c>
      <c r="F772" s="26" t="str">
        <f>"LOMAS ESTRELLA                                                                                                                              "</f>
        <v xml:space="preserve">LOMAS ESTRELLA                                                                                                                              </v>
      </c>
      <c r="G772" s="26" t="str">
        <f>"IZTAPALAPA                                                                      "</f>
        <v xml:space="preserve">IZTAPALAPA                                                                      </v>
      </c>
      <c r="H772" s="26" t="str">
        <f>"024"</f>
        <v>024</v>
      </c>
      <c r="I772" s="26" t="str">
        <f t="shared" si="114"/>
        <v>00</v>
      </c>
      <c r="J772" s="26" t="str">
        <f>"63 "</f>
        <v xml:space="preserve">63 </v>
      </c>
      <c r="K772" s="26" t="str">
        <f>"IZ"</f>
        <v>IZ</v>
      </c>
      <c r="L772" s="26" t="str">
        <f>"DGSEI"</f>
        <v>DGSEI</v>
      </c>
      <c r="M772" s="26" t="str">
        <f t="shared" si="115"/>
        <v>FEDERAL</v>
      </c>
      <c r="N772" s="26">
        <v>116</v>
      </c>
      <c r="O772" s="26">
        <v>58</v>
      </c>
      <c r="P772" s="26">
        <v>58</v>
      </c>
      <c r="Q772" s="26">
        <v>5</v>
      </c>
      <c r="R772" s="26">
        <v>1</v>
      </c>
      <c r="S772" s="26">
        <v>5</v>
      </c>
      <c r="T772" s="26">
        <v>3</v>
      </c>
      <c r="U772" s="26">
        <v>9</v>
      </c>
      <c r="V772" s="26">
        <v>1</v>
      </c>
      <c r="W772" s="26"/>
    </row>
    <row r="773" spans="1:23" x14ac:dyDescent="0.25">
      <c r="A773" s="26" t="str">
        <f t="shared" si="113"/>
        <v>PREESCOLAR</v>
      </c>
      <c r="B773" s="26" t="str">
        <f>"09DJN1006Z"</f>
        <v>09DJN1006Z</v>
      </c>
      <c r="C773" s="26" t="str">
        <f>"UNICEF                                                                                              "</f>
        <v xml:space="preserve">UNICEF                                                                                              </v>
      </c>
      <c r="D773" s="26" t="str">
        <f>"TIEMPO COMPLETO"</f>
        <v>TIEMPO COMPLETO</v>
      </c>
      <c r="E773" s="26" t="str">
        <f>"PARALELA 7 S/N                                                                  "</f>
        <v xml:space="preserve">PARALELA 7 S/N                                                                  </v>
      </c>
      <c r="F773" s="26" t="str">
        <f>"MOLINO DE SANTO DOMINGO                                                                                                                     "</f>
        <v xml:space="preserve">MOLINO DE SANTO DOMINGO                                                                                                                     </v>
      </c>
      <c r="G773" s="26" t="str">
        <f>"ALVARO OBREGON                                                                  "</f>
        <v xml:space="preserve">ALVARO OBREGON                                                                  </v>
      </c>
      <c r="H773" s="26" t="str">
        <f>"133"</f>
        <v>133</v>
      </c>
      <c r="I773" s="26" t="str">
        <f t="shared" si="114"/>
        <v>00</v>
      </c>
      <c r="J773" s="26" t="str">
        <f>"34 "</f>
        <v xml:space="preserve">34 </v>
      </c>
      <c r="K773" s="26" t="str">
        <f>"EP"</f>
        <v>EP</v>
      </c>
      <c r="L773" s="26" t="str">
        <f>"DGOSE"</f>
        <v>DGOSE</v>
      </c>
      <c r="M773" s="26" t="str">
        <f t="shared" si="115"/>
        <v>FEDERAL</v>
      </c>
      <c r="N773" s="26">
        <v>215</v>
      </c>
      <c r="O773" s="26">
        <v>123</v>
      </c>
      <c r="P773" s="26">
        <v>92</v>
      </c>
      <c r="Q773" s="26">
        <v>7</v>
      </c>
      <c r="R773" s="26">
        <v>2</v>
      </c>
      <c r="S773" s="26">
        <v>5</v>
      </c>
      <c r="T773" s="26">
        <v>14</v>
      </c>
      <c r="U773" s="26">
        <v>21</v>
      </c>
      <c r="V773" s="26">
        <v>1</v>
      </c>
      <c r="W773" s="26" t="s">
        <v>218</v>
      </c>
    </row>
    <row r="774" spans="1:23" x14ac:dyDescent="0.25">
      <c r="A774" s="26" t="str">
        <f t="shared" si="113"/>
        <v>PREESCOLAR</v>
      </c>
      <c r="B774" s="26" t="str">
        <f>"09DJN1007Y"</f>
        <v>09DJN1007Y</v>
      </c>
      <c r="C774" s="26" t="str">
        <f>"VICENTE RIVA PALACIO                                                                                "</f>
        <v xml:space="preserve">VICENTE RIVA PALACIO                                                                                </v>
      </c>
      <c r="D774" s="26" t="str">
        <f>"VESPERTINO"</f>
        <v>VESPERTINO</v>
      </c>
      <c r="E774" s="26" t="str">
        <f>"APATZINGAN Y TAMAZULA                                                           "</f>
        <v xml:space="preserve">APATZINGAN Y TAMAZULA                                                           </v>
      </c>
      <c r="F774" s="26" t="str">
        <f>"SAN FELIPE DE JESUS                                                                                                                         "</f>
        <v xml:space="preserve">SAN FELIPE DE JESUS                                                                                                                         </v>
      </c>
      <c r="G774" s="26" t="str">
        <f>"GUSTAVO A. MADERO                                                               "</f>
        <v xml:space="preserve">GUSTAVO A. MADERO                                                               </v>
      </c>
      <c r="H774" s="26" t="str">
        <f>"191"</f>
        <v>191</v>
      </c>
      <c r="I774" s="26" t="str">
        <f t="shared" si="114"/>
        <v>00</v>
      </c>
      <c r="J774" s="26" t="str">
        <f>"32 "</f>
        <v xml:space="preserve">32 </v>
      </c>
      <c r="K774" s="26" t="str">
        <f>"EP"</f>
        <v>EP</v>
      </c>
      <c r="L774" s="26" t="str">
        <f>"DGOSE"</f>
        <v>DGOSE</v>
      </c>
      <c r="M774" s="26" t="str">
        <f t="shared" si="115"/>
        <v>FEDERAL</v>
      </c>
      <c r="N774" s="26">
        <v>190</v>
      </c>
      <c r="O774" s="26">
        <v>96</v>
      </c>
      <c r="P774" s="26">
        <v>94</v>
      </c>
      <c r="Q774" s="26">
        <v>6</v>
      </c>
      <c r="R774" s="26">
        <v>1</v>
      </c>
      <c r="S774" s="26">
        <v>6</v>
      </c>
      <c r="T774" s="26">
        <v>5</v>
      </c>
      <c r="U774" s="26">
        <v>12</v>
      </c>
      <c r="V774" s="26">
        <v>1</v>
      </c>
      <c r="W774" s="26"/>
    </row>
    <row r="775" spans="1:23" x14ac:dyDescent="0.25">
      <c r="A775" s="26" t="str">
        <f t="shared" si="113"/>
        <v>PREESCOLAR</v>
      </c>
      <c r="B775" s="26" t="str">
        <f>"09DJN1008X"</f>
        <v>09DJN1008X</v>
      </c>
      <c r="C775" s="26" t="str">
        <f>"AHUILIZTLI                                                                                          "</f>
        <v xml:space="preserve">AHUILIZTLI                                                                                          </v>
      </c>
      <c r="D775" s="26" t="str">
        <f>"JORNADA AMPLIADA"</f>
        <v>JORNADA AMPLIADA</v>
      </c>
      <c r="E775" s="26" t="str">
        <f>"CINEMATOGRAFISTAS NO. 121                                                       "</f>
        <v xml:space="preserve">CINEMATOGRAFISTAS NO. 121                                                       </v>
      </c>
      <c r="F775" s="26" t="str">
        <f>"EL VERGEL                                                                                                                                   "</f>
        <v xml:space="preserve">EL VERGEL                                                                                                                                   </v>
      </c>
      <c r="G775" s="26" t="str">
        <f>"IZTAPALAPA                                                                      "</f>
        <v xml:space="preserve">IZTAPALAPA                                                                      </v>
      </c>
      <c r="H775" s="26" t="str">
        <f>"010"</f>
        <v>010</v>
      </c>
      <c r="I775" s="26" t="str">
        <f t="shared" si="114"/>
        <v>00</v>
      </c>
      <c r="J775" s="26" t="str">
        <f>"61 "</f>
        <v xml:space="preserve">61 </v>
      </c>
      <c r="K775" s="26" t="str">
        <f>"IZ"</f>
        <v>IZ</v>
      </c>
      <c r="L775" s="26" t="str">
        <f>"DGSEI"</f>
        <v>DGSEI</v>
      </c>
      <c r="M775" s="26" t="str">
        <f t="shared" si="115"/>
        <v>FEDERAL</v>
      </c>
      <c r="N775" s="26">
        <v>292</v>
      </c>
      <c r="O775" s="26">
        <v>162</v>
      </c>
      <c r="P775" s="26">
        <v>130</v>
      </c>
      <c r="Q775" s="26">
        <v>5</v>
      </c>
      <c r="R775" s="26">
        <v>1</v>
      </c>
      <c r="S775" s="26">
        <v>5</v>
      </c>
      <c r="T775" s="26">
        <v>10</v>
      </c>
      <c r="U775" s="26">
        <v>16</v>
      </c>
      <c r="V775" s="26">
        <v>1</v>
      </c>
      <c r="W775" s="26" t="s">
        <v>2076</v>
      </c>
    </row>
    <row r="776" spans="1:23" x14ac:dyDescent="0.25">
      <c r="A776" s="26" t="str">
        <f t="shared" si="113"/>
        <v>PREESCOLAR</v>
      </c>
      <c r="B776" s="26" t="str">
        <f>"09DJN1009W"</f>
        <v>09DJN1009W</v>
      </c>
      <c r="C776" s="26" t="str">
        <f>"MIXCOATL                                                                                            "</f>
        <v xml:space="preserve">MIXCOATL                                                                                            </v>
      </c>
      <c r="D776" s="26" t="str">
        <f>"MATUTINO"</f>
        <v>MATUTINO</v>
      </c>
      <c r="E776" s="26" t="str">
        <f>"CARRIL 11 S/N                                                                   "</f>
        <v xml:space="preserve">CARRIL 11 S/N                                                                   </v>
      </c>
      <c r="F776" s="26" t="str">
        <f>"SAN JUAN XALPA                                                                                                                              "</f>
        <v xml:space="preserve">SAN JUAN XALPA                                                                                                                              </v>
      </c>
      <c r="G776" s="26" t="str">
        <f>"IZTAPALAPA                                                                      "</f>
        <v xml:space="preserve">IZTAPALAPA                                                                      </v>
      </c>
      <c r="H776" s="26" t="str">
        <f>"025"</f>
        <v>025</v>
      </c>
      <c r="I776" s="26" t="str">
        <f t="shared" si="114"/>
        <v>00</v>
      </c>
      <c r="J776" s="26" t="str">
        <f>"63 "</f>
        <v xml:space="preserve">63 </v>
      </c>
      <c r="K776" s="26" t="str">
        <f>"IZ"</f>
        <v>IZ</v>
      </c>
      <c r="L776" s="26" t="str">
        <f>"DGSEI"</f>
        <v>DGSEI</v>
      </c>
      <c r="M776" s="26" t="str">
        <f t="shared" si="115"/>
        <v>FEDERAL</v>
      </c>
      <c r="N776" s="26">
        <v>211</v>
      </c>
      <c r="O776" s="26">
        <v>111</v>
      </c>
      <c r="P776" s="26">
        <v>100</v>
      </c>
      <c r="Q776" s="26">
        <v>6</v>
      </c>
      <c r="R776" s="26">
        <v>1</v>
      </c>
      <c r="S776" s="26">
        <v>6</v>
      </c>
      <c r="T776" s="26">
        <v>3</v>
      </c>
      <c r="U776" s="26">
        <v>10</v>
      </c>
      <c r="V776" s="26">
        <v>1</v>
      </c>
      <c r="W776" s="26"/>
    </row>
    <row r="777" spans="1:23" x14ac:dyDescent="0.25">
      <c r="A777" s="26" t="str">
        <f t="shared" si="113"/>
        <v>PREESCOLAR</v>
      </c>
      <c r="B777" s="26" t="str">
        <f>"09DJN1010L"</f>
        <v>09DJN1010L</v>
      </c>
      <c r="C777" s="26" t="str">
        <f>"MIXCOATL                                                                                            "</f>
        <v xml:space="preserve">MIXCOATL                                                                                            </v>
      </c>
      <c r="D777" s="26" t="str">
        <f>"VESPERTINO"</f>
        <v>VESPERTINO</v>
      </c>
      <c r="E777" s="26" t="str">
        <f>"CARRIL 11 S/N                                                                   "</f>
        <v xml:space="preserve">CARRIL 11 S/N                                                                   </v>
      </c>
      <c r="F777" s="26" t="str">
        <f>"SAN JUAN XALPA                                                                                                                              "</f>
        <v xml:space="preserve">SAN JUAN XALPA                                                                                                                              </v>
      </c>
      <c r="G777" s="26" t="str">
        <f>"IZTAPALAPA                                                                      "</f>
        <v xml:space="preserve">IZTAPALAPA                                                                      </v>
      </c>
      <c r="H777" s="26" t="str">
        <f>"025"</f>
        <v>025</v>
      </c>
      <c r="I777" s="26" t="str">
        <f t="shared" si="114"/>
        <v>00</v>
      </c>
      <c r="J777" s="26" t="str">
        <f>"63 "</f>
        <v xml:space="preserve">63 </v>
      </c>
      <c r="K777" s="26" t="str">
        <f>"IZ"</f>
        <v>IZ</v>
      </c>
      <c r="L777" s="26" t="str">
        <f>"DGSEI"</f>
        <v>DGSEI</v>
      </c>
      <c r="M777" s="26" t="str">
        <f t="shared" si="115"/>
        <v>FEDERAL</v>
      </c>
      <c r="N777" s="26">
        <v>159</v>
      </c>
      <c r="O777" s="26">
        <v>76</v>
      </c>
      <c r="P777" s="26">
        <v>83</v>
      </c>
      <c r="Q777" s="26">
        <v>5</v>
      </c>
      <c r="R777" s="26">
        <v>1</v>
      </c>
      <c r="S777" s="26">
        <v>4</v>
      </c>
      <c r="T777" s="26">
        <v>3</v>
      </c>
      <c r="U777" s="26">
        <v>8</v>
      </c>
      <c r="V777" s="26">
        <v>1</v>
      </c>
      <c r="W777" s="26"/>
    </row>
    <row r="778" spans="1:23" x14ac:dyDescent="0.25">
      <c r="A778" s="26" t="str">
        <f t="shared" si="113"/>
        <v>PREESCOLAR</v>
      </c>
      <c r="B778" s="26" t="str">
        <f>"09DJN1012J"</f>
        <v>09DJN1012J</v>
      </c>
      <c r="C778" s="26" t="str">
        <f>"C.A.S.I. HUAYATLA                                                                                   "</f>
        <v xml:space="preserve">C.A.S.I. HUAYATLA                                                                                   </v>
      </c>
      <c r="D778" s="26" t="str">
        <f t="shared" ref="D778:D783" si="116">"JORNADA AMPLIADA"</f>
        <v>JORNADA AMPLIADA</v>
      </c>
      <c r="E778" s="26" t="str">
        <f>"CALLE 10 DE JUNIO S/N                                                           "</f>
        <v xml:space="preserve">CALLE 10 DE JUNIO S/N                                                           </v>
      </c>
      <c r="F778" s="26" t="str">
        <f>"POTRERILLO                                                                                                                                  "</f>
        <v xml:space="preserve">POTRERILLO                                                                                                                                  </v>
      </c>
      <c r="G778" s="26" t="str">
        <f>"LA MAGDALENA CONTRERAS                                                          "</f>
        <v xml:space="preserve">LA MAGDALENA CONTRERAS                                                          </v>
      </c>
      <c r="H778" s="26" t="str">
        <f>"079"</f>
        <v>079</v>
      </c>
      <c r="I778" s="26" t="str">
        <f t="shared" si="114"/>
        <v>00</v>
      </c>
      <c r="J778" s="26" t="str">
        <f>"34 "</f>
        <v xml:space="preserve">34 </v>
      </c>
      <c r="K778" s="26" t="str">
        <f>"EP"</f>
        <v>EP</v>
      </c>
      <c r="L778" s="26" t="str">
        <f>"DGOSE"</f>
        <v>DGOSE</v>
      </c>
      <c r="M778" s="26" t="str">
        <f t="shared" si="115"/>
        <v>FEDERAL</v>
      </c>
      <c r="N778" s="26">
        <v>185</v>
      </c>
      <c r="O778" s="26">
        <v>90</v>
      </c>
      <c r="P778" s="26">
        <v>95</v>
      </c>
      <c r="Q778" s="26">
        <v>6</v>
      </c>
      <c r="R778" s="26">
        <v>1</v>
      </c>
      <c r="S778" s="26">
        <v>5</v>
      </c>
      <c r="T778" s="26">
        <v>5</v>
      </c>
      <c r="U778" s="26">
        <v>11</v>
      </c>
      <c r="V778" s="26">
        <v>1</v>
      </c>
      <c r="W778" s="26" t="s">
        <v>2076</v>
      </c>
    </row>
    <row r="779" spans="1:23" x14ac:dyDescent="0.25">
      <c r="A779" s="26" t="str">
        <f t="shared" si="113"/>
        <v>PREESCOLAR</v>
      </c>
      <c r="B779" s="26" t="str">
        <f>"09DJN1013I"</f>
        <v>09DJN1013I</v>
      </c>
      <c r="C779" s="26" t="str">
        <f>"YOLLOTLI                                                                                            "</f>
        <v xml:space="preserve">YOLLOTLI                                                                                            </v>
      </c>
      <c r="D779" s="26" t="str">
        <f t="shared" si="116"/>
        <v>JORNADA AMPLIADA</v>
      </c>
      <c r="E779" s="26" t="str">
        <f>"JALISCO S/N                                                                     "</f>
        <v xml:space="preserve">JALISCO S/N                                                                     </v>
      </c>
      <c r="F779" s="26" t="str">
        <f>"HEROES DE PADIERNA                                                                                                                          "</f>
        <v xml:space="preserve">HEROES DE PADIERNA                                                                                                                          </v>
      </c>
      <c r="G779" s="26" t="str">
        <f>"LA MAGDALENA CONTRERAS                                                          "</f>
        <v xml:space="preserve">LA MAGDALENA CONTRERAS                                                          </v>
      </c>
      <c r="H779" s="26" t="str">
        <f>"071"</f>
        <v>071</v>
      </c>
      <c r="I779" s="26" t="str">
        <f t="shared" si="114"/>
        <v>00</v>
      </c>
      <c r="J779" s="26" t="str">
        <f>"34 "</f>
        <v xml:space="preserve">34 </v>
      </c>
      <c r="K779" s="26" t="str">
        <f>"EP"</f>
        <v>EP</v>
      </c>
      <c r="L779" s="26" t="str">
        <f>"DGOSE"</f>
        <v>DGOSE</v>
      </c>
      <c r="M779" s="26" t="str">
        <f t="shared" si="115"/>
        <v>FEDERAL</v>
      </c>
      <c r="N779" s="26">
        <v>163</v>
      </c>
      <c r="O779" s="26">
        <v>71</v>
      </c>
      <c r="P779" s="26">
        <v>92</v>
      </c>
      <c r="Q779" s="26">
        <v>5</v>
      </c>
      <c r="R779" s="26">
        <v>1</v>
      </c>
      <c r="S779" s="26">
        <v>4</v>
      </c>
      <c r="T779" s="26">
        <v>6</v>
      </c>
      <c r="U779" s="26">
        <v>11</v>
      </c>
      <c r="V779" s="26">
        <v>1</v>
      </c>
      <c r="W779" s="26" t="s">
        <v>2076</v>
      </c>
    </row>
    <row r="780" spans="1:23" x14ac:dyDescent="0.25">
      <c r="A780" s="26" t="str">
        <f t="shared" si="113"/>
        <v>PREESCOLAR</v>
      </c>
      <c r="B780" s="26" t="str">
        <f>"09DJN1014H"</f>
        <v>09DJN1014H</v>
      </c>
      <c r="C780" s="26" t="str">
        <f>"IZTAPALAPA                                                                                          "</f>
        <v xml:space="preserve">IZTAPALAPA                                                                                          </v>
      </c>
      <c r="D780" s="26" t="str">
        <f t="shared" si="116"/>
        <v>JORNADA AMPLIADA</v>
      </c>
      <c r="E780" s="26" t="str">
        <f>"ANDADOR CASTILLO DE SN DIEGO S/N                                                "</f>
        <v xml:space="preserve">ANDADOR CASTILLO DE SN DIEGO S/N                                                </v>
      </c>
      <c r="F780" s="26" t="str">
        <f>"CONJUNTO URBANO POPULAR ERMITA ZARA                                                                                                         "</f>
        <v xml:space="preserve">CONJUNTO URBANO POPULAR ERMITA ZARA                                                                                                         </v>
      </c>
      <c r="G780" s="26" t="str">
        <f>"IZTAPALAPA                                                                      "</f>
        <v xml:space="preserve">IZTAPALAPA                                                                      </v>
      </c>
      <c r="H780" s="26" t="str">
        <f>"008"</f>
        <v>008</v>
      </c>
      <c r="I780" s="26" t="str">
        <f t="shared" si="114"/>
        <v>00</v>
      </c>
      <c r="J780" s="26" t="str">
        <f>"61 "</f>
        <v xml:space="preserve">61 </v>
      </c>
      <c r="K780" s="26" t="str">
        <f>"IZ"</f>
        <v>IZ</v>
      </c>
      <c r="L780" s="26" t="str">
        <f>"DGSEI"</f>
        <v>DGSEI</v>
      </c>
      <c r="M780" s="26" t="str">
        <f t="shared" si="115"/>
        <v>FEDERAL</v>
      </c>
      <c r="N780" s="26">
        <v>137</v>
      </c>
      <c r="O780" s="26">
        <v>68</v>
      </c>
      <c r="P780" s="26">
        <v>69</v>
      </c>
      <c r="Q780" s="26">
        <v>4</v>
      </c>
      <c r="R780" s="26">
        <v>1</v>
      </c>
      <c r="S780" s="26">
        <v>4</v>
      </c>
      <c r="T780" s="26">
        <v>6</v>
      </c>
      <c r="U780" s="26">
        <v>11</v>
      </c>
      <c r="V780" s="26">
        <v>1</v>
      </c>
      <c r="W780" s="26" t="s">
        <v>2076</v>
      </c>
    </row>
    <row r="781" spans="1:23" x14ac:dyDescent="0.25">
      <c r="A781" s="26" t="str">
        <f t="shared" si="113"/>
        <v>PREESCOLAR</v>
      </c>
      <c r="B781" s="26" t="str">
        <f>"09DJN1016F"</f>
        <v>09DJN1016F</v>
      </c>
      <c r="C781" s="26" t="str">
        <f>"CMDTE DE BOMBEROS JOSE SAAVEDRA DEL RAZO                                                            "</f>
        <v xml:space="preserve">CMDTE DE BOMBEROS JOSE SAAVEDRA DEL RAZO                                                            </v>
      </c>
      <c r="D781" s="26" t="str">
        <f t="shared" si="116"/>
        <v>JORNADA AMPLIADA</v>
      </c>
      <c r="E781" s="26" t="str">
        <f>"REPUBLICAS Y TOKIO S/N                                                          "</f>
        <v xml:space="preserve">REPUBLICAS Y TOKIO S/N                                                          </v>
      </c>
      <c r="F781" s="26" t="str">
        <f>"PORTALES                                                                                                                                    "</f>
        <v xml:space="preserve">PORTALES                                                                                                                                    </v>
      </c>
      <c r="G781" s="26" t="str">
        <f>"BENITO JUAREZ                                                                   "</f>
        <v xml:space="preserve">BENITO JUAREZ                                                                   </v>
      </c>
      <c r="H781" s="26" t="str">
        <f>"228"</f>
        <v>228</v>
      </c>
      <c r="I781" s="26" t="str">
        <f t="shared" si="114"/>
        <v>00</v>
      </c>
      <c r="J781" s="26" t="str">
        <f>"34 "</f>
        <v xml:space="preserve">34 </v>
      </c>
      <c r="K781" s="26" t="str">
        <f t="shared" ref="K781:K790" si="117">"EP"</f>
        <v>EP</v>
      </c>
      <c r="L781" s="26" t="str">
        <f t="shared" ref="L781:L790" si="118">"DGOSE"</f>
        <v>DGOSE</v>
      </c>
      <c r="M781" s="26" t="str">
        <f t="shared" si="115"/>
        <v>FEDERAL</v>
      </c>
      <c r="N781" s="26">
        <v>158</v>
      </c>
      <c r="O781" s="26">
        <v>81</v>
      </c>
      <c r="P781" s="26">
        <v>77</v>
      </c>
      <c r="Q781" s="26">
        <v>5</v>
      </c>
      <c r="R781" s="26">
        <v>1</v>
      </c>
      <c r="S781" s="26">
        <v>5</v>
      </c>
      <c r="T781" s="26">
        <v>6</v>
      </c>
      <c r="U781" s="26">
        <v>12</v>
      </c>
      <c r="V781" s="26">
        <v>1</v>
      </c>
      <c r="W781" s="26" t="s">
        <v>2076</v>
      </c>
    </row>
    <row r="782" spans="1:23" x14ac:dyDescent="0.25">
      <c r="A782" s="26" t="str">
        <f t="shared" si="113"/>
        <v>PREESCOLAR</v>
      </c>
      <c r="B782" s="26" t="str">
        <f>"09DJN1017E"</f>
        <v>09DJN1017E</v>
      </c>
      <c r="C782" s="26" t="str">
        <f>"HEROES DE 1810                                                                                      "</f>
        <v xml:space="preserve">HEROES DE 1810                                                                                      </v>
      </c>
      <c r="D782" s="26" t="str">
        <f t="shared" si="116"/>
        <v>JORNADA AMPLIADA</v>
      </c>
      <c r="E782" s="26" t="str">
        <f>"EST. ROSA MA. SEQUEIRA  Z-18                                                    "</f>
        <v xml:space="preserve">EST. ROSA MA. SEQUEIRA  Z-18                                                    </v>
      </c>
      <c r="F782" s="26" t="str">
        <f>"SAN FRANCISCO CULHUACAN                                                                                                                     "</f>
        <v xml:space="preserve">SAN FRANCISCO CULHUACAN                                                                                                                     </v>
      </c>
      <c r="G782" s="26" t="str">
        <f>"COYOACAN                                                                        "</f>
        <v xml:space="preserve">COYOACAN                                                                        </v>
      </c>
      <c r="H782" s="26" t="str">
        <f>"209"</f>
        <v>209</v>
      </c>
      <c r="I782" s="26" t="str">
        <f t="shared" si="114"/>
        <v>00</v>
      </c>
      <c r="J782" s="26" t="str">
        <f>"34 "</f>
        <v xml:space="preserve">34 </v>
      </c>
      <c r="K782" s="26" t="str">
        <f t="shared" si="117"/>
        <v>EP</v>
      </c>
      <c r="L782" s="26" t="str">
        <f t="shared" si="118"/>
        <v>DGOSE</v>
      </c>
      <c r="M782" s="26" t="str">
        <f t="shared" si="115"/>
        <v>FEDERAL</v>
      </c>
      <c r="N782" s="26">
        <v>90</v>
      </c>
      <c r="O782" s="26">
        <v>43</v>
      </c>
      <c r="P782" s="26">
        <v>47</v>
      </c>
      <c r="Q782" s="26">
        <v>3</v>
      </c>
      <c r="R782" s="26">
        <v>1</v>
      </c>
      <c r="S782" s="26">
        <v>3</v>
      </c>
      <c r="T782" s="26">
        <v>5</v>
      </c>
      <c r="U782" s="26">
        <v>9</v>
      </c>
      <c r="V782" s="26">
        <v>1</v>
      </c>
      <c r="W782" s="26" t="s">
        <v>2076</v>
      </c>
    </row>
    <row r="783" spans="1:23" x14ac:dyDescent="0.25">
      <c r="A783" s="26" t="str">
        <f t="shared" si="113"/>
        <v>PREESCOLAR</v>
      </c>
      <c r="B783" s="26" t="str">
        <f>"09DJN1020S"</f>
        <v>09DJN1020S</v>
      </c>
      <c r="C783" s="26" t="str">
        <f>"TIERRA Y LIBERTAD                                                                                   "</f>
        <v xml:space="preserve">TIERRA Y LIBERTAD                                                                                   </v>
      </c>
      <c r="D783" s="26" t="str">
        <f t="shared" si="116"/>
        <v>JORNADA AMPLIADA</v>
      </c>
      <c r="E783" s="26" t="s">
        <v>87</v>
      </c>
      <c r="F783" s="26" t="str">
        <f>"SAN JOSE                                                                                                                                    "</f>
        <v xml:space="preserve">SAN JOSE                                                                                                                                    </v>
      </c>
      <c r="G783" s="26" t="str">
        <f>"TLAHUAC                                                                         "</f>
        <v xml:space="preserve">TLAHUAC                                                                         </v>
      </c>
      <c r="H783" s="26" t="str">
        <f>"054"</f>
        <v>054</v>
      </c>
      <c r="I783" s="26" t="str">
        <f t="shared" si="114"/>
        <v>00</v>
      </c>
      <c r="J783" s="26" t="str">
        <f>"34 "</f>
        <v xml:space="preserve">34 </v>
      </c>
      <c r="K783" s="26" t="str">
        <f t="shared" si="117"/>
        <v>EP</v>
      </c>
      <c r="L783" s="26" t="str">
        <f t="shared" si="118"/>
        <v>DGOSE</v>
      </c>
      <c r="M783" s="26" t="str">
        <f t="shared" si="115"/>
        <v>FEDERAL</v>
      </c>
      <c r="N783" s="26">
        <v>233</v>
      </c>
      <c r="O783" s="26">
        <v>126</v>
      </c>
      <c r="P783" s="26">
        <v>107</v>
      </c>
      <c r="Q783" s="26">
        <v>7</v>
      </c>
      <c r="R783" s="26">
        <v>0</v>
      </c>
      <c r="S783" s="26">
        <v>7</v>
      </c>
      <c r="T783" s="26">
        <v>7</v>
      </c>
      <c r="U783" s="26">
        <v>14</v>
      </c>
      <c r="V783" s="26">
        <v>1</v>
      </c>
      <c r="W783" s="26" t="s">
        <v>2076</v>
      </c>
    </row>
    <row r="784" spans="1:23" x14ac:dyDescent="0.25">
      <c r="A784" s="26" t="str">
        <f t="shared" si="113"/>
        <v>PREESCOLAR</v>
      </c>
      <c r="B784" s="26" t="str">
        <f>"09DJN1021R"</f>
        <v>09DJN1021R</v>
      </c>
      <c r="C784" s="26" t="str">
        <f>"TINEMI                                                                                              "</f>
        <v xml:space="preserve">TINEMI                                                                                              </v>
      </c>
      <c r="D784" s="26" t="str">
        <f>"MATUTINO"</f>
        <v>MATUTINO</v>
      </c>
      <c r="E784" s="26" t="str">
        <f>"JACARANDAS Y SABINO                                                             "</f>
        <v xml:space="preserve">JACARANDAS Y SABINO                                                             </v>
      </c>
      <c r="F784" s="26" t="str">
        <f>"BOSQUE DEL PEDREGAL                                                                                                                         "</f>
        <v xml:space="preserve">BOSQUE DEL PEDREGAL                                                                                                                         </v>
      </c>
      <c r="G784" s="26" t="str">
        <f>"TLALPAN                                                                         "</f>
        <v xml:space="preserve">TLALPAN                                                                         </v>
      </c>
      <c r="H784" s="26" t="str">
        <f>"146"</f>
        <v>146</v>
      </c>
      <c r="I784" s="26" t="str">
        <f t="shared" si="114"/>
        <v>00</v>
      </c>
      <c r="J784" s="26" t="str">
        <f>"35 "</f>
        <v xml:space="preserve">35 </v>
      </c>
      <c r="K784" s="26" t="str">
        <f t="shared" si="117"/>
        <v>EP</v>
      </c>
      <c r="L784" s="26" t="str">
        <f t="shared" si="118"/>
        <v>DGOSE</v>
      </c>
      <c r="M784" s="26" t="str">
        <f t="shared" si="115"/>
        <v>FEDERAL</v>
      </c>
      <c r="N784" s="26">
        <v>221</v>
      </c>
      <c r="O784" s="26">
        <v>108</v>
      </c>
      <c r="P784" s="26">
        <v>113</v>
      </c>
      <c r="Q784" s="26">
        <v>6</v>
      </c>
      <c r="R784" s="26">
        <v>1</v>
      </c>
      <c r="S784" s="26">
        <v>6</v>
      </c>
      <c r="T784" s="26">
        <v>3</v>
      </c>
      <c r="U784" s="26">
        <v>10</v>
      </c>
      <c r="V784" s="26">
        <v>1</v>
      </c>
      <c r="W784" s="26"/>
    </row>
    <row r="785" spans="1:23" x14ac:dyDescent="0.25">
      <c r="A785" s="26" t="str">
        <f t="shared" si="113"/>
        <v>PREESCOLAR</v>
      </c>
      <c r="B785" s="26" t="str">
        <f>"09DJN1022Q"</f>
        <v>09DJN1022Q</v>
      </c>
      <c r="C785" s="26" t="str">
        <f>"XOCHICONETL                                                                                         "</f>
        <v xml:space="preserve">XOCHICONETL                                                                                         </v>
      </c>
      <c r="D785" s="26" t="str">
        <f>"JORNADA AMPLIADA"</f>
        <v>JORNADA AMPLIADA</v>
      </c>
      <c r="E785" s="26" t="str">
        <f>"AV. SIETE S/N                                                                   "</f>
        <v xml:space="preserve">AV. SIETE S/N                                                                   </v>
      </c>
      <c r="F785" s="26" t="str">
        <f>"MIGUEL HIDALGO AMPLIACION                                                                                                                   "</f>
        <v xml:space="preserve">MIGUEL HIDALGO AMPLIACION                                                                                                                   </v>
      </c>
      <c r="G785" s="26" t="str">
        <f>"TLALPAN                                                                         "</f>
        <v xml:space="preserve">TLALPAN                                                                         </v>
      </c>
      <c r="H785" s="26" t="str">
        <f>"224"</f>
        <v>224</v>
      </c>
      <c r="I785" s="26" t="str">
        <f t="shared" si="114"/>
        <v>00</v>
      </c>
      <c r="J785" s="26" t="str">
        <f>"34 "</f>
        <v xml:space="preserve">34 </v>
      </c>
      <c r="K785" s="26" t="str">
        <f t="shared" si="117"/>
        <v>EP</v>
      </c>
      <c r="L785" s="26" t="str">
        <f t="shared" si="118"/>
        <v>DGOSE</v>
      </c>
      <c r="M785" s="26" t="str">
        <f t="shared" si="115"/>
        <v>FEDERAL</v>
      </c>
      <c r="N785" s="26">
        <v>228</v>
      </c>
      <c r="O785" s="26">
        <v>90</v>
      </c>
      <c r="P785" s="26">
        <v>138</v>
      </c>
      <c r="Q785" s="26">
        <v>7</v>
      </c>
      <c r="R785" s="26">
        <v>1</v>
      </c>
      <c r="S785" s="26">
        <v>7</v>
      </c>
      <c r="T785" s="26">
        <v>8</v>
      </c>
      <c r="U785" s="26">
        <v>16</v>
      </c>
      <c r="V785" s="26">
        <v>1</v>
      </c>
      <c r="W785" s="26" t="s">
        <v>2076</v>
      </c>
    </row>
    <row r="786" spans="1:23" x14ac:dyDescent="0.25">
      <c r="A786" s="26" t="str">
        <f t="shared" si="113"/>
        <v>PREESCOLAR</v>
      </c>
      <c r="B786" s="26" t="str">
        <f>"09DJN1023P"</f>
        <v>09DJN1023P</v>
      </c>
      <c r="C786" s="26" t="str">
        <f>"COSTA DE MARFIL                                                                                     "</f>
        <v xml:space="preserve">COSTA DE MARFIL                                                                                     </v>
      </c>
      <c r="D786" s="26" t="str">
        <f>"VESPERTINO"</f>
        <v>VESPERTINO</v>
      </c>
      <c r="E786" s="26" t="str">
        <f>"CALLE 18 DE MARZO NO. 15                                                        "</f>
        <v xml:space="preserve">CALLE 18 DE MARZO NO. 15                                                        </v>
      </c>
      <c r="F786" s="26" t="str">
        <f>"HUICHAPAN                                                                                                                                   "</f>
        <v xml:space="preserve">HUICHAPAN                                                                                                                                   </v>
      </c>
      <c r="G786" s="26" t="str">
        <f>"XOCHIMILCO                                                                      "</f>
        <v xml:space="preserve">XOCHIMILCO                                                                      </v>
      </c>
      <c r="H786" s="26" t="str">
        <f>"050"</f>
        <v>050</v>
      </c>
      <c r="I786" s="26" t="str">
        <f t="shared" si="114"/>
        <v>00</v>
      </c>
      <c r="J786" s="26" t="str">
        <f>"35 "</f>
        <v xml:space="preserve">35 </v>
      </c>
      <c r="K786" s="26" t="str">
        <f t="shared" si="117"/>
        <v>EP</v>
      </c>
      <c r="L786" s="26" t="str">
        <f t="shared" si="118"/>
        <v>DGOSE</v>
      </c>
      <c r="M786" s="26" t="str">
        <f t="shared" si="115"/>
        <v>FEDERAL</v>
      </c>
      <c r="N786" s="26">
        <v>87</v>
      </c>
      <c r="O786" s="26">
        <v>37</v>
      </c>
      <c r="P786" s="26">
        <v>50</v>
      </c>
      <c r="Q786" s="26">
        <v>3</v>
      </c>
      <c r="R786" s="26">
        <v>1</v>
      </c>
      <c r="S786" s="26">
        <v>3</v>
      </c>
      <c r="T786" s="26">
        <v>3</v>
      </c>
      <c r="U786" s="26">
        <v>7</v>
      </c>
      <c r="V786" s="26">
        <v>1</v>
      </c>
      <c r="W786" s="26"/>
    </row>
    <row r="787" spans="1:23" x14ac:dyDescent="0.25">
      <c r="A787" s="26" t="str">
        <f t="shared" si="113"/>
        <v>PREESCOLAR</v>
      </c>
      <c r="B787" s="26" t="str">
        <f>"09DJN1024O"</f>
        <v>09DJN1024O</v>
      </c>
      <c r="C787" s="26" t="str">
        <f>"COCOXOCHITL                                                                                         "</f>
        <v xml:space="preserve">COCOXOCHITL                                                                                         </v>
      </c>
      <c r="D787" s="26" t="str">
        <f>"VESPERTINO"</f>
        <v>VESPERTINO</v>
      </c>
      <c r="E787" s="26" t="str">
        <f>"AV. CUAUHTEMOC NO. 28                                                           "</f>
        <v xml:space="preserve">AV. CUAUHTEMOC NO. 28                                                           </v>
      </c>
      <c r="F787" s="26" t="str">
        <f>"SAN GREGORIO ATLAPULCO                                                                                                                      "</f>
        <v xml:space="preserve">SAN GREGORIO ATLAPULCO                                                                                                                      </v>
      </c>
      <c r="G787" s="26" t="str">
        <f>"XOCHIMILCO                                                                      "</f>
        <v xml:space="preserve">XOCHIMILCO                                                                      </v>
      </c>
      <c r="H787" s="26" t="str">
        <f>"033"</f>
        <v>033</v>
      </c>
      <c r="I787" s="26" t="str">
        <f t="shared" si="114"/>
        <v>00</v>
      </c>
      <c r="J787" s="26" t="str">
        <f>"35 "</f>
        <v xml:space="preserve">35 </v>
      </c>
      <c r="K787" s="26" t="str">
        <f t="shared" si="117"/>
        <v>EP</v>
      </c>
      <c r="L787" s="26" t="str">
        <f t="shared" si="118"/>
        <v>DGOSE</v>
      </c>
      <c r="M787" s="26" t="str">
        <f t="shared" si="115"/>
        <v>FEDERAL</v>
      </c>
      <c r="N787" s="26">
        <v>241</v>
      </c>
      <c r="O787" s="26">
        <v>116</v>
      </c>
      <c r="P787" s="26">
        <v>125</v>
      </c>
      <c r="Q787" s="26">
        <v>8</v>
      </c>
      <c r="R787" s="26">
        <v>1</v>
      </c>
      <c r="S787" s="26">
        <v>7</v>
      </c>
      <c r="T787" s="26">
        <v>8</v>
      </c>
      <c r="U787" s="26">
        <v>16</v>
      </c>
      <c r="V787" s="26">
        <v>1</v>
      </c>
      <c r="W787" s="26"/>
    </row>
    <row r="788" spans="1:23" x14ac:dyDescent="0.25">
      <c r="A788" s="26" t="str">
        <f t="shared" si="113"/>
        <v>PREESCOLAR</v>
      </c>
      <c r="B788" s="26" t="str">
        <f>"09DJN1027L"</f>
        <v>09DJN1027L</v>
      </c>
      <c r="C788" s="26" t="str">
        <f>"IRENE MARIN DE AYALA                                                                                "</f>
        <v xml:space="preserve">IRENE MARIN DE AYALA                                                                                </v>
      </c>
      <c r="D788" s="26" t="str">
        <f>"VESPERTINO"</f>
        <v>VESPERTINO</v>
      </c>
      <c r="E788" s="26" t="str">
        <f>"HUICHAPAN S/N                                                                   "</f>
        <v xml:space="preserve">HUICHAPAN S/N                                                                   </v>
      </c>
      <c r="F788" s="26" t="str">
        <f>"MICHOACANA                                                                                                                                  "</f>
        <v xml:space="preserve">MICHOACANA                                                                                                                                  </v>
      </c>
      <c r="G788" s="26" t="str">
        <f>"VENUSTIANO CARRANZA                                                             "</f>
        <v xml:space="preserve">VENUSTIANO CARRANZA                                                             </v>
      </c>
      <c r="H788" s="26" t="str">
        <f>"130"</f>
        <v>130</v>
      </c>
      <c r="I788" s="26" t="str">
        <f t="shared" si="114"/>
        <v>00</v>
      </c>
      <c r="J788" s="26" t="str">
        <f>"33 "</f>
        <v xml:space="preserve">33 </v>
      </c>
      <c r="K788" s="26" t="str">
        <f t="shared" si="117"/>
        <v>EP</v>
      </c>
      <c r="L788" s="26" t="str">
        <f t="shared" si="118"/>
        <v>DGOSE</v>
      </c>
      <c r="M788" s="26" t="str">
        <f t="shared" si="115"/>
        <v>FEDERAL</v>
      </c>
      <c r="N788" s="26">
        <v>129</v>
      </c>
      <c r="O788" s="26">
        <v>65</v>
      </c>
      <c r="P788" s="26">
        <v>64</v>
      </c>
      <c r="Q788" s="26">
        <v>4</v>
      </c>
      <c r="R788" s="26">
        <v>1</v>
      </c>
      <c r="S788" s="26">
        <v>4</v>
      </c>
      <c r="T788" s="26">
        <v>5</v>
      </c>
      <c r="U788" s="26">
        <v>10</v>
      </c>
      <c r="V788" s="26">
        <v>1</v>
      </c>
      <c r="W788" s="26"/>
    </row>
    <row r="789" spans="1:23" x14ac:dyDescent="0.25">
      <c r="A789" s="26" t="str">
        <f t="shared" si="113"/>
        <v>PREESCOLAR</v>
      </c>
      <c r="B789" s="26" t="str">
        <f>"09DJN1029J"</f>
        <v>09DJN1029J</v>
      </c>
      <c r="C789" s="26" t="str">
        <f>"YOALLI                                                                                              "</f>
        <v xml:space="preserve">YOALLI                                                                                              </v>
      </c>
      <c r="D789" s="26" t="str">
        <f>"VESPERTINO"</f>
        <v>VESPERTINO</v>
      </c>
      <c r="E789" s="26" t="str">
        <f>"AV. TENOCHTITLAN Y AV. RIO CHURUBUSCO                                           "</f>
        <v xml:space="preserve">AV. TENOCHTITLAN Y AV. RIO CHURUBUSCO                                           </v>
      </c>
      <c r="F789" s="26" t="str">
        <f>"ARENAL 1A SECCION                                                                                                                           "</f>
        <v xml:space="preserve">ARENAL 1A SECCION                                                                                                                           </v>
      </c>
      <c r="G789" s="26" t="str">
        <f>"VENUSTIANO CARRANZA                                                             "</f>
        <v xml:space="preserve">VENUSTIANO CARRANZA                                                             </v>
      </c>
      <c r="H789" s="26" t="str">
        <f>"161"</f>
        <v>161</v>
      </c>
      <c r="I789" s="26" t="str">
        <f t="shared" si="114"/>
        <v>00</v>
      </c>
      <c r="J789" s="26" t="str">
        <f>"33 "</f>
        <v xml:space="preserve">33 </v>
      </c>
      <c r="K789" s="26" t="str">
        <f t="shared" si="117"/>
        <v>EP</v>
      </c>
      <c r="L789" s="26" t="str">
        <f t="shared" si="118"/>
        <v>DGOSE</v>
      </c>
      <c r="M789" s="26" t="str">
        <f t="shared" si="115"/>
        <v>FEDERAL</v>
      </c>
      <c r="N789" s="26">
        <v>177</v>
      </c>
      <c r="O789" s="26">
        <v>91</v>
      </c>
      <c r="P789" s="26">
        <v>86</v>
      </c>
      <c r="Q789" s="26">
        <v>6</v>
      </c>
      <c r="R789" s="26">
        <v>1</v>
      </c>
      <c r="S789" s="26">
        <v>5</v>
      </c>
      <c r="T789" s="26">
        <v>5</v>
      </c>
      <c r="U789" s="26">
        <v>11</v>
      </c>
      <c r="V789" s="26">
        <v>1</v>
      </c>
      <c r="W789" s="26"/>
    </row>
    <row r="790" spans="1:23" x14ac:dyDescent="0.25">
      <c r="A790" s="26" t="str">
        <f t="shared" si="113"/>
        <v>PREESCOLAR</v>
      </c>
      <c r="B790" s="26" t="str">
        <f>"09DJN1030Z"</f>
        <v>09DJN1030Z</v>
      </c>
      <c r="C790" s="26" t="str">
        <f>"TOPILTZIN                                                                                           "</f>
        <v xml:space="preserve">TOPILTZIN                                                                                           </v>
      </c>
      <c r="D790" s="26" t="str">
        <f>"VESPERTINO"</f>
        <v>VESPERTINO</v>
      </c>
      <c r="E790" s="26" t="str">
        <f>"AV. TOLUCA NO. 730                                                              "</f>
        <v xml:space="preserve">AV. TOLUCA NO. 730                                                              </v>
      </c>
      <c r="F790" s="26" t="str">
        <f>"OLIVAR DE LOS PADRES                                                                                                                        "</f>
        <v xml:space="preserve">OLIVAR DE LOS PADRES                                                                                                                        </v>
      </c>
      <c r="G790" s="26" t="str">
        <f>"ALVARO OBREGON                                                                  "</f>
        <v xml:space="preserve">ALVARO OBREGON                                                                  </v>
      </c>
      <c r="H790" s="26" t="str">
        <f>"150"</f>
        <v>150</v>
      </c>
      <c r="I790" s="26" t="str">
        <f t="shared" si="114"/>
        <v>00</v>
      </c>
      <c r="J790" s="26" t="str">
        <f>"33 "</f>
        <v xml:space="preserve">33 </v>
      </c>
      <c r="K790" s="26" t="str">
        <f t="shared" si="117"/>
        <v>EP</v>
      </c>
      <c r="L790" s="26" t="str">
        <f t="shared" si="118"/>
        <v>DGOSE</v>
      </c>
      <c r="M790" s="26" t="str">
        <f t="shared" si="115"/>
        <v>FEDERAL</v>
      </c>
      <c r="N790" s="26">
        <v>133</v>
      </c>
      <c r="O790" s="26">
        <v>58</v>
      </c>
      <c r="P790" s="26">
        <v>75</v>
      </c>
      <c r="Q790" s="26">
        <v>4</v>
      </c>
      <c r="R790" s="26">
        <v>1</v>
      </c>
      <c r="S790" s="26">
        <v>4</v>
      </c>
      <c r="T790" s="26">
        <v>4</v>
      </c>
      <c r="U790" s="26">
        <v>9</v>
      </c>
      <c r="V790" s="26">
        <v>1</v>
      </c>
      <c r="W790" s="26"/>
    </row>
    <row r="791" spans="1:23" x14ac:dyDescent="0.25">
      <c r="A791" s="26" t="str">
        <f t="shared" si="113"/>
        <v>PREESCOLAR</v>
      </c>
      <c r="B791" s="26" t="str">
        <f>"09DJN1031Y"</f>
        <v>09DJN1031Y</v>
      </c>
      <c r="C791" s="26" t="str">
        <f>"RAFAELA SUAREZ                                                                                      "</f>
        <v xml:space="preserve">RAFAELA SUAREZ                                                                                      </v>
      </c>
      <c r="D791" s="26" t="str">
        <f>"JORNADA AMPLIADA"</f>
        <v>JORNADA AMPLIADA</v>
      </c>
      <c r="E791" s="26" t="str">
        <f>"SUPER MANZANA 2 MANZANA 25 S/N                                                  "</f>
        <v xml:space="preserve">SUPER MANZANA 2 MANZANA 25 S/N                                                  </v>
      </c>
      <c r="F791" s="26" t="str">
        <f>"UNIDAD HABITACIONAL EJERCITO CONSTI                                                                                                         "</f>
        <v xml:space="preserve">UNIDAD HABITACIONAL EJERCITO CONSTI                                                                                                         </v>
      </c>
      <c r="G791" s="26" t="str">
        <f>"IZTAPALAPA                                                                      "</f>
        <v xml:space="preserve">IZTAPALAPA                                                                      </v>
      </c>
      <c r="H791" s="26" t="str">
        <f>"006"</f>
        <v>006</v>
      </c>
      <c r="I791" s="26" t="str">
        <f t="shared" si="114"/>
        <v>00</v>
      </c>
      <c r="J791" s="26" t="str">
        <f>"61 "</f>
        <v xml:space="preserve">61 </v>
      </c>
      <c r="K791" s="26" t="str">
        <f>"IZ"</f>
        <v>IZ</v>
      </c>
      <c r="L791" s="26" t="str">
        <f>"DGSEI"</f>
        <v>DGSEI</v>
      </c>
      <c r="M791" s="26" t="str">
        <f t="shared" si="115"/>
        <v>FEDERAL</v>
      </c>
      <c r="N791" s="26">
        <v>226</v>
      </c>
      <c r="O791" s="26">
        <v>118</v>
      </c>
      <c r="P791" s="26">
        <v>108</v>
      </c>
      <c r="Q791" s="26">
        <v>7</v>
      </c>
      <c r="R791" s="26">
        <v>1</v>
      </c>
      <c r="S791" s="26">
        <v>7</v>
      </c>
      <c r="T791" s="26">
        <v>8</v>
      </c>
      <c r="U791" s="26">
        <v>16</v>
      </c>
      <c r="V791" s="26">
        <v>1</v>
      </c>
      <c r="W791" s="26" t="s">
        <v>2076</v>
      </c>
    </row>
    <row r="792" spans="1:23" x14ac:dyDescent="0.25">
      <c r="A792" s="26" t="str">
        <f t="shared" si="113"/>
        <v>PREESCOLAR</v>
      </c>
      <c r="B792" s="26" t="str">
        <f>"09DJN1032X"</f>
        <v>09DJN1032X</v>
      </c>
      <c r="C792" s="26" t="str">
        <f>"ESTADO DE OAXACA                                                                                    "</f>
        <v xml:space="preserve">ESTADO DE OAXACA                                                                                    </v>
      </c>
      <c r="D792" s="26" t="str">
        <f>"TIEMPO COMPLETO"</f>
        <v>TIEMPO COMPLETO</v>
      </c>
      <c r="E792" s="26" t="str">
        <f>"CAMELLON LEON DE LOS ALDAMA S/N                                                 "</f>
        <v xml:space="preserve">CAMELLON LEON DE LOS ALDAMA S/N                                                 </v>
      </c>
      <c r="F792" s="26" t="str">
        <f>"SAN FELIPE DE JESUS                                                                                                                         "</f>
        <v xml:space="preserve">SAN FELIPE DE JESUS                                                                                                                         </v>
      </c>
      <c r="G792" s="26" t="str">
        <f>"GUSTAVO A. MADERO                                                               "</f>
        <v xml:space="preserve">GUSTAVO A. MADERO                                                               </v>
      </c>
      <c r="H792" s="26" t="str">
        <f>"063"</f>
        <v>063</v>
      </c>
      <c r="I792" s="26" t="str">
        <f t="shared" si="114"/>
        <v>00</v>
      </c>
      <c r="J792" s="26" t="str">
        <f>"31 "</f>
        <v xml:space="preserve">31 </v>
      </c>
      <c r="K792" s="26" t="str">
        <f t="shared" ref="K792:K800" si="119">"EP"</f>
        <v>EP</v>
      </c>
      <c r="L792" s="26" t="str">
        <f t="shared" ref="L792:L800" si="120">"DGOSE"</f>
        <v>DGOSE</v>
      </c>
      <c r="M792" s="26" t="str">
        <f t="shared" si="115"/>
        <v>FEDERAL</v>
      </c>
      <c r="N792" s="26">
        <v>279</v>
      </c>
      <c r="O792" s="26">
        <v>124</v>
      </c>
      <c r="P792" s="26">
        <v>155</v>
      </c>
      <c r="Q792" s="26">
        <v>8</v>
      </c>
      <c r="R792" s="26">
        <v>2</v>
      </c>
      <c r="S792" s="26">
        <v>8</v>
      </c>
      <c r="T792" s="26">
        <v>15</v>
      </c>
      <c r="U792" s="26">
        <v>25</v>
      </c>
      <c r="V792" s="26">
        <v>1</v>
      </c>
      <c r="W792" s="26" t="s">
        <v>218</v>
      </c>
    </row>
    <row r="793" spans="1:23" x14ac:dyDescent="0.25">
      <c r="A793" s="26" t="str">
        <f t="shared" si="113"/>
        <v>PREESCOLAR</v>
      </c>
      <c r="B793" s="26" t="str">
        <f>"09DJN1033W"</f>
        <v>09DJN1033W</v>
      </c>
      <c r="C793" s="26" t="str">
        <f>"TOLTECAYOTL                                                                                         "</f>
        <v xml:space="preserve">TOLTECAYOTL                                                                                         </v>
      </c>
      <c r="D793" s="26" t="str">
        <f>"TIEMPO COMPLETO"</f>
        <v>TIEMPO COMPLETO</v>
      </c>
      <c r="E793" s="26" t="str">
        <f>"CIPACTLI NO. 80                                                                 "</f>
        <v xml:space="preserve">CIPACTLI NO. 80                                                                 </v>
      </c>
      <c r="F793" s="26" t="str">
        <f>"LA PRECIOSA                                                                                                                                 "</f>
        <v xml:space="preserve">LA PRECIOSA                                                                                                                                 </v>
      </c>
      <c r="G793" s="26" t="str">
        <f>"AZCAPOTZALCO                                                                    "</f>
        <v xml:space="preserve">AZCAPOTZALCO                                                                    </v>
      </c>
      <c r="H793" s="26" t="str">
        <f>"008"</f>
        <v>008</v>
      </c>
      <c r="I793" s="26" t="str">
        <f t="shared" si="114"/>
        <v>00</v>
      </c>
      <c r="J793" s="26" t="str">
        <f>"31 "</f>
        <v xml:space="preserve">31 </v>
      </c>
      <c r="K793" s="26" t="str">
        <f t="shared" si="119"/>
        <v>EP</v>
      </c>
      <c r="L793" s="26" t="str">
        <f t="shared" si="120"/>
        <v>DGOSE</v>
      </c>
      <c r="M793" s="26" t="str">
        <f t="shared" si="115"/>
        <v>FEDERAL</v>
      </c>
      <c r="N793" s="26">
        <v>143</v>
      </c>
      <c r="O793" s="26">
        <v>73</v>
      </c>
      <c r="P793" s="26">
        <v>70</v>
      </c>
      <c r="Q793" s="26">
        <v>6</v>
      </c>
      <c r="R793" s="26">
        <v>2</v>
      </c>
      <c r="S793" s="26">
        <v>6</v>
      </c>
      <c r="T793" s="26">
        <v>17</v>
      </c>
      <c r="U793" s="26">
        <v>25</v>
      </c>
      <c r="V793" s="26">
        <v>1</v>
      </c>
      <c r="W793" s="26" t="s">
        <v>218</v>
      </c>
    </row>
    <row r="794" spans="1:23" x14ac:dyDescent="0.25">
      <c r="A794" s="26" t="str">
        <f t="shared" si="113"/>
        <v>PREESCOLAR</v>
      </c>
      <c r="B794" s="26" t="str">
        <f>"09DJN1034V"</f>
        <v>09DJN1034V</v>
      </c>
      <c r="C794" s="26" t="str">
        <f>"DR. JOSE I. GALICIA                                                                                 "</f>
        <v xml:space="preserve">DR. JOSE I. GALICIA                                                                                 </v>
      </c>
      <c r="D794" s="26" t="str">
        <f>"JORNADA AMPLIADA"</f>
        <v>JORNADA AMPLIADA</v>
      </c>
      <c r="E794" s="26" t="str">
        <f>"LA CENICIENTA S/N                                                               "</f>
        <v xml:space="preserve">LA CENICIENTA S/N                                                               </v>
      </c>
      <c r="F794" s="26" t="str">
        <f>"MIGUEL HIDALGO                                                                                                                              "</f>
        <v xml:space="preserve">MIGUEL HIDALGO                                                                                                                              </v>
      </c>
      <c r="G794" s="26" t="str">
        <f>"TLAHUAC                                                                         "</f>
        <v xml:space="preserve">TLAHUAC                                                                         </v>
      </c>
      <c r="H794" s="26" t="str">
        <f>"243"</f>
        <v>243</v>
      </c>
      <c r="I794" s="26" t="str">
        <f t="shared" si="114"/>
        <v>00</v>
      </c>
      <c r="J794" s="26" t="str">
        <f>"34 "</f>
        <v xml:space="preserve">34 </v>
      </c>
      <c r="K794" s="26" t="str">
        <f t="shared" si="119"/>
        <v>EP</v>
      </c>
      <c r="L794" s="26" t="str">
        <f t="shared" si="120"/>
        <v>DGOSE</v>
      </c>
      <c r="M794" s="26" t="str">
        <f t="shared" si="115"/>
        <v>FEDERAL</v>
      </c>
      <c r="N794" s="26">
        <v>255</v>
      </c>
      <c r="O794" s="26">
        <v>131</v>
      </c>
      <c r="P794" s="26">
        <v>124</v>
      </c>
      <c r="Q794" s="26">
        <v>7</v>
      </c>
      <c r="R794" s="26">
        <v>1</v>
      </c>
      <c r="S794" s="26">
        <v>7</v>
      </c>
      <c r="T794" s="26">
        <v>7</v>
      </c>
      <c r="U794" s="26">
        <v>15</v>
      </c>
      <c r="V794" s="26">
        <v>1</v>
      </c>
      <c r="W794" s="26" t="s">
        <v>2076</v>
      </c>
    </row>
    <row r="795" spans="1:23" x14ac:dyDescent="0.25">
      <c r="A795" s="26" t="str">
        <f t="shared" si="113"/>
        <v>PREESCOLAR</v>
      </c>
      <c r="B795" s="26" t="str">
        <f>"09DJN1035U"</f>
        <v>09DJN1035U</v>
      </c>
      <c r="C795" s="26" t="str">
        <f>"HEROES DE 1863                                                                                      "</f>
        <v xml:space="preserve">HEROES DE 1863                                                                                      </v>
      </c>
      <c r="D795" s="26" t="str">
        <f>"TIEMPO COMPLETO"</f>
        <v>TIEMPO COMPLETO</v>
      </c>
      <c r="E795" s="26" t="str">
        <f>"RIO CHURUBUSCO Y E.P. URUCHURTU                                                 "</f>
        <v xml:space="preserve">RIO CHURUBUSCO Y E.P. URUCHURTU                                                 </v>
      </c>
      <c r="F795" s="26" t="str">
        <f>"ADOLFO LOPEZ MATEOS                                                                                                                         "</f>
        <v xml:space="preserve">ADOLFO LOPEZ MATEOS                                                                                                                         </v>
      </c>
      <c r="G795" s="26" t="str">
        <f>"VENUSTIANO CARRANZA                                                             "</f>
        <v xml:space="preserve">VENUSTIANO CARRANZA                                                             </v>
      </c>
      <c r="H795" s="26" t="str">
        <f>"249"</f>
        <v>249</v>
      </c>
      <c r="I795" s="26" t="str">
        <f t="shared" si="114"/>
        <v>00</v>
      </c>
      <c r="J795" s="26" t="str">
        <f>"31 "</f>
        <v xml:space="preserve">31 </v>
      </c>
      <c r="K795" s="26" t="str">
        <f t="shared" si="119"/>
        <v>EP</v>
      </c>
      <c r="L795" s="26" t="str">
        <f t="shared" si="120"/>
        <v>DGOSE</v>
      </c>
      <c r="M795" s="26" t="str">
        <f t="shared" si="115"/>
        <v>FEDERAL</v>
      </c>
      <c r="N795" s="26">
        <v>286</v>
      </c>
      <c r="O795" s="26">
        <v>153</v>
      </c>
      <c r="P795" s="26">
        <v>133</v>
      </c>
      <c r="Q795" s="26">
        <v>9</v>
      </c>
      <c r="R795" s="26">
        <v>2</v>
      </c>
      <c r="S795" s="26">
        <v>9</v>
      </c>
      <c r="T795" s="26">
        <v>21</v>
      </c>
      <c r="U795" s="26">
        <v>32</v>
      </c>
      <c r="V795" s="26">
        <v>1</v>
      </c>
      <c r="W795" s="26" t="s">
        <v>218</v>
      </c>
    </row>
    <row r="796" spans="1:23" x14ac:dyDescent="0.25">
      <c r="A796" s="26" t="str">
        <f t="shared" si="113"/>
        <v>PREESCOLAR</v>
      </c>
      <c r="B796" s="26" t="str">
        <f>"09DJN1036T"</f>
        <v>09DJN1036T</v>
      </c>
      <c r="C796" s="26" t="str">
        <f>"ITZEL LUCERO                                                                                        "</f>
        <v xml:space="preserve">ITZEL LUCERO                                                                                        </v>
      </c>
      <c r="D796" s="26" t="str">
        <f>"MATUTINO"</f>
        <v>MATUTINO</v>
      </c>
      <c r="E796" s="26" t="str">
        <f>"AV. XOCOYOTE S/N ENTRE XANES Y XALPATLAH                                        "</f>
        <v xml:space="preserve">AV. XOCOYOTE S/N ENTRE XANES Y XALPATLAH                                        </v>
      </c>
      <c r="F796" s="26" t="str">
        <f>"ARENAL 4A SECCION                                                                                                                           "</f>
        <v xml:space="preserve">ARENAL 4A SECCION                                                                                                                           </v>
      </c>
      <c r="G796" s="26" t="str">
        <f>"VENUSTIANO CARRANZA                                                             "</f>
        <v xml:space="preserve">VENUSTIANO CARRANZA                                                             </v>
      </c>
      <c r="H796" s="26" t="str">
        <f>"161"</f>
        <v>161</v>
      </c>
      <c r="I796" s="26" t="str">
        <f t="shared" si="114"/>
        <v>00</v>
      </c>
      <c r="J796" s="26" t="str">
        <f>"33 "</f>
        <v xml:space="preserve">33 </v>
      </c>
      <c r="K796" s="26" t="str">
        <f t="shared" si="119"/>
        <v>EP</v>
      </c>
      <c r="L796" s="26" t="str">
        <f t="shared" si="120"/>
        <v>DGOSE</v>
      </c>
      <c r="M796" s="26" t="str">
        <f t="shared" si="115"/>
        <v>FEDERAL</v>
      </c>
      <c r="N796" s="26">
        <v>243</v>
      </c>
      <c r="O796" s="26">
        <v>118</v>
      </c>
      <c r="P796" s="26">
        <v>125</v>
      </c>
      <c r="Q796" s="26">
        <v>7</v>
      </c>
      <c r="R796" s="26">
        <v>1</v>
      </c>
      <c r="S796" s="26">
        <v>7</v>
      </c>
      <c r="T796" s="26">
        <v>4</v>
      </c>
      <c r="U796" s="26">
        <v>12</v>
      </c>
      <c r="V796" s="26">
        <v>1</v>
      </c>
      <c r="W796" s="26"/>
    </row>
    <row r="797" spans="1:23" x14ac:dyDescent="0.25">
      <c r="A797" s="26" t="str">
        <f t="shared" si="113"/>
        <v>PREESCOLAR</v>
      </c>
      <c r="B797" s="26" t="str">
        <f>"09DJN1037S"</f>
        <v>09DJN1037S</v>
      </c>
      <c r="C797" s="26" t="str">
        <f>"ALBERTO TRUEBA URBINA                                                                               "</f>
        <v xml:space="preserve">ALBERTO TRUEBA URBINA                                                                               </v>
      </c>
      <c r="D797" s="26" t="str">
        <f>"JORNADA AMPLIADA"</f>
        <v>JORNADA AMPLIADA</v>
      </c>
      <c r="E797" s="26" t="str">
        <f>"3ER. ANDADOR DE STA. CECILIA S/N                                                "</f>
        <v xml:space="preserve">3ER. ANDADOR DE STA. CECILIA S/N                                                </v>
      </c>
      <c r="F797" s="26" t="str">
        <f>"COYOACAN                                                                                                                                    "</f>
        <v xml:space="preserve">COYOACAN                                                                                                                                    </v>
      </c>
      <c r="G797" s="26" t="str">
        <f>"COYOACAN                                                                        "</f>
        <v xml:space="preserve">COYOACAN                                                                        </v>
      </c>
      <c r="H797" s="26" t="str">
        <f>"208"</f>
        <v>208</v>
      </c>
      <c r="I797" s="26" t="str">
        <f t="shared" si="114"/>
        <v>00</v>
      </c>
      <c r="J797" s="26" t="str">
        <f>"34 "</f>
        <v xml:space="preserve">34 </v>
      </c>
      <c r="K797" s="26" t="str">
        <f t="shared" si="119"/>
        <v>EP</v>
      </c>
      <c r="L797" s="26" t="str">
        <f t="shared" si="120"/>
        <v>DGOSE</v>
      </c>
      <c r="M797" s="26" t="str">
        <f t="shared" si="115"/>
        <v>FEDERAL</v>
      </c>
      <c r="N797" s="26">
        <v>169</v>
      </c>
      <c r="O797" s="26">
        <v>97</v>
      </c>
      <c r="P797" s="26">
        <v>72</v>
      </c>
      <c r="Q797" s="26">
        <v>6</v>
      </c>
      <c r="R797" s="26">
        <v>1</v>
      </c>
      <c r="S797" s="26">
        <v>6</v>
      </c>
      <c r="T797" s="26">
        <v>6</v>
      </c>
      <c r="U797" s="26">
        <v>13</v>
      </c>
      <c r="V797" s="26">
        <v>1</v>
      </c>
      <c r="W797" s="26" t="s">
        <v>2076</v>
      </c>
    </row>
    <row r="798" spans="1:23" x14ac:dyDescent="0.25">
      <c r="A798" s="26" t="str">
        <f t="shared" si="113"/>
        <v>PREESCOLAR</v>
      </c>
      <c r="B798" s="26" t="str">
        <f>"09DJN1039Q"</f>
        <v>09DJN1039Q</v>
      </c>
      <c r="C798" s="26" t="str">
        <f>"MARGARITA MARTINEZ ABURTO                                                                           "</f>
        <v xml:space="preserve">MARGARITA MARTINEZ ABURTO                                                                           </v>
      </c>
      <c r="D798" s="26" t="str">
        <f>"JORNADA AMPLIADA"</f>
        <v>JORNADA AMPLIADA</v>
      </c>
      <c r="E798" s="26" t="str">
        <f>"OYAMEL S/N                                                                      "</f>
        <v xml:space="preserve">OYAMEL S/N                                                                      </v>
      </c>
      <c r="F798" s="26" t="str">
        <f>"GARCIMARRERO                                                                                                                                "</f>
        <v xml:space="preserve">GARCIMARRERO                                                                                                                                </v>
      </c>
      <c r="G798" s="26" t="str">
        <f>"ALVARO OBREGON                                                                  "</f>
        <v xml:space="preserve">ALVARO OBREGON                                                                  </v>
      </c>
      <c r="H798" s="26" t="str">
        <f>"045"</f>
        <v>045</v>
      </c>
      <c r="I798" s="26" t="str">
        <f t="shared" si="114"/>
        <v>00</v>
      </c>
      <c r="J798" s="26" t="str">
        <f>"34 "</f>
        <v xml:space="preserve">34 </v>
      </c>
      <c r="K798" s="26" t="str">
        <f t="shared" si="119"/>
        <v>EP</v>
      </c>
      <c r="L798" s="26" t="str">
        <f t="shared" si="120"/>
        <v>DGOSE</v>
      </c>
      <c r="M798" s="26" t="str">
        <f t="shared" si="115"/>
        <v>FEDERAL</v>
      </c>
      <c r="N798" s="26">
        <v>192</v>
      </c>
      <c r="O798" s="26">
        <v>90</v>
      </c>
      <c r="P798" s="26">
        <v>102</v>
      </c>
      <c r="Q798" s="26">
        <v>5</v>
      </c>
      <c r="R798" s="26">
        <v>1</v>
      </c>
      <c r="S798" s="26">
        <v>5</v>
      </c>
      <c r="T798" s="26">
        <v>5</v>
      </c>
      <c r="U798" s="26">
        <v>11</v>
      </c>
      <c r="V798" s="26">
        <v>1</v>
      </c>
      <c r="W798" s="26" t="s">
        <v>2076</v>
      </c>
    </row>
    <row r="799" spans="1:23" x14ac:dyDescent="0.25">
      <c r="A799" s="26" t="str">
        <f t="shared" si="113"/>
        <v>PREESCOLAR</v>
      </c>
      <c r="B799" s="26" t="str">
        <f>"09DJN1053J"</f>
        <v>09DJN1053J</v>
      </c>
      <c r="C799" s="26" t="str">
        <f>"COMPOSITORES MEXICANOS                                                                              "</f>
        <v xml:space="preserve">COMPOSITORES MEXICANOS                                                                              </v>
      </c>
      <c r="D799" s="26" t="str">
        <f>"VESPERTINO"</f>
        <v>VESPERTINO</v>
      </c>
      <c r="E799" s="26" t="str">
        <f>"CDA. ABEL DOMINGUEZ LTE. 13 MZA. 87                                             "</f>
        <v xml:space="preserve">CDA. ABEL DOMINGUEZ LTE. 13 MZA. 87                                             </v>
      </c>
      <c r="F799" s="26" t="str">
        <f>"COMPOSITORES MEXICANOS                                                                                                                      "</f>
        <v xml:space="preserve">COMPOSITORES MEXICANOS                                                                                                                      </v>
      </c>
      <c r="G799" s="26" t="str">
        <f>"GUSTAVO A. MADERO                                                               "</f>
        <v xml:space="preserve">GUSTAVO A. MADERO                                                               </v>
      </c>
      <c r="H799" s="26" t="str">
        <f>"068"</f>
        <v>068</v>
      </c>
      <c r="I799" s="26" t="str">
        <f t="shared" si="114"/>
        <v>00</v>
      </c>
      <c r="J799" s="26" t="str">
        <f>"32 "</f>
        <v xml:space="preserve">32 </v>
      </c>
      <c r="K799" s="26" t="str">
        <f t="shared" si="119"/>
        <v>EP</v>
      </c>
      <c r="L799" s="26" t="str">
        <f t="shared" si="120"/>
        <v>DGOSE</v>
      </c>
      <c r="M799" s="26" t="str">
        <f t="shared" si="115"/>
        <v>FEDERAL</v>
      </c>
      <c r="N799" s="26">
        <v>202</v>
      </c>
      <c r="O799" s="26">
        <v>109</v>
      </c>
      <c r="P799" s="26">
        <v>93</v>
      </c>
      <c r="Q799" s="26">
        <v>7</v>
      </c>
      <c r="R799" s="26">
        <v>1</v>
      </c>
      <c r="S799" s="26">
        <v>6</v>
      </c>
      <c r="T799" s="26">
        <v>3</v>
      </c>
      <c r="U799" s="26">
        <v>10</v>
      </c>
      <c r="V799" s="26">
        <v>1</v>
      </c>
      <c r="W799" s="26"/>
    </row>
    <row r="800" spans="1:23" x14ac:dyDescent="0.25">
      <c r="A800" s="26" t="str">
        <f t="shared" si="113"/>
        <v>PREESCOLAR</v>
      </c>
      <c r="B800" s="26" t="str">
        <f>"09DJN1054I"</f>
        <v>09DJN1054I</v>
      </c>
      <c r="C800" s="26" t="str">
        <f>"TLAZOTLI                                                                                            "</f>
        <v xml:space="preserve">TLAZOTLI                                                                                            </v>
      </c>
      <c r="D800" s="26" t="str">
        <f>"MATUTINO"</f>
        <v>MATUTINO</v>
      </c>
      <c r="E800" s="26" t="str">
        <f>"AV. HIDALGO Y CALLE 30 NO. 38                                                   "</f>
        <v xml:space="preserve">AV. HIDALGO Y CALLE 30 NO. 38                                                   </v>
      </c>
      <c r="F800" s="26" t="str">
        <f>"OLIVAR DEL CONDE 2A SECCION                                                                                                                 "</f>
        <v xml:space="preserve">OLIVAR DEL CONDE 2A SECCION                                                                                                                 </v>
      </c>
      <c r="G800" s="26" t="str">
        <f>"ALVARO OBREGON                                                                  "</f>
        <v xml:space="preserve">ALVARO OBREGON                                                                  </v>
      </c>
      <c r="H800" s="26" t="str">
        <f>"218"</f>
        <v>218</v>
      </c>
      <c r="I800" s="26" t="str">
        <f t="shared" si="114"/>
        <v>00</v>
      </c>
      <c r="J800" s="26" t="str">
        <f>"33 "</f>
        <v xml:space="preserve">33 </v>
      </c>
      <c r="K800" s="26" t="str">
        <f t="shared" si="119"/>
        <v>EP</v>
      </c>
      <c r="L800" s="26" t="str">
        <f t="shared" si="120"/>
        <v>DGOSE</v>
      </c>
      <c r="M800" s="26" t="str">
        <f t="shared" si="115"/>
        <v>FEDERAL</v>
      </c>
      <c r="N800" s="26">
        <v>124</v>
      </c>
      <c r="O800" s="26">
        <v>71</v>
      </c>
      <c r="P800" s="26">
        <v>53</v>
      </c>
      <c r="Q800" s="26">
        <v>5</v>
      </c>
      <c r="R800" s="26">
        <v>1</v>
      </c>
      <c r="S800" s="26">
        <v>5</v>
      </c>
      <c r="T800" s="26">
        <v>4</v>
      </c>
      <c r="U800" s="26">
        <v>10</v>
      </c>
      <c r="V800" s="26">
        <v>1</v>
      </c>
      <c r="W800" s="26"/>
    </row>
    <row r="801" spans="1:23" x14ac:dyDescent="0.25">
      <c r="A801" s="26" t="str">
        <f t="shared" si="113"/>
        <v>PREESCOLAR</v>
      </c>
      <c r="B801" s="26" t="str">
        <f>"09DJN1055H"</f>
        <v>09DJN1055H</v>
      </c>
      <c r="C801" s="26" t="str">
        <f>"XOCOYOTL                                                                                            "</f>
        <v xml:space="preserve">XOCOYOTL                                                                                            </v>
      </c>
      <c r="D801" s="26" t="str">
        <f>"TIEMPO COMPLETO"</f>
        <v>TIEMPO COMPLETO</v>
      </c>
      <c r="E801" s="26" t="str">
        <f>"AV. BENITO JUAREZ S/N                                                           "</f>
        <v xml:space="preserve">AV. BENITO JUAREZ S/N                                                           </v>
      </c>
      <c r="F801" s="26" t="str">
        <f>"SAN MIGUEL TEOTONGO                                                                                                                         "</f>
        <v xml:space="preserve">SAN MIGUEL TEOTONGO                                                                                                                         </v>
      </c>
      <c r="G801" s="26" t="str">
        <f>"IZTAPALAPA                                                                      "</f>
        <v xml:space="preserve">IZTAPALAPA                                                                      </v>
      </c>
      <c r="H801" s="26" t="str">
        <f>"039"</f>
        <v>039</v>
      </c>
      <c r="I801" s="26" t="str">
        <f t="shared" si="114"/>
        <v>00</v>
      </c>
      <c r="J801" s="26" t="str">
        <f>"61 "</f>
        <v xml:space="preserve">61 </v>
      </c>
      <c r="K801" s="26" t="str">
        <f>"IZ"</f>
        <v>IZ</v>
      </c>
      <c r="L801" s="26" t="str">
        <f>"DGSEI"</f>
        <v>DGSEI</v>
      </c>
      <c r="M801" s="26" t="str">
        <f t="shared" si="115"/>
        <v>FEDERAL</v>
      </c>
      <c r="N801" s="26">
        <v>220</v>
      </c>
      <c r="O801" s="26">
        <v>112</v>
      </c>
      <c r="P801" s="26">
        <v>108</v>
      </c>
      <c r="Q801" s="26">
        <v>6</v>
      </c>
      <c r="R801" s="26">
        <v>1</v>
      </c>
      <c r="S801" s="26">
        <v>6</v>
      </c>
      <c r="T801" s="26">
        <v>8</v>
      </c>
      <c r="U801" s="26">
        <v>15</v>
      </c>
      <c r="V801" s="26">
        <v>1</v>
      </c>
      <c r="W801" s="26" t="s">
        <v>218</v>
      </c>
    </row>
    <row r="802" spans="1:23" x14ac:dyDescent="0.25">
      <c r="A802" s="26" t="str">
        <f t="shared" si="113"/>
        <v>PREESCOLAR</v>
      </c>
      <c r="B802" s="26" t="str">
        <f>"09DJN1056G"</f>
        <v>09DJN1056G</v>
      </c>
      <c r="C802" s="26" t="str">
        <f>"LIC. JESUS REYES HEROLES                                                                            "</f>
        <v xml:space="preserve">LIC. JESUS REYES HEROLES                                                                            </v>
      </c>
      <c r="D802" s="26" t="str">
        <f>"MATUTINO"</f>
        <v>MATUTINO</v>
      </c>
      <c r="E802" s="26" t="str">
        <f>"GITANA S/N ENTRE LAGO CUITZEO Y AV TURBA                                        "</f>
        <v xml:space="preserve">GITANA S/N ENTRE LAGO CUITZEO Y AV TURBA                                        </v>
      </c>
      <c r="F802" s="26" t="str">
        <f>"DEL MAR                                                                                                                                     "</f>
        <v xml:space="preserve">DEL MAR                                                                                                                                     </v>
      </c>
      <c r="G802" s="26" t="str">
        <f>"TLAHUAC                                                                         "</f>
        <v xml:space="preserve">TLAHUAC                                                                         </v>
      </c>
      <c r="H802" s="26" t="str">
        <f>"124"</f>
        <v>124</v>
      </c>
      <c r="I802" s="26" t="str">
        <f t="shared" si="114"/>
        <v>00</v>
      </c>
      <c r="J802" s="26" t="str">
        <f>"35 "</f>
        <v xml:space="preserve">35 </v>
      </c>
      <c r="K802" s="26" t="str">
        <f>"EP"</f>
        <v>EP</v>
      </c>
      <c r="L802" s="26" t="str">
        <f>"DGOSE"</f>
        <v>DGOSE</v>
      </c>
      <c r="M802" s="26" t="str">
        <f t="shared" si="115"/>
        <v>FEDERAL</v>
      </c>
      <c r="N802" s="26">
        <v>221</v>
      </c>
      <c r="O802" s="26">
        <v>118</v>
      </c>
      <c r="P802" s="26">
        <v>103</v>
      </c>
      <c r="Q802" s="26">
        <v>6</v>
      </c>
      <c r="R802" s="26">
        <v>1</v>
      </c>
      <c r="S802" s="26">
        <v>6</v>
      </c>
      <c r="T802" s="26">
        <v>5</v>
      </c>
      <c r="U802" s="26">
        <v>12</v>
      </c>
      <c r="V802" s="26">
        <v>1</v>
      </c>
      <c r="W802" s="26"/>
    </row>
    <row r="803" spans="1:23" x14ac:dyDescent="0.25">
      <c r="A803" s="26" t="str">
        <f t="shared" si="113"/>
        <v>PREESCOLAR</v>
      </c>
      <c r="B803" s="26" t="str">
        <f>"09DJN1057F"</f>
        <v>09DJN1057F</v>
      </c>
      <c r="C803" s="26" t="str">
        <f>"YOACALLI                                                                                            "</f>
        <v xml:space="preserve">YOACALLI                                                                                            </v>
      </c>
      <c r="D803" s="26" t="str">
        <f>"MATUTINO"</f>
        <v>MATUTINO</v>
      </c>
      <c r="E803" s="26" t="str">
        <f>"MAR DE LOS VAPORES Y CRATER KEPLER                                              "</f>
        <v xml:space="preserve">MAR DE LOS VAPORES Y CRATER KEPLER                                              </v>
      </c>
      <c r="F803" s="26" t="str">
        <f>"SELENE AMPLIACION                                                                                                                           "</f>
        <v xml:space="preserve">SELENE AMPLIACION                                                                                                                           </v>
      </c>
      <c r="G803" s="26" t="str">
        <f>"TLAHUAC                                                                         "</f>
        <v xml:space="preserve">TLAHUAC                                                                         </v>
      </c>
      <c r="H803" s="26" t="str">
        <f>"223"</f>
        <v>223</v>
      </c>
      <c r="I803" s="26" t="str">
        <f t="shared" si="114"/>
        <v>00</v>
      </c>
      <c r="J803" s="26" t="str">
        <f>"35 "</f>
        <v xml:space="preserve">35 </v>
      </c>
      <c r="K803" s="26" t="str">
        <f>"EP"</f>
        <v>EP</v>
      </c>
      <c r="L803" s="26" t="str">
        <f>"DGOSE"</f>
        <v>DGOSE</v>
      </c>
      <c r="M803" s="26" t="str">
        <f t="shared" si="115"/>
        <v>FEDERAL</v>
      </c>
      <c r="N803" s="26">
        <v>166</v>
      </c>
      <c r="O803" s="26">
        <v>79</v>
      </c>
      <c r="P803" s="26">
        <v>87</v>
      </c>
      <c r="Q803" s="26">
        <v>5</v>
      </c>
      <c r="R803" s="26">
        <v>1</v>
      </c>
      <c r="S803" s="26">
        <v>5</v>
      </c>
      <c r="T803" s="26">
        <v>4</v>
      </c>
      <c r="U803" s="26">
        <v>10</v>
      </c>
      <c r="V803" s="26">
        <v>1</v>
      </c>
      <c r="W803" s="26"/>
    </row>
    <row r="804" spans="1:23" x14ac:dyDescent="0.25">
      <c r="A804" s="26" t="str">
        <f t="shared" si="113"/>
        <v>PREESCOLAR</v>
      </c>
      <c r="B804" s="26" t="str">
        <f>"09DJN1058E"</f>
        <v>09DJN1058E</v>
      </c>
      <c r="C804" s="26" t="str">
        <f>"CITLALPUL                                                                                           "</f>
        <v xml:space="preserve">CITLALPUL                                                                                           </v>
      </c>
      <c r="D804" s="26" t="str">
        <f>"JORNADA AMPLIADA"</f>
        <v>JORNADA AMPLIADA</v>
      </c>
      <c r="E804" s="26" t="str">
        <f>"LUCIO CABAÑAS Y MTRO. ALTAMIRANO                                                "</f>
        <v xml:space="preserve">LUCIO CABAÑAS Y MTRO. ALTAMIRANO                                                </v>
      </c>
      <c r="F804" s="26" t="str">
        <f>"SAN MIGUEL TEOTONGO                                                                                                                         "</f>
        <v xml:space="preserve">SAN MIGUEL TEOTONGO                                                                                                                         </v>
      </c>
      <c r="G804" s="26" t="str">
        <f>"IZTAPALAPA                                                                      "</f>
        <v xml:space="preserve">IZTAPALAPA                                                                      </v>
      </c>
      <c r="H804" s="26" t="str">
        <f>"039"</f>
        <v>039</v>
      </c>
      <c r="I804" s="26" t="str">
        <f t="shared" si="114"/>
        <v>00</v>
      </c>
      <c r="J804" s="26" t="str">
        <f>"61 "</f>
        <v xml:space="preserve">61 </v>
      </c>
      <c r="K804" s="26" t="str">
        <f>"IZ"</f>
        <v>IZ</v>
      </c>
      <c r="L804" s="26" t="str">
        <f>"DGSEI"</f>
        <v>DGSEI</v>
      </c>
      <c r="M804" s="26" t="str">
        <f t="shared" si="115"/>
        <v>FEDERAL</v>
      </c>
      <c r="N804" s="26">
        <v>200</v>
      </c>
      <c r="O804" s="26">
        <v>100</v>
      </c>
      <c r="P804" s="26">
        <v>100</v>
      </c>
      <c r="Q804" s="26">
        <v>5</v>
      </c>
      <c r="R804" s="26">
        <v>1</v>
      </c>
      <c r="S804" s="26">
        <v>5</v>
      </c>
      <c r="T804" s="26">
        <v>4</v>
      </c>
      <c r="U804" s="26">
        <v>10</v>
      </c>
      <c r="V804" s="26">
        <v>1</v>
      </c>
      <c r="W804" s="26" t="s">
        <v>2076</v>
      </c>
    </row>
    <row r="805" spans="1:23" x14ac:dyDescent="0.25">
      <c r="A805" s="26" t="str">
        <f t="shared" si="113"/>
        <v>PREESCOLAR</v>
      </c>
      <c r="B805" s="26" t="str">
        <f>"09DJN1060T"</f>
        <v>09DJN1060T</v>
      </c>
      <c r="C805" s="26" t="str">
        <f>"EMILIO ROSENBLUETH                                                                                  "</f>
        <v xml:space="preserve">EMILIO ROSENBLUETH                                                                                  </v>
      </c>
      <c r="D805" s="26" t="str">
        <f>"TIEMPO COMPLETO"</f>
        <v>TIEMPO COMPLETO</v>
      </c>
      <c r="E805" s="26" t="str">
        <f>"AV. INSTITUTO POLITECNICO NACIONAL NO. 3                                        "</f>
        <v xml:space="preserve">AV. INSTITUTO POLITECNICO NACIONAL NO. 3                                        </v>
      </c>
      <c r="F805" s="26" t="str">
        <f>"SAN PEDRO ZACATENCO                                                                                                                         "</f>
        <v xml:space="preserve">SAN PEDRO ZACATENCO                                                                                                                         </v>
      </c>
      <c r="G805" s="26" t="str">
        <f>"GUSTAVO A. MADERO                                                               "</f>
        <v xml:space="preserve">GUSTAVO A. MADERO                                                               </v>
      </c>
      <c r="H805" s="26" t="str">
        <f>"194"</f>
        <v>194</v>
      </c>
      <c r="I805" s="26" t="str">
        <f t="shared" si="114"/>
        <v>00</v>
      </c>
      <c r="J805" s="26" t="str">
        <f>"31 "</f>
        <v xml:space="preserve">31 </v>
      </c>
      <c r="K805" s="26" t="str">
        <f t="shared" ref="K805:K811" si="121">"EP"</f>
        <v>EP</v>
      </c>
      <c r="L805" s="26" t="str">
        <f t="shared" ref="L805:L811" si="122">"DGOSE"</f>
        <v>DGOSE</v>
      </c>
      <c r="M805" s="26" t="str">
        <f t="shared" si="115"/>
        <v>FEDERAL</v>
      </c>
      <c r="N805" s="26">
        <v>273</v>
      </c>
      <c r="O805" s="26">
        <v>140</v>
      </c>
      <c r="P805" s="26">
        <v>133</v>
      </c>
      <c r="Q805" s="26">
        <v>8</v>
      </c>
      <c r="R805" s="26">
        <v>2</v>
      </c>
      <c r="S805" s="26">
        <v>8</v>
      </c>
      <c r="T805" s="26">
        <v>17</v>
      </c>
      <c r="U805" s="26">
        <v>27</v>
      </c>
      <c r="V805" s="26">
        <v>1</v>
      </c>
      <c r="W805" s="26" t="s">
        <v>218</v>
      </c>
    </row>
    <row r="806" spans="1:23" x14ac:dyDescent="0.25">
      <c r="A806" s="26" t="str">
        <f t="shared" si="113"/>
        <v>PREESCOLAR</v>
      </c>
      <c r="B806" s="26" t="str">
        <f>"09DJN1061S"</f>
        <v>09DJN1061S</v>
      </c>
      <c r="C806" s="26" t="str">
        <f>"AUGUSTO NOVARO                                                                                      "</f>
        <v xml:space="preserve">AUGUSTO NOVARO                                                                                      </v>
      </c>
      <c r="D806" s="26" t="str">
        <f>"JORNADA AMPLIADA"</f>
        <v>JORNADA AMPLIADA</v>
      </c>
      <c r="E806" s="26" t="str">
        <f>"TORONJIL Y MEJORANA                                                             "</f>
        <v xml:space="preserve">TORONJIL Y MEJORANA                                                             </v>
      </c>
      <c r="F806" s="26" t="str">
        <f>"UNIDAD HABITACIONAL VICTORIA DE LAS                                                                                                         "</f>
        <v xml:space="preserve">UNIDAD HABITACIONAL VICTORIA DE LAS                                                                                                         </v>
      </c>
      <c r="G806" s="26" t="str">
        <f>"AZCAPOTZALCO                                                                    "</f>
        <v xml:space="preserve">AZCAPOTZALCO                                                                    </v>
      </c>
      <c r="H806" s="26" t="str">
        <f>"129"</f>
        <v>129</v>
      </c>
      <c r="I806" s="26" t="str">
        <f t="shared" si="114"/>
        <v>00</v>
      </c>
      <c r="J806" s="26" t="str">
        <f>"31 "</f>
        <v xml:space="preserve">31 </v>
      </c>
      <c r="K806" s="26" t="str">
        <f t="shared" si="121"/>
        <v>EP</v>
      </c>
      <c r="L806" s="26" t="str">
        <f t="shared" si="122"/>
        <v>DGOSE</v>
      </c>
      <c r="M806" s="26" t="str">
        <f t="shared" si="115"/>
        <v>FEDERAL</v>
      </c>
      <c r="N806" s="26">
        <v>111</v>
      </c>
      <c r="O806" s="26">
        <v>57</v>
      </c>
      <c r="P806" s="26">
        <v>54</v>
      </c>
      <c r="Q806" s="26">
        <v>5</v>
      </c>
      <c r="R806" s="26">
        <v>1</v>
      </c>
      <c r="S806" s="26">
        <v>5</v>
      </c>
      <c r="T806" s="26">
        <v>6</v>
      </c>
      <c r="U806" s="26">
        <v>12</v>
      </c>
      <c r="V806" s="26">
        <v>1</v>
      </c>
      <c r="W806" s="26" t="s">
        <v>2076</v>
      </c>
    </row>
    <row r="807" spans="1:23" x14ac:dyDescent="0.25">
      <c r="A807" s="26" t="str">
        <f t="shared" si="113"/>
        <v>PREESCOLAR</v>
      </c>
      <c r="B807" s="26" t="str">
        <f>"09DJN1062R"</f>
        <v>09DJN1062R</v>
      </c>
      <c r="C807" s="26" t="str">
        <f>"CENTRO CULTURAL ALFA                                                                                "</f>
        <v xml:space="preserve">CENTRO CULTURAL ALFA                                                                                </v>
      </c>
      <c r="D807" s="26" t="str">
        <f>"JORNADA AMPLIADA"</f>
        <v>JORNADA AMPLIADA</v>
      </c>
      <c r="E807" s="26" t="str">
        <f>"AV. NEPTUNO S/N ESQ. AV. CHICAGO                                                "</f>
        <v xml:space="preserve">AV. NEPTUNO S/N ESQ. AV. CHICAGO                                                </v>
      </c>
      <c r="F807" s="26" t="str">
        <f>"EL CUERNITO REACOMODO                                                                                                                       "</f>
        <v xml:space="preserve">EL CUERNITO REACOMODO                                                                                                                       </v>
      </c>
      <c r="G807" s="26" t="str">
        <f>"ALVARO OBREGON                                                                  "</f>
        <v xml:space="preserve">ALVARO OBREGON                                                                  </v>
      </c>
      <c r="H807" s="26" t="str">
        <f>"133"</f>
        <v>133</v>
      </c>
      <c r="I807" s="26" t="str">
        <f t="shared" si="114"/>
        <v>00</v>
      </c>
      <c r="J807" s="26" t="str">
        <f>"34 "</f>
        <v xml:space="preserve">34 </v>
      </c>
      <c r="K807" s="26" t="str">
        <f t="shared" si="121"/>
        <v>EP</v>
      </c>
      <c r="L807" s="26" t="str">
        <f t="shared" si="122"/>
        <v>DGOSE</v>
      </c>
      <c r="M807" s="26" t="str">
        <f t="shared" si="115"/>
        <v>FEDERAL</v>
      </c>
      <c r="N807" s="26">
        <v>268</v>
      </c>
      <c r="O807" s="26">
        <v>126</v>
      </c>
      <c r="P807" s="26">
        <v>142</v>
      </c>
      <c r="Q807" s="26">
        <v>7</v>
      </c>
      <c r="R807" s="26">
        <v>1</v>
      </c>
      <c r="S807" s="26">
        <v>7</v>
      </c>
      <c r="T807" s="26">
        <v>4</v>
      </c>
      <c r="U807" s="26">
        <v>12</v>
      </c>
      <c r="V807" s="26">
        <v>1</v>
      </c>
      <c r="W807" s="26" t="s">
        <v>2076</v>
      </c>
    </row>
    <row r="808" spans="1:23" x14ac:dyDescent="0.25">
      <c r="A808" s="26" t="str">
        <f t="shared" si="113"/>
        <v>PREESCOLAR</v>
      </c>
      <c r="B808" s="26" t="str">
        <f>"09DJN1067M"</f>
        <v>09DJN1067M</v>
      </c>
      <c r="C808" s="26" t="str">
        <f>"ROTARIOS DE TLALPAN                                                                                 "</f>
        <v xml:space="preserve">ROTARIOS DE TLALPAN                                                                                 </v>
      </c>
      <c r="D808" s="26" t="str">
        <f>"VESPERTINO"</f>
        <v>VESPERTINO</v>
      </c>
      <c r="E808" s="26" t="str">
        <f>"CUARTA PONIENTE S/N                                                             "</f>
        <v xml:space="preserve">CUARTA PONIENTE S/N                                                             </v>
      </c>
      <c r="F808" s="26" t="str">
        <f>"ISIDRO FABELA                                                                                                                               "</f>
        <v xml:space="preserve">ISIDRO FABELA                                                                                                                               </v>
      </c>
      <c r="G808" s="26" t="str">
        <f>"TLALPAN                                                                         "</f>
        <v xml:space="preserve">TLALPAN                                                                         </v>
      </c>
      <c r="H808" s="26" t="str">
        <f>"222"</f>
        <v>222</v>
      </c>
      <c r="I808" s="26" t="str">
        <f t="shared" si="114"/>
        <v>00</v>
      </c>
      <c r="J808" s="26" t="str">
        <f>"35 "</f>
        <v xml:space="preserve">35 </v>
      </c>
      <c r="K808" s="26" t="str">
        <f t="shared" si="121"/>
        <v>EP</v>
      </c>
      <c r="L808" s="26" t="str">
        <f t="shared" si="122"/>
        <v>DGOSE</v>
      </c>
      <c r="M808" s="26" t="str">
        <f t="shared" si="115"/>
        <v>FEDERAL</v>
      </c>
      <c r="N808" s="26">
        <v>123</v>
      </c>
      <c r="O808" s="26">
        <v>58</v>
      </c>
      <c r="P808" s="26">
        <v>65</v>
      </c>
      <c r="Q808" s="26">
        <v>5</v>
      </c>
      <c r="R808" s="26">
        <v>1</v>
      </c>
      <c r="S808" s="26">
        <v>5</v>
      </c>
      <c r="T808" s="26">
        <v>6</v>
      </c>
      <c r="U808" s="26">
        <v>12</v>
      </c>
      <c r="V808" s="26">
        <v>1</v>
      </c>
      <c r="W808" s="26"/>
    </row>
    <row r="809" spans="1:23" x14ac:dyDescent="0.25">
      <c r="A809" s="26" t="str">
        <f t="shared" si="113"/>
        <v>PREESCOLAR</v>
      </c>
      <c r="B809" s="26" t="str">
        <f>"09DJN1068L"</f>
        <v>09DJN1068L</v>
      </c>
      <c r="C809" s="26" t="str">
        <f>"VASCO DE QUIROGA                                                                                    "</f>
        <v xml:space="preserve">VASCO DE QUIROGA                                                                                    </v>
      </c>
      <c r="D809" s="26" t="str">
        <f>"VESPERTINO"</f>
        <v>VESPERTINO</v>
      </c>
      <c r="E809" s="26" t="str">
        <f>"CORREGIDORA NO. 3                                                               "</f>
        <v xml:space="preserve">CORREGIDORA NO. 3                                                               </v>
      </c>
      <c r="F809" s="26" t="str">
        <f>"SANTA FE                                                                                                                                    "</f>
        <v xml:space="preserve">SANTA FE                                                                                                                                    </v>
      </c>
      <c r="G809" s="26" t="str">
        <f>"ALVARO OBREGON                                                                  "</f>
        <v xml:space="preserve">ALVARO OBREGON                                                                  </v>
      </c>
      <c r="H809" s="26" t="str">
        <f>"166"</f>
        <v>166</v>
      </c>
      <c r="I809" s="26" t="str">
        <f t="shared" si="114"/>
        <v>00</v>
      </c>
      <c r="J809" s="26" t="str">
        <f>"33 "</f>
        <v xml:space="preserve">33 </v>
      </c>
      <c r="K809" s="26" t="str">
        <f t="shared" si="121"/>
        <v>EP</v>
      </c>
      <c r="L809" s="26" t="str">
        <f t="shared" si="122"/>
        <v>DGOSE</v>
      </c>
      <c r="M809" s="26" t="str">
        <f t="shared" si="115"/>
        <v>FEDERAL</v>
      </c>
      <c r="N809" s="26">
        <v>139</v>
      </c>
      <c r="O809" s="26">
        <v>71</v>
      </c>
      <c r="P809" s="26">
        <v>68</v>
      </c>
      <c r="Q809" s="26">
        <v>5</v>
      </c>
      <c r="R809" s="26">
        <v>1</v>
      </c>
      <c r="S809" s="26">
        <v>5</v>
      </c>
      <c r="T809" s="26">
        <v>5</v>
      </c>
      <c r="U809" s="26">
        <v>11</v>
      </c>
      <c r="V809" s="26">
        <v>1</v>
      </c>
      <c r="W809" s="26"/>
    </row>
    <row r="810" spans="1:23" x14ac:dyDescent="0.25">
      <c r="A810" s="26" t="str">
        <f t="shared" si="113"/>
        <v>PREESCOLAR</v>
      </c>
      <c r="B810" s="26" t="str">
        <f>"09DJN1070Z"</f>
        <v>09DJN1070Z</v>
      </c>
      <c r="C810" s="26" t="str">
        <f>"PORTUGAL                                                                                            "</f>
        <v xml:space="preserve">PORTUGAL                                                                                            </v>
      </c>
      <c r="D810" s="26" t="str">
        <f>"VESPERTINO"</f>
        <v>VESPERTINO</v>
      </c>
      <c r="E810" s="26" t="str">
        <f>"MINA S/N                                                                        "</f>
        <v xml:space="preserve">MINA S/N                                                                        </v>
      </c>
      <c r="F810" s="26" t="str">
        <f>"SAN MATEO TLALTENANGO                                                                                                                       "</f>
        <v xml:space="preserve">SAN MATEO TLALTENANGO                                                                                                                       </v>
      </c>
      <c r="G810" s="26" t="str">
        <f>"CUAJIMALPA DE MORELOS                                                           "</f>
        <v xml:space="preserve">CUAJIMALPA DE MORELOS                                                           </v>
      </c>
      <c r="H810" s="26" t="str">
        <f>"213"</f>
        <v>213</v>
      </c>
      <c r="I810" s="26" t="str">
        <f t="shared" si="114"/>
        <v>00</v>
      </c>
      <c r="J810" s="26" t="str">
        <f>"33 "</f>
        <v xml:space="preserve">33 </v>
      </c>
      <c r="K810" s="26" t="str">
        <f t="shared" si="121"/>
        <v>EP</v>
      </c>
      <c r="L810" s="26" t="str">
        <f t="shared" si="122"/>
        <v>DGOSE</v>
      </c>
      <c r="M810" s="26" t="str">
        <f t="shared" si="115"/>
        <v>FEDERAL</v>
      </c>
      <c r="N810" s="26">
        <v>208</v>
      </c>
      <c r="O810" s="26">
        <v>120</v>
      </c>
      <c r="P810" s="26">
        <v>88</v>
      </c>
      <c r="Q810" s="26">
        <v>6</v>
      </c>
      <c r="R810" s="26">
        <v>1</v>
      </c>
      <c r="S810" s="26">
        <v>6</v>
      </c>
      <c r="T810" s="26">
        <v>2</v>
      </c>
      <c r="U810" s="26">
        <v>9</v>
      </c>
      <c r="V810" s="26">
        <v>1</v>
      </c>
      <c r="W810" s="26"/>
    </row>
    <row r="811" spans="1:23" x14ac:dyDescent="0.25">
      <c r="A811" s="26" t="str">
        <f t="shared" si="113"/>
        <v>PREESCOLAR</v>
      </c>
      <c r="B811" s="26" t="str">
        <f>"09DJN1072Y"</f>
        <v>09DJN1072Y</v>
      </c>
      <c r="C811" s="26" t="str">
        <f>"TLAZOCIHUALPILLI                                                                                    "</f>
        <v xml:space="preserve">TLAZOCIHUALPILLI                                                                                    </v>
      </c>
      <c r="D811" s="26" t="str">
        <f>"VESPERTINO"</f>
        <v>VESPERTINO</v>
      </c>
      <c r="E811" s="26" t="str">
        <f>"FRANCISCO PRESA ESQ. ISIDRO TAPIA                                               "</f>
        <v xml:space="preserve">FRANCISCO PRESA ESQ. ISIDRO TAPIA                                               </v>
      </c>
      <c r="F811" s="26" t="str">
        <f>"SANTIAGO TULYEHUALCO                                                                                                                        "</f>
        <v xml:space="preserve">SANTIAGO TULYEHUALCO                                                                                                                        </v>
      </c>
      <c r="G811" s="26" t="str">
        <f>"XOCHIMILCO                                                                      "</f>
        <v xml:space="preserve">XOCHIMILCO                                                                      </v>
      </c>
      <c r="H811" s="26" t="str">
        <f>"053"</f>
        <v>053</v>
      </c>
      <c r="I811" s="26" t="str">
        <f t="shared" si="114"/>
        <v>00</v>
      </c>
      <c r="J811" s="26" t="str">
        <f>"35 "</f>
        <v xml:space="preserve">35 </v>
      </c>
      <c r="K811" s="26" t="str">
        <f t="shared" si="121"/>
        <v>EP</v>
      </c>
      <c r="L811" s="26" t="str">
        <f t="shared" si="122"/>
        <v>DGOSE</v>
      </c>
      <c r="M811" s="26" t="str">
        <f t="shared" si="115"/>
        <v>FEDERAL</v>
      </c>
      <c r="N811" s="26">
        <v>161</v>
      </c>
      <c r="O811" s="26">
        <v>91</v>
      </c>
      <c r="P811" s="26">
        <v>70</v>
      </c>
      <c r="Q811" s="26">
        <v>5</v>
      </c>
      <c r="R811" s="26">
        <v>1</v>
      </c>
      <c r="S811" s="26">
        <v>5</v>
      </c>
      <c r="T811" s="26">
        <v>5</v>
      </c>
      <c r="U811" s="26">
        <v>11</v>
      </c>
      <c r="V811" s="26">
        <v>1</v>
      </c>
      <c r="W811" s="26"/>
    </row>
    <row r="812" spans="1:23" x14ac:dyDescent="0.25">
      <c r="A812" s="26" t="str">
        <f t="shared" si="113"/>
        <v>PREESCOLAR</v>
      </c>
      <c r="B812" s="26" t="str">
        <f>"09DJN1074W"</f>
        <v>09DJN1074W</v>
      </c>
      <c r="C812" s="26" t="str">
        <f>"ABELARDO L. RODRIGUEZ                                                                               "</f>
        <v xml:space="preserve">ABELARDO L. RODRIGUEZ                                                                               </v>
      </c>
      <c r="D812" s="26" t="str">
        <f>"VESPERTINO"</f>
        <v>VESPERTINO</v>
      </c>
      <c r="E812" s="26" t="str">
        <f>"ABELARDO L. RODRIGUEZ S/N                                                       "</f>
        <v xml:space="preserve">ABELARDO L. RODRIGUEZ S/N                                                       </v>
      </c>
      <c r="F812" s="26" t="str">
        <f>"PRESIDENTES DE MEXICO                                                                                                                       "</f>
        <v xml:space="preserve">PRESIDENTES DE MEXICO                                                                                                                       </v>
      </c>
      <c r="G812" s="26" t="str">
        <f>"IZTAPALAPA                                                                      "</f>
        <v xml:space="preserve">IZTAPALAPA                                                                      </v>
      </c>
      <c r="H812" s="26" t="str">
        <f>"030"</f>
        <v>030</v>
      </c>
      <c r="I812" s="26" t="str">
        <f t="shared" si="114"/>
        <v>00</v>
      </c>
      <c r="J812" s="26" t="str">
        <f>"64 "</f>
        <v xml:space="preserve">64 </v>
      </c>
      <c r="K812" s="26" t="str">
        <f>"IZ"</f>
        <v>IZ</v>
      </c>
      <c r="L812" s="26" t="str">
        <f>"DGSEI"</f>
        <v>DGSEI</v>
      </c>
      <c r="M812" s="26" t="str">
        <f t="shared" si="115"/>
        <v>FEDERAL</v>
      </c>
      <c r="N812" s="26">
        <v>91</v>
      </c>
      <c r="O812" s="26">
        <v>44</v>
      </c>
      <c r="P812" s="26">
        <v>47</v>
      </c>
      <c r="Q812" s="26">
        <v>3</v>
      </c>
      <c r="R812" s="26">
        <v>1</v>
      </c>
      <c r="S812" s="26">
        <v>3</v>
      </c>
      <c r="T812" s="26">
        <v>3</v>
      </c>
      <c r="U812" s="26">
        <v>7</v>
      </c>
      <c r="V812" s="26">
        <v>1</v>
      </c>
      <c r="W812" s="26"/>
    </row>
    <row r="813" spans="1:23" x14ac:dyDescent="0.25">
      <c r="A813" s="26" t="str">
        <f t="shared" si="113"/>
        <v>PREESCOLAR</v>
      </c>
      <c r="B813" s="26" t="str">
        <f>"09DJN1075V"</f>
        <v>09DJN1075V</v>
      </c>
      <c r="C813" s="26" t="str">
        <f>"ACOLHUACAN                                                                                          "</f>
        <v xml:space="preserve">ACOLHUACAN                                                                                          </v>
      </c>
      <c r="D813" s="26" t="str">
        <f>"MATUTINO"</f>
        <v>MATUTINO</v>
      </c>
      <c r="E813" s="26" t="str">
        <f>"ELISA ACUÑA Y ROSSETY S/N                                                       "</f>
        <v xml:space="preserve">ELISA ACUÑA Y ROSSETY S/N                                                       </v>
      </c>
      <c r="F813" s="26" t="str">
        <f>"SANTA MARTHA ACATITLA ZONA URBANA E                                                                                                         "</f>
        <v xml:space="preserve">SANTA MARTHA ACATITLA ZONA URBANA E                                                                                                         </v>
      </c>
      <c r="G813" s="26" t="str">
        <f>"IZTAPALAPA                                                                      "</f>
        <v xml:space="preserve">IZTAPALAPA                                                                      </v>
      </c>
      <c r="H813" s="26" t="str">
        <f>"016"</f>
        <v>016</v>
      </c>
      <c r="I813" s="26" t="str">
        <f t="shared" si="114"/>
        <v>00</v>
      </c>
      <c r="J813" s="26" t="str">
        <f>"62 "</f>
        <v xml:space="preserve">62 </v>
      </c>
      <c r="K813" s="26" t="str">
        <f>"IZ"</f>
        <v>IZ</v>
      </c>
      <c r="L813" s="26" t="str">
        <f>"DGSEI"</f>
        <v>DGSEI</v>
      </c>
      <c r="M813" s="26" t="str">
        <f t="shared" si="115"/>
        <v>FEDERAL</v>
      </c>
      <c r="N813" s="26">
        <v>240</v>
      </c>
      <c r="O813" s="26">
        <v>126</v>
      </c>
      <c r="P813" s="26">
        <v>114</v>
      </c>
      <c r="Q813" s="26">
        <v>7</v>
      </c>
      <c r="R813" s="26">
        <v>1</v>
      </c>
      <c r="S813" s="26">
        <v>6</v>
      </c>
      <c r="T813" s="26">
        <v>5</v>
      </c>
      <c r="U813" s="26">
        <v>12</v>
      </c>
      <c r="V813" s="26">
        <v>1</v>
      </c>
      <c r="W813" s="26"/>
    </row>
    <row r="814" spans="1:23" x14ac:dyDescent="0.25">
      <c r="A814" s="26" t="str">
        <f t="shared" si="113"/>
        <v>PREESCOLAR</v>
      </c>
      <c r="B814" s="26" t="str">
        <f>"09DJN1076U"</f>
        <v>09DJN1076U</v>
      </c>
      <c r="C814" s="26" t="str">
        <f>"AJUSCO                                                                                              "</f>
        <v xml:space="preserve">AJUSCO                                                                                              </v>
      </c>
      <c r="D814" s="26" t="str">
        <f>"TIEMPO COMPLETO"</f>
        <v>TIEMPO COMPLETO</v>
      </c>
      <c r="E814" s="26" t="str">
        <f>"CALLE DURAZNO Y PROLONG. TIJERA S/N                                             "</f>
        <v xml:space="preserve">CALLE DURAZNO Y PROLONG. TIJERA S/N                                             </v>
      </c>
      <c r="F814" s="26" t="str">
        <f>"DOS DE OCTUBRE                                                                                                                              "</f>
        <v xml:space="preserve">DOS DE OCTUBRE                                                                                                                              </v>
      </c>
      <c r="G814" s="26" t="str">
        <f>"TLALPAN                                                                         "</f>
        <v xml:space="preserve">TLALPAN                                                                         </v>
      </c>
      <c r="H814" s="26" t="str">
        <f>"277"</f>
        <v>277</v>
      </c>
      <c r="I814" s="26" t="str">
        <f t="shared" si="114"/>
        <v>00</v>
      </c>
      <c r="J814" s="26" t="str">
        <f>"34 "</f>
        <v xml:space="preserve">34 </v>
      </c>
      <c r="K814" s="26" t="str">
        <f>"EP"</f>
        <v>EP</v>
      </c>
      <c r="L814" s="26" t="str">
        <f>"DGOSE"</f>
        <v>DGOSE</v>
      </c>
      <c r="M814" s="26" t="str">
        <f t="shared" si="115"/>
        <v>FEDERAL</v>
      </c>
      <c r="N814" s="26">
        <v>254</v>
      </c>
      <c r="O814" s="26">
        <v>121</v>
      </c>
      <c r="P814" s="26">
        <v>133</v>
      </c>
      <c r="Q814" s="26">
        <v>7</v>
      </c>
      <c r="R814" s="26">
        <v>2</v>
      </c>
      <c r="S814" s="26">
        <v>6</v>
      </c>
      <c r="T814" s="26">
        <v>12</v>
      </c>
      <c r="U814" s="26">
        <v>20</v>
      </c>
      <c r="V814" s="26">
        <v>1</v>
      </c>
      <c r="W814" s="26" t="s">
        <v>218</v>
      </c>
    </row>
    <row r="815" spans="1:23" x14ac:dyDescent="0.25">
      <c r="A815" s="26" t="str">
        <f t="shared" si="113"/>
        <v>PREESCOLAR</v>
      </c>
      <c r="B815" s="26" t="str">
        <f>"09DJN1077T"</f>
        <v>09DJN1077T</v>
      </c>
      <c r="C815" s="26" t="str">
        <f>"DR. LUIS CASTELAZO AYALA                                                                            "</f>
        <v xml:space="preserve">DR. LUIS CASTELAZO AYALA                                                                            </v>
      </c>
      <c r="D815" s="26" t="str">
        <f>"MATUTINO"</f>
        <v>MATUTINO</v>
      </c>
      <c r="E815" s="26" t="str">
        <f>"JOSE TRINIDAD SALGADO Y AV. TEXCOCO                                             "</f>
        <v xml:space="preserve">JOSE TRINIDAD SALGADO Y AV. TEXCOCO                                             </v>
      </c>
      <c r="F815" s="26" t="str">
        <f>"JUAN ESCUTIA                                                                                                                                "</f>
        <v xml:space="preserve">JUAN ESCUTIA                                                                                                                                </v>
      </c>
      <c r="G815" s="26" t="str">
        <f>"IZTAPALAPA                                                                      "</f>
        <v xml:space="preserve">IZTAPALAPA                                                                      </v>
      </c>
      <c r="H815" s="26" t="str">
        <f>"014"</f>
        <v>014</v>
      </c>
      <c r="I815" s="26" t="str">
        <f t="shared" si="114"/>
        <v>00</v>
      </c>
      <c r="J815" s="26" t="str">
        <f>"62 "</f>
        <v xml:space="preserve">62 </v>
      </c>
      <c r="K815" s="26" t="str">
        <f>"IZ"</f>
        <v>IZ</v>
      </c>
      <c r="L815" s="26" t="str">
        <f>"DGSEI"</f>
        <v>DGSEI</v>
      </c>
      <c r="M815" s="26" t="str">
        <f t="shared" si="115"/>
        <v>FEDERAL</v>
      </c>
      <c r="N815" s="26">
        <v>230</v>
      </c>
      <c r="O815" s="26">
        <v>103</v>
      </c>
      <c r="P815" s="26">
        <v>127</v>
      </c>
      <c r="Q815" s="26">
        <v>7</v>
      </c>
      <c r="R815" s="26">
        <v>1</v>
      </c>
      <c r="S815" s="26">
        <v>7</v>
      </c>
      <c r="T815" s="26">
        <v>6</v>
      </c>
      <c r="U815" s="26">
        <v>14</v>
      </c>
      <c r="V815" s="26">
        <v>1</v>
      </c>
      <c r="W815" s="26"/>
    </row>
    <row r="816" spans="1:23" x14ac:dyDescent="0.25">
      <c r="A816" s="26" t="str">
        <f t="shared" si="113"/>
        <v>PREESCOLAR</v>
      </c>
      <c r="B816" s="26" t="str">
        <f>"09DJN1078S"</f>
        <v>09DJN1078S</v>
      </c>
      <c r="C816" s="26" t="str">
        <f>"VENUSTIANO CARRANZA                                                                                 "</f>
        <v xml:space="preserve">VENUSTIANO CARRANZA                                                                                 </v>
      </c>
      <c r="D816" s="26" t="str">
        <f>"JORNADA AMPLIADA"</f>
        <v>JORNADA AMPLIADA</v>
      </c>
      <c r="E816" s="26" t="str">
        <f>"LAZARO PAVIA S/N                                                                "</f>
        <v xml:space="preserve">LAZARO PAVIA S/N                                                                </v>
      </c>
      <c r="F816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816" s="26" t="str">
        <f>"VENUSTIANO CARRANZA                                                             "</f>
        <v xml:space="preserve">VENUSTIANO CARRANZA                                                             </v>
      </c>
      <c r="H816" s="26" t="str">
        <f>"026"</f>
        <v>026</v>
      </c>
      <c r="I816" s="26" t="str">
        <f t="shared" si="114"/>
        <v>00</v>
      </c>
      <c r="J816" s="26" t="str">
        <f>"31 "</f>
        <v xml:space="preserve">31 </v>
      </c>
      <c r="K816" s="26" t="str">
        <f>"EP"</f>
        <v>EP</v>
      </c>
      <c r="L816" s="26" t="str">
        <f>"DGOSE"</f>
        <v>DGOSE</v>
      </c>
      <c r="M816" s="26" t="str">
        <f t="shared" si="115"/>
        <v>FEDERAL</v>
      </c>
      <c r="N816" s="26">
        <v>113</v>
      </c>
      <c r="O816" s="26">
        <v>64</v>
      </c>
      <c r="P816" s="26">
        <v>49</v>
      </c>
      <c r="Q816" s="26">
        <v>4</v>
      </c>
      <c r="R816" s="26">
        <v>1</v>
      </c>
      <c r="S816" s="26">
        <v>4</v>
      </c>
      <c r="T816" s="26">
        <v>9</v>
      </c>
      <c r="U816" s="26">
        <v>14</v>
      </c>
      <c r="V816" s="26">
        <v>1</v>
      </c>
      <c r="W816" s="26" t="s">
        <v>2076</v>
      </c>
    </row>
    <row r="817" spans="1:23" x14ac:dyDescent="0.25">
      <c r="A817" s="26" t="str">
        <f t="shared" si="113"/>
        <v>PREESCOLAR</v>
      </c>
      <c r="B817" s="26" t="str">
        <f>"09DJN1079R"</f>
        <v>09DJN1079R</v>
      </c>
      <c r="C817" s="26" t="str">
        <f>"REP. ESPAÑOLA                                                                                       "</f>
        <v xml:space="preserve">REP. ESPAÑOLA                                                                                       </v>
      </c>
      <c r="D817" s="26" t="str">
        <f>"JORNADA AMPLIADA"</f>
        <v>JORNADA AMPLIADA</v>
      </c>
      <c r="E817" s="26" t="str">
        <f>"PASEO DE LA REFORMA NORTE NO. 705                                               "</f>
        <v xml:space="preserve">PASEO DE LA REFORMA NORTE NO. 705                                               </v>
      </c>
      <c r="F817" s="26" t="str">
        <f>"PERALVILLO                                                                                                                                  "</f>
        <v xml:space="preserve">PERALVILLO                                                                                                                                  </v>
      </c>
      <c r="G817" s="26" t="s">
        <v>4128</v>
      </c>
      <c r="H817" s="26" t="str">
        <f>"017"</f>
        <v>017</v>
      </c>
      <c r="I817" s="26" t="str">
        <f t="shared" si="114"/>
        <v>00</v>
      </c>
      <c r="J817" s="26" t="str">
        <f>"31 "</f>
        <v xml:space="preserve">31 </v>
      </c>
      <c r="K817" s="26" t="str">
        <f>"EP"</f>
        <v>EP</v>
      </c>
      <c r="L817" s="26" t="str">
        <f>"DGOSE"</f>
        <v>DGOSE</v>
      </c>
      <c r="M817" s="26" t="str">
        <f t="shared" si="115"/>
        <v>FEDERAL</v>
      </c>
      <c r="N817" s="26">
        <v>190</v>
      </c>
      <c r="O817" s="26">
        <v>92</v>
      </c>
      <c r="P817" s="26">
        <v>98</v>
      </c>
      <c r="Q817" s="26">
        <v>6</v>
      </c>
      <c r="R817" s="26">
        <v>1</v>
      </c>
      <c r="S817" s="26">
        <v>6</v>
      </c>
      <c r="T817" s="26">
        <v>5</v>
      </c>
      <c r="U817" s="26">
        <v>12</v>
      </c>
      <c r="V817" s="26">
        <v>1</v>
      </c>
      <c r="W817" s="26" t="s">
        <v>2076</v>
      </c>
    </row>
    <row r="818" spans="1:23" x14ac:dyDescent="0.25">
      <c r="A818" s="26" t="str">
        <f t="shared" si="113"/>
        <v>PREESCOLAR</v>
      </c>
      <c r="B818" s="26" t="str">
        <f>"09DJN1080G"</f>
        <v>09DJN1080G</v>
      </c>
      <c r="C818" s="26" t="str">
        <f>"PACTO FEDERAL                                                                                       "</f>
        <v xml:space="preserve">PACTO FEDERAL                                                                                       </v>
      </c>
      <c r="D818" s="26" t="str">
        <f>"JORNADA AMPLIADA"</f>
        <v>JORNADA AMPLIADA</v>
      </c>
      <c r="E818" s="26" t="str">
        <f>"HERREROS Y ASTRONOMIA                                                           "</f>
        <v xml:space="preserve">HERREROS Y ASTRONOMIA                                                           </v>
      </c>
      <c r="F818" s="26" t="str">
        <f>"EL ROSARIO                                                                                                                                  "</f>
        <v xml:space="preserve">EL ROSARIO                                                                                                                                  </v>
      </c>
      <c r="G818" s="26" t="str">
        <f>"AZCAPOTZALCO                                                                    "</f>
        <v xml:space="preserve">AZCAPOTZALCO                                                                    </v>
      </c>
      <c r="H818" s="26" t="str">
        <f>"181"</f>
        <v>181</v>
      </c>
      <c r="I818" s="26" t="str">
        <f t="shared" si="114"/>
        <v>00</v>
      </c>
      <c r="J818" s="26" t="str">
        <f>"31 "</f>
        <v xml:space="preserve">31 </v>
      </c>
      <c r="K818" s="26" t="str">
        <f>"EP"</f>
        <v>EP</v>
      </c>
      <c r="L818" s="26" t="str">
        <f>"DGOSE"</f>
        <v>DGOSE</v>
      </c>
      <c r="M818" s="26" t="str">
        <f t="shared" si="115"/>
        <v>FEDERAL</v>
      </c>
      <c r="N818" s="26">
        <v>96</v>
      </c>
      <c r="O818" s="26">
        <v>48</v>
      </c>
      <c r="P818" s="26">
        <v>48</v>
      </c>
      <c r="Q818" s="26">
        <v>4</v>
      </c>
      <c r="R818" s="26">
        <v>2</v>
      </c>
      <c r="S818" s="26">
        <v>4</v>
      </c>
      <c r="T818" s="26">
        <v>6</v>
      </c>
      <c r="U818" s="26">
        <v>12</v>
      </c>
      <c r="V818" s="26">
        <v>1</v>
      </c>
      <c r="W818" s="26" t="s">
        <v>2076</v>
      </c>
    </row>
    <row r="819" spans="1:23" x14ac:dyDescent="0.25">
      <c r="A819" s="26" t="str">
        <f t="shared" si="113"/>
        <v>PREESCOLAR</v>
      </c>
      <c r="B819" s="26" t="str">
        <f>"09DJN1081F"</f>
        <v>09DJN1081F</v>
      </c>
      <c r="C819" s="26" t="str">
        <f>"XLIX LEGISLATURA                                                                                    "</f>
        <v xml:space="preserve">XLIX LEGISLATURA                                                                                    </v>
      </c>
      <c r="D819" s="26" t="str">
        <f>"JORNADA AMPLIADA"</f>
        <v>JORNADA AMPLIADA</v>
      </c>
      <c r="E819" s="26" t="str">
        <f>"RUFINA NO. 53                                                                   "</f>
        <v xml:space="preserve">RUFINA NO. 53                                                                   </v>
      </c>
      <c r="F819" s="26" t="str">
        <f>"TACUBAYA                                                                                                                                    "</f>
        <v xml:space="preserve">TACUBAYA                                                                                                                                    </v>
      </c>
      <c r="G819" s="26" t="str">
        <f>"MIGUEL HIDALGO                                                                  "</f>
        <v xml:space="preserve">MIGUEL HIDALGO                                                                  </v>
      </c>
      <c r="H819" s="26" t="str">
        <f>"109"</f>
        <v>109</v>
      </c>
      <c r="I819" s="26" t="str">
        <f t="shared" si="114"/>
        <v>00</v>
      </c>
      <c r="J819" s="26" t="str">
        <f>"31 "</f>
        <v xml:space="preserve">31 </v>
      </c>
      <c r="K819" s="26" t="str">
        <f>"EP"</f>
        <v>EP</v>
      </c>
      <c r="L819" s="26" t="str">
        <f>"DGOSE"</f>
        <v>DGOSE</v>
      </c>
      <c r="M819" s="26" t="str">
        <f t="shared" si="115"/>
        <v>FEDERAL</v>
      </c>
      <c r="N819" s="26">
        <v>83</v>
      </c>
      <c r="O819" s="26">
        <v>41</v>
      </c>
      <c r="P819" s="26">
        <v>42</v>
      </c>
      <c r="Q819" s="26">
        <v>4</v>
      </c>
      <c r="R819" s="26">
        <v>1</v>
      </c>
      <c r="S819" s="26">
        <v>3</v>
      </c>
      <c r="T819" s="26">
        <v>6</v>
      </c>
      <c r="U819" s="26">
        <v>10</v>
      </c>
      <c r="V819" s="26">
        <v>1</v>
      </c>
      <c r="W819" s="26" t="s">
        <v>2076</v>
      </c>
    </row>
    <row r="820" spans="1:23" x14ac:dyDescent="0.25">
      <c r="A820" s="26" t="str">
        <f t="shared" si="113"/>
        <v>PREESCOLAR</v>
      </c>
      <c r="B820" s="26" t="str">
        <f>"09DJN1082E"</f>
        <v>09DJN1082E</v>
      </c>
      <c r="C820" s="26" t="str">
        <f>"CENTIOTLI                                                                                           "</f>
        <v xml:space="preserve">CENTIOTLI                                                                                           </v>
      </c>
      <c r="D820" s="26" t="str">
        <f>"MATUTINO"</f>
        <v>MATUTINO</v>
      </c>
      <c r="E820" s="26" t="str">
        <f>"AV. LEYES DE REFORMA  ESQ. 4 DE DIC. 1860 S/N                                   "</f>
        <v xml:space="preserve">AV. LEYES DE REFORMA  ESQ. 4 DE DIC. 1860 S/N                                   </v>
      </c>
      <c r="F820" s="26" t="str">
        <f>"LEYES DE REFORMA                                                                                                                            "</f>
        <v xml:space="preserve">LEYES DE REFORMA                                                                                                                            </v>
      </c>
      <c r="G820" s="26" t="str">
        <f>"IZTAPALAPA                                                                      "</f>
        <v xml:space="preserve">IZTAPALAPA                                                                      </v>
      </c>
      <c r="H820" s="26" t="str">
        <f>"020"</f>
        <v>020</v>
      </c>
      <c r="I820" s="26" t="str">
        <f t="shared" si="114"/>
        <v>00</v>
      </c>
      <c r="J820" s="26" t="str">
        <f>"63 "</f>
        <v xml:space="preserve">63 </v>
      </c>
      <c r="K820" s="26" t="str">
        <f>"IZ"</f>
        <v>IZ</v>
      </c>
      <c r="L820" s="26" t="str">
        <f>"DGSEI"</f>
        <v>DGSEI</v>
      </c>
      <c r="M820" s="26" t="str">
        <f t="shared" si="115"/>
        <v>FEDERAL</v>
      </c>
      <c r="N820" s="26">
        <v>204</v>
      </c>
      <c r="O820" s="26">
        <v>95</v>
      </c>
      <c r="P820" s="26">
        <v>109</v>
      </c>
      <c r="Q820" s="26">
        <v>6</v>
      </c>
      <c r="R820" s="26">
        <v>1</v>
      </c>
      <c r="S820" s="26">
        <v>6</v>
      </c>
      <c r="T820" s="26">
        <v>4</v>
      </c>
      <c r="U820" s="26">
        <v>11</v>
      </c>
      <c r="V820" s="26">
        <v>1</v>
      </c>
      <c r="W820" s="26"/>
    </row>
    <row r="821" spans="1:23" x14ac:dyDescent="0.25">
      <c r="A821" s="26" t="str">
        <f t="shared" si="113"/>
        <v>PREESCOLAR</v>
      </c>
      <c r="B821" s="26" t="str">
        <f>"09DJN1084C"</f>
        <v>09DJN1084C</v>
      </c>
      <c r="C821" s="26" t="str">
        <f>"ESTANCIA JARDIN INFANTIL NO. 17 D.I.F                                                               "</f>
        <v xml:space="preserve">ESTANCIA JARDIN INFANTIL NO. 17 D.I.F                                                               </v>
      </c>
      <c r="D821" s="26" t="str">
        <f>"JORNADA AMPLIADA"</f>
        <v>JORNADA AMPLIADA</v>
      </c>
      <c r="E821" s="26" t="str">
        <f>"MADERO NO. 12                                                                   "</f>
        <v xml:space="preserve">MADERO NO. 12                                                                   </v>
      </c>
      <c r="F821" s="26" t="str">
        <f>"SAN ANGEL                                                                                                                                   "</f>
        <v xml:space="preserve">SAN ANGEL                                                                                                                                   </v>
      </c>
      <c r="G821" s="26" t="str">
        <f>"ALVARO OBREGON                                                                  "</f>
        <v xml:space="preserve">ALVARO OBREGON                                                                  </v>
      </c>
      <c r="H821" s="26" t="str">
        <f>"128"</f>
        <v>128</v>
      </c>
      <c r="I821" s="26" t="str">
        <f t="shared" si="114"/>
        <v>00</v>
      </c>
      <c r="J821" s="26" t="str">
        <f>"34 "</f>
        <v xml:space="preserve">34 </v>
      </c>
      <c r="K821" s="26" t="str">
        <f t="shared" ref="K821:K826" si="123">"EP"</f>
        <v>EP</v>
      </c>
      <c r="L821" s="26" t="str">
        <f t="shared" ref="L821:L826" si="124">"DGOSE"</f>
        <v>DGOSE</v>
      </c>
      <c r="M821" s="26" t="str">
        <f t="shared" si="115"/>
        <v>FEDERAL</v>
      </c>
      <c r="N821" s="26">
        <v>87</v>
      </c>
      <c r="O821" s="26">
        <v>41</v>
      </c>
      <c r="P821" s="26">
        <v>46</v>
      </c>
      <c r="Q821" s="26">
        <v>4</v>
      </c>
      <c r="R821" s="26">
        <v>1</v>
      </c>
      <c r="S821" s="26">
        <v>4</v>
      </c>
      <c r="T821" s="26">
        <v>4</v>
      </c>
      <c r="U821" s="26">
        <v>9</v>
      </c>
      <c r="V821" s="26">
        <v>1</v>
      </c>
      <c r="W821" s="26" t="s">
        <v>2076</v>
      </c>
    </row>
    <row r="822" spans="1:23" x14ac:dyDescent="0.25">
      <c r="A822" s="26" t="str">
        <f t="shared" si="113"/>
        <v>PREESCOLAR</v>
      </c>
      <c r="B822" s="26" t="str">
        <f>"09DJN1085B"</f>
        <v>09DJN1085B</v>
      </c>
      <c r="C822" s="26" t="str">
        <f>"ESTANCIA JARDIN INFANTIL # 19 DIF                                                                   "</f>
        <v xml:space="preserve">ESTANCIA JARDIN INFANTIL # 19 DIF                                                                   </v>
      </c>
      <c r="D822" s="26" t="str">
        <f>"JORNADA AMPLIADA"</f>
        <v>JORNADA AMPLIADA</v>
      </c>
      <c r="E822" s="26" t="str">
        <f>"FRESNO NO. 125                                                                  "</f>
        <v xml:space="preserve">FRESNO NO. 125                                                                  </v>
      </c>
      <c r="F822" s="26" t="str">
        <f>"SANTA MARIA LA RIBERA                                                                                                                       "</f>
        <v xml:space="preserve">SANTA MARIA LA RIBERA                                                                                                                       </v>
      </c>
      <c r="G822" s="26" t="s">
        <v>4128</v>
      </c>
      <c r="H822" s="26" t="str">
        <f>"015"</f>
        <v>015</v>
      </c>
      <c r="I822" s="26" t="str">
        <f t="shared" si="114"/>
        <v>00</v>
      </c>
      <c r="J822" s="26" t="str">
        <f>"31 "</f>
        <v xml:space="preserve">31 </v>
      </c>
      <c r="K822" s="26" t="str">
        <f t="shared" si="123"/>
        <v>EP</v>
      </c>
      <c r="L822" s="26" t="str">
        <f t="shared" si="124"/>
        <v>DGOSE</v>
      </c>
      <c r="M822" s="26" t="str">
        <f t="shared" si="115"/>
        <v>FEDERAL</v>
      </c>
      <c r="N822" s="26">
        <v>84</v>
      </c>
      <c r="O822" s="26">
        <v>38</v>
      </c>
      <c r="P822" s="26">
        <v>46</v>
      </c>
      <c r="Q822" s="26">
        <v>4</v>
      </c>
      <c r="R822" s="26">
        <v>1</v>
      </c>
      <c r="S822" s="26">
        <v>4</v>
      </c>
      <c r="T822" s="26">
        <v>5</v>
      </c>
      <c r="U822" s="26">
        <v>10</v>
      </c>
      <c r="V822" s="26">
        <v>1</v>
      </c>
      <c r="W822" s="26" t="s">
        <v>2076</v>
      </c>
    </row>
    <row r="823" spans="1:23" x14ac:dyDescent="0.25">
      <c r="A823" s="26" t="str">
        <f t="shared" si="113"/>
        <v>PREESCOLAR</v>
      </c>
      <c r="B823" s="26" t="str">
        <f>"09DJN1086A"</f>
        <v>09DJN1086A</v>
      </c>
      <c r="C823" s="26" t="str">
        <f>"ESTANCIA JARDIN INFANTIL NO. 31 D.I.F                                                               "</f>
        <v xml:space="preserve">ESTANCIA JARDIN INFANTIL NO. 31 D.I.F                                                               </v>
      </c>
      <c r="D823" s="26" t="str">
        <f>"JORNADA AMPLIADA"</f>
        <v>JORNADA AMPLIADA</v>
      </c>
      <c r="E823" s="26" t="str">
        <f>"HUICHAPAN Y PELUQUEROS                                                          "</f>
        <v xml:space="preserve">HUICHAPAN Y PELUQUEROS                                                          </v>
      </c>
      <c r="F823" s="26" t="str">
        <f>"MICHOACANA                                                                                                                                  "</f>
        <v xml:space="preserve">MICHOACANA                                                                                                                                  </v>
      </c>
      <c r="G823" s="26" t="str">
        <f>"VENUSTIANO CARRANZA                                                             "</f>
        <v xml:space="preserve">VENUSTIANO CARRANZA                                                             </v>
      </c>
      <c r="H823" s="26" t="str">
        <f>"246"</f>
        <v>246</v>
      </c>
      <c r="I823" s="26" t="str">
        <f t="shared" si="114"/>
        <v>00</v>
      </c>
      <c r="J823" s="26" t="str">
        <f>"31 "</f>
        <v xml:space="preserve">31 </v>
      </c>
      <c r="K823" s="26" t="str">
        <f t="shared" si="123"/>
        <v>EP</v>
      </c>
      <c r="L823" s="26" t="str">
        <f t="shared" si="124"/>
        <v>DGOSE</v>
      </c>
      <c r="M823" s="26" t="str">
        <f t="shared" si="115"/>
        <v>FEDERAL</v>
      </c>
      <c r="N823" s="26">
        <v>100</v>
      </c>
      <c r="O823" s="26">
        <v>56</v>
      </c>
      <c r="P823" s="26">
        <v>44</v>
      </c>
      <c r="Q823" s="26">
        <v>4</v>
      </c>
      <c r="R823" s="26">
        <v>1</v>
      </c>
      <c r="S823" s="26">
        <v>4</v>
      </c>
      <c r="T823" s="26">
        <v>5</v>
      </c>
      <c r="U823" s="26">
        <v>10</v>
      </c>
      <c r="V823" s="26">
        <v>1</v>
      </c>
      <c r="W823" s="26" t="s">
        <v>2076</v>
      </c>
    </row>
    <row r="824" spans="1:23" x14ac:dyDescent="0.25">
      <c r="A824" s="26" t="str">
        <f t="shared" si="113"/>
        <v>PREESCOLAR</v>
      </c>
      <c r="B824" s="26" t="str">
        <f>"09DJN1090N"</f>
        <v>09DJN1090N</v>
      </c>
      <c r="C824" s="26" t="str">
        <f>"ENRIQUE DUNANT                                                                                      "</f>
        <v xml:space="preserve">ENRIQUE DUNANT                                                                                      </v>
      </c>
      <c r="D824" s="26" t="str">
        <f>"MATUTINO"</f>
        <v>MATUTINO</v>
      </c>
      <c r="E824" s="26" t="str">
        <f>"GUADALUPE ENTRE MICHOACAN Y SN. MIGUEL                                          "</f>
        <v xml:space="preserve">GUADALUPE ENTRE MICHOACAN Y SN. MIGUEL                                          </v>
      </c>
      <c r="F824" s="26" t="str">
        <f>"CHALMA DE GUADALUPE                                                                                                                         "</f>
        <v xml:space="preserve">CHALMA DE GUADALUPE                                                                                                                         </v>
      </c>
      <c r="G824" s="26" t="str">
        <f>"GUSTAVO A. MADERO                                                               "</f>
        <v xml:space="preserve">GUSTAVO A. MADERO                                                               </v>
      </c>
      <c r="H824" s="26" t="str">
        <f>"105"</f>
        <v>105</v>
      </c>
      <c r="I824" s="26" t="str">
        <f t="shared" si="114"/>
        <v>00</v>
      </c>
      <c r="J824" s="26" t="str">
        <f>"32 "</f>
        <v xml:space="preserve">32 </v>
      </c>
      <c r="K824" s="26" t="str">
        <f t="shared" si="123"/>
        <v>EP</v>
      </c>
      <c r="L824" s="26" t="str">
        <f t="shared" si="124"/>
        <v>DGOSE</v>
      </c>
      <c r="M824" s="26" t="str">
        <f t="shared" si="115"/>
        <v>FEDERAL</v>
      </c>
      <c r="N824" s="26">
        <v>233</v>
      </c>
      <c r="O824" s="26">
        <v>111</v>
      </c>
      <c r="P824" s="26">
        <v>122</v>
      </c>
      <c r="Q824" s="26">
        <v>7</v>
      </c>
      <c r="R824" s="26">
        <v>1</v>
      </c>
      <c r="S824" s="26">
        <v>7</v>
      </c>
      <c r="T824" s="26">
        <v>5</v>
      </c>
      <c r="U824" s="26">
        <v>13</v>
      </c>
      <c r="V824" s="26">
        <v>1</v>
      </c>
      <c r="W824" s="26"/>
    </row>
    <row r="825" spans="1:23" x14ac:dyDescent="0.25">
      <c r="A825" s="26" t="str">
        <f t="shared" si="113"/>
        <v>PREESCOLAR</v>
      </c>
      <c r="B825" s="26" t="str">
        <f>"09DJN1091M"</f>
        <v>09DJN1091M</v>
      </c>
      <c r="C825" s="26" t="str">
        <f>"ERIK H. ERIKSON                                                                                     "</f>
        <v xml:space="preserve">ERIK H. ERIKSON                                                                                     </v>
      </c>
      <c r="D825" s="26" t="str">
        <f>"MATUTINO"</f>
        <v>MATUTINO</v>
      </c>
      <c r="E825" s="26" t="str">
        <f>"RANCHO GRANDE S/N                                                               "</f>
        <v xml:space="preserve">RANCHO GRANDE S/N                                                               </v>
      </c>
      <c r="F825" s="26" t="str">
        <f>"LA CASILDA                                                                                                                                  "</f>
        <v xml:space="preserve">LA CASILDA                                                                                                                                  </v>
      </c>
      <c r="G825" s="26" t="str">
        <f>"GUSTAVO A. MADERO                                                               "</f>
        <v xml:space="preserve">GUSTAVO A. MADERO                                                               </v>
      </c>
      <c r="H825" s="26" t="str">
        <f>"227"</f>
        <v>227</v>
      </c>
      <c r="I825" s="26" t="str">
        <f t="shared" si="114"/>
        <v>00</v>
      </c>
      <c r="J825" s="26" t="str">
        <f>"32 "</f>
        <v xml:space="preserve">32 </v>
      </c>
      <c r="K825" s="26" t="str">
        <f t="shared" si="123"/>
        <v>EP</v>
      </c>
      <c r="L825" s="26" t="str">
        <f t="shared" si="124"/>
        <v>DGOSE</v>
      </c>
      <c r="M825" s="26" t="str">
        <f t="shared" si="115"/>
        <v>FEDERAL</v>
      </c>
      <c r="N825" s="26">
        <v>262</v>
      </c>
      <c r="O825" s="26">
        <v>135</v>
      </c>
      <c r="P825" s="26">
        <v>127</v>
      </c>
      <c r="Q825" s="26">
        <v>7</v>
      </c>
      <c r="R825" s="26">
        <v>1</v>
      </c>
      <c r="S825" s="26">
        <v>7</v>
      </c>
      <c r="T825" s="26">
        <v>4</v>
      </c>
      <c r="U825" s="26">
        <v>12</v>
      </c>
      <c r="V825" s="26">
        <v>1</v>
      </c>
      <c r="W825" s="26"/>
    </row>
    <row r="826" spans="1:23" x14ac:dyDescent="0.25">
      <c r="A826" s="26" t="str">
        <f t="shared" si="113"/>
        <v>PREESCOLAR</v>
      </c>
      <c r="B826" s="26" t="str">
        <f>"09DJN1092L"</f>
        <v>09DJN1092L</v>
      </c>
      <c r="C826" s="26" t="str">
        <f>"BIK'IT                                                                                              "</f>
        <v xml:space="preserve">BIK'IT                                                                                              </v>
      </c>
      <c r="D826" s="26" t="str">
        <f>"JORNADA AMPLIADA"</f>
        <v>JORNADA AMPLIADA</v>
      </c>
      <c r="E826" s="26" t="str">
        <f>"AKIL Y YUCALTEPEN                                                               "</f>
        <v xml:space="preserve">AKIL Y YUCALTEPEN                                                               </v>
      </c>
      <c r="F826" s="26" t="str">
        <f>"POPULAR SANTA TERESA                                                                                                                        "</f>
        <v xml:space="preserve">POPULAR SANTA TERESA                                                                                                                        </v>
      </c>
      <c r="G826" s="26" t="str">
        <f>"TLALPAN                                                                         "</f>
        <v xml:space="preserve">TLALPAN                                                                         </v>
      </c>
      <c r="H826" s="26" t="str">
        <f>"277"</f>
        <v>277</v>
      </c>
      <c r="I826" s="26" t="str">
        <f t="shared" si="114"/>
        <v>00</v>
      </c>
      <c r="J826" s="26" t="str">
        <f>"34 "</f>
        <v xml:space="preserve">34 </v>
      </c>
      <c r="K826" s="26" t="str">
        <f t="shared" si="123"/>
        <v>EP</v>
      </c>
      <c r="L826" s="26" t="str">
        <f t="shared" si="124"/>
        <v>DGOSE</v>
      </c>
      <c r="M826" s="26" t="str">
        <f t="shared" si="115"/>
        <v>FEDERAL</v>
      </c>
      <c r="N826" s="26">
        <v>254</v>
      </c>
      <c r="O826" s="26">
        <v>140</v>
      </c>
      <c r="P826" s="26">
        <v>114</v>
      </c>
      <c r="Q826" s="26">
        <v>7</v>
      </c>
      <c r="R826" s="26">
        <v>1</v>
      </c>
      <c r="S826" s="26">
        <v>7</v>
      </c>
      <c r="T826" s="26">
        <v>7</v>
      </c>
      <c r="U826" s="26">
        <v>15</v>
      </c>
      <c r="V826" s="26">
        <v>1</v>
      </c>
      <c r="W826" s="26" t="s">
        <v>2076</v>
      </c>
    </row>
    <row r="827" spans="1:23" x14ac:dyDescent="0.25">
      <c r="A827" s="26" t="str">
        <f t="shared" si="113"/>
        <v>PREESCOLAR</v>
      </c>
      <c r="B827" s="26" t="str">
        <f>"09DJN1093K"</f>
        <v>09DJN1093K</v>
      </c>
      <c r="C827" s="26" t="str">
        <f>"MAESTRO ANDRES OSCOY RODRIGUEZ                                                                      "</f>
        <v xml:space="preserve">MAESTRO ANDRES OSCOY RODRIGUEZ                                                                      </v>
      </c>
      <c r="D827" s="26" t="str">
        <f>"TIEMPO COMPLETO"</f>
        <v>TIEMPO COMPLETO</v>
      </c>
      <c r="E827" s="26" t="str">
        <f>"AV. 2 CON CALLES 9 Y 11                                                         "</f>
        <v xml:space="preserve">AV. 2 CON CALLES 9 Y 11                                                         </v>
      </c>
      <c r="F827" s="26" t="str">
        <f>"UNIDAD SANTA CRUZ MEYEHUALCO                                                                                                                "</f>
        <v xml:space="preserve">UNIDAD SANTA CRUZ MEYEHUALCO                                                                                                                </v>
      </c>
      <c r="G827" s="26" t="str">
        <f>"IZTAPALAPA                                                                      "</f>
        <v xml:space="preserve">IZTAPALAPA                                                                      </v>
      </c>
      <c r="H827" s="26" t="str">
        <f>"012"</f>
        <v>012</v>
      </c>
      <c r="I827" s="26" t="str">
        <f t="shared" si="114"/>
        <v>00</v>
      </c>
      <c r="J827" s="26" t="str">
        <f>"61 "</f>
        <v xml:space="preserve">61 </v>
      </c>
      <c r="K827" s="26" t="str">
        <f>"IZ"</f>
        <v>IZ</v>
      </c>
      <c r="L827" s="26" t="str">
        <f>"DGSEI"</f>
        <v>DGSEI</v>
      </c>
      <c r="M827" s="26" t="str">
        <f t="shared" si="115"/>
        <v>FEDERAL</v>
      </c>
      <c r="N827" s="26">
        <v>290</v>
      </c>
      <c r="O827" s="26">
        <v>147</v>
      </c>
      <c r="P827" s="26">
        <v>143</v>
      </c>
      <c r="Q827" s="26">
        <v>8</v>
      </c>
      <c r="R827" s="26">
        <v>1</v>
      </c>
      <c r="S827" s="26">
        <v>8</v>
      </c>
      <c r="T827" s="26">
        <v>10</v>
      </c>
      <c r="U827" s="26">
        <v>19</v>
      </c>
      <c r="V827" s="26">
        <v>1</v>
      </c>
      <c r="W827" s="26" t="s">
        <v>218</v>
      </c>
    </row>
    <row r="828" spans="1:23" x14ac:dyDescent="0.25">
      <c r="A828" s="26" t="str">
        <f t="shared" si="113"/>
        <v>PREESCOLAR</v>
      </c>
      <c r="B828" s="26" t="str">
        <f>"09DJN1095I"</f>
        <v>09DJN1095I</v>
      </c>
      <c r="C828" s="26" t="str">
        <f>"ESTANCIA JARDIN INFANTIL # 20 DIF                                                                   "</f>
        <v xml:space="preserve">ESTANCIA JARDIN INFANTIL # 20 DIF                                                                   </v>
      </c>
      <c r="D828" s="26" t="str">
        <f>"JORNADA AMPLIADA"</f>
        <v>JORNADA AMPLIADA</v>
      </c>
      <c r="E828" s="26" t="str">
        <f>"DR. MORONES PRIETO NO. 100 BIS                                                  "</f>
        <v xml:space="preserve">DR. MORONES PRIETO NO. 100 BIS                                                  </v>
      </c>
      <c r="F828" s="26" t="str">
        <f>"BUENOS AIRES                                                                                                                                "</f>
        <v xml:space="preserve">BUENOS AIRES                                                                                                                                </v>
      </c>
      <c r="G828" s="26" t="s">
        <v>4128</v>
      </c>
      <c r="H828" s="26" t="str">
        <f>"074"</f>
        <v>074</v>
      </c>
      <c r="I828" s="26" t="str">
        <f t="shared" si="114"/>
        <v>00</v>
      </c>
      <c r="J828" s="26" t="str">
        <f>"31 "</f>
        <v xml:space="preserve">31 </v>
      </c>
      <c r="K828" s="26" t="str">
        <f>"EP"</f>
        <v>EP</v>
      </c>
      <c r="L828" s="26" t="str">
        <f>"DGOSE"</f>
        <v>DGOSE</v>
      </c>
      <c r="M828" s="26" t="str">
        <f t="shared" si="115"/>
        <v>FEDERAL</v>
      </c>
      <c r="N828" s="26">
        <v>83</v>
      </c>
      <c r="O828" s="26">
        <v>48</v>
      </c>
      <c r="P828" s="26">
        <v>35</v>
      </c>
      <c r="Q828" s="26">
        <v>4</v>
      </c>
      <c r="R828" s="26">
        <v>1</v>
      </c>
      <c r="S828" s="26">
        <v>4</v>
      </c>
      <c r="T828" s="26">
        <v>4</v>
      </c>
      <c r="U828" s="26">
        <v>9</v>
      </c>
      <c r="V828" s="26">
        <v>1</v>
      </c>
      <c r="W828" s="26" t="s">
        <v>2076</v>
      </c>
    </row>
    <row r="829" spans="1:23" x14ac:dyDescent="0.25">
      <c r="A829" s="26" t="str">
        <f t="shared" si="113"/>
        <v>PREESCOLAR</v>
      </c>
      <c r="B829" s="26" t="str">
        <f>"09DJN1096H"</f>
        <v>09DJN1096H</v>
      </c>
      <c r="C829" s="26" t="str">
        <f>"10 DE ABRIL                                                                                         "</f>
        <v xml:space="preserve">10 DE ABRIL                                                                                         </v>
      </c>
      <c r="D829" s="26" t="str">
        <f>"VESPERTINO"</f>
        <v>VESPERTINO</v>
      </c>
      <c r="E829" s="26" t="str">
        <f>"CDA. LEANDRO VALLE S/N                                                          "</f>
        <v xml:space="preserve">CDA. LEANDRO VALLE S/N                                                          </v>
      </c>
      <c r="F829" s="26" t="str">
        <f>"SAN LORENZO ACOPILCO                                                                                                                        "</f>
        <v xml:space="preserve">SAN LORENZO ACOPILCO                                                                                                                        </v>
      </c>
      <c r="G829" s="26" t="str">
        <f>"CUAJIMALPA DE MORELOS                                                           "</f>
        <v xml:space="preserve">CUAJIMALPA DE MORELOS                                                           </v>
      </c>
      <c r="H829" s="26" t="str">
        <f>"279"</f>
        <v>279</v>
      </c>
      <c r="I829" s="26" t="str">
        <f t="shared" si="114"/>
        <v>00</v>
      </c>
      <c r="J829" s="26" t="str">
        <f>"33 "</f>
        <v xml:space="preserve">33 </v>
      </c>
      <c r="K829" s="26" t="str">
        <f>"EP"</f>
        <v>EP</v>
      </c>
      <c r="L829" s="26" t="str">
        <f>"DGOSE"</f>
        <v>DGOSE</v>
      </c>
      <c r="M829" s="26" t="str">
        <f t="shared" si="115"/>
        <v>FEDERAL</v>
      </c>
      <c r="N829" s="26">
        <v>190</v>
      </c>
      <c r="O829" s="26">
        <v>92</v>
      </c>
      <c r="P829" s="26">
        <v>98</v>
      </c>
      <c r="Q829" s="26">
        <v>6</v>
      </c>
      <c r="R829" s="26">
        <v>1</v>
      </c>
      <c r="S829" s="26">
        <v>5</v>
      </c>
      <c r="T829" s="26">
        <v>3</v>
      </c>
      <c r="U829" s="26">
        <v>9</v>
      </c>
      <c r="V829" s="26">
        <v>1</v>
      </c>
      <c r="W829" s="26"/>
    </row>
    <row r="830" spans="1:23" x14ac:dyDescent="0.25">
      <c r="A830" s="26" t="str">
        <f t="shared" si="113"/>
        <v>PREESCOLAR</v>
      </c>
      <c r="B830" s="26" t="str">
        <f>"09DJN1097G"</f>
        <v>09DJN1097G</v>
      </c>
      <c r="C830" s="26" t="str">
        <f>"FEDERICO CHOPIN                                                                                     "</f>
        <v xml:space="preserve">FEDERICO CHOPIN                                                                                     </v>
      </c>
      <c r="D830" s="26" t="str">
        <f>"MATUTINO"</f>
        <v>MATUTINO</v>
      </c>
      <c r="E830" s="26" t="str">
        <f>"PRIVADA 22 DE LA CALLE 6                                                        "</f>
        <v xml:space="preserve">PRIVADA 22 DE LA CALLE 6                                                        </v>
      </c>
      <c r="F830" s="26" t="str">
        <f>"AGRICOLA PANTITLAN                                                                                                                          "</f>
        <v xml:space="preserve">AGRICOLA PANTITLAN                                                                                                                          </v>
      </c>
      <c r="G830" s="26" t="str">
        <f>"IZTACALCO                                                                       "</f>
        <v xml:space="preserve">IZTACALCO                                                                       </v>
      </c>
      <c r="H830" s="26" t="str">
        <f>"241"</f>
        <v>241</v>
      </c>
      <c r="I830" s="26" t="str">
        <f t="shared" si="114"/>
        <v>00</v>
      </c>
      <c r="J830" s="26" t="str">
        <f>"33 "</f>
        <v xml:space="preserve">33 </v>
      </c>
      <c r="K830" s="26" t="str">
        <f>"EP"</f>
        <v>EP</v>
      </c>
      <c r="L830" s="26" t="str">
        <f>"DGOSE"</f>
        <v>DGOSE</v>
      </c>
      <c r="M830" s="26" t="str">
        <f t="shared" si="115"/>
        <v>FEDERAL</v>
      </c>
      <c r="N830" s="26">
        <v>257</v>
      </c>
      <c r="O830" s="26">
        <v>121</v>
      </c>
      <c r="P830" s="26">
        <v>136</v>
      </c>
      <c r="Q830" s="26">
        <v>7</v>
      </c>
      <c r="R830" s="26">
        <v>1</v>
      </c>
      <c r="S830" s="26">
        <v>7</v>
      </c>
      <c r="T830" s="26">
        <v>6</v>
      </c>
      <c r="U830" s="26">
        <v>14</v>
      </c>
      <c r="V830" s="26">
        <v>1</v>
      </c>
      <c r="W830" s="26"/>
    </row>
    <row r="831" spans="1:23" x14ac:dyDescent="0.25">
      <c r="A831" s="26" t="str">
        <f t="shared" si="113"/>
        <v>PREESCOLAR</v>
      </c>
      <c r="B831" s="26" t="str">
        <f>"09DJN1098F"</f>
        <v>09DJN1098F</v>
      </c>
      <c r="C831" s="26" t="str">
        <f>"JOSEFA ORTIZ DE DOMINGUEZ                                                                           "</f>
        <v xml:space="preserve">JOSEFA ORTIZ DE DOMINGUEZ                                                                           </v>
      </c>
      <c r="D831" s="26" t="str">
        <f>"JORNADA AMPLIADA"</f>
        <v>JORNADA AMPLIADA</v>
      </c>
      <c r="E831" s="26" t="str">
        <f>"PALMA S/N 2DA. SECCION                                                          "</f>
        <v xml:space="preserve">PALMA S/N 2DA. SECCION                                                          </v>
      </c>
      <c r="F831" s="26" t="str">
        <f>"SANTIAGO ACAHUALTEPEC 2A AMPLIACION                                                                                                         "</f>
        <v xml:space="preserve">SANTIAGO ACAHUALTEPEC 2A AMPLIACION                                                                                                         </v>
      </c>
      <c r="G831" s="26" t="str">
        <f>"IZTAPALAPA                                                                      "</f>
        <v xml:space="preserve">IZTAPALAPA                                                                      </v>
      </c>
      <c r="H831" s="26" t="str">
        <f>"012"</f>
        <v>012</v>
      </c>
      <c r="I831" s="26" t="str">
        <f t="shared" si="114"/>
        <v>00</v>
      </c>
      <c r="J831" s="26" t="str">
        <f>"61 "</f>
        <v xml:space="preserve">61 </v>
      </c>
      <c r="K831" s="26" t="str">
        <f>"IZ"</f>
        <v>IZ</v>
      </c>
      <c r="L831" s="26" t="str">
        <f>"DGSEI"</f>
        <v>DGSEI</v>
      </c>
      <c r="M831" s="26" t="str">
        <f t="shared" si="115"/>
        <v>FEDERAL</v>
      </c>
      <c r="N831" s="26">
        <v>161</v>
      </c>
      <c r="O831" s="26">
        <v>77</v>
      </c>
      <c r="P831" s="26">
        <v>84</v>
      </c>
      <c r="Q831" s="26">
        <v>5</v>
      </c>
      <c r="R831" s="26">
        <v>1</v>
      </c>
      <c r="S831" s="26">
        <v>5</v>
      </c>
      <c r="T831" s="26">
        <v>4</v>
      </c>
      <c r="U831" s="26">
        <v>10</v>
      </c>
      <c r="V831" s="26">
        <v>1</v>
      </c>
      <c r="W831" s="26" t="s">
        <v>2076</v>
      </c>
    </row>
    <row r="832" spans="1:23" x14ac:dyDescent="0.25">
      <c r="A832" s="26" t="str">
        <f t="shared" si="113"/>
        <v>PREESCOLAR</v>
      </c>
      <c r="B832" s="26" t="str">
        <f>"09DJN1099E"</f>
        <v>09DJN1099E</v>
      </c>
      <c r="C832" s="26" t="str">
        <f>"TLAQUETZQUI                                                                                         "</f>
        <v xml:space="preserve">TLAQUETZQUI                                                                                         </v>
      </c>
      <c r="D832" s="26" t="str">
        <f>"MATUTINO"</f>
        <v>MATUTINO</v>
      </c>
      <c r="E832" s="26" t="str">
        <f>"CLAVELES S/N                                                                    "</f>
        <v xml:space="preserve">CLAVELES S/N                                                                    </v>
      </c>
      <c r="F832" s="26" t="str">
        <f>"JARDINES SAN LORENZO TEZONCO                                                                                                                "</f>
        <v xml:space="preserve">JARDINES SAN LORENZO TEZONCO                                                                                                                </v>
      </c>
      <c r="G832" s="26" t="str">
        <f>"IZTAPALAPA                                                                      "</f>
        <v xml:space="preserve">IZTAPALAPA                                                                      </v>
      </c>
      <c r="H832" s="26" t="str">
        <f>"027"</f>
        <v>027</v>
      </c>
      <c r="I832" s="26" t="str">
        <f t="shared" si="114"/>
        <v>00</v>
      </c>
      <c r="J832" s="26" t="str">
        <f>"63 "</f>
        <v xml:space="preserve">63 </v>
      </c>
      <c r="K832" s="26" t="str">
        <f>"IZ"</f>
        <v>IZ</v>
      </c>
      <c r="L832" s="26" t="str">
        <f>"DGSEI"</f>
        <v>DGSEI</v>
      </c>
      <c r="M832" s="26" t="str">
        <f t="shared" si="115"/>
        <v>FEDERAL</v>
      </c>
      <c r="N832" s="26">
        <v>223</v>
      </c>
      <c r="O832" s="26">
        <v>105</v>
      </c>
      <c r="P832" s="26">
        <v>118</v>
      </c>
      <c r="Q832" s="26">
        <v>7</v>
      </c>
      <c r="R832" s="26">
        <v>1</v>
      </c>
      <c r="S832" s="26">
        <v>7</v>
      </c>
      <c r="T832" s="26">
        <v>3</v>
      </c>
      <c r="U832" s="26">
        <v>11</v>
      </c>
      <c r="V832" s="26">
        <v>1</v>
      </c>
      <c r="W832" s="26"/>
    </row>
    <row r="833" spans="1:23" x14ac:dyDescent="0.25">
      <c r="A833" s="26" t="str">
        <f t="shared" si="113"/>
        <v>PREESCOLAR</v>
      </c>
      <c r="B833" s="26" t="str">
        <f>"09DJN1100D"</f>
        <v>09DJN1100D</v>
      </c>
      <c r="C833" s="26" t="str">
        <f>"JUAN JACOBO AUDUBON                                                                                 "</f>
        <v xml:space="preserve">JUAN JACOBO AUDUBON                                                                                 </v>
      </c>
      <c r="D833" s="26" t="str">
        <f>"TIEMPO COMPLETO"</f>
        <v>TIEMPO COMPLETO</v>
      </c>
      <c r="E833" s="26" t="str">
        <f>"EMILIANO ZAPATA NO.66                                                           "</f>
        <v xml:space="preserve">EMILIANO ZAPATA NO.66                                                           </v>
      </c>
      <c r="F833" s="26" t="str">
        <f>"SAN JUAN TEPEPAN                                                                                                                            "</f>
        <v xml:space="preserve">SAN JUAN TEPEPAN                                                                                                                            </v>
      </c>
      <c r="G833" s="26" t="str">
        <f>"XOCHIMILCO                                                                      "</f>
        <v xml:space="preserve">XOCHIMILCO                                                                      </v>
      </c>
      <c r="H833" s="26" t="str">
        <f>"036"</f>
        <v>036</v>
      </c>
      <c r="I833" s="26" t="str">
        <f t="shared" si="114"/>
        <v>00</v>
      </c>
      <c r="J833" s="26" t="str">
        <f>"34 "</f>
        <v xml:space="preserve">34 </v>
      </c>
      <c r="K833" s="26" t="str">
        <f t="shared" ref="K833:K838" si="125">"EP"</f>
        <v>EP</v>
      </c>
      <c r="L833" s="26" t="str">
        <f t="shared" ref="L833:L838" si="126">"DGOSE"</f>
        <v>DGOSE</v>
      </c>
      <c r="M833" s="26" t="str">
        <f t="shared" si="115"/>
        <v>FEDERAL</v>
      </c>
      <c r="N833" s="26">
        <v>123</v>
      </c>
      <c r="O833" s="26">
        <v>59</v>
      </c>
      <c r="P833" s="26">
        <v>64</v>
      </c>
      <c r="Q833" s="26">
        <v>4</v>
      </c>
      <c r="R833" s="26">
        <v>2</v>
      </c>
      <c r="S833" s="26">
        <v>4</v>
      </c>
      <c r="T833" s="26">
        <v>18</v>
      </c>
      <c r="U833" s="26">
        <v>24</v>
      </c>
      <c r="V833" s="26">
        <v>1</v>
      </c>
      <c r="W833" s="26" t="s">
        <v>218</v>
      </c>
    </row>
    <row r="834" spans="1:23" x14ac:dyDescent="0.25">
      <c r="A834" s="26" t="str">
        <f t="shared" ref="A834:A897" si="127">"PREESCOLAR"</f>
        <v>PREESCOLAR</v>
      </c>
      <c r="B834" s="26" t="str">
        <f>"09DJN1101C"</f>
        <v>09DJN1101C</v>
      </c>
      <c r="C834" s="26" t="str">
        <f>"PROFRA. EMMA GODOY                                                                                  "</f>
        <v xml:space="preserve">PROFRA. EMMA GODOY                                                                                  </v>
      </c>
      <c r="D834" s="26" t="str">
        <f>"JORNADA AMPLIADA"</f>
        <v>JORNADA AMPLIADA</v>
      </c>
      <c r="E834" s="26" t="str">
        <f>"AV. SAN PABLO XALPA NO. 434                                                     "</f>
        <v xml:space="preserve">AV. SAN PABLO XALPA NO. 434                                                     </v>
      </c>
      <c r="F834" s="26" t="str">
        <f>"UNIDAD HABITACIONAL SAN PABLO XALPA                                                                                                         "</f>
        <v xml:space="preserve">UNIDAD HABITACIONAL SAN PABLO XALPA                                                                                                         </v>
      </c>
      <c r="G834" s="26" t="str">
        <f>"AZCAPOTZALCO                                                                    "</f>
        <v xml:space="preserve">AZCAPOTZALCO                                                                    </v>
      </c>
      <c r="H834" s="26" t="str">
        <f>"181"</f>
        <v>181</v>
      </c>
      <c r="I834" s="26" t="str">
        <f t="shared" ref="I834:I897" si="128">"00"</f>
        <v>00</v>
      </c>
      <c r="J834" s="26" t="str">
        <f>"31 "</f>
        <v xml:space="preserve">31 </v>
      </c>
      <c r="K834" s="26" t="str">
        <f t="shared" si="125"/>
        <v>EP</v>
      </c>
      <c r="L834" s="26" t="str">
        <f t="shared" si="126"/>
        <v>DGOSE</v>
      </c>
      <c r="M834" s="26" t="str">
        <f t="shared" ref="M834:M897" si="129">"FEDERAL"</f>
        <v>FEDERAL</v>
      </c>
      <c r="N834" s="26">
        <v>180</v>
      </c>
      <c r="O834" s="26">
        <v>86</v>
      </c>
      <c r="P834" s="26">
        <v>94</v>
      </c>
      <c r="Q834" s="26">
        <v>6</v>
      </c>
      <c r="R834" s="26">
        <v>1</v>
      </c>
      <c r="S834" s="26">
        <v>6</v>
      </c>
      <c r="T834" s="26">
        <v>6</v>
      </c>
      <c r="U834" s="26">
        <v>13</v>
      </c>
      <c r="V834" s="26">
        <v>1</v>
      </c>
      <c r="W834" s="26" t="s">
        <v>2076</v>
      </c>
    </row>
    <row r="835" spans="1:23" x14ac:dyDescent="0.25">
      <c r="A835" s="26" t="str">
        <f t="shared" si="127"/>
        <v>PREESCOLAR</v>
      </c>
      <c r="B835" s="26" t="str">
        <f>"09DJN1102B"</f>
        <v>09DJN1102B</v>
      </c>
      <c r="C835" s="26" t="str">
        <f>"ALEJANDRO FLEMING                                                                                   "</f>
        <v xml:space="preserve">ALEJANDRO FLEMING                                                                                   </v>
      </c>
      <c r="D835" s="26" t="str">
        <f>"MATUTINO"</f>
        <v>MATUTINO</v>
      </c>
      <c r="E835" s="26" t="str">
        <f>"PLAN DE AYALA S/N                                                               "</f>
        <v xml:space="preserve">PLAN DE AYALA S/N                                                               </v>
      </c>
      <c r="F835" s="26" t="str">
        <f>"TLALPEXCO                                                                                                                                   "</f>
        <v xml:space="preserve">TLALPEXCO                                                                                                                                   </v>
      </c>
      <c r="G835" s="26" t="str">
        <f>"GUSTAVO A. MADERO                                                               "</f>
        <v xml:space="preserve">GUSTAVO A. MADERO                                                               </v>
      </c>
      <c r="H835" s="26" t="str">
        <f>"154"</f>
        <v>154</v>
      </c>
      <c r="I835" s="26" t="str">
        <f t="shared" si="128"/>
        <v>00</v>
      </c>
      <c r="J835" s="26" t="str">
        <f>"32 "</f>
        <v xml:space="preserve">32 </v>
      </c>
      <c r="K835" s="26" t="str">
        <f t="shared" si="125"/>
        <v>EP</v>
      </c>
      <c r="L835" s="26" t="str">
        <f t="shared" si="126"/>
        <v>DGOSE</v>
      </c>
      <c r="M835" s="26" t="str">
        <f t="shared" si="129"/>
        <v>FEDERAL</v>
      </c>
      <c r="N835" s="26">
        <v>280</v>
      </c>
      <c r="O835" s="26">
        <v>141</v>
      </c>
      <c r="P835" s="26">
        <v>139</v>
      </c>
      <c r="Q835" s="26">
        <v>8</v>
      </c>
      <c r="R835" s="26">
        <v>1</v>
      </c>
      <c r="S835" s="26">
        <v>8</v>
      </c>
      <c r="T835" s="26">
        <v>3</v>
      </c>
      <c r="U835" s="26">
        <v>12</v>
      </c>
      <c r="V835" s="26">
        <v>1</v>
      </c>
      <c r="W835" s="26"/>
    </row>
    <row r="836" spans="1:23" x14ac:dyDescent="0.25">
      <c r="A836" s="26" t="str">
        <f t="shared" si="127"/>
        <v>PREESCOLAR</v>
      </c>
      <c r="B836" s="26" t="str">
        <f>"09DJN1103A"</f>
        <v>09DJN1103A</v>
      </c>
      <c r="C836" s="26" t="str">
        <f>"PROFR. JESUS CASTRO AGUNDEZ                                                                         "</f>
        <v xml:space="preserve">PROFR. JESUS CASTRO AGUNDEZ                                                                         </v>
      </c>
      <c r="D836" s="26" t="str">
        <f>"JORNADA AMPLIADA"</f>
        <v>JORNADA AMPLIADA</v>
      </c>
      <c r="E836" s="26" t="str">
        <f>"AV. IMAN NO. 580                                                                "</f>
        <v xml:space="preserve">AV. IMAN NO. 580                                                                </v>
      </c>
      <c r="F836" s="26" t="str">
        <f>"PEDREGAL DE CARRASCO                                                                                                                        "</f>
        <v xml:space="preserve">PEDREGAL DE CARRASCO                                                                                                                        </v>
      </c>
      <c r="G836" s="26" t="str">
        <f>"COYOACAN                                                                        "</f>
        <v xml:space="preserve">COYOACAN                                                                        </v>
      </c>
      <c r="H836" s="26" t="str">
        <f>"058"</f>
        <v>058</v>
      </c>
      <c r="I836" s="26" t="str">
        <f t="shared" si="128"/>
        <v>00</v>
      </c>
      <c r="J836" s="26" t="str">
        <f>"34 "</f>
        <v xml:space="preserve">34 </v>
      </c>
      <c r="K836" s="26" t="str">
        <f t="shared" si="125"/>
        <v>EP</v>
      </c>
      <c r="L836" s="26" t="str">
        <f t="shared" si="126"/>
        <v>DGOSE</v>
      </c>
      <c r="M836" s="26" t="str">
        <f t="shared" si="129"/>
        <v>FEDERAL</v>
      </c>
      <c r="N836" s="26">
        <v>141</v>
      </c>
      <c r="O836" s="26">
        <v>65</v>
      </c>
      <c r="P836" s="26">
        <v>76</v>
      </c>
      <c r="Q836" s="26">
        <v>5</v>
      </c>
      <c r="R836" s="26">
        <v>1</v>
      </c>
      <c r="S836" s="26">
        <v>5</v>
      </c>
      <c r="T836" s="26">
        <v>7</v>
      </c>
      <c r="U836" s="26">
        <v>13</v>
      </c>
      <c r="V836" s="26">
        <v>1</v>
      </c>
      <c r="W836" s="26" t="s">
        <v>2076</v>
      </c>
    </row>
    <row r="837" spans="1:23" x14ac:dyDescent="0.25">
      <c r="A837" s="26" t="str">
        <f t="shared" si="127"/>
        <v>PREESCOLAR</v>
      </c>
      <c r="B837" s="26" t="str">
        <f>"09DJN1105Z"</f>
        <v>09DJN1105Z</v>
      </c>
      <c r="C837" s="26" t="str">
        <f>"ERMILO ABREU GOMEZ                                                                                  "</f>
        <v xml:space="preserve">ERMILO ABREU GOMEZ                                                                                  </v>
      </c>
      <c r="D837" s="26" t="str">
        <f>"JORNADA AMPLIADA"</f>
        <v>JORNADA AMPLIADA</v>
      </c>
      <c r="E837" s="26" t="str">
        <f>"ANDADOR S/N ESQ. RIO SAN JAVIER.                                                "</f>
        <v xml:space="preserve">ANDADOR S/N ESQ. RIO SAN JAVIER.                                                </v>
      </c>
      <c r="F837" s="26" t="str">
        <f>"JORGE NEGRETE                                                                                                                               "</f>
        <v xml:space="preserve">JORGE NEGRETE                                                                                                                               </v>
      </c>
      <c r="G837" s="26" t="str">
        <f>"GUSTAVO A. MADERO                                                               "</f>
        <v xml:space="preserve">GUSTAVO A. MADERO                                                               </v>
      </c>
      <c r="H837" s="26" t="str">
        <f>"001"</f>
        <v>001</v>
      </c>
      <c r="I837" s="26" t="str">
        <f t="shared" si="128"/>
        <v>00</v>
      </c>
      <c r="J837" s="26" t="str">
        <f>"31 "</f>
        <v xml:space="preserve">31 </v>
      </c>
      <c r="K837" s="26" t="str">
        <f t="shared" si="125"/>
        <v>EP</v>
      </c>
      <c r="L837" s="26" t="str">
        <f t="shared" si="126"/>
        <v>DGOSE</v>
      </c>
      <c r="M837" s="26" t="str">
        <f t="shared" si="129"/>
        <v>FEDERAL</v>
      </c>
      <c r="N837" s="26">
        <v>192</v>
      </c>
      <c r="O837" s="26">
        <v>94</v>
      </c>
      <c r="P837" s="26">
        <v>98</v>
      </c>
      <c r="Q837" s="26">
        <v>6</v>
      </c>
      <c r="R837" s="26">
        <v>1</v>
      </c>
      <c r="S837" s="26">
        <v>6</v>
      </c>
      <c r="T837" s="26">
        <v>6</v>
      </c>
      <c r="U837" s="26">
        <v>13</v>
      </c>
      <c r="V837" s="26">
        <v>1</v>
      </c>
      <c r="W837" s="26" t="s">
        <v>2076</v>
      </c>
    </row>
    <row r="838" spans="1:23" x14ac:dyDescent="0.25">
      <c r="A838" s="26" t="str">
        <f t="shared" si="127"/>
        <v>PREESCOLAR</v>
      </c>
      <c r="B838" s="26" t="str">
        <f>"09DJN1107X"</f>
        <v>09DJN1107X</v>
      </c>
      <c r="C838" s="26" t="str">
        <f>"ALEMANIA PATRIA AMIGA                                                                               "</f>
        <v xml:space="preserve">ALEMANIA PATRIA AMIGA                                                                               </v>
      </c>
      <c r="D838" s="26" t="str">
        <f>"JORNADA AMPLIADA"</f>
        <v>JORNADA AMPLIADA</v>
      </c>
      <c r="E838" s="26" t="str">
        <f>"AMADO CAMACHO S/N                                                               "</f>
        <v xml:space="preserve">AMADO CAMACHO S/N                                                               </v>
      </c>
      <c r="F838" s="26" t="str">
        <f>"SANTIAGO ZAPOTITLAN                                                                                                                         "</f>
        <v xml:space="preserve">SANTIAGO ZAPOTITLAN                                                                                                                         </v>
      </c>
      <c r="G838" s="26" t="str">
        <f>"TLAHUAC                                                                         "</f>
        <v xml:space="preserve">TLAHUAC                                                                         </v>
      </c>
      <c r="H838" s="26" t="str">
        <f>"054"</f>
        <v>054</v>
      </c>
      <c r="I838" s="26" t="str">
        <f t="shared" si="128"/>
        <v>00</v>
      </c>
      <c r="J838" s="26" t="str">
        <f>"34 "</f>
        <v xml:space="preserve">34 </v>
      </c>
      <c r="K838" s="26" t="str">
        <f t="shared" si="125"/>
        <v>EP</v>
      </c>
      <c r="L838" s="26" t="str">
        <f t="shared" si="126"/>
        <v>DGOSE</v>
      </c>
      <c r="M838" s="26" t="str">
        <f t="shared" si="129"/>
        <v>FEDERAL</v>
      </c>
      <c r="N838" s="26">
        <v>191</v>
      </c>
      <c r="O838" s="26">
        <v>105</v>
      </c>
      <c r="P838" s="26">
        <v>86</v>
      </c>
      <c r="Q838" s="26">
        <v>6</v>
      </c>
      <c r="R838" s="26">
        <v>1</v>
      </c>
      <c r="S838" s="26">
        <v>6</v>
      </c>
      <c r="T838" s="26">
        <v>8</v>
      </c>
      <c r="U838" s="26">
        <v>15</v>
      </c>
      <c r="V838" s="26">
        <v>1</v>
      </c>
      <c r="W838" s="26" t="s">
        <v>2076</v>
      </c>
    </row>
    <row r="839" spans="1:23" x14ac:dyDescent="0.25">
      <c r="A839" s="26" t="str">
        <f t="shared" si="127"/>
        <v>PREESCOLAR</v>
      </c>
      <c r="B839" s="26" t="str">
        <f>"09DJN1108W"</f>
        <v>09DJN1108W</v>
      </c>
      <c r="C839" s="26" t="str">
        <f>"XAIRE                                                                                               "</f>
        <v xml:space="preserve">XAIRE                                                                                               </v>
      </c>
      <c r="D839" s="26" t="str">
        <f>"MATUTINO"</f>
        <v>MATUTINO</v>
      </c>
      <c r="E839" s="26" t="str">
        <f>"CDA. 5 DE FEBRERO S/N                                                           "</f>
        <v xml:space="preserve">CDA. 5 DE FEBRERO S/N                                                           </v>
      </c>
      <c r="F839" s="26" t="str">
        <f>"SANTIAGO ACAHUALTEPEC 2A AMPLIACION                                                                                                         "</f>
        <v xml:space="preserve">SANTIAGO ACAHUALTEPEC 2A AMPLIACION                                                                                                         </v>
      </c>
      <c r="G839" s="26" t="str">
        <f t="shared" ref="G839:G844" si="130">"IZTAPALAPA                                                                      "</f>
        <v xml:space="preserve">IZTAPALAPA                                                                      </v>
      </c>
      <c r="H839" s="26" t="str">
        <f>"037"</f>
        <v>037</v>
      </c>
      <c r="I839" s="26" t="str">
        <f t="shared" si="128"/>
        <v>00</v>
      </c>
      <c r="J839" s="26" t="str">
        <f>"64 "</f>
        <v xml:space="preserve">64 </v>
      </c>
      <c r="K839" s="26" t="str">
        <f t="shared" ref="K839:K844" si="131">"IZ"</f>
        <v>IZ</v>
      </c>
      <c r="L839" s="26" t="str">
        <f t="shared" ref="L839:L844" si="132">"DGSEI"</f>
        <v>DGSEI</v>
      </c>
      <c r="M839" s="26" t="str">
        <f t="shared" si="129"/>
        <v>FEDERAL</v>
      </c>
      <c r="N839" s="26">
        <v>270</v>
      </c>
      <c r="O839" s="26">
        <v>139</v>
      </c>
      <c r="P839" s="26">
        <v>131</v>
      </c>
      <c r="Q839" s="26">
        <v>7</v>
      </c>
      <c r="R839" s="26">
        <v>1</v>
      </c>
      <c r="S839" s="26">
        <v>7</v>
      </c>
      <c r="T839" s="26">
        <v>4</v>
      </c>
      <c r="U839" s="26">
        <v>12</v>
      </c>
      <c r="V839" s="26">
        <v>1</v>
      </c>
      <c r="W839" s="26"/>
    </row>
    <row r="840" spans="1:23" x14ac:dyDescent="0.25">
      <c r="A840" s="26" t="str">
        <f t="shared" si="127"/>
        <v>PREESCOLAR</v>
      </c>
      <c r="B840" s="26" t="str">
        <f>"09DJN1109V"</f>
        <v>09DJN1109V</v>
      </c>
      <c r="C840" s="26" t="str">
        <f>"PARAJE DE ZACATEPEC                                                                                 "</f>
        <v xml:space="preserve">PARAJE DE ZACATEPEC                                                                                 </v>
      </c>
      <c r="D840" s="26" t="str">
        <f>"JORNADA AMPLIADA"</f>
        <v>JORNADA AMPLIADA</v>
      </c>
      <c r="E840" s="26" t="str">
        <f>"AV. MORELOS S/N                                                                 "</f>
        <v xml:space="preserve">AV. MORELOS S/N                                                                 </v>
      </c>
      <c r="F840" s="26" t="str">
        <f>"PARAJE ZACATEPEC                                                                                                                            "</f>
        <v xml:space="preserve">PARAJE ZACATEPEC                                                                                                                            </v>
      </c>
      <c r="G840" s="26" t="str">
        <f t="shared" si="130"/>
        <v xml:space="preserve">IZTAPALAPA                                                                      </v>
      </c>
      <c r="H840" s="26" t="str">
        <f>"008"</f>
        <v>008</v>
      </c>
      <c r="I840" s="26" t="str">
        <f t="shared" si="128"/>
        <v>00</v>
      </c>
      <c r="J840" s="26" t="str">
        <f>"61 "</f>
        <v xml:space="preserve">61 </v>
      </c>
      <c r="K840" s="26" t="str">
        <f t="shared" si="131"/>
        <v>IZ</v>
      </c>
      <c r="L840" s="26" t="str">
        <f t="shared" si="132"/>
        <v>DGSEI</v>
      </c>
      <c r="M840" s="26" t="str">
        <f t="shared" si="129"/>
        <v>FEDERAL</v>
      </c>
      <c r="N840" s="26">
        <v>235</v>
      </c>
      <c r="O840" s="26">
        <v>113</v>
      </c>
      <c r="P840" s="26">
        <v>122</v>
      </c>
      <c r="Q840" s="26">
        <v>6</v>
      </c>
      <c r="R840" s="26">
        <v>1</v>
      </c>
      <c r="S840" s="26">
        <v>6</v>
      </c>
      <c r="T840" s="26">
        <v>6</v>
      </c>
      <c r="U840" s="26">
        <v>13</v>
      </c>
      <c r="V840" s="26">
        <v>1</v>
      </c>
      <c r="W840" s="26" t="s">
        <v>2076</v>
      </c>
    </row>
    <row r="841" spans="1:23" x14ac:dyDescent="0.25">
      <c r="A841" s="26" t="str">
        <f t="shared" si="127"/>
        <v>PREESCOLAR</v>
      </c>
      <c r="B841" s="26" t="str">
        <f>"09DJN1110K"</f>
        <v>09DJN1110K</v>
      </c>
      <c r="C841" s="26" t="str">
        <f>"VICENTE T. MENDOZA                                                                                  "</f>
        <v xml:space="preserve">VICENTE T. MENDOZA                                                                                  </v>
      </c>
      <c r="D841" s="26" t="str">
        <f>"MATUTINO"</f>
        <v>MATUTINO</v>
      </c>
      <c r="E841" s="26" t="str">
        <f>"REFORMA SOCIAL Y REFORMA LIBERAL S/N                                            "</f>
        <v xml:space="preserve">REFORMA SOCIAL Y REFORMA LIBERAL S/N                                            </v>
      </c>
      <c r="F841" s="26" t="str">
        <f>"REFORMA POLITICA                                                                                                                            "</f>
        <v xml:space="preserve">REFORMA POLITICA                                                                                                                            </v>
      </c>
      <c r="G841" s="26" t="str">
        <f t="shared" si="130"/>
        <v xml:space="preserve">IZTAPALAPA                                                                      </v>
      </c>
      <c r="H841" s="26" t="str">
        <f>"034"</f>
        <v>034</v>
      </c>
      <c r="I841" s="26" t="str">
        <f t="shared" si="128"/>
        <v>00</v>
      </c>
      <c r="J841" s="26" t="str">
        <f>"64 "</f>
        <v xml:space="preserve">64 </v>
      </c>
      <c r="K841" s="26" t="str">
        <f t="shared" si="131"/>
        <v>IZ</v>
      </c>
      <c r="L841" s="26" t="str">
        <f t="shared" si="132"/>
        <v>DGSEI</v>
      </c>
      <c r="M841" s="26" t="str">
        <f t="shared" si="129"/>
        <v>FEDERAL</v>
      </c>
      <c r="N841" s="26">
        <v>260</v>
      </c>
      <c r="O841" s="26">
        <v>146</v>
      </c>
      <c r="P841" s="26">
        <v>114</v>
      </c>
      <c r="Q841" s="26">
        <v>7</v>
      </c>
      <c r="R841" s="26">
        <v>1</v>
      </c>
      <c r="S841" s="26">
        <v>7</v>
      </c>
      <c r="T841" s="26">
        <v>3</v>
      </c>
      <c r="U841" s="26">
        <v>11</v>
      </c>
      <c r="V841" s="26">
        <v>1</v>
      </c>
      <c r="W841" s="26"/>
    </row>
    <row r="842" spans="1:23" x14ac:dyDescent="0.25">
      <c r="A842" s="26" t="str">
        <f t="shared" si="127"/>
        <v>PREESCOLAR</v>
      </c>
      <c r="B842" s="26" t="str">
        <f>"09DJN1111J"</f>
        <v>09DJN1111J</v>
      </c>
      <c r="C842" s="26" t="str">
        <f>"MULUM                                                                                               "</f>
        <v xml:space="preserve">MULUM                                                                                               </v>
      </c>
      <c r="D842" s="26" t="str">
        <f>"TIEMPO COMPLETO"</f>
        <v>TIEMPO COMPLETO</v>
      </c>
      <c r="E842" s="26" t="str">
        <f>"CRISOSTOMO BONILLA S/N                                                          "</f>
        <v xml:space="preserve">CRISOSTOMO BONILLA S/N                                                          </v>
      </c>
      <c r="F842" s="26" t="str">
        <f>"UNIDAD HABITACIONAL IGNACIO ZARAGOZ                                                                                                         "</f>
        <v xml:space="preserve">UNIDAD HABITACIONAL IGNACIO ZARAGOZ                                                                                                         </v>
      </c>
      <c r="G842" s="26" t="str">
        <f t="shared" si="130"/>
        <v xml:space="preserve">IZTAPALAPA                                                                      </v>
      </c>
      <c r="H842" s="26" t="str">
        <f>"006"</f>
        <v>006</v>
      </c>
      <c r="I842" s="26" t="str">
        <f t="shared" si="128"/>
        <v>00</v>
      </c>
      <c r="J842" s="26" t="str">
        <f>"61 "</f>
        <v xml:space="preserve">61 </v>
      </c>
      <c r="K842" s="26" t="str">
        <f t="shared" si="131"/>
        <v>IZ</v>
      </c>
      <c r="L842" s="26" t="str">
        <f t="shared" si="132"/>
        <v>DGSEI</v>
      </c>
      <c r="M842" s="26" t="str">
        <f t="shared" si="129"/>
        <v>FEDERAL</v>
      </c>
      <c r="N842" s="26">
        <v>247</v>
      </c>
      <c r="O842" s="26">
        <v>125</v>
      </c>
      <c r="P842" s="26">
        <v>122</v>
      </c>
      <c r="Q842" s="26">
        <v>8</v>
      </c>
      <c r="R842" s="26">
        <v>1</v>
      </c>
      <c r="S842" s="26">
        <v>8</v>
      </c>
      <c r="T842" s="26">
        <v>8</v>
      </c>
      <c r="U842" s="26">
        <v>17</v>
      </c>
      <c r="V842" s="26">
        <v>1</v>
      </c>
      <c r="W842" s="26" t="s">
        <v>218</v>
      </c>
    </row>
    <row r="843" spans="1:23" x14ac:dyDescent="0.25">
      <c r="A843" s="26" t="str">
        <f t="shared" si="127"/>
        <v>PREESCOLAR</v>
      </c>
      <c r="B843" s="26" t="str">
        <f>"09DJN1112I"</f>
        <v>09DJN1112I</v>
      </c>
      <c r="C843" s="26" t="str">
        <f>"BATALLA DE PUEBLA                                                                                   "</f>
        <v xml:space="preserve">BATALLA DE PUEBLA                                                                                   </v>
      </c>
      <c r="D843" s="26" t="str">
        <f>"JORNADA AMPLIADA"</f>
        <v>JORNADA AMPLIADA</v>
      </c>
      <c r="E843" s="26" t="str">
        <f>"RAFAEL SALDAÑA Y LUIS ZAMORA S/N                                                "</f>
        <v xml:space="preserve">RAFAEL SALDAÑA Y LUIS ZAMORA S/N                                                </v>
      </c>
      <c r="F843" s="26" t="str">
        <f>"UNIDAD HABITACIONAL EJERCITO DE ORI                                                                                                         "</f>
        <v xml:space="preserve">UNIDAD HABITACIONAL EJERCITO DE ORI                                                                                                         </v>
      </c>
      <c r="G843" s="26" t="str">
        <f t="shared" si="130"/>
        <v xml:space="preserve">IZTAPALAPA                                                                      </v>
      </c>
      <c r="H843" s="26" t="str">
        <f>"006"</f>
        <v>006</v>
      </c>
      <c r="I843" s="26" t="str">
        <f t="shared" si="128"/>
        <v>00</v>
      </c>
      <c r="J843" s="26" t="str">
        <f>"61 "</f>
        <v xml:space="preserve">61 </v>
      </c>
      <c r="K843" s="26" t="str">
        <f t="shared" si="131"/>
        <v>IZ</v>
      </c>
      <c r="L843" s="26" t="str">
        <f t="shared" si="132"/>
        <v>DGSEI</v>
      </c>
      <c r="M843" s="26" t="str">
        <f t="shared" si="129"/>
        <v>FEDERAL</v>
      </c>
      <c r="N843" s="26">
        <v>245</v>
      </c>
      <c r="O843" s="26">
        <v>116</v>
      </c>
      <c r="P843" s="26">
        <v>129</v>
      </c>
      <c r="Q843" s="26">
        <v>7</v>
      </c>
      <c r="R843" s="26">
        <v>1</v>
      </c>
      <c r="S843" s="26">
        <v>7</v>
      </c>
      <c r="T843" s="26">
        <v>6</v>
      </c>
      <c r="U843" s="26">
        <v>14</v>
      </c>
      <c r="V843" s="26">
        <v>1</v>
      </c>
      <c r="W843" s="26" t="s">
        <v>2076</v>
      </c>
    </row>
    <row r="844" spans="1:23" x14ac:dyDescent="0.25">
      <c r="A844" s="26" t="str">
        <f t="shared" si="127"/>
        <v>PREESCOLAR</v>
      </c>
      <c r="B844" s="26" t="str">
        <f>"09DJN1113H"</f>
        <v>09DJN1113H</v>
      </c>
      <c r="C844" s="26" t="str">
        <f>"PROFRA. NIEVES ZEDILLO GONZALEZ                                                                     "</f>
        <v xml:space="preserve">PROFRA. NIEVES ZEDILLO GONZALEZ                                                                     </v>
      </c>
      <c r="D844" s="26" t="str">
        <f>"MATUTINO"</f>
        <v>MATUTINO</v>
      </c>
      <c r="E844" s="26" t="str">
        <f>"NUBE S/N                                                                        "</f>
        <v xml:space="preserve">NUBE S/N                                                                        </v>
      </c>
      <c r="F844" s="26" t="str">
        <f>"LOS ANGELES APANOAYA                                                                                                                        "</f>
        <v xml:space="preserve">LOS ANGELES APANOAYA                                                                                                                        </v>
      </c>
      <c r="G844" s="26" t="str">
        <f t="shared" si="130"/>
        <v xml:space="preserve">IZTAPALAPA                                                                      </v>
      </c>
      <c r="H844" s="26" t="str">
        <f>"025"</f>
        <v>025</v>
      </c>
      <c r="I844" s="26" t="str">
        <f t="shared" si="128"/>
        <v>00</v>
      </c>
      <c r="J844" s="26" t="str">
        <f>"63 "</f>
        <v xml:space="preserve">63 </v>
      </c>
      <c r="K844" s="26" t="str">
        <f t="shared" si="131"/>
        <v>IZ</v>
      </c>
      <c r="L844" s="26" t="str">
        <f t="shared" si="132"/>
        <v>DGSEI</v>
      </c>
      <c r="M844" s="26" t="str">
        <f t="shared" si="129"/>
        <v>FEDERAL</v>
      </c>
      <c r="N844" s="26">
        <v>140</v>
      </c>
      <c r="O844" s="26">
        <v>71</v>
      </c>
      <c r="P844" s="26">
        <v>69</v>
      </c>
      <c r="Q844" s="26">
        <v>5</v>
      </c>
      <c r="R844" s="26">
        <v>1</v>
      </c>
      <c r="S844" s="26">
        <v>5</v>
      </c>
      <c r="T844" s="26">
        <v>3</v>
      </c>
      <c r="U844" s="26">
        <v>9</v>
      </c>
      <c r="V844" s="26">
        <v>1</v>
      </c>
      <c r="W844" s="26"/>
    </row>
    <row r="845" spans="1:23" x14ac:dyDescent="0.25">
      <c r="A845" s="26" t="str">
        <f t="shared" si="127"/>
        <v>PREESCOLAR</v>
      </c>
      <c r="B845" s="26" t="str">
        <f>"09DJN1114G"</f>
        <v>09DJN1114G</v>
      </c>
      <c r="C845" s="26" t="str">
        <f>"CARLOTA DE GORTARI CARBAJAL                                                                         "</f>
        <v xml:space="preserve">CARLOTA DE GORTARI CARBAJAL                                                                         </v>
      </c>
      <c r="D845" s="26" t="str">
        <f>"TIEMPO COMPLETO"</f>
        <v>TIEMPO COMPLETO</v>
      </c>
      <c r="E845" s="26" t="str">
        <f>"CALLE DE CHICLE NO. 179                                                         "</f>
        <v xml:space="preserve">CALLE DE CHICLE NO. 179                                                         </v>
      </c>
      <c r="F845" s="26" t="str">
        <f>"GRANJAS MEXICO                                                                                                                              "</f>
        <v xml:space="preserve">GRANJAS MEXICO                                                                                                                              </v>
      </c>
      <c r="G845" s="26" t="str">
        <f>"IZTACALCO                                                                       "</f>
        <v xml:space="preserve">IZTACALCO                                                                       </v>
      </c>
      <c r="H845" s="26" t="str">
        <f>"085"</f>
        <v>085</v>
      </c>
      <c r="I845" s="26" t="str">
        <f t="shared" si="128"/>
        <v>00</v>
      </c>
      <c r="J845" s="26" t="str">
        <f>"31 "</f>
        <v xml:space="preserve">31 </v>
      </c>
      <c r="K845" s="26" t="str">
        <f>"EP"</f>
        <v>EP</v>
      </c>
      <c r="L845" s="26" t="str">
        <f>"DGOSE"</f>
        <v>DGOSE</v>
      </c>
      <c r="M845" s="26" t="str">
        <f t="shared" si="129"/>
        <v>FEDERAL</v>
      </c>
      <c r="N845" s="26">
        <v>171</v>
      </c>
      <c r="O845" s="26">
        <v>91</v>
      </c>
      <c r="P845" s="26">
        <v>80</v>
      </c>
      <c r="Q845" s="26">
        <v>6</v>
      </c>
      <c r="R845" s="26">
        <v>2</v>
      </c>
      <c r="S845" s="26">
        <v>6</v>
      </c>
      <c r="T845" s="26">
        <v>14</v>
      </c>
      <c r="U845" s="26">
        <v>22</v>
      </c>
      <c r="V845" s="26">
        <v>1</v>
      </c>
      <c r="W845" s="26" t="s">
        <v>218</v>
      </c>
    </row>
    <row r="846" spans="1:23" x14ac:dyDescent="0.25">
      <c r="A846" s="26" t="str">
        <f t="shared" si="127"/>
        <v>PREESCOLAR</v>
      </c>
      <c r="B846" s="26" t="str">
        <f>"09DJN1115F"</f>
        <v>09DJN1115F</v>
      </c>
      <c r="C846" s="26" t="str">
        <f>"REPUBLICA DE BRASIL                                                                                 "</f>
        <v xml:space="preserve">REPUBLICA DE BRASIL                                                                                 </v>
      </c>
      <c r="D846" s="26" t="str">
        <f>"JORNADA AMPLIADA"</f>
        <v>JORNADA AMPLIADA</v>
      </c>
      <c r="E846" s="26" t="str">
        <f>"FELIPE JARDINES S/N ESQUINA AZUCENA                                             "</f>
        <v xml:space="preserve">FELIPE JARDINES S/N ESQUINA AZUCENA                                             </v>
      </c>
      <c r="F846" s="26" t="str">
        <f>"QUIAHUATLA                                                                                                                                  "</f>
        <v xml:space="preserve">QUIAHUATLA                                                                                                                                  </v>
      </c>
      <c r="G846" s="26" t="str">
        <f>"TLAHUAC                                                                         "</f>
        <v xml:space="preserve">TLAHUAC                                                                         </v>
      </c>
      <c r="H846" s="26" t="str">
        <f>"054"</f>
        <v>054</v>
      </c>
      <c r="I846" s="26" t="str">
        <f t="shared" si="128"/>
        <v>00</v>
      </c>
      <c r="J846" s="26" t="str">
        <f>"34 "</f>
        <v xml:space="preserve">34 </v>
      </c>
      <c r="K846" s="26" t="str">
        <f>"EP"</f>
        <v>EP</v>
      </c>
      <c r="L846" s="26" t="str">
        <f>"DGOSE"</f>
        <v>DGOSE</v>
      </c>
      <c r="M846" s="26" t="str">
        <f t="shared" si="129"/>
        <v>FEDERAL</v>
      </c>
      <c r="N846" s="26">
        <v>195</v>
      </c>
      <c r="O846" s="26">
        <v>101</v>
      </c>
      <c r="P846" s="26">
        <v>94</v>
      </c>
      <c r="Q846" s="26">
        <v>6</v>
      </c>
      <c r="R846" s="26">
        <v>0</v>
      </c>
      <c r="S846" s="26">
        <v>6</v>
      </c>
      <c r="T846" s="26">
        <v>7</v>
      </c>
      <c r="U846" s="26">
        <v>13</v>
      </c>
      <c r="V846" s="26">
        <v>1</v>
      </c>
      <c r="W846" s="26" t="s">
        <v>2076</v>
      </c>
    </row>
    <row r="847" spans="1:23" x14ac:dyDescent="0.25">
      <c r="A847" s="26" t="str">
        <f t="shared" si="127"/>
        <v>PREESCOLAR</v>
      </c>
      <c r="B847" s="26" t="str">
        <f>"09DJN1116E"</f>
        <v>09DJN1116E</v>
      </c>
      <c r="C847" s="26" t="str">
        <f>"PROFR. LUCAS ORTIZ BENITEZ                                                                          "</f>
        <v xml:space="preserve">PROFR. LUCAS ORTIZ BENITEZ                                                                          </v>
      </c>
      <c r="D847" s="26" t="str">
        <f>"MATUTINO"</f>
        <v>MATUTINO</v>
      </c>
      <c r="E847" s="26" t="str">
        <f>"CERRADA MEXOCHITL S/N                                                           "</f>
        <v xml:space="preserve">CERRADA MEXOCHITL S/N                                                           </v>
      </c>
      <c r="F847" s="26" t="str">
        <f>"XOCHIPILLI                                                                                                                                  "</f>
        <v xml:space="preserve">XOCHIPILLI                                                                                                                                  </v>
      </c>
      <c r="G847" s="26" t="str">
        <f>"XOCHIMILCO                                                                      "</f>
        <v xml:space="preserve">XOCHIMILCO                                                                      </v>
      </c>
      <c r="H847" s="26" t="str">
        <f>"052"</f>
        <v>052</v>
      </c>
      <c r="I847" s="26" t="str">
        <f t="shared" si="128"/>
        <v>00</v>
      </c>
      <c r="J847" s="26" t="str">
        <f>"35 "</f>
        <v xml:space="preserve">35 </v>
      </c>
      <c r="K847" s="26" t="str">
        <f>"EP"</f>
        <v>EP</v>
      </c>
      <c r="L847" s="26" t="str">
        <f>"DGOSE"</f>
        <v>DGOSE</v>
      </c>
      <c r="M847" s="26" t="str">
        <f t="shared" si="129"/>
        <v>FEDERAL</v>
      </c>
      <c r="N847" s="26">
        <v>158</v>
      </c>
      <c r="O847" s="26">
        <v>85</v>
      </c>
      <c r="P847" s="26">
        <v>73</v>
      </c>
      <c r="Q847" s="26">
        <v>5</v>
      </c>
      <c r="R847" s="26">
        <v>1</v>
      </c>
      <c r="S847" s="26">
        <v>5</v>
      </c>
      <c r="T847" s="26">
        <v>4</v>
      </c>
      <c r="U847" s="26">
        <v>10</v>
      </c>
      <c r="V847" s="26">
        <v>1</v>
      </c>
      <c r="W847" s="26"/>
    </row>
    <row r="848" spans="1:23" x14ac:dyDescent="0.25">
      <c r="A848" s="26" t="str">
        <f t="shared" si="127"/>
        <v>PREESCOLAR</v>
      </c>
      <c r="B848" s="26" t="str">
        <f>"09DJN1118C"</f>
        <v>09DJN1118C</v>
      </c>
      <c r="C848" s="26" t="str">
        <f>"PROFR. ARTURO PICHARDO                                                                              "</f>
        <v xml:space="preserve">PROFR. ARTURO PICHARDO                                                                              </v>
      </c>
      <c r="D848" s="26" t="str">
        <f>"VESPERTINO"</f>
        <v>VESPERTINO</v>
      </c>
      <c r="E848" s="26" t="str">
        <f>"EJIDO Y PRIMAVERA S/N                                                           "</f>
        <v xml:space="preserve">EJIDO Y PRIMAVERA S/N                                                           </v>
      </c>
      <c r="F848" s="26" t="str">
        <f>"SANTA MARIA AZTAHUACAN                                                                                                                      "</f>
        <v xml:space="preserve">SANTA MARIA AZTAHUACAN                                                                                                                      </v>
      </c>
      <c r="G848" s="26" t="str">
        <f>"IZTAPALAPA                                                                      "</f>
        <v xml:space="preserve">IZTAPALAPA                                                                      </v>
      </c>
      <c r="H848" s="26" t="str">
        <f>"033"</f>
        <v>033</v>
      </c>
      <c r="I848" s="26" t="str">
        <f t="shared" si="128"/>
        <v>00</v>
      </c>
      <c r="J848" s="26" t="str">
        <f>"64 "</f>
        <v xml:space="preserve">64 </v>
      </c>
      <c r="K848" s="26" t="str">
        <f>"IZ"</f>
        <v>IZ</v>
      </c>
      <c r="L848" s="26" t="str">
        <f>"DGSEI"</f>
        <v>DGSEI</v>
      </c>
      <c r="M848" s="26" t="str">
        <f t="shared" si="129"/>
        <v>FEDERAL</v>
      </c>
      <c r="N848" s="26">
        <v>161</v>
      </c>
      <c r="O848" s="26">
        <v>92</v>
      </c>
      <c r="P848" s="26">
        <v>69</v>
      </c>
      <c r="Q848" s="26">
        <v>5</v>
      </c>
      <c r="R848" s="26">
        <v>1</v>
      </c>
      <c r="S848" s="26">
        <v>4</v>
      </c>
      <c r="T848" s="26">
        <v>3</v>
      </c>
      <c r="U848" s="26">
        <v>8</v>
      </c>
      <c r="V848" s="26">
        <v>1</v>
      </c>
      <c r="W848" s="26"/>
    </row>
    <row r="849" spans="1:23" x14ac:dyDescent="0.25">
      <c r="A849" s="26" t="str">
        <f t="shared" si="127"/>
        <v>PREESCOLAR</v>
      </c>
      <c r="B849" s="26" t="str">
        <f>"09DJN1119B"</f>
        <v>09DJN1119B</v>
      </c>
      <c r="C849" s="26" t="str">
        <f>"ESTANCIA JARDIN INFANTIL # 15 DIF                                                                   "</f>
        <v xml:space="preserve">ESTANCIA JARDIN INFANTIL # 15 DIF                                                                   </v>
      </c>
      <c r="D849" s="26" t="str">
        <f>"JORNADA AMPLIADA"</f>
        <v>JORNADA AMPLIADA</v>
      </c>
      <c r="E849" s="26" t="str">
        <f>"BOITO NO. 69                                                                    "</f>
        <v xml:space="preserve">BOITO NO. 69                                                                    </v>
      </c>
      <c r="F849" s="26" t="str">
        <f>"EX-HIPODROMO DE PERALVILLO                                                                                                                  "</f>
        <v xml:space="preserve">EX-HIPODROMO DE PERALVILLO                                                                                                                  </v>
      </c>
      <c r="G849" s="26" t="s">
        <v>4128</v>
      </c>
      <c r="H849" s="26" t="str">
        <f>"017"</f>
        <v>017</v>
      </c>
      <c r="I849" s="26" t="str">
        <f t="shared" si="128"/>
        <v>00</v>
      </c>
      <c r="J849" s="26" t="str">
        <f>"31 "</f>
        <v xml:space="preserve">31 </v>
      </c>
      <c r="K849" s="26" t="str">
        <f>"EP"</f>
        <v>EP</v>
      </c>
      <c r="L849" s="26" t="str">
        <f>"DGOSE"</f>
        <v>DGOSE</v>
      </c>
      <c r="M849" s="26" t="str">
        <f t="shared" si="129"/>
        <v>FEDERAL</v>
      </c>
      <c r="N849" s="26">
        <v>85</v>
      </c>
      <c r="O849" s="26">
        <v>50</v>
      </c>
      <c r="P849" s="26">
        <v>35</v>
      </c>
      <c r="Q849" s="26">
        <v>3</v>
      </c>
      <c r="R849" s="26">
        <v>1</v>
      </c>
      <c r="S849" s="26">
        <v>3</v>
      </c>
      <c r="T849" s="26">
        <v>6</v>
      </c>
      <c r="U849" s="26">
        <v>10</v>
      </c>
      <c r="V849" s="26">
        <v>1</v>
      </c>
      <c r="W849" s="26" t="s">
        <v>2076</v>
      </c>
    </row>
    <row r="850" spans="1:23" x14ac:dyDescent="0.25">
      <c r="A850" s="26" t="str">
        <f t="shared" si="127"/>
        <v>PREESCOLAR</v>
      </c>
      <c r="B850" s="26" t="str">
        <f>"09DJN1120R"</f>
        <v>09DJN1120R</v>
      </c>
      <c r="C850" s="26" t="str">
        <f>"TLAYOLTZIN                                                                                          "</f>
        <v xml:space="preserve">TLAYOLTZIN                                                                                          </v>
      </c>
      <c r="D850" s="26" t="str">
        <f>"MATUTINO"</f>
        <v>MATUTINO</v>
      </c>
      <c r="E850" s="26" t="str">
        <f>"RIO COATZACOALCOS Y PERIFERICO S/N                                              "</f>
        <v xml:space="preserve">RIO COATZACOALCOS Y PERIFERICO S/N                                              </v>
      </c>
      <c r="F850" s="26" t="str">
        <f>"PUENTE BLANCO                                                                                                                               "</f>
        <v xml:space="preserve">PUENTE BLANCO                                                                                                                               </v>
      </c>
      <c r="G850" s="26" t="str">
        <f>"IZTAPALAPA                                                                      "</f>
        <v xml:space="preserve">IZTAPALAPA                                                                      </v>
      </c>
      <c r="H850" s="26" t="str">
        <f>"030"</f>
        <v>030</v>
      </c>
      <c r="I850" s="26" t="str">
        <f t="shared" si="128"/>
        <v>00</v>
      </c>
      <c r="J850" s="26" t="str">
        <f>"64 "</f>
        <v xml:space="preserve">64 </v>
      </c>
      <c r="K850" s="26" t="str">
        <f>"IZ"</f>
        <v>IZ</v>
      </c>
      <c r="L850" s="26" t="str">
        <f>"DGSEI"</f>
        <v>DGSEI</v>
      </c>
      <c r="M850" s="26" t="str">
        <f t="shared" si="129"/>
        <v>FEDERAL</v>
      </c>
      <c r="N850" s="26">
        <v>159</v>
      </c>
      <c r="O850" s="26">
        <v>71</v>
      </c>
      <c r="P850" s="26">
        <v>88</v>
      </c>
      <c r="Q850" s="26">
        <v>5</v>
      </c>
      <c r="R850" s="26">
        <v>0</v>
      </c>
      <c r="S850" s="26">
        <v>5</v>
      </c>
      <c r="T850" s="26">
        <v>0</v>
      </c>
      <c r="U850" s="26">
        <v>5</v>
      </c>
      <c r="V850" s="26">
        <v>1</v>
      </c>
      <c r="W850" s="26"/>
    </row>
    <row r="851" spans="1:23" x14ac:dyDescent="0.25">
      <c r="A851" s="26" t="str">
        <f t="shared" si="127"/>
        <v>PREESCOLAR</v>
      </c>
      <c r="B851" s="26" t="str">
        <f>"09DJN1121Q"</f>
        <v>09DJN1121Q</v>
      </c>
      <c r="C851" s="26" t="str">
        <f>"ANTONIO VIVALDI                                                                                     "</f>
        <v xml:space="preserve">ANTONIO VIVALDI                                                                                     </v>
      </c>
      <c r="D851" s="26" t="str">
        <f>"JORNADA AMPLIADA"</f>
        <v>JORNADA AMPLIADA</v>
      </c>
      <c r="E851" s="26" t="str">
        <f>"SAN JOSE CAPULA Y RINC. GOLONDRINA                                              "</f>
        <v xml:space="preserve">SAN JOSE CAPULA Y RINC. GOLONDRINA                                              </v>
      </c>
      <c r="F851" s="26" t="str">
        <f>"SAN JOSE CAPULA O GOLONDRINAS                                                                                                               "</f>
        <v xml:space="preserve">SAN JOSE CAPULA O GOLONDRINAS                                                                                                               </v>
      </c>
      <c r="G851" s="26" t="str">
        <f>"ALVARO OBREGON                                                                  "</f>
        <v xml:space="preserve">ALVARO OBREGON                                                                  </v>
      </c>
      <c r="H851" s="26" t="str">
        <f>"045"</f>
        <v>045</v>
      </c>
      <c r="I851" s="26" t="str">
        <f t="shared" si="128"/>
        <v>00</v>
      </c>
      <c r="J851" s="26" t="str">
        <f>"34 "</f>
        <v xml:space="preserve">34 </v>
      </c>
      <c r="K851" s="26" t="str">
        <f t="shared" ref="K851:K856" si="133">"EP"</f>
        <v>EP</v>
      </c>
      <c r="L851" s="26" t="str">
        <f t="shared" ref="L851:L856" si="134">"DGOSE"</f>
        <v>DGOSE</v>
      </c>
      <c r="M851" s="26" t="str">
        <f t="shared" si="129"/>
        <v>FEDERAL</v>
      </c>
      <c r="N851" s="26">
        <v>206</v>
      </c>
      <c r="O851" s="26">
        <v>102</v>
      </c>
      <c r="P851" s="26">
        <v>104</v>
      </c>
      <c r="Q851" s="26">
        <v>6</v>
      </c>
      <c r="R851" s="26">
        <v>1</v>
      </c>
      <c r="S851" s="26">
        <v>5</v>
      </c>
      <c r="T851" s="26">
        <v>5</v>
      </c>
      <c r="U851" s="26">
        <v>11</v>
      </c>
      <c r="V851" s="26">
        <v>1</v>
      </c>
      <c r="W851" s="26" t="s">
        <v>2076</v>
      </c>
    </row>
    <row r="852" spans="1:23" x14ac:dyDescent="0.25">
      <c r="A852" s="26" t="str">
        <f t="shared" si="127"/>
        <v>PREESCOLAR</v>
      </c>
      <c r="B852" s="26" t="str">
        <f>"09DJN1125M"</f>
        <v>09DJN1125M</v>
      </c>
      <c r="C852" s="26" t="str">
        <f>"PILTZILLI                                                                                           "</f>
        <v xml:space="preserve">PILTZILLI                                                                                           </v>
      </c>
      <c r="D852" s="26" t="str">
        <f>"VESPERTINO"</f>
        <v>VESPERTINO</v>
      </c>
      <c r="E852" s="26" t="str">
        <f>"22 DE FEBRERO Y ANTIGUA CALZ. DE GPE.                                           "</f>
        <v xml:space="preserve">22 DE FEBRERO Y ANTIGUA CALZ. DE GPE.                                           </v>
      </c>
      <c r="F852" s="26" t="str">
        <f>"SAN MARCOS                                                                                                                                  "</f>
        <v xml:space="preserve">SAN MARCOS                                                                                                                                  </v>
      </c>
      <c r="G852" s="26" t="str">
        <f>"AZCAPOTZALCO                                                                    "</f>
        <v xml:space="preserve">AZCAPOTZALCO                                                                    </v>
      </c>
      <c r="H852" s="26" t="str">
        <f>"189"</f>
        <v>189</v>
      </c>
      <c r="I852" s="26" t="str">
        <f t="shared" si="128"/>
        <v>00</v>
      </c>
      <c r="J852" s="26" t="str">
        <f>"32 "</f>
        <v xml:space="preserve">32 </v>
      </c>
      <c r="K852" s="26" t="str">
        <f t="shared" si="133"/>
        <v>EP</v>
      </c>
      <c r="L852" s="26" t="str">
        <f t="shared" si="134"/>
        <v>DGOSE</v>
      </c>
      <c r="M852" s="26" t="str">
        <f t="shared" si="129"/>
        <v>FEDERAL</v>
      </c>
      <c r="N852" s="26">
        <v>129</v>
      </c>
      <c r="O852" s="26">
        <v>80</v>
      </c>
      <c r="P852" s="26">
        <v>49</v>
      </c>
      <c r="Q852" s="26">
        <v>5</v>
      </c>
      <c r="R852" s="26">
        <v>1</v>
      </c>
      <c r="S852" s="26">
        <v>4</v>
      </c>
      <c r="T852" s="26">
        <v>2</v>
      </c>
      <c r="U852" s="26">
        <v>7</v>
      </c>
      <c r="V852" s="26">
        <v>1</v>
      </c>
      <c r="W852" s="26"/>
    </row>
    <row r="853" spans="1:23" x14ac:dyDescent="0.25">
      <c r="A853" s="26" t="str">
        <f t="shared" si="127"/>
        <v>PREESCOLAR</v>
      </c>
      <c r="B853" s="26" t="str">
        <f>"09DJN1126L"</f>
        <v>09DJN1126L</v>
      </c>
      <c r="C853" s="26" t="str">
        <f>"JOSEFA DURAN                                                                                        "</f>
        <v xml:space="preserve">JOSEFA DURAN                                                                                        </v>
      </c>
      <c r="D853" s="26" t="str">
        <f>"VESPERTINO"</f>
        <v>VESPERTINO</v>
      </c>
      <c r="E853" s="26" t="str">
        <f>"TEPEYAUCLE Y ESCUINAPA                                                          "</f>
        <v xml:space="preserve">TEPEYAUCLE Y ESCUINAPA                                                          </v>
      </c>
      <c r="F853" s="26" t="str">
        <f>"COYOACAN                                                                                                                                    "</f>
        <v xml:space="preserve">COYOACAN                                                                                                                                    </v>
      </c>
      <c r="G853" s="26" t="str">
        <f>"COYOACAN                                                                        "</f>
        <v xml:space="preserve">COYOACAN                                                                        </v>
      </c>
      <c r="H853" s="26" t="str">
        <f>"137"</f>
        <v>137</v>
      </c>
      <c r="I853" s="26" t="str">
        <f t="shared" si="128"/>
        <v>00</v>
      </c>
      <c r="J853" s="26" t="str">
        <f>"35 "</f>
        <v xml:space="preserve">35 </v>
      </c>
      <c r="K853" s="26" t="str">
        <f t="shared" si="133"/>
        <v>EP</v>
      </c>
      <c r="L853" s="26" t="str">
        <f t="shared" si="134"/>
        <v>DGOSE</v>
      </c>
      <c r="M853" s="26" t="str">
        <f t="shared" si="129"/>
        <v>FEDERAL</v>
      </c>
      <c r="N853" s="26">
        <v>138</v>
      </c>
      <c r="O853" s="26">
        <v>61</v>
      </c>
      <c r="P853" s="26">
        <v>77</v>
      </c>
      <c r="Q853" s="26">
        <v>6</v>
      </c>
      <c r="R853" s="26">
        <v>1</v>
      </c>
      <c r="S853" s="26">
        <v>6</v>
      </c>
      <c r="T853" s="26">
        <v>6</v>
      </c>
      <c r="U853" s="26">
        <v>13</v>
      </c>
      <c r="V853" s="26">
        <v>1</v>
      </c>
      <c r="W853" s="26"/>
    </row>
    <row r="854" spans="1:23" x14ac:dyDescent="0.25">
      <c r="A854" s="26" t="str">
        <f t="shared" si="127"/>
        <v>PREESCOLAR</v>
      </c>
      <c r="B854" s="26" t="str">
        <f>"09DJN1128J"</f>
        <v>09DJN1128J</v>
      </c>
      <c r="C854" s="26" t="str">
        <f>"GENARO ESTRADA                                                                                      "</f>
        <v xml:space="preserve">GENARO ESTRADA                                                                                      </v>
      </c>
      <c r="D854" s="26" t="str">
        <f>"JORNADA AMPLIADA"</f>
        <v>JORNADA AMPLIADA</v>
      </c>
      <c r="E854" s="26" t="str">
        <f>"IMPRENTA S/N ENTRE JARDINEROS                                                   "</f>
        <v xml:space="preserve">IMPRENTA S/N ENTRE JARDINEROS                                                   </v>
      </c>
      <c r="F854" s="26" t="str">
        <f>"MORELOS                                                                                                                                     "</f>
        <v xml:space="preserve">MORELOS                                                                                                                                     </v>
      </c>
      <c r="G854" s="26" t="str">
        <f>"VENUSTIANO CARRANZA                                                             "</f>
        <v xml:space="preserve">VENUSTIANO CARRANZA                                                             </v>
      </c>
      <c r="H854" s="26" t="str">
        <f>"246"</f>
        <v>246</v>
      </c>
      <c r="I854" s="26" t="str">
        <f t="shared" si="128"/>
        <v>00</v>
      </c>
      <c r="J854" s="26" t="str">
        <f>"31 "</f>
        <v xml:space="preserve">31 </v>
      </c>
      <c r="K854" s="26" t="str">
        <f t="shared" si="133"/>
        <v>EP</v>
      </c>
      <c r="L854" s="26" t="str">
        <f t="shared" si="134"/>
        <v>DGOSE</v>
      </c>
      <c r="M854" s="26" t="str">
        <f t="shared" si="129"/>
        <v>FEDERAL</v>
      </c>
      <c r="N854" s="26">
        <v>213</v>
      </c>
      <c r="O854" s="26">
        <v>107</v>
      </c>
      <c r="P854" s="26">
        <v>106</v>
      </c>
      <c r="Q854" s="26">
        <v>7</v>
      </c>
      <c r="R854" s="26">
        <v>1</v>
      </c>
      <c r="S854" s="26">
        <v>7</v>
      </c>
      <c r="T854" s="26">
        <v>7</v>
      </c>
      <c r="U854" s="26">
        <v>15</v>
      </c>
      <c r="V854" s="26">
        <v>1</v>
      </c>
      <c r="W854" s="26" t="s">
        <v>2076</v>
      </c>
    </row>
    <row r="855" spans="1:23" x14ac:dyDescent="0.25">
      <c r="A855" s="26" t="str">
        <f t="shared" si="127"/>
        <v>PREESCOLAR</v>
      </c>
      <c r="B855" s="26" t="str">
        <f>"09DJN1129I"</f>
        <v>09DJN1129I</v>
      </c>
      <c r="C855" s="26" t="str">
        <f>"LUDWIG VAN BEETHOVEN                                                                                "</f>
        <v xml:space="preserve">LUDWIG VAN BEETHOVEN                                                                                </v>
      </c>
      <c r="D855" s="26" t="str">
        <f>"VESPERTINO"</f>
        <v>VESPERTINO</v>
      </c>
      <c r="E855" s="26" t="str">
        <f>"VOLCAN LANIN SUR Y VOLCAN TUXTLA                                                "</f>
        <v xml:space="preserve">VOLCAN LANIN SUR Y VOLCAN TUXTLA                                                </v>
      </c>
      <c r="F855" s="26" t="str">
        <f>"LA PROVIDENCIA                                                                                                                              "</f>
        <v xml:space="preserve">LA PROVIDENCIA                                                                                                                              </v>
      </c>
      <c r="G855" s="26" t="str">
        <f>"GUSTAVO A. MADERO                                                               "</f>
        <v xml:space="preserve">GUSTAVO A. MADERO                                                               </v>
      </c>
      <c r="H855" s="26" t="str">
        <f>"180"</f>
        <v>180</v>
      </c>
      <c r="I855" s="26" t="str">
        <f t="shared" si="128"/>
        <v>00</v>
      </c>
      <c r="J855" s="26" t="str">
        <f>"32 "</f>
        <v xml:space="preserve">32 </v>
      </c>
      <c r="K855" s="26" t="str">
        <f t="shared" si="133"/>
        <v>EP</v>
      </c>
      <c r="L855" s="26" t="str">
        <f t="shared" si="134"/>
        <v>DGOSE</v>
      </c>
      <c r="M855" s="26" t="str">
        <f t="shared" si="129"/>
        <v>FEDERAL</v>
      </c>
      <c r="N855" s="26">
        <v>201</v>
      </c>
      <c r="O855" s="26">
        <v>96</v>
      </c>
      <c r="P855" s="26">
        <v>105</v>
      </c>
      <c r="Q855" s="26">
        <v>7</v>
      </c>
      <c r="R855" s="26">
        <v>1</v>
      </c>
      <c r="S855" s="26">
        <v>7</v>
      </c>
      <c r="T855" s="26">
        <v>5</v>
      </c>
      <c r="U855" s="26">
        <v>13</v>
      </c>
      <c r="V855" s="26">
        <v>1</v>
      </c>
      <c r="W855" s="26"/>
    </row>
    <row r="856" spans="1:23" x14ac:dyDescent="0.25">
      <c r="A856" s="26" t="str">
        <f t="shared" si="127"/>
        <v>PREESCOLAR</v>
      </c>
      <c r="B856" s="26" t="str">
        <f>"09DJN1130Y"</f>
        <v>09DJN1130Y</v>
      </c>
      <c r="C856" s="26" t="str">
        <f>"ENRIQUE TIERNO GALVAN                                                                               "</f>
        <v xml:space="preserve">ENRIQUE TIERNO GALVAN                                                                               </v>
      </c>
      <c r="D856" s="26" t="str">
        <f>"JORNADA AMPLIADA"</f>
        <v>JORNADA AMPLIADA</v>
      </c>
      <c r="E856" s="26" t="str">
        <f>"FRANCISCO ESPEJEL NO. 96                                                        "</f>
        <v xml:space="preserve">FRANCISCO ESPEJEL NO. 96                                                        </v>
      </c>
      <c r="F856" s="26" t="str">
        <f>"MOCTEZUMA 1A SECCION                                                                                                                        "</f>
        <v xml:space="preserve">MOCTEZUMA 1A SECCION                                                                                                                        </v>
      </c>
      <c r="G856" s="26" t="str">
        <f>"VENUSTIANO CARRANZA                                                             "</f>
        <v xml:space="preserve">VENUSTIANO CARRANZA                                                             </v>
      </c>
      <c r="H856" s="26" t="str">
        <f>"247"</f>
        <v>247</v>
      </c>
      <c r="I856" s="26" t="str">
        <f t="shared" si="128"/>
        <v>00</v>
      </c>
      <c r="J856" s="26" t="str">
        <f>"31 "</f>
        <v xml:space="preserve">31 </v>
      </c>
      <c r="K856" s="26" t="str">
        <f t="shared" si="133"/>
        <v>EP</v>
      </c>
      <c r="L856" s="26" t="str">
        <f t="shared" si="134"/>
        <v>DGOSE</v>
      </c>
      <c r="M856" s="26" t="str">
        <f t="shared" si="129"/>
        <v>FEDERAL</v>
      </c>
      <c r="N856" s="26">
        <v>85</v>
      </c>
      <c r="O856" s="26">
        <v>43</v>
      </c>
      <c r="P856" s="26">
        <v>42</v>
      </c>
      <c r="Q856" s="26">
        <v>4</v>
      </c>
      <c r="R856" s="26">
        <v>1</v>
      </c>
      <c r="S856" s="26">
        <v>4</v>
      </c>
      <c r="T856" s="26">
        <v>6</v>
      </c>
      <c r="U856" s="26">
        <v>11</v>
      </c>
      <c r="V856" s="26">
        <v>1</v>
      </c>
      <c r="W856" s="26" t="s">
        <v>2076</v>
      </c>
    </row>
    <row r="857" spans="1:23" x14ac:dyDescent="0.25">
      <c r="A857" s="26" t="str">
        <f t="shared" si="127"/>
        <v>PREESCOLAR</v>
      </c>
      <c r="B857" s="26" t="str">
        <f>"09DJN1131X"</f>
        <v>09DJN1131X</v>
      </c>
      <c r="C857" s="26" t="str">
        <f>"COCONE                                                                                              "</f>
        <v xml:space="preserve">COCONE                                                                                              </v>
      </c>
      <c r="D857" s="26" t="str">
        <f>"JORNADA AMPLIADA"</f>
        <v>JORNADA AMPLIADA</v>
      </c>
      <c r="E857" s="26" t="str">
        <f>"ANDADOR SANCHEZ ARREOLA Y NIÑO ARTILLERO                                        "</f>
        <v xml:space="preserve">ANDADOR SANCHEZ ARREOLA Y NIÑO ARTILLERO                                        </v>
      </c>
      <c r="F857" s="26" t="str">
        <f>"UNIDAD HABITACIONAL ERMITA ZARAGOZA                                                                                                         "</f>
        <v xml:space="preserve">UNIDAD HABITACIONAL ERMITA ZARAGOZA                                                                                                         </v>
      </c>
      <c r="G857" s="26" t="str">
        <f>"IZTAPALAPA                                                                      "</f>
        <v xml:space="preserve">IZTAPALAPA                                                                      </v>
      </c>
      <c r="H857" s="26" t="str">
        <f>"008"</f>
        <v>008</v>
      </c>
      <c r="I857" s="26" t="str">
        <f t="shared" si="128"/>
        <v>00</v>
      </c>
      <c r="J857" s="26" t="str">
        <f>"61 "</f>
        <v xml:space="preserve">61 </v>
      </c>
      <c r="K857" s="26" t="str">
        <f>"IZ"</f>
        <v>IZ</v>
      </c>
      <c r="L857" s="26" t="str">
        <f>"DGSEI"</f>
        <v>DGSEI</v>
      </c>
      <c r="M857" s="26" t="str">
        <f t="shared" si="129"/>
        <v>FEDERAL</v>
      </c>
      <c r="N857" s="26">
        <v>144</v>
      </c>
      <c r="O857" s="26">
        <v>66</v>
      </c>
      <c r="P857" s="26">
        <v>78</v>
      </c>
      <c r="Q857" s="26">
        <v>4</v>
      </c>
      <c r="R857" s="26">
        <v>1</v>
      </c>
      <c r="S857" s="26">
        <v>4</v>
      </c>
      <c r="T857" s="26">
        <v>5</v>
      </c>
      <c r="U857" s="26">
        <v>10</v>
      </c>
      <c r="V857" s="26">
        <v>1</v>
      </c>
      <c r="W857" s="26" t="s">
        <v>2076</v>
      </c>
    </row>
    <row r="858" spans="1:23" x14ac:dyDescent="0.25">
      <c r="A858" s="26" t="str">
        <f t="shared" si="127"/>
        <v>PREESCOLAR</v>
      </c>
      <c r="B858" s="26" t="str">
        <f>"09DJN1132W"</f>
        <v>09DJN1132W</v>
      </c>
      <c r="C858" s="26" t="str">
        <f>"NETZAHUALCOYOTL                                                                                     "</f>
        <v xml:space="preserve">NETZAHUALCOYOTL                                                                                     </v>
      </c>
      <c r="D858" s="26" t="str">
        <f>"VESPERTINO"</f>
        <v>VESPERTINO</v>
      </c>
      <c r="E858" s="26" t="str">
        <f>"AV. GUADALUPE Y CALLE 20                                                        "</f>
        <v xml:space="preserve">AV. GUADALUPE Y CALLE 20                                                        </v>
      </c>
      <c r="F858" s="26" t="str">
        <f>"GUADALUPE PROLETARIA                                                                                                                        "</f>
        <v xml:space="preserve">GUADALUPE PROLETARIA                                                                                                                        </v>
      </c>
      <c r="G858" s="26" t="str">
        <f>"GUSTAVO A. MADERO                                                               "</f>
        <v xml:space="preserve">GUSTAVO A. MADERO                                                               </v>
      </c>
      <c r="H858" s="26" t="str">
        <f>"177"</f>
        <v>177</v>
      </c>
      <c r="I858" s="26" t="str">
        <f t="shared" si="128"/>
        <v>00</v>
      </c>
      <c r="J858" s="26" t="str">
        <f>"32 "</f>
        <v xml:space="preserve">32 </v>
      </c>
      <c r="K858" s="26" t="str">
        <f>"EP"</f>
        <v>EP</v>
      </c>
      <c r="L858" s="26" t="str">
        <f>"DGOSE"</f>
        <v>DGOSE</v>
      </c>
      <c r="M858" s="26" t="str">
        <f t="shared" si="129"/>
        <v>FEDERAL</v>
      </c>
      <c r="N858" s="26">
        <v>85</v>
      </c>
      <c r="O858" s="26">
        <v>45</v>
      </c>
      <c r="P858" s="26">
        <v>40</v>
      </c>
      <c r="Q858" s="26">
        <v>4</v>
      </c>
      <c r="R858" s="26">
        <v>1</v>
      </c>
      <c r="S858" s="26">
        <v>4</v>
      </c>
      <c r="T858" s="26">
        <v>8</v>
      </c>
      <c r="U858" s="26">
        <v>13</v>
      </c>
      <c r="V858" s="26">
        <v>1</v>
      </c>
      <c r="W858" s="26"/>
    </row>
    <row r="859" spans="1:23" x14ac:dyDescent="0.25">
      <c r="A859" s="26" t="str">
        <f t="shared" si="127"/>
        <v>PREESCOLAR</v>
      </c>
      <c r="B859" s="26" t="str">
        <f>"09DJN1133V"</f>
        <v>09DJN1133V</v>
      </c>
      <c r="C859" s="26" t="str">
        <f>"MARIA DE LOS ANGELES GUITRON MACHAEN                                                                "</f>
        <v xml:space="preserve">MARIA DE LOS ANGELES GUITRON MACHAEN                                                                </v>
      </c>
      <c r="D859" s="26" t="str">
        <f>"VESPERTINO"</f>
        <v>VESPERTINO</v>
      </c>
      <c r="E859" s="26" t="str">
        <f>"CAMINO VOLUNTAD S/N                                                             "</f>
        <v xml:space="preserve">CAMINO VOLUNTAD S/N                                                             </v>
      </c>
      <c r="F859" s="26" t="str">
        <f>"CAMPESTRE ARAGON                                                                                                                            "</f>
        <v xml:space="preserve">CAMPESTRE ARAGON                                                                                                                            </v>
      </c>
      <c r="G859" s="26" t="str">
        <f>"GUSTAVO A. MADERO                                                               "</f>
        <v xml:space="preserve">GUSTAVO A. MADERO                                                               </v>
      </c>
      <c r="H859" s="26" t="str">
        <f>"073"</f>
        <v>073</v>
      </c>
      <c r="I859" s="26" t="str">
        <f t="shared" si="128"/>
        <v>00</v>
      </c>
      <c r="J859" s="26" t="str">
        <f>"32 "</f>
        <v xml:space="preserve">32 </v>
      </c>
      <c r="K859" s="26" t="str">
        <f>"EP"</f>
        <v>EP</v>
      </c>
      <c r="L859" s="26" t="str">
        <f>"DGOSE"</f>
        <v>DGOSE</v>
      </c>
      <c r="M859" s="26" t="str">
        <f t="shared" si="129"/>
        <v>FEDERAL</v>
      </c>
      <c r="N859" s="26">
        <v>82</v>
      </c>
      <c r="O859" s="26">
        <v>47</v>
      </c>
      <c r="P859" s="26">
        <v>35</v>
      </c>
      <c r="Q859" s="26">
        <v>3</v>
      </c>
      <c r="R859" s="26">
        <v>1</v>
      </c>
      <c r="S859" s="26">
        <v>3</v>
      </c>
      <c r="T859" s="26">
        <v>3</v>
      </c>
      <c r="U859" s="26">
        <v>7</v>
      </c>
      <c r="V859" s="26">
        <v>1</v>
      </c>
      <c r="W859" s="26"/>
    </row>
    <row r="860" spans="1:23" x14ac:dyDescent="0.25">
      <c r="A860" s="26" t="str">
        <f t="shared" si="127"/>
        <v>PREESCOLAR</v>
      </c>
      <c r="B860" s="26" t="str">
        <f>"09DJN1134U"</f>
        <v>09DJN1134U</v>
      </c>
      <c r="C860" s="26" t="str">
        <f>"CARMEN SERDAN                                                                                       "</f>
        <v xml:space="preserve">CARMEN SERDAN                                                                                       </v>
      </c>
      <c r="D860" s="26" t="str">
        <f>"VESPERTINO"</f>
        <v>VESPERTINO</v>
      </c>
      <c r="E860" s="26" t="str">
        <f>"FRAY TORIBIO DE BENAVENTE NO. 63                                                "</f>
        <v xml:space="preserve">FRAY TORIBIO DE BENAVENTE NO. 63                                                </v>
      </c>
      <c r="F860" s="26" t="str">
        <f>"VASCO DE QUIROGA                                                                                                                            "</f>
        <v xml:space="preserve">VASCO DE QUIROGA                                                                                                                            </v>
      </c>
      <c r="G860" s="26" t="str">
        <f>"GUSTAVO A. MADERO                                                               "</f>
        <v xml:space="preserve">GUSTAVO A. MADERO                                                               </v>
      </c>
      <c r="H860" s="26" t="str">
        <f>"195"</f>
        <v>195</v>
      </c>
      <c r="I860" s="26" t="str">
        <f t="shared" si="128"/>
        <v>00</v>
      </c>
      <c r="J860" s="26" t="str">
        <f>"32 "</f>
        <v xml:space="preserve">32 </v>
      </c>
      <c r="K860" s="26" t="str">
        <f>"EP"</f>
        <v>EP</v>
      </c>
      <c r="L860" s="26" t="str">
        <f>"DGOSE"</f>
        <v>DGOSE</v>
      </c>
      <c r="M860" s="26" t="str">
        <f t="shared" si="129"/>
        <v>FEDERAL</v>
      </c>
      <c r="N860" s="26">
        <v>90</v>
      </c>
      <c r="O860" s="26">
        <v>39</v>
      </c>
      <c r="P860" s="26">
        <v>51</v>
      </c>
      <c r="Q860" s="26">
        <v>4</v>
      </c>
      <c r="R860" s="26">
        <v>1</v>
      </c>
      <c r="S860" s="26">
        <v>4</v>
      </c>
      <c r="T860" s="26">
        <v>3</v>
      </c>
      <c r="U860" s="26">
        <v>8</v>
      </c>
      <c r="V860" s="26">
        <v>1</v>
      </c>
      <c r="W860" s="26"/>
    </row>
    <row r="861" spans="1:23" x14ac:dyDescent="0.25">
      <c r="A861" s="26" t="str">
        <f t="shared" si="127"/>
        <v>PREESCOLAR</v>
      </c>
      <c r="B861" s="26" t="str">
        <f>"09DJN1135T"</f>
        <v>09DJN1135T</v>
      </c>
      <c r="C861" s="26" t="str">
        <f>"TIHUITL                                                                                             "</f>
        <v xml:space="preserve">TIHUITL                                                                                             </v>
      </c>
      <c r="D861" s="26" t="str">
        <f>"MATUTINO"</f>
        <v>MATUTINO</v>
      </c>
      <c r="E861" s="26" t="str">
        <f>"EMILIANO ZAPATA NO. 22                                                          "</f>
        <v xml:space="preserve">EMILIANO ZAPATA NO. 22                                                          </v>
      </c>
      <c r="F861" s="26" t="str">
        <f>"CITLALI                                                                                                                                     "</f>
        <v xml:space="preserve">CITLALI                                                                                                                                     </v>
      </c>
      <c r="G861" s="26" t="str">
        <f t="shared" ref="G861:G866" si="135">"IZTAPALAPA                                                                      "</f>
        <v xml:space="preserve">IZTAPALAPA                                                                      </v>
      </c>
      <c r="H861" s="26" t="str">
        <f>"035"</f>
        <v>035</v>
      </c>
      <c r="I861" s="26" t="str">
        <f t="shared" si="128"/>
        <v>00</v>
      </c>
      <c r="J861" s="26" t="str">
        <f>"64 "</f>
        <v xml:space="preserve">64 </v>
      </c>
      <c r="K861" s="26" t="str">
        <f t="shared" ref="K861:K866" si="136">"IZ"</f>
        <v>IZ</v>
      </c>
      <c r="L861" s="26" t="str">
        <f t="shared" ref="L861:L866" si="137">"DGSEI"</f>
        <v>DGSEI</v>
      </c>
      <c r="M861" s="26" t="str">
        <f t="shared" si="129"/>
        <v>FEDERAL</v>
      </c>
      <c r="N861" s="26">
        <v>232</v>
      </c>
      <c r="O861" s="26">
        <v>124</v>
      </c>
      <c r="P861" s="26">
        <v>108</v>
      </c>
      <c r="Q861" s="26">
        <v>6</v>
      </c>
      <c r="R861" s="26">
        <v>1</v>
      </c>
      <c r="S861" s="26">
        <v>6</v>
      </c>
      <c r="T861" s="26">
        <v>3</v>
      </c>
      <c r="U861" s="26">
        <v>10</v>
      </c>
      <c r="V861" s="26">
        <v>1</v>
      </c>
      <c r="W861" s="26"/>
    </row>
    <row r="862" spans="1:23" x14ac:dyDescent="0.25">
      <c r="A862" s="26" t="str">
        <f t="shared" si="127"/>
        <v>PREESCOLAR</v>
      </c>
      <c r="B862" s="26" t="str">
        <f>"09DJN1137R"</f>
        <v>09DJN1137R</v>
      </c>
      <c r="C862" s="26" t="str">
        <f>"ARTEMIO DE VALLE ARIZPE                                                                             "</f>
        <v xml:space="preserve">ARTEMIO DE VALLE ARIZPE                                                                             </v>
      </c>
      <c r="D862" s="26" t="str">
        <f>"VESPERTINO"</f>
        <v>VESPERTINO</v>
      </c>
      <c r="E862" s="26" t="str">
        <f>"FRANCISCO SARABIA S/N                                                           "</f>
        <v xml:space="preserve">FRANCISCO SARABIA S/N                                                           </v>
      </c>
      <c r="F862" s="26" t="str">
        <f>"SANTA MARTHA ACATITLA                                                                                                                       "</f>
        <v xml:space="preserve">SANTA MARTHA ACATITLA                                                                                                                       </v>
      </c>
      <c r="G862" s="26" t="str">
        <f t="shared" si="135"/>
        <v xml:space="preserve">IZTAPALAPA                                                                      </v>
      </c>
      <c r="H862" s="26" t="str">
        <f>"017"</f>
        <v>017</v>
      </c>
      <c r="I862" s="26" t="str">
        <f t="shared" si="128"/>
        <v>00</v>
      </c>
      <c r="J862" s="26" t="str">
        <f>"62 "</f>
        <v xml:space="preserve">62 </v>
      </c>
      <c r="K862" s="26" t="str">
        <f t="shared" si="136"/>
        <v>IZ</v>
      </c>
      <c r="L862" s="26" t="str">
        <f t="shared" si="137"/>
        <v>DGSEI</v>
      </c>
      <c r="M862" s="26" t="str">
        <f t="shared" si="129"/>
        <v>FEDERAL</v>
      </c>
      <c r="N862" s="26">
        <v>163</v>
      </c>
      <c r="O862" s="26">
        <v>88</v>
      </c>
      <c r="P862" s="26">
        <v>75</v>
      </c>
      <c r="Q862" s="26">
        <v>5</v>
      </c>
      <c r="R862" s="26">
        <v>1</v>
      </c>
      <c r="S862" s="26">
        <v>5</v>
      </c>
      <c r="T862" s="26">
        <v>3</v>
      </c>
      <c r="U862" s="26">
        <v>9</v>
      </c>
      <c r="V862" s="26">
        <v>1</v>
      </c>
      <c r="W862" s="26"/>
    </row>
    <row r="863" spans="1:23" x14ac:dyDescent="0.25">
      <c r="A863" s="26" t="str">
        <f t="shared" si="127"/>
        <v>PREESCOLAR</v>
      </c>
      <c r="B863" s="26" t="str">
        <f>"09DJN1138Q"</f>
        <v>09DJN1138Q</v>
      </c>
      <c r="C863" s="26" t="str">
        <f>"DR. LUIS CASTELAZO AYALA                                                                            "</f>
        <v xml:space="preserve">DR. LUIS CASTELAZO AYALA                                                                            </v>
      </c>
      <c r="D863" s="26" t="str">
        <f>"VESPERTINO"</f>
        <v>VESPERTINO</v>
      </c>
      <c r="E863" s="26" t="str">
        <f>"JOSE TRINIDAD SALGADO Y AV. TEXCOCO                                             "</f>
        <v xml:space="preserve">JOSE TRINIDAD SALGADO Y AV. TEXCOCO                                             </v>
      </c>
      <c r="F863" s="26" t="str">
        <f>"JUAN ESCUTIA                                                                                                                                "</f>
        <v xml:space="preserve">JUAN ESCUTIA                                                                                                                                </v>
      </c>
      <c r="G863" s="26" t="str">
        <f t="shared" si="135"/>
        <v xml:space="preserve">IZTAPALAPA                                                                      </v>
      </c>
      <c r="H863" s="26" t="str">
        <f>"014"</f>
        <v>014</v>
      </c>
      <c r="I863" s="26" t="str">
        <f t="shared" si="128"/>
        <v>00</v>
      </c>
      <c r="J863" s="26" t="str">
        <f>"62 "</f>
        <v xml:space="preserve">62 </v>
      </c>
      <c r="K863" s="26" t="str">
        <f t="shared" si="136"/>
        <v>IZ</v>
      </c>
      <c r="L863" s="26" t="str">
        <f t="shared" si="137"/>
        <v>DGSEI</v>
      </c>
      <c r="M863" s="26" t="str">
        <f t="shared" si="129"/>
        <v>FEDERAL</v>
      </c>
      <c r="N863" s="26">
        <v>179</v>
      </c>
      <c r="O863" s="26">
        <v>97</v>
      </c>
      <c r="P863" s="26">
        <v>82</v>
      </c>
      <c r="Q863" s="26">
        <v>6</v>
      </c>
      <c r="R863" s="26">
        <v>1</v>
      </c>
      <c r="S863" s="26">
        <v>6</v>
      </c>
      <c r="T863" s="26">
        <v>3</v>
      </c>
      <c r="U863" s="26">
        <v>10</v>
      </c>
      <c r="V863" s="26">
        <v>1</v>
      </c>
      <c r="W863" s="26"/>
    </row>
    <row r="864" spans="1:23" x14ac:dyDescent="0.25">
      <c r="A864" s="26" t="str">
        <f t="shared" si="127"/>
        <v>PREESCOLAR</v>
      </c>
      <c r="B864" s="26" t="str">
        <f>"09DJN1139P"</f>
        <v>09DJN1139P</v>
      </c>
      <c r="C864" s="26" t="str">
        <f>"ACOLHUACAN                                                                                          "</f>
        <v xml:space="preserve">ACOLHUACAN                                                                                          </v>
      </c>
      <c r="D864" s="26" t="str">
        <f>"VESPERTINO"</f>
        <v>VESPERTINO</v>
      </c>
      <c r="E864" s="26" t="str">
        <f>"ELISA ACUÑA Y ROSSETY S/N                                                       "</f>
        <v xml:space="preserve">ELISA ACUÑA Y ROSSETY S/N                                                       </v>
      </c>
      <c r="F864" s="26" t="str">
        <f>"SANTA MARTHA ACATITLA ZONA URBANA E                                                                                                         "</f>
        <v xml:space="preserve">SANTA MARTHA ACATITLA ZONA URBANA E                                                                                                         </v>
      </c>
      <c r="G864" s="26" t="str">
        <f t="shared" si="135"/>
        <v xml:space="preserve">IZTAPALAPA                                                                      </v>
      </c>
      <c r="H864" s="26" t="str">
        <f>"016"</f>
        <v>016</v>
      </c>
      <c r="I864" s="26" t="str">
        <f t="shared" si="128"/>
        <v>00</v>
      </c>
      <c r="J864" s="26" t="str">
        <f>"62 "</f>
        <v xml:space="preserve">62 </v>
      </c>
      <c r="K864" s="26" t="str">
        <f t="shared" si="136"/>
        <v>IZ</v>
      </c>
      <c r="L864" s="26" t="str">
        <f t="shared" si="137"/>
        <v>DGSEI</v>
      </c>
      <c r="M864" s="26" t="str">
        <f t="shared" si="129"/>
        <v>FEDERAL</v>
      </c>
      <c r="N864" s="26">
        <v>215</v>
      </c>
      <c r="O864" s="26">
        <v>117</v>
      </c>
      <c r="P864" s="26">
        <v>98</v>
      </c>
      <c r="Q864" s="26">
        <v>7</v>
      </c>
      <c r="R864" s="26">
        <v>1</v>
      </c>
      <c r="S864" s="26">
        <v>7</v>
      </c>
      <c r="T864" s="26">
        <v>4</v>
      </c>
      <c r="U864" s="26">
        <v>12</v>
      </c>
      <c r="V864" s="26">
        <v>1</v>
      </c>
      <c r="W864" s="26"/>
    </row>
    <row r="865" spans="1:23" x14ac:dyDescent="0.25">
      <c r="A865" s="26" t="str">
        <f t="shared" si="127"/>
        <v>PREESCOLAR</v>
      </c>
      <c r="B865" s="26" t="str">
        <f>"09DJN1140E"</f>
        <v>09DJN1140E</v>
      </c>
      <c r="C865" s="26" t="str">
        <f>"CENTIOTLI                                                                                           "</f>
        <v xml:space="preserve">CENTIOTLI                                                                                           </v>
      </c>
      <c r="D865" s="26" t="str">
        <f>"VESPERTINO"</f>
        <v>VESPERTINO</v>
      </c>
      <c r="E865" s="26" t="str">
        <f>"AV. LEYES DE REFORMA  ESQ. 4 DE DIC. 1860 S/N                                   "</f>
        <v xml:space="preserve">AV. LEYES DE REFORMA  ESQ. 4 DE DIC. 1860 S/N                                   </v>
      </c>
      <c r="F865" s="26" t="str">
        <f>"LEYES DE REFORMA                                                                                                                            "</f>
        <v xml:space="preserve">LEYES DE REFORMA                                                                                                                            </v>
      </c>
      <c r="G865" s="26" t="str">
        <f t="shared" si="135"/>
        <v xml:space="preserve">IZTAPALAPA                                                                      </v>
      </c>
      <c r="H865" s="26" t="str">
        <f>"020"</f>
        <v>020</v>
      </c>
      <c r="I865" s="26" t="str">
        <f t="shared" si="128"/>
        <v>00</v>
      </c>
      <c r="J865" s="26" t="str">
        <f>"63 "</f>
        <v xml:space="preserve">63 </v>
      </c>
      <c r="K865" s="26" t="str">
        <f t="shared" si="136"/>
        <v>IZ</v>
      </c>
      <c r="L865" s="26" t="str">
        <f t="shared" si="137"/>
        <v>DGSEI</v>
      </c>
      <c r="M865" s="26" t="str">
        <f t="shared" si="129"/>
        <v>FEDERAL</v>
      </c>
      <c r="N865" s="26">
        <v>159</v>
      </c>
      <c r="O865" s="26">
        <v>78</v>
      </c>
      <c r="P865" s="26">
        <v>81</v>
      </c>
      <c r="Q865" s="26">
        <v>5</v>
      </c>
      <c r="R865" s="26">
        <v>1</v>
      </c>
      <c r="S865" s="26">
        <v>5</v>
      </c>
      <c r="T865" s="26">
        <v>3</v>
      </c>
      <c r="U865" s="26">
        <v>9</v>
      </c>
      <c r="V865" s="26">
        <v>1</v>
      </c>
      <c r="W865" s="26"/>
    </row>
    <row r="866" spans="1:23" x14ac:dyDescent="0.25">
      <c r="A866" s="26" t="str">
        <f t="shared" si="127"/>
        <v>PREESCOLAR</v>
      </c>
      <c r="B866" s="26" t="str">
        <f>"09DJN1142C"</f>
        <v>09DJN1142C</v>
      </c>
      <c r="C866" s="26" t="str">
        <f>"CARL R. ROGERS                                                                                      "</f>
        <v xml:space="preserve">CARL R. ROGERS                                                                                      </v>
      </c>
      <c r="D866" s="26" t="str">
        <f>"VESPERTINO"</f>
        <v>VESPERTINO</v>
      </c>
      <c r="E866" s="26" t="str">
        <f>"BILBAO S/N                                                                      "</f>
        <v xml:space="preserve">BILBAO S/N                                                                      </v>
      </c>
      <c r="F866" s="26" t="str">
        <f>"CERRO DE LA ESTRELLA                                                                                                                        "</f>
        <v xml:space="preserve">CERRO DE LA ESTRELLA                                                                                                                        </v>
      </c>
      <c r="G866" s="26" t="str">
        <f t="shared" si="135"/>
        <v xml:space="preserve">IZTAPALAPA                                                                      </v>
      </c>
      <c r="H866" s="26" t="str">
        <f>"025"</f>
        <v>025</v>
      </c>
      <c r="I866" s="26" t="str">
        <f t="shared" si="128"/>
        <v>00</v>
      </c>
      <c r="J866" s="26" t="str">
        <f>"63 "</f>
        <v xml:space="preserve">63 </v>
      </c>
      <c r="K866" s="26" t="str">
        <f t="shared" si="136"/>
        <v>IZ</v>
      </c>
      <c r="L866" s="26" t="str">
        <f t="shared" si="137"/>
        <v>DGSEI</v>
      </c>
      <c r="M866" s="26" t="str">
        <f t="shared" si="129"/>
        <v>FEDERAL</v>
      </c>
      <c r="N866" s="26">
        <v>154</v>
      </c>
      <c r="O866" s="26">
        <v>71</v>
      </c>
      <c r="P866" s="26">
        <v>83</v>
      </c>
      <c r="Q866" s="26">
        <v>6</v>
      </c>
      <c r="R866" s="26">
        <v>1</v>
      </c>
      <c r="S866" s="26">
        <v>5</v>
      </c>
      <c r="T866" s="26">
        <v>3</v>
      </c>
      <c r="U866" s="26">
        <v>9</v>
      </c>
      <c r="V866" s="26">
        <v>1</v>
      </c>
      <c r="W866" s="26"/>
    </row>
    <row r="867" spans="1:23" x14ac:dyDescent="0.25">
      <c r="A867" s="26" t="str">
        <f t="shared" si="127"/>
        <v>PREESCOLAR</v>
      </c>
      <c r="B867" s="26" t="str">
        <f>"09DJN1144A"</f>
        <v>09DJN1144A</v>
      </c>
      <c r="C867" s="26" t="str">
        <f>"FLORENCE GOODENOUGH                                                                                 "</f>
        <v xml:space="preserve">FLORENCE GOODENOUGH                                                                                 </v>
      </c>
      <c r="D867" s="26" t="str">
        <f>"JORNADA AMPLIADA"</f>
        <v>JORNADA AMPLIADA</v>
      </c>
      <c r="E867" s="26" t="str">
        <f>"DR. SILVA E IGNACIO ALLENDE S/N                                                 "</f>
        <v xml:space="preserve">DR. SILVA E IGNACIO ALLENDE S/N                                                 </v>
      </c>
      <c r="F867" s="26" t="str">
        <f>"MEXICO NUEVO                                                                                                                                "</f>
        <v xml:space="preserve">MEXICO NUEVO                                                                                                                                </v>
      </c>
      <c r="G867" s="26" t="str">
        <f>"MIGUEL HIDALGO                                                                  "</f>
        <v xml:space="preserve">MIGUEL HIDALGO                                                                  </v>
      </c>
      <c r="H867" s="26" t="str">
        <f>"120"</f>
        <v>120</v>
      </c>
      <c r="I867" s="26" t="str">
        <f t="shared" si="128"/>
        <v>00</v>
      </c>
      <c r="J867" s="26" t="str">
        <f>"31 "</f>
        <v xml:space="preserve">31 </v>
      </c>
      <c r="K867" s="26" t="str">
        <f>"EP"</f>
        <v>EP</v>
      </c>
      <c r="L867" s="26" t="str">
        <f>"DGOSE"</f>
        <v>DGOSE</v>
      </c>
      <c r="M867" s="26" t="str">
        <f t="shared" si="129"/>
        <v>FEDERAL</v>
      </c>
      <c r="N867" s="26">
        <v>133</v>
      </c>
      <c r="O867" s="26">
        <v>67</v>
      </c>
      <c r="P867" s="26">
        <v>66</v>
      </c>
      <c r="Q867" s="26">
        <v>5</v>
      </c>
      <c r="R867" s="26">
        <v>1</v>
      </c>
      <c r="S867" s="26">
        <v>4</v>
      </c>
      <c r="T867" s="26">
        <v>4</v>
      </c>
      <c r="U867" s="26">
        <v>9</v>
      </c>
      <c r="V867" s="26">
        <v>1</v>
      </c>
      <c r="W867" s="26" t="s">
        <v>2076</v>
      </c>
    </row>
    <row r="868" spans="1:23" x14ac:dyDescent="0.25">
      <c r="A868" s="26" t="str">
        <f t="shared" si="127"/>
        <v>PREESCOLAR</v>
      </c>
      <c r="B868" s="26" t="str">
        <f>"09DJN1147Y"</f>
        <v>09DJN1147Y</v>
      </c>
      <c r="C868" s="26" t="str">
        <f>"PATRIA NUEVA                                                                                        "</f>
        <v xml:space="preserve">PATRIA NUEVA                                                                                        </v>
      </c>
      <c r="D868" s="26" t="str">
        <f>"JORNADA AMPLIADA"</f>
        <v>JORNADA AMPLIADA</v>
      </c>
      <c r="E868" s="26" t="str">
        <f>"ALFONSO TORO S/N Y RADAMES GAXIOLA                                              "</f>
        <v xml:space="preserve">ALFONSO TORO S/N Y RADAMES GAXIOLA                                              </v>
      </c>
      <c r="F868" s="26" t="str">
        <f>"ESCUADRON 201                                                                                                                               "</f>
        <v xml:space="preserve">ESCUADRON 201                                                                                                                               </v>
      </c>
      <c r="G868" s="26" t="str">
        <f>"IZTAPALAPA                                                                      "</f>
        <v xml:space="preserve">IZTAPALAPA                                                                      </v>
      </c>
      <c r="H868" s="26" t="str">
        <f>"002"</f>
        <v>002</v>
      </c>
      <c r="I868" s="26" t="str">
        <f t="shared" si="128"/>
        <v>00</v>
      </c>
      <c r="J868" s="26" t="str">
        <f>"61 "</f>
        <v xml:space="preserve">61 </v>
      </c>
      <c r="K868" s="26" t="str">
        <f>"IZ"</f>
        <v>IZ</v>
      </c>
      <c r="L868" s="26" t="str">
        <f>"DGSEI"</f>
        <v>DGSEI</v>
      </c>
      <c r="M868" s="26" t="str">
        <f t="shared" si="129"/>
        <v>FEDERAL</v>
      </c>
      <c r="N868" s="26">
        <v>150</v>
      </c>
      <c r="O868" s="26">
        <v>70</v>
      </c>
      <c r="P868" s="26">
        <v>80</v>
      </c>
      <c r="Q868" s="26">
        <v>6</v>
      </c>
      <c r="R868" s="26">
        <v>1</v>
      </c>
      <c r="S868" s="26">
        <v>6</v>
      </c>
      <c r="T868" s="26">
        <v>6</v>
      </c>
      <c r="U868" s="26">
        <v>13</v>
      </c>
      <c r="V868" s="26">
        <v>1</v>
      </c>
      <c r="W868" s="26" t="s">
        <v>2076</v>
      </c>
    </row>
    <row r="869" spans="1:23" x14ac:dyDescent="0.25">
      <c r="A869" s="26" t="str">
        <f t="shared" si="127"/>
        <v>PREESCOLAR</v>
      </c>
      <c r="B869" s="26" t="str">
        <f>"09DJN1148X"</f>
        <v>09DJN1148X</v>
      </c>
      <c r="C869" s="26" t="str">
        <f>"TLAZOTLI                                                                                            "</f>
        <v xml:space="preserve">TLAZOTLI                                                                                            </v>
      </c>
      <c r="D869" s="26" t="str">
        <f t="shared" ref="D869:D875" si="138">"VESPERTINO"</f>
        <v>VESPERTINO</v>
      </c>
      <c r="E869" s="26" t="str">
        <f>"AV. HIDALGO Y CALLE 30 NO. 38                                                   "</f>
        <v xml:space="preserve">AV. HIDALGO Y CALLE 30 NO. 38                                                   </v>
      </c>
      <c r="F869" s="26" t="str">
        <f>"OLIVAR DEL CONDE 2A SECCION                                                                                                                 "</f>
        <v xml:space="preserve">OLIVAR DEL CONDE 2A SECCION                                                                                                                 </v>
      </c>
      <c r="G869" s="26" t="str">
        <f>"ALVARO OBREGON                                                                  "</f>
        <v xml:space="preserve">ALVARO OBREGON                                                                  </v>
      </c>
      <c r="H869" s="26" t="str">
        <f>"218"</f>
        <v>218</v>
      </c>
      <c r="I869" s="26" t="str">
        <f t="shared" si="128"/>
        <v>00</v>
      </c>
      <c r="J869" s="26" t="str">
        <f>"33 "</f>
        <v xml:space="preserve">33 </v>
      </c>
      <c r="K869" s="26" t="str">
        <f>"EP"</f>
        <v>EP</v>
      </c>
      <c r="L869" s="26" t="str">
        <f>"DGOSE"</f>
        <v>DGOSE</v>
      </c>
      <c r="M869" s="26" t="str">
        <f t="shared" si="129"/>
        <v>FEDERAL</v>
      </c>
      <c r="N869" s="26">
        <v>72</v>
      </c>
      <c r="O869" s="26">
        <v>43</v>
      </c>
      <c r="P869" s="26">
        <v>29</v>
      </c>
      <c r="Q869" s="26">
        <v>3</v>
      </c>
      <c r="R869" s="26">
        <v>1</v>
      </c>
      <c r="S869" s="26">
        <v>3</v>
      </c>
      <c r="T869" s="26">
        <v>5</v>
      </c>
      <c r="U869" s="26">
        <v>9</v>
      </c>
      <c r="V869" s="26">
        <v>1</v>
      </c>
      <c r="W869" s="26"/>
    </row>
    <row r="870" spans="1:23" x14ac:dyDescent="0.25">
      <c r="A870" s="26" t="str">
        <f t="shared" si="127"/>
        <v>PREESCOLAR</v>
      </c>
      <c r="B870" s="26" t="str">
        <f>"09DJN1149W"</f>
        <v>09DJN1149W</v>
      </c>
      <c r="C870" s="26" t="str">
        <f>"DR. IGNACIO CHAVEZ SANCHEZ                                                                          "</f>
        <v xml:space="preserve">DR. IGNACIO CHAVEZ SANCHEZ                                                                          </v>
      </c>
      <c r="D870" s="26" t="str">
        <f t="shared" si="138"/>
        <v>VESPERTINO</v>
      </c>
      <c r="E870" s="26" t="str">
        <f>"JALTIPAN ESQ. CHINAMECA                                                         "</f>
        <v xml:space="preserve">JALTIPAN ESQ. CHINAMECA                                                         </v>
      </c>
      <c r="F870" s="26" t="str">
        <f>"ZENON DELGADO                                                                                                                               "</f>
        <v xml:space="preserve">ZENON DELGADO                                                                                                                               </v>
      </c>
      <c r="G870" s="26" t="str">
        <f>"ALVARO OBREGON                                                                  "</f>
        <v xml:space="preserve">ALVARO OBREGON                                                                  </v>
      </c>
      <c r="H870" s="26" t="str">
        <f>"219"</f>
        <v>219</v>
      </c>
      <c r="I870" s="26" t="str">
        <f t="shared" si="128"/>
        <v>00</v>
      </c>
      <c r="J870" s="26" t="str">
        <f>"33 "</f>
        <v xml:space="preserve">33 </v>
      </c>
      <c r="K870" s="26" t="str">
        <f>"EP"</f>
        <v>EP</v>
      </c>
      <c r="L870" s="26" t="str">
        <f>"DGOSE"</f>
        <v>DGOSE</v>
      </c>
      <c r="M870" s="26" t="str">
        <f t="shared" si="129"/>
        <v>FEDERAL</v>
      </c>
      <c r="N870" s="26">
        <v>108</v>
      </c>
      <c r="O870" s="26">
        <v>55</v>
      </c>
      <c r="P870" s="26">
        <v>53</v>
      </c>
      <c r="Q870" s="26">
        <v>4</v>
      </c>
      <c r="R870" s="26">
        <v>1</v>
      </c>
      <c r="S870" s="26">
        <v>4</v>
      </c>
      <c r="T870" s="26">
        <v>4</v>
      </c>
      <c r="U870" s="26">
        <v>9</v>
      </c>
      <c r="V870" s="26">
        <v>1</v>
      </c>
      <c r="W870" s="26"/>
    </row>
    <row r="871" spans="1:23" x14ac:dyDescent="0.25">
      <c r="A871" s="26" t="str">
        <f t="shared" si="127"/>
        <v>PREESCOLAR</v>
      </c>
      <c r="B871" s="26" t="str">
        <f>"09DJN1150L"</f>
        <v>09DJN1150L</v>
      </c>
      <c r="C871" s="26" t="str">
        <f>"JOSE MARIA MORELOS Y PAVON                                                                          "</f>
        <v xml:space="preserve">JOSE MARIA MORELOS Y PAVON                                                                          </v>
      </c>
      <c r="D871" s="26" t="str">
        <f t="shared" si="138"/>
        <v>VESPERTINO</v>
      </c>
      <c r="E871" s="26" t="str">
        <f>"EBANO Y HERMANDAD S/N                                                           "</f>
        <v xml:space="preserve">EBANO Y HERMANDAD S/N                                                           </v>
      </c>
      <c r="F871" s="26" t="str">
        <f>"GRANJAS DE NAVIDAD                                                                                                                          "</f>
        <v xml:space="preserve">GRANJAS DE NAVIDAD                                                                                                                          </v>
      </c>
      <c r="G871" s="26" t="str">
        <f>"CUAJIMALPA DE MORELOS                                                           "</f>
        <v xml:space="preserve">CUAJIMALPA DE MORELOS                                                           </v>
      </c>
      <c r="H871" s="26" t="str">
        <f>"212"</f>
        <v>212</v>
      </c>
      <c r="I871" s="26" t="str">
        <f t="shared" si="128"/>
        <v>00</v>
      </c>
      <c r="J871" s="26" t="str">
        <f>"33 "</f>
        <v xml:space="preserve">33 </v>
      </c>
      <c r="K871" s="26" t="str">
        <f>"EP"</f>
        <v>EP</v>
      </c>
      <c r="L871" s="26" t="str">
        <f>"DGOSE"</f>
        <v>DGOSE</v>
      </c>
      <c r="M871" s="26" t="str">
        <f t="shared" si="129"/>
        <v>FEDERAL</v>
      </c>
      <c r="N871" s="26">
        <v>142</v>
      </c>
      <c r="O871" s="26">
        <v>72</v>
      </c>
      <c r="P871" s="26">
        <v>70</v>
      </c>
      <c r="Q871" s="26">
        <v>5</v>
      </c>
      <c r="R871" s="26">
        <v>1</v>
      </c>
      <c r="S871" s="26">
        <v>5</v>
      </c>
      <c r="T871" s="26">
        <v>4</v>
      </c>
      <c r="U871" s="26">
        <v>10</v>
      </c>
      <c r="V871" s="26">
        <v>1</v>
      </c>
      <c r="W871" s="26"/>
    </row>
    <row r="872" spans="1:23" x14ac:dyDescent="0.25">
      <c r="A872" s="26" t="str">
        <f t="shared" si="127"/>
        <v>PREESCOLAR</v>
      </c>
      <c r="B872" s="26" t="str">
        <f>"09DJN1153I"</f>
        <v>09DJN1153I</v>
      </c>
      <c r="C872" s="26" t="str">
        <f>"WOLFGANG AMADEUS MOZART                                                                             "</f>
        <v xml:space="preserve">WOLFGANG AMADEUS MOZART                                                                             </v>
      </c>
      <c r="D872" s="26" t="str">
        <f t="shared" si="138"/>
        <v>VESPERTINO</v>
      </c>
      <c r="E872" s="26" t="str">
        <f>"PROLONG. PARQUE CENTRAL S/N                                                     "</f>
        <v xml:space="preserve">PROLONG. PARQUE CENTRAL S/N                                                     </v>
      </c>
      <c r="F872" s="26" t="str">
        <f>"CAMPESTRE ARAGON                                                                                                                            "</f>
        <v xml:space="preserve">CAMPESTRE ARAGON                                                                                                                            </v>
      </c>
      <c r="G872" s="26" t="str">
        <f>"GUSTAVO A. MADERO                                                               "</f>
        <v xml:space="preserve">GUSTAVO A. MADERO                                                               </v>
      </c>
      <c r="H872" s="26" t="str">
        <f>"195"</f>
        <v>195</v>
      </c>
      <c r="I872" s="26" t="str">
        <f t="shared" si="128"/>
        <v>00</v>
      </c>
      <c r="J872" s="26" t="str">
        <f>"32 "</f>
        <v xml:space="preserve">32 </v>
      </c>
      <c r="K872" s="26" t="str">
        <f>"EP"</f>
        <v>EP</v>
      </c>
      <c r="L872" s="26" t="str">
        <f>"DGOSE"</f>
        <v>DGOSE</v>
      </c>
      <c r="M872" s="26" t="str">
        <f t="shared" si="129"/>
        <v>FEDERAL</v>
      </c>
      <c r="N872" s="26">
        <v>178</v>
      </c>
      <c r="O872" s="26">
        <v>84</v>
      </c>
      <c r="P872" s="26">
        <v>94</v>
      </c>
      <c r="Q872" s="26">
        <v>6</v>
      </c>
      <c r="R872" s="26">
        <v>1</v>
      </c>
      <c r="S872" s="26">
        <v>6</v>
      </c>
      <c r="T872" s="26">
        <v>3</v>
      </c>
      <c r="U872" s="26">
        <v>10</v>
      </c>
      <c r="V872" s="26">
        <v>1</v>
      </c>
      <c r="W872" s="26"/>
    </row>
    <row r="873" spans="1:23" x14ac:dyDescent="0.25">
      <c r="A873" s="26" t="str">
        <f t="shared" si="127"/>
        <v>PREESCOLAR</v>
      </c>
      <c r="B873" s="26" t="str">
        <f>"09DJN1155G"</f>
        <v>09DJN1155G</v>
      </c>
      <c r="C873" s="26" t="str">
        <f>"TIHUITL                                                                                             "</f>
        <v xml:space="preserve">TIHUITL                                                                                             </v>
      </c>
      <c r="D873" s="26" t="str">
        <f t="shared" si="138"/>
        <v>VESPERTINO</v>
      </c>
      <c r="E873" s="26" t="str">
        <f>"EMILIANO ZAPATA NO. 22                                                          "</f>
        <v xml:space="preserve">EMILIANO ZAPATA NO. 22                                                          </v>
      </c>
      <c r="F873" s="26" t="str">
        <f>"CITLALI                                                                                                                                     "</f>
        <v xml:space="preserve">CITLALI                                                                                                                                     </v>
      </c>
      <c r="G873" s="26" t="str">
        <f>"IZTAPALAPA                                                                      "</f>
        <v xml:space="preserve">IZTAPALAPA                                                                      </v>
      </c>
      <c r="H873" s="26" t="str">
        <f>"035"</f>
        <v>035</v>
      </c>
      <c r="I873" s="26" t="str">
        <f t="shared" si="128"/>
        <v>00</v>
      </c>
      <c r="J873" s="26" t="str">
        <f>"64 "</f>
        <v xml:space="preserve">64 </v>
      </c>
      <c r="K873" s="26" t="str">
        <f>"IZ"</f>
        <v>IZ</v>
      </c>
      <c r="L873" s="26" t="str">
        <f>"DGSEI"</f>
        <v>DGSEI</v>
      </c>
      <c r="M873" s="26" t="str">
        <f t="shared" si="129"/>
        <v>FEDERAL</v>
      </c>
      <c r="N873" s="26">
        <v>134</v>
      </c>
      <c r="O873" s="26">
        <v>65</v>
      </c>
      <c r="P873" s="26">
        <v>69</v>
      </c>
      <c r="Q873" s="26">
        <v>4</v>
      </c>
      <c r="R873" s="26">
        <v>1</v>
      </c>
      <c r="S873" s="26">
        <v>4</v>
      </c>
      <c r="T873" s="26">
        <v>3</v>
      </c>
      <c r="U873" s="26">
        <v>8</v>
      </c>
      <c r="V873" s="26">
        <v>1</v>
      </c>
      <c r="W873" s="26"/>
    </row>
    <row r="874" spans="1:23" x14ac:dyDescent="0.25">
      <c r="A874" s="26" t="str">
        <f t="shared" si="127"/>
        <v>PREESCOLAR</v>
      </c>
      <c r="B874" s="26" t="str">
        <f>"09DJN1158D"</f>
        <v>09DJN1158D</v>
      </c>
      <c r="C874" s="26" t="str">
        <f>"MANUEL CERVANTES IMAZ                                                                               "</f>
        <v xml:space="preserve">MANUEL CERVANTES IMAZ                                                                               </v>
      </c>
      <c r="D874" s="26" t="str">
        <f t="shared" si="138"/>
        <v>VESPERTINO</v>
      </c>
      <c r="E874" s="26" t="str">
        <f>"FLOR DE SAN JUAN S/N                                                            "</f>
        <v xml:space="preserve">FLOR DE SAN JUAN S/N                                                            </v>
      </c>
      <c r="F874" s="26" t="str">
        <f>"TORRES DE POTRERO                                                                                                                           "</f>
        <v xml:space="preserve">TORRES DE POTRERO                                                                                                                           </v>
      </c>
      <c r="G874" s="26" t="str">
        <f>"ALVARO OBREGON                                                                  "</f>
        <v xml:space="preserve">ALVARO OBREGON                                                                  </v>
      </c>
      <c r="H874" s="26" t="str">
        <f>"214"</f>
        <v>214</v>
      </c>
      <c r="I874" s="26" t="str">
        <f t="shared" si="128"/>
        <v>00</v>
      </c>
      <c r="J874" s="26" t="str">
        <f>"33 "</f>
        <v xml:space="preserve">33 </v>
      </c>
      <c r="K874" s="26" t="str">
        <f>"EP"</f>
        <v>EP</v>
      </c>
      <c r="L874" s="26" t="str">
        <f>"DGOSE"</f>
        <v>DGOSE</v>
      </c>
      <c r="M874" s="26" t="str">
        <f t="shared" si="129"/>
        <v>FEDERAL</v>
      </c>
      <c r="N874" s="26">
        <v>256</v>
      </c>
      <c r="O874" s="26">
        <v>119</v>
      </c>
      <c r="P874" s="26">
        <v>137</v>
      </c>
      <c r="Q874" s="26">
        <v>7</v>
      </c>
      <c r="R874" s="26">
        <v>1</v>
      </c>
      <c r="S874" s="26">
        <v>7</v>
      </c>
      <c r="T874" s="26">
        <v>4</v>
      </c>
      <c r="U874" s="26">
        <v>12</v>
      </c>
      <c r="V874" s="26">
        <v>1</v>
      </c>
      <c r="W874" s="26"/>
    </row>
    <row r="875" spans="1:23" x14ac:dyDescent="0.25">
      <c r="A875" s="26" t="str">
        <f t="shared" si="127"/>
        <v>PREESCOLAR</v>
      </c>
      <c r="B875" s="26" t="str">
        <f>"09DJN1159C"</f>
        <v>09DJN1159C</v>
      </c>
      <c r="C875" s="26" t="str">
        <f>"YECAHUIZOTL                                                                                         "</f>
        <v xml:space="preserve">YECAHUIZOTL                                                                                         </v>
      </c>
      <c r="D875" s="26" t="str">
        <f t="shared" si="138"/>
        <v>VESPERTINO</v>
      </c>
      <c r="E875" s="26" t="str">
        <f>"AV. SANTA CATARINA Y MARIANO HGO.                                               "</f>
        <v xml:space="preserve">AV. SANTA CATARINA Y MARIANO HGO.                                               </v>
      </c>
      <c r="F875" s="26" t="str">
        <f>"SANTA CATARINA YECAHUIZOTL PUEBLO                                                                                                           "</f>
        <v xml:space="preserve">SANTA CATARINA YECAHUIZOTL PUEBLO                                                                                                           </v>
      </c>
      <c r="G875" s="26" t="str">
        <f>"TLAHUAC                                                                         "</f>
        <v xml:space="preserve">TLAHUAC                                                                         </v>
      </c>
      <c r="H875" s="26" t="str">
        <f>"242"</f>
        <v>242</v>
      </c>
      <c r="I875" s="26" t="str">
        <f t="shared" si="128"/>
        <v>00</v>
      </c>
      <c r="J875" s="26" t="str">
        <f>"35 "</f>
        <v xml:space="preserve">35 </v>
      </c>
      <c r="K875" s="26" t="str">
        <f>"EP"</f>
        <v>EP</v>
      </c>
      <c r="L875" s="26" t="str">
        <f>"DGOSE"</f>
        <v>DGOSE</v>
      </c>
      <c r="M875" s="26" t="str">
        <f t="shared" si="129"/>
        <v>FEDERAL</v>
      </c>
      <c r="N875" s="26">
        <v>174</v>
      </c>
      <c r="O875" s="26">
        <v>95</v>
      </c>
      <c r="P875" s="26">
        <v>79</v>
      </c>
      <c r="Q875" s="26">
        <v>6</v>
      </c>
      <c r="R875" s="26">
        <v>0</v>
      </c>
      <c r="S875" s="26">
        <v>5</v>
      </c>
      <c r="T875" s="26">
        <v>6</v>
      </c>
      <c r="U875" s="26">
        <v>11</v>
      </c>
      <c r="V875" s="26">
        <v>1</v>
      </c>
      <c r="W875" s="26"/>
    </row>
    <row r="876" spans="1:23" x14ac:dyDescent="0.25">
      <c r="A876" s="26" t="str">
        <f t="shared" si="127"/>
        <v>PREESCOLAR</v>
      </c>
      <c r="B876" s="26" t="str">
        <f>"09DJN1160S"</f>
        <v>09DJN1160S</v>
      </c>
      <c r="C876" s="26" t="str">
        <f>"MA. EVELIA MONTERRUBIO SAENZ                                                                        "</f>
        <v xml:space="preserve">MA. EVELIA MONTERRUBIO SAENZ                                                                        </v>
      </c>
      <c r="D876" s="26" t="str">
        <f>"MATUTINO"</f>
        <v>MATUTINO</v>
      </c>
      <c r="E876" s="26" t="str">
        <f>"AV. GUSTAVO DIAZ ORDAZ  MZA. 6 LTE. 2                                           "</f>
        <v xml:space="preserve">AV. GUSTAVO DIAZ ORDAZ  MZA. 6 LTE. 2                                           </v>
      </c>
      <c r="F876" s="26" t="str">
        <f>"JALALPA                                                                                                                                     "</f>
        <v xml:space="preserve">JALALPA                                                                                                                                     </v>
      </c>
      <c r="G876" s="26" t="str">
        <f>"ALVARO OBREGON                                                                  "</f>
        <v xml:space="preserve">ALVARO OBREGON                                                                  </v>
      </c>
      <c r="H876" s="26" t="str">
        <f>"122"</f>
        <v>122</v>
      </c>
      <c r="I876" s="26" t="str">
        <f t="shared" si="128"/>
        <v>00</v>
      </c>
      <c r="J876" s="26" t="str">
        <f>"33 "</f>
        <v xml:space="preserve">33 </v>
      </c>
      <c r="K876" s="26" t="str">
        <f>"EP"</f>
        <v>EP</v>
      </c>
      <c r="L876" s="26" t="str">
        <f>"DGOSE"</f>
        <v>DGOSE</v>
      </c>
      <c r="M876" s="26" t="str">
        <f t="shared" si="129"/>
        <v>FEDERAL</v>
      </c>
      <c r="N876" s="26">
        <v>143</v>
      </c>
      <c r="O876" s="26">
        <v>70</v>
      </c>
      <c r="P876" s="26">
        <v>73</v>
      </c>
      <c r="Q876" s="26">
        <v>5</v>
      </c>
      <c r="R876" s="26">
        <v>1</v>
      </c>
      <c r="S876" s="26">
        <v>3</v>
      </c>
      <c r="T876" s="26">
        <v>4</v>
      </c>
      <c r="U876" s="26">
        <v>8</v>
      </c>
      <c r="V876" s="26">
        <v>1</v>
      </c>
      <c r="W876" s="26"/>
    </row>
    <row r="877" spans="1:23" x14ac:dyDescent="0.25">
      <c r="A877" s="26" t="str">
        <f t="shared" si="127"/>
        <v>PREESCOLAR</v>
      </c>
      <c r="B877" s="26" t="str">
        <f>"09DJN1161R"</f>
        <v>09DJN1161R</v>
      </c>
      <c r="C877" s="26" t="str">
        <f>"TLAQUETZQUI                                                                                         "</f>
        <v xml:space="preserve">TLAQUETZQUI                                                                                         </v>
      </c>
      <c r="D877" s="26" t="str">
        <f>"VESPERTINO"</f>
        <v>VESPERTINO</v>
      </c>
      <c r="E877" s="26" t="str">
        <f>"CLAVELES S/N                                                                    "</f>
        <v xml:space="preserve">CLAVELES S/N                                                                    </v>
      </c>
      <c r="F877" s="26" t="str">
        <f>"JARDINES SAN LORENZO TEZONCO                                                                                                                "</f>
        <v xml:space="preserve">JARDINES SAN LORENZO TEZONCO                                                                                                                </v>
      </c>
      <c r="G877" s="26" t="str">
        <f>"IZTAPALAPA                                                                      "</f>
        <v xml:space="preserve">IZTAPALAPA                                                                      </v>
      </c>
      <c r="H877" s="26" t="str">
        <f>"027"</f>
        <v>027</v>
      </c>
      <c r="I877" s="26" t="str">
        <f t="shared" si="128"/>
        <v>00</v>
      </c>
      <c r="J877" s="26" t="str">
        <f>"63 "</f>
        <v xml:space="preserve">63 </v>
      </c>
      <c r="K877" s="26" t="str">
        <f>"IZ"</f>
        <v>IZ</v>
      </c>
      <c r="L877" s="26" t="str">
        <f>"DGSEI"</f>
        <v>DGSEI</v>
      </c>
      <c r="M877" s="26" t="str">
        <f t="shared" si="129"/>
        <v>FEDERAL</v>
      </c>
      <c r="N877" s="26">
        <v>142</v>
      </c>
      <c r="O877" s="26">
        <v>71</v>
      </c>
      <c r="P877" s="26">
        <v>71</v>
      </c>
      <c r="Q877" s="26">
        <v>5</v>
      </c>
      <c r="R877" s="26">
        <v>1</v>
      </c>
      <c r="S877" s="26">
        <v>5</v>
      </c>
      <c r="T877" s="26">
        <v>3</v>
      </c>
      <c r="U877" s="26">
        <v>9</v>
      </c>
      <c r="V877" s="26">
        <v>1</v>
      </c>
      <c r="W877" s="26"/>
    </row>
    <row r="878" spans="1:23" x14ac:dyDescent="0.25">
      <c r="A878" s="26" t="str">
        <f t="shared" si="127"/>
        <v>PREESCOLAR</v>
      </c>
      <c r="B878" s="26" t="str">
        <f>"09DJN1162Q"</f>
        <v>09DJN1162Q</v>
      </c>
      <c r="C878" s="26" t="str">
        <f>"MA. EVELIA MONTERRUBIO SAENZ                                                                        "</f>
        <v xml:space="preserve">MA. EVELIA MONTERRUBIO SAENZ                                                                        </v>
      </c>
      <c r="D878" s="26" t="str">
        <f>"VESPERTINO"</f>
        <v>VESPERTINO</v>
      </c>
      <c r="E878" s="26" t="str">
        <f>"AV. GUSTAVO DIAZ ORDAZ  MZA. 6 LTE. 2                                           "</f>
        <v xml:space="preserve">AV. GUSTAVO DIAZ ORDAZ  MZA. 6 LTE. 2                                           </v>
      </c>
      <c r="F878" s="26" t="str">
        <f>"JALALPA                                                                                                                                     "</f>
        <v xml:space="preserve">JALALPA                                                                                                                                     </v>
      </c>
      <c r="G878" s="26" t="str">
        <f>"ALVARO OBREGON                                                                  "</f>
        <v xml:space="preserve">ALVARO OBREGON                                                                  </v>
      </c>
      <c r="H878" s="26" t="str">
        <f>"122"</f>
        <v>122</v>
      </c>
      <c r="I878" s="26" t="str">
        <f t="shared" si="128"/>
        <v>00</v>
      </c>
      <c r="J878" s="26" t="str">
        <f>"33 "</f>
        <v xml:space="preserve">33 </v>
      </c>
      <c r="K878" s="26" t="str">
        <f>"EP"</f>
        <v>EP</v>
      </c>
      <c r="L878" s="26" t="str">
        <f>"DGOSE"</f>
        <v>DGOSE</v>
      </c>
      <c r="M878" s="26" t="str">
        <f t="shared" si="129"/>
        <v>FEDERAL</v>
      </c>
      <c r="N878" s="26">
        <v>140</v>
      </c>
      <c r="O878" s="26">
        <v>78</v>
      </c>
      <c r="P878" s="26">
        <v>62</v>
      </c>
      <c r="Q878" s="26">
        <v>5</v>
      </c>
      <c r="R878" s="26">
        <v>1</v>
      </c>
      <c r="S878" s="26">
        <v>3</v>
      </c>
      <c r="T878" s="26">
        <v>3</v>
      </c>
      <c r="U878" s="26">
        <v>7</v>
      </c>
      <c r="V878" s="26">
        <v>1</v>
      </c>
      <c r="W878" s="26"/>
    </row>
    <row r="879" spans="1:23" x14ac:dyDescent="0.25">
      <c r="A879" s="26" t="str">
        <f t="shared" si="127"/>
        <v>PREESCOLAR</v>
      </c>
      <c r="B879" s="26" t="str">
        <f>"09DJN1163P"</f>
        <v>09DJN1163P</v>
      </c>
      <c r="C879" s="26" t="str">
        <f>"TEZCATLIPOCA                                                                                        "</f>
        <v xml:space="preserve">TEZCATLIPOCA                                                                                        </v>
      </c>
      <c r="D879" s="26" t="str">
        <f>"VESPERTINO"</f>
        <v>VESPERTINO</v>
      </c>
      <c r="E879" s="26" t="str">
        <f>"ADOLFO UNDA Y DOMINGO ALVARADO S/N                                              "</f>
        <v xml:space="preserve">ADOLFO UNDA Y DOMINGO ALVARADO S/N                                              </v>
      </c>
      <c r="F879" s="26" t="str">
        <f>"SANTIAGO CENTRO                                                                                                                             "</f>
        <v xml:space="preserve">SANTIAGO CENTRO                                                                                                                             </v>
      </c>
      <c r="G879" s="26" t="str">
        <f>"TLAHUAC                                                                         "</f>
        <v xml:space="preserve">TLAHUAC                                                                         </v>
      </c>
      <c r="H879" s="26" t="str">
        <f>"065"</f>
        <v>065</v>
      </c>
      <c r="I879" s="26" t="str">
        <f t="shared" si="128"/>
        <v>00</v>
      </c>
      <c r="J879" s="26" t="str">
        <f>"35 "</f>
        <v xml:space="preserve">35 </v>
      </c>
      <c r="K879" s="26" t="str">
        <f>"EP"</f>
        <v>EP</v>
      </c>
      <c r="L879" s="26" t="str">
        <f>"DGOSE"</f>
        <v>DGOSE</v>
      </c>
      <c r="M879" s="26" t="str">
        <f t="shared" si="129"/>
        <v>FEDERAL</v>
      </c>
      <c r="N879" s="26">
        <v>189</v>
      </c>
      <c r="O879" s="26">
        <v>87</v>
      </c>
      <c r="P879" s="26">
        <v>102</v>
      </c>
      <c r="Q879" s="26">
        <v>6</v>
      </c>
      <c r="R879" s="26">
        <v>1</v>
      </c>
      <c r="S879" s="26">
        <v>6</v>
      </c>
      <c r="T879" s="26">
        <v>4</v>
      </c>
      <c r="U879" s="26">
        <v>11</v>
      </c>
      <c r="V879" s="26">
        <v>1</v>
      </c>
      <c r="W879" s="26"/>
    </row>
    <row r="880" spans="1:23" x14ac:dyDescent="0.25">
      <c r="A880" s="26" t="str">
        <f t="shared" si="127"/>
        <v>PREESCOLAR</v>
      </c>
      <c r="B880" s="26" t="str">
        <f>"09DJN1164O"</f>
        <v>09DJN1164O</v>
      </c>
      <c r="C880" s="26" t="str">
        <f>"TEUHTLI                                                                                             "</f>
        <v xml:space="preserve">TEUHTLI                                                                                             </v>
      </c>
      <c r="D880" s="26" t="str">
        <f>"MATUTINO"</f>
        <v>MATUTINO</v>
      </c>
      <c r="E880" s="26" t="str">
        <f>"ANTONIO AGUILAR NO. 27                                                          "</f>
        <v xml:space="preserve">ANTONIO AGUILAR NO. 27                                                          </v>
      </c>
      <c r="F880" s="26" t="str">
        <f>"EL CARMEN TULYEHUALCO                                                                                                                       "</f>
        <v xml:space="preserve">EL CARMEN TULYEHUALCO                                                                                                                       </v>
      </c>
      <c r="G880" s="26" t="str">
        <f>"XOCHIMILCO                                                                      "</f>
        <v xml:space="preserve">XOCHIMILCO                                                                      </v>
      </c>
      <c r="H880" s="26" t="str">
        <f>"033"</f>
        <v>033</v>
      </c>
      <c r="I880" s="26" t="str">
        <f t="shared" si="128"/>
        <v>00</v>
      </c>
      <c r="J880" s="26" t="str">
        <f>"35 "</f>
        <v xml:space="preserve">35 </v>
      </c>
      <c r="K880" s="26" t="str">
        <f>"EP"</f>
        <v>EP</v>
      </c>
      <c r="L880" s="26" t="str">
        <f>"DGOSE"</f>
        <v>DGOSE</v>
      </c>
      <c r="M880" s="26" t="str">
        <f t="shared" si="129"/>
        <v>FEDERAL</v>
      </c>
      <c r="N880" s="26">
        <v>162</v>
      </c>
      <c r="O880" s="26">
        <v>79</v>
      </c>
      <c r="P880" s="26">
        <v>83</v>
      </c>
      <c r="Q880" s="26">
        <v>5</v>
      </c>
      <c r="R880" s="26">
        <v>1</v>
      </c>
      <c r="S880" s="26">
        <v>4</v>
      </c>
      <c r="T880" s="26">
        <v>5</v>
      </c>
      <c r="U880" s="26">
        <v>10</v>
      </c>
      <c r="V880" s="26">
        <v>1</v>
      </c>
      <c r="W880" s="26"/>
    </row>
    <row r="881" spans="1:23" x14ac:dyDescent="0.25">
      <c r="A881" s="26" t="str">
        <f t="shared" si="127"/>
        <v>PREESCOLAR</v>
      </c>
      <c r="B881" s="26" t="str">
        <f>"09DJN1169J"</f>
        <v>09DJN1169J</v>
      </c>
      <c r="C881" s="26" t="str">
        <f>"JOHN DEWEY                                                                                          "</f>
        <v xml:space="preserve">JOHN DEWEY                                                                                          </v>
      </c>
      <c r="D881" s="26" t="str">
        <f>"TIEMPO COMPLETO"</f>
        <v>TIEMPO COMPLETO</v>
      </c>
      <c r="E881" s="26" t="str">
        <f>"AV. SAN MIGUEL Y  CALLEJON DEL MAGUEY.                                          "</f>
        <v xml:space="preserve">AV. SAN MIGUEL Y  CALLEJON DEL MAGUEY.                                          </v>
      </c>
      <c r="F881" s="26" t="str">
        <f>"MALACATES AMPLIACION                                                                                                                        "</f>
        <v xml:space="preserve">MALACATES AMPLIACION                                                                                                                        </v>
      </c>
      <c r="G881" s="26" t="str">
        <f>"GUSTAVO A. MADERO                                                               "</f>
        <v xml:space="preserve">GUSTAVO A. MADERO                                                               </v>
      </c>
      <c r="H881" s="26" t="str">
        <f>"092"</f>
        <v>092</v>
      </c>
      <c r="I881" s="26" t="str">
        <f t="shared" si="128"/>
        <v>00</v>
      </c>
      <c r="J881" s="26" t="str">
        <f>"31 "</f>
        <v xml:space="preserve">31 </v>
      </c>
      <c r="K881" s="26" t="str">
        <f>"EP"</f>
        <v>EP</v>
      </c>
      <c r="L881" s="26" t="str">
        <f>"DGOSE"</f>
        <v>DGOSE</v>
      </c>
      <c r="M881" s="26" t="str">
        <f t="shared" si="129"/>
        <v>FEDERAL</v>
      </c>
      <c r="N881" s="26">
        <v>148</v>
      </c>
      <c r="O881" s="26">
        <v>72</v>
      </c>
      <c r="P881" s="26">
        <v>76</v>
      </c>
      <c r="Q881" s="26">
        <v>5</v>
      </c>
      <c r="R881" s="26">
        <v>2</v>
      </c>
      <c r="S881" s="26">
        <v>5</v>
      </c>
      <c r="T881" s="26">
        <v>12</v>
      </c>
      <c r="U881" s="26">
        <v>19</v>
      </c>
      <c r="V881" s="26">
        <v>1</v>
      </c>
      <c r="W881" s="26" t="s">
        <v>218</v>
      </c>
    </row>
    <row r="882" spans="1:23" x14ac:dyDescent="0.25">
      <c r="A882" s="26" t="str">
        <f t="shared" si="127"/>
        <v>PREESCOLAR</v>
      </c>
      <c r="B882" s="26" t="str">
        <f>"09DJN1172X"</f>
        <v>09DJN1172X</v>
      </c>
      <c r="C882" s="26" t="str">
        <f>"IZCOATL                                                                                             "</f>
        <v xml:space="preserve">IZCOATL                                                                                             </v>
      </c>
      <c r="D882" s="26" t="str">
        <f>"VESPERTINO"</f>
        <v>VESPERTINO</v>
      </c>
      <c r="E882" s="26" t="str">
        <f>"NEUMATOLOGOS S/N                                                                "</f>
        <v xml:space="preserve">NEUMATOLOGOS S/N                                                                </v>
      </c>
      <c r="F882" s="26" t="str">
        <f>"SAN JOSE ACULCO                                                                                                                             "</f>
        <v xml:space="preserve">SAN JOSE ACULCO                                                                                                                             </v>
      </c>
      <c r="G882" s="26" t="str">
        <f>"IZTAPALAPA                                                                      "</f>
        <v xml:space="preserve">IZTAPALAPA                                                                      </v>
      </c>
      <c r="H882" s="26" t="str">
        <f>"021"</f>
        <v>021</v>
      </c>
      <c r="I882" s="26" t="str">
        <f t="shared" si="128"/>
        <v>00</v>
      </c>
      <c r="J882" s="26" t="str">
        <f>"63 "</f>
        <v xml:space="preserve">63 </v>
      </c>
      <c r="K882" s="26" t="str">
        <f>"IZ"</f>
        <v>IZ</v>
      </c>
      <c r="L882" s="26" t="str">
        <f>"DGSEI"</f>
        <v>DGSEI</v>
      </c>
      <c r="M882" s="26" t="str">
        <f t="shared" si="129"/>
        <v>FEDERAL</v>
      </c>
      <c r="N882" s="26">
        <v>148</v>
      </c>
      <c r="O882" s="26">
        <v>69</v>
      </c>
      <c r="P882" s="26">
        <v>79</v>
      </c>
      <c r="Q882" s="26">
        <v>5</v>
      </c>
      <c r="R882" s="26">
        <v>1</v>
      </c>
      <c r="S882" s="26">
        <v>5</v>
      </c>
      <c r="T882" s="26">
        <v>3</v>
      </c>
      <c r="U882" s="26">
        <v>9</v>
      </c>
      <c r="V882" s="26">
        <v>1</v>
      </c>
      <c r="W882" s="26"/>
    </row>
    <row r="883" spans="1:23" x14ac:dyDescent="0.25">
      <c r="A883" s="26" t="str">
        <f t="shared" si="127"/>
        <v>PREESCOLAR</v>
      </c>
      <c r="B883" s="26" t="str">
        <f>"09DJN1173W"</f>
        <v>09DJN1173W</v>
      </c>
      <c r="C883" s="26" t="str">
        <f>"TEMACHTILOYAN                                                                                       "</f>
        <v xml:space="preserve">TEMACHTILOYAN                                                                                       </v>
      </c>
      <c r="D883" s="26" t="str">
        <f>"JORNADA AMPLIADA"</f>
        <v>JORNADA AMPLIADA</v>
      </c>
      <c r="E883" s="26" t="str">
        <f>"PIAXTLA S/N ENTRE CHILA Y NOPALUCAN                                             "</f>
        <v xml:space="preserve">PIAXTLA S/N ENTRE CHILA Y NOPALUCAN                                             </v>
      </c>
      <c r="F883" s="26" t="str">
        <f>"LOMAS SAN LORENZO                                                                                                                           "</f>
        <v xml:space="preserve">LOMAS SAN LORENZO                                                                                                                           </v>
      </c>
      <c r="G883" s="26" t="str">
        <f>"IZTAPALAPA                                                                      "</f>
        <v xml:space="preserve">IZTAPALAPA                                                                      </v>
      </c>
      <c r="H883" s="26" t="str">
        <f>"009"</f>
        <v>009</v>
      </c>
      <c r="I883" s="26" t="str">
        <f t="shared" si="128"/>
        <v>00</v>
      </c>
      <c r="J883" s="26" t="str">
        <f>"61 "</f>
        <v xml:space="preserve">61 </v>
      </c>
      <c r="K883" s="26" t="str">
        <f>"IZ"</f>
        <v>IZ</v>
      </c>
      <c r="L883" s="26" t="str">
        <f>"DGSEI"</f>
        <v>DGSEI</v>
      </c>
      <c r="M883" s="26" t="str">
        <f t="shared" si="129"/>
        <v>FEDERAL</v>
      </c>
      <c r="N883" s="26">
        <v>287</v>
      </c>
      <c r="O883" s="26">
        <v>126</v>
      </c>
      <c r="P883" s="26">
        <v>161</v>
      </c>
      <c r="Q883" s="26">
        <v>7</v>
      </c>
      <c r="R883" s="26">
        <v>1</v>
      </c>
      <c r="S883" s="26">
        <v>7</v>
      </c>
      <c r="T883" s="26">
        <v>5</v>
      </c>
      <c r="U883" s="26">
        <v>13</v>
      </c>
      <c r="V883" s="26">
        <v>1</v>
      </c>
      <c r="W883" s="26" t="s">
        <v>2076</v>
      </c>
    </row>
    <row r="884" spans="1:23" x14ac:dyDescent="0.25">
      <c r="A884" s="26" t="str">
        <f t="shared" si="127"/>
        <v>PREESCOLAR</v>
      </c>
      <c r="B884" s="26" t="str">
        <f>"09DJN1174V"</f>
        <v>09DJN1174V</v>
      </c>
      <c r="C884" s="26" t="str">
        <f>"CUICUICANI                                                                                          "</f>
        <v xml:space="preserve">CUICUICANI                                                                                          </v>
      </c>
      <c r="D884" s="26" t="str">
        <f>"VESPERTINO"</f>
        <v>VESPERTINO</v>
      </c>
      <c r="E884" s="26" t="str">
        <f>"VILLA DEL REY S/N                                                               "</f>
        <v xml:space="preserve">VILLA DEL REY S/N                                                               </v>
      </c>
      <c r="F884" s="26" t="str">
        <f>"DESARROLLO URBANO QUETZALCOATL                                                                                                              "</f>
        <v xml:space="preserve">DESARROLLO URBANO QUETZALCOATL                                                                                                              </v>
      </c>
      <c r="G884" s="26" t="str">
        <f>"IZTAPALAPA                                                                      "</f>
        <v xml:space="preserve">IZTAPALAPA                                                                      </v>
      </c>
      <c r="H884" s="26" t="str">
        <f>"031"</f>
        <v>031</v>
      </c>
      <c r="I884" s="26" t="str">
        <f t="shared" si="128"/>
        <v>00</v>
      </c>
      <c r="J884" s="26" t="str">
        <f>"64 "</f>
        <v xml:space="preserve">64 </v>
      </c>
      <c r="K884" s="26" t="str">
        <f>"IZ"</f>
        <v>IZ</v>
      </c>
      <c r="L884" s="26" t="str">
        <f>"DGSEI"</f>
        <v>DGSEI</v>
      </c>
      <c r="M884" s="26" t="str">
        <f t="shared" si="129"/>
        <v>FEDERAL</v>
      </c>
      <c r="N884" s="26">
        <v>219</v>
      </c>
      <c r="O884" s="26">
        <v>95</v>
      </c>
      <c r="P884" s="26">
        <v>124</v>
      </c>
      <c r="Q884" s="26">
        <v>6</v>
      </c>
      <c r="R884" s="26">
        <v>1</v>
      </c>
      <c r="S884" s="26">
        <v>5</v>
      </c>
      <c r="T884" s="26">
        <v>3</v>
      </c>
      <c r="U884" s="26">
        <v>9</v>
      </c>
      <c r="V884" s="26">
        <v>1</v>
      </c>
      <c r="W884" s="26"/>
    </row>
    <row r="885" spans="1:23" x14ac:dyDescent="0.25">
      <c r="A885" s="26" t="str">
        <f t="shared" si="127"/>
        <v>PREESCOLAR</v>
      </c>
      <c r="B885" s="26" t="str">
        <f>"09DJN1175U"</f>
        <v>09DJN1175U</v>
      </c>
      <c r="C885" s="26" t="str">
        <f>"ENRIQUE DUNANT                                                                                      "</f>
        <v xml:space="preserve">ENRIQUE DUNANT                                                                                      </v>
      </c>
      <c r="D885" s="26" t="str">
        <f>"VESPERTINO"</f>
        <v>VESPERTINO</v>
      </c>
      <c r="E885" s="26" t="str">
        <f>"GUADALUPE ENTRE MICHOACAN Y SN. MIGUEL                                          "</f>
        <v xml:space="preserve">GUADALUPE ENTRE MICHOACAN Y SN. MIGUEL                                          </v>
      </c>
      <c r="F885" s="26" t="str">
        <f>"CHALMA DE GUADALUPE                                                                                                                         "</f>
        <v xml:space="preserve">CHALMA DE GUADALUPE                                                                                                                         </v>
      </c>
      <c r="G885" s="26" t="str">
        <f>"GUSTAVO A. MADERO                                                               "</f>
        <v xml:space="preserve">GUSTAVO A. MADERO                                                               </v>
      </c>
      <c r="H885" s="26" t="str">
        <f>"105"</f>
        <v>105</v>
      </c>
      <c r="I885" s="26" t="str">
        <f t="shared" si="128"/>
        <v>00</v>
      </c>
      <c r="J885" s="26" t="str">
        <f>"32 "</f>
        <v xml:space="preserve">32 </v>
      </c>
      <c r="K885" s="26" t="str">
        <f>"EP"</f>
        <v>EP</v>
      </c>
      <c r="L885" s="26" t="str">
        <f>"DGOSE"</f>
        <v>DGOSE</v>
      </c>
      <c r="M885" s="26" t="str">
        <f t="shared" si="129"/>
        <v>FEDERAL</v>
      </c>
      <c r="N885" s="26">
        <v>177</v>
      </c>
      <c r="O885" s="26">
        <v>94</v>
      </c>
      <c r="P885" s="26">
        <v>83</v>
      </c>
      <c r="Q885" s="26">
        <v>7</v>
      </c>
      <c r="R885" s="26">
        <v>1</v>
      </c>
      <c r="S885" s="26">
        <v>7</v>
      </c>
      <c r="T885" s="26">
        <v>3</v>
      </c>
      <c r="U885" s="26">
        <v>11</v>
      </c>
      <c r="V885" s="26">
        <v>1</v>
      </c>
      <c r="W885" s="26"/>
    </row>
    <row r="886" spans="1:23" x14ac:dyDescent="0.25">
      <c r="A886" s="26" t="str">
        <f t="shared" si="127"/>
        <v>PREESCOLAR</v>
      </c>
      <c r="B886" s="26" t="str">
        <f>"09DJN1176T"</f>
        <v>09DJN1176T</v>
      </c>
      <c r="C886" s="26" t="str">
        <f>"NAHIBI                                                                                              "</f>
        <v xml:space="preserve">NAHIBI                                                                                              </v>
      </c>
      <c r="D886" s="26" t="str">
        <f>"MATUTINO"</f>
        <v>MATUTINO</v>
      </c>
      <c r="E886" s="26" t="str">
        <f>"TEJOCOTES Y ESPIRITU SANTO S/N                                                  "</f>
        <v xml:space="preserve">TEJOCOTES Y ESPIRITU SANTO S/N                                                  </v>
      </c>
      <c r="F886" s="26" t="str">
        <f>"XALPA                                                                                                                                       "</f>
        <v xml:space="preserve">XALPA                                                                                                                                       </v>
      </c>
      <c r="G886" s="26" t="str">
        <f>"IZTAPALAPA                                                                      "</f>
        <v xml:space="preserve">IZTAPALAPA                                                                      </v>
      </c>
      <c r="H886" s="26" t="str">
        <f>"035"</f>
        <v>035</v>
      </c>
      <c r="I886" s="26" t="str">
        <f t="shared" si="128"/>
        <v>00</v>
      </c>
      <c r="J886" s="26" t="str">
        <f>"64 "</f>
        <v xml:space="preserve">64 </v>
      </c>
      <c r="K886" s="26" t="str">
        <f>"IZ"</f>
        <v>IZ</v>
      </c>
      <c r="L886" s="26" t="str">
        <f>"DGSEI"</f>
        <v>DGSEI</v>
      </c>
      <c r="M886" s="26" t="str">
        <f t="shared" si="129"/>
        <v>FEDERAL</v>
      </c>
      <c r="N886" s="26">
        <v>234</v>
      </c>
      <c r="O886" s="26">
        <v>116</v>
      </c>
      <c r="P886" s="26">
        <v>118</v>
      </c>
      <c r="Q886" s="26">
        <v>6</v>
      </c>
      <c r="R886" s="26">
        <v>1</v>
      </c>
      <c r="S886" s="26">
        <v>6</v>
      </c>
      <c r="T886" s="26">
        <v>3</v>
      </c>
      <c r="U886" s="26">
        <v>10</v>
      </c>
      <c r="V886" s="26">
        <v>1</v>
      </c>
      <c r="W886" s="26"/>
    </row>
    <row r="887" spans="1:23" x14ac:dyDescent="0.25">
      <c r="A887" s="26" t="str">
        <f t="shared" si="127"/>
        <v>PREESCOLAR</v>
      </c>
      <c r="B887" s="26" t="str">
        <f>"09DJN1179Q"</f>
        <v>09DJN1179Q</v>
      </c>
      <c r="C887" s="26" t="str">
        <f>"HEROES DE LA PATRIA                                                                                 "</f>
        <v xml:space="preserve">HEROES DE LA PATRIA                                                                                 </v>
      </c>
      <c r="D887" s="26" t="str">
        <f>"VESPERTINO"</f>
        <v>VESPERTINO</v>
      </c>
      <c r="E887" s="26" t="str">
        <f>"PUERTO COZUMEL S/N                                                              "</f>
        <v xml:space="preserve">PUERTO COZUMEL S/N                                                              </v>
      </c>
      <c r="F887" s="26" t="str">
        <f>"HEROES DE CHAPULTEPEC                                                                                                                       "</f>
        <v xml:space="preserve">HEROES DE CHAPULTEPEC                                                                                                                       </v>
      </c>
      <c r="G887" s="26" t="str">
        <f>"GUSTAVO A. MADERO                                                               "</f>
        <v xml:space="preserve">GUSTAVO A. MADERO                                                               </v>
      </c>
      <c r="H887" s="26" t="str">
        <f>"006"</f>
        <v>006</v>
      </c>
      <c r="I887" s="26" t="str">
        <f t="shared" si="128"/>
        <v>00</v>
      </c>
      <c r="J887" s="26" t="str">
        <f>"32 "</f>
        <v xml:space="preserve">32 </v>
      </c>
      <c r="K887" s="26" t="str">
        <f>"EP"</f>
        <v>EP</v>
      </c>
      <c r="L887" s="26" t="str">
        <f>"DGOSE"</f>
        <v>DGOSE</v>
      </c>
      <c r="M887" s="26" t="str">
        <f t="shared" si="129"/>
        <v>FEDERAL</v>
      </c>
      <c r="N887" s="26">
        <v>177</v>
      </c>
      <c r="O887" s="26">
        <v>79</v>
      </c>
      <c r="P887" s="26">
        <v>98</v>
      </c>
      <c r="Q887" s="26">
        <v>6</v>
      </c>
      <c r="R887" s="26">
        <v>1</v>
      </c>
      <c r="S887" s="26">
        <v>6</v>
      </c>
      <c r="T887" s="26">
        <v>4</v>
      </c>
      <c r="U887" s="26">
        <v>11</v>
      </c>
      <c r="V887" s="26">
        <v>1</v>
      </c>
      <c r="W887" s="26"/>
    </row>
    <row r="888" spans="1:23" x14ac:dyDescent="0.25">
      <c r="A888" s="26" t="str">
        <f t="shared" si="127"/>
        <v>PREESCOLAR</v>
      </c>
      <c r="B888" s="26" t="str">
        <f>"09DJN1180F"</f>
        <v>09DJN1180F</v>
      </c>
      <c r="C888" s="26" t="str">
        <f>"MAXIMO GORKI                                                                                        "</f>
        <v xml:space="preserve">MAXIMO GORKI                                                                                        </v>
      </c>
      <c r="D888" s="26" t="str">
        <f>"JORNADA AMPLIADA"</f>
        <v>JORNADA AMPLIADA</v>
      </c>
      <c r="E888" s="26" t="str">
        <f>"AV. CENTRAL S/N                                                                 "</f>
        <v xml:space="preserve">AV. CENTRAL S/N                                                                 </v>
      </c>
      <c r="F888" s="26" t="str">
        <f>"TEPALCATES                                                                                                                                  "</f>
        <v xml:space="preserve">TEPALCATES                                                                                                                                  </v>
      </c>
      <c r="G888" s="26" t="str">
        <f>"IZTAPALAPA                                                                      "</f>
        <v xml:space="preserve">IZTAPALAPA                                                                      </v>
      </c>
      <c r="H888" s="26" t="str">
        <f>"006"</f>
        <v>006</v>
      </c>
      <c r="I888" s="26" t="str">
        <f t="shared" si="128"/>
        <v>00</v>
      </c>
      <c r="J888" s="26" t="str">
        <f>"61 "</f>
        <v xml:space="preserve">61 </v>
      </c>
      <c r="K888" s="26" t="str">
        <f>"IZ"</f>
        <v>IZ</v>
      </c>
      <c r="L888" s="26" t="str">
        <f>"DGSEI"</f>
        <v>DGSEI</v>
      </c>
      <c r="M888" s="26" t="str">
        <f t="shared" si="129"/>
        <v>FEDERAL</v>
      </c>
      <c r="N888" s="26">
        <v>126</v>
      </c>
      <c r="O888" s="26">
        <v>56</v>
      </c>
      <c r="P888" s="26">
        <v>70</v>
      </c>
      <c r="Q888" s="26">
        <v>4</v>
      </c>
      <c r="R888" s="26">
        <v>1</v>
      </c>
      <c r="S888" s="26">
        <v>4</v>
      </c>
      <c r="T888" s="26">
        <v>5</v>
      </c>
      <c r="U888" s="26">
        <v>10</v>
      </c>
      <c r="V888" s="26">
        <v>1</v>
      </c>
      <c r="W888" s="26" t="s">
        <v>2076</v>
      </c>
    </row>
    <row r="889" spans="1:23" x14ac:dyDescent="0.25">
      <c r="A889" s="26" t="str">
        <f t="shared" si="127"/>
        <v>PREESCOLAR</v>
      </c>
      <c r="B889" s="26" t="str">
        <f>"09DJN1181E"</f>
        <v>09DJN1181E</v>
      </c>
      <c r="C889" s="26" t="str">
        <f>"ITZAMATUL                                                                                           "</f>
        <v xml:space="preserve">ITZAMATUL                                                                                           </v>
      </c>
      <c r="D889" s="26" t="str">
        <f>"MATUTINO"</f>
        <v>MATUTINO</v>
      </c>
      <c r="E889" s="26" t="str">
        <f>"SATELITE S/N                                                                    "</f>
        <v xml:space="preserve">SATELITE S/N                                                                    </v>
      </c>
      <c r="F889" s="26" t="str">
        <f>"LOMAS DE LA ESTANCIA                                                                                                                        "</f>
        <v xml:space="preserve">LOMAS DE LA ESTANCIA                                                                                                                        </v>
      </c>
      <c r="G889" s="26" t="str">
        <f>"IZTAPALAPA                                                                      "</f>
        <v xml:space="preserve">IZTAPALAPA                                                                      </v>
      </c>
      <c r="H889" s="26" t="str">
        <f>"036"</f>
        <v>036</v>
      </c>
      <c r="I889" s="26" t="str">
        <f t="shared" si="128"/>
        <v>00</v>
      </c>
      <c r="J889" s="26" t="str">
        <f>"64 "</f>
        <v xml:space="preserve">64 </v>
      </c>
      <c r="K889" s="26" t="str">
        <f>"IZ"</f>
        <v>IZ</v>
      </c>
      <c r="L889" s="26" t="str">
        <f>"DGSEI"</f>
        <v>DGSEI</v>
      </c>
      <c r="M889" s="26" t="str">
        <f t="shared" si="129"/>
        <v>FEDERAL</v>
      </c>
      <c r="N889" s="26">
        <v>296</v>
      </c>
      <c r="O889" s="26">
        <v>145</v>
      </c>
      <c r="P889" s="26">
        <v>151</v>
      </c>
      <c r="Q889" s="26">
        <v>8</v>
      </c>
      <c r="R889" s="26">
        <v>0</v>
      </c>
      <c r="S889" s="26">
        <v>8</v>
      </c>
      <c r="T889" s="26">
        <v>4</v>
      </c>
      <c r="U889" s="26">
        <v>12</v>
      </c>
      <c r="V889" s="26">
        <v>1</v>
      </c>
      <c r="W889" s="26"/>
    </row>
    <row r="890" spans="1:23" x14ac:dyDescent="0.25">
      <c r="A890" s="26" t="str">
        <f t="shared" si="127"/>
        <v>PREESCOLAR</v>
      </c>
      <c r="B890" s="26" t="str">
        <f>"09DJN1182D"</f>
        <v>09DJN1182D</v>
      </c>
      <c r="C890" s="26" t="str">
        <f>"CAPITAN EMILIO CARRANZA                                                                             "</f>
        <v xml:space="preserve">CAPITAN EMILIO CARRANZA                                                                             </v>
      </c>
      <c r="D890" s="26" t="str">
        <f>"TIEMPO COMPLETO"</f>
        <v>TIEMPO COMPLETO</v>
      </c>
      <c r="E890" s="26" t="str">
        <f>"PUERTO AEREO Y ORIENTE 33 S/N                                                   "</f>
        <v xml:space="preserve">PUERTO AEREO Y ORIENTE 33 S/N                                                   </v>
      </c>
      <c r="F890" s="26" t="str">
        <f>"PEÑON DE LOS BAÑOS                                                                                                                          "</f>
        <v xml:space="preserve">PEÑON DE LOS BAÑOS                                                                                                                          </v>
      </c>
      <c r="G890" s="26" t="str">
        <f>"VENUSTIANO CARRANZA                                                             "</f>
        <v xml:space="preserve">VENUSTIANO CARRANZA                                                             </v>
      </c>
      <c r="H890" s="26" t="str">
        <f>"247"</f>
        <v>247</v>
      </c>
      <c r="I890" s="26" t="str">
        <f t="shared" si="128"/>
        <v>00</v>
      </c>
      <c r="J890" s="26" t="str">
        <f>"31 "</f>
        <v xml:space="preserve">31 </v>
      </c>
      <c r="K890" s="26" t="str">
        <f>"EP"</f>
        <v>EP</v>
      </c>
      <c r="L890" s="26" t="str">
        <f>"DGOSE"</f>
        <v>DGOSE</v>
      </c>
      <c r="M890" s="26" t="str">
        <f t="shared" si="129"/>
        <v>FEDERAL</v>
      </c>
      <c r="N890" s="26">
        <v>188</v>
      </c>
      <c r="O890" s="26">
        <v>93</v>
      </c>
      <c r="P890" s="26">
        <v>95</v>
      </c>
      <c r="Q890" s="26">
        <v>6</v>
      </c>
      <c r="R890" s="26">
        <v>2</v>
      </c>
      <c r="S890" s="26">
        <v>6</v>
      </c>
      <c r="T890" s="26">
        <v>17</v>
      </c>
      <c r="U890" s="26">
        <v>25</v>
      </c>
      <c r="V890" s="26">
        <v>1</v>
      </c>
      <c r="W890" s="26" t="s">
        <v>218</v>
      </c>
    </row>
    <row r="891" spans="1:23" x14ac:dyDescent="0.25">
      <c r="A891" s="26" t="str">
        <f t="shared" si="127"/>
        <v>PREESCOLAR</v>
      </c>
      <c r="B891" s="26" t="str">
        <f>"09DJN1183C"</f>
        <v>09DJN1183C</v>
      </c>
      <c r="C891" s="26" t="str">
        <f>"COCONALLI                                                                                           "</f>
        <v xml:space="preserve">COCONALLI                                                                                           </v>
      </c>
      <c r="D891" s="26" t="str">
        <f>"MATUTINO"</f>
        <v>MATUTINO</v>
      </c>
      <c r="E891" s="26" t="str">
        <f>"PINO SUR S/N                                                                    "</f>
        <v xml:space="preserve">PINO SUR S/N                                                                    </v>
      </c>
      <c r="F891" s="26" t="str">
        <f>"SAN MATEO XALPA                                                                                                                             "</f>
        <v xml:space="preserve">SAN MATEO XALPA                                                                                                                             </v>
      </c>
      <c r="G891" s="26" t="str">
        <f>"XOCHIMILCO                                                                      "</f>
        <v xml:space="preserve">XOCHIMILCO                                                                      </v>
      </c>
      <c r="H891" s="26" t="str">
        <f>"081"</f>
        <v>081</v>
      </c>
      <c r="I891" s="26" t="str">
        <f t="shared" si="128"/>
        <v>00</v>
      </c>
      <c r="J891" s="26" t="str">
        <f>"35 "</f>
        <v xml:space="preserve">35 </v>
      </c>
      <c r="K891" s="26" t="str">
        <f>"EP"</f>
        <v>EP</v>
      </c>
      <c r="L891" s="26" t="str">
        <f>"DGOSE"</f>
        <v>DGOSE</v>
      </c>
      <c r="M891" s="26" t="str">
        <f t="shared" si="129"/>
        <v>FEDERAL</v>
      </c>
      <c r="N891" s="26">
        <v>164</v>
      </c>
      <c r="O891" s="26">
        <v>90</v>
      </c>
      <c r="P891" s="26">
        <v>74</v>
      </c>
      <c r="Q891" s="26">
        <v>5</v>
      </c>
      <c r="R891" s="26">
        <v>1</v>
      </c>
      <c r="S891" s="26">
        <v>5</v>
      </c>
      <c r="T891" s="26">
        <v>4</v>
      </c>
      <c r="U891" s="26">
        <v>10</v>
      </c>
      <c r="V891" s="26">
        <v>1</v>
      </c>
      <c r="W891" s="26"/>
    </row>
    <row r="892" spans="1:23" x14ac:dyDescent="0.25">
      <c r="A892" s="26" t="str">
        <f t="shared" si="127"/>
        <v>PREESCOLAR</v>
      </c>
      <c r="B892" s="26" t="str">
        <f>"09DJN1185A"</f>
        <v>09DJN1185A</v>
      </c>
      <c r="C892" s="26" t="str">
        <f>"XALTOCAN                                                                                            "</f>
        <v xml:space="preserve">XALTOCAN                                                                                            </v>
      </c>
      <c r="D892" s="26" t="str">
        <f>"VESPERTINO"</f>
        <v>VESPERTINO</v>
      </c>
      <c r="E892" s="26" t="str">
        <f>"HELIOTROPO ESQ GALEANA                                                          "</f>
        <v xml:space="preserve">HELIOTROPO ESQ GALEANA                                                          </v>
      </c>
      <c r="F892" s="26" t="str">
        <f>"XALTOCAN                                                                                                                                    "</f>
        <v xml:space="preserve">XALTOCAN                                                                                                                                    </v>
      </c>
      <c r="G892" s="26" t="str">
        <f>"XOCHIMILCO                                                                      "</f>
        <v xml:space="preserve">XOCHIMILCO                                                                      </v>
      </c>
      <c r="H892" s="26" t="str">
        <f>"084"</f>
        <v>084</v>
      </c>
      <c r="I892" s="26" t="str">
        <f t="shared" si="128"/>
        <v>00</v>
      </c>
      <c r="J892" s="26" t="str">
        <f>"35 "</f>
        <v xml:space="preserve">35 </v>
      </c>
      <c r="K892" s="26" t="str">
        <f>"EP"</f>
        <v>EP</v>
      </c>
      <c r="L892" s="26" t="str">
        <f>"DGOSE"</f>
        <v>DGOSE</v>
      </c>
      <c r="M892" s="26" t="str">
        <f t="shared" si="129"/>
        <v>FEDERAL</v>
      </c>
      <c r="N892" s="26">
        <v>125</v>
      </c>
      <c r="O892" s="26">
        <v>65</v>
      </c>
      <c r="P892" s="26">
        <v>60</v>
      </c>
      <c r="Q892" s="26">
        <v>4</v>
      </c>
      <c r="R892" s="26">
        <v>1</v>
      </c>
      <c r="S892" s="26">
        <v>4</v>
      </c>
      <c r="T892" s="26">
        <v>4</v>
      </c>
      <c r="U892" s="26">
        <v>9</v>
      </c>
      <c r="V892" s="26">
        <v>1</v>
      </c>
      <c r="W892" s="26"/>
    </row>
    <row r="893" spans="1:23" x14ac:dyDescent="0.25">
      <c r="A893" s="26" t="str">
        <f t="shared" si="127"/>
        <v>PREESCOLAR</v>
      </c>
      <c r="B893" s="26" t="str">
        <f>"09DJN1186Z"</f>
        <v>09DJN1186Z</v>
      </c>
      <c r="C893" s="26" t="str">
        <f>"TLAHUI OLLIN                                                                                        "</f>
        <v xml:space="preserve">TLAHUI OLLIN                                                                                        </v>
      </c>
      <c r="D893" s="26" t="str">
        <f>"VESPERTINO"</f>
        <v>VESPERTINO</v>
      </c>
      <c r="E893" s="26" t="str">
        <f>"EL ROBLE S/N ESQ. AV. NUEVO LEON                                                "</f>
        <v xml:space="preserve">EL ROBLE S/N ESQ. AV. NUEVO LEON                                                </v>
      </c>
      <c r="F893" s="26" t="str">
        <f>"CALTONGO                                                                                                                                    "</f>
        <v xml:space="preserve">CALTONGO                                                                                                                                    </v>
      </c>
      <c r="G893" s="26" t="str">
        <f>"XOCHIMILCO                                                                      "</f>
        <v xml:space="preserve">XOCHIMILCO                                                                      </v>
      </c>
      <c r="H893" s="26" t="str">
        <f>"220"</f>
        <v>220</v>
      </c>
      <c r="I893" s="26" t="str">
        <f t="shared" si="128"/>
        <v>00</v>
      </c>
      <c r="J893" s="26" t="str">
        <f>"35 "</f>
        <v xml:space="preserve">35 </v>
      </c>
      <c r="K893" s="26" t="str">
        <f>"EP"</f>
        <v>EP</v>
      </c>
      <c r="L893" s="26" t="str">
        <f>"DGOSE"</f>
        <v>DGOSE</v>
      </c>
      <c r="M893" s="26" t="str">
        <f t="shared" si="129"/>
        <v>FEDERAL</v>
      </c>
      <c r="N893" s="26">
        <v>153</v>
      </c>
      <c r="O893" s="26">
        <v>89</v>
      </c>
      <c r="P893" s="26">
        <v>64</v>
      </c>
      <c r="Q893" s="26">
        <v>5</v>
      </c>
      <c r="R893" s="26">
        <v>1</v>
      </c>
      <c r="S893" s="26">
        <v>5</v>
      </c>
      <c r="T893" s="26">
        <v>3</v>
      </c>
      <c r="U893" s="26">
        <v>9</v>
      </c>
      <c r="V893" s="26">
        <v>1</v>
      </c>
      <c r="W893" s="26"/>
    </row>
    <row r="894" spans="1:23" x14ac:dyDescent="0.25">
      <c r="A894" s="26" t="str">
        <f t="shared" si="127"/>
        <v>PREESCOLAR</v>
      </c>
      <c r="B894" s="26" t="str">
        <f>"09DJN1190M"</f>
        <v>09DJN1190M</v>
      </c>
      <c r="C894" s="26" t="str">
        <f>"MTRA. YOLANDA BENITEZ GUTIERREZ                                                                     "</f>
        <v xml:space="preserve">MTRA. YOLANDA BENITEZ GUTIERREZ                                                                     </v>
      </c>
      <c r="D894" s="26" t="str">
        <f>"TIEMPO COMPLETO"</f>
        <v>TIEMPO COMPLETO</v>
      </c>
      <c r="E894" s="26" t="str">
        <f>"DR. JIMENEZ NO. 212                                                             "</f>
        <v xml:space="preserve">DR. JIMENEZ NO. 212                                                             </v>
      </c>
      <c r="F894" s="26" t="str">
        <f>"DOCTORES                                                                                                                                    "</f>
        <v xml:space="preserve">DOCTORES                                                                                                                                    </v>
      </c>
      <c r="G894" s="26" t="s">
        <v>4128</v>
      </c>
      <c r="H894" s="26" t="str">
        <f>"074"</f>
        <v>074</v>
      </c>
      <c r="I894" s="26" t="str">
        <f t="shared" si="128"/>
        <v>00</v>
      </c>
      <c r="J894" s="26" t="str">
        <f>"31 "</f>
        <v xml:space="preserve">31 </v>
      </c>
      <c r="K894" s="26" t="str">
        <f>"EP"</f>
        <v>EP</v>
      </c>
      <c r="L894" s="26" t="str">
        <f>"DGOSE"</f>
        <v>DGOSE</v>
      </c>
      <c r="M894" s="26" t="str">
        <f t="shared" si="129"/>
        <v>FEDERAL</v>
      </c>
      <c r="N894" s="26">
        <v>178</v>
      </c>
      <c r="O894" s="26">
        <v>91</v>
      </c>
      <c r="P894" s="26">
        <v>87</v>
      </c>
      <c r="Q894" s="26">
        <v>6</v>
      </c>
      <c r="R894" s="26">
        <v>2</v>
      </c>
      <c r="S894" s="26">
        <v>6</v>
      </c>
      <c r="T894" s="26">
        <v>15</v>
      </c>
      <c r="U894" s="26">
        <v>23</v>
      </c>
      <c r="V894" s="26">
        <v>1</v>
      </c>
      <c r="W894" s="26" t="s">
        <v>218</v>
      </c>
    </row>
    <row r="895" spans="1:23" x14ac:dyDescent="0.25">
      <c r="A895" s="26" t="str">
        <f t="shared" si="127"/>
        <v>PREESCOLAR</v>
      </c>
      <c r="B895" s="26" t="str">
        <f>"09DJN1191L"</f>
        <v>09DJN1191L</v>
      </c>
      <c r="C895" s="26" t="str">
        <f>"DR. ALFONSO ORTIZ TIRADO                                                                            "</f>
        <v xml:space="preserve">DR. ALFONSO ORTIZ TIRADO                                                                            </v>
      </c>
      <c r="D895" s="26" t="str">
        <f>"JORNADA AMPLIADA"</f>
        <v>JORNADA AMPLIADA</v>
      </c>
      <c r="E895" s="26" t="str">
        <f>"PLAZA GUARDIOLA Y PLAZA BUENAVISTA                                              "</f>
        <v xml:space="preserve">PLAZA GUARDIOLA Y PLAZA BUENAVISTA                                              </v>
      </c>
      <c r="F895" s="26" t="str">
        <f>"DOCTOR ALFONSO ORTIZ TIRADO                                                                                                                 "</f>
        <v xml:space="preserve">DOCTOR ALFONSO ORTIZ TIRADO                                                                                                                 </v>
      </c>
      <c r="G895" s="26" t="str">
        <f>"IZTAPALAPA                                                                      "</f>
        <v xml:space="preserve">IZTAPALAPA                                                                      </v>
      </c>
      <c r="H895" s="26" t="str">
        <f>"005"</f>
        <v>005</v>
      </c>
      <c r="I895" s="26" t="str">
        <f t="shared" si="128"/>
        <v>00</v>
      </c>
      <c r="J895" s="26" t="str">
        <f>"61 "</f>
        <v xml:space="preserve">61 </v>
      </c>
      <c r="K895" s="26" t="str">
        <f>"IZ"</f>
        <v>IZ</v>
      </c>
      <c r="L895" s="26" t="str">
        <f>"DGSEI"</f>
        <v>DGSEI</v>
      </c>
      <c r="M895" s="26" t="str">
        <f t="shared" si="129"/>
        <v>FEDERAL</v>
      </c>
      <c r="N895" s="26">
        <v>99</v>
      </c>
      <c r="O895" s="26">
        <v>52</v>
      </c>
      <c r="P895" s="26">
        <v>47</v>
      </c>
      <c r="Q895" s="26">
        <v>4</v>
      </c>
      <c r="R895" s="26">
        <v>1</v>
      </c>
      <c r="S895" s="26">
        <v>4</v>
      </c>
      <c r="T895" s="26">
        <v>5</v>
      </c>
      <c r="U895" s="26">
        <v>10</v>
      </c>
      <c r="V895" s="26">
        <v>1</v>
      </c>
      <c r="W895" s="26" t="s">
        <v>2076</v>
      </c>
    </row>
    <row r="896" spans="1:23" x14ac:dyDescent="0.25">
      <c r="A896" s="26" t="str">
        <f t="shared" si="127"/>
        <v>PREESCOLAR</v>
      </c>
      <c r="B896" s="26" t="str">
        <f>"09DJN1192K"</f>
        <v>09DJN1192K</v>
      </c>
      <c r="C896" s="26" t="str">
        <f>"AMALIA GLEZ CABALLERO DE CASTILLO LEDON                                                             "</f>
        <v xml:space="preserve">AMALIA GLEZ CABALLERO DE CASTILLO LEDON                                                             </v>
      </c>
      <c r="D896" s="26" t="str">
        <f>"JORNADA AMPLIADA"</f>
        <v>JORNADA AMPLIADA</v>
      </c>
      <c r="E896" s="26" t="str">
        <f>"COMUNAL Y AGUACALIENTE                                                          "</f>
        <v xml:space="preserve">COMUNAL Y AGUACALIENTE                                                          </v>
      </c>
      <c r="F896" s="26" t="str">
        <f>"AGRICOLA PANTITLAN                                                                                                                          "</f>
        <v xml:space="preserve">AGRICOLA PANTITLAN                                                                                                                          </v>
      </c>
      <c r="G896" s="26" t="str">
        <f>"IZTACALCO                                                                       "</f>
        <v xml:space="preserve">IZTACALCO                                                                       </v>
      </c>
      <c r="H896" s="26" t="str">
        <f>"072"</f>
        <v>072</v>
      </c>
      <c r="I896" s="26" t="str">
        <f t="shared" si="128"/>
        <v>00</v>
      </c>
      <c r="J896" s="26" t="str">
        <f>"31 "</f>
        <v xml:space="preserve">31 </v>
      </c>
      <c r="K896" s="26" t="str">
        <f t="shared" ref="K896:K901" si="139">"EP"</f>
        <v>EP</v>
      </c>
      <c r="L896" s="26" t="str">
        <f t="shared" ref="L896:L901" si="140">"DGOSE"</f>
        <v>DGOSE</v>
      </c>
      <c r="M896" s="26" t="str">
        <f t="shared" si="129"/>
        <v>FEDERAL</v>
      </c>
      <c r="N896" s="26">
        <v>185</v>
      </c>
      <c r="O896" s="26">
        <v>94</v>
      </c>
      <c r="P896" s="26">
        <v>91</v>
      </c>
      <c r="Q896" s="26">
        <v>6</v>
      </c>
      <c r="R896" s="26">
        <v>1</v>
      </c>
      <c r="S896" s="26">
        <v>6</v>
      </c>
      <c r="T896" s="26">
        <v>6</v>
      </c>
      <c r="U896" s="26">
        <v>13</v>
      </c>
      <c r="V896" s="26">
        <v>1</v>
      </c>
      <c r="W896" s="26" t="s">
        <v>2076</v>
      </c>
    </row>
    <row r="897" spans="1:23" x14ac:dyDescent="0.25">
      <c r="A897" s="26" t="str">
        <f t="shared" si="127"/>
        <v>PREESCOLAR</v>
      </c>
      <c r="B897" s="26" t="str">
        <f>"09DJN1193J"</f>
        <v>09DJN1193J</v>
      </c>
      <c r="C897" s="26" t="str">
        <f>"REPUBLICA DE URUGUAY                                                                                "</f>
        <v xml:space="preserve">REPUBLICA DE URUGUAY                                                                                </v>
      </c>
      <c r="D897" s="26" t="str">
        <f>"JORNADA AMPLIADA"</f>
        <v>JORNADA AMPLIADA</v>
      </c>
      <c r="E897" s="26" t="str">
        <f>"CAMELLON EDUARDO MOLINA S\N                                                     "</f>
        <v xml:space="preserve">CAMELLON EDUARDO MOLINA S\N                                                     </v>
      </c>
      <c r="F897" s="26" t="str">
        <f>"VASCO DE QUIROGA                                                                                                                            "</f>
        <v xml:space="preserve">VASCO DE QUIROGA                                                                                                                            </v>
      </c>
      <c r="G897" s="26" t="str">
        <f>"GUSTAVO A. MADERO                                                               "</f>
        <v xml:space="preserve">GUSTAVO A. MADERO                                                               </v>
      </c>
      <c r="H897" s="26" t="str">
        <f>"070"</f>
        <v>070</v>
      </c>
      <c r="I897" s="26" t="str">
        <f t="shared" si="128"/>
        <v>00</v>
      </c>
      <c r="J897" s="26" t="str">
        <f>"31 "</f>
        <v xml:space="preserve">31 </v>
      </c>
      <c r="K897" s="26" t="str">
        <f t="shared" si="139"/>
        <v>EP</v>
      </c>
      <c r="L897" s="26" t="str">
        <f t="shared" si="140"/>
        <v>DGOSE</v>
      </c>
      <c r="M897" s="26" t="str">
        <f t="shared" si="129"/>
        <v>FEDERAL</v>
      </c>
      <c r="N897" s="26">
        <v>167</v>
      </c>
      <c r="O897" s="26">
        <v>81</v>
      </c>
      <c r="P897" s="26">
        <v>86</v>
      </c>
      <c r="Q897" s="26">
        <v>5</v>
      </c>
      <c r="R897" s="26">
        <v>1</v>
      </c>
      <c r="S897" s="26">
        <v>5</v>
      </c>
      <c r="T897" s="26">
        <v>9</v>
      </c>
      <c r="U897" s="26">
        <v>15</v>
      </c>
      <c r="V897" s="26">
        <v>1</v>
      </c>
      <c r="W897" s="26" t="s">
        <v>2076</v>
      </c>
    </row>
    <row r="898" spans="1:23" x14ac:dyDescent="0.25">
      <c r="A898" s="26" t="str">
        <f t="shared" ref="A898:A961" si="141">"PREESCOLAR"</f>
        <v>PREESCOLAR</v>
      </c>
      <c r="B898" s="26" t="str">
        <f>"09DJN1196G"</f>
        <v>09DJN1196G</v>
      </c>
      <c r="C898" s="26" t="str">
        <f>"LIBANO                                                                                              "</f>
        <v xml:space="preserve">LIBANO                                                                                              </v>
      </c>
      <c r="D898" s="26" t="str">
        <f>"VESPERTINO"</f>
        <v>VESPERTINO</v>
      </c>
      <c r="E898" s="26" t="str">
        <f>"AV. 16 DE SEPTIEMBRE S/N                                                        "</f>
        <v xml:space="preserve">AV. 16 DE SEPTIEMBRE S/N                                                        </v>
      </c>
      <c r="F898" s="26" t="str">
        <f>"CONTADERO                                                                                                                                   "</f>
        <v xml:space="preserve">CONTADERO                                                                                                                                   </v>
      </c>
      <c r="G898" s="26" t="str">
        <f>"CUAJIMALPA DE MORELOS                                                           "</f>
        <v xml:space="preserve">CUAJIMALPA DE MORELOS                                                           </v>
      </c>
      <c r="H898" s="26" t="str">
        <f>"151"</f>
        <v>151</v>
      </c>
      <c r="I898" s="26" t="str">
        <f t="shared" ref="I898:I961" si="142">"00"</f>
        <v>00</v>
      </c>
      <c r="J898" s="26" t="str">
        <f>"33 "</f>
        <v xml:space="preserve">33 </v>
      </c>
      <c r="K898" s="26" t="str">
        <f t="shared" si="139"/>
        <v>EP</v>
      </c>
      <c r="L898" s="26" t="str">
        <f t="shared" si="140"/>
        <v>DGOSE</v>
      </c>
      <c r="M898" s="26" t="str">
        <f t="shared" ref="M898:M961" si="143">"FEDERAL"</f>
        <v>FEDERAL</v>
      </c>
      <c r="N898" s="26">
        <v>138</v>
      </c>
      <c r="O898" s="26">
        <v>57</v>
      </c>
      <c r="P898" s="26">
        <v>81</v>
      </c>
      <c r="Q898" s="26">
        <v>4</v>
      </c>
      <c r="R898" s="26">
        <v>1</v>
      </c>
      <c r="S898" s="26">
        <v>4</v>
      </c>
      <c r="T898" s="26">
        <v>3</v>
      </c>
      <c r="U898" s="26">
        <v>8</v>
      </c>
      <c r="V898" s="26">
        <v>1</v>
      </c>
      <c r="W898" s="26"/>
    </row>
    <row r="899" spans="1:23" x14ac:dyDescent="0.25">
      <c r="A899" s="26" t="str">
        <f t="shared" si="141"/>
        <v>PREESCOLAR</v>
      </c>
      <c r="B899" s="26" t="str">
        <f>"09DJN1198E"</f>
        <v>09DJN1198E</v>
      </c>
      <c r="C899" s="26" t="str">
        <f>"PROFR. ALFONSO SIERRA PARTIDA                                                                       "</f>
        <v xml:space="preserve">PROFR. ALFONSO SIERRA PARTIDA                                                                       </v>
      </c>
      <c r="D899" s="26" t="str">
        <f>"VESPERTINO"</f>
        <v>VESPERTINO</v>
      </c>
      <c r="E899" s="26" t="str">
        <f>"NOGAL Y SAN JOSE DE LOS CEDROS                                                  "</f>
        <v xml:space="preserve">NOGAL Y SAN JOSE DE LOS CEDROS                                                  </v>
      </c>
      <c r="F899" s="26" t="str">
        <f>"SAN JOSE DE LOS CEDROS                                                                                                                      "</f>
        <v xml:space="preserve">SAN JOSE DE LOS CEDROS                                                                                                                      </v>
      </c>
      <c r="G899" s="26" t="str">
        <f>"CUAJIMALPA DE MORELOS                                                           "</f>
        <v xml:space="preserve">CUAJIMALPA DE MORELOS                                                           </v>
      </c>
      <c r="H899" s="26" t="str">
        <f>"089"</f>
        <v>089</v>
      </c>
      <c r="I899" s="26" t="str">
        <f t="shared" si="142"/>
        <v>00</v>
      </c>
      <c r="J899" s="26" t="str">
        <f>"33 "</f>
        <v xml:space="preserve">33 </v>
      </c>
      <c r="K899" s="26" t="str">
        <f t="shared" si="139"/>
        <v>EP</v>
      </c>
      <c r="L899" s="26" t="str">
        <f t="shared" si="140"/>
        <v>DGOSE</v>
      </c>
      <c r="M899" s="26" t="str">
        <f t="shared" si="143"/>
        <v>FEDERAL</v>
      </c>
      <c r="N899" s="26">
        <v>191</v>
      </c>
      <c r="O899" s="26">
        <v>87</v>
      </c>
      <c r="P899" s="26">
        <v>104</v>
      </c>
      <c r="Q899" s="26">
        <v>6</v>
      </c>
      <c r="R899" s="26">
        <v>1</v>
      </c>
      <c r="S899" s="26">
        <v>4</v>
      </c>
      <c r="T899" s="26">
        <v>5</v>
      </c>
      <c r="U899" s="26">
        <v>10</v>
      </c>
      <c r="V899" s="26">
        <v>1</v>
      </c>
      <c r="W899" s="26"/>
    </row>
    <row r="900" spans="1:23" x14ac:dyDescent="0.25">
      <c r="A900" s="26" t="str">
        <f t="shared" si="141"/>
        <v>PREESCOLAR</v>
      </c>
      <c r="B900" s="26" t="str">
        <f>"09DJN1199D"</f>
        <v>09DJN1199D</v>
      </c>
      <c r="C900" s="26" t="str">
        <f>"ERIK H. ERIKSON                                                                                     "</f>
        <v xml:space="preserve">ERIK H. ERIKSON                                                                                     </v>
      </c>
      <c r="D900" s="26" t="str">
        <f>"VESPERTINO"</f>
        <v>VESPERTINO</v>
      </c>
      <c r="E900" s="26" t="str">
        <f>"RANCHO GRANDE S/N                                                               "</f>
        <v xml:space="preserve">RANCHO GRANDE S/N                                                               </v>
      </c>
      <c r="F900" s="26" t="str">
        <f>"LA CASILDA                                                                                                                                  "</f>
        <v xml:space="preserve">LA CASILDA                                                                                                                                  </v>
      </c>
      <c r="G900" s="26" t="str">
        <f>"GUSTAVO A. MADERO                                                               "</f>
        <v xml:space="preserve">GUSTAVO A. MADERO                                                               </v>
      </c>
      <c r="H900" s="26" t="str">
        <f>"227"</f>
        <v>227</v>
      </c>
      <c r="I900" s="26" t="str">
        <f t="shared" si="142"/>
        <v>00</v>
      </c>
      <c r="J900" s="26" t="str">
        <f>"32 "</f>
        <v xml:space="preserve">32 </v>
      </c>
      <c r="K900" s="26" t="str">
        <f t="shared" si="139"/>
        <v>EP</v>
      </c>
      <c r="L900" s="26" t="str">
        <f t="shared" si="140"/>
        <v>DGOSE</v>
      </c>
      <c r="M900" s="26" t="str">
        <f t="shared" si="143"/>
        <v>FEDERAL</v>
      </c>
      <c r="N900" s="26">
        <v>220</v>
      </c>
      <c r="O900" s="26">
        <v>117</v>
      </c>
      <c r="P900" s="26">
        <v>103</v>
      </c>
      <c r="Q900" s="26">
        <v>7</v>
      </c>
      <c r="R900" s="26">
        <v>1</v>
      </c>
      <c r="S900" s="26">
        <v>7</v>
      </c>
      <c r="T900" s="26">
        <v>4</v>
      </c>
      <c r="U900" s="26">
        <v>12</v>
      </c>
      <c r="V900" s="26">
        <v>1</v>
      </c>
      <c r="W900" s="26"/>
    </row>
    <row r="901" spans="1:23" x14ac:dyDescent="0.25">
      <c r="A901" s="26" t="str">
        <f t="shared" si="141"/>
        <v>PREESCOLAR</v>
      </c>
      <c r="B901" s="26" t="str">
        <f>"09DJN1200C"</f>
        <v>09DJN1200C</v>
      </c>
      <c r="C901" s="26" t="str">
        <f>"CARMEN RAMOS DEL RIO                                                                                "</f>
        <v xml:space="preserve">CARMEN RAMOS DEL RIO                                                                                </v>
      </c>
      <c r="D901" s="26" t="str">
        <f>"MATUTINO"</f>
        <v>MATUTINO</v>
      </c>
      <c r="E901" s="26" t="str">
        <f>"SUR 20 Y ORIENTE 255 S/N                                                        "</f>
        <v xml:space="preserve">SUR 20 Y ORIENTE 255 S/N                                                        </v>
      </c>
      <c r="F901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901" s="26" t="str">
        <f>"IZTACALCO                                                                       "</f>
        <v xml:space="preserve">IZTACALCO                                                                       </v>
      </c>
      <c r="H901" s="26" t="str">
        <f>"143"</f>
        <v>143</v>
      </c>
      <c r="I901" s="26" t="str">
        <f t="shared" si="142"/>
        <v>00</v>
      </c>
      <c r="J901" s="26" t="str">
        <f>"33 "</f>
        <v xml:space="preserve">33 </v>
      </c>
      <c r="K901" s="26" t="str">
        <f t="shared" si="139"/>
        <v>EP</v>
      </c>
      <c r="L901" s="26" t="str">
        <f t="shared" si="140"/>
        <v>DGOSE</v>
      </c>
      <c r="M901" s="26" t="str">
        <f t="shared" si="143"/>
        <v>FEDERAL</v>
      </c>
      <c r="N901" s="26">
        <v>304</v>
      </c>
      <c r="O901" s="26">
        <v>151</v>
      </c>
      <c r="P901" s="26">
        <v>153</v>
      </c>
      <c r="Q901" s="26">
        <v>9</v>
      </c>
      <c r="R901" s="26">
        <v>1</v>
      </c>
      <c r="S901" s="26">
        <v>9</v>
      </c>
      <c r="T901" s="26">
        <v>6</v>
      </c>
      <c r="U901" s="26">
        <v>16</v>
      </c>
      <c r="V901" s="26">
        <v>1</v>
      </c>
      <c r="W901" s="26"/>
    </row>
    <row r="902" spans="1:23" x14ac:dyDescent="0.25">
      <c r="A902" s="26" t="str">
        <f t="shared" si="141"/>
        <v>PREESCOLAR</v>
      </c>
      <c r="B902" s="26" t="str">
        <f>"09DJN1202A"</f>
        <v>09DJN1202A</v>
      </c>
      <c r="C902" s="26" t="str">
        <f>"ITZURI                                                                                              "</f>
        <v xml:space="preserve">ITZURI                                                                                              </v>
      </c>
      <c r="D902" s="26" t="str">
        <f>"VESPERTINO"</f>
        <v>VESPERTINO</v>
      </c>
      <c r="E902" s="26" t="str">
        <f>"FRANCISCO JAVIER MINA ESQ. MATAMOROS S/N                                        "</f>
        <v xml:space="preserve">FRANCISCO JAVIER MINA ESQ. MATAMOROS S/N                                        </v>
      </c>
      <c r="F902" s="26" t="str">
        <f>"SANTA CRUZ MEYEHUALCO                                                                                                                       "</f>
        <v xml:space="preserve">SANTA CRUZ MEYEHUALCO                                                                                                                       </v>
      </c>
      <c r="G902" s="26" t="str">
        <f>"IZTAPALAPA                                                                      "</f>
        <v xml:space="preserve">IZTAPALAPA                                                                      </v>
      </c>
      <c r="H902" s="26" t="str">
        <f>"034"</f>
        <v>034</v>
      </c>
      <c r="I902" s="26" t="str">
        <f t="shared" si="142"/>
        <v>00</v>
      </c>
      <c r="J902" s="26" t="str">
        <f>"64 "</f>
        <v xml:space="preserve">64 </v>
      </c>
      <c r="K902" s="26" t="str">
        <f>"IZ"</f>
        <v>IZ</v>
      </c>
      <c r="L902" s="26" t="str">
        <f>"DGSEI"</f>
        <v>DGSEI</v>
      </c>
      <c r="M902" s="26" t="str">
        <f t="shared" si="143"/>
        <v>FEDERAL</v>
      </c>
      <c r="N902" s="26">
        <v>156</v>
      </c>
      <c r="O902" s="26">
        <v>76</v>
      </c>
      <c r="P902" s="26">
        <v>80</v>
      </c>
      <c r="Q902" s="26">
        <v>4</v>
      </c>
      <c r="R902" s="26">
        <v>1</v>
      </c>
      <c r="S902" s="26">
        <v>4</v>
      </c>
      <c r="T902" s="26">
        <v>2</v>
      </c>
      <c r="U902" s="26">
        <v>7</v>
      </c>
      <c r="V902" s="26">
        <v>1</v>
      </c>
      <c r="W902" s="26"/>
    </row>
    <row r="903" spans="1:23" x14ac:dyDescent="0.25">
      <c r="A903" s="26" t="str">
        <f t="shared" si="141"/>
        <v>PREESCOLAR</v>
      </c>
      <c r="B903" s="26" t="str">
        <f>"09DJN1203Z"</f>
        <v>09DJN1203Z</v>
      </c>
      <c r="C903" s="26" t="str">
        <f>"TLAYOLTZIN                                                                                          "</f>
        <v xml:space="preserve">TLAYOLTZIN                                                                                          </v>
      </c>
      <c r="D903" s="26" t="str">
        <f>"VESPERTINO"</f>
        <v>VESPERTINO</v>
      </c>
      <c r="E903" s="26" t="str">
        <f>"RIO COATZACOALCOS Y PERIFERICO S/N                                              "</f>
        <v xml:space="preserve">RIO COATZACOALCOS Y PERIFERICO S/N                                              </v>
      </c>
      <c r="F903" s="26" t="str">
        <f>"PUENTE BLANCO                                                                                                                               "</f>
        <v xml:space="preserve">PUENTE BLANCO                                                                                                                               </v>
      </c>
      <c r="G903" s="26" t="str">
        <f>"IZTAPALAPA                                                                      "</f>
        <v xml:space="preserve">IZTAPALAPA                                                                      </v>
      </c>
      <c r="H903" s="26" t="str">
        <f>"030"</f>
        <v>030</v>
      </c>
      <c r="I903" s="26" t="str">
        <f t="shared" si="142"/>
        <v>00</v>
      </c>
      <c r="J903" s="26" t="str">
        <f>"64 "</f>
        <v xml:space="preserve">64 </v>
      </c>
      <c r="K903" s="26" t="str">
        <f>"IZ"</f>
        <v>IZ</v>
      </c>
      <c r="L903" s="26" t="str">
        <f>"DGSEI"</f>
        <v>DGSEI</v>
      </c>
      <c r="M903" s="26" t="str">
        <f t="shared" si="143"/>
        <v>FEDERAL</v>
      </c>
      <c r="N903" s="26">
        <v>102</v>
      </c>
      <c r="O903" s="26">
        <v>42</v>
      </c>
      <c r="P903" s="26">
        <v>60</v>
      </c>
      <c r="Q903" s="26">
        <v>3</v>
      </c>
      <c r="R903" s="26">
        <v>1</v>
      </c>
      <c r="S903" s="26">
        <v>3</v>
      </c>
      <c r="T903" s="26">
        <v>2</v>
      </c>
      <c r="U903" s="26">
        <v>6</v>
      </c>
      <c r="V903" s="26">
        <v>1</v>
      </c>
      <c r="W903" s="26"/>
    </row>
    <row r="904" spans="1:23" x14ac:dyDescent="0.25">
      <c r="A904" s="26" t="str">
        <f t="shared" si="141"/>
        <v>PREESCOLAR</v>
      </c>
      <c r="B904" s="26" t="str">
        <f>"09DJN1204Z"</f>
        <v>09DJN1204Z</v>
      </c>
      <c r="C904" s="26" t="str">
        <f>"PUNTLI                                                                                              "</f>
        <v xml:space="preserve">PUNTLI                                                                                              </v>
      </c>
      <c r="D904" s="26" t="str">
        <f>"JORNADA AMPLIADA"</f>
        <v>JORNADA AMPLIADA</v>
      </c>
      <c r="E904" s="26" t="str">
        <f>"U.INF. LORETO Y PEÑA POBRE                                                      "</f>
        <v xml:space="preserve">U.INF. LORETO Y PEÑA POBRE                                                      </v>
      </c>
      <c r="F904" s="26" t="str">
        <f>"SAN LUCAS XOCHIMANCA                                                                                                                        "</f>
        <v xml:space="preserve">SAN LUCAS XOCHIMANCA                                                                                                                        </v>
      </c>
      <c r="G904" s="26" t="str">
        <f>"XOCHIMILCO                                                                      "</f>
        <v xml:space="preserve">XOCHIMILCO                                                                      </v>
      </c>
      <c r="H904" s="26" t="str">
        <f>"158"</f>
        <v>158</v>
      </c>
      <c r="I904" s="26" t="str">
        <f t="shared" si="142"/>
        <v>00</v>
      </c>
      <c r="J904" s="26" t="str">
        <f>"34 "</f>
        <v xml:space="preserve">34 </v>
      </c>
      <c r="K904" s="26" t="str">
        <f t="shared" ref="K904:K920" si="144">"EP"</f>
        <v>EP</v>
      </c>
      <c r="L904" s="26" t="str">
        <f t="shared" ref="L904:L920" si="145">"DGOSE"</f>
        <v>DGOSE</v>
      </c>
      <c r="M904" s="26" t="str">
        <f t="shared" si="143"/>
        <v>FEDERAL</v>
      </c>
      <c r="N904" s="26">
        <v>185</v>
      </c>
      <c r="O904" s="26">
        <v>105</v>
      </c>
      <c r="P904" s="26">
        <v>80</v>
      </c>
      <c r="Q904" s="26">
        <v>5</v>
      </c>
      <c r="R904" s="26">
        <v>1</v>
      </c>
      <c r="S904" s="26">
        <v>4</v>
      </c>
      <c r="T904" s="26">
        <v>3</v>
      </c>
      <c r="U904" s="26">
        <v>8</v>
      </c>
      <c r="V904" s="26">
        <v>1</v>
      </c>
      <c r="W904" s="26" t="s">
        <v>2076</v>
      </c>
    </row>
    <row r="905" spans="1:23" x14ac:dyDescent="0.25">
      <c r="A905" s="26" t="str">
        <f t="shared" si="141"/>
        <v>PREESCOLAR</v>
      </c>
      <c r="B905" s="26" t="str">
        <f>"09DJN1206X"</f>
        <v>09DJN1206X</v>
      </c>
      <c r="C905" s="26" t="str">
        <f>"CITLALI                                                                                             "</f>
        <v xml:space="preserve">CITLALI                                                                                             </v>
      </c>
      <c r="D905" s="26" t="str">
        <f>"VESPERTINO"</f>
        <v>VESPERTINO</v>
      </c>
      <c r="E905" s="26" t="str">
        <f>"AV. TLAHUAC KM. 22.5                                                            "</f>
        <v xml:space="preserve">AV. TLAHUAC KM. 22.5                                                            </v>
      </c>
      <c r="F905" s="26" t="str">
        <f>"SANTIAGO ZAPOTITLAN                                                                                                                         "</f>
        <v xml:space="preserve">SANTIAGO ZAPOTITLAN                                                                                                                         </v>
      </c>
      <c r="G905" s="26" t="str">
        <f>"TLAHUAC                                                                         "</f>
        <v xml:space="preserve">TLAHUAC                                                                         </v>
      </c>
      <c r="H905" s="26" t="str">
        <f>"242"</f>
        <v>242</v>
      </c>
      <c r="I905" s="26" t="str">
        <f t="shared" si="142"/>
        <v>00</v>
      </c>
      <c r="J905" s="26" t="str">
        <f>"35 "</f>
        <v xml:space="preserve">35 </v>
      </c>
      <c r="K905" s="26" t="str">
        <f t="shared" si="144"/>
        <v>EP</v>
      </c>
      <c r="L905" s="26" t="str">
        <f t="shared" si="145"/>
        <v>DGOSE</v>
      </c>
      <c r="M905" s="26" t="str">
        <f t="shared" si="143"/>
        <v>FEDERAL</v>
      </c>
      <c r="N905" s="26">
        <v>193</v>
      </c>
      <c r="O905" s="26">
        <v>86</v>
      </c>
      <c r="P905" s="26">
        <v>107</v>
      </c>
      <c r="Q905" s="26">
        <v>6</v>
      </c>
      <c r="R905" s="26">
        <v>0</v>
      </c>
      <c r="S905" s="26">
        <v>6</v>
      </c>
      <c r="T905" s="26">
        <v>10</v>
      </c>
      <c r="U905" s="26">
        <v>16</v>
      </c>
      <c r="V905" s="26">
        <v>1</v>
      </c>
      <c r="W905" s="26"/>
    </row>
    <row r="906" spans="1:23" x14ac:dyDescent="0.25">
      <c r="A906" s="26" t="str">
        <f t="shared" si="141"/>
        <v>PREESCOLAR</v>
      </c>
      <c r="B906" s="26" t="str">
        <f>"09DJN1207W"</f>
        <v>09DJN1207W</v>
      </c>
      <c r="C906" s="26" t="str">
        <f>"TOPILLI                                                                                             "</f>
        <v xml:space="preserve">TOPILLI                                                                                             </v>
      </c>
      <c r="D906" s="26" t="str">
        <f>"VESPERTINO"</f>
        <v>VESPERTINO</v>
      </c>
      <c r="E906" s="26" t="str">
        <f>"CALLE SANTA CRUZ NO. 33                                                         "</f>
        <v xml:space="preserve">CALLE SANTA CRUZ NO. 33                                                         </v>
      </c>
      <c r="F906" s="26" t="str">
        <f>"SAN MIGUEL TOPILEJO                                                                                                                         "</f>
        <v xml:space="preserve">SAN MIGUEL TOPILEJO                                                                                                                         </v>
      </c>
      <c r="G906" s="26" t="str">
        <f>"TLALPAN                                                                         "</f>
        <v xml:space="preserve">TLALPAN                                                                         </v>
      </c>
      <c r="H906" s="26" t="str">
        <f>"062"</f>
        <v>062</v>
      </c>
      <c r="I906" s="26" t="str">
        <f t="shared" si="142"/>
        <v>00</v>
      </c>
      <c r="J906" s="26" t="str">
        <f>"35 "</f>
        <v xml:space="preserve">35 </v>
      </c>
      <c r="K906" s="26" t="str">
        <f t="shared" si="144"/>
        <v>EP</v>
      </c>
      <c r="L906" s="26" t="str">
        <f t="shared" si="145"/>
        <v>DGOSE</v>
      </c>
      <c r="M906" s="26" t="str">
        <f t="shared" si="143"/>
        <v>FEDERAL</v>
      </c>
      <c r="N906" s="26">
        <v>300</v>
      </c>
      <c r="O906" s="26">
        <v>146</v>
      </c>
      <c r="P906" s="26">
        <v>154</v>
      </c>
      <c r="Q906" s="26">
        <v>8</v>
      </c>
      <c r="R906" s="26">
        <v>1</v>
      </c>
      <c r="S906" s="26">
        <v>8</v>
      </c>
      <c r="T906" s="26">
        <v>8</v>
      </c>
      <c r="U906" s="26">
        <v>17</v>
      </c>
      <c r="V906" s="26">
        <v>1</v>
      </c>
      <c r="W906" s="26"/>
    </row>
    <row r="907" spans="1:23" x14ac:dyDescent="0.25">
      <c r="A907" s="26" t="str">
        <f t="shared" si="141"/>
        <v>PREESCOLAR</v>
      </c>
      <c r="B907" s="26" t="str">
        <f>"09DJN1208V"</f>
        <v>09DJN1208V</v>
      </c>
      <c r="C907" s="26" t="str">
        <f>"ESTADO DE TAMAULIPAS                                                                                "</f>
        <v xml:space="preserve">ESTADO DE TAMAULIPAS                                                                                </v>
      </c>
      <c r="D907" s="26" t="str">
        <f>"JORNADA AMPLIADA"</f>
        <v>JORNADA AMPLIADA</v>
      </c>
      <c r="E907" s="26" t="str">
        <f>"SIERRA SAN PEDRO S/N                                                            "</f>
        <v xml:space="preserve">SIERRA SAN PEDRO S/N                                                            </v>
      </c>
      <c r="F907" s="26" t="str">
        <f>"TLALMILLI                                                                                                                                   "</f>
        <v xml:space="preserve">TLALMILLI                                                                                                                                   </v>
      </c>
      <c r="G907" s="26" t="str">
        <f>"TLALPAN                                                                         "</f>
        <v xml:space="preserve">TLALPAN                                                                         </v>
      </c>
      <c r="H907" s="26" t="str">
        <f>"229"</f>
        <v>229</v>
      </c>
      <c r="I907" s="26" t="str">
        <f t="shared" si="142"/>
        <v>00</v>
      </c>
      <c r="J907" s="26" t="str">
        <f>"34 "</f>
        <v xml:space="preserve">34 </v>
      </c>
      <c r="K907" s="26" t="str">
        <f t="shared" si="144"/>
        <v>EP</v>
      </c>
      <c r="L907" s="26" t="str">
        <f t="shared" si="145"/>
        <v>DGOSE</v>
      </c>
      <c r="M907" s="26" t="str">
        <f t="shared" si="143"/>
        <v>FEDERAL</v>
      </c>
      <c r="N907" s="26">
        <v>167</v>
      </c>
      <c r="O907" s="26">
        <v>83</v>
      </c>
      <c r="P907" s="26">
        <v>84</v>
      </c>
      <c r="Q907" s="26">
        <v>5</v>
      </c>
      <c r="R907" s="26">
        <v>1</v>
      </c>
      <c r="S907" s="26">
        <v>5</v>
      </c>
      <c r="T907" s="26">
        <v>6</v>
      </c>
      <c r="U907" s="26">
        <v>12</v>
      </c>
      <c r="V907" s="26">
        <v>1</v>
      </c>
      <c r="W907" s="26" t="s">
        <v>2076</v>
      </c>
    </row>
    <row r="908" spans="1:23" x14ac:dyDescent="0.25">
      <c r="A908" s="26" t="str">
        <f t="shared" si="141"/>
        <v>PREESCOLAR</v>
      </c>
      <c r="B908" s="26" t="str">
        <f>"09DJN1209U"</f>
        <v>09DJN1209U</v>
      </c>
      <c r="C908" s="26" t="str">
        <f>"MAGDALENA CONTRERAS MILLAN                                                                          "</f>
        <v xml:space="preserve">MAGDALENA CONTRERAS MILLAN                                                                          </v>
      </c>
      <c r="D908" s="26" t="str">
        <f>"VESPERTINO"</f>
        <v>VESPERTINO</v>
      </c>
      <c r="E908" s="26" t="str">
        <f>"ENSEÑANZA S/N                                                                   "</f>
        <v xml:space="preserve">ENSEÑANZA S/N                                                                   </v>
      </c>
      <c r="F908" s="26" t="str">
        <f>"SAN PEDRO MARTIR                                                                                                                            "</f>
        <v xml:space="preserve">SAN PEDRO MARTIR                                                                                                                            </v>
      </c>
      <c r="G908" s="26" t="str">
        <f>"TLALPAN                                                                         "</f>
        <v xml:space="preserve">TLALPAN                                                                         </v>
      </c>
      <c r="H908" s="26" t="str">
        <f>"132"</f>
        <v>132</v>
      </c>
      <c r="I908" s="26" t="str">
        <f t="shared" si="142"/>
        <v>00</v>
      </c>
      <c r="J908" s="26" t="str">
        <f>"35 "</f>
        <v xml:space="preserve">35 </v>
      </c>
      <c r="K908" s="26" t="str">
        <f t="shared" si="144"/>
        <v>EP</v>
      </c>
      <c r="L908" s="26" t="str">
        <f t="shared" si="145"/>
        <v>DGOSE</v>
      </c>
      <c r="M908" s="26" t="str">
        <f t="shared" si="143"/>
        <v>FEDERAL</v>
      </c>
      <c r="N908" s="26">
        <v>180</v>
      </c>
      <c r="O908" s="26">
        <v>94</v>
      </c>
      <c r="P908" s="26">
        <v>86</v>
      </c>
      <c r="Q908" s="26">
        <v>5</v>
      </c>
      <c r="R908" s="26">
        <v>1</v>
      </c>
      <c r="S908" s="26">
        <v>5</v>
      </c>
      <c r="T908" s="26">
        <v>4</v>
      </c>
      <c r="U908" s="26">
        <v>10</v>
      </c>
      <c r="V908" s="26">
        <v>1</v>
      </c>
      <c r="W908" s="26"/>
    </row>
    <row r="909" spans="1:23" x14ac:dyDescent="0.25">
      <c r="A909" s="26" t="str">
        <f t="shared" si="141"/>
        <v>PREESCOLAR</v>
      </c>
      <c r="B909" s="26" t="str">
        <f>"09DJN1210J"</f>
        <v>09DJN1210J</v>
      </c>
      <c r="C909" s="26" t="str">
        <f>"CELIC                                                                                               "</f>
        <v xml:space="preserve">CELIC                                                                                               </v>
      </c>
      <c r="D909" s="26" t="str">
        <f>"VESPERTINO"</f>
        <v>VESPERTINO</v>
      </c>
      <c r="E909" s="26" t="str">
        <f>"PISTE E IZAMAL S/N                                                              "</f>
        <v xml:space="preserve">PISTE E IZAMAL S/N                                                              </v>
      </c>
      <c r="F909" s="26" t="str">
        <f>"LOMAS DE PADIERNA                                                                                                                           "</f>
        <v xml:space="preserve">LOMAS DE PADIERNA                                                                                                                           </v>
      </c>
      <c r="G909" s="26" t="str">
        <f>"TLALPAN                                                                         "</f>
        <v xml:space="preserve">TLALPAN                                                                         </v>
      </c>
      <c r="H909" s="26" t="str">
        <f>"147"</f>
        <v>147</v>
      </c>
      <c r="I909" s="26" t="str">
        <f t="shared" si="142"/>
        <v>00</v>
      </c>
      <c r="J909" s="26" t="str">
        <f>"35 "</f>
        <v xml:space="preserve">35 </v>
      </c>
      <c r="K909" s="26" t="str">
        <f t="shared" si="144"/>
        <v>EP</v>
      </c>
      <c r="L909" s="26" t="str">
        <f t="shared" si="145"/>
        <v>DGOSE</v>
      </c>
      <c r="M909" s="26" t="str">
        <f t="shared" si="143"/>
        <v>FEDERAL</v>
      </c>
      <c r="N909" s="26">
        <v>110</v>
      </c>
      <c r="O909" s="26">
        <v>57</v>
      </c>
      <c r="P909" s="26">
        <v>53</v>
      </c>
      <c r="Q909" s="26">
        <v>4</v>
      </c>
      <c r="R909" s="26">
        <v>1</v>
      </c>
      <c r="S909" s="26">
        <v>4</v>
      </c>
      <c r="T909" s="26">
        <v>3</v>
      </c>
      <c r="U909" s="26">
        <v>8</v>
      </c>
      <c r="V909" s="26">
        <v>1</v>
      </c>
      <c r="W909" s="26"/>
    </row>
    <row r="910" spans="1:23" x14ac:dyDescent="0.25">
      <c r="A910" s="26" t="str">
        <f t="shared" si="141"/>
        <v>PREESCOLAR</v>
      </c>
      <c r="B910" s="26" t="str">
        <f>"09DJN1212H"</f>
        <v>09DJN1212H</v>
      </c>
      <c r="C910" s="26" t="str">
        <f>"IGNACIO RAMIREZ                                                                                     "</f>
        <v xml:space="preserve">IGNACIO RAMIREZ                                                                                     </v>
      </c>
      <c r="D910" s="26" t="str">
        <f>"VESPERTINO"</f>
        <v>VESPERTINO</v>
      </c>
      <c r="E910" s="26" t="str">
        <f>"HERMENEGILDO GALEANA NO. 11                                                     "</f>
        <v xml:space="preserve">HERMENEGILDO GALEANA NO. 11                                                     </v>
      </c>
      <c r="F910" s="26" t="str">
        <f>"XOCHIMILCO                                                                                                                                  "</f>
        <v xml:space="preserve">XOCHIMILCO                                                                                                                                  </v>
      </c>
      <c r="G910" s="26" t="str">
        <f>"XOCHIMILCO                                                                      "</f>
        <v xml:space="preserve">XOCHIMILCO                                                                      </v>
      </c>
      <c r="H910" s="26" t="str">
        <f>"053"</f>
        <v>053</v>
      </c>
      <c r="I910" s="26" t="str">
        <f t="shared" si="142"/>
        <v>00</v>
      </c>
      <c r="J910" s="26" t="str">
        <f>"35 "</f>
        <v xml:space="preserve">35 </v>
      </c>
      <c r="K910" s="26" t="str">
        <f t="shared" si="144"/>
        <v>EP</v>
      </c>
      <c r="L910" s="26" t="str">
        <f t="shared" si="145"/>
        <v>DGOSE</v>
      </c>
      <c r="M910" s="26" t="str">
        <f t="shared" si="143"/>
        <v>FEDERAL</v>
      </c>
      <c r="N910" s="26">
        <v>233</v>
      </c>
      <c r="O910" s="26">
        <v>109</v>
      </c>
      <c r="P910" s="26">
        <v>124</v>
      </c>
      <c r="Q910" s="26">
        <v>7</v>
      </c>
      <c r="R910" s="26">
        <v>1</v>
      </c>
      <c r="S910" s="26">
        <v>7</v>
      </c>
      <c r="T910" s="26">
        <v>4</v>
      </c>
      <c r="U910" s="26">
        <v>12</v>
      </c>
      <c r="V910" s="26">
        <v>1</v>
      </c>
      <c r="W910" s="26"/>
    </row>
    <row r="911" spans="1:23" x14ac:dyDescent="0.25">
      <c r="A911" s="26" t="str">
        <f t="shared" si="141"/>
        <v>PREESCOLAR</v>
      </c>
      <c r="B911" s="26" t="str">
        <f>"09DJN1213G"</f>
        <v>09DJN1213G</v>
      </c>
      <c r="C911" s="26" t="str">
        <f>"JOSE MARTI                                                                                          "</f>
        <v xml:space="preserve">JOSE MARTI                                                                                          </v>
      </c>
      <c r="D911" s="26" t="str">
        <f>"VESPERTINO"</f>
        <v>VESPERTINO</v>
      </c>
      <c r="E911" s="26" t="str">
        <f>"AV. SANTIAGO S/N                                                                "</f>
        <v xml:space="preserve">AV. SANTIAGO S/N                                                                </v>
      </c>
      <c r="F911" s="26" t="str">
        <f>"SANTA CRUZ XOCHITEPEC                                                                                                                       "</f>
        <v xml:space="preserve">SANTA CRUZ XOCHITEPEC                                                                                                                       </v>
      </c>
      <c r="G911" s="26" t="str">
        <f>"XOCHIMILCO                                                                      "</f>
        <v xml:space="preserve">XOCHIMILCO                                                                      </v>
      </c>
      <c r="H911" s="26" t="str">
        <f>"172"</f>
        <v>172</v>
      </c>
      <c r="I911" s="26" t="str">
        <f t="shared" si="142"/>
        <v>00</v>
      </c>
      <c r="J911" s="26" t="str">
        <f>"35 "</f>
        <v xml:space="preserve">35 </v>
      </c>
      <c r="K911" s="26" t="str">
        <f t="shared" si="144"/>
        <v>EP</v>
      </c>
      <c r="L911" s="26" t="str">
        <f t="shared" si="145"/>
        <v>DGOSE</v>
      </c>
      <c r="M911" s="26" t="str">
        <f t="shared" si="143"/>
        <v>FEDERAL</v>
      </c>
      <c r="N911" s="26">
        <v>106</v>
      </c>
      <c r="O911" s="26">
        <v>57</v>
      </c>
      <c r="P911" s="26">
        <v>49</v>
      </c>
      <c r="Q911" s="26">
        <v>4</v>
      </c>
      <c r="R911" s="26">
        <v>1</v>
      </c>
      <c r="S911" s="26">
        <v>3</v>
      </c>
      <c r="T911" s="26">
        <v>3</v>
      </c>
      <c r="U911" s="26">
        <v>7</v>
      </c>
      <c r="V911" s="26">
        <v>1</v>
      </c>
      <c r="W911" s="26"/>
    </row>
    <row r="912" spans="1:23" x14ac:dyDescent="0.25">
      <c r="A912" s="26" t="str">
        <f t="shared" si="141"/>
        <v>PREESCOLAR</v>
      </c>
      <c r="B912" s="26" t="str">
        <f>"09DJN1215E"</f>
        <v>09DJN1215E</v>
      </c>
      <c r="C912" s="26" t="str">
        <f>"CLUB ROTARIO LA VILLA                                                                               "</f>
        <v xml:space="preserve">CLUB ROTARIO LA VILLA                                                                               </v>
      </c>
      <c r="D912" s="26" t="str">
        <f>"JORNADA AMPLIADA"</f>
        <v>JORNADA AMPLIADA</v>
      </c>
      <c r="E912" s="26" t="str">
        <f>"AV. HUASCARAN Y MIRADOR                                                         "</f>
        <v xml:space="preserve">AV. HUASCARAN Y MIRADOR                                                         </v>
      </c>
      <c r="F912" s="26" t="str">
        <f>"VISTA HERMOSA                                                                                                                               "</f>
        <v xml:space="preserve">VISTA HERMOSA                                                                                                                               </v>
      </c>
      <c r="G912" s="26" t="str">
        <f>"GUSTAVO A. MADERO                                                               "</f>
        <v xml:space="preserve">GUSTAVO A. MADERO                                                               </v>
      </c>
      <c r="H912" s="26" t="str">
        <f>"004"</f>
        <v>004</v>
      </c>
      <c r="I912" s="26" t="str">
        <f t="shared" si="142"/>
        <v>00</v>
      </c>
      <c r="J912" s="26" t="str">
        <f>"31 "</f>
        <v xml:space="preserve">31 </v>
      </c>
      <c r="K912" s="26" t="str">
        <f t="shared" si="144"/>
        <v>EP</v>
      </c>
      <c r="L912" s="26" t="str">
        <f t="shared" si="145"/>
        <v>DGOSE</v>
      </c>
      <c r="M912" s="26" t="str">
        <f t="shared" si="143"/>
        <v>FEDERAL</v>
      </c>
      <c r="N912" s="26">
        <v>119</v>
      </c>
      <c r="O912" s="26">
        <v>62</v>
      </c>
      <c r="P912" s="26">
        <v>57</v>
      </c>
      <c r="Q912" s="26">
        <v>4</v>
      </c>
      <c r="R912" s="26">
        <v>1</v>
      </c>
      <c r="S912" s="26">
        <v>4</v>
      </c>
      <c r="T912" s="26">
        <v>7</v>
      </c>
      <c r="U912" s="26">
        <v>12</v>
      </c>
      <c r="V912" s="26">
        <v>1</v>
      </c>
      <c r="W912" s="26" t="s">
        <v>2076</v>
      </c>
    </row>
    <row r="913" spans="1:23" x14ac:dyDescent="0.25">
      <c r="A913" s="26" t="str">
        <f t="shared" si="141"/>
        <v>PREESCOLAR</v>
      </c>
      <c r="B913" s="26" t="str">
        <f>"09DJN1216D"</f>
        <v>09DJN1216D</v>
      </c>
      <c r="C913" s="26" t="str">
        <f>"SUSAN BLUW GRIMSLY                                                                                  "</f>
        <v xml:space="preserve">SUSAN BLUW GRIMSLY                                                                                  </v>
      </c>
      <c r="D913" s="26" t="str">
        <f>"VESPERTINO"</f>
        <v>VESPERTINO</v>
      </c>
      <c r="E913" s="26" t="str">
        <f>"CALLE UNO NO. 181                                                               "</f>
        <v xml:space="preserve">CALLE UNO NO. 181                                                               </v>
      </c>
      <c r="F913" s="26" t="str">
        <f>"AGRICOLA PANTITLAN                                                                                                                          "</f>
        <v xml:space="preserve">AGRICOLA PANTITLAN                                                                                                                          </v>
      </c>
      <c r="G913" s="26" t="str">
        <f>"IZTACALCO                                                                       "</f>
        <v xml:space="preserve">IZTACALCO                                                                       </v>
      </c>
      <c r="H913" s="26" t="str">
        <f>"240"</f>
        <v>240</v>
      </c>
      <c r="I913" s="26" t="str">
        <f t="shared" si="142"/>
        <v>00</v>
      </c>
      <c r="J913" s="26" t="str">
        <f>"33 "</f>
        <v xml:space="preserve">33 </v>
      </c>
      <c r="K913" s="26" t="str">
        <f t="shared" si="144"/>
        <v>EP</v>
      </c>
      <c r="L913" s="26" t="str">
        <f t="shared" si="145"/>
        <v>DGOSE</v>
      </c>
      <c r="M913" s="26" t="str">
        <f t="shared" si="143"/>
        <v>FEDERAL</v>
      </c>
      <c r="N913" s="26">
        <v>105</v>
      </c>
      <c r="O913" s="26">
        <v>55</v>
      </c>
      <c r="P913" s="26">
        <v>50</v>
      </c>
      <c r="Q913" s="26">
        <v>4</v>
      </c>
      <c r="R913" s="26">
        <v>1</v>
      </c>
      <c r="S913" s="26">
        <v>4</v>
      </c>
      <c r="T913" s="26">
        <v>4</v>
      </c>
      <c r="U913" s="26">
        <v>9</v>
      </c>
      <c r="V913" s="26">
        <v>1</v>
      </c>
      <c r="W913" s="26"/>
    </row>
    <row r="914" spans="1:23" x14ac:dyDescent="0.25">
      <c r="A914" s="26" t="str">
        <f t="shared" si="141"/>
        <v>PREESCOLAR</v>
      </c>
      <c r="B914" s="26" t="str">
        <f>"09DJN1219A"</f>
        <v>09DJN1219A</v>
      </c>
      <c r="C914" s="26" t="str">
        <f>"LIC. JESUS REYES HEROLES                                                                            "</f>
        <v xml:space="preserve">LIC. JESUS REYES HEROLES                                                                            </v>
      </c>
      <c r="D914" s="26" t="str">
        <f>"VESPERTINO"</f>
        <v>VESPERTINO</v>
      </c>
      <c r="E914" s="26" t="str">
        <f>"GITANA S/N ENTRE LAGO CUITZEO Y AV.TURBA                                        "</f>
        <v xml:space="preserve">GITANA S/N ENTRE LAGO CUITZEO Y AV.TURBA                                        </v>
      </c>
      <c r="F914" s="26" t="str">
        <f>"DEL MAR                                                                                                                                     "</f>
        <v xml:space="preserve">DEL MAR                                                                                                                                     </v>
      </c>
      <c r="G914" s="26" t="str">
        <f>"TLAHUAC                                                                         "</f>
        <v xml:space="preserve">TLAHUAC                                                                         </v>
      </c>
      <c r="H914" s="26" t="str">
        <f>"124"</f>
        <v>124</v>
      </c>
      <c r="I914" s="26" t="str">
        <f t="shared" si="142"/>
        <v>00</v>
      </c>
      <c r="J914" s="26" t="str">
        <f>"35 "</f>
        <v xml:space="preserve">35 </v>
      </c>
      <c r="K914" s="26" t="str">
        <f t="shared" si="144"/>
        <v>EP</v>
      </c>
      <c r="L914" s="26" t="str">
        <f t="shared" si="145"/>
        <v>DGOSE</v>
      </c>
      <c r="M914" s="26" t="str">
        <f t="shared" si="143"/>
        <v>FEDERAL</v>
      </c>
      <c r="N914" s="26">
        <v>162</v>
      </c>
      <c r="O914" s="26">
        <v>74</v>
      </c>
      <c r="P914" s="26">
        <v>88</v>
      </c>
      <c r="Q914" s="26">
        <v>5</v>
      </c>
      <c r="R914" s="26">
        <v>1</v>
      </c>
      <c r="S914" s="26">
        <v>5</v>
      </c>
      <c r="T914" s="26">
        <v>8</v>
      </c>
      <c r="U914" s="26">
        <v>14</v>
      </c>
      <c r="V914" s="26">
        <v>1</v>
      </c>
      <c r="W914" s="26"/>
    </row>
    <row r="915" spans="1:23" x14ac:dyDescent="0.25">
      <c r="A915" s="26" t="str">
        <f t="shared" si="141"/>
        <v>PREESCOLAR</v>
      </c>
      <c r="B915" s="26" t="str">
        <f>"09DJN1220Q"</f>
        <v>09DJN1220Q</v>
      </c>
      <c r="C915" s="26" t="str">
        <f>"NEZCALTILOYAN                                                                                       "</f>
        <v xml:space="preserve">NEZCALTILOYAN                                                                                       </v>
      </c>
      <c r="D915" s="26" t="str">
        <f>"MATUTINO"</f>
        <v>MATUTINO</v>
      </c>
      <c r="E915" s="26" t="str">
        <f>"PROLONG. BEKAL Y VENUNCIA                                                       "</f>
        <v xml:space="preserve">PROLONG. BEKAL Y VENUNCIA                                                       </v>
      </c>
      <c r="F915" s="26" t="str">
        <f>"BELVEDERE                                                                                                                                   "</f>
        <v xml:space="preserve">BELVEDERE                                                                                                                                   </v>
      </c>
      <c r="G915" s="26" t="str">
        <f>"TLALPAN                                                                         "</f>
        <v xml:space="preserve">TLALPAN                                                                         </v>
      </c>
      <c r="H915" s="26" t="str">
        <f>"146"</f>
        <v>146</v>
      </c>
      <c r="I915" s="26" t="str">
        <f t="shared" si="142"/>
        <v>00</v>
      </c>
      <c r="J915" s="26" t="str">
        <f>"35 "</f>
        <v xml:space="preserve">35 </v>
      </c>
      <c r="K915" s="26" t="str">
        <f t="shared" si="144"/>
        <v>EP</v>
      </c>
      <c r="L915" s="26" t="str">
        <f t="shared" si="145"/>
        <v>DGOSE</v>
      </c>
      <c r="M915" s="26" t="str">
        <f t="shared" si="143"/>
        <v>FEDERAL</v>
      </c>
      <c r="N915" s="26">
        <v>211</v>
      </c>
      <c r="O915" s="26">
        <v>98</v>
      </c>
      <c r="P915" s="26">
        <v>113</v>
      </c>
      <c r="Q915" s="26">
        <v>6</v>
      </c>
      <c r="R915" s="26">
        <v>1</v>
      </c>
      <c r="S915" s="26">
        <v>5</v>
      </c>
      <c r="T915" s="26">
        <v>2</v>
      </c>
      <c r="U915" s="26">
        <v>8</v>
      </c>
      <c r="V915" s="26">
        <v>1</v>
      </c>
      <c r="W915" s="26"/>
    </row>
    <row r="916" spans="1:23" x14ac:dyDescent="0.25">
      <c r="A916" s="26" t="str">
        <f t="shared" si="141"/>
        <v>PREESCOLAR</v>
      </c>
      <c r="B916" s="26" t="str">
        <f>"09DJN1221P"</f>
        <v>09DJN1221P</v>
      </c>
      <c r="C916" s="26" t="str">
        <f>"CALLIALTEPEC                                                                                        "</f>
        <v xml:space="preserve">CALLIALTEPEC                                                                                        </v>
      </c>
      <c r="D916" s="26" t="str">
        <f>"JORNADA AMPLIADA"</f>
        <v>JORNADA AMPLIADA</v>
      </c>
      <c r="E916" s="26" t="str">
        <f>"PARAJE DE TLACHIULTEPEC                                                         "</f>
        <v xml:space="preserve">PARAJE DE TLACHIULTEPEC                                                         </v>
      </c>
      <c r="F916" s="26" t="str">
        <f>"SAN ANDRES AHUAYUCAN                                                                                                                        "</f>
        <v xml:space="preserve">SAN ANDRES AHUAYUCAN                                                                                                                        </v>
      </c>
      <c r="G916" s="26" t="str">
        <f>"XOCHIMILCO                                                                      "</f>
        <v xml:space="preserve">XOCHIMILCO                                                                      </v>
      </c>
      <c r="H916" s="26" t="str">
        <f>"245"</f>
        <v>245</v>
      </c>
      <c r="I916" s="26" t="str">
        <f t="shared" si="142"/>
        <v>00</v>
      </c>
      <c r="J916" s="26" t="str">
        <f>"34 "</f>
        <v xml:space="preserve">34 </v>
      </c>
      <c r="K916" s="26" t="str">
        <f t="shared" si="144"/>
        <v>EP</v>
      </c>
      <c r="L916" s="26" t="str">
        <f t="shared" si="145"/>
        <v>DGOSE</v>
      </c>
      <c r="M916" s="26" t="str">
        <f t="shared" si="143"/>
        <v>FEDERAL</v>
      </c>
      <c r="N916" s="26">
        <v>163</v>
      </c>
      <c r="O916" s="26">
        <v>81</v>
      </c>
      <c r="P916" s="26">
        <v>82</v>
      </c>
      <c r="Q916" s="26">
        <v>5</v>
      </c>
      <c r="R916" s="26">
        <v>1</v>
      </c>
      <c r="S916" s="26">
        <v>4</v>
      </c>
      <c r="T916" s="26">
        <v>5</v>
      </c>
      <c r="U916" s="26">
        <v>10</v>
      </c>
      <c r="V916" s="26">
        <v>1</v>
      </c>
      <c r="W916" s="26" t="s">
        <v>2076</v>
      </c>
    </row>
    <row r="917" spans="1:23" x14ac:dyDescent="0.25">
      <c r="A917" s="26" t="str">
        <f t="shared" si="141"/>
        <v>PREESCOLAR</v>
      </c>
      <c r="B917" s="26" t="str">
        <f>"09DJN1222O"</f>
        <v>09DJN1222O</v>
      </c>
      <c r="C917" s="26" t="str">
        <f>"CUICACALLI                                                                                          "</f>
        <v xml:space="preserve">CUICACALLI                                                                                          </v>
      </c>
      <c r="D917" s="26" t="str">
        <f>"MATUTINO"</f>
        <v>MATUTINO</v>
      </c>
      <c r="E917" s="26" t="str">
        <f>"EMILIANO ZAPATA S/N                                                             "</f>
        <v xml:space="preserve">EMILIANO ZAPATA S/N                                                             </v>
      </c>
      <c r="F917" s="26" t="str">
        <f>"SAN JUAN MOYOTEPEC                                                                                                                          "</f>
        <v xml:space="preserve">SAN JUAN MOYOTEPEC                                                                                                                          </v>
      </c>
      <c r="G917" s="26" t="str">
        <f>"XOCHIMILCO                                                                      "</f>
        <v xml:space="preserve">XOCHIMILCO                                                                      </v>
      </c>
      <c r="H917" s="26" t="str">
        <f>"103"</f>
        <v>103</v>
      </c>
      <c r="I917" s="26" t="str">
        <f t="shared" si="142"/>
        <v>00</v>
      </c>
      <c r="J917" s="26" t="str">
        <f>"35 "</f>
        <v xml:space="preserve">35 </v>
      </c>
      <c r="K917" s="26" t="str">
        <f t="shared" si="144"/>
        <v>EP</v>
      </c>
      <c r="L917" s="26" t="str">
        <f t="shared" si="145"/>
        <v>DGOSE</v>
      </c>
      <c r="M917" s="26" t="str">
        <f t="shared" si="143"/>
        <v>FEDERAL</v>
      </c>
      <c r="N917" s="26">
        <v>242</v>
      </c>
      <c r="O917" s="26">
        <v>126</v>
      </c>
      <c r="P917" s="26">
        <v>116</v>
      </c>
      <c r="Q917" s="26">
        <v>7</v>
      </c>
      <c r="R917" s="26">
        <v>1</v>
      </c>
      <c r="S917" s="26">
        <v>7</v>
      </c>
      <c r="T917" s="26">
        <v>6</v>
      </c>
      <c r="U917" s="26">
        <v>14</v>
      </c>
      <c r="V917" s="26">
        <v>1</v>
      </c>
      <c r="W917" s="26"/>
    </row>
    <row r="918" spans="1:23" x14ac:dyDescent="0.25">
      <c r="A918" s="26" t="str">
        <f t="shared" si="141"/>
        <v>PREESCOLAR</v>
      </c>
      <c r="B918" s="26" t="str">
        <f>"09DJN1224M"</f>
        <v>09DJN1224M</v>
      </c>
      <c r="C918" s="26" t="str">
        <f>"ITZEL LUCERO                                                                                        "</f>
        <v xml:space="preserve">ITZEL LUCERO                                                                                        </v>
      </c>
      <c r="D918" s="26" t="str">
        <f>"VESPERTINO"</f>
        <v>VESPERTINO</v>
      </c>
      <c r="E918" s="26" t="str">
        <f>"AV. XOCOYOTE S/N ENTRE XANES Y XALPATLAH                                        "</f>
        <v xml:space="preserve">AV. XOCOYOTE S/N ENTRE XANES Y XALPATLAH                                        </v>
      </c>
      <c r="F918" s="26" t="str">
        <f>"ARENAL 4A SECCION                                                                                                                           "</f>
        <v xml:space="preserve">ARENAL 4A SECCION                                                                                                                           </v>
      </c>
      <c r="G918" s="26" t="str">
        <f>"VENUSTIANO CARRANZA                                                             "</f>
        <v xml:space="preserve">VENUSTIANO CARRANZA                                                             </v>
      </c>
      <c r="H918" s="26" t="str">
        <f>"161"</f>
        <v>161</v>
      </c>
      <c r="I918" s="26" t="str">
        <f t="shared" si="142"/>
        <v>00</v>
      </c>
      <c r="J918" s="26" t="str">
        <f>"33 "</f>
        <v xml:space="preserve">33 </v>
      </c>
      <c r="K918" s="26" t="str">
        <f t="shared" si="144"/>
        <v>EP</v>
      </c>
      <c r="L918" s="26" t="str">
        <f t="shared" si="145"/>
        <v>DGOSE</v>
      </c>
      <c r="M918" s="26" t="str">
        <f t="shared" si="143"/>
        <v>FEDERAL</v>
      </c>
      <c r="N918" s="26">
        <v>152</v>
      </c>
      <c r="O918" s="26">
        <v>75</v>
      </c>
      <c r="P918" s="26">
        <v>77</v>
      </c>
      <c r="Q918" s="26">
        <v>5</v>
      </c>
      <c r="R918" s="26">
        <v>1</v>
      </c>
      <c r="S918" s="26">
        <v>5</v>
      </c>
      <c r="T918" s="26">
        <v>4</v>
      </c>
      <c r="U918" s="26">
        <v>10</v>
      </c>
      <c r="V918" s="26">
        <v>1</v>
      </c>
      <c r="W918" s="26"/>
    </row>
    <row r="919" spans="1:23" x14ac:dyDescent="0.25">
      <c r="A919" s="26" t="str">
        <f t="shared" si="141"/>
        <v>PREESCOLAR</v>
      </c>
      <c r="B919" s="26" t="str">
        <f>"09DJN1225L"</f>
        <v>09DJN1225L</v>
      </c>
      <c r="C919" s="26" t="str">
        <f>"AYAQUEMETL                                                                                          "</f>
        <v xml:space="preserve">AYAQUEMETL                                                                                          </v>
      </c>
      <c r="D919" s="26" t="str">
        <f>"TIEMPO COMPLETO"</f>
        <v>TIEMPO COMPLETO</v>
      </c>
      <c r="E919" s="26" t="str">
        <f>"MORELOS ESQ GUADALAJARA                                                         "</f>
        <v xml:space="preserve">MORELOS ESQ GUADALAJARA                                                         </v>
      </c>
      <c r="F919" s="26" t="str">
        <f>"EMILIANO ZAPATA 2A SECCION                                                                                                                  "</f>
        <v xml:space="preserve">EMILIANO ZAPATA 2A SECCION                                                                                                                  </v>
      </c>
      <c r="G919" s="26" t="str">
        <f>"TLAHUAC                                                                         "</f>
        <v xml:space="preserve">TLAHUAC                                                                         </v>
      </c>
      <c r="H919" s="26" t="str">
        <f>"173"</f>
        <v>173</v>
      </c>
      <c r="I919" s="26" t="str">
        <f t="shared" si="142"/>
        <v>00</v>
      </c>
      <c r="J919" s="26" t="str">
        <f>"34 "</f>
        <v xml:space="preserve">34 </v>
      </c>
      <c r="K919" s="26" t="str">
        <f t="shared" si="144"/>
        <v>EP</v>
      </c>
      <c r="L919" s="26" t="str">
        <f t="shared" si="145"/>
        <v>DGOSE</v>
      </c>
      <c r="M919" s="26" t="str">
        <f t="shared" si="143"/>
        <v>FEDERAL</v>
      </c>
      <c r="N919" s="26">
        <v>201</v>
      </c>
      <c r="O919" s="26">
        <v>107</v>
      </c>
      <c r="P919" s="26">
        <v>94</v>
      </c>
      <c r="Q919" s="26">
        <v>6</v>
      </c>
      <c r="R919" s="26">
        <v>2</v>
      </c>
      <c r="S919" s="26">
        <v>6</v>
      </c>
      <c r="T919" s="26">
        <v>19</v>
      </c>
      <c r="U919" s="26">
        <v>27</v>
      </c>
      <c r="V919" s="26">
        <v>1</v>
      </c>
      <c r="W919" s="26" t="s">
        <v>218</v>
      </c>
    </row>
    <row r="920" spans="1:23" x14ac:dyDescent="0.25">
      <c r="A920" s="26" t="str">
        <f t="shared" si="141"/>
        <v>PREESCOLAR</v>
      </c>
      <c r="B920" s="26" t="str">
        <f>"09DJN1226K"</f>
        <v>09DJN1226K</v>
      </c>
      <c r="C920" s="26" t="str">
        <f>"GABINO JIMENEZ JIMENEZ                                                                              "</f>
        <v xml:space="preserve">GABINO JIMENEZ JIMENEZ                                                                              </v>
      </c>
      <c r="D920" s="26" t="str">
        <f>"MATUTINO"</f>
        <v>MATUTINO</v>
      </c>
      <c r="E920" s="26" t="str">
        <f>"TECNOLOGIA Y PEÑA ALTA S/N                                                      "</f>
        <v xml:space="preserve">TECNOLOGIA Y PEÑA ALTA S/N                                                      </v>
      </c>
      <c r="F920" s="26" t="str">
        <f>"JAIME TORRES BODET                                                                                                                          "</f>
        <v xml:space="preserve">JAIME TORRES BODET                                                                                                                          </v>
      </c>
      <c r="G920" s="26" t="str">
        <f>"TLAHUAC                                                                         "</f>
        <v xml:space="preserve">TLAHUAC                                                                         </v>
      </c>
      <c r="H920" s="26" t="str">
        <f>"083"</f>
        <v>083</v>
      </c>
      <c r="I920" s="26" t="str">
        <f t="shared" si="142"/>
        <v>00</v>
      </c>
      <c r="J920" s="26" t="str">
        <f>"35 "</f>
        <v xml:space="preserve">35 </v>
      </c>
      <c r="K920" s="26" t="str">
        <f t="shared" si="144"/>
        <v>EP</v>
      </c>
      <c r="L920" s="26" t="str">
        <f t="shared" si="145"/>
        <v>DGOSE</v>
      </c>
      <c r="M920" s="26" t="str">
        <f t="shared" si="143"/>
        <v>FEDERAL</v>
      </c>
      <c r="N920" s="26">
        <v>167</v>
      </c>
      <c r="O920" s="26">
        <v>88</v>
      </c>
      <c r="P920" s="26">
        <v>79</v>
      </c>
      <c r="Q920" s="26">
        <v>5</v>
      </c>
      <c r="R920" s="26">
        <v>1</v>
      </c>
      <c r="S920" s="26">
        <v>5</v>
      </c>
      <c r="T920" s="26">
        <v>5</v>
      </c>
      <c r="U920" s="26">
        <v>11</v>
      </c>
      <c r="V920" s="26">
        <v>1</v>
      </c>
      <c r="W920" s="26"/>
    </row>
    <row r="921" spans="1:23" x14ac:dyDescent="0.25">
      <c r="A921" s="26" t="str">
        <f t="shared" si="141"/>
        <v>PREESCOLAR</v>
      </c>
      <c r="B921" s="26" t="str">
        <f>"09DJN1227J"</f>
        <v>09DJN1227J</v>
      </c>
      <c r="C921" s="26" t="str">
        <f>"TICALLI                                                                                             "</f>
        <v xml:space="preserve">TICALLI                                                                                             </v>
      </c>
      <c r="D921" s="26" t="str">
        <f>"MATUTINO"</f>
        <v>MATUTINO</v>
      </c>
      <c r="E921" s="26" t="str">
        <f>"MORELOS Y VILLA GENERAL MITRE S/N                                               "</f>
        <v xml:space="preserve">MORELOS Y VILLA GENERAL MITRE S/N                                               </v>
      </c>
      <c r="F921" s="26" t="str">
        <f>"BUENAVISTA                                                                                                                                  "</f>
        <v xml:space="preserve">BUENAVISTA                                                                                                                                  </v>
      </c>
      <c r="G921" s="26" t="str">
        <f>"IZTAPALAPA                                                                      "</f>
        <v xml:space="preserve">IZTAPALAPA                                                                      </v>
      </c>
      <c r="H921" s="26" t="str">
        <f>"034"</f>
        <v>034</v>
      </c>
      <c r="I921" s="26" t="str">
        <f t="shared" si="142"/>
        <v>00</v>
      </c>
      <c r="J921" s="26" t="str">
        <f>"64 "</f>
        <v xml:space="preserve">64 </v>
      </c>
      <c r="K921" s="26" t="str">
        <f>"IZ"</f>
        <v>IZ</v>
      </c>
      <c r="L921" s="26" t="str">
        <f>"DGSEI"</f>
        <v>DGSEI</v>
      </c>
      <c r="M921" s="26" t="str">
        <f t="shared" si="143"/>
        <v>FEDERAL</v>
      </c>
      <c r="N921" s="26">
        <v>271</v>
      </c>
      <c r="O921" s="26">
        <v>138</v>
      </c>
      <c r="P921" s="26">
        <v>133</v>
      </c>
      <c r="Q921" s="26">
        <v>7</v>
      </c>
      <c r="R921" s="26">
        <v>1</v>
      </c>
      <c r="S921" s="26">
        <v>7</v>
      </c>
      <c r="T921" s="26">
        <v>3</v>
      </c>
      <c r="U921" s="26">
        <v>11</v>
      </c>
      <c r="V921" s="26">
        <v>1</v>
      </c>
      <c r="W921" s="26"/>
    </row>
    <row r="922" spans="1:23" x14ac:dyDescent="0.25">
      <c r="A922" s="26" t="str">
        <f t="shared" si="141"/>
        <v>PREESCOLAR</v>
      </c>
      <c r="B922" s="26" t="str">
        <f>"09DJN1228I"</f>
        <v>09DJN1228I</v>
      </c>
      <c r="C922" s="26" t="str">
        <f>"MARCELINO DE CHAMPAGNAT                                                                             "</f>
        <v xml:space="preserve">MARCELINO DE CHAMPAGNAT                                                                             </v>
      </c>
      <c r="D922" s="26" t="str">
        <f>"VESPERTINO"</f>
        <v>VESPERTINO</v>
      </c>
      <c r="E922" s="26" t="str">
        <f>"CALLE 1513 S/N                                                                  "</f>
        <v xml:space="preserve">CALLE 1513 S/N                                                                  </v>
      </c>
      <c r="F922" s="26" t="str">
        <f>"UNIDAD SAN JUAN DE ARAGON 6A SECCIO                                                                                                         "</f>
        <v xml:space="preserve">UNIDAD SAN JUAN DE ARAGON 6A SECCIO                                                                                                         </v>
      </c>
      <c r="G922" s="26" t="str">
        <f>"GUSTAVO A. MADERO                                                               "</f>
        <v xml:space="preserve">GUSTAVO A. MADERO                                                               </v>
      </c>
      <c r="H922" s="26" t="str">
        <f>"201"</f>
        <v>201</v>
      </c>
      <c r="I922" s="26" t="str">
        <f t="shared" si="142"/>
        <v>00</v>
      </c>
      <c r="J922" s="26" t="str">
        <f>"32 "</f>
        <v xml:space="preserve">32 </v>
      </c>
      <c r="K922" s="26" t="str">
        <f t="shared" ref="K922:K928" si="146">"EP"</f>
        <v>EP</v>
      </c>
      <c r="L922" s="26" t="str">
        <f t="shared" ref="L922:L928" si="147">"DGOSE"</f>
        <v>DGOSE</v>
      </c>
      <c r="M922" s="26" t="str">
        <f t="shared" si="143"/>
        <v>FEDERAL</v>
      </c>
      <c r="N922" s="26">
        <v>163</v>
      </c>
      <c r="O922" s="26">
        <v>81</v>
      </c>
      <c r="P922" s="26">
        <v>82</v>
      </c>
      <c r="Q922" s="26">
        <v>6</v>
      </c>
      <c r="R922" s="26">
        <v>1</v>
      </c>
      <c r="S922" s="26">
        <v>6</v>
      </c>
      <c r="T922" s="26">
        <v>5</v>
      </c>
      <c r="U922" s="26">
        <v>12</v>
      </c>
      <c r="V922" s="26">
        <v>1</v>
      </c>
      <c r="W922" s="26"/>
    </row>
    <row r="923" spans="1:23" x14ac:dyDescent="0.25">
      <c r="A923" s="26" t="str">
        <f t="shared" si="141"/>
        <v>PREESCOLAR</v>
      </c>
      <c r="B923" s="26" t="str">
        <f>"09DJN1229H"</f>
        <v>09DJN1229H</v>
      </c>
      <c r="C923" s="26" t="str">
        <f>"NIÑOS DE MEXICO                                                                                     "</f>
        <v xml:space="preserve">NIÑOS DE MEXICO                                                                                     </v>
      </c>
      <c r="D923" s="26" t="str">
        <f>"JORNADA AMPLIADA"</f>
        <v>JORNADA AMPLIADA</v>
      </c>
      <c r="E923" s="26" t="str">
        <f>"THUYA Y FORNIO S/N                                                              "</f>
        <v xml:space="preserve">THUYA Y FORNIO S/N                                                              </v>
      </c>
      <c r="F923" s="26" t="str">
        <f>"LA PRADERA                                                                                                                                  "</f>
        <v xml:space="preserve">LA PRADERA                                                                                                                                  </v>
      </c>
      <c r="G923" s="26" t="str">
        <f>"GUSTAVO A. MADERO                                                               "</f>
        <v xml:space="preserve">GUSTAVO A. MADERO                                                               </v>
      </c>
      <c r="H923" s="26" t="str">
        <f>"063"</f>
        <v>063</v>
      </c>
      <c r="I923" s="26" t="str">
        <f t="shared" si="142"/>
        <v>00</v>
      </c>
      <c r="J923" s="26" t="str">
        <f>"31 "</f>
        <v xml:space="preserve">31 </v>
      </c>
      <c r="K923" s="26" t="str">
        <f t="shared" si="146"/>
        <v>EP</v>
      </c>
      <c r="L923" s="26" t="str">
        <f t="shared" si="147"/>
        <v>DGOSE</v>
      </c>
      <c r="M923" s="26" t="str">
        <f t="shared" si="143"/>
        <v>FEDERAL</v>
      </c>
      <c r="N923" s="26">
        <v>160</v>
      </c>
      <c r="O923" s="26">
        <v>78</v>
      </c>
      <c r="P923" s="26">
        <v>82</v>
      </c>
      <c r="Q923" s="26">
        <v>5</v>
      </c>
      <c r="R923" s="26">
        <v>1</v>
      </c>
      <c r="S923" s="26">
        <v>5</v>
      </c>
      <c r="T923" s="26">
        <v>7</v>
      </c>
      <c r="U923" s="26">
        <v>13</v>
      </c>
      <c r="V923" s="26">
        <v>1</v>
      </c>
      <c r="W923" s="26" t="s">
        <v>2076</v>
      </c>
    </row>
    <row r="924" spans="1:23" x14ac:dyDescent="0.25">
      <c r="A924" s="26" t="str">
        <f t="shared" si="141"/>
        <v>PREESCOLAR</v>
      </c>
      <c r="B924" s="26" t="str">
        <f>"09DJN1230X"</f>
        <v>09DJN1230X</v>
      </c>
      <c r="C924" s="26" t="str">
        <f>"GRAL. FELIPE ANGELES                                                                                "</f>
        <v xml:space="preserve">GRAL. FELIPE ANGELES                                                                                </v>
      </c>
      <c r="D924" s="26" t="str">
        <f>"TIEMPO COMPLETO"</f>
        <v>TIEMPO COMPLETO</v>
      </c>
      <c r="E924" s="26" t="str">
        <f>"ALUMINIO S/N                                                                    "</f>
        <v xml:space="preserve">ALUMINIO S/N                                                                    </v>
      </c>
      <c r="F924" s="26" t="str">
        <f>"FELIPE ANGELES                                                                                                                              "</f>
        <v xml:space="preserve">FELIPE ANGELES                                                                                                                              </v>
      </c>
      <c r="G924" s="26" t="str">
        <f>"VENUSTIANO CARRANZA                                                             "</f>
        <v xml:space="preserve">VENUSTIANO CARRANZA                                                             </v>
      </c>
      <c r="H924" s="26" t="str">
        <f>"247"</f>
        <v>247</v>
      </c>
      <c r="I924" s="26" t="str">
        <f t="shared" si="142"/>
        <v>00</v>
      </c>
      <c r="J924" s="26" t="str">
        <f>"31 "</f>
        <v xml:space="preserve">31 </v>
      </c>
      <c r="K924" s="26" t="str">
        <f t="shared" si="146"/>
        <v>EP</v>
      </c>
      <c r="L924" s="26" t="str">
        <f t="shared" si="147"/>
        <v>DGOSE</v>
      </c>
      <c r="M924" s="26" t="str">
        <f t="shared" si="143"/>
        <v>FEDERAL</v>
      </c>
      <c r="N924" s="26">
        <v>202</v>
      </c>
      <c r="O924" s="26">
        <v>115</v>
      </c>
      <c r="P924" s="26">
        <v>87</v>
      </c>
      <c r="Q924" s="26">
        <v>7</v>
      </c>
      <c r="R924" s="26">
        <v>2</v>
      </c>
      <c r="S924" s="26">
        <v>7</v>
      </c>
      <c r="T924" s="26">
        <v>19</v>
      </c>
      <c r="U924" s="26">
        <v>28</v>
      </c>
      <c r="V924" s="26">
        <v>1</v>
      </c>
      <c r="W924" s="26" t="s">
        <v>218</v>
      </c>
    </row>
    <row r="925" spans="1:23" x14ac:dyDescent="0.25">
      <c r="A925" s="26" t="str">
        <f t="shared" si="141"/>
        <v>PREESCOLAR</v>
      </c>
      <c r="B925" s="26" t="str">
        <f>"09DJN1231W"</f>
        <v>09DJN1231W</v>
      </c>
      <c r="C925" s="26" t="str">
        <f>"DOLORES HERNANDEZ LANDA                                                                             "</f>
        <v xml:space="preserve">DOLORES HERNANDEZ LANDA                                                                             </v>
      </c>
      <c r="D925" s="26" t="str">
        <f>"TIEMPO COMPLETO"</f>
        <v>TIEMPO COMPLETO</v>
      </c>
      <c r="E925" s="26" t="str">
        <f>"LAGO MALAR S/N                                                                  "</f>
        <v xml:space="preserve">LAGO MALAR S/N                                                                  </v>
      </c>
      <c r="F925" s="26" t="str">
        <f>"GRANADA                                                                                                                                     "</f>
        <v xml:space="preserve">GRANADA                                                                                                                                     </v>
      </c>
      <c r="G925" s="26" t="str">
        <f>"MIGUEL HIDALGO                                                                  "</f>
        <v xml:space="preserve">MIGUEL HIDALGO                                                                  </v>
      </c>
      <c r="H925" s="26" t="str">
        <f>"206"</f>
        <v>206</v>
      </c>
      <c r="I925" s="26" t="str">
        <f t="shared" si="142"/>
        <v>00</v>
      </c>
      <c r="J925" s="26" t="str">
        <f>"31 "</f>
        <v xml:space="preserve">31 </v>
      </c>
      <c r="K925" s="26" t="str">
        <f t="shared" si="146"/>
        <v>EP</v>
      </c>
      <c r="L925" s="26" t="str">
        <f t="shared" si="147"/>
        <v>DGOSE</v>
      </c>
      <c r="M925" s="26" t="str">
        <f t="shared" si="143"/>
        <v>FEDERAL</v>
      </c>
      <c r="N925" s="26">
        <v>148</v>
      </c>
      <c r="O925" s="26">
        <v>69</v>
      </c>
      <c r="P925" s="26">
        <v>79</v>
      </c>
      <c r="Q925" s="26">
        <v>5</v>
      </c>
      <c r="R925" s="26">
        <v>2</v>
      </c>
      <c r="S925" s="26">
        <v>5</v>
      </c>
      <c r="T925" s="26">
        <v>13</v>
      </c>
      <c r="U925" s="26">
        <v>20</v>
      </c>
      <c r="V925" s="26">
        <v>1</v>
      </c>
      <c r="W925" s="26" t="s">
        <v>218</v>
      </c>
    </row>
    <row r="926" spans="1:23" x14ac:dyDescent="0.25">
      <c r="A926" s="26" t="str">
        <f t="shared" si="141"/>
        <v>PREESCOLAR</v>
      </c>
      <c r="B926" s="26" t="str">
        <f>"09DJN1233U"</f>
        <v>09DJN1233U</v>
      </c>
      <c r="C926" s="26" t="str">
        <f>"MILLI                                                                                               "</f>
        <v xml:space="preserve">MILLI                                                                                               </v>
      </c>
      <c r="D926" s="26" t="str">
        <f>"JORNADA AMPLIADA"</f>
        <v>JORNADA AMPLIADA</v>
      </c>
      <c r="E926" s="26" t="str">
        <f>"LIRIOS MZA. 7 LTES. 10 Y 11                                                     "</f>
        <v xml:space="preserve">LIRIOS MZA. 7 LTES. 10 Y 11                                                     </v>
      </c>
      <c r="F926" s="26" t="str">
        <f>"EL MIRADOR                                                                                                                                  "</f>
        <v xml:space="preserve">EL MIRADOR                                                                                                                                  </v>
      </c>
      <c r="G926" s="26" t="str">
        <f>"TLALPAN                                                                         "</f>
        <v xml:space="preserve">TLALPAN                                                                         </v>
      </c>
      <c r="H926" s="26" t="str">
        <f>"224"</f>
        <v>224</v>
      </c>
      <c r="I926" s="26" t="str">
        <f t="shared" si="142"/>
        <v>00</v>
      </c>
      <c r="J926" s="26" t="str">
        <f>"34 "</f>
        <v xml:space="preserve">34 </v>
      </c>
      <c r="K926" s="26" t="str">
        <f t="shared" si="146"/>
        <v>EP</v>
      </c>
      <c r="L926" s="26" t="str">
        <f t="shared" si="147"/>
        <v>DGOSE</v>
      </c>
      <c r="M926" s="26" t="str">
        <f t="shared" si="143"/>
        <v>FEDERAL</v>
      </c>
      <c r="N926" s="26">
        <v>131</v>
      </c>
      <c r="O926" s="26">
        <v>61</v>
      </c>
      <c r="P926" s="26">
        <v>70</v>
      </c>
      <c r="Q926" s="26">
        <v>5</v>
      </c>
      <c r="R926" s="26">
        <v>1</v>
      </c>
      <c r="S926" s="26">
        <v>4</v>
      </c>
      <c r="T926" s="26">
        <v>5</v>
      </c>
      <c r="U926" s="26">
        <v>10</v>
      </c>
      <c r="V926" s="26">
        <v>1</v>
      </c>
      <c r="W926" s="26" t="s">
        <v>2076</v>
      </c>
    </row>
    <row r="927" spans="1:23" x14ac:dyDescent="0.25">
      <c r="A927" s="26" t="str">
        <f t="shared" si="141"/>
        <v>PREESCOLAR</v>
      </c>
      <c r="B927" s="26" t="str">
        <f>"09DJN1234T"</f>
        <v>09DJN1234T</v>
      </c>
      <c r="C927" s="26" t="str">
        <f>"KAMBESAH                                                                                            "</f>
        <v xml:space="preserve">KAMBESAH                                                                                            </v>
      </c>
      <c r="D927" s="26" t="str">
        <f>"JORNADA AMPLIADA"</f>
        <v>JORNADA AMPLIADA</v>
      </c>
      <c r="E927" s="26" t="str">
        <f>"TIXCANDAL MZA. 942 LTE. 8                                                       "</f>
        <v xml:space="preserve">TIXCANDAL MZA. 942 LTE. 8                                                       </v>
      </c>
      <c r="F927" s="26" t="str">
        <f>"PEDREGAL DE SAN NICOLAS                                                                                                                     "</f>
        <v xml:space="preserve">PEDREGAL DE SAN NICOLAS                                                                                                                     </v>
      </c>
      <c r="G927" s="26" t="str">
        <f>"TLALPAN                                                                         "</f>
        <v xml:space="preserve">TLALPAN                                                                         </v>
      </c>
      <c r="H927" s="26" t="str">
        <f>"277"</f>
        <v>277</v>
      </c>
      <c r="I927" s="26" t="str">
        <f t="shared" si="142"/>
        <v>00</v>
      </c>
      <c r="J927" s="26" t="str">
        <f>"34 "</f>
        <v xml:space="preserve">34 </v>
      </c>
      <c r="K927" s="26" t="str">
        <f t="shared" si="146"/>
        <v>EP</v>
      </c>
      <c r="L927" s="26" t="str">
        <f t="shared" si="147"/>
        <v>DGOSE</v>
      </c>
      <c r="M927" s="26" t="str">
        <f t="shared" si="143"/>
        <v>FEDERAL</v>
      </c>
      <c r="N927" s="26">
        <v>125</v>
      </c>
      <c r="O927" s="26">
        <v>60</v>
      </c>
      <c r="P927" s="26">
        <v>65</v>
      </c>
      <c r="Q927" s="26">
        <v>5</v>
      </c>
      <c r="R927" s="26">
        <v>1</v>
      </c>
      <c r="S927" s="26">
        <v>4</v>
      </c>
      <c r="T927" s="26">
        <v>4</v>
      </c>
      <c r="U927" s="26">
        <v>9</v>
      </c>
      <c r="V927" s="26">
        <v>1</v>
      </c>
      <c r="W927" s="26" t="s">
        <v>2076</v>
      </c>
    </row>
    <row r="928" spans="1:23" x14ac:dyDescent="0.25">
      <c r="A928" s="26" t="str">
        <f t="shared" si="141"/>
        <v>PREESCOLAR</v>
      </c>
      <c r="B928" s="26" t="str">
        <f>"09DJN1236R"</f>
        <v>09DJN1236R</v>
      </c>
      <c r="C928" s="26" t="str">
        <f>"GUTY CARDENAS                                                                                       "</f>
        <v xml:space="preserve">GUTY CARDENAS                                                                                       </v>
      </c>
      <c r="D928" s="26" t="str">
        <f>"JORNADA AMPLIADA"</f>
        <v>JORNADA AMPLIADA</v>
      </c>
      <c r="E928" s="26" t="str">
        <f>"MORELOS NO. 19                                                                  "</f>
        <v xml:space="preserve">MORELOS NO. 19                                                                  </v>
      </c>
      <c r="F928" s="26" t="str">
        <f>"SANTA LUCIA                                                                                                                                 "</f>
        <v xml:space="preserve">SANTA LUCIA                                                                                                                                 </v>
      </c>
      <c r="G928" s="26" t="str">
        <f>"ALVARO OBREGON                                                                  "</f>
        <v xml:space="preserve">ALVARO OBREGON                                                                  </v>
      </c>
      <c r="H928" s="26" t="str">
        <f>"045"</f>
        <v>045</v>
      </c>
      <c r="I928" s="26" t="str">
        <f t="shared" si="142"/>
        <v>00</v>
      </c>
      <c r="J928" s="26" t="str">
        <f>"34 "</f>
        <v xml:space="preserve">34 </v>
      </c>
      <c r="K928" s="26" t="str">
        <f t="shared" si="146"/>
        <v>EP</v>
      </c>
      <c r="L928" s="26" t="str">
        <f t="shared" si="147"/>
        <v>DGOSE</v>
      </c>
      <c r="M928" s="26" t="str">
        <f t="shared" si="143"/>
        <v>FEDERAL</v>
      </c>
      <c r="N928" s="26">
        <v>247</v>
      </c>
      <c r="O928" s="26">
        <v>110</v>
      </c>
      <c r="P928" s="26">
        <v>137</v>
      </c>
      <c r="Q928" s="26">
        <v>7</v>
      </c>
      <c r="R928" s="26">
        <v>1</v>
      </c>
      <c r="S928" s="26">
        <v>7</v>
      </c>
      <c r="T928" s="26">
        <v>6</v>
      </c>
      <c r="U928" s="26">
        <v>14</v>
      </c>
      <c r="V928" s="26">
        <v>1</v>
      </c>
      <c r="W928" s="26" t="s">
        <v>2076</v>
      </c>
    </row>
    <row r="929" spans="1:23" x14ac:dyDescent="0.25">
      <c r="A929" s="26" t="str">
        <f t="shared" si="141"/>
        <v>PREESCOLAR</v>
      </c>
      <c r="B929" s="26" t="str">
        <f>"09DJN1237Q"</f>
        <v>09DJN1237Q</v>
      </c>
      <c r="C929" s="26" t="str">
        <f>"QUETZALLI                                                                                           "</f>
        <v xml:space="preserve">QUETZALLI                                                                                           </v>
      </c>
      <c r="D929" s="26" t="str">
        <f>"TIEMPO COMPLETO"</f>
        <v>TIEMPO COMPLETO</v>
      </c>
      <c r="E929" s="26" t="str">
        <f>"UNIDAD NACIONAL S/N                                                             "</f>
        <v xml:space="preserve">UNIDAD NACIONAL S/N                                                             </v>
      </c>
      <c r="F929" s="26" t="str">
        <f>"UNIDAD HABITACIONAL TULYEHUALCO M.                                                                                                          "</f>
        <v xml:space="preserve">UNIDAD HABITACIONAL TULYEHUALCO M.                                                                                                          </v>
      </c>
      <c r="G929" s="26" t="str">
        <f>"IZTAPALAPA                                                                      "</f>
        <v xml:space="preserve">IZTAPALAPA                                                                      </v>
      </c>
      <c r="H929" s="26" t="str">
        <f>"009"</f>
        <v>009</v>
      </c>
      <c r="I929" s="26" t="str">
        <f t="shared" si="142"/>
        <v>00</v>
      </c>
      <c r="J929" s="26" t="str">
        <f>"61 "</f>
        <v xml:space="preserve">61 </v>
      </c>
      <c r="K929" s="26" t="str">
        <f>"IZ"</f>
        <v>IZ</v>
      </c>
      <c r="L929" s="26" t="str">
        <f>"DGSEI"</f>
        <v>DGSEI</v>
      </c>
      <c r="M929" s="26" t="str">
        <f t="shared" si="143"/>
        <v>FEDERAL</v>
      </c>
      <c r="N929" s="26">
        <v>315</v>
      </c>
      <c r="O929" s="26">
        <v>170</v>
      </c>
      <c r="P929" s="26">
        <v>145</v>
      </c>
      <c r="Q929" s="26">
        <v>8</v>
      </c>
      <c r="R929" s="26">
        <v>1</v>
      </c>
      <c r="S929" s="26">
        <v>8</v>
      </c>
      <c r="T929" s="26">
        <v>11</v>
      </c>
      <c r="U929" s="26">
        <v>20</v>
      </c>
      <c r="V929" s="26">
        <v>1</v>
      </c>
      <c r="W929" s="26" t="s">
        <v>218</v>
      </c>
    </row>
    <row r="930" spans="1:23" x14ac:dyDescent="0.25">
      <c r="A930" s="26" t="str">
        <f t="shared" si="141"/>
        <v>PREESCOLAR</v>
      </c>
      <c r="B930" s="26" t="str">
        <f>"09DJN1238P"</f>
        <v>09DJN1238P</v>
      </c>
      <c r="C930" s="26" t="str">
        <f>"YOLLALIA                                                                                            "</f>
        <v xml:space="preserve">YOLLALIA                                                                                            </v>
      </c>
      <c r="D930" s="26" t="str">
        <f>"TIEMPO COMPLETO"</f>
        <v>TIEMPO COMPLETO</v>
      </c>
      <c r="E930" s="26" t="str">
        <f>"AV. GAVILAN S/N                                                                 "</f>
        <v xml:space="preserve">AV. GAVILAN S/N                                                                 </v>
      </c>
      <c r="F930" s="26" t="str">
        <f>"SAN MIGUEL DE LAS SALERAS                                                                                                                   "</f>
        <v xml:space="preserve">SAN MIGUEL DE LAS SALERAS                                                                                                                   </v>
      </c>
      <c r="G930" s="26" t="str">
        <f>"IZTAPALAPA                                                                      "</f>
        <v xml:space="preserve">IZTAPALAPA                                                                      </v>
      </c>
      <c r="H930" s="26" t="str">
        <f>"007"</f>
        <v>007</v>
      </c>
      <c r="I930" s="26" t="str">
        <f t="shared" si="142"/>
        <v>00</v>
      </c>
      <c r="J930" s="26" t="str">
        <f>"61 "</f>
        <v xml:space="preserve">61 </v>
      </c>
      <c r="K930" s="26" t="str">
        <f>"IZ"</f>
        <v>IZ</v>
      </c>
      <c r="L930" s="26" t="str">
        <f>"DGSEI"</f>
        <v>DGSEI</v>
      </c>
      <c r="M930" s="26" t="str">
        <f t="shared" si="143"/>
        <v>FEDERAL</v>
      </c>
      <c r="N930" s="26">
        <v>169</v>
      </c>
      <c r="O930" s="26">
        <v>89</v>
      </c>
      <c r="P930" s="26">
        <v>80</v>
      </c>
      <c r="Q930" s="26">
        <v>7</v>
      </c>
      <c r="R930" s="26">
        <v>1</v>
      </c>
      <c r="S930" s="26">
        <v>7</v>
      </c>
      <c r="T930" s="26">
        <v>9</v>
      </c>
      <c r="U930" s="26">
        <v>17</v>
      </c>
      <c r="V930" s="26">
        <v>1</v>
      </c>
      <c r="W930" s="26" t="s">
        <v>218</v>
      </c>
    </row>
    <row r="931" spans="1:23" x14ac:dyDescent="0.25">
      <c r="A931" s="26" t="str">
        <f t="shared" si="141"/>
        <v>PREESCOLAR</v>
      </c>
      <c r="B931" s="26" t="str">
        <f>"09DJN1239O"</f>
        <v>09DJN1239O</v>
      </c>
      <c r="C931" s="26" t="str">
        <f>"HUITZITZILIN                                                                                        "</f>
        <v xml:space="preserve">HUITZITZILIN                                                                                        </v>
      </c>
      <c r="D931" s="26" t="str">
        <f>"JORNADA AMPLIADA"</f>
        <v>JORNADA AMPLIADA</v>
      </c>
      <c r="E931" s="26" t="str">
        <f>"MUICLE Y PIÑUELA S/N                                                            "</f>
        <v xml:space="preserve">MUICLE Y PIÑUELA S/N                                                            </v>
      </c>
      <c r="F931" s="26" t="str">
        <f>"EL MOLINO  IZTAPALAPA                                                                                                                       "</f>
        <v xml:space="preserve">EL MOLINO  IZTAPALAPA                                                                                                                       </v>
      </c>
      <c r="G931" s="26" t="str">
        <f>"IZTAPALAPA                                                                      "</f>
        <v xml:space="preserve">IZTAPALAPA                                                                      </v>
      </c>
      <c r="H931" s="26" t="str">
        <f>"009"</f>
        <v>009</v>
      </c>
      <c r="I931" s="26" t="str">
        <f t="shared" si="142"/>
        <v>00</v>
      </c>
      <c r="J931" s="26" t="str">
        <f>"61 "</f>
        <v xml:space="preserve">61 </v>
      </c>
      <c r="K931" s="26" t="str">
        <f>"IZ"</f>
        <v>IZ</v>
      </c>
      <c r="L931" s="26" t="str">
        <f>"DGSEI"</f>
        <v>DGSEI</v>
      </c>
      <c r="M931" s="26" t="str">
        <f t="shared" si="143"/>
        <v>FEDERAL</v>
      </c>
      <c r="N931" s="26">
        <v>280</v>
      </c>
      <c r="O931" s="26">
        <v>141</v>
      </c>
      <c r="P931" s="26">
        <v>139</v>
      </c>
      <c r="Q931" s="26">
        <v>7</v>
      </c>
      <c r="R931" s="26">
        <v>1</v>
      </c>
      <c r="S931" s="26">
        <v>7</v>
      </c>
      <c r="T931" s="26">
        <v>5</v>
      </c>
      <c r="U931" s="26">
        <v>13</v>
      </c>
      <c r="V931" s="26">
        <v>1</v>
      </c>
      <c r="W931" s="26" t="s">
        <v>2076</v>
      </c>
    </row>
    <row r="932" spans="1:23" x14ac:dyDescent="0.25">
      <c r="A932" s="26" t="str">
        <f t="shared" si="141"/>
        <v>PREESCOLAR</v>
      </c>
      <c r="B932" s="26" t="str">
        <f>"09DJN1241C"</f>
        <v>09DJN1241C</v>
      </c>
      <c r="C932" s="26" t="str">
        <f>"MARIA LAVALLE URBINA                                                                                "</f>
        <v xml:space="preserve">MARIA LAVALLE URBINA                                                                                </v>
      </c>
      <c r="D932" s="26" t="str">
        <f>"JORNADA AMPLIADA"</f>
        <v>JORNADA AMPLIADA</v>
      </c>
      <c r="E932" s="26" t="str">
        <f>"RIO CHURUBUSCO Y SUR 8 S/N                                                      "</f>
        <v xml:space="preserve">RIO CHURUBUSCO Y SUR 8 S/N                                                      </v>
      </c>
      <c r="F932" s="26" t="str">
        <f>"CUCHILLA AGRICOLA ORIENTAL                                                                                                                  "</f>
        <v xml:space="preserve">CUCHILLA AGRICOLA ORIENTAL                                                                                                                  </v>
      </c>
      <c r="G932" s="26" t="str">
        <f>"IZTACALCO                                                                       "</f>
        <v xml:space="preserve">IZTACALCO                                                                       </v>
      </c>
      <c r="H932" s="26" t="str">
        <f>"072"</f>
        <v>072</v>
      </c>
      <c r="I932" s="26" t="str">
        <f t="shared" si="142"/>
        <v>00</v>
      </c>
      <c r="J932" s="26" t="str">
        <f>"31 "</f>
        <v xml:space="preserve">31 </v>
      </c>
      <c r="K932" s="26" t="str">
        <f>"EP"</f>
        <v>EP</v>
      </c>
      <c r="L932" s="26" t="str">
        <f>"DGOSE"</f>
        <v>DGOSE</v>
      </c>
      <c r="M932" s="26" t="str">
        <f t="shared" si="143"/>
        <v>FEDERAL</v>
      </c>
      <c r="N932" s="26">
        <v>146</v>
      </c>
      <c r="O932" s="26">
        <v>83</v>
      </c>
      <c r="P932" s="26">
        <v>63</v>
      </c>
      <c r="Q932" s="26">
        <v>5</v>
      </c>
      <c r="R932" s="26">
        <v>1</v>
      </c>
      <c r="S932" s="26">
        <v>5</v>
      </c>
      <c r="T932" s="26">
        <v>7</v>
      </c>
      <c r="U932" s="26">
        <v>13</v>
      </c>
      <c r="V932" s="26">
        <v>1</v>
      </c>
      <c r="W932" s="26" t="s">
        <v>2076</v>
      </c>
    </row>
    <row r="933" spans="1:23" x14ac:dyDescent="0.25">
      <c r="A933" s="26" t="str">
        <f t="shared" si="141"/>
        <v>PREESCOLAR</v>
      </c>
      <c r="B933" s="26" t="str">
        <f>"09DJN1242B"</f>
        <v>09DJN1242B</v>
      </c>
      <c r="C933" s="26" t="str">
        <f>"RUFINO TAMAYO                                                                                       "</f>
        <v xml:space="preserve">RUFINO TAMAYO                                                                                       </v>
      </c>
      <c r="D933" s="26" t="str">
        <f>"JORNADA AMPLIADA"</f>
        <v>JORNADA AMPLIADA</v>
      </c>
      <c r="E933" s="26" t="str">
        <f>"UNIDAD HAB. FUENTES BROTANTES                                                   "</f>
        <v xml:space="preserve">UNIDAD HAB. FUENTES BROTANTES                                                   </v>
      </c>
      <c r="F933" s="26" t="str">
        <f>"MIGUEL HIDALGO                                                                                                                              "</f>
        <v xml:space="preserve">MIGUEL HIDALGO                                                                                                                              </v>
      </c>
      <c r="G933" s="26" t="str">
        <f>"TLALPAN                                                                         "</f>
        <v xml:space="preserve">TLALPAN                                                                         </v>
      </c>
      <c r="H933" s="26" t="str">
        <f>"139"</f>
        <v>139</v>
      </c>
      <c r="I933" s="26" t="str">
        <f t="shared" si="142"/>
        <v>00</v>
      </c>
      <c r="J933" s="26" t="str">
        <f>"34 "</f>
        <v xml:space="preserve">34 </v>
      </c>
      <c r="K933" s="26" t="str">
        <f>"EP"</f>
        <v>EP</v>
      </c>
      <c r="L933" s="26" t="str">
        <f>"DGOSE"</f>
        <v>DGOSE</v>
      </c>
      <c r="M933" s="26" t="str">
        <f t="shared" si="143"/>
        <v>FEDERAL</v>
      </c>
      <c r="N933" s="26">
        <v>166</v>
      </c>
      <c r="O933" s="26">
        <v>77</v>
      </c>
      <c r="P933" s="26">
        <v>89</v>
      </c>
      <c r="Q933" s="26">
        <v>6</v>
      </c>
      <c r="R933" s="26">
        <v>1</v>
      </c>
      <c r="S933" s="26">
        <v>6</v>
      </c>
      <c r="T933" s="26">
        <v>5</v>
      </c>
      <c r="U933" s="26">
        <v>12</v>
      </c>
      <c r="V933" s="26">
        <v>1</v>
      </c>
      <c r="W933" s="26" t="s">
        <v>2076</v>
      </c>
    </row>
    <row r="934" spans="1:23" x14ac:dyDescent="0.25">
      <c r="A934" s="26" t="str">
        <f t="shared" si="141"/>
        <v>PREESCOLAR</v>
      </c>
      <c r="B934" s="26" t="str">
        <f>"09DJN1243A"</f>
        <v>09DJN1243A</v>
      </c>
      <c r="C934" s="26" t="str">
        <f>"JUAN E. HERNANDEZ Y DAVALOS                                                                         "</f>
        <v xml:space="preserve">JUAN E. HERNANDEZ Y DAVALOS                                                                         </v>
      </c>
      <c r="D934" s="26" t="str">
        <f>"VESPERTINO"</f>
        <v>VESPERTINO</v>
      </c>
      <c r="E934" s="26" t="str">
        <f>"MIGUEL NEGRETE S/N                                                              "</f>
        <v xml:space="preserve">MIGUEL NEGRETE S/N                                                              </v>
      </c>
      <c r="F934" s="26" t="str">
        <f>"SAN JUAN IXTAYOPAN                                                                                                                          "</f>
        <v xml:space="preserve">SAN JUAN IXTAYOPAN                                                                                                                          </v>
      </c>
      <c r="G934" s="26" t="str">
        <f>"TLAHUAC                                                                         "</f>
        <v xml:space="preserve">TLAHUAC                                                                         </v>
      </c>
      <c r="H934" s="26" t="str">
        <f>"142"</f>
        <v>142</v>
      </c>
      <c r="I934" s="26" t="str">
        <f t="shared" si="142"/>
        <v>00</v>
      </c>
      <c r="J934" s="26" t="str">
        <f>"35 "</f>
        <v xml:space="preserve">35 </v>
      </c>
      <c r="K934" s="26" t="str">
        <f>"EP"</f>
        <v>EP</v>
      </c>
      <c r="L934" s="26" t="str">
        <f>"DGOSE"</f>
        <v>DGOSE</v>
      </c>
      <c r="M934" s="26" t="str">
        <f t="shared" si="143"/>
        <v>FEDERAL</v>
      </c>
      <c r="N934" s="26">
        <v>112</v>
      </c>
      <c r="O934" s="26">
        <v>64</v>
      </c>
      <c r="P934" s="26">
        <v>48</v>
      </c>
      <c r="Q934" s="26">
        <v>4</v>
      </c>
      <c r="R934" s="26">
        <v>1</v>
      </c>
      <c r="S934" s="26">
        <v>3</v>
      </c>
      <c r="T934" s="26">
        <v>5</v>
      </c>
      <c r="U934" s="26">
        <v>9</v>
      </c>
      <c r="V934" s="26">
        <v>1</v>
      </c>
      <c r="W934" s="26"/>
    </row>
    <row r="935" spans="1:23" x14ac:dyDescent="0.25">
      <c r="A935" s="26" t="str">
        <f t="shared" si="141"/>
        <v>PREESCOLAR</v>
      </c>
      <c r="B935" s="26" t="str">
        <f>"09DJN1246Y"</f>
        <v>09DJN1246Y</v>
      </c>
      <c r="C935" s="26" t="str">
        <f>"TLALI                                                                                               "</f>
        <v xml:space="preserve">TLALI                                                                                               </v>
      </c>
      <c r="D935" s="26" t="str">
        <f>"TIEMPO COMPLETO"</f>
        <v>TIEMPO COMPLETO</v>
      </c>
      <c r="E935" s="26" t="str">
        <f>"GUADALAJARA S/N                                                                 "</f>
        <v xml:space="preserve">GUADALAJARA S/N                                                                 </v>
      </c>
      <c r="F935" s="26" t="str">
        <f>"MIGUEL HIDALGO                                                                                                                              "</f>
        <v xml:space="preserve">MIGUEL HIDALGO                                                                                                                              </v>
      </c>
      <c r="G935" s="26" t="str">
        <f>"TLALPAN                                                                         "</f>
        <v xml:space="preserve">TLALPAN                                                                         </v>
      </c>
      <c r="H935" s="26" t="str">
        <f>"139"</f>
        <v>139</v>
      </c>
      <c r="I935" s="26" t="str">
        <f t="shared" si="142"/>
        <v>00</v>
      </c>
      <c r="J935" s="26" t="str">
        <f>"34 "</f>
        <v xml:space="preserve">34 </v>
      </c>
      <c r="K935" s="26" t="str">
        <f>"EP"</f>
        <v>EP</v>
      </c>
      <c r="L935" s="26" t="str">
        <f>"DGOSE"</f>
        <v>DGOSE</v>
      </c>
      <c r="M935" s="26" t="str">
        <f t="shared" si="143"/>
        <v>FEDERAL</v>
      </c>
      <c r="N935" s="26">
        <v>162</v>
      </c>
      <c r="O935" s="26">
        <v>96</v>
      </c>
      <c r="P935" s="26">
        <v>66</v>
      </c>
      <c r="Q935" s="26">
        <v>6</v>
      </c>
      <c r="R935" s="26">
        <v>2</v>
      </c>
      <c r="S935" s="26">
        <v>6</v>
      </c>
      <c r="T935" s="26">
        <v>16</v>
      </c>
      <c r="U935" s="26">
        <v>24</v>
      </c>
      <c r="V935" s="26">
        <v>1</v>
      </c>
      <c r="W935" s="26" t="s">
        <v>218</v>
      </c>
    </row>
    <row r="936" spans="1:23" x14ac:dyDescent="0.25">
      <c r="A936" s="26" t="str">
        <f t="shared" si="141"/>
        <v>PREESCOLAR</v>
      </c>
      <c r="B936" s="26" t="str">
        <f>"09DJN1247X"</f>
        <v>09DJN1247X</v>
      </c>
      <c r="C936" s="26" t="str">
        <f>"TEOCALLI                                                                                            "</f>
        <v xml:space="preserve">TEOCALLI                                                                                            </v>
      </c>
      <c r="D936" s="26" t="str">
        <f>"JORNADA AMPLIADA"</f>
        <v>JORNADA AMPLIADA</v>
      </c>
      <c r="E936" s="26" t="str">
        <f>"UNIDAD NACIONAL S/N                                                             "</f>
        <v xml:space="preserve">UNIDAD NACIONAL S/N                                                             </v>
      </c>
      <c r="F936" s="26" t="str">
        <f>"UNIDAD HABITACIONAL TULYEHUALCO M.                                                                                                          "</f>
        <v xml:space="preserve">UNIDAD HABITACIONAL TULYEHUALCO M.                                                                                                          </v>
      </c>
      <c r="G936" s="26" t="str">
        <f>"IZTAPALAPA                                                                      "</f>
        <v xml:space="preserve">IZTAPALAPA                                                                      </v>
      </c>
      <c r="H936" s="26" t="str">
        <f>"009"</f>
        <v>009</v>
      </c>
      <c r="I936" s="26" t="str">
        <f t="shared" si="142"/>
        <v>00</v>
      </c>
      <c r="J936" s="26" t="str">
        <f>"61 "</f>
        <v xml:space="preserve">61 </v>
      </c>
      <c r="K936" s="26" t="str">
        <f>"IZ"</f>
        <v>IZ</v>
      </c>
      <c r="L936" s="26" t="str">
        <f>"DGSEI"</f>
        <v>DGSEI</v>
      </c>
      <c r="M936" s="26" t="str">
        <f t="shared" si="143"/>
        <v>FEDERAL</v>
      </c>
      <c r="N936" s="26">
        <v>236</v>
      </c>
      <c r="O936" s="26">
        <v>131</v>
      </c>
      <c r="P936" s="26">
        <v>105</v>
      </c>
      <c r="Q936" s="26">
        <v>6</v>
      </c>
      <c r="R936" s="26">
        <v>1</v>
      </c>
      <c r="S936" s="26">
        <v>6</v>
      </c>
      <c r="T936" s="26">
        <v>6</v>
      </c>
      <c r="U936" s="26">
        <v>13</v>
      </c>
      <c r="V936" s="26">
        <v>1</v>
      </c>
      <c r="W936" s="26" t="s">
        <v>2076</v>
      </c>
    </row>
    <row r="937" spans="1:23" x14ac:dyDescent="0.25">
      <c r="A937" s="26" t="str">
        <f t="shared" si="141"/>
        <v>PREESCOLAR</v>
      </c>
      <c r="B937" s="26" t="str">
        <f>"09DJN1248W"</f>
        <v>09DJN1248W</v>
      </c>
      <c r="C937" s="26" t="str">
        <f>"YEYETZI                                                                                             "</f>
        <v xml:space="preserve">YEYETZI                                                                                             </v>
      </c>
      <c r="D937" s="26" t="str">
        <f>"VESPERTINO"</f>
        <v>VESPERTINO</v>
      </c>
      <c r="E937" s="26" t="str">
        <f>"AV. CENTENARIO S/N                                                              "</f>
        <v xml:space="preserve">AV. CENTENARIO S/N                                                              </v>
      </c>
      <c r="F937" s="26" t="str">
        <f>"HERON PROAL                                                                                                                                 "</f>
        <v xml:space="preserve">HERON PROAL                                                                                                                                 </v>
      </c>
      <c r="G937" s="26" t="str">
        <f>"ALVARO OBREGON                                                                  "</f>
        <v xml:space="preserve">ALVARO OBREGON                                                                  </v>
      </c>
      <c r="H937" s="26" t="str">
        <f>"215"</f>
        <v>215</v>
      </c>
      <c r="I937" s="26" t="str">
        <f t="shared" si="142"/>
        <v>00</v>
      </c>
      <c r="J937" s="26" t="str">
        <f>"33 "</f>
        <v xml:space="preserve">33 </v>
      </c>
      <c r="K937" s="26" t="str">
        <f>"EP"</f>
        <v>EP</v>
      </c>
      <c r="L937" s="26" t="str">
        <f>"DGOSE"</f>
        <v>DGOSE</v>
      </c>
      <c r="M937" s="26" t="str">
        <f t="shared" si="143"/>
        <v>FEDERAL</v>
      </c>
      <c r="N937" s="26">
        <v>147</v>
      </c>
      <c r="O937" s="26">
        <v>72</v>
      </c>
      <c r="P937" s="26">
        <v>75</v>
      </c>
      <c r="Q937" s="26">
        <v>4</v>
      </c>
      <c r="R937" s="26">
        <v>1</v>
      </c>
      <c r="S937" s="26">
        <v>4</v>
      </c>
      <c r="T937" s="26">
        <v>4</v>
      </c>
      <c r="U937" s="26">
        <v>9</v>
      </c>
      <c r="V937" s="26">
        <v>1</v>
      </c>
      <c r="W937" s="26"/>
    </row>
    <row r="938" spans="1:23" x14ac:dyDescent="0.25">
      <c r="A938" s="26" t="str">
        <f t="shared" si="141"/>
        <v>PREESCOLAR</v>
      </c>
      <c r="B938" s="26" t="str">
        <f>"09DJN1249V"</f>
        <v>09DJN1249V</v>
      </c>
      <c r="C938" s="26" t="str">
        <f>"HUITZILIHUITL                                                                                       "</f>
        <v xml:space="preserve">HUITZILIHUITL                                                                                       </v>
      </c>
      <c r="D938" s="26" t="str">
        <f>"TIEMPO COMPLETO"</f>
        <v>TIEMPO COMPLETO</v>
      </c>
      <c r="E938" s="26" t="str">
        <f>"CDA. 10 Y AV. DE LAS TORRES                                                     "</f>
        <v xml:space="preserve">CDA. 10 Y AV. DE LAS TORRES                                                     </v>
      </c>
      <c r="F938" s="26" t="str">
        <f>"VALLE DE SAN LORENZO                                                                                                                        "</f>
        <v xml:space="preserve">VALLE DE SAN LORENZO                                                                                                                        </v>
      </c>
      <c r="G938" s="26" t="str">
        <f>"IZTAPALAPA                                                                      "</f>
        <v xml:space="preserve">IZTAPALAPA                                                                      </v>
      </c>
      <c r="H938" s="26" t="str">
        <f>"009"</f>
        <v>009</v>
      </c>
      <c r="I938" s="26" t="str">
        <f t="shared" si="142"/>
        <v>00</v>
      </c>
      <c r="J938" s="26" t="str">
        <f>"61 "</f>
        <v xml:space="preserve">61 </v>
      </c>
      <c r="K938" s="26" t="str">
        <f>"IZ"</f>
        <v>IZ</v>
      </c>
      <c r="L938" s="26" t="str">
        <f>"DGSEI"</f>
        <v>DGSEI</v>
      </c>
      <c r="M938" s="26" t="str">
        <f t="shared" si="143"/>
        <v>FEDERAL</v>
      </c>
      <c r="N938" s="26">
        <v>244</v>
      </c>
      <c r="O938" s="26">
        <v>127</v>
      </c>
      <c r="P938" s="26">
        <v>117</v>
      </c>
      <c r="Q938" s="26">
        <v>6</v>
      </c>
      <c r="R938" s="26">
        <v>1</v>
      </c>
      <c r="S938" s="26">
        <v>6</v>
      </c>
      <c r="T938" s="26">
        <v>8</v>
      </c>
      <c r="U938" s="26">
        <v>15</v>
      </c>
      <c r="V938" s="26">
        <v>1</v>
      </c>
      <c r="W938" s="26" t="s">
        <v>218</v>
      </c>
    </row>
    <row r="939" spans="1:23" x14ac:dyDescent="0.25">
      <c r="A939" s="26" t="str">
        <f t="shared" si="141"/>
        <v>PREESCOLAR</v>
      </c>
      <c r="B939" s="26" t="str">
        <f>"09DJN1250K"</f>
        <v>09DJN1250K</v>
      </c>
      <c r="C939" s="26" t="str">
        <f>"CUAUHTLAHUAC                                                                                        "</f>
        <v xml:space="preserve">CUAUHTLAHUAC                                                                                        </v>
      </c>
      <c r="D939" s="26" t="str">
        <f>"MATUTINO"</f>
        <v>MATUTINO</v>
      </c>
      <c r="E939" s="26" t="str">
        <f>"ARROYO TLALOC Y PUENTE TITLA S/N                                                "</f>
        <v xml:space="preserve">ARROYO TLALOC Y PUENTE TITLA S/N                                                </v>
      </c>
      <c r="F939" s="26" t="str">
        <f>"RICARDO FLORES MAGON                                                                                                                        "</f>
        <v xml:space="preserve">RICARDO FLORES MAGON                                                                                                                        </v>
      </c>
      <c r="G939" s="26" t="str">
        <f>"IZTAPALAPA                                                                      "</f>
        <v xml:space="preserve">IZTAPALAPA                                                                      </v>
      </c>
      <c r="H939" s="26" t="str">
        <f>"021"</f>
        <v>021</v>
      </c>
      <c r="I939" s="26" t="str">
        <f t="shared" si="142"/>
        <v>00</v>
      </c>
      <c r="J939" s="26" t="str">
        <f>"63 "</f>
        <v xml:space="preserve">63 </v>
      </c>
      <c r="K939" s="26" t="str">
        <f>"IZ"</f>
        <v>IZ</v>
      </c>
      <c r="L939" s="26" t="str">
        <f>"DGSEI"</f>
        <v>DGSEI</v>
      </c>
      <c r="M939" s="26" t="str">
        <f t="shared" si="143"/>
        <v>FEDERAL</v>
      </c>
      <c r="N939" s="26">
        <v>160</v>
      </c>
      <c r="O939" s="26">
        <v>78</v>
      </c>
      <c r="P939" s="26">
        <v>82</v>
      </c>
      <c r="Q939" s="26">
        <v>5</v>
      </c>
      <c r="R939" s="26">
        <v>1</v>
      </c>
      <c r="S939" s="26">
        <v>5</v>
      </c>
      <c r="T939" s="26">
        <v>5</v>
      </c>
      <c r="U939" s="26">
        <v>11</v>
      </c>
      <c r="V939" s="26">
        <v>1</v>
      </c>
      <c r="W939" s="26"/>
    </row>
    <row r="940" spans="1:23" x14ac:dyDescent="0.25">
      <c r="A940" s="26" t="str">
        <f t="shared" si="141"/>
        <v>PREESCOLAR</v>
      </c>
      <c r="B940" s="26" t="str">
        <f>"09DJN1251J"</f>
        <v>09DJN1251J</v>
      </c>
      <c r="C940" s="26" t="str">
        <f>"YOLILIZTLI                                                                                          "</f>
        <v xml:space="preserve">YOLILIZTLI                                                                                          </v>
      </c>
      <c r="D940" s="26" t="str">
        <f>"VESPERTINO"</f>
        <v>VESPERTINO</v>
      </c>
      <c r="E940" s="26" t="str">
        <f>"AV. JUAREZ S/N ESQ. ACUEXCOMAC                                                  "</f>
        <v xml:space="preserve">AV. JUAREZ S/N ESQ. ACUEXCOMAC                                                  </v>
      </c>
      <c r="F940" s="26" t="str">
        <f>"SAN LUIS TLAXIALTEMALCO                                                                                                                     "</f>
        <v xml:space="preserve">SAN LUIS TLAXIALTEMALCO                                                                                                                     </v>
      </c>
      <c r="G940" s="26" t="str">
        <f>"XOCHIMILCO                                                                      "</f>
        <v xml:space="preserve">XOCHIMILCO                                                                      </v>
      </c>
      <c r="H940" s="26" t="str">
        <f>"033"</f>
        <v>033</v>
      </c>
      <c r="I940" s="26" t="str">
        <f t="shared" si="142"/>
        <v>00</v>
      </c>
      <c r="J940" s="26" t="str">
        <f>"35 "</f>
        <v xml:space="preserve">35 </v>
      </c>
      <c r="K940" s="26" t="str">
        <f>"EP"</f>
        <v>EP</v>
      </c>
      <c r="L940" s="26" t="str">
        <f>"DGOSE"</f>
        <v>DGOSE</v>
      </c>
      <c r="M940" s="26" t="str">
        <f t="shared" si="143"/>
        <v>FEDERAL</v>
      </c>
      <c r="N940" s="26">
        <v>169</v>
      </c>
      <c r="O940" s="26">
        <v>82</v>
      </c>
      <c r="P940" s="26">
        <v>87</v>
      </c>
      <c r="Q940" s="26">
        <v>6</v>
      </c>
      <c r="R940" s="26">
        <v>1</v>
      </c>
      <c r="S940" s="26">
        <v>6</v>
      </c>
      <c r="T940" s="26">
        <v>5</v>
      </c>
      <c r="U940" s="26">
        <v>12</v>
      </c>
      <c r="V940" s="26">
        <v>1</v>
      </c>
      <c r="W940" s="26"/>
    </row>
    <row r="941" spans="1:23" x14ac:dyDescent="0.25">
      <c r="A941" s="26" t="str">
        <f t="shared" si="141"/>
        <v>PREESCOLAR</v>
      </c>
      <c r="B941" s="26" t="str">
        <f>"09DJN1252I"</f>
        <v>09DJN1252I</v>
      </c>
      <c r="C941" s="26" t="str">
        <f>"TLAHUIZ                                                                                             "</f>
        <v xml:space="preserve">TLAHUIZ                                                                                             </v>
      </c>
      <c r="D941" s="26" t="str">
        <f>"VESPERTINO"</f>
        <v>VESPERTINO</v>
      </c>
      <c r="E941" s="26" t="str">
        <f>"PROLONG. AQUILES SERDAN S/N                                                     "</f>
        <v xml:space="preserve">PROLONG. AQUILES SERDAN S/N                                                     </v>
      </c>
      <c r="F941" s="26" t="str">
        <f>"SANTIAGO TEPALCATLAPAN                                                                                                                      "</f>
        <v xml:space="preserve">SANTIAGO TEPALCATLAPAN                                                                                                                      </v>
      </c>
      <c r="G941" s="26" t="str">
        <f>"XOCHIMILCO                                                                      "</f>
        <v xml:space="preserve">XOCHIMILCO                                                                      </v>
      </c>
      <c r="H941" s="26" t="str">
        <f>"081"</f>
        <v>081</v>
      </c>
      <c r="I941" s="26" t="str">
        <f t="shared" si="142"/>
        <v>00</v>
      </c>
      <c r="J941" s="26" t="str">
        <f>"35 "</f>
        <v xml:space="preserve">35 </v>
      </c>
      <c r="K941" s="26" t="str">
        <f>"EP"</f>
        <v>EP</v>
      </c>
      <c r="L941" s="26" t="str">
        <f>"DGOSE"</f>
        <v>DGOSE</v>
      </c>
      <c r="M941" s="26" t="str">
        <f t="shared" si="143"/>
        <v>FEDERAL</v>
      </c>
      <c r="N941" s="26">
        <v>154</v>
      </c>
      <c r="O941" s="26">
        <v>76</v>
      </c>
      <c r="P941" s="26">
        <v>78</v>
      </c>
      <c r="Q941" s="26">
        <v>5</v>
      </c>
      <c r="R941" s="26">
        <v>1</v>
      </c>
      <c r="S941" s="26">
        <v>5</v>
      </c>
      <c r="T941" s="26">
        <v>4</v>
      </c>
      <c r="U941" s="26">
        <v>10</v>
      </c>
      <c r="V941" s="26">
        <v>1</v>
      </c>
      <c r="W941" s="26"/>
    </row>
    <row r="942" spans="1:23" x14ac:dyDescent="0.25">
      <c r="A942" s="26" t="str">
        <f t="shared" si="141"/>
        <v>PREESCOLAR</v>
      </c>
      <c r="B942" s="26" t="str">
        <f>"09DJN1253H"</f>
        <v>09DJN1253H</v>
      </c>
      <c r="C942" s="26" t="str">
        <f>"IN IXTLI IN YOLLOTL                                                                                 "</f>
        <v xml:space="preserve">IN IXTLI IN YOLLOTL                                                                                 </v>
      </c>
      <c r="D942" s="26" t="str">
        <f>"TIEMPO COMPLETO"</f>
        <v>TIEMPO COMPLETO</v>
      </c>
      <c r="E942" s="26" t="str">
        <f>"EXPLOSIVOS S/N                                                                  "</f>
        <v xml:space="preserve">EXPLOSIVOS S/N                                                                  </v>
      </c>
      <c r="F942" s="26" t="str">
        <f>"EL CHAMIZAL                                                                                                                                 "</f>
        <v xml:space="preserve">EL CHAMIZAL                                                                                                                                 </v>
      </c>
      <c r="G942" s="26" t="str">
        <f>"CUAJIMALPA DE MORELOS                                                           "</f>
        <v xml:space="preserve">CUAJIMALPA DE MORELOS                                                           </v>
      </c>
      <c r="H942" s="26" t="str">
        <f>"048"</f>
        <v>048</v>
      </c>
      <c r="I942" s="26" t="str">
        <f t="shared" si="142"/>
        <v>00</v>
      </c>
      <c r="J942" s="26" t="str">
        <f>"34 "</f>
        <v xml:space="preserve">34 </v>
      </c>
      <c r="K942" s="26" t="str">
        <f>"EP"</f>
        <v>EP</v>
      </c>
      <c r="L942" s="26" t="str">
        <f>"DGOSE"</f>
        <v>DGOSE</v>
      </c>
      <c r="M942" s="26" t="str">
        <f t="shared" si="143"/>
        <v>FEDERAL</v>
      </c>
      <c r="N942" s="26">
        <v>163</v>
      </c>
      <c r="O942" s="26">
        <v>86</v>
      </c>
      <c r="P942" s="26">
        <v>77</v>
      </c>
      <c r="Q942" s="26">
        <v>5</v>
      </c>
      <c r="R942" s="26">
        <v>2</v>
      </c>
      <c r="S942" s="26">
        <v>5</v>
      </c>
      <c r="T942" s="26">
        <v>11</v>
      </c>
      <c r="U942" s="26">
        <v>18</v>
      </c>
      <c r="V942" s="26">
        <v>1</v>
      </c>
      <c r="W942" s="26" t="s">
        <v>218</v>
      </c>
    </row>
    <row r="943" spans="1:23" x14ac:dyDescent="0.25">
      <c r="A943" s="26" t="str">
        <f t="shared" si="141"/>
        <v>PREESCOLAR</v>
      </c>
      <c r="B943" s="26" t="str">
        <f>"09DJN1254G"</f>
        <v>09DJN1254G</v>
      </c>
      <c r="C943" s="26" t="str">
        <f>"NAYELI NENETLI                                                                                      "</f>
        <v xml:space="preserve">NAYELI NENETLI                                                                                      </v>
      </c>
      <c r="D943" s="26" t="str">
        <f>"VESPERTINO"</f>
        <v>VESPERTINO</v>
      </c>
      <c r="E943" s="26" t="str">
        <f>"ALVARO OBREGON S/N                                                              "</f>
        <v xml:space="preserve">ALVARO OBREGON S/N                                                              </v>
      </c>
      <c r="F943" s="26" t="str">
        <f>"SAN BERNABE OCOTEPEC                                                                                                                        "</f>
        <v xml:space="preserve">SAN BERNABE OCOTEPEC                                                                                                                        </v>
      </c>
      <c r="G943" s="26" t="str">
        <f>"LA MAGDALENA CONTRERAS                                                          "</f>
        <v xml:space="preserve">LA MAGDALENA CONTRERAS                                                          </v>
      </c>
      <c r="H943" s="26" t="str">
        <f>"066"</f>
        <v>066</v>
      </c>
      <c r="I943" s="26" t="str">
        <f t="shared" si="142"/>
        <v>00</v>
      </c>
      <c r="J943" s="26" t="str">
        <f>"35 "</f>
        <v xml:space="preserve">35 </v>
      </c>
      <c r="K943" s="26" t="str">
        <f>"EP"</f>
        <v>EP</v>
      </c>
      <c r="L943" s="26" t="str">
        <f>"DGOSE"</f>
        <v>DGOSE</v>
      </c>
      <c r="M943" s="26" t="str">
        <f t="shared" si="143"/>
        <v>FEDERAL</v>
      </c>
      <c r="N943" s="26">
        <v>149</v>
      </c>
      <c r="O943" s="26">
        <v>86</v>
      </c>
      <c r="P943" s="26">
        <v>63</v>
      </c>
      <c r="Q943" s="26">
        <v>5</v>
      </c>
      <c r="R943" s="26">
        <v>1</v>
      </c>
      <c r="S943" s="26">
        <v>5</v>
      </c>
      <c r="T943" s="26">
        <v>4</v>
      </c>
      <c r="U943" s="26">
        <v>10</v>
      </c>
      <c r="V943" s="26">
        <v>1</v>
      </c>
      <c r="W943" s="26"/>
    </row>
    <row r="944" spans="1:23" x14ac:dyDescent="0.25">
      <c r="A944" s="26" t="str">
        <f t="shared" si="141"/>
        <v>PREESCOLAR</v>
      </c>
      <c r="B944" s="26" t="str">
        <f>"09DJN1256E"</f>
        <v>09DJN1256E</v>
      </c>
      <c r="C944" s="26" t="str">
        <f>"JORGE LUIS BORGES                                                                                   "</f>
        <v xml:space="preserve">JORGE LUIS BORGES                                                                                   </v>
      </c>
      <c r="D944" s="26" t="str">
        <f>"TIEMPO COMPLETO"</f>
        <v>TIEMPO COMPLETO</v>
      </c>
      <c r="E944" s="26" t="str">
        <f>"FRANCISCO VILLA Y ESTADO DE MEXICO                                              "</f>
        <v xml:space="preserve">FRANCISCO VILLA Y ESTADO DE MEXICO                                              </v>
      </c>
      <c r="F944" s="26" t="str">
        <f>"LOMA DE LA PALMA                                                                                                                            "</f>
        <v xml:space="preserve">LOMA DE LA PALMA                                                                                                                            </v>
      </c>
      <c r="G944" s="26" t="str">
        <f>"GUSTAVO A. MADERO                                                               "</f>
        <v xml:space="preserve">GUSTAVO A. MADERO                                                               </v>
      </c>
      <c r="H944" s="26" t="str">
        <f>"001"</f>
        <v>001</v>
      </c>
      <c r="I944" s="26" t="str">
        <f t="shared" si="142"/>
        <v>00</v>
      </c>
      <c r="J944" s="26" t="str">
        <f>"31 "</f>
        <v xml:space="preserve">31 </v>
      </c>
      <c r="K944" s="26" t="str">
        <f>"EP"</f>
        <v>EP</v>
      </c>
      <c r="L944" s="26" t="str">
        <f>"DGOSE"</f>
        <v>DGOSE</v>
      </c>
      <c r="M944" s="26" t="str">
        <f t="shared" si="143"/>
        <v>FEDERAL</v>
      </c>
      <c r="N944" s="26">
        <v>164</v>
      </c>
      <c r="O944" s="26">
        <v>85</v>
      </c>
      <c r="P944" s="26">
        <v>79</v>
      </c>
      <c r="Q944" s="26">
        <v>5</v>
      </c>
      <c r="R944" s="26">
        <v>2</v>
      </c>
      <c r="S944" s="26">
        <v>5</v>
      </c>
      <c r="T944" s="26">
        <v>15</v>
      </c>
      <c r="U944" s="26">
        <v>22</v>
      </c>
      <c r="V944" s="26">
        <v>1</v>
      </c>
      <c r="W944" s="26" t="s">
        <v>218</v>
      </c>
    </row>
    <row r="945" spans="1:23" x14ac:dyDescent="0.25">
      <c r="A945" s="26" t="str">
        <f t="shared" si="141"/>
        <v>PREESCOLAR</v>
      </c>
      <c r="B945" s="26" t="str">
        <f>"09DJN1257D"</f>
        <v>09DJN1257D</v>
      </c>
      <c r="C945" s="26" t="str">
        <f>"PROFRA. INES SALGADO ARROYO                                                                         "</f>
        <v xml:space="preserve">PROFRA. INES SALGADO ARROYO                                                                         </v>
      </c>
      <c r="D945" s="26" t="str">
        <f>"MATUTINO"</f>
        <v>MATUTINO</v>
      </c>
      <c r="E945" s="26" t="str">
        <f>"BETABEL S/N                                                                     "</f>
        <v xml:space="preserve">BETABEL S/N                                                                     </v>
      </c>
      <c r="F945" s="26" t="str">
        <f>"TENORIOS                                                                                                                                    "</f>
        <v xml:space="preserve">TENORIOS                                                                                                                                    </v>
      </c>
      <c r="G945" s="26" t="str">
        <f>"IZTAPALAPA                                                                      "</f>
        <v xml:space="preserve">IZTAPALAPA                                                                      </v>
      </c>
      <c r="H945" s="26" t="str">
        <f>"036"</f>
        <v>036</v>
      </c>
      <c r="I945" s="26" t="str">
        <f t="shared" si="142"/>
        <v>00</v>
      </c>
      <c r="J945" s="26" t="str">
        <f>"64 "</f>
        <v xml:space="preserve">64 </v>
      </c>
      <c r="K945" s="26" t="str">
        <f>"IZ"</f>
        <v>IZ</v>
      </c>
      <c r="L945" s="26" t="str">
        <f>"DGSEI"</f>
        <v>DGSEI</v>
      </c>
      <c r="M945" s="26" t="str">
        <f t="shared" si="143"/>
        <v>FEDERAL</v>
      </c>
      <c r="N945" s="26">
        <v>271</v>
      </c>
      <c r="O945" s="26">
        <v>135</v>
      </c>
      <c r="P945" s="26">
        <v>136</v>
      </c>
      <c r="Q945" s="26">
        <v>7</v>
      </c>
      <c r="R945" s="26">
        <v>1</v>
      </c>
      <c r="S945" s="26">
        <v>7</v>
      </c>
      <c r="T945" s="26">
        <v>4</v>
      </c>
      <c r="U945" s="26">
        <v>12</v>
      </c>
      <c r="V945" s="26">
        <v>1</v>
      </c>
      <c r="W945" s="26"/>
    </row>
    <row r="946" spans="1:23" x14ac:dyDescent="0.25">
      <c r="A946" s="26" t="str">
        <f t="shared" si="141"/>
        <v>PREESCOLAR</v>
      </c>
      <c r="B946" s="26" t="str">
        <f>"09DJN1258C"</f>
        <v>09DJN1258C</v>
      </c>
      <c r="C946" s="26" t="str">
        <f>"PILTZINTLI                                                                                          "</f>
        <v xml:space="preserve">PILTZINTLI                                                                                          </v>
      </c>
      <c r="D946" s="26" t="str">
        <f>"TIEMPO COMPLETO"</f>
        <v>TIEMPO COMPLETO</v>
      </c>
      <c r="E946" s="26" t="str">
        <f>"GRANADA S/N.                                                                    "</f>
        <v xml:space="preserve">GRANADA S/N.                                                                    </v>
      </c>
      <c r="F946" s="26" t="str">
        <f>"MIRAVALLE                                                                                                                                   "</f>
        <v xml:space="preserve">MIRAVALLE                                                                                                                                   </v>
      </c>
      <c r="G946" s="26" t="str">
        <f>"IZTAPALAPA                                                                      "</f>
        <v xml:space="preserve">IZTAPALAPA                                                                      </v>
      </c>
      <c r="H946" s="26" t="str">
        <f>"013"</f>
        <v>013</v>
      </c>
      <c r="I946" s="26" t="str">
        <f t="shared" si="142"/>
        <v>00</v>
      </c>
      <c r="J946" s="26" t="str">
        <f>"61 "</f>
        <v xml:space="preserve">61 </v>
      </c>
      <c r="K946" s="26" t="str">
        <f>"IZ"</f>
        <v>IZ</v>
      </c>
      <c r="L946" s="26" t="str">
        <f>"DGSEI"</f>
        <v>DGSEI</v>
      </c>
      <c r="M946" s="26" t="str">
        <f t="shared" si="143"/>
        <v>FEDERAL</v>
      </c>
      <c r="N946" s="26">
        <v>281</v>
      </c>
      <c r="O946" s="26">
        <v>149</v>
      </c>
      <c r="P946" s="26">
        <v>132</v>
      </c>
      <c r="Q946" s="26">
        <v>8</v>
      </c>
      <c r="R946" s="26">
        <v>1</v>
      </c>
      <c r="S946" s="26">
        <v>8</v>
      </c>
      <c r="T946" s="26">
        <v>6</v>
      </c>
      <c r="U946" s="26">
        <v>15</v>
      </c>
      <c r="V946" s="26">
        <v>1</v>
      </c>
      <c r="W946" s="26" t="s">
        <v>218</v>
      </c>
    </row>
    <row r="947" spans="1:23" x14ac:dyDescent="0.25">
      <c r="A947" s="26" t="str">
        <f t="shared" si="141"/>
        <v>PREESCOLAR</v>
      </c>
      <c r="B947" s="26" t="str">
        <f>"09DJN1260R"</f>
        <v>09DJN1260R</v>
      </c>
      <c r="C947" s="26" t="str">
        <f>"ALI CHUMACERO                                                                                       "</f>
        <v xml:space="preserve">ALI CHUMACERO                                                                                       </v>
      </c>
      <c r="D947" s="26" t="str">
        <f>"JORNADA AMPLIADA"</f>
        <v>JORNADA AMPLIADA</v>
      </c>
      <c r="E947" s="26" t="str">
        <f>"CIENCIA Y TECNOLOGIA S/N                                                        "</f>
        <v xml:space="preserve">CIENCIA Y TECNOLOGIA S/N                                                        </v>
      </c>
      <c r="F947" s="26" t="str">
        <f>"PLAN DE AYALA                                                                                                                               "</f>
        <v xml:space="preserve">PLAN DE AYALA                                                                                                                               </v>
      </c>
      <c r="G947" s="26" t="str">
        <f>"TLALPAN                                                                         "</f>
        <v xml:space="preserve">TLALPAN                                                                         </v>
      </c>
      <c r="H947" s="26" t="str">
        <f>"229"</f>
        <v>229</v>
      </c>
      <c r="I947" s="26" t="str">
        <f t="shared" si="142"/>
        <v>00</v>
      </c>
      <c r="J947" s="26" t="str">
        <f>"34 "</f>
        <v xml:space="preserve">34 </v>
      </c>
      <c r="K947" s="26" t="str">
        <f>"EP"</f>
        <v>EP</v>
      </c>
      <c r="L947" s="26" t="str">
        <f>"DGOSE"</f>
        <v>DGOSE</v>
      </c>
      <c r="M947" s="26" t="str">
        <f t="shared" si="143"/>
        <v>FEDERAL</v>
      </c>
      <c r="N947" s="26">
        <v>236</v>
      </c>
      <c r="O947" s="26">
        <v>118</v>
      </c>
      <c r="P947" s="26">
        <v>118</v>
      </c>
      <c r="Q947" s="26">
        <v>7</v>
      </c>
      <c r="R947" s="26">
        <v>1</v>
      </c>
      <c r="S947" s="26">
        <v>7</v>
      </c>
      <c r="T947" s="26">
        <v>4</v>
      </c>
      <c r="U947" s="26">
        <v>12</v>
      </c>
      <c r="V947" s="26">
        <v>1</v>
      </c>
      <c r="W947" s="26" t="s">
        <v>2076</v>
      </c>
    </row>
    <row r="948" spans="1:23" x14ac:dyDescent="0.25">
      <c r="A948" s="26" t="str">
        <f t="shared" si="141"/>
        <v>PREESCOLAR</v>
      </c>
      <c r="B948" s="26" t="str">
        <f>"09DJN1261Q"</f>
        <v>09DJN1261Q</v>
      </c>
      <c r="C948" s="26" t="str">
        <f>"NAHIBI                                                                                              "</f>
        <v xml:space="preserve">NAHIBI                                                                                              </v>
      </c>
      <c r="D948" s="26" t="str">
        <f>"VESPERTINO"</f>
        <v>VESPERTINO</v>
      </c>
      <c r="E948" s="26" t="str">
        <f>"TEJOCOTES Y ESPIRITU SANTO S/N                                                  "</f>
        <v xml:space="preserve">TEJOCOTES Y ESPIRITU SANTO S/N                                                  </v>
      </c>
      <c r="F948" s="26" t="str">
        <f>"XALPA                                                                                                                                       "</f>
        <v xml:space="preserve">XALPA                                                                                                                                       </v>
      </c>
      <c r="G948" s="26" t="str">
        <f>"IZTAPALAPA                                                                      "</f>
        <v xml:space="preserve">IZTAPALAPA                                                                      </v>
      </c>
      <c r="H948" s="26" t="str">
        <f>"035"</f>
        <v>035</v>
      </c>
      <c r="I948" s="26" t="str">
        <f t="shared" si="142"/>
        <v>00</v>
      </c>
      <c r="J948" s="26" t="str">
        <f>"64 "</f>
        <v xml:space="preserve">64 </v>
      </c>
      <c r="K948" s="26" t="str">
        <f>"IZ"</f>
        <v>IZ</v>
      </c>
      <c r="L948" s="26" t="str">
        <f>"DGSEI"</f>
        <v>DGSEI</v>
      </c>
      <c r="M948" s="26" t="str">
        <f t="shared" si="143"/>
        <v>FEDERAL</v>
      </c>
      <c r="N948" s="26">
        <v>228</v>
      </c>
      <c r="O948" s="26">
        <v>105</v>
      </c>
      <c r="P948" s="26">
        <v>123</v>
      </c>
      <c r="Q948" s="26">
        <v>6</v>
      </c>
      <c r="R948" s="26">
        <v>1</v>
      </c>
      <c r="S948" s="26">
        <v>6</v>
      </c>
      <c r="T948" s="26">
        <v>3</v>
      </c>
      <c r="U948" s="26">
        <v>10</v>
      </c>
      <c r="V948" s="26">
        <v>1</v>
      </c>
      <c r="W948" s="26"/>
    </row>
    <row r="949" spans="1:23" x14ac:dyDescent="0.25">
      <c r="A949" s="26" t="str">
        <f t="shared" si="141"/>
        <v>PREESCOLAR</v>
      </c>
      <c r="B949" s="26" t="str">
        <f>"09DJN1262P"</f>
        <v>09DJN1262P</v>
      </c>
      <c r="C949" s="26" t="str">
        <f>"VICENTE T. MENDOZA                                                                                  "</f>
        <v xml:space="preserve">VICENTE T. MENDOZA                                                                                  </v>
      </c>
      <c r="D949" s="26" t="str">
        <f>"VESPERTINO"</f>
        <v>VESPERTINO</v>
      </c>
      <c r="E949" s="26" t="str">
        <f>"REFORMA SOCIAL Y REFORMA LIBERAL S/N                                            "</f>
        <v xml:space="preserve">REFORMA SOCIAL Y REFORMA LIBERAL S/N                                            </v>
      </c>
      <c r="F949" s="26" t="str">
        <f>"REFORMA POLITICA                                                                                                                            "</f>
        <v xml:space="preserve">REFORMA POLITICA                                                                                                                            </v>
      </c>
      <c r="G949" s="26" t="str">
        <f>"IZTAPALAPA                                                                      "</f>
        <v xml:space="preserve">IZTAPALAPA                                                                      </v>
      </c>
      <c r="H949" s="26" t="str">
        <f>"034"</f>
        <v>034</v>
      </c>
      <c r="I949" s="26" t="str">
        <f t="shared" si="142"/>
        <v>00</v>
      </c>
      <c r="J949" s="26" t="str">
        <f>"64 "</f>
        <v xml:space="preserve">64 </v>
      </c>
      <c r="K949" s="26" t="str">
        <f>"IZ"</f>
        <v>IZ</v>
      </c>
      <c r="L949" s="26" t="str">
        <f>"DGSEI"</f>
        <v>DGSEI</v>
      </c>
      <c r="M949" s="26" t="str">
        <f t="shared" si="143"/>
        <v>FEDERAL</v>
      </c>
      <c r="N949" s="26">
        <v>194</v>
      </c>
      <c r="O949" s="26">
        <v>100</v>
      </c>
      <c r="P949" s="26">
        <v>94</v>
      </c>
      <c r="Q949" s="26">
        <v>7</v>
      </c>
      <c r="R949" s="26">
        <v>1</v>
      </c>
      <c r="S949" s="26">
        <v>6</v>
      </c>
      <c r="T949" s="26">
        <v>2</v>
      </c>
      <c r="U949" s="26">
        <v>9</v>
      </c>
      <c r="V949" s="26">
        <v>1</v>
      </c>
      <c r="W949" s="26"/>
    </row>
    <row r="950" spans="1:23" x14ac:dyDescent="0.25">
      <c r="A950" s="26" t="str">
        <f t="shared" si="141"/>
        <v>PREESCOLAR</v>
      </c>
      <c r="B950" s="26" t="str">
        <f>"09DJN1263O"</f>
        <v>09DJN1263O</v>
      </c>
      <c r="C950" s="26" t="str">
        <f>"PILLI                                                                                               "</f>
        <v xml:space="preserve">PILLI                                                                                               </v>
      </c>
      <c r="D950" s="26" t="str">
        <f>"VESPERTINO"</f>
        <v>VESPERTINO</v>
      </c>
      <c r="E950" s="26" t="str">
        <f>"JUAN MORENO Y JESUS GARIBAY S/N.                                                "</f>
        <v xml:space="preserve">JUAN MORENO Y JESUS GARIBAY S/N.                                                </v>
      </c>
      <c r="F950" s="26" t="str">
        <f>"CONSEJO AGRARISTA MEXICANO                                                                                                                  "</f>
        <v xml:space="preserve">CONSEJO AGRARISTA MEXICANO                                                                                                                  </v>
      </c>
      <c r="G950" s="26" t="str">
        <f>"IZTAPALAPA                                                                      "</f>
        <v xml:space="preserve">IZTAPALAPA                                                                      </v>
      </c>
      <c r="H950" s="26" t="str">
        <f>"029"</f>
        <v>029</v>
      </c>
      <c r="I950" s="26" t="str">
        <f t="shared" si="142"/>
        <v>00</v>
      </c>
      <c r="J950" s="26" t="str">
        <f>"64 "</f>
        <v xml:space="preserve">64 </v>
      </c>
      <c r="K950" s="26" t="str">
        <f>"IZ"</f>
        <v>IZ</v>
      </c>
      <c r="L950" s="26" t="str">
        <f>"DGSEI"</f>
        <v>DGSEI</v>
      </c>
      <c r="M950" s="26" t="str">
        <f t="shared" si="143"/>
        <v>FEDERAL</v>
      </c>
      <c r="N950" s="26">
        <v>200</v>
      </c>
      <c r="O950" s="26">
        <v>95</v>
      </c>
      <c r="P950" s="26">
        <v>105</v>
      </c>
      <c r="Q950" s="26">
        <v>6</v>
      </c>
      <c r="R950" s="26">
        <v>1</v>
      </c>
      <c r="S950" s="26">
        <v>6</v>
      </c>
      <c r="T950" s="26">
        <v>2</v>
      </c>
      <c r="U950" s="26">
        <v>9</v>
      </c>
      <c r="V950" s="26">
        <v>1</v>
      </c>
      <c r="W950" s="26"/>
    </row>
    <row r="951" spans="1:23" x14ac:dyDescent="0.25">
      <c r="A951" s="26" t="str">
        <f t="shared" si="141"/>
        <v>PREESCOLAR</v>
      </c>
      <c r="B951" s="26" t="str">
        <f>"09DJN1264N"</f>
        <v>09DJN1264N</v>
      </c>
      <c r="C951" s="26" t="str">
        <f>"CUAUHTLAHUAC                                                                                        "</f>
        <v xml:space="preserve">CUAUHTLAHUAC                                                                                        </v>
      </c>
      <c r="D951" s="26" t="str">
        <f>"VESPERTINO"</f>
        <v>VESPERTINO</v>
      </c>
      <c r="E951" s="26" t="str">
        <f>"ARROYO TLALOC Y PUENTE TITLA S/N                                                "</f>
        <v xml:space="preserve">ARROYO TLALOC Y PUENTE TITLA S/N                                                </v>
      </c>
      <c r="F951" s="26" t="str">
        <f>"RICARDO FLORES MAGON                                                                                                                        "</f>
        <v xml:space="preserve">RICARDO FLORES MAGON                                                                                                                        </v>
      </c>
      <c r="G951" s="26" t="str">
        <f>"IZTAPALAPA                                                                      "</f>
        <v xml:space="preserve">IZTAPALAPA                                                                      </v>
      </c>
      <c r="H951" s="26" t="str">
        <f>"021"</f>
        <v>021</v>
      </c>
      <c r="I951" s="26" t="str">
        <f t="shared" si="142"/>
        <v>00</v>
      </c>
      <c r="J951" s="26" t="str">
        <f>"63 "</f>
        <v xml:space="preserve">63 </v>
      </c>
      <c r="K951" s="26" t="str">
        <f>"IZ"</f>
        <v>IZ</v>
      </c>
      <c r="L951" s="26" t="str">
        <f>"DGSEI"</f>
        <v>DGSEI</v>
      </c>
      <c r="M951" s="26" t="str">
        <f t="shared" si="143"/>
        <v>FEDERAL</v>
      </c>
      <c r="N951" s="26">
        <v>106</v>
      </c>
      <c r="O951" s="26">
        <v>53</v>
      </c>
      <c r="P951" s="26">
        <v>53</v>
      </c>
      <c r="Q951" s="26">
        <v>4</v>
      </c>
      <c r="R951" s="26">
        <v>1</v>
      </c>
      <c r="S951" s="26">
        <v>4</v>
      </c>
      <c r="T951" s="26">
        <v>4</v>
      </c>
      <c r="U951" s="26">
        <v>9</v>
      </c>
      <c r="V951" s="26">
        <v>1</v>
      </c>
      <c r="W951" s="26"/>
    </row>
    <row r="952" spans="1:23" x14ac:dyDescent="0.25">
      <c r="A952" s="26" t="str">
        <f t="shared" si="141"/>
        <v>PREESCOLAR</v>
      </c>
      <c r="B952" s="26" t="str">
        <f>"09DJN1265M"</f>
        <v>09DJN1265M</v>
      </c>
      <c r="C952" s="26" t="str">
        <f>"CONTLE PAXQUI                                                                                       "</f>
        <v xml:space="preserve">CONTLE PAXQUI                                                                                       </v>
      </c>
      <c r="D952" s="26" t="str">
        <f>"MATUTINO"</f>
        <v>MATUTINO</v>
      </c>
      <c r="E952" s="26" t="str">
        <f>"PINO S/N.                                                                       "</f>
        <v xml:space="preserve">PINO S/N.                                                                       </v>
      </c>
      <c r="F952" s="26" t="str">
        <f>"CAMPESTRE EL POTRERO                                                                                                                        "</f>
        <v xml:space="preserve">CAMPESTRE EL POTRERO                                                                                                                        </v>
      </c>
      <c r="G952" s="26" t="str">
        <f>"IZTAPALAPA                                                                      "</f>
        <v xml:space="preserve">IZTAPALAPA                                                                      </v>
      </c>
      <c r="H952" s="26" t="str">
        <f>"038"</f>
        <v>038</v>
      </c>
      <c r="I952" s="26" t="str">
        <f t="shared" si="142"/>
        <v>00</v>
      </c>
      <c r="J952" s="26" t="str">
        <f>"64 "</f>
        <v xml:space="preserve">64 </v>
      </c>
      <c r="K952" s="26" t="str">
        <f>"IZ"</f>
        <v>IZ</v>
      </c>
      <c r="L952" s="26" t="str">
        <f>"DGSEI"</f>
        <v>DGSEI</v>
      </c>
      <c r="M952" s="26" t="str">
        <f t="shared" si="143"/>
        <v>FEDERAL</v>
      </c>
      <c r="N952" s="26">
        <v>260</v>
      </c>
      <c r="O952" s="26">
        <v>129</v>
      </c>
      <c r="P952" s="26">
        <v>131</v>
      </c>
      <c r="Q952" s="26">
        <v>7</v>
      </c>
      <c r="R952" s="26">
        <v>1</v>
      </c>
      <c r="S952" s="26">
        <v>7</v>
      </c>
      <c r="T952" s="26">
        <v>2</v>
      </c>
      <c r="U952" s="26">
        <v>10</v>
      </c>
      <c r="V952" s="26">
        <v>1</v>
      </c>
      <c r="W952" s="26"/>
    </row>
    <row r="953" spans="1:23" x14ac:dyDescent="0.25">
      <c r="A953" s="26" t="str">
        <f t="shared" si="141"/>
        <v>PREESCOLAR</v>
      </c>
      <c r="B953" s="26" t="str">
        <f>"09DJN1267K"</f>
        <v>09DJN1267K</v>
      </c>
      <c r="C953" s="26" t="str">
        <f>"SAMUEL RAMOS                                                                                        "</f>
        <v xml:space="preserve">SAMUEL RAMOS                                                                                        </v>
      </c>
      <c r="D953" s="26" t="str">
        <f>"MATUTINO"</f>
        <v>MATUTINO</v>
      </c>
      <c r="E953" s="26" t="str">
        <f>"AV. OJO DE AGUA Y ASTILLEROS                                                    "</f>
        <v xml:space="preserve">AV. OJO DE AGUA Y ASTILLEROS                                                    </v>
      </c>
      <c r="F953" s="26" t="str">
        <f>"LOMAS DE SAN BERNABE                                                                                                                        "</f>
        <v xml:space="preserve">LOMAS DE SAN BERNABE                                                                                                                        </v>
      </c>
      <c r="G953" s="26" t="str">
        <f>"LA MAGDALENA CONTRERAS                                                          "</f>
        <v xml:space="preserve">LA MAGDALENA CONTRERAS                                                          </v>
      </c>
      <c r="H953" s="26" t="str">
        <f>"066"</f>
        <v>066</v>
      </c>
      <c r="I953" s="26" t="str">
        <f t="shared" si="142"/>
        <v>00</v>
      </c>
      <c r="J953" s="26" t="str">
        <f>"35 "</f>
        <v xml:space="preserve">35 </v>
      </c>
      <c r="K953" s="26" t="str">
        <f>"EP"</f>
        <v>EP</v>
      </c>
      <c r="L953" s="26" t="str">
        <f>"DGOSE"</f>
        <v>DGOSE</v>
      </c>
      <c r="M953" s="26" t="str">
        <f t="shared" si="143"/>
        <v>FEDERAL</v>
      </c>
      <c r="N953" s="26">
        <v>246</v>
      </c>
      <c r="O953" s="26">
        <v>124</v>
      </c>
      <c r="P953" s="26">
        <v>122</v>
      </c>
      <c r="Q953" s="26">
        <v>7</v>
      </c>
      <c r="R953" s="26">
        <v>1</v>
      </c>
      <c r="S953" s="26">
        <v>7</v>
      </c>
      <c r="T953" s="26">
        <v>4</v>
      </c>
      <c r="U953" s="26">
        <v>12</v>
      </c>
      <c r="V953" s="26">
        <v>1</v>
      </c>
      <c r="W953" s="26"/>
    </row>
    <row r="954" spans="1:23" x14ac:dyDescent="0.25">
      <c r="A954" s="26" t="str">
        <f t="shared" si="141"/>
        <v>PREESCOLAR</v>
      </c>
      <c r="B954" s="26" t="str">
        <f>"09DJN1268J"</f>
        <v>09DJN1268J</v>
      </c>
      <c r="C954" s="26" t="str">
        <f>"ITZAMATUL                                                                                           "</f>
        <v xml:space="preserve">ITZAMATUL                                                                                           </v>
      </c>
      <c r="D954" s="26" t="str">
        <f>"VESPERTINO"</f>
        <v>VESPERTINO</v>
      </c>
      <c r="E954" s="26" t="str">
        <f>"SATELITE S/N                                                                    "</f>
        <v xml:space="preserve">SATELITE S/N                                                                    </v>
      </c>
      <c r="F954" s="26" t="str">
        <f>"LOMAS DE LA ESTANCIA                                                                                                                        "</f>
        <v xml:space="preserve">LOMAS DE LA ESTANCIA                                                                                                                        </v>
      </c>
      <c r="G954" s="26" t="str">
        <f>"IZTAPALAPA                                                                      "</f>
        <v xml:space="preserve">IZTAPALAPA                                                                      </v>
      </c>
      <c r="H954" s="26" t="str">
        <f>"036"</f>
        <v>036</v>
      </c>
      <c r="I954" s="26" t="str">
        <f t="shared" si="142"/>
        <v>00</v>
      </c>
      <c r="J954" s="26" t="str">
        <f>"64 "</f>
        <v xml:space="preserve">64 </v>
      </c>
      <c r="K954" s="26" t="str">
        <f>"IZ"</f>
        <v>IZ</v>
      </c>
      <c r="L954" s="26" t="str">
        <f>"DGSEI"</f>
        <v>DGSEI</v>
      </c>
      <c r="M954" s="26" t="str">
        <f t="shared" si="143"/>
        <v>FEDERAL</v>
      </c>
      <c r="N954" s="26">
        <v>190</v>
      </c>
      <c r="O954" s="26">
        <v>97</v>
      </c>
      <c r="P954" s="26">
        <v>93</v>
      </c>
      <c r="Q954" s="26">
        <v>5</v>
      </c>
      <c r="R954" s="26">
        <v>1</v>
      </c>
      <c r="S954" s="26">
        <v>5</v>
      </c>
      <c r="T954" s="26">
        <v>4</v>
      </c>
      <c r="U954" s="26">
        <v>10</v>
      </c>
      <c r="V954" s="26">
        <v>1</v>
      </c>
      <c r="W954" s="26"/>
    </row>
    <row r="955" spans="1:23" x14ac:dyDescent="0.25">
      <c r="A955" s="26" t="str">
        <f t="shared" si="141"/>
        <v>PREESCOLAR</v>
      </c>
      <c r="B955" s="26" t="str">
        <f>"09DJN1269I"</f>
        <v>09DJN1269I</v>
      </c>
      <c r="C955" s="26" t="str">
        <f>"ERMITA ZARAGOZA                                                                                     "</f>
        <v xml:space="preserve">ERMITA ZARAGOZA                                                                                     </v>
      </c>
      <c r="D955" s="26" t="str">
        <f>"VESPERTINO"</f>
        <v>VESPERTINO</v>
      </c>
      <c r="E955" s="26" t="str">
        <f>"AV. CONGRESO DE CHILPANCINGO SUR S/N                                            "</f>
        <v xml:space="preserve">AV. CONGRESO DE CHILPANCINGO SUR S/N                                            </v>
      </c>
      <c r="F955" s="26" t="str">
        <f>"UNIDAD HABITACIONAL ERMITA ZARAGOZA                                                                                                         "</f>
        <v xml:space="preserve">UNIDAD HABITACIONAL ERMITA ZARAGOZA                                                                                                         </v>
      </c>
      <c r="G955" s="26" t="str">
        <f>"IZTAPALAPA                                                                      "</f>
        <v xml:space="preserve">IZTAPALAPA                                                                      </v>
      </c>
      <c r="H955" s="26" t="str">
        <f>"015"</f>
        <v>015</v>
      </c>
      <c r="I955" s="26" t="str">
        <f t="shared" si="142"/>
        <v>00</v>
      </c>
      <c r="J955" s="26" t="str">
        <f>"62 "</f>
        <v xml:space="preserve">62 </v>
      </c>
      <c r="K955" s="26" t="str">
        <f>"IZ"</f>
        <v>IZ</v>
      </c>
      <c r="L955" s="26" t="str">
        <f>"DGSEI"</f>
        <v>DGSEI</v>
      </c>
      <c r="M955" s="26" t="str">
        <f t="shared" si="143"/>
        <v>FEDERAL</v>
      </c>
      <c r="N955" s="26">
        <v>64</v>
      </c>
      <c r="O955" s="26">
        <v>32</v>
      </c>
      <c r="P955" s="26">
        <v>32</v>
      </c>
      <c r="Q955" s="26">
        <v>4</v>
      </c>
      <c r="R955" s="26">
        <v>0</v>
      </c>
      <c r="S955" s="26">
        <v>3</v>
      </c>
      <c r="T955" s="26">
        <v>2</v>
      </c>
      <c r="U955" s="26">
        <v>5</v>
      </c>
      <c r="V955" s="26">
        <v>1</v>
      </c>
      <c r="W955" s="26"/>
    </row>
    <row r="956" spans="1:23" x14ac:dyDescent="0.25">
      <c r="A956" s="26" t="str">
        <f t="shared" si="141"/>
        <v>PREESCOLAR</v>
      </c>
      <c r="B956" s="26" t="str">
        <f>"09DJN1270Y"</f>
        <v>09DJN1270Y</v>
      </c>
      <c r="C956" s="26" t="str">
        <f>"LUIS GONZALEZ OBREGON                                                                               "</f>
        <v xml:space="preserve">LUIS GONZALEZ OBREGON                                                                               </v>
      </c>
      <c r="D956" s="26" t="str">
        <f>"MATUTINO"</f>
        <v>MATUTINO</v>
      </c>
      <c r="E956" s="26" t="str">
        <f>"CARRETERA CHALMITA-TENAYUCA S/N                                                 "</f>
        <v xml:space="preserve">CARRETERA CHALMITA-TENAYUCA S/N                                                 </v>
      </c>
      <c r="F956" s="26" t="str">
        <f>"UNIDAD HABITACIONAL EL ARBOLILLO I                                                                                                          "</f>
        <v xml:space="preserve">UNIDAD HABITACIONAL EL ARBOLILLO I                                                                                                          </v>
      </c>
      <c r="G956" s="26" t="str">
        <f>"GUSTAVO A. MADERO                                                               "</f>
        <v xml:space="preserve">GUSTAVO A. MADERO                                                               </v>
      </c>
      <c r="H956" s="26" t="str">
        <f>"155"</f>
        <v>155</v>
      </c>
      <c r="I956" s="26" t="str">
        <f t="shared" si="142"/>
        <v>00</v>
      </c>
      <c r="J956" s="26" t="str">
        <f>"32 "</f>
        <v xml:space="preserve">32 </v>
      </c>
      <c r="K956" s="26" t="str">
        <f>"EP"</f>
        <v>EP</v>
      </c>
      <c r="L956" s="26" t="str">
        <f>"DGOSE"</f>
        <v>DGOSE</v>
      </c>
      <c r="M956" s="26" t="str">
        <f t="shared" si="143"/>
        <v>FEDERAL</v>
      </c>
      <c r="N956" s="26">
        <v>278</v>
      </c>
      <c r="O956" s="26">
        <v>148</v>
      </c>
      <c r="P956" s="26">
        <v>130</v>
      </c>
      <c r="Q956" s="26">
        <v>8</v>
      </c>
      <c r="R956" s="26">
        <v>1</v>
      </c>
      <c r="S956" s="26">
        <v>8</v>
      </c>
      <c r="T956" s="26">
        <v>5</v>
      </c>
      <c r="U956" s="26">
        <v>14</v>
      </c>
      <c r="V956" s="26">
        <v>1</v>
      </c>
      <c r="W956" s="26"/>
    </row>
    <row r="957" spans="1:23" x14ac:dyDescent="0.25">
      <c r="A957" s="26" t="str">
        <f t="shared" si="141"/>
        <v>PREESCOLAR</v>
      </c>
      <c r="B957" s="26" t="str">
        <f>"09DJN1272W"</f>
        <v>09DJN1272W</v>
      </c>
      <c r="C957" s="26" t="str">
        <f>"LUIS FELIPE OBREGON ANDRADE                                                                         "</f>
        <v xml:space="preserve">LUIS FELIPE OBREGON ANDRADE                                                                         </v>
      </c>
      <c r="D957" s="26" t="str">
        <f>"MATUTINO"</f>
        <v>MATUTINO</v>
      </c>
      <c r="E957" s="26" t="str">
        <f>"ESCUDO NACIONAL S/N                                                             "</f>
        <v xml:space="preserve">ESCUDO NACIONAL S/N                                                             </v>
      </c>
      <c r="F957" s="26" t="str">
        <f>"NATIVITAS TULYEHUALCO                                                                                                                       "</f>
        <v xml:space="preserve">NATIVITAS TULYEHUALCO                                                                                                                       </v>
      </c>
      <c r="G957" s="26" t="str">
        <f>"XOCHIMILCO                                                                      "</f>
        <v xml:space="preserve">XOCHIMILCO                                                                      </v>
      </c>
      <c r="H957" s="26" t="str">
        <f>"053"</f>
        <v>053</v>
      </c>
      <c r="I957" s="26" t="str">
        <f t="shared" si="142"/>
        <v>00</v>
      </c>
      <c r="J957" s="26" t="str">
        <f>"35 "</f>
        <v xml:space="preserve">35 </v>
      </c>
      <c r="K957" s="26" t="str">
        <f>"EP"</f>
        <v>EP</v>
      </c>
      <c r="L957" s="26" t="str">
        <f>"DGOSE"</f>
        <v>DGOSE</v>
      </c>
      <c r="M957" s="26" t="str">
        <f t="shared" si="143"/>
        <v>FEDERAL</v>
      </c>
      <c r="N957" s="26">
        <v>207</v>
      </c>
      <c r="O957" s="26">
        <v>103</v>
      </c>
      <c r="P957" s="26">
        <v>104</v>
      </c>
      <c r="Q957" s="26">
        <v>6</v>
      </c>
      <c r="R957" s="26">
        <v>1</v>
      </c>
      <c r="S957" s="26">
        <v>6</v>
      </c>
      <c r="T957" s="26">
        <v>4</v>
      </c>
      <c r="U957" s="26">
        <v>11</v>
      </c>
      <c r="V957" s="26">
        <v>1</v>
      </c>
      <c r="W957" s="26"/>
    </row>
    <row r="958" spans="1:23" x14ac:dyDescent="0.25">
      <c r="A958" s="26" t="str">
        <f t="shared" si="141"/>
        <v>PREESCOLAR</v>
      </c>
      <c r="B958" s="26" t="str">
        <f>"09DJN1273V"</f>
        <v>09DJN1273V</v>
      </c>
      <c r="C958" s="26" t="str">
        <f>"OLLIN CALLI                                                                                         "</f>
        <v xml:space="preserve">OLLIN CALLI                                                                                         </v>
      </c>
      <c r="D958" s="26" t="str">
        <f>"TIEMPO COMPLETO"</f>
        <v>TIEMPO COMPLETO</v>
      </c>
      <c r="E958" s="26" t="str">
        <f>"CANAL DE GARAY NO 20                                                            "</f>
        <v xml:space="preserve">CANAL DE GARAY NO 20                                                            </v>
      </c>
      <c r="F958" s="26" t="str">
        <f>"SAN NICOLAS TOLENTINO                                                                                                                       "</f>
        <v xml:space="preserve">SAN NICOLAS TOLENTINO                                                                                                                       </v>
      </c>
      <c r="G958" s="26" t="str">
        <f>"IZTAPALAPA                                                                      "</f>
        <v xml:space="preserve">IZTAPALAPA                                                                      </v>
      </c>
      <c r="H958" s="26" t="str">
        <f>"029"</f>
        <v>029</v>
      </c>
      <c r="I958" s="26" t="str">
        <f t="shared" si="142"/>
        <v>00</v>
      </c>
      <c r="J958" s="26" t="str">
        <f>"63 "</f>
        <v xml:space="preserve">63 </v>
      </c>
      <c r="K958" s="26" t="str">
        <f>"IZ"</f>
        <v>IZ</v>
      </c>
      <c r="L958" s="26" t="str">
        <f>"DGSEI"</f>
        <v>DGSEI</v>
      </c>
      <c r="M958" s="26" t="str">
        <f t="shared" si="143"/>
        <v>FEDERAL</v>
      </c>
      <c r="N958" s="26">
        <v>80</v>
      </c>
      <c r="O958" s="26">
        <v>36</v>
      </c>
      <c r="P958" s="26">
        <v>44</v>
      </c>
      <c r="Q958" s="26">
        <v>5</v>
      </c>
      <c r="R958" s="26">
        <v>1</v>
      </c>
      <c r="S958" s="26">
        <v>5</v>
      </c>
      <c r="T958" s="26">
        <v>8</v>
      </c>
      <c r="U958" s="26">
        <v>14</v>
      </c>
      <c r="V958" s="26">
        <v>1</v>
      </c>
      <c r="W958" s="26"/>
    </row>
    <row r="959" spans="1:23" x14ac:dyDescent="0.25">
      <c r="A959" s="26" t="str">
        <f t="shared" si="141"/>
        <v>PREESCOLAR</v>
      </c>
      <c r="B959" s="26" t="str">
        <f>"09DJN1274U"</f>
        <v>09DJN1274U</v>
      </c>
      <c r="C959" s="26" t="str">
        <f>"PROFRA. AMALIA PERLA MENDEZ RAMOS                                                                   "</f>
        <v xml:space="preserve">PROFRA. AMALIA PERLA MENDEZ RAMOS                                                                   </v>
      </c>
      <c r="D959" s="26" t="str">
        <f>"TIEMPO COMPLETO"</f>
        <v>TIEMPO COMPLETO</v>
      </c>
      <c r="E959" s="26" t="str">
        <f>"SECRETARIA B S/N                                                                "</f>
        <v xml:space="preserve">SECRETARIA B S/N                                                                </v>
      </c>
      <c r="F959" s="26" t="str">
        <f>"UNIDAD EL MILAGRO                                                                                                                           "</f>
        <v xml:space="preserve">UNIDAD EL MILAGRO                                                                                                                           </v>
      </c>
      <c r="G959" s="26" t="str">
        <f>"GUSTAVO A. MADERO                                                               "</f>
        <v xml:space="preserve">GUSTAVO A. MADERO                                                               </v>
      </c>
      <c r="H959" s="26" t="str">
        <f>"070"</f>
        <v>070</v>
      </c>
      <c r="I959" s="26" t="str">
        <f t="shared" si="142"/>
        <v>00</v>
      </c>
      <c r="J959" s="26" t="str">
        <f>"31 "</f>
        <v xml:space="preserve">31 </v>
      </c>
      <c r="K959" s="26" t="str">
        <f t="shared" ref="K959:K964" si="148">"EP"</f>
        <v>EP</v>
      </c>
      <c r="L959" s="26" t="str">
        <f t="shared" ref="L959:L964" si="149">"DGOSE"</f>
        <v>DGOSE</v>
      </c>
      <c r="M959" s="26" t="str">
        <f t="shared" si="143"/>
        <v>FEDERAL</v>
      </c>
      <c r="N959" s="26">
        <v>231</v>
      </c>
      <c r="O959" s="26">
        <v>117</v>
      </c>
      <c r="P959" s="26">
        <v>114</v>
      </c>
      <c r="Q959" s="26">
        <v>7</v>
      </c>
      <c r="R959" s="26">
        <v>2</v>
      </c>
      <c r="S959" s="26">
        <v>7</v>
      </c>
      <c r="T959" s="26">
        <v>17</v>
      </c>
      <c r="U959" s="26">
        <v>26</v>
      </c>
      <c r="V959" s="26">
        <v>1</v>
      </c>
      <c r="W959" s="26" t="s">
        <v>218</v>
      </c>
    </row>
    <row r="960" spans="1:23" x14ac:dyDescent="0.25">
      <c r="A960" s="26" t="str">
        <f t="shared" si="141"/>
        <v>PREESCOLAR</v>
      </c>
      <c r="B960" s="26" t="str">
        <f>"09DJN1276S"</f>
        <v>09DJN1276S</v>
      </c>
      <c r="C960" s="26" t="str">
        <f>"ZENTLAPATL                                                                                          "</f>
        <v xml:space="preserve">ZENTLAPATL                                                                                          </v>
      </c>
      <c r="D960" s="26" t="str">
        <f>"JORNADA AMPLIADA"</f>
        <v>JORNADA AMPLIADA</v>
      </c>
      <c r="E960" s="26" t="str">
        <f>"PUERTO MEXICO S/N                                                               "</f>
        <v xml:space="preserve">PUERTO MEXICO S/N                                                               </v>
      </c>
      <c r="F960" s="26" t="str">
        <f>"ZENTLAPATL                                                                                                                                  "</f>
        <v xml:space="preserve">ZENTLAPATL                                                                                                                                  </v>
      </c>
      <c r="G960" s="26" t="str">
        <f>"CUAJIMALPA DE MORELOS                                                           "</f>
        <v xml:space="preserve">CUAJIMALPA DE MORELOS                                                           </v>
      </c>
      <c r="H960" s="26" t="str">
        <f>"094"</f>
        <v>094</v>
      </c>
      <c r="I960" s="26" t="str">
        <f t="shared" si="142"/>
        <v>00</v>
      </c>
      <c r="J960" s="26" t="str">
        <f>"34 "</f>
        <v xml:space="preserve">34 </v>
      </c>
      <c r="K960" s="26" t="str">
        <f t="shared" si="148"/>
        <v>EP</v>
      </c>
      <c r="L960" s="26" t="str">
        <f t="shared" si="149"/>
        <v>DGOSE</v>
      </c>
      <c r="M960" s="26" t="str">
        <f t="shared" si="143"/>
        <v>FEDERAL</v>
      </c>
      <c r="N960" s="26">
        <v>188</v>
      </c>
      <c r="O960" s="26">
        <v>98</v>
      </c>
      <c r="P960" s="26">
        <v>90</v>
      </c>
      <c r="Q960" s="26">
        <v>5</v>
      </c>
      <c r="R960" s="26">
        <v>1</v>
      </c>
      <c r="S960" s="26">
        <v>4</v>
      </c>
      <c r="T960" s="26">
        <v>6</v>
      </c>
      <c r="U960" s="26">
        <v>11</v>
      </c>
      <c r="V960" s="26">
        <v>1</v>
      </c>
      <c r="W960" s="26" t="s">
        <v>2076</v>
      </c>
    </row>
    <row r="961" spans="1:23" x14ac:dyDescent="0.25">
      <c r="A961" s="26" t="str">
        <f t="shared" si="141"/>
        <v>PREESCOLAR</v>
      </c>
      <c r="B961" s="26" t="str">
        <f>"09DJN1277R"</f>
        <v>09DJN1277R</v>
      </c>
      <c r="C961" s="26" t="str">
        <f>"MIGUEL LEON PORTILLA                                                                                "</f>
        <v xml:space="preserve">MIGUEL LEON PORTILLA                                                                                </v>
      </c>
      <c r="D961" s="26" t="str">
        <f>"TIEMPO COMPLETO"</f>
        <v>TIEMPO COMPLETO</v>
      </c>
      <c r="E961" s="26" t="str">
        <f>"FRESNOS S/N                                                                     "</f>
        <v xml:space="preserve">FRESNOS S/N                                                                     </v>
      </c>
      <c r="F961" s="26" t="str">
        <f>"TORRES DE POTRERO                                                                                                                           "</f>
        <v xml:space="preserve">TORRES DE POTRERO                                                                                                                           </v>
      </c>
      <c r="G961" s="26" t="str">
        <f>"ALVARO OBREGON                                                                  "</f>
        <v xml:space="preserve">ALVARO OBREGON                                                                  </v>
      </c>
      <c r="H961" s="26" t="str">
        <f>"174"</f>
        <v>174</v>
      </c>
      <c r="I961" s="26" t="str">
        <f t="shared" si="142"/>
        <v>00</v>
      </c>
      <c r="J961" s="26" t="str">
        <f>"34 "</f>
        <v xml:space="preserve">34 </v>
      </c>
      <c r="K961" s="26" t="str">
        <f t="shared" si="148"/>
        <v>EP</v>
      </c>
      <c r="L961" s="26" t="str">
        <f t="shared" si="149"/>
        <v>DGOSE</v>
      </c>
      <c r="M961" s="26" t="str">
        <f t="shared" si="143"/>
        <v>FEDERAL</v>
      </c>
      <c r="N961" s="26">
        <v>192</v>
      </c>
      <c r="O961" s="26">
        <v>102</v>
      </c>
      <c r="P961" s="26">
        <v>90</v>
      </c>
      <c r="Q961" s="26">
        <v>6</v>
      </c>
      <c r="R961" s="26">
        <v>2</v>
      </c>
      <c r="S961" s="26">
        <v>6</v>
      </c>
      <c r="T961" s="26">
        <v>15</v>
      </c>
      <c r="U961" s="26">
        <v>23</v>
      </c>
      <c r="V961" s="26">
        <v>1</v>
      </c>
      <c r="W961" s="26" t="s">
        <v>218</v>
      </c>
    </row>
    <row r="962" spans="1:23" x14ac:dyDescent="0.25">
      <c r="A962" s="26" t="str">
        <f t="shared" ref="A962:A1025" si="150">"PREESCOLAR"</f>
        <v>PREESCOLAR</v>
      </c>
      <c r="B962" s="26" t="str">
        <f>"09DJN1278Q"</f>
        <v>09DJN1278Q</v>
      </c>
      <c r="C962" s="26" t="str">
        <f>"YOLOPATLI                                                                                           "</f>
        <v xml:space="preserve">YOLOPATLI                                                                                           </v>
      </c>
      <c r="D962" s="26" t="str">
        <f>"MATUTINO"</f>
        <v>MATUTINO</v>
      </c>
      <c r="E962" s="26" t="str">
        <f>"AV. GUSTAVO DIAZ ORDAZ S/N                                                      "</f>
        <v xml:space="preserve">AV. GUSTAVO DIAZ ORDAZ S/N                                                      </v>
      </c>
      <c r="F962" s="26" t="str">
        <f>"JALALPA EL GRANDE                                                                                                                           "</f>
        <v xml:space="preserve">JALALPA EL GRANDE                                                                                                                           </v>
      </c>
      <c r="G962" s="26" t="str">
        <f>"ALVARO OBREGON                                                                  "</f>
        <v xml:space="preserve">ALVARO OBREGON                                                                  </v>
      </c>
      <c r="H962" s="26" t="str">
        <f>"046"</f>
        <v>046</v>
      </c>
      <c r="I962" s="26" t="str">
        <f t="shared" ref="I962:I1025" si="151">"00"</f>
        <v>00</v>
      </c>
      <c r="J962" s="26" t="str">
        <f>"33 "</f>
        <v xml:space="preserve">33 </v>
      </c>
      <c r="K962" s="26" t="str">
        <f t="shared" si="148"/>
        <v>EP</v>
      </c>
      <c r="L962" s="26" t="str">
        <f t="shared" si="149"/>
        <v>DGOSE</v>
      </c>
      <c r="M962" s="26" t="str">
        <f t="shared" ref="M962:M1025" si="152">"FEDERAL"</f>
        <v>FEDERAL</v>
      </c>
      <c r="N962" s="26">
        <v>191</v>
      </c>
      <c r="O962" s="26">
        <v>89</v>
      </c>
      <c r="P962" s="26">
        <v>102</v>
      </c>
      <c r="Q962" s="26">
        <v>6</v>
      </c>
      <c r="R962" s="26">
        <v>1</v>
      </c>
      <c r="S962" s="26">
        <v>6</v>
      </c>
      <c r="T962" s="26">
        <v>6</v>
      </c>
      <c r="U962" s="26">
        <v>13</v>
      </c>
      <c r="V962" s="26">
        <v>1</v>
      </c>
      <c r="W962" s="26"/>
    </row>
    <row r="963" spans="1:23" x14ac:dyDescent="0.25">
      <c r="A963" s="26" t="str">
        <f t="shared" si="150"/>
        <v>PREESCOLAR</v>
      </c>
      <c r="B963" s="26" t="str">
        <f>"09DJN1279P"</f>
        <v>09DJN1279P</v>
      </c>
      <c r="C963" s="26" t="str">
        <f>"SAMUEL RAMOS                                                                                        "</f>
        <v xml:space="preserve">SAMUEL RAMOS                                                                                        </v>
      </c>
      <c r="D963" s="26" t="str">
        <f>"VESPERTINO"</f>
        <v>VESPERTINO</v>
      </c>
      <c r="E963" s="26" t="str">
        <f>"AV. OJO DE AGUA Y ASTILLEROS                                                    "</f>
        <v xml:space="preserve">AV. OJO DE AGUA Y ASTILLEROS                                                    </v>
      </c>
      <c r="F963" s="26" t="str">
        <f>"LOMAS DE SAN BERNABE                                                                                                                        "</f>
        <v xml:space="preserve">LOMAS DE SAN BERNABE                                                                                                                        </v>
      </c>
      <c r="G963" s="26" t="str">
        <f>"LA MAGDALENA CONTRERAS                                                          "</f>
        <v xml:space="preserve">LA MAGDALENA CONTRERAS                                                          </v>
      </c>
      <c r="H963" s="26" t="str">
        <f>"066"</f>
        <v>066</v>
      </c>
      <c r="I963" s="26" t="str">
        <f t="shared" si="151"/>
        <v>00</v>
      </c>
      <c r="J963" s="26" t="str">
        <f>"35 "</f>
        <v xml:space="preserve">35 </v>
      </c>
      <c r="K963" s="26" t="str">
        <f t="shared" si="148"/>
        <v>EP</v>
      </c>
      <c r="L963" s="26" t="str">
        <f t="shared" si="149"/>
        <v>DGOSE</v>
      </c>
      <c r="M963" s="26" t="str">
        <f t="shared" si="152"/>
        <v>FEDERAL</v>
      </c>
      <c r="N963" s="26">
        <v>112</v>
      </c>
      <c r="O963" s="26">
        <v>54</v>
      </c>
      <c r="P963" s="26">
        <v>58</v>
      </c>
      <c r="Q963" s="26">
        <v>4</v>
      </c>
      <c r="R963" s="26">
        <v>1</v>
      </c>
      <c r="S963" s="26">
        <v>4</v>
      </c>
      <c r="T963" s="26">
        <v>3</v>
      </c>
      <c r="U963" s="26">
        <v>8</v>
      </c>
      <c r="V963" s="26">
        <v>1</v>
      </c>
      <c r="W963" s="26"/>
    </row>
    <row r="964" spans="1:23" x14ac:dyDescent="0.25">
      <c r="A964" s="26" t="str">
        <f t="shared" si="150"/>
        <v>PREESCOLAR</v>
      </c>
      <c r="B964" s="26" t="str">
        <f>"09DJN1280E"</f>
        <v>09DJN1280E</v>
      </c>
      <c r="C964" s="26" t="str">
        <f>"JULIO VERNE                                                                                         "</f>
        <v xml:space="preserve">JULIO VERNE                                                                                         </v>
      </c>
      <c r="D964" s="26" t="str">
        <f>"VESPERTINO"</f>
        <v>VESPERTINO</v>
      </c>
      <c r="E964" s="26" t="str">
        <f>"AV. TEZONTLE Y PIMA ALTO                                                        "</f>
        <v xml:space="preserve">AV. TEZONTLE Y PIMA ALTO                                                        </v>
      </c>
      <c r="F964" s="26" t="str">
        <f>"CARLOS ZAPATA VELA                                                                                                                          "</f>
        <v xml:space="preserve">CARLOS ZAPATA VELA                                                                                                                          </v>
      </c>
      <c r="G964" s="26" t="str">
        <f>"IZTACALCO                                                                       "</f>
        <v xml:space="preserve">IZTACALCO                                                                       </v>
      </c>
      <c r="H964" s="26" t="str">
        <f>"236"</f>
        <v>236</v>
      </c>
      <c r="I964" s="26" t="str">
        <f t="shared" si="151"/>
        <v>00</v>
      </c>
      <c r="J964" s="26" t="str">
        <f>"33 "</f>
        <v xml:space="preserve">33 </v>
      </c>
      <c r="K964" s="26" t="str">
        <f t="shared" si="148"/>
        <v>EP</v>
      </c>
      <c r="L964" s="26" t="str">
        <f t="shared" si="149"/>
        <v>DGOSE</v>
      </c>
      <c r="M964" s="26" t="str">
        <f t="shared" si="152"/>
        <v>FEDERAL</v>
      </c>
      <c r="N964" s="26">
        <v>111</v>
      </c>
      <c r="O964" s="26">
        <v>44</v>
      </c>
      <c r="P964" s="26">
        <v>67</v>
      </c>
      <c r="Q964" s="26">
        <v>4</v>
      </c>
      <c r="R964" s="26">
        <v>1</v>
      </c>
      <c r="S964" s="26">
        <v>4</v>
      </c>
      <c r="T964" s="26">
        <v>9</v>
      </c>
      <c r="U964" s="26">
        <v>14</v>
      </c>
      <c r="V964" s="26">
        <v>1</v>
      </c>
      <c r="W964" s="26"/>
    </row>
    <row r="965" spans="1:23" x14ac:dyDescent="0.25">
      <c r="A965" s="26" t="str">
        <f t="shared" si="150"/>
        <v>PREESCOLAR</v>
      </c>
      <c r="B965" s="26" t="str">
        <f>"09DJN1281D"</f>
        <v>09DJN1281D</v>
      </c>
      <c r="C965" s="26" t="str">
        <f>"WHITEHEAD ALFRED NORTH                                                                              "</f>
        <v xml:space="preserve">WHITEHEAD ALFRED NORTH                                                                              </v>
      </c>
      <c r="D965" s="26" t="str">
        <f>"VESPERTINO"</f>
        <v>VESPERTINO</v>
      </c>
      <c r="E965" s="26" t="str">
        <f>"ENCINOS S/N.                                                                    "</f>
        <v xml:space="preserve">ENCINOS S/N.                                                                    </v>
      </c>
      <c r="F965" s="26" t="str">
        <f>"CONJUNTO HABITACIONAL SOLIDARIDAD I                                                                                                         "</f>
        <v xml:space="preserve">CONJUNTO HABITACIONAL SOLIDARIDAD I                                                                                                         </v>
      </c>
      <c r="G965" s="26" t="str">
        <f t="shared" ref="G965:G972" si="153">"IZTAPALAPA                                                                      "</f>
        <v xml:space="preserve">IZTAPALAPA                                                                      </v>
      </c>
      <c r="H965" s="26" t="str">
        <f>"015"</f>
        <v>015</v>
      </c>
      <c r="I965" s="26" t="str">
        <f t="shared" si="151"/>
        <v>00</v>
      </c>
      <c r="J965" s="26" t="str">
        <f>"62 "</f>
        <v xml:space="preserve">62 </v>
      </c>
      <c r="K965" s="26" t="str">
        <f t="shared" ref="K965:K972" si="154">"IZ"</f>
        <v>IZ</v>
      </c>
      <c r="L965" s="26" t="str">
        <f t="shared" ref="L965:L972" si="155">"DGSEI"</f>
        <v>DGSEI</v>
      </c>
      <c r="M965" s="26" t="str">
        <f t="shared" si="152"/>
        <v>FEDERAL</v>
      </c>
      <c r="N965" s="26">
        <v>116</v>
      </c>
      <c r="O965" s="26">
        <v>52</v>
      </c>
      <c r="P965" s="26">
        <v>64</v>
      </c>
      <c r="Q965" s="26">
        <v>4</v>
      </c>
      <c r="R965" s="26">
        <v>1</v>
      </c>
      <c r="S965" s="26">
        <v>4</v>
      </c>
      <c r="T965" s="26">
        <v>4</v>
      </c>
      <c r="U965" s="26">
        <v>9</v>
      </c>
      <c r="V965" s="26">
        <v>1</v>
      </c>
      <c r="W965" s="26"/>
    </row>
    <row r="966" spans="1:23" x14ac:dyDescent="0.25">
      <c r="A966" s="26" t="str">
        <f t="shared" si="150"/>
        <v>PREESCOLAR</v>
      </c>
      <c r="B966" s="26" t="str">
        <f>"09DJN1282C"</f>
        <v>09DJN1282C</v>
      </c>
      <c r="C966" s="26" t="str">
        <f>"PROFRA. INES SALGADO ARROYO                                                                         "</f>
        <v xml:space="preserve">PROFRA. INES SALGADO ARROYO                                                                         </v>
      </c>
      <c r="D966" s="26" t="str">
        <f>"VESPERTINO"</f>
        <v>VESPERTINO</v>
      </c>
      <c r="E966" s="26" t="str">
        <f>"BETABEL S/N                                                                     "</f>
        <v xml:space="preserve">BETABEL S/N                                                                     </v>
      </c>
      <c r="F966" s="26" t="str">
        <f>"TENORIOS                                                                                                                                    "</f>
        <v xml:space="preserve">TENORIOS                                                                                                                                    </v>
      </c>
      <c r="G966" s="26" t="str">
        <f t="shared" si="153"/>
        <v xml:space="preserve">IZTAPALAPA                                                                      </v>
      </c>
      <c r="H966" s="26" t="str">
        <f>"036"</f>
        <v>036</v>
      </c>
      <c r="I966" s="26" t="str">
        <f t="shared" si="151"/>
        <v>00</v>
      </c>
      <c r="J966" s="26" t="str">
        <f>"64 "</f>
        <v xml:space="preserve">64 </v>
      </c>
      <c r="K966" s="26" t="str">
        <f t="shared" si="154"/>
        <v>IZ</v>
      </c>
      <c r="L966" s="26" t="str">
        <f t="shared" si="155"/>
        <v>DGSEI</v>
      </c>
      <c r="M966" s="26" t="str">
        <f t="shared" si="152"/>
        <v>FEDERAL</v>
      </c>
      <c r="N966" s="26">
        <v>259</v>
      </c>
      <c r="O966" s="26">
        <v>127</v>
      </c>
      <c r="P966" s="26">
        <v>132</v>
      </c>
      <c r="Q966" s="26">
        <v>7</v>
      </c>
      <c r="R966" s="26">
        <v>1</v>
      </c>
      <c r="S966" s="26">
        <v>7</v>
      </c>
      <c r="T966" s="26">
        <v>5</v>
      </c>
      <c r="U966" s="26">
        <v>13</v>
      </c>
      <c r="V966" s="26">
        <v>1</v>
      </c>
      <c r="W966" s="26"/>
    </row>
    <row r="967" spans="1:23" x14ac:dyDescent="0.25">
      <c r="A967" s="26" t="str">
        <f t="shared" si="150"/>
        <v>PREESCOLAR</v>
      </c>
      <c r="B967" s="26" t="str">
        <f>"09DJN1283B"</f>
        <v>09DJN1283B</v>
      </c>
      <c r="C967" s="26" t="str">
        <f>"ZOFAI                                                                                               "</f>
        <v xml:space="preserve">ZOFAI                                                                                               </v>
      </c>
      <c r="D967" s="26" t="str">
        <f>"JORNADA AMPLIADA"</f>
        <v>JORNADA AMPLIADA</v>
      </c>
      <c r="E967" s="26" t="str">
        <f>"CDA. DE PLUTON S/N.                                                             "</f>
        <v xml:space="preserve">CDA. DE PLUTON S/N.                                                             </v>
      </c>
      <c r="F967" s="26" t="str">
        <f>"LOMAS DE LA ESTANCIA                                                                                                                        "</f>
        <v xml:space="preserve">LOMAS DE LA ESTANCIA                                                                                                                        </v>
      </c>
      <c r="G967" s="26" t="str">
        <f t="shared" si="153"/>
        <v xml:space="preserve">IZTAPALAPA                                                                      </v>
      </c>
      <c r="H967" s="26" t="str">
        <f>"012"</f>
        <v>012</v>
      </c>
      <c r="I967" s="26" t="str">
        <f t="shared" si="151"/>
        <v>00</v>
      </c>
      <c r="J967" s="26" t="str">
        <f>"61 "</f>
        <v xml:space="preserve">61 </v>
      </c>
      <c r="K967" s="26" t="str">
        <f t="shared" si="154"/>
        <v>IZ</v>
      </c>
      <c r="L967" s="26" t="str">
        <f t="shared" si="155"/>
        <v>DGSEI</v>
      </c>
      <c r="M967" s="26" t="str">
        <f t="shared" si="152"/>
        <v>FEDERAL</v>
      </c>
      <c r="N967" s="26">
        <v>155</v>
      </c>
      <c r="O967" s="26">
        <v>88</v>
      </c>
      <c r="P967" s="26">
        <v>67</v>
      </c>
      <c r="Q967" s="26">
        <v>4</v>
      </c>
      <c r="R967" s="26">
        <v>1</v>
      </c>
      <c r="S967" s="26">
        <v>4</v>
      </c>
      <c r="T967" s="26">
        <v>2</v>
      </c>
      <c r="U967" s="26">
        <v>7</v>
      </c>
      <c r="V967" s="26">
        <v>1</v>
      </c>
      <c r="W967" s="26" t="s">
        <v>2076</v>
      </c>
    </row>
    <row r="968" spans="1:23" x14ac:dyDescent="0.25">
      <c r="A968" s="26" t="str">
        <f t="shared" si="150"/>
        <v>PREESCOLAR</v>
      </c>
      <c r="B968" s="26" t="str">
        <f>"09DJN1284A"</f>
        <v>09DJN1284A</v>
      </c>
      <c r="C968" s="26" t="str">
        <f>"PAPAKI                                                                                              "</f>
        <v xml:space="preserve">PAPAKI                                                                                              </v>
      </c>
      <c r="D968" s="26" t="str">
        <f>"MATUTINO"</f>
        <v>MATUTINO</v>
      </c>
      <c r="E968" s="26" t="str">
        <f>"CUAHUTEMOC ESQ. ALDAMA                                                          "</f>
        <v xml:space="preserve">CUAHUTEMOC ESQ. ALDAMA                                                          </v>
      </c>
      <c r="F968" s="26" t="str">
        <f>"SANTIAGO ACAHUALTEPEC                                                                                                                       "</f>
        <v xml:space="preserve">SANTIAGO ACAHUALTEPEC                                                                                                                       </v>
      </c>
      <c r="G968" s="26" t="str">
        <f t="shared" si="153"/>
        <v xml:space="preserve">IZTAPALAPA                                                                      </v>
      </c>
      <c r="H968" s="26" t="str">
        <f>"037"</f>
        <v>037</v>
      </c>
      <c r="I968" s="26" t="str">
        <f t="shared" si="151"/>
        <v>00</v>
      </c>
      <c r="J968" s="26" t="str">
        <f>"64 "</f>
        <v xml:space="preserve">64 </v>
      </c>
      <c r="K968" s="26" t="str">
        <f t="shared" si="154"/>
        <v>IZ</v>
      </c>
      <c r="L968" s="26" t="str">
        <f t="shared" si="155"/>
        <v>DGSEI</v>
      </c>
      <c r="M968" s="26" t="str">
        <f t="shared" si="152"/>
        <v>FEDERAL</v>
      </c>
      <c r="N968" s="26">
        <v>198</v>
      </c>
      <c r="O968" s="26">
        <v>103</v>
      </c>
      <c r="P968" s="26">
        <v>95</v>
      </c>
      <c r="Q968" s="26">
        <v>5</v>
      </c>
      <c r="R968" s="26">
        <v>1</v>
      </c>
      <c r="S968" s="26">
        <v>5</v>
      </c>
      <c r="T968" s="26">
        <v>2</v>
      </c>
      <c r="U968" s="26">
        <v>8</v>
      </c>
      <c r="V968" s="26">
        <v>1</v>
      </c>
      <c r="W968" s="26"/>
    </row>
    <row r="969" spans="1:23" x14ac:dyDescent="0.25">
      <c r="A969" s="26" t="str">
        <f t="shared" si="150"/>
        <v>PREESCOLAR</v>
      </c>
      <c r="B969" s="26" t="str">
        <f>"09DJN1285Z"</f>
        <v>09DJN1285Z</v>
      </c>
      <c r="C969" s="26" t="str">
        <f>"NAZUL                                                                                               "</f>
        <v xml:space="preserve">NAZUL                                                                                               </v>
      </c>
      <c r="D969" s="26" t="str">
        <f>"MATUTINO"</f>
        <v>MATUTINO</v>
      </c>
      <c r="E969" s="26" t="str">
        <f>"JACARANDAS S/N.                                                                 "</f>
        <v xml:space="preserve">JACARANDAS S/N.                                                                 </v>
      </c>
      <c r="F969" s="26" t="str">
        <f>"SANTA MARTHA ACATITLA                                                                                                                       "</f>
        <v xml:space="preserve">SANTA MARTHA ACATITLA                                                                                                                       </v>
      </c>
      <c r="G969" s="26" t="str">
        <f t="shared" si="153"/>
        <v xml:space="preserve">IZTAPALAPA                                                                      </v>
      </c>
      <c r="H969" s="26" t="str">
        <f>"015"</f>
        <v>015</v>
      </c>
      <c r="I969" s="26" t="str">
        <f t="shared" si="151"/>
        <v>00</v>
      </c>
      <c r="J969" s="26" t="str">
        <f>"62 "</f>
        <v xml:space="preserve">62 </v>
      </c>
      <c r="K969" s="26" t="str">
        <f t="shared" si="154"/>
        <v>IZ</v>
      </c>
      <c r="L969" s="26" t="str">
        <f t="shared" si="155"/>
        <v>DGSEI</v>
      </c>
      <c r="M969" s="26" t="str">
        <f t="shared" si="152"/>
        <v>FEDERAL</v>
      </c>
      <c r="N969" s="26">
        <v>219</v>
      </c>
      <c r="O969" s="26">
        <v>109</v>
      </c>
      <c r="P969" s="26">
        <v>110</v>
      </c>
      <c r="Q969" s="26">
        <v>6</v>
      </c>
      <c r="R969" s="26">
        <v>1</v>
      </c>
      <c r="S969" s="26">
        <v>5</v>
      </c>
      <c r="T969" s="26">
        <v>3</v>
      </c>
      <c r="U969" s="26">
        <v>9</v>
      </c>
      <c r="V969" s="26">
        <v>1</v>
      </c>
      <c r="W969" s="26"/>
    </row>
    <row r="970" spans="1:23" x14ac:dyDescent="0.25">
      <c r="A970" s="26" t="str">
        <f t="shared" si="150"/>
        <v>PREESCOLAR</v>
      </c>
      <c r="B970" s="26" t="str">
        <f>"09DJN1286Z"</f>
        <v>09DJN1286Z</v>
      </c>
      <c r="C970" s="26" t="str">
        <f>"WHITEHEAD ALFRED NORTH                                                                              "</f>
        <v xml:space="preserve">WHITEHEAD ALFRED NORTH                                                                              </v>
      </c>
      <c r="D970" s="26" t="str">
        <f>"MATUTINO"</f>
        <v>MATUTINO</v>
      </c>
      <c r="E970" s="26" t="str">
        <f>"ENCINOS S/N.                                                                    "</f>
        <v xml:space="preserve">ENCINOS S/N.                                                                    </v>
      </c>
      <c r="F970" s="26" t="str">
        <f>"CONJUNTO HABITACIONAL SOLIDARIDAD I                                                                                                         "</f>
        <v xml:space="preserve">CONJUNTO HABITACIONAL SOLIDARIDAD I                                                                                                         </v>
      </c>
      <c r="G970" s="26" t="str">
        <f t="shared" si="153"/>
        <v xml:space="preserve">IZTAPALAPA                                                                      </v>
      </c>
      <c r="H970" s="26" t="str">
        <f>"015"</f>
        <v>015</v>
      </c>
      <c r="I970" s="26" t="str">
        <f t="shared" si="151"/>
        <v>00</v>
      </c>
      <c r="J970" s="26" t="str">
        <f>"62 "</f>
        <v xml:space="preserve">62 </v>
      </c>
      <c r="K970" s="26" t="str">
        <f t="shared" si="154"/>
        <v>IZ</v>
      </c>
      <c r="L970" s="26" t="str">
        <f t="shared" si="155"/>
        <v>DGSEI</v>
      </c>
      <c r="M970" s="26" t="str">
        <f t="shared" si="152"/>
        <v>FEDERAL</v>
      </c>
      <c r="N970" s="26">
        <v>204</v>
      </c>
      <c r="O970" s="26">
        <v>100</v>
      </c>
      <c r="P970" s="26">
        <v>104</v>
      </c>
      <c r="Q970" s="26">
        <v>6</v>
      </c>
      <c r="R970" s="26">
        <v>1</v>
      </c>
      <c r="S970" s="26">
        <v>6</v>
      </c>
      <c r="T970" s="26">
        <v>4</v>
      </c>
      <c r="U970" s="26">
        <v>11</v>
      </c>
      <c r="V970" s="26">
        <v>1</v>
      </c>
      <c r="W970" s="26"/>
    </row>
    <row r="971" spans="1:23" x14ac:dyDescent="0.25">
      <c r="A971" s="26" t="str">
        <f t="shared" si="150"/>
        <v>PREESCOLAR</v>
      </c>
      <c r="B971" s="26" t="str">
        <f>"09DJN1287Y"</f>
        <v>09DJN1287Y</v>
      </c>
      <c r="C971" s="26" t="str">
        <f>"PROFRA. CAROLINA PINO CRUZ                                                                          "</f>
        <v xml:space="preserve">PROFRA. CAROLINA PINO CRUZ                                                                          </v>
      </c>
      <c r="D971" s="26" t="str">
        <f>"MATUTINO"</f>
        <v>MATUTINO</v>
      </c>
      <c r="E971" s="26" t="str">
        <f>"PALMILLAS S/N Y AV. JUAREZ                                                      "</f>
        <v xml:space="preserve">PALMILLAS S/N Y AV. JUAREZ                                                      </v>
      </c>
      <c r="F971" s="26" t="str">
        <f>"CONSEJO AGRARISTA MEXICANO                                                                                                                  "</f>
        <v xml:space="preserve">CONSEJO AGRARISTA MEXICANO                                                                                                                  </v>
      </c>
      <c r="G971" s="26" t="str">
        <f t="shared" si="153"/>
        <v xml:space="preserve">IZTAPALAPA                                                                      </v>
      </c>
      <c r="H971" s="26" t="str">
        <f>"029"</f>
        <v>029</v>
      </c>
      <c r="I971" s="26" t="str">
        <f t="shared" si="151"/>
        <v>00</v>
      </c>
      <c r="J971" s="26" t="str">
        <f>"64 "</f>
        <v xml:space="preserve">64 </v>
      </c>
      <c r="K971" s="26" t="str">
        <f t="shared" si="154"/>
        <v>IZ</v>
      </c>
      <c r="L971" s="26" t="str">
        <f t="shared" si="155"/>
        <v>DGSEI</v>
      </c>
      <c r="M971" s="26" t="str">
        <f t="shared" si="152"/>
        <v>FEDERAL</v>
      </c>
      <c r="N971" s="26">
        <v>202</v>
      </c>
      <c r="O971" s="26">
        <v>102</v>
      </c>
      <c r="P971" s="26">
        <v>100</v>
      </c>
      <c r="Q971" s="26">
        <v>5</v>
      </c>
      <c r="R971" s="26">
        <v>1</v>
      </c>
      <c r="S971" s="26">
        <v>5</v>
      </c>
      <c r="T971" s="26">
        <v>4</v>
      </c>
      <c r="U971" s="26">
        <v>10</v>
      </c>
      <c r="V971" s="26">
        <v>1</v>
      </c>
      <c r="W971" s="26"/>
    </row>
    <row r="972" spans="1:23" x14ac:dyDescent="0.25">
      <c r="A972" s="26" t="str">
        <f t="shared" si="150"/>
        <v>PREESCOLAR</v>
      </c>
      <c r="B972" s="26" t="str">
        <f>"09DJN1288X"</f>
        <v>09DJN1288X</v>
      </c>
      <c r="C972" s="26" t="str">
        <f>"PROFRA. NIEVES ZEDILLO GONZALEZ                                                                     "</f>
        <v xml:space="preserve">PROFRA. NIEVES ZEDILLO GONZALEZ                                                                     </v>
      </c>
      <c r="D972" s="26" t="str">
        <f>"VESPERTINO"</f>
        <v>VESPERTINO</v>
      </c>
      <c r="E972" s="26" t="str">
        <f>"NUBE S/N                                                                        "</f>
        <v xml:space="preserve">NUBE S/N                                                                        </v>
      </c>
      <c r="F972" s="26" t="str">
        <f>"LOS ANGELES APANOAYA                                                                                                                        "</f>
        <v xml:space="preserve">LOS ANGELES APANOAYA                                                                                                                        </v>
      </c>
      <c r="G972" s="26" t="str">
        <f t="shared" si="153"/>
        <v xml:space="preserve">IZTAPALAPA                                                                      </v>
      </c>
      <c r="H972" s="26" t="str">
        <f>"025"</f>
        <v>025</v>
      </c>
      <c r="I972" s="26" t="str">
        <f t="shared" si="151"/>
        <v>00</v>
      </c>
      <c r="J972" s="26" t="str">
        <f>"63 "</f>
        <v xml:space="preserve">63 </v>
      </c>
      <c r="K972" s="26" t="str">
        <f t="shared" si="154"/>
        <v>IZ</v>
      </c>
      <c r="L972" s="26" t="str">
        <f t="shared" si="155"/>
        <v>DGSEI</v>
      </c>
      <c r="M972" s="26" t="str">
        <f t="shared" si="152"/>
        <v>FEDERAL</v>
      </c>
      <c r="N972" s="26">
        <v>119</v>
      </c>
      <c r="O972" s="26">
        <v>56</v>
      </c>
      <c r="P972" s="26">
        <v>63</v>
      </c>
      <c r="Q972" s="26">
        <v>4</v>
      </c>
      <c r="R972" s="26">
        <v>1</v>
      </c>
      <c r="S972" s="26">
        <v>4</v>
      </c>
      <c r="T972" s="26">
        <v>2</v>
      </c>
      <c r="U972" s="26">
        <v>7</v>
      </c>
      <c r="V972" s="26">
        <v>1</v>
      </c>
      <c r="W972" s="26"/>
    </row>
    <row r="973" spans="1:23" x14ac:dyDescent="0.25">
      <c r="A973" s="26" t="str">
        <f t="shared" si="150"/>
        <v>PREESCOLAR</v>
      </c>
      <c r="B973" s="26" t="str">
        <f>"09DJN1289W"</f>
        <v>09DJN1289W</v>
      </c>
      <c r="C973" s="26" t="str">
        <f>"VILLA CENTROAMERICANA Y DEL CARIBE                                                                  "</f>
        <v xml:space="preserve">VILLA CENTROAMERICANA Y DEL CARIBE                                                                  </v>
      </c>
      <c r="D973" s="26" t="str">
        <f>"JORNADA AMPLIADA"</f>
        <v>JORNADA AMPLIADA</v>
      </c>
      <c r="E973" s="26" t="str">
        <f>"AV. LANGOSTA Y LA TURBA                                                         "</f>
        <v xml:space="preserve">AV. LANGOSTA Y LA TURBA                                                         </v>
      </c>
      <c r="F973" s="26" t="str">
        <f>"VILLA CENTROAMERICANA Y DEL CARIBE                                                                                                          "</f>
        <v xml:space="preserve">VILLA CENTROAMERICANA Y DEL CARIBE                                                                                                          </v>
      </c>
      <c r="G973" s="26" t="str">
        <f>"TLAHUAC                                                                         "</f>
        <v xml:space="preserve">TLAHUAC                                                                         </v>
      </c>
      <c r="H973" s="26" t="str">
        <f>"243"</f>
        <v>243</v>
      </c>
      <c r="I973" s="26" t="str">
        <f t="shared" si="151"/>
        <v>00</v>
      </c>
      <c r="J973" s="26" t="str">
        <f>"34 "</f>
        <v xml:space="preserve">34 </v>
      </c>
      <c r="K973" s="26" t="str">
        <f>"EP"</f>
        <v>EP</v>
      </c>
      <c r="L973" s="26" t="str">
        <f>"DGOSE"</f>
        <v>DGOSE</v>
      </c>
      <c r="M973" s="26" t="str">
        <f t="shared" si="152"/>
        <v>FEDERAL</v>
      </c>
      <c r="N973" s="26">
        <v>210</v>
      </c>
      <c r="O973" s="26">
        <v>110</v>
      </c>
      <c r="P973" s="26">
        <v>100</v>
      </c>
      <c r="Q973" s="26">
        <v>6</v>
      </c>
      <c r="R973" s="26">
        <v>1</v>
      </c>
      <c r="S973" s="26">
        <v>6</v>
      </c>
      <c r="T973" s="26">
        <v>7</v>
      </c>
      <c r="U973" s="26">
        <v>14</v>
      </c>
      <c r="V973" s="26">
        <v>1</v>
      </c>
      <c r="W973" s="26" t="s">
        <v>2076</v>
      </c>
    </row>
    <row r="974" spans="1:23" x14ac:dyDescent="0.25">
      <c r="A974" s="26" t="str">
        <f t="shared" si="150"/>
        <v>PREESCOLAR</v>
      </c>
      <c r="B974" s="26" t="str">
        <f>"09DJN1290L"</f>
        <v>09DJN1290L</v>
      </c>
      <c r="C974" s="26" t="str">
        <f>"JOSE TRINIDAD SAN MIGUEL PINEDA                                                                     "</f>
        <v xml:space="preserve">JOSE TRINIDAD SAN MIGUEL PINEDA                                                                     </v>
      </c>
      <c r="D974" s="26" t="str">
        <f>"TIEMPO COMPLETO"</f>
        <v>TIEMPO COMPLETO</v>
      </c>
      <c r="E974" s="26" t="str">
        <f>"CALMECAC S/N BARRIO SANTA CRUZ                                                  "</f>
        <v xml:space="preserve">CALMECAC S/N BARRIO SANTA CRUZ                                                  </v>
      </c>
      <c r="F974" s="26" t="str">
        <f>"SAN ANDRES MIXQUIC                                                                                                                          "</f>
        <v xml:space="preserve">SAN ANDRES MIXQUIC                                                                                                                          </v>
      </c>
      <c r="G974" s="26" t="str">
        <f>"TLAHUAC                                                                         "</f>
        <v xml:space="preserve">TLAHUAC                                                                         </v>
      </c>
      <c r="H974" s="26" t="str">
        <f>"173"</f>
        <v>173</v>
      </c>
      <c r="I974" s="26" t="str">
        <f t="shared" si="151"/>
        <v>00</v>
      </c>
      <c r="J974" s="26" t="str">
        <f>"34 "</f>
        <v xml:space="preserve">34 </v>
      </c>
      <c r="K974" s="26" t="str">
        <f>"EP"</f>
        <v>EP</v>
      </c>
      <c r="L974" s="26" t="str">
        <f>"DGOSE"</f>
        <v>DGOSE</v>
      </c>
      <c r="M974" s="26" t="str">
        <f t="shared" si="152"/>
        <v>FEDERAL</v>
      </c>
      <c r="N974" s="26">
        <v>162</v>
      </c>
      <c r="O974" s="26">
        <v>90</v>
      </c>
      <c r="P974" s="26">
        <v>72</v>
      </c>
      <c r="Q974" s="26">
        <v>5</v>
      </c>
      <c r="R974" s="26">
        <v>2</v>
      </c>
      <c r="S974" s="26">
        <v>5</v>
      </c>
      <c r="T974" s="26">
        <v>15</v>
      </c>
      <c r="U974" s="26">
        <v>22</v>
      </c>
      <c r="V974" s="26">
        <v>1</v>
      </c>
      <c r="W974" s="26" t="s">
        <v>218</v>
      </c>
    </row>
    <row r="975" spans="1:23" x14ac:dyDescent="0.25">
      <c r="A975" s="26" t="str">
        <f t="shared" si="150"/>
        <v>PREESCOLAR</v>
      </c>
      <c r="B975" s="26" t="str">
        <f>"09DJN1291K"</f>
        <v>09DJN1291K</v>
      </c>
      <c r="C975" s="26" t="str">
        <f>"XOCOYOTZIN                                                                                          "</f>
        <v xml:space="preserve">XOCOYOTZIN                                                                                          </v>
      </c>
      <c r="D975" s="26" t="str">
        <f>"TIEMPO COMPLETO"</f>
        <v>TIEMPO COMPLETO</v>
      </c>
      <c r="E975" s="26" t="str">
        <f>"BELLAS ARTES S/N                                                                "</f>
        <v xml:space="preserve">BELLAS ARTES S/N                                                                </v>
      </c>
      <c r="F975" s="26" t="str">
        <f>"LA ESTACION                                                                                                                                 "</f>
        <v xml:space="preserve">LA ESTACION                                                                                                                                 </v>
      </c>
      <c r="G975" s="26" t="str">
        <f>"TLAHUAC                                                                         "</f>
        <v xml:space="preserve">TLAHUAC                                                                         </v>
      </c>
      <c r="H975" s="26" t="str">
        <f>"243"</f>
        <v>243</v>
      </c>
      <c r="I975" s="26" t="str">
        <f t="shared" si="151"/>
        <v>00</v>
      </c>
      <c r="J975" s="26" t="str">
        <f>"34 "</f>
        <v xml:space="preserve">34 </v>
      </c>
      <c r="K975" s="26" t="str">
        <f>"EP"</f>
        <v>EP</v>
      </c>
      <c r="L975" s="26" t="str">
        <f>"DGOSE"</f>
        <v>DGOSE</v>
      </c>
      <c r="M975" s="26" t="str">
        <f t="shared" si="152"/>
        <v>FEDERAL</v>
      </c>
      <c r="N975" s="26">
        <v>242</v>
      </c>
      <c r="O975" s="26">
        <v>133</v>
      </c>
      <c r="P975" s="26">
        <v>109</v>
      </c>
      <c r="Q975" s="26">
        <v>6</v>
      </c>
      <c r="R975" s="26">
        <v>2</v>
      </c>
      <c r="S975" s="26">
        <v>6</v>
      </c>
      <c r="T975" s="26">
        <v>18</v>
      </c>
      <c r="U975" s="26">
        <v>26</v>
      </c>
      <c r="V975" s="26">
        <v>1</v>
      </c>
      <c r="W975" s="26" t="s">
        <v>218</v>
      </c>
    </row>
    <row r="976" spans="1:23" x14ac:dyDescent="0.25">
      <c r="A976" s="26" t="str">
        <f t="shared" si="150"/>
        <v>PREESCOLAR</v>
      </c>
      <c r="B976" s="26" t="str">
        <f>"09DJN1292J"</f>
        <v>09DJN1292J</v>
      </c>
      <c r="C976" s="26" t="str">
        <f>"TLAHUAC                                                                                             "</f>
        <v xml:space="preserve">TLAHUAC                                                                                             </v>
      </c>
      <c r="D976" s="26" t="str">
        <f t="shared" ref="D976:D987" si="156">"VESPERTINO"</f>
        <v>VESPERTINO</v>
      </c>
      <c r="E976" s="26" t="str">
        <f>"AVENIDA HIDALGO Y CUITLAHUAC S/N                                                "</f>
        <v xml:space="preserve">AVENIDA HIDALGO Y CUITLAHUAC S/N                                                </v>
      </c>
      <c r="F976" s="26" t="str">
        <f>"SAN MATEO                                                                                                                                   "</f>
        <v xml:space="preserve">SAN MATEO                                                                                                                                   </v>
      </c>
      <c r="G976" s="26" t="str">
        <f>"TLAHUAC                                                                         "</f>
        <v xml:space="preserve">TLAHUAC                                                                         </v>
      </c>
      <c r="H976" s="26" t="str">
        <f>"142"</f>
        <v>142</v>
      </c>
      <c r="I976" s="26" t="str">
        <f t="shared" si="151"/>
        <v>00</v>
      </c>
      <c r="J976" s="26" t="str">
        <f>"35 "</f>
        <v xml:space="preserve">35 </v>
      </c>
      <c r="K976" s="26" t="str">
        <f>"EP"</f>
        <v>EP</v>
      </c>
      <c r="L976" s="26" t="str">
        <f>"DGOSE"</f>
        <v>DGOSE</v>
      </c>
      <c r="M976" s="26" t="str">
        <f t="shared" si="152"/>
        <v>FEDERAL</v>
      </c>
      <c r="N976" s="26">
        <v>160</v>
      </c>
      <c r="O976" s="26">
        <v>74</v>
      </c>
      <c r="P976" s="26">
        <v>86</v>
      </c>
      <c r="Q976" s="26">
        <v>5</v>
      </c>
      <c r="R976" s="26">
        <v>1</v>
      </c>
      <c r="S976" s="26">
        <v>5</v>
      </c>
      <c r="T976" s="26">
        <v>9</v>
      </c>
      <c r="U976" s="26">
        <v>15</v>
      </c>
      <c r="V976" s="26">
        <v>1</v>
      </c>
      <c r="W976" s="26"/>
    </row>
    <row r="977" spans="1:23" x14ac:dyDescent="0.25">
      <c r="A977" s="26" t="str">
        <f t="shared" si="150"/>
        <v>PREESCOLAR</v>
      </c>
      <c r="B977" s="26" t="str">
        <f>"09DJN1293I"</f>
        <v>09DJN1293I</v>
      </c>
      <c r="C977" s="26" t="str">
        <f>"NAZUL                                                                                               "</f>
        <v xml:space="preserve">NAZUL                                                                                               </v>
      </c>
      <c r="D977" s="26" t="str">
        <f t="shared" si="156"/>
        <v>VESPERTINO</v>
      </c>
      <c r="E977" s="26" t="str">
        <f>"JACARANDAS S/N.                                                                 "</f>
        <v xml:space="preserve">JACARANDAS S/N.                                                                 </v>
      </c>
      <c r="F977" s="26" t="str">
        <f>"SANTA MARTHA ACATITLA  PUEBLO                                                                                                               "</f>
        <v xml:space="preserve">SANTA MARTHA ACATITLA  PUEBLO                                                                                                               </v>
      </c>
      <c r="G977" s="26" t="str">
        <f>"IZTAPALAPA                                                                      "</f>
        <v xml:space="preserve">IZTAPALAPA                                                                      </v>
      </c>
      <c r="H977" s="26" t="str">
        <f>"015"</f>
        <v>015</v>
      </c>
      <c r="I977" s="26" t="str">
        <f t="shared" si="151"/>
        <v>00</v>
      </c>
      <c r="J977" s="26" t="str">
        <f>"62 "</f>
        <v xml:space="preserve">62 </v>
      </c>
      <c r="K977" s="26" t="str">
        <f>"IZ"</f>
        <v>IZ</v>
      </c>
      <c r="L977" s="26" t="str">
        <f>"DGSEI"</f>
        <v>DGSEI</v>
      </c>
      <c r="M977" s="26" t="str">
        <f t="shared" si="152"/>
        <v>FEDERAL</v>
      </c>
      <c r="N977" s="26">
        <v>101</v>
      </c>
      <c r="O977" s="26">
        <v>51</v>
      </c>
      <c r="P977" s="26">
        <v>50</v>
      </c>
      <c r="Q977" s="26">
        <v>4</v>
      </c>
      <c r="R977" s="26">
        <v>1</v>
      </c>
      <c r="S977" s="26">
        <v>4</v>
      </c>
      <c r="T977" s="26">
        <v>3</v>
      </c>
      <c r="U977" s="26">
        <v>8</v>
      </c>
      <c r="V977" s="26">
        <v>1</v>
      </c>
      <c r="W977" s="26"/>
    </row>
    <row r="978" spans="1:23" x14ac:dyDescent="0.25">
      <c r="A978" s="26" t="str">
        <f t="shared" si="150"/>
        <v>PREESCOLAR</v>
      </c>
      <c r="B978" s="26" t="str">
        <f>"09DJN1294H"</f>
        <v>09DJN1294H</v>
      </c>
      <c r="C978" s="26" t="str">
        <f>"TEUHTLI                                                                                             "</f>
        <v xml:space="preserve">TEUHTLI                                                                                             </v>
      </c>
      <c r="D978" s="26" t="str">
        <f t="shared" si="156"/>
        <v>VESPERTINO</v>
      </c>
      <c r="E978" s="26" t="str">
        <f>"ANTONIO AGUILAR NO. 27                                                          "</f>
        <v xml:space="preserve">ANTONIO AGUILAR NO. 27                                                          </v>
      </c>
      <c r="F978" s="26" t="str">
        <f>"EL CARMEN TULYEHUALCO                                                                                                                       "</f>
        <v xml:space="preserve">EL CARMEN TULYEHUALCO                                                                                                                       </v>
      </c>
      <c r="G978" s="26" t="str">
        <f>"XOCHIMILCO                                                                      "</f>
        <v xml:space="preserve">XOCHIMILCO                                                                      </v>
      </c>
      <c r="H978" s="26" t="str">
        <f>"033"</f>
        <v>033</v>
      </c>
      <c r="I978" s="26" t="str">
        <f t="shared" si="151"/>
        <v>00</v>
      </c>
      <c r="J978" s="26" t="str">
        <f>"35 "</f>
        <v xml:space="preserve">35 </v>
      </c>
      <c r="K978" s="26" t="str">
        <f>"EP"</f>
        <v>EP</v>
      </c>
      <c r="L978" s="26" t="str">
        <f>"DGOSE"</f>
        <v>DGOSE</v>
      </c>
      <c r="M978" s="26" t="str">
        <f t="shared" si="152"/>
        <v>FEDERAL</v>
      </c>
      <c r="N978" s="26">
        <v>146</v>
      </c>
      <c r="O978" s="26">
        <v>66</v>
      </c>
      <c r="P978" s="26">
        <v>80</v>
      </c>
      <c r="Q978" s="26">
        <v>5</v>
      </c>
      <c r="R978" s="26">
        <v>1</v>
      </c>
      <c r="S978" s="26">
        <v>5</v>
      </c>
      <c r="T978" s="26">
        <v>4</v>
      </c>
      <c r="U978" s="26">
        <v>10</v>
      </c>
      <c r="V978" s="26">
        <v>1</v>
      </c>
      <c r="W978" s="26"/>
    </row>
    <row r="979" spans="1:23" x14ac:dyDescent="0.25">
      <c r="A979" s="26" t="str">
        <f t="shared" si="150"/>
        <v>PREESCOLAR</v>
      </c>
      <c r="B979" s="26" t="str">
        <f>"09DJN1295G"</f>
        <v>09DJN1295G</v>
      </c>
      <c r="C979" s="26" t="str">
        <f>"CUICACALLI                                                                                          "</f>
        <v xml:space="preserve">CUICACALLI                                                                                          </v>
      </c>
      <c r="D979" s="26" t="str">
        <f t="shared" si="156"/>
        <v>VESPERTINO</v>
      </c>
      <c r="E979" s="26" t="str">
        <f>"EMILIANO ZAPATA S/N                                                             "</f>
        <v xml:space="preserve">EMILIANO ZAPATA S/N                                                             </v>
      </c>
      <c r="F979" s="26" t="str">
        <f>"SAN JUAN MOYOTEPEC                                                                                                                          "</f>
        <v xml:space="preserve">SAN JUAN MOYOTEPEC                                                                                                                          </v>
      </c>
      <c r="G979" s="26" t="str">
        <f>"XOCHIMILCO                                                                      "</f>
        <v xml:space="preserve">XOCHIMILCO                                                                      </v>
      </c>
      <c r="H979" s="26" t="str">
        <f>"103"</f>
        <v>103</v>
      </c>
      <c r="I979" s="26" t="str">
        <f t="shared" si="151"/>
        <v>00</v>
      </c>
      <c r="J979" s="26" t="str">
        <f>"35 "</f>
        <v xml:space="preserve">35 </v>
      </c>
      <c r="K979" s="26" t="str">
        <f>"EP"</f>
        <v>EP</v>
      </c>
      <c r="L979" s="26" t="str">
        <f>"DGOSE"</f>
        <v>DGOSE</v>
      </c>
      <c r="M979" s="26" t="str">
        <f t="shared" si="152"/>
        <v>FEDERAL</v>
      </c>
      <c r="N979" s="26">
        <v>151</v>
      </c>
      <c r="O979" s="26">
        <v>83</v>
      </c>
      <c r="P979" s="26">
        <v>68</v>
      </c>
      <c r="Q979" s="26">
        <v>5</v>
      </c>
      <c r="R979" s="26">
        <v>1</v>
      </c>
      <c r="S979" s="26">
        <v>5</v>
      </c>
      <c r="T979" s="26">
        <v>5</v>
      </c>
      <c r="U979" s="26">
        <v>11</v>
      </c>
      <c r="V979" s="26">
        <v>1</v>
      </c>
      <c r="W979" s="26"/>
    </row>
    <row r="980" spans="1:23" x14ac:dyDescent="0.25">
      <c r="A980" s="26" t="str">
        <f t="shared" si="150"/>
        <v>PREESCOLAR</v>
      </c>
      <c r="B980" s="26" t="str">
        <f>"09DJN1296F"</f>
        <v>09DJN1296F</v>
      </c>
      <c r="C980" s="26" t="str">
        <f>"PROFR. LUCAS ORTIZ BENITEZ                                                                          "</f>
        <v xml:space="preserve">PROFR. LUCAS ORTIZ BENITEZ                                                                          </v>
      </c>
      <c r="D980" s="26" t="str">
        <f t="shared" si="156"/>
        <v>VESPERTINO</v>
      </c>
      <c r="E980" s="26" t="str">
        <f>"CERRADA MEXOCHITL S/N                                                           "</f>
        <v xml:space="preserve">CERRADA MEXOCHITL S/N                                                           </v>
      </c>
      <c r="F980" s="26" t="str">
        <f>"XOCHIPILLI                                                                                                                                  "</f>
        <v xml:space="preserve">XOCHIPILLI                                                                                                                                  </v>
      </c>
      <c r="G980" s="26" t="str">
        <f>"XOCHIMILCO                                                                      "</f>
        <v xml:space="preserve">XOCHIMILCO                                                                      </v>
      </c>
      <c r="H980" s="26" t="str">
        <f>"052"</f>
        <v>052</v>
      </c>
      <c r="I980" s="26" t="str">
        <f t="shared" si="151"/>
        <v>00</v>
      </c>
      <c r="J980" s="26" t="str">
        <f>"35 "</f>
        <v xml:space="preserve">35 </v>
      </c>
      <c r="K980" s="26" t="str">
        <f>"EP"</f>
        <v>EP</v>
      </c>
      <c r="L980" s="26" t="str">
        <f>"DGOSE"</f>
        <v>DGOSE</v>
      </c>
      <c r="M980" s="26" t="str">
        <f t="shared" si="152"/>
        <v>FEDERAL</v>
      </c>
      <c r="N980" s="26">
        <v>100</v>
      </c>
      <c r="O980" s="26">
        <v>45</v>
      </c>
      <c r="P980" s="26">
        <v>55</v>
      </c>
      <c r="Q980" s="26">
        <v>4</v>
      </c>
      <c r="R980" s="26">
        <v>1</v>
      </c>
      <c r="S980" s="26">
        <v>4</v>
      </c>
      <c r="T980" s="26">
        <v>3</v>
      </c>
      <c r="U980" s="26">
        <v>8</v>
      </c>
      <c r="V980" s="26">
        <v>1</v>
      </c>
      <c r="W980" s="26"/>
    </row>
    <row r="981" spans="1:23" x14ac:dyDescent="0.25">
      <c r="A981" s="26" t="str">
        <f t="shared" si="150"/>
        <v>PREESCOLAR</v>
      </c>
      <c r="B981" s="26" t="str">
        <f>"09DJN1297E"</f>
        <v>09DJN1297E</v>
      </c>
      <c r="C981" s="26" t="str">
        <f>"YOLOPATLI                                                                                           "</f>
        <v xml:space="preserve">YOLOPATLI                                                                                           </v>
      </c>
      <c r="D981" s="26" t="str">
        <f t="shared" si="156"/>
        <v>VESPERTINO</v>
      </c>
      <c r="E981" s="26" t="str">
        <f>"AV. GUSTAVO DIAZ ORDAZ S/N                                                      "</f>
        <v xml:space="preserve">AV. GUSTAVO DIAZ ORDAZ S/N                                                      </v>
      </c>
      <c r="F981" s="26" t="str">
        <f>"JALALPA EL GRANDE                                                                                                                           "</f>
        <v xml:space="preserve">JALALPA EL GRANDE                                                                                                                           </v>
      </c>
      <c r="G981" s="26" t="str">
        <f>"ALVARO OBREGON                                                                  "</f>
        <v xml:space="preserve">ALVARO OBREGON                                                                  </v>
      </c>
      <c r="H981" s="26" t="str">
        <f>"046"</f>
        <v>046</v>
      </c>
      <c r="I981" s="26" t="str">
        <f t="shared" si="151"/>
        <v>00</v>
      </c>
      <c r="J981" s="26" t="str">
        <f>"33 "</f>
        <v xml:space="preserve">33 </v>
      </c>
      <c r="K981" s="26" t="str">
        <f>"EP"</f>
        <v>EP</v>
      </c>
      <c r="L981" s="26" t="str">
        <f>"DGOSE"</f>
        <v>DGOSE</v>
      </c>
      <c r="M981" s="26" t="str">
        <f t="shared" si="152"/>
        <v>FEDERAL</v>
      </c>
      <c r="N981" s="26">
        <v>123</v>
      </c>
      <c r="O981" s="26">
        <v>76</v>
      </c>
      <c r="P981" s="26">
        <v>47</v>
      </c>
      <c r="Q981" s="26">
        <v>4</v>
      </c>
      <c r="R981" s="26">
        <v>1</v>
      </c>
      <c r="S981" s="26">
        <v>4</v>
      </c>
      <c r="T981" s="26">
        <v>6</v>
      </c>
      <c r="U981" s="26">
        <v>11</v>
      </c>
      <c r="V981" s="26">
        <v>1</v>
      </c>
      <c r="W981" s="26"/>
    </row>
    <row r="982" spans="1:23" x14ac:dyDescent="0.25">
      <c r="A982" s="26" t="str">
        <f t="shared" si="150"/>
        <v>PREESCOLAR</v>
      </c>
      <c r="B982" s="26" t="str">
        <f>"09DJN1298D"</f>
        <v>09DJN1298D</v>
      </c>
      <c r="C982" s="26" t="str">
        <f>"MAINOEL                                                                                             "</f>
        <v xml:space="preserve">MAINOEL                                                                                             </v>
      </c>
      <c r="D982" s="26" t="str">
        <f t="shared" si="156"/>
        <v>VESPERTINO</v>
      </c>
      <c r="E982" s="26" t="str">
        <f>"AV. SAN JERONIMO S/N                                                            "</f>
        <v xml:space="preserve">AV. SAN JERONIMO S/N                                                            </v>
      </c>
      <c r="F982" s="26" t="str">
        <f>"POTRERILLO                                                                                                                                  "</f>
        <v xml:space="preserve">POTRERILLO                                                                                                                                  </v>
      </c>
      <c r="G982" s="26" t="str">
        <f>"LA MAGDALENA CONTRERAS                                                          "</f>
        <v xml:space="preserve">LA MAGDALENA CONTRERAS                                                          </v>
      </c>
      <c r="H982" s="26" t="str">
        <f>"280"</f>
        <v>280</v>
      </c>
      <c r="I982" s="26" t="str">
        <f t="shared" si="151"/>
        <v>00</v>
      </c>
      <c r="J982" s="26" t="str">
        <f>"35 "</f>
        <v xml:space="preserve">35 </v>
      </c>
      <c r="K982" s="26" t="str">
        <f>"EP"</f>
        <v>EP</v>
      </c>
      <c r="L982" s="26" t="str">
        <f>"DGOSE"</f>
        <v>DGOSE</v>
      </c>
      <c r="M982" s="26" t="str">
        <f t="shared" si="152"/>
        <v>FEDERAL</v>
      </c>
      <c r="N982" s="26">
        <v>124</v>
      </c>
      <c r="O982" s="26">
        <v>68</v>
      </c>
      <c r="P982" s="26">
        <v>56</v>
      </c>
      <c r="Q982" s="26">
        <v>5</v>
      </c>
      <c r="R982" s="26">
        <v>1</v>
      </c>
      <c r="S982" s="26">
        <v>5</v>
      </c>
      <c r="T982" s="26">
        <v>2</v>
      </c>
      <c r="U982" s="26">
        <v>8</v>
      </c>
      <c r="V982" s="26">
        <v>1</v>
      </c>
      <c r="W982" s="26"/>
    </row>
    <row r="983" spans="1:23" x14ac:dyDescent="0.25">
      <c r="A983" s="26" t="str">
        <f t="shared" si="150"/>
        <v>PREESCOLAR</v>
      </c>
      <c r="B983" s="26" t="str">
        <f>"09DJN1300B"</f>
        <v>09DJN1300B</v>
      </c>
      <c r="C983" s="26" t="str">
        <f>"ANTONIA NAVA DE CATALAN                                                                             "</f>
        <v xml:space="preserve">ANTONIA NAVA DE CATALAN                                                                             </v>
      </c>
      <c r="D983" s="26" t="str">
        <f t="shared" si="156"/>
        <v>VESPERTINO</v>
      </c>
      <c r="E983" s="26" t="str">
        <f>"ANTONIO CARBAJAL Y B. CARBAJAL S/ N                                             "</f>
        <v xml:space="preserve">ANTONIO CARBAJAL Y B. CARBAJAL S/ N                                             </v>
      </c>
      <c r="F983" s="26" t="str">
        <f>"UNIDAD HABITACIONAL EJERCITO DE ORI                                                                                                         "</f>
        <v xml:space="preserve">UNIDAD HABITACIONAL EJERCITO DE ORI                                                                                                         </v>
      </c>
      <c r="G983" s="26" t="str">
        <f>"IZTAPALAPA                                                                      "</f>
        <v xml:space="preserve">IZTAPALAPA                                                                      </v>
      </c>
      <c r="H983" s="26" t="str">
        <f>"017"</f>
        <v>017</v>
      </c>
      <c r="I983" s="26" t="str">
        <f t="shared" si="151"/>
        <v>00</v>
      </c>
      <c r="J983" s="26" t="str">
        <f>"62 "</f>
        <v xml:space="preserve">62 </v>
      </c>
      <c r="K983" s="26" t="str">
        <f>"IZ"</f>
        <v>IZ</v>
      </c>
      <c r="L983" s="26" t="str">
        <f>"DGSEI"</f>
        <v>DGSEI</v>
      </c>
      <c r="M983" s="26" t="str">
        <f t="shared" si="152"/>
        <v>FEDERAL</v>
      </c>
      <c r="N983" s="26">
        <v>131</v>
      </c>
      <c r="O983" s="26">
        <v>67</v>
      </c>
      <c r="P983" s="26">
        <v>64</v>
      </c>
      <c r="Q983" s="26">
        <v>5</v>
      </c>
      <c r="R983" s="26">
        <v>1</v>
      </c>
      <c r="S983" s="26">
        <v>5</v>
      </c>
      <c r="T983" s="26">
        <v>3</v>
      </c>
      <c r="U983" s="26">
        <v>9</v>
      </c>
      <c r="V983" s="26">
        <v>1</v>
      </c>
      <c r="W983" s="26"/>
    </row>
    <row r="984" spans="1:23" x14ac:dyDescent="0.25">
      <c r="A984" s="26" t="str">
        <f t="shared" si="150"/>
        <v>PREESCOLAR</v>
      </c>
      <c r="B984" s="26" t="str">
        <f>"09DJN1304Y"</f>
        <v>09DJN1304Y</v>
      </c>
      <c r="C984" s="26" t="str">
        <f>"TICALLI                                                                                             "</f>
        <v xml:space="preserve">TICALLI                                                                                             </v>
      </c>
      <c r="D984" s="26" t="str">
        <f t="shared" si="156"/>
        <v>VESPERTINO</v>
      </c>
      <c r="E984" s="26" t="str">
        <f>"MORELOS Y VILLA GENERAL MITRE S/N                                               "</f>
        <v xml:space="preserve">MORELOS Y VILLA GENERAL MITRE S/N                                               </v>
      </c>
      <c r="F984" s="26" t="str">
        <f>"BUENAVISTA                                                                                                                                  "</f>
        <v xml:space="preserve">BUENAVISTA                                                                                                                                  </v>
      </c>
      <c r="G984" s="26" t="str">
        <f>"IZTAPALAPA                                                                      "</f>
        <v xml:space="preserve">IZTAPALAPA                                                                      </v>
      </c>
      <c r="H984" s="26" t="str">
        <f>"034"</f>
        <v>034</v>
      </c>
      <c r="I984" s="26" t="str">
        <f t="shared" si="151"/>
        <v>00</v>
      </c>
      <c r="J984" s="26" t="str">
        <f>"64 "</f>
        <v xml:space="preserve">64 </v>
      </c>
      <c r="K984" s="26" t="str">
        <f>"IZ"</f>
        <v>IZ</v>
      </c>
      <c r="L984" s="26" t="str">
        <f>"DGSEI"</f>
        <v>DGSEI</v>
      </c>
      <c r="M984" s="26" t="str">
        <f t="shared" si="152"/>
        <v>FEDERAL</v>
      </c>
      <c r="N984" s="26">
        <v>223</v>
      </c>
      <c r="O984" s="26">
        <v>109</v>
      </c>
      <c r="P984" s="26">
        <v>114</v>
      </c>
      <c r="Q984" s="26">
        <v>6</v>
      </c>
      <c r="R984" s="26">
        <v>1</v>
      </c>
      <c r="S984" s="26">
        <v>6</v>
      </c>
      <c r="T984" s="26">
        <v>2</v>
      </c>
      <c r="U984" s="26">
        <v>9</v>
      </c>
      <c r="V984" s="26">
        <v>1</v>
      </c>
      <c r="W984" s="26"/>
    </row>
    <row r="985" spans="1:23" x14ac:dyDescent="0.25">
      <c r="A985" s="26" t="str">
        <f t="shared" si="150"/>
        <v>PREESCOLAR</v>
      </c>
      <c r="B985" s="26" t="str">
        <f>"09DJN1305X"</f>
        <v>09DJN1305X</v>
      </c>
      <c r="C985" s="26" t="str">
        <f>"PAPAKI                                                                                              "</f>
        <v xml:space="preserve">PAPAKI                                                                                              </v>
      </c>
      <c r="D985" s="26" t="str">
        <f t="shared" si="156"/>
        <v>VESPERTINO</v>
      </c>
      <c r="E985" s="26" t="str">
        <f>"CUAUHTEMOC ESQ. ALDAMA                                                          "</f>
        <v xml:space="preserve">CUAUHTEMOC ESQ. ALDAMA                                                          </v>
      </c>
      <c r="F985" s="26" t="str">
        <f>"SANTIAGO ACAHUALTEPEC                                                                                                                       "</f>
        <v xml:space="preserve">SANTIAGO ACAHUALTEPEC                                                                                                                       </v>
      </c>
      <c r="G985" s="26" t="str">
        <f>"IZTAPALAPA                                                                      "</f>
        <v xml:space="preserve">IZTAPALAPA                                                                      </v>
      </c>
      <c r="H985" s="26" t="str">
        <f>"037"</f>
        <v>037</v>
      </c>
      <c r="I985" s="26" t="str">
        <f t="shared" si="151"/>
        <v>00</v>
      </c>
      <c r="J985" s="26" t="str">
        <f>"64 "</f>
        <v xml:space="preserve">64 </v>
      </c>
      <c r="K985" s="26" t="str">
        <f>"IZ"</f>
        <v>IZ</v>
      </c>
      <c r="L985" s="26" t="str">
        <f>"DGSEI"</f>
        <v>DGSEI</v>
      </c>
      <c r="M985" s="26" t="str">
        <f t="shared" si="152"/>
        <v>FEDERAL</v>
      </c>
      <c r="N985" s="26">
        <v>114</v>
      </c>
      <c r="O985" s="26">
        <v>62</v>
      </c>
      <c r="P985" s="26">
        <v>52</v>
      </c>
      <c r="Q985" s="26">
        <v>3</v>
      </c>
      <c r="R985" s="26">
        <v>1</v>
      </c>
      <c r="S985" s="26">
        <v>3</v>
      </c>
      <c r="T985" s="26">
        <v>3</v>
      </c>
      <c r="U985" s="26">
        <v>7</v>
      </c>
      <c r="V985" s="26">
        <v>1</v>
      </c>
      <c r="W985" s="26"/>
    </row>
    <row r="986" spans="1:23" x14ac:dyDescent="0.25">
      <c r="A986" s="26" t="str">
        <f t="shared" si="150"/>
        <v>PREESCOLAR</v>
      </c>
      <c r="B986" s="26" t="str">
        <f>"09DJN1306W"</f>
        <v>09DJN1306W</v>
      </c>
      <c r="C986" s="26" t="str">
        <f>"MARGARITA ISAS PEREA                                                                                "</f>
        <v xml:space="preserve">MARGARITA ISAS PEREA                                                                                </v>
      </c>
      <c r="D986" s="26" t="str">
        <f t="shared" si="156"/>
        <v>VESPERTINO</v>
      </c>
      <c r="E986" s="26" t="str">
        <f>"NIÑOS HEROES NO. 150                                                            "</f>
        <v xml:space="preserve">NIÑOS HEROES NO. 150                                                            </v>
      </c>
      <c r="F986" s="26" t="str">
        <f>"DOCTORES                                                                                                                                    "</f>
        <v xml:space="preserve">DOCTORES                                                                                                                                    </v>
      </c>
      <c r="G986" s="26" t="s">
        <v>4128</v>
      </c>
      <c r="H986" s="26" t="str">
        <f>"020"</f>
        <v>020</v>
      </c>
      <c r="I986" s="26" t="str">
        <f t="shared" si="151"/>
        <v>00</v>
      </c>
      <c r="J986" s="26" t="str">
        <f>"32 "</f>
        <v xml:space="preserve">32 </v>
      </c>
      <c r="K986" s="26" t="str">
        <f>"EP"</f>
        <v>EP</v>
      </c>
      <c r="L986" s="26" t="str">
        <f>"DGOSE"</f>
        <v>DGOSE</v>
      </c>
      <c r="M986" s="26" t="str">
        <f t="shared" si="152"/>
        <v>FEDERAL</v>
      </c>
      <c r="N986" s="26">
        <v>87</v>
      </c>
      <c r="O986" s="26">
        <v>40</v>
      </c>
      <c r="P986" s="26">
        <v>47</v>
      </c>
      <c r="Q986" s="26">
        <v>4</v>
      </c>
      <c r="R986" s="26">
        <v>1</v>
      </c>
      <c r="S986" s="26">
        <v>4</v>
      </c>
      <c r="T986" s="26">
        <v>3</v>
      </c>
      <c r="U986" s="26">
        <v>8</v>
      </c>
      <c r="V986" s="26">
        <v>1</v>
      </c>
      <c r="W986" s="26"/>
    </row>
    <row r="987" spans="1:23" x14ac:dyDescent="0.25">
      <c r="A987" s="26" t="str">
        <f t="shared" si="150"/>
        <v>PREESCOLAR</v>
      </c>
      <c r="B987" s="26" t="str">
        <f>"09DJN1307V"</f>
        <v>09DJN1307V</v>
      </c>
      <c r="C987" s="26" t="str">
        <f>"ENRIQUE PESTALOZZI                                                                                  "</f>
        <v xml:space="preserve">ENRIQUE PESTALOZZI                                                                                  </v>
      </c>
      <c r="D987" s="26" t="str">
        <f t="shared" si="156"/>
        <v>VESPERTINO</v>
      </c>
      <c r="E987" s="26" t="str">
        <f>"PEÑA Y PEÑA NO. 38                                                              "</f>
        <v xml:space="preserve">PEÑA Y PEÑA NO. 38                                                              </v>
      </c>
      <c r="F987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987" s="26" t="s">
        <v>4128</v>
      </c>
      <c r="H987" s="26" t="str">
        <f>"204"</f>
        <v>204</v>
      </c>
      <c r="I987" s="26" t="str">
        <f t="shared" si="151"/>
        <v>00</v>
      </c>
      <c r="J987" s="26" t="str">
        <f>"32 "</f>
        <v xml:space="preserve">32 </v>
      </c>
      <c r="K987" s="26" t="str">
        <f>"EP"</f>
        <v>EP</v>
      </c>
      <c r="L987" s="26" t="str">
        <f>"DGOSE"</f>
        <v>DGOSE</v>
      </c>
      <c r="M987" s="26" t="str">
        <f t="shared" si="152"/>
        <v>FEDERAL</v>
      </c>
      <c r="N987" s="26">
        <v>175</v>
      </c>
      <c r="O987" s="26">
        <v>85</v>
      </c>
      <c r="P987" s="26">
        <v>90</v>
      </c>
      <c r="Q987" s="26">
        <v>6</v>
      </c>
      <c r="R987" s="26">
        <v>1</v>
      </c>
      <c r="S987" s="26">
        <v>6</v>
      </c>
      <c r="T987" s="26">
        <v>3</v>
      </c>
      <c r="U987" s="26">
        <v>10</v>
      </c>
      <c r="V987" s="26">
        <v>1</v>
      </c>
      <c r="W987" s="26"/>
    </row>
    <row r="988" spans="1:23" x14ac:dyDescent="0.25">
      <c r="A988" s="26" t="str">
        <f t="shared" si="150"/>
        <v>PREESCOLAR</v>
      </c>
      <c r="B988" s="26" t="str">
        <f>"09DJN1308U"</f>
        <v>09DJN1308U</v>
      </c>
      <c r="C988" s="26" t="str">
        <f>"TSUTSUY                                                                                             "</f>
        <v xml:space="preserve">TSUTSUY                                                                                             </v>
      </c>
      <c r="D988" s="26" t="str">
        <f>"JORNADA AMPLIADA"</f>
        <v>JORNADA AMPLIADA</v>
      </c>
      <c r="E988" s="26" t="str">
        <f>"FLOR SILVESTRE Y FLOR MARINA S/N                                                "</f>
        <v xml:space="preserve">FLOR SILVESTRE Y FLOR MARINA S/N                                                </v>
      </c>
      <c r="F988" s="26" t="str">
        <f>"SANTIAGO ACAHUALTEPEC 2A AMPLIACION                                                                                                         "</f>
        <v xml:space="preserve">SANTIAGO ACAHUALTEPEC 2A AMPLIACION                                                                                                         </v>
      </c>
      <c r="G988" s="26" t="str">
        <f>"IZTAPALAPA                                                                      "</f>
        <v xml:space="preserve">IZTAPALAPA                                                                      </v>
      </c>
      <c r="H988" s="26" t="str">
        <f>"012"</f>
        <v>012</v>
      </c>
      <c r="I988" s="26" t="str">
        <f t="shared" si="151"/>
        <v>00</v>
      </c>
      <c r="J988" s="26" t="str">
        <f>"61 "</f>
        <v xml:space="preserve">61 </v>
      </c>
      <c r="K988" s="26" t="str">
        <f>"IZ"</f>
        <v>IZ</v>
      </c>
      <c r="L988" s="26" t="str">
        <f>"DGSEI"</f>
        <v>DGSEI</v>
      </c>
      <c r="M988" s="26" t="str">
        <f t="shared" si="152"/>
        <v>FEDERAL</v>
      </c>
      <c r="N988" s="26">
        <v>198</v>
      </c>
      <c r="O988" s="26">
        <v>105</v>
      </c>
      <c r="P988" s="26">
        <v>93</v>
      </c>
      <c r="Q988" s="26">
        <v>5</v>
      </c>
      <c r="R988" s="26">
        <v>1</v>
      </c>
      <c r="S988" s="26">
        <v>5</v>
      </c>
      <c r="T988" s="26">
        <v>5</v>
      </c>
      <c r="U988" s="26">
        <v>11</v>
      </c>
      <c r="V988" s="26">
        <v>1</v>
      </c>
      <c r="W988" s="26" t="s">
        <v>2076</v>
      </c>
    </row>
    <row r="989" spans="1:23" x14ac:dyDescent="0.25">
      <c r="A989" s="26" t="str">
        <f t="shared" si="150"/>
        <v>PREESCOLAR</v>
      </c>
      <c r="B989" s="26" t="str">
        <f>"09DJN1309T"</f>
        <v>09DJN1309T</v>
      </c>
      <c r="C989" s="26" t="str">
        <f>"CUICACALLI                                                                                          "</f>
        <v xml:space="preserve">CUICACALLI                                                                                          </v>
      </c>
      <c r="D989" s="26" t="str">
        <f>"JORNADA AMPLIADA"</f>
        <v>JORNADA AMPLIADA</v>
      </c>
      <c r="E989" s="26" t="str">
        <f>"VILLA DEL MAR S/N Y MATIAS ROMERO                                               "</f>
        <v xml:space="preserve">VILLA DEL MAR S/N Y MATIAS ROMERO                                               </v>
      </c>
      <c r="F989" s="26" t="str">
        <f>"SAN LORENZO TEZONCO                                                                                                                         "</f>
        <v xml:space="preserve">SAN LORENZO TEZONCO                                                                                                                         </v>
      </c>
      <c r="G989" s="26" t="str">
        <f>"IZTAPALAPA                                                                      "</f>
        <v xml:space="preserve">IZTAPALAPA                                                                      </v>
      </c>
      <c r="H989" s="26" t="str">
        <f>"009"</f>
        <v>009</v>
      </c>
      <c r="I989" s="26" t="str">
        <f t="shared" si="151"/>
        <v>00</v>
      </c>
      <c r="J989" s="26" t="str">
        <f>"61 "</f>
        <v xml:space="preserve">61 </v>
      </c>
      <c r="K989" s="26" t="str">
        <f>"IZ"</f>
        <v>IZ</v>
      </c>
      <c r="L989" s="26" t="str">
        <f>"DGSEI"</f>
        <v>DGSEI</v>
      </c>
      <c r="M989" s="26" t="str">
        <f t="shared" si="152"/>
        <v>FEDERAL</v>
      </c>
      <c r="N989" s="26">
        <v>282</v>
      </c>
      <c r="O989" s="26">
        <v>128</v>
      </c>
      <c r="P989" s="26">
        <v>154</v>
      </c>
      <c r="Q989" s="26">
        <v>7</v>
      </c>
      <c r="R989" s="26">
        <v>1</v>
      </c>
      <c r="S989" s="26">
        <v>7</v>
      </c>
      <c r="T989" s="26">
        <v>4</v>
      </c>
      <c r="U989" s="26">
        <v>12</v>
      </c>
      <c r="V989" s="26">
        <v>1</v>
      </c>
      <c r="W989" s="26" t="s">
        <v>2076</v>
      </c>
    </row>
    <row r="990" spans="1:23" x14ac:dyDescent="0.25">
      <c r="A990" s="26" t="str">
        <f t="shared" si="150"/>
        <v>PREESCOLAR</v>
      </c>
      <c r="B990" s="26" t="str">
        <f>"09DJN1310I"</f>
        <v>09DJN1310I</v>
      </c>
      <c r="C990" s="26" t="str">
        <f>"TLAMATINI                                                                                           "</f>
        <v xml:space="preserve">TLAMATINI                                                                                           </v>
      </c>
      <c r="D990" s="26" t="str">
        <f>"JORNADA AMPLIADA"</f>
        <v>JORNADA AMPLIADA</v>
      </c>
      <c r="E990" s="26" t="str">
        <f>"FELIPE ANGELES S/N.                                                             "</f>
        <v xml:space="preserve">FELIPE ANGELES S/N.                                                             </v>
      </c>
      <c r="F990" s="26" t="str">
        <f>"SAN MIGUEL TEOTONGO                                                                                                                         "</f>
        <v xml:space="preserve">SAN MIGUEL TEOTONGO                                                                                                                         </v>
      </c>
      <c r="G990" s="26" t="str">
        <f>"IZTAPALAPA                                                                      "</f>
        <v xml:space="preserve">IZTAPALAPA                                                                      </v>
      </c>
      <c r="H990" s="26" t="str">
        <f>"039"</f>
        <v>039</v>
      </c>
      <c r="I990" s="26" t="str">
        <f t="shared" si="151"/>
        <v>00</v>
      </c>
      <c r="J990" s="26" t="str">
        <f>"61 "</f>
        <v xml:space="preserve">61 </v>
      </c>
      <c r="K990" s="26" t="str">
        <f>"IZ"</f>
        <v>IZ</v>
      </c>
      <c r="L990" s="26" t="str">
        <f>"DGSEI"</f>
        <v>DGSEI</v>
      </c>
      <c r="M990" s="26" t="str">
        <f t="shared" si="152"/>
        <v>FEDERAL</v>
      </c>
      <c r="N990" s="26">
        <v>126</v>
      </c>
      <c r="O990" s="26">
        <v>57</v>
      </c>
      <c r="P990" s="26">
        <v>69</v>
      </c>
      <c r="Q990" s="26">
        <v>5</v>
      </c>
      <c r="R990" s="26">
        <v>1</v>
      </c>
      <c r="S990" s="26">
        <v>5</v>
      </c>
      <c r="T990" s="26">
        <v>3</v>
      </c>
      <c r="U990" s="26">
        <v>9</v>
      </c>
      <c r="V990" s="26">
        <v>1</v>
      </c>
      <c r="W990" s="26" t="s">
        <v>2076</v>
      </c>
    </row>
    <row r="991" spans="1:23" x14ac:dyDescent="0.25">
      <c r="A991" s="26" t="str">
        <f t="shared" si="150"/>
        <v>PREESCOLAR</v>
      </c>
      <c r="B991" s="26" t="str">
        <f>"09DJN1311H"</f>
        <v>09DJN1311H</v>
      </c>
      <c r="C991" s="26" t="str">
        <f>"EHECATL                                                                                             "</f>
        <v xml:space="preserve">EHECATL                                                                                             </v>
      </c>
      <c r="D991" s="26" t="str">
        <f>"TIEMPO COMPLETO"</f>
        <v>TIEMPO COMPLETO</v>
      </c>
      <c r="E991" s="26" t="str">
        <f>"CDA. DE SUBDIRECTORES TECNICOS Y MANUALES NO. 30                                "</f>
        <v xml:space="preserve">CDA. DE SUBDIRECTORES TECNICOS Y MANUALES NO. 30                                </v>
      </c>
      <c r="F991" s="26" t="str">
        <f>"LOMAS ESTRELLA                                                                                                                              "</f>
        <v xml:space="preserve">LOMAS ESTRELLA                                                                                                                              </v>
      </c>
      <c r="G991" s="26" t="str">
        <f>"IZTAPALAPA                                                                      "</f>
        <v xml:space="preserve">IZTAPALAPA                                                                      </v>
      </c>
      <c r="H991" s="26" t="str">
        <f>"010"</f>
        <v>010</v>
      </c>
      <c r="I991" s="26" t="str">
        <f t="shared" si="151"/>
        <v>00</v>
      </c>
      <c r="J991" s="26" t="str">
        <f>"61 "</f>
        <v xml:space="preserve">61 </v>
      </c>
      <c r="K991" s="26" t="str">
        <f>"IZ"</f>
        <v>IZ</v>
      </c>
      <c r="L991" s="26" t="str">
        <f>"DGSEI"</f>
        <v>DGSEI</v>
      </c>
      <c r="M991" s="26" t="str">
        <f t="shared" si="152"/>
        <v>FEDERAL</v>
      </c>
      <c r="N991" s="26">
        <v>164</v>
      </c>
      <c r="O991" s="26">
        <v>91</v>
      </c>
      <c r="P991" s="26">
        <v>73</v>
      </c>
      <c r="Q991" s="26">
        <v>6</v>
      </c>
      <c r="R991" s="26">
        <v>1</v>
      </c>
      <c r="S991" s="26">
        <v>6</v>
      </c>
      <c r="T991" s="26">
        <v>6</v>
      </c>
      <c r="U991" s="26">
        <v>13</v>
      </c>
      <c r="V991" s="26">
        <v>1</v>
      </c>
      <c r="W991" s="26" t="s">
        <v>218</v>
      </c>
    </row>
    <row r="992" spans="1:23" x14ac:dyDescent="0.25">
      <c r="A992" s="26" t="str">
        <f t="shared" si="150"/>
        <v>PREESCOLAR</v>
      </c>
      <c r="B992" s="26" t="str">
        <f>"09DJN1312G"</f>
        <v>09DJN1312G</v>
      </c>
      <c r="C992" s="26" t="str">
        <f>"PROFRA. CAROLINA PINO CRUZ                                                                          "</f>
        <v xml:space="preserve">PROFRA. CAROLINA PINO CRUZ                                                                          </v>
      </c>
      <c r="D992" s="26" t="str">
        <f>"VESPERTINO"</f>
        <v>VESPERTINO</v>
      </c>
      <c r="E992" s="26" t="str">
        <f>"PALMILLAS S/N Y AV. JUAREZ                                                      "</f>
        <v xml:space="preserve">PALMILLAS S/N Y AV. JUAREZ                                                      </v>
      </c>
      <c r="F992" s="26" t="str">
        <f>"CONSEJO AGRARISTA MEXICANO                                                                                                                  "</f>
        <v xml:space="preserve">CONSEJO AGRARISTA MEXICANO                                                                                                                  </v>
      </c>
      <c r="G992" s="26" t="str">
        <f>"IZTAPALAPA                                                                      "</f>
        <v xml:space="preserve">IZTAPALAPA                                                                      </v>
      </c>
      <c r="H992" s="26" t="str">
        <f>"029"</f>
        <v>029</v>
      </c>
      <c r="I992" s="26" t="str">
        <f t="shared" si="151"/>
        <v>00</v>
      </c>
      <c r="J992" s="26" t="str">
        <f>"64 "</f>
        <v xml:space="preserve">64 </v>
      </c>
      <c r="K992" s="26" t="str">
        <f>"IZ"</f>
        <v>IZ</v>
      </c>
      <c r="L992" s="26" t="str">
        <f>"DGSEI"</f>
        <v>DGSEI</v>
      </c>
      <c r="M992" s="26" t="str">
        <f t="shared" si="152"/>
        <v>FEDERAL</v>
      </c>
      <c r="N992" s="26">
        <v>179</v>
      </c>
      <c r="O992" s="26">
        <v>87</v>
      </c>
      <c r="P992" s="26">
        <v>92</v>
      </c>
      <c r="Q992" s="26">
        <v>5</v>
      </c>
      <c r="R992" s="26">
        <v>1</v>
      </c>
      <c r="S992" s="26">
        <v>5</v>
      </c>
      <c r="T992" s="26">
        <v>2</v>
      </c>
      <c r="U992" s="26">
        <v>8</v>
      </c>
      <c r="V992" s="26">
        <v>1</v>
      </c>
      <c r="W992" s="26"/>
    </row>
    <row r="993" spans="1:23" x14ac:dyDescent="0.25">
      <c r="A993" s="26" t="str">
        <f t="shared" si="150"/>
        <v>PREESCOLAR</v>
      </c>
      <c r="B993" s="26" t="str">
        <f>"09DJN1313F"</f>
        <v>09DJN1313F</v>
      </c>
      <c r="C993" s="26" t="str">
        <f>"MA. CRISTINA TOVAR MENA                                                                             "</f>
        <v xml:space="preserve">MA. CRISTINA TOVAR MENA                                                                             </v>
      </c>
      <c r="D993" s="26" t="str">
        <f>"MATUTINO"</f>
        <v>MATUTINO</v>
      </c>
      <c r="E993" s="26" t="str">
        <f>"BARRANCA SECA S/N                                                               "</f>
        <v xml:space="preserve">BARRANCA SECA S/N                                                               </v>
      </c>
      <c r="F993" s="26" t="str">
        <f>"SAN ANTONIO TECOMITL                                                                                                                        "</f>
        <v xml:space="preserve">SAN ANTONIO TECOMITL                                                                                                                        </v>
      </c>
      <c r="G993" s="26" t="str">
        <f>"MILPA ALTA                                                                      "</f>
        <v xml:space="preserve">MILPA ALTA                                                                      </v>
      </c>
      <c r="H993" s="26" t="str">
        <f>"141"</f>
        <v>141</v>
      </c>
      <c r="I993" s="26" t="str">
        <f t="shared" si="151"/>
        <v>00</v>
      </c>
      <c r="J993" s="26" t="str">
        <f>"35 "</f>
        <v xml:space="preserve">35 </v>
      </c>
      <c r="K993" s="26" t="str">
        <f>"EP"</f>
        <v>EP</v>
      </c>
      <c r="L993" s="26" t="str">
        <f>"DGOSE"</f>
        <v>DGOSE</v>
      </c>
      <c r="M993" s="26" t="str">
        <f t="shared" si="152"/>
        <v>FEDERAL</v>
      </c>
      <c r="N993" s="26">
        <v>233</v>
      </c>
      <c r="O993" s="26">
        <v>109</v>
      </c>
      <c r="P993" s="26">
        <v>124</v>
      </c>
      <c r="Q993" s="26">
        <v>7</v>
      </c>
      <c r="R993" s="26">
        <v>1</v>
      </c>
      <c r="S993" s="26">
        <v>7</v>
      </c>
      <c r="T993" s="26">
        <v>4</v>
      </c>
      <c r="U993" s="26">
        <v>12</v>
      </c>
      <c r="V993" s="26">
        <v>1</v>
      </c>
      <c r="W993" s="26"/>
    </row>
    <row r="994" spans="1:23" x14ac:dyDescent="0.25">
      <c r="A994" s="26" t="str">
        <f t="shared" si="150"/>
        <v>PREESCOLAR</v>
      </c>
      <c r="B994" s="26" t="str">
        <f>"09DJN1314E"</f>
        <v>09DJN1314E</v>
      </c>
      <c r="C994" s="26" t="str">
        <f>"TLAZCALTENCO                                                                                        "</f>
        <v xml:space="preserve">TLAZCALTENCO                                                                                        </v>
      </c>
      <c r="D994" s="26" t="str">
        <f>"VESPERTINO"</f>
        <v>VESPERTINO</v>
      </c>
      <c r="E994" s="26" t="str">
        <f>"GALEANA NO. 54                                                                  "</f>
        <v xml:space="preserve">GALEANA NO. 54                                                                  </v>
      </c>
      <c r="F994" s="26" t="str">
        <f>"SAN PABLO OZTOTEPEC                                                                                                                         "</f>
        <v xml:space="preserve">SAN PABLO OZTOTEPEC                                                                                                                         </v>
      </c>
      <c r="G994" s="26" t="str">
        <f>"MILPA ALTA                                                                      "</f>
        <v xml:space="preserve">MILPA ALTA                                                                      </v>
      </c>
      <c r="H994" s="26" t="str">
        <f>"281"</f>
        <v>281</v>
      </c>
      <c r="I994" s="26" t="str">
        <f t="shared" si="151"/>
        <v>00</v>
      </c>
      <c r="J994" s="26" t="str">
        <f>"35 "</f>
        <v xml:space="preserve">35 </v>
      </c>
      <c r="K994" s="26" t="str">
        <f>"EP"</f>
        <v>EP</v>
      </c>
      <c r="L994" s="26" t="str">
        <f>"DGOSE"</f>
        <v>DGOSE</v>
      </c>
      <c r="M994" s="26" t="str">
        <f t="shared" si="152"/>
        <v>FEDERAL</v>
      </c>
      <c r="N994" s="26">
        <v>243</v>
      </c>
      <c r="O994" s="26">
        <v>116</v>
      </c>
      <c r="P994" s="26">
        <v>127</v>
      </c>
      <c r="Q994" s="26">
        <v>8</v>
      </c>
      <c r="R994" s="26">
        <v>1</v>
      </c>
      <c r="S994" s="26">
        <v>7</v>
      </c>
      <c r="T994" s="26">
        <v>7</v>
      </c>
      <c r="U994" s="26">
        <v>15</v>
      </c>
      <c r="V994" s="26">
        <v>1</v>
      </c>
      <c r="W994" s="26"/>
    </row>
    <row r="995" spans="1:23" x14ac:dyDescent="0.25">
      <c r="A995" s="26" t="str">
        <f t="shared" si="150"/>
        <v>PREESCOLAR</v>
      </c>
      <c r="B995" s="26" t="str">
        <f>"09DJN1318A"</f>
        <v>09DJN1318A</v>
      </c>
      <c r="C995" s="26" t="str">
        <f>"ATLITIC                                                                                             "</f>
        <v xml:space="preserve">ATLITIC                                                                                             </v>
      </c>
      <c r="D995" s="26" t="str">
        <f>"VESPERTINO"</f>
        <v>VESPERTINO</v>
      </c>
      <c r="E995" s="26" t="str">
        <f>"GERANIO Y DALIA                                                                 "</f>
        <v xml:space="preserve">GERANIO Y DALIA                                                                 </v>
      </c>
      <c r="F995" s="26" t="str">
        <f>"EL TORO                                                                                                                                     "</f>
        <v xml:space="preserve">EL TORO                                                                                                                                     </v>
      </c>
      <c r="G995" s="26" t="str">
        <f>"LA MAGDALENA CONTRERAS                                                          "</f>
        <v xml:space="preserve">LA MAGDALENA CONTRERAS                                                          </v>
      </c>
      <c r="H995" s="26" t="str">
        <f>"280"</f>
        <v>280</v>
      </c>
      <c r="I995" s="26" t="str">
        <f t="shared" si="151"/>
        <v>00</v>
      </c>
      <c r="J995" s="26" t="str">
        <f>"35 "</f>
        <v xml:space="preserve">35 </v>
      </c>
      <c r="K995" s="26" t="str">
        <f>"EP"</f>
        <v>EP</v>
      </c>
      <c r="L995" s="26" t="str">
        <f>"DGOSE"</f>
        <v>DGOSE</v>
      </c>
      <c r="M995" s="26" t="str">
        <f t="shared" si="152"/>
        <v>FEDERAL</v>
      </c>
      <c r="N995" s="26">
        <v>109</v>
      </c>
      <c r="O995" s="26">
        <v>55</v>
      </c>
      <c r="P995" s="26">
        <v>54</v>
      </c>
      <c r="Q995" s="26">
        <v>4</v>
      </c>
      <c r="R995" s="26">
        <v>1</v>
      </c>
      <c r="S995" s="26">
        <v>4</v>
      </c>
      <c r="T995" s="26">
        <v>3</v>
      </c>
      <c r="U995" s="26">
        <v>8</v>
      </c>
      <c r="V995" s="26">
        <v>1</v>
      </c>
      <c r="W995" s="26"/>
    </row>
    <row r="996" spans="1:23" x14ac:dyDescent="0.25">
      <c r="A996" s="26" t="str">
        <f t="shared" si="150"/>
        <v>PREESCOLAR</v>
      </c>
      <c r="B996" s="26" t="str">
        <f>"09DJN1319Z"</f>
        <v>09DJN1319Z</v>
      </c>
      <c r="C996" s="26" t="str">
        <f>"XAIRE                                                                                               "</f>
        <v xml:space="preserve">XAIRE                                                                                               </v>
      </c>
      <c r="D996" s="26" t="str">
        <f>"VESPERTINO"</f>
        <v>VESPERTINO</v>
      </c>
      <c r="E996" s="26" t="str">
        <f>"5 DE FEBRERO S/N.                                                               "</f>
        <v xml:space="preserve">5 DE FEBRERO S/N.                                                               </v>
      </c>
      <c r="F996" s="26" t="str">
        <f>"SANTIAGO ACAHUALTEPEC 2A AMPLIACION                                                                                                         "</f>
        <v xml:space="preserve">SANTIAGO ACAHUALTEPEC 2A AMPLIACION                                                                                                         </v>
      </c>
      <c r="G996" s="26" t="str">
        <f>"IZTAPALAPA                                                                      "</f>
        <v xml:space="preserve">IZTAPALAPA                                                                      </v>
      </c>
      <c r="H996" s="26" t="str">
        <f>"037"</f>
        <v>037</v>
      </c>
      <c r="I996" s="26" t="str">
        <f t="shared" si="151"/>
        <v>00</v>
      </c>
      <c r="J996" s="26" t="str">
        <f>"64 "</f>
        <v xml:space="preserve">64 </v>
      </c>
      <c r="K996" s="26" t="str">
        <f>"IZ"</f>
        <v>IZ</v>
      </c>
      <c r="L996" s="26" t="str">
        <f>"DGSEI"</f>
        <v>DGSEI</v>
      </c>
      <c r="M996" s="26" t="str">
        <f t="shared" si="152"/>
        <v>FEDERAL</v>
      </c>
      <c r="N996" s="26">
        <v>238</v>
      </c>
      <c r="O996" s="26">
        <v>124</v>
      </c>
      <c r="P996" s="26">
        <v>114</v>
      </c>
      <c r="Q996" s="26">
        <v>6</v>
      </c>
      <c r="R996" s="26">
        <v>1</v>
      </c>
      <c r="S996" s="26">
        <v>6</v>
      </c>
      <c r="T996" s="26">
        <v>3</v>
      </c>
      <c r="U996" s="26">
        <v>10</v>
      </c>
      <c r="V996" s="26">
        <v>1</v>
      </c>
      <c r="W996" s="26"/>
    </row>
    <row r="997" spans="1:23" x14ac:dyDescent="0.25">
      <c r="A997" s="26" t="str">
        <f t="shared" si="150"/>
        <v>PREESCOLAR</v>
      </c>
      <c r="B997" s="26" t="str">
        <f>"09DJN1320P"</f>
        <v>09DJN1320P</v>
      </c>
      <c r="C997" s="26" t="str">
        <f>"CONTLE PAXQUI                                                                                       "</f>
        <v xml:space="preserve">CONTLE PAXQUI                                                                                       </v>
      </c>
      <c r="D997" s="26" t="str">
        <f>"VESPERTINO"</f>
        <v>VESPERTINO</v>
      </c>
      <c r="E997" s="26" t="str">
        <f>"PINO S/N.                                                                       "</f>
        <v xml:space="preserve">PINO S/N.                                                                       </v>
      </c>
      <c r="F997" s="26" t="str">
        <f>"CAMPESTRE EL POTRERO                                                                                                                        "</f>
        <v xml:space="preserve">CAMPESTRE EL POTRERO                                                                                                                        </v>
      </c>
      <c r="G997" s="26" t="str">
        <f>"IZTAPALAPA                                                                      "</f>
        <v xml:space="preserve">IZTAPALAPA                                                                      </v>
      </c>
      <c r="H997" s="26" t="str">
        <f>"038"</f>
        <v>038</v>
      </c>
      <c r="I997" s="26" t="str">
        <f t="shared" si="151"/>
        <v>00</v>
      </c>
      <c r="J997" s="26" t="str">
        <f>"64 "</f>
        <v xml:space="preserve">64 </v>
      </c>
      <c r="K997" s="26" t="str">
        <f>"IZ"</f>
        <v>IZ</v>
      </c>
      <c r="L997" s="26" t="str">
        <f>"DGSEI"</f>
        <v>DGSEI</v>
      </c>
      <c r="M997" s="26" t="str">
        <f t="shared" si="152"/>
        <v>FEDERAL</v>
      </c>
      <c r="N997" s="26">
        <v>252</v>
      </c>
      <c r="O997" s="26">
        <v>113</v>
      </c>
      <c r="P997" s="26">
        <v>139</v>
      </c>
      <c r="Q997" s="26">
        <v>7</v>
      </c>
      <c r="R997" s="26">
        <v>1</v>
      </c>
      <c r="S997" s="26">
        <v>7</v>
      </c>
      <c r="T997" s="26">
        <v>2</v>
      </c>
      <c r="U997" s="26">
        <v>10</v>
      </c>
      <c r="V997" s="26">
        <v>1</v>
      </c>
      <c r="W997" s="26"/>
    </row>
    <row r="998" spans="1:23" x14ac:dyDescent="0.25">
      <c r="A998" s="26" t="str">
        <f t="shared" si="150"/>
        <v>PREESCOLAR</v>
      </c>
      <c r="B998" s="26" t="str">
        <f>"09DJN1321O"</f>
        <v>09DJN1321O</v>
      </c>
      <c r="C998" s="26" t="str">
        <f>"AJUCHITAN                                                                                           "</f>
        <v xml:space="preserve">AJUCHITAN                                                                                           </v>
      </c>
      <c r="D998" s="26" t="str">
        <f>"VESPERTINO"</f>
        <v>VESPERTINO</v>
      </c>
      <c r="E998" s="26" t="str">
        <f>"MORELOS Y LEONA VICARIO S/N                                                     "</f>
        <v xml:space="preserve">MORELOS Y LEONA VICARIO S/N                                                     </v>
      </c>
      <c r="F998" s="26" t="str">
        <f>"SANTO TOMAS AJUSCO                                                                                                                          "</f>
        <v xml:space="preserve">SANTO TOMAS AJUSCO                                                                                                                          </v>
      </c>
      <c r="G998" s="26" t="str">
        <f>"TLALPAN                                                                         "</f>
        <v xml:space="preserve">TLALPAN                                                                         </v>
      </c>
      <c r="H998" s="26" t="str">
        <f>"076"</f>
        <v>076</v>
      </c>
      <c r="I998" s="26" t="str">
        <f t="shared" si="151"/>
        <v>00</v>
      </c>
      <c r="J998" s="26" t="str">
        <f>"35 "</f>
        <v xml:space="preserve">35 </v>
      </c>
      <c r="K998" s="26" t="str">
        <f>"EP"</f>
        <v>EP</v>
      </c>
      <c r="L998" s="26" t="str">
        <f>"DGOSE"</f>
        <v>DGOSE</v>
      </c>
      <c r="M998" s="26" t="str">
        <f t="shared" si="152"/>
        <v>FEDERAL</v>
      </c>
      <c r="N998" s="26">
        <v>203</v>
      </c>
      <c r="O998" s="26">
        <v>103</v>
      </c>
      <c r="P998" s="26">
        <v>100</v>
      </c>
      <c r="Q998" s="26">
        <v>6</v>
      </c>
      <c r="R998" s="26">
        <v>1</v>
      </c>
      <c r="S998" s="26">
        <v>4</v>
      </c>
      <c r="T998" s="26">
        <v>4</v>
      </c>
      <c r="U998" s="26">
        <v>9</v>
      </c>
      <c r="V998" s="26">
        <v>1</v>
      </c>
      <c r="W998" s="26"/>
    </row>
    <row r="999" spans="1:23" x14ac:dyDescent="0.25">
      <c r="A999" s="26" t="str">
        <f t="shared" si="150"/>
        <v>PREESCOLAR</v>
      </c>
      <c r="B999" s="26" t="str">
        <f>"09DJN1323M"</f>
        <v>09DJN1323M</v>
      </c>
      <c r="C999" s="26" t="str">
        <f>"BLAS GALINDO                                                                                        "</f>
        <v xml:space="preserve">BLAS GALINDO                                                                                        </v>
      </c>
      <c r="D999" s="26" t="str">
        <f>"MATUTINO"</f>
        <v>MATUTINO</v>
      </c>
      <c r="E999" s="26" t="str">
        <f>"PROLONG. TELECOMUNICACIONES FTE. 10                                             "</f>
        <v xml:space="preserve">PROLONG. TELECOMUNICACIONES FTE. 10                                             </v>
      </c>
      <c r="F999" s="26" t="str">
        <f>"CHINAMPAC DE JUAREZ                                                                                                                         "</f>
        <v xml:space="preserve">CHINAMPAC DE JUAREZ                                                                                                                         </v>
      </c>
      <c r="G999" s="26" t="str">
        <f>"IZTAPALAPA                                                                      "</f>
        <v xml:space="preserve">IZTAPALAPA                                                                      </v>
      </c>
      <c r="H999" s="26" t="str">
        <f>"018"</f>
        <v>018</v>
      </c>
      <c r="I999" s="26" t="str">
        <f t="shared" si="151"/>
        <v>00</v>
      </c>
      <c r="J999" s="26" t="str">
        <f>"62 "</f>
        <v xml:space="preserve">62 </v>
      </c>
      <c r="K999" s="26" t="str">
        <f>"IZ"</f>
        <v>IZ</v>
      </c>
      <c r="L999" s="26" t="str">
        <f>"DGSEI"</f>
        <v>DGSEI</v>
      </c>
      <c r="M999" s="26" t="str">
        <f t="shared" si="152"/>
        <v>FEDERAL</v>
      </c>
      <c r="N999" s="26">
        <v>246</v>
      </c>
      <c r="O999" s="26">
        <v>125</v>
      </c>
      <c r="P999" s="26">
        <v>121</v>
      </c>
      <c r="Q999" s="26">
        <v>7</v>
      </c>
      <c r="R999" s="26">
        <v>1</v>
      </c>
      <c r="S999" s="26">
        <v>7</v>
      </c>
      <c r="T999" s="26">
        <v>3</v>
      </c>
      <c r="U999" s="26">
        <v>11</v>
      </c>
      <c r="V999" s="26">
        <v>1</v>
      </c>
      <c r="W999" s="26"/>
    </row>
    <row r="1000" spans="1:23" x14ac:dyDescent="0.25">
      <c r="A1000" s="26" t="str">
        <f t="shared" si="150"/>
        <v>PREESCOLAR</v>
      </c>
      <c r="B1000" s="26" t="str">
        <f>"09DJN1324L"</f>
        <v>09DJN1324L</v>
      </c>
      <c r="C1000" s="26" t="str">
        <f>"JULIAN CARRILLO                                                                                     "</f>
        <v xml:space="preserve">JULIAN CARRILLO                                                                                     </v>
      </c>
      <c r="D1000" s="26" t="str">
        <f>"MATUTINO"</f>
        <v>MATUTINO</v>
      </c>
      <c r="E1000" s="26" t="str">
        <f>"PERIFERICO Y EJE 5 SUR FTE. 6-7                                                 "</f>
        <v xml:space="preserve">PERIFERICO Y EJE 5 SUR FTE. 6-7                                                 </v>
      </c>
      <c r="F1000" s="26" t="str">
        <f>"CHINAMPAC DE JUAREZ                                                                                                                         "</f>
        <v xml:space="preserve">CHINAMPAC DE JUAREZ                                                                                                                         </v>
      </c>
      <c r="G1000" s="26" t="str">
        <f>"IZTAPALAPA                                                                      "</f>
        <v xml:space="preserve">IZTAPALAPA                                                                      </v>
      </c>
      <c r="H1000" s="26" t="str">
        <f>"019"</f>
        <v>019</v>
      </c>
      <c r="I1000" s="26" t="str">
        <f t="shared" si="151"/>
        <v>00</v>
      </c>
      <c r="J1000" s="26" t="str">
        <f>"62 "</f>
        <v xml:space="preserve">62 </v>
      </c>
      <c r="K1000" s="26" t="str">
        <f>"IZ"</f>
        <v>IZ</v>
      </c>
      <c r="L1000" s="26" t="str">
        <f>"DGSEI"</f>
        <v>DGSEI</v>
      </c>
      <c r="M1000" s="26" t="str">
        <f t="shared" si="152"/>
        <v>FEDERAL</v>
      </c>
      <c r="N1000" s="26">
        <v>192</v>
      </c>
      <c r="O1000" s="26">
        <v>91</v>
      </c>
      <c r="P1000" s="26">
        <v>101</v>
      </c>
      <c r="Q1000" s="26">
        <v>6</v>
      </c>
      <c r="R1000" s="26">
        <v>1</v>
      </c>
      <c r="S1000" s="26">
        <v>6</v>
      </c>
      <c r="T1000" s="26">
        <v>3</v>
      </c>
      <c r="U1000" s="26">
        <v>10</v>
      </c>
      <c r="V1000" s="26">
        <v>1</v>
      </c>
      <c r="W1000" s="26"/>
    </row>
    <row r="1001" spans="1:23" x14ac:dyDescent="0.25">
      <c r="A1001" s="26" t="str">
        <f t="shared" si="150"/>
        <v>PREESCOLAR</v>
      </c>
      <c r="B1001" s="26" t="str">
        <f>"09DJN1325K"</f>
        <v>09DJN1325K</v>
      </c>
      <c r="C1001" s="26" t="str">
        <f>"DR. ATL                                                                                             "</f>
        <v xml:space="preserve">DR. ATL                                                                                             </v>
      </c>
      <c r="D1001" s="26" t="str">
        <f>"JORNADA AMPLIADA"</f>
        <v>JORNADA AMPLIADA</v>
      </c>
      <c r="E1001" s="26" t="str">
        <f>"CDA. AV. 4 PONIENTE Y 6 PONIENTE                                                "</f>
        <v xml:space="preserve">CDA. AV. 4 PONIENTE Y 6 PONIENTE                                                </v>
      </c>
      <c r="F1001" s="26" t="str">
        <f>"CONSTITUCION 1917                                                                                                                           "</f>
        <v xml:space="preserve">CONSTITUCION 1917                                                                                                                           </v>
      </c>
      <c r="G1001" s="26" t="str">
        <f>"IZTAPALAPA                                                                      "</f>
        <v xml:space="preserve">IZTAPALAPA                                                                      </v>
      </c>
      <c r="H1001" s="26" t="str">
        <f>"011"</f>
        <v>011</v>
      </c>
      <c r="I1001" s="26" t="str">
        <f t="shared" si="151"/>
        <v>00</v>
      </c>
      <c r="J1001" s="26" t="str">
        <f>"61 "</f>
        <v xml:space="preserve">61 </v>
      </c>
      <c r="K1001" s="26" t="str">
        <f>"IZ"</f>
        <v>IZ</v>
      </c>
      <c r="L1001" s="26" t="str">
        <f>"DGSEI"</f>
        <v>DGSEI</v>
      </c>
      <c r="M1001" s="26" t="str">
        <f t="shared" si="152"/>
        <v>FEDERAL</v>
      </c>
      <c r="N1001" s="26">
        <v>202</v>
      </c>
      <c r="O1001" s="26">
        <v>103</v>
      </c>
      <c r="P1001" s="26">
        <v>99</v>
      </c>
      <c r="Q1001" s="26">
        <v>6</v>
      </c>
      <c r="R1001" s="26">
        <v>1</v>
      </c>
      <c r="S1001" s="26">
        <v>6</v>
      </c>
      <c r="T1001" s="26">
        <v>6</v>
      </c>
      <c r="U1001" s="26">
        <v>13</v>
      </c>
      <c r="V1001" s="26">
        <v>1</v>
      </c>
      <c r="W1001" s="26" t="s">
        <v>2076</v>
      </c>
    </row>
    <row r="1002" spans="1:23" x14ac:dyDescent="0.25">
      <c r="A1002" s="26" t="str">
        <f t="shared" si="150"/>
        <v>PREESCOLAR</v>
      </c>
      <c r="B1002" s="26" t="str">
        <f>"09DJN1326J"</f>
        <v>09DJN1326J</v>
      </c>
      <c r="C1002" s="26" t="str">
        <f>"AVE REAL                                                                                            "</f>
        <v xml:space="preserve">AVE REAL                                                                                            </v>
      </c>
      <c r="D1002" s="26" t="str">
        <f>"JORNADA AMPLIADA"</f>
        <v>JORNADA AMPLIADA</v>
      </c>
      <c r="E1002" s="26" t="str">
        <f>"CALLE PERDIZ Y ZACUA                                                            "</f>
        <v xml:space="preserve">CALLE PERDIZ Y ZACUA                                                            </v>
      </c>
      <c r="F1002" s="26" t="str">
        <f>"AVE REAL                                                                                                                                    "</f>
        <v xml:space="preserve">AVE REAL                                                                                                                                    </v>
      </c>
      <c r="G1002" s="26" t="str">
        <f>"ALVARO OBREGON                                                                  "</f>
        <v xml:space="preserve">ALVARO OBREGON                                                                  </v>
      </c>
      <c r="H1002" s="26" t="str">
        <f>"174"</f>
        <v>174</v>
      </c>
      <c r="I1002" s="26" t="str">
        <f t="shared" si="151"/>
        <v>00</v>
      </c>
      <c r="J1002" s="26" t="str">
        <f>"34 "</f>
        <v xml:space="preserve">34 </v>
      </c>
      <c r="K1002" s="26" t="str">
        <f t="shared" ref="K1002:K1008" si="157">"EP"</f>
        <v>EP</v>
      </c>
      <c r="L1002" s="26" t="str">
        <f t="shared" ref="L1002:L1008" si="158">"DGOSE"</f>
        <v>DGOSE</v>
      </c>
      <c r="M1002" s="26" t="str">
        <f t="shared" si="152"/>
        <v>FEDERAL</v>
      </c>
      <c r="N1002" s="26">
        <v>171</v>
      </c>
      <c r="O1002" s="26">
        <v>86</v>
      </c>
      <c r="P1002" s="26">
        <v>85</v>
      </c>
      <c r="Q1002" s="26">
        <v>4</v>
      </c>
      <c r="R1002" s="26">
        <v>1</v>
      </c>
      <c r="S1002" s="26">
        <v>4</v>
      </c>
      <c r="T1002" s="26">
        <v>5</v>
      </c>
      <c r="U1002" s="26">
        <v>10</v>
      </c>
      <c r="V1002" s="26">
        <v>1</v>
      </c>
      <c r="W1002" s="26" t="s">
        <v>2076</v>
      </c>
    </row>
    <row r="1003" spans="1:23" x14ac:dyDescent="0.25">
      <c r="A1003" s="26" t="str">
        <f t="shared" si="150"/>
        <v>PREESCOLAR</v>
      </c>
      <c r="B1003" s="26" t="str">
        <f>"09DJN1327I"</f>
        <v>09DJN1327I</v>
      </c>
      <c r="C1003" s="26" t="str">
        <f>"LIC. LUIS DONALDO COLOSIO MURRIETA                                                                  "</f>
        <v xml:space="preserve">LIC. LUIS DONALDO COLOSIO MURRIETA                                                                  </v>
      </c>
      <c r="D1003" s="26" t="str">
        <f>"TIEMPO COMPLETO"</f>
        <v>TIEMPO COMPLETO</v>
      </c>
      <c r="E1003" s="26" t="str">
        <f>"AV. MEXICO ESQ. BAJA CALIFORNIA                                                 "</f>
        <v xml:space="preserve">AV. MEXICO ESQ. BAJA CALIFORNIA                                                 </v>
      </c>
      <c r="F1003" s="26" t="str">
        <f>"EL PIRUL                                                                                                                                    "</f>
        <v xml:space="preserve">EL PIRUL                                                                                                                                    </v>
      </c>
      <c r="G1003" s="26" t="str">
        <f>"ALVARO OBREGON                                                                  "</f>
        <v xml:space="preserve">ALVARO OBREGON                                                                  </v>
      </c>
      <c r="H1003" s="26" t="str">
        <f>"045"</f>
        <v>045</v>
      </c>
      <c r="I1003" s="26" t="str">
        <f t="shared" si="151"/>
        <v>00</v>
      </c>
      <c r="J1003" s="26" t="str">
        <f>"34 "</f>
        <v xml:space="preserve">34 </v>
      </c>
      <c r="K1003" s="26" t="str">
        <f t="shared" si="157"/>
        <v>EP</v>
      </c>
      <c r="L1003" s="26" t="str">
        <f t="shared" si="158"/>
        <v>DGOSE</v>
      </c>
      <c r="M1003" s="26" t="str">
        <f t="shared" si="152"/>
        <v>FEDERAL</v>
      </c>
      <c r="N1003" s="26">
        <v>202</v>
      </c>
      <c r="O1003" s="26">
        <v>103</v>
      </c>
      <c r="P1003" s="26">
        <v>99</v>
      </c>
      <c r="Q1003" s="26">
        <v>6</v>
      </c>
      <c r="R1003" s="26">
        <v>2</v>
      </c>
      <c r="S1003" s="26">
        <v>5</v>
      </c>
      <c r="T1003" s="26">
        <v>16</v>
      </c>
      <c r="U1003" s="26">
        <v>23</v>
      </c>
      <c r="V1003" s="26">
        <v>1</v>
      </c>
      <c r="W1003" s="26" t="s">
        <v>218</v>
      </c>
    </row>
    <row r="1004" spans="1:23" x14ac:dyDescent="0.25">
      <c r="A1004" s="26" t="str">
        <f t="shared" si="150"/>
        <v>PREESCOLAR</v>
      </c>
      <c r="B1004" s="26" t="str">
        <f>"09DJN1328H"</f>
        <v>09DJN1328H</v>
      </c>
      <c r="C1004" s="26" t="str">
        <f>"ANGEL MARIA GARIBAY KINTANA                                                                         "</f>
        <v xml:space="preserve">ANGEL MARIA GARIBAY KINTANA                                                                         </v>
      </c>
      <c r="D1004" s="26" t="str">
        <f>"JORNADA AMPLIADA"</f>
        <v>JORNADA AMPLIADA</v>
      </c>
      <c r="E1004" s="26" t="str">
        <f>"EJE 5 NORTE Y AV. DE LAS CULTURAS                                               "</f>
        <v xml:space="preserve">EJE 5 NORTE Y AV. DE LAS CULTURAS                                               </v>
      </c>
      <c r="F1004" s="26" t="str">
        <f>"SAN MARTIN XOCHINAHUAC                                                                                                                      "</f>
        <v xml:space="preserve">SAN MARTIN XOCHINAHUAC                                                                                                                      </v>
      </c>
      <c r="G1004" s="26" t="str">
        <f>"AZCAPOTZALCO                                                                    "</f>
        <v xml:space="preserve">AZCAPOTZALCO                                                                    </v>
      </c>
      <c r="H1004" s="26" t="str">
        <f>"181"</f>
        <v>181</v>
      </c>
      <c r="I1004" s="26" t="str">
        <f t="shared" si="151"/>
        <v>00</v>
      </c>
      <c r="J1004" s="26" t="str">
        <f>"31 "</f>
        <v xml:space="preserve">31 </v>
      </c>
      <c r="K1004" s="26" t="str">
        <f t="shared" si="157"/>
        <v>EP</v>
      </c>
      <c r="L1004" s="26" t="str">
        <f t="shared" si="158"/>
        <v>DGOSE</v>
      </c>
      <c r="M1004" s="26" t="str">
        <f t="shared" si="152"/>
        <v>FEDERAL</v>
      </c>
      <c r="N1004" s="26">
        <v>206</v>
      </c>
      <c r="O1004" s="26">
        <v>97</v>
      </c>
      <c r="P1004" s="26">
        <v>109</v>
      </c>
      <c r="Q1004" s="26">
        <v>7</v>
      </c>
      <c r="R1004" s="26">
        <v>1</v>
      </c>
      <c r="S1004" s="26">
        <v>7</v>
      </c>
      <c r="T1004" s="26">
        <v>5</v>
      </c>
      <c r="U1004" s="26">
        <v>13</v>
      </c>
      <c r="V1004" s="26">
        <v>1</v>
      </c>
      <c r="W1004" s="26" t="s">
        <v>2076</v>
      </c>
    </row>
    <row r="1005" spans="1:23" x14ac:dyDescent="0.25">
      <c r="A1005" s="26" t="str">
        <f t="shared" si="150"/>
        <v>PREESCOLAR</v>
      </c>
      <c r="B1005" s="26" t="str">
        <f>"09DJN1329G"</f>
        <v>09DJN1329G</v>
      </c>
      <c r="C1005" s="26" t="str">
        <f>"GUELAGUETZA                                                                                         "</f>
        <v xml:space="preserve">GUELAGUETZA                                                                                         </v>
      </c>
      <c r="D1005" s="26" t="str">
        <f>"VESPERTINO"</f>
        <v>VESPERTINO</v>
      </c>
      <c r="E1005" s="26" t="str">
        <f>"SUR 125 Y ORIENTE 100                                                           "</f>
        <v xml:space="preserve">SUR 125 Y ORIENTE 100                                                           </v>
      </c>
      <c r="F1005" s="26" t="str">
        <f>"GABRIEL RAMOS MILLAN                                                                                                                        "</f>
        <v xml:space="preserve">GABRIEL RAMOS MILLAN                                                                                                                        </v>
      </c>
      <c r="G1005" s="26" t="str">
        <f>"IZTACALCO                                                                       "</f>
        <v xml:space="preserve">IZTACALCO                                                                       </v>
      </c>
      <c r="H1005" s="26" t="str">
        <f>"029"</f>
        <v>029</v>
      </c>
      <c r="I1005" s="26" t="str">
        <f t="shared" si="151"/>
        <v>00</v>
      </c>
      <c r="J1005" s="26" t="str">
        <f>"33 "</f>
        <v xml:space="preserve">33 </v>
      </c>
      <c r="K1005" s="26" t="str">
        <f t="shared" si="157"/>
        <v>EP</v>
      </c>
      <c r="L1005" s="26" t="str">
        <f t="shared" si="158"/>
        <v>DGOSE</v>
      </c>
      <c r="M1005" s="26" t="str">
        <f t="shared" si="152"/>
        <v>FEDERAL</v>
      </c>
      <c r="N1005" s="26">
        <v>97</v>
      </c>
      <c r="O1005" s="26">
        <v>49</v>
      </c>
      <c r="P1005" s="26">
        <v>48</v>
      </c>
      <c r="Q1005" s="26">
        <v>3</v>
      </c>
      <c r="R1005" s="26">
        <v>1</v>
      </c>
      <c r="S1005" s="26">
        <v>3</v>
      </c>
      <c r="T1005" s="26">
        <v>6</v>
      </c>
      <c r="U1005" s="26">
        <v>10</v>
      </c>
      <c r="V1005" s="26">
        <v>1</v>
      </c>
      <c r="W1005" s="26"/>
    </row>
    <row r="1006" spans="1:23" x14ac:dyDescent="0.25">
      <c r="A1006" s="26" t="str">
        <f t="shared" si="150"/>
        <v>PREESCOLAR</v>
      </c>
      <c r="B1006" s="26" t="str">
        <f>"09DJN1330W"</f>
        <v>09DJN1330W</v>
      </c>
      <c r="C1006" s="26" t="str">
        <f>"CAPITAN IGNACIO JOSE DE ALLENDE                                                                     "</f>
        <v xml:space="preserve">CAPITAN IGNACIO JOSE DE ALLENDE                                                                     </v>
      </c>
      <c r="D1006" s="26" t="str">
        <f>"VESPERTINO"</f>
        <v>VESPERTINO</v>
      </c>
      <c r="E1006" s="26" t="str">
        <f>"MIRADOR CHAPULTEPEC S/N                                                         "</f>
        <v xml:space="preserve">MIRADOR CHAPULTEPEC S/N                                                         </v>
      </c>
      <c r="F1006" s="26" t="str">
        <f>"SAN MIGUEL TOPILEJO                                                                                                                         "</f>
        <v xml:space="preserve">SAN MIGUEL TOPILEJO                                                                                                                         </v>
      </c>
      <c r="G1006" s="26" t="str">
        <f>"TLALPAN                                                                         "</f>
        <v xml:space="preserve">TLALPAN                                                                         </v>
      </c>
      <c r="H1006" s="26" t="str">
        <f>"062"</f>
        <v>062</v>
      </c>
      <c r="I1006" s="26" t="str">
        <f t="shared" si="151"/>
        <v>00</v>
      </c>
      <c r="J1006" s="26" t="str">
        <f>"35 "</f>
        <v xml:space="preserve">35 </v>
      </c>
      <c r="K1006" s="26" t="str">
        <f t="shared" si="157"/>
        <v>EP</v>
      </c>
      <c r="L1006" s="26" t="str">
        <f t="shared" si="158"/>
        <v>DGOSE</v>
      </c>
      <c r="M1006" s="26" t="str">
        <f t="shared" si="152"/>
        <v>FEDERAL</v>
      </c>
      <c r="N1006" s="26">
        <v>187</v>
      </c>
      <c r="O1006" s="26">
        <v>89</v>
      </c>
      <c r="P1006" s="26">
        <v>98</v>
      </c>
      <c r="Q1006" s="26">
        <v>6</v>
      </c>
      <c r="R1006" s="26">
        <v>1</v>
      </c>
      <c r="S1006" s="26">
        <v>5</v>
      </c>
      <c r="T1006" s="26">
        <v>4</v>
      </c>
      <c r="U1006" s="26">
        <v>10</v>
      </c>
      <c r="V1006" s="26">
        <v>1</v>
      </c>
      <c r="W1006" s="26"/>
    </row>
    <row r="1007" spans="1:23" x14ac:dyDescent="0.25">
      <c r="A1007" s="26" t="str">
        <f t="shared" si="150"/>
        <v>PREESCOLAR</v>
      </c>
      <c r="B1007" s="26" t="str">
        <f>"09DJN1331V"</f>
        <v>09DJN1331V</v>
      </c>
      <c r="C1007" s="26" t="str">
        <f>"CHANTICO                                                                                            "</f>
        <v xml:space="preserve">CHANTICO                                                                                            </v>
      </c>
      <c r="D1007" s="26" t="str">
        <f>"MATUTINO"</f>
        <v>MATUTINO</v>
      </c>
      <c r="E1007" s="26" t="str">
        <f>"FFCC. RAFAEL ATLIXCO S/N                                                        "</f>
        <v xml:space="preserve">FFCC. RAFAEL ATLIXCO S/N                                                        </v>
      </c>
      <c r="F1007" s="26" t="str">
        <f>"SANTIAGO ZAPOTITLAN                                                                                                                         "</f>
        <v xml:space="preserve">SANTIAGO ZAPOTITLAN                                                                                                                         </v>
      </c>
      <c r="G1007" s="26" t="str">
        <f>"TLAHUAC                                                                         "</f>
        <v xml:space="preserve">TLAHUAC                                                                         </v>
      </c>
      <c r="H1007" s="26" t="str">
        <f>"065"</f>
        <v>065</v>
      </c>
      <c r="I1007" s="26" t="str">
        <f t="shared" si="151"/>
        <v>00</v>
      </c>
      <c r="J1007" s="26" t="str">
        <f>"35 "</f>
        <v xml:space="preserve">35 </v>
      </c>
      <c r="K1007" s="26" t="str">
        <f t="shared" si="157"/>
        <v>EP</v>
      </c>
      <c r="L1007" s="26" t="str">
        <f t="shared" si="158"/>
        <v>DGOSE</v>
      </c>
      <c r="M1007" s="26" t="str">
        <f t="shared" si="152"/>
        <v>FEDERAL</v>
      </c>
      <c r="N1007" s="26">
        <v>301</v>
      </c>
      <c r="O1007" s="26">
        <v>164</v>
      </c>
      <c r="P1007" s="26">
        <v>137</v>
      </c>
      <c r="Q1007" s="26">
        <v>8</v>
      </c>
      <c r="R1007" s="26">
        <v>1</v>
      </c>
      <c r="S1007" s="26">
        <v>8</v>
      </c>
      <c r="T1007" s="26">
        <v>8</v>
      </c>
      <c r="U1007" s="26">
        <v>17</v>
      </c>
      <c r="V1007" s="26">
        <v>1</v>
      </c>
      <c r="W1007" s="26"/>
    </row>
    <row r="1008" spans="1:23" x14ac:dyDescent="0.25">
      <c r="A1008" s="26" t="str">
        <f t="shared" si="150"/>
        <v>PREESCOLAR</v>
      </c>
      <c r="B1008" s="26" t="str">
        <f>"09DJN1332U"</f>
        <v>09DJN1332U</v>
      </c>
      <c r="C1008" s="26" t="str">
        <f>"JANGASKANI                                                                                          "</f>
        <v xml:space="preserve">JANGASKANI                                                                                          </v>
      </c>
      <c r="D1008" s="26" t="str">
        <f>"MATUTINO"</f>
        <v>MATUTINO</v>
      </c>
      <c r="E1008" s="26" t="str">
        <f>"MUYUGUARDA S/N MZA. ""A""                                                         "</f>
        <v xml:space="preserve">MUYUGUARDA S/N MZA. "A"                                                         </v>
      </c>
      <c r="F1008" s="26" t="str">
        <f>"BARRIO 18                                                                                                                                   "</f>
        <v xml:space="preserve">BARRIO 18                                                                                                                                   </v>
      </c>
      <c r="G1008" s="26" t="str">
        <f>"XOCHIMILCO                                                                      "</f>
        <v xml:space="preserve">XOCHIMILCO                                                                      </v>
      </c>
      <c r="H1008" s="26" t="str">
        <f>"172"</f>
        <v>172</v>
      </c>
      <c r="I1008" s="26" t="str">
        <f t="shared" si="151"/>
        <v>00</v>
      </c>
      <c r="J1008" s="26" t="str">
        <f>"35 "</f>
        <v xml:space="preserve">35 </v>
      </c>
      <c r="K1008" s="26" t="str">
        <f t="shared" si="157"/>
        <v>EP</v>
      </c>
      <c r="L1008" s="26" t="str">
        <f t="shared" si="158"/>
        <v>DGOSE</v>
      </c>
      <c r="M1008" s="26" t="str">
        <f t="shared" si="152"/>
        <v>FEDERAL</v>
      </c>
      <c r="N1008" s="26">
        <v>229</v>
      </c>
      <c r="O1008" s="26">
        <v>121</v>
      </c>
      <c r="P1008" s="26">
        <v>108</v>
      </c>
      <c r="Q1008" s="26">
        <v>7</v>
      </c>
      <c r="R1008" s="26">
        <v>1</v>
      </c>
      <c r="S1008" s="26">
        <v>7</v>
      </c>
      <c r="T1008" s="26">
        <v>8</v>
      </c>
      <c r="U1008" s="26">
        <v>16</v>
      </c>
      <c r="V1008" s="26">
        <v>1</v>
      </c>
      <c r="W1008" s="26"/>
    </row>
    <row r="1009" spans="1:23" x14ac:dyDescent="0.25">
      <c r="A1009" s="26" t="str">
        <f t="shared" si="150"/>
        <v>PREESCOLAR</v>
      </c>
      <c r="B1009" s="26" t="str">
        <f>"09DJN1333T"</f>
        <v>09DJN1333T</v>
      </c>
      <c r="C1009" s="26" t="str">
        <f>"MARIA IZQUIERDO                                                                                     "</f>
        <v xml:space="preserve">MARIA IZQUIERDO                                                                                     </v>
      </c>
      <c r="D1009" s="26" t="str">
        <f>"MATUTINO"</f>
        <v>MATUTINO</v>
      </c>
      <c r="E1009" s="26" t="str">
        <f>"BATALLA 5 DE MAYO S/N.                                                          "</f>
        <v xml:space="preserve">BATALLA 5 DE MAYO S/N.                                                          </v>
      </c>
      <c r="F1009" s="26" t="str">
        <f>"EJERCITO DE AGUA PRIETA                                                                                                                     "</f>
        <v xml:space="preserve">EJERCITO DE AGUA PRIETA                                                                                                                     </v>
      </c>
      <c r="G1009" s="26" t="str">
        <f>"IZTAPALAPA                                                                      "</f>
        <v xml:space="preserve">IZTAPALAPA                                                                      </v>
      </c>
      <c r="H1009" s="26" t="str">
        <f>"017"</f>
        <v>017</v>
      </c>
      <c r="I1009" s="26" t="str">
        <f t="shared" si="151"/>
        <v>00</v>
      </c>
      <c r="J1009" s="26" t="str">
        <f>"62 "</f>
        <v xml:space="preserve">62 </v>
      </c>
      <c r="K1009" s="26" t="str">
        <f>"IZ"</f>
        <v>IZ</v>
      </c>
      <c r="L1009" s="26" t="str">
        <f>"DGSEI"</f>
        <v>DGSEI</v>
      </c>
      <c r="M1009" s="26" t="str">
        <f t="shared" si="152"/>
        <v>FEDERAL</v>
      </c>
      <c r="N1009" s="26">
        <v>219</v>
      </c>
      <c r="O1009" s="26">
        <v>111</v>
      </c>
      <c r="P1009" s="26">
        <v>108</v>
      </c>
      <c r="Q1009" s="26">
        <v>7</v>
      </c>
      <c r="R1009" s="26">
        <v>1</v>
      </c>
      <c r="S1009" s="26">
        <v>7</v>
      </c>
      <c r="T1009" s="26">
        <v>4</v>
      </c>
      <c r="U1009" s="26">
        <v>12</v>
      </c>
      <c r="V1009" s="26">
        <v>1</v>
      </c>
      <c r="W1009" s="26"/>
    </row>
    <row r="1010" spans="1:23" x14ac:dyDescent="0.25">
      <c r="A1010" s="26" t="str">
        <f t="shared" si="150"/>
        <v>PREESCOLAR</v>
      </c>
      <c r="B1010" s="26" t="str">
        <f>"09DJN1334S"</f>
        <v>09DJN1334S</v>
      </c>
      <c r="C1010" s="26" t="str">
        <f>"JULIAN CARRILLO                                                                                     "</f>
        <v xml:space="preserve">JULIAN CARRILLO                                                                                     </v>
      </c>
      <c r="D1010" s="26" t="str">
        <f>"VESPERTINO"</f>
        <v>VESPERTINO</v>
      </c>
      <c r="E1010" s="26" t="str">
        <f>"PERIFERICO Y EJE 5 SUR FTE. 6-7                                                 "</f>
        <v xml:space="preserve">PERIFERICO Y EJE 5 SUR FTE. 6-7                                                 </v>
      </c>
      <c r="F1010" s="26" t="str">
        <f>"CHINAMPAC DE JUAREZ                                                                                                                         "</f>
        <v xml:space="preserve">CHINAMPAC DE JUAREZ                                                                                                                         </v>
      </c>
      <c r="G1010" s="26" t="str">
        <f>"IZTAPALAPA                                                                      "</f>
        <v xml:space="preserve">IZTAPALAPA                                                                      </v>
      </c>
      <c r="H1010" s="26" t="str">
        <f>"019"</f>
        <v>019</v>
      </c>
      <c r="I1010" s="26" t="str">
        <f t="shared" si="151"/>
        <v>00</v>
      </c>
      <c r="J1010" s="26" t="str">
        <f>"62 "</f>
        <v xml:space="preserve">62 </v>
      </c>
      <c r="K1010" s="26" t="str">
        <f>"IZ"</f>
        <v>IZ</v>
      </c>
      <c r="L1010" s="26" t="str">
        <f>"DGSEI"</f>
        <v>DGSEI</v>
      </c>
      <c r="M1010" s="26" t="str">
        <f t="shared" si="152"/>
        <v>FEDERAL</v>
      </c>
      <c r="N1010" s="26">
        <v>118</v>
      </c>
      <c r="O1010" s="26">
        <v>56</v>
      </c>
      <c r="P1010" s="26">
        <v>62</v>
      </c>
      <c r="Q1010" s="26">
        <v>4</v>
      </c>
      <c r="R1010" s="26">
        <v>1</v>
      </c>
      <c r="S1010" s="26">
        <v>4</v>
      </c>
      <c r="T1010" s="26">
        <v>2</v>
      </c>
      <c r="U1010" s="26">
        <v>7</v>
      </c>
      <c r="V1010" s="26">
        <v>1</v>
      </c>
      <c r="W1010" s="26"/>
    </row>
    <row r="1011" spans="1:23" x14ac:dyDescent="0.25">
      <c r="A1011" s="26" t="str">
        <f t="shared" si="150"/>
        <v>PREESCOLAR</v>
      </c>
      <c r="B1011" s="26" t="str">
        <f>"09DJN1335R"</f>
        <v>09DJN1335R</v>
      </c>
      <c r="C1011" s="26" t="str">
        <f>"BLAS GALINDO                                                                                        "</f>
        <v xml:space="preserve">BLAS GALINDO                                                                                        </v>
      </c>
      <c r="D1011" s="26" t="str">
        <f>"VESPERTINO"</f>
        <v>VESPERTINO</v>
      </c>
      <c r="E1011" s="26" t="str">
        <f>"PROLONG. TELECOMUNICACIONES FTE. 10                                             "</f>
        <v xml:space="preserve">PROLONG. TELECOMUNICACIONES FTE. 10                                             </v>
      </c>
      <c r="F1011" s="26" t="str">
        <f>"CHINAMPAC DE JUAREZ                                                                                                                         "</f>
        <v xml:space="preserve">CHINAMPAC DE JUAREZ                                                                                                                         </v>
      </c>
      <c r="G1011" s="26" t="str">
        <f>"IZTAPALAPA                                                                      "</f>
        <v xml:space="preserve">IZTAPALAPA                                                                      </v>
      </c>
      <c r="H1011" s="26" t="str">
        <f>"018"</f>
        <v>018</v>
      </c>
      <c r="I1011" s="26" t="str">
        <f t="shared" si="151"/>
        <v>00</v>
      </c>
      <c r="J1011" s="26" t="str">
        <f>"62 "</f>
        <v xml:space="preserve">62 </v>
      </c>
      <c r="K1011" s="26" t="str">
        <f>"IZ"</f>
        <v>IZ</v>
      </c>
      <c r="L1011" s="26" t="str">
        <f>"DGSEI"</f>
        <v>DGSEI</v>
      </c>
      <c r="M1011" s="26" t="str">
        <f t="shared" si="152"/>
        <v>FEDERAL</v>
      </c>
      <c r="N1011" s="26">
        <v>98</v>
      </c>
      <c r="O1011" s="26">
        <v>49</v>
      </c>
      <c r="P1011" s="26">
        <v>49</v>
      </c>
      <c r="Q1011" s="26">
        <v>3</v>
      </c>
      <c r="R1011" s="26">
        <v>1</v>
      </c>
      <c r="S1011" s="26">
        <v>3</v>
      </c>
      <c r="T1011" s="26">
        <v>3</v>
      </c>
      <c r="U1011" s="26">
        <v>7</v>
      </c>
      <c r="V1011" s="26">
        <v>1</v>
      </c>
      <c r="W1011" s="26"/>
    </row>
    <row r="1012" spans="1:23" x14ac:dyDescent="0.25">
      <c r="A1012" s="26" t="str">
        <f t="shared" si="150"/>
        <v>PREESCOLAR</v>
      </c>
      <c r="B1012" s="26" t="str">
        <f>"09DJN1336Q"</f>
        <v>09DJN1336Q</v>
      </c>
      <c r="C1012" s="26" t="str">
        <f>"SAN MIGUEL TEOTONGO                                                                                 "</f>
        <v xml:space="preserve">SAN MIGUEL TEOTONGO                                                                                 </v>
      </c>
      <c r="D1012" s="26" t="str">
        <f>"JORNADA AMPLIADA"</f>
        <v>JORNADA AMPLIADA</v>
      </c>
      <c r="E1012" s="26" t="str">
        <f>"JACARANDAS S/N ESQ. CALLE ROSA                                                  "</f>
        <v xml:space="preserve">JACARANDAS S/N ESQ. CALLE ROSA                                                  </v>
      </c>
      <c r="F1012" s="26" t="str">
        <f>"SAN MIGUEL TEOTONGO                                                                                                                         "</f>
        <v xml:space="preserve">SAN MIGUEL TEOTONGO                                                                                                                         </v>
      </c>
      <c r="G1012" s="26" t="str">
        <f>"IZTAPALAPA                                                                      "</f>
        <v xml:space="preserve">IZTAPALAPA                                                                      </v>
      </c>
      <c r="H1012" s="26" t="str">
        <f>"013"</f>
        <v>013</v>
      </c>
      <c r="I1012" s="26" t="str">
        <f t="shared" si="151"/>
        <v>00</v>
      </c>
      <c r="J1012" s="26" t="str">
        <f>"61 "</f>
        <v xml:space="preserve">61 </v>
      </c>
      <c r="K1012" s="26" t="str">
        <f>"IZ"</f>
        <v>IZ</v>
      </c>
      <c r="L1012" s="26" t="str">
        <f>"DGSEI"</f>
        <v>DGSEI</v>
      </c>
      <c r="M1012" s="26" t="str">
        <f t="shared" si="152"/>
        <v>FEDERAL</v>
      </c>
      <c r="N1012" s="26">
        <v>234</v>
      </c>
      <c r="O1012" s="26">
        <v>125</v>
      </c>
      <c r="P1012" s="26">
        <v>109</v>
      </c>
      <c r="Q1012" s="26">
        <v>6</v>
      </c>
      <c r="R1012" s="26">
        <v>1</v>
      </c>
      <c r="S1012" s="26">
        <v>6</v>
      </c>
      <c r="T1012" s="26">
        <v>5</v>
      </c>
      <c r="U1012" s="26">
        <v>12</v>
      </c>
      <c r="V1012" s="26">
        <v>1</v>
      </c>
      <c r="W1012" s="26" t="s">
        <v>2076</v>
      </c>
    </row>
    <row r="1013" spans="1:23" x14ac:dyDescent="0.25">
      <c r="A1013" s="26" t="str">
        <f t="shared" si="150"/>
        <v>PREESCOLAR</v>
      </c>
      <c r="B1013" s="26" t="str">
        <f>"09DJN1337P"</f>
        <v>09DJN1337P</v>
      </c>
      <c r="C1013" s="26" t="str">
        <f>"TLAMATINI                                                                                           "</f>
        <v xml:space="preserve">TLAMATINI                                                                                           </v>
      </c>
      <c r="D1013" s="26" t="str">
        <f>"JORNADA AMPLIADA"</f>
        <v>JORNADA AMPLIADA</v>
      </c>
      <c r="E1013" s="26" t="str">
        <f>"IGNACIO ZARAGOZA S/N                                                            "</f>
        <v xml:space="preserve">IGNACIO ZARAGOZA S/N                                                            </v>
      </c>
      <c r="F1013" s="26" t="str">
        <f>"BENITO JUAREZ AMPLIACION                                                                                                                    "</f>
        <v xml:space="preserve">BENITO JUAREZ AMPLIACION                                                                                                                    </v>
      </c>
      <c r="G1013" s="26" t="str">
        <f>"GUSTAVO A. MADERO                                                               "</f>
        <v xml:space="preserve">GUSTAVO A. MADERO                                                               </v>
      </c>
      <c r="H1013" s="26" t="str">
        <f>"001"</f>
        <v>001</v>
      </c>
      <c r="I1013" s="26" t="str">
        <f t="shared" si="151"/>
        <v>00</v>
      </c>
      <c r="J1013" s="26" t="str">
        <f>"31 "</f>
        <v xml:space="preserve">31 </v>
      </c>
      <c r="K1013" s="26" t="str">
        <f t="shared" ref="K1013:K1019" si="159">"EP"</f>
        <v>EP</v>
      </c>
      <c r="L1013" s="26" t="str">
        <f t="shared" ref="L1013:L1019" si="160">"DGOSE"</f>
        <v>DGOSE</v>
      </c>
      <c r="M1013" s="26" t="str">
        <f t="shared" si="152"/>
        <v>FEDERAL</v>
      </c>
      <c r="N1013" s="26">
        <v>129</v>
      </c>
      <c r="O1013" s="26">
        <v>66</v>
      </c>
      <c r="P1013" s="26">
        <v>63</v>
      </c>
      <c r="Q1013" s="26">
        <v>5</v>
      </c>
      <c r="R1013" s="26">
        <v>1</v>
      </c>
      <c r="S1013" s="26">
        <v>5</v>
      </c>
      <c r="T1013" s="26">
        <v>4</v>
      </c>
      <c r="U1013" s="26">
        <v>10</v>
      </c>
      <c r="V1013" s="26">
        <v>1</v>
      </c>
      <c r="W1013" s="26" t="s">
        <v>2076</v>
      </c>
    </row>
    <row r="1014" spans="1:23" x14ac:dyDescent="0.25">
      <c r="A1014" s="26" t="str">
        <f t="shared" si="150"/>
        <v>PREESCOLAR</v>
      </c>
      <c r="B1014" s="26" t="str">
        <f>"09DJN1338O"</f>
        <v>09DJN1338O</v>
      </c>
      <c r="C1014" s="26" t="str">
        <f>"JOAQUIN BARANDA                                                                                     "</f>
        <v xml:space="preserve">JOAQUIN BARANDA                                                                                     </v>
      </c>
      <c r="D1014" s="26" t="str">
        <f>"MATUTINO"</f>
        <v>MATUTINO</v>
      </c>
      <c r="E1014" s="26" t="str">
        <f>"AV. LUCHA REYES S/N                                                             "</f>
        <v xml:space="preserve">AV. LUCHA REYES S/N                                                             </v>
      </c>
      <c r="F1014" s="26" t="str">
        <f>"LA FORESTAL                                                                                                                                 "</f>
        <v xml:space="preserve">LA FORESTAL                                                                                                                                 </v>
      </c>
      <c r="G1014" s="26" t="str">
        <f>"GUSTAVO A. MADERO                                                               "</f>
        <v xml:space="preserve">GUSTAVO A. MADERO                                                               </v>
      </c>
      <c r="H1014" s="26" t="str">
        <f>"068"</f>
        <v>068</v>
      </c>
      <c r="I1014" s="26" t="str">
        <f t="shared" si="151"/>
        <v>00</v>
      </c>
      <c r="J1014" s="26" t="str">
        <f>"32 "</f>
        <v xml:space="preserve">32 </v>
      </c>
      <c r="K1014" s="26" t="str">
        <f t="shared" si="159"/>
        <v>EP</v>
      </c>
      <c r="L1014" s="26" t="str">
        <f t="shared" si="160"/>
        <v>DGOSE</v>
      </c>
      <c r="M1014" s="26" t="str">
        <f t="shared" si="152"/>
        <v>FEDERAL</v>
      </c>
      <c r="N1014" s="26">
        <v>153</v>
      </c>
      <c r="O1014" s="26">
        <v>75</v>
      </c>
      <c r="P1014" s="26">
        <v>78</v>
      </c>
      <c r="Q1014" s="26">
        <v>5</v>
      </c>
      <c r="R1014" s="26">
        <v>1</v>
      </c>
      <c r="S1014" s="26">
        <v>5</v>
      </c>
      <c r="T1014" s="26">
        <v>3</v>
      </c>
      <c r="U1014" s="26">
        <v>9</v>
      </c>
      <c r="V1014" s="26">
        <v>1</v>
      </c>
      <c r="W1014" s="26"/>
    </row>
    <row r="1015" spans="1:23" x14ac:dyDescent="0.25">
      <c r="A1015" s="26" t="str">
        <f t="shared" si="150"/>
        <v>PREESCOLAR</v>
      </c>
      <c r="B1015" s="26" t="str">
        <f>"09DJN1339N"</f>
        <v>09DJN1339N</v>
      </c>
      <c r="C1015" s="26" t="str">
        <f>"CONCEPCION GONZALEZ NARANJO                                                                         "</f>
        <v xml:space="preserve">CONCEPCION GONZALEZ NARANJO                                                                         </v>
      </c>
      <c r="D1015" s="26" t="str">
        <f>"VESPERTINO"</f>
        <v>VESPERTINO</v>
      </c>
      <c r="E1015" s="26" t="str">
        <f>"CALLE 5 Y CDA.DE JUAN DE LA LUZ ENRIQUEZ                                        "</f>
        <v xml:space="preserve">CALLE 5 Y CDA.DE JUAN DE LA LUZ ENRIQUEZ                                        </v>
      </c>
      <c r="F1015" s="26" t="str">
        <f>"AGRICOLA PANTITLAN                                                                                                                          "</f>
        <v xml:space="preserve">AGRICOLA PANTITLAN                                                                                                                          </v>
      </c>
      <c r="G1015" s="26" t="str">
        <f>"IZTACALCO                                                                       "</f>
        <v xml:space="preserve">IZTACALCO                                                                       </v>
      </c>
      <c r="H1015" s="26" t="str">
        <f>"241"</f>
        <v>241</v>
      </c>
      <c r="I1015" s="26" t="str">
        <f t="shared" si="151"/>
        <v>00</v>
      </c>
      <c r="J1015" s="26" t="str">
        <f>"33 "</f>
        <v xml:space="preserve">33 </v>
      </c>
      <c r="K1015" s="26" t="str">
        <f t="shared" si="159"/>
        <v>EP</v>
      </c>
      <c r="L1015" s="26" t="str">
        <f t="shared" si="160"/>
        <v>DGOSE</v>
      </c>
      <c r="M1015" s="26" t="str">
        <f t="shared" si="152"/>
        <v>FEDERAL</v>
      </c>
      <c r="N1015" s="26">
        <v>134</v>
      </c>
      <c r="O1015" s="26">
        <v>67</v>
      </c>
      <c r="P1015" s="26">
        <v>67</v>
      </c>
      <c r="Q1015" s="26">
        <v>5</v>
      </c>
      <c r="R1015" s="26">
        <v>1</v>
      </c>
      <c r="S1015" s="26">
        <v>5</v>
      </c>
      <c r="T1015" s="26">
        <v>4</v>
      </c>
      <c r="U1015" s="26">
        <v>10</v>
      </c>
      <c r="V1015" s="26">
        <v>1</v>
      </c>
      <c r="W1015" s="26"/>
    </row>
    <row r="1016" spans="1:23" x14ac:dyDescent="0.25">
      <c r="A1016" s="26" t="str">
        <f t="shared" si="150"/>
        <v>PREESCOLAR</v>
      </c>
      <c r="B1016" s="26" t="str">
        <f>"09DJN1340C"</f>
        <v>09DJN1340C</v>
      </c>
      <c r="C1016" s="26" t="str">
        <f>"JANGASKANI                                                                                          "</f>
        <v xml:space="preserve">JANGASKANI                                                                                          </v>
      </c>
      <c r="D1016" s="26" t="str">
        <f>"VESPERTINO"</f>
        <v>VESPERTINO</v>
      </c>
      <c r="E1016" s="26" t="str">
        <f>"MUYUGUARDA S/N MZA. ""A""                                                         "</f>
        <v xml:space="preserve">MUYUGUARDA S/N MZA. "A"                                                         </v>
      </c>
      <c r="F1016" s="26" t="str">
        <f>"BARRIO 18                                                                                                                                   "</f>
        <v xml:space="preserve">BARRIO 18                                                                                                                                   </v>
      </c>
      <c r="G1016" s="26" t="str">
        <f>"XOCHIMILCO                                                                      "</f>
        <v xml:space="preserve">XOCHIMILCO                                                                      </v>
      </c>
      <c r="H1016" s="26" t="str">
        <f>"172"</f>
        <v>172</v>
      </c>
      <c r="I1016" s="26" t="str">
        <f t="shared" si="151"/>
        <v>00</v>
      </c>
      <c r="J1016" s="26" t="str">
        <f>"35 "</f>
        <v xml:space="preserve">35 </v>
      </c>
      <c r="K1016" s="26" t="str">
        <f t="shared" si="159"/>
        <v>EP</v>
      </c>
      <c r="L1016" s="26" t="str">
        <f t="shared" si="160"/>
        <v>DGOSE</v>
      </c>
      <c r="M1016" s="26" t="str">
        <f t="shared" si="152"/>
        <v>FEDERAL</v>
      </c>
      <c r="N1016" s="26">
        <v>149</v>
      </c>
      <c r="O1016" s="26">
        <v>60</v>
      </c>
      <c r="P1016" s="26">
        <v>89</v>
      </c>
      <c r="Q1016" s="26">
        <v>6</v>
      </c>
      <c r="R1016" s="26">
        <v>1</v>
      </c>
      <c r="S1016" s="26">
        <v>5</v>
      </c>
      <c r="T1016" s="26">
        <v>7</v>
      </c>
      <c r="U1016" s="26">
        <v>13</v>
      </c>
      <c r="V1016" s="26">
        <v>1</v>
      </c>
      <c r="W1016" s="26"/>
    </row>
    <row r="1017" spans="1:23" x14ac:dyDescent="0.25">
      <c r="A1017" s="26" t="str">
        <f t="shared" si="150"/>
        <v>PREESCOLAR</v>
      </c>
      <c r="B1017" s="26" t="str">
        <f>"09DJN1341B"</f>
        <v>09DJN1341B</v>
      </c>
      <c r="C1017" s="26" t="str">
        <f>"CUAILAMA                                                                                            "</f>
        <v xml:space="preserve">CUAILAMA                                                                                            </v>
      </c>
      <c r="D1017" s="26" t="str">
        <f>"VESPERTINO"</f>
        <v>VESPERTINO</v>
      </c>
      <c r="E1017" s="26" t="str">
        <f>"AHUALAPA S/N                                                                    "</f>
        <v xml:space="preserve">AHUALAPA S/N                                                                    </v>
      </c>
      <c r="F1017" s="26" t="str">
        <f>"SANTA CRUZ ACALPIXCA                                                                                                                        "</f>
        <v xml:space="preserve">SANTA CRUZ ACALPIXCA                                                                                                                        </v>
      </c>
      <c r="G1017" s="26" t="str">
        <f>"XOCHIMILCO                                                                      "</f>
        <v xml:space="preserve">XOCHIMILCO                                                                      </v>
      </c>
      <c r="H1017" s="26" t="str">
        <f>"052"</f>
        <v>052</v>
      </c>
      <c r="I1017" s="26" t="str">
        <f t="shared" si="151"/>
        <v>00</v>
      </c>
      <c r="J1017" s="26" t="str">
        <f>"35 "</f>
        <v xml:space="preserve">35 </v>
      </c>
      <c r="K1017" s="26" t="str">
        <f t="shared" si="159"/>
        <v>EP</v>
      </c>
      <c r="L1017" s="26" t="str">
        <f t="shared" si="160"/>
        <v>DGOSE</v>
      </c>
      <c r="M1017" s="26" t="str">
        <f t="shared" si="152"/>
        <v>FEDERAL</v>
      </c>
      <c r="N1017" s="26">
        <v>174</v>
      </c>
      <c r="O1017" s="26">
        <v>75</v>
      </c>
      <c r="P1017" s="26">
        <v>99</v>
      </c>
      <c r="Q1017" s="26">
        <v>6</v>
      </c>
      <c r="R1017" s="26">
        <v>1</v>
      </c>
      <c r="S1017" s="26">
        <v>6</v>
      </c>
      <c r="T1017" s="26">
        <v>7</v>
      </c>
      <c r="U1017" s="26">
        <v>14</v>
      </c>
      <c r="V1017" s="26">
        <v>1</v>
      </c>
      <c r="W1017" s="26"/>
    </row>
    <row r="1018" spans="1:23" x14ac:dyDescent="0.25">
      <c r="A1018" s="26" t="str">
        <f t="shared" si="150"/>
        <v>PREESCOLAR</v>
      </c>
      <c r="B1018" s="26" t="str">
        <f>"09DJN1342A"</f>
        <v>09DJN1342A</v>
      </c>
      <c r="C1018" s="26" t="str">
        <f>"XOCHITL                                                                                             "</f>
        <v xml:space="preserve">XOCHITL                                                                                             </v>
      </c>
      <c r="D1018" s="26" t="str">
        <f>"JORNADA AMPLIADA"</f>
        <v>JORNADA AMPLIADA</v>
      </c>
      <c r="E1018" s="26" t="str">
        <f>"CJON. DE LA ROSA No. 6                                                          "</f>
        <v xml:space="preserve">CJON. DE LA ROSA No. 6                                                          </v>
      </c>
      <c r="F1018" s="26" t="str">
        <f>"CALTONGO                                                                                                                                    "</f>
        <v xml:space="preserve">CALTONGO                                                                                                                                    </v>
      </c>
      <c r="G1018" s="26" t="str">
        <f>"XOCHIMILCO                                                                      "</f>
        <v xml:space="preserve">XOCHIMILCO                                                                      </v>
      </c>
      <c r="H1018" s="26" t="str">
        <f>"158"</f>
        <v>158</v>
      </c>
      <c r="I1018" s="26" t="str">
        <f t="shared" si="151"/>
        <v>00</v>
      </c>
      <c r="J1018" s="26" t="str">
        <f>"34 "</f>
        <v xml:space="preserve">34 </v>
      </c>
      <c r="K1018" s="26" t="str">
        <f t="shared" si="159"/>
        <v>EP</v>
      </c>
      <c r="L1018" s="26" t="str">
        <f t="shared" si="160"/>
        <v>DGOSE</v>
      </c>
      <c r="M1018" s="26" t="str">
        <f t="shared" si="152"/>
        <v>FEDERAL</v>
      </c>
      <c r="N1018" s="26">
        <v>123</v>
      </c>
      <c r="O1018" s="26">
        <v>57</v>
      </c>
      <c r="P1018" s="26">
        <v>66</v>
      </c>
      <c r="Q1018" s="26">
        <v>5</v>
      </c>
      <c r="R1018" s="26">
        <v>1</v>
      </c>
      <c r="S1018" s="26">
        <v>5</v>
      </c>
      <c r="T1018" s="26">
        <v>5</v>
      </c>
      <c r="U1018" s="26">
        <v>11</v>
      </c>
      <c r="V1018" s="26">
        <v>1</v>
      </c>
      <c r="W1018" s="26" t="s">
        <v>2076</v>
      </c>
    </row>
    <row r="1019" spans="1:23" x14ac:dyDescent="0.25">
      <c r="A1019" s="26" t="str">
        <f t="shared" si="150"/>
        <v>PREESCOLAR</v>
      </c>
      <c r="B1019" s="26" t="str">
        <f>"09DJN1343Z"</f>
        <v>09DJN1343Z</v>
      </c>
      <c r="C1019" s="26" t="str">
        <f>"LUIS FELIPE OBREGON ANDRADE                                                                         "</f>
        <v xml:space="preserve">LUIS FELIPE OBREGON ANDRADE                                                                         </v>
      </c>
      <c r="D1019" s="26" t="str">
        <f>"VESPERTINO"</f>
        <v>VESPERTINO</v>
      </c>
      <c r="E1019" s="26" t="str">
        <f>"ESCUDO NACIONAL S/N                                                             "</f>
        <v xml:space="preserve">ESCUDO NACIONAL S/N                                                             </v>
      </c>
      <c r="F1019" s="26" t="str">
        <f>"NATIVITAS TULYEHUALCO                                                                                                                       "</f>
        <v xml:space="preserve">NATIVITAS TULYEHUALCO                                                                                                                       </v>
      </c>
      <c r="G1019" s="26" t="str">
        <f>"XOCHIMILCO                                                                      "</f>
        <v xml:space="preserve">XOCHIMILCO                                                                      </v>
      </c>
      <c r="H1019" s="26" t="str">
        <f>"053"</f>
        <v>053</v>
      </c>
      <c r="I1019" s="26" t="str">
        <f t="shared" si="151"/>
        <v>00</v>
      </c>
      <c r="J1019" s="26" t="str">
        <f>"35 "</f>
        <v xml:space="preserve">35 </v>
      </c>
      <c r="K1019" s="26" t="str">
        <f t="shared" si="159"/>
        <v>EP</v>
      </c>
      <c r="L1019" s="26" t="str">
        <f t="shared" si="160"/>
        <v>DGOSE</v>
      </c>
      <c r="M1019" s="26" t="str">
        <f t="shared" si="152"/>
        <v>FEDERAL</v>
      </c>
      <c r="N1019" s="26">
        <v>98</v>
      </c>
      <c r="O1019" s="26">
        <v>52</v>
      </c>
      <c r="P1019" s="26">
        <v>46</v>
      </c>
      <c r="Q1019" s="26">
        <v>3</v>
      </c>
      <c r="R1019" s="26">
        <v>1</v>
      </c>
      <c r="S1019" s="26">
        <v>3</v>
      </c>
      <c r="T1019" s="26">
        <v>3</v>
      </c>
      <c r="U1019" s="26">
        <v>7</v>
      </c>
      <c r="V1019" s="26">
        <v>1</v>
      </c>
      <c r="W1019" s="26"/>
    </row>
    <row r="1020" spans="1:23" x14ac:dyDescent="0.25">
      <c r="A1020" s="26" t="str">
        <f t="shared" si="150"/>
        <v>PREESCOLAR</v>
      </c>
      <c r="B1020" s="26" t="str">
        <f>"09DJN1344Z"</f>
        <v>09DJN1344Z</v>
      </c>
      <c r="C1020" s="26" t="str">
        <f>"ANAYANTZIN                                                                                          "</f>
        <v xml:space="preserve">ANAYANTZIN                                                                                          </v>
      </c>
      <c r="D1020" s="26" t="str">
        <f>"TIEMPO COMPLETO"</f>
        <v>TIEMPO COMPLETO</v>
      </c>
      <c r="E1020" s="26" t="str">
        <f>"CATARROJA S/N                                                                   "</f>
        <v xml:space="preserve">CATARROJA S/N                                                                   </v>
      </c>
      <c r="F1020" s="26" t="str">
        <f>"CERRO DE LA ESTRELLA                                                                                                                        "</f>
        <v xml:space="preserve">CERRO DE LA ESTRELLA                                                                                                                        </v>
      </c>
      <c r="G1020" s="26" t="str">
        <f>"IZTAPALAPA                                                                      "</f>
        <v xml:space="preserve">IZTAPALAPA                                                                      </v>
      </c>
      <c r="H1020" s="26" t="str">
        <f>"010"</f>
        <v>010</v>
      </c>
      <c r="I1020" s="26" t="str">
        <f t="shared" si="151"/>
        <v>00</v>
      </c>
      <c r="J1020" s="26" t="str">
        <f>"61 "</f>
        <v xml:space="preserve">61 </v>
      </c>
      <c r="K1020" s="26" t="str">
        <f>"IZ"</f>
        <v>IZ</v>
      </c>
      <c r="L1020" s="26" t="str">
        <f>"DGSEI"</f>
        <v>DGSEI</v>
      </c>
      <c r="M1020" s="26" t="str">
        <f t="shared" si="152"/>
        <v>FEDERAL</v>
      </c>
      <c r="N1020" s="26">
        <v>235</v>
      </c>
      <c r="O1020" s="26">
        <v>129</v>
      </c>
      <c r="P1020" s="26">
        <v>106</v>
      </c>
      <c r="Q1020" s="26">
        <v>7</v>
      </c>
      <c r="R1020" s="26">
        <v>1</v>
      </c>
      <c r="S1020" s="26">
        <v>7</v>
      </c>
      <c r="T1020" s="26">
        <v>9</v>
      </c>
      <c r="U1020" s="26">
        <v>17</v>
      </c>
      <c r="V1020" s="26">
        <v>1</v>
      </c>
      <c r="W1020" s="26" t="s">
        <v>218</v>
      </c>
    </row>
    <row r="1021" spans="1:23" x14ac:dyDescent="0.25">
      <c r="A1021" s="26" t="str">
        <f t="shared" si="150"/>
        <v>PREESCOLAR</v>
      </c>
      <c r="B1021" s="26" t="str">
        <f>"09DJN1345Y"</f>
        <v>09DJN1345Y</v>
      </c>
      <c r="C1021" s="26" t="str">
        <f>"AMANECER OTLAHUI                                                                                    "</f>
        <v xml:space="preserve">AMANECER OTLAHUI                                                                                    </v>
      </c>
      <c r="D1021" s="26" t="str">
        <f>"JORNADA AMPLIADA"</f>
        <v>JORNADA AMPLIADA</v>
      </c>
      <c r="E1021" s="26" t="str">
        <f>"HANK GONZALEZ S/N                                                               "</f>
        <v xml:space="preserve">HANK GONZALEZ S/N                                                               </v>
      </c>
      <c r="F1021" s="26" t="str">
        <f>"DEL CARMEN CUAUTEPEC                                                                                                                        "</f>
        <v xml:space="preserve">DEL CARMEN CUAUTEPEC                                                                                                                        </v>
      </c>
      <c r="G1021" s="26" t="str">
        <f>"GUSTAVO A. MADERO                                                               "</f>
        <v xml:space="preserve">GUSTAVO A. MADERO                                                               </v>
      </c>
      <c r="H1021" s="26" t="str">
        <f>"092"</f>
        <v>092</v>
      </c>
      <c r="I1021" s="26" t="str">
        <f t="shared" si="151"/>
        <v>00</v>
      </c>
      <c r="J1021" s="26" t="str">
        <f>"31 "</f>
        <v xml:space="preserve">31 </v>
      </c>
      <c r="K1021" s="26" t="str">
        <f t="shared" ref="K1021:K1029" si="161">"EP"</f>
        <v>EP</v>
      </c>
      <c r="L1021" s="26" t="str">
        <f t="shared" ref="L1021:L1029" si="162">"DGOSE"</f>
        <v>DGOSE</v>
      </c>
      <c r="M1021" s="26" t="str">
        <f t="shared" si="152"/>
        <v>FEDERAL</v>
      </c>
      <c r="N1021" s="26">
        <v>245</v>
      </c>
      <c r="O1021" s="26">
        <v>144</v>
      </c>
      <c r="P1021" s="26">
        <v>101</v>
      </c>
      <c r="Q1021" s="26">
        <v>7</v>
      </c>
      <c r="R1021" s="26">
        <v>1</v>
      </c>
      <c r="S1021" s="26">
        <v>7</v>
      </c>
      <c r="T1021" s="26">
        <v>7</v>
      </c>
      <c r="U1021" s="26">
        <v>15</v>
      </c>
      <c r="V1021" s="26">
        <v>1</v>
      </c>
      <c r="W1021" s="26" t="s">
        <v>2076</v>
      </c>
    </row>
    <row r="1022" spans="1:23" x14ac:dyDescent="0.25">
      <c r="A1022" s="26" t="str">
        <f t="shared" si="150"/>
        <v>PREESCOLAR</v>
      </c>
      <c r="B1022" s="26" t="str">
        <f>"09DJN1346X"</f>
        <v>09DJN1346X</v>
      </c>
      <c r="C1022" s="26" t="str">
        <f>"TOHUI                                                                                               "</f>
        <v xml:space="preserve">TOHUI                                                                                               </v>
      </c>
      <c r="D1022" s="26" t="str">
        <f t="shared" ref="D1022:D1029" si="163">"VESPERTINO"</f>
        <v>VESPERTINO</v>
      </c>
      <c r="E1022" s="26" t="str">
        <f>"AHUEJOTE ESQ. ESCUINAPA                                                         "</f>
        <v xml:space="preserve">AHUEJOTE ESQ. ESCUINAPA                                                         </v>
      </c>
      <c r="F1022" s="26" t="str">
        <f>"COYOACAN                                                                                                                                    "</f>
        <v xml:space="preserve">COYOACAN                                                                                                                                    </v>
      </c>
      <c r="G1022" s="26" t="str">
        <f>"COYOACAN                                                                        "</f>
        <v xml:space="preserve">COYOACAN                                                                        </v>
      </c>
      <c r="H1022" s="26" t="str">
        <f>"237"</f>
        <v>237</v>
      </c>
      <c r="I1022" s="26" t="str">
        <f t="shared" si="151"/>
        <v>00</v>
      </c>
      <c r="J1022" s="26" t="str">
        <f>"35 "</f>
        <v xml:space="preserve">35 </v>
      </c>
      <c r="K1022" s="26" t="str">
        <f t="shared" si="161"/>
        <v>EP</v>
      </c>
      <c r="L1022" s="26" t="str">
        <f t="shared" si="162"/>
        <v>DGOSE</v>
      </c>
      <c r="M1022" s="26" t="str">
        <f t="shared" si="152"/>
        <v>FEDERAL</v>
      </c>
      <c r="N1022" s="26">
        <v>148</v>
      </c>
      <c r="O1022" s="26">
        <v>78</v>
      </c>
      <c r="P1022" s="26">
        <v>70</v>
      </c>
      <c r="Q1022" s="26">
        <v>5</v>
      </c>
      <c r="R1022" s="26">
        <v>0</v>
      </c>
      <c r="S1022" s="26">
        <v>5</v>
      </c>
      <c r="T1022" s="26">
        <v>7</v>
      </c>
      <c r="U1022" s="26">
        <v>12</v>
      </c>
      <c r="V1022" s="26">
        <v>1</v>
      </c>
      <c r="W1022" s="26"/>
    </row>
    <row r="1023" spans="1:23" x14ac:dyDescent="0.25">
      <c r="A1023" s="26" t="str">
        <f t="shared" si="150"/>
        <v>PREESCOLAR</v>
      </c>
      <c r="B1023" s="26" t="str">
        <f>"09DJN1349U"</f>
        <v>09DJN1349U</v>
      </c>
      <c r="C1023" s="26" t="str">
        <f>"TAVICHE                                                                                             "</f>
        <v xml:space="preserve">TAVICHE                                                                                             </v>
      </c>
      <c r="D1023" s="26" t="str">
        <f t="shared" si="163"/>
        <v>VESPERTINO</v>
      </c>
      <c r="E1023" s="26" t="str">
        <f>"HIDALGO Y MARIANO ESCOBEDO S/N                                                  "</f>
        <v xml:space="preserve">HIDALGO Y MARIANO ESCOBEDO S/N                                                  </v>
      </c>
      <c r="F1023" s="26" t="str">
        <f>"SAN MIGUEL AJUSCO                                                                                                                           "</f>
        <v xml:space="preserve">SAN MIGUEL AJUSCO                                                                                                                           </v>
      </c>
      <c r="G1023" s="26" t="str">
        <f>"TLALPAN                                                                         "</f>
        <v xml:space="preserve">TLALPAN                                                                         </v>
      </c>
      <c r="H1023" s="26" t="str">
        <f>"076"</f>
        <v>076</v>
      </c>
      <c r="I1023" s="26" t="str">
        <f t="shared" si="151"/>
        <v>00</v>
      </c>
      <c r="J1023" s="26" t="str">
        <f>"35 "</f>
        <v xml:space="preserve">35 </v>
      </c>
      <c r="K1023" s="26" t="str">
        <f t="shared" si="161"/>
        <v>EP</v>
      </c>
      <c r="L1023" s="26" t="str">
        <f t="shared" si="162"/>
        <v>DGOSE</v>
      </c>
      <c r="M1023" s="26" t="str">
        <f t="shared" si="152"/>
        <v>FEDERAL</v>
      </c>
      <c r="N1023" s="26">
        <v>196</v>
      </c>
      <c r="O1023" s="26">
        <v>95</v>
      </c>
      <c r="P1023" s="26">
        <v>101</v>
      </c>
      <c r="Q1023" s="26">
        <v>6</v>
      </c>
      <c r="R1023" s="26">
        <v>1</v>
      </c>
      <c r="S1023" s="26">
        <v>5</v>
      </c>
      <c r="T1023" s="26">
        <v>4</v>
      </c>
      <c r="U1023" s="26">
        <v>10</v>
      </c>
      <c r="V1023" s="26">
        <v>1</v>
      </c>
      <c r="W1023" s="26"/>
    </row>
    <row r="1024" spans="1:23" x14ac:dyDescent="0.25">
      <c r="A1024" s="26" t="str">
        <f t="shared" si="150"/>
        <v>PREESCOLAR</v>
      </c>
      <c r="B1024" s="26" t="str">
        <f>"09DJN1350J"</f>
        <v>09DJN1350J</v>
      </c>
      <c r="C1024" s="26" t="str">
        <f>"NEZCALTILOYAN                                                                                       "</f>
        <v xml:space="preserve">NEZCALTILOYAN                                                                                       </v>
      </c>
      <c r="D1024" s="26" t="str">
        <f t="shared" si="163"/>
        <v>VESPERTINO</v>
      </c>
      <c r="E1024" s="26" t="str">
        <f>"PROLONG. BEKAL Y VENUNCIA S/N                                                   "</f>
        <v xml:space="preserve">PROLONG. BEKAL Y VENUNCIA S/N                                                   </v>
      </c>
      <c r="F1024" s="26" t="str">
        <f>"BELVEDERE                                                                                                                                   "</f>
        <v xml:space="preserve">BELVEDERE                                                                                                                                   </v>
      </c>
      <c r="G1024" s="26" t="str">
        <f>"TLALPAN                                                                         "</f>
        <v xml:space="preserve">TLALPAN                                                                         </v>
      </c>
      <c r="H1024" s="26" t="str">
        <f>"146"</f>
        <v>146</v>
      </c>
      <c r="I1024" s="26" t="str">
        <f t="shared" si="151"/>
        <v>00</v>
      </c>
      <c r="J1024" s="26" t="str">
        <f>"35 "</f>
        <v xml:space="preserve">35 </v>
      </c>
      <c r="K1024" s="26" t="str">
        <f t="shared" si="161"/>
        <v>EP</v>
      </c>
      <c r="L1024" s="26" t="str">
        <f t="shared" si="162"/>
        <v>DGOSE</v>
      </c>
      <c r="M1024" s="26" t="str">
        <f t="shared" si="152"/>
        <v>FEDERAL</v>
      </c>
      <c r="N1024" s="26">
        <v>172</v>
      </c>
      <c r="O1024" s="26">
        <v>81</v>
      </c>
      <c r="P1024" s="26">
        <v>91</v>
      </c>
      <c r="Q1024" s="26">
        <v>5</v>
      </c>
      <c r="R1024" s="26">
        <v>1</v>
      </c>
      <c r="S1024" s="26">
        <v>5</v>
      </c>
      <c r="T1024" s="26">
        <v>2</v>
      </c>
      <c r="U1024" s="26">
        <v>8</v>
      </c>
      <c r="V1024" s="26">
        <v>1</v>
      </c>
      <c r="W1024" s="26"/>
    </row>
    <row r="1025" spans="1:23" x14ac:dyDescent="0.25">
      <c r="A1025" s="26" t="str">
        <f t="shared" si="150"/>
        <v>PREESCOLAR</v>
      </c>
      <c r="B1025" s="26" t="str">
        <f>"09DJN1351I"</f>
        <v>09DJN1351I</v>
      </c>
      <c r="C1025" s="26" t="str">
        <f>"CARMEN RAMOS DEL RIO                                                                                "</f>
        <v xml:space="preserve">CARMEN RAMOS DEL RIO                                                                                </v>
      </c>
      <c r="D1025" s="26" t="str">
        <f t="shared" si="163"/>
        <v>VESPERTINO</v>
      </c>
      <c r="E1025" s="26" t="str">
        <f>"SUR 20 Y ORIENTE. 255 S/N                                                       "</f>
        <v xml:space="preserve">SUR 20 Y ORIENTE. 255 S/N                                                       </v>
      </c>
      <c r="F1025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1025" s="26" t="str">
        <f>"IZTACALCO                                                                       "</f>
        <v xml:space="preserve">IZTACALCO                                                                       </v>
      </c>
      <c r="H1025" s="26" t="str">
        <f>"143"</f>
        <v>143</v>
      </c>
      <c r="I1025" s="26" t="str">
        <f t="shared" si="151"/>
        <v>00</v>
      </c>
      <c r="J1025" s="26" t="str">
        <f>"33 "</f>
        <v xml:space="preserve">33 </v>
      </c>
      <c r="K1025" s="26" t="str">
        <f t="shared" si="161"/>
        <v>EP</v>
      </c>
      <c r="L1025" s="26" t="str">
        <f t="shared" si="162"/>
        <v>DGOSE</v>
      </c>
      <c r="M1025" s="26" t="str">
        <f t="shared" si="152"/>
        <v>FEDERAL</v>
      </c>
      <c r="N1025" s="26">
        <v>259</v>
      </c>
      <c r="O1025" s="26">
        <v>133</v>
      </c>
      <c r="P1025" s="26">
        <v>126</v>
      </c>
      <c r="Q1025" s="26">
        <v>8</v>
      </c>
      <c r="R1025" s="26">
        <v>1</v>
      </c>
      <c r="S1025" s="26">
        <v>8</v>
      </c>
      <c r="T1025" s="26">
        <v>7</v>
      </c>
      <c r="U1025" s="26">
        <v>16</v>
      </c>
      <c r="V1025" s="26">
        <v>1</v>
      </c>
      <c r="W1025" s="26"/>
    </row>
    <row r="1026" spans="1:23" x14ac:dyDescent="0.25">
      <c r="A1026" s="26" t="str">
        <f t="shared" ref="A1026:A1089" si="164">"PREESCOLAR"</f>
        <v>PREESCOLAR</v>
      </c>
      <c r="B1026" s="26" t="str">
        <f>"09DJN1352H"</f>
        <v>09DJN1352H</v>
      </c>
      <c r="C1026" s="26" t="str">
        <f>"BEATRIZ ORDOÑEZ ACUÑA                                                                               "</f>
        <v xml:space="preserve">BEATRIZ ORDOÑEZ ACUÑA                                                                               </v>
      </c>
      <c r="D1026" s="26" t="str">
        <f t="shared" si="163"/>
        <v>VESPERTINO</v>
      </c>
      <c r="E1026" s="26" t="str">
        <f>"AV. 541 Y 543 MZA-8                                                             "</f>
        <v xml:space="preserve">AV. 541 Y 543 MZA-8                                                             </v>
      </c>
      <c r="F1026" s="26" t="str">
        <f>"UNIDAD SAN JUAN DE ARAGON 2A SECCIO                                                                                                         "</f>
        <v xml:space="preserve">UNIDAD SAN JUAN DE ARAGON 2A SECCIO                                                                                                         </v>
      </c>
      <c r="G1026" s="26" t="str">
        <f>"GUSTAVO A. MADERO                                                               "</f>
        <v xml:space="preserve">GUSTAVO A. MADERO                                                               </v>
      </c>
      <c r="H1026" s="26" t="str">
        <f>"198"</f>
        <v>198</v>
      </c>
      <c r="I1026" s="26" t="str">
        <f t="shared" ref="I1026:I1089" si="165">"00"</f>
        <v>00</v>
      </c>
      <c r="J1026" s="26" t="str">
        <f>"32 "</f>
        <v xml:space="preserve">32 </v>
      </c>
      <c r="K1026" s="26" t="str">
        <f t="shared" si="161"/>
        <v>EP</v>
      </c>
      <c r="L1026" s="26" t="str">
        <f t="shared" si="162"/>
        <v>DGOSE</v>
      </c>
      <c r="M1026" s="26" t="str">
        <f t="shared" ref="M1026:M1086" si="166">"FEDERAL"</f>
        <v>FEDERAL</v>
      </c>
      <c r="N1026" s="26">
        <v>61</v>
      </c>
      <c r="O1026" s="26">
        <v>26</v>
      </c>
      <c r="P1026" s="26">
        <v>35</v>
      </c>
      <c r="Q1026" s="26">
        <v>3</v>
      </c>
      <c r="R1026" s="26">
        <v>1</v>
      </c>
      <c r="S1026" s="26">
        <v>3</v>
      </c>
      <c r="T1026" s="26">
        <v>3</v>
      </c>
      <c r="U1026" s="26">
        <v>7</v>
      </c>
      <c r="V1026" s="26">
        <v>1</v>
      </c>
      <c r="W1026" s="26"/>
    </row>
    <row r="1027" spans="1:23" x14ac:dyDescent="0.25">
      <c r="A1027" s="26" t="str">
        <f t="shared" si="164"/>
        <v>PREESCOLAR</v>
      </c>
      <c r="B1027" s="26" t="str">
        <f>"09DJN1354F"</f>
        <v>09DJN1354F</v>
      </c>
      <c r="C1027" s="26" t="str">
        <f>"ALEJANDRO HUMBOLDT                                                                                  "</f>
        <v xml:space="preserve">ALEJANDRO HUMBOLDT                                                                                  </v>
      </c>
      <c r="D1027" s="26" t="str">
        <f t="shared" si="163"/>
        <v>VESPERTINO</v>
      </c>
      <c r="E1027" s="26" t="str">
        <f>"PLAYA ENCANTADA NO. 234                                                         "</f>
        <v xml:space="preserve">PLAYA ENCANTADA NO. 234                                                         </v>
      </c>
      <c r="F1027" s="26" t="str">
        <f>"MILITAR MARTE                                                                                                                               "</f>
        <v xml:space="preserve">MILITAR MARTE                                                                                                                               </v>
      </c>
      <c r="G1027" s="26" t="str">
        <f>"IZTACALCO                                                                       "</f>
        <v xml:space="preserve">IZTACALCO                                                                       </v>
      </c>
      <c r="H1027" s="26" t="str">
        <f>"230"</f>
        <v>230</v>
      </c>
      <c r="I1027" s="26" t="str">
        <f t="shared" si="165"/>
        <v>00</v>
      </c>
      <c r="J1027" s="26" t="str">
        <f>"33 "</f>
        <v xml:space="preserve">33 </v>
      </c>
      <c r="K1027" s="26" t="str">
        <f t="shared" si="161"/>
        <v>EP</v>
      </c>
      <c r="L1027" s="26" t="str">
        <f t="shared" si="162"/>
        <v>DGOSE</v>
      </c>
      <c r="M1027" s="26" t="str">
        <f t="shared" si="166"/>
        <v>FEDERAL</v>
      </c>
      <c r="N1027" s="26">
        <v>87</v>
      </c>
      <c r="O1027" s="26">
        <v>47</v>
      </c>
      <c r="P1027" s="26">
        <v>40</v>
      </c>
      <c r="Q1027" s="26">
        <v>5</v>
      </c>
      <c r="R1027" s="26">
        <v>1</v>
      </c>
      <c r="S1027" s="26">
        <v>5</v>
      </c>
      <c r="T1027" s="26">
        <v>7</v>
      </c>
      <c r="U1027" s="26">
        <v>13</v>
      </c>
      <c r="V1027" s="26">
        <v>1</v>
      </c>
      <c r="W1027" s="26"/>
    </row>
    <row r="1028" spans="1:23" x14ac:dyDescent="0.25">
      <c r="A1028" s="26" t="str">
        <f t="shared" si="164"/>
        <v>PREESCOLAR</v>
      </c>
      <c r="B1028" s="26" t="str">
        <f>"09DJN1355E"</f>
        <v>09DJN1355E</v>
      </c>
      <c r="C1028" s="26" t="str">
        <f>"FEDERICO CHOPIN                                                                                     "</f>
        <v xml:space="preserve">FEDERICO CHOPIN                                                                                     </v>
      </c>
      <c r="D1028" s="26" t="str">
        <f t="shared" si="163"/>
        <v>VESPERTINO</v>
      </c>
      <c r="E1028" s="26" t="str">
        <f>"PRIVADA 22 DE LA CALLE 6                                                        "</f>
        <v xml:space="preserve">PRIVADA 22 DE LA CALLE 6                                                        </v>
      </c>
      <c r="F1028" s="26" t="str">
        <f>"AGRICOLA PANTITLAN                                                                                                                          "</f>
        <v xml:space="preserve">AGRICOLA PANTITLAN                                                                                                                          </v>
      </c>
      <c r="G1028" s="26" t="str">
        <f>"IZTACALCO                                                                       "</f>
        <v xml:space="preserve">IZTACALCO                                                                       </v>
      </c>
      <c r="H1028" s="26" t="str">
        <f>"241"</f>
        <v>241</v>
      </c>
      <c r="I1028" s="26" t="str">
        <f t="shared" si="165"/>
        <v>00</v>
      </c>
      <c r="J1028" s="26" t="str">
        <f>"33 "</f>
        <v xml:space="preserve">33 </v>
      </c>
      <c r="K1028" s="26" t="str">
        <f t="shared" si="161"/>
        <v>EP</v>
      </c>
      <c r="L1028" s="26" t="str">
        <f t="shared" si="162"/>
        <v>DGOSE</v>
      </c>
      <c r="M1028" s="26" t="str">
        <f t="shared" si="166"/>
        <v>FEDERAL</v>
      </c>
      <c r="N1028" s="26">
        <v>155</v>
      </c>
      <c r="O1028" s="26">
        <v>76</v>
      </c>
      <c r="P1028" s="26">
        <v>79</v>
      </c>
      <c r="Q1028" s="26">
        <v>5</v>
      </c>
      <c r="R1028" s="26">
        <v>1</v>
      </c>
      <c r="S1028" s="26">
        <v>4</v>
      </c>
      <c r="T1028" s="26">
        <v>8</v>
      </c>
      <c r="U1028" s="26">
        <v>13</v>
      </c>
      <c r="V1028" s="26">
        <v>1</v>
      </c>
      <c r="W1028" s="26"/>
    </row>
    <row r="1029" spans="1:23" x14ac:dyDescent="0.25">
      <c r="A1029" s="26" t="str">
        <f t="shared" si="164"/>
        <v>PREESCOLAR</v>
      </c>
      <c r="B1029" s="26" t="str">
        <f>"09DJN1356D"</f>
        <v>09DJN1356D</v>
      </c>
      <c r="C1029" s="26" t="str">
        <f>"CUAUHTZIN                                                                                           "</f>
        <v xml:space="preserve">CUAUHTZIN                                                                                           </v>
      </c>
      <c r="D1029" s="26" t="str">
        <f t="shared" si="163"/>
        <v>VESPERTINO</v>
      </c>
      <c r="E1029" s="26" t="str">
        <f>"NIÑOS HEROES S/N                                                                "</f>
        <v xml:space="preserve">NIÑOS HEROES S/N                                                                </v>
      </c>
      <c r="F1029" s="26" t="str">
        <f>"SAN SALVADOR CUAUHTENCO                                                                                                                     "</f>
        <v xml:space="preserve">SAN SALVADOR CUAUHTENCO                                                                                                                     </v>
      </c>
      <c r="G1029" s="26" t="str">
        <f>"MILPA ALTA                                                                      "</f>
        <v xml:space="preserve">MILPA ALTA                                                                      </v>
      </c>
      <c r="H1029" s="26" t="str">
        <f>"281"</f>
        <v>281</v>
      </c>
      <c r="I1029" s="26" t="str">
        <f t="shared" si="165"/>
        <v>00</v>
      </c>
      <c r="J1029" s="26" t="str">
        <f>"35 "</f>
        <v xml:space="preserve">35 </v>
      </c>
      <c r="K1029" s="26" t="str">
        <f t="shared" si="161"/>
        <v>EP</v>
      </c>
      <c r="L1029" s="26" t="str">
        <f t="shared" si="162"/>
        <v>DGOSE</v>
      </c>
      <c r="M1029" s="26" t="str">
        <f t="shared" si="166"/>
        <v>FEDERAL</v>
      </c>
      <c r="N1029" s="26">
        <v>168</v>
      </c>
      <c r="O1029" s="26">
        <v>86</v>
      </c>
      <c r="P1029" s="26">
        <v>82</v>
      </c>
      <c r="Q1029" s="26">
        <v>5</v>
      </c>
      <c r="R1029" s="26">
        <v>1</v>
      </c>
      <c r="S1029" s="26">
        <v>5</v>
      </c>
      <c r="T1029" s="26">
        <v>7</v>
      </c>
      <c r="U1029" s="26">
        <v>13</v>
      </c>
      <c r="V1029" s="26">
        <v>1</v>
      </c>
      <c r="W1029" s="26"/>
    </row>
    <row r="1030" spans="1:23" x14ac:dyDescent="0.25">
      <c r="A1030" s="26" t="str">
        <f t="shared" si="164"/>
        <v>PREESCOLAR</v>
      </c>
      <c r="B1030" s="26" t="str">
        <f>"09DJN1360Q"</f>
        <v>09DJN1360Q</v>
      </c>
      <c r="C1030" s="26" t="str">
        <f>"ALFONSO L. HERRERA                                                                                  "</f>
        <v xml:space="preserve">ALFONSO L. HERRERA                                                                                  </v>
      </c>
      <c r="D1030" s="26" t="str">
        <f>"TIEMPO COMPLETO"</f>
        <v>TIEMPO COMPLETO</v>
      </c>
      <c r="E1030" s="26" t="str">
        <f>"IGNACIO ZARAGOZA S/N                                                            "</f>
        <v xml:space="preserve">IGNACIO ZARAGOZA S/N                                                            </v>
      </c>
      <c r="F1030" s="26" t="str">
        <f>"SANTA MARIA AZTAHUACAN                                                                                                                      "</f>
        <v xml:space="preserve">SANTA MARIA AZTAHUACAN                                                                                                                      </v>
      </c>
      <c r="G1030" s="26" t="str">
        <f>"IZTAPALAPA                                                                      "</f>
        <v xml:space="preserve">IZTAPALAPA                                                                      </v>
      </c>
      <c r="H1030" s="26" t="str">
        <f>"012"</f>
        <v>012</v>
      </c>
      <c r="I1030" s="26" t="str">
        <f t="shared" si="165"/>
        <v>00</v>
      </c>
      <c r="J1030" s="26" t="str">
        <f>"61 "</f>
        <v xml:space="preserve">61 </v>
      </c>
      <c r="K1030" s="26" t="str">
        <f>"IZ"</f>
        <v>IZ</v>
      </c>
      <c r="L1030" s="26" t="str">
        <f>"DGSEI"</f>
        <v>DGSEI</v>
      </c>
      <c r="M1030" s="26" t="str">
        <f t="shared" si="166"/>
        <v>FEDERAL</v>
      </c>
      <c r="N1030" s="26">
        <v>236</v>
      </c>
      <c r="O1030" s="26">
        <v>106</v>
      </c>
      <c r="P1030" s="26">
        <v>130</v>
      </c>
      <c r="Q1030" s="26">
        <v>6</v>
      </c>
      <c r="R1030" s="26">
        <v>1</v>
      </c>
      <c r="S1030" s="26">
        <v>6</v>
      </c>
      <c r="T1030" s="26">
        <v>10</v>
      </c>
      <c r="U1030" s="26">
        <v>17</v>
      </c>
      <c r="V1030" s="26">
        <v>1</v>
      </c>
      <c r="W1030" s="26" t="s">
        <v>218</v>
      </c>
    </row>
    <row r="1031" spans="1:23" x14ac:dyDescent="0.25">
      <c r="A1031" s="26" t="str">
        <f t="shared" si="164"/>
        <v>PREESCOLAR</v>
      </c>
      <c r="B1031" s="26" t="str">
        <f>"09DJN1361P"</f>
        <v>09DJN1361P</v>
      </c>
      <c r="C1031" s="26" t="str">
        <f>"GUADALUPE GOMEZ MARQUEZ                                                                             "</f>
        <v xml:space="preserve">GUADALUPE GOMEZ MARQUEZ                                                                             </v>
      </c>
      <c r="D1031" s="26" t="str">
        <f>"JORNADA AMPLIADA"</f>
        <v>JORNADA AMPLIADA</v>
      </c>
      <c r="E1031" s="26" t="str">
        <f>"PEPE ORTIZ ESQ. CARLOS ARRUZA                                                   "</f>
        <v xml:space="preserve">PEPE ORTIZ ESQ. CARLOS ARRUZA                                                   </v>
      </c>
      <c r="F1031" s="26" t="str">
        <f>"SAN LORENZO TLALTENANGO                                                                                                                     "</f>
        <v xml:space="preserve">SAN LORENZO TLALTENANGO                                                                                                                     </v>
      </c>
      <c r="G1031" s="26" t="str">
        <f>"MIGUEL HIDALGO                                                                  "</f>
        <v xml:space="preserve">MIGUEL HIDALGO                                                                  </v>
      </c>
      <c r="H1031" s="26" t="str">
        <f>"120"</f>
        <v>120</v>
      </c>
      <c r="I1031" s="26" t="str">
        <f t="shared" si="165"/>
        <v>00</v>
      </c>
      <c r="J1031" s="26" t="str">
        <f>"31 "</f>
        <v xml:space="preserve">31 </v>
      </c>
      <c r="K1031" s="26" t="str">
        <f t="shared" ref="K1031:K1039" si="167">"EP"</f>
        <v>EP</v>
      </c>
      <c r="L1031" s="26" t="str">
        <f t="shared" ref="L1031:L1039" si="168">"DGOSE"</f>
        <v>DGOSE</v>
      </c>
      <c r="M1031" s="26" t="str">
        <f t="shared" si="166"/>
        <v>FEDERAL</v>
      </c>
      <c r="N1031" s="26">
        <v>93</v>
      </c>
      <c r="O1031" s="26">
        <v>44</v>
      </c>
      <c r="P1031" s="26">
        <v>49</v>
      </c>
      <c r="Q1031" s="26">
        <v>4</v>
      </c>
      <c r="R1031" s="26">
        <v>1</v>
      </c>
      <c r="S1031" s="26">
        <v>3</v>
      </c>
      <c r="T1031" s="26">
        <v>5</v>
      </c>
      <c r="U1031" s="26">
        <v>9</v>
      </c>
      <c r="V1031" s="26">
        <v>1</v>
      </c>
      <c r="W1031" s="26" t="s">
        <v>2076</v>
      </c>
    </row>
    <row r="1032" spans="1:23" x14ac:dyDescent="0.25">
      <c r="A1032" s="26" t="str">
        <f t="shared" si="164"/>
        <v>PREESCOLAR</v>
      </c>
      <c r="B1032" s="26" t="str">
        <f>"09DJN1362O"</f>
        <v>09DJN1362O</v>
      </c>
      <c r="C1032" s="26" t="str">
        <f>"PRIMAVERA                                                                                           "</f>
        <v xml:space="preserve">PRIMAVERA                                                                                           </v>
      </c>
      <c r="D1032" s="26" t="str">
        <f>"TIEMPO COMPLETO"</f>
        <v>TIEMPO COMPLETO</v>
      </c>
      <c r="E1032" s="26" t="str">
        <f>"PASEO NOCHEBUENA Y JAZMIN S/N                                                   "</f>
        <v xml:space="preserve">PASEO NOCHEBUENA Y JAZMIN S/N                                                   </v>
      </c>
      <c r="F1032" s="26" t="str">
        <f>"PRIMAVERA                                                                                                                                   "</f>
        <v xml:space="preserve">PRIMAVERA                                                                                                                                   </v>
      </c>
      <c r="G1032" s="26" t="str">
        <f>"TLALPAN                                                                         "</f>
        <v xml:space="preserve">TLALPAN                                                                         </v>
      </c>
      <c r="H1032" s="26" t="str">
        <f>"224"</f>
        <v>224</v>
      </c>
      <c r="I1032" s="26" t="str">
        <f t="shared" si="165"/>
        <v>00</v>
      </c>
      <c r="J1032" s="26" t="str">
        <f>"34 "</f>
        <v xml:space="preserve">34 </v>
      </c>
      <c r="K1032" s="26" t="str">
        <f t="shared" si="167"/>
        <v>EP</v>
      </c>
      <c r="L1032" s="26" t="str">
        <f t="shared" si="168"/>
        <v>DGOSE</v>
      </c>
      <c r="M1032" s="26" t="str">
        <f t="shared" si="166"/>
        <v>FEDERAL</v>
      </c>
      <c r="N1032" s="26">
        <v>238</v>
      </c>
      <c r="O1032" s="26">
        <v>123</v>
      </c>
      <c r="P1032" s="26">
        <v>115</v>
      </c>
      <c r="Q1032" s="26">
        <v>7</v>
      </c>
      <c r="R1032" s="26">
        <v>2</v>
      </c>
      <c r="S1032" s="26">
        <v>7</v>
      </c>
      <c r="T1032" s="26">
        <v>12</v>
      </c>
      <c r="U1032" s="26">
        <v>21</v>
      </c>
      <c r="V1032" s="26">
        <v>1</v>
      </c>
      <c r="W1032" s="26" t="s">
        <v>218</v>
      </c>
    </row>
    <row r="1033" spans="1:23" x14ac:dyDescent="0.25">
      <c r="A1033" s="26" t="str">
        <f t="shared" si="164"/>
        <v>PREESCOLAR</v>
      </c>
      <c r="B1033" s="26" t="str">
        <f>"09DJN1365L"</f>
        <v>09DJN1365L</v>
      </c>
      <c r="C1033" s="26" t="str">
        <f>"DEMETRIO SODI PALLARES                                                                              "</f>
        <v xml:space="preserve">DEMETRIO SODI PALLARES                                                                              </v>
      </c>
      <c r="D1033" s="26" t="str">
        <f>"JORNADA AMPLIADA"</f>
        <v>JORNADA AMPLIADA</v>
      </c>
      <c r="E1033" s="26" t="str">
        <f>"ARROYO ARMELLA S/N                                                              "</f>
        <v xml:space="preserve">ARROYO ARMELLA S/N                                                              </v>
      </c>
      <c r="F1033" s="26" t="str">
        <f>"LUIS DONALDO COLOSIO MURRIETA                                                                                                               "</f>
        <v xml:space="preserve">LUIS DONALDO COLOSIO MURRIETA                                                                                                               </v>
      </c>
      <c r="G1033" s="26" t="str">
        <f>"GUSTAVO A. MADERO                                                               "</f>
        <v xml:space="preserve">GUSTAVO A. MADERO                                                               </v>
      </c>
      <c r="H1033" s="26" t="str">
        <f>"092"</f>
        <v>092</v>
      </c>
      <c r="I1033" s="26" t="str">
        <f t="shared" si="165"/>
        <v>00</v>
      </c>
      <c r="J1033" s="26" t="str">
        <f>"31 "</f>
        <v xml:space="preserve">31 </v>
      </c>
      <c r="K1033" s="26" t="str">
        <f t="shared" si="167"/>
        <v>EP</v>
      </c>
      <c r="L1033" s="26" t="str">
        <f t="shared" si="168"/>
        <v>DGOSE</v>
      </c>
      <c r="M1033" s="26" t="str">
        <f t="shared" si="166"/>
        <v>FEDERAL</v>
      </c>
      <c r="N1033" s="26">
        <v>254</v>
      </c>
      <c r="O1033" s="26">
        <v>121</v>
      </c>
      <c r="P1033" s="26">
        <v>133</v>
      </c>
      <c r="Q1033" s="26">
        <v>7</v>
      </c>
      <c r="R1033" s="26">
        <v>1</v>
      </c>
      <c r="S1033" s="26">
        <v>7</v>
      </c>
      <c r="T1033" s="26">
        <v>4</v>
      </c>
      <c r="U1033" s="26">
        <v>12</v>
      </c>
      <c r="V1033" s="26">
        <v>1</v>
      </c>
      <c r="W1033" s="26" t="s">
        <v>2076</v>
      </c>
    </row>
    <row r="1034" spans="1:23" x14ac:dyDescent="0.25">
      <c r="A1034" s="26" t="str">
        <f t="shared" si="164"/>
        <v>PREESCOLAR</v>
      </c>
      <c r="B1034" s="26" t="str">
        <f>"09DJN1366K"</f>
        <v>09DJN1366K</v>
      </c>
      <c r="C1034" s="26" t="str">
        <f>"MAGDALENA MIXIUHCA                                                                                  "</f>
        <v xml:space="preserve">MAGDALENA MIXIUHCA                                                                                  </v>
      </c>
      <c r="D1034" s="26" t="str">
        <f>"JORNADA AMPLIADA"</f>
        <v>JORNADA AMPLIADA</v>
      </c>
      <c r="E1034" s="26" t="str">
        <f>"EJE 4 Y TRIGO                                                                   "</f>
        <v xml:space="preserve">EJE 4 Y TRIGO                                                                   </v>
      </c>
      <c r="F1034" s="26" t="str">
        <f>"MAGDALENA MIXHUCA EX-EJIDO                                                                                                                  "</f>
        <v xml:space="preserve">MAGDALENA MIXHUCA EX-EJIDO                                                                                                                  </v>
      </c>
      <c r="G1034" s="26" t="str">
        <f>"IZTACALCO                                                                       "</f>
        <v xml:space="preserve">IZTACALCO                                                                       </v>
      </c>
      <c r="H1034" s="26" t="str">
        <f>"072"</f>
        <v>072</v>
      </c>
      <c r="I1034" s="26" t="str">
        <f t="shared" si="165"/>
        <v>00</v>
      </c>
      <c r="J1034" s="26" t="str">
        <f>"31 "</f>
        <v xml:space="preserve">31 </v>
      </c>
      <c r="K1034" s="26" t="str">
        <f t="shared" si="167"/>
        <v>EP</v>
      </c>
      <c r="L1034" s="26" t="str">
        <f t="shared" si="168"/>
        <v>DGOSE</v>
      </c>
      <c r="M1034" s="26" t="str">
        <f t="shared" si="166"/>
        <v>FEDERAL</v>
      </c>
      <c r="N1034" s="26">
        <v>114</v>
      </c>
      <c r="O1034" s="26">
        <v>66</v>
      </c>
      <c r="P1034" s="26">
        <v>48</v>
      </c>
      <c r="Q1034" s="26">
        <v>4</v>
      </c>
      <c r="R1034" s="26">
        <v>1</v>
      </c>
      <c r="S1034" s="26">
        <v>4</v>
      </c>
      <c r="T1034" s="26">
        <v>5</v>
      </c>
      <c r="U1034" s="26">
        <v>10</v>
      </c>
      <c r="V1034" s="26">
        <v>1</v>
      </c>
      <c r="W1034" s="26" t="s">
        <v>2076</v>
      </c>
    </row>
    <row r="1035" spans="1:23" x14ac:dyDescent="0.25">
      <c r="A1035" s="26" t="str">
        <f t="shared" si="164"/>
        <v>PREESCOLAR</v>
      </c>
      <c r="B1035" s="26" t="str">
        <f>"09DJN1367J"</f>
        <v>09DJN1367J</v>
      </c>
      <c r="C1035" s="26" t="str">
        <f>"XILOTL                                                                                              "</f>
        <v xml:space="preserve">XILOTL                                                                                              </v>
      </c>
      <c r="D1035" s="26" t="str">
        <f>"JORNADA AMPLIADA"</f>
        <v>JORNADA AMPLIADA</v>
      </c>
      <c r="E1035" s="26" t="str">
        <f>"CDA. DE LOS PINOS S/N                                                           "</f>
        <v xml:space="preserve">CDA. DE LOS PINOS S/N                                                           </v>
      </c>
      <c r="F1035" s="26" t="str">
        <f>"SAN JUAN TEPENAHUAC                                                                                                                         "</f>
        <v xml:space="preserve">SAN JUAN TEPENAHUAC                                                                                                                         </v>
      </c>
      <c r="G1035" s="26" t="str">
        <f>"MILPA ALTA                                                                      "</f>
        <v xml:space="preserve">MILPA ALTA                                                                      </v>
      </c>
      <c r="H1035" s="26" t="str">
        <f>"055"</f>
        <v>055</v>
      </c>
      <c r="I1035" s="26" t="str">
        <f t="shared" si="165"/>
        <v>00</v>
      </c>
      <c r="J1035" s="26" t="str">
        <f>"34 "</f>
        <v xml:space="preserve">34 </v>
      </c>
      <c r="K1035" s="26" t="str">
        <f t="shared" si="167"/>
        <v>EP</v>
      </c>
      <c r="L1035" s="26" t="str">
        <f t="shared" si="168"/>
        <v>DGOSE</v>
      </c>
      <c r="M1035" s="26" t="str">
        <f t="shared" si="166"/>
        <v>FEDERAL</v>
      </c>
      <c r="N1035" s="26">
        <v>87</v>
      </c>
      <c r="O1035" s="26">
        <v>44</v>
      </c>
      <c r="P1035" s="26">
        <v>43</v>
      </c>
      <c r="Q1035" s="26">
        <v>4</v>
      </c>
      <c r="R1035" s="26">
        <v>1</v>
      </c>
      <c r="S1035" s="26">
        <v>4</v>
      </c>
      <c r="T1035" s="26">
        <v>6</v>
      </c>
      <c r="U1035" s="26">
        <v>11</v>
      </c>
      <c r="V1035" s="26">
        <v>1</v>
      </c>
      <c r="W1035" s="26" t="s">
        <v>2076</v>
      </c>
    </row>
    <row r="1036" spans="1:23" x14ac:dyDescent="0.25">
      <c r="A1036" s="26" t="str">
        <f t="shared" si="164"/>
        <v>PREESCOLAR</v>
      </c>
      <c r="B1036" s="26" t="str">
        <f>"09DJN1368I"</f>
        <v>09DJN1368I</v>
      </c>
      <c r="C1036" s="26" t="str">
        <f>"GABINO JIMENEZ JIMENEZ                                                                              "</f>
        <v xml:space="preserve">GABINO JIMENEZ JIMENEZ                                                                              </v>
      </c>
      <c r="D1036" s="26" t="str">
        <f>"VESPERTINO"</f>
        <v>VESPERTINO</v>
      </c>
      <c r="E1036" s="26" t="str">
        <f>"TECNOLOGIA Y PEÑA ALTA S/N                                                      "</f>
        <v xml:space="preserve">TECNOLOGIA Y PEÑA ALTA S/N                                                      </v>
      </c>
      <c r="F1036" s="26" t="str">
        <f>"JAIME TORRES BODET                                                                                                                          "</f>
        <v xml:space="preserve">JAIME TORRES BODET                                                                                                                          </v>
      </c>
      <c r="G1036" s="26" t="str">
        <f>"TLAHUAC                                                                         "</f>
        <v xml:space="preserve">TLAHUAC                                                                         </v>
      </c>
      <c r="H1036" s="26" t="str">
        <f>"083"</f>
        <v>083</v>
      </c>
      <c r="I1036" s="26" t="str">
        <f t="shared" si="165"/>
        <v>00</v>
      </c>
      <c r="J1036" s="26" t="str">
        <f>"35 "</f>
        <v xml:space="preserve">35 </v>
      </c>
      <c r="K1036" s="26" t="str">
        <f t="shared" si="167"/>
        <v>EP</v>
      </c>
      <c r="L1036" s="26" t="str">
        <f t="shared" si="168"/>
        <v>DGOSE</v>
      </c>
      <c r="M1036" s="26" t="str">
        <f t="shared" si="166"/>
        <v>FEDERAL</v>
      </c>
      <c r="N1036" s="26">
        <v>102</v>
      </c>
      <c r="O1036" s="26">
        <v>54</v>
      </c>
      <c r="P1036" s="26">
        <v>48</v>
      </c>
      <c r="Q1036" s="26">
        <v>4</v>
      </c>
      <c r="R1036" s="26">
        <v>1</v>
      </c>
      <c r="S1036" s="26">
        <v>4</v>
      </c>
      <c r="T1036" s="26">
        <v>4</v>
      </c>
      <c r="U1036" s="26">
        <v>9</v>
      </c>
      <c r="V1036" s="26">
        <v>1</v>
      </c>
      <c r="W1036" s="26"/>
    </row>
    <row r="1037" spans="1:23" x14ac:dyDescent="0.25">
      <c r="A1037" s="26" t="str">
        <f t="shared" si="164"/>
        <v>PREESCOLAR</v>
      </c>
      <c r="B1037" s="26" t="str">
        <f>"09DJN1369H"</f>
        <v>09DJN1369H</v>
      </c>
      <c r="C1037" s="26" t="str">
        <f>"CENTENARIO DE LA HEROICA ESCUELA NAVAL MILITAR                                                      "</f>
        <v xml:space="preserve">CENTENARIO DE LA HEROICA ESCUELA NAVAL MILITAR                                                      </v>
      </c>
      <c r="D1037" s="26" t="str">
        <f>"JORNADA AMPLIADA"</f>
        <v>JORNADA AMPLIADA</v>
      </c>
      <c r="E1037" s="26" t="str">
        <f>"CANAL NACIONAL S/N ESQ PERIFERIO SUR                                            "</f>
        <v xml:space="preserve">CANAL NACIONAL S/N ESQ PERIFERIO SUR                                            </v>
      </c>
      <c r="F1037" s="26" t="str">
        <f>"RINCONADA COAPA                                                                                                                             "</f>
        <v xml:space="preserve">RINCONADA COAPA                                                                                                                             </v>
      </c>
      <c r="G1037" s="26" t="str">
        <f>"TLALPAN                                                                         "</f>
        <v xml:space="preserve">TLALPAN                                                                         </v>
      </c>
      <c r="H1037" s="26" t="str">
        <f>"221"</f>
        <v>221</v>
      </c>
      <c r="I1037" s="26" t="str">
        <f t="shared" si="165"/>
        <v>00</v>
      </c>
      <c r="J1037" s="26" t="str">
        <f>"34 "</f>
        <v xml:space="preserve">34 </v>
      </c>
      <c r="K1037" s="26" t="str">
        <f t="shared" si="167"/>
        <v>EP</v>
      </c>
      <c r="L1037" s="26" t="str">
        <f t="shared" si="168"/>
        <v>DGOSE</v>
      </c>
      <c r="M1037" s="26" t="str">
        <f t="shared" si="166"/>
        <v>FEDERAL</v>
      </c>
      <c r="N1037" s="26">
        <v>117</v>
      </c>
      <c r="O1037" s="26">
        <v>64</v>
      </c>
      <c r="P1037" s="26">
        <v>53</v>
      </c>
      <c r="Q1037" s="26">
        <v>4</v>
      </c>
      <c r="R1037" s="26">
        <v>1</v>
      </c>
      <c r="S1037" s="26">
        <v>4</v>
      </c>
      <c r="T1037" s="26">
        <v>5</v>
      </c>
      <c r="U1037" s="26">
        <v>10</v>
      </c>
      <c r="V1037" s="26">
        <v>1</v>
      </c>
      <c r="W1037" s="26" t="s">
        <v>2076</v>
      </c>
    </row>
    <row r="1038" spans="1:23" x14ac:dyDescent="0.25">
      <c r="A1038" s="26" t="str">
        <f t="shared" si="164"/>
        <v>PREESCOLAR</v>
      </c>
      <c r="B1038" s="26" t="str">
        <f>"09DJN1370X"</f>
        <v>09DJN1370X</v>
      </c>
      <c r="C1038" s="26" t="str">
        <f>"AXAYACATL                                                                                           "</f>
        <v xml:space="preserve">AXAYACATL                                                                                           </v>
      </c>
      <c r="D1038" s="26" t="str">
        <f>"VESPERTINO"</f>
        <v>VESPERTINO</v>
      </c>
      <c r="E1038" s="26" t="str">
        <f>"CALLE 73 Y AV. SEIS                                                             "</f>
        <v xml:space="preserve">CALLE 73 Y AV. SEIS                                                             </v>
      </c>
      <c r="F1038" s="26" t="str">
        <f>"PUEBLA                                                                                                                                      "</f>
        <v xml:space="preserve">PUEBLA                                                                                                                                      </v>
      </c>
      <c r="G1038" s="26" t="str">
        <f>"VENUSTIANO CARRANZA                                                             "</f>
        <v xml:space="preserve">VENUSTIANO CARRANZA                                                             </v>
      </c>
      <c r="H1038" s="26" t="str">
        <f>"250"</f>
        <v>250</v>
      </c>
      <c r="I1038" s="26" t="str">
        <f t="shared" si="165"/>
        <v>00</v>
      </c>
      <c r="J1038" s="26" t="str">
        <f>"33 "</f>
        <v xml:space="preserve">33 </v>
      </c>
      <c r="K1038" s="26" t="str">
        <f t="shared" si="167"/>
        <v>EP</v>
      </c>
      <c r="L1038" s="26" t="str">
        <f t="shared" si="168"/>
        <v>DGOSE</v>
      </c>
      <c r="M1038" s="26" t="str">
        <f t="shared" si="166"/>
        <v>FEDERAL</v>
      </c>
      <c r="N1038" s="26">
        <v>96</v>
      </c>
      <c r="O1038" s="26">
        <v>42</v>
      </c>
      <c r="P1038" s="26">
        <v>54</v>
      </c>
      <c r="Q1038" s="26">
        <v>3</v>
      </c>
      <c r="R1038" s="26">
        <v>1</v>
      </c>
      <c r="S1038" s="26">
        <v>3</v>
      </c>
      <c r="T1038" s="26">
        <v>2</v>
      </c>
      <c r="U1038" s="26">
        <v>6</v>
      </c>
      <c r="V1038" s="26">
        <v>1</v>
      </c>
      <c r="W1038" s="26"/>
    </row>
    <row r="1039" spans="1:23" x14ac:dyDescent="0.25">
      <c r="A1039" s="26" t="str">
        <f t="shared" si="164"/>
        <v>PREESCOLAR</v>
      </c>
      <c r="B1039" s="26" t="str">
        <f>"09DJN1371W"</f>
        <v>09DJN1371W</v>
      </c>
      <c r="C1039" s="26" t="str">
        <f>"ATEMOAYA                                                                                            "</f>
        <v xml:space="preserve">ATEMOAYA                                                                                            </v>
      </c>
      <c r="D1039" s="26" t="str">
        <f>"VESPERTINO"</f>
        <v>VESPERTINO</v>
      </c>
      <c r="E1039" s="26" t="str">
        <f>"CIRCUITO CUAUHTEMOC S/N                                                         "</f>
        <v xml:space="preserve">CIRCUITO CUAUHTEMOC S/N                                                         </v>
      </c>
      <c r="F1039" s="26" t="str">
        <f>"SAN LORENZO ATEMOAYA                                                                                                                        "</f>
        <v xml:space="preserve">SAN LORENZO ATEMOAYA                                                                                                                        </v>
      </c>
      <c r="G1039" s="26" t="str">
        <f>"XOCHIMILCO                                                                      "</f>
        <v xml:space="preserve">XOCHIMILCO                                                                      </v>
      </c>
      <c r="H1039" s="26" t="str">
        <f>"084"</f>
        <v>084</v>
      </c>
      <c r="I1039" s="26" t="str">
        <f t="shared" si="165"/>
        <v>00</v>
      </c>
      <c r="J1039" s="26" t="str">
        <f>"35 "</f>
        <v xml:space="preserve">35 </v>
      </c>
      <c r="K1039" s="26" t="str">
        <f t="shared" si="167"/>
        <v>EP</v>
      </c>
      <c r="L1039" s="26" t="str">
        <f t="shared" si="168"/>
        <v>DGOSE</v>
      </c>
      <c r="M1039" s="26" t="str">
        <f t="shared" si="166"/>
        <v>FEDERAL</v>
      </c>
      <c r="N1039" s="26">
        <v>144</v>
      </c>
      <c r="O1039" s="26">
        <v>74</v>
      </c>
      <c r="P1039" s="26">
        <v>70</v>
      </c>
      <c r="Q1039" s="26">
        <v>5</v>
      </c>
      <c r="R1039" s="26">
        <v>1</v>
      </c>
      <c r="S1039" s="26">
        <v>4</v>
      </c>
      <c r="T1039" s="26">
        <v>4</v>
      </c>
      <c r="U1039" s="26">
        <v>9</v>
      </c>
      <c r="V1039" s="26">
        <v>1</v>
      </c>
      <c r="W1039" s="26"/>
    </row>
    <row r="1040" spans="1:23" x14ac:dyDescent="0.25">
      <c r="A1040" s="26" t="str">
        <f t="shared" si="164"/>
        <v>PREESCOLAR</v>
      </c>
      <c r="B1040" s="26" t="str">
        <f>"09DJN1372V"</f>
        <v>09DJN1372V</v>
      </c>
      <c r="C1040" s="26" t="str">
        <f>"IMMANTI                                                                                             "</f>
        <v xml:space="preserve">IMMANTI                                                                                             </v>
      </c>
      <c r="D1040" s="26" t="str">
        <f>"MATUTINO"</f>
        <v>MATUTINO</v>
      </c>
      <c r="E1040" s="26" t="s">
        <v>4127</v>
      </c>
      <c r="F1040" s="26" t="str">
        <f>"DEGOLLADO                                                                                                                                   "</f>
        <v xml:space="preserve">DEGOLLADO                                                                                                                                   </v>
      </c>
      <c r="G1040" s="26" t="str">
        <f>"IZTAPALAPA                                                                      "</f>
        <v xml:space="preserve">IZTAPALAPA                                                                      </v>
      </c>
      <c r="H1040" s="26" t="str">
        <f>"032"</f>
        <v>032</v>
      </c>
      <c r="I1040" s="26" t="str">
        <f t="shared" si="165"/>
        <v>00</v>
      </c>
      <c r="J1040" s="26" t="str">
        <f>"64 "</f>
        <v xml:space="preserve">64 </v>
      </c>
      <c r="K1040" s="26" t="str">
        <f>"IZ"</f>
        <v>IZ</v>
      </c>
      <c r="L1040" s="26" t="str">
        <f>"DGSEI"</f>
        <v>DGSEI</v>
      </c>
      <c r="M1040" s="26" t="str">
        <f t="shared" si="166"/>
        <v>FEDERAL</v>
      </c>
      <c r="N1040" s="26">
        <v>195</v>
      </c>
      <c r="O1040" s="26">
        <v>103</v>
      </c>
      <c r="P1040" s="26">
        <v>92</v>
      </c>
      <c r="Q1040" s="26">
        <v>5</v>
      </c>
      <c r="R1040" s="26">
        <v>1</v>
      </c>
      <c r="S1040" s="26">
        <v>5</v>
      </c>
      <c r="T1040" s="26">
        <v>2</v>
      </c>
      <c r="U1040" s="26">
        <v>8</v>
      </c>
      <c r="V1040" s="26">
        <v>1</v>
      </c>
      <c r="W1040" s="26"/>
    </row>
    <row r="1041" spans="1:23" x14ac:dyDescent="0.25">
      <c r="A1041" s="26" t="str">
        <f t="shared" si="164"/>
        <v>PREESCOLAR</v>
      </c>
      <c r="B1041" s="26" t="str">
        <f>"09DJN1373U"</f>
        <v>09DJN1373U</v>
      </c>
      <c r="C1041" s="26" t="str">
        <f>"RAMON DE LA FUENTE MUÑIZ                                                                            "</f>
        <v xml:space="preserve">RAMON DE LA FUENTE MUÑIZ                                                                            </v>
      </c>
      <c r="D1041" s="26" t="str">
        <f>"JORNADA AMPLIADA"</f>
        <v>JORNADA AMPLIADA</v>
      </c>
      <c r="E1041" s="26" t="str">
        <f>"IZTACIHUATL S/N                                                                 "</f>
        <v xml:space="preserve">IZTACIHUATL S/N                                                                 </v>
      </c>
      <c r="F1041" s="26" t="str">
        <f>"NUEVA UNIDAD FOVISSSTE                                                                                                                      "</f>
        <v xml:space="preserve">NUEVA UNIDAD FOVISSSTE                                                                                                                      </v>
      </c>
      <c r="G1041" s="26" t="str">
        <f>"IZTAPALAPA                                                                      "</f>
        <v xml:space="preserve">IZTAPALAPA                                                                      </v>
      </c>
      <c r="H1041" s="26" t="str">
        <f>"010"</f>
        <v>010</v>
      </c>
      <c r="I1041" s="26" t="str">
        <f t="shared" si="165"/>
        <v>00</v>
      </c>
      <c r="J1041" s="26" t="str">
        <f>"61 "</f>
        <v xml:space="preserve">61 </v>
      </c>
      <c r="K1041" s="26" t="str">
        <f>"IZ"</f>
        <v>IZ</v>
      </c>
      <c r="L1041" s="26" t="str">
        <f>"DGSEI"</f>
        <v>DGSEI</v>
      </c>
      <c r="M1041" s="26" t="str">
        <f t="shared" si="166"/>
        <v>FEDERAL</v>
      </c>
      <c r="N1041" s="26">
        <v>182</v>
      </c>
      <c r="O1041" s="26">
        <v>107</v>
      </c>
      <c r="P1041" s="26">
        <v>75</v>
      </c>
      <c r="Q1041" s="26">
        <v>5</v>
      </c>
      <c r="R1041" s="26">
        <v>1</v>
      </c>
      <c r="S1041" s="26">
        <v>5</v>
      </c>
      <c r="T1041" s="26">
        <v>5</v>
      </c>
      <c r="U1041" s="26">
        <v>11</v>
      </c>
      <c r="V1041" s="26">
        <v>1</v>
      </c>
      <c r="W1041" s="26" t="s">
        <v>2076</v>
      </c>
    </row>
    <row r="1042" spans="1:23" x14ac:dyDescent="0.25">
      <c r="A1042" s="26" t="str">
        <f t="shared" si="164"/>
        <v>PREESCOLAR</v>
      </c>
      <c r="B1042" s="26" t="str">
        <f>"09DJN1375S"</f>
        <v>09DJN1375S</v>
      </c>
      <c r="C1042" s="26" t="str">
        <f>"JOAQUIN BARANDA                                                                                     "</f>
        <v xml:space="preserve">JOAQUIN BARANDA                                                                                     </v>
      </c>
      <c r="D1042" s="26" t="str">
        <f>"VESPERTINO"</f>
        <v>VESPERTINO</v>
      </c>
      <c r="E1042" s="26" t="str">
        <f>"AV. LUCHA REYES S/N                                                             "</f>
        <v xml:space="preserve">AV. LUCHA REYES S/N                                                             </v>
      </c>
      <c r="F1042" s="26" t="str">
        <f>"LA FORESTAL                                                                                                                                 "</f>
        <v xml:space="preserve">LA FORESTAL                                                                                                                                 </v>
      </c>
      <c r="G1042" s="26" t="str">
        <f>"GUSTAVO A. MADERO                                                               "</f>
        <v xml:space="preserve">GUSTAVO A. MADERO                                                               </v>
      </c>
      <c r="H1042" s="26" t="str">
        <f>"068"</f>
        <v>068</v>
      </c>
      <c r="I1042" s="26" t="str">
        <f t="shared" si="165"/>
        <v>00</v>
      </c>
      <c r="J1042" s="26" t="str">
        <f>"32 "</f>
        <v xml:space="preserve">32 </v>
      </c>
      <c r="K1042" s="26" t="str">
        <f t="shared" ref="K1042:K1075" si="169">"EP"</f>
        <v>EP</v>
      </c>
      <c r="L1042" s="26" t="str">
        <f t="shared" ref="L1042:L1075" si="170">"DGOSE"</f>
        <v>DGOSE</v>
      </c>
      <c r="M1042" s="26" t="str">
        <f t="shared" si="166"/>
        <v>FEDERAL</v>
      </c>
      <c r="N1042" s="26">
        <v>128</v>
      </c>
      <c r="O1042" s="26">
        <v>59</v>
      </c>
      <c r="P1042" s="26">
        <v>69</v>
      </c>
      <c r="Q1042" s="26">
        <v>5</v>
      </c>
      <c r="R1042" s="26">
        <v>1</v>
      </c>
      <c r="S1042" s="26">
        <v>5</v>
      </c>
      <c r="T1042" s="26">
        <v>4</v>
      </c>
      <c r="U1042" s="26">
        <v>10</v>
      </c>
      <c r="V1042" s="26">
        <v>1</v>
      </c>
      <c r="W1042" s="26"/>
    </row>
    <row r="1043" spans="1:23" x14ac:dyDescent="0.25">
      <c r="A1043" s="26" t="str">
        <f t="shared" si="164"/>
        <v>PREESCOLAR</v>
      </c>
      <c r="B1043" s="26" t="str">
        <f>"09DJN1377Q"</f>
        <v>09DJN1377Q</v>
      </c>
      <c r="C1043" s="26" t="str">
        <f>"MONACO                                                                                              "</f>
        <v xml:space="preserve">MONACO                                                                                              </v>
      </c>
      <c r="D1043" s="26" t="str">
        <f>"VESPERTINO"</f>
        <v>VESPERTINO</v>
      </c>
      <c r="E1043" s="26" t="str">
        <f>"CORREGIDORA NO. 1                                                               "</f>
        <v xml:space="preserve">CORREGIDORA NO. 1                                                               </v>
      </c>
      <c r="F1043" s="26" t="str">
        <f>"SANTA LUCIA                                                                                                                                 "</f>
        <v xml:space="preserve">SANTA LUCIA                                                                                                                                 </v>
      </c>
      <c r="G1043" s="26" t="str">
        <f>"ALVARO OBREGON                                                                  "</f>
        <v xml:space="preserve">ALVARO OBREGON                                                                  </v>
      </c>
      <c r="H1043" s="26" t="str">
        <f>"046"</f>
        <v>046</v>
      </c>
      <c r="I1043" s="26" t="str">
        <f t="shared" si="165"/>
        <v>00</v>
      </c>
      <c r="J1043" s="26" t="str">
        <f>"33 "</f>
        <v xml:space="preserve">33 </v>
      </c>
      <c r="K1043" s="26" t="str">
        <f t="shared" si="169"/>
        <v>EP</v>
      </c>
      <c r="L1043" s="26" t="str">
        <f t="shared" si="170"/>
        <v>DGOSE</v>
      </c>
      <c r="M1043" s="26" t="str">
        <f t="shared" si="166"/>
        <v>FEDERAL</v>
      </c>
      <c r="N1043" s="26">
        <v>136</v>
      </c>
      <c r="O1043" s="26">
        <v>70</v>
      </c>
      <c r="P1043" s="26">
        <v>66</v>
      </c>
      <c r="Q1043" s="26">
        <v>5</v>
      </c>
      <c r="R1043" s="26">
        <v>1</v>
      </c>
      <c r="S1043" s="26">
        <v>5</v>
      </c>
      <c r="T1043" s="26">
        <v>3</v>
      </c>
      <c r="U1043" s="26">
        <v>9</v>
      </c>
      <c r="V1043" s="26">
        <v>1</v>
      </c>
      <c r="W1043" s="26"/>
    </row>
    <row r="1044" spans="1:23" x14ac:dyDescent="0.25">
      <c r="A1044" s="26" t="str">
        <f t="shared" si="164"/>
        <v>PREESCOLAR</v>
      </c>
      <c r="B1044" s="26" t="str">
        <f>"09DJN1378P"</f>
        <v>09DJN1378P</v>
      </c>
      <c r="C1044" s="26" t="str">
        <f>"JULIAN ADEM                                                                                         "</f>
        <v xml:space="preserve">JULIAN ADEM                                                                                         </v>
      </c>
      <c r="D1044" s="26" t="str">
        <f>"MATUTINO"</f>
        <v>MATUTINO</v>
      </c>
      <c r="E1044" s="26" t="str">
        <f>"MIQUIHUANA S/N                                                                  "</f>
        <v xml:space="preserve">MIQUIHUANA S/N                                                                  </v>
      </c>
      <c r="F1044" s="26" t="str">
        <f>"SAN BERNABE AMPLIACION                                                                                                                      "</f>
        <v xml:space="preserve">SAN BERNABE AMPLIACION                                                                                                                      </v>
      </c>
      <c r="G1044" s="26" t="str">
        <f>"LA MAGDALENA CONTRERAS                                                          "</f>
        <v xml:space="preserve">LA MAGDALENA CONTRERAS                                                          </v>
      </c>
      <c r="H1044" s="26" t="str">
        <f>"066"</f>
        <v>066</v>
      </c>
      <c r="I1044" s="26" t="str">
        <f t="shared" si="165"/>
        <v>00</v>
      </c>
      <c r="J1044" s="26" t="str">
        <f t="shared" ref="J1044:J1050" si="171">"35 "</f>
        <v xml:space="preserve">35 </v>
      </c>
      <c r="K1044" s="26" t="str">
        <f t="shared" si="169"/>
        <v>EP</v>
      </c>
      <c r="L1044" s="26" t="str">
        <f t="shared" si="170"/>
        <v>DGOSE</v>
      </c>
      <c r="M1044" s="26" t="str">
        <f t="shared" si="166"/>
        <v>FEDERAL</v>
      </c>
      <c r="N1044" s="26">
        <v>191</v>
      </c>
      <c r="O1044" s="26">
        <v>90</v>
      </c>
      <c r="P1044" s="26">
        <v>101</v>
      </c>
      <c r="Q1044" s="26">
        <v>5</v>
      </c>
      <c r="R1044" s="26">
        <v>1</v>
      </c>
      <c r="S1044" s="26">
        <v>5</v>
      </c>
      <c r="T1044" s="26">
        <v>3</v>
      </c>
      <c r="U1044" s="26">
        <v>9</v>
      </c>
      <c r="V1044" s="26">
        <v>1</v>
      </c>
      <c r="W1044" s="26"/>
    </row>
    <row r="1045" spans="1:23" x14ac:dyDescent="0.25">
      <c r="A1045" s="26" t="str">
        <f t="shared" si="164"/>
        <v>PREESCOLAR</v>
      </c>
      <c r="B1045" s="26" t="str">
        <f>"09DJN1379O"</f>
        <v>09DJN1379O</v>
      </c>
      <c r="C1045" s="26" t="str">
        <f>"ETELVINA R. OSORIO                                                                                  "</f>
        <v xml:space="preserve">ETELVINA R. OSORIO                                                                                  </v>
      </c>
      <c r="D1045" s="26" t="str">
        <f t="shared" ref="D1045:D1050" si="172">"VESPERTINO"</f>
        <v>VESPERTINO</v>
      </c>
      <c r="E1045" s="26" t="str">
        <f>"AV. CUAUHTEMOC NO. 28                                                           "</f>
        <v xml:space="preserve">AV. CUAUHTEMOC NO. 28                                                           </v>
      </c>
      <c r="F1045" s="26" t="str">
        <f>"SAN PEDRO ATOCPAN                                                                                                                           "</f>
        <v xml:space="preserve">SAN PEDRO ATOCPAN                                                                                                                           </v>
      </c>
      <c r="G1045" s="26" t="str">
        <f>"MILPA ALTA                                                                      "</f>
        <v xml:space="preserve">MILPA ALTA                                                                      </v>
      </c>
      <c r="H1045" s="26" t="str">
        <f>"104"</f>
        <v>104</v>
      </c>
      <c r="I1045" s="26" t="str">
        <f t="shared" si="165"/>
        <v>00</v>
      </c>
      <c r="J1045" s="26" t="str">
        <f t="shared" si="171"/>
        <v xml:space="preserve">35 </v>
      </c>
      <c r="K1045" s="26" t="str">
        <f t="shared" si="169"/>
        <v>EP</v>
      </c>
      <c r="L1045" s="26" t="str">
        <f t="shared" si="170"/>
        <v>DGOSE</v>
      </c>
      <c r="M1045" s="26" t="str">
        <f t="shared" si="166"/>
        <v>FEDERAL</v>
      </c>
      <c r="N1045" s="26">
        <v>116</v>
      </c>
      <c r="O1045" s="26">
        <v>74</v>
      </c>
      <c r="P1045" s="26">
        <v>42</v>
      </c>
      <c r="Q1045" s="26">
        <v>4</v>
      </c>
      <c r="R1045" s="26">
        <v>1</v>
      </c>
      <c r="S1045" s="26">
        <v>4</v>
      </c>
      <c r="T1045" s="26">
        <v>4</v>
      </c>
      <c r="U1045" s="26">
        <v>9</v>
      </c>
      <c r="V1045" s="26">
        <v>1</v>
      </c>
      <c r="W1045" s="26"/>
    </row>
    <row r="1046" spans="1:23" x14ac:dyDescent="0.25">
      <c r="A1046" s="26" t="str">
        <f t="shared" si="164"/>
        <v>PREESCOLAR</v>
      </c>
      <c r="B1046" s="26" t="str">
        <f>"09DJN1380D"</f>
        <v>09DJN1380D</v>
      </c>
      <c r="C1046" s="26" t="str">
        <f>"CALNAHUAC                                                                                           "</f>
        <v xml:space="preserve">CALNAHUAC                                                                                           </v>
      </c>
      <c r="D1046" s="26" t="str">
        <f t="shared" si="172"/>
        <v>VESPERTINO</v>
      </c>
      <c r="E1046" s="26" t="str">
        <f>"COLIMA 118                                                                      "</f>
        <v xml:space="preserve">COLIMA 118                                                                      </v>
      </c>
      <c r="F1046" s="26" t="str">
        <f>"SAN MATEO BARRIO                                                                                                                            "</f>
        <v xml:space="preserve">SAN MATEO BARRIO                                                                                                                            </v>
      </c>
      <c r="G1046" s="26" t="str">
        <f>"MILPA ALTA                                                                      "</f>
        <v xml:space="preserve">MILPA ALTA                                                                      </v>
      </c>
      <c r="H1046" s="26" t="str">
        <f>"281"</f>
        <v>281</v>
      </c>
      <c r="I1046" s="26" t="str">
        <f t="shared" si="165"/>
        <v>00</v>
      </c>
      <c r="J1046" s="26" t="str">
        <f t="shared" si="171"/>
        <v xml:space="preserve">35 </v>
      </c>
      <c r="K1046" s="26" t="str">
        <f t="shared" si="169"/>
        <v>EP</v>
      </c>
      <c r="L1046" s="26" t="str">
        <f t="shared" si="170"/>
        <v>DGOSE</v>
      </c>
      <c r="M1046" s="26" t="str">
        <f t="shared" si="166"/>
        <v>FEDERAL</v>
      </c>
      <c r="N1046" s="26">
        <v>103</v>
      </c>
      <c r="O1046" s="26">
        <v>58</v>
      </c>
      <c r="P1046" s="26">
        <v>45</v>
      </c>
      <c r="Q1046" s="26">
        <v>3</v>
      </c>
      <c r="R1046" s="26">
        <v>1</v>
      </c>
      <c r="S1046" s="26">
        <v>3</v>
      </c>
      <c r="T1046" s="26">
        <v>2</v>
      </c>
      <c r="U1046" s="26">
        <v>6</v>
      </c>
      <c r="V1046" s="26">
        <v>1</v>
      </c>
      <c r="W1046" s="26"/>
    </row>
    <row r="1047" spans="1:23" x14ac:dyDescent="0.25">
      <c r="A1047" s="26" t="str">
        <f t="shared" si="164"/>
        <v>PREESCOLAR</v>
      </c>
      <c r="B1047" s="26" t="str">
        <f>"09DJN1381C"</f>
        <v>09DJN1381C</v>
      </c>
      <c r="C1047" s="26" t="str">
        <f>"MA. CRISTINA TOVAR MENA                                                                             "</f>
        <v xml:space="preserve">MA. CRISTINA TOVAR MENA                                                                             </v>
      </c>
      <c r="D1047" s="26" t="str">
        <f t="shared" si="172"/>
        <v>VESPERTINO</v>
      </c>
      <c r="E1047" s="26" t="str">
        <f>"BARRANCA SECA S/N                                                               "</f>
        <v xml:space="preserve">BARRANCA SECA S/N                                                               </v>
      </c>
      <c r="F1047" s="26" t="str">
        <f>"SAN ANTONIO TECOMITL                                                                                                                        "</f>
        <v xml:space="preserve">SAN ANTONIO TECOMITL                                                                                                                        </v>
      </c>
      <c r="G1047" s="26" t="str">
        <f>"MILPA ALTA                                                                      "</f>
        <v xml:space="preserve">MILPA ALTA                                                                      </v>
      </c>
      <c r="H1047" s="26" t="str">
        <f>"141"</f>
        <v>141</v>
      </c>
      <c r="I1047" s="26" t="str">
        <f t="shared" si="165"/>
        <v>00</v>
      </c>
      <c r="J1047" s="26" t="str">
        <f t="shared" si="171"/>
        <v xml:space="preserve">35 </v>
      </c>
      <c r="K1047" s="26" t="str">
        <f t="shared" si="169"/>
        <v>EP</v>
      </c>
      <c r="L1047" s="26" t="str">
        <f t="shared" si="170"/>
        <v>DGOSE</v>
      </c>
      <c r="M1047" s="26" t="str">
        <f t="shared" si="166"/>
        <v>FEDERAL</v>
      </c>
      <c r="N1047" s="26">
        <v>186</v>
      </c>
      <c r="O1047" s="26">
        <v>91</v>
      </c>
      <c r="P1047" s="26">
        <v>95</v>
      </c>
      <c r="Q1047" s="26">
        <v>6</v>
      </c>
      <c r="R1047" s="26">
        <v>1</v>
      </c>
      <c r="S1047" s="26">
        <v>6</v>
      </c>
      <c r="T1047" s="26">
        <v>5</v>
      </c>
      <c r="U1047" s="26">
        <v>12</v>
      </c>
      <c r="V1047" s="26">
        <v>1</v>
      </c>
      <c r="W1047" s="26"/>
    </row>
    <row r="1048" spans="1:23" x14ac:dyDescent="0.25">
      <c r="A1048" s="26" t="str">
        <f t="shared" si="164"/>
        <v>PREESCOLAR</v>
      </c>
      <c r="B1048" s="26" t="str">
        <f>"09DJN1382B"</f>
        <v>09DJN1382B</v>
      </c>
      <c r="C1048" s="26" t="str">
        <f>"YOACALLI                                                                                            "</f>
        <v xml:space="preserve">YOACALLI                                                                                            </v>
      </c>
      <c r="D1048" s="26" t="str">
        <f t="shared" si="172"/>
        <v>VESPERTINO</v>
      </c>
      <c r="E1048" s="26" t="str">
        <f>"MAR DE LOS VAPORES Y CRATER KEPLER                                              "</f>
        <v xml:space="preserve">MAR DE LOS VAPORES Y CRATER KEPLER                                              </v>
      </c>
      <c r="F1048" s="26" t="str">
        <f>"SELENE AMPLIACION                                                                                                                           "</f>
        <v xml:space="preserve">SELENE AMPLIACION                                                                                                                           </v>
      </c>
      <c r="G1048" s="26" t="str">
        <f>"TLAHUAC                                                                         "</f>
        <v xml:space="preserve">TLAHUAC                                                                         </v>
      </c>
      <c r="H1048" s="26" t="str">
        <f>"223"</f>
        <v>223</v>
      </c>
      <c r="I1048" s="26" t="str">
        <f t="shared" si="165"/>
        <v>00</v>
      </c>
      <c r="J1048" s="26" t="str">
        <f t="shared" si="171"/>
        <v xml:space="preserve">35 </v>
      </c>
      <c r="K1048" s="26" t="str">
        <f t="shared" si="169"/>
        <v>EP</v>
      </c>
      <c r="L1048" s="26" t="str">
        <f t="shared" si="170"/>
        <v>DGOSE</v>
      </c>
      <c r="M1048" s="26" t="str">
        <f t="shared" si="166"/>
        <v>FEDERAL</v>
      </c>
      <c r="N1048" s="26">
        <v>135</v>
      </c>
      <c r="O1048" s="26">
        <v>69</v>
      </c>
      <c r="P1048" s="26">
        <v>66</v>
      </c>
      <c r="Q1048" s="26">
        <v>5</v>
      </c>
      <c r="R1048" s="26">
        <v>0</v>
      </c>
      <c r="S1048" s="26">
        <v>5</v>
      </c>
      <c r="T1048" s="26">
        <v>5</v>
      </c>
      <c r="U1048" s="26">
        <v>10</v>
      </c>
      <c r="V1048" s="26">
        <v>1</v>
      </c>
      <c r="W1048" s="26"/>
    </row>
    <row r="1049" spans="1:23" x14ac:dyDescent="0.25">
      <c r="A1049" s="26" t="str">
        <f t="shared" si="164"/>
        <v>PREESCOLAR</v>
      </c>
      <c r="B1049" s="26" t="str">
        <f>"09DJN1383A"</f>
        <v>09DJN1383A</v>
      </c>
      <c r="C1049" s="26" t="str">
        <f>"CHANTICO                                                                                            "</f>
        <v xml:space="preserve">CHANTICO                                                                                            </v>
      </c>
      <c r="D1049" s="26" t="str">
        <f t="shared" si="172"/>
        <v>VESPERTINO</v>
      </c>
      <c r="E1049" s="26" t="str">
        <f>"FF.CC. RAFAEL ATLIXCO S/N                                                       "</f>
        <v xml:space="preserve">FF.CC. RAFAEL ATLIXCO S/N                                                       </v>
      </c>
      <c r="F1049" s="26" t="str">
        <f>"SANTIAGO ZAPOTITLAN                                                                                                                         "</f>
        <v xml:space="preserve">SANTIAGO ZAPOTITLAN                                                                                                                         </v>
      </c>
      <c r="G1049" s="26" t="str">
        <f>"TLAHUAC                                                                         "</f>
        <v xml:space="preserve">TLAHUAC                                                                         </v>
      </c>
      <c r="H1049" s="26" t="str">
        <f>"065"</f>
        <v>065</v>
      </c>
      <c r="I1049" s="26" t="str">
        <f t="shared" si="165"/>
        <v>00</v>
      </c>
      <c r="J1049" s="26" t="str">
        <f t="shared" si="171"/>
        <v xml:space="preserve">35 </v>
      </c>
      <c r="K1049" s="26" t="str">
        <f t="shared" si="169"/>
        <v>EP</v>
      </c>
      <c r="L1049" s="26" t="str">
        <f t="shared" si="170"/>
        <v>DGOSE</v>
      </c>
      <c r="M1049" s="26" t="str">
        <f t="shared" si="166"/>
        <v>FEDERAL</v>
      </c>
      <c r="N1049" s="26">
        <v>289</v>
      </c>
      <c r="O1049" s="26">
        <v>149</v>
      </c>
      <c r="P1049" s="26">
        <v>140</v>
      </c>
      <c r="Q1049" s="26">
        <v>8</v>
      </c>
      <c r="R1049" s="26">
        <v>1</v>
      </c>
      <c r="S1049" s="26">
        <v>8</v>
      </c>
      <c r="T1049" s="26">
        <v>6</v>
      </c>
      <c r="U1049" s="26">
        <v>15</v>
      </c>
      <c r="V1049" s="26">
        <v>1</v>
      </c>
      <c r="W1049" s="26"/>
    </row>
    <row r="1050" spans="1:23" x14ac:dyDescent="0.25">
      <c r="A1050" s="26" t="str">
        <f t="shared" si="164"/>
        <v>PREESCOLAR</v>
      </c>
      <c r="B1050" s="26" t="str">
        <f>"09DJN1384Z"</f>
        <v>09DJN1384Z</v>
      </c>
      <c r="C1050" s="26" t="str">
        <f>"PROFR. ISAIAS MORONES ESCAMILLA                                                                     "</f>
        <v xml:space="preserve">PROFR. ISAIAS MORONES ESCAMILLA                                                                     </v>
      </c>
      <c r="D1050" s="26" t="str">
        <f t="shared" si="172"/>
        <v>VESPERTINO</v>
      </c>
      <c r="E1050" s="26" t="str">
        <f>"VICENTE GUERRERO S/N                                                            "</f>
        <v xml:space="preserve">VICENTE GUERRERO S/N                                                            </v>
      </c>
      <c r="F1050" s="26" t="str">
        <f>"SAN ANDRES AHUAYUCAN                                                                                                                        "</f>
        <v xml:space="preserve">SAN ANDRES AHUAYUCAN                                                                                                                        </v>
      </c>
      <c r="G1050" s="26" t="str">
        <f>"XOCHIMILCO                                                                      "</f>
        <v xml:space="preserve">XOCHIMILCO                                                                      </v>
      </c>
      <c r="H1050" s="26" t="str">
        <f>"081"</f>
        <v>081</v>
      </c>
      <c r="I1050" s="26" t="str">
        <f t="shared" si="165"/>
        <v>00</v>
      </c>
      <c r="J1050" s="26" t="str">
        <f t="shared" si="171"/>
        <v xml:space="preserve">35 </v>
      </c>
      <c r="K1050" s="26" t="str">
        <f t="shared" si="169"/>
        <v>EP</v>
      </c>
      <c r="L1050" s="26" t="str">
        <f t="shared" si="170"/>
        <v>DGOSE</v>
      </c>
      <c r="M1050" s="26" t="str">
        <f t="shared" si="166"/>
        <v>FEDERAL</v>
      </c>
      <c r="N1050" s="26">
        <v>118</v>
      </c>
      <c r="O1050" s="26">
        <v>58</v>
      </c>
      <c r="P1050" s="26">
        <v>60</v>
      </c>
      <c r="Q1050" s="26">
        <v>4</v>
      </c>
      <c r="R1050" s="26">
        <v>1</v>
      </c>
      <c r="S1050" s="26">
        <v>4</v>
      </c>
      <c r="T1050" s="26">
        <v>3</v>
      </c>
      <c r="U1050" s="26">
        <v>8</v>
      </c>
      <c r="V1050" s="26">
        <v>1</v>
      </c>
      <c r="W1050" s="26"/>
    </row>
    <row r="1051" spans="1:23" x14ac:dyDescent="0.25">
      <c r="A1051" s="26" t="str">
        <f t="shared" si="164"/>
        <v>PREESCOLAR</v>
      </c>
      <c r="B1051" s="26" t="str">
        <f>"09DJN1385Z"</f>
        <v>09DJN1385Z</v>
      </c>
      <c r="C1051" s="26" t="str">
        <f>"JOSE PABLO MONCAYO                                                                                  "</f>
        <v xml:space="preserve">JOSE PABLO MONCAYO                                                                                  </v>
      </c>
      <c r="D1051" s="26" t="str">
        <f>"JORNADA AMPLIADA"</f>
        <v>JORNADA AMPLIADA</v>
      </c>
      <c r="E1051" s="26" t="str">
        <f>"JOSE LOPEZ PORTILLO NO. 37 CERRILLOS 1A.                                        "</f>
        <v xml:space="preserve">JOSE LOPEZ PORTILLO NO. 37 CERRILLOS 1A.                                        </v>
      </c>
      <c r="F1051" s="26" t="str">
        <f>"SANTIAGO TULYEHUALCO                                                                                                                        "</f>
        <v xml:space="preserve">SANTIAGO TULYEHUALCO                                                                                                                        </v>
      </c>
      <c r="G1051" s="26" t="str">
        <f>"XOCHIMILCO                                                                      "</f>
        <v xml:space="preserve">XOCHIMILCO                                                                      </v>
      </c>
      <c r="H1051" s="26" t="str">
        <f>"158"</f>
        <v>158</v>
      </c>
      <c r="I1051" s="26" t="str">
        <f t="shared" si="165"/>
        <v>00</v>
      </c>
      <c r="J1051" s="26" t="str">
        <f>"34 "</f>
        <v xml:space="preserve">34 </v>
      </c>
      <c r="K1051" s="26" t="str">
        <f t="shared" si="169"/>
        <v>EP</v>
      </c>
      <c r="L1051" s="26" t="str">
        <f t="shared" si="170"/>
        <v>DGOSE</v>
      </c>
      <c r="M1051" s="26" t="str">
        <f t="shared" si="166"/>
        <v>FEDERAL</v>
      </c>
      <c r="N1051" s="26">
        <v>138</v>
      </c>
      <c r="O1051" s="26">
        <v>63</v>
      </c>
      <c r="P1051" s="26">
        <v>75</v>
      </c>
      <c r="Q1051" s="26">
        <v>4</v>
      </c>
      <c r="R1051" s="26">
        <v>1</v>
      </c>
      <c r="S1051" s="26">
        <v>4</v>
      </c>
      <c r="T1051" s="26">
        <v>5</v>
      </c>
      <c r="U1051" s="26">
        <v>10</v>
      </c>
      <c r="V1051" s="26">
        <v>1</v>
      </c>
      <c r="W1051" s="26" t="s">
        <v>2076</v>
      </c>
    </row>
    <row r="1052" spans="1:23" x14ac:dyDescent="0.25">
      <c r="A1052" s="26" t="str">
        <f t="shared" si="164"/>
        <v>PREESCOLAR</v>
      </c>
      <c r="B1052" s="26" t="str">
        <f>"09DJN1396E"</f>
        <v>09DJN1396E</v>
      </c>
      <c r="C1052" s="26" t="str">
        <f>"COCONALLI                                                                                           "</f>
        <v xml:space="preserve">COCONALLI                                                                                           </v>
      </c>
      <c r="D1052" s="26" t="str">
        <f>"VESPERTINO"</f>
        <v>VESPERTINO</v>
      </c>
      <c r="E1052" s="26" t="str">
        <f>"PINO SUR S/N                                                                    "</f>
        <v xml:space="preserve">PINO SUR S/N                                                                    </v>
      </c>
      <c r="F1052" s="26" t="str">
        <f>"SAN MATEO XALPA                                                                                                                             "</f>
        <v xml:space="preserve">SAN MATEO XALPA                                                                                                                             </v>
      </c>
      <c r="G1052" s="26" t="str">
        <f>"XOCHIMILCO                                                                      "</f>
        <v xml:space="preserve">XOCHIMILCO                                                                      </v>
      </c>
      <c r="H1052" s="26" t="str">
        <f>"081"</f>
        <v>081</v>
      </c>
      <c r="I1052" s="26" t="str">
        <f t="shared" si="165"/>
        <v>00</v>
      </c>
      <c r="J1052" s="26" t="str">
        <f>"35 "</f>
        <v xml:space="preserve">35 </v>
      </c>
      <c r="K1052" s="26" t="str">
        <f t="shared" si="169"/>
        <v>EP</v>
      </c>
      <c r="L1052" s="26" t="str">
        <f t="shared" si="170"/>
        <v>DGOSE</v>
      </c>
      <c r="M1052" s="26" t="str">
        <f t="shared" si="166"/>
        <v>FEDERAL</v>
      </c>
      <c r="N1052" s="26">
        <v>148</v>
      </c>
      <c r="O1052" s="26">
        <v>82</v>
      </c>
      <c r="P1052" s="26">
        <v>66</v>
      </c>
      <c r="Q1052" s="26">
        <v>5</v>
      </c>
      <c r="R1052" s="26">
        <v>0</v>
      </c>
      <c r="S1052" s="26">
        <v>5</v>
      </c>
      <c r="T1052" s="26">
        <v>3</v>
      </c>
      <c r="U1052" s="26">
        <v>8</v>
      </c>
      <c r="V1052" s="26">
        <v>1</v>
      </c>
      <c r="W1052" s="26"/>
    </row>
    <row r="1053" spans="1:23" x14ac:dyDescent="0.25">
      <c r="A1053" s="26" t="str">
        <f t="shared" si="164"/>
        <v>PREESCOLAR</v>
      </c>
      <c r="B1053" s="26" t="str">
        <f>"09DJN1397D"</f>
        <v>09DJN1397D</v>
      </c>
      <c r="C1053" s="26" t="str">
        <f>"YAXCHE                                                                                              "</f>
        <v xml:space="preserve">YAXCHE                                                                                              </v>
      </c>
      <c r="D1053" s="26" t="str">
        <f>"VESPERTINO"</f>
        <v>VESPERTINO</v>
      </c>
      <c r="E1053" s="26" t="str">
        <f>"GITANA ESQ. MORELOS                                                             "</f>
        <v xml:space="preserve">GITANA ESQ. MORELOS                                                             </v>
      </c>
      <c r="F1053" s="26" t="str">
        <f>"LA NOPALERA                                                                                                                                 "</f>
        <v xml:space="preserve">LA NOPALERA                                                                                                                                 </v>
      </c>
      <c r="G1053" s="26" t="str">
        <f>"TLAHUAC                                                                         "</f>
        <v xml:space="preserve">TLAHUAC                                                                         </v>
      </c>
      <c r="H1053" s="26" t="str">
        <f>"124"</f>
        <v>124</v>
      </c>
      <c r="I1053" s="26" t="str">
        <f t="shared" si="165"/>
        <v>00</v>
      </c>
      <c r="J1053" s="26" t="str">
        <f>"35 "</f>
        <v xml:space="preserve">35 </v>
      </c>
      <c r="K1053" s="26" t="str">
        <f t="shared" si="169"/>
        <v>EP</v>
      </c>
      <c r="L1053" s="26" t="str">
        <f t="shared" si="170"/>
        <v>DGOSE</v>
      </c>
      <c r="M1053" s="26" t="str">
        <f t="shared" si="166"/>
        <v>FEDERAL</v>
      </c>
      <c r="N1053" s="26">
        <v>128</v>
      </c>
      <c r="O1053" s="26">
        <v>74</v>
      </c>
      <c r="P1053" s="26">
        <v>54</v>
      </c>
      <c r="Q1053" s="26">
        <v>5</v>
      </c>
      <c r="R1053" s="26">
        <v>1</v>
      </c>
      <c r="S1053" s="26">
        <v>5</v>
      </c>
      <c r="T1053" s="26">
        <v>3</v>
      </c>
      <c r="U1053" s="26">
        <v>9</v>
      </c>
      <c r="V1053" s="26">
        <v>1</v>
      </c>
      <c r="W1053" s="26"/>
    </row>
    <row r="1054" spans="1:23" x14ac:dyDescent="0.25">
      <c r="A1054" s="26" t="str">
        <f t="shared" si="164"/>
        <v>PREESCOLAR</v>
      </c>
      <c r="B1054" s="26" t="str">
        <f>"09DJN1399B"</f>
        <v>09DJN1399B</v>
      </c>
      <c r="C1054" s="26" t="str">
        <f>"TATOKKE                                                                                             "</f>
        <v xml:space="preserve">TATOKKE                                                                                             </v>
      </c>
      <c r="D1054" s="26" t="str">
        <f>"JORNADA AMPLIADA"</f>
        <v>JORNADA AMPLIADA</v>
      </c>
      <c r="E1054" s="26" t="str">
        <f>"3A. CDA. BUENA SUERTE NO. 228                                                   "</f>
        <v xml:space="preserve">3A. CDA. BUENA SUERTE NO. 228                                                   </v>
      </c>
      <c r="F1054" s="26" t="str">
        <f>"LOS OLIVOS                                                                                                                                  "</f>
        <v xml:space="preserve">LOS OLIVOS                                                                                                                                  </v>
      </c>
      <c r="G1054" s="26" t="str">
        <f>"TLAHUAC                                                                         "</f>
        <v xml:space="preserve">TLAHUAC                                                                         </v>
      </c>
      <c r="H1054" s="26" t="str">
        <f>"243"</f>
        <v>243</v>
      </c>
      <c r="I1054" s="26" t="str">
        <f t="shared" si="165"/>
        <v>00</v>
      </c>
      <c r="J1054" s="26" t="str">
        <f>"34 "</f>
        <v xml:space="preserve">34 </v>
      </c>
      <c r="K1054" s="26" t="str">
        <f t="shared" si="169"/>
        <v>EP</v>
      </c>
      <c r="L1054" s="26" t="str">
        <f t="shared" si="170"/>
        <v>DGOSE</v>
      </c>
      <c r="M1054" s="26" t="str">
        <f t="shared" si="166"/>
        <v>FEDERAL</v>
      </c>
      <c r="N1054" s="26">
        <v>99</v>
      </c>
      <c r="O1054" s="26">
        <v>58</v>
      </c>
      <c r="P1054" s="26">
        <v>41</v>
      </c>
      <c r="Q1054" s="26">
        <v>4</v>
      </c>
      <c r="R1054" s="26">
        <v>1</v>
      </c>
      <c r="S1054" s="26">
        <v>4</v>
      </c>
      <c r="T1054" s="26">
        <v>5</v>
      </c>
      <c r="U1054" s="26">
        <v>10</v>
      </c>
      <c r="V1054" s="26">
        <v>1</v>
      </c>
      <c r="W1054" s="26" t="s">
        <v>2076</v>
      </c>
    </row>
    <row r="1055" spans="1:23" x14ac:dyDescent="0.25">
      <c r="A1055" s="26" t="str">
        <f t="shared" si="164"/>
        <v>PREESCOLAR</v>
      </c>
      <c r="B1055" s="26" t="str">
        <f>"09DJN1400A"</f>
        <v>09DJN1400A</v>
      </c>
      <c r="C1055" s="26" t="str">
        <f>"SOR JUANA INES DE LA CRUZ                                                                           "</f>
        <v xml:space="preserve">SOR JUANA INES DE LA CRUZ                                                                           </v>
      </c>
      <c r="D1055" s="26" t="str">
        <f>"MATUTINO"</f>
        <v>MATUTINO</v>
      </c>
      <c r="E1055" s="26" t="str">
        <f>"GUILLERMO PRIETO S/N                                                            "</f>
        <v xml:space="preserve">GUILLERMO PRIETO S/N                                                            </v>
      </c>
      <c r="F1055" s="26" t="str">
        <f>"MIGUEL HIDALGO                                                                                                                              "</f>
        <v xml:space="preserve">MIGUEL HIDALGO                                                                                                                              </v>
      </c>
      <c r="G1055" s="26" t="str">
        <f>"TLAHUAC                                                                         "</f>
        <v xml:space="preserve">TLAHUAC                                                                         </v>
      </c>
      <c r="H1055" s="26" t="str">
        <f>"124"</f>
        <v>124</v>
      </c>
      <c r="I1055" s="26" t="str">
        <f t="shared" si="165"/>
        <v>00</v>
      </c>
      <c r="J1055" s="26" t="str">
        <f>"35 "</f>
        <v xml:space="preserve">35 </v>
      </c>
      <c r="K1055" s="26" t="str">
        <f t="shared" si="169"/>
        <v>EP</v>
      </c>
      <c r="L1055" s="26" t="str">
        <f t="shared" si="170"/>
        <v>DGOSE</v>
      </c>
      <c r="M1055" s="26" t="str">
        <f t="shared" si="166"/>
        <v>FEDERAL</v>
      </c>
      <c r="N1055" s="26">
        <v>275</v>
      </c>
      <c r="O1055" s="26">
        <v>153</v>
      </c>
      <c r="P1055" s="26">
        <v>122</v>
      </c>
      <c r="Q1055" s="26">
        <v>7</v>
      </c>
      <c r="R1055" s="26">
        <v>1</v>
      </c>
      <c r="S1055" s="26">
        <v>7</v>
      </c>
      <c r="T1055" s="26">
        <v>5</v>
      </c>
      <c r="U1055" s="26">
        <v>13</v>
      </c>
      <c r="V1055" s="26">
        <v>1</v>
      </c>
      <c r="W1055" s="26"/>
    </row>
    <row r="1056" spans="1:23" x14ac:dyDescent="0.25">
      <c r="A1056" s="26" t="str">
        <f t="shared" si="164"/>
        <v>PREESCOLAR</v>
      </c>
      <c r="B1056" s="26" t="str">
        <f>"09DJN1401Z"</f>
        <v>09DJN1401Z</v>
      </c>
      <c r="C1056" s="26" t="str">
        <f>"CITLALI                                                                                             "</f>
        <v xml:space="preserve">CITLALI                                                                                             </v>
      </c>
      <c r="D1056" s="26" t="str">
        <f>"VESPERTINO"</f>
        <v>VESPERTINO</v>
      </c>
      <c r="E1056" s="26" t="str">
        <f>"5 DE MAYO Y ZARAGOZA NO. 12                                                     "</f>
        <v xml:space="preserve">5 DE MAYO Y ZARAGOZA NO. 12                                                     </v>
      </c>
      <c r="F1056" s="26" t="str">
        <f>"MAGDALENA PETLACALCO                                                                                                                        "</f>
        <v xml:space="preserve">MAGDALENA PETLACALCO                                                                                                                        </v>
      </c>
      <c r="G1056" s="26" t="str">
        <f>"TLALPAN                                                                         "</f>
        <v xml:space="preserve">TLALPAN                                                                         </v>
      </c>
      <c r="H1056" s="26" t="str">
        <f>"226"</f>
        <v>226</v>
      </c>
      <c r="I1056" s="26" t="str">
        <f t="shared" si="165"/>
        <v>00</v>
      </c>
      <c r="J1056" s="26" t="str">
        <f>"35 "</f>
        <v xml:space="preserve">35 </v>
      </c>
      <c r="K1056" s="26" t="str">
        <f t="shared" si="169"/>
        <v>EP</v>
      </c>
      <c r="L1056" s="26" t="str">
        <f t="shared" si="170"/>
        <v>DGOSE</v>
      </c>
      <c r="M1056" s="26" t="str">
        <f t="shared" si="166"/>
        <v>FEDERAL</v>
      </c>
      <c r="N1056" s="26">
        <v>118</v>
      </c>
      <c r="O1056" s="26">
        <v>56</v>
      </c>
      <c r="P1056" s="26">
        <v>62</v>
      </c>
      <c r="Q1056" s="26">
        <v>4</v>
      </c>
      <c r="R1056" s="26">
        <v>1</v>
      </c>
      <c r="S1056" s="26">
        <v>4</v>
      </c>
      <c r="T1056" s="26">
        <v>4</v>
      </c>
      <c r="U1056" s="26">
        <v>9</v>
      </c>
      <c r="V1056" s="26">
        <v>1</v>
      </c>
      <c r="W1056" s="26"/>
    </row>
    <row r="1057" spans="1:23" x14ac:dyDescent="0.25">
      <c r="A1057" s="26" t="str">
        <f t="shared" si="164"/>
        <v>PREESCOLAR</v>
      </c>
      <c r="B1057" s="26" t="str">
        <f>"09DJN1402Z"</f>
        <v>09DJN1402Z</v>
      </c>
      <c r="C1057" s="26" t="str">
        <f>"ALEJANDRO FLEMING                                                                                   "</f>
        <v xml:space="preserve">ALEJANDRO FLEMING                                                                                   </v>
      </c>
      <c r="D1057" s="26" t="str">
        <f>"VESPERTINO"</f>
        <v>VESPERTINO</v>
      </c>
      <c r="E1057" s="26" t="str">
        <f>"PLAN DE AYALA S/N                                                               "</f>
        <v xml:space="preserve">PLAN DE AYALA S/N                                                               </v>
      </c>
      <c r="F1057" s="26" t="str">
        <f>"TLALPEXCO                                                                                                                                   "</f>
        <v xml:space="preserve">TLALPEXCO                                                                                                                                   </v>
      </c>
      <c r="G1057" s="26" t="str">
        <f>"GUSTAVO A. MADERO                                                               "</f>
        <v xml:space="preserve">GUSTAVO A. MADERO                                                               </v>
      </c>
      <c r="H1057" s="26" t="str">
        <f>"154"</f>
        <v>154</v>
      </c>
      <c r="I1057" s="26" t="str">
        <f t="shared" si="165"/>
        <v>00</v>
      </c>
      <c r="J1057" s="26" t="str">
        <f>"32 "</f>
        <v xml:space="preserve">32 </v>
      </c>
      <c r="K1057" s="26" t="str">
        <f t="shared" si="169"/>
        <v>EP</v>
      </c>
      <c r="L1057" s="26" t="str">
        <f t="shared" si="170"/>
        <v>DGOSE</v>
      </c>
      <c r="M1057" s="26" t="str">
        <f t="shared" si="166"/>
        <v>FEDERAL</v>
      </c>
      <c r="N1057" s="26">
        <v>134</v>
      </c>
      <c r="O1057" s="26">
        <v>64</v>
      </c>
      <c r="P1057" s="26">
        <v>70</v>
      </c>
      <c r="Q1057" s="26">
        <v>4</v>
      </c>
      <c r="R1057" s="26">
        <v>1</v>
      </c>
      <c r="S1057" s="26">
        <v>4</v>
      </c>
      <c r="T1057" s="26">
        <v>2</v>
      </c>
      <c r="U1057" s="26">
        <v>7</v>
      </c>
      <c r="V1057" s="26">
        <v>1</v>
      </c>
      <c r="W1057" s="26"/>
    </row>
    <row r="1058" spans="1:23" x14ac:dyDescent="0.25">
      <c r="A1058" s="26" t="str">
        <f t="shared" si="164"/>
        <v>PREESCOLAR</v>
      </c>
      <c r="B1058" s="26" t="str">
        <f>"09DJN1403Y"</f>
        <v>09DJN1403Y</v>
      </c>
      <c r="C1058" s="26" t="str">
        <f>"ELENA GARRO                                                                                         "</f>
        <v xml:space="preserve">ELENA GARRO                                                                                         </v>
      </c>
      <c r="D1058" s="26" t="str">
        <f>"JORNADA AMPLIADA"</f>
        <v>JORNADA AMPLIADA</v>
      </c>
      <c r="E1058" s="26" t="str">
        <f>"LA HERRADURA S/N                                                                "</f>
        <v xml:space="preserve">LA HERRADURA S/N                                                                </v>
      </c>
      <c r="F1058" s="26" t="str">
        <f>"SANTIAGO TULYEHUALCO                                                                                                                        "</f>
        <v xml:space="preserve">SANTIAGO TULYEHUALCO                                                                                                                        </v>
      </c>
      <c r="G1058" s="26" t="str">
        <f>"XOCHIMILCO                                                                      "</f>
        <v xml:space="preserve">XOCHIMILCO                                                                      </v>
      </c>
      <c r="H1058" s="26" t="str">
        <f>"158"</f>
        <v>158</v>
      </c>
      <c r="I1058" s="26" t="str">
        <f t="shared" si="165"/>
        <v>00</v>
      </c>
      <c r="J1058" s="26" t="str">
        <f>"34 "</f>
        <v xml:space="preserve">34 </v>
      </c>
      <c r="K1058" s="26" t="str">
        <f t="shared" si="169"/>
        <v>EP</v>
      </c>
      <c r="L1058" s="26" t="str">
        <f t="shared" si="170"/>
        <v>DGOSE</v>
      </c>
      <c r="M1058" s="26" t="str">
        <f t="shared" si="166"/>
        <v>FEDERAL</v>
      </c>
      <c r="N1058" s="26">
        <v>198</v>
      </c>
      <c r="O1058" s="26">
        <v>90</v>
      </c>
      <c r="P1058" s="26">
        <v>108</v>
      </c>
      <c r="Q1058" s="26">
        <v>6</v>
      </c>
      <c r="R1058" s="26">
        <v>1</v>
      </c>
      <c r="S1058" s="26">
        <v>5</v>
      </c>
      <c r="T1058" s="26">
        <v>6</v>
      </c>
      <c r="U1058" s="26">
        <v>12</v>
      </c>
      <c r="V1058" s="26">
        <v>1</v>
      </c>
      <c r="W1058" s="26" t="s">
        <v>2076</v>
      </c>
    </row>
    <row r="1059" spans="1:23" x14ac:dyDescent="0.25">
      <c r="A1059" s="26" t="str">
        <f t="shared" si="164"/>
        <v>PREESCOLAR</v>
      </c>
      <c r="B1059" s="26" t="str">
        <f>"09DJN1404X"</f>
        <v>09DJN1404X</v>
      </c>
      <c r="C1059" s="26" t="str">
        <f>"MEXICATZIN                                                                                          "</f>
        <v xml:space="preserve">MEXICATZIN                                                                                          </v>
      </c>
      <c r="D1059" s="26" t="str">
        <f>"JORNADA AMPLIADA"</f>
        <v>JORNADA AMPLIADA</v>
      </c>
      <c r="E1059" s="26" t="str">
        <f>"AV. SAN ISIDRO ALTO LERMA NO. 24 MZA. 14                                        "</f>
        <v xml:space="preserve">AV. SAN ISIDRO ALTO LERMA NO. 24 MZA. 14                                        </v>
      </c>
      <c r="F1059" s="26" t="str">
        <f>"CORPUS CHRISTI                                                                                                                              "</f>
        <v xml:space="preserve">CORPUS CHRISTI                                                                                                                              </v>
      </c>
      <c r="G1059" s="26" t="str">
        <f>"ALVARO OBREGON                                                                  "</f>
        <v xml:space="preserve">ALVARO OBREGON                                                                  </v>
      </c>
      <c r="H1059" s="26" t="str">
        <f>"174"</f>
        <v>174</v>
      </c>
      <c r="I1059" s="26" t="str">
        <f t="shared" si="165"/>
        <v>00</v>
      </c>
      <c r="J1059" s="26" t="str">
        <f>"34 "</f>
        <v xml:space="preserve">34 </v>
      </c>
      <c r="K1059" s="26" t="str">
        <f t="shared" si="169"/>
        <v>EP</v>
      </c>
      <c r="L1059" s="26" t="str">
        <f t="shared" si="170"/>
        <v>DGOSE</v>
      </c>
      <c r="M1059" s="26" t="str">
        <f t="shared" si="166"/>
        <v>FEDERAL</v>
      </c>
      <c r="N1059" s="26">
        <v>130</v>
      </c>
      <c r="O1059" s="26">
        <v>66</v>
      </c>
      <c r="P1059" s="26">
        <v>64</v>
      </c>
      <c r="Q1059" s="26">
        <v>4</v>
      </c>
      <c r="R1059" s="26">
        <v>1</v>
      </c>
      <c r="S1059" s="26">
        <v>4</v>
      </c>
      <c r="T1059" s="26">
        <v>4</v>
      </c>
      <c r="U1059" s="26">
        <v>9</v>
      </c>
      <c r="V1059" s="26">
        <v>1</v>
      </c>
      <c r="W1059" s="26" t="s">
        <v>2076</v>
      </c>
    </row>
    <row r="1060" spans="1:23" x14ac:dyDescent="0.25">
      <c r="A1060" s="26" t="str">
        <f t="shared" si="164"/>
        <v>PREESCOLAR</v>
      </c>
      <c r="B1060" s="26" t="str">
        <f>"09DJN1405W"</f>
        <v>09DJN1405W</v>
      </c>
      <c r="C1060" s="26" t="str">
        <f>"OCTAVIO PAZ                                                                                         "</f>
        <v xml:space="preserve">OCTAVIO PAZ                                                                                         </v>
      </c>
      <c r="D1060" s="26" t="str">
        <f>"JORNADA AMPLIADA"</f>
        <v>JORNADA AMPLIADA</v>
      </c>
      <c r="E1060" s="26" t="str">
        <f>"CALLE PERA ESQ. ANDADOR TEPOZAN                                                 "</f>
        <v xml:space="preserve">CALLE PERA ESQ. ANDADOR TEPOZAN                                                 </v>
      </c>
      <c r="F1060" s="26" t="str">
        <f>"LA CARBONERA                                                                                                                                "</f>
        <v xml:space="preserve">LA CARBONERA                                                                                                                                </v>
      </c>
      <c r="G1060" s="26" t="str">
        <f>"LA MAGDALENA CONTRERAS                                                          "</f>
        <v xml:space="preserve">LA MAGDALENA CONTRERAS                                                          </v>
      </c>
      <c r="H1060" s="26" t="str">
        <f>"079"</f>
        <v>079</v>
      </c>
      <c r="I1060" s="26" t="str">
        <f t="shared" si="165"/>
        <v>00</v>
      </c>
      <c r="J1060" s="26" t="str">
        <f>"34 "</f>
        <v xml:space="preserve">34 </v>
      </c>
      <c r="K1060" s="26" t="str">
        <f t="shared" si="169"/>
        <v>EP</v>
      </c>
      <c r="L1060" s="26" t="str">
        <f t="shared" si="170"/>
        <v>DGOSE</v>
      </c>
      <c r="M1060" s="26" t="str">
        <f t="shared" si="166"/>
        <v>FEDERAL</v>
      </c>
      <c r="N1060" s="26">
        <v>170</v>
      </c>
      <c r="O1060" s="26">
        <v>84</v>
      </c>
      <c r="P1060" s="26">
        <v>86</v>
      </c>
      <c r="Q1060" s="26">
        <v>5</v>
      </c>
      <c r="R1060" s="26">
        <v>1</v>
      </c>
      <c r="S1060" s="26">
        <v>5</v>
      </c>
      <c r="T1060" s="26">
        <v>4</v>
      </c>
      <c r="U1060" s="26">
        <v>10</v>
      </c>
      <c r="V1060" s="26">
        <v>1</v>
      </c>
      <c r="W1060" s="26" t="s">
        <v>2076</v>
      </c>
    </row>
    <row r="1061" spans="1:23" x14ac:dyDescent="0.25">
      <c r="A1061" s="26" t="str">
        <f t="shared" si="164"/>
        <v>PREESCOLAR</v>
      </c>
      <c r="B1061" s="26" t="str">
        <f>"09DJN1406V"</f>
        <v>09DJN1406V</v>
      </c>
      <c r="C1061" s="26" t="str">
        <f>"PALMATITLA                                                                                          "</f>
        <v xml:space="preserve">PALMATITLA                                                                                          </v>
      </c>
      <c r="D1061" s="26" t="str">
        <f>"VESPERTINO"</f>
        <v>VESPERTINO</v>
      </c>
      <c r="E1061" s="26" t="str">
        <f>"ESCUELA SECUNDARIA 160 S/N                                                      "</f>
        <v xml:space="preserve">ESCUELA SECUNDARIA 160 S/N                                                      </v>
      </c>
      <c r="F1061" s="26" t="str">
        <f>"VALLE MADERO                                                                                                                                "</f>
        <v xml:space="preserve">VALLE MADERO                                                                                                                                </v>
      </c>
      <c r="G1061" s="26" t="str">
        <f>"GUSTAVO A. MADERO                                                               "</f>
        <v xml:space="preserve">GUSTAVO A. MADERO                                                               </v>
      </c>
      <c r="H1061" s="26" t="str">
        <f>"117"</f>
        <v>117</v>
      </c>
      <c r="I1061" s="26" t="str">
        <f t="shared" si="165"/>
        <v>00</v>
      </c>
      <c r="J1061" s="26" t="str">
        <f>"32 "</f>
        <v xml:space="preserve">32 </v>
      </c>
      <c r="K1061" s="26" t="str">
        <f t="shared" si="169"/>
        <v>EP</v>
      </c>
      <c r="L1061" s="26" t="str">
        <f t="shared" si="170"/>
        <v>DGOSE</v>
      </c>
      <c r="M1061" s="26" t="str">
        <f t="shared" si="166"/>
        <v>FEDERAL</v>
      </c>
      <c r="N1061" s="26">
        <v>147</v>
      </c>
      <c r="O1061" s="26">
        <v>74</v>
      </c>
      <c r="P1061" s="26">
        <v>73</v>
      </c>
      <c r="Q1061" s="26">
        <v>5</v>
      </c>
      <c r="R1061" s="26">
        <v>1</v>
      </c>
      <c r="S1061" s="26">
        <v>5</v>
      </c>
      <c r="T1061" s="26">
        <v>6</v>
      </c>
      <c r="U1061" s="26">
        <v>12</v>
      </c>
      <c r="V1061" s="26">
        <v>1</v>
      </c>
      <c r="W1061" s="26"/>
    </row>
    <row r="1062" spans="1:23" x14ac:dyDescent="0.25">
      <c r="A1062" s="26" t="str">
        <f t="shared" si="164"/>
        <v>PREESCOLAR</v>
      </c>
      <c r="B1062" s="26" t="str">
        <f>"09DJN1407U"</f>
        <v>09DJN1407U</v>
      </c>
      <c r="C1062" s="26" t="str">
        <f>"ARBOLEDAS                                                                                           "</f>
        <v xml:space="preserve">ARBOLEDAS                                                                                           </v>
      </c>
      <c r="D1062" s="26" t="str">
        <f>"MATUTINO"</f>
        <v>MATUTINO</v>
      </c>
      <c r="E1062" s="26" t="str">
        <f>"SANTA CRUZ ESQ. ALTA TENSION                                                    "</f>
        <v xml:space="preserve">SANTA CRUZ ESQ. ALTA TENSION                                                    </v>
      </c>
      <c r="F1062" s="26" t="str">
        <f>"LAS ARBOLEDAS                                                                                                                               "</f>
        <v xml:space="preserve">LAS ARBOLEDAS                                                                                                                               </v>
      </c>
      <c r="G1062" s="26" t="str">
        <f>"TLAHUAC                                                                         "</f>
        <v xml:space="preserve">TLAHUAC                                                                         </v>
      </c>
      <c r="H1062" s="26" t="str">
        <f>"244"</f>
        <v>244</v>
      </c>
      <c r="I1062" s="26" t="str">
        <f t="shared" si="165"/>
        <v>00</v>
      </c>
      <c r="J1062" s="26" t="str">
        <f>"35 "</f>
        <v xml:space="preserve">35 </v>
      </c>
      <c r="K1062" s="26" t="str">
        <f t="shared" si="169"/>
        <v>EP</v>
      </c>
      <c r="L1062" s="26" t="str">
        <f t="shared" si="170"/>
        <v>DGOSE</v>
      </c>
      <c r="M1062" s="26" t="str">
        <f t="shared" si="166"/>
        <v>FEDERAL</v>
      </c>
      <c r="N1062" s="26">
        <v>227</v>
      </c>
      <c r="O1062" s="26">
        <v>123</v>
      </c>
      <c r="P1062" s="26">
        <v>104</v>
      </c>
      <c r="Q1062" s="26">
        <v>7</v>
      </c>
      <c r="R1062" s="26">
        <v>1</v>
      </c>
      <c r="S1062" s="26">
        <v>6</v>
      </c>
      <c r="T1062" s="26">
        <v>7</v>
      </c>
      <c r="U1062" s="26">
        <v>14</v>
      </c>
      <c r="V1062" s="26">
        <v>1</v>
      </c>
      <c r="W1062" s="26"/>
    </row>
    <row r="1063" spans="1:23" x14ac:dyDescent="0.25">
      <c r="A1063" s="26" t="str">
        <f t="shared" si="164"/>
        <v>PREESCOLAR</v>
      </c>
      <c r="B1063" s="26" t="str">
        <f>"09DJN1408T"</f>
        <v>09DJN1408T</v>
      </c>
      <c r="C1063" s="26" t="str">
        <f>"ARBOLEDAS                                                                                           "</f>
        <v xml:space="preserve">ARBOLEDAS                                                                                           </v>
      </c>
      <c r="D1063" s="26" t="str">
        <f>"VESPERTINO"</f>
        <v>VESPERTINO</v>
      </c>
      <c r="E1063" s="26" t="str">
        <f>"SANTA CRUZ ESQ. ALTA TENSION                                                    "</f>
        <v xml:space="preserve">SANTA CRUZ ESQ. ALTA TENSION                                                    </v>
      </c>
      <c r="F1063" s="26" t="str">
        <f>"LAS ARBOLEDAS                                                                                                                               "</f>
        <v xml:space="preserve">LAS ARBOLEDAS                                                                                                                               </v>
      </c>
      <c r="G1063" s="26" t="str">
        <f>"TLAHUAC                                                                         "</f>
        <v xml:space="preserve">TLAHUAC                                                                         </v>
      </c>
      <c r="H1063" s="26" t="str">
        <f>"244"</f>
        <v>244</v>
      </c>
      <c r="I1063" s="26" t="str">
        <f t="shared" si="165"/>
        <v>00</v>
      </c>
      <c r="J1063" s="26" t="str">
        <f>"35 "</f>
        <v xml:space="preserve">35 </v>
      </c>
      <c r="K1063" s="26" t="str">
        <f t="shared" si="169"/>
        <v>EP</v>
      </c>
      <c r="L1063" s="26" t="str">
        <f t="shared" si="170"/>
        <v>DGOSE</v>
      </c>
      <c r="M1063" s="26" t="str">
        <f t="shared" si="166"/>
        <v>FEDERAL</v>
      </c>
      <c r="N1063" s="26">
        <v>233</v>
      </c>
      <c r="O1063" s="26">
        <v>115</v>
      </c>
      <c r="P1063" s="26">
        <v>118</v>
      </c>
      <c r="Q1063" s="26">
        <v>7</v>
      </c>
      <c r="R1063" s="26">
        <v>1</v>
      </c>
      <c r="S1063" s="26">
        <v>7</v>
      </c>
      <c r="T1063" s="26">
        <v>5</v>
      </c>
      <c r="U1063" s="26">
        <v>13</v>
      </c>
      <c r="V1063" s="26">
        <v>1</v>
      </c>
      <c r="W1063" s="26"/>
    </row>
    <row r="1064" spans="1:23" x14ac:dyDescent="0.25">
      <c r="A1064" s="26" t="str">
        <f t="shared" si="164"/>
        <v>PREESCOLAR</v>
      </c>
      <c r="B1064" s="26" t="str">
        <f>"09DJN1409S"</f>
        <v>09DJN1409S</v>
      </c>
      <c r="C1064" s="26" t="str">
        <f>"ROSAURA ZAPATA                                                                                      "</f>
        <v xml:space="preserve">ROSAURA ZAPATA                                                                                      </v>
      </c>
      <c r="D1064" s="26" t="str">
        <f>"VESPERTINO"</f>
        <v>VESPERTINO</v>
      </c>
      <c r="E1064" s="26" t="str">
        <f>"AV. VASCO DE QUIROGA NO. 1401                                                   "</f>
        <v xml:space="preserve">AV. VASCO DE QUIROGA NO. 1401                                                   </v>
      </c>
      <c r="F1064" s="26" t="str">
        <f>"SANTA FE                                                                                                                                    "</f>
        <v xml:space="preserve">SANTA FE                                                                                                                                    </v>
      </c>
      <c r="G1064" s="26" t="str">
        <f>"ALVARO OBREGON                                                                  "</f>
        <v xml:space="preserve">ALVARO OBREGON                                                                  </v>
      </c>
      <c r="H1064" s="26" t="str">
        <f>"219"</f>
        <v>219</v>
      </c>
      <c r="I1064" s="26" t="str">
        <f t="shared" si="165"/>
        <v>00</v>
      </c>
      <c r="J1064" s="26" t="str">
        <f>"33 "</f>
        <v xml:space="preserve">33 </v>
      </c>
      <c r="K1064" s="26" t="str">
        <f t="shared" si="169"/>
        <v>EP</v>
      </c>
      <c r="L1064" s="26" t="str">
        <f t="shared" si="170"/>
        <v>DGOSE</v>
      </c>
      <c r="M1064" s="26" t="str">
        <f t="shared" si="166"/>
        <v>FEDERAL</v>
      </c>
      <c r="N1064" s="26">
        <v>136</v>
      </c>
      <c r="O1064" s="26">
        <v>67</v>
      </c>
      <c r="P1064" s="26">
        <v>69</v>
      </c>
      <c r="Q1064" s="26">
        <v>6</v>
      </c>
      <c r="R1064" s="26">
        <v>1</v>
      </c>
      <c r="S1064" s="26">
        <v>6</v>
      </c>
      <c r="T1064" s="26">
        <v>7</v>
      </c>
      <c r="U1064" s="26">
        <v>14</v>
      </c>
      <c r="V1064" s="26">
        <v>1</v>
      </c>
      <c r="W1064" s="26"/>
    </row>
    <row r="1065" spans="1:23" x14ac:dyDescent="0.25">
      <c r="A1065" s="26" t="str">
        <f t="shared" si="164"/>
        <v>PREESCOLAR</v>
      </c>
      <c r="B1065" s="26" t="str">
        <f>"09DJN1410H"</f>
        <v>09DJN1410H</v>
      </c>
      <c r="C1065" s="26" t="str">
        <f>"SOR JUANA INES DE LA CRUZ                                                                           "</f>
        <v xml:space="preserve">SOR JUANA INES DE LA CRUZ                                                                           </v>
      </c>
      <c r="D1065" s="26" t="str">
        <f>"VESPERTINO"</f>
        <v>VESPERTINO</v>
      </c>
      <c r="E1065" s="26" t="str">
        <f>"GUILLERMO PRIETO S/N                                                            "</f>
        <v xml:space="preserve">GUILLERMO PRIETO S/N                                                            </v>
      </c>
      <c r="F1065" s="26" t="str">
        <f>"MIGUEL HIDALGO                                                                                                                              "</f>
        <v xml:space="preserve">MIGUEL HIDALGO                                                                                                                              </v>
      </c>
      <c r="G1065" s="26" t="str">
        <f>"TLAHUAC                                                                         "</f>
        <v xml:space="preserve">TLAHUAC                                                                         </v>
      </c>
      <c r="H1065" s="26" t="str">
        <f>"124"</f>
        <v>124</v>
      </c>
      <c r="I1065" s="26" t="str">
        <f t="shared" si="165"/>
        <v>00</v>
      </c>
      <c r="J1065" s="26" t="str">
        <f>"35 "</f>
        <v xml:space="preserve">35 </v>
      </c>
      <c r="K1065" s="26" t="str">
        <f t="shared" si="169"/>
        <v>EP</v>
      </c>
      <c r="L1065" s="26" t="str">
        <f t="shared" si="170"/>
        <v>DGOSE</v>
      </c>
      <c r="M1065" s="26" t="str">
        <f t="shared" si="166"/>
        <v>FEDERAL</v>
      </c>
      <c r="N1065" s="26">
        <v>132</v>
      </c>
      <c r="O1065" s="26">
        <v>70</v>
      </c>
      <c r="P1065" s="26">
        <v>62</v>
      </c>
      <c r="Q1065" s="26">
        <v>4</v>
      </c>
      <c r="R1065" s="26">
        <v>0</v>
      </c>
      <c r="S1065" s="26">
        <v>4</v>
      </c>
      <c r="T1065" s="26">
        <v>4</v>
      </c>
      <c r="U1065" s="26">
        <v>8</v>
      </c>
      <c r="V1065" s="26">
        <v>1</v>
      </c>
      <c r="W1065" s="26"/>
    </row>
    <row r="1066" spans="1:23" x14ac:dyDescent="0.25">
      <c r="A1066" s="26" t="str">
        <f t="shared" si="164"/>
        <v>PREESCOLAR</v>
      </c>
      <c r="B1066" s="26" t="str">
        <f>"09DJN1411G"</f>
        <v>09DJN1411G</v>
      </c>
      <c r="C1066" s="26" t="str">
        <f>"JULIAN ADEM                                                                                         "</f>
        <v xml:space="preserve">JULIAN ADEM                                                                                         </v>
      </c>
      <c r="D1066" s="26" t="str">
        <f>"VESPERTINO"</f>
        <v>VESPERTINO</v>
      </c>
      <c r="E1066" s="26" t="str">
        <f>"MIQUIHUANA S/N                                                                  "</f>
        <v xml:space="preserve">MIQUIHUANA S/N                                                                  </v>
      </c>
      <c r="F1066" s="26" t="str">
        <f>"SAN BERNABE AMPLIACION                                                                                                                      "</f>
        <v xml:space="preserve">SAN BERNABE AMPLIACION                                                                                                                      </v>
      </c>
      <c r="G1066" s="26" t="str">
        <f>"LA MAGDALENA CONTRERAS                                                          "</f>
        <v xml:space="preserve">LA MAGDALENA CONTRERAS                                                          </v>
      </c>
      <c r="H1066" s="26" t="str">
        <f>"066"</f>
        <v>066</v>
      </c>
      <c r="I1066" s="26" t="str">
        <f t="shared" si="165"/>
        <v>00</v>
      </c>
      <c r="J1066" s="26" t="str">
        <f>"35 "</f>
        <v xml:space="preserve">35 </v>
      </c>
      <c r="K1066" s="26" t="str">
        <f t="shared" si="169"/>
        <v>EP</v>
      </c>
      <c r="L1066" s="26" t="str">
        <f t="shared" si="170"/>
        <v>DGOSE</v>
      </c>
      <c r="M1066" s="26" t="str">
        <f t="shared" si="166"/>
        <v>FEDERAL</v>
      </c>
      <c r="N1066" s="26">
        <v>161</v>
      </c>
      <c r="O1066" s="26">
        <v>72</v>
      </c>
      <c r="P1066" s="26">
        <v>89</v>
      </c>
      <c r="Q1066" s="26">
        <v>5</v>
      </c>
      <c r="R1066" s="26">
        <v>1</v>
      </c>
      <c r="S1066" s="26">
        <v>5</v>
      </c>
      <c r="T1066" s="26">
        <v>2</v>
      </c>
      <c r="U1066" s="26">
        <v>8</v>
      </c>
      <c r="V1066" s="26">
        <v>1</v>
      </c>
      <c r="W1066" s="26"/>
    </row>
    <row r="1067" spans="1:23" x14ac:dyDescent="0.25">
      <c r="A1067" s="26" t="str">
        <f t="shared" si="164"/>
        <v>PREESCOLAR</v>
      </c>
      <c r="B1067" s="26" t="str">
        <f>"09DJN1412F"</f>
        <v>09DJN1412F</v>
      </c>
      <c r="C1067" s="26" t="str">
        <f>"TIMI                                                                                                "</f>
        <v xml:space="preserve">TIMI                                                                                                </v>
      </c>
      <c r="D1067" s="26" t="str">
        <f>"JORNADA AMPLIADA"</f>
        <v>JORNADA AMPLIADA</v>
      </c>
      <c r="E1067" s="26" t="str">
        <f>"LEANDRO VALLE Y HEBERTO CASTILLO                                                "</f>
        <v xml:space="preserve">LEANDRO VALLE Y HEBERTO CASTILLO                                                </v>
      </c>
      <c r="F1067" s="26" t="str">
        <f>"VILLAS DE TRABAJADORES DEL GOBIERNO                                                                                                         "</f>
        <v xml:space="preserve">VILLAS DE TRABAJADORES DEL GOBIERNO                                                                                                         </v>
      </c>
      <c r="G1067" s="26" t="str">
        <f>"TLAHUAC                                                                         "</f>
        <v xml:space="preserve">TLAHUAC                                                                         </v>
      </c>
      <c r="H1067" s="26" t="str">
        <f>"243"</f>
        <v>243</v>
      </c>
      <c r="I1067" s="26" t="str">
        <f t="shared" si="165"/>
        <v>00</v>
      </c>
      <c r="J1067" s="26" t="str">
        <f>"34 "</f>
        <v xml:space="preserve">34 </v>
      </c>
      <c r="K1067" s="26" t="str">
        <f t="shared" si="169"/>
        <v>EP</v>
      </c>
      <c r="L1067" s="26" t="str">
        <f t="shared" si="170"/>
        <v>DGOSE</v>
      </c>
      <c r="M1067" s="26" t="str">
        <f t="shared" si="166"/>
        <v>FEDERAL</v>
      </c>
      <c r="N1067" s="26">
        <v>150</v>
      </c>
      <c r="O1067" s="26">
        <v>80</v>
      </c>
      <c r="P1067" s="26">
        <v>70</v>
      </c>
      <c r="Q1067" s="26">
        <v>5</v>
      </c>
      <c r="R1067" s="26">
        <v>1</v>
      </c>
      <c r="S1067" s="26">
        <v>5</v>
      </c>
      <c r="T1067" s="26">
        <v>8</v>
      </c>
      <c r="U1067" s="26">
        <v>14</v>
      </c>
      <c r="V1067" s="26">
        <v>1</v>
      </c>
      <c r="W1067" s="26" t="s">
        <v>2076</v>
      </c>
    </row>
    <row r="1068" spans="1:23" x14ac:dyDescent="0.25">
      <c r="A1068" s="26" t="str">
        <f t="shared" si="164"/>
        <v>PREESCOLAR</v>
      </c>
      <c r="B1068" s="26" t="str">
        <f>"09DJN1413E"</f>
        <v>09DJN1413E</v>
      </c>
      <c r="C1068" s="26" t="str">
        <f>"CUAUHTLI                                                                                            "</f>
        <v xml:space="preserve">CUAUHTLI                                                                                            </v>
      </c>
      <c r="D1068" s="26" t="str">
        <f t="shared" ref="D1068:D1078" si="173">"VESPERTINO"</f>
        <v>VESPERTINO</v>
      </c>
      <c r="E1068" s="26" t="str">
        <f>"AV. PEÑAS NEGRAS S/N                                                            "</f>
        <v xml:space="preserve">AV. PEÑAS NEGRAS S/N                                                            </v>
      </c>
      <c r="F1068" s="26" t="str">
        <f>"EL TEPETATAL                                                                                                                                "</f>
        <v xml:space="preserve">EL TEPETATAL                                                                                                                                </v>
      </c>
      <c r="G1068" s="26" t="str">
        <f>"GUSTAVO A. MADERO                                                               "</f>
        <v xml:space="preserve">GUSTAVO A. MADERO                                                               </v>
      </c>
      <c r="H1068" s="26" t="str">
        <f>"227"</f>
        <v>227</v>
      </c>
      <c r="I1068" s="26" t="str">
        <f t="shared" si="165"/>
        <v>00</v>
      </c>
      <c r="J1068" s="26" t="str">
        <f>"32 "</f>
        <v xml:space="preserve">32 </v>
      </c>
      <c r="K1068" s="26" t="str">
        <f t="shared" si="169"/>
        <v>EP</v>
      </c>
      <c r="L1068" s="26" t="str">
        <f t="shared" si="170"/>
        <v>DGOSE</v>
      </c>
      <c r="M1068" s="26" t="str">
        <f t="shared" si="166"/>
        <v>FEDERAL</v>
      </c>
      <c r="N1068" s="26">
        <v>259</v>
      </c>
      <c r="O1068" s="26">
        <v>137</v>
      </c>
      <c r="P1068" s="26">
        <v>122</v>
      </c>
      <c r="Q1068" s="26">
        <v>8</v>
      </c>
      <c r="R1068" s="26">
        <v>1</v>
      </c>
      <c r="S1068" s="26">
        <v>8</v>
      </c>
      <c r="T1068" s="26">
        <v>5</v>
      </c>
      <c r="U1068" s="26">
        <v>14</v>
      </c>
      <c r="V1068" s="26">
        <v>1</v>
      </c>
      <c r="W1068" s="26"/>
    </row>
    <row r="1069" spans="1:23" x14ac:dyDescent="0.25">
      <c r="A1069" s="26" t="str">
        <f t="shared" si="164"/>
        <v>PREESCOLAR</v>
      </c>
      <c r="B1069" s="26" t="str">
        <f>"09DJN1414D"</f>
        <v>09DJN1414D</v>
      </c>
      <c r="C1069" s="26" t="str">
        <f>"LUIS GONZALEZ OBREGON                                                                               "</f>
        <v xml:space="preserve">LUIS GONZALEZ OBREGON                                                                               </v>
      </c>
      <c r="D1069" s="26" t="str">
        <f t="shared" si="173"/>
        <v>VESPERTINO</v>
      </c>
      <c r="E1069" s="26" t="str">
        <f>"CARRETERA CHALMITA-TENAYUCA S/N                                                 "</f>
        <v xml:space="preserve">CARRETERA CHALMITA-TENAYUCA S/N                                                 </v>
      </c>
      <c r="F1069" s="26" t="str">
        <f>"UNIDAD HABITACIONAL EL ARBOLILLO I                                                                                                          "</f>
        <v xml:space="preserve">UNIDAD HABITACIONAL EL ARBOLILLO I                                                                                                          </v>
      </c>
      <c r="G1069" s="26" t="str">
        <f>"GUSTAVO A. MADERO                                                               "</f>
        <v xml:space="preserve">GUSTAVO A. MADERO                                                               </v>
      </c>
      <c r="H1069" s="26" t="str">
        <f>"155"</f>
        <v>155</v>
      </c>
      <c r="I1069" s="26" t="str">
        <f t="shared" si="165"/>
        <v>00</v>
      </c>
      <c r="J1069" s="26" t="str">
        <f>"32 "</f>
        <v xml:space="preserve">32 </v>
      </c>
      <c r="K1069" s="26" t="str">
        <f t="shared" si="169"/>
        <v>EP</v>
      </c>
      <c r="L1069" s="26" t="str">
        <f t="shared" si="170"/>
        <v>DGOSE</v>
      </c>
      <c r="M1069" s="26" t="str">
        <f t="shared" si="166"/>
        <v>FEDERAL</v>
      </c>
      <c r="N1069" s="26">
        <v>234</v>
      </c>
      <c r="O1069" s="26">
        <v>124</v>
      </c>
      <c r="P1069" s="26">
        <v>110</v>
      </c>
      <c r="Q1069" s="26">
        <v>8</v>
      </c>
      <c r="R1069" s="26">
        <v>1</v>
      </c>
      <c r="S1069" s="26">
        <v>8</v>
      </c>
      <c r="T1069" s="26">
        <v>4</v>
      </c>
      <c r="U1069" s="26">
        <v>13</v>
      </c>
      <c r="V1069" s="26">
        <v>1</v>
      </c>
      <c r="W1069" s="26"/>
    </row>
    <row r="1070" spans="1:23" x14ac:dyDescent="0.25">
      <c r="A1070" s="26" t="str">
        <f t="shared" si="164"/>
        <v>PREESCOLAR</v>
      </c>
      <c r="B1070" s="26" t="str">
        <f>"09DJN1415C"</f>
        <v>09DJN1415C</v>
      </c>
      <c r="C1070" s="26" t="str">
        <f>"TEPETENCHI                                                                                          "</f>
        <v xml:space="preserve">TEPETENCHI                                                                                          </v>
      </c>
      <c r="D1070" s="26" t="str">
        <f t="shared" si="173"/>
        <v>VESPERTINO</v>
      </c>
      <c r="E1070" s="26" t="str">
        <f>"AV. JUAREZ S/N                                                                  "</f>
        <v xml:space="preserve">AV. JUAREZ S/N                                                                  </v>
      </c>
      <c r="F1070" s="26" t="str">
        <f>"SANTA MARIA NATIVITAS                                                                                                                       "</f>
        <v xml:space="preserve">SANTA MARIA NATIVITAS                                                                                                                       </v>
      </c>
      <c r="G1070" s="26" t="str">
        <f>"XOCHIMILCO                                                                      "</f>
        <v xml:space="preserve">XOCHIMILCO                                                                      </v>
      </c>
      <c r="H1070" s="26" t="str">
        <f>"052"</f>
        <v>052</v>
      </c>
      <c r="I1070" s="26" t="str">
        <f t="shared" si="165"/>
        <v>00</v>
      </c>
      <c r="J1070" s="26" t="str">
        <f>"35 "</f>
        <v xml:space="preserve">35 </v>
      </c>
      <c r="K1070" s="26" t="str">
        <f t="shared" si="169"/>
        <v>EP</v>
      </c>
      <c r="L1070" s="26" t="str">
        <f t="shared" si="170"/>
        <v>DGOSE</v>
      </c>
      <c r="M1070" s="26" t="str">
        <f t="shared" si="166"/>
        <v>FEDERAL</v>
      </c>
      <c r="N1070" s="26">
        <v>185</v>
      </c>
      <c r="O1070" s="26">
        <v>87</v>
      </c>
      <c r="P1070" s="26">
        <v>98</v>
      </c>
      <c r="Q1070" s="26">
        <v>6</v>
      </c>
      <c r="R1070" s="26">
        <v>1</v>
      </c>
      <c r="S1070" s="26">
        <v>6</v>
      </c>
      <c r="T1070" s="26">
        <v>4</v>
      </c>
      <c r="U1070" s="26">
        <v>11</v>
      </c>
      <c r="V1070" s="26">
        <v>1</v>
      </c>
      <c r="W1070" s="26"/>
    </row>
    <row r="1071" spans="1:23" x14ac:dyDescent="0.25">
      <c r="A1071" s="26" t="str">
        <f t="shared" si="164"/>
        <v>PREESCOLAR</v>
      </c>
      <c r="B1071" s="26" t="str">
        <f>"09DJN1416B"</f>
        <v>09DJN1416B</v>
      </c>
      <c r="C1071" s="26" t="str">
        <f>"TILLOLI                                                                                             "</f>
        <v xml:space="preserve">TILLOLI                                                                                             </v>
      </c>
      <c r="D1071" s="26" t="str">
        <f t="shared" si="173"/>
        <v>VESPERTINO</v>
      </c>
      <c r="E1071" s="26" t="str">
        <f>"AV. 414-A Y 483 SUPER MZA. 31                                                   "</f>
        <v xml:space="preserve">AV. 414-A Y 483 SUPER MZA. 31                                                   </v>
      </c>
      <c r="F1071" s="26" t="str">
        <f>"UNIDAD SAN JUAN DE ARAGON 7A SECCIO                                                                                                         "</f>
        <v xml:space="preserve">UNIDAD SAN JUAN DE ARAGON 7A SECCIO                                                                                                         </v>
      </c>
      <c r="G1071" s="26" t="str">
        <f>"GUSTAVO A. MADERO                                                               "</f>
        <v xml:space="preserve">GUSTAVO A. MADERO                                                               </v>
      </c>
      <c r="H1071" s="26" t="str">
        <f>"201"</f>
        <v>201</v>
      </c>
      <c r="I1071" s="26" t="str">
        <f t="shared" si="165"/>
        <v>00</v>
      </c>
      <c r="J1071" s="26" t="str">
        <f>"32 "</f>
        <v xml:space="preserve">32 </v>
      </c>
      <c r="K1071" s="26" t="str">
        <f t="shared" si="169"/>
        <v>EP</v>
      </c>
      <c r="L1071" s="26" t="str">
        <f t="shared" si="170"/>
        <v>DGOSE</v>
      </c>
      <c r="M1071" s="26" t="str">
        <f t="shared" si="166"/>
        <v>FEDERAL</v>
      </c>
      <c r="N1071" s="26">
        <v>77</v>
      </c>
      <c r="O1071" s="26">
        <v>40</v>
      </c>
      <c r="P1071" s="26">
        <v>37</v>
      </c>
      <c r="Q1071" s="26">
        <v>3</v>
      </c>
      <c r="R1071" s="26">
        <v>1</v>
      </c>
      <c r="S1071" s="26">
        <v>3</v>
      </c>
      <c r="T1071" s="26">
        <v>3</v>
      </c>
      <c r="U1071" s="26">
        <v>7</v>
      </c>
      <c r="V1071" s="26">
        <v>1</v>
      </c>
      <c r="W1071" s="26"/>
    </row>
    <row r="1072" spans="1:23" x14ac:dyDescent="0.25">
      <c r="A1072" s="26" t="str">
        <f t="shared" si="164"/>
        <v>PREESCOLAR</v>
      </c>
      <c r="B1072" s="26" t="str">
        <f>"09DJN1417A"</f>
        <v>09DJN1417A</v>
      </c>
      <c r="C1072" s="26" t="str">
        <f>"MIGUEL RAMOS ARIZPE                                                                                 "</f>
        <v xml:space="preserve">MIGUEL RAMOS ARIZPE                                                                                 </v>
      </c>
      <c r="D1072" s="26" t="str">
        <f t="shared" si="173"/>
        <v>VESPERTINO</v>
      </c>
      <c r="E1072" s="26" t="str">
        <f>"27 DE SEPTIEMBRE MZA. 26-B S/N                                                  "</f>
        <v xml:space="preserve">27 DE SEPTIEMBRE MZA. 26-B S/N                                                  </v>
      </c>
      <c r="F1072" s="26" t="str">
        <f>"TICOMAN                                                                                                                                     "</f>
        <v xml:space="preserve">TICOMAN                                                                                                                                     </v>
      </c>
      <c r="G1072" s="26" t="str">
        <f>"GUSTAVO A. MADERO                                                               "</f>
        <v xml:space="preserve">GUSTAVO A. MADERO                                                               </v>
      </c>
      <c r="H1072" s="26" t="str">
        <f>"003"</f>
        <v>003</v>
      </c>
      <c r="I1072" s="26" t="str">
        <f t="shared" si="165"/>
        <v>00</v>
      </c>
      <c r="J1072" s="26" t="str">
        <f>"32 "</f>
        <v xml:space="preserve">32 </v>
      </c>
      <c r="K1072" s="26" t="str">
        <f t="shared" si="169"/>
        <v>EP</v>
      </c>
      <c r="L1072" s="26" t="str">
        <f t="shared" si="170"/>
        <v>DGOSE</v>
      </c>
      <c r="M1072" s="26" t="str">
        <f t="shared" si="166"/>
        <v>FEDERAL</v>
      </c>
      <c r="N1072" s="26">
        <v>128</v>
      </c>
      <c r="O1072" s="26">
        <v>72</v>
      </c>
      <c r="P1072" s="26">
        <v>56</v>
      </c>
      <c r="Q1072" s="26">
        <v>5</v>
      </c>
      <c r="R1072" s="26">
        <v>1</v>
      </c>
      <c r="S1072" s="26">
        <v>5</v>
      </c>
      <c r="T1072" s="26">
        <v>4</v>
      </c>
      <c r="U1072" s="26">
        <v>10</v>
      </c>
      <c r="V1072" s="26">
        <v>1</v>
      </c>
      <c r="W1072" s="26"/>
    </row>
    <row r="1073" spans="1:23" x14ac:dyDescent="0.25">
      <c r="A1073" s="26" t="str">
        <f t="shared" si="164"/>
        <v>PREESCOLAR</v>
      </c>
      <c r="B1073" s="26" t="str">
        <f>"09DJN1418Z"</f>
        <v>09DJN1418Z</v>
      </c>
      <c r="C1073" s="26" t="str">
        <f>"TINEMI                                                                                              "</f>
        <v xml:space="preserve">TINEMI                                                                                              </v>
      </c>
      <c r="D1073" s="26" t="str">
        <f t="shared" si="173"/>
        <v>VESPERTINO</v>
      </c>
      <c r="E1073" s="26" t="str">
        <f>"JACARANDAS Y SABINO                                                             "</f>
        <v xml:space="preserve">JACARANDAS Y SABINO                                                             </v>
      </c>
      <c r="F1073" s="26" t="str">
        <f>"BOSQUE DEL PEDREGAL                                                                                                                         "</f>
        <v xml:space="preserve">BOSQUE DEL PEDREGAL                                                                                                                         </v>
      </c>
      <c r="G1073" s="26" t="str">
        <f>"TLALPAN                                                                         "</f>
        <v xml:space="preserve">TLALPAN                                                                         </v>
      </c>
      <c r="H1073" s="26" t="str">
        <f>"146"</f>
        <v>146</v>
      </c>
      <c r="I1073" s="26" t="str">
        <f t="shared" si="165"/>
        <v>00</v>
      </c>
      <c r="J1073" s="26" t="str">
        <f>"35 "</f>
        <v xml:space="preserve">35 </v>
      </c>
      <c r="K1073" s="26" t="str">
        <f t="shared" si="169"/>
        <v>EP</v>
      </c>
      <c r="L1073" s="26" t="str">
        <f t="shared" si="170"/>
        <v>DGOSE</v>
      </c>
      <c r="M1073" s="26" t="str">
        <f t="shared" si="166"/>
        <v>FEDERAL</v>
      </c>
      <c r="N1073" s="26">
        <v>122</v>
      </c>
      <c r="O1073" s="26">
        <v>57</v>
      </c>
      <c r="P1073" s="26">
        <v>65</v>
      </c>
      <c r="Q1073" s="26">
        <v>4</v>
      </c>
      <c r="R1073" s="26">
        <v>1</v>
      </c>
      <c r="S1073" s="26">
        <v>4</v>
      </c>
      <c r="T1073" s="26">
        <v>4</v>
      </c>
      <c r="U1073" s="26">
        <v>9</v>
      </c>
      <c r="V1073" s="26">
        <v>1</v>
      </c>
      <c r="W1073" s="26"/>
    </row>
    <row r="1074" spans="1:23" x14ac:dyDescent="0.25">
      <c r="A1074" s="26" t="str">
        <f t="shared" si="164"/>
        <v>PREESCOLAR</v>
      </c>
      <c r="B1074" s="26" t="str">
        <f>"09DJN1419Z"</f>
        <v>09DJN1419Z</v>
      </c>
      <c r="C1074" s="26" t="str">
        <f>"CHIMALCOYOTL                                                                                        "</f>
        <v xml:space="preserve">CHIMALCOYOTL                                                                                        </v>
      </c>
      <c r="D1074" s="26" t="str">
        <f t="shared" si="173"/>
        <v>VESPERTINO</v>
      </c>
      <c r="E1074" s="26" t="str">
        <f>"CRISTOBAL COLON NO. 10                                                          "</f>
        <v xml:space="preserve">CRISTOBAL COLON NO. 10                                                          </v>
      </c>
      <c r="F1074" s="26" t="str">
        <f>"CHIMALCOYOTL                                                                                                                                "</f>
        <v xml:space="preserve">CHIMALCOYOTL                                                                                                                                </v>
      </c>
      <c r="G1074" s="26" t="str">
        <f>"TLALPAN                                                                         "</f>
        <v xml:space="preserve">TLALPAN                                                                         </v>
      </c>
      <c r="H1074" s="26" t="str">
        <f>"051"</f>
        <v>051</v>
      </c>
      <c r="I1074" s="26" t="str">
        <f t="shared" si="165"/>
        <v>00</v>
      </c>
      <c r="J1074" s="26" t="str">
        <f>"35 "</f>
        <v xml:space="preserve">35 </v>
      </c>
      <c r="K1074" s="26" t="str">
        <f t="shared" si="169"/>
        <v>EP</v>
      </c>
      <c r="L1074" s="26" t="str">
        <f t="shared" si="170"/>
        <v>DGOSE</v>
      </c>
      <c r="M1074" s="26" t="str">
        <f t="shared" si="166"/>
        <v>FEDERAL</v>
      </c>
      <c r="N1074" s="26">
        <v>67</v>
      </c>
      <c r="O1074" s="26">
        <v>38</v>
      </c>
      <c r="P1074" s="26">
        <v>29</v>
      </c>
      <c r="Q1074" s="26">
        <v>3</v>
      </c>
      <c r="R1074" s="26">
        <v>1</v>
      </c>
      <c r="S1074" s="26">
        <v>3</v>
      </c>
      <c r="T1074" s="26">
        <v>4</v>
      </c>
      <c r="U1074" s="26">
        <v>8</v>
      </c>
      <c r="V1074" s="26">
        <v>1</v>
      </c>
      <c r="W1074" s="26"/>
    </row>
    <row r="1075" spans="1:23" x14ac:dyDescent="0.25">
      <c r="A1075" s="26" t="str">
        <f t="shared" si="164"/>
        <v>PREESCOLAR</v>
      </c>
      <c r="B1075" s="26" t="str">
        <f>"09DJN1420O"</f>
        <v>09DJN1420O</v>
      </c>
      <c r="C1075" s="26" t="str">
        <f>"ELVIRA JIMENEZ VILLAFUERTE                                                                          "</f>
        <v xml:space="preserve">ELVIRA JIMENEZ VILLAFUERTE                                                                          </v>
      </c>
      <c r="D1075" s="26" t="str">
        <f t="shared" si="173"/>
        <v>VESPERTINO</v>
      </c>
      <c r="E1075" s="26" t="str">
        <f>"CARRETERA AJUSCO Y TIZIMIN S/N                                                  "</f>
        <v xml:space="preserve">CARRETERA AJUSCO Y TIZIMIN S/N                                                  </v>
      </c>
      <c r="F1075" s="26" t="str">
        <f>"ZONA EJIDOS DE PADIERNA                                                                                                                     "</f>
        <v xml:space="preserve">ZONA EJIDOS DE PADIERNA                                                                                                                     </v>
      </c>
      <c r="G1075" s="26" t="str">
        <f>"TLALPAN                                                                         "</f>
        <v xml:space="preserve">TLALPAN                                                                         </v>
      </c>
      <c r="H1075" s="26" t="str">
        <f>"147"</f>
        <v>147</v>
      </c>
      <c r="I1075" s="26" t="str">
        <f t="shared" si="165"/>
        <v>00</v>
      </c>
      <c r="J1075" s="26" t="str">
        <f>"35 "</f>
        <v xml:space="preserve">35 </v>
      </c>
      <c r="K1075" s="26" t="str">
        <f t="shared" si="169"/>
        <v>EP</v>
      </c>
      <c r="L1075" s="26" t="str">
        <f t="shared" si="170"/>
        <v>DGOSE</v>
      </c>
      <c r="M1075" s="26" t="str">
        <f t="shared" si="166"/>
        <v>FEDERAL</v>
      </c>
      <c r="N1075" s="26">
        <v>78</v>
      </c>
      <c r="O1075" s="26">
        <v>42</v>
      </c>
      <c r="P1075" s="26">
        <v>36</v>
      </c>
      <c r="Q1075" s="26">
        <v>3</v>
      </c>
      <c r="R1075" s="26">
        <v>1</v>
      </c>
      <c r="S1075" s="26">
        <v>3</v>
      </c>
      <c r="T1075" s="26">
        <v>3</v>
      </c>
      <c r="U1075" s="26">
        <v>7</v>
      </c>
      <c r="V1075" s="26">
        <v>1</v>
      </c>
      <c r="W1075" s="26"/>
    </row>
    <row r="1076" spans="1:23" x14ac:dyDescent="0.25">
      <c r="A1076" s="26" t="str">
        <f t="shared" si="164"/>
        <v>PREESCOLAR</v>
      </c>
      <c r="B1076" s="26" t="str">
        <f>"09DJN1422M"</f>
        <v>09DJN1422M</v>
      </c>
      <c r="C1076" s="26" t="str">
        <f>"MIAHUAXOCHITL                                                                                       "</f>
        <v xml:space="preserve">MIAHUAXOCHITL                                                                                       </v>
      </c>
      <c r="D1076" s="26" t="str">
        <f t="shared" si="173"/>
        <v>VESPERTINO</v>
      </c>
      <c r="E1076" s="26" t="str">
        <f>"SIMON BOLIVAR S\N                                                               "</f>
        <v xml:space="preserve">SIMON BOLIVAR S\N                                                               </v>
      </c>
      <c r="F1076" s="26" t="str">
        <f>"IXTLAHUACAN                                                                                                                                 "</f>
        <v xml:space="preserve">IXTLAHUACAN                                                                                                                                 </v>
      </c>
      <c r="G1076" s="26" t="str">
        <f>"IZTAPALAPA                                                                      "</f>
        <v xml:space="preserve">IZTAPALAPA                                                                      </v>
      </c>
      <c r="H1076" s="26" t="str">
        <f>"038"</f>
        <v>038</v>
      </c>
      <c r="I1076" s="26" t="str">
        <f t="shared" si="165"/>
        <v>00</v>
      </c>
      <c r="J1076" s="26" t="str">
        <f>"64 "</f>
        <v xml:space="preserve">64 </v>
      </c>
      <c r="K1076" s="26" t="str">
        <f>"IZ"</f>
        <v>IZ</v>
      </c>
      <c r="L1076" s="26" t="str">
        <f>"DGSEI"</f>
        <v>DGSEI</v>
      </c>
      <c r="M1076" s="26" t="str">
        <f t="shared" si="166"/>
        <v>FEDERAL</v>
      </c>
      <c r="N1076" s="26">
        <v>204</v>
      </c>
      <c r="O1076" s="26">
        <v>109</v>
      </c>
      <c r="P1076" s="26">
        <v>95</v>
      </c>
      <c r="Q1076" s="26">
        <v>5</v>
      </c>
      <c r="R1076" s="26">
        <v>1</v>
      </c>
      <c r="S1076" s="26">
        <v>5</v>
      </c>
      <c r="T1076" s="26">
        <v>1</v>
      </c>
      <c r="U1076" s="26">
        <v>7</v>
      </c>
      <c r="V1076" s="26">
        <v>1</v>
      </c>
      <c r="W1076" s="26"/>
    </row>
    <row r="1077" spans="1:23" x14ac:dyDescent="0.25">
      <c r="A1077" s="26" t="str">
        <f t="shared" si="164"/>
        <v>PREESCOLAR</v>
      </c>
      <c r="B1077" s="26" t="str">
        <f>"09DJN1423L"</f>
        <v>09DJN1423L</v>
      </c>
      <c r="C1077" s="26" t="str">
        <f>"GUILLERMO PRIETO                                                                                    "</f>
        <v xml:space="preserve">GUILLERMO PRIETO                                                                                    </v>
      </c>
      <c r="D1077" s="26" t="str">
        <f t="shared" si="173"/>
        <v>VESPERTINO</v>
      </c>
      <c r="E1077" s="26" t="str">
        <f>"VALLE DE BRAVO S/N                                                              "</f>
        <v xml:space="preserve">VALLE DE BRAVO S/N                                                              </v>
      </c>
      <c r="F1077" s="26" t="str">
        <f>"LOMAS DE ZARAGOZA                                                                                                                           "</f>
        <v xml:space="preserve">LOMAS DE ZARAGOZA                                                                                                                           </v>
      </c>
      <c r="G1077" s="26" t="str">
        <f>"IZTAPALAPA                                                                      "</f>
        <v xml:space="preserve">IZTAPALAPA                                                                      </v>
      </c>
      <c r="H1077" s="26" t="str">
        <f>"037"</f>
        <v>037</v>
      </c>
      <c r="I1077" s="26" t="str">
        <f t="shared" si="165"/>
        <v>00</v>
      </c>
      <c r="J1077" s="26" t="str">
        <f>"64 "</f>
        <v xml:space="preserve">64 </v>
      </c>
      <c r="K1077" s="26" t="str">
        <f>"IZ"</f>
        <v>IZ</v>
      </c>
      <c r="L1077" s="26" t="str">
        <f>"DGSEI"</f>
        <v>DGSEI</v>
      </c>
      <c r="M1077" s="26" t="str">
        <f t="shared" si="166"/>
        <v>FEDERAL</v>
      </c>
      <c r="N1077" s="26">
        <v>94</v>
      </c>
      <c r="O1077" s="26">
        <v>51</v>
      </c>
      <c r="P1077" s="26">
        <v>43</v>
      </c>
      <c r="Q1077" s="26">
        <v>3</v>
      </c>
      <c r="R1077" s="26">
        <v>1</v>
      </c>
      <c r="S1077" s="26">
        <v>3</v>
      </c>
      <c r="T1077" s="26">
        <v>3</v>
      </c>
      <c r="U1077" s="26">
        <v>7</v>
      </c>
      <c r="V1077" s="26">
        <v>1</v>
      </c>
      <c r="W1077" s="26"/>
    </row>
    <row r="1078" spans="1:23" x14ac:dyDescent="0.25">
      <c r="A1078" s="26" t="str">
        <f t="shared" si="164"/>
        <v>PREESCOLAR</v>
      </c>
      <c r="B1078" s="26" t="str">
        <f>"09DJN1424K"</f>
        <v>09DJN1424K</v>
      </c>
      <c r="C1078" s="26" t="str">
        <f>"IMMANTI                                                                                             "</f>
        <v xml:space="preserve">IMMANTI                                                                                             </v>
      </c>
      <c r="D1078" s="26" t="str">
        <f t="shared" si="173"/>
        <v>VESPERTINO</v>
      </c>
      <c r="E1078" s="26" t="s">
        <v>4127</v>
      </c>
      <c r="F1078" s="26" t="str">
        <f>"DEGOLLADO                                                                                                                                   "</f>
        <v xml:space="preserve">DEGOLLADO                                                                                                                                   </v>
      </c>
      <c r="G1078" s="26" t="str">
        <f>"IZTAPALAPA                                                                      "</f>
        <v xml:space="preserve">IZTAPALAPA                                                                      </v>
      </c>
      <c r="H1078" s="26" t="str">
        <f>"032"</f>
        <v>032</v>
      </c>
      <c r="I1078" s="26" t="str">
        <f t="shared" si="165"/>
        <v>00</v>
      </c>
      <c r="J1078" s="26" t="str">
        <f>"64 "</f>
        <v xml:space="preserve">64 </v>
      </c>
      <c r="K1078" s="26" t="str">
        <f>"IZ"</f>
        <v>IZ</v>
      </c>
      <c r="L1078" s="26" t="str">
        <f>"DGSEI"</f>
        <v>DGSEI</v>
      </c>
      <c r="M1078" s="26" t="str">
        <f t="shared" si="166"/>
        <v>FEDERAL</v>
      </c>
      <c r="N1078" s="26">
        <v>157</v>
      </c>
      <c r="O1078" s="26">
        <v>73</v>
      </c>
      <c r="P1078" s="26">
        <v>84</v>
      </c>
      <c r="Q1078" s="26">
        <v>4</v>
      </c>
      <c r="R1078" s="26">
        <v>1</v>
      </c>
      <c r="S1078" s="26">
        <v>4</v>
      </c>
      <c r="T1078" s="26">
        <v>2</v>
      </c>
      <c r="U1078" s="26">
        <v>7</v>
      </c>
      <c r="V1078" s="26">
        <v>1</v>
      </c>
      <c r="W1078" s="26"/>
    </row>
    <row r="1079" spans="1:23" x14ac:dyDescent="0.25">
      <c r="A1079" s="26" t="str">
        <f t="shared" si="164"/>
        <v>PREESCOLAR</v>
      </c>
      <c r="B1079" s="26" t="str">
        <f>"09DJN1425Q"</f>
        <v>09DJN1425Q</v>
      </c>
      <c r="C1079" s="26" t="str">
        <f>"JOSE ROSAS MORENO                                                                                   "</f>
        <v xml:space="preserve">JOSE ROSAS MORENO                                                                                   </v>
      </c>
      <c r="D1079" s="26" t="str">
        <f>"JORNADA AMPLIADA"</f>
        <v>JORNADA AMPLIADA</v>
      </c>
      <c r="E1079" s="26" t="str">
        <f>"CAMIONEROS S/N                                                                  "</f>
        <v xml:space="preserve">CAMIONEROS S/N                                                                  </v>
      </c>
      <c r="F1079" s="26" t="str">
        <f>"PARAJE SAN JUAN JOYA                                                                                                                        "</f>
        <v xml:space="preserve">PARAJE SAN JUAN JOYA                                                                                                                        </v>
      </c>
      <c r="G1079" s="26" t="str">
        <f>"IZTAPALAPA                                                                      "</f>
        <v xml:space="preserve">IZTAPALAPA                                                                      </v>
      </c>
      <c r="H1079" s="26" t="str">
        <f>"006"</f>
        <v>006</v>
      </c>
      <c r="I1079" s="26" t="str">
        <f t="shared" si="165"/>
        <v>00</v>
      </c>
      <c r="J1079" s="26" t="str">
        <f>"61 "</f>
        <v xml:space="preserve">61 </v>
      </c>
      <c r="K1079" s="26" t="str">
        <f>"IZ"</f>
        <v>IZ</v>
      </c>
      <c r="L1079" s="26" t="str">
        <f>"DGSEI"</f>
        <v>DGSEI</v>
      </c>
      <c r="M1079" s="26" t="str">
        <f t="shared" si="166"/>
        <v>FEDERAL</v>
      </c>
      <c r="N1079" s="26">
        <v>158</v>
      </c>
      <c r="O1079" s="26">
        <v>78</v>
      </c>
      <c r="P1079" s="26">
        <v>80</v>
      </c>
      <c r="Q1079" s="26">
        <v>5</v>
      </c>
      <c r="R1079" s="26">
        <v>1</v>
      </c>
      <c r="S1079" s="26">
        <v>5</v>
      </c>
      <c r="T1079" s="26">
        <v>5</v>
      </c>
      <c r="U1079" s="26">
        <v>11</v>
      </c>
      <c r="V1079" s="26">
        <v>1</v>
      </c>
      <c r="W1079" s="26" t="s">
        <v>2076</v>
      </c>
    </row>
    <row r="1080" spans="1:23" x14ac:dyDescent="0.25">
      <c r="A1080" s="26" t="str">
        <f t="shared" si="164"/>
        <v>PREESCOLAR</v>
      </c>
      <c r="B1080" s="26" t="str">
        <f>"09DJN1428G"</f>
        <v>09DJN1428G</v>
      </c>
      <c r="C1080" s="26" t="str">
        <f>"TECOXPA                                                                                             "</f>
        <v xml:space="preserve">TECOXPA                                                                                             </v>
      </c>
      <c r="D1080" s="26" t="str">
        <f>"JORNADA AMPLIADA"</f>
        <v>JORNADA AMPLIADA</v>
      </c>
      <c r="E1080" s="26" t="str">
        <f>"AV. INDEPENDENCIA NO. 15                                                        "</f>
        <v xml:space="preserve">AV. INDEPENDENCIA NO. 15                                                        </v>
      </c>
      <c r="F1080" s="26" t="str">
        <f>"SAN FRANCISCO TECOXPA                                                                                                                       "</f>
        <v xml:space="preserve">SAN FRANCISCO TECOXPA                                                                                                                       </v>
      </c>
      <c r="G1080" s="26" t="str">
        <f>"MILPA ALTA                                                                      "</f>
        <v xml:space="preserve">MILPA ALTA                                                                      </v>
      </c>
      <c r="H1080" s="26" t="str">
        <f>"055"</f>
        <v>055</v>
      </c>
      <c r="I1080" s="26" t="str">
        <f t="shared" si="165"/>
        <v>00</v>
      </c>
      <c r="J1080" s="26" t="str">
        <f>"34 "</f>
        <v xml:space="preserve">34 </v>
      </c>
      <c r="K1080" s="26" t="str">
        <f>"EP"</f>
        <v>EP</v>
      </c>
      <c r="L1080" s="26" t="str">
        <f>"DGOSE"</f>
        <v>DGOSE</v>
      </c>
      <c r="M1080" s="26" t="str">
        <f t="shared" si="166"/>
        <v>FEDERAL</v>
      </c>
      <c r="N1080" s="26">
        <v>169</v>
      </c>
      <c r="O1080" s="26">
        <v>86</v>
      </c>
      <c r="P1080" s="26">
        <v>83</v>
      </c>
      <c r="Q1080" s="26">
        <v>5</v>
      </c>
      <c r="R1080" s="26">
        <v>1</v>
      </c>
      <c r="S1080" s="26">
        <v>5</v>
      </c>
      <c r="T1080" s="26">
        <v>5</v>
      </c>
      <c r="U1080" s="26">
        <v>11</v>
      </c>
      <c r="V1080" s="26">
        <v>1</v>
      </c>
      <c r="W1080" s="26" t="s">
        <v>2076</v>
      </c>
    </row>
    <row r="1081" spans="1:23" x14ac:dyDescent="0.25">
      <c r="A1081" s="26" t="str">
        <f t="shared" si="164"/>
        <v>PREESCOLAR</v>
      </c>
      <c r="B1081" s="26" t="str">
        <f>"09DJN1429F"</f>
        <v>09DJN1429F</v>
      </c>
      <c r="C1081" s="26" t="str">
        <f>"SELMA LAGERLOF                                                                                      "</f>
        <v xml:space="preserve">SELMA LAGERLOF                                                                                      </v>
      </c>
      <c r="D1081" s="26" t="str">
        <f>"VESPERTINO"</f>
        <v>VESPERTINO</v>
      </c>
      <c r="E1081" s="26" t="str">
        <f>"CALLE 5 No. 24                                                                  "</f>
        <v xml:space="preserve">CALLE 5 No. 24                                                                  </v>
      </c>
      <c r="F1081" s="26" t="str">
        <f>"PROGRESO NACIONAL                                                                                                                           "</f>
        <v xml:space="preserve">PROGRESO NACIONAL                                                                                                                           </v>
      </c>
      <c r="G1081" s="26" t="str">
        <f>"GUSTAVO A. MADERO                                                               "</f>
        <v xml:space="preserve">GUSTAVO A. MADERO                                                               </v>
      </c>
      <c r="H1081" s="26" t="str">
        <f>"196"</f>
        <v>196</v>
      </c>
      <c r="I1081" s="26" t="str">
        <f t="shared" si="165"/>
        <v>00</v>
      </c>
      <c r="J1081" s="26" t="str">
        <f>"32 "</f>
        <v xml:space="preserve">32 </v>
      </c>
      <c r="K1081" s="26" t="str">
        <f>"EP"</f>
        <v>EP</v>
      </c>
      <c r="L1081" s="26" t="str">
        <f>"DGOSE"</f>
        <v>DGOSE</v>
      </c>
      <c r="M1081" s="26" t="str">
        <f t="shared" si="166"/>
        <v>FEDERAL</v>
      </c>
      <c r="N1081" s="26">
        <v>99</v>
      </c>
      <c r="O1081" s="26">
        <v>46</v>
      </c>
      <c r="P1081" s="26">
        <v>53</v>
      </c>
      <c r="Q1081" s="26">
        <v>5</v>
      </c>
      <c r="R1081" s="26">
        <v>1</v>
      </c>
      <c r="S1081" s="26">
        <v>5</v>
      </c>
      <c r="T1081" s="26">
        <v>4</v>
      </c>
      <c r="U1081" s="26">
        <v>10</v>
      </c>
      <c r="V1081" s="26">
        <v>1</v>
      </c>
      <c r="W1081" s="26"/>
    </row>
    <row r="1082" spans="1:23" x14ac:dyDescent="0.25">
      <c r="A1082" s="26" t="str">
        <f t="shared" si="164"/>
        <v>PREESCOLAR</v>
      </c>
      <c r="B1082" s="26" t="str">
        <f>"09DJN1430V"</f>
        <v>09DJN1430V</v>
      </c>
      <c r="C1082" s="26" t="str">
        <f>"HELEN KELLER                                                                                        "</f>
        <v xml:space="preserve">HELEN KELLER                                                                                        </v>
      </c>
      <c r="D1082" s="26" t="str">
        <f>"VESPERTINO"</f>
        <v>VESPERTINO</v>
      </c>
      <c r="E1082" s="26" t="str">
        <f>"2A CDA. DE CALLE 633 S/N                                                        "</f>
        <v xml:space="preserve">2A CDA. DE CALLE 633 S/N                                                        </v>
      </c>
      <c r="F1082" s="26" t="str">
        <f>"SAN JUAN DE ARAGON AMPLIACION                                                                                                               "</f>
        <v xml:space="preserve">SAN JUAN DE ARAGON AMPLIACION                                                                                                               </v>
      </c>
      <c r="G1082" s="26" t="str">
        <f>"GUSTAVO A. MADERO                                                               "</f>
        <v xml:space="preserve">GUSTAVO A. MADERO                                                               </v>
      </c>
      <c r="H1082" s="26" t="str">
        <f>"199"</f>
        <v>199</v>
      </c>
      <c r="I1082" s="26" t="str">
        <f t="shared" si="165"/>
        <v>00</v>
      </c>
      <c r="J1082" s="26" t="str">
        <f>"32 "</f>
        <v xml:space="preserve">32 </v>
      </c>
      <c r="K1082" s="26" t="str">
        <f>"EP"</f>
        <v>EP</v>
      </c>
      <c r="L1082" s="26" t="str">
        <f>"DGOSE"</f>
        <v>DGOSE</v>
      </c>
      <c r="M1082" s="26" t="str">
        <f t="shared" si="166"/>
        <v>FEDERAL</v>
      </c>
      <c r="N1082" s="26">
        <v>116</v>
      </c>
      <c r="O1082" s="26">
        <v>62</v>
      </c>
      <c r="P1082" s="26">
        <v>54</v>
      </c>
      <c r="Q1082" s="26">
        <v>4</v>
      </c>
      <c r="R1082" s="26">
        <v>1</v>
      </c>
      <c r="S1082" s="26">
        <v>4</v>
      </c>
      <c r="T1082" s="26">
        <v>4</v>
      </c>
      <c r="U1082" s="26">
        <v>9</v>
      </c>
      <c r="V1082" s="26">
        <v>1</v>
      </c>
      <c r="W1082" s="26"/>
    </row>
    <row r="1083" spans="1:23" x14ac:dyDescent="0.25">
      <c r="A1083" s="26" t="str">
        <f t="shared" si="164"/>
        <v>PREESCOLAR</v>
      </c>
      <c r="B1083" s="26" t="str">
        <f>"09DJN1431U"</f>
        <v>09DJN1431U</v>
      </c>
      <c r="C1083" s="26" t="str">
        <f>"MARIA IZQUIERDO                                                                                     "</f>
        <v xml:space="preserve">MARIA IZQUIERDO                                                                                     </v>
      </c>
      <c r="D1083" s="26" t="str">
        <f>"VESPERTINO"</f>
        <v>VESPERTINO</v>
      </c>
      <c r="E1083" s="26" t="str">
        <f>"BATALLA 5 DE MAYO S/N.                                                          "</f>
        <v xml:space="preserve">BATALLA 5 DE MAYO S/N.                                                          </v>
      </c>
      <c r="F1083" s="26" t="str">
        <f>"EJERCITO DE AGUA PRIETA                                                                                                                     "</f>
        <v xml:space="preserve">EJERCITO DE AGUA PRIETA                                                                                                                     </v>
      </c>
      <c r="G1083" s="26" t="str">
        <f>"IZTAPALAPA                                                                      "</f>
        <v xml:space="preserve">IZTAPALAPA                                                                      </v>
      </c>
      <c r="H1083" s="26" t="str">
        <f>"017"</f>
        <v>017</v>
      </c>
      <c r="I1083" s="26" t="str">
        <f t="shared" si="165"/>
        <v>00</v>
      </c>
      <c r="J1083" s="26" t="str">
        <f>"62 "</f>
        <v xml:space="preserve">62 </v>
      </c>
      <c r="K1083" s="26" t="str">
        <f>"IZ"</f>
        <v>IZ</v>
      </c>
      <c r="L1083" s="26" t="str">
        <f>"DGSEI"</f>
        <v>DGSEI</v>
      </c>
      <c r="M1083" s="26" t="str">
        <f t="shared" si="166"/>
        <v>FEDERAL</v>
      </c>
      <c r="N1083" s="26">
        <v>94</v>
      </c>
      <c r="O1083" s="26">
        <v>50</v>
      </c>
      <c r="P1083" s="26">
        <v>44</v>
      </c>
      <c r="Q1083" s="26">
        <v>3</v>
      </c>
      <c r="R1083" s="26">
        <v>1</v>
      </c>
      <c r="S1083" s="26">
        <v>3</v>
      </c>
      <c r="T1083" s="26">
        <v>4</v>
      </c>
      <c r="U1083" s="26">
        <v>8</v>
      </c>
      <c r="V1083" s="26">
        <v>1</v>
      </c>
      <c r="W1083" s="26"/>
    </row>
    <row r="1084" spans="1:23" x14ac:dyDescent="0.25">
      <c r="A1084" s="26" t="str">
        <f t="shared" si="164"/>
        <v>PREESCOLAR</v>
      </c>
      <c r="B1084" s="26" t="str">
        <f>"09DJN1432T"</f>
        <v>09DJN1432T</v>
      </c>
      <c r="C1084" s="26" t="str">
        <f>"TIERRA UNIDA                                                                                        "</f>
        <v xml:space="preserve">TIERRA UNIDA                                                                                        </v>
      </c>
      <c r="D1084" s="26" t="str">
        <f>"JORNADA AMPLIADA"</f>
        <v>JORNADA AMPLIADA</v>
      </c>
      <c r="E1084" s="26" t="str">
        <f>"ANDADOR 17 S/N                                                                  "</f>
        <v xml:space="preserve">ANDADOR 17 S/N                                                                  </v>
      </c>
      <c r="F1084" s="26" t="str">
        <f>"TIERRA UNIDA                                                                                                                                "</f>
        <v xml:space="preserve">TIERRA UNIDA                                                                                                                                </v>
      </c>
      <c r="G1084" s="26" t="str">
        <f>"LA MAGDALENA CONTRERAS                                                          "</f>
        <v xml:space="preserve">LA MAGDALENA CONTRERAS                                                          </v>
      </c>
      <c r="H1084" s="26" t="str">
        <f>"079"</f>
        <v>079</v>
      </c>
      <c r="I1084" s="26" t="str">
        <f t="shared" si="165"/>
        <v>00</v>
      </c>
      <c r="J1084" s="26" t="str">
        <f>"34 "</f>
        <v xml:space="preserve">34 </v>
      </c>
      <c r="K1084" s="26" t="str">
        <f>"EP"</f>
        <v>EP</v>
      </c>
      <c r="L1084" s="26" t="str">
        <f>"DGOSE"</f>
        <v>DGOSE</v>
      </c>
      <c r="M1084" s="26" t="str">
        <f t="shared" si="166"/>
        <v>FEDERAL</v>
      </c>
      <c r="N1084" s="26">
        <v>159</v>
      </c>
      <c r="O1084" s="26">
        <v>78</v>
      </c>
      <c r="P1084" s="26">
        <v>81</v>
      </c>
      <c r="Q1084" s="26">
        <v>5</v>
      </c>
      <c r="R1084" s="26">
        <v>1</v>
      </c>
      <c r="S1084" s="26">
        <v>3</v>
      </c>
      <c r="T1084" s="26">
        <v>4</v>
      </c>
      <c r="U1084" s="26">
        <v>8</v>
      </c>
      <c r="V1084" s="26">
        <v>1</v>
      </c>
      <c r="W1084" s="26" t="s">
        <v>2076</v>
      </c>
    </row>
    <row r="1085" spans="1:23" x14ac:dyDescent="0.25">
      <c r="A1085" s="26" t="str">
        <f t="shared" si="164"/>
        <v>PREESCOLAR</v>
      </c>
      <c r="B1085" s="26" t="str">
        <f>"09DJN3000S"</f>
        <v>09DJN3000S</v>
      </c>
      <c r="C1085" s="26" t="str">
        <f>"LABORATORIO PEDAGÓGICO ""LAURO AGUIRRE"" ANEXO A LA ENMJN                                             "</f>
        <v xml:space="preserve">LABORATORIO PEDAGÓGICO "LAURO AGUIRRE" ANEXO A LA ENMJN                                             </v>
      </c>
      <c r="D1085" s="26" t="str">
        <f t="shared" ref="D1085:D1148" si="174">"MATUTINO"</f>
        <v>MATUTINO</v>
      </c>
      <c r="E1085" s="26" t="str">
        <f>"GUSTAVO E. CAMPA NO 94                                                          "</f>
        <v xml:space="preserve">GUSTAVO E. CAMPA NO 94                                                          </v>
      </c>
      <c r="F1085" s="26" t="str">
        <f>"GUADALUPE INN                                                                                                                               "</f>
        <v xml:space="preserve">GUADALUPE INN                                                                                                                               </v>
      </c>
      <c r="G1085" s="26" t="str">
        <f>"ALVARO OBREGON                                                                  "</f>
        <v xml:space="preserve">ALVARO OBREGON                                                                  </v>
      </c>
      <c r="H1085" s="26" t="str">
        <f>"216"</f>
        <v>216</v>
      </c>
      <c r="I1085" s="26" t="str">
        <f t="shared" si="165"/>
        <v>00</v>
      </c>
      <c r="J1085" s="26" t="str">
        <f>"91 "</f>
        <v xml:space="preserve">91 </v>
      </c>
      <c r="K1085" s="26" t="str">
        <f>"EN"</f>
        <v>EN</v>
      </c>
      <c r="L1085" s="26" t="str">
        <f>"DGENAM"</f>
        <v>DGENAM</v>
      </c>
      <c r="M1085" s="26" t="str">
        <f t="shared" si="166"/>
        <v>FEDERAL</v>
      </c>
      <c r="N1085" s="26">
        <v>240</v>
      </c>
      <c r="O1085" s="26">
        <v>120</v>
      </c>
      <c r="P1085" s="26">
        <v>120</v>
      </c>
      <c r="Q1085" s="26">
        <v>9</v>
      </c>
      <c r="R1085" s="26">
        <v>1</v>
      </c>
      <c r="S1085" s="26">
        <v>9</v>
      </c>
      <c r="T1085" s="26">
        <v>21</v>
      </c>
      <c r="U1085" s="26">
        <v>31</v>
      </c>
      <c r="V1085" s="26">
        <v>1</v>
      </c>
      <c r="W1085" s="26"/>
    </row>
    <row r="1086" spans="1:23" x14ac:dyDescent="0.25">
      <c r="A1086" s="26" t="str">
        <f t="shared" si="164"/>
        <v>PREESCOLAR</v>
      </c>
      <c r="B1086" s="26" t="str">
        <f>"09NJN1085I"</f>
        <v>09NJN1085I</v>
      </c>
      <c r="C1086" s="26" t="str">
        <f>"JARDIN DE NIÑOS AGUSTIN MELGAR                                                                      "</f>
        <v xml:space="preserve">JARDIN DE NIÑOS AGUSTIN MELGAR                                                                      </v>
      </c>
      <c r="D1086" s="26" t="str">
        <f t="shared" si="174"/>
        <v>MATUTINO</v>
      </c>
      <c r="E1086" s="26" t="str">
        <f>"AV. DEL CONSCRIPTO S/N PUERTA NO. 3 DEL CAMPO MILITAR NO 1 A                    "</f>
        <v xml:space="preserve">AV. DEL CONSCRIPTO S/N PUERTA NO. 3 DEL CAMPO MILITAR NO 1 A                    </v>
      </c>
      <c r="F1086" s="26" t="str">
        <f>"LOMAS DE SOTELO                                                                                                                             "</f>
        <v xml:space="preserve">LOMAS DE SOTELO                                                                                                                             </v>
      </c>
      <c r="G1086" s="26" t="str">
        <f>"MIGUEL HIDALGO                                                                  "</f>
        <v xml:space="preserve">MIGUEL HIDALGO                                                                  </v>
      </c>
      <c r="H1086" s="26" t="str">
        <f>"136"</f>
        <v>136</v>
      </c>
      <c r="I1086" s="26" t="str">
        <f t="shared" si="165"/>
        <v>00</v>
      </c>
      <c r="J1086" s="26" t="str">
        <f>"31 "</f>
        <v xml:space="preserve">31 </v>
      </c>
      <c r="K1086" s="26" t="str">
        <f t="shared" ref="K1086:K1147" si="175">"EP"</f>
        <v>EP</v>
      </c>
      <c r="L1086" s="26" t="str">
        <f t="shared" ref="L1086:L1147" si="176">"DGOSE"</f>
        <v>DGOSE</v>
      </c>
      <c r="M1086" s="26" t="str">
        <f t="shared" si="166"/>
        <v>FEDERAL</v>
      </c>
      <c r="N1086" s="26">
        <v>224</v>
      </c>
      <c r="O1086" s="26">
        <v>106</v>
      </c>
      <c r="P1086" s="26">
        <v>118</v>
      </c>
      <c r="Q1086" s="26">
        <v>9</v>
      </c>
      <c r="R1086" s="26">
        <v>1</v>
      </c>
      <c r="S1086" s="26">
        <v>9</v>
      </c>
      <c r="T1086" s="26">
        <v>14</v>
      </c>
      <c r="U1086" s="26">
        <v>24</v>
      </c>
      <c r="V1086" s="26">
        <v>1</v>
      </c>
      <c r="W1086" s="26"/>
    </row>
    <row r="1087" spans="1:23" x14ac:dyDescent="0.25">
      <c r="A1087" s="26" t="str">
        <f t="shared" si="164"/>
        <v>PREESCOLAR</v>
      </c>
      <c r="B1087" s="26" t="str">
        <f>"09PJN0001B"</f>
        <v>09PJN0001B</v>
      </c>
      <c r="C1087" s="26" t="str">
        <f>"MADAME CURIE                                                                                        "</f>
        <v xml:space="preserve">MADAME CURIE                                                                                        </v>
      </c>
      <c r="D1087" s="26" t="str">
        <f t="shared" si="174"/>
        <v>MATUTINO</v>
      </c>
      <c r="E1087" s="26" t="str">
        <f>"PARANAGUA NO. 1110                                                              "</f>
        <v xml:space="preserve">PARANAGUA NO. 1110                                                              </v>
      </c>
      <c r="F1087" s="26" t="str">
        <f>"RESIDENCIAL ZACATENCO                                                                                                                       "</f>
        <v xml:space="preserve">RESIDENCIAL ZACATENCO                                                                                                                       </v>
      </c>
      <c r="G1087" s="26" t="str">
        <f>"GUSTAVO A. MADERO                                                               "</f>
        <v xml:space="preserve">GUSTAVO A. MADERO                                                               </v>
      </c>
      <c r="H1087" s="26" t="str">
        <f>"197"</f>
        <v>197</v>
      </c>
      <c r="I1087" s="26" t="str">
        <f t="shared" si="165"/>
        <v>00</v>
      </c>
      <c r="J1087" s="26" t="str">
        <f>"32 "</f>
        <v xml:space="preserve">32 </v>
      </c>
      <c r="K1087" s="26" t="str">
        <f t="shared" si="175"/>
        <v>EP</v>
      </c>
      <c r="L1087" s="26" t="str">
        <f t="shared" si="176"/>
        <v>DGOSE</v>
      </c>
      <c r="M1087" s="26" t="str">
        <f t="shared" ref="M1087:M1150" si="177">"PARTICULAR"</f>
        <v>PARTICULAR</v>
      </c>
      <c r="N1087" s="26">
        <v>20</v>
      </c>
      <c r="O1087" s="26">
        <v>8</v>
      </c>
      <c r="P1087" s="26">
        <v>12</v>
      </c>
      <c r="Q1087" s="26">
        <v>2</v>
      </c>
      <c r="R1087" s="26">
        <v>1</v>
      </c>
      <c r="S1087" s="26">
        <v>2</v>
      </c>
      <c r="T1087" s="26">
        <v>3</v>
      </c>
      <c r="U1087" s="26">
        <v>6</v>
      </c>
      <c r="V1087" s="26">
        <v>1</v>
      </c>
      <c r="W1087" s="26"/>
    </row>
    <row r="1088" spans="1:23" x14ac:dyDescent="0.25">
      <c r="A1088" s="26" t="str">
        <f t="shared" si="164"/>
        <v>PREESCOLAR</v>
      </c>
      <c r="B1088" s="26" t="str">
        <f>"09PJN0002A"</f>
        <v>09PJN0002A</v>
      </c>
      <c r="C1088" s="26" t="str">
        <f>"JARDÍN DE NIÑOS ANEXO A LA ESCUELA PRIMARIA AMERICANA                                               "</f>
        <v xml:space="preserve">JARDÍN DE NIÑOS ANEXO A LA ESCUELA PRIMARIA AMERICANA                                               </v>
      </c>
      <c r="D1088" s="26" t="str">
        <f t="shared" si="174"/>
        <v>MATUTINO</v>
      </c>
      <c r="E1088" s="26" t="str">
        <f>"CALLE 3 NO. 38                                                                  "</f>
        <v xml:space="preserve">CALLE 3 NO. 38                                                                  </v>
      </c>
      <c r="F1088" s="26" t="str">
        <f>"SAN PEDRO DE LOS PINOS                                                                                                                      "</f>
        <v xml:space="preserve">SAN PEDRO DE LOS PINOS                                                                                                                      </v>
      </c>
      <c r="G1088" s="26" t="str">
        <f>"BENITO JUAREZ                                                                   "</f>
        <v xml:space="preserve">BENITO JUAREZ                                                                   </v>
      </c>
      <c r="H1088" s="26" t="str">
        <f>"032"</f>
        <v>032</v>
      </c>
      <c r="I1088" s="26" t="str">
        <f t="shared" si="165"/>
        <v>00</v>
      </c>
      <c r="J1088" s="26" t="str">
        <f>"33 "</f>
        <v xml:space="preserve">33 </v>
      </c>
      <c r="K1088" s="26" t="str">
        <f t="shared" si="175"/>
        <v>EP</v>
      </c>
      <c r="L1088" s="26" t="str">
        <f t="shared" si="176"/>
        <v>DGOSE</v>
      </c>
      <c r="M1088" s="26" t="str">
        <f t="shared" si="177"/>
        <v>PARTICULAR</v>
      </c>
      <c r="N1088" s="26">
        <v>99</v>
      </c>
      <c r="O1088" s="26">
        <v>44</v>
      </c>
      <c r="P1088" s="26">
        <v>55</v>
      </c>
      <c r="Q1088" s="26">
        <v>5</v>
      </c>
      <c r="R1088" s="26">
        <v>1</v>
      </c>
      <c r="S1088" s="26">
        <v>5</v>
      </c>
      <c r="T1088" s="26">
        <v>3</v>
      </c>
      <c r="U1088" s="26">
        <v>9</v>
      </c>
      <c r="V1088" s="26">
        <v>1</v>
      </c>
      <c r="W1088" s="26"/>
    </row>
    <row r="1089" spans="1:23" x14ac:dyDescent="0.25">
      <c r="A1089" s="26" t="str">
        <f t="shared" si="164"/>
        <v>PREESCOLAR</v>
      </c>
      <c r="B1089" s="26" t="str">
        <f>"09PJN0004Z"</f>
        <v>09PJN0004Z</v>
      </c>
      <c r="C1089" s="26" t="str">
        <f>"CENTRO PEDAGOGICO PIERRE FAURE                                                                      "</f>
        <v xml:space="preserve">CENTRO PEDAGOGICO PIERRE FAURE                                                                      </v>
      </c>
      <c r="D1089" s="26" t="str">
        <f t="shared" si="174"/>
        <v>MATUTINO</v>
      </c>
      <c r="E1089" s="26" t="str">
        <f>"LOPEZ COTILLA NO. 1807                                                          "</f>
        <v xml:space="preserve">LOPEZ COTILLA NO. 1807                                                          </v>
      </c>
      <c r="F1089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1089" s="26" t="str">
        <f>"BENITO JUAREZ                                                                   "</f>
        <v xml:space="preserve">BENITO JUAREZ                                                                   </v>
      </c>
      <c r="H1089" s="26" t="str">
        <f>"110"</f>
        <v>110</v>
      </c>
      <c r="I1089" s="26" t="str">
        <f t="shared" si="165"/>
        <v>00</v>
      </c>
      <c r="J1089" s="26" t="str">
        <f>"33 "</f>
        <v xml:space="preserve">33 </v>
      </c>
      <c r="K1089" s="26" t="str">
        <f t="shared" si="175"/>
        <v>EP</v>
      </c>
      <c r="L1089" s="26" t="str">
        <f t="shared" si="176"/>
        <v>DGOSE</v>
      </c>
      <c r="M1089" s="26" t="str">
        <f t="shared" si="177"/>
        <v>PARTICULAR</v>
      </c>
      <c r="N1089" s="26">
        <v>33</v>
      </c>
      <c r="O1089" s="26">
        <v>13</v>
      </c>
      <c r="P1089" s="26">
        <v>20</v>
      </c>
      <c r="Q1089" s="26">
        <v>3</v>
      </c>
      <c r="R1089" s="26">
        <v>1</v>
      </c>
      <c r="S1089" s="26">
        <v>3</v>
      </c>
      <c r="T1089" s="26">
        <v>9</v>
      </c>
      <c r="U1089" s="26">
        <v>13</v>
      </c>
      <c r="V1089" s="26">
        <v>1</v>
      </c>
      <c r="W1089" s="26"/>
    </row>
    <row r="1090" spans="1:23" x14ac:dyDescent="0.25">
      <c r="A1090" s="26" t="str">
        <f t="shared" ref="A1090:A1153" si="178">"PREESCOLAR"</f>
        <v>PREESCOLAR</v>
      </c>
      <c r="B1090" s="26" t="str">
        <f>"09PJN0007W"</f>
        <v>09PJN0007W</v>
      </c>
      <c r="C1090" s="26" t="str">
        <f>"LICEO FRANCO MEXICANO                                                                               "</f>
        <v xml:space="preserve">LICEO FRANCO MEXICANO                                                                               </v>
      </c>
      <c r="D1090" s="26" t="str">
        <f t="shared" si="174"/>
        <v>MATUTINO</v>
      </c>
      <c r="E1090" s="26" t="str">
        <f>"AV. HOMERO NO. 1521                                                             "</f>
        <v xml:space="preserve">AV. HOMERO NO. 1521                                                             </v>
      </c>
      <c r="F1090" s="26" t="str">
        <f>"POLANCO REFORMA                                                                                                                             "</f>
        <v xml:space="preserve">POLANCO REFORMA                                                                                                                             </v>
      </c>
      <c r="G1090" s="26" t="str">
        <f>"MIGUEL HIDALGO                                                                  "</f>
        <v xml:space="preserve">MIGUEL HIDALGO                                                                  </v>
      </c>
      <c r="H1090" s="26" t="str">
        <f>"075"</f>
        <v>075</v>
      </c>
      <c r="I1090" s="26" t="str">
        <f t="shared" ref="I1090:I1153" si="179">"00"</f>
        <v>00</v>
      </c>
      <c r="J1090" s="26" t="str">
        <f>"32 "</f>
        <v xml:space="preserve">32 </v>
      </c>
      <c r="K1090" s="26" t="str">
        <f t="shared" si="175"/>
        <v>EP</v>
      </c>
      <c r="L1090" s="26" t="str">
        <f t="shared" si="176"/>
        <v>DGOSE</v>
      </c>
      <c r="M1090" s="26" t="str">
        <f t="shared" si="177"/>
        <v>PARTICULAR</v>
      </c>
      <c r="N1090" s="26">
        <v>85</v>
      </c>
      <c r="O1090" s="26">
        <v>38</v>
      </c>
      <c r="P1090" s="26">
        <v>47</v>
      </c>
      <c r="Q1090" s="26">
        <v>3</v>
      </c>
      <c r="R1090" s="26">
        <v>1</v>
      </c>
      <c r="S1090" s="26">
        <v>3</v>
      </c>
      <c r="T1090" s="26">
        <v>10</v>
      </c>
      <c r="U1090" s="26">
        <v>14</v>
      </c>
      <c r="V1090" s="26">
        <v>1</v>
      </c>
      <c r="W1090" s="26"/>
    </row>
    <row r="1091" spans="1:23" x14ac:dyDescent="0.25">
      <c r="A1091" s="26" t="str">
        <f t="shared" si="178"/>
        <v>PREESCOLAR</v>
      </c>
      <c r="B1091" s="26" t="str">
        <f>"09PJN0008V"</f>
        <v>09PJN0008V</v>
      </c>
      <c r="C1091" s="26" t="str">
        <f>"JARDIN DE NIÑOS VIENA                                                                               "</f>
        <v xml:space="preserve">JARDIN DE NIÑOS VIENA                                                                               </v>
      </c>
      <c r="D1091" s="26" t="str">
        <f t="shared" si="174"/>
        <v>MATUTINO</v>
      </c>
      <c r="E1091" s="26" t="str">
        <f>"MANUEL NAVARRETE NO. 27                                                         "</f>
        <v xml:space="preserve">MANUEL NAVARRETE NO. 27                                                         </v>
      </c>
      <c r="F1091" s="26" t="str">
        <f>"ALGARIN                                                                                                                                     "</f>
        <v xml:space="preserve">ALGARIN                                                                                                                                     </v>
      </c>
      <c r="G1091" s="26" t="s">
        <v>4128</v>
      </c>
      <c r="H1091" s="26" t="str">
        <f>"022"</f>
        <v>022</v>
      </c>
      <c r="I1091" s="26" t="str">
        <f t="shared" si="179"/>
        <v>00</v>
      </c>
      <c r="J1091" s="26" t="str">
        <f>"32 "</f>
        <v xml:space="preserve">32 </v>
      </c>
      <c r="K1091" s="26" t="str">
        <f t="shared" si="175"/>
        <v>EP</v>
      </c>
      <c r="L1091" s="26" t="str">
        <f t="shared" si="176"/>
        <v>DGOSE</v>
      </c>
      <c r="M1091" s="26" t="str">
        <f t="shared" si="177"/>
        <v>PARTICULAR</v>
      </c>
      <c r="N1091" s="26">
        <v>48</v>
      </c>
      <c r="O1091" s="26">
        <v>26</v>
      </c>
      <c r="P1091" s="26">
        <v>22</v>
      </c>
      <c r="Q1091" s="26">
        <v>3</v>
      </c>
      <c r="R1091" s="26">
        <v>1</v>
      </c>
      <c r="S1091" s="26">
        <v>3</v>
      </c>
      <c r="T1091" s="26">
        <v>7</v>
      </c>
      <c r="U1091" s="26">
        <v>11</v>
      </c>
      <c r="V1091" s="26">
        <v>1</v>
      </c>
      <c r="W1091" s="26"/>
    </row>
    <row r="1092" spans="1:23" x14ac:dyDescent="0.25">
      <c r="A1092" s="26" t="str">
        <f t="shared" si="178"/>
        <v>PREESCOLAR</v>
      </c>
      <c r="B1092" s="26" t="str">
        <f>"09PJN0018B"</f>
        <v>09PJN0018B</v>
      </c>
      <c r="C1092" s="26" t="str">
        <f>"CENTRO EDUCATIVO EXEA                                                                               "</f>
        <v xml:space="preserve">CENTRO EDUCATIVO EXEA                                                                               </v>
      </c>
      <c r="D1092" s="26" t="str">
        <f t="shared" si="174"/>
        <v>MATUTINO</v>
      </c>
      <c r="E1092" s="26" t="str">
        <f>"EJE 10 SUR NO. 49                                                               "</f>
        <v xml:space="preserve">EJE 10 SUR NO. 49                                                               </v>
      </c>
      <c r="F1092" s="26" t="str">
        <f>"LOS REYES                                                                                                                                   "</f>
        <v xml:space="preserve">LOS REYES                                                                                                                                   </v>
      </c>
      <c r="G1092" s="26" t="str">
        <f>"COYOACAN                                                                        "</f>
        <v xml:space="preserve">COYOACAN                                                                        </v>
      </c>
      <c r="H1092" s="26" t="str">
        <f>"237"</f>
        <v>237</v>
      </c>
      <c r="I1092" s="26" t="str">
        <f t="shared" si="179"/>
        <v>00</v>
      </c>
      <c r="J1092" s="26" t="str">
        <f>"35 "</f>
        <v xml:space="preserve">35 </v>
      </c>
      <c r="K1092" s="26" t="str">
        <f t="shared" si="175"/>
        <v>EP</v>
      </c>
      <c r="L1092" s="26" t="str">
        <f t="shared" si="176"/>
        <v>DGOSE</v>
      </c>
      <c r="M1092" s="26" t="str">
        <f t="shared" si="177"/>
        <v>PARTICULAR</v>
      </c>
      <c r="N1092" s="26">
        <v>50</v>
      </c>
      <c r="O1092" s="26">
        <v>31</v>
      </c>
      <c r="P1092" s="26">
        <v>19</v>
      </c>
      <c r="Q1092" s="26">
        <v>3</v>
      </c>
      <c r="R1092" s="26">
        <v>1</v>
      </c>
      <c r="S1092" s="26">
        <v>3</v>
      </c>
      <c r="T1092" s="26">
        <v>4</v>
      </c>
      <c r="U1092" s="26">
        <v>8</v>
      </c>
      <c r="V1092" s="26">
        <v>1</v>
      </c>
      <c r="W1092" s="26"/>
    </row>
    <row r="1093" spans="1:23" x14ac:dyDescent="0.25">
      <c r="A1093" s="26" t="str">
        <f t="shared" si="178"/>
        <v>PREESCOLAR</v>
      </c>
      <c r="B1093" s="26" t="str">
        <f>"09PJN0024M"</f>
        <v>09PJN0024M</v>
      </c>
      <c r="C1093" s="26" t="str">
        <f>"JARDÍN DE NIÑOS BALBUENA                                                                            "</f>
        <v xml:space="preserve">JARDÍN DE NIÑOS BALBUENA                                                                            </v>
      </c>
      <c r="D1093" s="26" t="str">
        <f t="shared" si="174"/>
        <v>MATUTINO</v>
      </c>
      <c r="E1093" s="26" t="str">
        <f>"RETORNO 16 DE GENARO GARCIA NO. 49                                              "</f>
        <v xml:space="preserve">RETORNO 16 DE GENARO GARCIA NO. 49                                              </v>
      </c>
      <c r="F1093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1093" s="26" t="str">
        <f>"VENUSTIANO CARRANZA                                                             "</f>
        <v xml:space="preserve">VENUSTIANO CARRANZA                                                             </v>
      </c>
      <c r="H1093" s="26" t="str">
        <f>"096"</f>
        <v>096</v>
      </c>
      <c r="I1093" s="26" t="str">
        <f t="shared" si="179"/>
        <v>00</v>
      </c>
      <c r="J1093" s="26" t="str">
        <f t="shared" ref="J1093:J1103" si="180">"33 "</f>
        <v xml:space="preserve">33 </v>
      </c>
      <c r="K1093" s="26" t="str">
        <f t="shared" si="175"/>
        <v>EP</v>
      </c>
      <c r="L1093" s="26" t="str">
        <f t="shared" si="176"/>
        <v>DGOSE</v>
      </c>
      <c r="M1093" s="26" t="str">
        <f t="shared" si="177"/>
        <v>PARTICULAR</v>
      </c>
      <c r="N1093" s="26">
        <v>132</v>
      </c>
      <c r="O1093" s="26">
        <v>68</v>
      </c>
      <c r="P1093" s="26">
        <v>64</v>
      </c>
      <c r="Q1093" s="26">
        <v>5</v>
      </c>
      <c r="R1093" s="26">
        <v>1</v>
      </c>
      <c r="S1093" s="26">
        <v>5</v>
      </c>
      <c r="T1093" s="26">
        <v>8</v>
      </c>
      <c r="U1093" s="26">
        <v>14</v>
      </c>
      <c r="V1093" s="26">
        <v>1</v>
      </c>
      <c r="W1093" s="26"/>
    </row>
    <row r="1094" spans="1:23" x14ac:dyDescent="0.25">
      <c r="A1094" s="26" t="str">
        <f t="shared" si="178"/>
        <v>PREESCOLAR</v>
      </c>
      <c r="B1094" s="26" t="str">
        <f>"09PJN0032V"</f>
        <v>09PJN0032V</v>
      </c>
      <c r="C1094" s="26" t="str">
        <f>"LAS HORMIGUITAS                                                                                     "</f>
        <v xml:space="preserve">LAS HORMIGUITAS                                                                                     </v>
      </c>
      <c r="D1094" s="26" t="str">
        <f t="shared" si="174"/>
        <v>MATUTINO</v>
      </c>
      <c r="E1094" s="26" t="str">
        <f>"RETORNO 6 FRAY SERVANDO T. DE MIER NO. 7                                        "</f>
        <v xml:space="preserve">RETORNO 6 FRAY SERVANDO T. DE MIER NO. 7                                        </v>
      </c>
      <c r="F1094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1094" s="26" t="str">
        <f>"VENUSTIANO CARRANZA                                                             "</f>
        <v xml:space="preserve">VENUSTIANO CARRANZA                                                             </v>
      </c>
      <c r="H1094" s="26" t="str">
        <f>"130"</f>
        <v>130</v>
      </c>
      <c r="I1094" s="26" t="str">
        <f t="shared" si="179"/>
        <v>00</v>
      </c>
      <c r="J1094" s="26" t="str">
        <f t="shared" si="180"/>
        <v xml:space="preserve">33 </v>
      </c>
      <c r="K1094" s="26" t="str">
        <f t="shared" si="175"/>
        <v>EP</v>
      </c>
      <c r="L1094" s="26" t="str">
        <f t="shared" si="176"/>
        <v>DGOSE</v>
      </c>
      <c r="M1094" s="26" t="str">
        <f t="shared" si="177"/>
        <v>PARTICULAR</v>
      </c>
      <c r="N1094" s="26">
        <v>50</v>
      </c>
      <c r="O1094" s="26">
        <v>29</v>
      </c>
      <c r="P1094" s="26">
        <v>21</v>
      </c>
      <c r="Q1094" s="26">
        <v>3</v>
      </c>
      <c r="R1094" s="26">
        <v>1</v>
      </c>
      <c r="S1094" s="26">
        <v>3</v>
      </c>
      <c r="T1094" s="26">
        <v>5</v>
      </c>
      <c r="U1094" s="26">
        <v>9</v>
      </c>
      <c r="V1094" s="26">
        <v>1</v>
      </c>
      <c r="W1094" s="26"/>
    </row>
    <row r="1095" spans="1:23" x14ac:dyDescent="0.25">
      <c r="A1095" s="26" t="str">
        <f t="shared" si="178"/>
        <v>PREESCOLAR</v>
      </c>
      <c r="B1095" s="26" t="str">
        <f>"09PJN0037Q"</f>
        <v>09PJN0037Q</v>
      </c>
      <c r="C1095" s="26" t="str">
        <f>"MARISOL                                                                                             "</f>
        <v xml:space="preserve">MARISOL                                                                                             </v>
      </c>
      <c r="D1095" s="26" t="str">
        <f t="shared" si="174"/>
        <v>MATUTINO</v>
      </c>
      <c r="E1095" s="26" t="str">
        <f>"PERSIA No. 231                                                                  "</f>
        <v xml:space="preserve">PERSIA No. 231                                                                  </v>
      </c>
      <c r="F1095" s="26" t="str">
        <f>"PENSADOR MEXICANO                                                                                                                           "</f>
        <v xml:space="preserve">PENSADOR MEXICANO                                                                                                                           </v>
      </c>
      <c r="G1095" s="26" t="str">
        <f>"VENUSTIANO CARRANZA                                                             "</f>
        <v xml:space="preserve">VENUSTIANO CARRANZA                                                             </v>
      </c>
      <c r="H1095" s="26" t="str">
        <f>"130"</f>
        <v>130</v>
      </c>
      <c r="I1095" s="26" t="str">
        <f t="shared" si="179"/>
        <v>00</v>
      </c>
      <c r="J1095" s="26" t="str">
        <f t="shared" si="180"/>
        <v xml:space="preserve">33 </v>
      </c>
      <c r="K1095" s="26" t="str">
        <f t="shared" si="175"/>
        <v>EP</v>
      </c>
      <c r="L1095" s="26" t="str">
        <f t="shared" si="176"/>
        <v>DGOSE</v>
      </c>
      <c r="M1095" s="26" t="str">
        <f t="shared" si="177"/>
        <v>PARTICULAR</v>
      </c>
      <c r="N1095" s="26">
        <v>43</v>
      </c>
      <c r="O1095" s="26">
        <v>18</v>
      </c>
      <c r="P1095" s="26">
        <v>25</v>
      </c>
      <c r="Q1095" s="26">
        <v>3</v>
      </c>
      <c r="R1095" s="26">
        <v>1</v>
      </c>
      <c r="S1095" s="26">
        <v>3</v>
      </c>
      <c r="T1095" s="26">
        <v>2</v>
      </c>
      <c r="U1095" s="26">
        <v>6</v>
      </c>
      <c r="V1095" s="26">
        <v>1</v>
      </c>
      <c r="W1095" s="26"/>
    </row>
    <row r="1096" spans="1:23" x14ac:dyDescent="0.25">
      <c r="A1096" s="26" t="str">
        <f t="shared" si="178"/>
        <v>PREESCOLAR</v>
      </c>
      <c r="B1096" s="26" t="str">
        <f>"09PJN0040D"</f>
        <v>09PJN0040D</v>
      </c>
      <c r="C1096" s="26" t="str">
        <f>"COLEGIO LUZ MARIA                                                                                   "</f>
        <v xml:space="preserve">COLEGIO LUZ MARIA                                                                                   </v>
      </c>
      <c r="D1096" s="26" t="str">
        <f t="shared" si="174"/>
        <v>MATUTINO</v>
      </c>
      <c r="E1096" s="26" t="str">
        <f>"NORTE 17 NO. 159                                                                "</f>
        <v xml:space="preserve">NORTE 17 NO. 159                                                                </v>
      </c>
      <c r="F1096" s="26" t="str">
        <f>"MOCTEZUMA 2A SECCION                                                                                                                        "</f>
        <v xml:space="preserve">MOCTEZUMA 2A SECCION                                                                                                                        </v>
      </c>
      <c r="G1096" s="26" t="str">
        <f>"VENUSTIANO CARRANZA                                                             "</f>
        <v xml:space="preserve">VENUSTIANO CARRANZA                                                             </v>
      </c>
      <c r="H1096" s="26" t="str">
        <f>"248"</f>
        <v>248</v>
      </c>
      <c r="I1096" s="26" t="str">
        <f t="shared" si="179"/>
        <v>00</v>
      </c>
      <c r="J1096" s="26" t="str">
        <f t="shared" si="180"/>
        <v xml:space="preserve">33 </v>
      </c>
      <c r="K1096" s="26" t="str">
        <f t="shared" si="175"/>
        <v>EP</v>
      </c>
      <c r="L1096" s="26" t="str">
        <f t="shared" si="176"/>
        <v>DGOSE</v>
      </c>
      <c r="M1096" s="26" t="str">
        <f t="shared" si="177"/>
        <v>PARTICULAR</v>
      </c>
      <c r="N1096" s="26">
        <v>22</v>
      </c>
      <c r="O1096" s="26">
        <v>9</v>
      </c>
      <c r="P1096" s="26">
        <v>13</v>
      </c>
      <c r="Q1096" s="26">
        <v>3</v>
      </c>
      <c r="R1096" s="26">
        <v>1</v>
      </c>
      <c r="S1096" s="26">
        <v>3</v>
      </c>
      <c r="T1096" s="26">
        <v>3</v>
      </c>
      <c r="U1096" s="26">
        <v>7</v>
      </c>
      <c r="V1096" s="26">
        <v>1</v>
      </c>
      <c r="W1096" s="26"/>
    </row>
    <row r="1097" spans="1:23" x14ac:dyDescent="0.25">
      <c r="A1097" s="26" t="str">
        <f t="shared" si="178"/>
        <v>PREESCOLAR</v>
      </c>
      <c r="B1097" s="26" t="str">
        <f>"09PJN0041C"</f>
        <v>09PJN0041C</v>
      </c>
      <c r="C1097" s="26" t="str">
        <f>"LA PAZ DEL MUNDO                                                                                    "</f>
        <v xml:space="preserve">LA PAZ DEL MUNDO                                                                                    </v>
      </c>
      <c r="D1097" s="26" t="str">
        <f t="shared" si="174"/>
        <v>MATUTINO</v>
      </c>
      <c r="E1097" s="26" t="str">
        <f>"NORTE 25 NO. 60                                                                 "</f>
        <v xml:space="preserve">NORTE 25 NO. 60                                                                 </v>
      </c>
      <c r="F1097" s="26" t="str">
        <f>"MOCTEZUMA 2A SECCION                                                                                                                        "</f>
        <v xml:space="preserve">MOCTEZUMA 2A SECCION                                                                                                                        </v>
      </c>
      <c r="G1097" s="26" t="str">
        <f>"VENUSTIANO CARRANZA                                                             "</f>
        <v xml:space="preserve">VENUSTIANO CARRANZA                                                             </v>
      </c>
      <c r="H1097" s="26" t="str">
        <f>"248"</f>
        <v>248</v>
      </c>
      <c r="I1097" s="26" t="str">
        <f t="shared" si="179"/>
        <v>00</v>
      </c>
      <c r="J1097" s="26" t="str">
        <f t="shared" si="180"/>
        <v xml:space="preserve">33 </v>
      </c>
      <c r="K1097" s="26" t="str">
        <f t="shared" si="175"/>
        <v>EP</v>
      </c>
      <c r="L1097" s="26" t="str">
        <f t="shared" si="176"/>
        <v>DGOSE</v>
      </c>
      <c r="M1097" s="26" t="str">
        <f t="shared" si="177"/>
        <v>PARTICULAR</v>
      </c>
      <c r="N1097" s="26">
        <v>37</v>
      </c>
      <c r="O1097" s="26">
        <v>18</v>
      </c>
      <c r="P1097" s="26">
        <v>19</v>
      </c>
      <c r="Q1097" s="26">
        <v>3</v>
      </c>
      <c r="R1097" s="26">
        <v>1</v>
      </c>
      <c r="S1097" s="26">
        <v>2</v>
      </c>
      <c r="T1097" s="26">
        <v>3</v>
      </c>
      <c r="U1097" s="26">
        <v>6</v>
      </c>
      <c r="V1097" s="26">
        <v>1</v>
      </c>
      <c r="W1097" s="26"/>
    </row>
    <row r="1098" spans="1:23" x14ac:dyDescent="0.25">
      <c r="A1098" s="26" t="str">
        <f t="shared" si="178"/>
        <v>PREESCOLAR</v>
      </c>
      <c r="B1098" s="26" t="str">
        <f>"09PJN0047X"</f>
        <v>09PJN0047X</v>
      </c>
      <c r="C1098" s="26" t="str">
        <f>"COLEGIO DE LA VERA CRUZ                                                                             "</f>
        <v xml:space="preserve">COLEGIO DE LA VERA CRUZ                                                                             </v>
      </c>
      <c r="D1098" s="26" t="str">
        <f t="shared" si="174"/>
        <v>MATUTINO</v>
      </c>
      <c r="E1098" s="26" t="str">
        <f>"MANUEL GUTIERREZ ZAMORA NO. 145                                                 "</f>
        <v xml:space="preserve">MANUEL GUTIERREZ ZAMORA NO. 145                                                 </v>
      </c>
      <c r="F1098" s="26" t="str">
        <f>"LAS AGUILAS                                                                                                                                 "</f>
        <v xml:space="preserve">LAS AGUILAS                                                                                                                                 </v>
      </c>
      <c r="G1098" s="26" t="str">
        <f t="shared" ref="G1098:G1103" si="181">"ALVARO OBREGON                                                                  "</f>
        <v xml:space="preserve">ALVARO OBREGON                                                                  </v>
      </c>
      <c r="H1098" s="26" t="str">
        <f>"217"</f>
        <v>217</v>
      </c>
      <c r="I1098" s="26" t="str">
        <f t="shared" si="179"/>
        <v>00</v>
      </c>
      <c r="J1098" s="26" t="str">
        <f t="shared" si="180"/>
        <v xml:space="preserve">33 </v>
      </c>
      <c r="K1098" s="26" t="str">
        <f t="shared" si="175"/>
        <v>EP</v>
      </c>
      <c r="L1098" s="26" t="str">
        <f t="shared" si="176"/>
        <v>DGOSE</v>
      </c>
      <c r="M1098" s="26" t="str">
        <f t="shared" si="177"/>
        <v>PARTICULAR</v>
      </c>
      <c r="N1098" s="26">
        <v>64</v>
      </c>
      <c r="O1098" s="26">
        <v>36</v>
      </c>
      <c r="P1098" s="26">
        <v>28</v>
      </c>
      <c r="Q1098" s="26">
        <v>3</v>
      </c>
      <c r="R1098" s="26">
        <v>1</v>
      </c>
      <c r="S1098" s="26">
        <v>3</v>
      </c>
      <c r="T1098" s="26">
        <v>6</v>
      </c>
      <c r="U1098" s="26">
        <v>10</v>
      </c>
      <c r="V1098" s="26">
        <v>1</v>
      </c>
      <c r="W1098" s="26"/>
    </row>
    <row r="1099" spans="1:23" x14ac:dyDescent="0.25">
      <c r="A1099" s="26" t="str">
        <f t="shared" si="178"/>
        <v>PREESCOLAR</v>
      </c>
      <c r="B1099" s="26" t="str">
        <f>"09PJN0051J"</f>
        <v>09PJN0051J</v>
      </c>
      <c r="C1099" s="26" t="str">
        <f>"COLEGIO JUNIPERO                                                                                    "</f>
        <v xml:space="preserve">COLEGIO JUNIPERO                                                                                    </v>
      </c>
      <c r="D1099" s="26" t="str">
        <f t="shared" si="174"/>
        <v>MATUTINO</v>
      </c>
      <c r="E1099" s="26" t="str">
        <f>"CELULOSA NO. 15 MZA. 6 LT. 2                                                    "</f>
        <v xml:space="preserve">CELULOSA NO. 15 MZA. 6 LT. 2                                                    </v>
      </c>
      <c r="F1099" s="26" t="str">
        <f>"ESTADO DE HIDALGO                                                                                                                           "</f>
        <v xml:space="preserve">ESTADO DE HIDALGO                                                                                                                           </v>
      </c>
      <c r="G1099" s="26" t="str">
        <f t="shared" si="181"/>
        <v xml:space="preserve">ALVARO OBREGON                                                                  </v>
      </c>
      <c r="H1099" s="26" t="str">
        <f>"219"</f>
        <v>219</v>
      </c>
      <c r="I1099" s="26" t="str">
        <f t="shared" si="179"/>
        <v>00</v>
      </c>
      <c r="J1099" s="26" t="str">
        <f t="shared" si="180"/>
        <v xml:space="preserve">33 </v>
      </c>
      <c r="K1099" s="26" t="str">
        <f t="shared" si="175"/>
        <v>EP</v>
      </c>
      <c r="L1099" s="26" t="str">
        <f t="shared" si="176"/>
        <v>DGOSE</v>
      </c>
      <c r="M1099" s="26" t="str">
        <f t="shared" si="177"/>
        <v>PARTICULAR</v>
      </c>
      <c r="N1099" s="26">
        <v>167</v>
      </c>
      <c r="O1099" s="26">
        <v>69</v>
      </c>
      <c r="P1099" s="26">
        <v>98</v>
      </c>
      <c r="Q1099" s="26">
        <v>6</v>
      </c>
      <c r="R1099" s="26">
        <v>1</v>
      </c>
      <c r="S1099" s="26">
        <v>6</v>
      </c>
      <c r="T1099" s="26">
        <v>12</v>
      </c>
      <c r="U1099" s="26">
        <v>19</v>
      </c>
      <c r="V1099" s="26">
        <v>1</v>
      </c>
      <c r="W1099" s="26"/>
    </row>
    <row r="1100" spans="1:23" x14ac:dyDescent="0.25">
      <c r="A1100" s="26" t="str">
        <f t="shared" si="178"/>
        <v>PREESCOLAR</v>
      </c>
      <c r="B1100" s="26" t="str">
        <f>"09PJN0066L"</f>
        <v>09PJN0066L</v>
      </c>
      <c r="C1100" s="26" t="str">
        <f>"JARDIN DE NIÑOS PEDAGOGICO PIAGET                                                                   "</f>
        <v xml:space="preserve">JARDIN DE NIÑOS PEDAGOGICO PIAGET                                                                   </v>
      </c>
      <c r="D1100" s="26" t="str">
        <f t="shared" si="174"/>
        <v>MATUTINO</v>
      </c>
      <c r="E1100" s="26" t="str">
        <f>"NUBES NO. 419                                                                   "</f>
        <v xml:space="preserve">NUBES NO. 419                                                                   </v>
      </c>
      <c r="F1100" s="26" t="str">
        <f>"JARDINES DEL PEDREGAL                                                                                                                       "</f>
        <v xml:space="preserve">JARDINES DEL PEDREGAL                                                                                                                       </v>
      </c>
      <c r="G1100" s="26" t="str">
        <f t="shared" si="181"/>
        <v xml:space="preserve">ALVARO OBREGON                                                                  </v>
      </c>
      <c r="H1100" s="26" t="str">
        <f>"150"</f>
        <v>150</v>
      </c>
      <c r="I1100" s="26" t="str">
        <f t="shared" si="179"/>
        <v>00</v>
      </c>
      <c r="J1100" s="26" t="str">
        <f t="shared" si="180"/>
        <v xml:space="preserve">33 </v>
      </c>
      <c r="K1100" s="26" t="str">
        <f t="shared" si="175"/>
        <v>EP</v>
      </c>
      <c r="L1100" s="26" t="str">
        <f t="shared" si="176"/>
        <v>DGOSE</v>
      </c>
      <c r="M1100" s="26" t="str">
        <f t="shared" si="177"/>
        <v>PARTICULAR</v>
      </c>
      <c r="N1100" s="26">
        <v>95</v>
      </c>
      <c r="O1100" s="26">
        <v>58</v>
      </c>
      <c r="P1100" s="26">
        <v>37</v>
      </c>
      <c r="Q1100" s="26">
        <v>5</v>
      </c>
      <c r="R1100" s="26">
        <v>1</v>
      </c>
      <c r="S1100" s="26">
        <v>3</v>
      </c>
      <c r="T1100" s="26">
        <v>5</v>
      </c>
      <c r="U1100" s="26">
        <v>9</v>
      </c>
      <c r="V1100" s="26">
        <v>1</v>
      </c>
      <c r="W1100" s="26"/>
    </row>
    <row r="1101" spans="1:23" x14ac:dyDescent="0.25">
      <c r="A1101" s="26" t="str">
        <f t="shared" si="178"/>
        <v>PREESCOLAR</v>
      </c>
      <c r="B1101" s="26" t="str">
        <f>"09PJN0067K"</f>
        <v>09PJN0067K</v>
      </c>
      <c r="C1101" s="26" t="str">
        <f>"COLEGIO PETERSON CALMECAC DEL PEDREGAL                                                              "</f>
        <v xml:space="preserve">COLEGIO PETERSON CALMECAC DEL PEDREGAL                                                              </v>
      </c>
      <c r="D1101" s="26" t="str">
        <f t="shared" si="174"/>
        <v>MATUTINO</v>
      </c>
      <c r="E1101" s="26" t="str">
        <f>"LLUVIA NO. 440                                                                  "</f>
        <v xml:space="preserve">LLUVIA NO. 440                                                                  </v>
      </c>
      <c r="F1101" s="26" t="str">
        <f>"JARDINES DEL PEDREGAL                                                                                                                       "</f>
        <v xml:space="preserve">JARDINES DEL PEDREGAL                                                                                                                       </v>
      </c>
      <c r="G1101" s="26" t="str">
        <f t="shared" si="181"/>
        <v xml:space="preserve">ALVARO OBREGON                                                                  </v>
      </c>
      <c r="H1101" s="26" t="str">
        <f>"214"</f>
        <v>214</v>
      </c>
      <c r="I1101" s="26" t="str">
        <f t="shared" si="179"/>
        <v>00</v>
      </c>
      <c r="J1101" s="26" t="str">
        <f t="shared" si="180"/>
        <v xml:space="preserve">33 </v>
      </c>
      <c r="K1101" s="26" t="str">
        <f t="shared" si="175"/>
        <v>EP</v>
      </c>
      <c r="L1101" s="26" t="str">
        <f t="shared" si="176"/>
        <v>DGOSE</v>
      </c>
      <c r="M1101" s="26" t="str">
        <f t="shared" si="177"/>
        <v>PARTICULAR</v>
      </c>
      <c r="N1101" s="26">
        <v>114</v>
      </c>
      <c r="O1101" s="26">
        <v>55</v>
      </c>
      <c r="P1101" s="26">
        <v>59</v>
      </c>
      <c r="Q1101" s="26">
        <v>5</v>
      </c>
      <c r="R1101" s="26">
        <v>1</v>
      </c>
      <c r="S1101" s="26">
        <v>5</v>
      </c>
      <c r="T1101" s="26">
        <v>18</v>
      </c>
      <c r="U1101" s="26">
        <v>24</v>
      </c>
      <c r="V1101" s="26">
        <v>1</v>
      </c>
      <c r="W1101" s="26"/>
    </row>
    <row r="1102" spans="1:23" x14ac:dyDescent="0.25">
      <c r="A1102" s="26" t="str">
        <f t="shared" si="178"/>
        <v>PREESCOLAR</v>
      </c>
      <c r="B1102" s="26" t="str">
        <f>"09PJN0072W"</f>
        <v>09PJN0072W</v>
      </c>
      <c r="C1102" s="26" t="str">
        <f>"JARDIN DE NIÑOS FEDERICO FROEBEL                                                                    "</f>
        <v xml:space="preserve">JARDIN DE NIÑOS FEDERICO FROEBEL                                                                    </v>
      </c>
      <c r="D1102" s="26" t="str">
        <f t="shared" si="174"/>
        <v>MATUTINO</v>
      </c>
      <c r="E1102" s="26" t="str">
        <f>"LA OTRA BANDA NO. 41                                                            "</f>
        <v xml:space="preserve">LA OTRA BANDA NO. 41                                                            </v>
      </c>
      <c r="F1102" s="26" t="str">
        <f>"LA OTRA BANDA                                                                                                                               "</f>
        <v xml:space="preserve">LA OTRA BANDA                                                                                                                               </v>
      </c>
      <c r="G1102" s="26" t="str">
        <f t="shared" si="181"/>
        <v xml:space="preserve">ALVARO OBREGON                                                                  </v>
      </c>
      <c r="H1102" s="26" t="str">
        <f>"214"</f>
        <v>214</v>
      </c>
      <c r="I1102" s="26" t="str">
        <f t="shared" si="179"/>
        <v>00</v>
      </c>
      <c r="J1102" s="26" t="str">
        <f t="shared" si="180"/>
        <v xml:space="preserve">33 </v>
      </c>
      <c r="K1102" s="26" t="str">
        <f t="shared" si="175"/>
        <v>EP</v>
      </c>
      <c r="L1102" s="26" t="str">
        <f t="shared" si="176"/>
        <v>DGOSE</v>
      </c>
      <c r="M1102" s="26" t="str">
        <f t="shared" si="177"/>
        <v>PARTICULAR</v>
      </c>
      <c r="N1102" s="26">
        <v>28</v>
      </c>
      <c r="O1102" s="26">
        <v>14</v>
      </c>
      <c r="P1102" s="26">
        <v>14</v>
      </c>
      <c r="Q1102" s="26">
        <v>3</v>
      </c>
      <c r="R1102" s="26">
        <v>1</v>
      </c>
      <c r="S1102" s="26">
        <v>3</v>
      </c>
      <c r="T1102" s="26">
        <v>6</v>
      </c>
      <c r="U1102" s="26">
        <v>10</v>
      </c>
      <c r="V1102" s="26">
        <v>1</v>
      </c>
      <c r="W1102" s="26"/>
    </row>
    <row r="1103" spans="1:23" x14ac:dyDescent="0.25">
      <c r="A1103" s="26" t="str">
        <f t="shared" si="178"/>
        <v>PREESCOLAR</v>
      </c>
      <c r="B1103" s="26" t="str">
        <f>"09PJN0074U"</f>
        <v>09PJN0074U</v>
      </c>
      <c r="C1103" s="26" t="str">
        <f>"INSTITUTO JAN AMOS KOMENSKY                                                                         "</f>
        <v xml:space="preserve">INSTITUTO JAN AMOS KOMENSKY                                                                         </v>
      </c>
      <c r="D1103" s="26" t="str">
        <f t="shared" si="174"/>
        <v>MATUTINO</v>
      </c>
      <c r="E1103" s="26" t="str">
        <f>"FERNANDO VILLALPANDO No. 24                                                     "</f>
        <v xml:space="preserve">FERNANDO VILLALPANDO No. 24                                                     </v>
      </c>
      <c r="F1103" s="26" t="str">
        <f>"GUADALUPE INN                                                                                                                               "</f>
        <v xml:space="preserve">GUADALUPE INN                                                                                                                               </v>
      </c>
      <c r="G1103" s="26" t="str">
        <f t="shared" si="181"/>
        <v xml:space="preserve">ALVARO OBREGON                                                                  </v>
      </c>
      <c r="H1103" s="26" t="str">
        <f>"087"</f>
        <v>087</v>
      </c>
      <c r="I1103" s="26" t="str">
        <f t="shared" si="179"/>
        <v>00</v>
      </c>
      <c r="J1103" s="26" t="str">
        <f t="shared" si="180"/>
        <v xml:space="preserve">33 </v>
      </c>
      <c r="K1103" s="26" t="str">
        <f t="shared" si="175"/>
        <v>EP</v>
      </c>
      <c r="L1103" s="26" t="str">
        <f t="shared" si="176"/>
        <v>DGOSE</v>
      </c>
      <c r="M1103" s="26" t="str">
        <f t="shared" si="177"/>
        <v>PARTICULAR</v>
      </c>
      <c r="N1103" s="26">
        <v>26</v>
      </c>
      <c r="O1103" s="26">
        <v>14</v>
      </c>
      <c r="P1103" s="26">
        <v>12</v>
      </c>
      <c r="Q1103" s="26">
        <v>3</v>
      </c>
      <c r="R1103" s="26">
        <v>1</v>
      </c>
      <c r="S1103" s="26">
        <v>2</v>
      </c>
      <c r="T1103" s="26">
        <v>2</v>
      </c>
      <c r="U1103" s="26">
        <v>5</v>
      </c>
      <c r="V1103" s="26">
        <v>1</v>
      </c>
      <c r="W1103" s="26"/>
    </row>
    <row r="1104" spans="1:23" x14ac:dyDescent="0.25">
      <c r="A1104" s="26" t="str">
        <f t="shared" si="178"/>
        <v>PREESCOLAR</v>
      </c>
      <c r="B1104" s="26" t="str">
        <f>"09PJN0086Z"</f>
        <v>09PJN0086Z</v>
      </c>
      <c r="C1104" s="26" t="str">
        <f>"WILLIAMS                                                                                            "</f>
        <v xml:space="preserve">WILLIAMS                                                                                            </v>
      </c>
      <c r="D1104" s="26" t="str">
        <f t="shared" si="174"/>
        <v>MATUTINO</v>
      </c>
      <c r="E1104" s="26" t="str">
        <f>"SADI CARNOT NO. 33                                                              "</f>
        <v xml:space="preserve">SADI CARNOT NO. 33                                                              </v>
      </c>
      <c r="F1104" s="26" t="str">
        <f>"SAN RAFAEL                                                                                                                                  "</f>
        <v xml:space="preserve">SAN RAFAEL                                                                                                                                  </v>
      </c>
      <c r="G1104" s="26" t="s">
        <v>4128</v>
      </c>
      <c r="H1104" s="26" t="str">
        <f>"205"</f>
        <v>205</v>
      </c>
      <c r="I1104" s="26" t="str">
        <f t="shared" si="179"/>
        <v>00</v>
      </c>
      <c r="J1104" s="26" t="str">
        <f>"32 "</f>
        <v xml:space="preserve">32 </v>
      </c>
      <c r="K1104" s="26" t="str">
        <f t="shared" si="175"/>
        <v>EP</v>
      </c>
      <c r="L1104" s="26" t="str">
        <f t="shared" si="176"/>
        <v>DGOSE</v>
      </c>
      <c r="M1104" s="26" t="str">
        <f t="shared" si="177"/>
        <v>PARTICULAR</v>
      </c>
      <c r="N1104" s="26">
        <v>16</v>
      </c>
      <c r="O1104" s="26">
        <v>10</v>
      </c>
      <c r="P1104" s="26">
        <v>6</v>
      </c>
      <c r="Q1104" s="26">
        <v>2</v>
      </c>
      <c r="R1104" s="26">
        <v>1</v>
      </c>
      <c r="S1104" s="26">
        <v>1</v>
      </c>
      <c r="T1104" s="26">
        <v>6</v>
      </c>
      <c r="U1104" s="26">
        <v>8</v>
      </c>
      <c r="V1104" s="26">
        <v>1</v>
      </c>
      <c r="W1104" s="26"/>
    </row>
    <row r="1105" spans="1:23" x14ac:dyDescent="0.25">
      <c r="A1105" s="26" t="str">
        <f t="shared" si="178"/>
        <v>PREESCOLAR</v>
      </c>
      <c r="B1105" s="26" t="str">
        <f>"09PJN0089W"</f>
        <v>09PJN0089W</v>
      </c>
      <c r="C1105" s="26" t="str">
        <f>"INSTITUTO BOSTON                                                                                    "</f>
        <v xml:space="preserve">INSTITUTO BOSTON                                                                                    </v>
      </c>
      <c r="D1105" s="26" t="str">
        <f t="shared" si="174"/>
        <v>MATUTINO</v>
      </c>
      <c r="E1105" s="26" t="str">
        <f>"RIO PANUCO NO. 65                                                               "</f>
        <v xml:space="preserve">RIO PANUCO NO. 65                                                               </v>
      </c>
      <c r="F1105" s="26" t="str">
        <f>"CUAUHTEMOC                                                                                                                                  "</f>
        <v xml:space="preserve">CUAUHTEMOC                                                                                                                                  </v>
      </c>
      <c r="G1105" s="26" t="s">
        <v>4128</v>
      </c>
      <c r="H1105" s="26" t="str">
        <f>"022"</f>
        <v>022</v>
      </c>
      <c r="I1105" s="26" t="str">
        <f t="shared" si="179"/>
        <v>00</v>
      </c>
      <c r="J1105" s="26" t="str">
        <f>"32 "</f>
        <v xml:space="preserve">32 </v>
      </c>
      <c r="K1105" s="26" t="str">
        <f t="shared" si="175"/>
        <v>EP</v>
      </c>
      <c r="L1105" s="26" t="str">
        <f t="shared" si="176"/>
        <v>DGOSE</v>
      </c>
      <c r="M1105" s="26" t="str">
        <f t="shared" si="177"/>
        <v>PARTICULAR</v>
      </c>
      <c r="N1105" s="26">
        <v>39</v>
      </c>
      <c r="O1105" s="26">
        <v>19</v>
      </c>
      <c r="P1105" s="26">
        <v>20</v>
      </c>
      <c r="Q1105" s="26">
        <v>3</v>
      </c>
      <c r="R1105" s="26">
        <v>1</v>
      </c>
      <c r="S1105" s="26">
        <v>3</v>
      </c>
      <c r="T1105" s="26">
        <v>1</v>
      </c>
      <c r="U1105" s="26">
        <v>5</v>
      </c>
      <c r="V1105" s="26">
        <v>1</v>
      </c>
      <c r="W1105" s="26"/>
    </row>
    <row r="1106" spans="1:23" x14ac:dyDescent="0.25">
      <c r="A1106" s="26" t="str">
        <f t="shared" si="178"/>
        <v>PREESCOLAR</v>
      </c>
      <c r="B1106" s="26" t="str">
        <f>"09PJN0091K"</f>
        <v>09PJN0091K</v>
      </c>
      <c r="C1106" s="26" t="str">
        <f>"INSTITUTO PEDAGOGICO EMMANUEL KANT                                                                  "</f>
        <v xml:space="preserve">INSTITUTO PEDAGOGICO EMMANUEL KANT                                                                  </v>
      </c>
      <c r="D1106" s="26" t="str">
        <f t="shared" si="174"/>
        <v>MATUTINO</v>
      </c>
      <c r="E1106" s="26" t="str">
        <f>"AV. DEL TALLER No. 516                                                          "</f>
        <v xml:space="preserve">AV. DEL TALLER No. 516                                                          </v>
      </c>
      <c r="F1106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1106" s="26" t="str">
        <f>"VENUSTIANO CARRANZA                                                             "</f>
        <v xml:space="preserve">VENUSTIANO CARRANZA                                                             </v>
      </c>
      <c r="H1106" s="26" t="str">
        <f>"250"</f>
        <v>250</v>
      </c>
      <c r="I1106" s="26" t="str">
        <f t="shared" si="179"/>
        <v>00</v>
      </c>
      <c r="J1106" s="26" t="str">
        <f>"33 "</f>
        <v xml:space="preserve">33 </v>
      </c>
      <c r="K1106" s="26" t="str">
        <f t="shared" si="175"/>
        <v>EP</v>
      </c>
      <c r="L1106" s="26" t="str">
        <f t="shared" si="176"/>
        <v>DGOSE</v>
      </c>
      <c r="M1106" s="26" t="str">
        <f t="shared" si="177"/>
        <v>PARTICULAR</v>
      </c>
      <c r="N1106" s="26">
        <v>30</v>
      </c>
      <c r="O1106" s="26">
        <v>14</v>
      </c>
      <c r="P1106" s="26">
        <v>16</v>
      </c>
      <c r="Q1106" s="26">
        <v>3</v>
      </c>
      <c r="R1106" s="26">
        <v>1</v>
      </c>
      <c r="S1106" s="26">
        <v>2</v>
      </c>
      <c r="T1106" s="26">
        <v>3</v>
      </c>
      <c r="U1106" s="26">
        <v>6</v>
      </c>
      <c r="V1106" s="26">
        <v>1</v>
      </c>
      <c r="W1106" s="26"/>
    </row>
    <row r="1107" spans="1:23" x14ac:dyDescent="0.25">
      <c r="A1107" s="26" t="str">
        <f t="shared" si="178"/>
        <v>PREESCOLAR</v>
      </c>
      <c r="B1107" s="26" t="str">
        <f>"09PJN0095G"</f>
        <v>09PJN0095G</v>
      </c>
      <c r="C1107" s="26" t="str">
        <f>"JARDIN DE NIÑOS GESELL                                                                              "</f>
        <v xml:space="preserve">JARDIN DE NIÑOS GESELL                                                                              </v>
      </c>
      <c r="D1107" s="26" t="str">
        <f t="shared" si="174"/>
        <v>MATUTINO</v>
      </c>
      <c r="E1107" s="26" t="str">
        <f>"CALLE 29 NO. 68                                                                 "</f>
        <v xml:space="preserve">CALLE 29 NO. 68                                                                 </v>
      </c>
      <c r="F1107" s="26" t="str">
        <f>"VALENTIN GOMEZ FARIAS                                                                                                                       "</f>
        <v xml:space="preserve">VALENTIN GOMEZ FARIAS                                                                                                                       </v>
      </c>
      <c r="G1107" s="26" t="str">
        <f>"VENUSTIANO CARRANZA                                                             "</f>
        <v xml:space="preserve">VENUSTIANO CARRANZA                                                             </v>
      </c>
      <c r="H1107" s="26" t="str">
        <f>"250"</f>
        <v>250</v>
      </c>
      <c r="I1107" s="26" t="str">
        <f t="shared" si="179"/>
        <v>00</v>
      </c>
      <c r="J1107" s="26" t="str">
        <f>"33 "</f>
        <v xml:space="preserve">33 </v>
      </c>
      <c r="K1107" s="26" t="str">
        <f t="shared" si="175"/>
        <v>EP</v>
      </c>
      <c r="L1107" s="26" t="str">
        <f t="shared" si="176"/>
        <v>DGOSE</v>
      </c>
      <c r="M1107" s="26" t="str">
        <f t="shared" si="177"/>
        <v>PARTICULAR</v>
      </c>
      <c r="N1107" s="26">
        <v>133</v>
      </c>
      <c r="O1107" s="26">
        <v>64</v>
      </c>
      <c r="P1107" s="26">
        <v>69</v>
      </c>
      <c r="Q1107" s="26">
        <v>7</v>
      </c>
      <c r="R1107" s="26">
        <v>1</v>
      </c>
      <c r="S1107" s="26">
        <v>7</v>
      </c>
      <c r="T1107" s="26">
        <v>14</v>
      </c>
      <c r="U1107" s="26">
        <v>22</v>
      </c>
      <c r="V1107" s="26">
        <v>1</v>
      </c>
      <c r="W1107" s="26"/>
    </row>
    <row r="1108" spans="1:23" x14ac:dyDescent="0.25">
      <c r="A1108" s="26" t="str">
        <f t="shared" si="178"/>
        <v>PREESCOLAR</v>
      </c>
      <c r="B1108" s="26" t="str">
        <f>"09PJN0109T"</f>
        <v>09PJN0109T</v>
      </c>
      <c r="C1108" s="26" t="str">
        <f>"COLEGIO BILINGÜE DEL DANTE                                                                          "</f>
        <v xml:space="preserve">COLEGIO BILINGÜE DEL DANTE                                                                          </v>
      </c>
      <c r="D1108" s="26" t="str">
        <f t="shared" si="174"/>
        <v>MATUTINO</v>
      </c>
      <c r="E1108" s="26" t="str">
        <f>"GIOTTO NO. 218                                                                  "</f>
        <v xml:space="preserve">GIOTTO NO. 218                                                                  </v>
      </c>
      <c r="F1108" s="26" t="str">
        <f>"ALFONSO XIII                                                                                                                                "</f>
        <v xml:space="preserve">ALFONSO XIII                                                                                                                                </v>
      </c>
      <c r="G1108" s="26" t="str">
        <f>"ALVARO OBREGON                                                                  "</f>
        <v xml:space="preserve">ALVARO OBREGON                                                                  </v>
      </c>
      <c r="H1108" s="26" t="str">
        <f>"165"</f>
        <v>165</v>
      </c>
      <c r="I1108" s="26" t="str">
        <f t="shared" si="179"/>
        <v>00</v>
      </c>
      <c r="J1108" s="26" t="str">
        <f>"33 "</f>
        <v xml:space="preserve">33 </v>
      </c>
      <c r="K1108" s="26" t="str">
        <f t="shared" si="175"/>
        <v>EP</v>
      </c>
      <c r="L1108" s="26" t="str">
        <f t="shared" si="176"/>
        <v>DGOSE</v>
      </c>
      <c r="M1108" s="26" t="str">
        <f t="shared" si="177"/>
        <v>PARTICULAR</v>
      </c>
      <c r="N1108" s="26">
        <v>10</v>
      </c>
      <c r="O1108" s="26">
        <v>7</v>
      </c>
      <c r="P1108" s="26">
        <v>3</v>
      </c>
      <c r="Q1108" s="26">
        <v>2</v>
      </c>
      <c r="R1108" s="26">
        <v>1</v>
      </c>
      <c r="S1108" s="26">
        <v>2</v>
      </c>
      <c r="T1108" s="26">
        <v>1</v>
      </c>
      <c r="U1108" s="26">
        <v>4</v>
      </c>
      <c r="V1108" s="26">
        <v>1</v>
      </c>
      <c r="W1108" s="26"/>
    </row>
    <row r="1109" spans="1:23" x14ac:dyDescent="0.25">
      <c r="A1109" s="26" t="str">
        <f t="shared" si="178"/>
        <v>PREESCOLAR</v>
      </c>
      <c r="B1109" s="26" t="str">
        <f>"09PJN0113F"</f>
        <v>09PJN0113F</v>
      </c>
      <c r="C1109" s="26" t="str">
        <f>"LIC. MANUEL G. ESCOBEDO DÍAZ DE LEÓN                                                                "</f>
        <v xml:space="preserve">LIC. MANUEL G. ESCOBEDO DÍAZ DE LEÓN                                                                </v>
      </c>
      <c r="D1109" s="26" t="str">
        <f t="shared" si="174"/>
        <v>MATUTINO</v>
      </c>
      <c r="E1109" s="26" t="str">
        <f>"CERRADA DE SAN JERONIMO NO. 28                                                  "</f>
        <v xml:space="preserve">CERRADA DE SAN JERONIMO NO. 28                                                  </v>
      </c>
      <c r="F1109" s="26" t="str">
        <f>"SAN JERONIMO LIDICE                                                                                                                         "</f>
        <v xml:space="preserve">SAN JERONIMO LIDICE                                                                                                                         </v>
      </c>
      <c r="G1109" s="26" t="str">
        <f>"LA MAGDALENA CONTRERAS                                                          "</f>
        <v xml:space="preserve">LA MAGDALENA CONTRERAS                                                          </v>
      </c>
      <c r="H1109" s="26" t="str">
        <f>"280"</f>
        <v>280</v>
      </c>
      <c r="I1109" s="26" t="str">
        <f t="shared" si="179"/>
        <v>00</v>
      </c>
      <c r="J1109" s="26" t="str">
        <f>"35 "</f>
        <v xml:space="preserve">35 </v>
      </c>
      <c r="K1109" s="26" t="str">
        <f t="shared" si="175"/>
        <v>EP</v>
      </c>
      <c r="L1109" s="26" t="str">
        <f t="shared" si="176"/>
        <v>DGOSE</v>
      </c>
      <c r="M1109" s="26" t="str">
        <f t="shared" si="177"/>
        <v>PARTICULAR</v>
      </c>
      <c r="N1109" s="26">
        <v>28</v>
      </c>
      <c r="O1109" s="26">
        <v>12</v>
      </c>
      <c r="P1109" s="26">
        <v>16</v>
      </c>
      <c r="Q1109" s="26">
        <v>3</v>
      </c>
      <c r="R1109" s="26">
        <v>1</v>
      </c>
      <c r="S1109" s="26">
        <v>1</v>
      </c>
      <c r="T1109" s="26">
        <v>8</v>
      </c>
      <c r="U1109" s="26">
        <v>10</v>
      </c>
      <c r="V1109" s="26">
        <v>1</v>
      </c>
      <c r="W1109" s="26"/>
    </row>
    <row r="1110" spans="1:23" x14ac:dyDescent="0.25">
      <c r="A1110" s="26" t="str">
        <f t="shared" si="178"/>
        <v>PREESCOLAR</v>
      </c>
      <c r="B1110" s="26" t="str">
        <f>"09PJN0123M"</f>
        <v>09PJN0123M</v>
      </c>
      <c r="C1110" s="26" t="str">
        <f>"COLEGIO SAGRADO CORAZON                                                                             "</f>
        <v xml:space="preserve">COLEGIO SAGRADO CORAZON                                                                             </v>
      </c>
      <c r="D1110" s="26" t="str">
        <f t="shared" si="174"/>
        <v>MATUTINO</v>
      </c>
      <c r="E1110" s="26" t="str">
        <f>"CAMINO A SANTA TERESA No. 950                                                   "</f>
        <v xml:space="preserve">CAMINO A SANTA TERESA No. 950                                                   </v>
      </c>
      <c r="F1110" s="26" t="str">
        <f>"SANTA TERESA                                                                                                                                "</f>
        <v xml:space="preserve">SANTA TERESA                                                                                                                                </v>
      </c>
      <c r="G1110" s="26" t="str">
        <f>"LA MAGDALENA CONTRERAS                                                          "</f>
        <v xml:space="preserve">LA MAGDALENA CONTRERAS                                                          </v>
      </c>
      <c r="H1110" s="26" t="str">
        <f>"066"</f>
        <v>066</v>
      </c>
      <c r="I1110" s="26" t="str">
        <f t="shared" si="179"/>
        <v>00</v>
      </c>
      <c r="J1110" s="26" t="str">
        <f>"35 "</f>
        <v xml:space="preserve">35 </v>
      </c>
      <c r="K1110" s="26" t="str">
        <f t="shared" si="175"/>
        <v>EP</v>
      </c>
      <c r="L1110" s="26" t="str">
        <f t="shared" si="176"/>
        <v>DGOSE</v>
      </c>
      <c r="M1110" s="26" t="str">
        <f t="shared" si="177"/>
        <v>PARTICULAR</v>
      </c>
      <c r="N1110" s="26">
        <v>83</v>
      </c>
      <c r="O1110" s="26">
        <v>0</v>
      </c>
      <c r="P1110" s="26">
        <v>83</v>
      </c>
      <c r="Q1110" s="26">
        <v>5</v>
      </c>
      <c r="R1110" s="26">
        <v>1</v>
      </c>
      <c r="S1110" s="26">
        <v>5</v>
      </c>
      <c r="T1110" s="26">
        <v>13</v>
      </c>
      <c r="U1110" s="26">
        <v>19</v>
      </c>
      <c r="V1110" s="26">
        <v>1</v>
      </c>
      <c r="W1110" s="26"/>
    </row>
    <row r="1111" spans="1:23" x14ac:dyDescent="0.25">
      <c r="A1111" s="26" t="str">
        <f t="shared" si="178"/>
        <v>PREESCOLAR</v>
      </c>
      <c r="B1111" s="26" t="str">
        <f>"09PJN0126J"</f>
        <v>09PJN0126J</v>
      </c>
      <c r="C1111" s="26" t="str">
        <f>"COLEGIO VERMONT                                                                                     "</f>
        <v xml:space="preserve">COLEGIO VERMONT                                                                                     </v>
      </c>
      <c r="D1111" s="26" t="str">
        <f t="shared" si="174"/>
        <v>MATUTINO</v>
      </c>
      <c r="E1111" s="26" t="str">
        <f>"VEREDA NO. 90                                                                   "</f>
        <v xml:space="preserve">VEREDA NO. 90                                                                   </v>
      </c>
      <c r="F1111" s="26" t="str">
        <f>"JARDINES DEL PEDREGAL                                                                                                                       "</f>
        <v xml:space="preserve">JARDINES DEL PEDREGAL                                                                                                                       </v>
      </c>
      <c r="G1111" s="26" t="str">
        <f>"ALVARO OBREGON                                                                  "</f>
        <v xml:space="preserve">ALVARO OBREGON                                                                  </v>
      </c>
      <c r="H1111" s="26" t="str">
        <f>"214"</f>
        <v>214</v>
      </c>
      <c r="I1111" s="26" t="str">
        <f t="shared" si="179"/>
        <v>00</v>
      </c>
      <c r="J1111" s="26" t="str">
        <f>"33 "</f>
        <v xml:space="preserve">33 </v>
      </c>
      <c r="K1111" s="26" t="str">
        <f t="shared" si="175"/>
        <v>EP</v>
      </c>
      <c r="L1111" s="26" t="str">
        <f t="shared" si="176"/>
        <v>DGOSE</v>
      </c>
      <c r="M1111" s="26" t="str">
        <f t="shared" si="177"/>
        <v>PARTICULAR</v>
      </c>
      <c r="N1111" s="26">
        <v>82</v>
      </c>
      <c r="O1111" s="26">
        <v>46</v>
      </c>
      <c r="P1111" s="26">
        <v>36</v>
      </c>
      <c r="Q1111" s="26">
        <v>5</v>
      </c>
      <c r="R1111" s="26">
        <v>1</v>
      </c>
      <c r="S1111" s="26">
        <v>5</v>
      </c>
      <c r="T1111" s="26">
        <v>5</v>
      </c>
      <c r="U1111" s="26">
        <v>11</v>
      </c>
      <c r="V1111" s="26">
        <v>1</v>
      </c>
      <c r="W1111" s="26"/>
    </row>
    <row r="1112" spans="1:23" x14ac:dyDescent="0.25">
      <c r="A1112" s="26" t="str">
        <f t="shared" si="178"/>
        <v>PREESCOLAR</v>
      </c>
      <c r="B1112" s="26" t="str">
        <f>"09PJN0137P"</f>
        <v>09PJN0137P</v>
      </c>
      <c r="C1112" s="26" t="str">
        <f>"OVALLE MONDAY                                                                                       "</f>
        <v xml:space="preserve">OVALLE MONDAY                                                                                       </v>
      </c>
      <c r="D1112" s="26" t="str">
        <f t="shared" si="174"/>
        <v>MATUTINO</v>
      </c>
      <c r="E1112" s="26" t="str">
        <f>"GUILLERMO MASSIEU HELGUERA NO. 265                                              "</f>
        <v xml:space="preserve">GUILLERMO MASSIEU HELGUERA NO. 265                                              </v>
      </c>
      <c r="F1112" s="26" t="str">
        <f>"LA ESCALERA                                                                                                                                 "</f>
        <v xml:space="preserve">LA ESCALERA                                                                                                                                 </v>
      </c>
      <c r="G1112" s="26" t="str">
        <f>"GUSTAVO A. MADERO                                                               "</f>
        <v xml:space="preserve">GUSTAVO A. MADERO                                                               </v>
      </c>
      <c r="H1112" s="26" t="str">
        <f>"003"</f>
        <v>003</v>
      </c>
      <c r="I1112" s="26" t="str">
        <f t="shared" si="179"/>
        <v>00</v>
      </c>
      <c r="J1112" s="26" t="str">
        <f t="shared" ref="J1112:J1121" si="182">"32 "</f>
        <v xml:space="preserve">32 </v>
      </c>
      <c r="K1112" s="26" t="str">
        <f t="shared" si="175"/>
        <v>EP</v>
      </c>
      <c r="L1112" s="26" t="str">
        <f t="shared" si="176"/>
        <v>DGOSE</v>
      </c>
      <c r="M1112" s="26" t="str">
        <f t="shared" si="177"/>
        <v>PARTICULAR</v>
      </c>
      <c r="N1112" s="26">
        <v>404</v>
      </c>
      <c r="O1112" s="26">
        <v>215</v>
      </c>
      <c r="P1112" s="26">
        <v>189</v>
      </c>
      <c r="Q1112" s="26">
        <v>14</v>
      </c>
      <c r="R1112" s="26">
        <v>1</v>
      </c>
      <c r="S1112" s="26">
        <v>14</v>
      </c>
      <c r="T1112" s="26">
        <v>23</v>
      </c>
      <c r="U1112" s="26">
        <v>38</v>
      </c>
      <c r="V1112" s="26">
        <v>1</v>
      </c>
      <c r="W1112" s="26"/>
    </row>
    <row r="1113" spans="1:23" x14ac:dyDescent="0.25">
      <c r="A1113" s="26" t="str">
        <f t="shared" si="178"/>
        <v>PREESCOLAR</v>
      </c>
      <c r="B1113" s="26" t="str">
        <f>"09PJN0139N"</f>
        <v>09PJN0139N</v>
      </c>
      <c r="C1113" s="26" t="str">
        <f>"JARDIN DE NIÑOS MONTES PIRINEOS                                                                     "</f>
        <v xml:space="preserve">JARDIN DE NIÑOS MONTES PIRINEOS                                                                     </v>
      </c>
      <c r="D1113" s="26" t="str">
        <f t="shared" si="174"/>
        <v>MATUTINO</v>
      </c>
      <c r="E1113" s="26" t="str">
        <f>"AV. PIRINEOS No. 420                                                            "</f>
        <v xml:space="preserve">AV. PIRINEOS No. 420                                                            </v>
      </c>
      <c r="F1113" s="26" t="str">
        <f>"LOMAS DE CHAPULTEPEC                                                                                                                        "</f>
        <v xml:space="preserve">LOMAS DE CHAPULTEPEC                                                                                                                        </v>
      </c>
      <c r="G1113" s="26" t="str">
        <f>"MIGUEL HIDALGO                                                                  "</f>
        <v xml:space="preserve">MIGUEL HIDALGO                                                                  </v>
      </c>
      <c r="H1113" s="26" t="str">
        <f>"193"</f>
        <v>193</v>
      </c>
      <c r="I1113" s="26" t="str">
        <f t="shared" si="179"/>
        <v>00</v>
      </c>
      <c r="J1113" s="26" t="str">
        <f t="shared" si="182"/>
        <v xml:space="preserve">32 </v>
      </c>
      <c r="K1113" s="26" t="str">
        <f t="shared" si="175"/>
        <v>EP</v>
      </c>
      <c r="L1113" s="26" t="str">
        <f t="shared" si="176"/>
        <v>DGOSE</v>
      </c>
      <c r="M1113" s="26" t="str">
        <f t="shared" si="177"/>
        <v>PARTICULAR</v>
      </c>
      <c r="N1113" s="26">
        <v>11</v>
      </c>
      <c r="O1113" s="26">
        <v>3</v>
      </c>
      <c r="P1113" s="26">
        <v>8</v>
      </c>
      <c r="Q1113" s="26">
        <v>2</v>
      </c>
      <c r="R1113" s="26">
        <v>0</v>
      </c>
      <c r="S1113" s="26">
        <v>2</v>
      </c>
      <c r="T1113" s="26">
        <v>5</v>
      </c>
      <c r="U1113" s="26">
        <v>7</v>
      </c>
      <c r="V1113" s="26">
        <v>1</v>
      </c>
      <c r="W1113" s="26"/>
    </row>
    <row r="1114" spans="1:23" x14ac:dyDescent="0.25">
      <c r="A1114" s="26" t="str">
        <f t="shared" si="178"/>
        <v>PREESCOLAR</v>
      </c>
      <c r="B1114" s="26" t="str">
        <f>"09PJN0141B"</f>
        <v>09PJN0141B</v>
      </c>
      <c r="C1114" s="26" t="str">
        <f>"JARDIN DE NIÑOS KINDER DEL TEPEYAC                                                                  "</f>
        <v xml:space="preserve">JARDIN DE NIÑOS KINDER DEL TEPEYAC                                                                  </v>
      </c>
      <c r="D1114" s="26" t="str">
        <f t="shared" si="174"/>
        <v>MATUTINO</v>
      </c>
      <c r="E1114" s="26" t="str">
        <f>"PERNAMBUCO NO. 785                                                              "</f>
        <v xml:space="preserve">PERNAMBUCO NO. 785                                                              </v>
      </c>
      <c r="F1114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1114" s="26" t="str">
        <f>"GUSTAVO A. MADERO                                                               "</f>
        <v xml:space="preserve">GUSTAVO A. MADERO                                                               </v>
      </c>
      <c r="H1114" s="26" t="str">
        <f>"193"</f>
        <v>193</v>
      </c>
      <c r="I1114" s="26" t="str">
        <f t="shared" si="179"/>
        <v>00</v>
      </c>
      <c r="J1114" s="26" t="str">
        <f t="shared" si="182"/>
        <v xml:space="preserve">32 </v>
      </c>
      <c r="K1114" s="26" t="str">
        <f t="shared" si="175"/>
        <v>EP</v>
      </c>
      <c r="L1114" s="26" t="str">
        <f t="shared" si="176"/>
        <v>DGOSE</v>
      </c>
      <c r="M1114" s="26" t="str">
        <f t="shared" si="177"/>
        <v>PARTICULAR</v>
      </c>
      <c r="N1114" s="26">
        <v>187</v>
      </c>
      <c r="O1114" s="26">
        <v>85</v>
      </c>
      <c r="P1114" s="26">
        <v>102</v>
      </c>
      <c r="Q1114" s="26">
        <v>11</v>
      </c>
      <c r="R1114" s="26">
        <v>1</v>
      </c>
      <c r="S1114" s="26">
        <v>7</v>
      </c>
      <c r="T1114" s="26">
        <v>18</v>
      </c>
      <c r="U1114" s="26">
        <v>26</v>
      </c>
      <c r="V1114" s="26">
        <v>1</v>
      </c>
      <c r="W1114" s="26"/>
    </row>
    <row r="1115" spans="1:23" x14ac:dyDescent="0.25">
      <c r="A1115" s="26" t="str">
        <f t="shared" si="178"/>
        <v>PREESCOLAR</v>
      </c>
      <c r="B1115" s="26" t="str">
        <f>"09PJN0142A"</f>
        <v>09PJN0142A</v>
      </c>
      <c r="C1115" s="26" t="str">
        <f>"INSTITUTO MORELOS                                                                                   "</f>
        <v xml:space="preserve">INSTITUTO MORELOS                                                                                   </v>
      </c>
      <c r="D1115" s="26" t="str">
        <f t="shared" si="174"/>
        <v>MATUTINO</v>
      </c>
      <c r="E1115" s="26" t="str">
        <f>"GOLFO DE CAMPECHE NO. 17                                                        "</f>
        <v xml:space="preserve">GOLFO DE CAMPECHE NO. 17                                                        </v>
      </c>
      <c r="F1115" s="26" t="str">
        <f>"TACUBA                                                                                                                                      "</f>
        <v xml:space="preserve">TACUBA                                                                                                                                      </v>
      </c>
      <c r="G1115" s="26" t="str">
        <f>"MIGUEL HIDALGO                                                                  "</f>
        <v xml:space="preserve">MIGUEL HIDALGO                                                                  </v>
      </c>
      <c r="H1115" s="26" t="str">
        <f>"131"</f>
        <v>131</v>
      </c>
      <c r="I1115" s="26" t="str">
        <f t="shared" si="179"/>
        <v>00</v>
      </c>
      <c r="J1115" s="26" t="str">
        <f t="shared" si="182"/>
        <v xml:space="preserve">32 </v>
      </c>
      <c r="K1115" s="26" t="str">
        <f t="shared" si="175"/>
        <v>EP</v>
      </c>
      <c r="L1115" s="26" t="str">
        <f t="shared" si="176"/>
        <v>DGOSE</v>
      </c>
      <c r="M1115" s="26" t="str">
        <f t="shared" si="177"/>
        <v>PARTICULAR</v>
      </c>
      <c r="N1115" s="26">
        <v>76</v>
      </c>
      <c r="O1115" s="26">
        <v>37</v>
      </c>
      <c r="P1115" s="26">
        <v>39</v>
      </c>
      <c r="Q1115" s="26">
        <v>4</v>
      </c>
      <c r="R1115" s="26">
        <v>1</v>
      </c>
      <c r="S1115" s="26">
        <v>4</v>
      </c>
      <c r="T1115" s="26">
        <v>7</v>
      </c>
      <c r="U1115" s="26">
        <v>12</v>
      </c>
      <c r="V1115" s="26">
        <v>1</v>
      </c>
      <c r="W1115" s="26"/>
    </row>
    <row r="1116" spans="1:23" x14ac:dyDescent="0.25">
      <c r="A1116" s="26" t="str">
        <f t="shared" si="178"/>
        <v>PREESCOLAR</v>
      </c>
      <c r="B1116" s="26" t="str">
        <f>"09PJN0144Z"</f>
        <v>09PJN0144Z</v>
      </c>
      <c r="C1116" s="26" t="str">
        <f>"ETON                                                                                                "</f>
        <v xml:space="preserve">ETON                                                                                                </v>
      </c>
      <c r="D1116" s="26" t="str">
        <f t="shared" si="174"/>
        <v>MATUTINO</v>
      </c>
      <c r="E1116" s="26" t="str">
        <f>"ALPES NO. 605                                                                   "</f>
        <v xml:space="preserve">ALPES NO. 605                                                                   </v>
      </c>
      <c r="F1116" s="26" t="str">
        <f>"LOMAS DE CHAPULTEPEC                                                                                                                        "</f>
        <v xml:space="preserve">LOMAS DE CHAPULTEPEC                                                                                                                        </v>
      </c>
      <c r="G1116" s="26" t="str">
        <f>"MIGUEL HIDALGO                                                                  "</f>
        <v xml:space="preserve">MIGUEL HIDALGO                                                                  </v>
      </c>
      <c r="H1116" s="26" t="str">
        <f>"014"</f>
        <v>014</v>
      </c>
      <c r="I1116" s="26" t="str">
        <f t="shared" si="179"/>
        <v>00</v>
      </c>
      <c r="J1116" s="26" t="str">
        <f t="shared" si="182"/>
        <v xml:space="preserve">32 </v>
      </c>
      <c r="K1116" s="26" t="str">
        <f t="shared" si="175"/>
        <v>EP</v>
      </c>
      <c r="L1116" s="26" t="str">
        <f t="shared" si="176"/>
        <v>DGOSE</v>
      </c>
      <c r="M1116" s="26" t="str">
        <f t="shared" si="177"/>
        <v>PARTICULAR</v>
      </c>
      <c r="N1116" s="26">
        <v>197</v>
      </c>
      <c r="O1116" s="26">
        <v>104</v>
      </c>
      <c r="P1116" s="26">
        <v>93</v>
      </c>
      <c r="Q1116" s="26">
        <v>10</v>
      </c>
      <c r="R1116" s="26">
        <v>1</v>
      </c>
      <c r="S1116" s="26">
        <v>10</v>
      </c>
      <c r="T1116" s="26">
        <v>23</v>
      </c>
      <c r="U1116" s="26">
        <v>34</v>
      </c>
      <c r="V1116" s="26">
        <v>1</v>
      </c>
      <c r="W1116" s="26"/>
    </row>
    <row r="1117" spans="1:23" x14ac:dyDescent="0.25">
      <c r="A1117" s="26" t="str">
        <f t="shared" si="178"/>
        <v>PREESCOLAR</v>
      </c>
      <c r="B1117" s="26" t="str">
        <f>"09PJN0146X"</f>
        <v>09PJN0146X</v>
      </c>
      <c r="C1117" s="26" t="str">
        <f>"LUPITA                                                                                              "</f>
        <v xml:space="preserve">LUPITA                                                                                              </v>
      </c>
      <c r="D1117" s="26" t="str">
        <f t="shared" si="174"/>
        <v>MATUTINO</v>
      </c>
      <c r="E1117" s="26" t="str">
        <f>"AV. THIERS NO. 201                                                              "</f>
        <v xml:space="preserve">AV. THIERS NO. 201                                                              </v>
      </c>
      <c r="F1117" s="26" t="str">
        <f>"ANZURES                                                                                                                                     "</f>
        <v xml:space="preserve">ANZURES                                                                                                                                     </v>
      </c>
      <c r="G1117" s="26" t="str">
        <f>"MIGUEL HIDALGO                                                                  "</f>
        <v xml:space="preserve">MIGUEL HIDALGO                                                                  </v>
      </c>
      <c r="H1117" s="26" t="str">
        <f>"075"</f>
        <v>075</v>
      </c>
      <c r="I1117" s="26" t="str">
        <f t="shared" si="179"/>
        <v>00</v>
      </c>
      <c r="J1117" s="26" t="str">
        <f t="shared" si="182"/>
        <v xml:space="preserve">32 </v>
      </c>
      <c r="K1117" s="26" t="str">
        <f t="shared" si="175"/>
        <v>EP</v>
      </c>
      <c r="L1117" s="26" t="str">
        <f t="shared" si="176"/>
        <v>DGOSE</v>
      </c>
      <c r="M1117" s="26" t="str">
        <f t="shared" si="177"/>
        <v>PARTICULAR</v>
      </c>
      <c r="N1117" s="26">
        <v>20</v>
      </c>
      <c r="O1117" s="26">
        <v>10</v>
      </c>
      <c r="P1117" s="26">
        <v>10</v>
      </c>
      <c r="Q1117" s="26">
        <v>3</v>
      </c>
      <c r="R1117" s="26">
        <v>1</v>
      </c>
      <c r="S1117" s="26">
        <v>3</v>
      </c>
      <c r="T1117" s="26">
        <v>6</v>
      </c>
      <c r="U1117" s="26">
        <v>10</v>
      </c>
      <c r="V1117" s="26">
        <v>1</v>
      </c>
      <c r="W1117" s="26"/>
    </row>
    <row r="1118" spans="1:23" x14ac:dyDescent="0.25">
      <c r="A1118" s="26" t="str">
        <f t="shared" si="178"/>
        <v>PREESCOLAR</v>
      </c>
      <c r="B1118" s="26" t="str">
        <f>"09PJN0147W"</f>
        <v>09PJN0147W</v>
      </c>
      <c r="C1118" s="26" t="str">
        <f>"NUEVO JARDIN DE NIÑOS DE MEXICO                                                                     "</f>
        <v xml:space="preserve">NUEVO JARDIN DE NIÑOS DE MEXICO                                                                     </v>
      </c>
      <c r="D1118" s="26" t="str">
        <f t="shared" si="174"/>
        <v>MATUTINO</v>
      </c>
      <c r="E1118" s="26" t="str">
        <f>"POLANCO NO. 80                                                                  "</f>
        <v xml:space="preserve">POLANCO NO. 80                                                                  </v>
      </c>
      <c r="F1118" s="26" t="str">
        <f>"POLANCO REFORMA                                                                                                                             "</f>
        <v xml:space="preserve">POLANCO REFORMA                                                                                                                             </v>
      </c>
      <c r="G1118" s="26" t="str">
        <f>"MIGUEL HIDALGO                                                                  "</f>
        <v xml:space="preserve">MIGUEL HIDALGO                                                                  </v>
      </c>
      <c r="H1118" s="26" t="str">
        <f>"075"</f>
        <v>075</v>
      </c>
      <c r="I1118" s="26" t="str">
        <f t="shared" si="179"/>
        <v>00</v>
      </c>
      <c r="J1118" s="26" t="str">
        <f t="shared" si="182"/>
        <v xml:space="preserve">32 </v>
      </c>
      <c r="K1118" s="26" t="str">
        <f t="shared" si="175"/>
        <v>EP</v>
      </c>
      <c r="L1118" s="26" t="str">
        <f t="shared" si="176"/>
        <v>DGOSE</v>
      </c>
      <c r="M1118" s="26" t="str">
        <f t="shared" si="177"/>
        <v>PARTICULAR</v>
      </c>
      <c r="N1118" s="26">
        <v>237</v>
      </c>
      <c r="O1118" s="26">
        <v>124</v>
      </c>
      <c r="P1118" s="26">
        <v>113</v>
      </c>
      <c r="Q1118" s="26">
        <v>11</v>
      </c>
      <c r="R1118" s="26">
        <v>1</v>
      </c>
      <c r="S1118" s="26">
        <v>6</v>
      </c>
      <c r="T1118" s="26">
        <v>28</v>
      </c>
      <c r="U1118" s="26">
        <v>35</v>
      </c>
      <c r="V1118" s="26">
        <v>1</v>
      </c>
      <c r="W1118" s="26"/>
    </row>
    <row r="1119" spans="1:23" x14ac:dyDescent="0.25">
      <c r="A1119" s="26" t="str">
        <f t="shared" si="178"/>
        <v>PREESCOLAR</v>
      </c>
      <c r="B1119" s="26" t="str">
        <f>"09PJN0150J"</f>
        <v>09PJN0150J</v>
      </c>
      <c r="C1119" s="26" t="str">
        <f>"FRANCES PASTEUR                                                                                     "</f>
        <v xml:space="preserve">FRANCES PASTEUR                                                                                     </v>
      </c>
      <c r="D1119" s="26" t="str">
        <f t="shared" si="174"/>
        <v>MATUTINO</v>
      </c>
      <c r="E1119" s="26" t="str">
        <f>"SCHILLER NO. 139                                                                "</f>
        <v xml:space="preserve">SCHILLER NO. 139                                                                </v>
      </c>
      <c r="F1119" s="26" t="str">
        <f>"POLANCO REFORMA                                                                                                                             "</f>
        <v xml:space="preserve">POLANCO REFORMA                                                                                                                             </v>
      </c>
      <c r="G1119" s="26" t="str">
        <f>"MIGUEL HIDALGO                                                                  "</f>
        <v xml:space="preserve">MIGUEL HIDALGO                                                                  </v>
      </c>
      <c r="H1119" s="26" t="str">
        <f>"075"</f>
        <v>075</v>
      </c>
      <c r="I1119" s="26" t="str">
        <f t="shared" si="179"/>
        <v>00</v>
      </c>
      <c r="J1119" s="26" t="str">
        <f t="shared" si="182"/>
        <v xml:space="preserve">32 </v>
      </c>
      <c r="K1119" s="26" t="str">
        <f t="shared" si="175"/>
        <v>EP</v>
      </c>
      <c r="L1119" s="26" t="str">
        <f t="shared" si="176"/>
        <v>DGOSE</v>
      </c>
      <c r="M1119" s="26" t="str">
        <f t="shared" si="177"/>
        <v>PARTICULAR</v>
      </c>
      <c r="N1119" s="26">
        <v>63</v>
      </c>
      <c r="O1119" s="26">
        <v>31</v>
      </c>
      <c r="P1119" s="26">
        <v>32</v>
      </c>
      <c r="Q1119" s="26">
        <v>3</v>
      </c>
      <c r="R1119" s="26">
        <v>1</v>
      </c>
      <c r="S1119" s="26">
        <v>3</v>
      </c>
      <c r="T1119" s="26">
        <v>6</v>
      </c>
      <c r="U1119" s="26">
        <v>10</v>
      </c>
      <c r="V1119" s="26">
        <v>1</v>
      </c>
      <c r="W1119" s="26"/>
    </row>
    <row r="1120" spans="1:23" x14ac:dyDescent="0.25">
      <c r="A1120" s="26" t="str">
        <f t="shared" si="178"/>
        <v>PREESCOLAR</v>
      </c>
      <c r="B1120" s="26" t="str">
        <f>"09PJN0151I"</f>
        <v>09PJN0151I</v>
      </c>
      <c r="C1120" s="26" t="str">
        <f>"ESCUELA DE LA CIUDAD DE MEXICO                                                                      "</f>
        <v xml:space="preserve">ESCUELA DE LA CIUDAD DE MEXICO                                                                      </v>
      </c>
      <c r="D1120" s="26" t="str">
        <f t="shared" si="174"/>
        <v>MATUTINO</v>
      </c>
      <c r="E1120" s="26" t="str">
        <f>"CEDRO NO. 89                                                                    "</f>
        <v xml:space="preserve">CEDRO NO. 89                                                                    </v>
      </c>
      <c r="F1120" s="26" t="str">
        <f>"SANTA MARIA LA RIBERA                                                                                                                       "</f>
        <v xml:space="preserve">SANTA MARIA LA RIBERA                                                                                                                       </v>
      </c>
      <c r="G1120" s="26" t="s">
        <v>4128</v>
      </c>
      <c r="H1120" s="26" t="str">
        <f>"205"</f>
        <v>205</v>
      </c>
      <c r="I1120" s="26" t="str">
        <f t="shared" si="179"/>
        <v>00</v>
      </c>
      <c r="J1120" s="26" t="str">
        <f t="shared" si="182"/>
        <v xml:space="preserve">32 </v>
      </c>
      <c r="K1120" s="26" t="str">
        <f t="shared" si="175"/>
        <v>EP</v>
      </c>
      <c r="L1120" s="26" t="str">
        <f t="shared" si="176"/>
        <v>DGOSE</v>
      </c>
      <c r="M1120" s="26" t="str">
        <f t="shared" si="177"/>
        <v>PARTICULAR</v>
      </c>
      <c r="N1120" s="26">
        <v>50</v>
      </c>
      <c r="O1120" s="26">
        <v>27</v>
      </c>
      <c r="P1120" s="26">
        <v>23</v>
      </c>
      <c r="Q1120" s="26">
        <v>3</v>
      </c>
      <c r="R1120" s="26">
        <v>1</v>
      </c>
      <c r="S1120" s="26">
        <v>3</v>
      </c>
      <c r="T1120" s="26">
        <v>8</v>
      </c>
      <c r="U1120" s="26">
        <v>12</v>
      </c>
      <c r="V1120" s="26">
        <v>1</v>
      </c>
      <c r="W1120" s="26"/>
    </row>
    <row r="1121" spans="1:23" x14ac:dyDescent="0.25">
      <c r="A1121" s="26" t="str">
        <f t="shared" si="178"/>
        <v>PREESCOLAR</v>
      </c>
      <c r="B1121" s="26" t="str">
        <f>"09PJN0153G"</f>
        <v>09PJN0153G</v>
      </c>
      <c r="C1121" s="26" t="str">
        <f>"ANGLO ESPAÑOL                                                                                       "</f>
        <v xml:space="preserve">ANGLO ESPAÑOL                                                                                       </v>
      </c>
      <c r="D1121" s="26" t="str">
        <f t="shared" si="174"/>
        <v>MATUTINO</v>
      </c>
      <c r="E1121" s="26" t="str">
        <f>"SADI CARNOT NO. 23                                                              "</f>
        <v xml:space="preserve">SADI CARNOT NO. 23                                                              </v>
      </c>
      <c r="F1121" s="26" t="str">
        <f>"SAN RAFAEL                                                                                                                                  "</f>
        <v xml:space="preserve">SAN RAFAEL                                                                                                                                  </v>
      </c>
      <c r="G1121" s="26" t="s">
        <v>4128</v>
      </c>
      <c r="H1121" s="26" t="str">
        <f>"205"</f>
        <v>205</v>
      </c>
      <c r="I1121" s="26" t="str">
        <f t="shared" si="179"/>
        <v>00</v>
      </c>
      <c r="J1121" s="26" t="str">
        <f t="shared" si="182"/>
        <v xml:space="preserve">32 </v>
      </c>
      <c r="K1121" s="26" t="str">
        <f t="shared" si="175"/>
        <v>EP</v>
      </c>
      <c r="L1121" s="26" t="str">
        <f t="shared" si="176"/>
        <v>DGOSE</v>
      </c>
      <c r="M1121" s="26" t="str">
        <f t="shared" si="177"/>
        <v>PARTICULAR</v>
      </c>
      <c r="N1121" s="26">
        <v>187</v>
      </c>
      <c r="O1121" s="26">
        <v>92</v>
      </c>
      <c r="P1121" s="26">
        <v>95</v>
      </c>
      <c r="Q1121" s="26">
        <v>8</v>
      </c>
      <c r="R1121" s="26">
        <v>1</v>
      </c>
      <c r="S1121" s="26">
        <v>8</v>
      </c>
      <c r="T1121" s="26">
        <v>28</v>
      </c>
      <c r="U1121" s="26">
        <v>37</v>
      </c>
      <c r="V1121" s="26">
        <v>1</v>
      </c>
      <c r="W1121" s="26"/>
    </row>
    <row r="1122" spans="1:23" x14ac:dyDescent="0.25">
      <c r="A1122" s="26" t="str">
        <f t="shared" si="178"/>
        <v>PREESCOLAR</v>
      </c>
      <c r="B1122" s="26" t="str">
        <f>"09PJN0155E"</f>
        <v>09PJN0155E</v>
      </c>
      <c r="C1122" s="26" t="str">
        <f>"LA FLORIDA                                                                                          "</f>
        <v xml:space="preserve">LA FLORIDA                                                                                          </v>
      </c>
      <c r="D1122" s="26" t="str">
        <f t="shared" si="174"/>
        <v>MATUTINO</v>
      </c>
      <c r="E1122" s="26" t="str">
        <f>"INDIANA NO. 165                                                                 "</f>
        <v xml:space="preserve">INDIANA NO. 165                                                                 </v>
      </c>
      <c r="F1122" s="26" t="str">
        <f>"NAPOLES                                                                                                                                     "</f>
        <v xml:space="preserve">NAPOLES                                                                                                                                     </v>
      </c>
      <c r="G1122" s="26" t="str">
        <f>"BENITO JUAREZ                                                                   "</f>
        <v xml:space="preserve">BENITO JUAREZ                                                                   </v>
      </c>
      <c r="H1122" s="26" t="str">
        <f>"032"</f>
        <v>032</v>
      </c>
      <c r="I1122" s="26" t="str">
        <f t="shared" si="179"/>
        <v>00</v>
      </c>
      <c r="J1122" s="26" t="str">
        <f>"33 "</f>
        <v xml:space="preserve">33 </v>
      </c>
      <c r="K1122" s="26" t="str">
        <f t="shared" si="175"/>
        <v>EP</v>
      </c>
      <c r="L1122" s="26" t="str">
        <f t="shared" si="176"/>
        <v>DGOSE</v>
      </c>
      <c r="M1122" s="26" t="str">
        <f t="shared" si="177"/>
        <v>PARTICULAR</v>
      </c>
      <c r="N1122" s="26">
        <v>210</v>
      </c>
      <c r="O1122" s="26">
        <v>108</v>
      </c>
      <c r="P1122" s="26">
        <v>102</v>
      </c>
      <c r="Q1122" s="26">
        <v>8</v>
      </c>
      <c r="R1122" s="26">
        <v>1</v>
      </c>
      <c r="S1122" s="26">
        <v>8</v>
      </c>
      <c r="T1122" s="26">
        <v>13</v>
      </c>
      <c r="U1122" s="26">
        <v>22</v>
      </c>
      <c r="V1122" s="26">
        <v>1</v>
      </c>
      <c r="W1122" s="26"/>
    </row>
    <row r="1123" spans="1:23" x14ac:dyDescent="0.25">
      <c r="A1123" s="26" t="str">
        <f t="shared" si="178"/>
        <v>PREESCOLAR</v>
      </c>
      <c r="B1123" s="26" t="str">
        <f>"09PJN0156D"</f>
        <v>09PJN0156D</v>
      </c>
      <c r="C1123" s="26" t="str">
        <f>"ALITAS                                                                                              "</f>
        <v xml:space="preserve">ALITAS                                                                                              </v>
      </c>
      <c r="D1123" s="26" t="str">
        <f t="shared" si="174"/>
        <v>MATUTINO</v>
      </c>
      <c r="E1123" s="26" t="str">
        <f>"RIO POO NO. 9                                                                   "</f>
        <v xml:space="preserve">RIO POO NO. 9                                                                   </v>
      </c>
      <c r="F1123" s="26" t="str">
        <f>"CUAUHTEMOC                                                                                                                                  "</f>
        <v xml:space="preserve">CUAUHTEMOC                                                                                                                                  </v>
      </c>
      <c r="G1123" s="26" t="s">
        <v>4128</v>
      </c>
      <c r="H1123" s="26" t="str">
        <f>"203"</f>
        <v>203</v>
      </c>
      <c r="I1123" s="26" t="str">
        <f t="shared" si="179"/>
        <v>00</v>
      </c>
      <c r="J1123" s="26" t="str">
        <f t="shared" ref="J1123:J1129" si="183">"32 "</f>
        <v xml:space="preserve">32 </v>
      </c>
      <c r="K1123" s="26" t="str">
        <f t="shared" si="175"/>
        <v>EP</v>
      </c>
      <c r="L1123" s="26" t="str">
        <f t="shared" si="176"/>
        <v>DGOSE</v>
      </c>
      <c r="M1123" s="26" t="str">
        <f t="shared" si="177"/>
        <v>PARTICULAR</v>
      </c>
      <c r="N1123" s="26">
        <v>32</v>
      </c>
      <c r="O1123" s="26">
        <v>15</v>
      </c>
      <c r="P1123" s="26">
        <v>17</v>
      </c>
      <c r="Q1123" s="26">
        <v>3</v>
      </c>
      <c r="R1123" s="26">
        <v>1</v>
      </c>
      <c r="S1123" s="26">
        <v>3</v>
      </c>
      <c r="T1123" s="26">
        <v>9</v>
      </c>
      <c r="U1123" s="26">
        <v>13</v>
      </c>
      <c r="V1123" s="26">
        <v>1</v>
      </c>
      <c r="W1123" s="26"/>
    </row>
    <row r="1124" spans="1:23" x14ac:dyDescent="0.25">
      <c r="A1124" s="26" t="str">
        <f t="shared" si="178"/>
        <v>PREESCOLAR</v>
      </c>
      <c r="B1124" s="26" t="str">
        <f>"09PJN0157C"</f>
        <v>09PJN0157C</v>
      </c>
      <c r="C1124" s="26" t="str">
        <f>"BERTHA VON GLUMER                                                                                   "</f>
        <v xml:space="preserve">BERTHA VON GLUMER                                                                                   </v>
      </c>
      <c r="D1124" s="26" t="str">
        <f t="shared" si="174"/>
        <v>MATUTINO</v>
      </c>
      <c r="E1124" s="26" t="str">
        <f>"PUEBLA NO. 413                                                                  "</f>
        <v xml:space="preserve">PUEBLA NO. 413                                                                  </v>
      </c>
      <c r="F1124" s="26" t="str">
        <f>"ROMA NORTE                                                                                                                                  "</f>
        <v xml:space="preserve">ROMA NORTE                                                                                                                                  </v>
      </c>
      <c r="G1124" s="26" t="s">
        <v>4128</v>
      </c>
      <c r="H1124" s="26" t="str">
        <f>"020"</f>
        <v>020</v>
      </c>
      <c r="I1124" s="26" t="str">
        <f t="shared" si="179"/>
        <v>00</v>
      </c>
      <c r="J1124" s="26" t="str">
        <f t="shared" si="183"/>
        <v xml:space="preserve">32 </v>
      </c>
      <c r="K1124" s="26" t="str">
        <f t="shared" si="175"/>
        <v>EP</v>
      </c>
      <c r="L1124" s="26" t="str">
        <f t="shared" si="176"/>
        <v>DGOSE</v>
      </c>
      <c r="M1124" s="26" t="str">
        <f t="shared" si="177"/>
        <v>PARTICULAR</v>
      </c>
      <c r="N1124" s="26">
        <v>103</v>
      </c>
      <c r="O1124" s="26">
        <v>49</v>
      </c>
      <c r="P1124" s="26">
        <v>54</v>
      </c>
      <c r="Q1124" s="26">
        <v>5</v>
      </c>
      <c r="R1124" s="26">
        <v>1</v>
      </c>
      <c r="S1124" s="26">
        <v>5</v>
      </c>
      <c r="T1124" s="26">
        <v>14</v>
      </c>
      <c r="U1124" s="26">
        <v>20</v>
      </c>
      <c r="V1124" s="26">
        <v>1</v>
      </c>
      <c r="W1124" s="26"/>
    </row>
    <row r="1125" spans="1:23" x14ac:dyDescent="0.25">
      <c r="A1125" s="26" t="str">
        <f t="shared" si="178"/>
        <v>PREESCOLAR</v>
      </c>
      <c r="B1125" s="26" t="str">
        <f>"09PJN0158B"</f>
        <v>09PJN0158B</v>
      </c>
      <c r="C1125" s="26" t="str">
        <f>"NIÑOS DE MEXICO                                                                                     "</f>
        <v xml:space="preserve">NIÑOS DE MEXICO                                                                                     </v>
      </c>
      <c r="D1125" s="26" t="str">
        <f t="shared" si="174"/>
        <v>MATUTINO</v>
      </c>
      <c r="E1125" s="26" t="str">
        <f>"QUERETARO NO. 151                                                               "</f>
        <v xml:space="preserve">QUERETARO NO. 151                                                               </v>
      </c>
      <c r="F1125" s="26" t="str">
        <f>"ROMA SUR                                                                                                                                    "</f>
        <v xml:space="preserve">ROMA SUR                                                                                                                                    </v>
      </c>
      <c r="G1125" s="26" t="s">
        <v>4128</v>
      </c>
      <c r="H1125" s="26" t="str">
        <f>"202"</f>
        <v>202</v>
      </c>
      <c r="I1125" s="26" t="str">
        <f t="shared" si="179"/>
        <v>00</v>
      </c>
      <c r="J1125" s="26" t="str">
        <f t="shared" si="183"/>
        <v xml:space="preserve">32 </v>
      </c>
      <c r="K1125" s="26" t="str">
        <f t="shared" si="175"/>
        <v>EP</v>
      </c>
      <c r="L1125" s="26" t="str">
        <f t="shared" si="176"/>
        <v>DGOSE</v>
      </c>
      <c r="M1125" s="26" t="str">
        <f t="shared" si="177"/>
        <v>PARTICULAR</v>
      </c>
      <c r="N1125" s="26">
        <v>251</v>
      </c>
      <c r="O1125" s="26">
        <v>131</v>
      </c>
      <c r="P1125" s="26">
        <v>120</v>
      </c>
      <c r="Q1125" s="26">
        <v>8</v>
      </c>
      <c r="R1125" s="26">
        <v>1</v>
      </c>
      <c r="S1125" s="26">
        <v>8</v>
      </c>
      <c r="T1125" s="26">
        <v>23</v>
      </c>
      <c r="U1125" s="26">
        <v>32</v>
      </c>
      <c r="V1125" s="26">
        <v>1</v>
      </c>
      <c r="W1125" s="26"/>
    </row>
    <row r="1126" spans="1:23" x14ac:dyDescent="0.25">
      <c r="A1126" s="26" t="str">
        <f t="shared" si="178"/>
        <v>PREESCOLAR</v>
      </c>
      <c r="B1126" s="26" t="str">
        <f>"09PJN0160Q"</f>
        <v>09PJN0160Q</v>
      </c>
      <c r="C1126" s="26" t="str">
        <f>"CONDESA                                                                                             "</f>
        <v xml:space="preserve">CONDESA                                                                                             </v>
      </c>
      <c r="D1126" s="26" t="str">
        <f t="shared" si="174"/>
        <v>MATUTINO</v>
      </c>
      <c r="E1126" s="26" t="str">
        <f>"TLAXCALA NO. 105                                                                "</f>
        <v xml:space="preserve">TLAXCALA NO. 105                                                                </v>
      </c>
      <c r="F1126" s="26" t="str">
        <f>"ROMA SUR                                                                                                                                    "</f>
        <v xml:space="preserve">ROMA SUR                                                                                                                                    </v>
      </c>
      <c r="G1126" s="26" t="s">
        <v>4128</v>
      </c>
      <c r="H1126" s="26" t="str">
        <f>"202"</f>
        <v>202</v>
      </c>
      <c r="I1126" s="26" t="str">
        <f t="shared" si="179"/>
        <v>00</v>
      </c>
      <c r="J1126" s="26" t="str">
        <f t="shared" si="183"/>
        <v xml:space="preserve">32 </v>
      </c>
      <c r="K1126" s="26" t="str">
        <f t="shared" si="175"/>
        <v>EP</v>
      </c>
      <c r="L1126" s="26" t="str">
        <f t="shared" si="176"/>
        <v>DGOSE</v>
      </c>
      <c r="M1126" s="26" t="str">
        <f t="shared" si="177"/>
        <v>PARTICULAR</v>
      </c>
      <c r="N1126" s="26">
        <v>31</v>
      </c>
      <c r="O1126" s="26">
        <v>14</v>
      </c>
      <c r="P1126" s="26">
        <v>17</v>
      </c>
      <c r="Q1126" s="26">
        <v>3</v>
      </c>
      <c r="R1126" s="26">
        <v>1</v>
      </c>
      <c r="S1126" s="26">
        <v>2</v>
      </c>
      <c r="T1126" s="26">
        <v>7</v>
      </c>
      <c r="U1126" s="26">
        <v>10</v>
      </c>
      <c r="V1126" s="26">
        <v>1</v>
      </c>
      <c r="W1126" s="26"/>
    </row>
    <row r="1127" spans="1:23" x14ac:dyDescent="0.25">
      <c r="A1127" s="26" t="str">
        <f t="shared" si="178"/>
        <v>PREESCOLAR</v>
      </c>
      <c r="B1127" s="26" t="str">
        <f>"09PJN0161P"</f>
        <v>09PJN0161P</v>
      </c>
      <c r="C1127" s="26" t="str">
        <f>"INGLATERRA A.C.                                                                                     "</f>
        <v xml:space="preserve">INGLATERRA A.C.                                                                                     </v>
      </c>
      <c r="D1127" s="26" t="str">
        <f t="shared" si="174"/>
        <v>MATUTINO</v>
      </c>
      <c r="E1127" s="26" t="str">
        <f>"TLACOTALPAN NO. 26                                                              "</f>
        <v xml:space="preserve">TLACOTALPAN NO. 26                                                              </v>
      </c>
      <c r="F1127" s="26" t="str">
        <f>"ROMA SUR                                                                                                                                    "</f>
        <v xml:space="preserve">ROMA SUR                                                                                                                                    </v>
      </c>
      <c r="G1127" s="26" t="s">
        <v>4128</v>
      </c>
      <c r="H1127" s="26" t="str">
        <f>"202"</f>
        <v>202</v>
      </c>
      <c r="I1127" s="26" t="str">
        <f t="shared" si="179"/>
        <v>00</v>
      </c>
      <c r="J1127" s="26" t="str">
        <f t="shared" si="183"/>
        <v xml:space="preserve">32 </v>
      </c>
      <c r="K1127" s="26" t="str">
        <f t="shared" si="175"/>
        <v>EP</v>
      </c>
      <c r="L1127" s="26" t="str">
        <f t="shared" si="176"/>
        <v>DGOSE</v>
      </c>
      <c r="M1127" s="26" t="str">
        <f t="shared" si="177"/>
        <v>PARTICULAR</v>
      </c>
      <c r="N1127" s="26">
        <v>116</v>
      </c>
      <c r="O1127" s="26">
        <v>65</v>
      </c>
      <c r="P1127" s="26">
        <v>51</v>
      </c>
      <c r="Q1127" s="26">
        <v>6</v>
      </c>
      <c r="R1127" s="26">
        <v>1</v>
      </c>
      <c r="S1127" s="26">
        <v>6</v>
      </c>
      <c r="T1127" s="26">
        <v>18</v>
      </c>
      <c r="U1127" s="26">
        <v>25</v>
      </c>
      <c r="V1127" s="26">
        <v>1</v>
      </c>
      <c r="W1127" s="26"/>
    </row>
    <row r="1128" spans="1:23" x14ac:dyDescent="0.25">
      <c r="A1128" s="26" t="str">
        <f t="shared" si="178"/>
        <v>PREESCOLAR</v>
      </c>
      <c r="B1128" s="26" t="str">
        <f>"09PJN0162O"</f>
        <v>09PJN0162O</v>
      </c>
      <c r="C1128" s="26" t="s">
        <v>88</v>
      </c>
      <c r="D1128" s="26" t="str">
        <f t="shared" si="174"/>
        <v>MATUTINO</v>
      </c>
      <c r="E1128" s="26" t="str">
        <f>"BAJIO NO. 313                                                                   "</f>
        <v xml:space="preserve">BAJIO NO. 313                                                                   </v>
      </c>
      <c r="F1128" s="26" t="str">
        <f>"ROMA SUR                                                                                                                                    "</f>
        <v xml:space="preserve">ROMA SUR                                                                                                                                    </v>
      </c>
      <c r="G1128" s="26" t="s">
        <v>4128</v>
      </c>
      <c r="H1128" s="26" t="str">
        <f>"020"</f>
        <v>020</v>
      </c>
      <c r="I1128" s="26" t="str">
        <f t="shared" si="179"/>
        <v>00</v>
      </c>
      <c r="J1128" s="26" t="str">
        <f t="shared" si="183"/>
        <v xml:space="preserve">32 </v>
      </c>
      <c r="K1128" s="26" t="str">
        <f t="shared" si="175"/>
        <v>EP</v>
      </c>
      <c r="L1128" s="26" t="str">
        <f t="shared" si="176"/>
        <v>DGOSE</v>
      </c>
      <c r="M1128" s="26" t="str">
        <f t="shared" si="177"/>
        <v>PARTICULAR</v>
      </c>
      <c r="N1128" s="26">
        <v>76</v>
      </c>
      <c r="O1128" s="26">
        <v>42</v>
      </c>
      <c r="P1128" s="26">
        <v>34</v>
      </c>
      <c r="Q1128" s="26">
        <v>5</v>
      </c>
      <c r="R1128" s="26">
        <v>1</v>
      </c>
      <c r="S1128" s="26">
        <v>5</v>
      </c>
      <c r="T1128" s="26">
        <v>13</v>
      </c>
      <c r="U1128" s="26">
        <v>19</v>
      </c>
      <c r="V1128" s="26">
        <v>1</v>
      </c>
      <c r="W1128" s="26"/>
    </row>
    <row r="1129" spans="1:23" x14ac:dyDescent="0.25">
      <c r="A1129" s="26" t="str">
        <f t="shared" si="178"/>
        <v>PREESCOLAR</v>
      </c>
      <c r="B1129" s="26" t="str">
        <f>"09PJN0167J"</f>
        <v>09PJN0167J</v>
      </c>
      <c r="C1129" s="26" t="str">
        <f>"MARIA MONTESSORI                                                                                    "</f>
        <v xml:space="preserve">MARIA MONTESSORI                                                                                    </v>
      </c>
      <c r="D1129" s="26" t="str">
        <f t="shared" si="174"/>
        <v>MATUTINO</v>
      </c>
      <c r="E1129" s="26" t="str">
        <f>"BENJAMIN FRANKLIN NO. 164                                                       "</f>
        <v xml:space="preserve">BENJAMIN FRANKLIN NO. 164                                                       </v>
      </c>
      <c r="F1129" s="26" t="str">
        <f>"ESCANDON                                                                                                                                    "</f>
        <v xml:space="preserve">ESCANDON                                                                                                                                    </v>
      </c>
      <c r="G1129" s="26" t="str">
        <f>"MIGUEL HIDALGO                                                                  "</f>
        <v xml:space="preserve">MIGUEL HIDALGO                                                                  </v>
      </c>
      <c r="H1129" s="26" t="str">
        <f>"207"</f>
        <v>207</v>
      </c>
      <c r="I1129" s="26" t="str">
        <f t="shared" si="179"/>
        <v>00</v>
      </c>
      <c r="J1129" s="26" t="str">
        <f t="shared" si="183"/>
        <v xml:space="preserve">32 </v>
      </c>
      <c r="K1129" s="26" t="str">
        <f t="shared" si="175"/>
        <v>EP</v>
      </c>
      <c r="L1129" s="26" t="str">
        <f t="shared" si="176"/>
        <v>DGOSE</v>
      </c>
      <c r="M1129" s="26" t="str">
        <f t="shared" si="177"/>
        <v>PARTICULAR</v>
      </c>
      <c r="N1129" s="26">
        <v>211</v>
      </c>
      <c r="O1129" s="26">
        <v>103</v>
      </c>
      <c r="P1129" s="26">
        <v>108</v>
      </c>
      <c r="Q1129" s="26">
        <v>10</v>
      </c>
      <c r="R1129" s="26">
        <v>1</v>
      </c>
      <c r="S1129" s="26">
        <v>5</v>
      </c>
      <c r="T1129" s="26">
        <v>22</v>
      </c>
      <c r="U1129" s="26">
        <v>28</v>
      </c>
      <c r="V1129" s="26">
        <v>1</v>
      </c>
      <c r="W1129" s="26"/>
    </row>
    <row r="1130" spans="1:23" x14ac:dyDescent="0.25">
      <c r="A1130" s="26" t="str">
        <f t="shared" si="178"/>
        <v>PREESCOLAR</v>
      </c>
      <c r="B1130" s="26" t="str">
        <f>"09PJN0168I"</f>
        <v>09PJN0168I</v>
      </c>
      <c r="C1130" s="26" t="str">
        <f>"JARDIN ELENA ESPINOSA BEREA                                                                         "</f>
        <v xml:space="preserve">JARDIN ELENA ESPINOSA BEREA                                                                         </v>
      </c>
      <c r="D1130" s="26" t="str">
        <f t="shared" si="174"/>
        <v>MATUTINO</v>
      </c>
      <c r="E1130" s="26" t="str">
        <f>"AMORES NO. 605                                                                  "</f>
        <v xml:space="preserve">AMORES NO. 605                                                                  </v>
      </c>
      <c r="F1130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1130" s="26" t="str">
        <f>"BENITO JUAREZ                                                                   "</f>
        <v xml:space="preserve">BENITO JUAREZ                                                                   </v>
      </c>
      <c r="H1130" s="26" t="str">
        <f>"232"</f>
        <v>232</v>
      </c>
      <c r="I1130" s="26" t="str">
        <f t="shared" si="179"/>
        <v>00</v>
      </c>
      <c r="J1130" s="26" t="str">
        <f>"33 "</f>
        <v xml:space="preserve">33 </v>
      </c>
      <c r="K1130" s="26" t="str">
        <f t="shared" si="175"/>
        <v>EP</v>
      </c>
      <c r="L1130" s="26" t="str">
        <f t="shared" si="176"/>
        <v>DGOSE</v>
      </c>
      <c r="M1130" s="26" t="str">
        <f t="shared" si="177"/>
        <v>PARTICULAR</v>
      </c>
      <c r="N1130" s="26">
        <v>37</v>
      </c>
      <c r="O1130" s="26">
        <v>22</v>
      </c>
      <c r="P1130" s="26">
        <v>15</v>
      </c>
      <c r="Q1130" s="26">
        <v>3</v>
      </c>
      <c r="R1130" s="26">
        <v>1</v>
      </c>
      <c r="S1130" s="26">
        <v>3</v>
      </c>
      <c r="T1130" s="26">
        <v>13</v>
      </c>
      <c r="U1130" s="26">
        <v>17</v>
      </c>
      <c r="V1130" s="26">
        <v>1</v>
      </c>
      <c r="W1130" s="26"/>
    </row>
    <row r="1131" spans="1:23" x14ac:dyDescent="0.25">
      <c r="A1131" s="26" t="str">
        <f t="shared" si="178"/>
        <v>PREESCOLAR</v>
      </c>
      <c r="B1131" s="26" t="str">
        <f>"09PJN0169H"</f>
        <v>09PJN0169H</v>
      </c>
      <c r="C1131" s="26" t="str">
        <f>"BUCKINGHAM                                                                                          "</f>
        <v xml:space="preserve">BUCKINGHAM                                                                                          </v>
      </c>
      <c r="D1131" s="26" t="str">
        <f t="shared" si="174"/>
        <v>MATUTINO</v>
      </c>
      <c r="E1131" s="26" t="str">
        <f>"PETEN NO. 204                                                                   "</f>
        <v xml:space="preserve">PETEN NO. 204                                                                   </v>
      </c>
      <c r="F1131" s="26" t="str">
        <f>"NARVARTE                                                                                                                                    "</f>
        <v xml:space="preserve">NARVARTE                                                                                                                                    </v>
      </c>
      <c r="G1131" s="26" t="str">
        <f>"BENITO JUAREZ                                                                   "</f>
        <v xml:space="preserve">BENITO JUAREZ                                                                   </v>
      </c>
      <c r="H1131" s="26" t="str">
        <f>"029"</f>
        <v>029</v>
      </c>
      <c r="I1131" s="26" t="str">
        <f t="shared" si="179"/>
        <v>00</v>
      </c>
      <c r="J1131" s="26" t="str">
        <f>"33 "</f>
        <v xml:space="preserve">33 </v>
      </c>
      <c r="K1131" s="26" t="str">
        <f t="shared" si="175"/>
        <v>EP</v>
      </c>
      <c r="L1131" s="26" t="str">
        <f t="shared" si="176"/>
        <v>DGOSE</v>
      </c>
      <c r="M1131" s="26" t="str">
        <f t="shared" si="177"/>
        <v>PARTICULAR</v>
      </c>
      <c r="N1131" s="26">
        <v>98</v>
      </c>
      <c r="O1131" s="26">
        <v>47</v>
      </c>
      <c r="P1131" s="26">
        <v>51</v>
      </c>
      <c r="Q1131" s="26">
        <v>6</v>
      </c>
      <c r="R1131" s="26">
        <v>1</v>
      </c>
      <c r="S1131" s="26">
        <v>4</v>
      </c>
      <c r="T1131" s="26">
        <v>6</v>
      </c>
      <c r="U1131" s="26">
        <v>11</v>
      </c>
      <c r="V1131" s="26">
        <v>1</v>
      </c>
      <c r="W1131" s="26"/>
    </row>
    <row r="1132" spans="1:23" x14ac:dyDescent="0.25">
      <c r="A1132" s="26" t="str">
        <f t="shared" si="178"/>
        <v>PREESCOLAR</v>
      </c>
      <c r="B1132" s="26" t="str">
        <f>"09PJN0174T"</f>
        <v>09PJN0174T</v>
      </c>
      <c r="C1132" s="26" t="str">
        <f>"LUCY                                                                                                "</f>
        <v xml:space="preserve">LUCY                                                                                                </v>
      </c>
      <c r="D1132" s="26" t="str">
        <f t="shared" si="174"/>
        <v>MATUTINO</v>
      </c>
      <c r="E1132" s="26" t="str">
        <f>"PLAYA MIRAMAR NO. 340                                                           "</f>
        <v xml:space="preserve">PLAYA MIRAMAR NO. 340                                                           </v>
      </c>
      <c r="F1132" s="26" t="str">
        <f>"REFORMA IZTACCIHUATL NORTE                                                                                                                  "</f>
        <v xml:space="preserve">REFORMA IZTACCIHUATL NORTE                                                                                                                  </v>
      </c>
      <c r="G1132" s="26" t="str">
        <f>"IZTACALCO                                                                       "</f>
        <v xml:space="preserve">IZTACALCO                                                                       </v>
      </c>
      <c r="H1132" s="26" t="str">
        <f>"027"</f>
        <v>027</v>
      </c>
      <c r="I1132" s="26" t="str">
        <f t="shared" si="179"/>
        <v>00</v>
      </c>
      <c r="J1132" s="26" t="str">
        <f>"33 "</f>
        <v xml:space="preserve">33 </v>
      </c>
      <c r="K1132" s="26" t="str">
        <f t="shared" si="175"/>
        <v>EP</v>
      </c>
      <c r="L1132" s="26" t="str">
        <f t="shared" si="176"/>
        <v>DGOSE</v>
      </c>
      <c r="M1132" s="26" t="str">
        <f t="shared" si="177"/>
        <v>PARTICULAR</v>
      </c>
      <c r="N1132" s="26">
        <v>138</v>
      </c>
      <c r="O1132" s="26">
        <v>65</v>
      </c>
      <c r="P1132" s="26">
        <v>73</v>
      </c>
      <c r="Q1132" s="26">
        <v>6</v>
      </c>
      <c r="R1132" s="26">
        <v>1</v>
      </c>
      <c r="S1132" s="26">
        <v>6</v>
      </c>
      <c r="T1132" s="26">
        <v>6</v>
      </c>
      <c r="U1132" s="26">
        <v>13</v>
      </c>
      <c r="V1132" s="26">
        <v>1</v>
      </c>
      <c r="W1132" s="26"/>
    </row>
    <row r="1133" spans="1:23" x14ac:dyDescent="0.25">
      <c r="A1133" s="26" t="str">
        <f t="shared" si="178"/>
        <v>PREESCOLAR</v>
      </c>
      <c r="B1133" s="26" t="str">
        <f>"09PJN0176R"</f>
        <v>09PJN0176R</v>
      </c>
      <c r="C1133" s="26" t="str">
        <f>"COLEGIO MADRID                                                                                      "</f>
        <v xml:space="preserve">COLEGIO MADRID                                                                                      </v>
      </c>
      <c r="D1133" s="26" t="str">
        <f t="shared" si="174"/>
        <v>MATUTINO</v>
      </c>
      <c r="E1133" s="26" t="str">
        <f>"PUENTE NO. 224                                                                  "</f>
        <v xml:space="preserve">PUENTE NO. 224                                                                  </v>
      </c>
      <c r="F1133" s="26" t="str">
        <f>"EJIDOS DE HUIPULCO                                                                                                                          "</f>
        <v xml:space="preserve">EJIDOS DE HUIPULCO                                                                                                                          </v>
      </c>
      <c r="G1133" s="26" t="str">
        <f>"TLALPAN                                                                         "</f>
        <v xml:space="preserve">TLALPAN                                                                         </v>
      </c>
      <c r="H1133" s="26" t="str">
        <f>"050"</f>
        <v>050</v>
      </c>
      <c r="I1133" s="26" t="str">
        <f t="shared" si="179"/>
        <v>00</v>
      </c>
      <c r="J1133" s="26" t="str">
        <f>"35 "</f>
        <v xml:space="preserve">35 </v>
      </c>
      <c r="K1133" s="26" t="str">
        <f t="shared" si="175"/>
        <v>EP</v>
      </c>
      <c r="L1133" s="26" t="str">
        <f t="shared" si="176"/>
        <v>DGOSE</v>
      </c>
      <c r="M1133" s="26" t="str">
        <f t="shared" si="177"/>
        <v>PARTICULAR</v>
      </c>
      <c r="N1133" s="26">
        <v>180</v>
      </c>
      <c r="O1133" s="26">
        <v>92</v>
      </c>
      <c r="P1133" s="26">
        <v>88</v>
      </c>
      <c r="Q1133" s="26">
        <v>9</v>
      </c>
      <c r="R1133" s="26">
        <v>1</v>
      </c>
      <c r="S1133" s="26">
        <v>9</v>
      </c>
      <c r="T1133" s="26">
        <v>19</v>
      </c>
      <c r="U1133" s="26">
        <v>29</v>
      </c>
      <c r="V1133" s="26">
        <v>1</v>
      </c>
      <c r="W1133" s="26"/>
    </row>
    <row r="1134" spans="1:23" x14ac:dyDescent="0.25">
      <c r="A1134" s="26" t="str">
        <f t="shared" si="178"/>
        <v>PREESCOLAR</v>
      </c>
      <c r="B1134" s="26" t="str">
        <f>"09PJN0179O"</f>
        <v>09PJN0179O</v>
      </c>
      <c r="C1134" s="26" t="str">
        <f>"JARDÍN DE NIÑOS ANEXO A LA UNIVERSIDAD MOTOLINIA                                                    "</f>
        <v xml:space="preserve">JARDÍN DE NIÑOS ANEXO A LA UNIVERSIDAD MOTOLINIA                                                    </v>
      </c>
      <c r="D1134" s="26" t="str">
        <f t="shared" si="174"/>
        <v>MATUTINO</v>
      </c>
      <c r="E1134" s="26" t="str">
        <f>"OREGON NO. 739                                                                  "</f>
        <v xml:space="preserve">OREGON NO. 739                                                                  </v>
      </c>
      <c r="F1134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1134" s="26" t="str">
        <f>"BENITO JUAREZ                                                                   "</f>
        <v xml:space="preserve">BENITO JUAREZ                                                                   </v>
      </c>
      <c r="H1134" s="26" t="str">
        <f>"032"</f>
        <v>032</v>
      </c>
      <c r="I1134" s="26" t="str">
        <f t="shared" si="179"/>
        <v>00</v>
      </c>
      <c r="J1134" s="26" t="str">
        <f>"33 "</f>
        <v xml:space="preserve">33 </v>
      </c>
      <c r="K1134" s="26" t="str">
        <f t="shared" si="175"/>
        <v>EP</v>
      </c>
      <c r="L1134" s="26" t="str">
        <f t="shared" si="176"/>
        <v>DGOSE</v>
      </c>
      <c r="M1134" s="26" t="str">
        <f t="shared" si="177"/>
        <v>PARTICULAR</v>
      </c>
      <c r="N1134" s="26">
        <v>58</v>
      </c>
      <c r="O1134" s="26">
        <v>28</v>
      </c>
      <c r="P1134" s="26">
        <v>30</v>
      </c>
      <c r="Q1134" s="26">
        <v>3</v>
      </c>
      <c r="R1134" s="26">
        <v>1</v>
      </c>
      <c r="S1134" s="26">
        <v>3</v>
      </c>
      <c r="T1134" s="26">
        <v>6</v>
      </c>
      <c r="U1134" s="26">
        <v>10</v>
      </c>
      <c r="V1134" s="26">
        <v>1</v>
      </c>
      <c r="W1134" s="26"/>
    </row>
    <row r="1135" spans="1:23" x14ac:dyDescent="0.25">
      <c r="A1135" s="26" t="str">
        <f t="shared" si="178"/>
        <v>PREESCOLAR</v>
      </c>
      <c r="B1135" s="26" t="str">
        <f>"09PJN0180D"</f>
        <v>09PJN0180D</v>
      </c>
      <c r="C1135" s="26" t="str">
        <f>"INSTITUTO MIGUEL ANGEL                                                                              "</f>
        <v xml:space="preserve">INSTITUTO MIGUEL ANGEL                                                                              </v>
      </c>
      <c r="D1135" s="26" t="str">
        <f t="shared" si="174"/>
        <v>MATUTINO</v>
      </c>
      <c r="E1135" s="26" t="str">
        <f>"IXTACCIHUATL NO. 239                                                            "</f>
        <v xml:space="preserve">IXTACCIHUATL NO. 239                                                            </v>
      </c>
      <c r="F1135" s="26" t="str">
        <f>"FLORIDA                                                                                                                                     "</f>
        <v xml:space="preserve">FLORIDA                                                                                                                                     </v>
      </c>
      <c r="G1135" s="26" t="str">
        <f>"ALVARO OBREGON                                                                  "</f>
        <v xml:space="preserve">ALVARO OBREGON                                                                  </v>
      </c>
      <c r="H1135" s="26" t="str">
        <f>"087"</f>
        <v>087</v>
      </c>
      <c r="I1135" s="26" t="str">
        <f t="shared" si="179"/>
        <v>00</v>
      </c>
      <c r="J1135" s="26" t="str">
        <f>"33 "</f>
        <v xml:space="preserve">33 </v>
      </c>
      <c r="K1135" s="26" t="str">
        <f t="shared" si="175"/>
        <v>EP</v>
      </c>
      <c r="L1135" s="26" t="str">
        <f t="shared" si="176"/>
        <v>DGOSE</v>
      </c>
      <c r="M1135" s="26" t="str">
        <f t="shared" si="177"/>
        <v>PARTICULAR</v>
      </c>
      <c r="N1135" s="26">
        <v>136</v>
      </c>
      <c r="O1135" s="26">
        <v>60</v>
      </c>
      <c r="P1135" s="26">
        <v>76</v>
      </c>
      <c r="Q1135" s="26">
        <v>6</v>
      </c>
      <c r="R1135" s="26">
        <v>1</v>
      </c>
      <c r="S1135" s="26">
        <v>3</v>
      </c>
      <c r="T1135" s="26">
        <v>13</v>
      </c>
      <c r="U1135" s="26">
        <v>17</v>
      </c>
      <c r="V1135" s="26">
        <v>1</v>
      </c>
      <c r="W1135" s="26"/>
    </row>
    <row r="1136" spans="1:23" x14ac:dyDescent="0.25">
      <c r="A1136" s="26" t="str">
        <f t="shared" si="178"/>
        <v>PREESCOLAR</v>
      </c>
      <c r="B1136" s="26" t="str">
        <f>"09PJN0181C"</f>
        <v>09PJN0181C</v>
      </c>
      <c r="C1136" s="26" t="str">
        <f>"NIÑOS HÉROES                                                                                        "</f>
        <v xml:space="preserve">NIÑOS HÉROES                                                                                        </v>
      </c>
      <c r="D1136" s="26" t="str">
        <f t="shared" si="174"/>
        <v>MATUTINO</v>
      </c>
      <c r="E1136" s="26" t="str">
        <f>"NUEVA YORK NO. 64                                                               "</f>
        <v xml:space="preserve">NUEVA YORK NO. 64                                                               </v>
      </c>
      <c r="F1136" s="26" t="str">
        <f>"NAPOLES                                                                                                                                     "</f>
        <v xml:space="preserve">NAPOLES                                                                                                                                     </v>
      </c>
      <c r="G1136" s="26" t="str">
        <f>"BENITO JUAREZ                                                                   "</f>
        <v xml:space="preserve">BENITO JUAREZ                                                                   </v>
      </c>
      <c r="H1136" s="26" t="str">
        <f>"032"</f>
        <v>032</v>
      </c>
      <c r="I1136" s="26" t="str">
        <f t="shared" si="179"/>
        <v>00</v>
      </c>
      <c r="J1136" s="26" t="str">
        <f>"33 "</f>
        <v xml:space="preserve">33 </v>
      </c>
      <c r="K1136" s="26" t="str">
        <f t="shared" si="175"/>
        <v>EP</v>
      </c>
      <c r="L1136" s="26" t="str">
        <f t="shared" si="176"/>
        <v>DGOSE</v>
      </c>
      <c r="M1136" s="26" t="str">
        <f t="shared" si="177"/>
        <v>PARTICULAR</v>
      </c>
      <c r="N1136" s="26">
        <v>13</v>
      </c>
      <c r="O1136" s="26">
        <v>6</v>
      </c>
      <c r="P1136" s="26">
        <v>7</v>
      </c>
      <c r="Q1136" s="26">
        <v>2</v>
      </c>
      <c r="R1136" s="26">
        <v>1</v>
      </c>
      <c r="S1136" s="26">
        <v>2</v>
      </c>
      <c r="T1136" s="26">
        <v>2</v>
      </c>
      <c r="U1136" s="26">
        <v>5</v>
      </c>
      <c r="V1136" s="26">
        <v>1</v>
      </c>
      <c r="W1136" s="26"/>
    </row>
    <row r="1137" spans="1:23" x14ac:dyDescent="0.25">
      <c r="A1137" s="26" t="str">
        <f t="shared" si="178"/>
        <v>PREESCOLAR</v>
      </c>
      <c r="B1137" s="26" t="str">
        <f>"09PJN0184Z"</f>
        <v>09PJN0184Z</v>
      </c>
      <c r="C1137" s="26" t="s">
        <v>89</v>
      </c>
      <c r="D1137" s="26" t="str">
        <f t="shared" si="174"/>
        <v>MATUTINO</v>
      </c>
      <c r="E1137" s="26" t="str">
        <f>"AV. CASA DE LA MONEDA No. 214                                                   "</f>
        <v xml:space="preserve">AV. CASA DE LA MONEDA No. 214                                                   </v>
      </c>
      <c r="F1137" s="26" t="str">
        <f>"10 DE ABRIL                                                                                                                                 "</f>
        <v xml:space="preserve">10 DE ABRIL                                                                                                                                 </v>
      </c>
      <c r="G1137" s="26" t="str">
        <f>"MIGUEL HIDALGO                                                                  "</f>
        <v xml:space="preserve">MIGUEL HIDALGO                                                                  </v>
      </c>
      <c r="H1137" s="26" t="str">
        <f>"207"</f>
        <v>207</v>
      </c>
      <c r="I1137" s="26" t="str">
        <f t="shared" si="179"/>
        <v>00</v>
      </c>
      <c r="J1137" s="26" t="str">
        <f>"32 "</f>
        <v xml:space="preserve">32 </v>
      </c>
      <c r="K1137" s="26" t="str">
        <f t="shared" si="175"/>
        <v>EP</v>
      </c>
      <c r="L1137" s="26" t="str">
        <f t="shared" si="176"/>
        <v>DGOSE</v>
      </c>
      <c r="M1137" s="26" t="str">
        <f t="shared" si="177"/>
        <v>PARTICULAR</v>
      </c>
      <c r="N1137" s="26">
        <v>8</v>
      </c>
      <c r="O1137" s="26">
        <v>2</v>
      </c>
      <c r="P1137" s="26">
        <v>6</v>
      </c>
      <c r="Q1137" s="26">
        <v>2</v>
      </c>
      <c r="R1137" s="26">
        <v>1</v>
      </c>
      <c r="S1137" s="26">
        <v>2</v>
      </c>
      <c r="T1137" s="26">
        <v>2</v>
      </c>
      <c r="U1137" s="26">
        <v>5</v>
      </c>
      <c r="V1137" s="26">
        <v>1</v>
      </c>
      <c r="W1137" s="26"/>
    </row>
    <row r="1138" spans="1:23" x14ac:dyDescent="0.25">
      <c r="A1138" s="26" t="str">
        <f t="shared" si="178"/>
        <v>PREESCOLAR</v>
      </c>
      <c r="B1138" s="26" t="str">
        <f>"09PJN0187X"</f>
        <v>09PJN0187X</v>
      </c>
      <c r="C1138" s="26" t="str">
        <f>"VILLA DE CORTES                                                                                     "</f>
        <v xml:space="preserve">VILLA DE CORTES                                                                                     </v>
      </c>
      <c r="D1138" s="26" t="str">
        <f t="shared" si="174"/>
        <v>MATUTINO</v>
      </c>
      <c r="E1138" s="26" t="str">
        <f>"RUBEN M. CAMPOS NO. 2608                                                        "</f>
        <v xml:space="preserve">RUBEN M. CAMPOS NO. 2608                                                        </v>
      </c>
      <c r="F1138" s="26" t="str">
        <f>"VILLA DE CORTES                                                                                                                             "</f>
        <v xml:space="preserve">VILLA DE CORTES                                                                                                                             </v>
      </c>
      <c r="G1138" s="26" t="str">
        <f>"BENITO JUAREZ                                                                   "</f>
        <v xml:space="preserve">BENITO JUAREZ                                                                   </v>
      </c>
      <c r="H1138" s="26" t="str">
        <f>"029"</f>
        <v>029</v>
      </c>
      <c r="I1138" s="26" t="str">
        <f t="shared" si="179"/>
        <v>00</v>
      </c>
      <c r="J1138" s="26" t="str">
        <f>"33 "</f>
        <v xml:space="preserve">33 </v>
      </c>
      <c r="K1138" s="26" t="str">
        <f t="shared" si="175"/>
        <v>EP</v>
      </c>
      <c r="L1138" s="26" t="str">
        <f t="shared" si="176"/>
        <v>DGOSE</v>
      </c>
      <c r="M1138" s="26" t="str">
        <f t="shared" si="177"/>
        <v>PARTICULAR</v>
      </c>
      <c r="N1138" s="26">
        <v>64</v>
      </c>
      <c r="O1138" s="26">
        <v>32</v>
      </c>
      <c r="P1138" s="26">
        <v>32</v>
      </c>
      <c r="Q1138" s="26">
        <v>4</v>
      </c>
      <c r="R1138" s="26">
        <v>1</v>
      </c>
      <c r="S1138" s="26">
        <v>4</v>
      </c>
      <c r="T1138" s="26">
        <v>4</v>
      </c>
      <c r="U1138" s="26">
        <v>9</v>
      </c>
      <c r="V1138" s="26">
        <v>1</v>
      </c>
      <c r="W1138" s="26"/>
    </row>
    <row r="1139" spans="1:23" x14ac:dyDescent="0.25">
      <c r="A1139" s="26" t="str">
        <f t="shared" si="178"/>
        <v>PREESCOLAR</v>
      </c>
      <c r="B1139" s="26" t="str">
        <f>"09PJN0198C"</f>
        <v>09PJN0198C</v>
      </c>
      <c r="C1139" s="26" t="str">
        <f>"JOSE LEVY                                                                                           "</f>
        <v xml:space="preserve">JOSE LEVY                                                                                           </v>
      </c>
      <c r="D1139" s="26" t="str">
        <f t="shared" si="174"/>
        <v>MATUTINO</v>
      </c>
      <c r="E1139" s="26" t="str">
        <f>"AV. GENARO GARCIA NO. 363                                                       "</f>
        <v xml:space="preserve">AV. GENARO GARCIA NO. 363                                                       </v>
      </c>
      <c r="F1139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1139" s="26" t="str">
        <f>"VENUSTIANO CARRANZA                                                             "</f>
        <v xml:space="preserve">VENUSTIANO CARRANZA                                                             </v>
      </c>
      <c r="H1139" s="26" t="str">
        <f>"096"</f>
        <v>096</v>
      </c>
      <c r="I1139" s="26" t="str">
        <f t="shared" si="179"/>
        <v>00</v>
      </c>
      <c r="J1139" s="26" t="str">
        <f>"33 "</f>
        <v xml:space="preserve">33 </v>
      </c>
      <c r="K1139" s="26" t="str">
        <f t="shared" si="175"/>
        <v>EP</v>
      </c>
      <c r="L1139" s="26" t="str">
        <f t="shared" si="176"/>
        <v>DGOSE</v>
      </c>
      <c r="M1139" s="26" t="str">
        <f t="shared" si="177"/>
        <v>PARTICULAR</v>
      </c>
      <c r="N1139" s="26">
        <v>64</v>
      </c>
      <c r="O1139" s="26">
        <v>28</v>
      </c>
      <c r="P1139" s="26">
        <v>36</v>
      </c>
      <c r="Q1139" s="26">
        <v>3</v>
      </c>
      <c r="R1139" s="26">
        <v>1</v>
      </c>
      <c r="S1139" s="26">
        <v>3</v>
      </c>
      <c r="T1139" s="26">
        <v>3</v>
      </c>
      <c r="U1139" s="26">
        <v>7</v>
      </c>
      <c r="V1139" s="26">
        <v>1</v>
      </c>
      <c r="W1139" s="26"/>
    </row>
    <row r="1140" spans="1:23" x14ac:dyDescent="0.25">
      <c r="A1140" s="26" t="str">
        <f t="shared" si="178"/>
        <v>PREESCOLAR</v>
      </c>
      <c r="B1140" s="26" t="str">
        <f>"09PJN0200A"</f>
        <v>09PJN0200A</v>
      </c>
      <c r="C1140" s="26" t="str">
        <f>"AMERICA                                                                                             "</f>
        <v xml:space="preserve">AMERICA                                                                                             </v>
      </c>
      <c r="D1140" s="26" t="str">
        <f t="shared" si="174"/>
        <v>MATUTINO</v>
      </c>
      <c r="E1140" s="26" t="str">
        <f>"RET. 15 DE JESUS GALINDO Y VILLA NO. 4                                          "</f>
        <v xml:space="preserve">RET. 15 DE JESUS GALINDO Y VILLA NO. 4                                          </v>
      </c>
      <c r="F1140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1140" s="26" t="str">
        <f>"VENUSTIANO CARRANZA                                                             "</f>
        <v xml:space="preserve">VENUSTIANO CARRANZA                                                             </v>
      </c>
      <c r="H1140" s="26" t="str">
        <f>"250"</f>
        <v>250</v>
      </c>
      <c r="I1140" s="26" t="str">
        <f t="shared" si="179"/>
        <v>00</v>
      </c>
      <c r="J1140" s="26" t="str">
        <f>"33 "</f>
        <v xml:space="preserve">33 </v>
      </c>
      <c r="K1140" s="26" t="str">
        <f t="shared" si="175"/>
        <v>EP</v>
      </c>
      <c r="L1140" s="26" t="str">
        <f t="shared" si="176"/>
        <v>DGOSE</v>
      </c>
      <c r="M1140" s="26" t="str">
        <f t="shared" si="177"/>
        <v>PARTICULAR</v>
      </c>
      <c r="N1140" s="26">
        <v>12</v>
      </c>
      <c r="O1140" s="26">
        <v>8</v>
      </c>
      <c r="P1140" s="26">
        <v>4</v>
      </c>
      <c r="Q1140" s="26">
        <v>3</v>
      </c>
      <c r="R1140" s="26">
        <v>1</v>
      </c>
      <c r="S1140" s="26">
        <v>2</v>
      </c>
      <c r="T1140" s="26">
        <v>3</v>
      </c>
      <c r="U1140" s="26">
        <v>6</v>
      </c>
      <c r="V1140" s="26">
        <v>1</v>
      </c>
      <c r="W1140" s="26"/>
    </row>
    <row r="1141" spans="1:23" x14ac:dyDescent="0.25">
      <c r="A1141" s="26" t="str">
        <f t="shared" si="178"/>
        <v>PREESCOLAR</v>
      </c>
      <c r="B1141" s="26" t="str">
        <f>"09PJN0203Y"</f>
        <v>09PJN0203Y</v>
      </c>
      <c r="C1141" s="26" t="str">
        <f>"GUADALUPE                                                                                           "</f>
        <v xml:space="preserve">GUADALUPE                                                                                           </v>
      </c>
      <c r="D1141" s="26" t="str">
        <f t="shared" si="174"/>
        <v>MATUTINO</v>
      </c>
      <c r="E1141" s="26" t="str">
        <f>"MANAGUA NO. 852                                                                 "</f>
        <v xml:space="preserve">MANAGUA NO. 852                                                                 </v>
      </c>
      <c r="F1141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1141" s="26" t="str">
        <f>"GUSTAVO A. MADERO                                                               "</f>
        <v xml:space="preserve">GUSTAVO A. MADERO                                                               </v>
      </c>
      <c r="H1141" s="26" t="str">
        <f>"003"</f>
        <v>003</v>
      </c>
      <c r="I1141" s="26" t="str">
        <f t="shared" si="179"/>
        <v>00</v>
      </c>
      <c r="J1141" s="26" t="str">
        <f t="shared" ref="J1141:J1147" si="184">"32 "</f>
        <v xml:space="preserve">32 </v>
      </c>
      <c r="K1141" s="26" t="str">
        <f t="shared" si="175"/>
        <v>EP</v>
      </c>
      <c r="L1141" s="26" t="str">
        <f t="shared" si="176"/>
        <v>DGOSE</v>
      </c>
      <c r="M1141" s="26" t="str">
        <f t="shared" si="177"/>
        <v>PARTICULAR</v>
      </c>
      <c r="N1141" s="26">
        <v>97</v>
      </c>
      <c r="O1141" s="26">
        <v>31</v>
      </c>
      <c r="P1141" s="26">
        <v>66</v>
      </c>
      <c r="Q1141" s="26">
        <v>5</v>
      </c>
      <c r="R1141" s="26">
        <v>1</v>
      </c>
      <c r="S1141" s="26">
        <v>5</v>
      </c>
      <c r="T1141" s="26">
        <v>15</v>
      </c>
      <c r="U1141" s="26">
        <v>21</v>
      </c>
      <c r="V1141" s="26">
        <v>1</v>
      </c>
      <c r="W1141" s="26"/>
    </row>
    <row r="1142" spans="1:23" x14ac:dyDescent="0.25">
      <c r="A1142" s="26" t="str">
        <f t="shared" si="178"/>
        <v>PREESCOLAR</v>
      </c>
      <c r="B1142" s="26" t="str">
        <f>"09PJN0208T"</f>
        <v>09PJN0208T</v>
      </c>
      <c r="C1142" s="26" t="str">
        <f>"JARDIN DE NIÑOS ESTRELLA                                                                            "</f>
        <v xml:space="preserve">JARDIN DE NIÑOS ESTRELLA                                                                            </v>
      </c>
      <c r="D1142" s="26" t="str">
        <f t="shared" si="174"/>
        <v>MATUTINO</v>
      </c>
      <c r="E1142" s="26" t="str">
        <f>"ACERINA No. 65                                                                  "</f>
        <v xml:space="preserve">ACERINA No. 65                                                                  </v>
      </c>
      <c r="F1142" s="26" t="str">
        <f>"ESTRELLA                                                                                                                                    "</f>
        <v xml:space="preserve">ESTRELLA                                                                                                                                    </v>
      </c>
      <c r="G1142" s="26" t="str">
        <f>"GUSTAVO A. MADERO                                                               "</f>
        <v xml:space="preserve">GUSTAVO A. MADERO                                                               </v>
      </c>
      <c r="H1142" s="26" t="str">
        <f>"192"</f>
        <v>192</v>
      </c>
      <c r="I1142" s="26" t="str">
        <f t="shared" si="179"/>
        <v>00</v>
      </c>
      <c r="J1142" s="26" t="str">
        <f t="shared" si="184"/>
        <v xml:space="preserve">32 </v>
      </c>
      <c r="K1142" s="26" t="str">
        <f t="shared" si="175"/>
        <v>EP</v>
      </c>
      <c r="L1142" s="26" t="str">
        <f t="shared" si="176"/>
        <v>DGOSE</v>
      </c>
      <c r="M1142" s="26" t="str">
        <f t="shared" si="177"/>
        <v>PARTICULAR</v>
      </c>
      <c r="N1142" s="26">
        <v>55</v>
      </c>
      <c r="O1142" s="26">
        <v>33</v>
      </c>
      <c r="P1142" s="26">
        <v>22</v>
      </c>
      <c r="Q1142" s="26">
        <v>3</v>
      </c>
      <c r="R1142" s="26">
        <v>1</v>
      </c>
      <c r="S1142" s="26">
        <v>3</v>
      </c>
      <c r="T1142" s="26">
        <v>6</v>
      </c>
      <c r="U1142" s="26">
        <v>10</v>
      </c>
      <c r="V1142" s="26">
        <v>1</v>
      </c>
      <c r="W1142" s="26"/>
    </row>
    <row r="1143" spans="1:23" x14ac:dyDescent="0.25">
      <c r="A1143" s="26" t="str">
        <f t="shared" si="178"/>
        <v>PREESCOLAR</v>
      </c>
      <c r="B1143" s="26" t="str">
        <f>"09PJN0216B"</f>
        <v>09PJN0216B</v>
      </c>
      <c r="C1143" s="26" t="str">
        <f>"SARA ALARCON                                                                                        "</f>
        <v xml:space="preserve">SARA ALARCON                                                                                        </v>
      </c>
      <c r="D1143" s="26" t="str">
        <f t="shared" si="174"/>
        <v>MATUTINO</v>
      </c>
      <c r="E1143" s="26" t="str">
        <f>"LAGO ALBERTO NO. 291                                                            "</f>
        <v xml:space="preserve">LAGO ALBERTO NO. 291                                                            </v>
      </c>
      <c r="F1143" s="26" t="str">
        <f>"GRANADA                                                                                                                                     "</f>
        <v xml:space="preserve">GRANADA                                                                                                                                     </v>
      </c>
      <c r="G1143" s="26" t="str">
        <f>"MIGUEL HIDALGO                                                                  "</f>
        <v xml:space="preserve">MIGUEL HIDALGO                                                                  </v>
      </c>
      <c r="H1143" s="26" t="str">
        <f>"131"</f>
        <v>131</v>
      </c>
      <c r="I1143" s="26" t="str">
        <f t="shared" si="179"/>
        <v>00</v>
      </c>
      <c r="J1143" s="26" t="str">
        <f t="shared" si="184"/>
        <v xml:space="preserve">32 </v>
      </c>
      <c r="K1143" s="26" t="str">
        <f t="shared" si="175"/>
        <v>EP</v>
      </c>
      <c r="L1143" s="26" t="str">
        <f t="shared" si="176"/>
        <v>DGOSE</v>
      </c>
      <c r="M1143" s="26" t="str">
        <f t="shared" si="177"/>
        <v>PARTICULAR</v>
      </c>
      <c r="N1143" s="26">
        <v>117</v>
      </c>
      <c r="O1143" s="26">
        <v>57</v>
      </c>
      <c r="P1143" s="26">
        <v>60</v>
      </c>
      <c r="Q1143" s="26">
        <v>7</v>
      </c>
      <c r="R1143" s="26">
        <v>1</v>
      </c>
      <c r="S1143" s="26">
        <v>4</v>
      </c>
      <c r="T1143" s="26">
        <v>10</v>
      </c>
      <c r="U1143" s="26">
        <v>15</v>
      </c>
      <c r="V1143" s="26">
        <v>1</v>
      </c>
      <c r="W1143" s="26"/>
    </row>
    <row r="1144" spans="1:23" x14ac:dyDescent="0.25">
      <c r="A1144" s="26" t="str">
        <f t="shared" si="178"/>
        <v>PREESCOLAR</v>
      </c>
      <c r="B1144" s="26" t="str">
        <f>"09PJN0218Z"</f>
        <v>09PJN0218Z</v>
      </c>
      <c r="C1144" s="26" t="str">
        <f>"LAURA VICUÑA                                                                                        "</f>
        <v xml:space="preserve">LAURA VICUÑA                                                                                        </v>
      </c>
      <c r="D1144" s="26" t="str">
        <f t="shared" si="174"/>
        <v>MATUTINO</v>
      </c>
      <c r="E1144" s="26" t="str">
        <f>"LAGUNA SAN CRISTOBAL NO. 50                                                     "</f>
        <v xml:space="preserve">LAGUNA SAN CRISTOBAL NO. 50                                                     </v>
      </c>
      <c r="F1144" s="26" t="str">
        <f>"ANAHUAC I                                                                                                                                   "</f>
        <v xml:space="preserve">ANAHUAC I                                                                                                                                   </v>
      </c>
      <c r="G1144" s="26" t="str">
        <f>"MIGUEL HIDALGO                                                                  "</f>
        <v xml:space="preserve">MIGUEL HIDALGO                                                                  </v>
      </c>
      <c r="H1144" s="26" t="str">
        <f>"131"</f>
        <v>131</v>
      </c>
      <c r="I1144" s="26" t="str">
        <f t="shared" si="179"/>
        <v>00</v>
      </c>
      <c r="J1144" s="26" t="str">
        <f t="shared" si="184"/>
        <v xml:space="preserve">32 </v>
      </c>
      <c r="K1144" s="26" t="str">
        <f t="shared" si="175"/>
        <v>EP</v>
      </c>
      <c r="L1144" s="26" t="str">
        <f t="shared" si="176"/>
        <v>DGOSE</v>
      </c>
      <c r="M1144" s="26" t="str">
        <f t="shared" si="177"/>
        <v>PARTICULAR</v>
      </c>
      <c r="N1144" s="26">
        <v>150</v>
      </c>
      <c r="O1144" s="26">
        <v>71</v>
      </c>
      <c r="P1144" s="26">
        <v>79</v>
      </c>
      <c r="Q1144" s="26">
        <v>8</v>
      </c>
      <c r="R1144" s="26">
        <v>1</v>
      </c>
      <c r="S1144" s="26">
        <v>8</v>
      </c>
      <c r="T1144" s="26">
        <v>6</v>
      </c>
      <c r="U1144" s="26">
        <v>15</v>
      </c>
      <c r="V1144" s="26">
        <v>1</v>
      </c>
      <c r="W1144" s="26"/>
    </row>
    <row r="1145" spans="1:23" x14ac:dyDescent="0.25">
      <c r="A1145" s="26" t="str">
        <f t="shared" si="178"/>
        <v>PREESCOLAR</v>
      </c>
      <c r="B1145" s="26" t="str">
        <f>"09PJN0221N"</f>
        <v>09PJN0221N</v>
      </c>
      <c r="C1145" s="26" t="str">
        <f>"JARDIN DE NIÑOS PICOLO                                                                              "</f>
        <v xml:space="preserve">JARDIN DE NIÑOS PICOLO                                                                              </v>
      </c>
      <c r="D1145" s="26" t="str">
        <f t="shared" si="174"/>
        <v>MATUTINO</v>
      </c>
      <c r="E1145" s="26" t="str">
        <f>"J.L. BUFFON NO. 8                                                               "</f>
        <v xml:space="preserve">J.L. BUFFON NO. 8                                                               </v>
      </c>
      <c r="F1145" s="26" t="str">
        <f>"ANZURES                                                                                                                                     "</f>
        <v xml:space="preserve">ANZURES                                                                                                                                     </v>
      </c>
      <c r="G1145" s="26" t="str">
        <f>"MIGUEL HIDALGO                                                                  "</f>
        <v xml:space="preserve">MIGUEL HIDALGO                                                                  </v>
      </c>
      <c r="H1145" s="26" t="str">
        <f>"131"</f>
        <v>131</v>
      </c>
      <c r="I1145" s="26" t="str">
        <f t="shared" si="179"/>
        <v>00</v>
      </c>
      <c r="J1145" s="26" t="str">
        <f t="shared" si="184"/>
        <v xml:space="preserve">32 </v>
      </c>
      <c r="K1145" s="26" t="str">
        <f t="shared" si="175"/>
        <v>EP</v>
      </c>
      <c r="L1145" s="26" t="str">
        <f t="shared" si="176"/>
        <v>DGOSE</v>
      </c>
      <c r="M1145" s="26" t="str">
        <f t="shared" si="177"/>
        <v>PARTICULAR</v>
      </c>
      <c r="N1145" s="26">
        <v>24</v>
      </c>
      <c r="O1145" s="26">
        <v>15</v>
      </c>
      <c r="P1145" s="26">
        <v>9</v>
      </c>
      <c r="Q1145" s="26">
        <v>3</v>
      </c>
      <c r="R1145" s="26">
        <v>1</v>
      </c>
      <c r="S1145" s="26">
        <v>3</v>
      </c>
      <c r="T1145" s="26">
        <v>2</v>
      </c>
      <c r="U1145" s="26">
        <v>6</v>
      </c>
      <c r="V1145" s="26">
        <v>1</v>
      </c>
      <c r="W1145" s="26"/>
    </row>
    <row r="1146" spans="1:23" x14ac:dyDescent="0.25">
      <c r="A1146" s="26" t="str">
        <f t="shared" si="178"/>
        <v>PREESCOLAR</v>
      </c>
      <c r="B1146" s="26" t="str">
        <f>"09PJN0226I"</f>
        <v>09PJN0226I</v>
      </c>
      <c r="C1146" s="26" t="str">
        <f>"JARDIN DE NIÑOS FATIMA                                                                              "</f>
        <v xml:space="preserve">JARDIN DE NIÑOS FATIMA                                                                              </v>
      </c>
      <c r="D1146" s="26" t="str">
        <f t="shared" si="174"/>
        <v>MATUTINO</v>
      </c>
      <c r="E1146" s="26" t="str">
        <f>"PRESA ESCAME NO. 38                                                             "</f>
        <v xml:space="preserve">PRESA ESCAME NO. 38                                                             </v>
      </c>
      <c r="F1146" s="26" t="str">
        <f>"IRRIGACION                                                                                                                                  "</f>
        <v xml:space="preserve">IRRIGACION                                                                                                                                  </v>
      </c>
      <c r="G1146" s="26" t="str">
        <f>"MIGUEL HIDALGO                                                                  "</f>
        <v xml:space="preserve">MIGUEL HIDALGO                                                                  </v>
      </c>
      <c r="H1146" s="26" t="str">
        <f>"014"</f>
        <v>014</v>
      </c>
      <c r="I1146" s="26" t="str">
        <f t="shared" si="179"/>
        <v>00</v>
      </c>
      <c r="J1146" s="26" t="str">
        <f t="shared" si="184"/>
        <v xml:space="preserve">32 </v>
      </c>
      <c r="K1146" s="26" t="str">
        <f t="shared" si="175"/>
        <v>EP</v>
      </c>
      <c r="L1146" s="26" t="str">
        <f t="shared" si="176"/>
        <v>DGOSE</v>
      </c>
      <c r="M1146" s="26" t="str">
        <f t="shared" si="177"/>
        <v>PARTICULAR</v>
      </c>
      <c r="N1146" s="26">
        <v>142</v>
      </c>
      <c r="O1146" s="26">
        <v>83</v>
      </c>
      <c r="P1146" s="26">
        <v>59</v>
      </c>
      <c r="Q1146" s="26">
        <v>8</v>
      </c>
      <c r="R1146" s="26">
        <v>1</v>
      </c>
      <c r="S1146" s="26">
        <v>8</v>
      </c>
      <c r="T1146" s="26">
        <v>9</v>
      </c>
      <c r="U1146" s="26">
        <v>18</v>
      </c>
      <c r="V1146" s="26">
        <v>1</v>
      </c>
      <c r="W1146" s="26"/>
    </row>
    <row r="1147" spans="1:23" x14ac:dyDescent="0.25">
      <c r="A1147" s="26" t="str">
        <f t="shared" si="178"/>
        <v>PREESCOLAR</v>
      </c>
      <c r="B1147" s="26" t="str">
        <f>"09PJN0229F"</f>
        <v>09PJN0229F</v>
      </c>
      <c r="C1147" s="26" t="str">
        <f>"EL PERIQUILLO SARNIENTO                                                                             "</f>
        <v xml:space="preserve">EL PERIQUILLO SARNIENTO                                                                             </v>
      </c>
      <c r="D1147" s="26" t="str">
        <f t="shared" si="174"/>
        <v>MATUTINO</v>
      </c>
      <c r="E1147" s="26" t="str">
        <f>"PRESA SANTA TERESA No. 170                                                      "</f>
        <v xml:space="preserve">PRESA SANTA TERESA No. 170                                                      </v>
      </c>
      <c r="F1147" s="26" t="str">
        <f>"IRRIGACION                                                                                                                                  "</f>
        <v xml:space="preserve">IRRIGACION                                                                                                                                  </v>
      </c>
      <c r="G1147" s="26" t="str">
        <f>"MIGUEL HIDALGO                                                                  "</f>
        <v xml:space="preserve">MIGUEL HIDALGO                                                                  </v>
      </c>
      <c r="H1147" s="26" t="str">
        <f>"056"</f>
        <v>056</v>
      </c>
      <c r="I1147" s="26" t="str">
        <f t="shared" si="179"/>
        <v>00</v>
      </c>
      <c r="J1147" s="26" t="str">
        <f t="shared" si="184"/>
        <v xml:space="preserve">32 </v>
      </c>
      <c r="K1147" s="26" t="str">
        <f t="shared" si="175"/>
        <v>EP</v>
      </c>
      <c r="L1147" s="26" t="str">
        <f t="shared" si="176"/>
        <v>DGOSE</v>
      </c>
      <c r="M1147" s="26" t="str">
        <f t="shared" si="177"/>
        <v>PARTICULAR</v>
      </c>
      <c r="N1147" s="26">
        <v>32</v>
      </c>
      <c r="O1147" s="26">
        <v>15</v>
      </c>
      <c r="P1147" s="26">
        <v>17</v>
      </c>
      <c r="Q1147" s="26">
        <v>3</v>
      </c>
      <c r="R1147" s="26">
        <v>1</v>
      </c>
      <c r="S1147" s="26">
        <v>3</v>
      </c>
      <c r="T1147" s="26">
        <v>2</v>
      </c>
      <c r="U1147" s="26">
        <v>6</v>
      </c>
      <c r="V1147" s="26">
        <v>1</v>
      </c>
      <c r="W1147" s="26"/>
    </row>
    <row r="1148" spans="1:23" x14ac:dyDescent="0.25">
      <c r="A1148" s="26" t="str">
        <f t="shared" si="178"/>
        <v>PREESCOLAR</v>
      </c>
      <c r="B1148" s="26" t="str">
        <f>"09PJN0234R"</f>
        <v>09PJN0234R</v>
      </c>
      <c r="C1148" s="26" t="str">
        <f>"SACBE                                                                                               "</f>
        <v xml:space="preserve">SACBE                                                                                               </v>
      </c>
      <c r="D1148" s="26" t="str">
        <f t="shared" si="174"/>
        <v>MATUTINO</v>
      </c>
      <c r="E1148" s="26" t="str">
        <f>"BOULEVARD CAPRI NO.  70                                                         "</f>
        <v xml:space="preserve">BOULEVARD CAPRI NO.  70                                                         </v>
      </c>
      <c r="F1148" s="26" t="str">
        <f>"LOMAS ESTRELLA                                                                                                                              "</f>
        <v xml:space="preserve">LOMAS ESTRELLA                                                                                                                              </v>
      </c>
      <c r="G1148" s="26" t="str">
        <f>"IZTAPALAPA                                                                      "</f>
        <v xml:space="preserve">IZTAPALAPA                                                                      </v>
      </c>
      <c r="H1148" s="26" t="str">
        <f>"000"</f>
        <v>000</v>
      </c>
      <c r="I1148" s="26" t="str">
        <f t="shared" si="179"/>
        <v>00</v>
      </c>
      <c r="J1148" s="26" t="str">
        <f>"63 "</f>
        <v xml:space="preserve">63 </v>
      </c>
      <c r="K1148" s="26" t="str">
        <f>"IZ"</f>
        <v>IZ</v>
      </c>
      <c r="L1148" s="26" t="str">
        <f>"DGSEI"</f>
        <v>DGSEI</v>
      </c>
      <c r="M1148" s="26" t="str">
        <f t="shared" si="177"/>
        <v>PARTICULAR</v>
      </c>
      <c r="N1148" s="26">
        <v>22</v>
      </c>
      <c r="O1148" s="26">
        <v>12</v>
      </c>
      <c r="P1148" s="26">
        <v>10</v>
      </c>
      <c r="Q1148" s="26">
        <v>3</v>
      </c>
      <c r="R1148" s="26">
        <v>1</v>
      </c>
      <c r="S1148" s="26">
        <v>2</v>
      </c>
      <c r="T1148" s="26">
        <v>7</v>
      </c>
      <c r="U1148" s="26">
        <v>10</v>
      </c>
      <c r="V1148" s="26">
        <v>1</v>
      </c>
      <c r="W1148" s="26"/>
    </row>
    <row r="1149" spans="1:23" x14ac:dyDescent="0.25">
      <c r="A1149" s="26" t="str">
        <f t="shared" si="178"/>
        <v>PREESCOLAR</v>
      </c>
      <c r="B1149" s="26" t="str">
        <f>"09PJN0236P"</f>
        <v>09PJN0236P</v>
      </c>
      <c r="C1149" s="26" t="str">
        <f>"INSTITUTO EDUCACIONAL PALAFOX                                                                       "</f>
        <v xml:space="preserve">INSTITUTO EDUCACIONAL PALAFOX                                                                       </v>
      </c>
      <c r="D1149" s="26" t="str">
        <f t="shared" ref="D1149:D1212" si="185">"MATUTINO"</f>
        <v>MATUTINO</v>
      </c>
      <c r="E1149" s="26" t="str">
        <f>"BOCA DEL RIO NO. 7                                                              "</f>
        <v xml:space="preserve">BOCA DEL RIO NO. 7                                                              </v>
      </c>
      <c r="F1149" s="26" t="str">
        <f>"ACUEDUCTO DE GUADALUPE                                                                                                                      "</f>
        <v xml:space="preserve">ACUEDUCTO DE GUADALUPE                                                                                                                      </v>
      </c>
      <c r="G1149" s="26" t="str">
        <f>"GUSTAVO A. MADERO                                                               "</f>
        <v xml:space="preserve">GUSTAVO A. MADERO                                                               </v>
      </c>
      <c r="H1149" s="26" t="str">
        <f>"003"</f>
        <v>003</v>
      </c>
      <c r="I1149" s="26" t="str">
        <f t="shared" si="179"/>
        <v>00</v>
      </c>
      <c r="J1149" s="26" t="str">
        <f>"32 "</f>
        <v xml:space="preserve">32 </v>
      </c>
      <c r="K1149" s="26" t="str">
        <f>"EP"</f>
        <v>EP</v>
      </c>
      <c r="L1149" s="26" t="str">
        <f t="shared" ref="L1149:L1166" si="186">"DGOSE"</f>
        <v>DGOSE</v>
      </c>
      <c r="M1149" s="26" t="str">
        <f t="shared" si="177"/>
        <v>PARTICULAR</v>
      </c>
      <c r="N1149" s="26">
        <v>24</v>
      </c>
      <c r="O1149" s="26">
        <v>16</v>
      </c>
      <c r="P1149" s="26">
        <v>8</v>
      </c>
      <c r="Q1149" s="26">
        <v>3</v>
      </c>
      <c r="R1149" s="26">
        <v>1</v>
      </c>
      <c r="S1149" s="26">
        <v>3</v>
      </c>
      <c r="T1149" s="26">
        <v>6</v>
      </c>
      <c r="U1149" s="26">
        <v>10</v>
      </c>
      <c r="V1149" s="26">
        <v>1</v>
      </c>
      <c r="W1149" s="26"/>
    </row>
    <row r="1150" spans="1:23" x14ac:dyDescent="0.25">
      <c r="A1150" s="26" t="str">
        <f t="shared" si="178"/>
        <v>PREESCOLAR</v>
      </c>
      <c r="B1150" s="26" t="str">
        <f>"09PJN0238N"</f>
        <v>09PJN0238N</v>
      </c>
      <c r="C1150" s="26" t="str">
        <f>"JARDÍN DE NIÑOS CARMEN GUERRERO                                                                     "</f>
        <v xml:space="preserve">JARDÍN DE NIÑOS CARMEN GUERRERO                                                                     </v>
      </c>
      <c r="D1150" s="26" t="str">
        <f t="shared" si="185"/>
        <v>MATUTINO</v>
      </c>
      <c r="E1150" s="26" t="str">
        <f>"MANUEL CABALLERO No. 49                                                         "</f>
        <v xml:space="preserve">MANUEL CABALLERO No. 49                                                         </v>
      </c>
      <c r="F1150" s="26" t="str">
        <f>"OBRERA                                                                                                                                      "</f>
        <v xml:space="preserve">OBRERA                                                                                                                                      </v>
      </c>
      <c r="G1150" s="26" t="s">
        <v>4128</v>
      </c>
      <c r="H1150" s="26" t="str">
        <f>"204"</f>
        <v>204</v>
      </c>
      <c r="I1150" s="26" t="str">
        <f t="shared" si="179"/>
        <v>00</v>
      </c>
      <c r="J1150" s="26" t="str">
        <f>"32 "</f>
        <v xml:space="preserve">32 </v>
      </c>
      <c r="K1150" s="26" t="str">
        <f>"EP"</f>
        <v>EP</v>
      </c>
      <c r="L1150" s="26" t="str">
        <f t="shared" si="186"/>
        <v>DGOSE</v>
      </c>
      <c r="M1150" s="26" t="str">
        <f t="shared" si="177"/>
        <v>PARTICULAR</v>
      </c>
      <c r="N1150" s="26">
        <v>10</v>
      </c>
      <c r="O1150" s="26">
        <v>5</v>
      </c>
      <c r="P1150" s="26">
        <v>5</v>
      </c>
      <c r="Q1150" s="26">
        <v>2</v>
      </c>
      <c r="R1150" s="26">
        <v>1</v>
      </c>
      <c r="S1150" s="26">
        <v>2</v>
      </c>
      <c r="T1150" s="26">
        <v>1</v>
      </c>
      <c r="U1150" s="26">
        <v>4</v>
      </c>
      <c r="V1150" s="26">
        <v>1</v>
      </c>
      <c r="W1150" s="26"/>
    </row>
    <row r="1151" spans="1:23" x14ac:dyDescent="0.25">
      <c r="A1151" s="26" t="str">
        <f t="shared" si="178"/>
        <v>PREESCOLAR</v>
      </c>
      <c r="B1151" s="26" t="str">
        <f>"09PJN0239M"</f>
        <v>09PJN0239M</v>
      </c>
      <c r="C1151" s="26" t="str">
        <f>"MARIEL                                                                                              "</f>
        <v xml:space="preserve">MARIEL                                                                                              </v>
      </c>
      <c r="D1151" s="26" t="str">
        <f t="shared" si="185"/>
        <v>MATUTINO</v>
      </c>
      <c r="E1151" s="26" t="str">
        <f>"LAGUNA DE SAN CRISTOBAL NO. 63                                                  "</f>
        <v xml:space="preserve">LAGUNA DE SAN CRISTOBAL NO. 63                                                  </v>
      </c>
      <c r="F1151" s="26" t="str">
        <f>"ANAHUAC I                                                                                                                                   "</f>
        <v xml:space="preserve">ANAHUAC I                                                                                                                                   </v>
      </c>
      <c r="G1151" s="26" t="str">
        <f>"MIGUEL HIDALGO                                                                  "</f>
        <v xml:space="preserve">MIGUEL HIDALGO                                                                  </v>
      </c>
      <c r="H1151" s="26" t="str">
        <f>"131"</f>
        <v>131</v>
      </c>
      <c r="I1151" s="26" t="str">
        <f t="shared" si="179"/>
        <v>00</v>
      </c>
      <c r="J1151" s="26" t="str">
        <f>"32 "</f>
        <v xml:space="preserve">32 </v>
      </c>
      <c r="K1151" s="26" t="str">
        <f>"EP"</f>
        <v>EP</v>
      </c>
      <c r="L1151" s="26" t="str">
        <f t="shared" si="186"/>
        <v>DGOSE</v>
      </c>
      <c r="M1151" s="26" t="str">
        <f t="shared" ref="M1151:M1214" si="187">"PARTICULAR"</f>
        <v>PARTICULAR</v>
      </c>
      <c r="N1151" s="26">
        <v>33</v>
      </c>
      <c r="O1151" s="26">
        <v>17</v>
      </c>
      <c r="P1151" s="26">
        <v>16</v>
      </c>
      <c r="Q1151" s="26">
        <v>3</v>
      </c>
      <c r="R1151" s="26">
        <v>1</v>
      </c>
      <c r="S1151" s="26">
        <v>3</v>
      </c>
      <c r="T1151" s="26">
        <v>8</v>
      </c>
      <c r="U1151" s="26">
        <v>12</v>
      </c>
      <c r="V1151" s="26">
        <v>1</v>
      </c>
      <c r="W1151" s="26"/>
    </row>
    <row r="1152" spans="1:23" x14ac:dyDescent="0.25">
      <c r="A1152" s="26" t="str">
        <f t="shared" si="178"/>
        <v>PREESCOLAR</v>
      </c>
      <c r="B1152" s="26" t="str">
        <f>"09PJN0241A"</f>
        <v>09PJN0241A</v>
      </c>
      <c r="C1152" s="26" t="str">
        <f>"INSTITUTO MARÍA P. DE ALVARADO                                                                      "</f>
        <v xml:space="preserve">INSTITUTO MARÍA P. DE ALVARADO                                                                      </v>
      </c>
      <c r="D1152" s="26" t="str">
        <f t="shared" si="185"/>
        <v>MATUTINO</v>
      </c>
      <c r="E1152" s="26" t="str">
        <f>"AV. SUR 20 NO. 327                                                              "</f>
        <v xml:space="preserve">AV. SUR 20 NO. 327                                                              </v>
      </c>
      <c r="F1152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1152" s="26" t="str">
        <f>"IZTACALCO                                                                       "</f>
        <v xml:space="preserve">IZTACALCO                                                                       </v>
      </c>
      <c r="H1152" s="26" t="str">
        <f>"236"</f>
        <v>236</v>
      </c>
      <c r="I1152" s="26" t="str">
        <f t="shared" si="179"/>
        <v>00</v>
      </c>
      <c r="J1152" s="26" t="str">
        <f>"33 "</f>
        <v xml:space="preserve">33 </v>
      </c>
      <c r="K1152" s="26" t="str">
        <f>"EP"</f>
        <v>EP</v>
      </c>
      <c r="L1152" s="26" t="str">
        <f t="shared" si="186"/>
        <v>DGOSE</v>
      </c>
      <c r="M1152" s="26" t="str">
        <f t="shared" si="187"/>
        <v>PARTICULAR</v>
      </c>
      <c r="N1152" s="26">
        <v>88</v>
      </c>
      <c r="O1152" s="26">
        <v>46</v>
      </c>
      <c r="P1152" s="26">
        <v>42</v>
      </c>
      <c r="Q1152" s="26">
        <v>6</v>
      </c>
      <c r="R1152" s="26">
        <v>1</v>
      </c>
      <c r="S1152" s="26">
        <v>6</v>
      </c>
      <c r="T1152" s="26">
        <v>9</v>
      </c>
      <c r="U1152" s="26">
        <v>16</v>
      </c>
      <c r="V1152" s="26">
        <v>1</v>
      </c>
      <c r="W1152" s="26"/>
    </row>
    <row r="1153" spans="1:23" x14ac:dyDescent="0.25">
      <c r="A1153" s="26" t="str">
        <f t="shared" si="178"/>
        <v>PREESCOLAR</v>
      </c>
      <c r="B1153" s="26" t="str">
        <f>"09PJN0242Z"</f>
        <v>09PJN0242Z</v>
      </c>
      <c r="C1153" s="26" t="str">
        <f>"COLEGIO SAN IGNACIO DE LOYOLA VIZCAINAS                                                             "</f>
        <v xml:space="preserve">COLEGIO SAN IGNACIO DE LOYOLA VIZCAINAS                                                             </v>
      </c>
      <c r="D1153" s="26" t="str">
        <f t="shared" si="185"/>
        <v>MATUTINO</v>
      </c>
      <c r="E1153" s="26" t="str">
        <f>"VIZCAINAS NO. 21                                                                "</f>
        <v xml:space="preserve">VIZCAINAS NO. 21                                                                </v>
      </c>
      <c r="F1153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1153" s="26" t="s">
        <v>4128</v>
      </c>
      <c r="H1153" s="26" t="str">
        <f>"205"</f>
        <v>205</v>
      </c>
      <c r="I1153" s="26" t="str">
        <f t="shared" si="179"/>
        <v>00</v>
      </c>
      <c r="J1153" s="26" t="str">
        <f>"32 "</f>
        <v xml:space="preserve">32 </v>
      </c>
      <c r="K1153" s="26" t="str">
        <f>"EP"</f>
        <v>EP</v>
      </c>
      <c r="L1153" s="26" t="str">
        <f t="shared" si="186"/>
        <v>DGOSE</v>
      </c>
      <c r="M1153" s="26" t="str">
        <f t="shared" si="187"/>
        <v>PARTICULAR</v>
      </c>
      <c r="N1153" s="26">
        <v>79</v>
      </c>
      <c r="O1153" s="26">
        <v>31</v>
      </c>
      <c r="P1153" s="26">
        <v>48</v>
      </c>
      <c r="Q1153" s="26">
        <v>5</v>
      </c>
      <c r="R1153" s="26">
        <v>1</v>
      </c>
      <c r="S1153" s="26">
        <v>5</v>
      </c>
      <c r="T1153" s="26">
        <v>9</v>
      </c>
      <c r="U1153" s="26">
        <v>15</v>
      </c>
      <c r="V1153" s="26">
        <v>1</v>
      </c>
      <c r="W1153" s="26"/>
    </row>
    <row r="1154" spans="1:23" x14ac:dyDescent="0.25">
      <c r="A1154" s="26" t="str">
        <f t="shared" ref="A1154:A1217" si="188">"PREESCOLAR"</f>
        <v>PREESCOLAR</v>
      </c>
      <c r="B1154" s="26" t="str">
        <f>"09PJN0243Z"</f>
        <v>09PJN0243Z</v>
      </c>
      <c r="C1154" s="26" t="str">
        <f>"SUSANA GARCIADIEGO                                                                                  "</f>
        <v xml:space="preserve">SUSANA GARCIADIEGO                                                                                  </v>
      </c>
      <c r="D1154" s="26" t="str">
        <f t="shared" si="185"/>
        <v>MATUTINO</v>
      </c>
      <c r="E1154" s="26" t="str">
        <f>"CERRADA MATIAS ROMERO NO. 31                                                    "</f>
        <v xml:space="preserve">CERRADA MATIAS ROMERO NO. 31                                                    </v>
      </c>
      <c r="F1154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1154" s="26" t="str">
        <f>"BENITO JUAREZ                                                                   "</f>
        <v xml:space="preserve">BENITO JUAREZ                                                                   </v>
      </c>
      <c r="H1154" s="26" t="str">
        <f>"231"</f>
        <v>231</v>
      </c>
      <c r="I1154" s="26" t="str">
        <f t="shared" ref="I1154:I1217" si="189">"00"</f>
        <v>00</v>
      </c>
      <c r="J1154" s="26" t="str">
        <f>"33 "</f>
        <v xml:space="preserve">33 </v>
      </c>
      <c r="K1154" s="26" t="str">
        <f>"NP"</f>
        <v>NP</v>
      </c>
      <c r="L1154" s="26" t="str">
        <f t="shared" si="186"/>
        <v>DGOSE</v>
      </c>
      <c r="M1154" s="26" t="str">
        <f t="shared" si="187"/>
        <v>PARTICULAR</v>
      </c>
      <c r="N1154" s="26">
        <v>29</v>
      </c>
      <c r="O1154" s="26">
        <v>18</v>
      </c>
      <c r="P1154" s="26">
        <v>11</v>
      </c>
      <c r="Q1154" s="26">
        <v>3</v>
      </c>
      <c r="R1154" s="26">
        <v>1</v>
      </c>
      <c r="S1154" s="26">
        <v>3</v>
      </c>
      <c r="T1154" s="26">
        <v>3</v>
      </c>
      <c r="U1154" s="26">
        <v>7</v>
      </c>
      <c r="V1154" s="26">
        <v>1</v>
      </c>
      <c r="W1154" s="26"/>
    </row>
    <row r="1155" spans="1:23" x14ac:dyDescent="0.25">
      <c r="A1155" s="26" t="str">
        <f t="shared" si="188"/>
        <v>PREESCOLAR</v>
      </c>
      <c r="B1155" s="26" t="str">
        <f>"09PJN0248U"</f>
        <v>09PJN0248U</v>
      </c>
      <c r="C1155" s="26" t="str">
        <f>"PAQUITA                                                                                             "</f>
        <v xml:space="preserve">PAQUITA                                                                                             </v>
      </c>
      <c r="D1155" s="26" t="str">
        <f t="shared" si="185"/>
        <v>MATUTINO</v>
      </c>
      <c r="E1155" s="26" t="str">
        <f>"CALLE 14 NO. 118                                                                "</f>
        <v xml:space="preserve">CALLE 14 NO. 118                                                                </v>
      </c>
      <c r="F1155" s="26" t="str">
        <f>"PROGRESO NACIONAL                                                                                                                           "</f>
        <v xml:space="preserve">PROGRESO NACIONAL                                                                                                                           </v>
      </c>
      <c r="G1155" s="26" t="str">
        <f>"GUSTAVO A. MADERO                                                               "</f>
        <v xml:space="preserve">GUSTAVO A. MADERO                                                               </v>
      </c>
      <c r="H1155" s="26" t="str">
        <f>"003"</f>
        <v>003</v>
      </c>
      <c r="I1155" s="26" t="str">
        <f t="shared" si="189"/>
        <v>00</v>
      </c>
      <c r="J1155" s="26" t="str">
        <f>"32 "</f>
        <v xml:space="preserve">32 </v>
      </c>
      <c r="K1155" s="26" t="str">
        <f t="shared" ref="K1155:K1166" si="190">"EP"</f>
        <v>EP</v>
      </c>
      <c r="L1155" s="26" t="str">
        <f t="shared" si="186"/>
        <v>DGOSE</v>
      </c>
      <c r="M1155" s="26" t="str">
        <f t="shared" si="187"/>
        <v>PARTICULAR</v>
      </c>
      <c r="N1155" s="26">
        <v>48</v>
      </c>
      <c r="O1155" s="26">
        <v>22</v>
      </c>
      <c r="P1155" s="26">
        <v>26</v>
      </c>
      <c r="Q1155" s="26">
        <v>3</v>
      </c>
      <c r="R1155" s="26">
        <v>1</v>
      </c>
      <c r="S1155" s="26">
        <v>3</v>
      </c>
      <c r="T1155" s="26">
        <v>7</v>
      </c>
      <c r="U1155" s="26">
        <v>11</v>
      </c>
      <c r="V1155" s="26">
        <v>1</v>
      </c>
      <c r="W1155" s="26"/>
    </row>
    <row r="1156" spans="1:23" x14ac:dyDescent="0.25">
      <c r="A1156" s="26" t="str">
        <f t="shared" si="188"/>
        <v>PREESCOLAR</v>
      </c>
      <c r="B1156" s="26" t="str">
        <f>"09PJN0250I"</f>
        <v>09PJN0250I</v>
      </c>
      <c r="C1156" s="26" t="str">
        <f>"EL PEQUEÑO MUNDO                                                                                    "</f>
        <v xml:space="preserve">EL PEQUEÑO MUNDO                                                                                    </v>
      </c>
      <c r="D1156" s="26" t="str">
        <f t="shared" si="185"/>
        <v>MATUTINO</v>
      </c>
      <c r="E1156" s="26" t="str">
        <f>"CALLE 44 No. 113                                                                "</f>
        <v xml:space="preserve">CALLE 44 No. 113                                                                </v>
      </c>
      <c r="F1156" s="26" t="str">
        <f>"SANTA ROSA                                                                                                                                  "</f>
        <v xml:space="preserve">SANTA ROSA                                                                                                                                  </v>
      </c>
      <c r="G1156" s="26" t="str">
        <f>"GUSTAVO A. MADERO                                                               "</f>
        <v xml:space="preserve">GUSTAVO A. MADERO                                                               </v>
      </c>
      <c r="H1156" s="26" t="str">
        <f>"068"</f>
        <v>068</v>
      </c>
      <c r="I1156" s="26" t="str">
        <f t="shared" si="189"/>
        <v>00</v>
      </c>
      <c r="J1156" s="26" t="str">
        <f>"32 "</f>
        <v xml:space="preserve">32 </v>
      </c>
      <c r="K1156" s="26" t="str">
        <f t="shared" si="190"/>
        <v>EP</v>
      </c>
      <c r="L1156" s="26" t="str">
        <f t="shared" si="186"/>
        <v>DGOSE</v>
      </c>
      <c r="M1156" s="26" t="str">
        <f t="shared" si="187"/>
        <v>PARTICULAR</v>
      </c>
      <c r="N1156" s="26">
        <v>25</v>
      </c>
      <c r="O1156" s="26">
        <v>11</v>
      </c>
      <c r="P1156" s="26">
        <v>14</v>
      </c>
      <c r="Q1156" s="26">
        <v>3</v>
      </c>
      <c r="R1156" s="26">
        <v>1</v>
      </c>
      <c r="S1156" s="26">
        <v>2</v>
      </c>
      <c r="T1156" s="26">
        <v>3</v>
      </c>
      <c r="U1156" s="26">
        <v>6</v>
      </c>
      <c r="V1156" s="26">
        <v>1</v>
      </c>
      <c r="W1156" s="26"/>
    </row>
    <row r="1157" spans="1:23" x14ac:dyDescent="0.25">
      <c r="A1157" s="26" t="str">
        <f t="shared" si="188"/>
        <v>PREESCOLAR</v>
      </c>
      <c r="B1157" s="26" t="str">
        <f>"09PJN0267I"</f>
        <v>09PJN0267I</v>
      </c>
      <c r="C1157" s="26" t="str">
        <f>"INSTITUTO EDUCATIVO OLINCA                                                                          "</f>
        <v xml:space="preserve">INSTITUTO EDUCATIVO OLINCA                                                                          </v>
      </c>
      <c r="D1157" s="26" t="str">
        <f t="shared" si="185"/>
        <v>MATUTINO</v>
      </c>
      <c r="E1157" s="26" t="str">
        <f>"ALTAVISTA NO. 130                                                               "</f>
        <v xml:space="preserve">ALTAVISTA NO. 130                                                               </v>
      </c>
      <c r="F1157" s="26" t="str">
        <f>"SAN ANGEL                                                                                                                                   "</f>
        <v xml:space="preserve">SAN ANGEL                                                                                                                                   </v>
      </c>
      <c r="G1157" s="26" t="str">
        <f>"ALVARO OBREGON                                                                  "</f>
        <v xml:space="preserve">ALVARO OBREGON                                                                  </v>
      </c>
      <c r="H1157" s="26" t="str">
        <f>"214"</f>
        <v>214</v>
      </c>
      <c r="I1157" s="26" t="str">
        <f t="shared" si="189"/>
        <v>00</v>
      </c>
      <c r="J1157" s="26" t="str">
        <f>"33 "</f>
        <v xml:space="preserve">33 </v>
      </c>
      <c r="K1157" s="26" t="str">
        <f t="shared" si="190"/>
        <v>EP</v>
      </c>
      <c r="L1157" s="26" t="str">
        <f t="shared" si="186"/>
        <v>DGOSE</v>
      </c>
      <c r="M1157" s="26" t="str">
        <f t="shared" si="187"/>
        <v>PARTICULAR</v>
      </c>
      <c r="N1157" s="26">
        <v>121</v>
      </c>
      <c r="O1157" s="26">
        <v>63</v>
      </c>
      <c r="P1157" s="26">
        <v>58</v>
      </c>
      <c r="Q1157" s="26">
        <v>6</v>
      </c>
      <c r="R1157" s="26">
        <v>1</v>
      </c>
      <c r="S1157" s="26">
        <v>3</v>
      </c>
      <c r="T1157" s="26">
        <v>15</v>
      </c>
      <c r="U1157" s="26">
        <v>19</v>
      </c>
      <c r="V1157" s="26">
        <v>1</v>
      </c>
      <c r="W1157" s="26"/>
    </row>
    <row r="1158" spans="1:23" x14ac:dyDescent="0.25">
      <c r="A1158" s="26" t="str">
        <f t="shared" si="188"/>
        <v>PREESCOLAR</v>
      </c>
      <c r="B1158" s="26" t="str">
        <f>"09PJN0268H"</f>
        <v>09PJN0268H</v>
      </c>
      <c r="C1158" s="26" t="str">
        <f>"INSTITUTO LA PAZ                                                                                    "</f>
        <v xml:space="preserve">INSTITUTO LA PAZ                                                                                    </v>
      </c>
      <c r="D1158" s="26" t="str">
        <f t="shared" si="185"/>
        <v>MATUTINO</v>
      </c>
      <c r="E1158" s="26" t="str">
        <f>"AV. DE LOS MAESTROS NO. 464                                                     "</f>
        <v xml:space="preserve">AV. DE LOS MAESTROS NO. 464                                                     </v>
      </c>
      <c r="F1158" s="26" t="str">
        <f>"NUEVA SANTA MARIA                                                                                                                           "</f>
        <v xml:space="preserve">NUEVA SANTA MARIA                                                                                                                           </v>
      </c>
      <c r="G1158" s="26" t="str">
        <f>"AZCAPOTZALCO                                                                    "</f>
        <v xml:space="preserve">AZCAPOTZALCO                                                                    </v>
      </c>
      <c r="H1158" s="26" t="str">
        <f>"189"</f>
        <v>189</v>
      </c>
      <c r="I1158" s="26" t="str">
        <f t="shared" si="189"/>
        <v>00</v>
      </c>
      <c r="J1158" s="26" t="str">
        <f>"32 "</f>
        <v xml:space="preserve">32 </v>
      </c>
      <c r="K1158" s="26" t="str">
        <f t="shared" si="190"/>
        <v>EP</v>
      </c>
      <c r="L1158" s="26" t="str">
        <f t="shared" si="186"/>
        <v>DGOSE</v>
      </c>
      <c r="M1158" s="26" t="str">
        <f t="shared" si="187"/>
        <v>PARTICULAR</v>
      </c>
      <c r="N1158" s="26">
        <v>161</v>
      </c>
      <c r="O1158" s="26">
        <v>79</v>
      </c>
      <c r="P1158" s="26">
        <v>82</v>
      </c>
      <c r="Q1158" s="26">
        <v>8</v>
      </c>
      <c r="R1158" s="26">
        <v>1</v>
      </c>
      <c r="S1158" s="26">
        <v>5</v>
      </c>
      <c r="T1158" s="26">
        <v>20</v>
      </c>
      <c r="U1158" s="26">
        <v>26</v>
      </c>
      <c r="V1158" s="26">
        <v>1</v>
      </c>
      <c r="W1158" s="26"/>
    </row>
    <row r="1159" spans="1:23" x14ac:dyDescent="0.25">
      <c r="A1159" s="26" t="str">
        <f t="shared" si="188"/>
        <v>PREESCOLAR</v>
      </c>
      <c r="B1159" s="26" t="str">
        <f>"09PJN0271V"</f>
        <v>09PJN0271V</v>
      </c>
      <c r="C1159" s="26" t="str">
        <f>"SALZBURGO                                                                                           "</f>
        <v xml:space="preserve">SALZBURGO                                                                                           </v>
      </c>
      <c r="D1159" s="26" t="str">
        <f t="shared" si="185"/>
        <v>MATUTINO</v>
      </c>
      <c r="E1159" s="26" t="str">
        <f>"YACATAS NO. 392                                                                 "</f>
        <v xml:space="preserve">YACATAS NO. 392                                                                 </v>
      </c>
      <c r="F1159" s="26" t="str">
        <f>"VERTIZ NARVARTE                                                                                                                             "</f>
        <v xml:space="preserve">VERTIZ NARVARTE                                                                                                                             </v>
      </c>
      <c r="G1159" s="26" t="str">
        <f>"BENITO JUAREZ                                                                   "</f>
        <v xml:space="preserve">BENITO JUAREZ                                                                   </v>
      </c>
      <c r="H1159" s="26" t="str">
        <f>"090"</f>
        <v>090</v>
      </c>
      <c r="I1159" s="26" t="str">
        <f t="shared" si="189"/>
        <v>00</v>
      </c>
      <c r="J1159" s="26" t="str">
        <f t="shared" ref="J1159:J1164" si="191">"33 "</f>
        <v xml:space="preserve">33 </v>
      </c>
      <c r="K1159" s="26" t="str">
        <f t="shared" si="190"/>
        <v>EP</v>
      </c>
      <c r="L1159" s="26" t="str">
        <f t="shared" si="186"/>
        <v>DGOSE</v>
      </c>
      <c r="M1159" s="26" t="str">
        <f t="shared" si="187"/>
        <v>PARTICULAR</v>
      </c>
      <c r="N1159" s="26">
        <v>121</v>
      </c>
      <c r="O1159" s="26">
        <v>70</v>
      </c>
      <c r="P1159" s="26">
        <v>51</v>
      </c>
      <c r="Q1159" s="26">
        <v>6</v>
      </c>
      <c r="R1159" s="26">
        <v>1</v>
      </c>
      <c r="S1159" s="26">
        <v>6</v>
      </c>
      <c r="T1159" s="26">
        <v>6</v>
      </c>
      <c r="U1159" s="26">
        <v>13</v>
      </c>
      <c r="V1159" s="26">
        <v>1</v>
      </c>
      <c r="W1159" s="26"/>
    </row>
    <row r="1160" spans="1:23" x14ac:dyDescent="0.25">
      <c r="A1160" s="26" t="str">
        <f t="shared" si="188"/>
        <v>PREESCOLAR</v>
      </c>
      <c r="B1160" s="26" t="str">
        <f>"09PJN0272U"</f>
        <v>09PJN0272U</v>
      </c>
      <c r="C1160" s="26" t="str">
        <f>"FERNANDO R. RODRÍGUEZ                                                                               "</f>
        <v xml:space="preserve">FERNANDO R. RODRÍGUEZ                                                                               </v>
      </c>
      <c r="D1160" s="26" t="str">
        <f t="shared" si="185"/>
        <v>MATUTINO</v>
      </c>
      <c r="E1160" s="26" t="str">
        <f>"ARENAL NO. 36                                                                   "</f>
        <v xml:space="preserve">ARENAL NO. 36                                                                   </v>
      </c>
      <c r="F1160" s="26" t="str">
        <f>"HACIENDA DE GUADALUPE CHIMALISTAC                                                                                                           "</f>
        <v xml:space="preserve">HACIENDA DE GUADALUPE CHIMALISTAC                                                                                                           </v>
      </c>
      <c r="G1160" s="26" t="str">
        <f>"ALVARO OBREGON                                                                  "</f>
        <v xml:space="preserve">ALVARO OBREGON                                                                  </v>
      </c>
      <c r="H1160" s="26" t="str">
        <f>"087"</f>
        <v>087</v>
      </c>
      <c r="I1160" s="26" t="str">
        <f t="shared" si="189"/>
        <v>00</v>
      </c>
      <c r="J1160" s="26" t="str">
        <f t="shared" si="191"/>
        <v xml:space="preserve">33 </v>
      </c>
      <c r="K1160" s="26" t="str">
        <f t="shared" si="190"/>
        <v>EP</v>
      </c>
      <c r="L1160" s="26" t="str">
        <f t="shared" si="186"/>
        <v>DGOSE</v>
      </c>
      <c r="M1160" s="26" t="str">
        <f t="shared" si="187"/>
        <v>PARTICULAR</v>
      </c>
      <c r="N1160" s="26">
        <v>20</v>
      </c>
      <c r="O1160" s="26">
        <v>12</v>
      </c>
      <c r="P1160" s="26">
        <v>8</v>
      </c>
      <c r="Q1160" s="26">
        <v>3</v>
      </c>
      <c r="R1160" s="26">
        <v>1</v>
      </c>
      <c r="S1160" s="26">
        <v>3</v>
      </c>
      <c r="T1160" s="26">
        <v>5</v>
      </c>
      <c r="U1160" s="26">
        <v>9</v>
      </c>
      <c r="V1160" s="26">
        <v>1</v>
      </c>
      <c r="W1160" s="26"/>
    </row>
    <row r="1161" spans="1:23" x14ac:dyDescent="0.25">
      <c r="A1161" s="26" t="str">
        <f t="shared" si="188"/>
        <v>PREESCOLAR</v>
      </c>
      <c r="B1161" s="26" t="str">
        <f>"09PJN0273T"</f>
        <v>09PJN0273T</v>
      </c>
      <c r="C1161" s="26" t="str">
        <f>"AVANTE                                                                                              "</f>
        <v xml:space="preserve">AVANTE                                                                                              </v>
      </c>
      <c r="D1161" s="26" t="str">
        <f t="shared" si="185"/>
        <v>MATUTINO</v>
      </c>
      <c r="E1161" s="26" t="str">
        <f>"AMORES NO. 1620                                                                 "</f>
        <v xml:space="preserve">AMORES NO. 1620                                                                 </v>
      </c>
      <c r="F1161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1161" s="26" t="str">
        <f>"BENITO JUAREZ                                                                   "</f>
        <v xml:space="preserve">BENITO JUAREZ                                                                   </v>
      </c>
      <c r="H1161" s="26" t="str">
        <f>"231"</f>
        <v>231</v>
      </c>
      <c r="I1161" s="26" t="str">
        <f t="shared" si="189"/>
        <v>00</v>
      </c>
      <c r="J1161" s="26" t="str">
        <f t="shared" si="191"/>
        <v xml:space="preserve">33 </v>
      </c>
      <c r="K1161" s="26" t="str">
        <f t="shared" si="190"/>
        <v>EP</v>
      </c>
      <c r="L1161" s="26" t="str">
        <f t="shared" si="186"/>
        <v>DGOSE</v>
      </c>
      <c r="M1161" s="26" t="str">
        <f t="shared" si="187"/>
        <v>PARTICULAR</v>
      </c>
      <c r="N1161" s="26">
        <v>32</v>
      </c>
      <c r="O1161" s="26">
        <v>14</v>
      </c>
      <c r="P1161" s="26">
        <v>18</v>
      </c>
      <c r="Q1161" s="26">
        <v>4</v>
      </c>
      <c r="R1161" s="26">
        <v>1</v>
      </c>
      <c r="S1161" s="26">
        <v>4</v>
      </c>
      <c r="T1161" s="26">
        <v>10</v>
      </c>
      <c r="U1161" s="26">
        <v>15</v>
      </c>
      <c r="V1161" s="26">
        <v>1</v>
      </c>
      <c r="W1161" s="26"/>
    </row>
    <row r="1162" spans="1:23" x14ac:dyDescent="0.25">
      <c r="A1162" s="26" t="str">
        <f t="shared" si="188"/>
        <v>PREESCOLAR</v>
      </c>
      <c r="B1162" s="26" t="str">
        <f>"09PJN0275R"</f>
        <v>09PJN0275R</v>
      </c>
      <c r="C1162" s="26" t="str">
        <f>"LAS PALOMAS                                                                                         "</f>
        <v xml:space="preserve">LAS PALOMAS                                                                                         </v>
      </c>
      <c r="D1162" s="26" t="str">
        <f t="shared" si="185"/>
        <v>MATUTINO</v>
      </c>
      <c r="E1162" s="26" t="str">
        <f>"ENRIQUE REBSAMEN NO. 708                                                        "</f>
        <v xml:space="preserve">ENRIQUE REBSAMEN NO. 708                                                        </v>
      </c>
      <c r="F1162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1162" s="26" t="str">
        <f>"BENITO JUAREZ                                                                   "</f>
        <v xml:space="preserve">BENITO JUAREZ                                                                   </v>
      </c>
      <c r="H1162" s="26" t="str">
        <f>"232"</f>
        <v>232</v>
      </c>
      <c r="I1162" s="26" t="str">
        <f t="shared" si="189"/>
        <v>00</v>
      </c>
      <c r="J1162" s="26" t="str">
        <f t="shared" si="191"/>
        <v xml:space="preserve">33 </v>
      </c>
      <c r="K1162" s="26" t="str">
        <f t="shared" si="190"/>
        <v>EP</v>
      </c>
      <c r="L1162" s="26" t="str">
        <f t="shared" si="186"/>
        <v>DGOSE</v>
      </c>
      <c r="M1162" s="26" t="str">
        <f t="shared" si="187"/>
        <v>PARTICULAR</v>
      </c>
      <c r="N1162" s="26">
        <v>20</v>
      </c>
      <c r="O1162" s="26">
        <v>11</v>
      </c>
      <c r="P1162" s="26">
        <v>9</v>
      </c>
      <c r="Q1162" s="26">
        <v>3</v>
      </c>
      <c r="R1162" s="26">
        <v>1</v>
      </c>
      <c r="S1162" s="26">
        <v>3</v>
      </c>
      <c r="T1162" s="26">
        <v>3</v>
      </c>
      <c r="U1162" s="26">
        <v>7</v>
      </c>
      <c r="V1162" s="26">
        <v>1</v>
      </c>
      <c r="W1162" s="26"/>
    </row>
    <row r="1163" spans="1:23" x14ac:dyDescent="0.25">
      <c r="A1163" s="26" t="str">
        <f t="shared" si="188"/>
        <v>PREESCOLAR</v>
      </c>
      <c r="B1163" s="26" t="str">
        <f>"09PJN0276Q"</f>
        <v>09PJN0276Q</v>
      </c>
      <c r="C1163" s="26" t="str">
        <f>"COLEGIO BRITANICO                                                                                   "</f>
        <v xml:space="preserve">COLEGIO BRITANICO                                                                                   </v>
      </c>
      <c r="D1163" s="26" t="str">
        <f t="shared" si="185"/>
        <v>MATUTINO</v>
      </c>
      <c r="E1163" s="26" t="str">
        <f>"ALABAMA NO. 212                                                                 "</f>
        <v xml:space="preserve">ALABAMA NO. 212                                                                 </v>
      </c>
      <c r="F1163" s="26" t="str">
        <f>"NAPOLES                                                                                                                                     "</f>
        <v xml:space="preserve">NAPOLES                                                                                                                                     </v>
      </c>
      <c r="G1163" s="26" t="str">
        <f>"BENITO JUAREZ                                                                   "</f>
        <v xml:space="preserve">BENITO JUAREZ                                                                   </v>
      </c>
      <c r="H1163" s="26" t="str">
        <f>"032"</f>
        <v>032</v>
      </c>
      <c r="I1163" s="26" t="str">
        <f t="shared" si="189"/>
        <v>00</v>
      </c>
      <c r="J1163" s="26" t="str">
        <f t="shared" si="191"/>
        <v xml:space="preserve">33 </v>
      </c>
      <c r="K1163" s="26" t="str">
        <f t="shared" si="190"/>
        <v>EP</v>
      </c>
      <c r="L1163" s="26" t="str">
        <f t="shared" si="186"/>
        <v>DGOSE</v>
      </c>
      <c r="M1163" s="26" t="str">
        <f t="shared" si="187"/>
        <v>PARTICULAR</v>
      </c>
      <c r="N1163" s="26">
        <v>214</v>
      </c>
      <c r="O1163" s="26">
        <v>108</v>
      </c>
      <c r="P1163" s="26">
        <v>106</v>
      </c>
      <c r="Q1163" s="26">
        <v>11</v>
      </c>
      <c r="R1163" s="26">
        <v>1</v>
      </c>
      <c r="S1163" s="26">
        <v>11</v>
      </c>
      <c r="T1163" s="26">
        <v>4</v>
      </c>
      <c r="U1163" s="26">
        <v>16</v>
      </c>
      <c r="V1163" s="26">
        <v>1</v>
      </c>
      <c r="W1163" s="26"/>
    </row>
    <row r="1164" spans="1:23" x14ac:dyDescent="0.25">
      <c r="A1164" s="26" t="str">
        <f t="shared" si="188"/>
        <v>PREESCOLAR</v>
      </c>
      <c r="B1164" s="26" t="str">
        <f>"09PJN0277P"</f>
        <v>09PJN0277P</v>
      </c>
      <c r="C1164" s="26" t="str">
        <f>"ROSARIO CASTELLANOS                                                                                 "</f>
        <v xml:space="preserve">ROSARIO CASTELLANOS                                                                                 </v>
      </c>
      <c r="D1164" s="26" t="str">
        <f t="shared" si="185"/>
        <v>MATUTINO</v>
      </c>
      <c r="E1164" s="26" t="str">
        <f>"RUMANIA NO. 105                                                                 "</f>
        <v xml:space="preserve">RUMANIA NO. 105                                                                 </v>
      </c>
      <c r="F1164" s="26" t="str">
        <f>"PORTALES                                                                                                                                    "</f>
        <v xml:space="preserve">PORTALES                                                                                                                                    </v>
      </c>
      <c r="G1164" s="26" t="str">
        <f>"BENITO JUAREZ                                                                   "</f>
        <v xml:space="preserve">BENITO JUAREZ                                                                   </v>
      </c>
      <c r="H1164" s="26" t="str">
        <f>"037"</f>
        <v>037</v>
      </c>
      <c r="I1164" s="26" t="str">
        <f t="shared" si="189"/>
        <v>00</v>
      </c>
      <c r="J1164" s="26" t="str">
        <f t="shared" si="191"/>
        <v xml:space="preserve">33 </v>
      </c>
      <c r="K1164" s="26" t="str">
        <f t="shared" si="190"/>
        <v>EP</v>
      </c>
      <c r="L1164" s="26" t="str">
        <f t="shared" si="186"/>
        <v>DGOSE</v>
      </c>
      <c r="M1164" s="26" t="str">
        <f t="shared" si="187"/>
        <v>PARTICULAR</v>
      </c>
      <c r="N1164" s="26">
        <v>54</v>
      </c>
      <c r="O1164" s="26">
        <v>26</v>
      </c>
      <c r="P1164" s="26">
        <v>28</v>
      </c>
      <c r="Q1164" s="26">
        <v>3</v>
      </c>
      <c r="R1164" s="26">
        <v>1</v>
      </c>
      <c r="S1164" s="26">
        <v>2</v>
      </c>
      <c r="T1164" s="26">
        <v>4</v>
      </c>
      <c r="U1164" s="26">
        <v>7</v>
      </c>
      <c r="V1164" s="26">
        <v>1</v>
      </c>
      <c r="W1164" s="26"/>
    </row>
    <row r="1165" spans="1:23" x14ac:dyDescent="0.25">
      <c r="A1165" s="26" t="str">
        <f t="shared" si="188"/>
        <v>PREESCOLAR</v>
      </c>
      <c r="B1165" s="26" t="str">
        <f>"09PJN0278O"</f>
        <v>09PJN0278O</v>
      </c>
      <c r="C1165" s="26" t="str">
        <f>"COLEGIO LESTONNAC                                                                                   "</f>
        <v xml:space="preserve">COLEGIO LESTONNAC                                                                                   </v>
      </c>
      <c r="D1165" s="26" t="str">
        <f t="shared" si="185"/>
        <v>MATUTINO</v>
      </c>
      <c r="E1165" s="26" t="str">
        <f>"CAFETALES NO. 140                                                               "</f>
        <v xml:space="preserve">CAFETALES NO. 140                                                               </v>
      </c>
      <c r="F1165" s="26" t="str">
        <f>"TLALPAN                                                                                                                                     "</f>
        <v xml:space="preserve">TLALPAN                                                                                                                                     </v>
      </c>
      <c r="G1165" s="26" t="str">
        <f>"TLALPAN                                                                         "</f>
        <v xml:space="preserve">TLALPAN                                                                         </v>
      </c>
      <c r="H1165" s="26" t="str">
        <f>"276"</f>
        <v>276</v>
      </c>
      <c r="I1165" s="26" t="str">
        <f t="shared" si="189"/>
        <v>00</v>
      </c>
      <c r="J1165" s="26" t="str">
        <f>"35 "</f>
        <v xml:space="preserve">35 </v>
      </c>
      <c r="K1165" s="26" t="str">
        <f t="shared" si="190"/>
        <v>EP</v>
      </c>
      <c r="L1165" s="26" t="str">
        <f t="shared" si="186"/>
        <v>DGOSE</v>
      </c>
      <c r="M1165" s="26" t="str">
        <f t="shared" si="187"/>
        <v>PARTICULAR</v>
      </c>
      <c r="N1165" s="26">
        <v>41</v>
      </c>
      <c r="O1165" s="26">
        <v>18</v>
      </c>
      <c r="P1165" s="26">
        <v>23</v>
      </c>
      <c r="Q1165" s="26">
        <v>3</v>
      </c>
      <c r="R1165" s="26">
        <v>1</v>
      </c>
      <c r="S1165" s="26">
        <v>3</v>
      </c>
      <c r="T1165" s="26">
        <v>5</v>
      </c>
      <c r="U1165" s="26">
        <v>9</v>
      </c>
      <c r="V1165" s="26">
        <v>1</v>
      </c>
      <c r="W1165" s="26"/>
    </row>
    <row r="1166" spans="1:23" x14ac:dyDescent="0.25">
      <c r="A1166" s="26" t="str">
        <f t="shared" si="188"/>
        <v>PREESCOLAR</v>
      </c>
      <c r="B1166" s="26" t="str">
        <f>"09PJN0282A"</f>
        <v>09PJN0282A</v>
      </c>
      <c r="C1166" s="26" t="str">
        <f>"JARDÍN DE NIÑOS FEDERICO FROEBEL                                                                    "</f>
        <v xml:space="preserve">JARDÍN DE NIÑOS FEDERICO FROEBEL                                                                    </v>
      </c>
      <c r="D1166" s="26" t="str">
        <f t="shared" si="185"/>
        <v>MATUTINO</v>
      </c>
      <c r="E1166" s="26" t="str">
        <f>"PEDRO NOLASCO  S/N. MZA.21 LT.4                                                 "</f>
        <v xml:space="preserve">PEDRO NOLASCO  S/N. MZA.21 LT.4                                                 </v>
      </c>
      <c r="F1166" s="26" t="str">
        <f>"CUAUTEPEC EL ALTO                                                                                                                           "</f>
        <v xml:space="preserve">CUAUTEPEC EL ALTO                                                                                                                           </v>
      </c>
      <c r="G1166" s="26" t="str">
        <f>"GUSTAVO A. MADERO                                                               "</f>
        <v xml:space="preserve">GUSTAVO A. MADERO                                                               </v>
      </c>
      <c r="H1166" s="26" t="str">
        <f>"154"</f>
        <v>154</v>
      </c>
      <c r="I1166" s="26" t="str">
        <f t="shared" si="189"/>
        <v>00</v>
      </c>
      <c r="J1166" s="26" t="str">
        <f>"32 "</f>
        <v xml:space="preserve">32 </v>
      </c>
      <c r="K1166" s="26" t="str">
        <f t="shared" si="190"/>
        <v>EP</v>
      </c>
      <c r="L1166" s="26" t="str">
        <f t="shared" si="186"/>
        <v>DGOSE</v>
      </c>
      <c r="M1166" s="26" t="str">
        <f t="shared" si="187"/>
        <v>PARTICULAR</v>
      </c>
      <c r="N1166" s="26">
        <v>19</v>
      </c>
      <c r="O1166" s="26">
        <v>9</v>
      </c>
      <c r="P1166" s="26">
        <v>10</v>
      </c>
      <c r="Q1166" s="26">
        <v>3</v>
      </c>
      <c r="R1166" s="26">
        <v>1</v>
      </c>
      <c r="S1166" s="26">
        <v>3</v>
      </c>
      <c r="T1166" s="26">
        <v>5</v>
      </c>
      <c r="U1166" s="26">
        <v>9</v>
      </c>
      <c r="V1166" s="26">
        <v>1</v>
      </c>
      <c r="W1166" s="26"/>
    </row>
    <row r="1167" spans="1:23" x14ac:dyDescent="0.25">
      <c r="A1167" s="26" t="str">
        <f t="shared" si="188"/>
        <v>PREESCOLAR</v>
      </c>
      <c r="B1167" s="26" t="str">
        <f>"09PJN0285Y"</f>
        <v>09PJN0285Y</v>
      </c>
      <c r="C1167" s="26" t="str">
        <f>" ANTOINE DE SAINT EXUPERY                                                                           "</f>
        <v xml:space="preserve"> ANTOINE DE SAINT EXUPERY                                                                           </v>
      </c>
      <c r="D1167" s="26" t="str">
        <f t="shared" si="185"/>
        <v>MATUTINO</v>
      </c>
      <c r="E1167" s="26" t="str">
        <f>"BALVANERA NO. 29                                                                "</f>
        <v xml:space="preserve">BALVANERA NO. 29                                                                </v>
      </c>
      <c r="F1167" s="26" t="str">
        <f>"SAN LORENZO XICOTENCATL                                                                                                                     "</f>
        <v xml:space="preserve">SAN LORENZO XICOTENCATL                                                                                                                     </v>
      </c>
      <c r="G1167" s="26" t="str">
        <f>"IZTAPALAPA                                                                      "</f>
        <v xml:space="preserve">IZTAPALAPA                                                                      </v>
      </c>
      <c r="H1167" s="26" t="str">
        <f>"000"</f>
        <v>000</v>
      </c>
      <c r="I1167" s="26" t="str">
        <f t="shared" si="189"/>
        <v>00</v>
      </c>
      <c r="J1167" s="26" t="str">
        <f>"62 "</f>
        <v xml:space="preserve">62 </v>
      </c>
      <c r="K1167" s="26" t="str">
        <f>"IZ"</f>
        <v>IZ</v>
      </c>
      <c r="L1167" s="26" t="str">
        <f>"DGSEI"</f>
        <v>DGSEI</v>
      </c>
      <c r="M1167" s="26" t="str">
        <f t="shared" si="187"/>
        <v>PARTICULAR</v>
      </c>
      <c r="N1167" s="26">
        <v>26</v>
      </c>
      <c r="O1167" s="26">
        <v>11</v>
      </c>
      <c r="P1167" s="26">
        <v>15</v>
      </c>
      <c r="Q1167" s="26">
        <v>3</v>
      </c>
      <c r="R1167" s="26">
        <v>1</v>
      </c>
      <c r="S1167" s="26">
        <v>3</v>
      </c>
      <c r="T1167" s="26">
        <v>6</v>
      </c>
      <c r="U1167" s="26">
        <v>10</v>
      </c>
      <c r="V1167" s="26">
        <v>1</v>
      </c>
      <c r="W1167" s="26"/>
    </row>
    <row r="1168" spans="1:23" x14ac:dyDescent="0.25">
      <c r="A1168" s="26" t="str">
        <f t="shared" si="188"/>
        <v>PREESCOLAR</v>
      </c>
      <c r="B1168" s="26" t="str">
        <f>"09PJN0291I"</f>
        <v>09PJN0291I</v>
      </c>
      <c r="C1168" s="26" t="str">
        <f>"CAMARA DE COMERCIO                                                                                  "</f>
        <v xml:space="preserve">CAMARA DE COMERCIO                                                                                  </v>
      </c>
      <c r="D1168" s="26" t="str">
        <f t="shared" si="185"/>
        <v>MATUTINO</v>
      </c>
      <c r="E1168" s="26" t="str">
        <f>"JALAPA NO. 36                                                                   "</f>
        <v xml:space="preserve">JALAPA NO. 36                                                                   </v>
      </c>
      <c r="F1168" s="26" t="str">
        <f>"ROMA NORTE                                                                                                                                  "</f>
        <v xml:space="preserve">ROMA NORTE                                                                                                                                  </v>
      </c>
      <c r="G1168" s="26" t="s">
        <v>4128</v>
      </c>
      <c r="H1168" s="26" t="str">
        <f>"202"</f>
        <v>202</v>
      </c>
      <c r="I1168" s="26" t="str">
        <f t="shared" si="189"/>
        <v>00</v>
      </c>
      <c r="J1168" s="26" t="str">
        <f>"32 "</f>
        <v xml:space="preserve">32 </v>
      </c>
      <c r="K1168" s="26" t="str">
        <f t="shared" ref="K1168:K1183" si="192">"EP"</f>
        <v>EP</v>
      </c>
      <c r="L1168" s="26" t="str">
        <f t="shared" ref="L1168:L1210" si="193">"DGOSE"</f>
        <v>DGOSE</v>
      </c>
      <c r="M1168" s="26" t="str">
        <f t="shared" si="187"/>
        <v>PARTICULAR</v>
      </c>
      <c r="N1168" s="26">
        <v>154</v>
      </c>
      <c r="O1168" s="26">
        <v>85</v>
      </c>
      <c r="P1168" s="26">
        <v>69</v>
      </c>
      <c r="Q1168" s="26">
        <v>10</v>
      </c>
      <c r="R1168" s="26">
        <v>1</v>
      </c>
      <c r="S1168" s="26">
        <v>10</v>
      </c>
      <c r="T1168" s="26">
        <v>0</v>
      </c>
      <c r="U1168" s="26">
        <v>11</v>
      </c>
      <c r="V1168" s="26">
        <v>1</v>
      </c>
      <c r="W1168" s="26"/>
    </row>
    <row r="1169" spans="1:23" x14ac:dyDescent="0.25">
      <c r="A1169" s="26" t="str">
        <f t="shared" si="188"/>
        <v>PREESCOLAR</v>
      </c>
      <c r="B1169" s="26" t="str">
        <f>"09PJN0315B"</f>
        <v>09PJN0315B</v>
      </c>
      <c r="C1169" s="26" t="str">
        <f>"CENTRO DE EDUCACION INFANTIL M.I.A.                                                                 "</f>
        <v xml:space="preserve">CENTRO DE EDUCACION INFANTIL M.I.A.                                                                 </v>
      </c>
      <c r="D1169" s="26" t="str">
        <f t="shared" si="185"/>
        <v>MATUTINO</v>
      </c>
      <c r="E1169" s="26" t="str">
        <f>"OKLAHOMA No. 138                                                                "</f>
        <v xml:space="preserve">OKLAHOMA No. 138                                                                </v>
      </c>
      <c r="F1169" s="26" t="str">
        <f>"NAPOLES                                                                                                                                     "</f>
        <v xml:space="preserve">NAPOLES                                                                                                                                     </v>
      </c>
      <c r="G1169" s="26" t="str">
        <f t="shared" ref="G1169:G1182" si="194">"BENITO JUAREZ                                                                   "</f>
        <v xml:space="preserve">BENITO JUAREZ                                                                   </v>
      </c>
      <c r="H1169" s="26" t="str">
        <f>"032"</f>
        <v>032</v>
      </c>
      <c r="I1169" s="26" t="str">
        <f t="shared" si="189"/>
        <v>00</v>
      </c>
      <c r="J1169" s="26" t="str">
        <f t="shared" ref="J1169:J1182" si="195">"33 "</f>
        <v xml:space="preserve">33 </v>
      </c>
      <c r="K1169" s="26" t="str">
        <f t="shared" si="192"/>
        <v>EP</v>
      </c>
      <c r="L1169" s="26" t="str">
        <f t="shared" si="193"/>
        <v>DGOSE</v>
      </c>
      <c r="M1169" s="26" t="str">
        <f t="shared" si="187"/>
        <v>PARTICULAR</v>
      </c>
      <c r="N1169" s="26">
        <v>53</v>
      </c>
      <c r="O1169" s="26">
        <v>26</v>
      </c>
      <c r="P1169" s="26">
        <v>27</v>
      </c>
      <c r="Q1169" s="26">
        <v>4</v>
      </c>
      <c r="R1169" s="26">
        <v>1</v>
      </c>
      <c r="S1169" s="26">
        <v>4</v>
      </c>
      <c r="T1169" s="26">
        <v>15</v>
      </c>
      <c r="U1169" s="26">
        <v>20</v>
      </c>
      <c r="V1169" s="26">
        <v>1</v>
      </c>
      <c r="W1169" s="26"/>
    </row>
    <row r="1170" spans="1:23" x14ac:dyDescent="0.25">
      <c r="A1170" s="26" t="str">
        <f t="shared" si="188"/>
        <v>PREESCOLAR</v>
      </c>
      <c r="B1170" s="26" t="str">
        <f>"09PJN0322L"</f>
        <v>09PJN0322L</v>
      </c>
      <c r="C1170" s="26" t="str">
        <f>"JARDÍN DE NIÑOS MEXICANA DEL VALLE                                                                  "</f>
        <v xml:space="preserve">JARDÍN DE NIÑOS MEXICANA DEL VALLE                                                                  </v>
      </c>
      <c r="D1170" s="26" t="str">
        <f t="shared" si="185"/>
        <v>MATUTINO</v>
      </c>
      <c r="E1170" s="26" t="str">
        <f>"GABRIEL MANCERA NO. 1611                                                        "</f>
        <v xml:space="preserve">GABRIEL MANCERA NO. 1611                                                        </v>
      </c>
      <c r="F1170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1170" s="26" t="str">
        <f t="shared" si="194"/>
        <v xml:space="preserve">BENITO JUAREZ                                                                   </v>
      </c>
      <c r="H1170" s="26" t="str">
        <f>"231"</f>
        <v>231</v>
      </c>
      <c r="I1170" s="26" t="str">
        <f t="shared" si="189"/>
        <v>00</v>
      </c>
      <c r="J1170" s="26" t="str">
        <f t="shared" si="195"/>
        <v xml:space="preserve">33 </v>
      </c>
      <c r="K1170" s="26" t="str">
        <f t="shared" si="192"/>
        <v>EP</v>
      </c>
      <c r="L1170" s="26" t="str">
        <f t="shared" si="193"/>
        <v>DGOSE</v>
      </c>
      <c r="M1170" s="26" t="str">
        <f t="shared" si="187"/>
        <v>PARTICULAR</v>
      </c>
      <c r="N1170" s="26">
        <v>54</v>
      </c>
      <c r="O1170" s="26">
        <v>25</v>
      </c>
      <c r="P1170" s="26">
        <v>29</v>
      </c>
      <c r="Q1170" s="26">
        <v>3</v>
      </c>
      <c r="R1170" s="26">
        <v>1</v>
      </c>
      <c r="S1170" s="26">
        <v>3</v>
      </c>
      <c r="T1170" s="26">
        <v>3</v>
      </c>
      <c r="U1170" s="26">
        <v>7</v>
      </c>
      <c r="V1170" s="26">
        <v>1</v>
      </c>
      <c r="W1170" s="26"/>
    </row>
    <row r="1171" spans="1:23" x14ac:dyDescent="0.25">
      <c r="A1171" s="26" t="str">
        <f t="shared" si="188"/>
        <v>PREESCOLAR</v>
      </c>
      <c r="B1171" s="26" t="str">
        <f>"09PJN0328F"</f>
        <v>09PJN0328F</v>
      </c>
      <c r="C1171" s="26" t="str">
        <f>"CENTRO EDUCATIVO DEL VALLE                                                                          "</f>
        <v xml:space="preserve">CENTRO EDUCATIVO DEL VALLE                                                                          </v>
      </c>
      <c r="D1171" s="26" t="str">
        <f t="shared" si="185"/>
        <v>MATUTINO</v>
      </c>
      <c r="E1171" s="26" t="str">
        <f>"MORENA NO. 423                                                                  "</f>
        <v xml:space="preserve">MORENA NO. 423                                                                  </v>
      </c>
      <c r="F1171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1171" s="26" t="str">
        <f t="shared" si="194"/>
        <v xml:space="preserve">BENITO JUAREZ                                                                   </v>
      </c>
      <c r="H1171" s="26" t="str">
        <f>"232"</f>
        <v>232</v>
      </c>
      <c r="I1171" s="26" t="str">
        <f t="shared" si="189"/>
        <v>00</v>
      </c>
      <c r="J1171" s="26" t="str">
        <f t="shared" si="195"/>
        <v xml:space="preserve">33 </v>
      </c>
      <c r="K1171" s="26" t="str">
        <f t="shared" si="192"/>
        <v>EP</v>
      </c>
      <c r="L1171" s="26" t="str">
        <f t="shared" si="193"/>
        <v>DGOSE</v>
      </c>
      <c r="M1171" s="26" t="str">
        <f t="shared" si="187"/>
        <v>PARTICULAR</v>
      </c>
      <c r="N1171" s="26">
        <v>33</v>
      </c>
      <c r="O1171" s="26">
        <v>22</v>
      </c>
      <c r="P1171" s="26">
        <v>11</v>
      </c>
      <c r="Q1171" s="26">
        <v>3</v>
      </c>
      <c r="R1171" s="26">
        <v>1</v>
      </c>
      <c r="S1171" s="26">
        <v>3</v>
      </c>
      <c r="T1171" s="26">
        <v>4</v>
      </c>
      <c r="U1171" s="26">
        <v>8</v>
      </c>
      <c r="V1171" s="26">
        <v>1</v>
      </c>
      <c r="W1171" s="26"/>
    </row>
    <row r="1172" spans="1:23" x14ac:dyDescent="0.25">
      <c r="A1172" s="26" t="str">
        <f t="shared" si="188"/>
        <v>PREESCOLAR</v>
      </c>
      <c r="B1172" s="26" t="str">
        <f>"09PJN0334Q"</f>
        <v>09PJN0334Q</v>
      </c>
      <c r="C1172" s="26" t="str">
        <f>"EDUCACIÓN ALIVE REVOLUCIÓN                                                                          "</f>
        <v xml:space="preserve">EDUCACIÓN ALIVE REVOLUCIÓN                                                                          </v>
      </c>
      <c r="D1172" s="26" t="str">
        <f t="shared" si="185"/>
        <v>MATUTINO</v>
      </c>
      <c r="E1172" s="26" t="str">
        <f>"PIRAMIDE NO. 19                                                                 "</f>
        <v xml:space="preserve">PIRAMIDE NO. 19                                                                 </v>
      </c>
      <c r="F1172" s="26" t="str">
        <f>"SAN PEDRO DE LOS PINOS                                                                                                                      "</f>
        <v xml:space="preserve">SAN PEDRO DE LOS PINOS                                                                                                                      </v>
      </c>
      <c r="G1172" s="26" t="str">
        <f t="shared" si="194"/>
        <v xml:space="preserve">BENITO JUAREZ                                                                   </v>
      </c>
      <c r="H1172" s="26" t="str">
        <f>"032"</f>
        <v>032</v>
      </c>
      <c r="I1172" s="26" t="str">
        <f t="shared" si="189"/>
        <v>00</v>
      </c>
      <c r="J1172" s="26" t="str">
        <f t="shared" si="195"/>
        <v xml:space="preserve">33 </v>
      </c>
      <c r="K1172" s="26" t="str">
        <f t="shared" si="192"/>
        <v>EP</v>
      </c>
      <c r="L1172" s="26" t="str">
        <f t="shared" si="193"/>
        <v>DGOSE</v>
      </c>
      <c r="M1172" s="26" t="str">
        <f t="shared" si="187"/>
        <v>PARTICULAR</v>
      </c>
      <c r="N1172" s="26">
        <v>69</v>
      </c>
      <c r="O1172" s="26">
        <v>30</v>
      </c>
      <c r="P1172" s="26">
        <v>39</v>
      </c>
      <c r="Q1172" s="26">
        <v>3</v>
      </c>
      <c r="R1172" s="26">
        <v>1</v>
      </c>
      <c r="S1172" s="26">
        <v>3</v>
      </c>
      <c r="T1172" s="26">
        <v>4</v>
      </c>
      <c r="U1172" s="26">
        <v>8</v>
      </c>
      <c r="V1172" s="26">
        <v>1</v>
      </c>
      <c r="W1172" s="26"/>
    </row>
    <row r="1173" spans="1:23" x14ac:dyDescent="0.25">
      <c r="A1173" s="26" t="str">
        <f t="shared" si="188"/>
        <v>PREESCOLAR</v>
      </c>
      <c r="B1173" s="26" t="str">
        <f>"09PJN0335P"</f>
        <v>09PJN0335P</v>
      </c>
      <c r="C1173" s="26" t="str">
        <f>"COLEGIO MODERNO ALARID                                                                              "</f>
        <v xml:space="preserve">COLEGIO MODERNO ALARID                                                                              </v>
      </c>
      <c r="D1173" s="26" t="str">
        <f t="shared" si="185"/>
        <v>MATUTINO</v>
      </c>
      <c r="E1173" s="26" t="str">
        <f>"AV. REVOLUCION NO. 606                                                          "</f>
        <v xml:space="preserve">AV. REVOLUCION NO. 606                                                          </v>
      </c>
      <c r="F1173" s="26" t="str">
        <f>"SAN PEDRO DE LOS PINOS                                                                                                                      "</f>
        <v xml:space="preserve">SAN PEDRO DE LOS PINOS                                                                                                                      </v>
      </c>
      <c r="G1173" s="26" t="str">
        <f t="shared" si="194"/>
        <v xml:space="preserve">BENITO JUAREZ                                                                   </v>
      </c>
      <c r="H1173" s="26" t="str">
        <f>"032"</f>
        <v>032</v>
      </c>
      <c r="I1173" s="26" t="str">
        <f t="shared" si="189"/>
        <v>00</v>
      </c>
      <c r="J1173" s="26" t="str">
        <f t="shared" si="195"/>
        <v xml:space="preserve">33 </v>
      </c>
      <c r="K1173" s="26" t="str">
        <f t="shared" si="192"/>
        <v>EP</v>
      </c>
      <c r="L1173" s="26" t="str">
        <f t="shared" si="193"/>
        <v>DGOSE</v>
      </c>
      <c r="M1173" s="26" t="str">
        <f t="shared" si="187"/>
        <v>PARTICULAR</v>
      </c>
      <c r="N1173" s="26">
        <v>26</v>
      </c>
      <c r="O1173" s="26">
        <v>13</v>
      </c>
      <c r="P1173" s="26">
        <v>13</v>
      </c>
      <c r="Q1173" s="26">
        <v>3</v>
      </c>
      <c r="R1173" s="26">
        <v>1</v>
      </c>
      <c r="S1173" s="26">
        <v>3</v>
      </c>
      <c r="T1173" s="26">
        <v>5</v>
      </c>
      <c r="U1173" s="26">
        <v>9</v>
      </c>
      <c r="V1173" s="26">
        <v>1</v>
      </c>
      <c r="W1173" s="26"/>
    </row>
    <row r="1174" spans="1:23" x14ac:dyDescent="0.25">
      <c r="A1174" s="26" t="str">
        <f t="shared" si="188"/>
        <v>PREESCOLAR</v>
      </c>
      <c r="B1174" s="26" t="str">
        <f>"09PJN0336O"</f>
        <v>09PJN0336O</v>
      </c>
      <c r="C1174" s="26" t="str">
        <f>"COLEGIO SUIZO DE MEXICO                                                                             "</f>
        <v xml:space="preserve">COLEGIO SUIZO DE MEXICO                                                                             </v>
      </c>
      <c r="D1174" s="26" t="str">
        <f t="shared" si="185"/>
        <v>MATUTINO</v>
      </c>
      <c r="E1174" s="26" t="str">
        <f>"NICOLAS SAN JUAN NO. 917                                                        "</f>
        <v xml:space="preserve">NICOLAS SAN JUAN NO. 917                                                        </v>
      </c>
      <c r="F1174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1174" s="26" t="str">
        <f t="shared" si="194"/>
        <v xml:space="preserve">BENITO JUAREZ                                                                   </v>
      </c>
      <c r="H1174" s="26" t="str">
        <f>"232"</f>
        <v>232</v>
      </c>
      <c r="I1174" s="26" t="str">
        <f t="shared" si="189"/>
        <v>00</v>
      </c>
      <c r="J1174" s="26" t="str">
        <f t="shared" si="195"/>
        <v xml:space="preserve">33 </v>
      </c>
      <c r="K1174" s="26" t="str">
        <f t="shared" si="192"/>
        <v>EP</v>
      </c>
      <c r="L1174" s="26" t="str">
        <f t="shared" si="193"/>
        <v>DGOSE</v>
      </c>
      <c r="M1174" s="26" t="str">
        <f t="shared" si="187"/>
        <v>PARTICULAR</v>
      </c>
      <c r="N1174" s="26">
        <v>168</v>
      </c>
      <c r="O1174" s="26">
        <v>82</v>
      </c>
      <c r="P1174" s="26">
        <v>86</v>
      </c>
      <c r="Q1174" s="26">
        <v>9</v>
      </c>
      <c r="R1174" s="26">
        <v>1</v>
      </c>
      <c r="S1174" s="26">
        <v>9</v>
      </c>
      <c r="T1174" s="26">
        <v>4</v>
      </c>
      <c r="U1174" s="26">
        <v>14</v>
      </c>
      <c r="V1174" s="26">
        <v>1</v>
      </c>
      <c r="W1174" s="26"/>
    </row>
    <row r="1175" spans="1:23" x14ac:dyDescent="0.25">
      <c r="A1175" s="26" t="str">
        <f t="shared" si="188"/>
        <v>PREESCOLAR</v>
      </c>
      <c r="B1175" s="26" t="str">
        <f>"09PJN0338M"</f>
        <v>09PJN0338M</v>
      </c>
      <c r="C1175" s="26" t="str">
        <f>"COLEGIO VALLE AMERICANO                                                                             "</f>
        <v xml:space="preserve">COLEGIO VALLE AMERICANO                                                                             </v>
      </c>
      <c r="D1175" s="26" t="str">
        <f t="shared" si="185"/>
        <v>MATUTINO</v>
      </c>
      <c r="E1175" s="26" t="str">
        <f>"PITAGORAS No. 729                                                               "</f>
        <v xml:space="preserve">PITAGORAS No. 729                                                               </v>
      </c>
      <c r="F1175" s="26" t="str">
        <f>"NARVARTE                                                                                                                                    "</f>
        <v xml:space="preserve">NARVARTE                                                                                                                                    </v>
      </c>
      <c r="G1175" s="26" t="str">
        <f t="shared" si="194"/>
        <v xml:space="preserve">BENITO JUAREZ                                                                   </v>
      </c>
      <c r="H1175" s="26" t="str">
        <f>"230"</f>
        <v>230</v>
      </c>
      <c r="I1175" s="26" t="str">
        <f t="shared" si="189"/>
        <v>00</v>
      </c>
      <c r="J1175" s="26" t="str">
        <f t="shared" si="195"/>
        <v xml:space="preserve">33 </v>
      </c>
      <c r="K1175" s="26" t="str">
        <f t="shared" si="192"/>
        <v>EP</v>
      </c>
      <c r="L1175" s="26" t="str">
        <f t="shared" si="193"/>
        <v>DGOSE</v>
      </c>
      <c r="M1175" s="26" t="str">
        <f t="shared" si="187"/>
        <v>PARTICULAR</v>
      </c>
      <c r="N1175" s="26">
        <v>18</v>
      </c>
      <c r="O1175" s="26">
        <v>6</v>
      </c>
      <c r="P1175" s="26">
        <v>12</v>
      </c>
      <c r="Q1175" s="26">
        <v>3</v>
      </c>
      <c r="R1175" s="26">
        <v>1</v>
      </c>
      <c r="S1175" s="26">
        <v>2</v>
      </c>
      <c r="T1175" s="26">
        <v>6</v>
      </c>
      <c r="U1175" s="26">
        <v>9</v>
      </c>
      <c r="V1175" s="26">
        <v>1</v>
      </c>
      <c r="W1175" s="26"/>
    </row>
    <row r="1176" spans="1:23" x14ac:dyDescent="0.25">
      <c r="A1176" s="26" t="str">
        <f t="shared" si="188"/>
        <v>PREESCOLAR</v>
      </c>
      <c r="B1176" s="26" t="str">
        <f>"09PJN0339L"</f>
        <v>09PJN0339L</v>
      </c>
      <c r="C1176" s="26" t="str">
        <f>"ESCUELA MEXICANA BILINGÜE                                                                           "</f>
        <v xml:space="preserve">ESCUELA MEXICANA BILINGÜE                                                                           </v>
      </c>
      <c r="D1176" s="26" t="str">
        <f t="shared" si="185"/>
        <v>MATUTINO</v>
      </c>
      <c r="E1176" s="26" t="str">
        <f>"AMORES NO. 1537                                                                 "</f>
        <v xml:space="preserve">AMORES NO. 1537                                                                 </v>
      </c>
      <c r="F1176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1176" s="26" t="str">
        <f t="shared" si="194"/>
        <v xml:space="preserve">BENITO JUAREZ                                                                   </v>
      </c>
      <c r="H1176" s="26" t="str">
        <f>"231"</f>
        <v>231</v>
      </c>
      <c r="I1176" s="26" t="str">
        <f t="shared" si="189"/>
        <v>00</v>
      </c>
      <c r="J1176" s="26" t="str">
        <f t="shared" si="195"/>
        <v xml:space="preserve">33 </v>
      </c>
      <c r="K1176" s="26" t="str">
        <f t="shared" si="192"/>
        <v>EP</v>
      </c>
      <c r="L1176" s="26" t="str">
        <f t="shared" si="193"/>
        <v>DGOSE</v>
      </c>
      <c r="M1176" s="26" t="str">
        <f t="shared" si="187"/>
        <v>PARTICULAR</v>
      </c>
      <c r="N1176" s="26">
        <v>24</v>
      </c>
      <c r="O1176" s="26">
        <v>11</v>
      </c>
      <c r="P1176" s="26">
        <v>13</v>
      </c>
      <c r="Q1176" s="26">
        <v>3</v>
      </c>
      <c r="R1176" s="26">
        <v>0</v>
      </c>
      <c r="S1176" s="26">
        <v>3</v>
      </c>
      <c r="T1176" s="26">
        <v>6</v>
      </c>
      <c r="U1176" s="26">
        <v>9</v>
      </c>
      <c r="V1176" s="26">
        <v>1</v>
      </c>
      <c r="W1176" s="26"/>
    </row>
    <row r="1177" spans="1:23" x14ac:dyDescent="0.25">
      <c r="A1177" s="26" t="str">
        <f t="shared" si="188"/>
        <v>PREESCOLAR</v>
      </c>
      <c r="B1177" s="26" t="str">
        <f>"09PJN0345W"</f>
        <v>09PJN0345W</v>
      </c>
      <c r="C1177" s="26" t="str">
        <f>"JARDIN DE NIÑOS QUINTANITA                                                                          "</f>
        <v xml:space="preserve">JARDIN DE NIÑOS QUINTANITA                                                                          </v>
      </c>
      <c r="D1177" s="26" t="str">
        <f t="shared" si="185"/>
        <v>MATUTINO</v>
      </c>
      <c r="E1177" s="26" t="str">
        <f>"ASTURIAS No. 206                                                                "</f>
        <v xml:space="preserve">ASTURIAS No. 206                                                                </v>
      </c>
      <c r="F1177" s="26" t="str">
        <f>"ALAMOS                                                                                                                                      "</f>
        <v xml:space="preserve">ALAMOS                                                                                                                                      </v>
      </c>
      <c r="G1177" s="26" t="str">
        <f t="shared" si="194"/>
        <v xml:space="preserve">BENITO JUAREZ                                                                   </v>
      </c>
      <c r="H1177" s="26" t="str">
        <f>"230"</f>
        <v>230</v>
      </c>
      <c r="I1177" s="26" t="str">
        <f t="shared" si="189"/>
        <v>00</v>
      </c>
      <c r="J1177" s="26" t="str">
        <f t="shared" si="195"/>
        <v xml:space="preserve">33 </v>
      </c>
      <c r="K1177" s="26" t="str">
        <f t="shared" si="192"/>
        <v>EP</v>
      </c>
      <c r="L1177" s="26" t="str">
        <f t="shared" si="193"/>
        <v>DGOSE</v>
      </c>
      <c r="M1177" s="26" t="str">
        <f t="shared" si="187"/>
        <v>PARTICULAR</v>
      </c>
      <c r="N1177" s="26">
        <v>76</v>
      </c>
      <c r="O1177" s="26">
        <v>36</v>
      </c>
      <c r="P1177" s="26">
        <v>40</v>
      </c>
      <c r="Q1177" s="26">
        <v>4</v>
      </c>
      <c r="R1177" s="26">
        <v>1</v>
      </c>
      <c r="S1177" s="26">
        <v>4</v>
      </c>
      <c r="T1177" s="26">
        <v>7</v>
      </c>
      <c r="U1177" s="26">
        <v>12</v>
      </c>
      <c r="V1177" s="26">
        <v>1</v>
      </c>
      <c r="W1177" s="26"/>
    </row>
    <row r="1178" spans="1:23" x14ac:dyDescent="0.25">
      <c r="A1178" s="26" t="str">
        <f t="shared" si="188"/>
        <v>PREESCOLAR</v>
      </c>
      <c r="B1178" s="26" t="str">
        <f>"09PJN0346V"</f>
        <v>09PJN0346V</v>
      </c>
      <c r="C1178" s="26" t="str">
        <f>"JARDIN DE NIÑOS VILLA INFANTIL                                                                      "</f>
        <v xml:space="preserve">JARDIN DE NIÑOS VILLA INFANTIL                                                                      </v>
      </c>
      <c r="D1178" s="26" t="str">
        <f t="shared" si="185"/>
        <v>MATUTINO</v>
      </c>
      <c r="E1178" s="26" t="str">
        <f>"SEGOVIA NO. 95                                                                  "</f>
        <v xml:space="preserve">SEGOVIA NO. 95                                                                  </v>
      </c>
      <c r="F1178" s="26" t="str">
        <f>"ALAMOS                                                                                                                                      "</f>
        <v xml:space="preserve">ALAMOS                                                                                                                                      </v>
      </c>
      <c r="G1178" s="26" t="str">
        <f t="shared" si="194"/>
        <v xml:space="preserve">BENITO JUAREZ                                                                   </v>
      </c>
      <c r="H1178" s="26" t="str">
        <f>"230"</f>
        <v>230</v>
      </c>
      <c r="I1178" s="26" t="str">
        <f t="shared" si="189"/>
        <v>00</v>
      </c>
      <c r="J1178" s="26" t="str">
        <f t="shared" si="195"/>
        <v xml:space="preserve">33 </v>
      </c>
      <c r="K1178" s="26" t="str">
        <f t="shared" si="192"/>
        <v>EP</v>
      </c>
      <c r="L1178" s="26" t="str">
        <f t="shared" si="193"/>
        <v>DGOSE</v>
      </c>
      <c r="M1178" s="26" t="str">
        <f t="shared" si="187"/>
        <v>PARTICULAR</v>
      </c>
      <c r="N1178" s="26">
        <v>46</v>
      </c>
      <c r="O1178" s="26">
        <v>26</v>
      </c>
      <c r="P1178" s="26">
        <v>20</v>
      </c>
      <c r="Q1178" s="26">
        <v>3</v>
      </c>
      <c r="R1178" s="26">
        <v>1</v>
      </c>
      <c r="S1178" s="26">
        <v>3</v>
      </c>
      <c r="T1178" s="26">
        <v>6</v>
      </c>
      <c r="U1178" s="26">
        <v>10</v>
      </c>
      <c r="V1178" s="26">
        <v>1</v>
      </c>
      <c r="W1178" s="26"/>
    </row>
    <row r="1179" spans="1:23" x14ac:dyDescent="0.25">
      <c r="A1179" s="26" t="str">
        <f t="shared" si="188"/>
        <v>PREESCOLAR</v>
      </c>
      <c r="B1179" s="26" t="str">
        <f>"09PJN0350H"</f>
        <v>09PJN0350H</v>
      </c>
      <c r="C1179" s="26" t="str">
        <f>"ESCUELA MEXICANA AMERICANA                                                                          "</f>
        <v xml:space="preserve">ESCUELA MEXICANA AMERICANA                                                                          </v>
      </c>
      <c r="D1179" s="26" t="str">
        <f t="shared" si="185"/>
        <v>MATUTINO</v>
      </c>
      <c r="E1179" s="26" t="str">
        <f>"GABRIEL MANCERA NO. 1608                                                        "</f>
        <v xml:space="preserve">GABRIEL MANCERA NO. 1608                                                        </v>
      </c>
      <c r="F1179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1179" s="26" t="str">
        <f t="shared" si="194"/>
        <v xml:space="preserve">BENITO JUAREZ                                                                   </v>
      </c>
      <c r="H1179" s="26" t="str">
        <f>"234"</f>
        <v>234</v>
      </c>
      <c r="I1179" s="26" t="str">
        <f t="shared" si="189"/>
        <v>00</v>
      </c>
      <c r="J1179" s="26" t="str">
        <f t="shared" si="195"/>
        <v xml:space="preserve">33 </v>
      </c>
      <c r="K1179" s="26" t="str">
        <f t="shared" si="192"/>
        <v>EP</v>
      </c>
      <c r="L1179" s="26" t="str">
        <f t="shared" si="193"/>
        <v>DGOSE</v>
      </c>
      <c r="M1179" s="26" t="str">
        <f t="shared" si="187"/>
        <v>PARTICULAR</v>
      </c>
      <c r="N1179" s="26">
        <v>95</v>
      </c>
      <c r="O1179" s="26">
        <v>51</v>
      </c>
      <c r="P1179" s="26">
        <v>44</v>
      </c>
      <c r="Q1179" s="26">
        <v>6</v>
      </c>
      <c r="R1179" s="26">
        <v>1</v>
      </c>
      <c r="S1179" s="26">
        <v>6</v>
      </c>
      <c r="T1179" s="26">
        <v>12</v>
      </c>
      <c r="U1179" s="26">
        <v>19</v>
      </c>
      <c r="V1179" s="26">
        <v>1</v>
      </c>
      <c r="W1179" s="26"/>
    </row>
    <row r="1180" spans="1:23" x14ac:dyDescent="0.25">
      <c r="A1180" s="26" t="str">
        <f t="shared" si="188"/>
        <v>PREESCOLAR</v>
      </c>
      <c r="B1180" s="26" t="str">
        <f>"09PJN0367H"</f>
        <v>09PJN0367H</v>
      </c>
      <c r="C1180" s="26" t="str">
        <f>"COLEGIO GARSIDE                                                                                     "</f>
        <v xml:space="preserve">COLEGIO GARSIDE                                                                                     </v>
      </c>
      <c r="D1180" s="26" t="str">
        <f t="shared" si="185"/>
        <v>MATUTINO</v>
      </c>
      <c r="E1180" s="26" t="str">
        <f>"PROLONGACION UXMAL NO. 1002                                                     "</f>
        <v xml:space="preserve">PROLONGACION UXMAL NO. 1002                                                     </v>
      </c>
      <c r="F1180" s="26" t="str">
        <f>"SANTA CRUZ ATOYAC                                                                                                                           "</f>
        <v xml:space="preserve">SANTA CRUZ ATOYAC                                                                                                                           </v>
      </c>
      <c r="G1180" s="26" t="str">
        <f t="shared" si="194"/>
        <v xml:space="preserve">BENITO JUAREZ                                                                   </v>
      </c>
      <c r="H1180" s="26" t="str">
        <f>"234"</f>
        <v>234</v>
      </c>
      <c r="I1180" s="26" t="str">
        <f t="shared" si="189"/>
        <v>00</v>
      </c>
      <c r="J1180" s="26" t="str">
        <f t="shared" si="195"/>
        <v xml:space="preserve">33 </v>
      </c>
      <c r="K1180" s="26" t="str">
        <f t="shared" si="192"/>
        <v>EP</v>
      </c>
      <c r="L1180" s="26" t="str">
        <f t="shared" si="193"/>
        <v>DGOSE</v>
      </c>
      <c r="M1180" s="26" t="str">
        <f t="shared" si="187"/>
        <v>PARTICULAR</v>
      </c>
      <c r="N1180" s="26">
        <v>35</v>
      </c>
      <c r="O1180" s="26">
        <v>21</v>
      </c>
      <c r="P1180" s="26">
        <v>14</v>
      </c>
      <c r="Q1180" s="26">
        <v>3</v>
      </c>
      <c r="R1180" s="26">
        <v>1</v>
      </c>
      <c r="S1180" s="26">
        <v>2</v>
      </c>
      <c r="T1180" s="26">
        <v>9</v>
      </c>
      <c r="U1180" s="26">
        <v>12</v>
      </c>
      <c r="V1180" s="26">
        <v>1</v>
      </c>
      <c r="W1180" s="26"/>
    </row>
    <row r="1181" spans="1:23" x14ac:dyDescent="0.25">
      <c r="A1181" s="26" t="str">
        <f t="shared" si="188"/>
        <v>PREESCOLAR</v>
      </c>
      <c r="B1181" s="26" t="str">
        <f>"09PJN0373S"</f>
        <v>09PJN0373S</v>
      </c>
      <c r="C1181" s="26" t="str">
        <f>"COLEGIO PORTALES                                                                                    "</f>
        <v xml:space="preserve">COLEGIO PORTALES                                                                                    </v>
      </c>
      <c r="D1181" s="26" t="str">
        <f t="shared" si="185"/>
        <v>MATUTINO</v>
      </c>
      <c r="E1181" s="26" t="str">
        <f>"MARIO ROJAS AVENDAÑO NO. 182                                                    "</f>
        <v xml:space="preserve">MARIO ROJAS AVENDAÑO NO. 182                                                    </v>
      </c>
      <c r="F1181" s="26" t="str">
        <f>"SAN SIMON TICUMAC                                                                                                                           "</f>
        <v xml:space="preserve">SAN SIMON TICUMAC                                                                                                                           </v>
      </c>
      <c r="G1181" s="26" t="str">
        <f t="shared" si="194"/>
        <v xml:space="preserve">BENITO JUAREZ                                                                   </v>
      </c>
      <c r="H1181" s="26" t="str">
        <f>"090"</f>
        <v>090</v>
      </c>
      <c r="I1181" s="26" t="str">
        <f t="shared" si="189"/>
        <v>00</v>
      </c>
      <c r="J1181" s="26" t="str">
        <f t="shared" si="195"/>
        <v xml:space="preserve">33 </v>
      </c>
      <c r="K1181" s="26" t="str">
        <f t="shared" si="192"/>
        <v>EP</v>
      </c>
      <c r="L1181" s="26" t="str">
        <f t="shared" si="193"/>
        <v>DGOSE</v>
      </c>
      <c r="M1181" s="26" t="str">
        <f t="shared" si="187"/>
        <v>PARTICULAR</v>
      </c>
      <c r="N1181" s="26">
        <v>22</v>
      </c>
      <c r="O1181" s="26">
        <v>12</v>
      </c>
      <c r="P1181" s="26">
        <v>10</v>
      </c>
      <c r="Q1181" s="26">
        <v>3</v>
      </c>
      <c r="R1181" s="26">
        <v>1</v>
      </c>
      <c r="S1181" s="26">
        <v>3</v>
      </c>
      <c r="T1181" s="26">
        <v>1</v>
      </c>
      <c r="U1181" s="26">
        <v>5</v>
      </c>
      <c r="V1181" s="26">
        <v>1</v>
      </c>
      <c r="W1181" s="26"/>
    </row>
    <row r="1182" spans="1:23" x14ac:dyDescent="0.25">
      <c r="A1182" s="26" t="str">
        <f t="shared" si="188"/>
        <v>PREESCOLAR</v>
      </c>
      <c r="B1182" s="26" t="str">
        <f>"09PJN0382Z"</f>
        <v>09PJN0382Z</v>
      </c>
      <c r="C1182" s="26" t="str">
        <f>"COLEGIO ANDERSEN                                                                                    "</f>
        <v xml:space="preserve">COLEGIO ANDERSEN                                                                                    </v>
      </c>
      <c r="D1182" s="26" t="str">
        <f t="shared" si="185"/>
        <v>MATUTINO</v>
      </c>
      <c r="E1182" s="26" t="str">
        <f>"MONTE ALBAN NO. 233                                                             "</f>
        <v xml:space="preserve">MONTE ALBAN NO. 233                                                             </v>
      </c>
      <c r="F1182" s="26" t="str">
        <f>"NARVARTE                                                                                                                                    "</f>
        <v xml:space="preserve">NARVARTE                                                                                                                                    </v>
      </c>
      <c r="G1182" s="26" t="str">
        <f t="shared" si="194"/>
        <v xml:space="preserve">BENITO JUAREZ                                                                   </v>
      </c>
      <c r="H1182" s="26" t="str">
        <f>"037"</f>
        <v>037</v>
      </c>
      <c r="I1182" s="26" t="str">
        <f t="shared" si="189"/>
        <v>00</v>
      </c>
      <c r="J1182" s="26" t="str">
        <f t="shared" si="195"/>
        <v xml:space="preserve">33 </v>
      </c>
      <c r="K1182" s="26" t="str">
        <f t="shared" si="192"/>
        <v>EP</v>
      </c>
      <c r="L1182" s="26" t="str">
        <f t="shared" si="193"/>
        <v>DGOSE</v>
      </c>
      <c r="M1182" s="26" t="str">
        <f t="shared" si="187"/>
        <v>PARTICULAR</v>
      </c>
      <c r="N1182" s="26">
        <v>37</v>
      </c>
      <c r="O1182" s="26">
        <v>22</v>
      </c>
      <c r="P1182" s="26">
        <v>15</v>
      </c>
      <c r="Q1182" s="26">
        <v>3</v>
      </c>
      <c r="R1182" s="26">
        <v>1</v>
      </c>
      <c r="S1182" s="26">
        <v>3</v>
      </c>
      <c r="T1182" s="26">
        <v>5</v>
      </c>
      <c r="U1182" s="26">
        <v>9</v>
      </c>
      <c r="V1182" s="26">
        <v>1</v>
      </c>
      <c r="W1182" s="26"/>
    </row>
    <row r="1183" spans="1:23" x14ac:dyDescent="0.25">
      <c r="A1183" s="26" t="str">
        <f t="shared" si="188"/>
        <v>PREESCOLAR</v>
      </c>
      <c r="B1183" s="26" t="str">
        <f>"09PJN0386W"</f>
        <v>09PJN0386W</v>
      </c>
      <c r="C1183" s="26" t="str">
        <f>"ESCUELA MODERNA AMERICANA                                                                           "</f>
        <v xml:space="preserve">ESCUELA MODERNA AMERICANA                                                                           </v>
      </c>
      <c r="D1183" s="26" t="str">
        <f t="shared" si="185"/>
        <v>MATUTINO</v>
      </c>
      <c r="E1183" s="26" t="str">
        <f>"CERRO DEL HOMBRE No. 18                                                         "</f>
        <v xml:space="preserve">CERRO DEL HOMBRE No. 18                                                         </v>
      </c>
      <c r="F1183" s="26" t="str">
        <f>"ROMERO DE TERREROS FRACCIONAMIENTO                                                                                                          "</f>
        <v xml:space="preserve">ROMERO DE TERREROS FRACCIONAMIENTO                                                                                                          </v>
      </c>
      <c r="G1183" s="26" t="str">
        <f>"COYOACAN                                                                        "</f>
        <v xml:space="preserve">COYOACAN                                                                        </v>
      </c>
      <c r="H1183" s="26" t="str">
        <f>"237"</f>
        <v>237</v>
      </c>
      <c r="I1183" s="26" t="str">
        <f t="shared" si="189"/>
        <v>00</v>
      </c>
      <c r="J1183" s="26" t="str">
        <f t="shared" ref="J1183:J1195" si="196">"35 "</f>
        <v xml:space="preserve">35 </v>
      </c>
      <c r="K1183" s="26" t="str">
        <f t="shared" si="192"/>
        <v>EP</v>
      </c>
      <c r="L1183" s="26" t="str">
        <f t="shared" si="193"/>
        <v>DGOSE</v>
      </c>
      <c r="M1183" s="26" t="str">
        <f t="shared" si="187"/>
        <v>PARTICULAR</v>
      </c>
      <c r="N1183" s="26">
        <v>328</v>
      </c>
      <c r="O1183" s="26">
        <v>165</v>
      </c>
      <c r="P1183" s="26">
        <v>163</v>
      </c>
      <c r="Q1183" s="26">
        <v>12</v>
      </c>
      <c r="R1183" s="26">
        <v>1</v>
      </c>
      <c r="S1183" s="26">
        <v>12</v>
      </c>
      <c r="T1183" s="26">
        <v>15</v>
      </c>
      <c r="U1183" s="26">
        <v>28</v>
      </c>
      <c r="V1183" s="26">
        <v>1</v>
      </c>
      <c r="W1183" s="26"/>
    </row>
    <row r="1184" spans="1:23" x14ac:dyDescent="0.25">
      <c r="A1184" s="26" t="str">
        <f t="shared" si="188"/>
        <v>PREESCOLAR</v>
      </c>
      <c r="B1184" s="26" t="str">
        <f>"09PJN0390I"</f>
        <v>09PJN0390I</v>
      </c>
      <c r="C1184" s="26" t="str">
        <f>"INSTITUTO INGLES MEXICANO                                                                           "</f>
        <v xml:space="preserve">INSTITUTO INGLES MEXICANO                                                                           </v>
      </c>
      <c r="D1184" s="26" t="str">
        <f t="shared" si="185"/>
        <v>MATUTINO</v>
      </c>
      <c r="E1184" s="26" t="str">
        <f>"CEBADALES NO. 64                                                                "</f>
        <v xml:space="preserve">CEBADALES NO. 64                                                                </v>
      </c>
      <c r="F1184" s="26" t="str">
        <f>"TLALPAN                                                                                                                                     "</f>
        <v xml:space="preserve">TLALPAN                                                                                                                                     </v>
      </c>
      <c r="G1184" s="26" t="str">
        <f t="shared" ref="G1184:G1191" si="197">"TLALPAN                                                                         "</f>
        <v xml:space="preserve">TLALPAN                                                                         </v>
      </c>
      <c r="H1184" s="26" t="str">
        <f>"276"</f>
        <v>276</v>
      </c>
      <c r="I1184" s="26" t="str">
        <f t="shared" si="189"/>
        <v>00</v>
      </c>
      <c r="J1184" s="26" t="str">
        <f t="shared" si="196"/>
        <v xml:space="preserve">35 </v>
      </c>
      <c r="K1184" s="26" t="str">
        <f>"NP"</f>
        <v>NP</v>
      </c>
      <c r="L1184" s="26" t="str">
        <f t="shared" si="193"/>
        <v>DGOSE</v>
      </c>
      <c r="M1184" s="26" t="str">
        <f t="shared" si="187"/>
        <v>PARTICULAR</v>
      </c>
      <c r="N1184" s="26">
        <v>62</v>
      </c>
      <c r="O1184" s="26">
        <v>37</v>
      </c>
      <c r="P1184" s="26">
        <v>25</v>
      </c>
      <c r="Q1184" s="26">
        <v>3</v>
      </c>
      <c r="R1184" s="26">
        <v>1</v>
      </c>
      <c r="S1184" s="26">
        <v>3</v>
      </c>
      <c r="T1184" s="26">
        <v>6</v>
      </c>
      <c r="U1184" s="26">
        <v>10</v>
      </c>
      <c r="V1184" s="26">
        <v>1</v>
      </c>
      <c r="W1184" s="26"/>
    </row>
    <row r="1185" spans="1:23" x14ac:dyDescent="0.25">
      <c r="A1185" s="26" t="str">
        <f t="shared" si="188"/>
        <v>PREESCOLAR</v>
      </c>
      <c r="B1185" s="26" t="str">
        <f>"09PJN0391H"</f>
        <v>09PJN0391H</v>
      </c>
      <c r="C1185" s="26" t="str">
        <f>"LA ESCUELA DE LANCASTER                                                                             "</f>
        <v xml:space="preserve">LA ESCUELA DE LANCASTER                                                                             </v>
      </c>
      <c r="D1185" s="26" t="str">
        <f t="shared" si="185"/>
        <v>MATUTINO</v>
      </c>
      <c r="E1185" s="26" t="str">
        <f>"REY YUPANQUI NO. 46                                                             "</f>
        <v xml:space="preserve">REY YUPANQUI NO. 46                                                             </v>
      </c>
      <c r="F1185" s="26" t="str">
        <f>"TLALCOLIGIA                                                                                                                                 "</f>
        <v xml:space="preserve">TLALCOLIGIA                                                                                                                                 </v>
      </c>
      <c r="G1185" s="26" t="str">
        <f t="shared" si="197"/>
        <v xml:space="preserve">TLALPAN                                                                         </v>
      </c>
      <c r="H1185" s="26" t="str">
        <f>"062"</f>
        <v>062</v>
      </c>
      <c r="I1185" s="26" t="str">
        <f t="shared" si="189"/>
        <v>00</v>
      </c>
      <c r="J1185" s="26" t="str">
        <f t="shared" si="196"/>
        <v xml:space="preserve">35 </v>
      </c>
      <c r="K1185" s="26" t="str">
        <f t="shared" ref="K1185:K1210" si="198">"EP"</f>
        <v>EP</v>
      </c>
      <c r="L1185" s="26" t="str">
        <f t="shared" si="193"/>
        <v>DGOSE</v>
      </c>
      <c r="M1185" s="26" t="str">
        <f t="shared" si="187"/>
        <v>PARTICULAR</v>
      </c>
      <c r="N1185" s="26">
        <v>112</v>
      </c>
      <c r="O1185" s="26">
        <v>49</v>
      </c>
      <c r="P1185" s="26">
        <v>63</v>
      </c>
      <c r="Q1185" s="26">
        <v>6</v>
      </c>
      <c r="R1185" s="26">
        <v>1</v>
      </c>
      <c r="S1185" s="26">
        <v>6</v>
      </c>
      <c r="T1185" s="26">
        <v>12</v>
      </c>
      <c r="U1185" s="26">
        <v>19</v>
      </c>
      <c r="V1185" s="26">
        <v>1</v>
      </c>
      <c r="W1185" s="26"/>
    </row>
    <row r="1186" spans="1:23" x14ac:dyDescent="0.25">
      <c r="A1186" s="26" t="str">
        <f t="shared" si="188"/>
        <v>PREESCOLAR</v>
      </c>
      <c r="B1186" s="26" t="str">
        <f>"09PJN0394E"</f>
        <v>09PJN0394E</v>
      </c>
      <c r="C1186" s="26" t="str">
        <f>"CASA DE NIÑOS Y TALLER MONTESSORI                                                                   "</f>
        <v xml:space="preserve">CASA DE NIÑOS Y TALLER MONTESSORI                                                                   </v>
      </c>
      <c r="D1186" s="26" t="str">
        <f t="shared" si="185"/>
        <v>MATUTINO</v>
      </c>
      <c r="E1186" s="26" t="str">
        <f>"RANCHO VERGEL NO. 46 Y 48                                                       "</f>
        <v xml:space="preserve">RANCHO VERGEL NO. 46 Y 48                                                       </v>
      </c>
      <c r="F1186" s="26" t="str">
        <f>"PRADO COAPA                                                                                                                                 "</f>
        <v xml:space="preserve">PRADO COAPA                                                                                                                                 </v>
      </c>
      <c r="G1186" s="26" t="str">
        <f t="shared" si="197"/>
        <v xml:space="preserve">TLALPAN                                                                         </v>
      </c>
      <c r="H1186" s="26" t="str">
        <f>"050"</f>
        <v>050</v>
      </c>
      <c r="I1186" s="26" t="str">
        <f t="shared" si="189"/>
        <v>00</v>
      </c>
      <c r="J1186" s="26" t="str">
        <f t="shared" si="196"/>
        <v xml:space="preserve">35 </v>
      </c>
      <c r="K1186" s="26" t="str">
        <f t="shared" si="198"/>
        <v>EP</v>
      </c>
      <c r="L1186" s="26" t="str">
        <f t="shared" si="193"/>
        <v>DGOSE</v>
      </c>
      <c r="M1186" s="26" t="str">
        <f t="shared" si="187"/>
        <v>PARTICULAR</v>
      </c>
      <c r="N1186" s="26">
        <v>16</v>
      </c>
      <c r="O1186" s="26">
        <v>8</v>
      </c>
      <c r="P1186" s="26">
        <v>8</v>
      </c>
      <c r="Q1186" s="26">
        <v>3</v>
      </c>
      <c r="R1186" s="26">
        <v>1</v>
      </c>
      <c r="S1186" s="26">
        <v>2</v>
      </c>
      <c r="T1186" s="26">
        <v>4</v>
      </c>
      <c r="U1186" s="26">
        <v>7</v>
      </c>
      <c r="V1186" s="26">
        <v>1</v>
      </c>
      <c r="W1186" s="26"/>
    </row>
    <row r="1187" spans="1:23" x14ac:dyDescent="0.25">
      <c r="A1187" s="26" t="str">
        <f t="shared" si="188"/>
        <v>PREESCOLAR</v>
      </c>
      <c r="B1187" s="26" t="str">
        <f>"09PJN0398A"</f>
        <v>09PJN0398A</v>
      </c>
      <c r="C1187" s="26" t="str">
        <f>"CENTRO EDUCATIVO CONEET                                                                             "</f>
        <v xml:space="preserve">CENTRO EDUCATIVO CONEET                                                                             </v>
      </c>
      <c r="D1187" s="26" t="str">
        <f t="shared" si="185"/>
        <v>MATUTINO</v>
      </c>
      <c r="E1187" s="26" t="str">
        <f>"CALVARIO No. 13                                                                 "</f>
        <v xml:space="preserve">CALVARIO No. 13                                                                 </v>
      </c>
      <c r="F1187" s="26" t="str">
        <f>"TLALPAN                                                                                                                                     "</f>
        <v xml:space="preserve">TLALPAN                                                                                                                                     </v>
      </c>
      <c r="G1187" s="26" t="str">
        <f t="shared" si="197"/>
        <v xml:space="preserve">TLALPAN                                                                         </v>
      </c>
      <c r="H1187" s="26" t="str">
        <f>"051"</f>
        <v>051</v>
      </c>
      <c r="I1187" s="26" t="str">
        <f t="shared" si="189"/>
        <v>00</v>
      </c>
      <c r="J1187" s="26" t="str">
        <f t="shared" si="196"/>
        <v xml:space="preserve">35 </v>
      </c>
      <c r="K1187" s="26" t="str">
        <f t="shared" si="198"/>
        <v>EP</v>
      </c>
      <c r="L1187" s="26" t="str">
        <f t="shared" si="193"/>
        <v>DGOSE</v>
      </c>
      <c r="M1187" s="26" t="str">
        <f t="shared" si="187"/>
        <v>PARTICULAR</v>
      </c>
      <c r="N1187" s="26">
        <v>16</v>
      </c>
      <c r="O1187" s="26">
        <v>8</v>
      </c>
      <c r="P1187" s="26">
        <v>8</v>
      </c>
      <c r="Q1187" s="26">
        <v>3</v>
      </c>
      <c r="R1187" s="26">
        <v>1</v>
      </c>
      <c r="S1187" s="26">
        <v>3</v>
      </c>
      <c r="T1187" s="26">
        <v>4</v>
      </c>
      <c r="U1187" s="26">
        <v>8</v>
      </c>
      <c r="V1187" s="26">
        <v>1</v>
      </c>
      <c r="W1187" s="26"/>
    </row>
    <row r="1188" spans="1:23" x14ac:dyDescent="0.25">
      <c r="A1188" s="26" t="str">
        <f t="shared" si="188"/>
        <v>PREESCOLAR</v>
      </c>
      <c r="B1188" s="26" t="str">
        <f>"09PJN0399Z"</f>
        <v>09PJN0399Z</v>
      </c>
      <c r="C1188" s="26" t="str">
        <f>"SARMIENTOCO ESCUELA BRITANICA AMERICANA                                                             "</f>
        <v xml:space="preserve">SARMIENTOCO ESCUELA BRITANICA AMERICANA                                                             </v>
      </c>
      <c r="D1188" s="26" t="str">
        <f t="shared" si="185"/>
        <v>MATUTINO</v>
      </c>
      <c r="E1188" s="26" t="str">
        <f>"INSURGENTES SUR No. 4040                                                        "</f>
        <v xml:space="preserve">INSURGENTES SUR No. 4040                                                        </v>
      </c>
      <c r="F1188" s="26" t="str">
        <f>"TLALPAN                                                                                                                                     "</f>
        <v xml:space="preserve">TLALPAN                                                                                                                                     </v>
      </c>
      <c r="G1188" s="26" t="str">
        <f t="shared" si="197"/>
        <v xml:space="preserve">TLALPAN                                                                         </v>
      </c>
      <c r="H1188" s="26" t="str">
        <f>"147"</f>
        <v>147</v>
      </c>
      <c r="I1188" s="26" t="str">
        <f t="shared" si="189"/>
        <v>00</v>
      </c>
      <c r="J1188" s="26" t="str">
        <f t="shared" si="196"/>
        <v xml:space="preserve">35 </v>
      </c>
      <c r="K1188" s="26" t="str">
        <f t="shared" si="198"/>
        <v>EP</v>
      </c>
      <c r="L1188" s="26" t="str">
        <f t="shared" si="193"/>
        <v>DGOSE</v>
      </c>
      <c r="M1188" s="26" t="str">
        <f t="shared" si="187"/>
        <v>PARTICULAR</v>
      </c>
      <c r="N1188" s="26">
        <v>8</v>
      </c>
      <c r="O1188" s="26">
        <v>5</v>
      </c>
      <c r="P1188" s="26">
        <v>3</v>
      </c>
      <c r="Q1188" s="26">
        <v>2</v>
      </c>
      <c r="R1188" s="26">
        <v>1</v>
      </c>
      <c r="S1188" s="26">
        <v>2</v>
      </c>
      <c r="T1188" s="26">
        <v>3</v>
      </c>
      <c r="U1188" s="26">
        <v>6</v>
      </c>
      <c r="V1188" s="26">
        <v>1</v>
      </c>
      <c r="W1188" s="26"/>
    </row>
    <row r="1189" spans="1:23" x14ac:dyDescent="0.25">
      <c r="A1189" s="26" t="str">
        <f t="shared" si="188"/>
        <v>PREESCOLAR</v>
      </c>
      <c r="B1189" s="26" t="str">
        <f>"09PJN0400Z"</f>
        <v>09PJN0400Z</v>
      </c>
      <c r="C1189" s="26" t="str">
        <f>"ESCUELA ARNOLD GESELL                                                                               "</f>
        <v xml:space="preserve">ESCUELA ARNOLD GESELL                                                                               </v>
      </c>
      <c r="D1189" s="26" t="str">
        <f t="shared" si="185"/>
        <v>MATUTINO</v>
      </c>
      <c r="E1189" s="26" t="str">
        <f>"CARRIL NO 52                                                                    "</f>
        <v xml:space="preserve">CARRIL NO 52                                                                    </v>
      </c>
      <c r="F1189" s="26" t="str">
        <f>"SANTA URSULA XITLA                                                                                                                          "</f>
        <v xml:space="preserve">SANTA URSULA XITLA                                                                                                                          </v>
      </c>
      <c r="G1189" s="26" t="str">
        <f t="shared" si="197"/>
        <v xml:space="preserve">TLALPAN                                                                         </v>
      </c>
      <c r="H1189" s="26" t="str">
        <f>"147"</f>
        <v>147</v>
      </c>
      <c r="I1189" s="26" t="str">
        <f t="shared" si="189"/>
        <v>00</v>
      </c>
      <c r="J1189" s="26" t="str">
        <f t="shared" si="196"/>
        <v xml:space="preserve">35 </v>
      </c>
      <c r="K1189" s="26" t="str">
        <f t="shared" si="198"/>
        <v>EP</v>
      </c>
      <c r="L1189" s="26" t="str">
        <f t="shared" si="193"/>
        <v>DGOSE</v>
      </c>
      <c r="M1189" s="26" t="str">
        <f t="shared" si="187"/>
        <v>PARTICULAR</v>
      </c>
      <c r="N1189" s="26">
        <v>31</v>
      </c>
      <c r="O1189" s="26">
        <v>19</v>
      </c>
      <c r="P1189" s="26">
        <v>12</v>
      </c>
      <c r="Q1189" s="26">
        <v>3</v>
      </c>
      <c r="R1189" s="26">
        <v>1</v>
      </c>
      <c r="S1189" s="26">
        <v>3</v>
      </c>
      <c r="T1189" s="26">
        <v>8</v>
      </c>
      <c r="U1189" s="26">
        <v>12</v>
      </c>
      <c r="V1189" s="26">
        <v>1</v>
      </c>
      <c r="W1189" s="26"/>
    </row>
    <row r="1190" spans="1:23" x14ac:dyDescent="0.25">
      <c r="A1190" s="26" t="str">
        <f t="shared" si="188"/>
        <v>PREESCOLAR</v>
      </c>
      <c r="B1190" s="26" t="str">
        <f>"09PJN0405U"</f>
        <v>09PJN0405U</v>
      </c>
      <c r="C1190" s="26" t="str">
        <f>"HERALDOS DE MEXICO                                                                                  "</f>
        <v xml:space="preserve">HERALDOS DE MEXICO                                                                                  </v>
      </c>
      <c r="D1190" s="26" t="str">
        <f t="shared" si="185"/>
        <v>MATUTINO</v>
      </c>
      <c r="E1190" s="26" t="str">
        <f>"ALFALFARES NO.87                                                                "</f>
        <v xml:space="preserve">ALFALFARES NO.87                                                                </v>
      </c>
      <c r="F1190" s="26" t="str">
        <f>"VILLA COAPA                                                                                                                                 "</f>
        <v xml:space="preserve">VILLA COAPA                                                                                                                                 </v>
      </c>
      <c r="G1190" s="26" t="str">
        <f t="shared" si="197"/>
        <v xml:space="preserve">TLALPAN                                                                         </v>
      </c>
      <c r="H1190" s="26" t="str">
        <f>"050"</f>
        <v>050</v>
      </c>
      <c r="I1190" s="26" t="str">
        <f t="shared" si="189"/>
        <v>00</v>
      </c>
      <c r="J1190" s="26" t="str">
        <f t="shared" si="196"/>
        <v xml:space="preserve">35 </v>
      </c>
      <c r="K1190" s="26" t="str">
        <f t="shared" si="198"/>
        <v>EP</v>
      </c>
      <c r="L1190" s="26" t="str">
        <f t="shared" si="193"/>
        <v>DGOSE</v>
      </c>
      <c r="M1190" s="26" t="str">
        <f t="shared" si="187"/>
        <v>PARTICULAR</v>
      </c>
      <c r="N1190" s="26">
        <v>89</v>
      </c>
      <c r="O1190" s="26">
        <v>35</v>
      </c>
      <c r="P1190" s="26">
        <v>54</v>
      </c>
      <c r="Q1190" s="26">
        <v>6</v>
      </c>
      <c r="R1190" s="26">
        <v>1</v>
      </c>
      <c r="S1190" s="26">
        <v>4</v>
      </c>
      <c r="T1190" s="26">
        <v>10</v>
      </c>
      <c r="U1190" s="26">
        <v>15</v>
      </c>
      <c r="V1190" s="26">
        <v>1</v>
      </c>
      <c r="W1190" s="26"/>
    </row>
    <row r="1191" spans="1:23" x14ac:dyDescent="0.25">
      <c r="A1191" s="26" t="str">
        <f t="shared" si="188"/>
        <v>PREESCOLAR</v>
      </c>
      <c r="B1191" s="26" t="str">
        <f>"09PJN0408R"</f>
        <v>09PJN0408R</v>
      </c>
      <c r="C1191" s="26" t="str">
        <f>"CENTRO ESCOLAR DOLORES ECHEVERRÍA ESPARZA                                                           "</f>
        <v xml:space="preserve">CENTRO ESCOLAR DOLORES ECHEVERRÍA ESPARZA                                                           </v>
      </c>
      <c r="D1191" s="26" t="str">
        <f t="shared" si="185"/>
        <v>MATUTINO</v>
      </c>
      <c r="E1191" s="26" t="str">
        <f>"ABASOLO NO.106                                                                  "</f>
        <v xml:space="preserve">ABASOLO NO.106                                                                  </v>
      </c>
      <c r="F1191" s="26" t="str">
        <f>"TLALPAN                                                                                                                                     "</f>
        <v xml:space="preserve">TLALPAN                                                                                                                                     </v>
      </c>
      <c r="G1191" s="26" t="str">
        <f t="shared" si="197"/>
        <v xml:space="preserve">TLALPAN                                                                         </v>
      </c>
      <c r="H1191" s="26" t="str">
        <f>"051"</f>
        <v>051</v>
      </c>
      <c r="I1191" s="26" t="str">
        <f t="shared" si="189"/>
        <v>00</v>
      </c>
      <c r="J1191" s="26" t="str">
        <f t="shared" si="196"/>
        <v xml:space="preserve">35 </v>
      </c>
      <c r="K1191" s="26" t="str">
        <f t="shared" si="198"/>
        <v>EP</v>
      </c>
      <c r="L1191" s="26" t="str">
        <f t="shared" si="193"/>
        <v>DGOSE</v>
      </c>
      <c r="M1191" s="26" t="str">
        <f t="shared" si="187"/>
        <v>PARTICULAR</v>
      </c>
      <c r="N1191" s="26">
        <v>91</v>
      </c>
      <c r="O1191" s="26">
        <v>36</v>
      </c>
      <c r="P1191" s="26">
        <v>55</v>
      </c>
      <c r="Q1191" s="26">
        <v>5</v>
      </c>
      <c r="R1191" s="26">
        <v>1</v>
      </c>
      <c r="S1191" s="26">
        <v>5</v>
      </c>
      <c r="T1191" s="26">
        <v>9</v>
      </c>
      <c r="U1191" s="26">
        <v>15</v>
      </c>
      <c r="V1191" s="26">
        <v>1</v>
      </c>
      <c r="W1191" s="26"/>
    </row>
    <row r="1192" spans="1:23" x14ac:dyDescent="0.25">
      <c r="A1192" s="26" t="str">
        <f t="shared" si="188"/>
        <v>PREESCOLAR</v>
      </c>
      <c r="B1192" s="26" t="str">
        <f>"09PJN0412D"</f>
        <v>09PJN0412D</v>
      </c>
      <c r="C1192" s="26" t="str">
        <f>"COMUNIDAD EDUCATIVA MONTESSORI                                                                      "</f>
        <v xml:space="preserve">COMUNIDAD EDUCATIVA MONTESSORI                                                                      </v>
      </c>
      <c r="D1192" s="26" t="str">
        <f t="shared" si="185"/>
        <v>MATUTINO</v>
      </c>
      <c r="E1192" s="26" t="str">
        <f>"CUAUHTEMOC NO. 329                                                              "</f>
        <v xml:space="preserve">CUAUHTEMOC NO. 329                                                              </v>
      </c>
      <c r="F1192" s="26" t="str">
        <f>"TEPEPAN                                                                                                                                     "</f>
        <v xml:space="preserve">TEPEPAN                                                                                                                                     </v>
      </c>
      <c r="G1192" s="26" t="str">
        <f>"XOCHIMILCO                                                                      "</f>
        <v xml:space="preserve">XOCHIMILCO                                                                      </v>
      </c>
      <c r="H1192" s="26" t="str">
        <f>"081"</f>
        <v>081</v>
      </c>
      <c r="I1192" s="26" t="str">
        <f t="shared" si="189"/>
        <v>00</v>
      </c>
      <c r="J1192" s="26" t="str">
        <f t="shared" si="196"/>
        <v xml:space="preserve">35 </v>
      </c>
      <c r="K1192" s="26" t="str">
        <f t="shared" si="198"/>
        <v>EP</v>
      </c>
      <c r="L1192" s="26" t="str">
        <f t="shared" si="193"/>
        <v>DGOSE</v>
      </c>
      <c r="M1192" s="26" t="str">
        <f t="shared" si="187"/>
        <v>PARTICULAR</v>
      </c>
      <c r="N1192" s="26">
        <v>22</v>
      </c>
      <c r="O1192" s="26">
        <v>12</v>
      </c>
      <c r="P1192" s="26">
        <v>10</v>
      </c>
      <c r="Q1192" s="26">
        <v>3</v>
      </c>
      <c r="R1192" s="26">
        <v>1</v>
      </c>
      <c r="S1192" s="26">
        <v>3</v>
      </c>
      <c r="T1192" s="26">
        <v>4</v>
      </c>
      <c r="U1192" s="26">
        <v>8</v>
      </c>
      <c r="V1192" s="26">
        <v>1</v>
      </c>
      <c r="W1192" s="26"/>
    </row>
    <row r="1193" spans="1:23" x14ac:dyDescent="0.25">
      <c r="A1193" s="26" t="str">
        <f t="shared" si="188"/>
        <v>PREESCOLAR</v>
      </c>
      <c r="B1193" s="26" t="str">
        <f>"09PJN0414B"</f>
        <v>09PJN0414B</v>
      </c>
      <c r="C1193" s="26" t="str">
        <f>"MANUEL BARTOLOME COSSIO                                                                             "</f>
        <v xml:space="preserve">MANUEL BARTOLOME COSSIO                                                                             </v>
      </c>
      <c r="D1193" s="26" t="str">
        <f t="shared" si="185"/>
        <v>MATUTINO</v>
      </c>
      <c r="E1193" s="26" t="str">
        <f>"COAPA No. 90                                                                    "</f>
        <v xml:space="preserve">COAPA No. 90                                                                    </v>
      </c>
      <c r="F1193" s="26" t="str">
        <f>"TORIELLO GUERRA                                                                                                                             "</f>
        <v xml:space="preserve">TORIELLO GUERRA                                                                                                                             </v>
      </c>
      <c r="G1193" s="26" t="str">
        <f>"TLALPAN                                                                         "</f>
        <v xml:space="preserve">TLALPAN                                                                         </v>
      </c>
      <c r="H1193" s="26" t="str">
        <f>"051"</f>
        <v>051</v>
      </c>
      <c r="I1193" s="26" t="str">
        <f t="shared" si="189"/>
        <v>00</v>
      </c>
      <c r="J1193" s="26" t="str">
        <f t="shared" si="196"/>
        <v xml:space="preserve">35 </v>
      </c>
      <c r="K1193" s="26" t="str">
        <f t="shared" si="198"/>
        <v>EP</v>
      </c>
      <c r="L1193" s="26" t="str">
        <f t="shared" si="193"/>
        <v>DGOSE</v>
      </c>
      <c r="M1193" s="26" t="str">
        <f t="shared" si="187"/>
        <v>PARTICULAR</v>
      </c>
      <c r="N1193" s="26">
        <v>80</v>
      </c>
      <c r="O1193" s="26">
        <v>39</v>
      </c>
      <c r="P1193" s="26">
        <v>41</v>
      </c>
      <c r="Q1193" s="26">
        <v>3</v>
      </c>
      <c r="R1193" s="26">
        <v>1</v>
      </c>
      <c r="S1193" s="26">
        <v>3</v>
      </c>
      <c r="T1193" s="26">
        <v>5</v>
      </c>
      <c r="U1193" s="26">
        <v>9</v>
      </c>
      <c r="V1193" s="26">
        <v>1</v>
      </c>
      <c r="W1193" s="26"/>
    </row>
    <row r="1194" spans="1:23" x14ac:dyDescent="0.25">
      <c r="A1194" s="26" t="str">
        <f t="shared" si="188"/>
        <v>PREESCOLAR</v>
      </c>
      <c r="B1194" s="26" t="str">
        <f>"09PJN0415A"</f>
        <v>09PJN0415A</v>
      </c>
      <c r="C1194" s="26" t="str">
        <f>"OAKHILL PRESCHOOL                                                                                   "</f>
        <v xml:space="preserve">OAKHILL PRESCHOOL                                                                                   </v>
      </c>
      <c r="D1194" s="26" t="str">
        <f t="shared" si="185"/>
        <v>MATUTINO</v>
      </c>
      <c r="E1194" s="26" t="str">
        <f>"RIO NO. 04                                                                      "</f>
        <v xml:space="preserve">RIO NO. 04                                                                      </v>
      </c>
      <c r="F1194" s="26" t="str">
        <f>"TORIELLO GUERRA                                                                                                                             "</f>
        <v xml:space="preserve">TORIELLO GUERRA                                                                                                                             </v>
      </c>
      <c r="G1194" s="26" t="str">
        <f>"TLALPAN                                                                         "</f>
        <v xml:space="preserve">TLALPAN                                                                         </v>
      </c>
      <c r="H1194" s="26" t="str">
        <f>"051"</f>
        <v>051</v>
      </c>
      <c r="I1194" s="26" t="str">
        <f t="shared" si="189"/>
        <v>00</v>
      </c>
      <c r="J1194" s="26" t="str">
        <f t="shared" si="196"/>
        <v xml:space="preserve">35 </v>
      </c>
      <c r="K1194" s="26" t="str">
        <f t="shared" si="198"/>
        <v>EP</v>
      </c>
      <c r="L1194" s="26" t="str">
        <f t="shared" si="193"/>
        <v>DGOSE</v>
      </c>
      <c r="M1194" s="26" t="str">
        <f t="shared" si="187"/>
        <v>PARTICULAR</v>
      </c>
      <c r="N1194" s="26">
        <v>145</v>
      </c>
      <c r="O1194" s="26">
        <v>76</v>
      </c>
      <c r="P1194" s="26">
        <v>69</v>
      </c>
      <c r="Q1194" s="26">
        <v>8</v>
      </c>
      <c r="R1194" s="26">
        <v>1</v>
      </c>
      <c r="S1194" s="26">
        <v>8</v>
      </c>
      <c r="T1194" s="26">
        <v>14</v>
      </c>
      <c r="U1194" s="26">
        <v>23</v>
      </c>
      <c r="V1194" s="26">
        <v>1</v>
      </c>
      <c r="W1194" s="26"/>
    </row>
    <row r="1195" spans="1:23" x14ac:dyDescent="0.25">
      <c r="A1195" s="26" t="str">
        <f t="shared" si="188"/>
        <v>PREESCOLAR</v>
      </c>
      <c r="B1195" s="26" t="str">
        <f>"09PJN0425H"</f>
        <v>09PJN0425H</v>
      </c>
      <c r="C1195" s="26" t="str">
        <f>"SANTIAGO GALAS                                                                                      "</f>
        <v xml:space="preserve">SANTIAGO GALAS                                                                                      </v>
      </c>
      <c r="D1195" s="26" t="str">
        <f t="shared" si="185"/>
        <v>MATUTINO</v>
      </c>
      <c r="E1195" s="26" t="str">
        <f>"ALLENDE NO. 71                                                                  "</f>
        <v xml:space="preserve">ALLENDE NO. 71                                                                  </v>
      </c>
      <c r="F1195" s="26" t="str">
        <f>"TLALPAN                                                                                                                                     "</f>
        <v xml:space="preserve">TLALPAN                                                                                                                                     </v>
      </c>
      <c r="G1195" s="26" t="str">
        <f>"TLALPAN                                                                         "</f>
        <v xml:space="preserve">TLALPAN                                                                         </v>
      </c>
      <c r="H1195" s="26" t="str">
        <f>"051"</f>
        <v>051</v>
      </c>
      <c r="I1195" s="26" t="str">
        <f t="shared" si="189"/>
        <v>00</v>
      </c>
      <c r="J1195" s="26" t="str">
        <f t="shared" si="196"/>
        <v xml:space="preserve">35 </v>
      </c>
      <c r="K1195" s="26" t="str">
        <f t="shared" si="198"/>
        <v>EP</v>
      </c>
      <c r="L1195" s="26" t="str">
        <f t="shared" si="193"/>
        <v>DGOSE</v>
      </c>
      <c r="M1195" s="26" t="str">
        <f t="shared" si="187"/>
        <v>PARTICULAR</v>
      </c>
      <c r="N1195" s="26">
        <v>34</v>
      </c>
      <c r="O1195" s="26">
        <v>15</v>
      </c>
      <c r="P1195" s="26">
        <v>19</v>
      </c>
      <c r="Q1195" s="26">
        <v>3</v>
      </c>
      <c r="R1195" s="26">
        <v>1</v>
      </c>
      <c r="S1195" s="26">
        <v>3</v>
      </c>
      <c r="T1195" s="26">
        <v>6</v>
      </c>
      <c r="U1195" s="26">
        <v>10</v>
      </c>
      <c r="V1195" s="26">
        <v>1</v>
      </c>
      <c r="W1195" s="26"/>
    </row>
    <row r="1196" spans="1:23" x14ac:dyDescent="0.25">
      <c r="A1196" s="26" t="str">
        <f t="shared" si="188"/>
        <v>PREESCOLAR</v>
      </c>
      <c r="B1196" s="26" t="str">
        <f>"09PJN0428E"</f>
        <v>09PJN0428E</v>
      </c>
      <c r="C1196" s="26" t="str">
        <f>"JARDIN DE NIÑOS MICKEY MOUSE                                                                        "</f>
        <v xml:space="preserve">JARDIN DE NIÑOS MICKEY MOUSE                                                                        </v>
      </c>
      <c r="D1196" s="26" t="str">
        <f t="shared" si="185"/>
        <v>MATUTINO</v>
      </c>
      <c r="E1196" s="26" t="str">
        <f>"PLAZA DEL ESTUDIANTE No. 25                                                     "</f>
        <v xml:space="preserve">PLAZA DEL ESTUDIANTE No. 25                                                     </v>
      </c>
      <c r="F1196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1196" s="26" t="s">
        <v>4128</v>
      </c>
      <c r="H1196" s="26" t="str">
        <f>"204"</f>
        <v>204</v>
      </c>
      <c r="I1196" s="26" t="str">
        <f t="shared" si="189"/>
        <v>00</v>
      </c>
      <c r="J1196" s="26" t="str">
        <f>"32 "</f>
        <v xml:space="preserve">32 </v>
      </c>
      <c r="K1196" s="26" t="str">
        <f t="shared" si="198"/>
        <v>EP</v>
      </c>
      <c r="L1196" s="26" t="str">
        <f t="shared" si="193"/>
        <v>DGOSE</v>
      </c>
      <c r="M1196" s="26" t="str">
        <f t="shared" si="187"/>
        <v>PARTICULAR</v>
      </c>
      <c r="N1196" s="26">
        <v>20</v>
      </c>
      <c r="O1196" s="26">
        <v>7</v>
      </c>
      <c r="P1196" s="26">
        <v>13</v>
      </c>
      <c r="Q1196" s="26">
        <v>2</v>
      </c>
      <c r="R1196" s="26">
        <v>1</v>
      </c>
      <c r="S1196" s="26">
        <v>2</v>
      </c>
      <c r="T1196" s="26">
        <v>1</v>
      </c>
      <c r="U1196" s="26">
        <v>4</v>
      </c>
      <c r="V1196" s="26">
        <v>1</v>
      </c>
      <c r="W1196" s="26"/>
    </row>
    <row r="1197" spans="1:23" x14ac:dyDescent="0.25">
      <c r="A1197" s="26" t="str">
        <f t="shared" si="188"/>
        <v>PREESCOLAR</v>
      </c>
      <c r="B1197" s="26" t="str">
        <f>"09PJN0430T"</f>
        <v>09PJN0430T</v>
      </c>
      <c r="C1197" s="26" t="str">
        <f>"COLEGIO VALLE DE LOS REYES                                                                          "</f>
        <v xml:space="preserve">COLEGIO VALLE DE LOS REYES                                                                          </v>
      </c>
      <c r="D1197" s="26" t="str">
        <f t="shared" si="185"/>
        <v>MATUTINO</v>
      </c>
      <c r="E1197" s="26" t="str">
        <f>"AV. 5 DE MAYO No. 668                                                           "</f>
        <v xml:space="preserve">AV. 5 DE MAYO No. 668                                                           </v>
      </c>
      <c r="F1197" s="26" t="str">
        <f>"SAN LUIS TLAXIALTEMALCO                                                                                                                     "</f>
        <v xml:space="preserve">SAN LUIS TLAXIALTEMALCO                                                                                                                     </v>
      </c>
      <c r="G1197" s="26" t="str">
        <f>"XOCHIMILCO                                                                      "</f>
        <v xml:space="preserve">XOCHIMILCO                                                                      </v>
      </c>
      <c r="H1197" s="26" t="str">
        <f>"104"</f>
        <v>104</v>
      </c>
      <c r="I1197" s="26" t="str">
        <f t="shared" si="189"/>
        <v>00</v>
      </c>
      <c r="J1197" s="26" t="str">
        <f>"35 "</f>
        <v xml:space="preserve">35 </v>
      </c>
      <c r="K1197" s="26" t="str">
        <f t="shared" si="198"/>
        <v>EP</v>
      </c>
      <c r="L1197" s="26" t="str">
        <f t="shared" si="193"/>
        <v>DGOSE</v>
      </c>
      <c r="M1197" s="26" t="str">
        <f t="shared" si="187"/>
        <v>PARTICULAR</v>
      </c>
      <c r="N1197" s="26">
        <v>6</v>
      </c>
      <c r="O1197" s="26">
        <v>5</v>
      </c>
      <c r="P1197" s="26">
        <v>1</v>
      </c>
      <c r="Q1197" s="26">
        <v>2</v>
      </c>
      <c r="R1197" s="26">
        <v>1</v>
      </c>
      <c r="S1197" s="26">
        <v>2</v>
      </c>
      <c r="T1197" s="26">
        <v>5</v>
      </c>
      <c r="U1197" s="26">
        <v>8</v>
      </c>
      <c r="V1197" s="26">
        <v>1</v>
      </c>
      <c r="W1197" s="26"/>
    </row>
    <row r="1198" spans="1:23" x14ac:dyDescent="0.25">
      <c r="A1198" s="26" t="str">
        <f t="shared" si="188"/>
        <v>PREESCOLAR</v>
      </c>
      <c r="B1198" s="26" t="str">
        <f>"09PJN0441Z"</f>
        <v>09PJN0441Z</v>
      </c>
      <c r="C1198" s="26" t="str">
        <f>"KID´S TOWN                                                                                          "</f>
        <v xml:space="preserve">KID´S TOWN                                                                                          </v>
      </c>
      <c r="D1198" s="26" t="str">
        <f t="shared" si="185"/>
        <v>MATUTINO</v>
      </c>
      <c r="E1198" s="26" t="str">
        <f>"PRIVADA DOCTOR ARCE NO. 25-A                                                    "</f>
        <v xml:space="preserve">PRIVADA DOCTOR ARCE NO. 25-A                                                    </v>
      </c>
      <c r="F1198" s="26" t="str">
        <f>"DOCTORES                                                                                                                                    "</f>
        <v xml:space="preserve">DOCTORES                                                                                                                                    </v>
      </c>
      <c r="G1198" s="26" t="s">
        <v>4128</v>
      </c>
      <c r="H1198" s="26" t="str">
        <f>"022"</f>
        <v>022</v>
      </c>
      <c r="I1198" s="26" t="str">
        <f t="shared" si="189"/>
        <v>00</v>
      </c>
      <c r="J1198" s="26" t="str">
        <f t="shared" ref="J1198:J1203" si="199">"32 "</f>
        <v xml:space="preserve">32 </v>
      </c>
      <c r="K1198" s="26" t="str">
        <f t="shared" si="198"/>
        <v>EP</v>
      </c>
      <c r="L1198" s="26" t="str">
        <f t="shared" si="193"/>
        <v>DGOSE</v>
      </c>
      <c r="M1198" s="26" t="str">
        <f t="shared" si="187"/>
        <v>PARTICULAR</v>
      </c>
      <c r="N1198" s="26">
        <v>9</v>
      </c>
      <c r="O1198" s="26">
        <v>4</v>
      </c>
      <c r="P1198" s="26">
        <v>5</v>
      </c>
      <c r="Q1198" s="26">
        <v>2</v>
      </c>
      <c r="R1198" s="26">
        <v>1</v>
      </c>
      <c r="S1198" s="26">
        <v>2</v>
      </c>
      <c r="T1198" s="26">
        <v>1</v>
      </c>
      <c r="U1198" s="26">
        <v>4</v>
      </c>
      <c r="V1198" s="26">
        <v>1</v>
      </c>
      <c r="W1198" s="26"/>
    </row>
    <row r="1199" spans="1:23" x14ac:dyDescent="0.25">
      <c r="A1199" s="26" t="str">
        <f t="shared" si="188"/>
        <v>PREESCOLAR</v>
      </c>
      <c r="B1199" s="26" t="str">
        <f>"09PJN0446U"</f>
        <v>09PJN0446U</v>
      </c>
      <c r="C1199" s="26" t="str">
        <f>"JARDIN DE NIÑOS DE COLORES                                                                          "</f>
        <v xml:space="preserve">JARDIN DE NIÑOS DE COLORES                                                                          </v>
      </c>
      <c r="D1199" s="26" t="str">
        <f t="shared" si="185"/>
        <v>MATUTINO</v>
      </c>
      <c r="E1199" s="26" t="str">
        <f>"GUADALAJARA NO. 81                                                              "</f>
        <v xml:space="preserve">GUADALAJARA NO. 81                                                              </v>
      </c>
      <c r="F1199" s="26" t="str">
        <f>"ROMA NORTE                                                                                                                                  "</f>
        <v xml:space="preserve">ROMA NORTE                                                                                                                                  </v>
      </c>
      <c r="G1199" s="26" t="s">
        <v>4128</v>
      </c>
      <c r="H1199" s="26" t="str">
        <f>"205"</f>
        <v>205</v>
      </c>
      <c r="I1199" s="26" t="str">
        <f t="shared" si="189"/>
        <v>00</v>
      </c>
      <c r="J1199" s="26" t="str">
        <f t="shared" si="199"/>
        <v xml:space="preserve">32 </v>
      </c>
      <c r="K1199" s="26" t="str">
        <f t="shared" si="198"/>
        <v>EP</v>
      </c>
      <c r="L1199" s="26" t="str">
        <f t="shared" si="193"/>
        <v>DGOSE</v>
      </c>
      <c r="M1199" s="26" t="str">
        <f t="shared" si="187"/>
        <v>PARTICULAR</v>
      </c>
      <c r="N1199" s="26">
        <v>7</v>
      </c>
      <c r="O1199" s="26">
        <v>1</v>
      </c>
      <c r="P1199" s="26">
        <v>6</v>
      </c>
      <c r="Q1199" s="26">
        <v>2</v>
      </c>
      <c r="R1199" s="26">
        <v>1</v>
      </c>
      <c r="S1199" s="26">
        <v>2</v>
      </c>
      <c r="T1199" s="26">
        <v>0</v>
      </c>
      <c r="U1199" s="26">
        <v>3</v>
      </c>
      <c r="V1199" s="26">
        <v>1</v>
      </c>
      <c r="W1199" s="26"/>
    </row>
    <row r="1200" spans="1:23" x14ac:dyDescent="0.25">
      <c r="A1200" s="26" t="str">
        <f t="shared" si="188"/>
        <v>PREESCOLAR</v>
      </c>
      <c r="B1200" s="26" t="str">
        <f>"09PJN0451F"</f>
        <v>09PJN0451F</v>
      </c>
      <c r="C1200" s="26" t="str">
        <f>"INSTITUTO ISABEL GRASSETEAU                                                                         "</f>
        <v xml:space="preserve">INSTITUTO ISABEL GRASSETEAU                                                                         </v>
      </c>
      <c r="D1200" s="26" t="str">
        <f t="shared" si="185"/>
        <v>MATUTINO</v>
      </c>
      <c r="E1200" s="26" t="str">
        <f>"JAIME TORRES BODET NO. 166                                                      "</f>
        <v xml:space="preserve">JAIME TORRES BODET NO. 166                                                      </v>
      </c>
      <c r="F1200" s="26" t="str">
        <f>"SANTA MARIA LA RIBERA                                                                                                                       "</f>
        <v xml:space="preserve">SANTA MARIA LA RIBERA                                                                                                                       </v>
      </c>
      <c r="G1200" s="26" t="s">
        <v>4128</v>
      </c>
      <c r="H1200" s="26" t="str">
        <f>"203"</f>
        <v>203</v>
      </c>
      <c r="I1200" s="26" t="str">
        <f t="shared" si="189"/>
        <v>00</v>
      </c>
      <c r="J1200" s="26" t="str">
        <f t="shared" si="199"/>
        <v xml:space="preserve">32 </v>
      </c>
      <c r="K1200" s="26" t="str">
        <f t="shared" si="198"/>
        <v>EP</v>
      </c>
      <c r="L1200" s="26" t="str">
        <f t="shared" si="193"/>
        <v>DGOSE</v>
      </c>
      <c r="M1200" s="26" t="str">
        <f t="shared" si="187"/>
        <v>PARTICULAR</v>
      </c>
      <c r="N1200" s="26">
        <v>47</v>
      </c>
      <c r="O1200" s="26">
        <v>31</v>
      </c>
      <c r="P1200" s="26">
        <v>16</v>
      </c>
      <c r="Q1200" s="26">
        <v>3</v>
      </c>
      <c r="R1200" s="26">
        <v>1</v>
      </c>
      <c r="S1200" s="26">
        <v>3</v>
      </c>
      <c r="T1200" s="26">
        <v>7</v>
      </c>
      <c r="U1200" s="26">
        <v>11</v>
      </c>
      <c r="V1200" s="26">
        <v>1</v>
      </c>
      <c r="W1200" s="26"/>
    </row>
    <row r="1201" spans="1:23" x14ac:dyDescent="0.25">
      <c r="A1201" s="26" t="str">
        <f t="shared" si="188"/>
        <v>PREESCOLAR</v>
      </c>
      <c r="B1201" s="26" t="str">
        <f>"09PJN0456A"</f>
        <v>09PJN0456A</v>
      </c>
      <c r="C1201" s="26" t="str">
        <f>"SAINT MARY SCHOOL                                                                                   "</f>
        <v xml:space="preserve">SAINT MARY SCHOOL                                                                                   </v>
      </c>
      <c r="D1201" s="26" t="str">
        <f t="shared" si="185"/>
        <v>MATUTINO</v>
      </c>
      <c r="E1201" s="26" t="str">
        <f>"NARANJO NO. 64                                                                  "</f>
        <v xml:space="preserve">NARANJO NO. 64                                                                  </v>
      </c>
      <c r="F1201" s="26" t="str">
        <f>"SANTA MARIA LA RIBERA                                                                                                                       "</f>
        <v xml:space="preserve">SANTA MARIA LA RIBERA                                                                                                                       </v>
      </c>
      <c r="G1201" s="26" t="s">
        <v>4128</v>
      </c>
      <c r="H1201" s="26" t="str">
        <f>"203"</f>
        <v>203</v>
      </c>
      <c r="I1201" s="26" t="str">
        <f t="shared" si="189"/>
        <v>00</v>
      </c>
      <c r="J1201" s="26" t="str">
        <f t="shared" si="199"/>
        <v xml:space="preserve">32 </v>
      </c>
      <c r="K1201" s="26" t="str">
        <f t="shared" si="198"/>
        <v>EP</v>
      </c>
      <c r="L1201" s="26" t="str">
        <f t="shared" si="193"/>
        <v>DGOSE</v>
      </c>
      <c r="M1201" s="26" t="str">
        <f t="shared" si="187"/>
        <v>PARTICULAR</v>
      </c>
      <c r="N1201" s="26">
        <v>61</v>
      </c>
      <c r="O1201" s="26">
        <v>32</v>
      </c>
      <c r="P1201" s="26">
        <v>29</v>
      </c>
      <c r="Q1201" s="26">
        <v>3</v>
      </c>
      <c r="R1201" s="26">
        <v>1</v>
      </c>
      <c r="S1201" s="26">
        <v>3</v>
      </c>
      <c r="T1201" s="26">
        <v>6</v>
      </c>
      <c r="U1201" s="26">
        <v>10</v>
      </c>
      <c r="V1201" s="26">
        <v>1</v>
      </c>
      <c r="W1201" s="26"/>
    </row>
    <row r="1202" spans="1:23" x14ac:dyDescent="0.25">
      <c r="A1202" s="26" t="str">
        <f t="shared" si="188"/>
        <v>PREESCOLAR</v>
      </c>
      <c r="B1202" s="26" t="str">
        <f>"09PJN0466H"</f>
        <v>09PJN0466H</v>
      </c>
      <c r="C1202" s="26" t="str">
        <f>"SAN ANTONIO DE PADUA                                                                                "</f>
        <v xml:space="preserve">SAN ANTONIO DE PADUA                                                                                </v>
      </c>
      <c r="D1202" s="26" t="str">
        <f t="shared" si="185"/>
        <v>MATUTINO</v>
      </c>
      <c r="E1202" s="26" t="str">
        <f>"OTOMIES NO. 29 Y 33                                                             "</f>
        <v xml:space="preserve">OTOMIES NO. 29 Y 33                                                             </v>
      </c>
      <c r="F1202" s="26" t="str">
        <f>"OBRERA                                                                                                                                      "</f>
        <v xml:space="preserve">OBRERA                                                                                                                                      </v>
      </c>
      <c r="G1202" s="26" t="s">
        <v>4128</v>
      </c>
      <c r="H1202" s="26" t="str">
        <f>"022"</f>
        <v>022</v>
      </c>
      <c r="I1202" s="26" t="str">
        <f t="shared" si="189"/>
        <v>00</v>
      </c>
      <c r="J1202" s="26" t="str">
        <f t="shared" si="199"/>
        <v xml:space="preserve">32 </v>
      </c>
      <c r="K1202" s="26" t="str">
        <f t="shared" si="198"/>
        <v>EP</v>
      </c>
      <c r="L1202" s="26" t="str">
        <f t="shared" si="193"/>
        <v>DGOSE</v>
      </c>
      <c r="M1202" s="26" t="str">
        <f t="shared" si="187"/>
        <v>PARTICULAR</v>
      </c>
      <c r="N1202" s="26">
        <v>73</v>
      </c>
      <c r="O1202" s="26">
        <v>36</v>
      </c>
      <c r="P1202" s="26">
        <v>37</v>
      </c>
      <c r="Q1202" s="26">
        <v>5</v>
      </c>
      <c r="R1202" s="26">
        <v>1</v>
      </c>
      <c r="S1202" s="26">
        <v>5</v>
      </c>
      <c r="T1202" s="26">
        <v>9</v>
      </c>
      <c r="U1202" s="26">
        <v>15</v>
      </c>
      <c r="V1202" s="26">
        <v>1</v>
      </c>
      <c r="W1202" s="26"/>
    </row>
    <row r="1203" spans="1:23" x14ac:dyDescent="0.25">
      <c r="A1203" s="26" t="str">
        <f t="shared" si="188"/>
        <v>PREESCOLAR</v>
      </c>
      <c r="B1203" s="26" t="str">
        <f>"09PJN0470U"</f>
        <v>09PJN0470U</v>
      </c>
      <c r="C1203" s="26" t="str">
        <f>"JARDIN DE NIÑOS INSTITUTO RENACIMIENTO                                                              "</f>
        <v xml:space="preserve">JARDIN DE NIÑOS INSTITUTO RENACIMIENTO                                                              </v>
      </c>
      <c r="D1203" s="26" t="str">
        <f t="shared" si="185"/>
        <v>MATUTINO</v>
      </c>
      <c r="E1203" s="26" t="str">
        <f>"CHIHUAHUA NO. 107                                                               "</f>
        <v xml:space="preserve">CHIHUAHUA NO. 107                                                               </v>
      </c>
      <c r="F1203" s="26" t="str">
        <f>"ROMA SUR                                                                                                                                    "</f>
        <v xml:space="preserve">ROMA SUR                                                                                                                                    </v>
      </c>
      <c r="G1203" s="26" t="s">
        <v>4128</v>
      </c>
      <c r="H1203" s="26" t="str">
        <f>"202"</f>
        <v>202</v>
      </c>
      <c r="I1203" s="26" t="str">
        <f t="shared" si="189"/>
        <v>00</v>
      </c>
      <c r="J1203" s="26" t="str">
        <f t="shared" si="199"/>
        <v xml:space="preserve">32 </v>
      </c>
      <c r="K1203" s="26" t="str">
        <f t="shared" si="198"/>
        <v>EP</v>
      </c>
      <c r="L1203" s="26" t="str">
        <f t="shared" si="193"/>
        <v>DGOSE</v>
      </c>
      <c r="M1203" s="26" t="str">
        <f t="shared" si="187"/>
        <v>PARTICULAR</v>
      </c>
      <c r="N1203" s="26">
        <v>48</v>
      </c>
      <c r="O1203" s="26">
        <v>21</v>
      </c>
      <c r="P1203" s="26">
        <v>27</v>
      </c>
      <c r="Q1203" s="26">
        <v>3</v>
      </c>
      <c r="R1203" s="26">
        <v>1</v>
      </c>
      <c r="S1203" s="26">
        <v>3</v>
      </c>
      <c r="T1203" s="26">
        <v>8</v>
      </c>
      <c r="U1203" s="26">
        <v>12</v>
      </c>
      <c r="V1203" s="26">
        <v>1</v>
      </c>
      <c r="W1203" s="26"/>
    </row>
    <row r="1204" spans="1:23" x14ac:dyDescent="0.25">
      <c r="A1204" s="26" t="str">
        <f t="shared" si="188"/>
        <v>PREESCOLAR</v>
      </c>
      <c r="B1204" s="26" t="str">
        <f>"09PJN0473R"</f>
        <v>09PJN0473R</v>
      </c>
      <c r="C1204" s="26" t="str">
        <f>"JARDÍN DE NIÑOS VÍCTOR HUGO                                                                         "</f>
        <v xml:space="preserve">JARDÍN DE NIÑOS VÍCTOR HUGO                                                                         </v>
      </c>
      <c r="D1204" s="26" t="str">
        <f t="shared" si="185"/>
        <v>MATUTINO</v>
      </c>
      <c r="E1204" s="26" t="str">
        <f>"DR. BARRAGAN NO. 518                                                            "</f>
        <v xml:space="preserve">DR. BARRAGAN NO. 518                                                            </v>
      </c>
      <c r="F1204" s="26" t="str">
        <f>"NARVARTE                                                                                                                                    "</f>
        <v xml:space="preserve">NARVARTE                                                                                                                                    </v>
      </c>
      <c r="G1204" s="26" t="str">
        <f>"BENITO JUAREZ                                                                   "</f>
        <v xml:space="preserve">BENITO JUAREZ                                                                   </v>
      </c>
      <c r="H1204" s="26" t="str">
        <f>"029"</f>
        <v>029</v>
      </c>
      <c r="I1204" s="26" t="str">
        <f t="shared" si="189"/>
        <v>00</v>
      </c>
      <c r="J1204" s="26" t="str">
        <f t="shared" ref="J1204:J1210" si="200">"33 "</f>
        <v xml:space="preserve">33 </v>
      </c>
      <c r="K1204" s="26" t="str">
        <f t="shared" si="198"/>
        <v>EP</v>
      </c>
      <c r="L1204" s="26" t="str">
        <f t="shared" si="193"/>
        <v>DGOSE</v>
      </c>
      <c r="M1204" s="26" t="str">
        <f t="shared" si="187"/>
        <v>PARTICULAR</v>
      </c>
      <c r="N1204" s="26">
        <v>45</v>
      </c>
      <c r="O1204" s="26">
        <v>23</v>
      </c>
      <c r="P1204" s="26">
        <v>22</v>
      </c>
      <c r="Q1204" s="26">
        <v>3</v>
      </c>
      <c r="R1204" s="26">
        <v>1</v>
      </c>
      <c r="S1204" s="26">
        <v>3</v>
      </c>
      <c r="T1204" s="26">
        <v>7</v>
      </c>
      <c r="U1204" s="26">
        <v>11</v>
      </c>
      <c r="V1204" s="26">
        <v>1</v>
      </c>
      <c r="W1204" s="26"/>
    </row>
    <row r="1205" spans="1:23" x14ac:dyDescent="0.25">
      <c r="A1205" s="26" t="str">
        <f t="shared" si="188"/>
        <v>PREESCOLAR</v>
      </c>
      <c r="B1205" s="26" t="str">
        <f>"09PJN0480A"</f>
        <v>09PJN0480A</v>
      </c>
      <c r="C1205" s="26" t="str">
        <f>"JARDIN DE NIÑOS DIAS FELICES                                                                        "</f>
        <v xml:space="preserve">JARDIN DE NIÑOS DIAS FELICES                                                                        </v>
      </c>
      <c r="D1205" s="26" t="str">
        <f t="shared" si="185"/>
        <v>MATUTINO</v>
      </c>
      <c r="E1205" s="26" t="str">
        <f>"PETEN NO. 523 A                                                                 "</f>
        <v xml:space="preserve">PETEN NO. 523 A                                                                 </v>
      </c>
      <c r="F1205" s="26" t="str">
        <f>"VERTIZ NARVARTE                                                                                                                             "</f>
        <v xml:space="preserve">VERTIZ NARVARTE                                                                                                                             </v>
      </c>
      <c r="G1205" s="26" t="str">
        <f>"BENITO JUAREZ                                                                   "</f>
        <v xml:space="preserve">BENITO JUAREZ                                                                   </v>
      </c>
      <c r="H1205" s="26" t="str">
        <f>"037"</f>
        <v>037</v>
      </c>
      <c r="I1205" s="26" t="str">
        <f t="shared" si="189"/>
        <v>00</v>
      </c>
      <c r="J1205" s="26" t="str">
        <f t="shared" si="200"/>
        <v xml:space="preserve">33 </v>
      </c>
      <c r="K1205" s="26" t="str">
        <f t="shared" si="198"/>
        <v>EP</v>
      </c>
      <c r="L1205" s="26" t="str">
        <f t="shared" si="193"/>
        <v>DGOSE</v>
      </c>
      <c r="M1205" s="26" t="str">
        <f t="shared" si="187"/>
        <v>PARTICULAR</v>
      </c>
      <c r="N1205" s="26">
        <v>29</v>
      </c>
      <c r="O1205" s="26">
        <v>13</v>
      </c>
      <c r="P1205" s="26">
        <v>16</v>
      </c>
      <c r="Q1205" s="26">
        <v>3</v>
      </c>
      <c r="R1205" s="26">
        <v>1</v>
      </c>
      <c r="S1205" s="26">
        <v>2</v>
      </c>
      <c r="T1205" s="26">
        <v>4</v>
      </c>
      <c r="U1205" s="26">
        <v>7</v>
      </c>
      <c r="V1205" s="26">
        <v>1</v>
      </c>
      <c r="W1205" s="26"/>
    </row>
    <row r="1206" spans="1:23" x14ac:dyDescent="0.25">
      <c r="A1206" s="26" t="str">
        <f t="shared" si="188"/>
        <v>PREESCOLAR</v>
      </c>
      <c r="B1206" s="26" t="str">
        <f>"09PJN0481Z"</f>
        <v>09PJN0481Z</v>
      </c>
      <c r="C1206" s="26" t="str">
        <f>"CENTRO PEDAGOGICO VASCONCELOS                                                                       "</f>
        <v xml:space="preserve">CENTRO PEDAGOGICO VASCONCELOS                                                                       </v>
      </c>
      <c r="D1206" s="26" t="str">
        <f t="shared" si="185"/>
        <v>MATUTINO</v>
      </c>
      <c r="E1206" s="26" t="str">
        <f>"MONTE ALBAN No. 380                                                             "</f>
        <v xml:space="preserve">MONTE ALBAN No. 380                                                             </v>
      </c>
      <c r="F1206" s="26" t="str">
        <f>"VERTIZ NARVARTE                                                                                                                             "</f>
        <v xml:space="preserve">VERTIZ NARVARTE                                                                                                                             </v>
      </c>
      <c r="G1206" s="26" t="str">
        <f>"BENITO JUAREZ                                                                   "</f>
        <v xml:space="preserve">BENITO JUAREZ                                                                   </v>
      </c>
      <c r="H1206" s="26" t="str">
        <f>"090"</f>
        <v>090</v>
      </c>
      <c r="I1206" s="26" t="str">
        <f t="shared" si="189"/>
        <v>00</v>
      </c>
      <c r="J1206" s="26" t="str">
        <f t="shared" si="200"/>
        <v xml:space="preserve">33 </v>
      </c>
      <c r="K1206" s="26" t="str">
        <f t="shared" si="198"/>
        <v>EP</v>
      </c>
      <c r="L1206" s="26" t="str">
        <f t="shared" si="193"/>
        <v>DGOSE</v>
      </c>
      <c r="M1206" s="26" t="str">
        <f t="shared" si="187"/>
        <v>PARTICULAR</v>
      </c>
      <c r="N1206" s="26">
        <v>30</v>
      </c>
      <c r="O1206" s="26">
        <v>11</v>
      </c>
      <c r="P1206" s="26">
        <v>19</v>
      </c>
      <c r="Q1206" s="26">
        <v>3</v>
      </c>
      <c r="R1206" s="26">
        <v>1</v>
      </c>
      <c r="S1206" s="26">
        <v>3</v>
      </c>
      <c r="T1206" s="26">
        <v>3</v>
      </c>
      <c r="U1206" s="26">
        <v>7</v>
      </c>
      <c r="V1206" s="26">
        <v>1</v>
      </c>
      <c r="W1206" s="26"/>
    </row>
    <row r="1207" spans="1:23" x14ac:dyDescent="0.25">
      <c r="A1207" s="26" t="str">
        <f t="shared" si="188"/>
        <v>PREESCOLAR</v>
      </c>
      <c r="B1207" s="26" t="str">
        <f>"09PJN0489S"</f>
        <v>09PJN0489S</v>
      </c>
      <c r="C1207" s="26" t="str">
        <f>"CAMPESTRE DE MEXICO                                                                                 "</f>
        <v xml:space="preserve">CAMPESTRE DE MEXICO                                                                                 </v>
      </c>
      <c r="D1207" s="26" t="str">
        <f t="shared" si="185"/>
        <v>MATUTINO</v>
      </c>
      <c r="E1207" s="26" t="str">
        <f>"LA BOLSA NO. 456                                                                "</f>
        <v xml:space="preserve">LA BOLSA NO. 456                                                                </v>
      </c>
      <c r="F1207" s="26" t="str">
        <f>"CONTADERO                                                                                                                                   "</f>
        <v xml:space="preserve">CONTADERO                                                                                                                                   </v>
      </c>
      <c r="G1207" s="26" t="str">
        <f>"CUAJIMALPA DE MORELOS                                                           "</f>
        <v xml:space="preserve">CUAJIMALPA DE MORELOS                                                           </v>
      </c>
      <c r="H1207" s="26" t="str">
        <f>"151"</f>
        <v>151</v>
      </c>
      <c r="I1207" s="26" t="str">
        <f t="shared" si="189"/>
        <v>00</v>
      </c>
      <c r="J1207" s="26" t="str">
        <f t="shared" si="200"/>
        <v xml:space="preserve">33 </v>
      </c>
      <c r="K1207" s="26" t="str">
        <f t="shared" si="198"/>
        <v>EP</v>
      </c>
      <c r="L1207" s="26" t="str">
        <f t="shared" si="193"/>
        <v>DGOSE</v>
      </c>
      <c r="M1207" s="26" t="str">
        <f t="shared" si="187"/>
        <v>PARTICULAR</v>
      </c>
      <c r="N1207" s="26">
        <v>99</v>
      </c>
      <c r="O1207" s="26">
        <v>57</v>
      </c>
      <c r="P1207" s="26">
        <v>42</v>
      </c>
      <c r="Q1207" s="26">
        <v>6</v>
      </c>
      <c r="R1207" s="26">
        <v>1</v>
      </c>
      <c r="S1207" s="26">
        <v>3</v>
      </c>
      <c r="T1207" s="26">
        <v>13</v>
      </c>
      <c r="U1207" s="26">
        <v>17</v>
      </c>
      <c r="V1207" s="26">
        <v>1</v>
      </c>
      <c r="W1207" s="26"/>
    </row>
    <row r="1208" spans="1:23" x14ac:dyDescent="0.25">
      <c r="A1208" s="26" t="str">
        <f t="shared" si="188"/>
        <v>PREESCOLAR</v>
      </c>
      <c r="B1208" s="26" t="str">
        <f>"09PJN0491G"</f>
        <v>09PJN0491G</v>
      </c>
      <c r="C1208" s="26" t="str">
        <f>"JARDIN DE NIÑOS DEL COLEGIO VISTA HERMOSA                                                           "</f>
        <v xml:space="preserve">JARDIN DE NIÑOS DEL COLEGIO VISTA HERMOSA                                                           </v>
      </c>
      <c r="D1208" s="26" t="str">
        <f t="shared" si="185"/>
        <v>MATUTINO</v>
      </c>
      <c r="E1208" s="26" t="str">
        <f>"LOMA VISTA HERMOSA No. 221                                                      "</f>
        <v xml:space="preserve">LOMA VISTA HERMOSA No. 221                                                      </v>
      </c>
      <c r="F1208" s="26" t="str">
        <f>"LOMAS DE VISTA HERMOSA                                                                                                                      "</f>
        <v xml:space="preserve">LOMAS DE VISTA HERMOSA                                                                                                                      </v>
      </c>
      <c r="G1208" s="26" t="str">
        <f>"CUAJIMALPA DE MORELOS                                                           "</f>
        <v xml:space="preserve">CUAJIMALPA DE MORELOS                                                           </v>
      </c>
      <c r="H1208" s="26" t="str">
        <f>"089"</f>
        <v>089</v>
      </c>
      <c r="I1208" s="26" t="str">
        <f t="shared" si="189"/>
        <v>00</v>
      </c>
      <c r="J1208" s="26" t="str">
        <f t="shared" si="200"/>
        <v xml:space="preserve">33 </v>
      </c>
      <c r="K1208" s="26" t="str">
        <f t="shared" si="198"/>
        <v>EP</v>
      </c>
      <c r="L1208" s="26" t="str">
        <f t="shared" si="193"/>
        <v>DGOSE</v>
      </c>
      <c r="M1208" s="26" t="str">
        <f t="shared" si="187"/>
        <v>PARTICULAR</v>
      </c>
      <c r="N1208" s="26">
        <v>168</v>
      </c>
      <c r="O1208" s="26">
        <v>101</v>
      </c>
      <c r="P1208" s="26">
        <v>67</v>
      </c>
      <c r="Q1208" s="26">
        <v>6</v>
      </c>
      <c r="R1208" s="26">
        <v>1</v>
      </c>
      <c r="S1208" s="26">
        <v>6</v>
      </c>
      <c r="T1208" s="26">
        <v>15</v>
      </c>
      <c r="U1208" s="26">
        <v>22</v>
      </c>
      <c r="V1208" s="26">
        <v>1</v>
      </c>
      <c r="W1208" s="26"/>
    </row>
    <row r="1209" spans="1:23" x14ac:dyDescent="0.25">
      <c r="A1209" s="26" t="str">
        <f t="shared" si="188"/>
        <v>PREESCOLAR</v>
      </c>
      <c r="B1209" s="26" t="str">
        <f>"09PJN0492F"</f>
        <v>09PJN0492F</v>
      </c>
      <c r="C1209" s="26" t="str">
        <f>"COLEGIO ISRAELITA DE MEXICO                                                                         "</f>
        <v xml:space="preserve">COLEGIO ISRAELITA DE MEXICO                                                                         </v>
      </c>
      <c r="D1209" s="26" t="str">
        <f t="shared" si="185"/>
        <v>MATUTINO</v>
      </c>
      <c r="E1209" s="26" t="str">
        <f>"LOMA DEL RECUERDO NO. 44                                                        "</f>
        <v xml:space="preserve">LOMA DEL RECUERDO NO. 44                                                        </v>
      </c>
      <c r="F1209" s="26" t="str">
        <f>"LOMAS DE VISTA HERMOSA                                                                                                                      "</f>
        <v xml:space="preserve">LOMAS DE VISTA HERMOSA                                                                                                                      </v>
      </c>
      <c r="G1209" s="26" t="str">
        <f>"CUAJIMALPA DE MORELOS                                                           "</f>
        <v xml:space="preserve">CUAJIMALPA DE MORELOS                                                           </v>
      </c>
      <c r="H1209" s="26" t="str">
        <f>"212"</f>
        <v>212</v>
      </c>
      <c r="I1209" s="26" t="str">
        <f t="shared" si="189"/>
        <v>00</v>
      </c>
      <c r="J1209" s="26" t="str">
        <f t="shared" si="200"/>
        <v xml:space="preserve">33 </v>
      </c>
      <c r="K1209" s="26" t="str">
        <f t="shared" si="198"/>
        <v>EP</v>
      </c>
      <c r="L1209" s="26" t="str">
        <f t="shared" si="193"/>
        <v>DGOSE</v>
      </c>
      <c r="M1209" s="26" t="str">
        <f t="shared" si="187"/>
        <v>PARTICULAR</v>
      </c>
      <c r="N1209" s="26">
        <v>72</v>
      </c>
      <c r="O1209" s="26">
        <v>40</v>
      </c>
      <c r="P1209" s="26">
        <v>32</v>
      </c>
      <c r="Q1209" s="26">
        <v>3</v>
      </c>
      <c r="R1209" s="26">
        <v>1</v>
      </c>
      <c r="S1209" s="26">
        <v>3</v>
      </c>
      <c r="T1209" s="26">
        <v>6</v>
      </c>
      <c r="U1209" s="26">
        <v>10</v>
      </c>
      <c r="V1209" s="26">
        <v>1</v>
      </c>
      <c r="W1209" s="26"/>
    </row>
    <row r="1210" spans="1:23" x14ac:dyDescent="0.25">
      <c r="A1210" s="26" t="str">
        <f t="shared" si="188"/>
        <v>PREESCOLAR</v>
      </c>
      <c r="B1210" s="26" t="str">
        <f>"09PJN0494D"</f>
        <v>09PJN0494D</v>
      </c>
      <c r="C1210" s="26" t="str">
        <f>"GABRIELA MISTRAL                                                                                    "</f>
        <v xml:space="preserve">GABRIELA MISTRAL                                                                                    </v>
      </c>
      <c r="D1210" s="26" t="str">
        <f t="shared" si="185"/>
        <v>MATUTINO</v>
      </c>
      <c r="E1210" s="26" t="str">
        <f>"HECTOR VICTORIA NO. 264                                                         "</f>
        <v xml:space="preserve">HECTOR VICTORIA NO. 264                                                         </v>
      </c>
      <c r="F1210" s="26" t="str">
        <f>"LA NAVIDAD                                                                                                                                  "</f>
        <v xml:space="preserve">LA NAVIDAD                                                                                                                                  </v>
      </c>
      <c r="G1210" s="26" t="str">
        <f>"CUAJIMALPA DE MORELOS                                                           "</f>
        <v xml:space="preserve">CUAJIMALPA DE MORELOS                                                           </v>
      </c>
      <c r="H1210" s="26" t="str">
        <f>"089"</f>
        <v>089</v>
      </c>
      <c r="I1210" s="26" t="str">
        <f t="shared" si="189"/>
        <v>00</v>
      </c>
      <c r="J1210" s="26" t="str">
        <f t="shared" si="200"/>
        <v xml:space="preserve">33 </v>
      </c>
      <c r="K1210" s="26" t="str">
        <f t="shared" si="198"/>
        <v>EP</v>
      </c>
      <c r="L1210" s="26" t="str">
        <f t="shared" si="193"/>
        <v>DGOSE</v>
      </c>
      <c r="M1210" s="26" t="str">
        <f t="shared" si="187"/>
        <v>PARTICULAR</v>
      </c>
      <c r="N1210" s="26">
        <v>30</v>
      </c>
      <c r="O1210" s="26">
        <v>12</v>
      </c>
      <c r="P1210" s="26">
        <v>18</v>
      </c>
      <c r="Q1210" s="26">
        <v>3</v>
      </c>
      <c r="R1210" s="26">
        <v>1</v>
      </c>
      <c r="S1210" s="26">
        <v>3</v>
      </c>
      <c r="T1210" s="26">
        <v>2</v>
      </c>
      <c r="U1210" s="26">
        <v>6</v>
      </c>
      <c r="V1210" s="26">
        <v>1</v>
      </c>
      <c r="W1210" s="26"/>
    </row>
    <row r="1211" spans="1:23" x14ac:dyDescent="0.25">
      <c r="A1211" s="26" t="str">
        <f t="shared" si="188"/>
        <v>PREESCOLAR</v>
      </c>
      <c r="B1211" s="26" t="str">
        <f>"09PJN0503V"</f>
        <v>09PJN0503V</v>
      </c>
      <c r="C1211" s="26" t="str">
        <f>"JOHN DEWEY                                                                                          "</f>
        <v xml:space="preserve">JOHN DEWEY                                                                                          </v>
      </c>
      <c r="D1211" s="26" t="str">
        <f t="shared" si="185"/>
        <v>MATUTINO</v>
      </c>
      <c r="E1211" s="26" t="str">
        <f>"ARNESES NO. 64                                                                  "</f>
        <v xml:space="preserve">ARNESES NO. 64                                                                  </v>
      </c>
      <c r="F1211" s="26" t="str">
        <f>"MINERVA                                                                                                                                     "</f>
        <v xml:space="preserve">MINERVA                                                                                                                                     </v>
      </c>
      <c r="G1211" s="26" t="str">
        <f t="shared" ref="G1211:G1218" si="201">"IZTAPALAPA                                                                      "</f>
        <v xml:space="preserve">IZTAPALAPA                                                                      </v>
      </c>
      <c r="H1211" s="26" t="str">
        <f>"000"</f>
        <v>000</v>
      </c>
      <c r="I1211" s="26" t="str">
        <f t="shared" si="189"/>
        <v>00</v>
      </c>
      <c r="J1211" s="26" t="str">
        <f>"61 "</f>
        <v xml:space="preserve">61 </v>
      </c>
      <c r="K1211" s="26" t="str">
        <f t="shared" ref="K1211:K1218" si="202">"IZ"</f>
        <v>IZ</v>
      </c>
      <c r="L1211" s="26" t="str">
        <f t="shared" ref="L1211:L1218" si="203">"DGSEI"</f>
        <v>DGSEI</v>
      </c>
      <c r="M1211" s="26" t="str">
        <f t="shared" si="187"/>
        <v>PARTICULAR</v>
      </c>
      <c r="N1211" s="26">
        <v>35</v>
      </c>
      <c r="O1211" s="26">
        <v>16</v>
      </c>
      <c r="P1211" s="26">
        <v>19</v>
      </c>
      <c r="Q1211" s="26">
        <v>3</v>
      </c>
      <c r="R1211" s="26">
        <v>1</v>
      </c>
      <c r="S1211" s="26">
        <v>2</v>
      </c>
      <c r="T1211" s="26">
        <v>9</v>
      </c>
      <c r="U1211" s="26">
        <v>12</v>
      </c>
      <c r="V1211" s="26">
        <v>1</v>
      </c>
      <c r="W1211" s="26"/>
    </row>
    <row r="1212" spans="1:23" x14ac:dyDescent="0.25">
      <c r="A1212" s="26" t="str">
        <f t="shared" si="188"/>
        <v>PREESCOLAR</v>
      </c>
      <c r="B1212" s="26" t="str">
        <f>"09PJN0507R"</f>
        <v>09PJN0507R</v>
      </c>
      <c r="C1212" s="26" t="str">
        <f>"BELMONT AMERICAN SCHOOL                                                                             "</f>
        <v xml:space="preserve">BELMONT AMERICAN SCHOOL                                                                             </v>
      </c>
      <c r="D1212" s="26" t="str">
        <f t="shared" si="185"/>
        <v>MATUTINO</v>
      </c>
      <c r="E1212" s="26" t="str">
        <f>"BOULEVARD CAPRI NO. 97                                                          "</f>
        <v xml:space="preserve">BOULEVARD CAPRI NO. 97                                                          </v>
      </c>
      <c r="F1212" s="26" t="str">
        <f>"LOMAS ESTRELLA                                                                                                                              "</f>
        <v xml:space="preserve">LOMAS ESTRELLA                                                                                                                              </v>
      </c>
      <c r="G1212" s="26" t="str">
        <f t="shared" si="201"/>
        <v xml:space="preserve">IZTAPALAPA                                                                      </v>
      </c>
      <c r="H1212" s="26" t="str">
        <f>"000"</f>
        <v>000</v>
      </c>
      <c r="I1212" s="26" t="str">
        <f t="shared" si="189"/>
        <v>00</v>
      </c>
      <c r="J1212" s="26" t="str">
        <f>"63 "</f>
        <v xml:space="preserve">63 </v>
      </c>
      <c r="K1212" s="26" t="str">
        <f t="shared" si="202"/>
        <v>IZ</v>
      </c>
      <c r="L1212" s="26" t="str">
        <f t="shared" si="203"/>
        <v>DGSEI</v>
      </c>
      <c r="M1212" s="26" t="str">
        <f t="shared" si="187"/>
        <v>PARTICULAR</v>
      </c>
      <c r="N1212" s="26">
        <v>68</v>
      </c>
      <c r="O1212" s="26">
        <v>34</v>
      </c>
      <c r="P1212" s="26">
        <v>34</v>
      </c>
      <c r="Q1212" s="26">
        <v>3</v>
      </c>
      <c r="R1212" s="26">
        <v>1</v>
      </c>
      <c r="S1212" s="26">
        <v>2</v>
      </c>
      <c r="T1212" s="26">
        <v>3</v>
      </c>
      <c r="U1212" s="26">
        <v>6</v>
      </c>
      <c r="V1212" s="26">
        <v>1</v>
      </c>
      <c r="W1212" s="26"/>
    </row>
    <row r="1213" spans="1:23" x14ac:dyDescent="0.25">
      <c r="A1213" s="26" t="str">
        <f t="shared" si="188"/>
        <v>PREESCOLAR</v>
      </c>
      <c r="B1213" s="26" t="str">
        <f>"09PJN0517Y"</f>
        <v>09PJN0517Y</v>
      </c>
      <c r="C1213" s="26" t="str">
        <f>"ANN COLLEGE                                                                                         "</f>
        <v xml:space="preserve">ANN COLLEGE                                                                                         </v>
      </c>
      <c r="D1213" s="26" t="str">
        <f t="shared" ref="D1213:D1276" si="204">"MATUTINO"</f>
        <v>MATUTINO</v>
      </c>
      <c r="E1213" s="26" t="str">
        <f>"RIO CHURUBUSCO NO. 635                                                          "</f>
        <v xml:space="preserve">RIO CHURUBUSCO NO. 635                                                          </v>
      </c>
      <c r="F1213" s="26" t="str">
        <f>"SECTOR POPULAR                                                                                                                              "</f>
        <v xml:space="preserve">SECTOR POPULAR                                                                                                                              </v>
      </c>
      <c r="G1213" s="26" t="str">
        <f t="shared" si="201"/>
        <v xml:space="preserve">IZTAPALAPA                                                                      </v>
      </c>
      <c r="H1213" s="26" t="str">
        <f>"000"</f>
        <v>000</v>
      </c>
      <c r="I1213" s="26" t="str">
        <f t="shared" si="189"/>
        <v>00</v>
      </c>
      <c r="J1213" s="26" t="str">
        <f>"61 "</f>
        <v xml:space="preserve">61 </v>
      </c>
      <c r="K1213" s="26" t="str">
        <f t="shared" si="202"/>
        <v>IZ</v>
      </c>
      <c r="L1213" s="26" t="str">
        <f t="shared" si="203"/>
        <v>DGSEI</v>
      </c>
      <c r="M1213" s="26" t="str">
        <f t="shared" si="187"/>
        <v>PARTICULAR</v>
      </c>
      <c r="N1213" s="26">
        <v>51</v>
      </c>
      <c r="O1213" s="26">
        <v>22</v>
      </c>
      <c r="P1213" s="26">
        <v>29</v>
      </c>
      <c r="Q1213" s="26">
        <v>3</v>
      </c>
      <c r="R1213" s="26">
        <v>1</v>
      </c>
      <c r="S1213" s="26">
        <v>3</v>
      </c>
      <c r="T1213" s="26">
        <v>5</v>
      </c>
      <c r="U1213" s="26">
        <v>9</v>
      </c>
      <c r="V1213" s="26">
        <v>1</v>
      </c>
      <c r="W1213" s="26"/>
    </row>
    <row r="1214" spans="1:23" x14ac:dyDescent="0.25">
      <c r="A1214" s="26" t="str">
        <f t="shared" si="188"/>
        <v>PREESCOLAR</v>
      </c>
      <c r="B1214" s="26" t="str">
        <f>"09PJN0520L"</f>
        <v>09PJN0520L</v>
      </c>
      <c r="C1214" s="26" t="str">
        <f>"EL RATON PEREZ                                                                                      "</f>
        <v xml:space="preserve">EL RATON PEREZ                                                                                      </v>
      </c>
      <c r="D1214" s="26" t="str">
        <f t="shared" si="204"/>
        <v>MATUTINO</v>
      </c>
      <c r="E1214" s="26" t="str">
        <f>"SAN PEDRO NO. 5                                                                 "</f>
        <v xml:space="preserve">SAN PEDRO NO. 5                                                                 </v>
      </c>
      <c r="F1214" s="26" t="str">
        <f>"SANTA MARIA AZTAHUACAN                                                                                                                      "</f>
        <v xml:space="preserve">SANTA MARIA AZTAHUACAN                                                                                                                      </v>
      </c>
      <c r="G1214" s="26" t="str">
        <f t="shared" si="201"/>
        <v xml:space="preserve">IZTAPALAPA                                                                      </v>
      </c>
      <c r="H1214" s="26" t="str">
        <f>"000"</f>
        <v>000</v>
      </c>
      <c r="I1214" s="26" t="str">
        <f t="shared" si="189"/>
        <v>00</v>
      </c>
      <c r="J1214" s="26" t="str">
        <f>"64 "</f>
        <v xml:space="preserve">64 </v>
      </c>
      <c r="K1214" s="26" t="str">
        <f t="shared" si="202"/>
        <v>IZ</v>
      </c>
      <c r="L1214" s="26" t="str">
        <f t="shared" si="203"/>
        <v>DGSEI</v>
      </c>
      <c r="M1214" s="26" t="str">
        <f t="shared" si="187"/>
        <v>PARTICULAR</v>
      </c>
      <c r="N1214" s="26">
        <v>61</v>
      </c>
      <c r="O1214" s="26">
        <v>38</v>
      </c>
      <c r="P1214" s="26">
        <v>23</v>
      </c>
      <c r="Q1214" s="26">
        <v>3</v>
      </c>
      <c r="R1214" s="26">
        <v>1</v>
      </c>
      <c r="S1214" s="26">
        <v>3</v>
      </c>
      <c r="T1214" s="26">
        <v>8</v>
      </c>
      <c r="U1214" s="26">
        <v>12</v>
      </c>
      <c r="V1214" s="26">
        <v>1</v>
      </c>
      <c r="W1214" s="26"/>
    </row>
    <row r="1215" spans="1:23" x14ac:dyDescent="0.25">
      <c r="A1215" s="26" t="str">
        <f t="shared" si="188"/>
        <v>PREESCOLAR</v>
      </c>
      <c r="B1215" s="26" t="str">
        <f>"09PJN0533P"</f>
        <v>09PJN0533P</v>
      </c>
      <c r="C1215" s="26" t="str">
        <f>"ANDERSEN                                                                                            "</f>
        <v xml:space="preserve">ANDERSEN                                                                                            </v>
      </c>
      <c r="D1215" s="26" t="str">
        <f t="shared" si="204"/>
        <v>MATUTINO</v>
      </c>
      <c r="E1215" s="26" t="str">
        <f>"AV. HIDALGO NO. 298                                                             "</f>
        <v xml:space="preserve">AV. HIDALGO NO. 298                                                             </v>
      </c>
      <c r="F1215" s="26" t="str">
        <f>"SAN MIGUEL VIII                                                                                                                             "</f>
        <v xml:space="preserve">SAN MIGUEL VIII                                                                                                                             </v>
      </c>
      <c r="G1215" s="26" t="str">
        <f t="shared" si="201"/>
        <v xml:space="preserve">IZTAPALAPA                                                                      </v>
      </c>
      <c r="H1215" s="26" t="str">
        <f>"000"</f>
        <v>000</v>
      </c>
      <c r="I1215" s="26" t="str">
        <f t="shared" si="189"/>
        <v>00</v>
      </c>
      <c r="J1215" s="26" t="str">
        <f>"61 "</f>
        <v xml:space="preserve">61 </v>
      </c>
      <c r="K1215" s="26" t="str">
        <f t="shared" si="202"/>
        <v>IZ</v>
      </c>
      <c r="L1215" s="26" t="str">
        <f t="shared" si="203"/>
        <v>DGSEI</v>
      </c>
      <c r="M1215" s="26" t="str">
        <f t="shared" ref="M1215:M1278" si="205">"PARTICULAR"</f>
        <v>PARTICULAR</v>
      </c>
      <c r="N1215" s="26">
        <v>149</v>
      </c>
      <c r="O1215" s="26">
        <v>78</v>
      </c>
      <c r="P1215" s="26">
        <v>71</v>
      </c>
      <c r="Q1215" s="26">
        <v>5</v>
      </c>
      <c r="R1215" s="26">
        <v>1</v>
      </c>
      <c r="S1215" s="26">
        <v>5</v>
      </c>
      <c r="T1215" s="26">
        <v>15</v>
      </c>
      <c r="U1215" s="26">
        <v>21</v>
      </c>
      <c r="V1215" s="26">
        <v>1</v>
      </c>
      <c r="W1215" s="26"/>
    </row>
    <row r="1216" spans="1:23" x14ac:dyDescent="0.25">
      <c r="A1216" s="26" t="str">
        <f t="shared" si="188"/>
        <v>PREESCOLAR</v>
      </c>
      <c r="B1216" s="26" t="str">
        <f>"09PJN0535N"</f>
        <v>09PJN0535N</v>
      </c>
      <c r="C1216" s="26" t="str">
        <f>"NUEVO INSTITUTO JUANA DE ARCO                                                                       "</f>
        <v xml:space="preserve">NUEVO INSTITUTO JUANA DE ARCO                                                                       </v>
      </c>
      <c r="D1216" s="26" t="str">
        <f t="shared" si="204"/>
        <v>MATUTINO</v>
      </c>
      <c r="E1216" s="26" t="str">
        <f>"CERRADA GRAL. HERMINIO CHAVARRIA NO. 22                                         "</f>
        <v xml:space="preserve">CERRADA GRAL. HERMINIO CHAVARRIA NO. 22                                         </v>
      </c>
      <c r="F1216" s="26" t="str">
        <f>"CITLALI                                                                                                                                     "</f>
        <v xml:space="preserve">CITLALI                                                                                                                                     </v>
      </c>
      <c r="G1216" s="26" t="str">
        <f t="shared" si="201"/>
        <v xml:space="preserve">IZTAPALAPA                                                                      </v>
      </c>
      <c r="H1216" s="26" t="str">
        <f>"047"</f>
        <v>047</v>
      </c>
      <c r="I1216" s="26" t="str">
        <f t="shared" si="189"/>
        <v>00</v>
      </c>
      <c r="J1216" s="26" t="str">
        <f>"64 "</f>
        <v xml:space="preserve">64 </v>
      </c>
      <c r="K1216" s="26" t="str">
        <f t="shared" si="202"/>
        <v>IZ</v>
      </c>
      <c r="L1216" s="26" t="str">
        <f t="shared" si="203"/>
        <v>DGSEI</v>
      </c>
      <c r="M1216" s="26" t="str">
        <f t="shared" si="205"/>
        <v>PARTICULAR</v>
      </c>
      <c r="N1216" s="26">
        <v>40</v>
      </c>
      <c r="O1216" s="26">
        <v>22</v>
      </c>
      <c r="P1216" s="26">
        <v>18</v>
      </c>
      <c r="Q1216" s="26">
        <v>3</v>
      </c>
      <c r="R1216" s="26">
        <v>1</v>
      </c>
      <c r="S1216" s="26">
        <v>3</v>
      </c>
      <c r="T1216" s="26">
        <v>1</v>
      </c>
      <c r="U1216" s="26">
        <v>5</v>
      </c>
      <c r="V1216" s="26">
        <v>1</v>
      </c>
      <c r="W1216" s="26"/>
    </row>
    <row r="1217" spans="1:23" x14ac:dyDescent="0.25">
      <c r="A1217" s="26" t="str">
        <f t="shared" si="188"/>
        <v>PREESCOLAR</v>
      </c>
      <c r="B1217" s="26" t="str">
        <f>"09PJN0543W"</f>
        <v>09PJN0543W</v>
      </c>
      <c r="C1217" s="26" t="str">
        <f>"JOSE ENCARNACION GONZALEZ VILLASEÑOR                                                                "</f>
        <v xml:space="preserve">JOSE ENCARNACION GONZALEZ VILLASEÑOR                                                                </v>
      </c>
      <c r="D1217" s="26" t="str">
        <f t="shared" si="204"/>
        <v>MATUTINO</v>
      </c>
      <c r="E1217" s="26" t="str">
        <f>"ALLENDE NO. 108                                                                 "</f>
        <v xml:space="preserve">ALLENDE NO. 108                                                                 </v>
      </c>
      <c r="F1217" s="26" t="str">
        <f>"SAN PEDRO                                                                                                                                   "</f>
        <v xml:space="preserve">SAN PEDRO                                                                                                                                   </v>
      </c>
      <c r="G1217" s="26" t="str">
        <f t="shared" si="201"/>
        <v xml:space="preserve">IZTAPALAPA                                                                      </v>
      </c>
      <c r="H1217" s="26" t="str">
        <f>"000"</f>
        <v>000</v>
      </c>
      <c r="I1217" s="26" t="str">
        <f t="shared" si="189"/>
        <v>00</v>
      </c>
      <c r="J1217" s="26" t="str">
        <f>"61 "</f>
        <v xml:space="preserve">61 </v>
      </c>
      <c r="K1217" s="26" t="str">
        <f t="shared" si="202"/>
        <v>IZ</v>
      </c>
      <c r="L1217" s="26" t="str">
        <f t="shared" si="203"/>
        <v>DGSEI</v>
      </c>
      <c r="M1217" s="26" t="str">
        <f t="shared" si="205"/>
        <v>PARTICULAR</v>
      </c>
      <c r="N1217" s="26">
        <v>66</v>
      </c>
      <c r="O1217" s="26">
        <v>31</v>
      </c>
      <c r="P1217" s="26">
        <v>35</v>
      </c>
      <c r="Q1217" s="26">
        <v>3</v>
      </c>
      <c r="R1217" s="26">
        <v>1</v>
      </c>
      <c r="S1217" s="26">
        <v>3</v>
      </c>
      <c r="T1217" s="26">
        <v>2</v>
      </c>
      <c r="U1217" s="26">
        <v>6</v>
      </c>
      <c r="V1217" s="26">
        <v>1</v>
      </c>
      <c r="W1217" s="26"/>
    </row>
    <row r="1218" spans="1:23" x14ac:dyDescent="0.25">
      <c r="A1218" s="26" t="str">
        <f t="shared" ref="A1218:A1281" si="206">"PREESCOLAR"</f>
        <v>PREESCOLAR</v>
      </c>
      <c r="B1218" s="26" t="str">
        <f>"09PJN0553C"</f>
        <v>09PJN0553C</v>
      </c>
      <c r="C1218" s="26" t="str">
        <f>"COLEGIO CITLALI                                                                                     "</f>
        <v xml:space="preserve">COLEGIO CITLALI                                                                                     </v>
      </c>
      <c r="D1218" s="26" t="str">
        <f t="shared" si="204"/>
        <v>MATUTINO</v>
      </c>
      <c r="E1218" s="26" t="str">
        <f>"CUAUHTEMOC NO. 144                                                              "</f>
        <v xml:space="preserve">CUAUHTEMOC NO. 144                                                              </v>
      </c>
      <c r="F1218" s="26" t="str">
        <f>"SAN PEDRO                                                                                                                                   "</f>
        <v xml:space="preserve">SAN PEDRO                                                                                                                                   </v>
      </c>
      <c r="G1218" s="26" t="str">
        <f t="shared" si="201"/>
        <v xml:space="preserve">IZTAPALAPA                                                                      </v>
      </c>
      <c r="H1218" s="26" t="str">
        <f>"000"</f>
        <v>000</v>
      </c>
      <c r="I1218" s="26" t="str">
        <f t="shared" ref="I1218:I1281" si="207">"00"</f>
        <v>00</v>
      </c>
      <c r="J1218" s="26" t="str">
        <f>"61 "</f>
        <v xml:space="preserve">61 </v>
      </c>
      <c r="K1218" s="26" t="str">
        <f t="shared" si="202"/>
        <v>IZ</v>
      </c>
      <c r="L1218" s="26" t="str">
        <f t="shared" si="203"/>
        <v>DGSEI</v>
      </c>
      <c r="M1218" s="26" t="str">
        <f t="shared" si="205"/>
        <v>PARTICULAR</v>
      </c>
      <c r="N1218" s="26">
        <v>45</v>
      </c>
      <c r="O1218" s="26">
        <v>25</v>
      </c>
      <c r="P1218" s="26">
        <v>20</v>
      </c>
      <c r="Q1218" s="26">
        <v>3</v>
      </c>
      <c r="R1218" s="26">
        <v>1</v>
      </c>
      <c r="S1218" s="26">
        <v>3</v>
      </c>
      <c r="T1218" s="26">
        <v>3</v>
      </c>
      <c r="U1218" s="26">
        <v>7</v>
      </c>
      <c r="V1218" s="26">
        <v>1</v>
      </c>
      <c r="W1218" s="26"/>
    </row>
    <row r="1219" spans="1:23" x14ac:dyDescent="0.25">
      <c r="A1219" s="26" t="str">
        <f t="shared" si="206"/>
        <v>PREESCOLAR</v>
      </c>
      <c r="B1219" s="26" t="str">
        <f>"09PJN0576N"</f>
        <v>09PJN0576N</v>
      </c>
      <c r="C1219" s="26" t="str">
        <f>"ALBERTO GONZALEZ VALLE                                                                              "</f>
        <v xml:space="preserve">ALBERTO GONZALEZ VALLE                                                                              </v>
      </c>
      <c r="D1219" s="26" t="str">
        <f t="shared" si="204"/>
        <v>MATUTINO</v>
      </c>
      <c r="E1219" s="26" t="str">
        <f>"PRIV. CAPITAN RODRIGUEZ ARENAS NO. 315 B                                        "</f>
        <v xml:space="preserve">PRIV. CAPITAN RODRIGUEZ ARENAS NO. 315 B                                        </v>
      </c>
      <c r="F1219" s="26" t="str">
        <f>"AGRICOLA PANTITLAN                                                                                                                          "</f>
        <v xml:space="preserve">AGRICOLA PANTITLAN                                                                                                                          </v>
      </c>
      <c r="G1219" s="26" t="str">
        <f>"IZTACALCO                                                                       "</f>
        <v xml:space="preserve">IZTACALCO                                                                       </v>
      </c>
      <c r="H1219" s="26" t="str">
        <f>"143"</f>
        <v>143</v>
      </c>
      <c r="I1219" s="26" t="str">
        <f t="shared" si="207"/>
        <v>00</v>
      </c>
      <c r="J1219" s="26" t="str">
        <f>"33 "</f>
        <v xml:space="preserve">33 </v>
      </c>
      <c r="K1219" s="26" t="str">
        <f t="shared" ref="K1219:K1247" si="208">"EP"</f>
        <v>EP</v>
      </c>
      <c r="L1219" s="26" t="str">
        <f t="shared" ref="L1219:L1247" si="209">"DGOSE"</f>
        <v>DGOSE</v>
      </c>
      <c r="M1219" s="26" t="str">
        <f t="shared" si="205"/>
        <v>PARTICULAR</v>
      </c>
      <c r="N1219" s="26">
        <v>58</v>
      </c>
      <c r="O1219" s="26">
        <v>25</v>
      </c>
      <c r="P1219" s="26">
        <v>33</v>
      </c>
      <c r="Q1219" s="26">
        <v>3</v>
      </c>
      <c r="R1219" s="26">
        <v>1</v>
      </c>
      <c r="S1219" s="26">
        <v>3</v>
      </c>
      <c r="T1219" s="26">
        <v>5</v>
      </c>
      <c r="U1219" s="26">
        <v>9</v>
      </c>
      <c r="V1219" s="26">
        <v>1</v>
      </c>
      <c r="W1219" s="26"/>
    </row>
    <row r="1220" spans="1:23" x14ac:dyDescent="0.25">
      <c r="A1220" s="26" t="str">
        <f t="shared" si="206"/>
        <v>PREESCOLAR</v>
      </c>
      <c r="B1220" s="26" t="str">
        <f>"09PJN0578L"</f>
        <v>09PJN0578L</v>
      </c>
      <c r="C1220" s="26" t="str">
        <f>"JULIO VERNE                                                                                         "</f>
        <v xml:space="preserve">JULIO VERNE                                                                                         </v>
      </c>
      <c r="D1220" s="26" t="str">
        <f t="shared" si="204"/>
        <v>MATUTINO</v>
      </c>
      <c r="E1220" s="26" t="str">
        <f>"CALLE UNION No. 35                                                              "</f>
        <v xml:space="preserve">CALLE UNION No. 35                                                              </v>
      </c>
      <c r="F1220" s="26" t="str">
        <f>"AGRICOLA PANTITLAN                                                                                                                          "</f>
        <v xml:space="preserve">AGRICOLA PANTITLAN                                                                                                                          </v>
      </c>
      <c r="G1220" s="26" t="str">
        <f>"IZTACALCO                                                                       "</f>
        <v xml:space="preserve">IZTACALCO                                                                       </v>
      </c>
      <c r="H1220" s="26" t="str">
        <f>"143"</f>
        <v>143</v>
      </c>
      <c r="I1220" s="26" t="str">
        <f t="shared" si="207"/>
        <v>00</v>
      </c>
      <c r="J1220" s="26" t="str">
        <f>"33 "</f>
        <v xml:space="preserve">33 </v>
      </c>
      <c r="K1220" s="26" t="str">
        <f t="shared" si="208"/>
        <v>EP</v>
      </c>
      <c r="L1220" s="26" t="str">
        <f t="shared" si="209"/>
        <v>DGOSE</v>
      </c>
      <c r="M1220" s="26" t="str">
        <f t="shared" si="205"/>
        <v>PARTICULAR</v>
      </c>
      <c r="N1220" s="26">
        <v>11</v>
      </c>
      <c r="O1220" s="26">
        <v>4</v>
      </c>
      <c r="P1220" s="26">
        <v>7</v>
      </c>
      <c r="Q1220" s="26">
        <v>2</v>
      </c>
      <c r="R1220" s="26">
        <v>1</v>
      </c>
      <c r="S1220" s="26">
        <v>2</v>
      </c>
      <c r="T1220" s="26">
        <v>3</v>
      </c>
      <c r="U1220" s="26">
        <v>6</v>
      </c>
      <c r="V1220" s="26">
        <v>1</v>
      </c>
      <c r="W1220" s="26"/>
    </row>
    <row r="1221" spans="1:23" x14ac:dyDescent="0.25">
      <c r="A1221" s="26" t="str">
        <f t="shared" si="206"/>
        <v>PREESCOLAR</v>
      </c>
      <c r="B1221" s="26" t="str">
        <f>"09PJN0589R"</f>
        <v>09PJN0589R</v>
      </c>
      <c r="C1221" s="26" t="str">
        <f>"INSTITUTO GUILLERMO MARCONI                                                                         "</f>
        <v xml:space="preserve">INSTITUTO GUILLERMO MARCONI                                                                         </v>
      </c>
      <c r="D1221" s="26" t="str">
        <f t="shared" si="204"/>
        <v>MATUTINO</v>
      </c>
      <c r="E1221" s="26" t="str">
        <f>"PLAYA ROSARITO NO. 348                                                          "</f>
        <v xml:space="preserve">PLAYA ROSARITO NO. 348                                                          </v>
      </c>
      <c r="F1221" s="26" t="str">
        <f>"REFORMA IZTACCIHUATL NORTE                                                                                                                  "</f>
        <v xml:space="preserve">REFORMA IZTACCIHUATL NORTE                                                                                                                  </v>
      </c>
      <c r="G1221" s="26" t="str">
        <f>"IZTACALCO                                                                       "</f>
        <v xml:space="preserve">IZTACALCO                                                                       </v>
      </c>
      <c r="H1221" s="26" t="str">
        <f>"238"</f>
        <v>238</v>
      </c>
      <c r="I1221" s="26" t="str">
        <f t="shared" si="207"/>
        <v>00</v>
      </c>
      <c r="J1221" s="26" t="str">
        <f>"33 "</f>
        <v xml:space="preserve">33 </v>
      </c>
      <c r="K1221" s="26" t="str">
        <f t="shared" si="208"/>
        <v>EP</v>
      </c>
      <c r="L1221" s="26" t="str">
        <f t="shared" si="209"/>
        <v>DGOSE</v>
      </c>
      <c r="M1221" s="26" t="str">
        <f t="shared" si="205"/>
        <v>PARTICULAR</v>
      </c>
      <c r="N1221" s="26">
        <v>52</v>
      </c>
      <c r="O1221" s="26">
        <v>28</v>
      </c>
      <c r="P1221" s="26">
        <v>24</v>
      </c>
      <c r="Q1221" s="26">
        <v>3</v>
      </c>
      <c r="R1221" s="26">
        <v>1</v>
      </c>
      <c r="S1221" s="26">
        <v>3</v>
      </c>
      <c r="T1221" s="26">
        <v>7</v>
      </c>
      <c r="U1221" s="26">
        <v>11</v>
      </c>
      <c r="V1221" s="26">
        <v>1</v>
      </c>
      <c r="W1221" s="26"/>
    </row>
    <row r="1222" spans="1:23" x14ac:dyDescent="0.25">
      <c r="A1222" s="26" t="str">
        <f t="shared" si="206"/>
        <v>PREESCOLAR</v>
      </c>
      <c r="B1222" s="26" t="str">
        <f>"09PJN0590G"</f>
        <v>09PJN0590G</v>
      </c>
      <c r="C1222" s="26" t="str">
        <f>"COLEGIO FRONTENAC                                                                                   "</f>
        <v xml:space="preserve">COLEGIO FRONTENAC                                                                                   </v>
      </c>
      <c r="D1222" s="26" t="str">
        <f t="shared" si="204"/>
        <v>MATUTINO</v>
      </c>
      <c r="E1222" s="26" t="str">
        <f>"PLAYA MIRAMAR NO.543                                                            "</f>
        <v xml:space="preserve">PLAYA MIRAMAR NO.543                                                            </v>
      </c>
      <c r="F1222" s="26" t="str">
        <f>"REFORMA IZTACCIHUATL NORTE                                                                                                                  "</f>
        <v xml:space="preserve">REFORMA IZTACCIHUATL NORTE                                                                                                                  </v>
      </c>
      <c r="G1222" s="26" t="str">
        <f>"IZTACALCO                                                                       "</f>
        <v xml:space="preserve">IZTACALCO                                                                       </v>
      </c>
      <c r="H1222" s="26" t="str">
        <f>"238"</f>
        <v>238</v>
      </c>
      <c r="I1222" s="26" t="str">
        <f t="shared" si="207"/>
        <v>00</v>
      </c>
      <c r="J1222" s="26" t="str">
        <f>"33 "</f>
        <v xml:space="preserve">33 </v>
      </c>
      <c r="K1222" s="26" t="str">
        <f t="shared" si="208"/>
        <v>EP</v>
      </c>
      <c r="L1222" s="26" t="str">
        <f t="shared" si="209"/>
        <v>DGOSE</v>
      </c>
      <c r="M1222" s="26" t="str">
        <f t="shared" si="205"/>
        <v>PARTICULAR</v>
      </c>
      <c r="N1222" s="26">
        <v>15</v>
      </c>
      <c r="O1222" s="26">
        <v>12</v>
      </c>
      <c r="P1222" s="26">
        <v>3</v>
      </c>
      <c r="Q1222" s="26">
        <v>2</v>
      </c>
      <c r="R1222" s="26">
        <v>1</v>
      </c>
      <c r="S1222" s="26">
        <v>2</v>
      </c>
      <c r="T1222" s="26">
        <v>6</v>
      </c>
      <c r="U1222" s="26">
        <v>9</v>
      </c>
      <c r="V1222" s="26">
        <v>1</v>
      </c>
      <c r="W1222" s="26"/>
    </row>
    <row r="1223" spans="1:23" x14ac:dyDescent="0.25">
      <c r="A1223" s="26" t="str">
        <f t="shared" si="206"/>
        <v>PREESCOLAR</v>
      </c>
      <c r="B1223" s="26" t="str">
        <f>"09PJN0636L"</f>
        <v>09PJN0636L</v>
      </c>
      <c r="C1223" s="26" t="str">
        <f>"DEDALITO                                                                                            "</f>
        <v xml:space="preserve">DEDALITO                                                                                            </v>
      </c>
      <c r="D1223" s="26" t="str">
        <f t="shared" si="204"/>
        <v>MATUTINO</v>
      </c>
      <c r="E1223" s="26" t="str">
        <f>"AV. AZCAPOTZALCO No. 783                                                        "</f>
        <v xml:space="preserve">AV. AZCAPOTZALCO No. 783                                                        </v>
      </c>
      <c r="F1223" s="26" t="str">
        <f>"REYES LOS                                                                                                                                   "</f>
        <v xml:space="preserve">REYES LOS                                                                                                                                   </v>
      </c>
      <c r="G1223" s="26" t="str">
        <f>"AZCAPOTZALCO                                                                    "</f>
        <v xml:space="preserve">AZCAPOTZALCO                                                                    </v>
      </c>
      <c r="H1223" s="26" t="str">
        <f>"009"</f>
        <v>009</v>
      </c>
      <c r="I1223" s="26" t="str">
        <f t="shared" si="207"/>
        <v>00</v>
      </c>
      <c r="J1223" s="26" t="str">
        <f>"32 "</f>
        <v xml:space="preserve">32 </v>
      </c>
      <c r="K1223" s="26" t="str">
        <f t="shared" si="208"/>
        <v>EP</v>
      </c>
      <c r="L1223" s="26" t="str">
        <f t="shared" si="209"/>
        <v>DGOSE</v>
      </c>
      <c r="M1223" s="26" t="str">
        <f t="shared" si="205"/>
        <v>PARTICULAR</v>
      </c>
      <c r="N1223" s="26">
        <v>18</v>
      </c>
      <c r="O1223" s="26">
        <v>8</v>
      </c>
      <c r="P1223" s="26">
        <v>10</v>
      </c>
      <c r="Q1223" s="26">
        <v>3</v>
      </c>
      <c r="R1223" s="26">
        <v>1</v>
      </c>
      <c r="S1223" s="26">
        <v>3</v>
      </c>
      <c r="T1223" s="26">
        <v>0</v>
      </c>
      <c r="U1223" s="26">
        <v>4</v>
      </c>
      <c r="V1223" s="26">
        <v>1</v>
      </c>
      <c r="W1223" s="26"/>
    </row>
    <row r="1224" spans="1:23" x14ac:dyDescent="0.25">
      <c r="A1224" s="26" t="str">
        <f t="shared" si="206"/>
        <v>PREESCOLAR</v>
      </c>
      <c r="B1224" s="26" t="str">
        <f>"09PJN0640Y"</f>
        <v>09PJN0640Y</v>
      </c>
      <c r="C1224" s="26" t="str">
        <f>"INSTITUTO OSCAR GONZALEZ BLAKALLER                                                                  "</f>
        <v xml:space="preserve">INSTITUTO OSCAR GONZALEZ BLAKALLER                                                                  </v>
      </c>
      <c r="D1224" s="26" t="str">
        <f t="shared" si="204"/>
        <v>MATUTINO</v>
      </c>
      <c r="E1224" s="26" t="str">
        <f>"AV. 17 DE MAYO NO. 140                                                          "</f>
        <v xml:space="preserve">AV. 17 DE MAYO NO. 140                                                          </v>
      </c>
      <c r="F1224" s="26" t="str">
        <f>"SAN BARTOLO ATEPEHUACAN                                                                                                                     "</f>
        <v xml:space="preserve">SAN BARTOLO ATEPEHUACAN                                                                                                                     </v>
      </c>
      <c r="G1224" s="26" t="str">
        <f>"GUSTAVO A. MADERO                                                               "</f>
        <v xml:space="preserve">GUSTAVO A. MADERO                                                               </v>
      </c>
      <c r="H1224" s="26" t="str">
        <f>"003"</f>
        <v>003</v>
      </c>
      <c r="I1224" s="26" t="str">
        <f t="shared" si="207"/>
        <v>00</v>
      </c>
      <c r="J1224" s="26" t="str">
        <f>"32 "</f>
        <v xml:space="preserve">32 </v>
      </c>
      <c r="K1224" s="26" t="str">
        <f t="shared" si="208"/>
        <v>EP</v>
      </c>
      <c r="L1224" s="26" t="str">
        <f t="shared" si="209"/>
        <v>DGOSE</v>
      </c>
      <c r="M1224" s="26" t="str">
        <f t="shared" si="205"/>
        <v>PARTICULAR</v>
      </c>
      <c r="N1224" s="26">
        <v>35</v>
      </c>
      <c r="O1224" s="26">
        <v>19</v>
      </c>
      <c r="P1224" s="26">
        <v>16</v>
      </c>
      <c r="Q1224" s="26">
        <v>3</v>
      </c>
      <c r="R1224" s="26">
        <v>1</v>
      </c>
      <c r="S1224" s="26">
        <v>3</v>
      </c>
      <c r="T1224" s="26">
        <v>10</v>
      </c>
      <c r="U1224" s="26">
        <v>14</v>
      </c>
      <c r="V1224" s="26">
        <v>1</v>
      </c>
      <c r="W1224" s="26"/>
    </row>
    <row r="1225" spans="1:23" x14ac:dyDescent="0.25">
      <c r="A1225" s="26" t="str">
        <f t="shared" si="206"/>
        <v>PREESCOLAR</v>
      </c>
      <c r="B1225" s="26" t="str">
        <f>"09PJN0664H"</f>
        <v>09PJN0664H</v>
      </c>
      <c r="C1225" s="26" t="str">
        <f>"JARDIN DE NIÑOS VALLE DEL TEPEYAC                                                                   "</f>
        <v xml:space="preserve">JARDIN DE NIÑOS VALLE DEL TEPEYAC                                                                   </v>
      </c>
      <c r="D1225" s="26" t="str">
        <f t="shared" si="204"/>
        <v>MATUTINO</v>
      </c>
      <c r="E1225" s="26" t="str">
        <f>"RICARTE NO. 501 Y 503                                                           "</f>
        <v xml:space="preserve">RICARTE NO. 501 Y 503                                                           </v>
      </c>
      <c r="F1225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1225" s="26" t="str">
        <f>"GUSTAVO A. MADERO                                                               "</f>
        <v xml:space="preserve">GUSTAVO A. MADERO                                                               </v>
      </c>
      <c r="H1225" s="26" t="str">
        <f>"003"</f>
        <v>003</v>
      </c>
      <c r="I1225" s="26" t="str">
        <f t="shared" si="207"/>
        <v>00</v>
      </c>
      <c r="J1225" s="26" t="str">
        <f>"32 "</f>
        <v xml:space="preserve">32 </v>
      </c>
      <c r="K1225" s="26" t="str">
        <f t="shared" si="208"/>
        <v>EP</v>
      </c>
      <c r="L1225" s="26" t="str">
        <f t="shared" si="209"/>
        <v>DGOSE</v>
      </c>
      <c r="M1225" s="26" t="str">
        <f t="shared" si="205"/>
        <v>PARTICULAR</v>
      </c>
      <c r="N1225" s="26">
        <v>70</v>
      </c>
      <c r="O1225" s="26">
        <v>30</v>
      </c>
      <c r="P1225" s="26">
        <v>40</v>
      </c>
      <c r="Q1225" s="26">
        <v>5</v>
      </c>
      <c r="R1225" s="26">
        <v>1</v>
      </c>
      <c r="S1225" s="26">
        <v>5</v>
      </c>
      <c r="T1225" s="26">
        <v>11</v>
      </c>
      <c r="U1225" s="26">
        <v>17</v>
      </c>
      <c r="V1225" s="26">
        <v>1</v>
      </c>
      <c r="W1225" s="26"/>
    </row>
    <row r="1226" spans="1:23" x14ac:dyDescent="0.25">
      <c r="A1226" s="26" t="str">
        <f t="shared" si="206"/>
        <v>PREESCOLAR</v>
      </c>
      <c r="B1226" s="26" t="str">
        <f>"09PJN0665G"</f>
        <v>09PJN0665G</v>
      </c>
      <c r="C1226" s="26" t="str">
        <f>"JARDÍN DE NIÑOS AMEYALLI                                                                            "</f>
        <v xml:space="preserve">JARDÍN DE NIÑOS AMEYALLI                                                                            </v>
      </c>
      <c r="D1226" s="26" t="str">
        <f t="shared" si="204"/>
        <v>MATUTINO</v>
      </c>
      <c r="E1226" s="26" t="str">
        <f>"ILIADA NO. 50                                                                   "</f>
        <v xml:space="preserve">ILIADA NO. 50                                                                   </v>
      </c>
      <c r="F1226" s="26" t="str">
        <f>"LOMAS DE AXOMIATLA                                                                                                                          "</f>
        <v xml:space="preserve">LOMAS DE AXOMIATLA                                                                                                                          </v>
      </c>
      <c r="G1226" s="26" t="str">
        <f>"ALVARO OBREGON                                                                  "</f>
        <v xml:space="preserve">ALVARO OBREGON                                                                  </v>
      </c>
      <c r="H1226" s="26" t="str">
        <f>"215"</f>
        <v>215</v>
      </c>
      <c r="I1226" s="26" t="str">
        <f t="shared" si="207"/>
        <v>00</v>
      </c>
      <c r="J1226" s="26" t="str">
        <f>"33 "</f>
        <v xml:space="preserve">33 </v>
      </c>
      <c r="K1226" s="26" t="str">
        <f t="shared" si="208"/>
        <v>EP</v>
      </c>
      <c r="L1226" s="26" t="str">
        <f t="shared" si="209"/>
        <v>DGOSE</v>
      </c>
      <c r="M1226" s="26" t="str">
        <f t="shared" si="205"/>
        <v>PARTICULAR</v>
      </c>
      <c r="N1226" s="26">
        <v>46</v>
      </c>
      <c r="O1226" s="26">
        <v>20</v>
      </c>
      <c r="P1226" s="26">
        <v>26</v>
      </c>
      <c r="Q1226" s="26">
        <v>3</v>
      </c>
      <c r="R1226" s="26">
        <v>1</v>
      </c>
      <c r="S1226" s="26">
        <v>3</v>
      </c>
      <c r="T1226" s="26">
        <v>5</v>
      </c>
      <c r="U1226" s="26">
        <v>9</v>
      </c>
      <c r="V1226" s="26">
        <v>1</v>
      </c>
      <c r="W1226" s="26"/>
    </row>
    <row r="1227" spans="1:23" x14ac:dyDescent="0.25">
      <c r="A1227" s="26" t="str">
        <f t="shared" si="206"/>
        <v>PREESCOLAR</v>
      </c>
      <c r="B1227" s="26" t="str">
        <f>"09PJN0666F"</f>
        <v>09PJN0666F</v>
      </c>
      <c r="C1227" s="26" t="str">
        <f>"JARDIN DE NIÑOS DIANITA                                                                             "</f>
        <v xml:space="preserve">JARDIN DE NIÑOS DIANITA                                                                             </v>
      </c>
      <c r="D1227" s="26" t="str">
        <f t="shared" si="204"/>
        <v>MATUTINO</v>
      </c>
      <c r="E1227" s="26" t="str">
        <f>"CAMINO A SANTIAGUITO NO. 15                                                     "</f>
        <v xml:space="preserve">CAMINO A SANTIAGUITO NO. 15                                                     </v>
      </c>
      <c r="F1227" s="26" t="str">
        <f>"PROGRESO NACIONAL                                                                                                                           "</f>
        <v xml:space="preserve">PROGRESO NACIONAL                                                                                                                           </v>
      </c>
      <c r="G1227" s="26" t="str">
        <f>"GUSTAVO A. MADERO                                                               "</f>
        <v xml:space="preserve">GUSTAVO A. MADERO                                                               </v>
      </c>
      <c r="H1227" s="26" t="str">
        <f>"068"</f>
        <v>068</v>
      </c>
      <c r="I1227" s="26" t="str">
        <f t="shared" si="207"/>
        <v>00</v>
      </c>
      <c r="J1227" s="26" t="str">
        <f t="shared" ref="J1227:J1238" si="210">"32 "</f>
        <v xml:space="preserve">32 </v>
      </c>
      <c r="K1227" s="26" t="str">
        <f t="shared" si="208"/>
        <v>EP</v>
      </c>
      <c r="L1227" s="26" t="str">
        <f t="shared" si="209"/>
        <v>DGOSE</v>
      </c>
      <c r="M1227" s="26" t="str">
        <f t="shared" si="205"/>
        <v>PARTICULAR</v>
      </c>
      <c r="N1227" s="26">
        <v>52</v>
      </c>
      <c r="O1227" s="26">
        <v>23</v>
      </c>
      <c r="P1227" s="26">
        <v>29</v>
      </c>
      <c r="Q1227" s="26">
        <v>3</v>
      </c>
      <c r="R1227" s="26">
        <v>1</v>
      </c>
      <c r="S1227" s="26">
        <v>3</v>
      </c>
      <c r="T1227" s="26">
        <v>2</v>
      </c>
      <c r="U1227" s="26">
        <v>6</v>
      </c>
      <c r="V1227" s="26">
        <v>1</v>
      </c>
      <c r="W1227" s="26"/>
    </row>
    <row r="1228" spans="1:23" x14ac:dyDescent="0.25">
      <c r="A1228" s="26" t="str">
        <f t="shared" si="206"/>
        <v>PREESCOLAR</v>
      </c>
      <c r="B1228" s="26" t="str">
        <f>"09PJN0676M"</f>
        <v>09PJN0676M</v>
      </c>
      <c r="C1228" s="26" t="str">
        <f>"INSTITUTO CONSTANCIA                                                                                "</f>
        <v xml:space="preserve">INSTITUTO CONSTANCIA                                                                                </v>
      </c>
      <c r="D1228" s="26" t="str">
        <f t="shared" si="204"/>
        <v>MATUTINO</v>
      </c>
      <c r="E1228" s="26" t="str">
        <f>"RUBLOS No. 44                                                                   "</f>
        <v xml:space="preserve">RUBLOS No. 44                                                                   </v>
      </c>
      <c r="F1228" s="26" t="str">
        <f>"CERRO PRIETO                                                                                                                                "</f>
        <v xml:space="preserve">CERRO PRIETO                                                                                                                                </v>
      </c>
      <c r="G1228" s="26" t="str">
        <f>"GUSTAVO A. MADERO                                                               "</f>
        <v xml:space="preserve">GUSTAVO A. MADERO                                                               </v>
      </c>
      <c r="H1228" s="26" t="str">
        <f>"195"</f>
        <v>195</v>
      </c>
      <c r="I1228" s="26" t="str">
        <f t="shared" si="207"/>
        <v>00</v>
      </c>
      <c r="J1228" s="26" t="str">
        <f t="shared" si="210"/>
        <v xml:space="preserve">32 </v>
      </c>
      <c r="K1228" s="26" t="str">
        <f t="shared" si="208"/>
        <v>EP</v>
      </c>
      <c r="L1228" s="26" t="str">
        <f t="shared" si="209"/>
        <v>DGOSE</v>
      </c>
      <c r="M1228" s="26" t="str">
        <f t="shared" si="205"/>
        <v>PARTICULAR</v>
      </c>
      <c r="N1228" s="26">
        <v>16</v>
      </c>
      <c r="O1228" s="26">
        <v>8</v>
      </c>
      <c r="P1228" s="26">
        <v>8</v>
      </c>
      <c r="Q1228" s="26">
        <v>3</v>
      </c>
      <c r="R1228" s="26">
        <v>1</v>
      </c>
      <c r="S1228" s="26">
        <v>3</v>
      </c>
      <c r="T1228" s="26">
        <v>1</v>
      </c>
      <c r="U1228" s="26">
        <v>5</v>
      </c>
      <c r="V1228" s="26">
        <v>1</v>
      </c>
      <c r="W1228" s="26"/>
    </row>
    <row r="1229" spans="1:23" x14ac:dyDescent="0.25">
      <c r="A1229" s="26" t="str">
        <f t="shared" si="206"/>
        <v>PREESCOLAR</v>
      </c>
      <c r="B1229" s="26" t="str">
        <f>"09PJN0681Y"</f>
        <v>09PJN0681Y</v>
      </c>
      <c r="C1229" s="26" t="str">
        <f>"SANTA TERESITA                                                                                      "</f>
        <v xml:space="preserve">SANTA TERESITA                                                                                      </v>
      </c>
      <c r="D1229" s="26" t="str">
        <f t="shared" si="204"/>
        <v>MATUTINO</v>
      </c>
      <c r="E1229" s="26" t="str">
        <f>"PRIVADA SANTANDER NO. 45                                                        "</f>
        <v xml:space="preserve">PRIVADA SANTANDER NO. 45                                                        </v>
      </c>
      <c r="F1229" s="26" t="str">
        <f>"SAN RAFAEL AMPLIACION                                                                                                                       "</f>
        <v xml:space="preserve">SAN RAFAEL AMPLIACION                                                                                                                       </v>
      </c>
      <c r="G1229" s="26" t="str">
        <f>"AZCAPOTZALCO                                                                    "</f>
        <v xml:space="preserve">AZCAPOTZALCO                                                                    </v>
      </c>
      <c r="H1229" s="26" t="str">
        <f>"106"</f>
        <v>106</v>
      </c>
      <c r="I1229" s="26" t="str">
        <f t="shared" si="207"/>
        <v>00</v>
      </c>
      <c r="J1229" s="26" t="str">
        <f t="shared" si="210"/>
        <v xml:space="preserve">32 </v>
      </c>
      <c r="K1229" s="26" t="str">
        <f t="shared" si="208"/>
        <v>EP</v>
      </c>
      <c r="L1229" s="26" t="str">
        <f t="shared" si="209"/>
        <v>DGOSE</v>
      </c>
      <c r="M1229" s="26" t="str">
        <f t="shared" si="205"/>
        <v>PARTICULAR</v>
      </c>
      <c r="N1229" s="26">
        <v>141</v>
      </c>
      <c r="O1229" s="26">
        <v>65</v>
      </c>
      <c r="P1229" s="26">
        <v>76</v>
      </c>
      <c r="Q1229" s="26">
        <v>6</v>
      </c>
      <c r="R1229" s="26">
        <v>1</v>
      </c>
      <c r="S1229" s="26">
        <v>6</v>
      </c>
      <c r="T1229" s="26">
        <v>8</v>
      </c>
      <c r="U1229" s="26">
        <v>15</v>
      </c>
      <c r="V1229" s="26">
        <v>1</v>
      </c>
      <c r="W1229" s="26"/>
    </row>
    <row r="1230" spans="1:23" x14ac:dyDescent="0.25">
      <c r="A1230" s="26" t="str">
        <f t="shared" si="206"/>
        <v>PREESCOLAR</v>
      </c>
      <c r="B1230" s="26" t="str">
        <f>"09PJN0700W"</f>
        <v>09PJN0700W</v>
      </c>
      <c r="C1230" s="26" t="str">
        <f>"TERESITA                                                                                            "</f>
        <v xml:space="preserve">TERESITA                                                                                            </v>
      </c>
      <c r="D1230" s="26" t="str">
        <f t="shared" si="204"/>
        <v>MATUTINO</v>
      </c>
      <c r="E1230" s="26" t="str">
        <f>"FRAY PEDRO DE CORDOVA NO. 37                                                    "</f>
        <v xml:space="preserve">FRAY PEDRO DE CORDOVA NO. 37                                                    </v>
      </c>
      <c r="F1230" s="26" t="str">
        <f>"VASCO DE QUIROGA                                                                                                                            "</f>
        <v xml:space="preserve">VASCO DE QUIROGA                                                                                                                            </v>
      </c>
      <c r="G1230" s="26" t="str">
        <f>"GUSTAVO A. MADERO                                                               "</f>
        <v xml:space="preserve">GUSTAVO A. MADERO                                                               </v>
      </c>
      <c r="H1230" s="26" t="str">
        <f>"152"</f>
        <v>152</v>
      </c>
      <c r="I1230" s="26" t="str">
        <f t="shared" si="207"/>
        <v>00</v>
      </c>
      <c r="J1230" s="26" t="str">
        <f t="shared" si="210"/>
        <v xml:space="preserve">32 </v>
      </c>
      <c r="K1230" s="26" t="str">
        <f t="shared" si="208"/>
        <v>EP</v>
      </c>
      <c r="L1230" s="26" t="str">
        <f t="shared" si="209"/>
        <v>DGOSE</v>
      </c>
      <c r="M1230" s="26" t="str">
        <f t="shared" si="205"/>
        <v>PARTICULAR</v>
      </c>
      <c r="N1230" s="26">
        <v>9</v>
      </c>
      <c r="O1230" s="26">
        <v>5</v>
      </c>
      <c r="P1230" s="26">
        <v>4</v>
      </c>
      <c r="Q1230" s="26">
        <v>3</v>
      </c>
      <c r="R1230" s="26">
        <v>0</v>
      </c>
      <c r="S1230" s="26">
        <v>2</v>
      </c>
      <c r="T1230" s="26">
        <v>0</v>
      </c>
      <c r="U1230" s="26">
        <v>2</v>
      </c>
      <c r="V1230" s="26">
        <v>1</v>
      </c>
      <c r="W1230" s="26"/>
    </row>
    <row r="1231" spans="1:23" x14ac:dyDescent="0.25">
      <c r="A1231" s="26" t="str">
        <f t="shared" si="206"/>
        <v>PREESCOLAR</v>
      </c>
      <c r="B1231" s="26" t="str">
        <f>"09PJN0705R"</f>
        <v>09PJN0705R</v>
      </c>
      <c r="C1231" s="26" t="str">
        <f>"CENTRO EDUCATIVO LE JARDIN                                                                          "</f>
        <v xml:space="preserve">CENTRO EDUCATIVO LE JARDIN                                                                          </v>
      </c>
      <c r="D1231" s="26" t="str">
        <f t="shared" si="204"/>
        <v>MATUTINO</v>
      </c>
      <c r="E1231" s="26" t="str">
        <f>"SALAVERRY NO. 779                                                               "</f>
        <v xml:space="preserve">SALAVERRY NO. 779                                                               </v>
      </c>
      <c r="F1231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1231" s="26" t="str">
        <f>"GUSTAVO A. MADERO                                                               "</f>
        <v xml:space="preserve">GUSTAVO A. MADERO                                                               </v>
      </c>
      <c r="H1231" s="26" t="str">
        <f>"177"</f>
        <v>177</v>
      </c>
      <c r="I1231" s="26" t="str">
        <f t="shared" si="207"/>
        <v>00</v>
      </c>
      <c r="J1231" s="26" t="str">
        <f t="shared" si="210"/>
        <v xml:space="preserve">32 </v>
      </c>
      <c r="K1231" s="26" t="str">
        <f t="shared" si="208"/>
        <v>EP</v>
      </c>
      <c r="L1231" s="26" t="str">
        <f t="shared" si="209"/>
        <v>DGOSE</v>
      </c>
      <c r="M1231" s="26" t="str">
        <f t="shared" si="205"/>
        <v>PARTICULAR</v>
      </c>
      <c r="N1231" s="26">
        <v>52</v>
      </c>
      <c r="O1231" s="26">
        <v>28</v>
      </c>
      <c r="P1231" s="26">
        <v>24</v>
      </c>
      <c r="Q1231" s="26">
        <v>3</v>
      </c>
      <c r="R1231" s="26">
        <v>1</v>
      </c>
      <c r="S1231" s="26">
        <v>3</v>
      </c>
      <c r="T1231" s="26">
        <v>5</v>
      </c>
      <c r="U1231" s="26">
        <v>9</v>
      </c>
      <c r="V1231" s="26">
        <v>1</v>
      </c>
      <c r="W1231" s="26"/>
    </row>
    <row r="1232" spans="1:23" x14ac:dyDescent="0.25">
      <c r="A1232" s="26" t="str">
        <f t="shared" si="206"/>
        <v>PREESCOLAR</v>
      </c>
      <c r="B1232" s="26" t="str">
        <f>"09PJN0706Q"</f>
        <v>09PJN0706Q</v>
      </c>
      <c r="C1232" s="26" t="str">
        <f>"COLEGIO MARIA CURIE DE MEXICO                                                                       "</f>
        <v xml:space="preserve">COLEGIO MARIA CURIE DE MEXICO                                                                       </v>
      </c>
      <c r="D1232" s="26" t="str">
        <f t="shared" si="204"/>
        <v>MATUTINO</v>
      </c>
      <c r="E1232" s="26" t="str">
        <f>"CORREGIDOR MIGUEL DOMINGUEZ NO. 61                                              "</f>
        <v xml:space="preserve">CORREGIDOR MIGUEL DOMINGUEZ NO. 61                                              </v>
      </c>
      <c r="F1232" s="26" t="str">
        <f>"GUSTAVO A. MADERO                                                                                                                           "</f>
        <v xml:space="preserve">GUSTAVO A. MADERO                                                                                                                           </v>
      </c>
      <c r="G1232" s="26" t="str">
        <f>"GUSTAVO A. MADERO                                                               "</f>
        <v xml:space="preserve">GUSTAVO A. MADERO                                                               </v>
      </c>
      <c r="H1232" s="26" t="str">
        <f>"195"</f>
        <v>195</v>
      </c>
      <c r="I1232" s="26" t="str">
        <f t="shared" si="207"/>
        <v>00</v>
      </c>
      <c r="J1232" s="26" t="str">
        <f t="shared" si="210"/>
        <v xml:space="preserve">32 </v>
      </c>
      <c r="K1232" s="26" t="str">
        <f t="shared" si="208"/>
        <v>EP</v>
      </c>
      <c r="L1232" s="26" t="str">
        <f t="shared" si="209"/>
        <v>DGOSE</v>
      </c>
      <c r="M1232" s="26" t="str">
        <f t="shared" si="205"/>
        <v>PARTICULAR</v>
      </c>
      <c r="N1232" s="26">
        <v>83</v>
      </c>
      <c r="O1232" s="26">
        <v>36</v>
      </c>
      <c r="P1232" s="26">
        <v>47</v>
      </c>
      <c r="Q1232" s="26">
        <v>4</v>
      </c>
      <c r="R1232" s="26">
        <v>1</v>
      </c>
      <c r="S1232" s="26">
        <v>4</v>
      </c>
      <c r="T1232" s="26">
        <v>10</v>
      </c>
      <c r="U1232" s="26">
        <v>15</v>
      </c>
      <c r="V1232" s="26">
        <v>1</v>
      </c>
      <c r="W1232" s="26"/>
    </row>
    <row r="1233" spans="1:23" x14ac:dyDescent="0.25">
      <c r="A1233" s="26" t="str">
        <f t="shared" si="206"/>
        <v>PREESCOLAR</v>
      </c>
      <c r="B1233" s="26" t="str">
        <f>"09PJN0707P"</f>
        <v>09PJN0707P</v>
      </c>
      <c r="C1233" s="26" t="str">
        <f>"COLEGIO JUAN BOSCO                                                                                  "</f>
        <v xml:space="preserve">COLEGIO JUAN BOSCO                                                                                  </v>
      </c>
      <c r="D1233" s="26" t="str">
        <f t="shared" si="204"/>
        <v>MATUTINO</v>
      </c>
      <c r="E1233" s="26" t="str">
        <f>"CAMPO COBO No. 27                                                               "</f>
        <v xml:space="preserve">CAMPO COBO No. 27                                                               </v>
      </c>
      <c r="F1233" s="26" t="str">
        <f>"PETROLERA                                                                                                                                   "</f>
        <v xml:space="preserve">PETROLERA                                                                                                                                   </v>
      </c>
      <c r="G1233" s="26" t="str">
        <f>"AZCAPOTZALCO                                                                    "</f>
        <v xml:space="preserve">AZCAPOTZALCO                                                                    </v>
      </c>
      <c r="H1233" s="26" t="str">
        <f>"059"</f>
        <v>059</v>
      </c>
      <c r="I1233" s="26" t="str">
        <f t="shared" si="207"/>
        <v>00</v>
      </c>
      <c r="J1233" s="26" t="str">
        <f t="shared" si="210"/>
        <v xml:space="preserve">32 </v>
      </c>
      <c r="K1233" s="26" t="str">
        <f t="shared" si="208"/>
        <v>EP</v>
      </c>
      <c r="L1233" s="26" t="str">
        <f t="shared" si="209"/>
        <v>DGOSE</v>
      </c>
      <c r="M1233" s="26" t="str">
        <f t="shared" si="205"/>
        <v>PARTICULAR</v>
      </c>
      <c r="N1233" s="26">
        <v>39</v>
      </c>
      <c r="O1233" s="26">
        <v>18</v>
      </c>
      <c r="P1233" s="26">
        <v>21</v>
      </c>
      <c r="Q1233" s="26">
        <v>3</v>
      </c>
      <c r="R1233" s="26">
        <v>1</v>
      </c>
      <c r="S1233" s="26">
        <v>3</v>
      </c>
      <c r="T1233" s="26">
        <v>5</v>
      </c>
      <c r="U1233" s="26">
        <v>9</v>
      </c>
      <c r="V1233" s="26">
        <v>1</v>
      </c>
      <c r="W1233" s="26"/>
    </row>
    <row r="1234" spans="1:23" x14ac:dyDescent="0.25">
      <c r="A1234" s="26" t="str">
        <f t="shared" si="206"/>
        <v>PREESCOLAR</v>
      </c>
      <c r="B1234" s="26" t="str">
        <f>"09PJN0716X"</f>
        <v>09PJN0716X</v>
      </c>
      <c r="C1234" s="26" t="str">
        <f>"JARDÍN DE NIÑOS BAMBI                                                                               "</f>
        <v xml:space="preserve">JARDÍN DE NIÑOS BAMBI                                                                               </v>
      </c>
      <c r="D1234" s="26" t="str">
        <f t="shared" si="204"/>
        <v>MATUTINO</v>
      </c>
      <c r="E1234" s="26" t="str">
        <f>"HACIENDA NARVARTE NO. 200                                                       "</f>
        <v xml:space="preserve">HACIENDA NARVARTE NO. 200                                                       </v>
      </c>
      <c r="F1234" s="26" t="str">
        <f>"PRADOS DEL ROSARIO                                                                                                                          "</f>
        <v xml:space="preserve">PRADOS DEL ROSARIO                                                                                                                          </v>
      </c>
      <c r="G1234" s="26" t="str">
        <f>"AZCAPOTZALCO                                                                    "</f>
        <v xml:space="preserve">AZCAPOTZALCO                                                                    </v>
      </c>
      <c r="H1234" s="26" t="str">
        <f>"009"</f>
        <v>009</v>
      </c>
      <c r="I1234" s="26" t="str">
        <f t="shared" si="207"/>
        <v>00</v>
      </c>
      <c r="J1234" s="26" t="str">
        <f t="shared" si="210"/>
        <v xml:space="preserve">32 </v>
      </c>
      <c r="K1234" s="26" t="str">
        <f t="shared" si="208"/>
        <v>EP</v>
      </c>
      <c r="L1234" s="26" t="str">
        <f t="shared" si="209"/>
        <v>DGOSE</v>
      </c>
      <c r="M1234" s="26" t="str">
        <f t="shared" si="205"/>
        <v>PARTICULAR</v>
      </c>
      <c r="N1234" s="26">
        <v>38</v>
      </c>
      <c r="O1234" s="26">
        <v>22</v>
      </c>
      <c r="P1234" s="26">
        <v>16</v>
      </c>
      <c r="Q1234" s="26">
        <v>5</v>
      </c>
      <c r="R1234" s="26">
        <v>1</v>
      </c>
      <c r="S1234" s="26">
        <v>3</v>
      </c>
      <c r="T1234" s="26">
        <v>5</v>
      </c>
      <c r="U1234" s="26">
        <v>9</v>
      </c>
      <c r="V1234" s="26">
        <v>1</v>
      </c>
      <c r="W1234" s="26"/>
    </row>
    <row r="1235" spans="1:23" x14ac:dyDescent="0.25">
      <c r="A1235" s="26" t="str">
        <f t="shared" si="206"/>
        <v>PREESCOLAR</v>
      </c>
      <c r="B1235" s="26" t="str">
        <f>"09PJN0724F"</f>
        <v>09PJN0724F</v>
      </c>
      <c r="C1235" s="26" t="str">
        <f>"JARDÍN DE NIÑOS ARCO IRIS                                                                           "</f>
        <v xml:space="preserve">JARDÍN DE NIÑOS ARCO IRIS                                                                           </v>
      </c>
      <c r="D1235" s="26" t="str">
        <f t="shared" si="204"/>
        <v>MATUTINO</v>
      </c>
      <c r="E1235" s="26" t="str">
        <f>"AV. 510 No. 53                                                                  "</f>
        <v xml:space="preserve">AV. 510 No. 53                                                                  </v>
      </c>
      <c r="F1235" s="26" t="str">
        <f>"SAN JUAN DE ARAGON                                                                                                                          "</f>
        <v xml:space="preserve">SAN JUAN DE ARAGON                                                                                                                          </v>
      </c>
      <c r="G1235" s="26" t="str">
        <f>"GUSTAVO A. MADERO                                                               "</f>
        <v xml:space="preserve">GUSTAVO A. MADERO                                                               </v>
      </c>
      <c r="H1235" s="26" t="str">
        <f>"201"</f>
        <v>201</v>
      </c>
      <c r="I1235" s="26" t="str">
        <f t="shared" si="207"/>
        <v>00</v>
      </c>
      <c r="J1235" s="26" t="str">
        <f t="shared" si="210"/>
        <v xml:space="preserve">32 </v>
      </c>
      <c r="K1235" s="26" t="str">
        <f t="shared" si="208"/>
        <v>EP</v>
      </c>
      <c r="L1235" s="26" t="str">
        <f t="shared" si="209"/>
        <v>DGOSE</v>
      </c>
      <c r="M1235" s="26" t="str">
        <f t="shared" si="205"/>
        <v>PARTICULAR</v>
      </c>
      <c r="N1235" s="26">
        <v>22</v>
      </c>
      <c r="O1235" s="26">
        <v>13</v>
      </c>
      <c r="P1235" s="26">
        <v>9</v>
      </c>
      <c r="Q1235" s="26">
        <v>2</v>
      </c>
      <c r="R1235" s="26">
        <v>1</v>
      </c>
      <c r="S1235" s="26">
        <v>2</v>
      </c>
      <c r="T1235" s="26">
        <v>3</v>
      </c>
      <c r="U1235" s="26">
        <v>6</v>
      </c>
      <c r="V1235" s="26">
        <v>1</v>
      </c>
      <c r="W1235" s="26"/>
    </row>
    <row r="1236" spans="1:23" x14ac:dyDescent="0.25">
      <c r="A1236" s="26" t="str">
        <f t="shared" si="206"/>
        <v>PREESCOLAR</v>
      </c>
      <c r="B1236" s="26" t="str">
        <f>"09PJN0725E"</f>
        <v>09PJN0725E</v>
      </c>
      <c r="C1236" s="26" t="str">
        <f>"EL MUNDO DEL SABER                                                                                  "</f>
        <v xml:space="preserve">EL MUNDO DEL SABER                                                                                  </v>
      </c>
      <c r="D1236" s="26" t="str">
        <f t="shared" si="204"/>
        <v>MATUTINO</v>
      </c>
      <c r="E1236" s="26" t="str">
        <f>"AV. DEL PARQUE MZA. 53 L.35                                                     "</f>
        <v xml:space="preserve">AV. DEL PARQUE MZA. 53 L.35                                                     </v>
      </c>
      <c r="F1236" s="26" t="str">
        <f>"CUCHILLA DEL TESORO                                                                                                                         "</f>
        <v xml:space="preserve">CUCHILLA DEL TESORO                                                                                                                         </v>
      </c>
      <c r="G1236" s="26" t="str">
        <f>"GUSTAVO A. MADERO                                                               "</f>
        <v xml:space="preserve">GUSTAVO A. MADERO                                                               </v>
      </c>
      <c r="H1236" s="26" t="str">
        <f>"199"</f>
        <v>199</v>
      </c>
      <c r="I1236" s="26" t="str">
        <f t="shared" si="207"/>
        <v>00</v>
      </c>
      <c r="J1236" s="26" t="str">
        <f t="shared" si="210"/>
        <v xml:space="preserve">32 </v>
      </c>
      <c r="K1236" s="26" t="str">
        <f t="shared" si="208"/>
        <v>EP</v>
      </c>
      <c r="L1236" s="26" t="str">
        <f t="shared" si="209"/>
        <v>DGOSE</v>
      </c>
      <c r="M1236" s="26" t="str">
        <f t="shared" si="205"/>
        <v>PARTICULAR</v>
      </c>
      <c r="N1236" s="26">
        <v>20</v>
      </c>
      <c r="O1236" s="26">
        <v>9</v>
      </c>
      <c r="P1236" s="26">
        <v>11</v>
      </c>
      <c r="Q1236" s="26">
        <v>2</v>
      </c>
      <c r="R1236" s="26">
        <v>1</v>
      </c>
      <c r="S1236" s="26">
        <v>2</v>
      </c>
      <c r="T1236" s="26">
        <v>1</v>
      </c>
      <c r="U1236" s="26">
        <v>4</v>
      </c>
      <c r="V1236" s="26">
        <v>1</v>
      </c>
      <c r="W1236" s="26"/>
    </row>
    <row r="1237" spans="1:23" x14ac:dyDescent="0.25">
      <c r="A1237" s="26" t="str">
        <f t="shared" si="206"/>
        <v>PREESCOLAR</v>
      </c>
      <c r="B1237" s="26" t="str">
        <f>"09PJN0739H"</f>
        <v>09PJN0739H</v>
      </c>
      <c r="C1237" s="26" t="s">
        <v>90</v>
      </c>
      <c r="D1237" s="26" t="str">
        <f t="shared" si="204"/>
        <v>MATUTINO</v>
      </c>
      <c r="E1237" s="26" t="str">
        <f>"PALESTINA NO. 95                                                                "</f>
        <v xml:space="preserve">PALESTINA NO. 95                                                                </v>
      </c>
      <c r="F1237" s="26" t="str">
        <f>"CLAVERIA                                                                                                                                    "</f>
        <v xml:space="preserve">CLAVERIA                                                                                                                                    </v>
      </c>
      <c r="G1237" s="26" t="str">
        <f>"AZCAPOTZALCO                                                                    "</f>
        <v xml:space="preserve">AZCAPOTZALCO                                                                    </v>
      </c>
      <c r="H1237" s="26" t="str">
        <f>"106"</f>
        <v>106</v>
      </c>
      <c r="I1237" s="26" t="str">
        <f t="shared" si="207"/>
        <v>00</v>
      </c>
      <c r="J1237" s="26" t="str">
        <f t="shared" si="210"/>
        <v xml:space="preserve">32 </v>
      </c>
      <c r="K1237" s="26" t="str">
        <f t="shared" si="208"/>
        <v>EP</v>
      </c>
      <c r="L1237" s="26" t="str">
        <f t="shared" si="209"/>
        <v>DGOSE</v>
      </c>
      <c r="M1237" s="26" t="str">
        <f t="shared" si="205"/>
        <v>PARTICULAR</v>
      </c>
      <c r="N1237" s="26">
        <v>23</v>
      </c>
      <c r="O1237" s="26">
        <v>15</v>
      </c>
      <c r="P1237" s="26">
        <v>8</v>
      </c>
      <c r="Q1237" s="26">
        <v>3</v>
      </c>
      <c r="R1237" s="26">
        <v>1</v>
      </c>
      <c r="S1237" s="26">
        <v>3</v>
      </c>
      <c r="T1237" s="26">
        <v>3</v>
      </c>
      <c r="U1237" s="26">
        <v>7</v>
      </c>
      <c r="V1237" s="26">
        <v>1</v>
      </c>
      <c r="W1237" s="26"/>
    </row>
    <row r="1238" spans="1:23" x14ac:dyDescent="0.25">
      <c r="A1238" s="26" t="str">
        <f t="shared" si="206"/>
        <v>PREESCOLAR</v>
      </c>
      <c r="B1238" s="26" t="str">
        <f>"09PJN0748P"</f>
        <v>09PJN0748P</v>
      </c>
      <c r="C1238" s="26" t="str">
        <f>"INSTITUTO ESTADO DE MEXICO                                                                          "</f>
        <v xml:space="preserve">INSTITUTO ESTADO DE MEXICO                                                                          </v>
      </c>
      <c r="D1238" s="26" t="str">
        <f t="shared" si="204"/>
        <v>MATUTINO</v>
      </c>
      <c r="E1238" s="26" t="str">
        <f>"FLORESTA NO. 138                                                                "</f>
        <v xml:space="preserve">FLORESTA NO. 138                                                                </v>
      </c>
      <c r="F1238" s="26" t="str">
        <f>"CLAVERIA                                                                                                                                    "</f>
        <v xml:space="preserve">CLAVERIA                                                                                                                                    </v>
      </c>
      <c r="G1238" s="26" t="str">
        <f>"AZCAPOTZALCO                                                                    "</f>
        <v xml:space="preserve">AZCAPOTZALCO                                                                    </v>
      </c>
      <c r="H1238" s="26" t="str">
        <f>"059"</f>
        <v>059</v>
      </c>
      <c r="I1238" s="26" t="str">
        <f t="shared" si="207"/>
        <v>00</v>
      </c>
      <c r="J1238" s="26" t="str">
        <f t="shared" si="210"/>
        <v xml:space="preserve">32 </v>
      </c>
      <c r="K1238" s="26" t="str">
        <f t="shared" si="208"/>
        <v>EP</v>
      </c>
      <c r="L1238" s="26" t="str">
        <f t="shared" si="209"/>
        <v>DGOSE</v>
      </c>
      <c r="M1238" s="26" t="str">
        <f t="shared" si="205"/>
        <v>PARTICULAR</v>
      </c>
      <c r="N1238" s="26">
        <v>31</v>
      </c>
      <c r="O1238" s="26">
        <v>16</v>
      </c>
      <c r="P1238" s="26">
        <v>15</v>
      </c>
      <c r="Q1238" s="26">
        <v>3</v>
      </c>
      <c r="R1238" s="26">
        <v>1</v>
      </c>
      <c r="S1238" s="26">
        <v>2</v>
      </c>
      <c r="T1238" s="26">
        <v>7</v>
      </c>
      <c r="U1238" s="26">
        <v>10</v>
      </c>
      <c r="V1238" s="26">
        <v>1</v>
      </c>
      <c r="W1238" s="26"/>
    </row>
    <row r="1239" spans="1:23" x14ac:dyDescent="0.25">
      <c r="A1239" s="26" t="str">
        <f t="shared" si="206"/>
        <v>PREESCOLAR</v>
      </c>
      <c r="B1239" s="26" t="str">
        <f>"09PJN0762I"</f>
        <v>09PJN0762I</v>
      </c>
      <c r="C1239" s="26" t="str">
        <f>"CENTRO EDUCATIVO INFANTIL GANDHI                                                                    "</f>
        <v xml:space="preserve">CENTRO EDUCATIVO INFANTIL GANDHI                                                                    </v>
      </c>
      <c r="D1239" s="26" t="str">
        <f t="shared" si="204"/>
        <v>MATUTINO</v>
      </c>
      <c r="E1239" s="26" t="str">
        <f>"OMEGA NO. 151                                                                   "</f>
        <v xml:space="preserve">OMEGA NO. 151                                                                   </v>
      </c>
      <c r="F1239" s="26" t="str">
        <f>"ROMERO DE TERREROS FRACCIONAMIENTO                                                                                                          "</f>
        <v xml:space="preserve">ROMERO DE TERREROS FRACCIONAMIENTO                                                                                                          </v>
      </c>
      <c r="G1239" s="26" t="str">
        <f t="shared" ref="G1239:G1245" si="211">"COYOACAN                                                                        "</f>
        <v xml:space="preserve">COYOACAN                                                                        </v>
      </c>
      <c r="H1239" s="26" t="str">
        <f>"237"</f>
        <v>237</v>
      </c>
      <c r="I1239" s="26" t="str">
        <f t="shared" si="207"/>
        <v>00</v>
      </c>
      <c r="J1239" s="26" t="str">
        <f t="shared" ref="J1239:J1246" si="212">"35 "</f>
        <v xml:space="preserve">35 </v>
      </c>
      <c r="K1239" s="26" t="str">
        <f t="shared" si="208"/>
        <v>EP</v>
      </c>
      <c r="L1239" s="26" t="str">
        <f t="shared" si="209"/>
        <v>DGOSE</v>
      </c>
      <c r="M1239" s="26" t="str">
        <f t="shared" si="205"/>
        <v>PARTICULAR</v>
      </c>
      <c r="N1239" s="26">
        <v>25</v>
      </c>
      <c r="O1239" s="26">
        <v>12</v>
      </c>
      <c r="P1239" s="26">
        <v>13</v>
      </c>
      <c r="Q1239" s="26">
        <v>3</v>
      </c>
      <c r="R1239" s="26">
        <v>1</v>
      </c>
      <c r="S1239" s="26">
        <v>3</v>
      </c>
      <c r="T1239" s="26">
        <v>2</v>
      </c>
      <c r="U1239" s="26">
        <v>6</v>
      </c>
      <c r="V1239" s="26">
        <v>1</v>
      </c>
      <c r="W1239" s="26"/>
    </row>
    <row r="1240" spans="1:23" x14ac:dyDescent="0.25">
      <c r="A1240" s="26" t="str">
        <f t="shared" si="206"/>
        <v>PREESCOLAR</v>
      </c>
      <c r="B1240" s="26" t="str">
        <f>"09PJN0768C"</f>
        <v>09PJN0768C</v>
      </c>
      <c r="C1240" s="26" t="str">
        <f>"CLUB INFANTIL TOPO GIGIO                                                                            "</f>
        <v xml:space="preserve">CLUB INFANTIL TOPO GIGIO                                                                            </v>
      </c>
      <c r="D1240" s="26" t="str">
        <f t="shared" si="204"/>
        <v>MATUTINO</v>
      </c>
      <c r="E1240" s="26" t="str">
        <f>"TOLTECAS S/N. MZA. 58 LOTE 15                                                   "</f>
        <v xml:space="preserve">TOLTECAS S/N. MZA. 58 LOTE 15                                                   </v>
      </c>
      <c r="F1240" s="26" t="str">
        <f>"AJUSCO                                                                                                                                      "</f>
        <v xml:space="preserve">AJUSCO                                                                                                                                      </v>
      </c>
      <c r="G1240" s="26" t="str">
        <f t="shared" si="211"/>
        <v xml:space="preserve">COYOACAN                                                                        </v>
      </c>
      <c r="H1240" s="26" t="str">
        <f>"211"</f>
        <v>211</v>
      </c>
      <c r="I1240" s="26" t="str">
        <f t="shared" si="207"/>
        <v>00</v>
      </c>
      <c r="J1240" s="26" t="str">
        <f t="shared" si="212"/>
        <v xml:space="preserve">35 </v>
      </c>
      <c r="K1240" s="26" t="str">
        <f t="shared" si="208"/>
        <v>EP</v>
      </c>
      <c r="L1240" s="26" t="str">
        <f t="shared" si="209"/>
        <v>DGOSE</v>
      </c>
      <c r="M1240" s="26" t="str">
        <f t="shared" si="205"/>
        <v>PARTICULAR</v>
      </c>
      <c r="N1240" s="26">
        <v>56</v>
      </c>
      <c r="O1240" s="26">
        <v>31</v>
      </c>
      <c r="P1240" s="26">
        <v>25</v>
      </c>
      <c r="Q1240" s="26">
        <v>3</v>
      </c>
      <c r="R1240" s="26">
        <v>1</v>
      </c>
      <c r="S1240" s="26">
        <v>3</v>
      </c>
      <c r="T1240" s="26">
        <v>6</v>
      </c>
      <c r="U1240" s="26">
        <v>10</v>
      </c>
      <c r="V1240" s="26">
        <v>1</v>
      </c>
      <c r="W1240" s="26"/>
    </row>
    <row r="1241" spans="1:23" x14ac:dyDescent="0.25">
      <c r="A1241" s="26" t="str">
        <f t="shared" si="206"/>
        <v>PREESCOLAR</v>
      </c>
      <c r="B1241" s="26" t="str">
        <f>"09PJN0770R"</f>
        <v>09PJN0770R</v>
      </c>
      <c r="C1241" s="26" t="str">
        <f>"COLEGIO ANTONIO JOSE DE SUCRE                                                                       "</f>
        <v xml:space="preserve">COLEGIO ANTONIO JOSE DE SUCRE                                                                       </v>
      </c>
      <c r="D1241" s="26" t="str">
        <f t="shared" si="204"/>
        <v>MATUTINO</v>
      </c>
      <c r="E1241" s="26" t="str">
        <f>"CERRO DE JESUS NO. 140                                                          "</f>
        <v xml:space="preserve">CERRO DE JESUS NO. 140                                                          </v>
      </c>
      <c r="F1241" s="26" t="str">
        <f>"CAMPESTRE CHURUBUSCO                                                                                                                        "</f>
        <v xml:space="preserve">CAMPESTRE CHURUBUSCO                                                                                                                        </v>
      </c>
      <c r="G1241" s="26" t="str">
        <f t="shared" si="211"/>
        <v xml:space="preserve">COYOACAN                                                                        </v>
      </c>
      <c r="H1241" s="26" t="str">
        <f>"099"</f>
        <v>099</v>
      </c>
      <c r="I1241" s="26" t="str">
        <f t="shared" si="207"/>
        <v>00</v>
      </c>
      <c r="J1241" s="26" t="str">
        <f t="shared" si="212"/>
        <v xml:space="preserve">35 </v>
      </c>
      <c r="K1241" s="26" t="str">
        <f t="shared" si="208"/>
        <v>EP</v>
      </c>
      <c r="L1241" s="26" t="str">
        <f t="shared" si="209"/>
        <v>DGOSE</v>
      </c>
      <c r="M1241" s="26" t="str">
        <f t="shared" si="205"/>
        <v>PARTICULAR</v>
      </c>
      <c r="N1241" s="26">
        <v>17</v>
      </c>
      <c r="O1241" s="26">
        <v>9</v>
      </c>
      <c r="P1241" s="26">
        <v>8</v>
      </c>
      <c r="Q1241" s="26">
        <v>1</v>
      </c>
      <c r="R1241" s="26">
        <v>1</v>
      </c>
      <c r="S1241" s="26">
        <v>1</v>
      </c>
      <c r="T1241" s="26">
        <v>3</v>
      </c>
      <c r="U1241" s="26">
        <v>5</v>
      </c>
      <c r="V1241" s="26">
        <v>1</v>
      </c>
      <c r="W1241" s="26"/>
    </row>
    <row r="1242" spans="1:23" x14ac:dyDescent="0.25">
      <c r="A1242" s="26" t="str">
        <f t="shared" si="206"/>
        <v>PREESCOLAR</v>
      </c>
      <c r="B1242" s="26" t="str">
        <f>"09PJN0771Q"</f>
        <v>09PJN0771Q</v>
      </c>
      <c r="C1242" s="26" t="str">
        <f>"DONAL´S KINDER MRS. FARFAN                                                                          "</f>
        <v xml:space="preserve">DONAL´S KINDER MRS. FARFAN                                                                          </v>
      </c>
      <c r="D1242" s="26" t="str">
        <f t="shared" si="204"/>
        <v>MATUTINO</v>
      </c>
      <c r="E1242" s="26" t="str">
        <f>"CERRO DE LA ESTRELLA NO. 116                                                    "</f>
        <v xml:space="preserve">CERRO DE LA ESTRELLA NO. 116                                                    </v>
      </c>
      <c r="F1242" s="26" t="str">
        <f>"CAMPESTRE CHURUBUSCO                                                                                                                        "</f>
        <v xml:space="preserve">CAMPESTRE CHURUBUSCO                                                                                                                        </v>
      </c>
      <c r="G1242" s="26" t="str">
        <f t="shared" si="211"/>
        <v xml:space="preserve">COYOACAN                                                                        </v>
      </c>
      <c r="H1242" s="26" t="str">
        <f>"043"</f>
        <v>043</v>
      </c>
      <c r="I1242" s="26" t="str">
        <f t="shared" si="207"/>
        <v>00</v>
      </c>
      <c r="J1242" s="26" t="str">
        <f t="shared" si="212"/>
        <v xml:space="preserve">35 </v>
      </c>
      <c r="K1242" s="26" t="str">
        <f t="shared" si="208"/>
        <v>EP</v>
      </c>
      <c r="L1242" s="26" t="str">
        <f t="shared" si="209"/>
        <v>DGOSE</v>
      </c>
      <c r="M1242" s="26" t="str">
        <f t="shared" si="205"/>
        <v>PARTICULAR</v>
      </c>
      <c r="N1242" s="26">
        <v>18</v>
      </c>
      <c r="O1242" s="26">
        <v>7</v>
      </c>
      <c r="P1242" s="26">
        <v>11</v>
      </c>
      <c r="Q1242" s="26">
        <v>3</v>
      </c>
      <c r="R1242" s="26">
        <v>1</v>
      </c>
      <c r="S1242" s="26">
        <v>2</v>
      </c>
      <c r="T1242" s="26">
        <v>2</v>
      </c>
      <c r="U1242" s="26">
        <v>5</v>
      </c>
      <c r="V1242" s="26">
        <v>1</v>
      </c>
      <c r="W1242" s="26"/>
    </row>
    <row r="1243" spans="1:23" x14ac:dyDescent="0.25">
      <c r="A1243" s="26" t="str">
        <f t="shared" si="206"/>
        <v>PREESCOLAR</v>
      </c>
      <c r="B1243" s="26" t="str">
        <f>"09PJN0800V"</f>
        <v>09PJN0800V</v>
      </c>
      <c r="C1243" s="26" t="str">
        <f>"COLEGIO SUBIACO                                                                                     "</f>
        <v xml:space="preserve">COLEGIO SUBIACO                                                                                     </v>
      </c>
      <c r="D1243" s="26" t="str">
        <f t="shared" si="204"/>
        <v>MATUTINO</v>
      </c>
      <c r="E1243" s="26" t="str">
        <f>"LAS ROSAS NO. 32                                                                "</f>
        <v xml:space="preserve">LAS ROSAS NO. 32                                                                </v>
      </c>
      <c r="F1243" s="26" t="str">
        <f>"SAN FRANCISCO CULHUACAN                                                                                                                     "</f>
        <v xml:space="preserve">SAN FRANCISCO CULHUACAN                                                                                                                     </v>
      </c>
      <c r="G1243" s="26" t="str">
        <f t="shared" si="211"/>
        <v xml:space="preserve">COYOACAN                                                                        </v>
      </c>
      <c r="H1243" s="26" t="str">
        <f>"237"</f>
        <v>237</v>
      </c>
      <c r="I1243" s="26" t="str">
        <f t="shared" si="207"/>
        <v>00</v>
      </c>
      <c r="J1243" s="26" t="str">
        <f t="shared" si="212"/>
        <v xml:space="preserve">35 </v>
      </c>
      <c r="K1243" s="26" t="str">
        <f t="shared" si="208"/>
        <v>EP</v>
      </c>
      <c r="L1243" s="26" t="str">
        <f t="shared" si="209"/>
        <v>DGOSE</v>
      </c>
      <c r="M1243" s="26" t="str">
        <f t="shared" si="205"/>
        <v>PARTICULAR</v>
      </c>
      <c r="N1243" s="26">
        <v>23</v>
      </c>
      <c r="O1243" s="26">
        <v>10</v>
      </c>
      <c r="P1243" s="26">
        <v>13</v>
      </c>
      <c r="Q1243" s="26">
        <v>3</v>
      </c>
      <c r="R1243" s="26">
        <v>1</v>
      </c>
      <c r="S1243" s="26">
        <v>2</v>
      </c>
      <c r="T1243" s="26">
        <v>4</v>
      </c>
      <c r="U1243" s="26">
        <v>7</v>
      </c>
      <c r="V1243" s="26">
        <v>1</v>
      </c>
      <c r="W1243" s="26"/>
    </row>
    <row r="1244" spans="1:23" x14ac:dyDescent="0.25">
      <c r="A1244" s="26" t="str">
        <f t="shared" si="206"/>
        <v>PREESCOLAR</v>
      </c>
      <c r="B1244" s="26" t="str">
        <f>"09PJN0815X"</f>
        <v>09PJN0815X</v>
      </c>
      <c r="C1244" s="26" t="str">
        <f>"ESCUELA ACTIVA PAIDOS                                                                               "</f>
        <v xml:space="preserve">ESCUELA ACTIVA PAIDOS                                                                               </v>
      </c>
      <c r="D1244" s="26" t="str">
        <f t="shared" si="204"/>
        <v>MATUTINO</v>
      </c>
      <c r="E1244" s="26" t="str">
        <f>"EMILIANO ZAPATA NO.60                                                           "</f>
        <v xml:space="preserve">EMILIANO ZAPATA NO.60                                                           </v>
      </c>
      <c r="F1244" s="26" t="str">
        <f>"LA CANDELARIA                                                                                                                               "</f>
        <v xml:space="preserve">LA CANDELARIA                                                                                                                               </v>
      </c>
      <c r="G1244" s="26" t="str">
        <f t="shared" si="211"/>
        <v xml:space="preserve">COYOACAN                                                                        </v>
      </c>
      <c r="H1244" s="26" t="str">
        <f>"211"</f>
        <v>211</v>
      </c>
      <c r="I1244" s="26" t="str">
        <f t="shared" si="207"/>
        <v>00</v>
      </c>
      <c r="J1244" s="26" t="str">
        <f t="shared" si="212"/>
        <v xml:space="preserve">35 </v>
      </c>
      <c r="K1244" s="26" t="str">
        <f t="shared" si="208"/>
        <v>EP</v>
      </c>
      <c r="L1244" s="26" t="str">
        <f t="shared" si="209"/>
        <v>DGOSE</v>
      </c>
      <c r="M1244" s="26" t="str">
        <f t="shared" si="205"/>
        <v>PARTICULAR</v>
      </c>
      <c r="N1244" s="26">
        <v>22</v>
      </c>
      <c r="O1244" s="26">
        <v>15</v>
      </c>
      <c r="P1244" s="26">
        <v>7</v>
      </c>
      <c r="Q1244" s="26">
        <v>3</v>
      </c>
      <c r="R1244" s="26">
        <v>1</v>
      </c>
      <c r="S1244" s="26">
        <v>3</v>
      </c>
      <c r="T1244" s="26">
        <v>9</v>
      </c>
      <c r="U1244" s="26">
        <v>13</v>
      </c>
      <c r="V1244" s="26">
        <v>1</v>
      </c>
      <c r="W1244" s="26"/>
    </row>
    <row r="1245" spans="1:23" x14ac:dyDescent="0.25">
      <c r="A1245" s="26" t="str">
        <f t="shared" si="206"/>
        <v>PREESCOLAR</v>
      </c>
      <c r="B1245" s="26" t="str">
        <f>"09PJN0821H"</f>
        <v>09PJN0821H</v>
      </c>
      <c r="C1245" s="26" t="str">
        <f>"ACADEMIA MODERNA                                                                                    "</f>
        <v xml:space="preserve">ACADEMIA MODERNA                                                                                    </v>
      </c>
      <c r="D1245" s="26" t="str">
        <f t="shared" si="204"/>
        <v>MATUTINO</v>
      </c>
      <c r="E1245" s="26" t="str">
        <f>"AMERICA NO. 184                                                                 "</f>
        <v xml:space="preserve">AMERICA NO. 184                                                                 </v>
      </c>
      <c r="F1245" s="26" t="str">
        <f>"PARQUE SAN ANDRES                                                                                                                           "</f>
        <v xml:space="preserve">PARQUE SAN ANDRES                                                                                                                           </v>
      </c>
      <c r="G1245" s="26" t="str">
        <f t="shared" si="211"/>
        <v xml:space="preserve">COYOACAN                                                                        </v>
      </c>
      <c r="H1245" s="26" t="str">
        <f>"111"</f>
        <v>111</v>
      </c>
      <c r="I1245" s="26" t="str">
        <f t="shared" si="207"/>
        <v>00</v>
      </c>
      <c r="J1245" s="26" t="str">
        <f t="shared" si="212"/>
        <v xml:space="preserve">35 </v>
      </c>
      <c r="K1245" s="26" t="str">
        <f t="shared" si="208"/>
        <v>EP</v>
      </c>
      <c r="L1245" s="26" t="str">
        <f t="shared" si="209"/>
        <v>DGOSE</v>
      </c>
      <c r="M1245" s="26" t="str">
        <f t="shared" si="205"/>
        <v>PARTICULAR</v>
      </c>
      <c r="N1245" s="26">
        <v>46</v>
      </c>
      <c r="O1245" s="26">
        <v>26</v>
      </c>
      <c r="P1245" s="26">
        <v>20</v>
      </c>
      <c r="Q1245" s="26">
        <v>3</v>
      </c>
      <c r="R1245" s="26">
        <v>1</v>
      </c>
      <c r="S1245" s="26">
        <v>3</v>
      </c>
      <c r="T1245" s="26">
        <v>9</v>
      </c>
      <c r="U1245" s="26">
        <v>13</v>
      </c>
      <c r="V1245" s="26">
        <v>1</v>
      </c>
      <c r="W1245" s="26"/>
    </row>
    <row r="1246" spans="1:23" x14ac:dyDescent="0.25">
      <c r="A1246" s="26" t="str">
        <f t="shared" si="206"/>
        <v>PREESCOLAR</v>
      </c>
      <c r="B1246" s="26" t="str">
        <f>"09PJN0834L"</f>
        <v>09PJN0834L</v>
      </c>
      <c r="C1246" s="26" t="str">
        <f>"GONKIE                                                                                              "</f>
        <v xml:space="preserve">GONKIE                                                                                              </v>
      </c>
      <c r="D1246" s="26" t="str">
        <f t="shared" si="204"/>
        <v>MATUTINO</v>
      </c>
      <c r="E1246" s="26" t="str">
        <f>"CERRADA RANCHO XINTE NO. 25 LT. 20 MZA.6                                        "</f>
        <v xml:space="preserve">CERRADA RANCHO XINTE NO. 25 LT. 20 MZA.6                                        </v>
      </c>
      <c r="F1246" s="26" t="str">
        <f>"RESIDENCIAL EX-HACIENDA COAPA                                                                                                               "</f>
        <v xml:space="preserve">RESIDENCIAL EX-HACIENDA COAPA                                                                                                               </v>
      </c>
      <c r="G1246" s="26" t="str">
        <f>"TLALPAN                                                                         "</f>
        <v xml:space="preserve">TLALPAN                                                                         </v>
      </c>
      <c r="H1246" s="26" t="str">
        <f>"220"</f>
        <v>220</v>
      </c>
      <c r="I1246" s="26" t="str">
        <f t="shared" si="207"/>
        <v>00</v>
      </c>
      <c r="J1246" s="26" t="str">
        <f t="shared" si="212"/>
        <v xml:space="preserve">35 </v>
      </c>
      <c r="K1246" s="26" t="str">
        <f t="shared" si="208"/>
        <v>EP</v>
      </c>
      <c r="L1246" s="26" t="str">
        <f t="shared" si="209"/>
        <v>DGOSE</v>
      </c>
      <c r="M1246" s="26" t="str">
        <f t="shared" si="205"/>
        <v>PARTICULAR</v>
      </c>
      <c r="N1246" s="26">
        <v>13</v>
      </c>
      <c r="O1246" s="26">
        <v>8</v>
      </c>
      <c r="P1246" s="26">
        <v>5</v>
      </c>
      <c r="Q1246" s="26">
        <v>3</v>
      </c>
      <c r="R1246" s="26">
        <v>1</v>
      </c>
      <c r="S1246" s="26">
        <v>2</v>
      </c>
      <c r="T1246" s="26">
        <v>1</v>
      </c>
      <c r="U1246" s="26">
        <v>4</v>
      </c>
      <c r="V1246" s="26">
        <v>1</v>
      </c>
      <c r="W1246" s="26"/>
    </row>
    <row r="1247" spans="1:23" x14ac:dyDescent="0.25">
      <c r="A1247" s="26" t="str">
        <f t="shared" si="206"/>
        <v>PREESCOLAR</v>
      </c>
      <c r="B1247" s="26" t="str">
        <f>"09PJN0835K"</f>
        <v>09PJN0835K</v>
      </c>
      <c r="C1247" s="26" t="str">
        <f>"INSTITUTO JORGE WASHINGTON                                                                          "</f>
        <v xml:space="preserve">INSTITUTO JORGE WASHINGTON                                                                          </v>
      </c>
      <c r="D1247" s="26" t="str">
        <f t="shared" si="204"/>
        <v>MATUTINO</v>
      </c>
      <c r="E1247" s="26" t="str">
        <f>"AV. DEL TALLER NO. 638                                                          "</f>
        <v xml:space="preserve">AV. DEL TALLER NO. 638                                                          </v>
      </c>
      <c r="F1247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1247" s="26" t="str">
        <f>"VENUSTIANO CARRANZA                                                             "</f>
        <v xml:space="preserve">VENUSTIANO CARRANZA                                                             </v>
      </c>
      <c r="H1247" s="26" t="str">
        <f>"096"</f>
        <v>096</v>
      </c>
      <c r="I1247" s="26" t="str">
        <f t="shared" si="207"/>
        <v>00</v>
      </c>
      <c r="J1247" s="26" t="str">
        <f>"33 "</f>
        <v xml:space="preserve">33 </v>
      </c>
      <c r="K1247" s="26" t="str">
        <f t="shared" si="208"/>
        <v>EP</v>
      </c>
      <c r="L1247" s="26" t="str">
        <f t="shared" si="209"/>
        <v>DGOSE</v>
      </c>
      <c r="M1247" s="26" t="str">
        <f t="shared" si="205"/>
        <v>PARTICULAR</v>
      </c>
      <c r="N1247" s="26">
        <v>46</v>
      </c>
      <c r="O1247" s="26">
        <v>21</v>
      </c>
      <c r="P1247" s="26">
        <v>25</v>
      </c>
      <c r="Q1247" s="26">
        <v>3</v>
      </c>
      <c r="R1247" s="26">
        <v>1</v>
      </c>
      <c r="S1247" s="26">
        <v>3</v>
      </c>
      <c r="T1247" s="26">
        <v>3</v>
      </c>
      <c r="U1247" s="26">
        <v>7</v>
      </c>
      <c r="V1247" s="26">
        <v>1</v>
      </c>
      <c r="W1247" s="26"/>
    </row>
    <row r="1248" spans="1:23" x14ac:dyDescent="0.25">
      <c r="A1248" s="26" t="str">
        <f t="shared" si="206"/>
        <v>PREESCOLAR</v>
      </c>
      <c r="B1248" s="26" t="str">
        <f>"09PJN0836J"</f>
        <v>09PJN0836J</v>
      </c>
      <c r="C1248" s="26" t="str">
        <f>"BURBUJITA                                                                                           "</f>
        <v xml:space="preserve">BURBUJITA                                                                                           </v>
      </c>
      <c r="D1248" s="26" t="str">
        <f t="shared" si="204"/>
        <v>MATUTINO</v>
      </c>
      <c r="E1248" s="26" t="str">
        <f>"MORELOS NO. 21                                                                  "</f>
        <v xml:space="preserve">MORELOS NO. 21                                                                  </v>
      </c>
      <c r="F1248" s="26" t="str">
        <f>"SAN PABLO                                                                                                                                   "</f>
        <v xml:space="preserve">SAN PABLO                                                                                                                                   </v>
      </c>
      <c r="G1248" s="26" t="str">
        <f>"IZTAPALAPA                                                                      "</f>
        <v xml:space="preserve">IZTAPALAPA                                                                      </v>
      </c>
      <c r="H1248" s="26" t="str">
        <f>"000"</f>
        <v>000</v>
      </c>
      <c r="I1248" s="26" t="str">
        <f t="shared" si="207"/>
        <v>00</v>
      </c>
      <c r="J1248" s="26" t="str">
        <f>"61 "</f>
        <v xml:space="preserve">61 </v>
      </c>
      <c r="K1248" s="26" t="str">
        <f>"IZ"</f>
        <v>IZ</v>
      </c>
      <c r="L1248" s="26" t="str">
        <f>"DGSEI"</f>
        <v>DGSEI</v>
      </c>
      <c r="M1248" s="26" t="str">
        <f t="shared" si="205"/>
        <v>PARTICULAR</v>
      </c>
      <c r="N1248" s="26">
        <v>12</v>
      </c>
      <c r="O1248" s="26">
        <v>6</v>
      </c>
      <c r="P1248" s="26">
        <v>6</v>
      </c>
      <c r="Q1248" s="26">
        <v>3</v>
      </c>
      <c r="R1248" s="26">
        <v>1</v>
      </c>
      <c r="S1248" s="26">
        <v>1</v>
      </c>
      <c r="T1248" s="26">
        <v>2</v>
      </c>
      <c r="U1248" s="26">
        <v>4</v>
      </c>
      <c r="V1248" s="26">
        <v>1</v>
      </c>
      <c r="W1248" s="26"/>
    </row>
    <row r="1249" spans="1:23" x14ac:dyDescent="0.25">
      <c r="A1249" s="26" t="str">
        <f t="shared" si="206"/>
        <v>PREESCOLAR</v>
      </c>
      <c r="B1249" s="26" t="str">
        <f>"09PJN0837I"</f>
        <v>09PJN0837I</v>
      </c>
      <c r="C1249" s="26" t="str">
        <f>"JARDIN DE NIÑOS VICKY                                                                               "</f>
        <v xml:space="preserve">JARDIN DE NIÑOS VICKY                                                                               </v>
      </c>
      <c r="D1249" s="26" t="str">
        <f t="shared" si="204"/>
        <v>MATUTINO</v>
      </c>
      <c r="E1249" s="26" t="str">
        <f>"PLAYA REVOLCADERO NO. 233                                                       "</f>
        <v xml:space="preserve">PLAYA REVOLCADERO NO. 233                                                       </v>
      </c>
      <c r="F1249" s="26" t="str">
        <f>"REFORMA IZTACCIHUATL NORTE                                                                                                                  "</f>
        <v xml:space="preserve">REFORMA IZTACCIHUATL NORTE                                                                                                                  </v>
      </c>
      <c r="G1249" s="26" t="str">
        <f>"IZTACALCO                                                                       "</f>
        <v xml:space="preserve">IZTACALCO                                                                       </v>
      </c>
      <c r="H1249" s="26" t="str">
        <f>"027"</f>
        <v>027</v>
      </c>
      <c r="I1249" s="26" t="str">
        <f t="shared" si="207"/>
        <v>00</v>
      </c>
      <c r="J1249" s="26" t="str">
        <f>"33 "</f>
        <v xml:space="preserve">33 </v>
      </c>
      <c r="K1249" s="26" t="str">
        <f t="shared" ref="K1249:K1281" si="213">"EP"</f>
        <v>EP</v>
      </c>
      <c r="L1249" s="26" t="str">
        <f t="shared" ref="L1249:L1281" si="214">"DGOSE"</f>
        <v>DGOSE</v>
      </c>
      <c r="M1249" s="26" t="str">
        <f t="shared" si="205"/>
        <v>PARTICULAR</v>
      </c>
      <c r="N1249" s="26">
        <v>19</v>
      </c>
      <c r="O1249" s="26">
        <v>12</v>
      </c>
      <c r="P1249" s="26">
        <v>7</v>
      </c>
      <c r="Q1249" s="26">
        <v>3</v>
      </c>
      <c r="R1249" s="26">
        <v>1</v>
      </c>
      <c r="S1249" s="26">
        <v>3</v>
      </c>
      <c r="T1249" s="26">
        <v>4</v>
      </c>
      <c r="U1249" s="26">
        <v>8</v>
      </c>
      <c r="V1249" s="26">
        <v>1</v>
      </c>
      <c r="W1249" s="26"/>
    </row>
    <row r="1250" spans="1:23" x14ac:dyDescent="0.25">
      <c r="A1250" s="26" t="str">
        <f t="shared" si="206"/>
        <v>PREESCOLAR</v>
      </c>
      <c r="B1250" s="26" t="str">
        <f>"09PJN0843T"</f>
        <v>09PJN0843T</v>
      </c>
      <c r="C1250" s="26" t="str">
        <f>"MARGARITA MAZA DE JUAREZ                                                                            "</f>
        <v xml:space="preserve">MARGARITA MAZA DE JUAREZ                                                                            </v>
      </c>
      <c r="D1250" s="26" t="str">
        <f t="shared" si="204"/>
        <v>MATUTINO</v>
      </c>
      <c r="E1250" s="26" t="str">
        <f>"PLAZA DE LOS FAROLES NO. 36                                                     "</f>
        <v xml:space="preserve">PLAZA DE LOS FAROLES NO. 36                                                     </v>
      </c>
      <c r="F1250" s="26" t="str">
        <f>"JARDINES DEL SUR FRACCIONAMIENTO                                                                                                            "</f>
        <v xml:space="preserve">JARDINES DEL SUR FRACCIONAMIENTO                                                                                                            </v>
      </c>
      <c r="G1250" s="26" t="str">
        <f>"XOCHIMILCO                                                                      "</f>
        <v xml:space="preserve">XOCHIMILCO                                                                      </v>
      </c>
      <c r="H1250" s="26" t="str">
        <f>"084"</f>
        <v>084</v>
      </c>
      <c r="I1250" s="26" t="str">
        <f t="shared" si="207"/>
        <v>00</v>
      </c>
      <c r="J1250" s="26" t="str">
        <f>"35 "</f>
        <v xml:space="preserve">35 </v>
      </c>
      <c r="K1250" s="26" t="str">
        <f t="shared" si="213"/>
        <v>EP</v>
      </c>
      <c r="L1250" s="26" t="str">
        <f t="shared" si="214"/>
        <v>DGOSE</v>
      </c>
      <c r="M1250" s="26" t="str">
        <f t="shared" si="205"/>
        <v>PARTICULAR</v>
      </c>
      <c r="N1250" s="26">
        <v>88</v>
      </c>
      <c r="O1250" s="26">
        <v>46</v>
      </c>
      <c r="P1250" s="26">
        <v>42</v>
      </c>
      <c r="Q1250" s="26">
        <v>5</v>
      </c>
      <c r="R1250" s="26">
        <v>1</v>
      </c>
      <c r="S1250" s="26">
        <v>5</v>
      </c>
      <c r="T1250" s="26">
        <v>10</v>
      </c>
      <c r="U1250" s="26">
        <v>16</v>
      </c>
      <c r="V1250" s="26">
        <v>1</v>
      </c>
      <c r="W1250" s="26"/>
    </row>
    <row r="1251" spans="1:23" x14ac:dyDescent="0.25">
      <c r="A1251" s="26" t="str">
        <f t="shared" si="206"/>
        <v>PREESCOLAR</v>
      </c>
      <c r="B1251" s="26" t="str">
        <f>"09PJN0846Q"</f>
        <v>09PJN0846Q</v>
      </c>
      <c r="C1251" s="26" t="str">
        <f>"A. B. C.                                                                                            "</f>
        <v xml:space="preserve">A. B. C.                                                                                            </v>
      </c>
      <c r="D1251" s="26" t="str">
        <f t="shared" si="204"/>
        <v>MATUTINO</v>
      </c>
      <c r="E1251" s="26" t="str">
        <f>"AV. CENTRAL NO. 240                                                             "</f>
        <v xml:space="preserve">AV. CENTRAL NO. 240                                                             </v>
      </c>
      <c r="F1251" s="26" t="str">
        <f>"PRO  HOGAR                                                                                                                                  "</f>
        <v xml:space="preserve">PRO  HOGAR                                                                                                                                  </v>
      </c>
      <c r="G1251" s="26" t="str">
        <f>"AZCAPOTZALCO                                                                    "</f>
        <v xml:space="preserve">AZCAPOTZALCO                                                                    </v>
      </c>
      <c r="H1251" s="26" t="str">
        <f>"190"</f>
        <v>190</v>
      </c>
      <c r="I1251" s="26" t="str">
        <f t="shared" si="207"/>
        <v>00</v>
      </c>
      <c r="J1251" s="26" t="str">
        <f>"32 "</f>
        <v xml:space="preserve">32 </v>
      </c>
      <c r="K1251" s="26" t="str">
        <f t="shared" si="213"/>
        <v>EP</v>
      </c>
      <c r="L1251" s="26" t="str">
        <f t="shared" si="214"/>
        <v>DGOSE</v>
      </c>
      <c r="M1251" s="26" t="str">
        <f t="shared" si="205"/>
        <v>PARTICULAR</v>
      </c>
      <c r="N1251" s="26">
        <v>37</v>
      </c>
      <c r="O1251" s="26">
        <v>21</v>
      </c>
      <c r="P1251" s="26">
        <v>16</v>
      </c>
      <c r="Q1251" s="26">
        <v>4</v>
      </c>
      <c r="R1251" s="26">
        <v>1</v>
      </c>
      <c r="S1251" s="26">
        <v>4</v>
      </c>
      <c r="T1251" s="26">
        <v>1</v>
      </c>
      <c r="U1251" s="26">
        <v>6</v>
      </c>
      <c r="V1251" s="26">
        <v>1</v>
      </c>
      <c r="W1251" s="26"/>
    </row>
    <row r="1252" spans="1:23" x14ac:dyDescent="0.25">
      <c r="A1252" s="26" t="str">
        <f t="shared" si="206"/>
        <v>PREESCOLAR</v>
      </c>
      <c r="B1252" s="26" t="str">
        <f>"09PJN0847P"</f>
        <v>09PJN0847P</v>
      </c>
      <c r="C1252" s="26" t="str">
        <f>"KINDERSEL                                                                                           "</f>
        <v xml:space="preserve">KINDERSEL                                                                                           </v>
      </c>
      <c r="D1252" s="26" t="str">
        <f t="shared" si="204"/>
        <v>MATUTINO</v>
      </c>
      <c r="E1252" s="26" t="str">
        <f>"ODISEA NO. 10                                                                   "</f>
        <v xml:space="preserve">ODISEA NO. 10                                                                   </v>
      </c>
      <c r="F1252" s="26" t="str">
        <f>"LOMAS DE AXOMIATLA                                                                                                                          "</f>
        <v xml:space="preserve">LOMAS DE AXOMIATLA                                                                                                                          </v>
      </c>
      <c r="G1252" s="26" t="str">
        <f>"ALVARO OBREGON                                                                  "</f>
        <v xml:space="preserve">ALVARO OBREGON                                                                  </v>
      </c>
      <c r="H1252" s="26" t="str">
        <f>"215"</f>
        <v>215</v>
      </c>
      <c r="I1252" s="26" t="str">
        <f t="shared" si="207"/>
        <v>00</v>
      </c>
      <c r="J1252" s="26" t="str">
        <f>"33 "</f>
        <v xml:space="preserve">33 </v>
      </c>
      <c r="K1252" s="26" t="str">
        <f t="shared" si="213"/>
        <v>EP</v>
      </c>
      <c r="L1252" s="26" t="str">
        <f t="shared" si="214"/>
        <v>DGOSE</v>
      </c>
      <c r="M1252" s="26" t="str">
        <f t="shared" si="205"/>
        <v>PARTICULAR</v>
      </c>
      <c r="N1252" s="26">
        <v>25</v>
      </c>
      <c r="O1252" s="26">
        <v>9</v>
      </c>
      <c r="P1252" s="26">
        <v>16</v>
      </c>
      <c r="Q1252" s="26">
        <v>3</v>
      </c>
      <c r="R1252" s="26">
        <v>1</v>
      </c>
      <c r="S1252" s="26">
        <v>3</v>
      </c>
      <c r="T1252" s="26">
        <v>7</v>
      </c>
      <c r="U1252" s="26">
        <v>11</v>
      </c>
      <c r="V1252" s="26">
        <v>1</v>
      </c>
      <c r="W1252" s="26"/>
    </row>
    <row r="1253" spans="1:23" x14ac:dyDescent="0.25">
      <c r="A1253" s="26" t="str">
        <f t="shared" si="206"/>
        <v>PREESCOLAR</v>
      </c>
      <c r="B1253" s="26" t="str">
        <f>"09PJN0856X"</f>
        <v>09PJN0856X</v>
      </c>
      <c r="C1253" s="26" t="str">
        <f>"NUEVA ESCUELA JUSTO SIERRA                                                                          "</f>
        <v xml:space="preserve">NUEVA ESCUELA JUSTO SIERRA                                                                          </v>
      </c>
      <c r="D1253" s="26" t="str">
        <f t="shared" si="204"/>
        <v>MATUTINO</v>
      </c>
      <c r="E1253" s="26" t="str">
        <f>"AV. JARDIN NO. 294                                                              "</f>
        <v xml:space="preserve">AV. JARDIN NO. 294                                                              </v>
      </c>
      <c r="F1253" s="26" t="str">
        <f>"DEL GAS                                                                                                                                     "</f>
        <v xml:space="preserve">DEL GAS                                                                                                                                     </v>
      </c>
      <c r="G1253" s="26" t="str">
        <f>"AZCAPOTZALCO                                                                    "</f>
        <v xml:space="preserve">AZCAPOTZALCO                                                                    </v>
      </c>
      <c r="H1253" s="26" t="str">
        <f>"189"</f>
        <v>189</v>
      </c>
      <c r="I1253" s="26" t="str">
        <f t="shared" si="207"/>
        <v>00</v>
      </c>
      <c r="J1253" s="26" t="str">
        <f>"32 "</f>
        <v xml:space="preserve">32 </v>
      </c>
      <c r="K1253" s="26" t="str">
        <f t="shared" si="213"/>
        <v>EP</v>
      </c>
      <c r="L1253" s="26" t="str">
        <f t="shared" si="214"/>
        <v>DGOSE</v>
      </c>
      <c r="M1253" s="26" t="str">
        <f t="shared" si="205"/>
        <v>PARTICULAR</v>
      </c>
      <c r="N1253" s="26">
        <v>591</v>
      </c>
      <c r="O1253" s="26">
        <v>293</v>
      </c>
      <c r="P1253" s="26">
        <v>298</v>
      </c>
      <c r="Q1253" s="26">
        <v>23</v>
      </c>
      <c r="R1253" s="26">
        <v>1</v>
      </c>
      <c r="S1253" s="26">
        <v>23</v>
      </c>
      <c r="T1253" s="26">
        <v>38</v>
      </c>
      <c r="U1253" s="26">
        <v>62</v>
      </c>
      <c r="V1253" s="26">
        <v>1</v>
      </c>
      <c r="W1253" s="26"/>
    </row>
    <row r="1254" spans="1:23" x14ac:dyDescent="0.25">
      <c r="A1254" s="26" t="str">
        <f t="shared" si="206"/>
        <v>PREESCOLAR</v>
      </c>
      <c r="B1254" s="26" t="str">
        <f>"09PJN0862H"</f>
        <v>09PJN0862H</v>
      </c>
      <c r="C1254" s="26" t="str">
        <f>"LAS ARDILLITAS                                                                                      "</f>
        <v xml:space="preserve">LAS ARDILLITAS                                                                                      </v>
      </c>
      <c r="D1254" s="26" t="str">
        <f t="shared" si="204"/>
        <v>MATUTINO</v>
      </c>
      <c r="E1254" s="26" t="str">
        <f>"CAIRO No. 34                                                                    "</f>
        <v xml:space="preserve">CAIRO No. 34                                                                    </v>
      </c>
      <c r="F1254" s="26" t="str">
        <f>"CLAVERIA                                                                                                                                    "</f>
        <v xml:space="preserve">CLAVERIA                                                                                                                                    </v>
      </c>
      <c r="G1254" s="26" t="str">
        <f>"AZCAPOTZALCO                                                                    "</f>
        <v xml:space="preserve">AZCAPOTZALCO                                                                    </v>
      </c>
      <c r="H1254" s="26" t="str">
        <f>"059"</f>
        <v>059</v>
      </c>
      <c r="I1254" s="26" t="str">
        <f t="shared" si="207"/>
        <v>00</v>
      </c>
      <c r="J1254" s="26" t="str">
        <f>"32 "</f>
        <v xml:space="preserve">32 </v>
      </c>
      <c r="K1254" s="26" t="str">
        <f t="shared" si="213"/>
        <v>EP</v>
      </c>
      <c r="L1254" s="26" t="str">
        <f t="shared" si="214"/>
        <v>DGOSE</v>
      </c>
      <c r="M1254" s="26" t="str">
        <f t="shared" si="205"/>
        <v>PARTICULAR</v>
      </c>
      <c r="N1254" s="26">
        <v>12</v>
      </c>
      <c r="O1254" s="26">
        <v>6</v>
      </c>
      <c r="P1254" s="26">
        <v>6</v>
      </c>
      <c r="Q1254" s="26">
        <v>2</v>
      </c>
      <c r="R1254" s="26">
        <v>1</v>
      </c>
      <c r="S1254" s="26">
        <v>2</v>
      </c>
      <c r="T1254" s="26">
        <v>2</v>
      </c>
      <c r="U1254" s="26">
        <v>5</v>
      </c>
      <c r="V1254" s="26">
        <v>1</v>
      </c>
      <c r="W1254" s="26"/>
    </row>
    <row r="1255" spans="1:23" x14ac:dyDescent="0.25">
      <c r="A1255" s="26" t="str">
        <f t="shared" si="206"/>
        <v>PREESCOLAR</v>
      </c>
      <c r="B1255" s="26" t="str">
        <f>"09PJN0866D"</f>
        <v>09PJN0866D</v>
      </c>
      <c r="C1255" s="26" t="s">
        <v>91</v>
      </c>
      <c r="D1255" s="26" t="str">
        <f t="shared" si="204"/>
        <v>MATUTINO</v>
      </c>
      <c r="E1255" s="26" t="str">
        <f>"INDEPENDENCIA NO. 30                                                            "</f>
        <v xml:space="preserve">INDEPENDENCIA NO. 30                                                            </v>
      </c>
      <c r="F1255" s="26" t="str">
        <f>"SAN ALVARO                                                                                                                                  "</f>
        <v xml:space="preserve">SAN ALVARO                                                                                                                                  </v>
      </c>
      <c r="G1255" s="26" t="str">
        <f>"AZCAPOTZALCO                                                                    "</f>
        <v xml:space="preserve">AZCAPOTZALCO                                                                    </v>
      </c>
      <c r="H1255" s="26" t="str">
        <f>"189"</f>
        <v>189</v>
      </c>
      <c r="I1255" s="26" t="str">
        <f t="shared" si="207"/>
        <v>00</v>
      </c>
      <c r="J1255" s="26" t="str">
        <f>"32 "</f>
        <v xml:space="preserve">32 </v>
      </c>
      <c r="K1255" s="26" t="str">
        <f t="shared" si="213"/>
        <v>EP</v>
      </c>
      <c r="L1255" s="26" t="str">
        <f t="shared" si="214"/>
        <v>DGOSE</v>
      </c>
      <c r="M1255" s="26" t="str">
        <f t="shared" si="205"/>
        <v>PARTICULAR</v>
      </c>
      <c r="N1255" s="26">
        <v>38</v>
      </c>
      <c r="O1255" s="26">
        <v>20</v>
      </c>
      <c r="P1255" s="26">
        <v>18</v>
      </c>
      <c r="Q1255" s="26">
        <v>4</v>
      </c>
      <c r="R1255" s="26">
        <v>1</v>
      </c>
      <c r="S1255" s="26">
        <v>4</v>
      </c>
      <c r="T1255" s="26">
        <v>8</v>
      </c>
      <c r="U1255" s="26">
        <v>13</v>
      </c>
      <c r="V1255" s="26">
        <v>1</v>
      </c>
      <c r="W1255" s="26"/>
    </row>
    <row r="1256" spans="1:23" x14ac:dyDescent="0.25">
      <c r="A1256" s="26" t="str">
        <f t="shared" si="206"/>
        <v>PREESCOLAR</v>
      </c>
      <c r="B1256" s="26" t="str">
        <f>"09PJN0871P"</f>
        <v>09PJN0871P</v>
      </c>
      <c r="C1256" s="26" t="str">
        <f>"FRAY MATIAS DE CORDOVA                                                                              "</f>
        <v xml:space="preserve">FRAY MATIAS DE CORDOVA                                                                              </v>
      </c>
      <c r="D1256" s="26" t="str">
        <f t="shared" si="204"/>
        <v>MATUTINO</v>
      </c>
      <c r="E1256" s="26" t="str">
        <f>"FLORESTA NO. 175                                                                "</f>
        <v xml:space="preserve">FLORESTA NO. 175                                                                </v>
      </c>
      <c r="F1256" s="26" t="str">
        <f>"CLAVERIA                                                                                                                                    "</f>
        <v xml:space="preserve">CLAVERIA                                                                                                                                    </v>
      </c>
      <c r="G1256" s="26" t="str">
        <f>"AZCAPOTZALCO                                                                    "</f>
        <v xml:space="preserve">AZCAPOTZALCO                                                                    </v>
      </c>
      <c r="H1256" s="26" t="str">
        <f>"106"</f>
        <v>106</v>
      </c>
      <c r="I1256" s="26" t="str">
        <f t="shared" si="207"/>
        <v>00</v>
      </c>
      <c r="J1256" s="26" t="str">
        <f>"32 "</f>
        <v xml:space="preserve">32 </v>
      </c>
      <c r="K1256" s="26" t="str">
        <f t="shared" si="213"/>
        <v>EP</v>
      </c>
      <c r="L1256" s="26" t="str">
        <f t="shared" si="214"/>
        <v>DGOSE</v>
      </c>
      <c r="M1256" s="26" t="str">
        <f t="shared" si="205"/>
        <v>PARTICULAR</v>
      </c>
      <c r="N1256" s="26">
        <v>63</v>
      </c>
      <c r="O1256" s="26">
        <v>26</v>
      </c>
      <c r="P1256" s="26">
        <v>37</v>
      </c>
      <c r="Q1256" s="26">
        <v>4</v>
      </c>
      <c r="R1256" s="26">
        <v>1</v>
      </c>
      <c r="S1256" s="26">
        <v>4</v>
      </c>
      <c r="T1256" s="26">
        <v>6</v>
      </c>
      <c r="U1256" s="26">
        <v>11</v>
      </c>
      <c r="V1256" s="26">
        <v>1</v>
      </c>
      <c r="W1256" s="26"/>
    </row>
    <row r="1257" spans="1:23" x14ac:dyDescent="0.25">
      <c r="A1257" s="26" t="str">
        <f t="shared" si="206"/>
        <v>PREESCOLAR</v>
      </c>
      <c r="B1257" s="26" t="str">
        <f>"09PJN0873N"</f>
        <v>09PJN0873N</v>
      </c>
      <c r="C1257" s="26" t="str">
        <f>"INSTITUTO COBRE DE MEXICO                                                                           "</f>
        <v xml:space="preserve">INSTITUTO COBRE DE MEXICO                                                                           </v>
      </c>
      <c r="D1257" s="26" t="str">
        <f t="shared" si="204"/>
        <v>MATUTINO</v>
      </c>
      <c r="E1257" s="26" t="str">
        <f>"CALZADA CAMARONES NO. 206                                                       "</f>
        <v xml:space="preserve">CALZADA CAMARONES NO. 206                                                       </v>
      </c>
      <c r="F1257" s="26" t="str">
        <f>"OBRERO POPULAR                                                                                                                              "</f>
        <v xml:space="preserve">OBRERO POPULAR                                                                                                                              </v>
      </c>
      <c r="G1257" s="26" t="str">
        <f>"AZCAPOTZALCO                                                                    "</f>
        <v xml:space="preserve">AZCAPOTZALCO                                                                    </v>
      </c>
      <c r="H1257" s="26" t="str">
        <f>"189"</f>
        <v>189</v>
      </c>
      <c r="I1257" s="26" t="str">
        <f t="shared" si="207"/>
        <v>00</v>
      </c>
      <c r="J1257" s="26" t="str">
        <f>"32 "</f>
        <v xml:space="preserve">32 </v>
      </c>
      <c r="K1257" s="26" t="str">
        <f t="shared" si="213"/>
        <v>EP</v>
      </c>
      <c r="L1257" s="26" t="str">
        <f t="shared" si="214"/>
        <v>DGOSE</v>
      </c>
      <c r="M1257" s="26" t="str">
        <f t="shared" si="205"/>
        <v>PARTICULAR</v>
      </c>
      <c r="N1257" s="26">
        <v>42</v>
      </c>
      <c r="O1257" s="26">
        <v>19</v>
      </c>
      <c r="P1257" s="26">
        <v>23</v>
      </c>
      <c r="Q1257" s="26">
        <v>4</v>
      </c>
      <c r="R1257" s="26">
        <v>1</v>
      </c>
      <c r="S1257" s="26">
        <v>4</v>
      </c>
      <c r="T1257" s="26">
        <v>7</v>
      </c>
      <c r="U1257" s="26">
        <v>12</v>
      </c>
      <c r="V1257" s="26">
        <v>1</v>
      </c>
      <c r="W1257" s="26"/>
    </row>
    <row r="1258" spans="1:23" x14ac:dyDescent="0.25">
      <c r="A1258" s="26" t="str">
        <f t="shared" si="206"/>
        <v>PREESCOLAR</v>
      </c>
      <c r="B1258" s="26" t="str">
        <f>"09PJN0882V"</f>
        <v>09PJN0882V</v>
      </c>
      <c r="C1258" s="26" t="str">
        <f>"MAHATMA GANDHI                                                                                      "</f>
        <v xml:space="preserve">MAHATMA GANDHI                                                                                      </v>
      </c>
      <c r="D1258" s="26" t="str">
        <f t="shared" si="204"/>
        <v>MATUTINO</v>
      </c>
      <c r="E1258" s="26" t="str">
        <f>"EJIDO DE SAN LORENZO TEZONCO NO. 184                                            "</f>
        <v xml:space="preserve">EJIDO DE SAN LORENZO TEZONCO NO. 184                                            </v>
      </c>
      <c r="F1258" s="26" t="str">
        <f>"SAN FRANCISCO CULHUACAN                                                                                                                     "</f>
        <v xml:space="preserve">SAN FRANCISCO CULHUACAN                                                                                                                     </v>
      </c>
      <c r="G1258" s="26" t="str">
        <f t="shared" ref="G1258:G1265" si="215">"COYOACAN                                                                        "</f>
        <v xml:space="preserve">COYOACAN                                                                        </v>
      </c>
      <c r="H1258" s="26" t="str">
        <f>"099"</f>
        <v>099</v>
      </c>
      <c r="I1258" s="26" t="str">
        <f t="shared" si="207"/>
        <v>00</v>
      </c>
      <c r="J1258" s="26" t="str">
        <f t="shared" ref="J1258:J1265" si="216">"35 "</f>
        <v xml:space="preserve">35 </v>
      </c>
      <c r="K1258" s="26" t="str">
        <f t="shared" si="213"/>
        <v>EP</v>
      </c>
      <c r="L1258" s="26" t="str">
        <f t="shared" si="214"/>
        <v>DGOSE</v>
      </c>
      <c r="M1258" s="26" t="str">
        <f t="shared" si="205"/>
        <v>PARTICULAR</v>
      </c>
      <c r="N1258" s="26">
        <v>148</v>
      </c>
      <c r="O1258" s="26">
        <v>65</v>
      </c>
      <c r="P1258" s="26">
        <v>83</v>
      </c>
      <c r="Q1258" s="26">
        <v>7</v>
      </c>
      <c r="R1258" s="26">
        <v>1</v>
      </c>
      <c r="S1258" s="26">
        <v>4</v>
      </c>
      <c r="T1258" s="26">
        <v>8</v>
      </c>
      <c r="U1258" s="26">
        <v>13</v>
      </c>
      <c r="V1258" s="26">
        <v>1</v>
      </c>
      <c r="W1258" s="26"/>
    </row>
    <row r="1259" spans="1:23" x14ac:dyDescent="0.25">
      <c r="A1259" s="26" t="str">
        <f t="shared" si="206"/>
        <v>PREESCOLAR</v>
      </c>
      <c r="B1259" s="26" t="str">
        <f>"09PJN0886R"</f>
        <v>09PJN0886R</v>
      </c>
      <c r="C1259" s="26" t="str">
        <f>"JARDIN DE NIÑOS ECA                                                                                 "</f>
        <v xml:space="preserve">JARDIN DE NIÑOS ECA                                                                                 </v>
      </c>
      <c r="D1259" s="26" t="str">
        <f t="shared" si="204"/>
        <v>MATUTINO</v>
      </c>
      <c r="E1259" s="26" t="str">
        <f>"CALLE B NO. 20                                                                  "</f>
        <v xml:space="preserve">CALLE B NO. 20                                                                  </v>
      </c>
      <c r="F1259" s="26" t="str">
        <f>"EDUCACION                                                                                                                                   "</f>
        <v xml:space="preserve">EDUCACION                                                                                                                                   </v>
      </c>
      <c r="G1259" s="26" t="str">
        <f t="shared" si="215"/>
        <v xml:space="preserve">COYOACAN                                                                        </v>
      </c>
      <c r="H1259" s="26" t="str">
        <f>"125"</f>
        <v>125</v>
      </c>
      <c r="I1259" s="26" t="str">
        <f t="shared" si="207"/>
        <v>00</v>
      </c>
      <c r="J1259" s="26" t="str">
        <f t="shared" si="216"/>
        <v xml:space="preserve">35 </v>
      </c>
      <c r="K1259" s="26" t="str">
        <f t="shared" si="213"/>
        <v>EP</v>
      </c>
      <c r="L1259" s="26" t="str">
        <f t="shared" si="214"/>
        <v>DGOSE</v>
      </c>
      <c r="M1259" s="26" t="str">
        <f t="shared" si="205"/>
        <v>PARTICULAR</v>
      </c>
      <c r="N1259" s="26">
        <v>99</v>
      </c>
      <c r="O1259" s="26">
        <v>45</v>
      </c>
      <c r="P1259" s="26">
        <v>54</v>
      </c>
      <c r="Q1259" s="26">
        <v>6</v>
      </c>
      <c r="R1259" s="26">
        <v>1</v>
      </c>
      <c r="S1259" s="26">
        <v>3</v>
      </c>
      <c r="T1259" s="26">
        <v>9</v>
      </c>
      <c r="U1259" s="26">
        <v>13</v>
      </c>
      <c r="V1259" s="26">
        <v>1</v>
      </c>
      <c r="W1259" s="26"/>
    </row>
    <row r="1260" spans="1:23" x14ac:dyDescent="0.25">
      <c r="A1260" s="26" t="str">
        <f t="shared" si="206"/>
        <v>PREESCOLAR</v>
      </c>
      <c r="B1260" s="26" t="str">
        <f>"09PJN0890D"</f>
        <v>09PJN0890D</v>
      </c>
      <c r="C1260" s="26" t="str">
        <f>"JARDIN DE NIÑOS INSTITUTO CULTURAL                                                                  "</f>
        <v xml:space="preserve">JARDIN DE NIÑOS INSTITUTO CULTURAL                                                                  </v>
      </c>
      <c r="D1260" s="26" t="str">
        <f t="shared" si="204"/>
        <v>MATUTINO</v>
      </c>
      <c r="E1260" s="26" t="str">
        <f>"MIGUEL ANGEL DE QUEVEDO NO. 1190                                                "</f>
        <v xml:space="preserve">MIGUEL ANGEL DE QUEVEDO NO. 1190                                                </v>
      </c>
      <c r="F1260" s="26" t="str">
        <f>"PARQUE SAN ANDRES                                                                                                                           "</f>
        <v xml:space="preserve">PARQUE SAN ANDRES                                                                                                                           </v>
      </c>
      <c r="G1260" s="26" t="str">
        <f t="shared" si="215"/>
        <v xml:space="preserve">COYOACAN                                                                        </v>
      </c>
      <c r="H1260" s="26" t="str">
        <f>"111"</f>
        <v>111</v>
      </c>
      <c r="I1260" s="26" t="str">
        <f t="shared" si="207"/>
        <v>00</v>
      </c>
      <c r="J1260" s="26" t="str">
        <f t="shared" si="216"/>
        <v xml:space="preserve">35 </v>
      </c>
      <c r="K1260" s="26" t="str">
        <f t="shared" si="213"/>
        <v>EP</v>
      </c>
      <c r="L1260" s="26" t="str">
        <f t="shared" si="214"/>
        <v>DGOSE</v>
      </c>
      <c r="M1260" s="26" t="str">
        <f t="shared" si="205"/>
        <v>PARTICULAR</v>
      </c>
      <c r="N1260" s="26">
        <v>86</v>
      </c>
      <c r="O1260" s="26">
        <v>42</v>
      </c>
      <c r="P1260" s="26">
        <v>44</v>
      </c>
      <c r="Q1260" s="26">
        <v>3</v>
      </c>
      <c r="R1260" s="26">
        <v>1</v>
      </c>
      <c r="S1260" s="26">
        <v>3</v>
      </c>
      <c r="T1260" s="26">
        <v>14</v>
      </c>
      <c r="U1260" s="26">
        <v>18</v>
      </c>
      <c r="V1260" s="26">
        <v>1</v>
      </c>
      <c r="W1260" s="26"/>
    </row>
    <row r="1261" spans="1:23" x14ac:dyDescent="0.25">
      <c r="A1261" s="26" t="str">
        <f t="shared" si="206"/>
        <v>PREESCOLAR</v>
      </c>
      <c r="B1261" s="26" t="str">
        <f>"09PJN0895Z"</f>
        <v>09PJN0895Z</v>
      </c>
      <c r="C1261" s="26" t="s">
        <v>92</v>
      </c>
      <c r="D1261" s="26" t="str">
        <f t="shared" si="204"/>
        <v>MATUTINO</v>
      </c>
      <c r="E1261" s="26" t="str">
        <f>"CERRO DEL HOMBRE NO.98                                                          "</f>
        <v xml:space="preserve">CERRO DEL HOMBRE NO.98                                                          </v>
      </c>
      <c r="F1261" s="26" t="str">
        <f>"ROMERO DE TERREROS FRACCIONAMIENTO                                                                                                          "</f>
        <v xml:space="preserve">ROMERO DE TERREROS FRACCIONAMIENTO                                                                                                          </v>
      </c>
      <c r="G1261" s="26" t="str">
        <f t="shared" si="215"/>
        <v xml:space="preserve">COYOACAN                                                                        </v>
      </c>
      <c r="H1261" s="26" t="str">
        <f>"237"</f>
        <v>237</v>
      </c>
      <c r="I1261" s="26" t="str">
        <f t="shared" si="207"/>
        <v>00</v>
      </c>
      <c r="J1261" s="26" t="str">
        <f t="shared" si="216"/>
        <v xml:space="preserve">35 </v>
      </c>
      <c r="K1261" s="26" t="str">
        <f t="shared" si="213"/>
        <v>EP</v>
      </c>
      <c r="L1261" s="26" t="str">
        <f t="shared" si="214"/>
        <v>DGOSE</v>
      </c>
      <c r="M1261" s="26" t="str">
        <f t="shared" si="205"/>
        <v>PARTICULAR</v>
      </c>
      <c r="N1261" s="26">
        <v>21</v>
      </c>
      <c r="O1261" s="26">
        <v>7</v>
      </c>
      <c r="P1261" s="26">
        <v>14</v>
      </c>
      <c r="Q1261" s="26">
        <v>2</v>
      </c>
      <c r="R1261" s="26">
        <v>1</v>
      </c>
      <c r="S1261" s="26">
        <v>1</v>
      </c>
      <c r="T1261" s="26">
        <v>1</v>
      </c>
      <c r="U1261" s="26">
        <v>3</v>
      </c>
      <c r="V1261" s="26">
        <v>1</v>
      </c>
      <c r="W1261" s="26"/>
    </row>
    <row r="1262" spans="1:23" x14ac:dyDescent="0.25">
      <c r="A1262" s="26" t="str">
        <f t="shared" si="206"/>
        <v>PREESCOLAR</v>
      </c>
      <c r="B1262" s="26" t="str">
        <f>"09PJN0902S"</f>
        <v>09PJN0902S</v>
      </c>
      <c r="C1262" s="26" t="str">
        <f>"ESCUELA LEONARDO DA VINCI                                                                           "</f>
        <v xml:space="preserve">ESCUELA LEONARDO DA VINCI                                                                           </v>
      </c>
      <c r="D1262" s="26" t="str">
        <f t="shared" si="204"/>
        <v>MATUTINO</v>
      </c>
      <c r="E1262" s="26" t="str">
        <f>"CERRO ACASULCO NO. 46                                                           "</f>
        <v xml:space="preserve">CERRO ACASULCO NO. 46                                                           </v>
      </c>
      <c r="F1262" s="26" t="str">
        <f>"OXTOPULCO                                                                                                                                   "</f>
        <v xml:space="preserve">OXTOPULCO                                                                                                                                   </v>
      </c>
      <c r="G1262" s="26" t="str">
        <f t="shared" si="215"/>
        <v xml:space="preserve">COYOACAN                                                                        </v>
      </c>
      <c r="H1262" s="26" t="str">
        <f>"137"</f>
        <v>137</v>
      </c>
      <c r="I1262" s="26" t="str">
        <f t="shared" si="207"/>
        <v>00</v>
      </c>
      <c r="J1262" s="26" t="str">
        <f t="shared" si="216"/>
        <v xml:space="preserve">35 </v>
      </c>
      <c r="K1262" s="26" t="str">
        <f t="shared" si="213"/>
        <v>EP</v>
      </c>
      <c r="L1262" s="26" t="str">
        <f t="shared" si="214"/>
        <v>DGOSE</v>
      </c>
      <c r="M1262" s="26" t="str">
        <f t="shared" si="205"/>
        <v>PARTICULAR</v>
      </c>
      <c r="N1262" s="26">
        <v>40</v>
      </c>
      <c r="O1262" s="26">
        <v>14</v>
      </c>
      <c r="P1262" s="26">
        <v>26</v>
      </c>
      <c r="Q1262" s="26">
        <v>6</v>
      </c>
      <c r="R1262" s="26">
        <v>1</v>
      </c>
      <c r="S1262" s="26">
        <v>3</v>
      </c>
      <c r="T1262" s="26">
        <v>10</v>
      </c>
      <c r="U1262" s="26">
        <v>14</v>
      </c>
      <c r="V1262" s="26">
        <v>1</v>
      </c>
      <c r="W1262" s="26"/>
    </row>
    <row r="1263" spans="1:23" x14ac:dyDescent="0.25">
      <c r="A1263" s="26" t="str">
        <f t="shared" si="206"/>
        <v>PREESCOLAR</v>
      </c>
      <c r="B1263" s="26" t="str">
        <f>"09PJN0903R"</f>
        <v>09PJN0903R</v>
      </c>
      <c r="C1263" s="26" t="str">
        <f>"COLEGIO ERASMO DE ROTTERDAM                                                                         "</f>
        <v xml:space="preserve">COLEGIO ERASMO DE ROTTERDAM                                                                         </v>
      </c>
      <c r="D1263" s="26" t="str">
        <f t="shared" si="204"/>
        <v>MATUTINO</v>
      </c>
      <c r="E1263" s="26" t="str">
        <f>"AV. UNIVERSIDAD NO. 1919                                                        "</f>
        <v xml:space="preserve">AV. UNIVERSIDAD NO. 1919                                                        </v>
      </c>
      <c r="F1263" s="26" t="str">
        <f>"OXTOPULCO                                                                                                                                   "</f>
        <v xml:space="preserve">OXTOPULCO                                                                                                                                   </v>
      </c>
      <c r="G1263" s="26" t="str">
        <f t="shared" si="215"/>
        <v xml:space="preserve">COYOACAN                                                                        </v>
      </c>
      <c r="H1263" s="26" t="str">
        <f>"137"</f>
        <v>137</v>
      </c>
      <c r="I1263" s="26" t="str">
        <f t="shared" si="207"/>
        <v>00</v>
      </c>
      <c r="J1263" s="26" t="str">
        <f t="shared" si="216"/>
        <v xml:space="preserve">35 </v>
      </c>
      <c r="K1263" s="26" t="str">
        <f t="shared" si="213"/>
        <v>EP</v>
      </c>
      <c r="L1263" s="26" t="str">
        <f t="shared" si="214"/>
        <v>DGOSE</v>
      </c>
      <c r="M1263" s="26" t="str">
        <f t="shared" si="205"/>
        <v>PARTICULAR</v>
      </c>
      <c r="N1263" s="26">
        <v>37</v>
      </c>
      <c r="O1263" s="26">
        <v>13</v>
      </c>
      <c r="P1263" s="26">
        <v>24</v>
      </c>
      <c r="Q1263" s="26">
        <v>3</v>
      </c>
      <c r="R1263" s="26">
        <v>1</v>
      </c>
      <c r="S1263" s="26">
        <v>3</v>
      </c>
      <c r="T1263" s="26">
        <v>4</v>
      </c>
      <c r="U1263" s="26">
        <v>8</v>
      </c>
      <c r="V1263" s="26">
        <v>1</v>
      </c>
      <c r="W1263" s="26"/>
    </row>
    <row r="1264" spans="1:23" x14ac:dyDescent="0.25">
      <c r="A1264" s="26" t="str">
        <f t="shared" si="206"/>
        <v>PREESCOLAR</v>
      </c>
      <c r="B1264" s="26" t="str">
        <f>"09PJN0905P"</f>
        <v>09PJN0905P</v>
      </c>
      <c r="C1264" s="26" t="str">
        <f>"JARDIN DE NIÑOS GRAN UNION                                                                          "</f>
        <v xml:space="preserve">JARDIN DE NIÑOS GRAN UNION                                                                          </v>
      </c>
      <c r="D1264" s="26" t="str">
        <f t="shared" si="204"/>
        <v>MATUTINO</v>
      </c>
      <c r="E1264" s="26" t="str">
        <f>"KRAMER NO. 74                                                                   "</f>
        <v xml:space="preserve">KRAMER NO. 74                                                                   </v>
      </c>
      <c r="F1264" s="26" t="str">
        <f>"ATLANTIDA                                                                                                                                   "</f>
        <v xml:space="preserve">ATLANTIDA                                                                                                                                   </v>
      </c>
      <c r="G1264" s="26" t="str">
        <f t="shared" si="215"/>
        <v xml:space="preserve">COYOACAN                                                                        </v>
      </c>
      <c r="H1264" s="26" t="str">
        <f>"137"</f>
        <v>137</v>
      </c>
      <c r="I1264" s="26" t="str">
        <f t="shared" si="207"/>
        <v>00</v>
      </c>
      <c r="J1264" s="26" t="str">
        <f t="shared" si="216"/>
        <v xml:space="preserve">35 </v>
      </c>
      <c r="K1264" s="26" t="str">
        <f t="shared" si="213"/>
        <v>EP</v>
      </c>
      <c r="L1264" s="26" t="str">
        <f t="shared" si="214"/>
        <v>DGOSE</v>
      </c>
      <c r="M1264" s="26" t="str">
        <f t="shared" si="205"/>
        <v>PARTICULAR</v>
      </c>
      <c r="N1264" s="26">
        <v>62</v>
      </c>
      <c r="O1264" s="26">
        <v>31</v>
      </c>
      <c r="P1264" s="26">
        <v>31</v>
      </c>
      <c r="Q1264" s="26">
        <v>3</v>
      </c>
      <c r="R1264" s="26">
        <v>1</v>
      </c>
      <c r="S1264" s="26">
        <v>2</v>
      </c>
      <c r="T1264" s="26">
        <v>6</v>
      </c>
      <c r="U1264" s="26">
        <v>9</v>
      </c>
      <c r="V1264" s="26">
        <v>1</v>
      </c>
      <c r="W1264" s="26"/>
    </row>
    <row r="1265" spans="1:23" x14ac:dyDescent="0.25">
      <c r="A1265" s="26" t="str">
        <f t="shared" si="206"/>
        <v>PREESCOLAR</v>
      </c>
      <c r="B1265" s="26" t="str">
        <f>"09PJN0908M"</f>
        <v>09PJN0908M</v>
      </c>
      <c r="C1265" s="26" t="str">
        <f>"COLEGIO TEIFAROS                                                                                    "</f>
        <v xml:space="preserve">COLEGIO TEIFAROS                                                                                    </v>
      </c>
      <c r="D1265" s="26" t="str">
        <f t="shared" si="204"/>
        <v>MATUTINO</v>
      </c>
      <c r="E1265" s="26" t="str">
        <f>"MANUEL FERNANDEZ LEAL NO. 16                                                    "</f>
        <v xml:space="preserve">MANUEL FERNANDEZ LEAL NO. 16                                                    </v>
      </c>
      <c r="F1265" s="26" t="str">
        <f>"CONCEPCION                                                                                                                                  "</f>
        <v xml:space="preserve">CONCEPCION                                                                                                                                  </v>
      </c>
      <c r="G1265" s="26" t="str">
        <f t="shared" si="215"/>
        <v xml:space="preserve">COYOACAN                                                                        </v>
      </c>
      <c r="H1265" s="26" t="str">
        <f>"111"</f>
        <v>111</v>
      </c>
      <c r="I1265" s="26" t="str">
        <f t="shared" si="207"/>
        <v>00</v>
      </c>
      <c r="J1265" s="26" t="str">
        <f t="shared" si="216"/>
        <v xml:space="preserve">35 </v>
      </c>
      <c r="K1265" s="26" t="str">
        <f t="shared" si="213"/>
        <v>EP</v>
      </c>
      <c r="L1265" s="26" t="str">
        <f t="shared" si="214"/>
        <v>DGOSE</v>
      </c>
      <c r="M1265" s="26" t="str">
        <f t="shared" si="205"/>
        <v>PARTICULAR</v>
      </c>
      <c r="N1265" s="26">
        <v>84</v>
      </c>
      <c r="O1265" s="26">
        <v>50</v>
      </c>
      <c r="P1265" s="26">
        <v>34</v>
      </c>
      <c r="Q1265" s="26">
        <v>5</v>
      </c>
      <c r="R1265" s="26">
        <v>1</v>
      </c>
      <c r="S1265" s="26">
        <v>5</v>
      </c>
      <c r="T1265" s="26">
        <v>3</v>
      </c>
      <c r="U1265" s="26">
        <v>9</v>
      </c>
      <c r="V1265" s="26">
        <v>1</v>
      </c>
      <c r="W1265" s="26"/>
    </row>
    <row r="1266" spans="1:23" x14ac:dyDescent="0.25">
      <c r="A1266" s="26" t="str">
        <f t="shared" si="206"/>
        <v>PREESCOLAR</v>
      </c>
      <c r="B1266" s="26" t="str">
        <f>"09PJN0910A"</f>
        <v>09PJN0910A</v>
      </c>
      <c r="C1266" s="26" t="str">
        <f>"COLEGIO MERICI                                                                                      "</f>
        <v xml:space="preserve">COLEGIO MERICI                                                                                      </v>
      </c>
      <c r="D1266" s="26" t="str">
        <f t="shared" si="204"/>
        <v>MATUTINO</v>
      </c>
      <c r="E1266" s="26" t="str">
        <f>"LAS GRANJAS No. 45                                                              "</f>
        <v xml:space="preserve">LAS GRANJAS No. 45                                                              </v>
      </c>
      <c r="F1266" s="26" t="str">
        <f>"PALO ALTO                                                                                                                                   "</f>
        <v xml:space="preserve">PALO ALTO                                                                                                                                   </v>
      </c>
      <c r="G1266" s="26" t="str">
        <f>"CUAJIMALPA DE MORELOS                                                           "</f>
        <v xml:space="preserve">CUAJIMALPA DE MORELOS                                                           </v>
      </c>
      <c r="H1266" s="26" t="str">
        <f>"212"</f>
        <v>212</v>
      </c>
      <c r="I1266" s="26" t="str">
        <f t="shared" si="207"/>
        <v>00</v>
      </c>
      <c r="J1266" s="26" t="str">
        <f>"33 "</f>
        <v xml:space="preserve">33 </v>
      </c>
      <c r="K1266" s="26" t="str">
        <f t="shared" si="213"/>
        <v>EP</v>
      </c>
      <c r="L1266" s="26" t="str">
        <f t="shared" si="214"/>
        <v>DGOSE</v>
      </c>
      <c r="M1266" s="26" t="str">
        <f t="shared" si="205"/>
        <v>PARTICULAR</v>
      </c>
      <c r="N1266" s="26">
        <v>67</v>
      </c>
      <c r="O1266" s="26">
        <v>30</v>
      </c>
      <c r="P1266" s="26">
        <v>37</v>
      </c>
      <c r="Q1266" s="26">
        <v>5</v>
      </c>
      <c r="R1266" s="26">
        <v>1</v>
      </c>
      <c r="S1266" s="26">
        <v>5</v>
      </c>
      <c r="T1266" s="26">
        <v>7</v>
      </c>
      <c r="U1266" s="26">
        <v>13</v>
      </c>
      <c r="V1266" s="26">
        <v>1</v>
      </c>
      <c r="W1266" s="26"/>
    </row>
    <row r="1267" spans="1:23" x14ac:dyDescent="0.25">
      <c r="A1267" s="26" t="str">
        <f t="shared" si="206"/>
        <v>PREESCOLAR</v>
      </c>
      <c r="B1267" s="26" t="str">
        <f>"09PJN0928Z"</f>
        <v>09PJN0928Z</v>
      </c>
      <c r="C1267" s="26" t="str">
        <f>"LAS ROSAS                                                                                           "</f>
        <v xml:space="preserve">LAS ROSAS                                                                                           </v>
      </c>
      <c r="D1267" s="26" t="str">
        <f t="shared" si="204"/>
        <v>MATUTINO</v>
      </c>
      <c r="E1267" s="26" t="str">
        <f>"GARRIDO NO. 123                                                                 "</f>
        <v xml:space="preserve">GARRIDO NO. 123                                                                 </v>
      </c>
      <c r="F1267" s="26" t="str">
        <f>"ARAGON                                                                                                                                      "</f>
        <v xml:space="preserve">ARAGON                                                                                                                                      </v>
      </c>
      <c r="G1267" s="26" t="str">
        <f t="shared" ref="G1267:G1277" si="217">"GUSTAVO A. MADERO                                                               "</f>
        <v xml:space="preserve">GUSTAVO A. MADERO                                                               </v>
      </c>
      <c r="H1267" s="26" t="str">
        <f>"195"</f>
        <v>195</v>
      </c>
      <c r="I1267" s="26" t="str">
        <f t="shared" si="207"/>
        <v>00</v>
      </c>
      <c r="J1267" s="26" t="str">
        <f t="shared" ref="J1267:J1277" si="218">"32 "</f>
        <v xml:space="preserve">32 </v>
      </c>
      <c r="K1267" s="26" t="str">
        <f t="shared" si="213"/>
        <v>EP</v>
      </c>
      <c r="L1267" s="26" t="str">
        <f t="shared" si="214"/>
        <v>DGOSE</v>
      </c>
      <c r="M1267" s="26" t="str">
        <f t="shared" si="205"/>
        <v>PARTICULAR</v>
      </c>
      <c r="N1267" s="26">
        <v>47</v>
      </c>
      <c r="O1267" s="26">
        <v>23</v>
      </c>
      <c r="P1267" s="26">
        <v>24</v>
      </c>
      <c r="Q1267" s="26">
        <v>3</v>
      </c>
      <c r="R1267" s="26">
        <v>1</v>
      </c>
      <c r="S1267" s="26">
        <v>3</v>
      </c>
      <c r="T1267" s="26">
        <v>6</v>
      </c>
      <c r="U1267" s="26">
        <v>10</v>
      </c>
      <c r="V1267" s="26">
        <v>1</v>
      </c>
      <c r="W1267" s="26"/>
    </row>
    <row r="1268" spans="1:23" x14ac:dyDescent="0.25">
      <c r="A1268" s="26" t="str">
        <f t="shared" si="206"/>
        <v>PREESCOLAR</v>
      </c>
      <c r="B1268" s="26" t="str">
        <f>"09PJN0934K"</f>
        <v>09PJN0934K</v>
      </c>
      <c r="C1268" s="26" t="str">
        <f>"INSTITUTO MIER Y PESADO SECCIÓN PREESCOLAR                                                          "</f>
        <v xml:space="preserve">INSTITUTO MIER Y PESADO SECCIÓN PREESCOLAR                                                          </v>
      </c>
      <c r="D1268" s="26" t="str">
        <f t="shared" si="204"/>
        <v>MATUTINO</v>
      </c>
      <c r="E1268" s="26" t="str">
        <f>"CALZ. DE GUADALUPE NO. 540                                                      "</f>
        <v xml:space="preserve">CALZ. DE GUADALUPE NO. 540                                                      </v>
      </c>
      <c r="F1268" s="26" t="str">
        <f>"INDUSTRIAL                                                                                                                                  "</f>
        <v xml:space="preserve">INDUSTRIAL                                                                                                                                  </v>
      </c>
      <c r="G1268" s="26" t="str">
        <f t="shared" si="217"/>
        <v xml:space="preserve">GUSTAVO A. MADERO                                                               </v>
      </c>
      <c r="H1268" s="26" t="str">
        <f>"192"</f>
        <v>192</v>
      </c>
      <c r="I1268" s="26" t="str">
        <f t="shared" si="207"/>
        <v>00</v>
      </c>
      <c r="J1268" s="26" t="str">
        <f t="shared" si="218"/>
        <v xml:space="preserve">32 </v>
      </c>
      <c r="K1268" s="26" t="str">
        <f t="shared" si="213"/>
        <v>EP</v>
      </c>
      <c r="L1268" s="26" t="str">
        <f t="shared" si="214"/>
        <v>DGOSE</v>
      </c>
      <c r="M1268" s="26" t="str">
        <f t="shared" si="205"/>
        <v>PARTICULAR</v>
      </c>
      <c r="N1268" s="26">
        <v>166</v>
      </c>
      <c r="O1268" s="26">
        <v>0</v>
      </c>
      <c r="P1268" s="26">
        <v>166</v>
      </c>
      <c r="Q1268" s="26">
        <v>7</v>
      </c>
      <c r="R1268" s="26">
        <v>1</v>
      </c>
      <c r="S1268" s="26">
        <v>7</v>
      </c>
      <c r="T1268" s="26">
        <v>8</v>
      </c>
      <c r="U1268" s="26">
        <v>16</v>
      </c>
      <c r="V1268" s="26">
        <v>1</v>
      </c>
      <c r="W1268" s="26"/>
    </row>
    <row r="1269" spans="1:23" x14ac:dyDescent="0.25">
      <c r="A1269" s="26" t="str">
        <f t="shared" si="206"/>
        <v>PREESCOLAR</v>
      </c>
      <c r="B1269" s="26" t="str">
        <f>"09PJN0937H"</f>
        <v>09PJN0937H</v>
      </c>
      <c r="C1269" s="26" t="str">
        <f>"CENTRO DE COOPERACION SOCIAL                                                                        "</f>
        <v xml:space="preserve">CENTRO DE COOPERACION SOCIAL                                                                        </v>
      </c>
      <c r="D1269" s="26" t="str">
        <f t="shared" si="204"/>
        <v>MATUTINO</v>
      </c>
      <c r="E1269" s="26" t="str">
        <f>"LAGOS DE MORENO S/N. MZA. 61 LOTE 7                                             "</f>
        <v xml:space="preserve">LAGOS DE MORENO S/N. MZA. 61 LOTE 7                                             </v>
      </c>
      <c r="F1269" s="26" t="str">
        <f>"SAN FELIPE DE JESUS                                                                                                                         "</f>
        <v xml:space="preserve">SAN FELIPE DE JESUS                                                                                                                         </v>
      </c>
      <c r="G1269" s="26" t="str">
        <f t="shared" si="217"/>
        <v xml:space="preserve">GUSTAVO A. MADERO                                                               </v>
      </c>
      <c r="H1269" s="26" t="str">
        <f>"073"</f>
        <v>073</v>
      </c>
      <c r="I1269" s="26" t="str">
        <f t="shared" si="207"/>
        <v>00</v>
      </c>
      <c r="J1269" s="26" t="str">
        <f t="shared" si="218"/>
        <v xml:space="preserve">32 </v>
      </c>
      <c r="K1269" s="26" t="str">
        <f t="shared" si="213"/>
        <v>EP</v>
      </c>
      <c r="L1269" s="26" t="str">
        <f t="shared" si="214"/>
        <v>DGOSE</v>
      </c>
      <c r="M1269" s="26" t="str">
        <f t="shared" si="205"/>
        <v>PARTICULAR</v>
      </c>
      <c r="N1269" s="26">
        <v>26</v>
      </c>
      <c r="O1269" s="26">
        <v>9</v>
      </c>
      <c r="P1269" s="26">
        <v>17</v>
      </c>
      <c r="Q1269" s="26">
        <v>3</v>
      </c>
      <c r="R1269" s="26">
        <v>1</v>
      </c>
      <c r="S1269" s="26">
        <v>2</v>
      </c>
      <c r="T1269" s="26">
        <v>0</v>
      </c>
      <c r="U1269" s="26">
        <v>3</v>
      </c>
      <c r="V1269" s="26">
        <v>1</v>
      </c>
      <c r="W1269" s="26"/>
    </row>
    <row r="1270" spans="1:23" x14ac:dyDescent="0.25">
      <c r="A1270" s="26" t="str">
        <f t="shared" si="206"/>
        <v>PREESCOLAR</v>
      </c>
      <c r="B1270" s="26" t="str">
        <f>"09PJN0943S"</f>
        <v>09PJN0943S</v>
      </c>
      <c r="C1270" s="26" t="str">
        <f>"COLEGIO ALVAREZ                                                                                     "</f>
        <v xml:space="preserve">COLEGIO ALVAREZ                                                                                     </v>
      </c>
      <c r="D1270" s="26" t="str">
        <f t="shared" si="204"/>
        <v>MATUTINO</v>
      </c>
      <c r="E1270" s="26" t="str">
        <f>"CAMINO DEL ESFUERZO NO. 49                                                      "</f>
        <v xml:space="preserve">CAMINO DEL ESFUERZO NO. 49                                                      </v>
      </c>
      <c r="F1270" s="26" t="str">
        <f>"CAMPESTRE ARAGON                                                                                                                            "</f>
        <v xml:space="preserve">CAMPESTRE ARAGON                                                                                                                            </v>
      </c>
      <c r="G1270" s="26" t="str">
        <f t="shared" si="217"/>
        <v xml:space="preserve">GUSTAVO A. MADERO                                                               </v>
      </c>
      <c r="H1270" s="26" t="str">
        <f>"199"</f>
        <v>199</v>
      </c>
      <c r="I1270" s="26" t="str">
        <f t="shared" si="207"/>
        <v>00</v>
      </c>
      <c r="J1270" s="26" t="str">
        <f t="shared" si="218"/>
        <v xml:space="preserve">32 </v>
      </c>
      <c r="K1270" s="26" t="str">
        <f t="shared" si="213"/>
        <v>EP</v>
      </c>
      <c r="L1270" s="26" t="str">
        <f t="shared" si="214"/>
        <v>DGOSE</v>
      </c>
      <c r="M1270" s="26" t="str">
        <f t="shared" si="205"/>
        <v>PARTICULAR</v>
      </c>
      <c r="N1270" s="26">
        <v>22</v>
      </c>
      <c r="O1270" s="26">
        <v>11</v>
      </c>
      <c r="P1270" s="26">
        <v>11</v>
      </c>
      <c r="Q1270" s="26">
        <v>2</v>
      </c>
      <c r="R1270" s="26">
        <v>1</v>
      </c>
      <c r="S1270" s="26">
        <v>2</v>
      </c>
      <c r="T1270" s="26">
        <v>1</v>
      </c>
      <c r="U1270" s="26">
        <v>4</v>
      </c>
      <c r="V1270" s="26">
        <v>1</v>
      </c>
      <c r="W1270" s="26"/>
    </row>
    <row r="1271" spans="1:23" x14ac:dyDescent="0.25">
      <c r="A1271" s="26" t="str">
        <f t="shared" si="206"/>
        <v>PREESCOLAR</v>
      </c>
      <c r="B1271" s="26" t="str">
        <f>"09PJN0946P"</f>
        <v>09PJN0946P</v>
      </c>
      <c r="C1271" s="26" t="str">
        <f>"CENTRO DE DESARROLLO JUAN JACOBO ROUSSEAU                                                           "</f>
        <v xml:space="preserve">CENTRO DE DESARROLLO JUAN JACOBO ROUSSEAU                                                           </v>
      </c>
      <c r="D1271" s="26" t="str">
        <f t="shared" si="204"/>
        <v>MATUTINO</v>
      </c>
      <c r="E1271" s="26" t="str">
        <f>"VILLA DE ARAGON NO.58                                                           "</f>
        <v xml:space="preserve">VILLA DE ARAGON NO.58                                                           </v>
      </c>
      <c r="F1271" s="26" t="str">
        <f>"VILLA DE ARAGON                                                                                                                             "</f>
        <v xml:space="preserve">VILLA DE ARAGON                                                                                                                             </v>
      </c>
      <c r="G1271" s="26" t="str">
        <f t="shared" si="217"/>
        <v xml:space="preserve">GUSTAVO A. MADERO                                                               </v>
      </c>
      <c r="H1271" s="26" t="str">
        <f>"201"</f>
        <v>201</v>
      </c>
      <c r="I1271" s="26" t="str">
        <f t="shared" si="207"/>
        <v>00</v>
      </c>
      <c r="J1271" s="26" t="str">
        <f t="shared" si="218"/>
        <v xml:space="preserve">32 </v>
      </c>
      <c r="K1271" s="26" t="str">
        <f t="shared" si="213"/>
        <v>EP</v>
      </c>
      <c r="L1271" s="26" t="str">
        <f t="shared" si="214"/>
        <v>DGOSE</v>
      </c>
      <c r="M1271" s="26" t="str">
        <f t="shared" si="205"/>
        <v>PARTICULAR</v>
      </c>
      <c r="N1271" s="26">
        <v>45</v>
      </c>
      <c r="O1271" s="26">
        <v>23</v>
      </c>
      <c r="P1271" s="26">
        <v>22</v>
      </c>
      <c r="Q1271" s="26">
        <v>3</v>
      </c>
      <c r="R1271" s="26">
        <v>1</v>
      </c>
      <c r="S1271" s="26">
        <v>3</v>
      </c>
      <c r="T1271" s="26">
        <v>4</v>
      </c>
      <c r="U1271" s="26">
        <v>8</v>
      </c>
      <c r="V1271" s="26">
        <v>1</v>
      </c>
      <c r="W1271" s="26"/>
    </row>
    <row r="1272" spans="1:23" x14ac:dyDescent="0.25">
      <c r="A1272" s="26" t="str">
        <f t="shared" si="206"/>
        <v>PREESCOLAR</v>
      </c>
      <c r="B1272" s="26" t="str">
        <f>"09PJN0951A"</f>
        <v>09PJN0951A</v>
      </c>
      <c r="C1272" s="26" t="str">
        <f>"HANS CHRISTIAN ANDERSEN                                                                             "</f>
        <v xml:space="preserve">HANS CHRISTIAN ANDERSEN                                                                             </v>
      </c>
      <c r="D1272" s="26" t="str">
        <f t="shared" si="204"/>
        <v>MATUTINO</v>
      </c>
      <c r="E1272" s="26" t="str">
        <f>"AV. LINDAVISTA NO. 200                                                          "</f>
        <v xml:space="preserve">AV. LINDAVISTA NO. 200                                                          </v>
      </c>
      <c r="F1272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1272" s="26" t="str">
        <f t="shared" si="217"/>
        <v xml:space="preserve">GUSTAVO A. MADERO                                                               </v>
      </c>
      <c r="H1272" s="26" t="str">
        <f>"177"</f>
        <v>177</v>
      </c>
      <c r="I1272" s="26" t="str">
        <f t="shared" si="207"/>
        <v>00</v>
      </c>
      <c r="J1272" s="26" t="str">
        <f t="shared" si="218"/>
        <v xml:space="preserve">32 </v>
      </c>
      <c r="K1272" s="26" t="str">
        <f t="shared" si="213"/>
        <v>EP</v>
      </c>
      <c r="L1272" s="26" t="str">
        <f t="shared" si="214"/>
        <v>DGOSE</v>
      </c>
      <c r="M1272" s="26" t="str">
        <f t="shared" si="205"/>
        <v>PARTICULAR</v>
      </c>
      <c r="N1272" s="26">
        <v>76</v>
      </c>
      <c r="O1272" s="26">
        <v>42</v>
      </c>
      <c r="P1272" s="26">
        <v>34</v>
      </c>
      <c r="Q1272" s="26">
        <v>4</v>
      </c>
      <c r="R1272" s="26">
        <v>1</v>
      </c>
      <c r="S1272" s="26">
        <v>4</v>
      </c>
      <c r="T1272" s="26">
        <v>11</v>
      </c>
      <c r="U1272" s="26">
        <v>16</v>
      </c>
      <c r="V1272" s="26">
        <v>1</v>
      </c>
      <c r="W1272" s="26"/>
    </row>
    <row r="1273" spans="1:23" x14ac:dyDescent="0.25">
      <c r="A1273" s="26" t="str">
        <f t="shared" si="206"/>
        <v>PREESCOLAR</v>
      </c>
      <c r="B1273" s="26" t="str">
        <f>"09PJN0952Z"</f>
        <v>09PJN0952Z</v>
      </c>
      <c r="C1273" s="26" t="str">
        <f>"KINDER FLORENCIA NIGHTINGALE                                                                        "</f>
        <v xml:space="preserve">KINDER FLORENCIA NIGHTINGALE                                                                        </v>
      </c>
      <c r="D1273" s="26" t="str">
        <f t="shared" si="204"/>
        <v>MATUTINO</v>
      </c>
      <c r="E1273" s="26" t="str">
        <f>"AV. LINDAVISTA NO. 170                                                          "</f>
        <v xml:space="preserve">AV. LINDAVISTA NO. 170                                                          </v>
      </c>
      <c r="F1273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1273" s="26" t="str">
        <f t="shared" si="217"/>
        <v xml:space="preserve">GUSTAVO A. MADERO                                                               </v>
      </c>
      <c r="H1273" s="26" t="str">
        <f>"192"</f>
        <v>192</v>
      </c>
      <c r="I1273" s="26" t="str">
        <f t="shared" si="207"/>
        <v>00</v>
      </c>
      <c r="J1273" s="26" t="str">
        <f t="shared" si="218"/>
        <v xml:space="preserve">32 </v>
      </c>
      <c r="K1273" s="26" t="str">
        <f t="shared" si="213"/>
        <v>EP</v>
      </c>
      <c r="L1273" s="26" t="str">
        <f t="shared" si="214"/>
        <v>DGOSE</v>
      </c>
      <c r="M1273" s="26" t="str">
        <f t="shared" si="205"/>
        <v>PARTICULAR</v>
      </c>
      <c r="N1273" s="26">
        <v>115</v>
      </c>
      <c r="O1273" s="26">
        <v>70</v>
      </c>
      <c r="P1273" s="26">
        <v>45</v>
      </c>
      <c r="Q1273" s="26">
        <v>6</v>
      </c>
      <c r="R1273" s="26">
        <v>1</v>
      </c>
      <c r="S1273" s="26">
        <v>6</v>
      </c>
      <c r="T1273" s="26">
        <v>6</v>
      </c>
      <c r="U1273" s="26">
        <v>13</v>
      </c>
      <c r="V1273" s="26">
        <v>1</v>
      </c>
      <c r="W1273" s="26"/>
    </row>
    <row r="1274" spans="1:23" x14ac:dyDescent="0.25">
      <c r="A1274" s="26" t="str">
        <f t="shared" si="206"/>
        <v>PREESCOLAR</v>
      </c>
      <c r="B1274" s="26" t="str">
        <f>"09PJN0963F"</f>
        <v>09PJN0963F</v>
      </c>
      <c r="C1274" s="26" t="str">
        <f>"BURBUJAS                                                                                            "</f>
        <v xml:space="preserve">BURBUJAS                                                                                            </v>
      </c>
      <c r="D1274" s="26" t="str">
        <f t="shared" si="204"/>
        <v>MATUTINO</v>
      </c>
      <c r="E1274" s="26" t="str">
        <f>"NUEVO LEON LT 7 MZA.43 NO. 166                                                  "</f>
        <v xml:space="preserve">NUEVO LEON LT 7 MZA.43 NO. 166                                                  </v>
      </c>
      <c r="F1274" s="26" t="str">
        <f>"PROVIDENCIA                                                                                                                                 "</f>
        <v xml:space="preserve">PROVIDENCIA                                                                                                                                 </v>
      </c>
      <c r="G1274" s="26" t="str">
        <f t="shared" si="217"/>
        <v xml:space="preserve">GUSTAVO A. MADERO                                                               </v>
      </c>
      <c r="H1274" s="26" t="str">
        <f>"180"</f>
        <v>180</v>
      </c>
      <c r="I1274" s="26" t="str">
        <f t="shared" si="207"/>
        <v>00</v>
      </c>
      <c r="J1274" s="26" t="str">
        <f t="shared" si="218"/>
        <v xml:space="preserve">32 </v>
      </c>
      <c r="K1274" s="26" t="str">
        <f t="shared" si="213"/>
        <v>EP</v>
      </c>
      <c r="L1274" s="26" t="str">
        <f t="shared" si="214"/>
        <v>DGOSE</v>
      </c>
      <c r="M1274" s="26" t="str">
        <f t="shared" si="205"/>
        <v>PARTICULAR</v>
      </c>
      <c r="N1274" s="26">
        <v>34</v>
      </c>
      <c r="O1274" s="26">
        <v>18</v>
      </c>
      <c r="P1274" s="26">
        <v>16</v>
      </c>
      <c r="Q1274" s="26">
        <v>3</v>
      </c>
      <c r="R1274" s="26">
        <v>1</v>
      </c>
      <c r="S1274" s="26">
        <v>3</v>
      </c>
      <c r="T1274" s="26">
        <v>5</v>
      </c>
      <c r="U1274" s="26">
        <v>9</v>
      </c>
      <c r="V1274" s="26">
        <v>1</v>
      </c>
      <c r="W1274" s="26"/>
    </row>
    <row r="1275" spans="1:23" x14ac:dyDescent="0.25">
      <c r="A1275" s="26" t="str">
        <f t="shared" si="206"/>
        <v>PREESCOLAR</v>
      </c>
      <c r="B1275" s="26" t="str">
        <f>"09PJN0964E"</f>
        <v>09PJN0964E</v>
      </c>
      <c r="C1275" s="26" t="str">
        <f>"CASCABELITO                                                                                         "</f>
        <v xml:space="preserve">CASCABELITO                                                                                         </v>
      </c>
      <c r="D1275" s="26" t="str">
        <f t="shared" si="204"/>
        <v>MATUTINO</v>
      </c>
      <c r="E1275" s="26" t="str">
        <f>"TALARA NO. 84                                                                   "</f>
        <v xml:space="preserve">TALARA NO. 84                                                                   </v>
      </c>
      <c r="F1275" s="26" t="str">
        <f>"TEPEYAC INSURGENTES                                                                                                                         "</f>
        <v xml:space="preserve">TEPEYAC INSURGENTES                                                                                                                         </v>
      </c>
      <c r="G1275" s="26" t="str">
        <f t="shared" si="217"/>
        <v xml:space="preserve">GUSTAVO A. MADERO                                                               </v>
      </c>
      <c r="H1275" s="26" t="str">
        <f>"095"</f>
        <v>095</v>
      </c>
      <c r="I1275" s="26" t="str">
        <f t="shared" si="207"/>
        <v>00</v>
      </c>
      <c r="J1275" s="26" t="str">
        <f t="shared" si="218"/>
        <v xml:space="preserve">32 </v>
      </c>
      <c r="K1275" s="26" t="str">
        <f t="shared" si="213"/>
        <v>EP</v>
      </c>
      <c r="L1275" s="26" t="str">
        <f t="shared" si="214"/>
        <v>DGOSE</v>
      </c>
      <c r="M1275" s="26" t="str">
        <f t="shared" si="205"/>
        <v>PARTICULAR</v>
      </c>
      <c r="N1275" s="26">
        <v>84</v>
      </c>
      <c r="O1275" s="26">
        <v>43</v>
      </c>
      <c r="P1275" s="26">
        <v>41</v>
      </c>
      <c r="Q1275" s="26">
        <v>5</v>
      </c>
      <c r="R1275" s="26">
        <v>1</v>
      </c>
      <c r="S1275" s="26">
        <v>5</v>
      </c>
      <c r="T1275" s="26">
        <v>7</v>
      </c>
      <c r="U1275" s="26">
        <v>13</v>
      </c>
      <c r="V1275" s="26">
        <v>1</v>
      </c>
      <c r="W1275" s="26"/>
    </row>
    <row r="1276" spans="1:23" x14ac:dyDescent="0.25">
      <c r="A1276" s="26" t="str">
        <f t="shared" si="206"/>
        <v>PREESCOLAR</v>
      </c>
      <c r="B1276" s="26" t="str">
        <f>"09PJN0970P"</f>
        <v>09PJN0970P</v>
      </c>
      <c r="C1276" s="26" t="str">
        <f>"COLEGIO ARAGON DE MEXICO                                                                            "</f>
        <v xml:space="preserve">COLEGIO ARAGON DE MEXICO                                                                            </v>
      </c>
      <c r="D1276" s="26" t="str">
        <f t="shared" si="204"/>
        <v>MATUTINO</v>
      </c>
      <c r="E1276" s="26" t="str">
        <f>"AV. TALISMAN NO. 4512                                                           "</f>
        <v xml:space="preserve">AV. TALISMAN NO. 4512                                                           </v>
      </c>
      <c r="F1276" s="26" t="str">
        <f>"SAN PEDRO EL CHICO                                                                                                                          "</f>
        <v xml:space="preserve">SAN PEDRO EL CHICO                                                                                                                          </v>
      </c>
      <c r="G1276" s="26" t="str">
        <f t="shared" si="217"/>
        <v xml:space="preserve">GUSTAVO A. MADERO                                                               </v>
      </c>
      <c r="H1276" s="26" t="str">
        <f>"006"</f>
        <v>006</v>
      </c>
      <c r="I1276" s="26" t="str">
        <f t="shared" si="207"/>
        <v>00</v>
      </c>
      <c r="J1276" s="26" t="str">
        <f t="shared" si="218"/>
        <v xml:space="preserve">32 </v>
      </c>
      <c r="K1276" s="26" t="str">
        <f t="shared" si="213"/>
        <v>EP</v>
      </c>
      <c r="L1276" s="26" t="str">
        <f t="shared" si="214"/>
        <v>DGOSE</v>
      </c>
      <c r="M1276" s="26" t="str">
        <f t="shared" si="205"/>
        <v>PARTICULAR</v>
      </c>
      <c r="N1276" s="26">
        <v>24</v>
      </c>
      <c r="O1276" s="26">
        <v>14</v>
      </c>
      <c r="P1276" s="26">
        <v>10</v>
      </c>
      <c r="Q1276" s="26">
        <v>3</v>
      </c>
      <c r="R1276" s="26">
        <v>1</v>
      </c>
      <c r="S1276" s="26">
        <v>3</v>
      </c>
      <c r="T1276" s="26">
        <v>2</v>
      </c>
      <c r="U1276" s="26">
        <v>6</v>
      </c>
      <c r="V1276" s="26">
        <v>1</v>
      </c>
      <c r="W1276" s="26"/>
    </row>
    <row r="1277" spans="1:23" x14ac:dyDescent="0.25">
      <c r="A1277" s="26" t="str">
        <f t="shared" si="206"/>
        <v>PREESCOLAR</v>
      </c>
      <c r="B1277" s="26" t="str">
        <f>"09PJN0971O"</f>
        <v>09PJN0971O</v>
      </c>
      <c r="C1277" s="26" t="str">
        <f>"JARDIN DE NIÑOS FREINET                                                                             "</f>
        <v xml:space="preserve">JARDIN DE NIÑOS FREINET                                                                             </v>
      </c>
      <c r="D1277" s="26" t="str">
        <f t="shared" ref="D1277:D1340" si="219">"MATUTINO"</f>
        <v>MATUTINO</v>
      </c>
      <c r="E1277" s="26" t="str">
        <f>"NORTE 92 NO. 6621                                                               "</f>
        <v xml:space="preserve">NORTE 92 NO. 6621                                                               </v>
      </c>
      <c r="F1277" s="26" t="str">
        <f>"SAN PEDRO EL CHICO                                                                                                                          "</f>
        <v xml:space="preserve">SAN PEDRO EL CHICO                                                                                                                          </v>
      </c>
      <c r="G1277" s="26" t="str">
        <f t="shared" si="217"/>
        <v xml:space="preserve">GUSTAVO A. MADERO                                                               </v>
      </c>
      <c r="H1277" s="26" t="str">
        <f>"006"</f>
        <v>006</v>
      </c>
      <c r="I1277" s="26" t="str">
        <f t="shared" si="207"/>
        <v>00</v>
      </c>
      <c r="J1277" s="26" t="str">
        <f t="shared" si="218"/>
        <v xml:space="preserve">32 </v>
      </c>
      <c r="K1277" s="26" t="str">
        <f t="shared" si="213"/>
        <v>EP</v>
      </c>
      <c r="L1277" s="26" t="str">
        <f t="shared" si="214"/>
        <v>DGOSE</v>
      </c>
      <c r="M1277" s="26" t="str">
        <f t="shared" si="205"/>
        <v>PARTICULAR</v>
      </c>
      <c r="N1277" s="26">
        <v>44</v>
      </c>
      <c r="O1277" s="26">
        <v>24</v>
      </c>
      <c r="P1277" s="26">
        <v>20</v>
      </c>
      <c r="Q1277" s="26">
        <v>3</v>
      </c>
      <c r="R1277" s="26">
        <v>1</v>
      </c>
      <c r="S1277" s="26">
        <v>2</v>
      </c>
      <c r="T1277" s="26">
        <v>2</v>
      </c>
      <c r="U1277" s="26">
        <v>5</v>
      </c>
      <c r="V1277" s="26">
        <v>1</v>
      </c>
      <c r="W1277" s="26"/>
    </row>
    <row r="1278" spans="1:23" x14ac:dyDescent="0.25">
      <c r="A1278" s="26" t="str">
        <f t="shared" si="206"/>
        <v>PREESCOLAR</v>
      </c>
      <c r="B1278" s="26" t="str">
        <f>"09PJN0978H"</f>
        <v>09PJN0978H</v>
      </c>
      <c r="C1278" s="26" t="str">
        <f>"COLEGIO XICOTENCATL                                                                                 "</f>
        <v xml:space="preserve">COLEGIO XICOTENCATL                                                                                 </v>
      </c>
      <c r="D1278" s="26" t="str">
        <f t="shared" si="219"/>
        <v>MATUTINO</v>
      </c>
      <c r="E1278" s="26" t="str">
        <f>"AV. SUR 12 No. 372                                                              "</f>
        <v xml:space="preserve">AV. SUR 12 No. 372                                                              </v>
      </c>
      <c r="F1278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1278" s="26" t="str">
        <f>"IZTACALCO                                                                       "</f>
        <v xml:space="preserve">IZTACALCO                                                                       </v>
      </c>
      <c r="H1278" s="26" t="str">
        <f>"143"</f>
        <v>143</v>
      </c>
      <c r="I1278" s="26" t="str">
        <f t="shared" si="207"/>
        <v>00</v>
      </c>
      <c r="J1278" s="26" t="str">
        <f>"33 "</f>
        <v xml:space="preserve">33 </v>
      </c>
      <c r="K1278" s="26" t="str">
        <f t="shared" si="213"/>
        <v>EP</v>
      </c>
      <c r="L1278" s="26" t="str">
        <f t="shared" si="214"/>
        <v>DGOSE</v>
      </c>
      <c r="M1278" s="26" t="str">
        <f t="shared" si="205"/>
        <v>PARTICULAR</v>
      </c>
      <c r="N1278" s="26">
        <v>55</v>
      </c>
      <c r="O1278" s="26">
        <v>21</v>
      </c>
      <c r="P1278" s="26">
        <v>34</v>
      </c>
      <c r="Q1278" s="26">
        <v>4</v>
      </c>
      <c r="R1278" s="26">
        <v>1</v>
      </c>
      <c r="S1278" s="26">
        <v>4</v>
      </c>
      <c r="T1278" s="26">
        <v>7</v>
      </c>
      <c r="U1278" s="26">
        <v>12</v>
      </c>
      <c r="V1278" s="26">
        <v>1</v>
      </c>
      <c r="W1278" s="26"/>
    </row>
    <row r="1279" spans="1:23" x14ac:dyDescent="0.25">
      <c r="A1279" s="26" t="str">
        <f t="shared" si="206"/>
        <v>PREESCOLAR</v>
      </c>
      <c r="B1279" s="26" t="str">
        <f>"09PJN0979G"</f>
        <v>09PJN0979G</v>
      </c>
      <c r="C1279" s="26" t="str">
        <f>"LAS ABEJITAS                                                                                        "</f>
        <v xml:space="preserve">LAS ABEJITAS                                                                                        </v>
      </c>
      <c r="D1279" s="26" t="str">
        <f t="shared" si="219"/>
        <v>MATUTINO</v>
      </c>
      <c r="E1279" s="26" t="str">
        <f>"SUR 115-A NO. 2213                                                              "</f>
        <v xml:space="preserve">SUR 115-A NO. 2213                                                              </v>
      </c>
      <c r="F1279" s="26" t="str">
        <f>"JUVENTINO ROSAS                                                                                                                             "</f>
        <v xml:space="preserve">JUVENTINO ROSAS                                                                                                                             </v>
      </c>
      <c r="G1279" s="26" t="str">
        <f>"IZTACALCO                                                                       "</f>
        <v xml:space="preserve">IZTACALCO                                                                       </v>
      </c>
      <c r="H1279" s="26" t="str">
        <f>"144"</f>
        <v>144</v>
      </c>
      <c r="I1279" s="26" t="str">
        <f t="shared" si="207"/>
        <v>00</v>
      </c>
      <c r="J1279" s="26" t="str">
        <f>"33 "</f>
        <v xml:space="preserve">33 </v>
      </c>
      <c r="K1279" s="26" t="str">
        <f t="shared" si="213"/>
        <v>EP</v>
      </c>
      <c r="L1279" s="26" t="str">
        <f t="shared" si="214"/>
        <v>DGOSE</v>
      </c>
      <c r="M1279" s="26" t="str">
        <f t="shared" ref="M1279:M1342" si="220">"PARTICULAR"</f>
        <v>PARTICULAR</v>
      </c>
      <c r="N1279" s="26">
        <v>42</v>
      </c>
      <c r="O1279" s="26">
        <v>17</v>
      </c>
      <c r="P1279" s="26">
        <v>25</v>
      </c>
      <c r="Q1279" s="26">
        <v>4</v>
      </c>
      <c r="R1279" s="26">
        <v>1</v>
      </c>
      <c r="S1279" s="26">
        <v>4</v>
      </c>
      <c r="T1279" s="26">
        <v>3</v>
      </c>
      <c r="U1279" s="26">
        <v>8</v>
      </c>
      <c r="V1279" s="26">
        <v>1</v>
      </c>
      <c r="W1279" s="26"/>
    </row>
    <row r="1280" spans="1:23" x14ac:dyDescent="0.25">
      <c r="A1280" s="26" t="str">
        <f t="shared" si="206"/>
        <v>PREESCOLAR</v>
      </c>
      <c r="B1280" s="26" t="str">
        <f>"09PJN0986Q"</f>
        <v>09PJN0986Q</v>
      </c>
      <c r="C1280" s="26" t="str">
        <f>"CENTRO DE DESARROLLO INFANTIL LAS ARDILLITAS                                                        "</f>
        <v xml:space="preserve">CENTRO DE DESARROLLO INFANTIL LAS ARDILLITAS                                                        </v>
      </c>
      <c r="D1280" s="26" t="str">
        <f t="shared" si="219"/>
        <v>MATUTINO</v>
      </c>
      <c r="E1280" s="26" t="str">
        <f>"ORIENTE 251-B NO. 172                                                           "</f>
        <v xml:space="preserve">ORIENTE 251-B NO. 172                                                           </v>
      </c>
      <c r="F1280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1280" s="26" t="str">
        <f>"IZTACALCO                                                                       "</f>
        <v xml:space="preserve">IZTACALCO                                                                       </v>
      </c>
      <c r="H1280" s="26" t="str">
        <f>"240"</f>
        <v>240</v>
      </c>
      <c r="I1280" s="26" t="str">
        <f t="shared" si="207"/>
        <v>00</v>
      </c>
      <c r="J1280" s="26" t="str">
        <f>"33 "</f>
        <v xml:space="preserve">33 </v>
      </c>
      <c r="K1280" s="26" t="str">
        <f t="shared" si="213"/>
        <v>EP</v>
      </c>
      <c r="L1280" s="26" t="str">
        <f t="shared" si="214"/>
        <v>DGOSE</v>
      </c>
      <c r="M1280" s="26" t="str">
        <f t="shared" si="220"/>
        <v>PARTICULAR</v>
      </c>
      <c r="N1280" s="26">
        <v>117</v>
      </c>
      <c r="O1280" s="26">
        <v>61</v>
      </c>
      <c r="P1280" s="26">
        <v>56</v>
      </c>
      <c r="Q1280" s="26">
        <v>6</v>
      </c>
      <c r="R1280" s="26">
        <v>1</v>
      </c>
      <c r="S1280" s="26">
        <v>6</v>
      </c>
      <c r="T1280" s="26">
        <v>10</v>
      </c>
      <c r="U1280" s="26">
        <v>17</v>
      </c>
      <c r="V1280" s="26">
        <v>1</v>
      </c>
      <c r="W1280" s="26"/>
    </row>
    <row r="1281" spans="1:23" x14ac:dyDescent="0.25">
      <c r="A1281" s="26" t="str">
        <f t="shared" si="206"/>
        <v>PREESCOLAR</v>
      </c>
      <c r="B1281" s="26" t="str">
        <f>"09PJN0987P"</f>
        <v>09PJN0987P</v>
      </c>
      <c r="C1281" s="26" t="str">
        <f>"EL COLEGIO BRITANICO (THE EDRON ACADEMY)                                                            "</f>
        <v xml:space="preserve">EL COLEGIO BRITANICO (THE EDRON ACADEMY)                                                            </v>
      </c>
      <c r="D1281" s="26" t="str">
        <f t="shared" si="219"/>
        <v>MATUTINO</v>
      </c>
      <c r="E1281" s="26" t="str">
        <f>"CALZADA DESIERTO DE LOS LEONES NO. 5907                                         "</f>
        <v xml:space="preserve">CALZADA DESIERTO DE LOS LEONES NO. 5907                                         </v>
      </c>
      <c r="F1281" s="26" t="str">
        <f>"OLIVAR DE LOS PADRES                                                                                                                        "</f>
        <v xml:space="preserve">OLIVAR DE LOS PADRES                                                                                                                        </v>
      </c>
      <c r="G1281" s="26" t="str">
        <f>"ALVARO OBREGON                                                                  "</f>
        <v xml:space="preserve">ALVARO OBREGON                                                                  </v>
      </c>
      <c r="H1281" s="26" t="str">
        <f>"175"</f>
        <v>175</v>
      </c>
      <c r="I1281" s="26" t="str">
        <f t="shared" si="207"/>
        <v>00</v>
      </c>
      <c r="J1281" s="26" t="str">
        <f>"33 "</f>
        <v xml:space="preserve">33 </v>
      </c>
      <c r="K1281" s="26" t="str">
        <f t="shared" si="213"/>
        <v>EP</v>
      </c>
      <c r="L1281" s="26" t="str">
        <f t="shared" si="214"/>
        <v>DGOSE</v>
      </c>
      <c r="M1281" s="26" t="str">
        <f t="shared" si="220"/>
        <v>PARTICULAR</v>
      </c>
      <c r="N1281" s="26">
        <v>180</v>
      </c>
      <c r="O1281" s="26">
        <v>84</v>
      </c>
      <c r="P1281" s="26">
        <v>96</v>
      </c>
      <c r="Q1281" s="26">
        <v>11</v>
      </c>
      <c r="R1281" s="26">
        <v>1</v>
      </c>
      <c r="S1281" s="26">
        <v>11</v>
      </c>
      <c r="T1281" s="26">
        <v>31</v>
      </c>
      <c r="U1281" s="26">
        <v>43</v>
      </c>
      <c r="V1281" s="26">
        <v>1</v>
      </c>
      <c r="W1281" s="26"/>
    </row>
    <row r="1282" spans="1:23" x14ac:dyDescent="0.25">
      <c r="A1282" s="26" t="str">
        <f t="shared" ref="A1282:A1345" si="221">"PREESCOLAR"</f>
        <v>PREESCOLAR</v>
      </c>
      <c r="B1282" s="26" t="str">
        <f>"09PJN0991B"</f>
        <v>09PJN0991B</v>
      </c>
      <c r="C1282" s="26" t="str">
        <f>"LUZ CASANOVA                                                                                        "</f>
        <v xml:space="preserve">LUZ CASANOVA                                                                                        </v>
      </c>
      <c r="D1282" s="26" t="str">
        <f t="shared" si="219"/>
        <v>MATUTINO</v>
      </c>
      <c r="E1282" s="26" t="str">
        <f>"INSURGENTES NO. 319                                                             "</f>
        <v xml:space="preserve">INSURGENTES NO. 319                                                             </v>
      </c>
      <c r="F1282" s="26" t="str">
        <f>"DESARROLLO URBANO QUETZALCOATL                                                                                                              "</f>
        <v xml:space="preserve">DESARROLLO URBANO QUETZALCOATL                                                                                                              </v>
      </c>
      <c r="G1282" s="26" t="str">
        <f t="shared" ref="G1282:G1300" si="222">"IZTAPALAPA                                                                      "</f>
        <v xml:space="preserve">IZTAPALAPA                                                                      </v>
      </c>
      <c r="H1282" s="26" t="str">
        <f t="shared" ref="H1282:H1300" si="223">"000"</f>
        <v>000</v>
      </c>
      <c r="I1282" s="26" t="str">
        <f t="shared" ref="I1282:I1345" si="224">"00"</f>
        <v>00</v>
      </c>
      <c r="J1282" s="26" t="str">
        <f>"63 "</f>
        <v xml:space="preserve">63 </v>
      </c>
      <c r="K1282" s="26" t="str">
        <f t="shared" ref="K1282:K1300" si="225">"IZ"</f>
        <v>IZ</v>
      </c>
      <c r="L1282" s="26" t="str">
        <f t="shared" ref="L1282:L1300" si="226">"DGSEI"</f>
        <v>DGSEI</v>
      </c>
      <c r="M1282" s="26" t="str">
        <f t="shared" si="220"/>
        <v>PARTICULAR</v>
      </c>
      <c r="N1282" s="26">
        <v>70</v>
      </c>
      <c r="O1282" s="26">
        <v>40</v>
      </c>
      <c r="P1282" s="26">
        <v>30</v>
      </c>
      <c r="Q1282" s="26">
        <v>4</v>
      </c>
      <c r="R1282" s="26">
        <v>1</v>
      </c>
      <c r="S1282" s="26">
        <v>4</v>
      </c>
      <c r="T1282" s="26">
        <v>7</v>
      </c>
      <c r="U1282" s="26">
        <v>12</v>
      </c>
      <c r="V1282" s="26">
        <v>1</v>
      </c>
      <c r="W1282" s="26"/>
    </row>
    <row r="1283" spans="1:23" x14ac:dyDescent="0.25">
      <c r="A1283" s="26" t="str">
        <f t="shared" si="221"/>
        <v>PREESCOLAR</v>
      </c>
      <c r="B1283" s="26" t="str">
        <f>"09PJN0993Z"</f>
        <v>09PJN0993Z</v>
      </c>
      <c r="C1283" s="26" t="str">
        <f>"LUIS PASTEUR                                                                                        "</f>
        <v xml:space="preserve">LUIS PASTEUR                                                                                        </v>
      </c>
      <c r="D1283" s="26" t="str">
        <f t="shared" si="219"/>
        <v>MATUTINO</v>
      </c>
      <c r="E1283" s="26" t="str">
        <f>"RIO DE LA CADENA NO. 3                                                          "</f>
        <v xml:space="preserve">RIO DE LA CADENA NO. 3                                                          </v>
      </c>
      <c r="F1283" s="26" t="str">
        <f>"REAL DEL MORAL                                                                                                                              "</f>
        <v xml:space="preserve">REAL DEL MORAL                                                                                                                              </v>
      </c>
      <c r="G1283" s="26" t="str">
        <f t="shared" si="222"/>
        <v xml:space="preserve">IZTAPALAPA                                                                      </v>
      </c>
      <c r="H1283" s="26" t="str">
        <f t="shared" si="223"/>
        <v>000</v>
      </c>
      <c r="I1283" s="26" t="str">
        <f t="shared" si="224"/>
        <v>00</v>
      </c>
      <c r="J1283" s="26" t="str">
        <f>"61 "</f>
        <v xml:space="preserve">61 </v>
      </c>
      <c r="K1283" s="26" t="str">
        <f t="shared" si="225"/>
        <v>IZ</v>
      </c>
      <c r="L1283" s="26" t="str">
        <f t="shared" si="226"/>
        <v>DGSEI</v>
      </c>
      <c r="M1283" s="26" t="str">
        <f t="shared" si="220"/>
        <v>PARTICULAR</v>
      </c>
      <c r="N1283" s="26">
        <v>45</v>
      </c>
      <c r="O1283" s="26">
        <v>23</v>
      </c>
      <c r="P1283" s="26">
        <v>22</v>
      </c>
      <c r="Q1283" s="26">
        <v>3</v>
      </c>
      <c r="R1283" s="26">
        <v>1</v>
      </c>
      <c r="S1283" s="26">
        <v>2</v>
      </c>
      <c r="T1283" s="26">
        <v>1</v>
      </c>
      <c r="U1283" s="26">
        <v>4</v>
      </c>
      <c r="V1283" s="26">
        <v>1</v>
      </c>
      <c r="W1283" s="26"/>
    </row>
    <row r="1284" spans="1:23" x14ac:dyDescent="0.25">
      <c r="A1284" s="26" t="str">
        <f t="shared" si="221"/>
        <v>PREESCOLAR</v>
      </c>
      <c r="B1284" s="26" t="str">
        <f>"09PJN0998V"</f>
        <v>09PJN0998V</v>
      </c>
      <c r="C1284" s="26" t="str">
        <f>"INSTITUTO MONTESSORI                                                                                "</f>
        <v xml:space="preserve">INSTITUTO MONTESSORI                                                                                </v>
      </c>
      <c r="D1284" s="26" t="str">
        <f t="shared" si="219"/>
        <v>MATUTINO</v>
      </c>
      <c r="E1284" s="26" t="str">
        <f>"PROL. EMILIANO ZAPATA NO. 65                                                    "</f>
        <v xml:space="preserve">PROL. EMILIANO ZAPATA NO. 65                                                    </v>
      </c>
      <c r="F1284" s="26" t="str">
        <f>"UNIDAD MODELO                                                                                                                               "</f>
        <v xml:space="preserve">UNIDAD MODELO                                                                                                                               </v>
      </c>
      <c r="G1284" s="26" t="str">
        <f t="shared" si="222"/>
        <v xml:space="preserve">IZTAPALAPA                                                                      </v>
      </c>
      <c r="H1284" s="26" t="str">
        <f t="shared" si="223"/>
        <v>000</v>
      </c>
      <c r="I1284" s="26" t="str">
        <f t="shared" si="224"/>
        <v>00</v>
      </c>
      <c r="J1284" s="26" t="str">
        <f>"61 "</f>
        <v xml:space="preserve">61 </v>
      </c>
      <c r="K1284" s="26" t="str">
        <f t="shared" si="225"/>
        <v>IZ</v>
      </c>
      <c r="L1284" s="26" t="str">
        <f t="shared" si="226"/>
        <v>DGSEI</v>
      </c>
      <c r="M1284" s="26" t="str">
        <f t="shared" si="220"/>
        <v>PARTICULAR</v>
      </c>
      <c r="N1284" s="26">
        <v>33</v>
      </c>
      <c r="O1284" s="26">
        <v>21</v>
      </c>
      <c r="P1284" s="26">
        <v>12</v>
      </c>
      <c r="Q1284" s="26">
        <v>3</v>
      </c>
      <c r="R1284" s="26">
        <v>1</v>
      </c>
      <c r="S1284" s="26">
        <v>2</v>
      </c>
      <c r="T1284" s="26">
        <v>5</v>
      </c>
      <c r="U1284" s="26">
        <v>8</v>
      </c>
      <c r="V1284" s="26">
        <v>1</v>
      </c>
      <c r="W1284" s="26"/>
    </row>
    <row r="1285" spans="1:23" x14ac:dyDescent="0.25">
      <c r="A1285" s="26" t="str">
        <f t="shared" si="221"/>
        <v>PREESCOLAR</v>
      </c>
      <c r="B1285" s="26" t="str">
        <f>"09PJN0999U"</f>
        <v>09PJN0999U</v>
      </c>
      <c r="C1285" s="26" t="str">
        <f>"ABRAHAM LINCOLN                                                                                     "</f>
        <v xml:space="preserve">ABRAHAM LINCOLN                                                                                     </v>
      </c>
      <c r="D1285" s="26" t="str">
        <f t="shared" si="219"/>
        <v>MATUTINO</v>
      </c>
      <c r="E1285" s="26" t="str">
        <f>"SUR 67-A NO. 145                                                                "</f>
        <v xml:space="preserve">SUR 67-A NO. 145                                                                </v>
      </c>
      <c r="F1285" s="26" t="str">
        <f>"EL PRADO                                                                                                                                    "</f>
        <v xml:space="preserve">EL PRADO                                                                                                                                    </v>
      </c>
      <c r="G1285" s="26" t="str">
        <f t="shared" si="222"/>
        <v xml:space="preserve">IZTAPALAPA                                                                      </v>
      </c>
      <c r="H1285" s="26" t="str">
        <f t="shared" si="223"/>
        <v>000</v>
      </c>
      <c r="I1285" s="26" t="str">
        <f t="shared" si="224"/>
        <v>00</v>
      </c>
      <c r="J1285" s="26" t="str">
        <f>"61 "</f>
        <v xml:space="preserve">61 </v>
      </c>
      <c r="K1285" s="26" t="str">
        <f t="shared" si="225"/>
        <v>IZ</v>
      </c>
      <c r="L1285" s="26" t="str">
        <f t="shared" si="226"/>
        <v>DGSEI</v>
      </c>
      <c r="M1285" s="26" t="str">
        <f t="shared" si="220"/>
        <v>PARTICULAR</v>
      </c>
      <c r="N1285" s="26">
        <v>16</v>
      </c>
      <c r="O1285" s="26">
        <v>8</v>
      </c>
      <c r="P1285" s="26">
        <v>8</v>
      </c>
      <c r="Q1285" s="26">
        <v>3</v>
      </c>
      <c r="R1285" s="26">
        <v>1</v>
      </c>
      <c r="S1285" s="26">
        <v>2</v>
      </c>
      <c r="T1285" s="26">
        <v>4</v>
      </c>
      <c r="U1285" s="26">
        <v>7</v>
      </c>
      <c r="V1285" s="26">
        <v>1</v>
      </c>
      <c r="W1285" s="26"/>
    </row>
    <row r="1286" spans="1:23" x14ac:dyDescent="0.25">
      <c r="A1286" s="26" t="str">
        <f t="shared" si="221"/>
        <v>PREESCOLAR</v>
      </c>
      <c r="B1286" s="26" t="str">
        <f>"09PJN1007C"</f>
        <v>09PJN1007C</v>
      </c>
      <c r="C1286" s="26" t="str">
        <f>"POLITO                                                                                              "</f>
        <v xml:space="preserve">POLITO                                                                                              </v>
      </c>
      <c r="D1286" s="26" t="str">
        <f t="shared" si="219"/>
        <v>MATUTINO</v>
      </c>
      <c r="E1286" s="26" t="str">
        <f>"EXPLORADORES DE ZARAGOZA NO. 170-A                                              "</f>
        <v xml:space="preserve">EXPLORADORES DE ZARAGOZA NO. 170-A                                              </v>
      </c>
      <c r="F1286" s="26" t="str">
        <f>"SANTA MARTHA ACATITLA                                                                                                                       "</f>
        <v xml:space="preserve">SANTA MARTHA ACATITLA                                                                                                                       </v>
      </c>
      <c r="G1286" s="26" t="str">
        <f t="shared" si="222"/>
        <v xml:space="preserve">IZTAPALAPA                                                                      </v>
      </c>
      <c r="H1286" s="26" t="str">
        <f t="shared" si="223"/>
        <v>000</v>
      </c>
      <c r="I1286" s="26" t="str">
        <f t="shared" si="224"/>
        <v>00</v>
      </c>
      <c r="J1286" s="26" t="str">
        <f>"62 "</f>
        <v xml:space="preserve">62 </v>
      </c>
      <c r="K1286" s="26" t="str">
        <f t="shared" si="225"/>
        <v>IZ</v>
      </c>
      <c r="L1286" s="26" t="str">
        <f t="shared" si="226"/>
        <v>DGSEI</v>
      </c>
      <c r="M1286" s="26" t="str">
        <f t="shared" si="220"/>
        <v>PARTICULAR</v>
      </c>
      <c r="N1286" s="26">
        <v>16</v>
      </c>
      <c r="O1286" s="26">
        <v>6</v>
      </c>
      <c r="P1286" s="26">
        <v>10</v>
      </c>
      <c r="Q1286" s="26">
        <v>3</v>
      </c>
      <c r="R1286" s="26">
        <v>1</v>
      </c>
      <c r="S1286" s="26">
        <v>1</v>
      </c>
      <c r="T1286" s="26">
        <v>3</v>
      </c>
      <c r="U1286" s="26">
        <v>5</v>
      </c>
      <c r="V1286" s="26">
        <v>1</v>
      </c>
      <c r="W1286" s="26"/>
    </row>
    <row r="1287" spans="1:23" x14ac:dyDescent="0.25">
      <c r="A1287" s="26" t="str">
        <f t="shared" si="221"/>
        <v>PREESCOLAR</v>
      </c>
      <c r="B1287" s="26" t="str">
        <f>"09PJN1011P"</f>
        <v>09PJN1011P</v>
      </c>
      <c r="C1287" s="26" t="str">
        <f>"NIÑO ARTILLERO                                                                                      "</f>
        <v xml:space="preserve">NIÑO ARTILLERO                                                                                      </v>
      </c>
      <c r="D1287" s="26" t="str">
        <f t="shared" si="219"/>
        <v>MATUTINO</v>
      </c>
      <c r="E1287" s="26" t="str">
        <f>"LINO MERINO NO. 803                                                             "</f>
        <v xml:space="preserve">LINO MERINO NO. 803                                                             </v>
      </c>
      <c r="F1287" s="26" t="str">
        <f>"JUAN ESCUTIA                                                                                                                                "</f>
        <v xml:space="preserve">JUAN ESCUTIA                                                                                                                                </v>
      </c>
      <c r="G1287" s="26" t="str">
        <f t="shared" si="222"/>
        <v xml:space="preserve">IZTAPALAPA                                                                      </v>
      </c>
      <c r="H1287" s="26" t="str">
        <f t="shared" si="223"/>
        <v>000</v>
      </c>
      <c r="I1287" s="26" t="str">
        <f t="shared" si="224"/>
        <v>00</v>
      </c>
      <c r="J1287" s="26" t="str">
        <f>"62 "</f>
        <v xml:space="preserve">62 </v>
      </c>
      <c r="K1287" s="26" t="str">
        <f t="shared" si="225"/>
        <v>IZ</v>
      </c>
      <c r="L1287" s="26" t="str">
        <f t="shared" si="226"/>
        <v>DGSEI</v>
      </c>
      <c r="M1287" s="26" t="str">
        <f t="shared" si="220"/>
        <v>PARTICULAR</v>
      </c>
      <c r="N1287" s="26">
        <v>47</v>
      </c>
      <c r="O1287" s="26">
        <v>24</v>
      </c>
      <c r="P1287" s="26">
        <v>23</v>
      </c>
      <c r="Q1287" s="26">
        <v>3</v>
      </c>
      <c r="R1287" s="26">
        <v>1</v>
      </c>
      <c r="S1287" s="26">
        <v>3</v>
      </c>
      <c r="T1287" s="26">
        <v>7</v>
      </c>
      <c r="U1287" s="26">
        <v>11</v>
      </c>
      <c r="V1287" s="26">
        <v>1</v>
      </c>
      <c r="W1287" s="26"/>
    </row>
    <row r="1288" spans="1:23" x14ac:dyDescent="0.25">
      <c r="A1288" s="26" t="str">
        <f t="shared" si="221"/>
        <v>PREESCOLAR</v>
      </c>
      <c r="B1288" s="26" t="str">
        <f>"09PJN1013N"</f>
        <v>09PJN1013N</v>
      </c>
      <c r="C1288" s="26" t="str">
        <f>"LUZ DEL SABER                                                                                       "</f>
        <v xml:space="preserve">LUZ DEL SABER                                                                                       </v>
      </c>
      <c r="D1288" s="26" t="str">
        <f t="shared" si="219"/>
        <v>MATUTINO</v>
      </c>
      <c r="E1288" s="26" t="str">
        <f>"MADROÑO MZ. 2 LT. 2                                                             "</f>
        <v xml:space="preserve">MADROÑO MZ. 2 LT. 2                                                             </v>
      </c>
      <c r="F1288" s="26" t="str">
        <f>"CONSEJO AGRARISTA MEXICANO                                                                                                                  "</f>
        <v xml:space="preserve">CONSEJO AGRARISTA MEXICANO                                                                                                                  </v>
      </c>
      <c r="G1288" s="26" t="str">
        <f t="shared" si="222"/>
        <v xml:space="preserve">IZTAPALAPA                                                                      </v>
      </c>
      <c r="H1288" s="26" t="str">
        <f t="shared" si="223"/>
        <v>000</v>
      </c>
      <c r="I1288" s="26" t="str">
        <f t="shared" si="224"/>
        <v>00</v>
      </c>
      <c r="J1288" s="26" t="str">
        <f>"63 "</f>
        <v xml:space="preserve">63 </v>
      </c>
      <c r="K1288" s="26" t="str">
        <f t="shared" si="225"/>
        <v>IZ</v>
      </c>
      <c r="L1288" s="26" t="str">
        <f t="shared" si="226"/>
        <v>DGSEI</v>
      </c>
      <c r="M1288" s="26" t="str">
        <f t="shared" si="220"/>
        <v>PARTICULAR</v>
      </c>
      <c r="N1288" s="26">
        <v>20</v>
      </c>
      <c r="O1288" s="26">
        <v>9</v>
      </c>
      <c r="P1288" s="26">
        <v>11</v>
      </c>
      <c r="Q1288" s="26">
        <v>2</v>
      </c>
      <c r="R1288" s="26">
        <v>1</v>
      </c>
      <c r="S1288" s="26">
        <v>2</v>
      </c>
      <c r="T1288" s="26">
        <v>1</v>
      </c>
      <c r="U1288" s="26">
        <v>4</v>
      </c>
      <c r="V1288" s="26">
        <v>1</v>
      </c>
      <c r="W1288" s="26"/>
    </row>
    <row r="1289" spans="1:23" x14ac:dyDescent="0.25">
      <c r="A1289" s="26" t="str">
        <f t="shared" si="221"/>
        <v>PREESCOLAR</v>
      </c>
      <c r="B1289" s="26" t="str">
        <f>"09PJN1016K"</f>
        <v>09PJN1016K</v>
      </c>
      <c r="C1289" s="26" t="str">
        <f>"INSTITUTO PROGRESO Y ESPERANZA                                                                      "</f>
        <v xml:space="preserve">INSTITUTO PROGRESO Y ESPERANZA                                                                      </v>
      </c>
      <c r="D1289" s="26" t="str">
        <f t="shared" si="219"/>
        <v>MATUTINO</v>
      </c>
      <c r="E1289" s="26" t="str">
        <f>"AV. 5 NO. 89                                                                    "</f>
        <v xml:space="preserve">AV. 5 NO. 89                                                                    </v>
      </c>
      <c r="F1289" s="26" t="str">
        <f>"GRANJAS SAN ANTONIO                                                                                                                         "</f>
        <v xml:space="preserve">GRANJAS SAN ANTONIO                                                                                                                         </v>
      </c>
      <c r="G1289" s="26" t="str">
        <f t="shared" si="222"/>
        <v xml:space="preserve">IZTAPALAPA                                                                      </v>
      </c>
      <c r="H1289" s="26" t="str">
        <f t="shared" si="223"/>
        <v>000</v>
      </c>
      <c r="I1289" s="26" t="str">
        <f t="shared" si="224"/>
        <v>00</v>
      </c>
      <c r="J1289" s="26" t="str">
        <f t="shared" ref="J1289:J1298" si="227">"61 "</f>
        <v xml:space="preserve">61 </v>
      </c>
      <c r="K1289" s="26" t="str">
        <f t="shared" si="225"/>
        <v>IZ</v>
      </c>
      <c r="L1289" s="26" t="str">
        <f t="shared" si="226"/>
        <v>DGSEI</v>
      </c>
      <c r="M1289" s="26" t="str">
        <f t="shared" si="220"/>
        <v>PARTICULAR</v>
      </c>
      <c r="N1289" s="26">
        <v>130</v>
      </c>
      <c r="O1289" s="26">
        <v>65</v>
      </c>
      <c r="P1289" s="26">
        <v>65</v>
      </c>
      <c r="Q1289" s="26">
        <v>6</v>
      </c>
      <c r="R1289" s="26">
        <v>1</v>
      </c>
      <c r="S1289" s="26">
        <v>6</v>
      </c>
      <c r="T1289" s="26">
        <v>10</v>
      </c>
      <c r="U1289" s="26">
        <v>17</v>
      </c>
      <c r="V1289" s="26">
        <v>1</v>
      </c>
      <c r="W1289" s="26"/>
    </row>
    <row r="1290" spans="1:23" x14ac:dyDescent="0.25">
      <c r="A1290" s="26" t="str">
        <f t="shared" si="221"/>
        <v>PREESCOLAR</v>
      </c>
      <c r="B1290" s="26" t="str">
        <f>"09PJN1017J"</f>
        <v>09PJN1017J</v>
      </c>
      <c r="C1290" s="26" t="str">
        <f>"ATENEA                                                                                              "</f>
        <v xml:space="preserve">ATENEA                                                                                              </v>
      </c>
      <c r="D1290" s="26" t="str">
        <f t="shared" si="219"/>
        <v>MATUTINO</v>
      </c>
      <c r="E1290" s="26" t="str">
        <f>"CALLE 6 NO. 165                                                                 "</f>
        <v xml:space="preserve">CALLE 6 NO. 165                                                                 </v>
      </c>
      <c r="F1290" s="26" t="str">
        <f>"GRANJAS SAN ANTONIO                                                                                                                         "</f>
        <v xml:space="preserve">GRANJAS SAN ANTONIO                                                                                                                         </v>
      </c>
      <c r="G1290" s="26" t="str">
        <f t="shared" si="222"/>
        <v xml:space="preserve">IZTAPALAPA                                                                      </v>
      </c>
      <c r="H1290" s="26" t="str">
        <f t="shared" si="223"/>
        <v>000</v>
      </c>
      <c r="I1290" s="26" t="str">
        <f t="shared" si="224"/>
        <v>00</v>
      </c>
      <c r="J1290" s="26" t="str">
        <f t="shared" si="227"/>
        <v xml:space="preserve">61 </v>
      </c>
      <c r="K1290" s="26" t="str">
        <f t="shared" si="225"/>
        <v>IZ</v>
      </c>
      <c r="L1290" s="26" t="str">
        <f t="shared" si="226"/>
        <v>DGSEI</v>
      </c>
      <c r="M1290" s="26" t="str">
        <f t="shared" si="220"/>
        <v>PARTICULAR</v>
      </c>
      <c r="N1290" s="26">
        <v>43</v>
      </c>
      <c r="O1290" s="26">
        <v>21</v>
      </c>
      <c r="P1290" s="26">
        <v>22</v>
      </c>
      <c r="Q1290" s="26">
        <v>3</v>
      </c>
      <c r="R1290" s="26">
        <v>1</v>
      </c>
      <c r="S1290" s="26">
        <v>3</v>
      </c>
      <c r="T1290" s="26">
        <v>9</v>
      </c>
      <c r="U1290" s="26">
        <v>13</v>
      </c>
      <c r="V1290" s="26">
        <v>1</v>
      </c>
      <c r="W1290" s="26"/>
    </row>
    <row r="1291" spans="1:23" x14ac:dyDescent="0.25">
      <c r="A1291" s="26" t="str">
        <f t="shared" si="221"/>
        <v>PREESCOLAR</v>
      </c>
      <c r="B1291" s="26" t="str">
        <f>"09PJN1018I"</f>
        <v>09PJN1018I</v>
      </c>
      <c r="C1291" s="26" t="str">
        <f>"COLEGIO CONCEPCION CABRERA DE ARMIDA                                                                "</f>
        <v xml:space="preserve">COLEGIO CONCEPCION CABRERA DE ARMIDA                                                                </v>
      </c>
      <c r="D1291" s="26" t="str">
        <f t="shared" si="219"/>
        <v>MATUTINO</v>
      </c>
      <c r="E1291" s="26" t="str">
        <f>"SUR 103-A NO. 227                                                               "</f>
        <v xml:space="preserve">SUR 103-A NO. 227                                                               </v>
      </c>
      <c r="F1291" s="26" t="str">
        <f>"HEROES DE CHURUBUSCO                                                                                                                        "</f>
        <v xml:space="preserve">HEROES DE CHURUBUSCO                                                                                                                        </v>
      </c>
      <c r="G1291" s="26" t="str">
        <f t="shared" si="222"/>
        <v xml:space="preserve">IZTAPALAPA                                                                      </v>
      </c>
      <c r="H1291" s="26" t="str">
        <f t="shared" si="223"/>
        <v>000</v>
      </c>
      <c r="I1291" s="26" t="str">
        <f t="shared" si="224"/>
        <v>00</v>
      </c>
      <c r="J1291" s="26" t="str">
        <f t="shared" si="227"/>
        <v xml:space="preserve">61 </v>
      </c>
      <c r="K1291" s="26" t="str">
        <f t="shared" si="225"/>
        <v>IZ</v>
      </c>
      <c r="L1291" s="26" t="str">
        <f t="shared" si="226"/>
        <v>DGSEI</v>
      </c>
      <c r="M1291" s="26" t="str">
        <f t="shared" si="220"/>
        <v>PARTICULAR</v>
      </c>
      <c r="N1291" s="26">
        <v>33</v>
      </c>
      <c r="O1291" s="26">
        <v>22</v>
      </c>
      <c r="P1291" s="26">
        <v>11</v>
      </c>
      <c r="Q1291" s="26">
        <v>3</v>
      </c>
      <c r="R1291" s="26">
        <v>1</v>
      </c>
      <c r="S1291" s="26">
        <v>3</v>
      </c>
      <c r="T1291" s="26">
        <v>6</v>
      </c>
      <c r="U1291" s="26">
        <v>10</v>
      </c>
      <c r="V1291" s="26">
        <v>1</v>
      </c>
      <c r="W1291" s="26"/>
    </row>
    <row r="1292" spans="1:23" x14ac:dyDescent="0.25">
      <c r="A1292" s="26" t="str">
        <f t="shared" si="221"/>
        <v>PREESCOLAR</v>
      </c>
      <c r="B1292" s="26" t="str">
        <f>"09PJN1030D"</f>
        <v>09PJN1030D</v>
      </c>
      <c r="C1292" s="26" t="str">
        <f>"INSTITUTO REFORMA                                                                                   "</f>
        <v xml:space="preserve">INSTITUTO REFORMA                                                                                   </v>
      </c>
      <c r="D1292" s="26" t="str">
        <f t="shared" si="219"/>
        <v>MATUTINO</v>
      </c>
      <c r="E1292" s="26" t="str">
        <f>"PLAYA PIE DE LA CUESTA NO. 337                                                  "</f>
        <v xml:space="preserve">PLAYA PIE DE LA CUESTA NO. 337                                                  </v>
      </c>
      <c r="F1292" s="26" t="str">
        <f>"EL RETOÑO                                                                                                                                   "</f>
        <v xml:space="preserve">EL RETOÑO                                                                                                                                   </v>
      </c>
      <c r="G1292" s="26" t="str">
        <f t="shared" si="222"/>
        <v xml:space="preserve">IZTAPALAPA                                                                      </v>
      </c>
      <c r="H1292" s="26" t="str">
        <f t="shared" si="223"/>
        <v>000</v>
      </c>
      <c r="I1292" s="26" t="str">
        <f t="shared" si="224"/>
        <v>00</v>
      </c>
      <c r="J1292" s="26" t="str">
        <f t="shared" si="227"/>
        <v xml:space="preserve">61 </v>
      </c>
      <c r="K1292" s="26" t="str">
        <f t="shared" si="225"/>
        <v>IZ</v>
      </c>
      <c r="L1292" s="26" t="str">
        <f t="shared" si="226"/>
        <v>DGSEI</v>
      </c>
      <c r="M1292" s="26" t="str">
        <f t="shared" si="220"/>
        <v>PARTICULAR</v>
      </c>
      <c r="N1292" s="26">
        <v>37</v>
      </c>
      <c r="O1292" s="26">
        <v>21</v>
      </c>
      <c r="P1292" s="26">
        <v>16</v>
      </c>
      <c r="Q1292" s="26">
        <v>3</v>
      </c>
      <c r="R1292" s="26">
        <v>1</v>
      </c>
      <c r="S1292" s="26">
        <v>3</v>
      </c>
      <c r="T1292" s="26">
        <v>0</v>
      </c>
      <c r="U1292" s="26">
        <v>4</v>
      </c>
      <c r="V1292" s="26">
        <v>1</v>
      </c>
      <c r="W1292" s="26"/>
    </row>
    <row r="1293" spans="1:23" x14ac:dyDescent="0.25">
      <c r="A1293" s="26" t="str">
        <f t="shared" si="221"/>
        <v>PREESCOLAR</v>
      </c>
      <c r="B1293" s="26" t="str">
        <f>"09PJN1031C"</f>
        <v>09PJN1031C</v>
      </c>
      <c r="C1293" s="26" t="str">
        <f>"ESCUELA ACTIVA                                                                                      "</f>
        <v xml:space="preserve">ESCUELA ACTIVA                                                                                      </v>
      </c>
      <c r="D1293" s="26" t="str">
        <f t="shared" si="219"/>
        <v>MATUTINO</v>
      </c>
      <c r="E1293" s="26" t="str">
        <f>"EMILIO CARRANZA NO. 359                                                         "</f>
        <v xml:space="preserve">EMILIO CARRANZA NO. 359                                                         </v>
      </c>
      <c r="F1293" s="26" t="str">
        <f>"SAN ANDRES TETEPILCO                                                                                                                        "</f>
        <v xml:space="preserve">SAN ANDRES TETEPILCO                                                                                                                        </v>
      </c>
      <c r="G1293" s="26" t="str">
        <f t="shared" si="222"/>
        <v xml:space="preserve">IZTAPALAPA                                                                      </v>
      </c>
      <c r="H1293" s="26" t="str">
        <f t="shared" si="223"/>
        <v>000</v>
      </c>
      <c r="I1293" s="26" t="str">
        <f t="shared" si="224"/>
        <v>00</v>
      </c>
      <c r="J1293" s="26" t="str">
        <f t="shared" si="227"/>
        <v xml:space="preserve">61 </v>
      </c>
      <c r="K1293" s="26" t="str">
        <f t="shared" si="225"/>
        <v>IZ</v>
      </c>
      <c r="L1293" s="26" t="str">
        <f t="shared" si="226"/>
        <v>DGSEI</v>
      </c>
      <c r="M1293" s="26" t="str">
        <f t="shared" si="220"/>
        <v>PARTICULAR</v>
      </c>
      <c r="N1293" s="26">
        <v>40</v>
      </c>
      <c r="O1293" s="26">
        <v>22</v>
      </c>
      <c r="P1293" s="26">
        <v>18</v>
      </c>
      <c r="Q1293" s="26">
        <v>3</v>
      </c>
      <c r="R1293" s="26">
        <v>1</v>
      </c>
      <c r="S1293" s="26">
        <v>3</v>
      </c>
      <c r="T1293" s="26">
        <v>0</v>
      </c>
      <c r="U1293" s="26">
        <v>4</v>
      </c>
      <c r="V1293" s="26">
        <v>1</v>
      </c>
      <c r="W1293" s="26"/>
    </row>
    <row r="1294" spans="1:23" x14ac:dyDescent="0.25">
      <c r="A1294" s="26" t="str">
        <f t="shared" si="221"/>
        <v>PREESCOLAR</v>
      </c>
      <c r="B1294" s="26" t="str">
        <f>"09PJN1032B"</f>
        <v>09PJN1032B</v>
      </c>
      <c r="C1294" s="26" t="str">
        <f>"COLEGIO RAFAEL RAMIREZ                                                                              "</f>
        <v xml:space="preserve">COLEGIO RAFAEL RAMIREZ                                                                              </v>
      </c>
      <c r="D1294" s="26" t="str">
        <f t="shared" si="219"/>
        <v>MATUTINO</v>
      </c>
      <c r="E1294" s="26" t="str">
        <f>"VICENTE GUERRERO NO.70                                                          "</f>
        <v xml:space="preserve">VICENTE GUERRERO NO.70                                                          </v>
      </c>
      <c r="F1294" s="26" t="str">
        <f>"SAN MIGUEL VIII                                                                                                                             "</f>
        <v xml:space="preserve">SAN MIGUEL VIII                                                                                                                             </v>
      </c>
      <c r="G1294" s="26" t="str">
        <f t="shared" si="222"/>
        <v xml:space="preserve">IZTAPALAPA                                                                      </v>
      </c>
      <c r="H1294" s="26" t="str">
        <f t="shared" si="223"/>
        <v>000</v>
      </c>
      <c r="I1294" s="26" t="str">
        <f t="shared" si="224"/>
        <v>00</v>
      </c>
      <c r="J1294" s="26" t="str">
        <f t="shared" si="227"/>
        <v xml:space="preserve">61 </v>
      </c>
      <c r="K1294" s="26" t="str">
        <f t="shared" si="225"/>
        <v>IZ</v>
      </c>
      <c r="L1294" s="26" t="str">
        <f t="shared" si="226"/>
        <v>DGSEI</v>
      </c>
      <c r="M1294" s="26" t="str">
        <f t="shared" si="220"/>
        <v>PARTICULAR</v>
      </c>
      <c r="N1294" s="26">
        <v>72</v>
      </c>
      <c r="O1294" s="26">
        <v>30</v>
      </c>
      <c r="P1294" s="26">
        <v>42</v>
      </c>
      <c r="Q1294" s="26">
        <v>3</v>
      </c>
      <c r="R1294" s="26">
        <v>1</v>
      </c>
      <c r="S1294" s="26">
        <v>3</v>
      </c>
      <c r="T1294" s="26">
        <v>14</v>
      </c>
      <c r="U1294" s="26">
        <v>18</v>
      </c>
      <c r="V1294" s="26">
        <v>1</v>
      </c>
      <c r="W1294" s="26"/>
    </row>
    <row r="1295" spans="1:23" x14ac:dyDescent="0.25">
      <c r="A1295" s="26" t="str">
        <f t="shared" si="221"/>
        <v>PREESCOLAR</v>
      </c>
      <c r="B1295" s="26" t="str">
        <f>"09PJN1046E"</f>
        <v>09PJN1046E</v>
      </c>
      <c r="C1295" s="26" t="str">
        <f>"XOCHIQUETZAL                                                                                        "</f>
        <v xml:space="preserve">XOCHIQUETZAL                                                                                        </v>
      </c>
      <c r="D1295" s="26" t="str">
        <f t="shared" si="219"/>
        <v>MATUTINO</v>
      </c>
      <c r="E1295" s="26" t="str">
        <f>"NORMANDIA NO. 154                                                               "</f>
        <v xml:space="preserve">NORMANDIA NO. 154                                                               </v>
      </c>
      <c r="F1295" s="26" t="str">
        <f>"ZACAHUITZCO                                                                                                                                 "</f>
        <v xml:space="preserve">ZACAHUITZCO                                                                                                                                 </v>
      </c>
      <c r="G1295" s="26" t="str">
        <f t="shared" si="222"/>
        <v xml:space="preserve">IZTAPALAPA                                                                      </v>
      </c>
      <c r="H1295" s="26" t="str">
        <f t="shared" si="223"/>
        <v>000</v>
      </c>
      <c r="I1295" s="26" t="str">
        <f t="shared" si="224"/>
        <v>00</v>
      </c>
      <c r="J1295" s="26" t="str">
        <f t="shared" si="227"/>
        <v xml:space="preserve">61 </v>
      </c>
      <c r="K1295" s="26" t="str">
        <f t="shared" si="225"/>
        <v>IZ</v>
      </c>
      <c r="L1295" s="26" t="str">
        <f t="shared" si="226"/>
        <v>DGSEI</v>
      </c>
      <c r="M1295" s="26" t="str">
        <f t="shared" si="220"/>
        <v>PARTICULAR</v>
      </c>
      <c r="N1295" s="26">
        <v>46</v>
      </c>
      <c r="O1295" s="26">
        <v>27</v>
      </c>
      <c r="P1295" s="26">
        <v>19</v>
      </c>
      <c r="Q1295" s="26">
        <v>2</v>
      </c>
      <c r="R1295" s="26">
        <v>1</v>
      </c>
      <c r="S1295" s="26">
        <v>1</v>
      </c>
      <c r="T1295" s="26">
        <v>1</v>
      </c>
      <c r="U1295" s="26">
        <v>3</v>
      </c>
      <c r="V1295" s="26">
        <v>1</v>
      </c>
      <c r="W1295" s="26"/>
    </row>
    <row r="1296" spans="1:23" x14ac:dyDescent="0.25">
      <c r="A1296" s="26" t="str">
        <f t="shared" si="221"/>
        <v>PREESCOLAR</v>
      </c>
      <c r="B1296" s="26" t="str">
        <f>"09PJN1048C"</f>
        <v>09PJN1048C</v>
      </c>
      <c r="C1296" s="26" t="str">
        <f>"LAS OVEJITAS                                                                                        "</f>
        <v xml:space="preserve">LAS OVEJITAS                                                                                        </v>
      </c>
      <c r="D1296" s="26" t="str">
        <f t="shared" si="219"/>
        <v>MATUTINO</v>
      </c>
      <c r="E1296" s="26" t="str">
        <f>"23 DE JULIO DE 1859 MZ. 157 LT. 1754-A                                          "</f>
        <v xml:space="preserve">23 DE JULIO DE 1859 MZ. 157 LT. 1754-A                                          </v>
      </c>
      <c r="F1296" s="26" t="str">
        <f>"LEYES DE REFORMA                                                                                                                            "</f>
        <v xml:space="preserve">LEYES DE REFORMA                                                                                                                            </v>
      </c>
      <c r="G1296" s="26" t="str">
        <f t="shared" si="222"/>
        <v xml:space="preserve">IZTAPALAPA                                                                      </v>
      </c>
      <c r="H1296" s="26" t="str">
        <f t="shared" si="223"/>
        <v>000</v>
      </c>
      <c r="I1296" s="26" t="str">
        <f t="shared" si="224"/>
        <v>00</v>
      </c>
      <c r="J1296" s="26" t="str">
        <f t="shared" si="227"/>
        <v xml:space="preserve">61 </v>
      </c>
      <c r="K1296" s="26" t="str">
        <f t="shared" si="225"/>
        <v>IZ</v>
      </c>
      <c r="L1296" s="26" t="str">
        <f t="shared" si="226"/>
        <v>DGSEI</v>
      </c>
      <c r="M1296" s="26" t="str">
        <f t="shared" si="220"/>
        <v>PARTICULAR</v>
      </c>
      <c r="N1296" s="26">
        <v>15</v>
      </c>
      <c r="O1296" s="26">
        <v>4</v>
      </c>
      <c r="P1296" s="26">
        <v>11</v>
      </c>
      <c r="Q1296" s="26">
        <v>3</v>
      </c>
      <c r="R1296" s="26">
        <v>1</v>
      </c>
      <c r="S1296" s="26">
        <v>3</v>
      </c>
      <c r="T1296" s="26">
        <v>0</v>
      </c>
      <c r="U1296" s="26">
        <v>4</v>
      </c>
      <c r="V1296" s="26">
        <v>1</v>
      </c>
      <c r="W1296" s="26"/>
    </row>
    <row r="1297" spans="1:23" x14ac:dyDescent="0.25">
      <c r="A1297" s="26" t="str">
        <f t="shared" si="221"/>
        <v>PREESCOLAR</v>
      </c>
      <c r="B1297" s="26" t="str">
        <f>"09PJN1049B"</f>
        <v>09PJN1049B</v>
      </c>
      <c r="C1297" s="26" t="str">
        <f>"HAPPY WORLD                                                                                         "</f>
        <v xml:space="preserve">HAPPY WORLD                                                                                         </v>
      </c>
      <c r="D1297" s="26" t="str">
        <f t="shared" si="219"/>
        <v>MATUTINO</v>
      </c>
      <c r="E1297" s="26" t="str">
        <f>"24 DE MARZO DE 1867 NO. 1715                                                    "</f>
        <v xml:space="preserve">24 DE MARZO DE 1867 NO. 1715                                                    </v>
      </c>
      <c r="F1297" s="26" t="str">
        <f>"LEYES DE REFORMA                                                                                                                            "</f>
        <v xml:space="preserve">LEYES DE REFORMA                                                                                                                            </v>
      </c>
      <c r="G1297" s="26" t="str">
        <f t="shared" si="222"/>
        <v xml:space="preserve">IZTAPALAPA                                                                      </v>
      </c>
      <c r="H1297" s="26" t="str">
        <f t="shared" si="223"/>
        <v>000</v>
      </c>
      <c r="I1297" s="26" t="str">
        <f t="shared" si="224"/>
        <v>00</v>
      </c>
      <c r="J1297" s="26" t="str">
        <f t="shared" si="227"/>
        <v xml:space="preserve">61 </v>
      </c>
      <c r="K1297" s="26" t="str">
        <f t="shared" si="225"/>
        <v>IZ</v>
      </c>
      <c r="L1297" s="26" t="str">
        <f t="shared" si="226"/>
        <v>DGSEI</v>
      </c>
      <c r="M1297" s="26" t="str">
        <f t="shared" si="220"/>
        <v>PARTICULAR</v>
      </c>
      <c r="N1297" s="26">
        <v>54</v>
      </c>
      <c r="O1297" s="26">
        <v>35</v>
      </c>
      <c r="P1297" s="26">
        <v>19</v>
      </c>
      <c r="Q1297" s="26">
        <v>3</v>
      </c>
      <c r="R1297" s="26">
        <v>1</v>
      </c>
      <c r="S1297" s="26">
        <v>2</v>
      </c>
      <c r="T1297" s="26">
        <v>1</v>
      </c>
      <c r="U1297" s="26">
        <v>4</v>
      </c>
      <c r="V1297" s="26">
        <v>1</v>
      </c>
      <c r="W1297" s="26"/>
    </row>
    <row r="1298" spans="1:23" x14ac:dyDescent="0.25">
      <c r="A1298" s="26" t="str">
        <f t="shared" si="221"/>
        <v>PREESCOLAR</v>
      </c>
      <c r="B1298" s="26" t="str">
        <f>"09PJN1051Q"</f>
        <v>09PJN1051Q</v>
      </c>
      <c r="C1298" s="26" t="str">
        <f>"COLEGIO SKINNER                                                                                     "</f>
        <v xml:space="preserve">COLEGIO SKINNER                                                                                     </v>
      </c>
      <c r="D1298" s="26" t="str">
        <f t="shared" si="219"/>
        <v>MATUTINO</v>
      </c>
      <c r="E1298" s="26" t="str">
        <f>"AV. RIO TUXPAN NO. 72 Y 74                                                      "</f>
        <v xml:space="preserve">AV. RIO TUXPAN NO. 72 Y 74                                                      </v>
      </c>
      <c r="F1298" s="26" t="str">
        <f>"PASEOS DE CHURUBUSCO                                                                                                                        "</f>
        <v xml:space="preserve">PASEOS DE CHURUBUSCO                                                                                                                        </v>
      </c>
      <c r="G1298" s="26" t="str">
        <f t="shared" si="222"/>
        <v xml:space="preserve">IZTAPALAPA                                                                      </v>
      </c>
      <c r="H1298" s="26" t="str">
        <f t="shared" si="223"/>
        <v>000</v>
      </c>
      <c r="I1298" s="26" t="str">
        <f t="shared" si="224"/>
        <v>00</v>
      </c>
      <c r="J1298" s="26" t="str">
        <f t="shared" si="227"/>
        <v xml:space="preserve">61 </v>
      </c>
      <c r="K1298" s="26" t="str">
        <f t="shared" si="225"/>
        <v>IZ</v>
      </c>
      <c r="L1298" s="26" t="str">
        <f t="shared" si="226"/>
        <v>DGSEI</v>
      </c>
      <c r="M1298" s="26" t="str">
        <f t="shared" si="220"/>
        <v>PARTICULAR</v>
      </c>
      <c r="N1298" s="26">
        <v>118</v>
      </c>
      <c r="O1298" s="26">
        <v>61</v>
      </c>
      <c r="P1298" s="26">
        <v>57</v>
      </c>
      <c r="Q1298" s="26">
        <v>5</v>
      </c>
      <c r="R1298" s="26">
        <v>1</v>
      </c>
      <c r="S1298" s="26">
        <v>5</v>
      </c>
      <c r="T1298" s="26">
        <v>9</v>
      </c>
      <c r="U1298" s="26">
        <v>15</v>
      </c>
      <c r="V1298" s="26">
        <v>1</v>
      </c>
      <c r="W1298" s="26"/>
    </row>
    <row r="1299" spans="1:23" x14ac:dyDescent="0.25">
      <c r="A1299" s="26" t="str">
        <f t="shared" si="221"/>
        <v>PREESCOLAR</v>
      </c>
      <c r="B1299" s="26" t="str">
        <f>"09PJN1055M"</f>
        <v>09PJN1055M</v>
      </c>
      <c r="C1299" s="26" t="str">
        <f>"ARBOLEDA                                                                                            "</f>
        <v xml:space="preserve">ARBOLEDA                                                                                            </v>
      </c>
      <c r="D1299" s="26" t="str">
        <f t="shared" si="219"/>
        <v>MATUTINO</v>
      </c>
      <c r="E1299" s="26" t="str">
        <f>"AV. TEPALCATES NO. 122                                                          "</f>
        <v xml:space="preserve">AV. TEPALCATES NO. 122                                                          </v>
      </c>
      <c r="F1299" s="26" t="str">
        <f>"TEPALCATES                                                                                                                                  "</f>
        <v xml:space="preserve">TEPALCATES                                                                                                                                  </v>
      </c>
      <c r="G1299" s="26" t="str">
        <f t="shared" si="222"/>
        <v xml:space="preserve">IZTAPALAPA                                                                      </v>
      </c>
      <c r="H1299" s="26" t="str">
        <f t="shared" si="223"/>
        <v>000</v>
      </c>
      <c r="I1299" s="26" t="str">
        <f t="shared" si="224"/>
        <v>00</v>
      </c>
      <c r="J1299" s="26" t="str">
        <f>"62 "</f>
        <v xml:space="preserve">62 </v>
      </c>
      <c r="K1299" s="26" t="str">
        <f t="shared" si="225"/>
        <v>IZ</v>
      </c>
      <c r="L1299" s="26" t="str">
        <f t="shared" si="226"/>
        <v>DGSEI</v>
      </c>
      <c r="M1299" s="26" t="str">
        <f t="shared" si="220"/>
        <v>PARTICULAR</v>
      </c>
      <c r="N1299" s="26">
        <v>59</v>
      </c>
      <c r="O1299" s="26">
        <v>32</v>
      </c>
      <c r="P1299" s="26">
        <v>27</v>
      </c>
      <c r="Q1299" s="26">
        <v>3</v>
      </c>
      <c r="R1299" s="26">
        <v>1</v>
      </c>
      <c r="S1299" s="26">
        <v>3</v>
      </c>
      <c r="T1299" s="26">
        <v>8</v>
      </c>
      <c r="U1299" s="26">
        <v>12</v>
      </c>
      <c r="V1299" s="26">
        <v>1</v>
      </c>
      <c r="W1299" s="26"/>
    </row>
    <row r="1300" spans="1:23" x14ac:dyDescent="0.25">
      <c r="A1300" s="26" t="str">
        <f t="shared" si="221"/>
        <v>PREESCOLAR</v>
      </c>
      <c r="B1300" s="26" t="str">
        <f>"09PJN1058J"</f>
        <v>09PJN1058J</v>
      </c>
      <c r="C1300" s="26" t="str">
        <f>"PROFR. ISIDRO FABELA                                                                                "</f>
        <v xml:space="preserve">PROFR. ISIDRO FABELA                                                                                </v>
      </c>
      <c r="D1300" s="26" t="str">
        <f t="shared" si="219"/>
        <v>MATUTINO</v>
      </c>
      <c r="E1300" s="26" t="str">
        <f>"ANDRES QUINTANA ROO MZ. 97 LT. 21                                               "</f>
        <v xml:space="preserve">ANDRES QUINTANA ROO MZ. 97 LT. 21                                               </v>
      </c>
      <c r="F1300" s="26" t="str">
        <f>"LOMAS DE ZARAGOZA                                                                                                                           "</f>
        <v xml:space="preserve">LOMAS DE ZARAGOZA                                                                                                                           </v>
      </c>
      <c r="G1300" s="26" t="str">
        <f t="shared" si="222"/>
        <v xml:space="preserve">IZTAPALAPA                                                                      </v>
      </c>
      <c r="H1300" s="26" t="str">
        <f t="shared" si="223"/>
        <v>000</v>
      </c>
      <c r="I1300" s="26" t="str">
        <f t="shared" si="224"/>
        <v>00</v>
      </c>
      <c r="J1300" s="26" t="str">
        <f>"64 "</f>
        <v xml:space="preserve">64 </v>
      </c>
      <c r="K1300" s="26" t="str">
        <f t="shared" si="225"/>
        <v>IZ</v>
      </c>
      <c r="L1300" s="26" t="str">
        <f t="shared" si="226"/>
        <v>DGSEI</v>
      </c>
      <c r="M1300" s="26" t="str">
        <f t="shared" si="220"/>
        <v>PARTICULAR</v>
      </c>
      <c r="N1300" s="26">
        <v>50</v>
      </c>
      <c r="O1300" s="26">
        <v>28</v>
      </c>
      <c r="P1300" s="26">
        <v>22</v>
      </c>
      <c r="Q1300" s="26">
        <v>3</v>
      </c>
      <c r="R1300" s="26">
        <v>1</v>
      </c>
      <c r="S1300" s="26">
        <v>3</v>
      </c>
      <c r="T1300" s="26">
        <v>4</v>
      </c>
      <c r="U1300" s="26">
        <v>8</v>
      </c>
      <c r="V1300" s="26">
        <v>1</v>
      </c>
      <c r="W1300" s="26"/>
    </row>
    <row r="1301" spans="1:23" x14ac:dyDescent="0.25">
      <c r="A1301" s="26" t="str">
        <f t="shared" si="221"/>
        <v>PREESCOLAR</v>
      </c>
      <c r="B1301" s="26" t="str">
        <f>"09PJN1065T"</f>
        <v>09PJN1065T</v>
      </c>
      <c r="C1301" s="26" t="str">
        <f>"COLEGIO LOWELL                                                                                      "</f>
        <v xml:space="preserve">COLEGIO LOWELL                                                                                      </v>
      </c>
      <c r="D1301" s="26" t="str">
        <f t="shared" si="219"/>
        <v>MATUTINO</v>
      </c>
      <c r="E1301" s="26" t="str">
        <f>"SANTIAGO No. 451                                                                "</f>
        <v xml:space="preserve">SANTIAGO No. 451                                                                </v>
      </c>
      <c r="F1301" s="26" t="str">
        <f>"SAN JERONIMO LIDICE                                                                                                                         "</f>
        <v xml:space="preserve">SAN JERONIMO LIDICE                                                                                                                         </v>
      </c>
      <c r="G1301" s="26" t="str">
        <f>"LA MAGDALENA CONTRERAS                                                          "</f>
        <v xml:space="preserve">LA MAGDALENA CONTRERAS                                                          </v>
      </c>
      <c r="H1301" s="26" t="str">
        <f>"066"</f>
        <v>066</v>
      </c>
      <c r="I1301" s="26" t="str">
        <f t="shared" si="224"/>
        <v>00</v>
      </c>
      <c r="J1301" s="26" t="str">
        <f>"35 "</f>
        <v xml:space="preserve">35 </v>
      </c>
      <c r="K1301" s="26" t="str">
        <f t="shared" ref="K1301:K1351" si="228">"EP"</f>
        <v>EP</v>
      </c>
      <c r="L1301" s="26" t="str">
        <f t="shared" ref="L1301:L1351" si="229">"DGOSE"</f>
        <v>DGOSE</v>
      </c>
      <c r="M1301" s="26" t="str">
        <f t="shared" si="220"/>
        <v>PARTICULAR</v>
      </c>
      <c r="N1301" s="26">
        <v>36</v>
      </c>
      <c r="O1301" s="26">
        <v>15</v>
      </c>
      <c r="P1301" s="26">
        <v>21</v>
      </c>
      <c r="Q1301" s="26">
        <v>3</v>
      </c>
      <c r="R1301" s="26">
        <v>1</v>
      </c>
      <c r="S1301" s="26">
        <v>3</v>
      </c>
      <c r="T1301" s="26">
        <v>7</v>
      </c>
      <c r="U1301" s="26">
        <v>11</v>
      </c>
      <c r="V1301" s="26">
        <v>1</v>
      </c>
      <c r="W1301" s="26"/>
    </row>
    <row r="1302" spans="1:23" x14ac:dyDescent="0.25">
      <c r="A1302" s="26" t="str">
        <f t="shared" si="221"/>
        <v>PREESCOLAR</v>
      </c>
      <c r="B1302" s="26" t="str">
        <f>"09PJN1066S"</f>
        <v>09PJN1066S</v>
      </c>
      <c r="C1302" s="26" t="str">
        <f>"JARDIN DE NIÑOS OLI                                                                                 "</f>
        <v xml:space="preserve">JARDIN DE NIÑOS OLI                                                                                 </v>
      </c>
      <c r="D1302" s="26" t="str">
        <f t="shared" si="219"/>
        <v>MATUTINO</v>
      </c>
      <c r="E1302" s="26" t="str">
        <f>"SAN FRANCISCO NO. 419                                                           "</f>
        <v xml:space="preserve">SAN FRANCISCO NO. 419                                                           </v>
      </c>
      <c r="F1302" s="26" t="str">
        <f>"SAN FRANCISCO                                                                                                                               "</f>
        <v xml:space="preserve">SAN FRANCISCO                                                                                                                               </v>
      </c>
      <c r="G1302" s="26" t="str">
        <f>"LA MAGDALENA CONTRERAS                                                          "</f>
        <v xml:space="preserve">LA MAGDALENA CONTRERAS                                                          </v>
      </c>
      <c r="H1302" s="26" t="str">
        <f>"066"</f>
        <v>066</v>
      </c>
      <c r="I1302" s="26" t="str">
        <f t="shared" si="224"/>
        <v>00</v>
      </c>
      <c r="J1302" s="26" t="str">
        <f>"35 "</f>
        <v xml:space="preserve">35 </v>
      </c>
      <c r="K1302" s="26" t="str">
        <f t="shared" si="228"/>
        <v>EP</v>
      </c>
      <c r="L1302" s="26" t="str">
        <f t="shared" si="229"/>
        <v>DGOSE</v>
      </c>
      <c r="M1302" s="26" t="str">
        <f t="shared" si="220"/>
        <v>PARTICULAR</v>
      </c>
      <c r="N1302" s="26">
        <v>16</v>
      </c>
      <c r="O1302" s="26">
        <v>9</v>
      </c>
      <c r="P1302" s="26">
        <v>7</v>
      </c>
      <c r="Q1302" s="26">
        <v>2</v>
      </c>
      <c r="R1302" s="26">
        <v>1</v>
      </c>
      <c r="S1302" s="26">
        <v>2</v>
      </c>
      <c r="T1302" s="26">
        <v>3</v>
      </c>
      <c r="U1302" s="26">
        <v>6</v>
      </c>
      <c r="V1302" s="26">
        <v>1</v>
      </c>
      <c r="W1302" s="26"/>
    </row>
    <row r="1303" spans="1:23" x14ac:dyDescent="0.25">
      <c r="A1303" s="26" t="str">
        <f t="shared" si="221"/>
        <v>PREESCOLAR</v>
      </c>
      <c r="B1303" s="26" t="str">
        <f>"09PJN1068Q"</f>
        <v>09PJN1068Q</v>
      </c>
      <c r="C1303" s="26" t="str">
        <f>"GREEN HILLS SCHOOL                                                                                  "</f>
        <v xml:space="preserve">GREEN HILLS SCHOOL                                                                                  </v>
      </c>
      <c r="D1303" s="26" t="str">
        <f t="shared" si="219"/>
        <v>MATUTINO</v>
      </c>
      <c r="E1303" s="26" t="str">
        <f>"SAN BERNABE NO. 960                                                             "</f>
        <v xml:space="preserve">SAN BERNABE NO. 960                                                             </v>
      </c>
      <c r="F1303" s="26" t="str">
        <f>"SAN JERONIMO LIDICE                                                                                                                         "</f>
        <v xml:space="preserve">SAN JERONIMO LIDICE                                                                                                                         </v>
      </c>
      <c r="G1303" s="26" t="str">
        <f>"LA MAGDALENA CONTRERAS                                                          "</f>
        <v xml:space="preserve">LA MAGDALENA CONTRERAS                                                          </v>
      </c>
      <c r="H1303" s="26" t="str">
        <f>"280"</f>
        <v>280</v>
      </c>
      <c r="I1303" s="26" t="str">
        <f t="shared" si="224"/>
        <v>00</v>
      </c>
      <c r="J1303" s="26" t="str">
        <f>"35 "</f>
        <v xml:space="preserve">35 </v>
      </c>
      <c r="K1303" s="26" t="str">
        <f t="shared" si="228"/>
        <v>EP</v>
      </c>
      <c r="L1303" s="26" t="str">
        <f t="shared" si="229"/>
        <v>DGOSE</v>
      </c>
      <c r="M1303" s="26" t="str">
        <f t="shared" si="220"/>
        <v>PARTICULAR</v>
      </c>
      <c r="N1303" s="26">
        <v>142</v>
      </c>
      <c r="O1303" s="26">
        <v>71</v>
      </c>
      <c r="P1303" s="26">
        <v>71</v>
      </c>
      <c r="Q1303" s="26">
        <v>9</v>
      </c>
      <c r="R1303" s="26">
        <v>1</v>
      </c>
      <c r="S1303" s="26">
        <v>9</v>
      </c>
      <c r="T1303" s="26">
        <v>24</v>
      </c>
      <c r="U1303" s="26">
        <v>34</v>
      </c>
      <c r="V1303" s="26">
        <v>1</v>
      </c>
      <c r="W1303" s="26"/>
    </row>
    <row r="1304" spans="1:23" x14ac:dyDescent="0.25">
      <c r="A1304" s="26" t="str">
        <f t="shared" si="221"/>
        <v>PREESCOLAR</v>
      </c>
      <c r="B1304" s="26" t="str">
        <f>"09PJN1073B"</f>
        <v>09PJN1073B</v>
      </c>
      <c r="C1304" s="26" t="str">
        <f>"JARDIN DE NIÑOS JESUS DE URQUIAGA                                                                   "</f>
        <v xml:space="preserve">JARDIN DE NIÑOS JESUS DE URQUIAGA                                                                   </v>
      </c>
      <c r="D1304" s="26" t="str">
        <f t="shared" si="219"/>
        <v>MATUTINO</v>
      </c>
      <c r="E1304" s="26" t="str">
        <f>"FRONTERA NO. 40                                                                 "</f>
        <v xml:space="preserve">FRONTERA NO. 40                                                                 </v>
      </c>
      <c r="F1304" s="26" t="str">
        <f>"SAN ANGEL                                                                                                                                   "</f>
        <v xml:space="preserve">SAN ANGEL                                                                                                                                   </v>
      </c>
      <c r="G1304" s="26" t="str">
        <f t="shared" ref="G1304:G1319" si="230">"ALVARO OBREGON                                                                  "</f>
        <v xml:space="preserve">ALVARO OBREGON                                                                  </v>
      </c>
      <c r="H1304" s="26" t="str">
        <f>"214"</f>
        <v>214</v>
      </c>
      <c r="I1304" s="26" t="str">
        <f t="shared" si="224"/>
        <v>00</v>
      </c>
      <c r="J1304" s="26" t="str">
        <f t="shared" ref="J1304:J1319" si="231">"33 "</f>
        <v xml:space="preserve">33 </v>
      </c>
      <c r="K1304" s="26" t="str">
        <f t="shared" si="228"/>
        <v>EP</v>
      </c>
      <c r="L1304" s="26" t="str">
        <f t="shared" si="229"/>
        <v>DGOSE</v>
      </c>
      <c r="M1304" s="26" t="str">
        <f t="shared" si="220"/>
        <v>PARTICULAR</v>
      </c>
      <c r="N1304" s="26">
        <v>82</v>
      </c>
      <c r="O1304" s="26">
        <v>44</v>
      </c>
      <c r="P1304" s="26">
        <v>38</v>
      </c>
      <c r="Q1304" s="26">
        <v>4</v>
      </c>
      <c r="R1304" s="26">
        <v>1</v>
      </c>
      <c r="S1304" s="26">
        <v>4</v>
      </c>
      <c r="T1304" s="26">
        <v>7</v>
      </c>
      <c r="U1304" s="26">
        <v>12</v>
      </c>
      <c r="V1304" s="26">
        <v>1</v>
      </c>
      <c r="W1304" s="26"/>
    </row>
    <row r="1305" spans="1:23" x14ac:dyDescent="0.25">
      <c r="A1305" s="26" t="str">
        <f t="shared" si="221"/>
        <v>PREESCOLAR</v>
      </c>
      <c r="B1305" s="26" t="str">
        <f>"09PJN1076Z"</f>
        <v>09PJN1076Z</v>
      </c>
      <c r="C1305" s="26" t="str">
        <f>"INSTITUTO ASUNCION DE MEXICO                                                                        "</f>
        <v xml:space="preserve">INSTITUTO ASUNCION DE MEXICO                                                                        </v>
      </c>
      <c r="D1305" s="26" t="str">
        <f t="shared" si="219"/>
        <v>MATUTINO</v>
      </c>
      <c r="E1305" s="26" t="str">
        <f>"CALZADA DE LAS AGUILAS NO. 181 Y 219                                            "</f>
        <v xml:space="preserve">CALZADA DE LAS AGUILAS NO. 181 Y 219                                            </v>
      </c>
      <c r="F1305" s="26" t="str">
        <f>"LAS AGUILAS                                                                                                                                 "</f>
        <v xml:space="preserve">LAS AGUILAS                                                                                                                                 </v>
      </c>
      <c r="G1305" s="26" t="str">
        <f t="shared" si="230"/>
        <v xml:space="preserve">ALVARO OBREGON                                                                  </v>
      </c>
      <c r="H1305" s="26" t="str">
        <f>"217"</f>
        <v>217</v>
      </c>
      <c r="I1305" s="26" t="str">
        <f t="shared" si="224"/>
        <v>00</v>
      </c>
      <c r="J1305" s="26" t="str">
        <f t="shared" si="231"/>
        <v xml:space="preserve">33 </v>
      </c>
      <c r="K1305" s="26" t="str">
        <f t="shared" si="228"/>
        <v>EP</v>
      </c>
      <c r="L1305" s="26" t="str">
        <f t="shared" si="229"/>
        <v>DGOSE</v>
      </c>
      <c r="M1305" s="26" t="str">
        <f t="shared" si="220"/>
        <v>PARTICULAR</v>
      </c>
      <c r="N1305" s="26">
        <v>228</v>
      </c>
      <c r="O1305" s="26">
        <v>106</v>
      </c>
      <c r="P1305" s="26">
        <v>122</v>
      </c>
      <c r="Q1305" s="26">
        <v>9</v>
      </c>
      <c r="R1305" s="26">
        <v>1</v>
      </c>
      <c r="S1305" s="26">
        <v>8</v>
      </c>
      <c r="T1305" s="26">
        <v>17</v>
      </c>
      <c r="U1305" s="26">
        <v>26</v>
      </c>
      <c r="V1305" s="26">
        <v>1</v>
      </c>
      <c r="W1305" s="26"/>
    </row>
    <row r="1306" spans="1:23" x14ac:dyDescent="0.25">
      <c r="A1306" s="26" t="str">
        <f t="shared" si="221"/>
        <v>PREESCOLAR</v>
      </c>
      <c r="B1306" s="26" t="str">
        <f>"09PJN1078X"</f>
        <v>09PJN1078X</v>
      </c>
      <c r="C1306" s="26" t="str">
        <f>"COLEGIO FRANCES DEL PEDREGAL                                                                        "</f>
        <v xml:space="preserve">COLEGIO FRANCES DEL PEDREGAL                                                                        </v>
      </c>
      <c r="D1306" s="26" t="str">
        <f t="shared" si="219"/>
        <v>MATUTINO</v>
      </c>
      <c r="E1306" s="26" t="str">
        <f>"COLEGIO NO. 330                                                                 "</f>
        <v xml:space="preserve">COLEGIO NO. 330                                                                 </v>
      </c>
      <c r="F1306" s="26" t="str">
        <f>"JARDINES DEL PEDREGAL                                                                                                                       "</f>
        <v xml:space="preserve">JARDINES DEL PEDREGAL                                                                                                                       </v>
      </c>
      <c r="G1306" s="26" t="str">
        <f t="shared" si="230"/>
        <v xml:space="preserve">ALVARO OBREGON                                                                  </v>
      </c>
      <c r="H1306" s="26" t="str">
        <f>"150"</f>
        <v>150</v>
      </c>
      <c r="I1306" s="26" t="str">
        <f t="shared" si="224"/>
        <v>00</v>
      </c>
      <c r="J1306" s="26" t="str">
        <f t="shared" si="231"/>
        <v xml:space="preserve">33 </v>
      </c>
      <c r="K1306" s="26" t="str">
        <f t="shared" si="228"/>
        <v>EP</v>
      </c>
      <c r="L1306" s="26" t="str">
        <f t="shared" si="229"/>
        <v>DGOSE</v>
      </c>
      <c r="M1306" s="26" t="str">
        <f t="shared" si="220"/>
        <v>PARTICULAR</v>
      </c>
      <c r="N1306" s="26">
        <v>98</v>
      </c>
      <c r="O1306" s="26">
        <v>0</v>
      </c>
      <c r="P1306" s="26">
        <v>98</v>
      </c>
      <c r="Q1306" s="26">
        <v>6</v>
      </c>
      <c r="R1306" s="26">
        <v>1</v>
      </c>
      <c r="S1306" s="26">
        <v>3</v>
      </c>
      <c r="T1306" s="26">
        <v>18</v>
      </c>
      <c r="U1306" s="26">
        <v>22</v>
      </c>
      <c r="V1306" s="26">
        <v>1</v>
      </c>
      <c r="W1306" s="26"/>
    </row>
    <row r="1307" spans="1:23" x14ac:dyDescent="0.25">
      <c r="A1307" s="26" t="str">
        <f t="shared" si="221"/>
        <v>PREESCOLAR</v>
      </c>
      <c r="B1307" s="26" t="str">
        <f>"09PJN1084H"</f>
        <v>09PJN1084H</v>
      </c>
      <c r="C1307" s="26" t="str">
        <f>"COLEGIO PRINCETON DE MÉXICO                                                                         "</f>
        <v xml:space="preserve">COLEGIO PRINCETON DE MÉXICO                                                                         </v>
      </c>
      <c r="D1307" s="26" t="str">
        <f t="shared" si="219"/>
        <v>MATUTINO</v>
      </c>
      <c r="E1307" s="26" t="str">
        <f>"AV. DE LAS FUENTES NO. 214                                                      "</f>
        <v xml:space="preserve">AV. DE LAS FUENTES NO. 214                                                      </v>
      </c>
      <c r="F1307" s="26" t="str">
        <f>"JARDINES DEL PEDREGAL                                                                                                                       "</f>
        <v xml:space="preserve">JARDINES DEL PEDREGAL                                                                                                                       </v>
      </c>
      <c r="G1307" s="26" t="str">
        <f t="shared" si="230"/>
        <v xml:space="preserve">ALVARO OBREGON                                                                  </v>
      </c>
      <c r="H1307" s="26" t="str">
        <f>"150"</f>
        <v>150</v>
      </c>
      <c r="I1307" s="26" t="str">
        <f t="shared" si="224"/>
        <v>00</v>
      </c>
      <c r="J1307" s="26" t="str">
        <f t="shared" si="231"/>
        <v xml:space="preserve">33 </v>
      </c>
      <c r="K1307" s="26" t="str">
        <f t="shared" si="228"/>
        <v>EP</v>
      </c>
      <c r="L1307" s="26" t="str">
        <f t="shared" si="229"/>
        <v>DGOSE</v>
      </c>
      <c r="M1307" s="26" t="str">
        <f t="shared" si="220"/>
        <v>PARTICULAR</v>
      </c>
      <c r="N1307" s="26">
        <v>47</v>
      </c>
      <c r="O1307" s="26">
        <v>27</v>
      </c>
      <c r="P1307" s="26">
        <v>20</v>
      </c>
      <c r="Q1307" s="26">
        <v>4</v>
      </c>
      <c r="R1307" s="26">
        <v>1</v>
      </c>
      <c r="S1307" s="26">
        <v>4</v>
      </c>
      <c r="T1307" s="26">
        <v>5</v>
      </c>
      <c r="U1307" s="26">
        <v>10</v>
      </c>
      <c r="V1307" s="26">
        <v>1</v>
      </c>
      <c r="W1307" s="26"/>
    </row>
    <row r="1308" spans="1:23" x14ac:dyDescent="0.25">
      <c r="A1308" s="26" t="str">
        <f t="shared" si="221"/>
        <v>PREESCOLAR</v>
      </c>
      <c r="B1308" s="26" t="str">
        <f>"09PJN1085G"</f>
        <v>09PJN1085G</v>
      </c>
      <c r="C1308" s="26" t="str">
        <f>"COLEGIO SEBASTIAN DE APARICIO                                                                       "</f>
        <v xml:space="preserve">COLEGIO SEBASTIAN DE APARICIO                                                                       </v>
      </c>
      <c r="D1308" s="26" t="str">
        <f t="shared" si="219"/>
        <v>MATUTINO</v>
      </c>
      <c r="E1308" s="26" t="str">
        <f>"ADRIAN BROWER NO. 38                                                            "</f>
        <v xml:space="preserve">ADRIAN BROWER NO. 38                                                            </v>
      </c>
      <c r="F1308" s="26" t="str">
        <f>"ALFONSO XIII                                                                                                                                "</f>
        <v xml:space="preserve">ALFONSO XIII                                                                                                                                </v>
      </c>
      <c r="G1308" s="26" t="str">
        <f t="shared" si="230"/>
        <v xml:space="preserve">ALVARO OBREGON                                                                  </v>
      </c>
      <c r="H1308" s="26" t="str">
        <f>"165"</f>
        <v>165</v>
      </c>
      <c r="I1308" s="26" t="str">
        <f t="shared" si="224"/>
        <v>00</v>
      </c>
      <c r="J1308" s="26" t="str">
        <f t="shared" si="231"/>
        <v xml:space="preserve">33 </v>
      </c>
      <c r="K1308" s="26" t="str">
        <f t="shared" si="228"/>
        <v>EP</v>
      </c>
      <c r="L1308" s="26" t="str">
        <f t="shared" si="229"/>
        <v>DGOSE</v>
      </c>
      <c r="M1308" s="26" t="str">
        <f t="shared" si="220"/>
        <v>PARTICULAR</v>
      </c>
      <c r="N1308" s="26">
        <v>97</v>
      </c>
      <c r="O1308" s="26">
        <v>51</v>
      </c>
      <c r="P1308" s="26">
        <v>46</v>
      </c>
      <c r="Q1308" s="26">
        <v>5</v>
      </c>
      <c r="R1308" s="26">
        <v>1</v>
      </c>
      <c r="S1308" s="26">
        <v>5</v>
      </c>
      <c r="T1308" s="26">
        <v>8</v>
      </c>
      <c r="U1308" s="26">
        <v>14</v>
      </c>
      <c r="V1308" s="26">
        <v>1</v>
      </c>
      <c r="W1308" s="26"/>
    </row>
    <row r="1309" spans="1:23" x14ac:dyDescent="0.25">
      <c r="A1309" s="26" t="str">
        <f t="shared" si="221"/>
        <v>PREESCOLAR</v>
      </c>
      <c r="B1309" s="26" t="str">
        <f>"09PJN1087E"</f>
        <v>09PJN1087E</v>
      </c>
      <c r="C1309" s="26" t="str">
        <f>"KINDER KRISTY                                                                                       "</f>
        <v xml:space="preserve">KINDER KRISTY                                                                                       </v>
      </c>
      <c r="D1309" s="26" t="str">
        <f t="shared" si="219"/>
        <v>MATUTINO</v>
      </c>
      <c r="E1309" s="26" t="str">
        <f>"GIOTTO NO. 94                                                                   "</f>
        <v xml:space="preserve">GIOTTO NO. 94                                                                   </v>
      </c>
      <c r="F1309" s="26" t="str">
        <f>"ALFONSO XIII                                                                                                                                "</f>
        <v xml:space="preserve">ALFONSO XIII                                                                                                                                </v>
      </c>
      <c r="G1309" s="26" t="str">
        <f t="shared" si="230"/>
        <v xml:space="preserve">ALVARO OBREGON                                                                  </v>
      </c>
      <c r="H1309" s="26" t="str">
        <f>"218"</f>
        <v>218</v>
      </c>
      <c r="I1309" s="26" t="str">
        <f t="shared" si="224"/>
        <v>00</v>
      </c>
      <c r="J1309" s="26" t="str">
        <f t="shared" si="231"/>
        <v xml:space="preserve">33 </v>
      </c>
      <c r="K1309" s="26" t="str">
        <f t="shared" si="228"/>
        <v>EP</v>
      </c>
      <c r="L1309" s="26" t="str">
        <f t="shared" si="229"/>
        <v>DGOSE</v>
      </c>
      <c r="M1309" s="26" t="str">
        <f t="shared" si="220"/>
        <v>PARTICULAR</v>
      </c>
      <c r="N1309" s="26">
        <v>53</v>
      </c>
      <c r="O1309" s="26">
        <v>27</v>
      </c>
      <c r="P1309" s="26">
        <v>26</v>
      </c>
      <c r="Q1309" s="26">
        <v>3</v>
      </c>
      <c r="R1309" s="26">
        <v>1</v>
      </c>
      <c r="S1309" s="26">
        <v>3</v>
      </c>
      <c r="T1309" s="26">
        <v>5</v>
      </c>
      <c r="U1309" s="26">
        <v>9</v>
      </c>
      <c r="V1309" s="26">
        <v>1</v>
      </c>
      <c r="W1309" s="26"/>
    </row>
    <row r="1310" spans="1:23" x14ac:dyDescent="0.25">
      <c r="A1310" s="26" t="str">
        <f t="shared" si="221"/>
        <v>PREESCOLAR</v>
      </c>
      <c r="B1310" s="26" t="str">
        <f>"09PJN1088D"</f>
        <v>09PJN1088D</v>
      </c>
      <c r="C1310" s="26" t="str">
        <f>"LEOPOLDO KIEL                                                                                       "</f>
        <v xml:space="preserve">LEOPOLDO KIEL                                                                                       </v>
      </c>
      <c r="D1310" s="26" t="str">
        <f t="shared" si="219"/>
        <v>MATUTINO</v>
      </c>
      <c r="E1310" s="26" t="str">
        <f>"CARLOS DOLCI NO. 42                                                             "</f>
        <v xml:space="preserve">CARLOS DOLCI NO. 42                                                             </v>
      </c>
      <c r="F1310" s="26" t="str">
        <f>"ALFONSO XIII                                                                                                                                "</f>
        <v xml:space="preserve">ALFONSO XIII                                                                                                                                </v>
      </c>
      <c r="G1310" s="26" t="str">
        <f t="shared" si="230"/>
        <v xml:space="preserve">ALVARO OBREGON                                                                  </v>
      </c>
      <c r="H1310" s="26" t="str">
        <f>"218"</f>
        <v>218</v>
      </c>
      <c r="I1310" s="26" t="str">
        <f t="shared" si="224"/>
        <v>00</v>
      </c>
      <c r="J1310" s="26" t="str">
        <f t="shared" si="231"/>
        <v xml:space="preserve">33 </v>
      </c>
      <c r="K1310" s="26" t="str">
        <f t="shared" si="228"/>
        <v>EP</v>
      </c>
      <c r="L1310" s="26" t="str">
        <f t="shared" si="229"/>
        <v>DGOSE</v>
      </c>
      <c r="M1310" s="26" t="str">
        <f t="shared" si="220"/>
        <v>PARTICULAR</v>
      </c>
      <c r="N1310" s="26">
        <v>27</v>
      </c>
      <c r="O1310" s="26">
        <v>14</v>
      </c>
      <c r="P1310" s="26">
        <v>13</v>
      </c>
      <c r="Q1310" s="26">
        <v>3</v>
      </c>
      <c r="R1310" s="26">
        <v>1</v>
      </c>
      <c r="S1310" s="26">
        <v>3</v>
      </c>
      <c r="T1310" s="26">
        <v>7</v>
      </c>
      <c r="U1310" s="26">
        <v>11</v>
      </c>
      <c r="V1310" s="26">
        <v>1</v>
      </c>
      <c r="W1310" s="26"/>
    </row>
    <row r="1311" spans="1:23" x14ac:dyDescent="0.25">
      <c r="A1311" s="26" t="str">
        <f t="shared" si="221"/>
        <v>PREESCOLAR</v>
      </c>
      <c r="B1311" s="26" t="str">
        <f>"09PJN1092Q"</f>
        <v>09PJN1092Q</v>
      </c>
      <c r="C1311" s="26" t="str">
        <f>"KINDER ALMENDRITA                                                                                   "</f>
        <v xml:space="preserve">KINDER ALMENDRITA                                                                                   </v>
      </c>
      <c r="D1311" s="26" t="str">
        <f t="shared" si="219"/>
        <v>MATUTINO</v>
      </c>
      <c r="E1311" s="26" t="str">
        <f>"CAMINO A SANTA FE NO. 374 MZA. 4 LT. 10                                         "</f>
        <v xml:space="preserve">CAMINO A SANTA FE NO. 374 MZA. 4 LT. 10                                         </v>
      </c>
      <c r="F1311" s="26" t="str">
        <f>"ARTURO M MARTINEZ                                                                                                                           "</f>
        <v xml:space="preserve">ARTURO M MARTINEZ                                                                                                                           </v>
      </c>
      <c r="G1311" s="26" t="str">
        <f t="shared" si="230"/>
        <v xml:space="preserve">ALVARO OBREGON                                                                  </v>
      </c>
      <c r="H1311" s="26" t="str">
        <f>"219"</f>
        <v>219</v>
      </c>
      <c r="I1311" s="26" t="str">
        <f t="shared" si="224"/>
        <v>00</v>
      </c>
      <c r="J1311" s="26" t="str">
        <f t="shared" si="231"/>
        <v xml:space="preserve">33 </v>
      </c>
      <c r="K1311" s="26" t="str">
        <f t="shared" si="228"/>
        <v>EP</v>
      </c>
      <c r="L1311" s="26" t="str">
        <f t="shared" si="229"/>
        <v>DGOSE</v>
      </c>
      <c r="M1311" s="26" t="str">
        <f t="shared" si="220"/>
        <v>PARTICULAR</v>
      </c>
      <c r="N1311" s="26">
        <v>37</v>
      </c>
      <c r="O1311" s="26">
        <v>18</v>
      </c>
      <c r="P1311" s="26">
        <v>19</v>
      </c>
      <c r="Q1311" s="26">
        <v>3</v>
      </c>
      <c r="R1311" s="26">
        <v>1</v>
      </c>
      <c r="S1311" s="26">
        <v>3</v>
      </c>
      <c r="T1311" s="26">
        <v>0</v>
      </c>
      <c r="U1311" s="26">
        <v>4</v>
      </c>
      <c r="V1311" s="26">
        <v>1</v>
      </c>
      <c r="W1311" s="26"/>
    </row>
    <row r="1312" spans="1:23" x14ac:dyDescent="0.25">
      <c r="A1312" s="26" t="str">
        <f t="shared" si="221"/>
        <v>PREESCOLAR</v>
      </c>
      <c r="B1312" s="26" t="str">
        <f>"09PJN1094O"</f>
        <v>09PJN1094O</v>
      </c>
      <c r="C1312" s="26" t="str">
        <f>"JARDÍN DE NIÑOS BRITANIA                                                                            "</f>
        <v xml:space="preserve">JARDÍN DE NIÑOS BRITANIA                                                                            </v>
      </c>
      <c r="D1312" s="26" t="str">
        <f t="shared" si="219"/>
        <v>MATUTINO</v>
      </c>
      <c r="E1312" s="26" t="str">
        <f>"AV. SANTA LUCIA NO. 1110                                                        "</f>
        <v xml:space="preserve">AV. SANTA LUCIA NO. 1110                                                        </v>
      </c>
      <c r="F1312" s="26" t="str">
        <f>"COLINAS DEL SUR                                                                                                                             "</f>
        <v xml:space="preserve">COLINAS DEL SUR                                                                                                                             </v>
      </c>
      <c r="G1312" s="26" t="str">
        <f t="shared" si="230"/>
        <v xml:space="preserve">ALVARO OBREGON                                                                  </v>
      </c>
      <c r="H1312" s="26" t="str">
        <f>"217"</f>
        <v>217</v>
      </c>
      <c r="I1312" s="26" t="str">
        <f t="shared" si="224"/>
        <v>00</v>
      </c>
      <c r="J1312" s="26" t="str">
        <f t="shared" si="231"/>
        <v xml:space="preserve">33 </v>
      </c>
      <c r="K1312" s="26" t="str">
        <f t="shared" si="228"/>
        <v>EP</v>
      </c>
      <c r="L1312" s="26" t="str">
        <f t="shared" si="229"/>
        <v>DGOSE</v>
      </c>
      <c r="M1312" s="26" t="str">
        <f t="shared" si="220"/>
        <v>PARTICULAR</v>
      </c>
      <c r="N1312" s="26">
        <v>49</v>
      </c>
      <c r="O1312" s="26">
        <v>20</v>
      </c>
      <c r="P1312" s="26">
        <v>29</v>
      </c>
      <c r="Q1312" s="26">
        <v>3</v>
      </c>
      <c r="R1312" s="26">
        <v>1</v>
      </c>
      <c r="S1312" s="26">
        <v>2</v>
      </c>
      <c r="T1312" s="26">
        <v>5</v>
      </c>
      <c r="U1312" s="26">
        <v>8</v>
      </c>
      <c r="V1312" s="26">
        <v>1</v>
      </c>
      <c r="W1312" s="26"/>
    </row>
    <row r="1313" spans="1:23" x14ac:dyDescent="0.25">
      <c r="A1313" s="26" t="str">
        <f t="shared" si="221"/>
        <v>PREESCOLAR</v>
      </c>
      <c r="B1313" s="26" t="str">
        <f>"09PJN1096M"</f>
        <v>09PJN1096M</v>
      </c>
      <c r="C1313" s="26" t="str">
        <f>"D'DEZA                                                                                              "</f>
        <v xml:space="preserve">D'DEZA                                                                                              </v>
      </c>
      <c r="D1313" s="26" t="str">
        <f t="shared" si="219"/>
        <v>MATUTINO</v>
      </c>
      <c r="E1313" s="26" t="str">
        <f>"AVENIDA SANTA LUCIA NO.965                                                      "</f>
        <v xml:space="preserve">AVENIDA SANTA LUCIA NO.965                                                      </v>
      </c>
      <c r="F1313" s="26" t="str">
        <f>"COLINAS DEL SUR                                                                                                                             "</f>
        <v xml:space="preserve">COLINAS DEL SUR                                                                                                                             </v>
      </c>
      <c r="G1313" s="26" t="str">
        <f t="shared" si="230"/>
        <v xml:space="preserve">ALVARO OBREGON                                                                  </v>
      </c>
      <c r="H1313" s="26" t="str">
        <f>"217"</f>
        <v>217</v>
      </c>
      <c r="I1313" s="26" t="str">
        <f t="shared" si="224"/>
        <v>00</v>
      </c>
      <c r="J1313" s="26" t="str">
        <f t="shared" si="231"/>
        <v xml:space="preserve">33 </v>
      </c>
      <c r="K1313" s="26" t="str">
        <f t="shared" si="228"/>
        <v>EP</v>
      </c>
      <c r="L1313" s="26" t="str">
        <f t="shared" si="229"/>
        <v>DGOSE</v>
      </c>
      <c r="M1313" s="26" t="str">
        <f t="shared" si="220"/>
        <v>PARTICULAR</v>
      </c>
      <c r="N1313" s="26">
        <v>8</v>
      </c>
      <c r="O1313" s="26">
        <v>3</v>
      </c>
      <c r="P1313" s="26">
        <v>5</v>
      </c>
      <c r="Q1313" s="26">
        <v>3</v>
      </c>
      <c r="R1313" s="26">
        <v>1</v>
      </c>
      <c r="S1313" s="26">
        <v>2</v>
      </c>
      <c r="T1313" s="26">
        <v>5</v>
      </c>
      <c r="U1313" s="26">
        <v>8</v>
      </c>
      <c r="V1313" s="26">
        <v>1</v>
      </c>
      <c r="W1313" s="26"/>
    </row>
    <row r="1314" spans="1:23" x14ac:dyDescent="0.25">
      <c r="A1314" s="26" t="str">
        <f t="shared" si="221"/>
        <v>PREESCOLAR</v>
      </c>
      <c r="B1314" s="26" t="str">
        <f>"09PJN1099J"</f>
        <v>09PJN1099J</v>
      </c>
      <c r="C1314" s="26" t="str">
        <f>"COLUMBIA                                                                                            "</f>
        <v xml:space="preserve">COLUMBIA                                                                                            </v>
      </c>
      <c r="D1314" s="26" t="str">
        <f t="shared" si="219"/>
        <v>MATUTINO</v>
      </c>
      <c r="E1314" s="26" t="str">
        <f>"BONDOJITO No. 290                                                               "</f>
        <v xml:space="preserve">BONDOJITO No. 290                                                               </v>
      </c>
      <c r="F1314" s="26" t="str">
        <f>"ESTADO DE HIDALGO                                                                                                                           "</f>
        <v xml:space="preserve">ESTADO DE HIDALGO                                                                                                                           </v>
      </c>
      <c r="G1314" s="26" t="str">
        <f t="shared" si="230"/>
        <v xml:space="preserve">ALVARO OBREGON                                                                  </v>
      </c>
      <c r="H1314" s="26" t="str">
        <f>"219"</f>
        <v>219</v>
      </c>
      <c r="I1314" s="26" t="str">
        <f t="shared" si="224"/>
        <v>00</v>
      </c>
      <c r="J1314" s="26" t="str">
        <f t="shared" si="231"/>
        <v xml:space="preserve">33 </v>
      </c>
      <c r="K1314" s="26" t="str">
        <f t="shared" si="228"/>
        <v>EP</v>
      </c>
      <c r="L1314" s="26" t="str">
        <f t="shared" si="229"/>
        <v>DGOSE</v>
      </c>
      <c r="M1314" s="26" t="str">
        <f t="shared" si="220"/>
        <v>PARTICULAR</v>
      </c>
      <c r="N1314" s="26">
        <v>94</v>
      </c>
      <c r="O1314" s="26">
        <v>56</v>
      </c>
      <c r="P1314" s="26">
        <v>38</v>
      </c>
      <c r="Q1314" s="26">
        <v>7</v>
      </c>
      <c r="R1314" s="26">
        <v>1</v>
      </c>
      <c r="S1314" s="26">
        <v>7</v>
      </c>
      <c r="T1314" s="26">
        <v>6</v>
      </c>
      <c r="U1314" s="26">
        <v>14</v>
      </c>
      <c r="V1314" s="26">
        <v>1</v>
      </c>
      <c r="W1314" s="26"/>
    </row>
    <row r="1315" spans="1:23" x14ac:dyDescent="0.25">
      <c r="A1315" s="26" t="str">
        <f t="shared" si="221"/>
        <v>PREESCOLAR</v>
      </c>
      <c r="B1315" s="26" t="str">
        <f>"09PJN1113M"</f>
        <v>09PJN1113M</v>
      </c>
      <c r="C1315" s="26" t="str">
        <f>"ESCUELA REINA ISABEL-KINDER                                                                         "</f>
        <v xml:space="preserve">ESCUELA REINA ISABEL-KINDER                                                                         </v>
      </c>
      <c r="D1315" s="26" t="str">
        <f t="shared" si="219"/>
        <v>MATUTINO</v>
      </c>
      <c r="E1315" s="26" t="str">
        <f>"CONDOR No. 198                                                                  "</f>
        <v xml:space="preserve">CONDOR No. 198                                                                  </v>
      </c>
      <c r="F1315" s="26" t="str">
        <f>"ALPES                                                                                                                                       "</f>
        <v xml:space="preserve">ALPES                                                                                                                                       </v>
      </c>
      <c r="G1315" s="26" t="str">
        <f t="shared" si="230"/>
        <v xml:space="preserve">ALVARO OBREGON                                                                  </v>
      </c>
      <c r="H1315" s="26" t="str">
        <f>"217"</f>
        <v>217</v>
      </c>
      <c r="I1315" s="26" t="str">
        <f t="shared" si="224"/>
        <v>00</v>
      </c>
      <c r="J1315" s="26" t="str">
        <f t="shared" si="231"/>
        <v xml:space="preserve">33 </v>
      </c>
      <c r="K1315" s="26" t="str">
        <f t="shared" si="228"/>
        <v>EP</v>
      </c>
      <c r="L1315" s="26" t="str">
        <f t="shared" si="229"/>
        <v>DGOSE</v>
      </c>
      <c r="M1315" s="26" t="str">
        <f t="shared" si="220"/>
        <v>PARTICULAR</v>
      </c>
      <c r="N1315" s="26">
        <v>92</v>
      </c>
      <c r="O1315" s="26">
        <v>43</v>
      </c>
      <c r="P1315" s="26">
        <v>49</v>
      </c>
      <c r="Q1315" s="26">
        <v>6</v>
      </c>
      <c r="R1315" s="26">
        <v>1</v>
      </c>
      <c r="S1315" s="26">
        <v>6</v>
      </c>
      <c r="T1315" s="26">
        <v>23</v>
      </c>
      <c r="U1315" s="26">
        <v>30</v>
      </c>
      <c r="V1315" s="26">
        <v>1</v>
      </c>
      <c r="W1315" s="26"/>
    </row>
    <row r="1316" spans="1:23" x14ac:dyDescent="0.25">
      <c r="A1316" s="26" t="str">
        <f t="shared" si="221"/>
        <v>PREESCOLAR</v>
      </c>
      <c r="B1316" s="26" t="str">
        <f>"09PJN1115K"</f>
        <v>09PJN1115K</v>
      </c>
      <c r="C1316" s="26" t="str">
        <f>"COLEGIO MONTESSORI SHANTI                                                                           "</f>
        <v xml:space="preserve">COLEGIO MONTESSORI SHANTI                                                                           </v>
      </c>
      <c r="D1316" s="26" t="str">
        <f t="shared" si="219"/>
        <v>MATUTINO</v>
      </c>
      <c r="E1316" s="26" t="str">
        <f>"PUENTE METLAC NO. 176                                                           "</f>
        <v xml:space="preserve">PUENTE METLAC NO. 176                                                           </v>
      </c>
      <c r="F1316" s="26" t="str">
        <f>"PUENTE COLORADO                                                                                                                             "</f>
        <v xml:space="preserve">PUENTE COLORADO                                                                                                                             </v>
      </c>
      <c r="G1316" s="26" t="str">
        <f t="shared" si="230"/>
        <v xml:space="preserve">ALVARO OBREGON                                                                  </v>
      </c>
      <c r="H1316" s="26" t="str">
        <f>"215"</f>
        <v>215</v>
      </c>
      <c r="I1316" s="26" t="str">
        <f t="shared" si="224"/>
        <v>00</v>
      </c>
      <c r="J1316" s="26" t="str">
        <f t="shared" si="231"/>
        <v xml:space="preserve">33 </v>
      </c>
      <c r="K1316" s="26" t="str">
        <f t="shared" si="228"/>
        <v>EP</v>
      </c>
      <c r="L1316" s="26" t="str">
        <f t="shared" si="229"/>
        <v>DGOSE</v>
      </c>
      <c r="M1316" s="26" t="str">
        <f t="shared" si="220"/>
        <v>PARTICULAR</v>
      </c>
      <c r="N1316" s="26">
        <v>13</v>
      </c>
      <c r="O1316" s="26">
        <v>9</v>
      </c>
      <c r="P1316" s="26">
        <v>4</v>
      </c>
      <c r="Q1316" s="26">
        <v>3</v>
      </c>
      <c r="R1316" s="26">
        <v>1</v>
      </c>
      <c r="S1316" s="26">
        <v>2</v>
      </c>
      <c r="T1316" s="26">
        <v>2</v>
      </c>
      <c r="U1316" s="26">
        <v>5</v>
      </c>
      <c r="V1316" s="26">
        <v>1</v>
      </c>
      <c r="W1316" s="26"/>
    </row>
    <row r="1317" spans="1:23" x14ac:dyDescent="0.25">
      <c r="A1317" s="26" t="str">
        <f t="shared" si="221"/>
        <v>PREESCOLAR</v>
      </c>
      <c r="B1317" s="26" t="str">
        <f>"09PJN1118H"</f>
        <v>09PJN1118H</v>
      </c>
      <c r="C1317" s="26" t="str">
        <f>"LICEO MEXICANO JAPONES                                                                              "</f>
        <v xml:space="preserve">LICEO MEXICANO JAPONES                                                                              </v>
      </c>
      <c r="D1317" s="26" t="str">
        <f t="shared" si="219"/>
        <v>MATUTINO</v>
      </c>
      <c r="E1317" s="26" t="str">
        <f>"CAMINO SANTA TERESA NO. 1500                                                    "</f>
        <v xml:space="preserve">CAMINO SANTA TERESA NO. 1500                                                    </v>
      </c>
      <c r="F1317" s="26" t="str">
        <f>"JARDINES DEL PEDREGAL                                                                                                                       "</f>
        <v xml:space="preserve">JARDINES DEL PEDREGAL                                                                                                                       </v>
      </c>
      <c r="G1317" s="26" t="str">
        <f t="shared" si="230"/>
        <v xml:space="preserve">ALVARO OBREGON                                                                  </v>
      </c>
      <c r="H1317" s="26" t="str">
        <f>"150"</f>
        <v>150</v>
      </c>
      <c r="I1317" s="26" t="str">
        <f t="shared" si="224"/>
        <v>00</v>
      </c>
      <c r="J1317" s="26" t="str">
        <f t="shared" si="231"/>
        <v xml:space="preserve">33 </v>
      </c>
      <c r="K1317" s="26" t="str">
        <f t="shared" si="228"/>
        <v>EP</v>
      </c>
      <c r="L1317" s="26" t="str">
        <f t="shared" si="229"/>
        <v>DGOSE</v>
      </c>
      <c r="M1317" s="26" t="str">
        <f t="shared" si="220"/>
        <v>PARTICULAR</v>
      </c>
      <c r="N1317" s="26">
        <v>153</v>
      </c>
      <c r="O1317" s="26">
        <v>79</v>
      </c>
      <c r="P1317" s="26">
        <v>74</v>
      </c>
      <c r="Q1317" s="26">
        <v>7</v>
      </c>
      <c r="R1317" s="26">
        <v>1</v>
      </c>
      <c r="S1317" s="26">
        <v>7</v>
      </c>
      <c r="T1317" s="26">
        <v>9</v>
      </c>
      <c r="U1317" s="26">
        <v>17</v>
      </c>
      <c r="V1317" s="26">
        <v>1</v>
      </c>
      <c r="W1317" s="26"/>
    </row>
    <row r="1318" spans="1:23" x14ac:dyDescent="0.25">
      <c r="A1318" s="26" t="str">
        <f t="shared" si="221"/>
        <v>PREESCOLAR</v>
      </c>
      <c r="B1318" s="26" t="str">
        <f>"09PJN1119G"</f>
        <v>09PJN1119G</v>
      </c>
      <c r="C1318" s="26" t="str">
        <f>"INSTITUTO SAN ANGEL INN                                                                             "</f>
        <v xml:space="preserve">INSTITUTO SAN ANGEL INN                                                                             </v>
      </c>
      <c r="D1318" s="26" t="str">
        <f t="shared" si="219"/>
        <v>MATUTINO</v>
      </c>
      <c r="E1318" s="26" t="str">
        <f>"AV. CENTENARIO NO. 1196                                                         "</f>
        <v xml:space="preserve">AV. CENTENARIO NO. 1196                                                         </v>
      </c>
      <c r="F1318" s="26" t="str">
        <f>"HERON PROAL                                                                                                                                 "</f>
        <v xml:space="preserve">HERON PROAL                                                                                                                                 </v>
      </c>
      <c r="G1318" s="26" t="str">
        <f t="shared" si="230"/>
        <v xml:space="preserve">ALVARO OBREGON                                                                  </v>
      </c>
      <c r="H1318" s="26" t="str">
        <f>"046"</f>
        <v>046</v>
      </c>
      <c r="I1318" s="26" t="str">
        <f t="shared" si="224"/>
        <v>00</v>
      </c>
      <c r="J1318" s="26" t="str">
        <f t="shared" si="231"/>
        <v xml:space="preserve">33 </v>
      </c>
      <c r="K1318" s="26" t="str">
        <f t="shared" si="228"/>
        <v>EP</v>
      </c>
      <c r="L1318" s="26" t="str">
        <f t="shared" si="229"/>
        <v>DGOSE</v>
      </c>
      <c r="M1318" s="26" t="str">
        <f t="shared" si="220"/>
        <v>PARTICULAR</v>
      </c>
      <c r="N1318" s="26">
        <v>36</v>
      </c>
      <c r="O1318" s="26">
        <v>15</v>
      </c>
      <c r="P1318" s="26">
        <v>21</v>
      </c>
      <c r="Q1318" s="26">
        <v>3</v>
      </c>
      <c r="R1318" s="26">
        <v>1</v>
      </c>
      <c r="S1318" s="26">
        <v>3</v>
      </c>
      <c r="T1318" s="26">
        <v>8</v>
      </c>
      <c r="U1318" s="26">
        <v>12</v>
      </c>
      <c r="V1318" s="26">
        <v>1</v>
      </c>
      <c r="W1318" s="26"/>
    </row>
    <row r="1319" spans="1:23" x14ac:dyDescent="0.25">
      <c r="A1319" s="26" t="str">
        <f t="shared" si="221"/>
        <v>PREESCOLAR</v>
      </c>
      <c r="B1319" s="26" t="str">
        <f>"09PJN1121V"</f>
        <v>09PJN1121V</v>
      </c>
      <c r="C1319" s="26" t="str">
        <f>"OXFORD PRESCHOOL                                                                                    "</f>
        <v xml:space="preserve">OXFORD PRESCHOOL                                                                                    </v>
      </c>
      <c r="D1319" s="26" t="str">
        <f t="shared" si="219"/>
        <v>MATUTINO</v>
      </c>
      <c r="E1319" s="26" t="str">
        <f>"ANTIGUO CAMINO A ACAPULCO NO. 287                                               "</f>
        <v xml:space="preserve">ANTIGUO CAMINO A ACAPULCO NO. 287                                               </v>
      </c>
      <c r="F1319" s="26" t="str">
        <f>"SAN ANGEL INN                                                                                                                               "</f>
        <v xml:space="preserve">SAN ANGEL INN                                                                                                                               </v>
      </c>
      <c r="G1319" s="26" t="str">
        <f t="shared" si="230"/>
        <v xml:space="preserve">ALVARO OBREGON                                                                  </v>
      </c>
      <c r="H1319" s="26" t="str">
        <f>"175"</f>
        <v>175</v>
      </c>
      <c r="I1319" s="26" t="str">
        <f t="shared" si="224"/>
        <v>00</v>
      </c>
      <c r="J1319" s="26" t="str">
        <f t="shared" si="231"/>
        <v xml:space="preserve">33 </v>
      </c>
      <c r="K1319" s="26" t="str">
        <f t="shared" si="228"/>
        <v>EP</v>
      </c>
      <c r="L1319" s="26" t="str">
        <f t="shared" si="229"/>
        <v>DGOSE</v>
      </c>
      <c r="M1319" s="26" t="str">
        <f t="shared" si="220"/>
        <v>PARTICULAR</v>
      </c>
      <c r="N1319" s="26">
        <v>177</v>
      </c>
      <c r="O1319" s="26">
        <v>78</v>
      </c>
      <c r="P1319" s="26">
        <v>99</v>
      </c>
      <c r="Q1319" s="26">
        <v>9</v>
      </c>
      <c r="R1319" s="26">
        <v>1</v>
      </c>
      <c r="S1319" s="26">
        <v>9</v>
      </c>
      <c r="T1319" s="26">
        <v>23</v>
      </c>
      <c r="U1319" s="26">
        <v>33</v>
      </c>
      <c r="V1319" s="26">
        <v>1</v>
      </c>
      <c r="W1319" s="26"/>
    </row>
    <row r="1320" spans="1:23" x14ac:dyDescent="0.25">
      <c r="A1320" s="26" t="str">
        <f t="shared" si="221"/>
        <v>PREESCOLAR</v>
      </c>
      <c r="B1320" s="26" t="str">
        <f>"09PJN1128O"</f>
        <v>09PJN1128O</v>
      </c>
      <c r="C1320" s="26" t="str">
        <f>"LICEO ALBERT EINSTEIN                                                                               "</f>
        <v xml:space="preserve">LICEO ALBERT EINSTEIN                                                                               </v>
      </c>
      <c r="D1320" s="26" t="str">
        <f t="shared" si="219"/>
        <v>MATUTINO</v>
      </c>
      <c r="E1320" s="26" t="str">
        <f>"CAFETALES NO.2                                                                  "</f>
        <v xml:space="preserve">CAFETALES NO.2                                                                  </v>
      </c>
      <c r="F1320" s="26" t="str">
        <f>"GRANJAS COAPA                                                                                                                               "</f>
        <v xml:space="preserve">GRANJAS COAPA                                                                                                                               </v>
      </c>
      <c r="G1320" s="26" t="str">
        <f t="shared" ref="G1320:G1330" si="232">"TLALPAN                                                                         "</f>
        <v xml:space="preserve">TLALPAN                                                                         </v>
      </c>
      <c r="H1320" s="26" t="str">
        <f>"276"</f>
        <v>276</v>
      </c>
      <c r="I1320" s="26" t="str">
        <f t="shared" si="224"/>
        <v>00</v>
      </c>
      <c r="J1320" s="26" t="str">
        <f t="shared" ref="J1320:J1331" si="233">"35 "</f>
        <v xml:space="preserve">35 </v>
      </c>
      <c r="K1320" s="26" t="str">
        <f t="shared" si="228"/>
        <v>EP</v>
      </c>
      <c r="L1320" s="26" t="str">
        <f t="shared" si="229"/>
        <v>DGOSE</v>
      </c>
      <c r="M1320" s="26" t="str">
        <f t="shared" si="220"/>
        <v>PARTICULAR</v>
      </c>
      <c r="N1320" s="26">
        <v>80</v>
      </c>
      <c r="O1320" s="26">
        <v>39</v>
      </c>
      <c r="P1320" s="26">
        <v>41</v>
      </c>
      <c r="Q1320" s="26">
        <v>4</v>
      </c>
      <c r="R1320" s="26">
        <v>1</v>
      </c>
      <c r="S1320" s="26">
        <v>4</v>
      </c>
      <c r="T1320" s="26">
        <v>9</v>
      </c>
      <c r="U1320" s="26">
        <v>14</v>
      </c>
      <c r="V1320" s="26">
        <v>1</v>
      </c>
      <c r="W1320" s="26"/>
    </row>
    <row r="1321" spans="1:23" x14ac:dyDescent="0.25">
      <c r="A1321" s="26" t="str">
        <f t="shared" si="221"/>
        <v>PREESCOLAR</v>
      </c>
      <c r="B1321" s="26" t="str">
        <f>"09PJN1136X"</f>
        <v>09PJN1136X</v>
      </c>
      <c r="C1321" s="26" t="str">
        <f>"ESCUELA CONTINENTAL                                                                                 "</f>
        <v xml:space="preserve">ESCUELA CONTINENTAL                                                                                 </v>
      </c>
      <c r="D1321" s="26" t="str">
        <f t="shared" si="219"/>
        <v>MATUTINO</v>
      </c>
      <c r="E1321" s="26" t="str">
        <f>"ALGODONALES NO. 56                                                              "</f>
        <v xml:space="preserve">ALGODONALES NO. 56                                                              </v>
      </c>
      <c r="F1321" s="26" t="str">
        <f>"VILLA COAPA                                                                                                                                 "</f>
        <v xml:space="preserve">VILLA COAPA                                                                                                                                 </v>
      </c>
      <c r="G1321" s="26" t="str">
        <f t="shared" si="232"/>
        <v xml:space="preserve">TLALPAN                                                                         </v>
      </c>
      <c r="H1321" s="26" t="str">
        <f>"220"</f>
        <v>220</v>
      </c>
      <c r="I1321" s="26" t="str">
        <f t="shared" si="224"/>
        <v>00</v>
      </c>
      <c r="J1321" s="26" t="str">
        <f t="shared" si="233"/>
        <v xml:space="preserve">35 </v>
      </c>
      <c r="K1321" s="26" t="str">
        <f t="shared" si="228"/>
        <v>EP</v>
      </c>
      <c r="L1321" s="26" t="str">
        <f t="shared" si="229"/>
        <v>DGOSE</v>
      </c>
      <c r="M1321" s="26" t="str">
        <f t="shared" si="220"/>
        <v>PARTICULAR</v>
      </c>
      <c r="N1321" s="26">
        <v>171</v>
      </c>
      <c r="O1321" s="26">
        <v>90</v>
      </c>
      <c r="P1321" s="26">
        <v>81</v>
      </c>
      <c r="Q1321" s="26">
        <v>7</v>
      </c>
      <c r="R1321" s="26">
        <v>1</v>
      </c>
      <c r="S1321" s="26">
        <v>7</v>
      </c>
      <c r="T1321" s="26">
        <v>10</v>
      </c>
      <c r="U1321" s="26">
        <v>18</v>
      </c>
      <c r="V1321" s="26">
        <v>1</v>
      </c>
      <c r="W1321" s="26"/>
    </row>
    <row r="1322" spans="1:23" x14ac:dyDescent="0.25">
      <c r="A1322" s="26" t="str">
        <f t="shared" si="221"/>
        <v>PREESCOLAR</v>
      </c>
      <c r="B1322" s="26" t="str">
        <f>"09PJN1138V"</f>
        <v>09PJN1138V</v>
      </c>
      <c r="C1322" s="26" t="str">
        <f>"COLEGIO ATENEA                                                                                      "</f>
        <v xml:space="preserve">COLEGIO ATENEA                                                                                      </v>
      </c>
      <c r="D1322" s="26" t="str">
        <f t="shared" si="219"/>
        <v>MATUTINO</v>
      </c>
      <c r="E1322" s="26" t="str">
        <f>"TRIGALES NO. 25                                                                 "</f>
        <v xml:space="preserve">TRIGALES NO. 25                                                                 </v>
      </c>
      <c r="F1322" s="26" t="str">
        <f>"VILLA COAPA                                                                                                                                 "</f>
        <v xml:space="preserve">VILLA COAPA                                                                                                                                 </v>
      </c>
      <c r="G1322" s="26" t="str">
        <f t="shared" si="232"/>
        <v xml:space="preserve">TLALPAN                                                                         </v>
      </c>
      <c r="H1322" s="26" t="str">
        <f>"220"</f>
        <v>220</v>
      </c>
      <c r="I1322" s="26" t="str">
        <f t="shared" si="224"/>
        <v>00</v>
      </c>
      <c r="J1322" s="26" t="str">
        <f t="shared" si="233"/>
        <v xml:space="preserve">35 </v>
      </c>
      <c r="K1322" s="26" t="str">
        <f t="shared" si="228"/>
        <v>EP</v>
      </c>
      <c r="L1322" s="26" t="str">
        <f t="shared" si="229"/>
        <v>DGOSE</v>
      </c>
      <c r="M1322" s="26" t="str">
        <f t="shared" si="220"/>
        <v>PARTICULAR</v>
      </c>
      <c r="N1322" s="26">
        <v>29</v>
      </c>
      <c r="O1322" s="26">
        <v>15</v>
      </c>
      <c r="P1322" s="26">
        <v>14</v>
      </c>
      <c r="Q1322" s="26">
        <v>3</v>
      </c>
      <c r="R1322" s="26">
        <v>1</v>
      </c>
      <c r="S1322" s="26">
        <v>3</v>
      </c>
      <c r="T1322" s="26">
        <v>3</v>
      </c>
      <c r="U1322" s="26">
        <v>7</v>
      </c>
      <c r="V1322" s="26">
        <v>1</v>
      </c>
      <c r="W1322" s="26"/>
    </row>
    <row r="1323" spans="1:23" x14ac:dyDescent="0.25">
      <c r="A1323" s="26" t="str">
        <f t="shared" si="221"/>
        <v>PREESCOLAR</v>
      </c>
      <c r="B1323" s="26" t="str">
        <f>"09PJN1141I"</f>
        <v>09PJN1141I</v>
      </c>
      <c r="C1323" s="26" t="str">
        <f>"ERANDI                                                                                              "</f>
        <v xml:space="preserve">ERANDI                                                                                              </v>
      </c>
      <c r="D1323" s="26" t="str">
        <f t="shared" si="219"/>
        <v>MATUTINO</v>
      </c>
      <c r="E1323" s="26" t="str">
        <f>"MAYORAZGO NO. 58                                                                "</f>
        <v xml:space="preserve">MAYORAZGO NO. 58                                                                </v>
      </c>
      <c r="F1323" s="26" t="str">
        <f>"VILLA COAPA                                                                                                                                 "</f>
        <v xml:space="preserve">VILLA COAPA                                                                                                                                 </v>
      </c>
      <c r="G1323" s="26" t="str">
        <f t="shared" si="232"/>
        <v xml:space="preserve">TLALPAN                                                                         </v>
      </c>
      <c r="H1323" s="26" t="str">
        <f>"220"</f>
        <v>220</v>
      </c>
      <c r="I1323" s="26" t="str">
        <f t="shared" si="224"/>
        <v>00</v>
      </c>
      <c r="J1323" s="26" t="str">
        <f t="shared" si="233"/>
        <v xml:space="preserve">35 </v>
      </c>
      <c r="K1323" s="26" t="str">
        <f t="shared" si="228"/>
        <v>EP</v>
      </c>
      <c r="L1323" s="26" t="str">
        <f t="shared" si="229"/>
        <v>DGOSE</v>
      </c>
      <c r="M1323" s="26" t="str">
        <f t="shared" si="220"/>
        <v>PARTICULAR</v>
      </c>
      <c r="N1323" s="26">
        <v>30</v>
      </c>
      <c r="O1323" s="26">
        <v>17</v>
      </c>
      <c r="P1323" s="26">
        <v>13</v>
      </c>
      <c r="Q1323" s="26">
        <v>3</v>
      </c>
      <c r="R1323" s="26">
        <v>1</v>
      </c>
      <c r="S1323" s="26">
        <v>2</v>
      </c>
      <c r="T1323" s="26">
        <v>5</v>
      </c>
      <c r="U1323" s="26">
        <v>8</v>
      </c>
      <c r="V1323" s="26">
        <v>1</v>
      </c>
      <c r="W1323" s="26"/>
    </row>
    <row r="1324" spans="1:23" x14ac:dyDescent="0.25">
      <c r="A1324" s="26" t="str">
        <f t="shared" si="221"/>
        <v>PREESCOLAR</v>
      </c>
      <c r="B1324" s="26" t="str">
        <f>"09PJN1142H"</f>
        <v>09PJN1142H</v>
      </c>
      <c r="C1324" s="26" t="s">
        <v>93</v>
      </c>
      <c r="D1324" s="26" t="str">
        <f t="shared" si="219"/>
        <v>MATUTINO</v>
      </c>
      <c r="E1324" s="26" t="str">
        <f>"TZINAL NOS. 203 Y 204 C                                                         "</f>
        <v xml:space="preserve">TZINAL NOS. 203 Y 204 C                                                         </v>
      </c>
      <c r="F1324" s="26" t="str">
        <f>"HEROES DE PADIERNA                                                                                                                          "</f>
        <v xml:space="preserve">HEROES DE PADIERNA                                                                                                                          </v>
      </c>
      <c r="G1324" s="26" t="str">
        <f t="shared" si="232"/>
        <v xml:space="preserve">TLALPAN                                                                         </v>
      </c>
      <c r="H1324" s="26" t="str">
        <f>"225"</f>
        <v>225</v>
      </c>
      <c r="I1324" s="26" t="str">
        <f t="shared" si="224"/>
        <v>00</v>
      </c>
      <c r="J1324" s="26" t="str">
        <f t="shared" si="233"/>
        <v xml:space="preserve">35 </v>
      </c>
      <c r="K1324" s="26" t="str">
        <f t="shared" si="228"/>
        <v>EP</v>
      </c>
      <c r="L1324" s="26" t="str">
        <f t="shared" si="229"/>
        <v>DGOSE</v>
      </c>
      <c r="M1324" s="26" t="str">
        <f t="shared" si="220"/>
        <v>PARTICULAR</v>
      </c>
      <c r="N1324" s="26">
        <v>56</v>
      </c>
      <c r="O1324" s="26">
        <v>20</v>
      </c>
      <c r="P1324" s="26">
        <v>36</v>
      </c>
      <c r="Q1324" s="26">
        <v>4</v>
      </c>
      <c r="R1324" s="26">
        <v>1</v>
      </c>
      <c r="S1324" s="26">
        <v>4</v>
      </c>
      <c r="T1324" s="26">
        <v>12</v>
      </c>
      <c r="U1324" s="26">
        <v>17</v>
      </c>
      <c r="V1324" s="26">
        <v>1</v>
      </c>
      <c r="W1324" s="26"/>
    </row>
    <row r="1325" spans="1:23" x14ac:dyDescent="0.25">
      <c r="A1325" s="26" t="str">
        <f t="shared" si="221"/>
        <v>PREESCOLAR</v>
      </c>
      <c r="B1325" s="26" t="str">
        <f>"09PJN1145E"</f>
        <v>09PJN1145E</v>
      </c>
      <c r="C1325" s="26" t="str">
        <f>"CULTURAL PEÑA POBRE                                                                                 "</f>
        <v xml:space="preserve">CULTURAL PEÑA POBRE                                                                                 </v>
      </c>
      <c r="D1325" s="26" t="str">
        <f t="shared" si="219"/>
        <v>MATUTINO</v>
      </c>
      <c r="E1325" s="26" t="str">
        <f>"ZAPOTE NO. 33                                                                   "</f>
        <v xml:space="preserve">ZAPOTE NO. 33                                                                   </v>
      </c>
      <c r="F1325" s="26" t="str">
        <f>"PEÑA POBRE                                                                                                                                  "</f>
        <v xml:space="preserve">PEÑA POBRE                                                                                                                                  </v>
      </c>
      <c r="G1325" s="26" t="str">
        <f t="shared" si="232"/>
        <v xml:space="preserve">TLALPAN                                                                         </v>
      </c>
      <c r="H1325" s="26" t="str">
        <f>"222"</f>
        <v>222</v>
      </c>
      <c r="I1325" s="26" t="str">
        <f t="shared" si="224"/>
        <v>00</v>
      </c>
      <c r="J1325" s="26" t="str">
        <f t="shared" si="233"/>
        <v xml:space="preserve">35 </v>
      </c>
      <c r="K1325" s="26" t="str">
        <f t="shared" si="228"/>
        <v>EP</v>
      </c>
      <c r="L1325" s="26" t="str">
        <f t="shared" si="229"/>
        <v>DGOSE</v>
      </c>
      <c r="M1325" s="26" t="str">
        <f t="shared" si="220"/>
        <v>PARTICULAR</v>
      </c>
      <c r="N1325" s="26">
        <v>90</v>
      </c>
      <c r="O1325" s="26">
        <v>51</v>
      </c>
      <c r="P1325" s="26">
        <v>39</v>
      </c>
      <c r="Q1325" s="26">
        <v>5</v>
      </c>
      <c r="R1325" s="26">
        <v>1</v>
      </c>
      <c r="S1325" s="26">
        <v>5</v>
      </c>
      <c r="T1325" s="26">
        <v>5</v>
      </c>
      <c r="U1325" s="26">
        <v>11</v>
      </c>
      <c r="V1325" s="26">
        <v>1</v>
      </c>
      <c r="W1325" s="26"/>
    </row>
    <row r="1326" spans="1:23" x14ac:dyDescent="0.25">
      <c r="A1326" s="26" t="str">
        <f t="shared" si="221"/>
        <v>PREESCOLAR</v>
      </c>
      <c r="B1326" s="26" t="str">
        <f>"09PJN1146D"</f>
        <v>09PJN1146D</v>
      </c>
      <c r="C1326" s="26" t="str">
        <f>"COLEGIO TEKAX                                                                                       "</f>
        <v xml:space="preserve">COLEGIO TEKAX                                                                                       </v>
      </c>
      <c r="D1326" s="26" t="str">
        <f t="shared" si="219"/>
        <v>MATUTINO</v>
      </c>
      <c r="E1326" s="26" t="str">
        <f>"CANCUN S/N. MZA. 169 LT. 1                                                      "</f>
        <v xml:space="preserve">CANCUN S/N. MZA. 169 LT. 1                                                      </v>
      </c>
      <c r="F1326" s="26" t="str">
        <f>"LOMAS DE PADIERNA                                                                                                                           "</f>
        <v xml:space="preserve">LOMAS DE PADIERNA                                                                                                                           </v>
      </c>
      <c r="G1326" s="26" t="str">
        <f t="shared" si="232"/>
        <v xml:space="preserve">TLALPAN                                                                         </v>
      </c>
      <c r="H1326" s="26" t="str">
        <f>"147"</f>
        <v>147</v>
      </c>
      <c r="I1326" s="26" t="str">
        <f t="shared" si="224"/>
        <v>00</v>
      </c>
      <c r="J1326" s="26" t="str">
        <f t="shared" si="233"/>
        <v xml:space="preserve">35 </v>
      </c>
      <c r="K1326" s="26" t="str">
        <f t="shared" si="228"/>
        <v>EP</v>
      </c>
      <c r="L1326" s="26" t="str">
        <f t="shared" si="229"/>
        <v>DGOSE</v>
      </c>
      <c r="M1326" s="26" t="str">
        <f t="shared" si="220"/>
        <v>PARTICULAR</v>
      </c>
      <c r="N1326" s="26">
        <v>40</v>
      </c>
      <c r="O1326" s="26">
        <v>18</v>
      </c>
      <c r="P1326" s="26">
        <v>22</v>
      </c>
      <c r="Q1326" s="26">
        <v>3</v>
      </c>
      <c r="R1326" s="26">
        <v>1</v>
      </c>
      <c r="S1326" s="26">
        <v>3</v>
      </c>
      <c r="T1326" s="26">
        <v>3</v>
      </c>
      <c r="U1326" s="26">
        <v>7</v>
      </c>
      <c r="V1326" s="26">
        <v>1</v>
      </c>
      <c r="W1326" s="26"/>
    </row>
    <row r="1327" spans="1:23" x14ac:dyDescent="0.25">
      <c r="A1327" s="26" t="str">
        <f t="shared" si="221"/>
        <v>PREESCOLAR</v>
      </c>
      <c r="B1327" s="26" t="str">
        <f>"09PJN1148B"</f>
        <v>09PJN1148B</v>
      </c>
      <c r="C1327" s="26" t="str">
        <f>"COLEGIO AGUSTIN GARCIA CONDE                                                                        "</f>
        <v xml:space="preserve">COLEGIO AGUSTIN GARCIA CONDE                                                                        </v>
      </c>
      <c r="D1327" s="26" t="str">
        <f t="shared" si="219"/>
        <v>MATUTINO</v>
      </c>
      <c r="E1327" s="26" t="str">
        <f>"MORELOS No. 11                                                                  "</f>
        <v xml:space="preserve">MORELOS No. 11                                                                  </v>
      </c>
      <c r="F1327" s="26" t="str">
        <f>"LA JOYA                                                                                                                                     "</f>
        <v xml:space="preserve">LA JOYA                                                                                                                                     </v>
      </c>
      <c r="G1327" s="26" t="str">
        <f t="shared" si="232"/>
        <v xml:space="preserve">TLALPAN                                                                         </v>
      </c>
      <c r="H1327" s="26" t="str">
        <f>"132"</f>
        <v>132</v>
      </c>
      <c r="I1327" s="26" t="str">
        <f t="shared" si="224"/>
        <v>00</v>
      </c>
      <c r="J1327" s="26" t="str">
        <f t="shared" si="233"/>
        <v xml:space="preserve">35 </v>
      </c>
      <c r="K1327" s="26" t="str">
        <f t="shared" si="228"/>
        <v>EP</v>
      </c>
      <c r="L1327" s="26" t="str">
        <f t="shared" si="229"/>
        <v>DGOSE</v>
      </c>
      <c r="M1327" s="26" t="str">
        <f t="shared" si="220"/>
        <v>PARTICULAR</v>
      </c>
      <c r="N1327" s="26">
        <v>66</v>
      </c>
      <c r="O1327" s="26">
        <v>34</v>
      </c>
      <c r="P1327" s="26">
        <v>32</v>
      </c>
      <c r="Q1327" s="26">
        <v>3</v>
      </c>
      <c r="R1327" s="26">
        <v>1</v>
      </c>
      <c r="S1327" s="26">
        <v>3</v>
      </c>
      <c r="T1327" s="26">
        <v>7</v>
      </c>
      <c r="U1327" s="26">
        <v>11</v>
      </c>
      <c r="V1327" s="26">
        <v>1</v>
      </c>
      <c r="W1327" s="26"/>
    </row>
    <row r="1328" spans="1:23" x14ac:dyDescent="0.25">
      <c r="A1328" s="26" t="str">
        <f t="shared" si="221"/>
        <v>PREESCOLAR</v>
      </c>
      <c r="B1328" s="26" t="str">
        <f>"09PJN1160X"</f>
        <v>09PJN1160X</v>
      </c>
      <c r="C1328" s="26" t="str">
        <f>"COLEGIO DEL VALLE DE MEXICO SECCION PREESCOLAR                                                      "</f>
        <v xml:space="preserve">COLEGIO DEL VALLE DE MEXICO SECCION PREESCOLAR                                                      </v>
      </c>
      <c r="D1328" s="26" t="str">
        <f t="shared" si="219"/>
        <v>MATUTINO</v>
      </c>
      <c r="E1328" s="26" t="str">
        <f>"CARRASCO NO. 20                                                                 "</f>
        <v xml:space="preserve">CARRASCO NO. 20                                                                 </v>
      </c>
      <c r="F1328" s="26" t="str">
        <f>"TORIELLO GUERRA                                                                                                                             "</f>
        <v xml:space="preserve">TORIELLO GUERRA                                                                                                                             </v>
      </c>
      <c r="G1328" s="26" t="str">
        <f t="shared" si="232"/>
        <v xml:space="preserve">TLALPAN                                                                         </v>
      </c>
      <c r="H1328" s="26" t="str">
        <f>"222"</f>
        <v>222</v>
      </c>
      <c r="I1328" s="26" t="str">
        <f t="shared" si="224"/>
        <v>00</v>
      </c>
      <c r="J1328" s="26" t="str">
        <f t="shared" si="233"/>
        <v xml:space="preserve">35 </v>
      </c>
      <c r="K1328" s="26" t="str">
        <f t="shared" si="228"/>
        <v>EP</v>
      </c>
      <c r="L1328" s="26" t="str">
        <f t="shared" si="229"/>
        <v>DGOSE</v>
      </c>
      <c r="M1328" s="26" t="str">
        <f t="shared" si="220"/>
        <v>PARTICULAR</v>
      </c>
      <c r="N1328" s="26">
        <v>49</v>
      </c>
      <c r="O1328" s="26">
        <v>24</v>
      </c>
      <c r="P1328" s="26">
        <v>25</v>
      </c>
      <c r="Q1328" s="26">
        <v>3</v>
      </c>
      <c r="R1328" s="26">
        <v>1</v>
      </c>
      <c r="S1328" s="26">
        <v>3</v>
      </c>
      <c r="T1328" s="26">
        <v>7</v>
      </c>
      <c r="U1328" s="26">
        <v>11</v>
      </c>
      <c r="V1328" s="26">
        <v>1</v>
      </c>
      <c r="W1328" s="26"/>
    </row>
    <row r="1329" spans="1:23" x14ac:dyDescent="0.25">
      <c r="A1329" s="26" t="str">
        <f t="shared" si="221"/>
        <v>PREESCOLAR</v>
      </c>
      <c r="B1329" s="26" t="str">
        <f>"09PJN1161W"</f>
        <v>09PJN1161W</v>
      </c>
      <c r="C1329" s="26" t="str">
        <f>"JARDIN DE NIÑOS LA PAZ                                                                              "</f>
        <v xml:space="preserve">JARDIN DE NIÑOS LA PAZ                                                                              </v>
      </c>
      <c r="D1329" s="26" t="str">
        <f t="shared" si="219"/>
        <v>MATUTINO</v>
      </c>
      <c r="E1329" s="26" t="str">
        <f>"PROLONGACION 5 DE MAYO NO. 283                                                  "</f>
        <v xml:space="preserve">PROLONGACION 5 DE MAYO NO. 283                                                  </v>
      </c>
      <c r="F1329" s="26" t="str">
        <f>"SAN PEDRO MARTIR                                                                                                                            "</f>
        <v xml:space="preserve">SAN PEDRO MARTIR                                                                                                                            </v>
      </c>
      <c r="G1329" s="26" t="str">
        <f t="shared" si="232"/>
        <v xml:space="preserve">TLALPAN                                                                         </v>
      </c>
      <c r="H1329" s="26" t="str">
        <f>"062"</f>
        <v>062</v>
      </c>
      <c r="I1329" s="26" t="str">
        <f t="shared" si="224"/>
        <v>00</v>
      </c>
      <c r="J1329" s="26" t="str">
        <f t="shared" si="233"/>
        <v xml:space="preserve">35 </v>
      </c>
      <c r="K1329" s="26" t="str">
        <f t="shared" si="228"/>
        <v>EP</v>
      </c>
      <c r="L1329" s="26" t="str">
        <f t="shared" si="229"/>
        <v>DGOSE</v>
      </c>
      <c r="M1329" s="26" t="str">
        <f t="shared" si="220"/>
        <v>PARTICULAR</v>
      </c>
      <c r="N1329" s="26">
        <v>44</v>
      </c>
      <c r="O1329" s="26">
        <v>22</v>
      </c>
      <c r="P1329" s="26">
        <v>22</v>
      </c>
      <c r="Q1329" s="26">
        <v>3</v>
      </c>
      <c r="R1329" s="26">
        <v>1</v>
      </c>
      <c r="S1329" s="26">
        <v>3</v>
      </c>
      <c r="T1329" s="26">
        <v>7</v>
      </c>
      <c r="U1329" s="26">
        <v>11</v>
      </c>
      <c r="V1329" s="26">
        <v>1</v>
      </c>
      <c r="W1329" s="26"/>
    </row>
    <row r="1330" spans="1:23" x14ac:dyDescent="0.25">
      <c r="A1330" s="26" t="str">
        <f t="shared" si="221"/>
        <v>PREESCOLAR</v>
      </c>
      <c r="B1330" s="26" t="str">
        <f>"09PJN1166R"</f>
        <v>09PJN1166R</v>
      </c>
      <c r="C1330" s="26" t="str">
        <f>"JARDIN DE NIÑOS FRAY SERVANDO TERESA DE MIER                                                        "</f>
        <v xml:space="preserve">JARDIN DE NIÑOS FRAY SERVANDO TERESA DE MIER                                                        </v>
      </c>
      <c r="D1330" s="26" t="str">
        <f t="shared" si="219"/>
        <v>MATUTINO</v>
      </c>
      <c r="E1330" s="26" t="str">
        <f>"TINUM NO. 334                                                                   "</f>
        <v xml:space="preserve">TINUM NO. 334                                                                   </v>
      </c>
      <c r="F1330" s="26" t="str">
        <f>"PEDREGAL DE SAN NICOLAS                                                                                                                     "</f>
        <v xml:space="preserve">PEDREGAL DE SAN NICOLAS                                                                                                                     </v>
      </c>
      <c r="G1330" s="26" t="str">
        <f t="shared" si="232"/>
        <v xml:space="preserve">TLALPAN                                                                         </v>
      </c>
      <c r="H1330" s="26" t="str">
        <f>"135"</f>
        <v>135</v>
      </c>
      <c r="I1330" s="26" t="str">
        <f t="shared" si="224"/>
        <v>00</v>
      </c>
      <c r="J1330" s="26" t="str">
        <f t="shared" si="233"/>
        <v xml:space="preserve">35 </v>
      </c>
      <c r="K1330" s="26" t="str">
        <f t="shared" si="228"/>
        <v>EP</v>
      </c>
      <c r="L1330" s="26" t="str">
        <f t="shared" si="229"/>
        <v>DGOSE</v>
      </c>
      <c r="M1330" s="26" t="str">
        <f t="shared" si="220"/>
        <v>PARTICULAR</v>
      </c>
      <c r="N1330" s="26">
        <v>44</v>
      </c>
      <c r="O1330" s="26">
        <v>21</v>
      </c>
      <c r="P1330" s="26">
        <v>23</v>
      </c>
      <c r="Q1330" s="26">
        <v>3</v>
      </c>
      <c r="R1330" s="26">
        <v>1</v>
      </c>
      <c r="S1330" s="26">
        <v>3</v>
      </c>
      <c r="T1330" s="26">
        <v>3</v>
      </c>
      <c r="U1330" s="26">
        <v>7</v>
      </c>
      <c r="V1330" s="26">
        <v>1</v>
      </c>
      <c r="W1330" s="26"/>
    </row>
    <row r="1331" spans="1:23" x14ac:dyDescent="0.25">
      <c r="A1331" s="26" t="str">
        <f t="shared" si="221"/>
        <v>PREESCOLAR</v>
      </c>
      <c r="B1331" s="26" t="str">
        <f>"09PJN1169O"</f>
        <v>09PJN1169O</v>
      </c>
      <c r="C1331" s="26" t="str">
        <f>"COLEGIO ALEMAN ALEXANDER VON HUMBOLDT                                                               "</f>
        <v xml:space="preserve">COLEGIO ALEMAN ALEXANDER VON HUMBOLDT                                                               </v>
      </c>
      <c r="D1331" s="26" t="str">
        <f t="shared" si="219"/>
        <v>MATUTINO</v>
      </c>
      <c r="E1331" s="26" t="str">
        <f>"REAL A XOCHITEPEC NO. 120                                                       "</f>
        <v xml:space="preserve">REAL A XOCHITEPEC NO. 120                                                       </v>
      </c>
      <c r="F1331" s="26" t="str">
        <f>"TEPEPAN AMPLIACION                                                                                                                          "</f>
        <v xml:space="preserve">TEPEPAN AMPLIACION                                                                                                                          </v>
      </c>
      <c r="G1331" s="26" t="str">
        <f>"XOCHIMILCO                                                                      "</f>
        <v xml:space="preserve">XOCHIMILCO                                                                      </v>
      </c>
      <c r="H1331" s="26" t="str">
        <f>"081"</f>
        <v>081</v>
      </c>
      <c r="I1331" s="26" t="str">
        <f t="shared" si="224"/>
        <v>00</v>
      </c>
      <c r="J1331" s="26" t="str">
        <f t="shared" si="233"/>
        <v xml:space="preserve">35 </v>
      </c>
      <c r="K1331" s="26" t="str">
        <f t="shared" si="228"/>
        <v>EP</v>
      </c>
      <c r="L1331" s="26" t="str">
        <f t="shared" si="229"/>
        <v>DGOSE</v>
      </c>
      <c r="M1331" s="26" t="str">
        <f t="shared" si="220"/>
        <v>PARTICULAR</v>
      </c>
      <c r="N1331" s="26">
        <v>161</v>
      </c>
      <c r="O1331" s="26">
        <v>90</v>
      </c>
      <c r="P1331" s="26">
        <v>71</v>
      </c>
      <c r="Q1331" s="26">
        <v>7</v>
      </c>
      <c r="R1331" s="26">
        <v>1</v>
      </c>
      <c r="S1331" s="26">
        <v>6</v>
      </c>
      <c r="T1331" s="26">
        <v>11</v>
      </c>
      <c r="U1331" s="26">
        <v>18</v>
      </c>
      <c r="V1331" s="26">
        <v>1</v>
      </c>
      <c r="W1331" s="26"/>
    </row>
    <row r="1332" spans="1:23" x14ac:dyDescent="0.25">
      <c r="A1332" s="26" t="str">
        <f t="shared" si="221"/>
        <v>PREESCOLAR</v>
      </c>
      <c r="B1332" s="26" t="str">
        <f>"09PJN1180K"</f>
        <v>09PJN1180K</v>
      </c>
      <c r="C1332" s="26" t="str">
        <f>"CENTRO EDUCATIVO MEXICO                                                                             "</f>
        <v xml:space="preserve">CENTRO EDUCATIVO MEXICO                                                                             </v>
      </c>
      <c r="D1332" s="26" t="str">
        <f t="shared" si="219"/>
        <v>MATUTINO</v>
      </c>
      <c r="E1332" s="26" t="str">
        <f>"ELEFANTE NO. 102                                                                "</f>
        <v xml:space="preserve">ELEFANTE NO. 102                                                                </v>
      </c>
      <c r="F1332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1332" s="26" t="str">
        <f>"BENITO JUAREZ                                                                   "</f>
        <v xml:space="preserve">BENITO JUAREZ                                                                   </v>
      </c>
      <c r="H1332" s="26" t="str">
        <f>"110"</f>
        <v>110</v>
      </c>
      <c r="I1332" s="26" t="str">
        <f t="shared" si="224"/>
        <v>00</v>
      </c>
      <c r="J1332" s="26" t="str">
        <f>"33 "</f>
        <v xml:space="preserve">33 </v>
      </c>
      <c r="K1332" s="26" t="str">
        <f t="shared" si="228"/>
        <v>EP</v>
      </c>
      <c r="L1332" s="26" t="str">
        <f t="shared" si="229"/>
        <v>DGOSE</v>
      </c>
      <c r="M1332" s="26" t="str">
        <f t="shared" si="220"/>
        <v>PARTICULAR</v>
      </c>
      <c r="N1332" s="26">
        <v>5</v>
      </c>
      <c r="O1332" s="26">
        <v>3</v>
      </c>
      <c r="P1332" s="26">
        <v>2</v>
      </c>
      <c r="Q1332" s="26">
        <v>3</v>
      </c>
      <c r="R1332" s="26">
        <v>1</v>
      </c>
      <c r="S1332" s="26">
        <v>2</v>
      </c>
      <c r="T1332" s="26">
        <v>7</v>
      </c>
      <c r="U1332" s="26">
        <v>10</v>
      </c>
      <c r="V1332" s="26">
        <v>1</v>
      </c>
      <c r="W1332" s="26"/>
    </row>
    <row r="1333" spans="1:23" x14ac:dyDescent="0.25">
      <c r="A1333" s="26" t="str">
        <f t="shared" si="221"/>
        <v>PREESCOLAR</v>
      </c>
      <c r="B1333" s="26" t="str">
        <f>"09PJN1186E"</f>
        <v>09PJN1186E</v>
      </c>
      <c r="C1333" s="26" t="str">
        <f>"COLEGIO ALCALA                                                                                      "</f>
        <v xml:space="preserve">COLEGIO ALCALA                                                                                      </v>
      </c>
      <c r="D1333" s="26" t="str">
        <f t="shared" si="219"/>
        <v>MATUTINO</v>
      </c>
      <c r="E1333" s="26" t="str">
        <f>"AV. 3 NO. 61                                                                    "</f>
        <v xml:space="preserve">AV. 3 NO. 61                                                                    </v>
      </c>
      <c r="F1333" s="26" t="str">
        <f>"SAN PEDRO DE LOS PINOS                                                                                                                      "</f>
        <v xml:space="preserve">SAN PEDRO DE LOS PINOS                                                                                                                      </v>
      </c>
      <c r="G1333" s="26" t="str">
        <f>"BENITO JUAREZ                                                                   "</f>
        <v xml:space="preserve">BENITO JUAREZ                                                                   </v>
      </c>
      <c r="H1333" s="26" t="str">
        <f>"032"</f>
        <v>032</v>
      </c>
      <c r="I1333" s="26" t="str">
        <f t="shared" si="224"/>
        <v>00</v>
      </c>
      <c r="J1333" s="26" t="str">
        <f>"33 "</f>
        <v xml:space="preserve">33 </v>
      </c>
      <c r="K1333" s="26" t="str">
        <f t="shared" si="228"/>
        <v>EP</v>
      </c>
      <c r="L1333" s="26" t="str">
        <f t="shared" si="229"/>
        <v>DGOSE</v>
      </c>
      <c r="M1333" s="26" t="str">
        <f t="shared" si="220"/>
        <v>PARTICULAR</v>
      </c>
      <c r="N1333" s="26">
        <v>23</v>
      </c>
      <c r="O1333" s="26">
        <v>12</v>
      </c>
      <c r="P1333" s="26">
        <v>11</v>
      </c>
      <c r="Q1333" s="26">
        <v>3</v>
      </c>
      <c r="R1333" s="26">
        <v>1</v>
      </c>
      <c r="S1333" s="26">
        <v>3</v>
      </c>
      <c r="T1333" s="26">
        <v>9</v>
      </c>
      <c r="U1333" s="26">
        <v>13</v>
      </c>
      <c r="V1333" s="26">
        <v>1</v>
      </c>
      <c r="W1333" s="26"/>
    </row>
    <row r="1334" spans="1:23" x14ac:dyDescent="0.25">
      <c r="A1334" s="26" t="str">
        <f t="shared" si="221"/>
        <v>PREESCOLAR</v>
      </c>
      <c r="B1334" s="26" t="str">
        <f>"09PJN1191Q"</f>
        <v>09PJN1191Q</v>
      </c>
      <c r="C1334" s="26" t="str">
        <f>"JARDIN DE NIÑOS INSTITUTO SIMON BOLIVAR                                                             "</f>
        <v xml:space="preserve">JARDIN DE NIÑOS INSTITUTO SIMON BOLIVAR                                                             </v>
      </c>
      <c r="D1334" s="26" t="str">
        <f t="shared" si="219"/>
        <v>MATUTINO</v>
      </c>
      <c r="E1334" s="26" t="str">
        <f>"MAYORAZGO DE SOLIS NO. 15                                                       "</f>
        <v xml:space="preserve">MAYORAZGO DE SOLIS NO. 15                                                       </v>
      </c>
      <c r="F1334" s="26" t="str">
        <f>"XOCO                                                                                                                                        "</f>
        <v xml:space="preserve">XOCO                                                                                                                                        </v>
      </c>
      <c r="G1334" s="26" t="str">
        <f>"BENITO JUAREZ                                                                   "</f>
        <v xml:space="preserve">BENITO JUAREZ                                                                   </v>
      </c>
      <c r="H1334" s="26" t="str">
        <f>"234"</f>
        <v>234</v>
      </c>
      <c r="I1334" s="26" t="str">
        <f t="shared" si="224"/>
        <v>00</v>
      </c>
      <c r="J1334" s="26" t="str">
        <f>"33 "</f>
        <v xml:space="preserve">33 </v>
      </c>
      <c r="K1334" s="26" t="str">
        <f t="shared" si="228"/>
        <v>EP</v>
      </c>
      <c r="L1334" s="26" t="str">
        <f t="shared" si="229"/>
        <v>DGOSE</v>
      </c>
      <c r="M1334" s="26" t="str">
        <f t="shared" si="220"/>
        <v>PARTICULAR</v>
      </c>
      <c r="N1334" s="26">
        <v>113</v>
      </c>
      <c r="O1334" s="26">
        <v>57</v>
      </c>
      <c r="P1334" s="26">
        <v>56</v>
      </c>
      <c r="Q1334" s="26">
        <v>6</v>
      </c>
      <c r="R1334" s="26">
        <v>1</v>
      </c>
      <c r="S1334" s="26">
        <v>3</v>
      </c>
      <c r="T1334" s="26">
        <v>9</v>
      </c>
      <c r="U1334" s="26">
        <v>13</v>
      </c>
      <c r="V1334" s="26">
        <v>1</v>
      </c>
      <c r="W1334" s="26"/>
    </row>
    <row r="1335" spans="1:23" x14ac:dyDescent="0.25">
      <c r="A1335" s="26" t="str">
        <f t="shared" si="221"/>
        <v>PREESCOLAR</v>
      </c>
      <c r="B1335" s="26" t="str">
        <f>"09PJN1192P"</f>
        <v>09PJN1192P</v>
      </c>
      <c r="C1335" s="26" t="str">
        <f>"CENTRO PEDAGOGICO FROEBEL                                                                           "</f>
        <v xml:space="preserve">CENTRO PEDAGOGICO FROEBEL                                                                           </v>
      </c>
      <c r="D1335" s="26" t="str">
        <f t="shared" si="219"/>
        <v>MATUTINO</v>
      </c>
      <c r="E1335" s="26" t="str">
        <f>"HORACIO NELSON NO.159                                                           "</f>
        <v xml:space="preserve">HORACIO NELSON NO.159                                                           </v>
      </c>
      <c r="F1335" s="26" t="str">
        <f>"MODERNA                                                                                                                                     "</f>
        <v xml:space="preserve">MODERNA                                                                                                                                     </v>
      </c>
      <c r="G1335" s="26" t="str">
        <f>"BENITO JUAREZ                                                                   "</f>
        <v xml:space="preserve">BENITO JUAREZ                                                                   </v>
      </c>
      <c r="H1335" s="26" t="str">
        <f>"029"</f>
        <v>029</v>
      </c>
      <c r="I1335" s="26" t="str">
        <f t="shared" si="224"/>
        <v>00</v>
      </c>
      <c r="J1335" s="26" t="str">
        <f>"33 "</f>
        <v xml:space="preserve">33 </v>
      </c>
      <c r="K1335" s="26" t="str">
        <f t="shared" si="228"/>
        <v>EP</v>
      </c>
      <c r="L1335" s="26" t="str">
        <f t="shared" si="229"/>
        <v>DGOSE</v>
      </c>
      <c r="M1335" s="26" t="str">
        <f t="shared" si="220"/>
        <v>PARTICULAR</v>
      </c>
      <c r="N1335" s="26">
        <v>52</v>
      </c>
      <c r="O1335" s="26">
        <v>33</v>
      </c>
      <c r="P1335" s="26">
        <v>19</v>
      </c>
      <c r="Q1335" s="26">
        <v>4</v>
      </c>
      <c r="R1335" s="26">
        <v>1</v>
      </c>
      <c r="S1335" s="26">
        <v>2</v>
      </c>
      <c r="T1335" s="26">
        <v>10</v>
      </c>
      <c r="U1335" s="26">
        <v>13</v>
      </c>
      <c r="V1335" s="26">
        <v>1</v>
      </c>
      <c r="W1335" s="26"/>
    </row>
    <row r="1336" spans="1:23" x14ac:dyDescent="0.25">
      <c r="A1336" s="26" t="str">
        <f t="shared" si="221"/>
        <v>PREESCOLAR</v>
      </c>
      <c r="B1336" s="26" t="str">
        <f>"09PJN1208Z"</f>
        <v>09PJN1208Z</v>
      </c>
      <c r="C1336" s="26" t="str">
        <f>"MEXICO NUEVO                                                                                        "</f>
        <v xml:space="preserve">MEXICO NUEVO                                                                                        </v>
      </c>
      <c r="D1336" s="26" t="str">
        <f t="shared" si="219"/>
        <v>MATUTINO</v>
      </c>
      <c r="E1336" s="26" t="str">
        <f>"ESTAFETAS NO. 51                                                                "</f>
        <v xml:space="preserve">ESTAFETAS NO. 51                                                                </v>
      </c>
      <c r="F1336" s="26" t="str">
        <f>"POSTAL                                                                                                                                      "</f>
        <v xml:space="preserve">POSTAL                                                                                                                                      </v>
      </c>
      <c r="G1336" s="26" t="str">
        <f>"BENITO JUAREZ                                                                   "</f>
        <v xml:space="preserve">BENITO JUAREZ                                                                   </v>
      </c>
      <c r="H1336" s="26" t="str">
        <f>"230"</f>
        <v>230</v>
      </c>
      <c r="I1336" s="26" t="str">
        <f t="shared" si="224"/>
        <v>00</v>
      </c>
      <c r="J1336" s="26" t="str">
        <f>"33 "</f>
        <v xml:space="preserve">33 </v>
      </c>
      <c r="K1336" s="26" t="str">
        <f t="shared" si="228"/>
        <v>EP</v>
      </c>
      <c r="L1336" s="26" t="str">
        <f t="shared" si="229"/>
        <v>DGOSE</v>
      </c>
      <c r="M1336" s="26" t="str">
        <f t="shared" si="220"/>
        <v>PARTICULAR</v>
      </c>
      <c r="N1336" s="26">
        <v>43</v>
      </c>
      <c r="O1336" s="26">
        <v>20</v>
      </c>
      <c r="P1336" s="26">
        <v>23</v>
      </c>
      <c r="Q1336" s="26">
        <v>3</v>
      </c>
      <c r="R1336" s="26">
        <v>1</v>
      </c>
      <c r="S1336" s="26">
        <v>3</v>
      </c>
      <c r="T1336" s="26">
        <v>10</v>
      </c>
      <c r="U1336" s="26">
        <v>14</v>
      </c>
      <c r="V1336" s="26">
        <v>1</v>
      </c>
      <c r="W1336" s="26"/>
    </row>
    <row r="1337" spans="1:23" x14ac:dyDescent="0.25">
      <c r="A1337" s="26" t="str">
        <f t="shared" si="221"/>
        <v>PREESCOLAR</v>
      </c>
      <c r="B1337" s="26" t="str">
        <f>"09PJN1212M"</f>
        <v>09PJN1212M</v>
      </c>
      <c r="C1337" s="26" t="str">
        <f>"IDEA                                                                                                "</f>
        <v xml:space="preserve">IDEA                                                                                                </v>
      </c>
      <c r="D1337" s="26" t="str">
        <f t="shared" si="219"/>
        <v>MATUTINO</v>
      </c>
      <c r="E1337" s="26" t="s">
        <v>94</v>
      </c>
      <c r="F1337" s="26" t="str">
        <f>"CONDESA                                                                                                                                     "</f>
        <v xml:space="preserve">CONDESA                                                                                                                                     </v>
      </c>
      <c r="G1337" s="26" t="s">
        <v>4128</v>
      </c>
      <c r="H1337" s="26" t="str">
        <f>"020"</f>
        <v>020</v>
      </c>
      <c r="I1337" s="26" t="str">
        <f t="shared" si="224"/>
        <v>00</v>
      </c>
      <c r="J1337" s="26" t="str">
        <f t="shared" ref="J1337:J1350" si="234">"32 "</f>
        <v xml:space="preserve">32 </v>
      </c>
      <c r="K1337" s="26" t="str">
        <f t="shared" si="228"/>
        <v>EP</v>
      </c>
      <c r="L1337" s="26" t="str">
        <f t="shared" si="229"/>
        <v>DGOSE</v>
      </c>
      <c r="M1337" s="26" t="str">
        <f t="shared" si="220"/>
        <v>PARTICULAR</v>
      </c>
      <c r="N1337" s="26">
        <v>31</v>
      </c>
      <c r="O1337" s="26">
        <v>19</v>
      </c>
      <c r="P1337" s="26">
        <v>12</v>
      </c>
      <c r="Q1337" s="26">
        <v>2</v>
      </c>
      <c r="R1337" s="26">
        <v>1</v>
      </c>
      <c r="S1337" s="26">
        <v>2</v>
      </c>
      <c r="T1337" s="26">
        <v>3</v>
      </c>
      <c r="U1337" s="26">
        <v>6</v>
      </c>
      <c r="V1337" s="26">
        <v>1</v>
      </c>
      <c r="W1337" s="26"/>
    </row>
    <row r="1338" spans="1:23" x14ac:dyDescent="0.25">
      <c r="A1338" s="26" t="str">
        <f t="shared" si="221"/>
        <v>PREESCOLAR</v>
      </c>
      <c r="B1338" s="26" t="str">
        <f>"09PJN1217H"</f>
        <v>09PJN1217H</v>
      </c>
      <c r="C1338" s="26" t="str">
        <f>"JARDIN DE NIÑOS REINA MARIA                                                                         "</f>
        <v xml:space="preserve">JARDIN DE NIÑOS REINA MARIA                                                                         </v>
      </c>
      <c r="D1338" s="26" t="str">
        <f t="shared" si="219"/>
        <v>MATUTINO</v>
      </c>
      <c r="E1338" s="26" t="str">
        <f>"CALLEJON OBRAJE NO. 23                                                          "</f>
        <v xml:space="preserve">CALLEJON OBRAJE NO. 23                                                          </v>
      </c>
      <c r="F1338" s="26" t="str">
        <f>"GUERRERO                                                                                                                                    "</f>
        <v xml:space="preserve">GUERRERO                                                                                                                                    </v>
      </c>
      <c r="G1338" s="26" t="s">
        <v>4128</v>
      </c>
      <c r="H1338" s="26" t="str">
        <f>"205"</f>
        <v>205</v>
      </c>
      <c r="I1338" s="26" t="str">
        <f t="shared" si="224"/>
        <v>00</v>
      </c>
      <c r="J1338" s="26" t="str">
        <f t="shared" si="234"/>
        <v xml:space="preserve">32 </v>
      </c>
      <c r="K1338" s="26" t="str">
        <f t="shared" si="228"/>
        <v>EP</v>
      </c>
      <c r="L1338" s="26" t="str">
        <f t="shared" si="229"/>
        <v>DGOSE</v>
      </c>
      <c r="M1338" s="26" t="str">
        <f t="shared" si="220"/>
        <v>PARTICULAR</v>
      </c>
      <c r="N1338" s="26">
        <v>73</v>
      </c>
      <c r="O1338" s="26">
        <v>40</v>
      </c>
      <c r="P1338" s="26">
        <v>33</v>
      </c>
      <c r="Q1338" s="26">
        <v>3</v>
      </c>
      <c r="R1338" s="26">
        <v>2</v>
      </c>
      <c r="S1338" s="26">
        <v>3</v>
      </c>
      <c r="T1338" s="26">
        <v>7</v>
      </c>
      <c r="U1338" s="26">
        <v>12</v>
      </c>
      <c r="V1338" s="26">
        <v>1</v>
      </c>
      <c r="W1338" s="26"/>
    </row>
    <row r="1339" spans="1:23" x14ac:dyDescent="0.25">
      <c r="A1339" s="26" t="str">
        <f t="shared" si="221"/>
        <v>PREESCOLAR</v>
      </c>
      <c r="B1339" s="26" t="str">
        <f>"09PJN1224R"</f>
        <v>09PJN1224R</v>
      </c>
      <c r="C1339" s="26" t="str">
        <f>"CUAUHTÉMOC                                                                                          "</f>
        <v xml:space="preserve">CUAUHTÉMOC                                                                                          </v>
      </c>
      <c r="D1339" s="26" t="str">
        <f t="shared" si="219"/>
        <v>MATUTINO</v>
      </c>
      <c r="E1339" s="26" t="str">
        <f>"BELISARIO DOMINGUEZ NO. 36 Y 38                                                 "</f>
        <v xml:space="preserve">BELISARIO DOMINGUEZ NO. 36 Y 38                                                 </v>
      </c>
      <c r="F1339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1339" s="26" t="s">
        <v>4128</v>
      </c>
      <c r="H1339" s="26" t="str">
        <f>"205"</f>
        <v>205</v>
      </c>
      <c r="I1339" s="26" t="str">
        <f t="shared" si="224"/>
        <v>00</v>
      </c>
      <c r="J1339" s="26" t="str">
        <f t="shared" si="234"/>
        <v xml:space="preserve">32 </v>
      </c>
      <c r="K1339" s="26" t="str">
        <f t="shared" si="228"/>
        <v>EP</v>
      </c>
      <c r="L1339" s="26" t="str">
        <f t="shared" si="229"/>
        <v>DGOSE</v>
      </c>
      <c r="M1339" s="26" t="str">
        <f t="shared" si="220"/>
        <v>PARTICULAR</v>
      </c>
      <c r="N1339" s="26">
        <v>48</v>
      </c>
      <c r="O1339" s="26">
        <v>20</v>
      </c>
      <c r="P1339" s="26">
        <v>28</v>
      </c>
      <c r="Q1339" s="26">
        <v>3</v>
      </c>
      <c r="R1339" s="26">
        <v>1</v>
      </c>
      <c r="S1339" s="26">
        <v>3</v>
      </c>
      <c r="T1339" s="26">
        <v>5</v>
      </c>
      <c r="U1339" s="26">
        <v>9</v>
      </c>
      <c r="V1339" s="26">
        <v>1</v>
      </c>
      <c r="W1339" s="26"/>
    </row>
    <row r="1340" spans="1:23" x14ac:dyDescent="0.25">
      <c r="A1340" s="26" t="str">
        <f t="shared" si="221"/>
        <v>PREESCOLAR</v>
      </c>
      <c r="B1340" s="26" t="str">
        <f>"09PJN1225Q"</f>
        <v>09PJN1225Q</v>
      </c>
      <c r="C1340" s="26" t="str">
        <f>"MARIA ERNESTINA LARRAINZAR                                                                          "</f>
        <v xml:space="preserve">MARIA ERNESTINA LARRAINZAR                                                                          </v>
      </c>
      <c r="D1340" s="26" t="str">
        <f t="shared" si="219"/>
        <v>MATUTINO</v>
      </c>
      <c r="E1340" s="26" t="str">
        <f>"REP. DE NICARAGUA No. 56                                                        "</f>
        <v xml:space="preserve">REP. DE NICARAGUA No. 56                                                        </v>
      </c>
      <c r="F1340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1340" s="26" t="s">
        <v>4128</v>
      </c>
      <c r="H1340" s="26" t="str">
        <f>"205"</f>
        <v>205</v>
      </c>
      <c r="I1340" s="26" t="str">
        <f t="shared" si="224"/>
        <v>00</v>
      </c>
      <c r="J1340" s="26" t="str">
        <f t="shared" si="234"/>
        <v xml:space="preserve">32 </v>
      </c>
      <c r="K1340" s="26" t="str">
        <f t="shared" si="228"/>
        <v>EP</v>
      </c>
      <c r="L1340" s="26" t="str">
        <f t="shared" si="229"/>
        <v>DGOSE</v>
      </c>
      <c r="M1340" s="26" t="str">
        <f t="shared" si="220"/>
        <v>PARTICULAR</v>
      </c>
      <c r="N1340" s="26">
        <v>20</v>
      </c>
      <c r="O1340" s="26">
        <v>13</v>
      </c>
      <c r="P1340" s="26">
        <v>7</v>
      </c>
      <c r="Q1340" s="26">
        <v>3</v>
      </c>
      <c r="R1340" s="26">
        <v>1</v>
      </c>
      <c r="S1340" s="26">
        <v>3</v>
      </c>
      <c r="T1340" s="26">
        <v>7</v>
      </c>
      <c r="U1340" s="26">
        <v>11</v>
      </c>
      <c r="V1340" s="26">
        <v>1</v>
      </c>
      <c r="W1340" s="26"/>
    </row>
    <row r="1341" spans="1:23" x14ac:dyDescent="0.25">
      <c r="A1341" s="26" t="str">
        <f t="shared" si="221"/>
        <v>PREESCOLAR</v>
      </c>
      <c r="B1341" s="26" t="str">
        <f>"09PJN1232Z"</f>
        <v>09PJN1232Z</v>
      </c>
      <c r="C1341" s="26" t="str">
        <f>"REINA MARIA                                                                                         "</f>
        <v xml:space="preserve">REINA MARIA                                                                                         </v>
      </c>
      <c r="D1341" s="26" t="str">
        <f t="shared" ref="D1341:D1399" si="235">"MATUTINO"</f>
        <v>MATUTINO</v>
      </c>
      <c r="E1341" s="26" t="str">
        <f>"RIO SENA NO. 28                                                                 "</f>
        <v xml:space="preserve">RIO SENA NO. 28                                                                 </v>
      </c>
      <c r="F1341" s="26" t="str">
        <f>"CUAUHTEMOC                                                                                                                                  "</f>
        <v xml:space="preserve">CUAUHTEMOC                                                                                                                                  </v>
      </c>
      <c r="G1341" s="26" t="s">
        <v>4128</v>
      </c>
      <c r="H1341" s="26" t="str">
        <f>"020"</f>
        <v>020</v>
      </c>
      <c r="I1341" s="26" t="str">
        <f t="shared" si="224"/>
        <v>00</v>
      </c>
      <c r="J1341" s="26" t="str">
        <f t="shared" si="234"/>
        <v xml:space="preserve">32 </v>
      </c>
      <c r="K1341" s="26" t="str">
        <f t="shared" si="228"/>
        <v>EP</v>
      </c>
      <c r="L1341" s="26" t="str">
        <f t="shared" si="229"/>
        <v>DGOSE</v>
      </c>
      <c r="M1341" s="26" t="str">
        <f t="shared" si="220"/>
        <v>PARTICULAR</v>
      </c>
      <c r="N1341" s="26">
        <v>123</v>
      </c>
      <c r="O1341" s="26">
        <v>60</v>
      </c>
      <c r="P1341" s="26">
        <v>63</v>
      </c>
      <c r="Q1341" s="26">
        <v>7</v>
      </c>
      <c r="R1341" s="26">
        <v>1</v>
      </c>
      <c r="S1341" s="26">
        <v>7</v>
      </c>
      <c r="T1341" s="26">
        <v>13</v>
      </c>
      <c r="U1341" s="26">
        <v>21</v>
      </c>
      <c r="V1341" s="26">
        <v>1</v>
      </c>
      <c r="W1341" s="26"/>
    </row>
    <row r="1342" spans="1:23" x14ac:dyDescent="0.25">
      <c r="A1342" s="26" t="str">
        <f t="shared" si="221"/>
        <v>PREESCOLAR</v>
      </c>
      <c r="B1342" s="26" t="str">
        <f>"09PJN1233Z"</f>
        <v>09PJN1233Z</v>
      </c>
      <c r="C1342" s="26" t="str">
        <f>"ESCUELA MANUEL ACOSTA                                                                               "</f>
        <v xml:space="preserve">ESCUELA MANUEL ACOSTA                                                                               </v>
      </c>
      <c r="D1342" s="26" t="str">
        <f t="shared" si="235"/>
        <v>MATUTINO</v>
      </c>
      <c r="E1342" s="26" t="str">
        <f>"RIO PANUCO NO. 71                                                               "</f>
        <v xml:space="preserve">RIO PANUCO NO. 71                                                               </v>
      </c>
      <c r="F1342" s="26" t="str">
        <f>"CUAUHTEMOC                                                                                                                                  "</f>
        <v xml:space="preserve">CUAUHTEMOC                                                                                                                                  </v>
      </c>
      <c r="G1342" s="26" t="s">
        <v>4128</v>
      </c>
      <c r="H1342" s="26" t="str">
        <f>"020"</f>
        <v>020</v>
      </c>
      <c r="I1342" s="26" t="str">
        <f t="shared" si="224"/>
        <v>00</v>
      </c>
      <c r="J1342" s="26" t="str">
        <f t="shared" si="234"/>
        <v xml:space="preserve">32 </v>
      </c>
      <c r="K1342" s="26" t="str">
        <f t="shared" si="228"/>
        <v>EP</v>
      </c>
      <c r="L1342" s="26" t="str">
        <f t="shared" si="229"/>
        <v>DGOSE</v>
      </c>
      <c r="M1342" s="26" t="str">
        <f t="shared" si="220"/>
        <v>PARTICULAR</v>
      </c>
      <c r="N1342" s="26">
        <v>174</v>
      </c>
      <c r="O1342" s="26">
        <v>76</v>
      </c>
      <c r="P1342" s="26">
        <v>98</v>
      </c>
      <c r="Q1342" s="26">
        <v>10</v>
      </c>
      <c r="R1342" s="26">
        <v>1</v>
      </c>
      <c r="S1342" s="26">
        <v>10</v>
      </c>
      <c r="T1342" s="26">
        <v>10</v>
      </c>
      <c r="U1342" s="26">
        <v>21</v>
      </c>
      <c r="V1342" s="26">
        <v>1</v>
      </c>
      <c r="W1342" s="26"/>
    </row>
    <row r="1343" spans="1:23" x14ac:dyDescent="0.25">
      <c r="A1343" s="26" t="str">
        <f t="shared" si="221"/>
        <v>PREESCOLAR</v>
      </c>
      <c r="B1343" s="26" t="str">
        <f>"09PJN1234Y"</f>
        <v>09PJN1234Y</v>
      </c>
      <c r="C1343" s="26" t="str">
        <f>"ESCUELA INGLES KENT                                                                                 "</f>
        <v xml:space="preserve">ESCUELA INGLES KENT                                                                                 </v>
      </c>
      <c r="D1343" s="26" t="str">
        <f t="shared" si="235"/>
        <v>MATUTINO</v>
      </c>
      <c r="E1343" s="26" t="str">
        <f>"RIO DUERO NO. 50                                                                "</f>
        <v xml:space="preserve">RIO DUERO NO. 50                                                                </v>
      </c>
      <c r="F1343" s="26" t="str">
        <f>"CUAUHTEMOC                                                                                                                                  "</f>
        <v xml:space="preserve">CUAUHTEMOC                                                                                                                                  </v>
      </c>
      <c r="G1343" s="26" t="s">
        <v>4128</v>
      </c>
      <c r="H1343" s="26" t="str">
        <f>"202"</f>
        <v>202</v>
      </c>
      <c r="I1343" s="26" t="str">
        <f t="shared" si="224"/>
        <v>00</v>
      </c>
      <c r="J1343" s="26" t="str">
        <f t="shared" si="234"/>
        <v xml:space="preserve">32 </v>
      </c>
      <c r="K1343" s="26" t="str">
        <f t="shared" si="228"/>
        <v>EP</v>
      </c>
      <c r="L1343" s="26" t="str">
        <f t="shared" si="229"/>
        <v>DGOSE</v>
      </c>
      <c r="M1343" s="26" t="str">
        <f t="shared" ref="M1343:M1406" si="236">"PARTICULAR"</f>
        <v>PARTICULAR</v>
      </c>
      <c r="N1343" s="26">
        <v>56</v>
      </c>
      <c r="O1343" s="26">
        <v>23</v>
      </c>
      <c r="P1343" s="26">
        <v>33</v>
      </c>
      <c r="Q1343" s="26">
        <v>3</v>
      </c>
      <c r="R1343" s="26">
        <v>1</v>
      </c>
      <c r="S1343" s="26">
        <v>3</v>
      </c>
      <c r="T1343" s="26">
        <v>12</v>
      </c>
      <c r="U1343" s="26">
        <v>16</v>
      </c>
      <c r="V1343" s="26">
        <v>1</v>
      </c>
      <c r="W1343" s="26"/>
    </row>
    <row r="1344" spans="1:23" x14ac:dyDescent="0.25">
      <c r="A1344" s="26" t="str">
        <f t="shared" si="221"/>
        <v>PREESCOLAR</v>
      </c>
      <c r="B1344" s="26" t="str">
        <f>"09PJN1236W"</f>
        <v>09PJN1236W</v>
      </c>
      <c r="C1344" s="26" t="str">
        <f>"COLEGIO BILINGÜE  PROFR. ZEFERINO AGUIRRE                                                           "</f>
        <v xml:space="preserve">COLEGIO BILINGÜE  PROFR. ZEFERINO AGUIRRE                                                           </v>
      </c>
      <c r="D1344" s="26" t="str">
        <f t="shared" si="235"/>
        <v>MATUTINO</v>
      </c>
      <c r="E1344" s="26" t="str">
        <f>"SANTA MARIA LA RIBERA NO. 61                                                    "</f>
        <v xml:space="preserve">SANTA MARIA LA RIBERA NO. 61                                                    </v>
      </c>
      <c r="F1344" s="26" t="str">
        <f>"SANTA MARIA LA RIBERA                                                                                                                       "</f>
        <v xml:space="preserve">SANTA MARIA LA RIBERA                                                                                                                       </v>
      </c>
      <c r="G1344" s="26" t="s">
        <v>4128</v>
      </c>
      <c r="H1344" s="26" t="str">
        <f>"203"</f>
        <v>203</v>
      </c>
      <c r="I1344" s="26" t="str">
        <f t="shared" si="224"/>
        <v>00</v>
      </c>
      <c r="J1344" s="26" t="str">
        <f t="shared" si="234"/>
        <v xml:space="preserve">32 </v>
      </c>
      <c r="K1344" s="26" t="str">
        <f t="shared" si="228"/>
        <v>EP</v>
      </c>
      <c r="L1344" s="26" t="str">
        <f t="shared" si="229"/>
        <v>DGOSE</v>
      </c>
      <c r="M1344" s="26" t="str">
        <f t="shared" si="236"/>
        <v>PARTICULAR</v>
      </c>
      <c r="N1344" s="26">
        <v>31</v>
      </c>
      <c r="O1344" s="26">
        <v>15</v>
      </c>
      <c r="P1344" s="26">
        <v>16</v>
      </c>
      <c r="Q1344" s="26">
        <v>3</v>
      </c>
      <c r="R1344" s="26">
        <v>1</v>
      </c>
      <c r="S1344" s="26">
        <v>2</v>
      </c>
      <c r="T1344" s="26">
        <v>6</v>
      </c>
      <c r="U1344" s="26">
        <v>9</v>
      </c>
      <c r="V1344" s="26">
        <v>1</v>
      </c>
      <c r="W1344" s="26"/>
    </row>
    <row r="1345" spans="1:23" x14ac:dyDescent="0.25">
      <c r="A1345" s="26" t="str">
        <f t="shared" si="221"/>
        <v>PREESCOLAR</v>
      </c>
      <c r="B1345" s="26" t="str">
        <f>"09PJN1238U"</f>
        <v>09PJN1238U</v>
      </c>
      <c r="C1345" s="26" t="str">
        <f>"ESCUELA METROPOLITANA LA LUZ                                                                        "</f>
        <v xml:space="preserve">ESCUELA METROPOLITANA LA LUZ                                                                        </v>
      </c>
      <c r="D1345" s="26" t="str">
        <f t="shared" si="235"/>
        <v>MATUTINO</v>
      </c>
      <c r="E1345" s="26" t="str">
        <f>"NARANJO NO. 109                                                                 "</f>
        <v xml:space="preserve">NARANJO NO. 109                                                                 </v>
      </c>
      <c r="F1345" s="26" t="str">
        <f>"SANTA MARIA LA RIBERA                                                                                                                       "</f>
        <v xml:space="preserve">SANTA MARIA LA RIBERA                                                                                                                       </v>
      </c>
      <c r="G1345" s="26" t="s">
        <v>4128</v>
      </c>
      <c r="H1345" s="26" t="str">
        <f>"203"</f>
        <v>203</v>
      </c>
      <c r="I1345" s="26" t="str">
        <f t="shared" si="224"/>
        <v>00</v>
      </c>
      <c r="J1345" s="26" t="str">
        <f t="shared" si="234"/>
        <v xml:space="preserve">32 </v>
      </c>
      <c r="K1345" s="26" t="str">
        <f t="shared" si="228"/>
        <v>EP</v>
      </c>
      <c r="L1345" s="26" t="str">
        <f t="shared" si="229"/>
        <v>DGOSE</v>
      </c>
      <c r="M1345" s="26" t="str">
        <f t="shared" si="236"/>
        <v>PARTICULAR</v>
      </c>
      <c r="N1345" s="26">
        <v>48</v>
      </c>
      <c r="O1345" s="26">
        <v>29</v>
      </c>
      <c r="P1345" s="26">
        <v>19</v>
      </c>
      <c r="Q1345" s="26">
        <v>3</v>
      </c>
      <c r="R1345" s="26">
        <v>1</v>
      </c>
      <c r="S1345" s="26">
        <v>3</v>
      </c>
      <c r="T1345" s="26">
        <v>6</v>
      </c>
      <c r="U1345" s="26">
        <v>10</v>
      </c>
      <c r="V1345" s="26">
        <v>1</v>
      </c>
      <c r="W1345" s="26"/>
    </row>
    <row r="1346" spans="1:23" x14ac:dyDescent="0.25">
      <c r="A1346" s="26" t="str">
        <f t="shared" ref="A1346:A1409" si="237">"PREESCOLAR"</f>
        <v>PREESCOLAR</v>
      </c>
      <c r="B1346" s="26" t="str">
        <f>"09PJN1239T"</f>
        <v>09PJN1239T</v>
      </c>
      <c r="C1346" s="26" t="str">
        <f>"JARDIN DE NIÑOS ELIZABETH BROCK                                                                     "</f>
        <v xml:space="preserve">JARDIN DE NIÑOS ELIZABETH BROCK                                                                     </v>
      </c>
      <c r="D1346" s="26" t="str">
        <f t="shared" si="235"/>
        <v>MATUTINO</v>
      </c>
      <c r="E1346" s="26" t="str">
        <f>"SERAPIO RENDON NO. 97                                                           "</f>
        <v xml:space="preserve">SERAPIO RENDON NO. 97                                                           </v>
      </c>
      <c r="F1346" s="26" t="str">
        <f>"SAN RAFAEL                                                                                                                                  "</f>
        <v xml:space="preserve">SAN RAFAEL                                                                                                                                  </v>
      </c>
      <c r="G1346" s="26" t="s">
        <v>4128</v>
      </c>
      <c r="H1346" s="26" t="str">
        <f>"203"</f>
        <v>203</v>
      </c>
      <c r="I1346" s="26" t="str">
        <f t="shared" ref="I1346:I1409" si="238">"00"</f>
        <v>00</v>
      </c>
      <c r="J1346" s="26" t="str">
        <f t="shared" si="234"/>
        <v xml:space="preserve">32 </v>
      </c>
      <c r="K1346" s="26" t="str">
        <f t="shared" si="228"/>
        <v>EP</v>
      </c>
      <c r="L1346" s="26" t="str">
        <f t="shared" si="229"/>
        <v>DGOSE</v>
      </c>
      <c r="M1346" s="26" t="str">
        <f t="shared" si="236"/>
        <v>PARTICULAR</v>
      </c>
      <c r="N1346" s="26">
        <v>48</v>
      </c>
      <c r="O1346" s="26">
        <v>25</v>
      </c>
      <c r="P1346" s="26">
        <v>23</v>
      </c>
      <c r="Q1346" s="26">
        <v>3</v>
      </c>
      <c r="R1346" s="26">
        <v>1</v>
      </c>
      <c r="S1346" s="26">
        <v>2</v>
      </c>
      <c r="T1346" s="26">
        <v>5</v>
      </c>
      <c r="U1346" s="26">
        <v>8</v>
      </c>
      <c r="V1346" s="26">
        <v>1</v>
      </c>
      <c r="W1346" s="26"/>
    </row>
    <row r="1347" spans="1:23" x14ac:dyDescent="0.25">
      <c r="A1347" s="26" t="str">
        <f t="shared" si="237"/>
        <v>PREESCOLAR</v>
      </c>
      <c r="B1347" s="26" t="str">
        <f>"09PJN1241H"</f>
        <v>09PJN1241H</v>
      </c>
      <c r="C1347" s="26" t="str">
        <f>"COLEGIO NUEVA INFANCIA                                                                              "</f>
        <v xml:space="preserve">COLEGIO NUEVA INFANCIA                                                                              </v>
      </c>
      <c r="D1347" s="26" t="str">
        <f t="shared" si="235"/>
        <v>MATUTINO</v>
      </c>
      <c r="E1347" s="26" t="str">
        <f>"RIO SENA NO. 51                                                                 "</f>
        <v xml:space="preserve">RIO SENA NO. 51                                                                 </v>
      </c>
      <c r="F1347" s="26" t="str">
        <f>"CUAUHTEMOC                                                                                                                                  "</f>
        <v xml:space="preserve">CUAUHTEMOC                                                                                                                                  </v>
      </c>
      <c r="G1347" s="26" t="s">
        <v>4128</v>
      </c>
      <c r="H1347" s="26" t="str">
        <f>"020"</f>
        <v>020</v>
      </c>
      <c r="I1347" s="26" t="str">
        <f t="shared" si="238"/>
        <v>00</v>
      </c>
      <c r="J1347" s="26" t="str">
        <f t="shared" si="234"/>
        <v xml:space="preserve">32 </v>
      </c>
      <c r="K1347" s="26" t="str">
        <f t="shared" si="228"/>
        <v>EP</v>
      </c>
      <c r="L1347" s="26" t="str">
        <f t="shared" si="229"/>
        <v>DGOSE</v>
      </c>
      <c r="M1347" s="26" t="str">
        <f t="shared" si="236"/>
        <v>PARTICULAR</v>
      </c>
      <c r="N1347" s="26">
        <v>38</v>
      </c>
      <c r="O1347" s="26">
        <v>20</v>
      </c>
      <c r="P1347" s="26">
        <v>18</v>
      </c>
      <c r="Q1347" s="26">
        <v>3</v>
      </c>
      <c r="R1347" s="26">
        <v>1</v>
      </c>
      <c r="S1347" s="26">
        <v>3</v>
      </c>
      <c r="T1347" s="26">
        <v>5</v>
      </c>
      <c r="U1347" s="26">
        <v>9</v>
      </c>
      <c r="V1347" s="26">
        <v>1</v>
      </c>
      <c r="W1347" s="26"/>
    </row>
    <row r="1348" spans="1:23" x14ac:dyDescent="0.25">
      <c r="A1348" s="26" t="str">
        <f t="shared" si="237"/>
        <v>PREESCOLAR</v>
      </c>
      <c r="B1348" s="26" t="str">
        <f>"09PJN1267P"</f>
        <v>09PJN1267P</v>
      </c>
      <c r="C1348" s="26" t="str">
        <f>"COLEGIO TULUM                                                                                       "</f>
        <v xml:space="preserve">COLEGIO TULUM                                                                                       </v>
      </c>
      <c r="D1348" s="26" t="str">
        <f t="shared" si="235"/>
        <v>MATUTINO</v>
      </c>
      <c r="E1348" s="26" t="str">
        <f>"SHAKESPEARE NO. 81                                                              "</f>
        <v xml:space="preserve">SHAKESPEARE NO. 81                                                              </v>
      </c>
      <c r="F1348" s="26" t="str">
        <f>"ANZURES                                                                                                                                     "</f>
        <v xml:space="preserve">ANZURES                                                                                                                                     </v>
      </c>
      <c r="G1348" s="26" t="str">
        <f>"MIGUEL HIDALGO                                                                  "</f>
        <v xml:space="preserve">MIGUEL HIDALGO                                                                  </v>
      </c>
      <c r="H1348" s="26" t="str">
        <f>"207"</f>
        <v>207</v>
      </c>
      <c r="I1348" s="26" t="str">
        <f t="shared" si="238"/>
        <v>00</v>
      </c>
      <c r="J1348" s="26" t="str">
        <f t="shared" si="234"/>
        <v xml:space="preserve">32 </v>
      </c>
      <c r="K1348" s="26" t="str">
        <f t="shared" si="228"/>
        <v>EP</v>
      </c>
      <c r="L1348" s="26" t="str">
        <f t="shared" si="229"/>
        <v>DGOSE</v>
      </c>
      <c r="M1348" s="26" t="str">
        <f t="shared" si="236"/>
        <v>PARTICULAR</v>
      </c>
      <c r="N1348" s="26">
        <v>6</v>
      </c>
      <c r="O1348" s="26">
        <v>0</v>
      </c>
      <c r="P1348" s="26">
        <v>6</v>
      </c>
      <c r="Q1348" s="26">
        <v>2</v>
      </c>
      <c r="R1348" s="26">
        <v>1</v>
      </c>
      <c r="S1348" s="26">
        <v>1</v>
      </c>
      <c r="T1348" s="26">
        <v>3</v>
      </c>
      <c r="U1348" s="26">
        <v>5</v>
      </c>
      <c r="V1348" s="26">
        <v>1</v>
      </c>
      <c r="W1348" s="26"/>
    </row>
    <row r="1349" spans="1:23" x14ac:dyDescent="0.25">
      <c r="A1349" s="26" t="str">
        <f t="shared" si="237"/>
        <v>PREESCOLAR</v>
      </c>
      <c r="B1349" s="26" t="str">
        <f>"09PJN1268O"</f>
        <v>09PJN1268O</v>
      </c>
      <c r="C1349" s="26" t="str">
        <f>"INSTITUTO ESPERANZA                                                                                 "</f>
        <v xml:space="preserve">INSTITUTO ESPERANZA                                                                                 </v>
      </c>
      <c r="D1349" s="26" t="str">
        <f t="shared" si="235"/>
        <v>MATUTINO</v>
      </c>
      <c r="E1349" s="26" t="str">
        <f>"GOLFO DE MEXICO NO. 19                                                          "</f>
        <v xml:space="preserve">GOLFO DE MEXICO NO. 19                                                          </v>
      </c>
      <c r="F1349" s="26" t="str">
        <f>"TACUBA                                                                                                                                      "</f>
        <v xml:space="preserve">TACUBA                                                                                                                                      </v>
      </c>
      <c r="G1349" s="26" t="str">
        <f>"MIGUEL HIDALGO                                                                  "</f>
        <v xml:space="preserve">MIGUEL HIDALGO                                                                  </v>
      </c>
      <c r="H1349" s="26" t="str">
        <f>"131"</f>
        <v>131</v>
      </c>
      <c r="I1349" s="26" t="str">
        <f t="shared" si="238"/>
        <v>00</v>
      </c>
      <c r="J1349" s="26" t="str">
        <f t="shared" si="234"/>
        <v xml:space="preserve">32 </v>
      </c>
      <c r="K1349" s="26" t="str">
        <f t="shared" si="228"/>
        <v>EP</v>
      </c>
      <c r="L1349" s="26" t="str">
        <f t="shared" si="229"/>
        <v>DGOSE</v>
      </c>
      <c r="M1349" s="26" t="str">
        <f t="shared" si="236"/>
        <v>PARTICULAR</v>
      </c>
      <c r="N1349" s="26">
        <v>24</v>
      </c>
      <c r="O1349" s="26">
        <v>13</v>
      </c>
      <c r="P1349" s="26">
        <v>11</v>
      </c>
      <c r="Q1349" s="26">
        <v>3</v>
      </c>
      <c r="R1349" s="26">
        <v>1</v>
      </c>
      <c r="S1349" s="26">
        <v>3</v>
      </c>
      <c r="T1349" s="26">
        <v>6</v>
      </c>
      <c r="U1349" s="26">
        <v>10</v>
      </c>
      <c r="V1349" s="26">
        <v>1</v>
      </c>
      <c r="W1349" s="26"/>
    </row>
    <row r="1350" spans="1:23" x14ac:dyDescent="0.25">
      <c r="A1350" s="26" t="str">
        <f t="shared" si="237"/>
        <v>PREESCOLAR</v>
      </c>
      <c r="B1350" s="26" t="str">
        <f>"09PJN1269N"</f>
        <v>09PJN1269N</v>
      </c>
      <c r="C1350" s="26" t="str">
        <f>"INSTITUTO BILINGUE LIBERTAD                                                                         "</f>
        <v xml:space="preserve">INSTITUTO BILINGUE LIBERTAD                                                                         </v>
      </c>
      <c r="D1350" s="26" t="str">
        <f t="shared" si="235"/>
        <v>MATUTINO</v>
      </c>
      <c r="E1350" s="26" t="str">
        <f>"MAR MEDITERRANEO No. 175                                                        "</f>
        <v xml:space="preserve">MAR MEDITERRANEO No. 175                                                        </v>
      </c>
      <c r="F1350" s="26" t="str">
        <f>"POPOTLA                                                                                                                                     "</f>
        <v xml:space="preserve">POPOTLA                                                                                                                                     </v>
      </c>
      <c r="G1350" s="26" t="str">
        <f>"MIGUEL HIDALGO                                                                  "</f>
        <v xml:space="preserve">MIGUEL HIDALGO                                                                  </v>
      </c>
      <c r="H1350" s="26" t="str">
        <f>"131"</f>
        <v>131</v>
      </c>
      <c r="I1350" s="26" t="str">
        <f t="shared" si="238"/>
        <v>00</v>
      </c>
      <c r="J1350" s="26" t="str">
        <f t="shared" si="234"/>
        <v xml:space="preserve">32 </v>
      </c>
      <c r="K1350" s="26" t="str">
        <f t="shared" si="228"/>
        <v>EP</v>
      </c>
      <c r="L1350" s="26" t="str">
        <f t="shared" si="229"/>
        <v>DGOSE</v>
      </c>
      <c r="M1350" s="26" t="str">
        <f t="shared" si="236"/>
        <v>PARTICULAR</v>
      </c>
      <c r="N1350" s="26">
        <v>39</v>
      </c>
      <c r="O1350" s="26">
        <v>16</v>
      </c>
      <c r="P1350" s="26">
        <v>23</v>
      </c>
      <c r="Q1350" s="26">
        <v>3</v>
      </c>
      <c r="R1350" s="26">
        <v>1</v>
      </c>
      <c r="S1350" s="26">
        <v>3</v>
      </c>
      <c r="T1350" s="26">
        <v>4</v>
      </c>
      <c r="U1350" s="26">
        <v>8</v>
      </c>
      <c r="V1350" s="26">
        <v>1</v>
      </c>
      <c r="W1350" s="26"/>
    </row>
    <row r="1351" spans="1:23" x14ac:dyDescent="0.25">
      <c r="A1351" s="26" t="str">
        <f t="shared" si="237"/>
        <v>PREESCOLAR</v>
      </c>
      <c r="B1351" s="26" t="str">
        <f>"09PJN1303D"</f>
        <v>09PJN1303D</v>
      </c>
      <c r="C1351" s="26" t="str">
        <f>"JARDIN DE NIÑOS LAS HADAS                                                                           "</f>
        <v xml:space="preserve">JARDIN DE NIÑOS LAS HADAS                                                                           </v>
      </c>
      <c r="D1351" s="26" t="str">
        <f t="shared" si="235"/>
        <v>MATUTINO</v>
      </c>
      <c r="E1351" s="26" t="str">
        <f>"TIPOGRAFIA No. 130                                                              "</f>
        <v xml:space="preserve">TIPOGRAFIA No. 130                                                              </v>
      </c>
      <c r="F1351" s="26" t="str">
        <f>"20 DE NOVIEMBRE                                                                                                                             "</f>
        <v xml:space="preserve">20 DE NOVIEMBRE                                                                                                                             </v>
      </c>
      <c r="G1351" s="26" t="str">
        <f>"VENUSTIANO CARRANZA                                                             "</f>
        <v xml:space="preserve">VENUSTIANO CARRANZA                                                             </v>
      </c>
      <c r="H1351" s="26" t="str">
        <f>"130"</f>
        <v>130</v>
      </c>
      <c r="I1351" s="26" t="str">
        <f t="shared" si="238"/>
        <v>00</v>
      </c>
      <c r="J1351" s="26" t="str">
        <f>"33 "</f>
        <v xml:space="preserve">33 </v>
      </c>
      <c r="K1351" s="26" t="str">
        <f t="shared" si="228"/>
        <v>EP</v>
      </c>
      <c r="L1351" s="26" t="str">
        <f t="shared" si="229"/>
        <v>DGOSE</v>
      </c>
      <c r="M1351" s="26" t="str">
        <f t="shared" si="236"/>
        <v>PARTICULAR</v>
      </c>
      <c r="N1351" s="26">
        <v>37</v>
      </c>
      <c r="O1351" s="26">
        <v>24</v>
      </c>
      <c r="P1351" s="26">
        <v>13</v>
      </c>
      <c r="Q1351" s="26">
        <v>3</v>
      </c>
      <c r="R1351" s="26">
        <v>1</v>
      </c>
      <c r="S1351" s="26">
        <v>3</v>
      </c>
      <c r="T1351" s="26">
        <v>2</v>
      </c>
      <c r="U1351" s="26">
        <v>6</v>
      </c>
      <c r="V1351" s="26">
        <v>1</v>
      </c>
      <c r="W1351" s="26"/>
    </row>
    <row r="1352" spans="1:23" x14ac:dyDescent="0.25">
      <c r="A1352" s="26" t="str">
        <f t="shared" si="237"/>
        <v>PREESCOLAR</v>
      </c>
      <c r="B1352" s="26" t="str">
        <f>"09PJN1304C"</f>
        <v>09PJN1304C</v>
      </c>
      <c r="C1352" s="26" t="str">
        <f>"COLEGIO JOSE MARIA MORELOS Y PAVON                                                                  "</f>
        <v xml:space="preserve">COLEGIO JOSE MARIA MORELOS Y PAVON                                                                  </v>
      </c>
      <c r="D1352" s="26" t="str">
        <f t="shared" si="235"/>
        <v>MATUTINO</v>
      </c>
      <c r="E1352" s="26" t="str">
        <f>"SAN FRANCISCO DE ASIS NO. 429                                                   "</f>
        <v xml:space="preserve">SAN FRANCISCO DE ASIS NO. 429                                                   </v>
      </c>
      <c r="F1352" s="26" t="str">
        <f>"GRANJAS ESTRELLA                                                                                                                            "</f>
        <v xml:space="preserve">GRANJAS ESTRELLA                                                                                                                            </v>
      </c>
      <c r="G1352" s="26" t="str">
        <f>"IZTAPALAPA                                                                      "</f>
        <v xml:space="preserve">IZTAPALAPA                                                                      </v>
      </c>
      <c r="H1352" s="26" t="str">
        <f>"000"</f>
        <v>000</v>
      </c>
      <c r="I1352" s="26" t="str">
        <f t="shared" si="238"/>
        <v>00</v>
      </c>
      <c r="J1352" s="26" t="str">
        <f>"63 "</f>
        <v xml:space="preserve">63 </v>
      </c>
      <c r="K1352" s="26" t="str">
        <f>"IZ"</f>
        <v>IZ</v>
      </c>
      <c r="L1352" s="26" t="str">
        <f>"DGSEI"</f>
        <v>DGSEI</v>
      </c>
      <c r="M1352" s="26" t="str">
        <f t="shared" si="236"/>
        <v>PARTICULAR</v>
      </c>
      <c r="N1352" s="26">
        <v>129</v>
      </c>
      <c r="O1352" s="26">
        <v>70</v>
      </c>
      <c r="P1352" s="26">
        <v>59</v>
      </c>
      <c r="Q1352" s="26">
        <v>6</v>
      </c>
      <c r="R1352" s="26">
        <v>1</v>
      </c>
      <c r="S1352" s="26">
        <v>6</v>
      </c>
      <c r="T1352" s="26">
        <v>12</v>
      </c>
      <c r="U1352" s="26">
        <v>19</v>
      </c>
      <c r="V1352" s="26">
        <v>1</v>
      </c>
      <c r="W1352" s="26"/>
    </row>
    <row r="1353" spans="1:23" x14ac:dyDescent="0.25">
      <c r="A1353" s="26" t="str">
        <f t="shared" si="237"/>
        <v>PREESCOLAR</v>
      </c>
      <c r="B1353" s="26" t="str">
        <f>"09PJN1306A"</f>
        <v>09PJN1306A</v>
      </c>
      <c r="C1353" s="26" t="str">
        <f>"JARDIN DE NIÑOS FRANCISCO ORTEGA                                                                    "</f>
        <v xml:space="preserve">JARDIN DE NIÑOS FRANCISCO ORTEGA                                                                    </v>
      </c>
      <c r="D1353" s="26" t="str">
        <f t="shared" si="235"/>
        <v>MATUTINO</v>
      </c>
      <c r="E1353" s="26" t="str">
        <f>"CALLEJON BUENA VISTA NO. 2                                                      "</f>
        <v xml:space="preserve">CALLEJON BUENA VISTA NO. 2                                                      </v>
      </c>
      <c r="F1353" s="26" t="str">
        <f>"LA MAGDALENA CONTRERAS                                                                                                                      "</f>
        <v xml:space="preserve">LA MAGDALENA CONTRERAS                                                                                                                      </v>
      </c>
      <c r="G1353" s="26" t="str">
        <f>"LA MAGDALENA CONTRERAS                                                          "</f>
        <v xml:space="preserve">LA MAGDALENA CONTRERAS                                                          </v>
      </c>
      <c r="H1353" s="26" t="str">
        <f>"066"</f>
        <v>066</v>
      </c>
      <c r="I1353" s="26" t="str">
        <f t="shared" si="238"/>
        <v>00</v>
      </c>
      <c r="J1353" s="26" t="str">
        <f>"35 "</f>
        <v xml:space="preserve">35 </v>
      </c>
      <c r="K1353" s="26" t="str">
        <f>"EP"</f>
        <v>EP</v>
      </c>
      <c r="L1353" s="26" t="str">
        <f>"DGOSE"</f>
        <v>DGOSE</v>
      </c>
      <c r="M1353" s="26" t="str">
        <f t="shared" si="236"/>
        <v>PARTICULAR</v>
      </c>
      <c r="N1353" s="26">
        <v>22</v>
      </c>
      <c r="O1353" s="26">
        <v>13</v>
      </c>
      <c r="P1353" s="26">
        <v>9</v>
      </c>
      <c r="Q1353" s="26">
        <v>2</v>
      </c>
      <c r="R1353" s="26">
        <v>1</v>
      </c>
      <c r="S1353" s="26">
        <v>2</v>
      </c>
      <c r="T1353" s="26">
        <v>6</v>
      </c>
      <c r="U1353" s="26">
        <v>9</v>
      </c>
      <c r="V1353" s="26">
        <v>1</v>
      </c>
      <c r="W1353" s="26"/>
    </row>
    <row r="1354" spans="1:23" x14ac:dyDescent="0.25">
      <c r="A1354" s="26" t="str">
        <f t="shared" si="237"/>
        <v>PREESCOLAR</v>
      </c>
      <c r="B1354" s="26" t="str">
        <f>"09PJN1403C"</f>
        <v>09PJN1403C</v>
      </c>
      <c r="C1354" s="26" t="str">
        <f>"MONUMENTO A LA REVOLUCION                                                                           "</f>
        <v xml:space="preserve">MONUMENTO A LA REVOLUCION                                                                           </v>
      </c>
      <c r="D1354" s="26" t="str">
        <f t="shared" si="235"/>
        <v>MATUTINO</v>
      </c>
      <c r="E1354" s="26" t="str">
        <f>"CALLE 4 MZ. 7 LT. 6 Y 7                                                         "</f>
        <v xml:space="preserve">CALLE 4 MZ. 7 LT. 6 Y 7                                                         </v>
      </c>
      <c r="F1354" s="26" t="str">
        <f>"LOMAS DE LA ESTANCIA                                                                                                                        "</f>
        <v xml:space="preserve">LOMAS DE LA ESTANCIA                                                                                                                        </v>
      </c>
      <c r="G1354" s="26" t="str">
        <f>"IZTAPALAPA                                                                      "</f>
        <v xml:space="preserve">IZTAPALAPA                                                                      </v>
      </c>
      <c r="H1354" s="26" t="str">
        <f>"000"</f>
        <v>000</v>
      </c>
      <c r="I1354" s="26" t="str">
        <f t="shared" si="238"/>
        <v>00</v>
      </c>
      <c r="J1354" s="26" t="str">
        <f>"64 "</f>
        <v xml:space="preserve">64 </v>
      </c>
      <c r="K1354" s="26" t="str">
        <f>"IZ"</f>
        <v>IZ</v>
      </c>
      <c r="L1354" s="26" t="str">
        <f>"DGSEI"</f>
        <v>DGSEI</v>
      </c>
      <c r="M1354" s="26" t="str">
        <f t="shared" si="236"/>
        <v>PARTICULAR</v>
      </c>
      <c r="N1354" s="26">
        <v>30</v>
      </c>
      <c r="O1354" s="26">
        <v>13</v>
      </c>
      <c r="P1354" s="26">
        <v>17</v>
      </c>
      <c r="Q1354" s="26">
        <v>3</v>
      </c>
      <c r="R1354" s="26">
        <v>1</v>
      </c>
      <c r="S1354" s="26">
        <v>2</v>
      </c>
      <c r="T1354" s="26">
        <v>1</v>
      </c>
      <c r="U1354" s="26">
        <v>4</v>
      </c>
      <c r="V1354" s="26">
        <v>1</v>
      </c>
      <c r="W1354" s="26"/>
    </row>
    <row r="1355" spans="1:23" x14ac:dyDescent="0.25">
      <c r="A1355" s="26" t="str">
        <f t="shared" si="237"/>
        <v>PREESCOLAR</v>
      </c>
      <c r="B1355" s="26" t="str">
        <f>"09PJN1746Y"</f>
        <v>09PJN1746Y</v>
      </c>
      <c r="C1355" s="26" t="str">
        <f>"JARDÍN DE NIÑOS ARCO IRIS                                                                           "</f>
        <v xml:space="preserve">JARDÍN DE NIÑOS ARCO IRIS                                                                           </v>
      </c>
      <c r="D1355" s="26" t="str">
        <f t="shared" si="235"/>
        <v>MATUTINO</v>
      </c>
      <c r="E1355" s="26" t="str">
        <f>"AV. SEBASTIAN LERDO DE TEJADA NO. 42                                            "</f>
        <v xml:space="preserve">AV. SEBASTIAN LERDO DE TEJADA NO. 42                                            </v>
      </c>
      <c r="F1355" s="26" t="str">
        <f>"PRESIDENTES                                                                                                                                 "</f>
        <v xml:space="preserve">PRESIDENTES                                                                                                                                 </v>
      </c>
      <c r="G1355" s="26" t="str">
        <f>"ALVARO OBREGON                                                                  "</f>
        <v xml:space="preserve">ALVARO OBREGON                                                                  </v>
      </c>
      <c r="H1355" s="26" t="str">
        <f>"219"</f>
        <v>219</v>
      </c>
      <c r="I1355" s="26" t="str">
        <f t="shared" si="238"/>
        <v>00</v>
      </c>
      <c r="J1355" s="26" t="str">
        <f>"33 "</f>
        <v xml:space="preserve">33 </v>
      </c>
      <c r="K1355" s="26" t="str">
        <f t="shared" ref="K1355:K1376" si="239">"EP"</f>
        <v>EP</v>
      </c>
      <c r="L1355" s="26" t="str">
        <f t="shared" ref="L1355:L1376" si="240">"DGOSE"</f>
        <v>DGOSE</v>
      </c>
      <c r="M1355" s="26" t="str">
        <f t="shared" si="236"/>
        <v>PARTICULAR</v>
      </c>
      <c r="N1355" s="26">
        <v>42</v>
      </c>
      <c r="O1355" s="26">
        <v>23</v>
      </c>
      <c r="P1355" s="26">
        <v>19</v>
      </c>
      <c r="Q1355" s="26">
        <v>3</v>
      </c>
      <c r="R1355" s="26">
        <v>1</v>
      </c>
      <c r="S1355" s="26">
        <v>3</v>
      </c>
      <c r="T1355" s="26">
        <v>0</v>
      </c>
      <c r="U1355" s="26">
        <v>4</v>
      </c>
      <c r="V1355" s="26">
        <v>1</v>
      </c>
      <c r="W1355" s="26"/>
    </row>
    <row r="1356" spans="1:23" x14ac:dyDescent="0.25">
      <c r="A1356" s="26" t="str">
        <f t="shared" si="237"/>
        <v>PREESCOLAR</v>
      </c>
      <c r="B1356" s="26" t="str">
        <f>"09PJN1769I"</f>
        <v>09PJN1769I</v>
      </c>
      <c r="C1356" s="26" t="str">
        <f>"INSTITUTO ALEXANDER BAIN                                                                            "</f>
        <v xml:space="preserve">INSTITUTO ALEXANDER BAIN                                                                            </v>
      </c>
      <c r="D1356" s="26" t="str">
        <f t="shared" si="235"/>
        <v>MATUTINO</v>
      </c>
      <c r="E1356" s="26" t="str">
        <f>"CASCADA No. 320                                                                 "</f>
        <v xml:space="preserve">CASCADA No. 320                                                                 </v>
      </c>
      <c r="F1356" s="26" t="str">
        <f>"JARDINES DEL PEDREGAL                                                                                                                       "</f>
        <v xml:space="preserve">JARDINES DEL PEDREGAL                                                                                                                       </v>
      </c>
      <c r="G1356" s="26" t="str">
        <f>"ALVARO OBREGON                                                                  "</f>
        <v xml:space="preserve">ALVARO OBREGON                                                                  </v>
      </c>
      <c r="H1356" s="26" t="str">
        <f>"214"</f>
        <v>214</v>
      </c>
      <c r="I1356" s="26" t="str">
        <f t="shared" si="238"/>
        <v>00</v>
      </c>
      <c r="J1356" s="26" t="str">
        <f>"33 "</f>
        <v xml:space="preserve">33 </v>
      </c>
      <c r="K1356" s="26" t="str">
        <f t="shared" si="239"/>
        <v>EP</v>
      </c>
      <c r="L1356" s="26" t="str">
        <f t="shared" si="240"/>
        <v>DGOSE</v>
      </c>
      <c r="M1356" s="26" t="str">
        <f t="shared" si="236"/>
        <v>PARTICULAR</v>
      </c>
      <c r="N1356" s="26">
        <v>162</v>
      </c>
      <c r="O1356" s="26">
        <v>97</v>
      </c>
      <c r="P1356" s="26">
        <v>65</v>
      </c>
      <c r="Q1356" s="26">
        <v>8</v>
      </c>
      <c r="R1356" s="26">
        <v>1</v>
      </c>
      <c r="S1356" s="26">
        <v>8</v>
      </c>
      <c r="T1356" s="26">
        <v>15</v>
      </c>
      <c r="U1356" s="26">
        <v>24</v>
      </c>
      <c r="V1356" s="26">
        <v>1</v>
      </c>
      <c r="W1356" s="26"/>
    </row>
    <row r="1357" spans="1:23" x14ac:dyDescent="0.25">
      <c r="A1357" s="26" t="str">
        <f t="shared" si="237"/>
        <v>PREESCOLAR</v>
      </c>
      <c r="B1357" s="26" t="str">
        <f>"09PJN1770Y"</f>
        <v>09PJN1770Y</v>
      </c>
      <c r="C1357" s="26" t="str">
        <f>"MONTESSORI DEL PEDREGAL                                                                             "</f>
        <v xml:space="preserve">MONTESSORI DEL PEDREGAL                                                                             </v>
      </c>
      <c r="D1357" s="26" t="str">
        <f t="shared" si="235"/>
        <v>MATUTINO</v>
      </c>
      <c r="E1357" s="26" t="str">
        <f>"RINCONADA SANTA TERESA No. 136                                                  "</f>
        <v xml:space="preserve">RINCONADA SANTA TERESA No. 136                                                  </v>
      </c>
      <c r="F1357" s="26" t="str">
        <f>"TLALPAN                                                                                                                                     "</f>
        <v xml:space="preserve">TLALPAN                                                                                                                                     </v>
      </c>
      <c r="G1357" s="26" t="str">
        <f>"TLALPAN                                                                         "</f>
        <v xml:space="preserve">TLALPAN                                                                         </v>
      </c>
      <c r="H1357" s="26" t="str">
        <f>"147"</f>
        <v>147</v>
      </c>
      <c r="I1357" s="26" t="str">
        <f t="shared" si="238"/>
        <v>00</v>
      </c>
      <c r="J1357" s="26" t="str">
        <f>"35 "</f>
        <v xml:space="preserve">35 </v>
      </c>
      <c r="K1357" s="26" t="str">
        <f t="shared" si="239"/>
        <v>EP</v>
      </c>
      <c r="L1357" s="26" t="str">
        <f t="shared" si="240"/>
        <v>DGOSE</v>
      </c>
      <c r="M1357" s="26" t="str">
        <f t="shared" si="236"/>
        <v>PARTICULAR</v>
      </c>
      <c r="N1357" s="26">
        <v>56</v>
      </c>
      <c r="O1357" s="26">
        <v>32</v>
      </c>
      <c r="P1357" s="26">
        <v>24</v>
      </c>
      <c r="Q1357" s="26">
        <v>3</v>
      </c>
      <c r="R1357" s="26">
        <v>1</v>
      </c>
      <c r="S1357" s="26">
        <v>3</v>
      </c>
      <c r="T1357" s="26">
        <v>6</v>
      </c>
      <c r="U1357" s="26">
        <v>10</v>
      </c>
      <c r="V1357" s="26">
        <v>1</v>
      </c>
      <c r="W1357" s="26"/>
    </row>
    <row r="1358" spans="1:23" x14ac:dyDescent="0.25">
      <c r="A1358" s="26" t="str">
        <f t="shared" si="237"/>
        <v>PREESCOLAR</v>
      </c>
      <c r="B1358" s="26" t="str">
        <f>"09PJN1777R"</f>
        <v>09PJN1777R</v>
      </c>
      <c r="C1358" s="26" t="str">
        <f>"INSTITUTO PEDAGOGICO PATRICIO REDONDO                                                               "</f>
        <v xml:space="preserve">INSTITUTO PEDAGOGICO PATRICIO REDONDO                                                               </v>
      </c>
      <c r="D1358" s="26" t="str">
        <f t="shared" si="235"/>
        <v>MATUTINO</v>
      </c>
      <c r="E1358" s="26" t="str">
        <f>"PLAYA CALETA No. 312 BIS                                                        "</f>
        <v xml:space="preserve">PLAYA CALETA No. 312 BIS                                                        </v>
      </c>
      <c r="F1358" s="26" t="str">
        <f>"REFORMA IZTACCIHUATL NORTE                                                                                                                  "</f>
        <v xml:space="preserve">REFORMA IZTACCIHUATL NORTE                                                                                                                  </v>
      </c>
      <c r="G1358" s="26" t="str">
        <f>"IZTACALCO                                                                       "</f>
        <v xml:space="preserve">IZTACALCO                                                                       </v>
      </c>
      <c r="H1358" s="26" t="str">
        <f>"027"</f>
        <v>027</v>
      </c>
      <c r="I1358" s="26" t="str">
        <f t="shared" si="238"/>
        <v>00</v>
      </c>
      <c r="J1358" s="26" t="str">
        <f>"33 "</f>
        <v xml:space="preserve">33 </v>
      </c>
      <c r="K1358" s="26" t="str">
        <f t="shared" si="239"/>
        <v>EP</v>
      </c>
      <c r="L1358" s="26" t="str">
        <f t="shared" si="240"/>
        <v>DGOSE</v>
      </c>
      <c r="M1358" s="26" t="str">
        <f t="shared" si="236"/>
        <v>PARTICULAR</v>
      </c>
      <c r="N1358" s="26">
        <v>7</v>
      </c>
      <c r="O1358" s="26">
        <v>5</v>
      </c>
      <c r="P1358" s="26">
        <v>2</v>
      </c>
      <c r="Q1358" s="26">
        <v>1</v>
      </c>
      <c r="R1358" s="26">
        <v>1</v>
      </c>
      <c r="S1358" s="26">
        <v>1</v>
      </c>
      <c r="T1358" s="26">
        <v>3</v>
      </c>
      <c r="U1358" s="26">
        <v>5</v>
      </c>
      <c r="V1358" s="26">
        <v>1</v>
      </c>
      <c r="W1358" s="26"/>
    </row>
    <row r="1359" spans="1:23" x14ac:dyDescent="0.25">
      <c r="A1359" s="26" t="str">
        <f t="shared" si="237"/>
        <v>PREESCOLAR</v>
      </c>
      <c r="B1359" s="26" t="str">
        <f>"09PJN1778Q"</f>
        <v>09PJN1778Q</v>
      </c>
      <c r="C1359" s="26" t="str">
        <f>"JARDIN DE NIÑOS ESTRELLA                                                                            "</f>
        <v xml:space="preserve">JARDIN DE NIÑOS ESTRELLA                                                                            </v>
      </c>
      <c r="D1359" s="26" t="str">
        <f t="shared" si="235"/>
        <v>MATUTINO</v>
      </c>
      <c r="E1359" s="26" t="str">
        <f>"VENTURINA NO. 75                                                                "</f>
        <v xml:space="preserve">VENTURINA NO. 75                                                                </v>
      </c>
      <c r="F1359" s="26" t="str">
        <f>"ESTRELLA                                                                                                                                    "</f>
        <v xml:space="preserve">ESTRELLA                                                                                                                                    </v>
      </c>
      <c r="G1359" s="26" t="str">
        <f t="shared" ref="G1359:G1364" si="241">"GUSTAVO A. MADERO                                                               "</f>
        <v xml:space="preserve">GUSTAVO A. MADERO                                                               </v>
      </c>
      <c r="H1359" s="26" t="str">
        <f>"195"</f>
        <v>195</v>
      </c>
      <c r="I1359" s="26" t="str">
        <f t="shared" si="238"/>
        <v>00</v>
      </c>
      <c r="J1359" s="26" t="str">
        <f t="shared" ref="J1359:J1364" si="242">"32 "</f>
        <v xml:space="preserve">32 </v>
      </c>
      <c r="K1359" s="26" t="str">
        <f t="shared" si="239"/>
        <v>EP</v>
      </c>
      <c r="L1359" s="26" t="str">
        <f t="shared" si="240"/>
        <v>DGOSE</v>
      </c>
      <c r="M1359" s="26" t="str">
        <f t="shared" si="236"/>
        <v>PARTICULAR</v>
      </c>
      <c r="N1359" s="26">
        <v>18</v>
      </c>
      <c r="O1359" s="26">
        <v>8</v>
      </c>
      <c r="P1359" s="26">
        <v>10</v>
      </c>
      <c r="Q1359" s="26">
        <v>2</v>
      </c>
      <c r="R1359" s="26">
        <v>1</v>
      </c>
      <c r="S1359" s="26">
        <v>2</v>
      </c>
      <c r="T1359" s="26">
        <v>2</v>
      </c>
      <c r="U1359" s="26">
        <v>5</v>
      </c>
      <c r="V1359" s="26">
        <v>1</v>
      </c>
      <c r="W1359" s="26"/>
    </row>
    <row r="1360" spans="1:23" x14ac:dyDescent="0.25">
      <c r="A1360" s="26" t="str">
        <f t="shared" si="237"/>
        <v>PREESCOLAR</v>
      </c>
      <c r="B1360" s="26" t="str">
        <f>"09PJN1780E"</f>
        <v>09PJN1780E</v>
      </c>
      <c r="C1360" s="26" t="str">
        <f>"COLEGIO MERCEDES                                                                                    "</f>
        <v xml:space="preserve">COLEGIO MERCEDES                                                                                    </v>
      </c>
      <c r="D1360" s="26" t="str">
        <f t="shared" si="235"/>
        <v>MATUTINO</v>
      </c>
      <c r="E1360" s="26" t="str">
        <f>"AREQUIPA NO. 776                                                                "</f>
        <v xml:space="preserve">AREQUIPA NO. 776                                                                </v>
      </c>
      <c r="F1360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1360" s="26" t="str">
        <f t="shared" si="241"/>
        <v xml:space="preserve">GUSTAVO A. MADERO                                                               </v>
      </c>
      <c r="H1360" s="26" t="str">
        <f>"117"</f>
        <v>117</v>
      </c>
      <c r="I1360" s="26" t="str">
        <f t="shared" si="238"/>
        <v>00</v>
      </c>
      <c r="J1360" s="26" t="str">
        <f t="shared" si="242"/>
        <v xml:space="preserve">32 </v>
      </c>
      <c r="K1360" s="26" t="str">
        <f t="shared" si="239"/>
        <v>EP</v>
      </c>
      <c r="L1360" s="26" t="str">
        <f t="shared" si="240"/>
        <v>DGOSE</v>
      </c>
      <c r="M1360" s="26" t="str">
        <f t="shared" si="236"/>
        <v>PARTICULAR</v>
      </c>
      <c r="N1360" s="26">
        <v>75</v>
      </c>
      <c r="O1360" s="26">
        <v>32</v>
      </c>
      <c r="P1360" s="26">
        <v>43</v>
      </c>
      <c r="Q1360" s="26">
        <v>3</v>
      </c>
      <c r="R1360" s="26">
        <v>1</v>
      </c>
      <c r="S1360" s="26">
        <v>3</v>
      </c>
      <c r="T1360" s="26">
        <v>6</v>
      </c>
      <c r="U1360" s="26">
        <v>10</v>
      </c>
      <c r="V1360" s="26">
        <v>1</v>
      </c>
      <c r="W1360" s="26"/>
    </row>
    <row r="1361" spans="1:23" x14ac:dyDescent="0.25">
      <c r="A1361" s="26" t="str">
        <f t="shared" si="237"/>
        <v>PREESCOLAR</v>
      </c>
      <c r="B1361" s="26" t="str">
        <f>"09PJN1782C"</f>
        <v>09PJN1782C</v>
      </c>
      <c r="C1361" s="26" t="str">
        <f>"CENTRO EDUCATIVO LUCECITAS                                                                          "</f>
        <v xml:space="preserve">CENTRO EDUCATIVO LUCECITAS                                                                          </v>
      </c>
      <c r="D1361" s="26" t="str">
        <f t="shared" si="235"/>
        <v>MATUTINO</v>
      </c>
      <c r="E1361" s="26" t="str">
        <f>"NORTE 66 A NO. 7815                                                             "</f>
        <v xml:space="preserve">NORTE 66 A NO. 7815                                                             </v>
      </c>
      <c r="F1361" s="26" t="str">
        <f>"SALVADOR DIAZ MIRON                                                                                                                         "</f>
        <v xml:space="preserve">SALVADOR DIAZ MIRON                                                                                                                         </v>
      </c>
      <c r="G1361" s="26" t="str">
        <f t="shared" si="241"/>
        <v xml:space="preserve">GUSTAVO A. MADERO                                                               </v>
      </c>
      <c r="H1361" s="26" t="str">
        <f>"095"</f>
        <v>095</v>
      </c>
      <c r="I1361" s="26" t="str">
        <f t="shared" si="238"/>
        <v>00</v>
      </c>
      <c r="J1361" s="26" t="str">
        <f t="shared" si="242"/>
        <v xml:space="preserve">32 </v>
      </c>
      <c r="K1361" s="26" t="str">
        <f t="shared" si="239"/>
        <v>EP</v>
      </c>
      <c r="L1361" s="26" t="str">
        <f t="shared" si="240"/>
        <v>DGOSE</v>
      </c>
      <c r="M1361" s="26" t="str">
        <f t="shared" si="236"/>
        <v>PARTICULAR</v>
      </c>
      <c r="N1361" s="26">
        <v>56</v>
      </c>
      <c r="O1361" s="26">
        <v>28</v>
      </c>
      <c r="P1361" s="26">
        <v>28</v>
      </c>
      <c r="Q1361" s="26">
        <v>3</v>
      </c>
      <c r="R1361" s="26">
        <v>1</v>
      </c>
      <c r="S1361" s="26">
        <v>3</v>
      </c>
      <c r="T1361" s="26">
        <v>2</v>
      </c>
      <c r="U1361" s="26">
        <v>6</v>
      </c>
      <c r="V1361" s="26">
        <v>1</v>
      </c>
      <c r="W1361" s="26"/>
    </row>
    <row r="1362" spans="1:23" x14ac:dyDescent="0.25">
      <c r="A1362" s="26" t="str">
        <f t="shared" si="237"/>
        <v>PREESCOLAR</v>
      </c>
      <c r="B1362" s="26" t="str">
        <f>"09PJN1783B"</f>
        <v>09PJN1783B</v>
      </c>
      <c r="C1362" s="26" t="str">
        <f>"MARIA LUISA GODEAU                                                                                  "</f>
        <v xml:space="preserve">MARIA LUISA GODEAU                                                                                  </v>
      </c>
      <c r="D1362" s="26" t="str">
        <f t="shared" si="235"/>
        <v>MATUTINO</v>
      </c>
      <c r="E1362" s="26" t="str">
        <f>"5 DE FEBRERO NO. 8                                                              "</f>
        <v xml:space="preserve">5 DE FEBRERO NO. 8                                                              </v>
      </c>
      <c r="F1362" s="26" t="str">
        <f>"ARAGON                                                                                                                                      "</f>
        <v xml:space="preserve">ARAGON                                                                                                                                      </v>
      </c>
      <c r="G1362" s="26" t="str">
        <f t="shared" si="241"/>
        <v xml:space="preserve">GUSTAVO A. MADERO                                                               </v>
      </c>
      <c r="H1362" s="26" t="str">
        <f>"195"</f>
        <v>195</v>
      </c>
      <c r="I1362" s="26" t="str">
        <f t="shared" si="238"/>
        <v>00</v>
      </c>
      <c r="J1362" s="26" t="str">
        <f t="shared" si="242"/>
        <v xml:space="preserve">32 </v>
      </c>
      <c r="K1362" s="26" t="str">
        <f t="shared" si="239"/>
        <v>EP</v>
      </c>
      <c r="L1362" s="26" t="str">
        <f t="shared" si="240"/>
        <v>DGOSE</v>
      </c>
      <c r="M1362" s="26" t="str">
        <f t="shared" si="236"/>
        <v>PARTICULAR</v>
      </c>
      <c r="N1362" s="26">
        <v>13</v>
      </c>
      <c r="O1362" s="26">
        <v>5</v>
      </c>
      <c r="P1362" s="26">
        <v>8</v>
      </c>
      <c r="Q1362" s="26">
        <v>3</v>
      </c>
      <c r="R1362" s="26">
        <v>1</v>
      </c>
      <c r="S1362" s="26">
        <v>2</v>
      </c>
      <c r="T1362" s="26">
        <v>7</v>
      </c>
      <c r="U1362" s="26">
        <v>10</v>
      </c>
      <c r="V1362" s="26">
        <v>1</v>
      </c>
      <c r="W1362" s="26"/>
    </row>
    <row r="1363" spans="1:23" x14ac:dyDescent="0.25">
      <c r="A1363" s="26" t="str">
        <f t="shared" si="237"/>
        <v>PREESCOLAR</v>
      </c>
      <c r="B1363" s="26" t="str">
        <f>"09PJN1784A"</f>
        <v>09PJN1784A</v>
      </c>
      <c r="C1363" s="26" t="str">
        <f>"LUZ DEL TEPEYAC                                                                                     "</f>
        <v xml:space="preserve">LUZ DEL TEPEYAC                                                                                     </v>
      </c>
      <c r="D1363" s="26" t="str">
        <f t="shared" si="235"/>
        <v>MATUTINO</v>
      </c>
      <c r="E1363" s="26" t="str">
        <f>"HIDALGO NO. 4                                                                   "</f>
        <v xml:space="preserve">HIDALGO NO. 4                                                                   </v>
      </c>
      <c r="F1363" s="26" t="str">
        <f>"GUSTAVO A. MADERO                                                                                                                           "</f>
        <v xml:space="preserve">GUSTAVO A. MADERO                                                                                                                           </v>
      </c>
      <c r="G1363" s="26" t="str">
        <f t="shared" si="241"/>
        <v xml:space="preserve">GUSTAVO A. MADERO                                                               </v>
      </c>
      <c r="H1363" s="26" t="str">
        <f>"177"</f>
        <v>177</v>
      </c>
      <c r="I1363" s="26" t="str">
        <f t="shared" si="238"/>
        <v>00</v>
      </c>
      <c r="J1363" s="26" t="str">
        <f t="shared" si="242"/>
        <v xml:space="preserve">32 </v>
      </c>
      <c r="K1363" s="26" t="str">
        <f t="shared" si="239"/>
        <v>EP</v>
      </c>
      <c r="L1363" s="26" t="str">
        <f t="shared" si="240"/>
        <v>DGOSE</v>
      </c>
      <c r="M1363" s="26" t="str">
        <f t="shared" si="236"/>
        <v>PARTICULAR</v>
      </c>
      <c r="N1363" s="26">
        <v>68</v>
      </c>
      <c r="O1363" s="26">
        <v>16</v>
      </c>
      <c r="P1363" s="26">
        <v>52</v>
      </c>
      <c r="Q1363" s="26">
        <v>4</v>
      </c>
      <c r="R1363" s="26">
        <v>1</v>
      </c>
      <c r="S1363" s="26">
        <v>4</v>
      </c>
      <c r="T1363" s="26">
        <v>8</v>
      </c>
      <c r="U1363" s="26">
        <v>13</v>
      </c>
      <c r="V1363" s="26">
        <v>1</v>
      </c>
      <c r="W1363" s="26"/>
    </row>
    <row r="1364" spans="1:23" x14ac:dyDescent="0.25">
      <c r="A1364" s="26" t="str">
        <f t="shared" si="237"/>
        <v>PREESCOLAR</v>
      </c>
      <c r="B1364" s="26" t="str">
        <f>"09PJN1785Z"</f>
        <v>09PJN1785Z</v>
      </c>
      <c r="C1364" s="26" t="str">
        <f>"JARDÍN DE NIÑOS CULTURA Y FRATERNIDAD                                                               "</f>
        <v xml:space="preserve">JARDÍN DE NIÑOS CULTURA Y FRATERNIDAD                                                               </v>
      </c>
      <c r="D1364" s="26" t="str">
        <f t="shared" si="235"/>
        <v>MATUTINO</v>
      </c>
      <c r="E1364" s="26" t="str">
        <f>"AV. VICTORIA ORIENTE NO. 4219                                                   "</f>
        <v xml:space="preserve">AV. VICTORIA ORIENTE NO. 4219                                                   </v>
      </c>
      <c r="F1364" s="26" t="str">
        <f>"GERTRUDIS SANCHEZ 1A SECCION                                                                                                                "</f>
        <v xml:space="preserve">GERTRUDIS SANCHEZ 1A SECCION                                                                                                                </v>
      </c>
      <c r="G1364" s="26" t="str">
        <f t="shared" si="241"/>
        <v xml:space="preserve">GUSTAVO A. MADERO                                                               </v>
      </c>
      <c r="H1364" s="26" t="str">
        <f>"006"</f>
        <v>006</v>
      </c>
      <c r="I1364" s="26" t="str">
        <f t="shared" si="238"/>
        <v>00</v>
      </c>
      <c r="J1364" s="26" t="str">
        <f t="shared" si="242"/>
        <v xml:space="preserve">32 </v>
      </c>
      <c r="K1364" s="26" t="str">
        <f t="shared" si="239"/>
        <v>EP</v>
      </c>
      <c r="L1364" s="26" t="str">
        <f t="shared" si="240"/>
        <v>DGOSE</v>
      </c>
      <c r="M1364" s="26" t="str">
        <f t="shared" si="236"/>
        <v>PARTICULAR</v>
      </c>
      <c r="N1364" s="26">
        <v>15</v>
      </c>
      <c r="O1364" s="26">
        <v>7</v>
      </c>
      <c r="P1364" s="26">
        <v>8</v>
      </c>
      <c r="Q1364" s="26">
        <v>2</v>
      </c>
      <c r="R1364" s="26">
        <v>1</v>
      </c>
      <c r="S1364" s="26">
        <v>2</v>
      </c>
      <c r="T1364" s="26">
        <v>1</v>
      </c>
      <c r="U1364" s="26">
        <v>4</v>
      </c>
      <c r="V1364" s="26">
        <v>1</v>
      </c>
      <c r="W1364" s="26"/>
    </row>
    <row r="1365" spans="1:23" x14ac:dyDescent="0.25">
      <c r="A1365" s="26" t="str">
        <f t="shared" si="237"/>
        <v>PREESCOLAR</v>
      </c>
      <c r="B1365" s="26" t="str">
        <f>"09PJN1786Z"</f>
        <v>09PJN1786Z</v>
      </c>
      <c r="C1365" s="26" t="str">
        <f>"COLEGIO OLIVERIO CROMWELL                                                                           "</f>
        <v xml:space="preserve">COLEGIO OLIVERIO CROMWELL                                                                           </v>
      </c>
      <c r="D1365" s="26" t="str">
        <f t="shared" si="235"/>
        <v>MATUTINO</v>
      </c>
      <c r="E1365" s="26" t="str">
        <f>"MIXTECAS NO. 331                                                                "</f>
        <v xml:space="preserve">MIXTECAS NO. 331                                                                </v>
      </c>
      <c r="F1365" s="26" t="str">
        <f>"AJUSCO                                                                                                                                      "</f>
        <v xml:space="preserve">AJUSCO                                                                                                                                      </v>
      </c>
      <c r="G1365" s="26" t="str">
        <f>"COYOACAN                                                                        "</f>
        <v xml:space="preserve">COYOACAN                                                                        </v>
      </c>
      <c r="H1365" s="26" t="str">
        <f>"211"</f>
        <v>211</v>
      </c>
      <c r="I1365" s="26" t="str">
        <f t="shared" si="238"/>
        <v>00</v>
      </c>
      <c r="J1365" s="26" t="str">
        <f>"35 "</f>
        <v xml:space="preserve">35 </v>
      </c>
      <c r="K1365" s="26" t="str">
        <f t="shared" si="239"/>
        <v>EP</v>
      </c>
      <c r="L1365" s="26" t="str">
        <f t="shared" si="240"/>
        <v>DGOSE</v>
      </c>
      <c r="M1365" s="26" t="str">
        <f t="shared" si="236"/>
        <v>PARTICULAR</v>
      </c>
      <c r="N1365" s="26">
        <v>67</v>
      </c>
      <c r="O1365" s="26">
        <v>29</v>
      </c>
      <c r="P1365" s="26">
        <v>38</v>
      </c>
      <c r="Q1365" s="26">
        <v>3</v>
      </c>
      <c r="R1365" s="26">
        <v>1</v>
      </c>
      <c r="S1365" s="26">
        <v>3</v>
      </c>
      <c r="T1365" s="26">
        <v>7</v>
      </c>
      <c r="U1365" s="26">
        <v>11</v>
      </c>
      <c r="V1365" s="26">
        <v>1</v>
      </c>
      <c r="W1365" s="26"/>
    </row>
    <row r="1366" spans="1:23" x14ac:dyDescent="0.25">
      <c r="A1366" s="26" t="str">
        <f t="shared" si="237"/>
        <v>PREESCOLAR</v>
      </c>
      <c r="B1366" s="26" t="str">
        <f>"09PJN1792J"</f>
        <v>09PJN1792J</v>
      </c>
      <c r="C1366" s="26" t="str">
        <f>"BUCHANAN KIDS                                                                                       "</f>
        <v xml:space="preserve">BUCHANAN KIDS                                                                                       </v>
      </c>
      <c r="D1366" s="26" t="str">
        <f t="shared" si="235"/>
        <v>MATUTINO</v>
      </c>
      <c r="E1366" s="26" t="str">
        <f>"HOLBEIN NO. 61                                                                  "</f>
        <v xml:space="preserve">HOLBEIN NO. 61                                                                  </v>
      </c>
      <c r="F1366" s="26" t="str">
        <f>"MIXCOAC                                                                                                                                     "</f>
        <v xml:space="preserve">MIXCOAC                                                                                                                                     </v>
      </c>
      <c r="G1366" s="26" t="str">
        <f>"BENITO JUAREZ                                                                   "</f>
        <v xml:space="preserve">BENITO JUAREZ                                                                   </v>
      </c>
      <c r="H1366" s="26" t="str">
        <f>"032"</f>
        <v>032</v>
      </c>
      <c r="I1366" s="26" t="str">
        <f t="shared" si="238"/>
        <v>00</v>
      </c>
      <c r="J1366" s="26" t="str">
        <f>"33 "</f>
        <v xml:space="preserve">33 </v>
      </c>
      <c r="K1366" s="26" t="str">
        <f t="shared" si="239"/>
        <v>EP</v>
      </c>
      <c r="L1366" s="26" t="str">
        <f t="shared" si="240"/>
        <v>DGOSE</v>
      </c>
      <c r="M1366" s="26" t="str">
        <f t="shared" si="236"/>
        <v>PARTICULAR</v>
      </c>
      <c r="N1366" s="26">
        <v>26</v>
      </c>
      <c r="O1366" s="26">
        <v>15</v>
      </c>
      <c r="P1366" s="26">
        <v>11</v>
      </c>
      <c r="Q1366" s="26">
        <v>3</v>
      </c>
      <c r="R1366" s="26">
        <v>1</v>
      </c>
      <c r="S1366" s="26">
        <v>2</v>
      </c>
      <c r="T1366" s="26">
        <v>2</v>
      </c>
      <c r="U1366" s="26">
        <v>5</v>
      </c>
      <c r="V1366" s="26">
        <v>1</v>
      </c>
      <c r="W1366" s="26"/>
    </row>
    <row r="1367" spans="1:23" x14ac:dyDescent="0.25">
      <c r="A1367" s="26" t="str">
        <f t="shared" si="237"/>
        <v>PREESCOLAR</v>
      </c>
      <c r="B1367" s="26" t="str">
        <f>"09PJN1793I"</f>
        <v>09PJN1793I</v>
      </c>
      <c r="C1367" s="26" t="str">
        <f>"SANTACRUZ                                                                                           "</f>
        <v xml:space="preserve">SANTACRUZ                                                                                           </v>
      </c>
      <c r="D1367" s="26" t="str">
        <f t="shared" si="235"/>
        <v>MATUTINO</v>
      </c>
      <c r="E1367" s="26" t="str">
        <f>"5 DE FEBRERO No. 614                                                            "</f>
        <v xml:space="preserve">5 DE FEBRERO No. 614                                                            </v>
      </c>
      <c r="F1367" s="26" t="str">
        <f>"ALAMOS                                                                                                                                      "</f>
        <v xml:space="preserve">ALAMOS                                                                                                                                      </v>
      </c>
      <c r="G1367" s="26" t="str">
        <f>"BENITO JUAREZ                                                                   "</f>
        <v xml:space="preserve">BENITO JUAREZ                                                                   </v>
      </c>
      <c r="H1367" s="26" t="str">
        <f>"029"</f>
        <v>029</v>
      </c>
      <c r="I1367" s="26" t="str">
        <f t="shared" si="238"/>
        <v>00</v>
      </c>
      <c r="J1367" s="26" t="str">
        <f>"33 "</f>
        <v xml:space="preserve">33 </v>
      </c>
      <c r="K1367" s="26" t="str">
        <f t="shared" si="239"/>
        <v>EP</v>
      </c>
      <c r="L1367" s="26" t="str">
        <f t="shared" si="240"/>
        <v>DGOSE</v>
      </c>
      <c r="M1367" s="26" t="str">
        <f t="shared" si="236"/>
        <v>PARTICULAR</v>
      </c>
      <c r="N1367" s="26">
        <v>19</v>
      </c>
      <c r="O1367" s="26">
        <v>10</v>
      </c>
      <c r="P1367" s="26">
        <v>9</v>
      </c>
      <c r="Q1367" s="26">
        <v>3</v>
      </c>
      <c r="R1367" s="26">
        <v>1</v>
      </c>
      <c r="S1367" s="26">
        <v>3</v>
      </c>
      <c r="T1367" s="26">
        <v>8</v>
      </c>
      <c r="U1367" s="26">
        <v>12</v>
      </c>
      <c r="V1367" s="26">
        <v>1</v>
      </c>
      <c r="W1367" s="26"/>
    </row>
    <row r="1368" spans="1:23" x14ac:dyDescent="0.25">
      <c r="A1368" s="26" t="str">
        <f t="shared" si="237"/>
        <v>PREESCOLAR</v>
      </c>
      <c r="B1368" s="26" t="str">
        <f>"09PJN1795G"</f>
        <v>09PJN1795G</v>
      </c>
      <c r="C1368" s="26" t="str">
        <f>"COLEGIO SIMÓN BOLÍVAR                                                                               "</f>
        <v xml:space="preserve">COLEGIO SIMÓN BOLÍVAR                                                                               </v>
      </c>
      <c r="D1368" s="26" t="str">
        <f t="shared" si="235"/>
        <v>MATUTINO</v>
      </c>
      <c r="E1368" s="26" t="str">
        <f>"AV. RIO MIXCOAC NO. 125                                                         "</f>
        <v xml:space="preserve">AV. RIO MIXCOAC NO. 125                                                         </v>
      </c>
      <c r="F1368" s="26" t="str">
        <f>"INSURGENTES MIXCOAC                                                                                                                         "</f>
        <v xml:space="preserve">INSURGENTES MIXCOAC                                                                                                                         </v>
      </c>
      <c r="G1368" s="26" t="str">
        <f>"BENITO JUAREZ                                                                   "</f>
        <v xml:space="preserve">BENITO JUAREZ                                                                   </v>
      </c>
      <c r="H1368" s="26" t="str">
        <f>"110"</f>
        <v>110</v>
      </c>
      <c r="I1368" s="26" t="str">
        <f t="shared" si="238"/>
        <v>00</v>
      </c>
      <c r="J1368" s="26" t="str">
        <f>"33 "</f>
        <v xml:space="preserve">33 </v>
      </c>
      <c r="K1368" s="26" t="str">
        <f t="shared" si="239"/>
        <v>EP</v>
      </c>
      <c r="L1368" s="26" t="str">
        <f t="shared" si="240"/>
        <v>DGOSE</v>
      </c>
      <c r="M1368" s="26" t="str">
        <f t="shared" si="236"/>
        <v>PARTICULAR</v>
      </c>
      <c r="N1368" s="26">
        <v>255</v>
      </c>
      <c r="O1368" s="26">
        <v>127</v>
      </c>
      <c r="P1368" s="26">
        <v>128</v>
      </c>
      <c r="Q1368" s="26">
        <v>11</v>
      </c>
      <c r="R1368" s="26">
        <v>1</v>
      </c>
      <c r="S1368" s="26">
        <v>6</v>
      </c>
      <c r="T1368" s="26">
        <v>18</v>
      </c>
      <c r="U1368" s="26">
        <v>25</v>
      </c>
      <c r="V1368" s="26">
        <v>1</v>
      </c>
      <c r="W1368" s="26"/>
    </row>
    <row r="1369" spans="1:23" x14ac:dyDescent="0.25">
      <c r="A1369" s="26" t="str">
        <f t="shared" si="237"/>
        <v>PREESCOLAR</v>
      </c>
      <c r="B1369" s="26" t="str">
        <f>"09PJN1796F"</f>
        <v>09PJN1796F</v>
      </c>
      <c r="C1369" s="26" t="str">
        <f>"COLEGIO WILLIAMS                                                                                    "</f>
        <v xml:space="preserve">COLEGIO WILLIAMS                                                                                    </v>
      </c>
      <c r="D1369" s="26" t="str">
        <f t="shared" si="235"/>
        <v>MATUTINO</v>
      </c>
      <c r="E1369" s="26" t="str">
        <f>"PRESA REVENTADA NO. 53                                                          "</f>
        <v xml:space="preserve">PRESA REVENTADA NO. 53                                                          </v>
      </c>
      <c r="F1369" s="26" t="str">
        <f>"SAN JERONIMO LIDICE                                                                                                                         "</f>
        <v xml:space="preserve">SAN JERONIMO LIDICE                                                                                                                         </v>
      </c>
      <c r="G1369" s="26" t="str">
        <f>"LA MAGDALENA CONTRERAS                                                          "</f>
        <v xml:space="preserve">LA MAGDALENA CONTRERAS                                                          </v>
      </c>
      <c r="H1369" s="26" t="str">
        <f>"280"</f>
        <v>280</v>
      </c>
      <c r="I1369" s="26" t="str">
        <f t="shared" si="238"/>
        <v>00</v>
      </c>
      <c r="J1369" s="26" t="str">
        <f>"35 "</f>
        <v xml:space="preserve">35 </v>
      </c>
      <c r="K1369" s="26" t="str">
        <f t="shared" si="239"/>
        <v>EP</v>
      </c>
      <c r="L1369" s="26" t="str">
        <f t="shared" si="240"/>
        <v>DGOSE</v>
      </c>
      <c r="M1369" s="26" t="str">
        <f t="shared" si="236"/>
        <v>PARTICULAR</v>
      </c>
      <c r="N1369" s="26">
        <v>137</v>
      </c>
      <c r="O1369" s="26">
        <v>75</v>
      </c>
      <c r="P1369" s="26">
        <v>62</v>
      </c>
      <c r="Q1369" s="26">
        <v>9</v>
      </c>
      <c r="R1369" s="26">
        <v>1</v>
      </c>
      <c r="S1369" s="26">
        <v>5</v>
      </c>
      <c r="T1369" s="26">
        <v>21</v>
      </c>
      <c r="U1369" s="26">
        <v>27</v>
      </c>
      <c r="V1369" s="26">
        <v>1</v>
      </c>
      <c r="W1369" s="26"/>
    </row>
    <row r="1370" spans="1:23" x14ac:dyDescent="0.25">
      <c r="A1370" s="26" t="str">
        <f t="shared" si="237"/>
        <v>PREESCOLAR</v>
      </c>
      <c r="B1370" s="26" t="str">
        <f>"09PJN1800B"</f>
        <v>09PJN1800B</v>
      </c>
      <c r="C1370" s="26" t="str">
        <f>"PREESCOLAR OLIVAR DEL CONDE                                                                         "</f>
        <v xml:space="preserve">PREESCOLAR OLIVAR DEL CONDE                                                                         </v>
      </c>
      <c r="D1370" s="26" t="str">
        <f t="shared" si="235"/>
        <v>MATUTINO</v>
      </c>
      <c r="E1370" s="26" t="str">
        <f>"ROSA CHINA No. 44                                                               "</f>
        <v xml:space="preserve">ROSA CHINA No. 44                                                               </v>
      </c>
      <c r="F1370" s="26" t="str">
        <f>"MOLINO DE ROSAS                                                                                                                             "</f>
        <v xml:space="preserve">MOLINO DE ROSAS                                                                                                                             </v>
      </c>
      <c r="G1370" s="26" t="str">
        <f>"ALVARO OBREGON                                                                  "</f>
        <v xml:space="preserve">ALVARO OBREGON                                                                  </v>
      </c>
      <c r="H1370" s="26" t="str">
        <f>"165"</f>
        <v>165</v>
      </c>
      <c r="I1370" s="26" t="str">
        <f t="shared" si="238"/>
        <v>00</v>
      </c>
      <c r="J1370" s="26" t="str">
        <f>"33 "</f>
        <v xml:space="preserve">33 </v>
      </c>
      <c r="K1370" s="26" t="str">
        <f t="shared" si="239"/>
        <v>EP</v>
      </c>
      <c r="L1370" s="26" t="str">
        <f t="shared" si="240"/>
        <v>DGOSE</v>
      </c>
      <c r="M1370" s="26" t="str">
        <f t="shared" si="236"/>
        <v>PARTICULAR</v>
      </c>
      <c r="N1370" s="26">
        <v>111</v>
      </c>
      <c r="O1370" s="26">
        <v>47</v>
      </c>
      <c r="P1370" s="26">
        <v>64</v>
      </c>
      <c r="Q1370" s="26">
        <v>4</v>
      </c>
      <c r="R1370" s="26">
        <v>1</v>
      </c>
      <c r="S1370" s="26">
        <v>4</v>
      </c>
      <c r="T1370" s="26">
        <v>5</v>
      </c>
      <c r="U1370" s="26">
        <v>10</v>
      </c>
      <c r="V1370" s="26">
        <v>1</v>
      </c>
      <c r="W1370" s="26"/>
    </row>
    <row r="1371" spans="1:23" x14ac:dyDescent="0.25">
      <c r="A1371" s="26" t="str">
        <f t="shared" si="237"/>
        <v>PREESCOLAR</v>
      </c>
      <c r="B1371" s="26" t="str">
        <f>"09PJN1805X"</f>
        <v>09PJN1805X</v>
      </c>
      <c r="C1371" s="26" t="str">
        <f>"CENTRO EDUCATIVO JEAN PIAGET                                                                        "</f>
        <v xml:space="preserve">CENTRO EDUCATIVO JEAN PIAGET                                                                        </v>
      </c>
      <c r="D1371" s="26" t="str">
        <f t="shared" si="235"/>
        <v>MATUTINO</v>
      </c>
      <c r="E1371" s="26" t="s">
        <v>95</v>
      </c>
      <c r="F1371" s="26" t="str">
        <f>"SAN JUAN                                                                                                                                    "</f>
        <v xml:space="preserve">SAN JUAN                                                                                                                                    </v>
      </c>
      <c r="G1371" s="26" t="str">
        <f>"BENITO JUAREZ                                                                   "</f>
        <v xml:space="preserve">BENITO JUAREZ                                                                   </v>
      </c>
      <c r="H1371" s="26" t="str">
        <f>"110"</f>
        <v>110</v>
      </c>
      <c r="I1371" s="26" t="str">
        <f t="shared" si="238"/>
        <v>00</v>
      </c>
      <c r="J1371" s="26" t="str">
        <f>"33 "</f>
        <v xml:space="preserve">33 </v>
      </c>
      <c r="K1371" s="26" t="str">
        <f t="shared" si="239"/>
        <v>EP</v>
      </c>
      <c r="L1371" s="26" t="str">
        <f t="shared" si="240"/>
        <v>DGOSE</v>
      </c>
      <c r="M1371" s="26" t="str">
        <f t="shared" si="236"/>
        <v>PARTICULAR</v>
      </c>
      <c r="N1371" s="26">
        <v>98</v>
      </c>
      <c r="O1371" s="26">
        <v>49</v>
      </c>
      <c r="P1371" s="26">
        <v>49</v>
      </c>
      <c r="Q1371" s="26">
        <v>5</v>
      </c>
      <c r="R1371" s="26">
        <v>1</v>
      </c>
      <c r="S1371" s="26">
        <v>4</v>
      </c>
      <c r="T1371" s="26">
        <v>14</v>
      </c>
      <c r="U1371" s="26">
        <v>19</v>
      </c>
      <c r="V1371" s="26">
        <v>1</v>
      </c>
      <c r="W1371" s="26"/>
    </row>
    <row r="1372" spans="1:23" x14ac:dyDescent="0.25">
      <c r="A1372" s="26" t="str">
        <f t="shared" si="237"/>
        <v>PREESCOLAR</v>
      </c>
      <c r="B1372" s="26" t="str">
        <f>"09PJN1806W"</f>
        <v>09PJN1806W</v>
      </c>
      <c r="C1372" s="26" t="str">
        <f>"ESCUELA SIERRA NEVADA                                                                               "</f>
        <v xml:space="preserve">ESCUELA SIERRA NEVADA                                                                               </v>
      </c>
      <c r="D1372" s="26" t="str">
        <f t="shared" si="235"/>
        <v>MATUTINO</v>
      </c>
      <c r="E1372" s="26" t="str">
        <f>"REFORMA NO. 715                                                                 "</f>
        <v xml:space="preserve">REFORMA NO. 715                                                                 </v>
      </c>
      <c r="F1372" s="26" t="str">
        <f>"LOMAS DE CHAPULTEPEC                                                                                                                        "</f>
        <v xml:space="preserve">LOMAS DE CHAPULTEPEC                                                                                                                        </v>
      </c>
      <c r="G1372" s="26" t="str">
        <f>"MIGUEL HIDALGO                                                                  "</f>
        <v xml:space="preserve">MIGUEL HIDALGO                                                                  </v>
      </c>
      <c r="H1372" s="26" t="str">
        <f>"207"</f>
        <v>207</v>
      </c>
      <c r="I1372" s="26" t="str">
        <f t="shared" si="238"/>
        <v>00</v>
      </c>
      <c r="J1372" s="26" t="str">
        <f>"32 "</f>
        <v xml:space="preserve">32 </v>
      </c>
      <c r="K1372" s="26" t="str">
        <f t="shared" si="239"/>
        <v>EP</v>
      </c>
      <c r="L1372" s="26" t="str">
        <f t="shared" si="240"/>
        <v>DGOSE</v>
      </c>
      <c r="M1372" s="26" t="str">
        <f t="shared" si="236"/>
        <v>PARTICULAR</v>
      </c>
      <c r="N1372" s="26">
        <v>151</v>
      </c>
      <c r="O1372" s="26">
        <v>83</v>
      </c>
      <c r="P1372" s="26">
        <v>68</v>
      </c>
      <c r="Q1372" s="26">
        <v>8</v>
      </c>
      <c r="R1372" s="26">
        <v>1</v>
      </c>
      <c r="S1372" s="26">
        <v>8</v>
      </c>
      <c r="T1372" s="26">
        <v>6</v>
      </c>
      <c r="U1372" s="26">
        <v>15</v>
      </c>
      <c r="V1372" s="26">
        <v>1</v>
      </c>
      <c r="W1372" s="26"/>
    </row>
    <row r="1373" spans="1:23" x14ac:dyDescent="0.25">
      <c r="A1373" s="26" t="str">
        <f t="shared" si="237"/>
        <v>PREESCOLAR</v>
      </c>
      <c r="B1373" s="26" t="str">
        <f>"09PJN1807V"</f>
        <v>09PJN1807V</v>
      </c>
      <c r="C1373" s="26" t="str">
        <f>"KINDER ANDES                                                                                        "</f>
        <v xml:space="preserve">KINDER ANDES                                                                                        </v>
      </c>
      <c r="D1373" s="26" t="str">
        <f t="shared" si="235"/>
        <v>MATUTINO</v>
      </c>
      <c r="E1373" s="26" t="str">
        <f>"SIERRA CANDELA NO. 123                                                          "</f>
        <v xml:space="preserve">SIERRA CANDELA NO. 123                                                          </v>
      </c>
      <c r="F1373" s="26" t="str">
        <f>"LOMAS DE CHAPULTEPEC                                                                                                                        "</f>
        <v xml:space="preserve">LOMAS DE CHAPULTEPEC                                                                                                                        </v>
      </c>
      <c r="G1373" s="26" t="str">
        <f>"MIGUEL HIDALGO                                                                  "</f>
        <v xml:space="preserve">MIGUEL HIDALGO                                                                  </v>
      </c>
      <c r="H1373" s="26" t="str">
        <f>"193"</f>
        <v>193</v>
      </c>
      <c r="I1373" s="26" t="str">
        <f t="shared" si="238"/>
        <v>00</v>
      </c>
      <c r="J1373" s="26" t="str">
        <f>"32 "</f>
        <v xml:space="preserve">32 </v>
      </c>
      <c r="K1373" s="26" t="str">
        <f t="shared" si="239"/>
        <v>EP</v>
      </c>
      <c r="L1373" s="26" t="str">
        <f t="shared" si="240"/>
        <v>DGOSE</v>
      </c>
      <c r="M1373" s="26" t="str">
        <f t="shared" si="236"/>
        <v>PARTICULAR</v>
      </c>
      <c r="N1373" s="26">
        <v>149</v>
      </c>
      <c r="O1373" s="26">
        <v>77</v>
      </c>
      <c r="P1373" s="26">
        <v>72</v>
      </c>
      <c r="Q1373" s="26">
        <v>9</v>
      </c>
      <c r="R1373" s="26">
        <v>1</v>
      </c>
      <c r="S1373" s="26">
        <v>9</v>
      </c>
      <c r="T1373" s="26">
        <v>8</v>
      </c>
      <c r="U1373" s="26">
        <v>18</v>
      </c>
      <c r="V1373" s="26">
        <v>1</v>
      </c>
      <c r="W1373" s="26"/>
    </row>
    <row r="1374" spans="1:23" x14ac:dyDescent="0.25">
      <c r="A1374" s="26" t="str">
        <f t="shared" si="237"/>
        <v>PREESCOLAR</v>
      </c>
      <c r="B1374" s="26" t="str">
        <f>"09PJN1808U"</f>
        <v>09PJN1808U</v>
      </c>
      <c r="C1374" s="26" t="str">
        <f>"INSTITUTO HISPANO INGLES DE MEXICO                                                                  "</f>
        <v xml:space="preserve">INSTITUTO HISPANO INGLES DE MEXICO                                                                  </v>
      </c>
      <c r="D1374" s="26" t="str">
        <f t="shared" si="235"/>
        <v>MATUTINO</v>
      </c>
      <c r="E1374" s="26" t="str">
        <f>"GENERAL CANO NO. 153                                                            "</f>
        <v xml:space="preserve">GENERAL CANO NO. 153                                                            </v>
      </c>
      <c r="F1374" s="26" t="str">
        <f>"SAN MIGUEL CHAPULTEPEC                                                                                                                      "</f>
        <v xml:space="preserve">SAN MIGUEL CHAPULTEPEC                                                                                                                      </v>
      </c>
      <c r="G1374" s="26" t="str">
        <f>"MIGUEL HIDALGO                                                                  "</f>
        <v xml:space="preserve">MIGUEL HIDALGO                                                                  </v>
      </c>
      <c r="H1374" s="26" t="str">
        <f>"207"</f>
        <v>207</v>
      </c>
      <c r="I1374" s="26" t="str">
        <f t="shared" si="238"/>
        <v>00</v>
      </c>
      <c r="J1374" s="26" t="str">
        <f>"32 "</f>
        <v xml:space="preserve">32 </v>
      </c>
      <c r="K1374" s="26" t="str">
        <f t="shared" si="239"/>
        <v>EP</v>
      </c>
      <c r="L1374" s="26" t="str">
        <f t="shared" si="240"/>
        <v>DGOSE</v>
      </c>
      <c r="M1374" s="26" t="str">
        <f t="shared" si="236"/>
        <v>PARTICULAR</v>
      </c>
      <c r="N1374" s="26">
        <v>27</v>
      </c>
      <c r="O1374" s="26">
        <v>9</v>
      </c>
      <c r="P1374" s="26">
        <v>18</v>
      </c>
      <c r="Q1374" s="26">
        <v>3</v>
      </c>
      <c r="R1374" s="26">
        <v>1</v>
      </c>
      <c r="S1374" s="26">
        <v>3</v>
      </c>
      <c r="T1374" s="26">
        <v>6</v>
      </c>
      <c r="U1374" s="26">
        <v>10</v>
      </c>
      <c r="V1374" s="26">
        <v>1</v>
      </c>
      <c r="W1374" s="26"/>
    </row>
    <row r="1375" spans="1:23" x14ac:dyDescent="0.25">
      <c r="A1375" s="26" t="str">
        <f t="shared" si="237"/>
        <v>PREESCOLAR</v>
      </c>
      <c r="B1375" s="26" t="str">
        <f>"09PJN1810I"</f>
        <v>09PJN1810I</v>
      </c>
      <c r="C1375" s="26" t="str">
        <f>"COLEGIO DE EDUCACION INTEGRAL                                                                       "</f>
        <v xml:space="preserve">COLEGIO DE EDUCACION INTEGRAL                                                                       </v>
      </c>
      <c r="D1375" s="26" t="str">
        <f t="shared" si="235"/>
        <v>MATUTINO</v>
      </c>
      <c r="E1375" s="26" t="str">
        <f>"CAMINO A SAN PEDRO NO. 44                                                       "</f>
        <v xml:space="preserve">CAMINO A SAN PEDRO NO. 44                                                       </v>
      </c>
      <c r="F1375" s="26" t="str">
        <f>"LA JOYA                                                                                                                                     "</f>
        <v xml:space="preserve">LA JOYA                                                                                                                                     </v>
      </c>
      <c r="G1375" s="26" t="str">
        <f>"TLALPAN                                                                         "</f>
        <v xml:space="preserve">TLALPAN                                                                         </v>
      </c>
      <c r="H1375" s="26" t="str">
        <f>"132"</f>
        <v>132</v>
      </c>
      <c r="I1375" s="26" t="str">
        <f t="shared" si="238"/>
        <v>00</v>
      </c>
      <c r="J1375" s="26" t="str">
        <f>"35 "</f>
        <v xml:space="preserve">35 </v>
      </c>
      <c r="K1375" s="26" t="str">
        <f t="shared" si="239"/>
        <v>EP</v>
      </c>
      <c r="L1375" s="26" t="str">
        <f t="shared" si="240"/>
        <v>DGOSE</v>
      </c>
      <c r="M1375" s="26" t="str">
        <f t="shared" si="236"/>
        <v>PARTICULAR</v>
      </c>
      <c r="N1375" s="26">
        <v>20</v>
      </c>
      <c r="O1375" s="26">
        <v>11</v>
      </c>
      <c r="P1375" s="26">
        <v>9</v>
      </c>
      <c r="Q1375" s="26">
        <v>3</v>
      </c>
      <c r="R1375" s="26">
        <v>1</v>
      </c>
      <c r="S1375" s="26">
        <v>3</v>
      </c>
      <c r="T1375" s="26">
        <v>6</v>
      </c>
      <c r="U1375" s="26">
        <v>10</v>
      </c>
      <c r="V1375" s="26">
        <v>1</v>
      </c>
      <c r="W1375" s="26"/>
    </row>
    <row r="1376" spans="1:23" x14ac:dyDescent="0.25">
      <c r="A1376" s="26" t="str">
        <f t="shared" si="237"/>
        <v>PREESCOLAR</v>
      </c>
      <c r="B1376" s="26" t="str">
        <f>"09PJN1820P"</f>
        <v>09PJN1820P</v>
      </c>
      <c r="C1376" s="26" t="str">
        <f>"JARDIN DE NIÑOS PRIMAVERA                                                                           "</f>
        <v xml:space="preserve">JARDIN DE NIÑOS PRIMAVERA                                                                           </v>
      </c>
      <c r="D1376" s="26" t="str">
        <f t="shared" si="235"/>
        <v>MATUTINO</v>
      </c>
      <c r="E1376" s="26" t="str">
        <f>"AV.ROBERTO ESQUERRA PEAZA LT.13-A MZA.18                                        "</f>
        <v xml:space="preserve">AV.ROBERTO ESQUERRA PEAZA LT.13-A MZA.18                                        </v>
      </c>
      <c r="F1376" s="26" t="str">
        <f>"PALMATITLA                                                                                                                                  "</f>
        <v xml:space="preserve">PALMATITLA                                                                                                                                  </v>
      </c>
      <c r="G1376" s="26" t="str">
        <f>"GUSTAVO A. MADERO                                                               "</f>
        <v xml:space="preserve">GUSTAVO A. MADERO                                                               </v>
      </c>
      <c r="H1376" s="26" t="str">
        <f>"154"</f>
        <v>154</v>
      </c>
      <c r="I1376" s="26" t="str">
        <f t="shared" si="238"/>
        <v>00</v>
      </c>
      <c r="J1376" s="26" t="str">
        <f>"32 "</f>
        <v xml:space="preserve">32 </v>
      </c>
      <c r="K1376" s="26" t="str">
        <f t="shared" si="239"/>
        <v>EP</v>
      </c>
      <c r="L1376" s="26" t="str">
        <f t="shared" si="240"/>
        <v>DGOSE</v>
      </c>
      <c r="M1376" s="26" t="str">
        <f t="shared" si="236"/>
        <v>PARTICULAR</v>
      </c>
      <c r="N1376" s="26">
        <v>37</v>
      </c>
      <c r="O1376" s="26">
        <v>22</v>
      </c>
      <c r="P1376" s="26">
        <v>15</v>
      </c>
      <c r="Q1376" s="26">
        <v>3</v>
      </c>
      <c r="R1376" s="26">
        <v>1</v>
      </c>
      <c r="S1376" s="26">
        <v>3</v>
      </c>
      <c r="T1376" s="26">
        <v>1</v>
      </c>
      <c r="U1376" s="26">
        <v>5</v>
      </c>
      <c r="V1376" s="26">
        <v>1</v>
      </c>
      <c r="W1376" s="26"/>
    </row>
    <row r="1377" spans="1:23" x14ac:dyDescent="0.25">
      <c r="A1377" s="26" t="str">
        <f t="shared" si="237"/>
        <v>PREESCOLAR</v>
      </c>
      <c r="B1377" s="26" t="str">
        <f>"09PJN1823M"</f>
        <v>09PJN1823M</v>
      </c>
      <c r="C1377" s="26" t="str">
        <f>"COLEGIO NICOLAS BRAVO                                                                               "</f>
        <v xml:space="preserve">COLEGIO NICOLAS BRAVO                                                                               </v>
      </c>
      <c r="D1377" s="26" t="str">
        <f t="shared" si="235"/>
        <v>MATUTINO</v>
      </c>
      <c r="E1377" s="26" t="str">
        <f>"AV. 5 DE MAYO NO. 162                                                           "</f>
        <v xml:space="preserve">AV. 5 DE MAYO NO. 162                                                           </v>
      </c>
      <c r="F1377" s="26" t="str">
        <f>"SAN LUCAS                                                                                                                                   "</f>
        <v xml:space="preserve">SAN LUCAS                                                                                                                                   </v>
      </c>
      <c r="G1377" s="26" t="str">
        <f>"IZTAPALAPA                                                                      "</f>
        <v xml:space="preserve">IZTAPALAPA                                                                      </v>
      </c>
      <c r="H1377" s="26" t="str">
        <f>"000"</f>
        <v>000</v>
      </c>
      <c r="I1377" s="26" t="str">
        <f t="shared" si="238"/>
        <v>00</v>
      </c>
      <c r="J1377" s="26" t="str">
        <f>"61 "</f>
        <v xml:space="preserve">61 </v>
      </c>
      <c r="K1377" s="26" t="str">
        <f>"IZ"</f>
        <v>IZ</v>
      </c>
      <c r="L1377" s="26" t="str">
        <f>"DGSEI"</f>
        <v>DGSEI</v>
      </c>
      <c r="M1377" s="26" t="str">
        <f t="shared" si="236"/>
        <v>PARTICULAR</v>
      </c>
      <c r="N1377" s="26">
        <v>48</v>
      </c>
      <c r="O1377" s="26">
        <v>25</v>
      </c>
      <c r="P1377" s="26">
        <v>23</v>
      </c>
      <c r="Q1377" s="26">
        <v>3</v>
      </c>
      <c r="R1377" s="26">
        <v>1</v>
      </c>
      <c r="S1377" s="26">
        <v>3</v>
      </c>
      <c r="T1377" s="26">
        <v>9</v>
      </c>
      <c r="U1377" s="26">
        <v>13</v>
      </c>
      <c r="V1377" s="26">
        <v>1</v>
      </c>
      <c r="W1377" s="26"/>
    </row>
    <row r="1378" spans="1:23" x14ac:dyDescent="0.25">
      <c r="A1378" s="26" t="str">
        <f t="shared" si="237"/>
        <v>PREESCOLAR</v>
      </c>
      <c r="B1378" s="26" t="str">
        <f>"09PJN1824L"</f>
        <v>09PJN1824L</v>
      </c>
      <c r="C1378" s="26" t="str">
        <f>"COLEGIO DEL BOSQUE                                                                                  "</f>
        <v xml:space="preserve">COLEGIO DEL BOSQUE                                                                                  </v>
      </c>
      <c r="D1378" s="26" t="str">
        <f t="shared" si="235"/>
        <v>MATUTINO</v>
      </c>
      <c r="E1378" s="26" t="str">
        <f>"BOSQUES DE HUIZACHES No. 3                                                      "</f>
        <v xml:space="preserve">BOSQUES DE HUIZACHES No. 3                                                      </v>
      </c>
      <c r="F1378" s="26" t="str">
        <f>"BOSQUES DE LAS LOMAS                                                                                                                        "</f>
        <v xml:space="preserve">BOSQUES DE LAS LOMAS                                                                                                                        </v>
      </c>
      <c r="G1378" s="26" t="str">
        <f>"CUAJIMALPA DE MORELOS                                                           "</f>
        <v xml:space="preserve">CUAJIMALPA DE MORELOS                                                           </v>
      </c>
      <c r="H1378" s="26" t="str">
        <f>"089"</f>
        <v>089</v>
      </c>
      <c r="I1378" s="26" t="str">
        <f t="shared" si="238"/>
        <v>00</v>
      </c>
      <c r="J1378" s="26" t="str">
        <f>"33 "</f>
        <v xml:space="preserve">33 </v>
      </c>
      <c r="K1378" s="26" t="str">
        <f>"EP"</f>
        <v>EP</v>
      </c>
      <c r="L1378" s="26" t="str">
        <f>"DGOSE"</f>
        <v>DGOSE</v>
      </c>
      <c r="M1378" s="26" t="str">
        <f t="shared" si="236"/>
        <v>PARTICULAR</v>
      </c>
      <c r="N1378" s="26">
        <v>97</v>
      </c>
      <c r="O1378" s="26">
        <v>0</v>
      </c>
      <c r="P1378" s="26">
        <v>97</v>
      </c>
      <c r="Q1378" s="26">
        <v>6</v>
      </c>
      <c r="R1378" s="26">
        <v>1</v>
      </c>
      <c r="S1378" s="26">
        <v>6</v>
      </c>
      <c r="T1378" s="26">
        <v>4</v>
      </c>
      <c r="U1378" s="26">
        <v>11</v>
      </c>
      <c r="V1378" s="26">
        <v>1</v>
      </c>
      <c r="W1378" s="26"/>
    </row>
    <row r="1379" spans="1:23" x14ac:dyDescent="0.25">
      <c r="A1379" s="26" t="str">
        <f t="shared" si="237"/>
        <v>PREESCOLAR</v>
      </c>
      <c r="B1379" s="26" t="str">
        <f>"09PJN1825K"</f>
        <v>09PJN1825K</v>
      </c>
      <c r="C1379" s="26" t="str">
        <f>"JARDÍN DE NIÑOS IGNACIO M. ALTAMIRANO                                                               "</f>
        <v xml:space="preserve">JARDÍN DE NIÑOS IGNACIO M. ALTAMIRANO                                                               </v>
      </c>
      <c r="D1379" s="26" t="str">
        <f t="shared" si="235"/>
        <v>MATUTINO</v>
      </c>
      <c r="E1379" s="26" t="str">
        <f>"PROSPERIDAD NO. 91                                                              "</f>
        <v xml:space="preserve">PROSPERIDAD NO. 91                                                              </v>
      </c>
      <c r="F1379" s="26" t="str">
        <f>"ESCANDON                                                                                                                                    "</f>
        <v xml:space="preserve">ESCANDON                                                                                                                                    </v>
      </c>
      <c r="G1379" s="26" t="str">
        <f>"MIGUEL HIDALGO                                                                  "</f>
        <v xml:space="preserve">MIGUEL HIDALGO                                                                  </v>
      </c>
      <c r="H1379" s="26" t="str">
        <f>"014"</f>
        <v>014</v>
      </c>
      <c r="I1379" s="26" t="str">
        <f t="shared" si="238"/>
        <v>00</v>
      </c>
      <c r="J1379" s="26" t="str">
        <f>"32 "</f>
        <v xml:space="preserve">32 </v>
      </c>
      <c r="K1379" s="26" t="str">
        <f>"EP"</f>
        <v>EP</v>
      </c>
      <c r="L1379" s="26" t="str">
        <f>"DGOSE"</f>
        <v>DGOSE</v>
      </c>
      <c r="M1379" s="26" t="str">
        <f t="shared" si="236"/>
        <v>PARTICULAR</v>
      </c>
      <c r="N1379" s="26">
        <v>16</v>
      </c>
      <c r="O1379" s="26">
        <v>11</v>
      </c>
      <c r="P1379" s="26">
        <v>5</v>
      </c>
      <c r="Q1379" s="26">
        <v>3</v>
      </c>
      <c r="R1379" s="26">
        <v>1</v>
      </c>
      <c r="S1379" s="26">
        <v>3</v>
      </c>
      <c r="T1379" s="26">
        <v>5</v>
      </c>
      <c r="U1379" s="26">
        <v>9</v>
      </c>
      <c r="V1379" s="26">
        <v>1</v>
      </c>
      <c r="W1379" s="26"/>
    </row>
    <row r="1380" spans="1:23" x14ac:dyDescent="0.25">
      <c r="A1380" s="26" t="str">
        <f t="shared" si="237"/>
        <v>PREESCOLAR</v>
      </c>
      <c r="B1380" s="26" t="str">
        <f>"09PJN1828H"</f>
        <v>09PJN1828H</v>
      </c>
      <c r="C1380" s="26" t="str">
        <f>"COLEGIO ALEXANDER BAIN                                                                              "</f>
        <v xml:space="preserve">COLEGIO ALEXANDER BAIN                                                                              </v>
      </c>
      <c r="D1380" s="26" t="str">
        <f t="shared" si="235"/>
        <v>MATUTINO</v>
      </c>
      <c r="E1380" s="26" t="str">
        <f>"BARRANCA DE PILARES S/N                                                         "</f>
        <v xml:space="preserve">BARRANCA DE PILARES S/N                                                         </v>
      </c>
      <c r="F1380" s="26" t="str">
        <f>"TLACOPAC                                                                                                                                    "</f>
        <v xml:space="preserve">TLACOPAC                                                                                                                                    </v>
      </c>
      <c r="G1380" s="26" t="str">
        <f>"ALVARO OBREGON                                                                  "</f>
        <v xml:space="preserve">ALVARO OBREGON                                                                  </v>
      </c>
      <c r="H1380" s="26" t="str">
        <f>"215"</f>
        <v>215</v>
      </c>
      <c r="I1380" s="26" t="str">
        <f t="shared" si="238"/>
        <v>00</v>
      </c>
      <c r="J1380" s="26" t="str">
        <f>"33 "</f>
        <v xml:space="preserve">33 </v>
      </c>
      <c r="K1380" s="26" t="str">
        <f>"EP"</f>
        <v>EP</v>
      </c>
      <c r="L1380" s="26" t="str">
        <f>"DGOSE"</f>
        <v>DGOSE</v>
      </c>
      <c r="M1380" s="26" t="str">
        <f t="shared" si="236"/>
        <v>PARTICULAR</v>
      </c>
      <c r="N1380" s="26">
        <v>26</v>
      </c>
      <c r="O1380" s="26">
        <v>12</v>
      </c>
      <c r="P1380" s="26">
        <v>14</v>
      </c>
      <c r="Q1380" s="26">
        <v>3</v>
      </c>
      <c r="R1380" s="26">
        <v>1</v>
      </c>
      <c r="S1380" s="26">
        <v>3</v>
      </c>
      <c r="T1380" s="26">
        <v>6</v>
      </c>
      <c r="U1380" s="26">
        <v>10</v>
      </c>
      <c r="V1380" s="26">
        <v>1</v>
      </c>
      <c r="W1380" s="26"/>
    </row>
    <row r="1381" spans="1:23" x14ac:dyDescent="0.25">
      <c r="A1381" s="26" t="str">
        <f t="shared" si="237"/>
        <v>PREESCOLAR</v>
      </c>
      <c r="B1381" s="26" t="str">
        <f>"09PJN1836Q"</f>
        <v>09PJN1836Q</v>
      </c>
      <c r="C1381" s="26" t="str">
        <f>"CENTRO PREESCOLAR CALMECAC                                                                          "</f>
        <v xml:space="preserve">CENTRO PREESCOLAR CALMECAC                                                                          </v>
      </c>
      <c r="D1381" s="26" t="str">
        <f t="shared" si="235"/>
        <v>MATUTINO</v>
      </c>
      <c r="E1381" s="26" t="str">
        <f>"JUAN LESLIE S/N MZ. 19 LT. 2                                                    "</f>
        <v xml:space="preserve">JUAN LESLIE S/N MZ. 19 LT. 2                                                    </v>
      </c>
      <c r="F1381" s="26" t="str">
        <f>"FUEGO NUEVO                                                                                                                                 "</f>
        <v xml:space="preserve">FUEGO NUEVO                                                                                                                                 </v>
      </c>
      <c r="G1381" s="26" t="str">
        <f>"IZTAPALAPA                                                                      "</f>
        <v xml:space="preserve">IZTAPALAPA                                                                      </v>
      </c>
      <c r="H1381" s="26" t="str">
        <f>"000"</f>
        <v>000</v>
      </c>
      <c r="I1381" s="26" t="str">
        <f t="shared" si="238"/>
        <v>00</v>
      </c>
      <c r="J1381" s="26" t="str">
        <f>"63 "</f>
        <v xml:space="preserve">63 </v>
      </c>
      <c r="K1381" s="26" t="str">
        <f>"IZ"</f>
        <v>IZ</v>
      </c>
      <c r="L1381" s="26" t="str">
        <f>"DGSEI"</f>
        <v>DGSEI</v>
      </c>
      <c r="M1381" s="26" t="str">
        <f t="shared" si="236"/>
        <v>PARTICULAR</v>
      </c>
      <c r="N1381" s="26">
        <v>29</v>
      </c>
      <c r="O1381" s="26">
        <v>10</v>
      </c>
      <c r="P1381" s="26">
        <v>19</v>
      </c>
      <c r="Q1381" s="26">
        <v>3</v>
      </c>
      <c r="R1381" s="26">
        <v>1</v>
      </c>
      <c r="S1381" s="26">
        <v>1</v>
      </c>
      <c r="T1381" s="26">
        <v>1</v>
      </c>
      <c r="U1381" s="26">
        <v>3</v>
      </c>
      <c r="V1381" s="26">
        <v>1</v>
      </c>
      <c r="W1381" s="26"/>
    </row>
    <row r="1382" spans="1:23" x14ac:dyDescent="0.25">
      <c r="A1382" s="26" t="str">
        <f t="shared" si="237"/>
        <v>PREESCOLAR</v>
      </c>
      <c r="B1382" s="26" t="str">
        <f>"09PJN1849U"</f>
        <v>09PJN1849U</v>
      </c>
      <c r="C1382" s="26" t="str">
        <f>"EL TESORO DEL SABER                                                                                 "</f>
        <v xml:space="preserve">EL TESORO DEL SABER                                                                                 </v>
      </c>
      <c r="D1382" s="26" t="str">
        <f t="shared" si="235"/>
        <v>MATUTINO</v>
      </c>
      <c r="E1382" s="26" t="str">
        <f>"AV. RIO CONSULADO NO. 4108                                                      "</f>
        <v xml:space="preserve">AV. RIO CONSULADO NO. 4108                                                      </v>
      </c>
      <c r="F1382" s="26" t="str">
        <f>"MALINCHE                                                                                                                                    "</f>
        <v xml:space="preserve">MALINCHE                                                                                                                                    </v>
      </c>
      <c r="G1382" s="26" t="str">
        <f>"GUSTAVO A. MADERO                                                               "</f>
        <v xml:space="preserve">GUSTAVO A. MADERO                                                               </v>
      </c>
      <c r="H1382" s="26" t="str">
        <f>"198"</f>
        <v>198</v>
      </c>
      <c r="I1382" s="26" t="str">
        <f t="shared" si="238"/>
        <v>00</v>
      </c>
      <c r="J1382" s="26" t="str">
        <f>"32 "</f>
        <v xml:space="preserve">32 </v>
      </c>
      <c r="K1382" s="26" t="str">
        <f>"EP"</f>
        <v>EP</v>
      </c>
      <c r="L1382" s="26" t="str">
        <f>"DGOSE"</f>
        <v>DGOSE</v>
      </c>
      <c r="M1382" s="26" t="str">
        <f t="shared" si="236"/>
        <v>PARTICULAR</v>
      </c>
      <c r="N1382" s="26">
        <v>176</v>
      </c>
      <c r="O1382" s="26">
        <v>81</v>
      </c>
      <c r="P1382" s="26">
        <v>95</v>
      </c>
      <c r="Q1382" s="26">
        <v>8</v>
      </c>
      <c r="R1382" s="26">
        <v>1</v>
      </c>
      <c r="S1382" s="26">
        <v>8</v>
      </c>
      <c r="T1382" s="26">
        <v>5</v>
      </c>
      <c r="U1382" s="26">
        <v>14</v>
      </c>
      <c r="V1382" s="26">
        <v>1</v>
      </c>
      <c r="W1382" s="26"/>
    </row>
    <row r="1383" spans="1:23" x14ac:dyDescent="0.25">
      <c r="A1383" s="26" t="str">
        <f t="shared" si="237"/>
        <v>PREESCOLAR</v>
      </c>
      <c r="B1383" s="26" t="str">
        <f>"09PJN1864M"</f>
        <v>09PJN1864M</v>
      </c>
      <c r="C1383" s="26" t="str">
        <f>"LOS SIETE ENANITOS                                                                                  "</f>
        <v xml:space="preserve">LOS SIETE ENANITOS                                                                                  </v>
      </c>
      <c r="D1383" s="26" t="str">
        <f t="shared" si="235"/>
        <v>MATUTINO</v>
      </c>
      <c r="E1383" s="26" t="str">
        <f>"AV. DE LAS TORRES MZ. 88 LT. 5                                                  "</f>
        <v xml:space="preserve">AV. DE LAS TORRES MZ. 88 LT. 5                                                  </v>
      </c>
      <c r="F1383" s="26" t="str">
        <f>"SAN MIGUEL TEOTONGO                                                                                                                         "</f>
        <v xml:space="preserve">SAN MIGUEL TEOTONGO                                                                                                                         </v>
      </c>
      <c r="G1383" s="26" t="str">
        <f>"IZTAPALAPA                                                                      "</f>
        <v xml:space="preserve">IZTAPALAPA                                                                      </v>
      </c>
      <c r="H1383" s="26" t="str">
        <f>"000"</f>
        <v>000</v>
      </c>
      <c r="I1383" s="26" t="str">
        <f t="shared" si="238"/>
        <v>00</v>
      </c>
      <c r="J1383" s="26" t="str">
        <f>"64 "</f>
        <v xml:space="preserve">64 </v>
      </c>
      <c r="K1383" s="26" t="str">
        <f>"IZ"</f>
        <v>IZ</v>
      </c>
      <c r="L1383" s="26" t="str">
        <f>"DGSEI"</f>
        <v>DGSEI</v>
      </c>
      <c r="M1383" s="26" t="str">
        <f t="shared" si="236"/>
        <v>PARTICULAR</v>
      </c>
      <c r="N1383" s="26">
        <v>12</v>
      </c>
      <c r="O1383" s="26">
        <v>6</v>
      </c>
      <c r="P1383" s="26">
        <v>6</v>
      </c>
      <c r="Q1383" s="26">
        <v>2</v>
      </c>
      <c r="R1383" s="26">
        <v>1</v>
      </c>
      <c r="S1383" s="26">
        <v>2</v>
      </c>
      <c r="T1383" s="26">
        <v>0</v>
      </c>
      <c r="U1383" s="26">
        <v>3</v>
      </c>
      <c r="V1383" s="26">
        <v>1</v>
      </c>
      <c r="W1383" s="26"/>
    </row>
    <row r="1384" spans="1:23" x14ac:dyDescent="0.25">
      <c r="A1384" s="26" t="str">
        <f t="shared" si="237"/>
        <v>PREESCOLAR</v>
      </c>
      <c r="B1384" s="26" t="str">
        <f>"09PJN1882B"</f>
        <v>09PJN1882B</v>
      </c>
      <c r="C1384" s="26" t="str">
        <f>"JARDIN DE NIÑOS ESTADO DE CAMPECHE                                                                  "</f>
        <v xml:space="preserve">JARDIN DE NIÑOS ESTADO DE CAMPECHE                                                                  </v>
      </c>
      <c r="D1384" s="26" t="str">
        <f t="shared" si="235"/>
        <v>MATUTINO</v>
      </c>
      <c r="E1384" s="26" t="str">
        <f>"MAR DE LAS LLUVIAS MZA. 104-C LT. 1                                             "</f>
        <v xml:space="preserve">MAR DE LAS LLUVIAS MZA. 104-C LT. 1                                             </v>
      </c>
      <c r="F1384" s="26" t="str">
        <f>"SELENE AMPLIACION                                                                                                                           "</f>
        <v xml:space="preserve">SELENE AMPLIACION                                                                                                                           </v>
      </c>
      <c r="G1384" s="26" t="str">
        <f>"TLAHUAC                                                                         "</f>
        <v xml:space="preserve">TLAHUAC                                                                         </v>
      </c>
      <c r="H1384" s="26" t="str">
        <f>"223"</f>
        <v>223</v>
      </c>
      <c r="I1384" s="26" t="str">
        <f t="shared" si="238"/>
        <v>00</v>
      </c>
      <c r="J1384" s="26" t="str">
        <f>"35 "</f>
        <v xml:space="preserve">35 </v>
      </c>
      <c r="K1384" s="26" t="str">
        <f>"EP"</f>
        <v>EP</v>
      </c>
      <c r="L1384" s="26" t="str">
        <f>"DGOSE"</f>
        <v>DGOSE</v>
      </c>
      <c r="M1384" s="26" t="str">
        <f t="shared" si="236"/>
        <v>PARTICULAR</v>
      </c>
      <c r="N1384" s="26">
        <v>29</v>
      </c>
      <c r="O1384" s="26">
        <v>13</v>
      </c>
      <c r="P1384" s="26">
        <v>16</v>
      </c>
      <c r="Q1384" s="26">
        <v>3</v>
      </c>
      <c r="R1384" s="26">
        <v>1</v>
      </c>
      <c r="S1384" s="26">
        <v>3</v>
      </c>
      <c r="T1384" s="26">
        <v>4</v>
      </c>
      <c r="U1384" s="26">
        <v>8</v>
      </c>
      <c r="V1384" s="26">
        <v>1</v>
      </c>
      <c r="W1384" s="26"/>
    </row>
    <row r="1385" spans="1:23" x14ac:dyDescent="0.25">
      <c r="A1385" s="26" t="str">
        <f t="shared" si="237"/>
        <v>PREESCOLAR</v>
      </c>
      <c r="B1385" s="26" t="str">
        <f>"09PJN1894G"</f>
        <v>09PJN1894G</v>
      </c>
      <c r="C1385" s="26" t="str">
        <f>"RENE DESCARTES                                                                                      "</f>
        <v xml:space="preserve">RENE DESCARTES                                                                                      </v>
      </c>
      <c r="D1385" s="26" t="str">
        <f t="shared" si="235"/>
        <v>MATUTINO</v>
      </c>
      <c r="E1385" s="26" t="str">
        <f>"VIVEROS NO. 33                                                                  "</f>
        <v xml:space="preserve">VIVEROS NO. 33                                                                  </v>
      </c>
      <c r="F1385" s="26" t="str">
        <f>"SANTA MARIA TOMATLAN                                                                                                                        "</f>
        <v xml:space="preserve">SANTA MARIA TOMATLAN                                                                                                                        </v>
      </c>
      <c r="G1385" s="26" t="str">
        <f t="shared" ref="G1385:G1420" si="243">"IZTAPALAPA                                                                      "</f>
        <v xml:space="preserve">IZTAPALAPA                                                                      </v>
      </c>
      <c r="H1385" s="26" t="str">
        <f t="shared" ref="H1385:H1420" si="244">"000"</f>
        <v>000</v>
      </c>
      <c r="I1385" s="26" t="str">
        <f t="shared" si="238"/>
        <v>00</v>
      </c>
      <c r="J1385" s="26" t="str">
        <f>"63 "</f>
        <v xml:space="preserve">63 </v>
      </c>
      <c r="K1385" s="26" t="str">
        <f t="shared" ref="K1385:K1420" si="245">"IZ"</f>
        <v>IZ</v>
      </c>
      <c r="L1385" s="26" t="str">
        <f t="shared" ref="L1385:L1420" si="246">"DGSEI"</f>
        <v>DGSEI</v>
      </c>
      <c r="M1385" s="26" t="str">
        <f t="shared" si="236"/>
        <v>PARTICULAR</v>
      </c>
      <c r="N1385" s="26">
        <v>35</v>
      </c>
      <c r="O1385" s="26">
        <v>16</v>
      </c>
      <c r="P1385" s="26">
        <v>19</v>
      </c>
      <c r="Q1385" s="26">
        <v>3</v>
      </c>
      <c r="R1385" s="26">
        <v>1</v>
      </c>
      <c r="S1385" s="26">
        <v>3</v>
      </c>
      <c r="T1385" s="26">
        <v>1</v>
      </c>
      <c r="U1385" s="26">
        <v>5</v>
      </c>
      <c r="V1385" s="26">
        <v>1</v>
      </c>
      <c r="W1385" s="26"/>
    </row>
    <row r="1386" spans="1:23" x14ac:dyDescent="0.25">
      <c r="A1386" s="26" t="str">
        <f t="shared" si="237"/>
        <v>PREESCOLAR</v>
      </c>
      <c r="B1386" s="26" t="str">
        <f>"09PJN1895F"</f>
        <v>09PJN1895F</v>
      </c>
      <c r="C1386" s="26" t="str">
        <f>"HOMBRES DEL FUTURO                                                                                  "</f>
        <v xml:space="preserve">HOMBRES DEL FUTURO                                                                                  </v>
      </c>
      <c r="D1386" s="26" t="str">
        <f t="shared" si="235"/>
        <v>MATUTINO</v>
      </c>
      <c r="E1386" s="26" t="str">
        <f>"PALMAR NO. 22 MZ. 198. ANTES MEMBRILLO                                          "</f>
        <v xml:space="preserve">PALMAR NO. 22 MZ. 198. ANTES MEMBRILLO                                          </v>
      </c>
      <c r="F1386" s="26" t="str">
        <f>"SANTIAGO ACAHUALTEPEC AMPLIACION                                                                                                            "</f>
        <v xml:space="preserve">SANTIAGO ACAHUALTEPEC AMPLIACION                                                                                                            </v>
      </c>
      <c r="G1386" s="26" t="str">
        <f t="shared" si="243"/>
        <v xml:space="preserve">IZTAPALAPA                                                                      </v>
      </c>
      <c r="H1386" s="26" t="str">
        <f t="shared" si="244"/>
        <v>000</v>
      </c>
      <c r="I1386" s="26" t="str">
        <f t="shared" si="238"/>
        <v>00</v>
      </c>
      <c r="J1386" s="26" t="str">
        <f>"64 "</f>
        <v xml:space="preserve">64 </v>
      </c>
      <c r="K1386" s="26" t="str">
        <f t="shared" si="245"/>
        <v>IZ</v>
      </c>
      <c r="L1386" s="26" t="str">
        <f t="shared" si="246"/>
        <v>DGSEI</v>
      </c>
      <c r="M1386" s="26" t="str">
        <f t="shared" si="236"/>
        <v>PARTICULAR</v>
      </c>
      <c r="N1386" s="26">
        <v>22</v>
      </c>
      <c r="O1386" s="26">
        <v>8</v>
      </c>
      <c r="P1386" s="26">
        <v>14</v>
      </c>
      <c r="Q1386" s="26">
        <v>3</v>
      </c>
      <c r="R1386" s="26">
        <v>1</v>
      </c>
      <c r="S1386" s="26">
        <v>1</v>
      </c>
      <c r="T1386" s="26">
        <v>3</v>
      </c>
      <c r="U1386" s="26">
        <v>5</v>
      </c>
      <c r="V1386" s="26">
        <v>1</v>
      </c>
      <c r="W1386" s="26"/>
    </row>
    <row r="1387" spans="1:23" x14ac:dyDescent="0.25">
      <c r="A1387" s="26" t="str">
        <f t="shared" si="237"/>
        <v>PREESCOLAR</v>
      </c>
      <c r="B1387" s="26" t="str">
        <f>"09PJN1916B"</f>
        <v>09PJN1916B</v>
      </c>
      <c r="C1387" s="26" t="str">
        <f>"CENTRO DE ATENCION ESCOLAR ESTRELLITA                                                               "</f>
        <v xml:space="preserve">CENTRO DE ATENCION ESCOLAR ESTRELLITA                                                               </v>
      </c>
      <c r="D1387" s="26" t="str">
        <f t="shared" si="235"/>
        <v>MATUTINO</v>
      </c>
      <c r="E1387" s="26" t="str">
        <f>"JAIME NUNO S/N MZ. 145 LT. 13                                                   "</f>
        <v xml:space="preserve">JAIME NUNO S/N MZ. 145 LT. 13                                                   </v>
      </c>
      <c r="F1387" s="26" t="str">
        <f>"IXTLAHUACAN                                                                                                                                 "</f>
        <v xml:space="preserve">IXTLAHUACAN                                                                                                                                 </v>
      </c>
      <c r="G1387" s="26" t="str">
        <f t="shared" si="243"/>
        <v xml:space="preserve">IZTAPALAPA                                                                      </v>
      </c>
      <c r="H1387" s="26" t="str">
        <f t="shared" si="244"/>
        <v>000</v>
      </c>
      <c r="I1387" s="26" t="str">
        <f t="shared" si="238"/>
        <v>00</v>
      </c>
      <c r="J1387" s="26" t="str">
        <f>"64 "</f>
        <v xml:space="preserve">64 </v>
      </c>
      <c r="K1387" s="26" t="str">
        <f t="shared" si="245"/>
        <v>IZ</v>
      </c>
      <c r="L1387" s="26" t="str">
        <f t="shared" si="246"/>
        <v>DGSEI</v>
      </c>
      <c r="M1387" s="26" t="str">
        <f t="shared" si="236"/>
        <v>PARTICULAR</v>
      </c>
      <c r="N1387" s="26">
        <v>43</v>
      </c>
      <c r="O1387" s="26">
        <v>16</v>
      </c>
      <c r="P1387" s="26">
        <v>27</v>
      </c>
      <c r="Q1387" s="26">
        <v>3</v>
      </c>
      <c r="R1387" s="26">
        <v>1</v>
      </c>
      <c r="S1387" s="26">
        <v>3</v>
      </c>
      <c r="T1387" s="26">
        <v>4</v>
      </c>
      <c r="U1387" s="26">
        <v>8</v>
      </c>
      <c r="V1387" s="26">
        <v>1</v>
      </c>
      <c r="W1387" s="26"/>
    </row>
    <row r="1388" spans="1:23" x14ac:dyDescent="0.25">
      <c r="A1388" s="26" t="str">
        <f t="shared" si="237"/>
        <v>PREESCOLAR</v>
      </c>
      <c r="B1388" s="26" t="str">
        <f>"09PJN1921N"</f>
        <v>09PJN1921N</v>
      </c>
      <c r="C1388" s="26" t="str">
        <f>"BERTHA VON  GLUMER                                                                                  "</f>
        <v xml:space="preserve">BERTHA VON  GLUMER                                                                                  </v>
      </c>
      <c r="D1388" s="26" t="str">
        <f t="shared" si="235"/>
        <v>MATUTINO</v>
      </c>
      <c r="E1388" s="26" t="str">
        <f>"MENGIBAR NO. 29 Y 31                                                            "</f>
        <v xml:space="preserve">MENGIBAR NO. 29 Y 31                                                            </v>
      </c>
      <c r="F1388" s="26" t="str">
        <f>"CERRO DE LA ESTRELLA                                                                                                                        "</f>
        <v xml:space="preserve">CERRO DE LA ESTRELLA                                                                                                                        </v>
      </c>
      <c r="G1388" s="26" t="str">
        <f t="shared" si="243"/>
        <v xml:space="preserve">IZTAPALAPA                                                                      </v>
      </c>
      <c r="H1388" s="26" t="str">
        <f t="shared" si="244"/>
        <v>000</v>
      </c>
      <c r="I1388" s="26" t="str">
        <f t="shared" si="238"/>
        <v>00</v>
      </c>
      <c r="J1388" s="26" t="str">
        <f>"63 "</f>
        <v xml:space="preserve">63 </v>
      </c>
      <c r="K1388" s="26" t="str">
        <f t="shared" si="245"/>
        <v>IZ</v>
      </c>
      <c r="L1388" s="26" t="str">
        <f t="shared" si="246"/>
        <v>DGSEI</v>
      </c>
      <c r="M1388" s="26" t="str">
        <f t="shared" si="236"/>
        <v>PARTICULAR</v>
      </c>
      <c r="N1388" s="26">
        <v>26</v>
      </c>
      <c r="O1388" s="26">
        <v>14</v>
      </c>
      <c r="P1388" s="26">
        <v>12</v>
      </c>
      <c r="Q1388" s="26">
        <v>3</v>
      </c>
      <c r="R1388" s="26">
        <v>1</v>
      </c>
      <c r="S1388" s="26">
        <v>3</v>
      </c>
      <c r="T1388" s="26">
        <v>1</v>
      </c>
      <c r="U1388" s="26">
        <v>5</v>
      </c>
      <c r="V1388" s="26">
        <v>1</v>
      </c>
      <c r="W1388" s="26"/>
    </row>
    <row r="1389" spans="1:23" x14ac:dyDescent="0.25">
      <c r="A1389" s="26" t="str">
        <f t="shared" si="237"/>
        <v>PREESCOLAR</v>
      </c>
      <c r="B1389" s="26" t="str">
        <f>"09PJN1935Q"</f>
        <v>09PJN1935Q</v>
      </c>
      <c r="C1389" s="26" t="str">
        <f>"LICEO MAGIC CENTER                                                                                  "</f>
        <v xml:space="preserve">LICEO MAGIC CENTER                                                                                  </v>
      </c>
      <c r="D1389" s="26" t="str">
        <f t="shared" si="235"/>
        <v>MATUTINO</v>
      </c>
      <c r="E1389" s="26" t="str">
        <f>"ENRIQUE A. ENRIQUEZ NO. 20                                                      "</f>
        <v xml:space="preserve">ENRIQUE A. ENRIQUEZ NO. 20                                                      </v>
      </c>
      <c r="F1389" s="26" t="str">
        <f>"CONSTITUCION 1917                                                                                                                           "</f>
        <v xml:space="preserve">CONSTITUCION 1917                                                                                                                           </v>
      </c>
      <c r="G1389" s="26" t="str">
        <f t="shared" si="243"/>
        <v xml:space="preserve">IZTAPALAPA                                                                      </v>
      </c>
      <c r="H1389" s="26" t="str">
        <f t="shared" si="244"/>
        <v>000</v>
      </c>
      <c r="I1389" s="26" t="str">
        <f t="shared" si="238"/>
        <v>00</v>
      </c>
      <c r="J1389" s="26" t="str">
        <f>"64 "</f>
        <v xml:space="preserve">64 </v>
      </c>
      <c r="K1389" s="26" t="str">
        <f t="shared" si="245"/>
        <v>IZ</v>
      </c>
      <c r="L1389" s="26" t="str">
        <f t="shared" si="246"/>
        <v>DGSEI</v>
      </c>
      <c r="M1389" s="26" t="str">
        <f t="shared" si="236"/>
        <v>PARTICULAR</v>
      </c>
      <c r="N1389" s="26">
        <v>18</v>
      </c>
      <c r="O1389" s="26">
        <v>15</v>
      </c>
      <c r="P1389" s="26">
        <v>3</v>
      </c>
      <c r="Q1389" s="26">
        <v>2</v>
      </c>
      <c r="R1389" s="26">
        <v>1</v>
      </c>
      <c r="S1389" s="26">
        <v>2</v>
      </c>
      <c r="T1389" s="26">
        <v>3</v>
      </c>
      <c r="U1389" s="26">
        <v>6</v>
      </c>
      <c r="V1389" s="26">
        <v>1</v>
      </c>
      <c r="W1389" s="26"/>
    </row>
    <row r="1390" spans="1:23" x14ac:dyDescent="0.25">
      <c r="A1390" s="26" t="str">
        <f t="shared" si="237"/>
        <v>PREESCOLAR</v>
      </c>
      <c r="B1390" s="26" t="str">
        <f>"09PJN1937O"</f>
        <v>09PJN1937O</v>
      </c>
      <c r="C1390" s="26" t="str">
        <f>"PROFR. JOSE AMADOR GARCIA                                                                           "</f>
        <v xml:space="preserve">PROFR. JOSE AMADOR GARCIA                                                                           </v>
      </c>
      <c r="D1390" s="26" t="str">
        <f t="shared" si="235"/>
        <v>MATUTINO</v>
      </c>
      <c r="E1390" s="26" t="str">
        <f>"JOSE MA.PARRAS NO. 223                                                          "</f>
        <v xml:space="preserve">JOSE MA.PARRAS NO. 223                                                          </v>
      </c>
      <c r="F1390" s="26" t="str">
        <f>"JUAN ESCUTIA                                                                                                                                "</f>
        <v xml:space="preserve">JUAN ESCUTIA                                                                                                                                </v>
      </c>
      <c r="G1390" s="26" t="str">
        <f t="shared" si="243"/>
        <v xml:space="preserve">IZTAPALAPA                                                                      </v>
      </c>
      <c r="H1390" s="26" t="str">
        <f t="shared" si="244"/>
        <v>000</v>
      </c>
      <c r="I1390" s="26" t="str">
        <f t="shared" si="238"/>
        <v>00</v>
      </c>
      <c r="J1390" s="26" t="str">
        <f>"62 "</f>
        <v xml:space="preserve">62 </v>
      </c>
      <c r="K1390" s="26" t="str">
        <f t="shared" si="245"/>
        <v>IZ</v>
      </c>
      <c r="L1390" s="26" t="str">
        <f t="shared" si="246"/>
        <v>DGSEI</v>
      </c>
      <c r="M1390" s="26" t="str">
        <f t="shared" si="236"/>
        <v>PARTICULAR</v>
      </c>
      <c r="N1390" s="26">
        <v>23</v>
      </c>
      <c r="O1390" s="26">
        <v>7</v>
      </c>
      <c r="P1390" s="26">
        <v>16</v>
      </c>
      <c r="Q1390" s="26">
        <v>3</v>
      </c>
      <c r="R1390" s="26">
        <v>1</v>
      </c>
      <c r="S1390" s="26">
        <v>2</v>
      </c>
      <c r="T1390" s="26">
        <v>6</v>
      </c>
      <c r="U1390" s="26">
        <v>9</v>
      </c>
      <c r="V1390" s="26">
        <v>1</v>
      </c>
      <c r="W1390" s="26"/>
    </row>
    <row r="1391" spans="1:23" x14ac:dyDescent="0.25">
      <c r="A1391" s="26" t="str">
        <f t="shared" si="237"/>
        <v>PREESCOLAR</v>
      </c>
      <c r="B1391" s="26" t="str">
        <f>"09PJN1938N"</f>
        <v>09PJN1938N</v>
      </c>
      <c r="C1391" s="26" t="str">
        <f>"INSTITUTO LEONARDO BRAVO                                                                            "</f>
        <v xml:space="preserve">INSTITUTO LEONARDO BRAVO                                                                            </v>
      </c>
      <c r="D1391" s="26" t="str">
        <f t="shared" si="235"/>
        <v>MATUTINO</v>
      </c>
      <c r="E1391" s="26" t="str">
        <f>"LEONARDO BRAVO NO. 48                                                           "</f>
        <v xml:space="preserve">LEONARDO BRAVO NO. 48                                                           </v>
      </c>
      <c r="F1391" s="26" t="str">
        <f>"CONSTITUCION 1917                                                                                                                           "</f>
        <v xml:space="preserve">CONSTITUCION 1917                                                                                                                           </v>
      </c>
      <c r="G1391" s="26" t="str">
        <f t="shared" si="243"/>
        <v xml:space="preserve">IZTAPALAPA                                                                      </v>
      </c>
      <c r="H1391" s="26" t="str">
        <f t="shared" si="244"/>
        <v>000</v>
      </c>
      <c r="I1391" s="26" t="str">
        <f t="shared" si="238"/>
        <v>00</v>
      </c>
      <c r="J1391" s="26" t="str">
        <f>"62 "</f>
        <v xml:space="preserve">62 </v>
      </c>
      <c r="K1391" s="26" t="str">
        <f t="shared" si="245"/>
        <v>IZ</v>
      </c>
      <c r="L1391" s="26" t="str">
        <f t="shared" si="246"/>
        <v>DGSEI</v>
      </c>
      <c r="M1391" s="26" t="str">
        <f t="shared" si="236"/>
        <v>PARTICULAR</v>
      </c>
      <c r="N1391" s="26">
        <v>30</v>
      </c>
      <c r="O1391" s="26">
        <v>20</v>
      </c>
      <c r="P1391" s="26">
        <v>10</v>
      </c>
      <c r="Q1391" s="26">
        <v>3</v>
      </c>
      <c r="R1391" s="26">
        <v>1</v>
      </c>
      <c r="S1391" s="26">
        <v>3</v>
      </c>
      <c r="T1391" s="26">
        <v>2</v>
      </c>
      <c r="U1391" s="26">
        <v>6</v>
      </c>
      <c r="V1391" s="26">
        <v>1</v>
      </c>
      <c r="W1391" s="26"/>
    </row>
    <row r="1392" spans="1:23" x14ac:dyDescent="0.25">
      <c r="A1392" s="26" t="str">
        <f t="shared" si="237"/>
        <v>PREESCOLAR</v>
      </c>
      <c r="B1392" s="26" t="str">
        <f>"09PJN1941A"</f>
        <v>09PJN1941A</v>
      </c>
      <c r="C1392" s="26" t="str">
        <f>"ROSARIO                                                                                             "</f>
        <v xml:space="preserve">ROSARIO                                                                                             </v>
      </c>
      <c r="D1392" s="26" t="str">
        <f t="shared" si="235"/>
        <v>MATUTINO</v>
      </c>
      <c r="E1392" s="26" t="str">
        <f>"ANTONIO MADRAZO NO. 104                                                         "</f>
        <v xml:space="preserve">ANTONIO MADRAZO NO. 104                                                         </v>
      </c>
      <c r="F1392" s="26" t="str">
        <f>"CONSTITUCION 1917                                                                                                                           "</f>
        <v xml:space="preserve">CONSTITUCION 1917                                                                                                                           </v>
      </c>
      <c r="G1392" s="26" t="str">
        <f t="shared" si="243"/>
        <v xml:space="preserve">IZTAPALAPA                                                                      </v>
      </c>
      <c r="H1392" s="26" t="str">
        <f t="shared" si="244"/>
        <v>000</v>
      </c>
      <c r="I1392" s="26" t="str">
        <f t="shared" si="238"/>
        <v>00</v>
      </c>
      <c r="J1392" s="26" t="str">
        <f>"62 "</f>
        <v xml:space="preserve">62 </v>
      </c>
      <c r="K1392" s="26" t="str">
        <f t="shared" si="245"/>
        <v>IZ</v>
      </c>
      <c r="L1392" s="26" t="str">
        <f t="shared" si="246"/>
        <v>DGSEI</v>
      </c>
      <c r="M1392" s="26" t="str">
        <f t="shared" si="236"/>
        <v>PARTICULAR</v>
      </c>
      <c r="N1392" s="26">
        <v>12</v>
      </c>
      <c r="O1392" s="26">
        <v>5</v>
      </c>
      <c r="P1392" s="26">
        <v>7</v>
      </c>
      <c r="Q1392" s="26">
        <v>3</v>
      </c>
      <c r="R1392" s="26">
        <v>1</v>
      </c>
      <c r="S1392" s="26">
        <v>1</v>
      </c>
      <c r="T1392" s="26">
        <v>1</v>
      </c>
      <c r="U1392" s="26">
        <v>3</v>
      </c>
      <c r="V1392" s="26">
        <v>1</v>
      </c>
      <c r="W1392" s="26"/>
    </row>
    <row r="1393" spans="1:23" x14ac:dyDescent="0.25">
      <c r="A1393" s="26" t="str">
        <f t="shared" si="237"/>
        <v>PREESCOLAR</v>
      </c>
      <c r="B1393" s="26" t="str">
        <f>"09PJN1943Z"</f>
        <v>09PJN1943Z</v>
      </c>
      <c r="C1393" s="26" t="str">
        <f>"OVIDE DECROLY                                                                                       "</f>
        <v xml:space="preserve">OVIDE DECROLY                                                                                       </v>
      </c>
      <c r="D1393" s="26" t="str">
        <f t="shared" si="235"/>
        <v>MATUTINO</v>
      </c>
      <c r="E1393" s="26" t="str">
        <f>"SANTA TERESA NO. 142                                                            "</f>
        <v xml:space="preserve">SANTA TERESA NO. 142                                                            </v>
      </c>
      <c r="F1393" s="26" t="str">
        <f>"TEPALCATES                                                                                                                                  "</f>
        <v xml:space="preserve">TEPALCATES                                                                                                                                  </v>
      </c>
      <c r="G1393" s="26" t="str">
        <f t="shared" si="243"/>
        <v xml:space="preserve">IZTAPALAPA                                                                      </v>
      </c>
      <c r="H1393" s="26" t="str">
        <f t="shared" si="244"/>
        <v>000</v>
      </c>
      <c r="I1393" s="26" t="str">
        <f t="shared" si="238"/>
        <v>00</v>
      </c>
      <c r="J1393" s="26" t="str">
        <f>"62 "</f>
        <v xml:space="preserve">62 </v>
      </c>
      <c r="K1393" s="26" t="str">
        <f t="shared" si="245"/>
        <v>IZ</v>
      </c>
      <c r="L1393" s="26" t="str">
        <f t="shared" si="246"/>
        <v>DGSEI</v>
      </c>
      <c r="M1393" s="26" t="str">
        <f t="shared" si="236"/>
        <v>PARTICULAR</v>
      </c>
      <c r="N1393" s="26">
        <v>32</v>
      </c>
      <c r="O1393" s="26">
        <v>18</v>
      </c>
      <c r="P1393" s="26">
        <v>14</v>
      </c>
      <c r="Q1393" s="26">
        <v>3</v>
      </c>
      <c r="R1393" s="26">
        <v>1</v>
      </c>
      <c r="S1393" s="26">
        <v>2</v>
      </c>
      <c r="T1393" s="26">
        <v>1</v>
      </c>
      <c r="U1393" s="26">
        <v>4</v>
      </c>
      <c r="V1393" s="26">
        <v>1</v>
      </c>
      <c r="W1393" s="26"/>
    </row>
    <row r="1394" spans="1:23" x14ac:dyDescent="0.25">
      <c r="A1394" s="26" t="str">
        <f t="shared" si="237"/>
        <v>PREESCOLAR</v>
      </c>
      <c r="B1394" s="26" t="str">
        <f>"09PJN1961O"</f>
        <v>09PJN1961O</v>
      </c>
      <c r="C1394" s="26" t="str">
        <f>"COLEGIO FREEDOM                                                                                     "</f>
        <v xml:space="preserve">COLEGIO FREEDOM                                                                                     </v>
      </c>
      <c r="D1394" s="26" t="str">
        <f t="shared" si="235"/>
        <v>MATUTINO</v>
      </c>
      <c r="E1394" s="26" t="str">
        <f>"SUR 127 NO. 132                                                                 "</f>
        <v xml:space="preserve">SUR 127 NO. 132                                                                 </v>
      </c>
      <c r="F1394" s="26" t="str">
        <f>"MINERVA                                                                                                                                     "</f>
        <v xml:space="preserve">MINERVA                                                                                                                                     </v>
      </c>
      <c r="G1394" s="26" t="str">
        <f t="shared" si="243"/>
        <v xml:space="preserve">IZTAPALAPA                                                                      </v>
      </c>
      <c r="H1394" s="26" t="str">
        <f t="shared" si="244"/>
        <v>000</v>
      </c>
      <c r="I1394" s="26" t="str">
        <f t="shared" si="238"/>
        <v>00</v>
      </c>
      <c r="J1394" s="26" t="str">
        <f>"61 "</f>
        <v xml:space="preserve">61 </v>
      </c>
      <c r="K1394" s="26" t="str">
        <f t="shared" si="245"/>
        <v>IZ</v>
      </c>
      <c r="L1394" s="26" t="str">
        <f t="shared" si="246"/>
        <v>DGSEI</v>
      </c>
      <c r="M1394" s="26" t="str">
        <f t="shared" si="236"/>
        <v>PARTICULAR</v>
      </c>
      <c r="N1394" s="26">
        <v>34</v>
      </c>
      <c r="O1394" s="26">
        <v>16</v>
      </c>
      <c r="P1394" s="26">
        <v>18</v>
      </c>
      <c r="Q1394" s="26">
        <v>3</v>
      </c>
      <c r="R1394" s="26">
        <v>1</v>
      </c>
      <c r="S1394" s="26">
        <v>3</v>
      </c>
      <c r="T1394" s="26">
        <v>2</v>
      </c>
      <c r="U1394" s="26">
        <v>6</v>
      </c>
      <c r="V1394" s="26">
        <v>1</v>
      </c>
      <c r="W1394" s="26"/>
    </row>
    <row r="1395" spans="1:23" x14ac:dyDescent="0.25">
      <c r="A1395" s="26" t="str">
        <f t="shared" si="237"/>
        <v>PREESCOLAR</v>
      </c>
      <c r="B1395" s="26" t="str">
        <f>"09PJN1962N"</f>
        <v>09PJN1962N</v>
      </c>
      <c r="C1395" s="26" t="str">
        <f>"PELUSITA                                                                                            "</f>
        <v xml:space="preserve">PELUSITA                                                                                            </v>
      </c>
      <c r="D1395" s="26" t="str">
        <f t="shared" si="235"/>
        <v>MATUTINO</v>
      </c>
      <c r="E1395" s="26" t="str">
        <f>"IGNACIO COMONFORT NO. 191                                                       "</f>
        <v xml:space="preserve">IGNACIO COMONFORT NO. 191                                                       </v>
      </c>
      <c r="F1395" s="26" t="str">
        <f>"SAN LUCAS                                                                                                                                   "</f>
        <v xml:space="preserve">SAN LUCAS                                                                                                                                   </v>
      </c>
      <c r="G1395" s="26" t="str">
        <f t="shared" si="243"/>
        <v xml:space="preserve">IZTAPALAPA                                                                      </v>
      </c>
      <c r="H1395" s="26" t="str">
        <f t="shared" si="244"/>
        <v>000</v>
      </c>
      <c r="I1395" s="26" t="str">
        <f t="shared" si="238"/>
        <v>00</v>
      </c>
      <c r="J1395" s="26" t="str">
        <f>"61 "</f>
        <v xml:space="preserve">61 </v>
      </c>
      <c r="K1395" s="26" t="str">
        <f t="shared" si="245"/>
        <v>IZ</v>
      </c>
      <c r="L1395" s="26" t="str">
        <f t="shared" si="246"/>
        <v>DGSEI</v>
      </c>
      <c r="M1395" s="26" t="str">
        <f t="shared" si="236"/>
        <v>PARTICULAR</v>
      </c>
      <c r="N1395" s="26">
        <v>18</v>
      </c>
      <c r="O1395" s="26">
        <v>9</v>
      </c>
      <c r="P1395" s="26">
        <v>9</v>
      </c>
      <c r="Q1395" s="26">
        <v>3</v>
      </c>
      <c r="R1395" s="26">
        <v>1</v>
      </c>
      <c r="S1395" s="26">
        <v>2</v>
      </c>
      <c r="T1395" s="26">
        <v>1</v>
      </c>
      <c r="U1395" s="26">
        <v>4</v>
      </c>
      <c r="V1395" s="26">
        <v>1</v>
      </c>
      <c r="W1395" s="26"/>
    </row>
    <row r="1396" spans="1:23" x14ac:dyDescent="0.25">
      <c r="A1396" s="26" t="str">
        <f t="shared" si="237"/>
        <v>PREESCOLAR</v>
      </c>
      <c r="B1396" s="26" t="str">
        <f>"09PJN1964L"</f>
        <v>09PJN1964L</v>
      </c>
      <c r="C1396" s="26" t="str">
        <f>"LOS CARIÑOSITOS                                                                                     "</f>
        <v xml:space="preserve">LOS CARIÑOSITOS                                                                                     </v>
      </c>
      <c r="D1396" s="26" t="str">
        <f t="shared" si="235"/>
        <v>MATUTINO</v>
      </c>
      <c r="E1396" s="26" t="str">
        <f>"SOLON ARGUELLO NO. 82                                                           "</f>
        <v xml:space="preserve">SOLON ARGUELLO NO. 82                                                           </v>
      </c>
      <c r="F1396" s="26" t="str">
        <f>"SANTA MARTHA ACATITLA                                                                                                                       "</f>
        <v xml:space="preserve">SANTA MARTHA ACATITLA                                                                                                                       </v>
      </c>
      <c r="G1396" s="26" t="str">
        <f t="shared" si="243"/>
        <v xml:space="preserve">IZTAPALAPA                                                                      </v>
      </c>
      <c r="H1396" s="26" t="str">
        <f t="shared" si="244"/>
        <v>000</v>
      </c>
      <c r="I1396" s="26" t="str">
        <f t="shared" si="238"/>
        <v>00</v>
      </c>
      <c r="J1396" s="26" t="str">
        <f>"62 "</f>
        <v xml:space="preserve">62 </v>
      </c>
      <c r="K1396" s="26" t="str">
        <f t="shared" si="245"/>
        <v>IZ</v>
      </c>
      <c r="L1396" s="26" t="str">
        <f t="shared" si="246"/>
        <v>DGSEI</v>
      </c>
      <c r="M1396" s="26" t="str">
        <f t="shared" si="236"/>
        <v>PARTICULAR</v>
      </c>
      <c r="N1396" s="26">
        <v>28</v>
      </c>
      <c r="O1396" s="26">
        <v>14</v>
      </c>
      <c r="P1396" s="26">
        <v>14</v>
      </c>
      <c r="Q1396" s="26">
        <v>3</v>
      </c>
      <c r="R1396" s="26">
        <v>1</v>
      </c>
      <c r="S1396" s="26">
        <v>2</v>
      </c>
      <c r="T1396" s="26">
        <v>5</v>
      </c>
      <c r="U1396" s="26">
        <v>8</v>
      </c>
      <c r="V1396" s="26">
        <v>1</v>
      </c>
      <c r="W1396" s="26"/>
    </row>
    <row r="1397" spans="1:23" x14ac:dyDescent="0.25">
      <c r="A1397" s="26" t="str">
        <f t="shared" si="237"/>
        <v>PREESCOLAR</v>
      </c>
      <c r="B1397" s="26" t="str">
        <f>"09PJN1966J"</f>
        <v>09PJN1966J</v>
      </c>
      <c r="C1397" s="26" t="str">
        <f>"JUMBO                                                                                               "</f>
        <v xml:space="preserve">JUMBO                                                                                               </v>
      </c>
      <c r="D1397" s="26" t="str">
        <f t="shared" si="235"/>
        <v>MATUTINO</v>
      </c>
      <c r="E1397" s="26" t="str">
        <f>"LIC. LUIS CABRERA NO. 34                                                        "</f>
        <v xml:space="preserve">LIC. LUIS CABRERA NO. 34                                                        </v>
      </c>
      <c r="F1397" s="26" t="str">
        <f>"JACARANDAS                                                                                                                                  "</f>
        <v xml:space="preserve">JACARANDAS                                                                                                                                  </v>
      </c>
      <c r="G1397" s="26" t="str">
        <f t="shared" si="243"/>
        <v xml:space="preserve">IZTAPALAPA                                                                      </v>
      </c>
      <c r="H1397" s="26" t="str">
        <f t="shared" si="244"/>
        <v>000</v>
      </c>
      <c r="I1397" s="26" t="str">
        <f t="shared" si="238"/>
        <v>00</v>
      </c>
      <c r="J1397" s="26" t="str">
        <f>"64 "</f>
        <v xml:space="preserve">64 </v>
      </c>
      <c r="K1397" s="26" t="str">
        <f t="shared" si="245"/>
        <v>IZ</v>
      </c>
      <c r="L1397" s="26" t="str">
        <f t="shared" si="246"/>
        <v>DGSEI</v>
      </c>
      <c r="M1397" s="26" t="str">
        <f t="shared" si="236"/>
        <v>PARTICULAR</v>
      </c>
      <c r="N1397" s="26">
        <v>25</v>
      </c>
      <c r="O1397" s="26">
        <v>15</v>
      </c>
      <c r="P1397" s="26">
        <v>10</v>
      </c>
      <c r="Q1397" s="26">
        <v>3</v>
      </c>
      <c r="R1397" s="26">
        <v>1</v>
      </c>
      <c r="S1397" s="26">
        <v>3</v>
      </c>
      <c r="T1397" s="26">
        <v>1</v>
      </c>
      <c r="U1397" s="26">
        <v>5</v>
      </c>
      <c r="V1397" s="26">
        <v>1</v>
      </c>
      <c r="W1397" s="26"/>
    </row>
    <row r="1398" spans="1:23" x14ac:dyDescent="0.25">
      <c r="A1398" s="26" t="str">
        <f t="shared" si="237"/>
        <v>PREESCOLAR</v>
      </c>
      <c r="B1398" s="26" t="str">
        <f>"09PJN1971V"</f>
        <v>09PJN1971V</v>
      </c>
      <c r="C1398" s="26" t="str">
        <f>"FLORENCE L. GOODENOUGH                                                                              "</f>
        <v xml:space="preserve">FLORENCE L. GOODENOUGH                                                                              </v>
      </c>
      <c r="D1398" s="26" t="str">
        <f t="shared" si="235"/>
        <v>MATUTINO</v>
      </c>
      <c r="E1398" s="26" t="str">
        <f>"MARIANO MATAMOROS NO. 20                                                        "</f>
        <v xml:space="preserve">MARIANO MATAMOROS NO. 20                                                        </v>
      </c>
      <c r="F1398" s="26" t="str">
        <f>"SAN MIGUEL AMPLIACION                                                                                                                       "</f>
        <v xml:space="preserve">SAN MIGUEL AMPLIACION                                                                                                                       </v>
      </c>
      <c r="G1398" s="26" t="str">
        <f t="shared" si="243"/>
        <v xml:space="preserve">IZTAPALAPA                                                                      </v>
      </c>
      <c r="H1398" s="26" t="str">
        <f t="shared" si="244"/>
        <v>000</v>
      </c>
      <c r="I1398" s="26" t="str">
        <f t="shared" si="238"/>
        <v>00</v>
      </c>
      <c r="J1398" s="26" t="str">
        <f>"61 "</f>
        <v xml:space="preserve">61 </v>
      </c>
      <c r="K1398" s="26" t="str">
        <f t="shared" si="245"/>
        <v>IZ</v>
      </c>
      <c r="L1398" s="26" t="str">
        <f t="shared" si="246"/>
        <v>DGSEI</v>
      </c>
      <c r="M1398" s="26" t="str">
        <f t="shared" si="236"/>
        <v>PARTICULAR</v>
      </c>
      <c r="N1398" s="26">
        <v>21</v>
      </c>
      <c r="O1398" s="26">
        <v>8</v>
      </c>
      <c r="P1398" s="26">
        <v>13</v>
      </c>
      <c r="Q1398" s="26">
        <v>3</v>
      </c>
      <c r="R1398" s="26">
        <v>1</v>
      </c>
      <c r="S1398" s="26">
        <v>3</v>
      </c>
      <c r="T1398" s="26">
        <v>3</v>
      </c>
      <c r="U1398" s="26">
        <v>7</v>
      </c>
      <c r="V1398" s="26">
        <v>1</v>
      </c>
      <c r="W1398" s="26"/>
    </row>
    <row r="1399" spans="1:23" x14ac:dyDescent="0.25">
      <c r="A1399" s="26" t="str">
        <f t="shared" si="237"/>
        <v>PREESCOLAR</v>
      </c>
      <c r="B1399" s="26" t="str">
        <f>"09PJN1972U"</f>
        <v>09PJN1972U</v>
      </c>
      <c r="C1399" s="26" t="str">
        <f>"CENTRO DE  EDUCACION INFANTIL LA PANDILLA                                                           "</f>
        <v xml:space="preserve">CENTRO DE  EDUCACION INFANTIL LA PANDILLA                                                           </v>
      </c>
      <c r="D1399" s="26" t="str">
        <f t="shared" si="235"/>
        <v>MATUTINO</v>
      </c>
      <c r="E1399" s="26" t="str">
        <f>"LINO MERINO NO. 516                                                             "</f>
        <v xml:space="preserve">LINO MERINO NO. 516                                                             </v>
      </c>
      <c r="F1399" s="26" t="str">
        <f>"JUAN ESCUTIA                                                                                                                                "</f>
        <v xml:space="preserve">JUAN ESCUTIA                                                                                                                                </v>
      </c>
      <c r="G1399" s="26" t="str">
        <f t="shared" si="243"/>
        <v xml:space="preserve">IZTAPALAPA                                                                      </v>
      </c>
      <c r="H1399" s="26" t="str">
        <f t="shared" si="244"/>
        <v>000</v>
      </c>
      <c r="I1399" s="26" t="str">
        <f t="shared" si="238"/>
        <v>00</v>
      </c>
      <c r="J1399" s="26" t="str">
        <f>"62 "</f>
        <v xml:space="preserve">62 </v>
      </c>
      <c r="K1399" s="26" t="str">
        <f t="shared" si="245"/>
        <v>IZ</v>
      </c>
      <c r="L1399" s="26" t="str">
        <f t="shared" si="246"/>
        <v>DGSEI</v>
      </c>
      <c r="M1399" s="26" t="str">
        <f t="shared" si="236"/>
        <v>PARTICULAR</v>
      </c>
      <c r="N1399" s="26">
        <v>34</v>
      </c>
      <c r="O1399" s="26">
        <v>14</v>
      </c>
      <c r="P1399" s="26">
        <v>20</v>
      </c>
      <c r="Q1399" s="26">
        <v>3</v>
      </c>
      <c r="R1399" s="26">
        <v>1</v>
      </c>
      <c r="S1399" s="26">
        <v>2</v>
      </c>
      <c r="T1399" s="26">
        <v>7</v>
      </c>
      <c r="U1399" s="26">
        <v>10</v>
      </c>
      <c r="V1399" s="26">
        <v>1</v>
      </c>
      <c r="W1399" s="26"/>
    </row>
    <row r="1400" spans="1:23" x14ac:dyDescent="0.25">
      <c r="A1400" s="26" t="str">
        <f t="shared" si="237"/>
        <v>PREESCOLAR</v>
      </c>
      <c r="B1400" s="26" t="str">
        <f>"09PJN1975R"</f>
        <v>09PJN1975R</v>
      </c>
      <c r="C1400" s="26" t="str">
        <f>"MUNDO INFANTIL                                                                                      "</f>
        <v xml:space="preserve">MUNDO INFANTIL                                                                                      </v>
      </c>
      <c r="D1400" s="26" t="str">
        <f>"TIEMPO COMPLETO"</f>
        <v>TIEMPO COMPLETO</v>
      </c>
      <c r="E1400" s="26" t="str">
        <f>"FERROCARRIL DE TERRAPLEN MZ. 10 LT. 12                                          "</f>
        <v xml:space="preserve">FERROCARRIL DE TERRAPLEN MZ. 10 LT. 12                                          </v>
      </c>
      <c r="F1400" s="26" t="str">
        <f>"LOS ANGELES APANOAYA                                                                                                                        "</f>
        <v xml:space="preserve">LOS ANGELES APANOAYA                                                                                                                        </v>
      </c>
      <c r="G1400" s="26" t="str">
        <f t="shared" si="243"/>
        <v xml:space="preserve">IZTAPALAPA                                                                      </v>
      </c>
      <c r="H1400" s="26" t="str">
        <f t="shared" si="244"/>
        <v>000</v>
      </c>
      <c r="I1400" s="26" t="str">
        <f t="shared" si="238"/>
        <v>00</v>
      </c>
      <c r="J1400" s="26" t="str">
        <f>"63 "</f>
        <v xml:space="preserve">63 </v>
      </c>
      <c r="K1400" s="26" t="str">
        <f t="shared" si="245"/>
        <v>IZ</v>
      </c>
      <c r="L1400" s="26" t="str">
        <f t="shared" si="246"/>
        <v>DGSEI</v>
      </c>
      <c r="M1400" s="26" t="str">
        <f t="shared" si="236"/>
        <v>PARTICULAR</v>
      </c>
      <c r="N1400" s="26">
        <v>50</v>
      </c>
      <c r="O1400" s="26">
        <v>32</v>
      </c>
      <c r="P1400" s="26">
        <v>18</v>
      </c>
      <c r="Q1400" s="26">
        <v>3</v>
      </c>
      <c r="R1400" s="26">
        <v>1</v>
      </c>
      <c r="S1400" s="26">
        <v>3</v>
      </c>
      <c r="T1400" s="26">
        <v>2</v>
      </c>
      <c r="U1400" s="26">
        <v>6</v>
      </c>
      <c r="V1400" s="26">
        <v>1</v>
      </c>
      <c r="W1400" s="26"/>
    </row>
    <row r="1401" spans="1:23" x14ac:dyDescent="0.25">
      <c r="A1401" s="26" t="str">
        <f t="shared" si="237"/>
        <v>PREESCOLAR</v>
      </c>
      <c r="B1401" s="26" t="str">
        <f>"09PJN1981B"</f>
        <v>09PJN1981B</v>
      </c>
      <c r="C1401" s="26" t="str">
        <f>"SEMILLITA ACHTLI                                                                                    "</f>
        <v xml:space="preserve">SEMILLITA ACHTLI                                                                                    </v>
      </c>
      <c r="D1401" s="26" t="str">
        <f t="shared" ref="D1401:D1464" si="247">"MATUTINO"</f>
        <v>MATUTINO</v>
      </c>
      <c r="E1401" s="26" t="str">
        <f>"CULTIVOS NO. 116                                                                "</f>
        <v xml:space="preserve">CULTIVOS NO. 116                                                                </v>
      </c>
      <c r="F1401" s="26" t="str">
        <f>"PROGRESO DEL SUR                                                                                                                            "</f>
        <v xml:space="preserve">PROGRESO DEL SUR                                                                                                                            </v>
      </c>
      <c r="G1401" s="26" t="str">
        <f t="shared" si="243"/>
        <v xml:space="preserve">IZTAPALAPA                                                                      </v>
      </c>
      <c r="H1401" s="26" t="str">
        <f t="shared" si="244"/>
        <v>000</v>
      </c>
      <c r="I1401" s="26" t="str">
        <f t="shared" si="238"/>
        <v>00</v>
      </c>
      <c r="J1401" s="26" t="str">
        <f>"61 "</f>
        <v xml:space="preserve">61 </v>
      </c>
      <c r="K1401" s="26" t="str">
        <f t="shared" si="245"/>
        <v>IZ</v>
      </c>
      <c r="L1401" s="26" t="str">
        <f t="shared" si="246"/>
        <v>DGSEI</v>
      </c>
      <c r="M1401" s="26" t="str">
        <f t="shared" si="236"/>
        <v>PARTICULAR</v>
      </c>
      <c r="N1401" s="26">
        <v>21</v>
      </c>
      <c r="O1401" s="26">
        <v>10</v>
      </c>
      <c r="P1401" s="26">
        <v>11</v>
      </c>
      <c r="Q1401" s="26">
        <v>3</v>
      </c>
      <c r="R1401" s="26">
        <v>1</v>
      </c>
      <c r="S1401" s="26">
        <v>2</v>
      </c>
      <c r="T1401" s="26">
        <v>4</v>
      </c>
      <c r="U1401" s="26">
        <v>7</v>
      </c>
      <c r="V1401" s="26">
        <v>1</v>
      </c>
      <c r="W1401" s="26"/>
    </row>
    <row r="1402" spans="1:23" x14ac:dyDescent="0.25">
      <c r="A1402" s="26" t="str">
        <f t="shared" si="237"/>
        <v>PREESCOLAR</v>
      </c>
      <c r="B1402" s="26" t="str">
        <f>"09PJN1986X"</f>
        <v>09PJN1986X</v>
      </c>
      <c r="C1402" s="26" t="str">
        <f>"INSTITUTO PEDAGOGICO BILINGUE KO-KLAT                                                               "</f>
        <v xml:space="preserve">INSTITUTO PEDAGOGICO BILINGUE KO-KLAT                                                               </v>
      </c>
      <c r="D1402" s="26" t="str">
        <f t="shared" si="247"/>
        <v>MATUTINO</v>
      </c>
      <c r="E1402" s="26" t="str">
        <f>"NAVOJOA NO. 114                                                                 "</f>
        <v xml:space="preserve">NAVOJOA NO. 114                                                                 </v>
      </c>
      <c r="F1402" s="26" t="str">
        <f>"SAN LORENZO XICOTENCATL                                                                                                                     "</f>
        <v xml:space="preserve">SAN LORENZO XICOTENCATL                                                                                                                     </v>
      </c>
      <c r="G1402" s="26" t="str">
        <f t="shared" si="243"/>
        <v xml:space="preserve">IZTAPALAPA                                                                      </v>
      </c>
      <c r="H1402" s="26" t="str">
        <f t="shared" si="244"/>
        <v>000</v>
      </c>
      <c r="I1402" s="26" t="str">
        <f t="shared" si="238"/>
        <v>00</v>
      </c>
      <c r="J1402" s="26" t="str">
        <f>"62 "</f>
        <v xml:space="preserve">62 </v>
      </c>
      <c r="K1402" s="26" t="str">
        <f t="shared" si="245"/>
        <v>IZ</v>
      </c>
      <c r="L1402" s="26" t="str">
        <f t="shared" si="246"/>
        <v>DGSEI</v>
      </c>
      <c r="M1402" s="26" t="str">
        <f t="shared" si="236"/>
        <v>PARTICULAR</v>
      </c>
      <c r="N1402" s="26">
        <v>21</v>
      </c>
      <c r="O1402" s="26">
        <v>11</v>
      </c>
      <c r="P1402" s="26">
        <v>10</v>
      </c>
      <c r="Q1402" s="26">
        <v>3</v>
      </c>
      <c r="R1402" s="26">
        <v>1</v>
      </c>
      <c r="S1402" s="26">
        <v>3</v>
      </c>
      <c r="T1402" s="26">
        <v>1</v>
      </c>
      <c r="U1402" s="26">
        <v>5</v>
      </c>
      <c r="V1402" s="26">
        <v>1</v>
      </c>
      <c r="W1402" s="26"/>
    </row>
    <row r="1403" spans="1:23" x14ac:dyDescent="0.25">
      <c r="A1403" s="26" t="str">
        <f t="shared" si="237"/>
        <v>PREESCOLAR</v>
      </c>
      <c r="B1403" s="26" t="str">
        <f>"09PJN1992H"</f>
        <v>09PJN1992H</v>
      </c>
      <c r="C1403" s="26" t="str">
        <f>"CANDY                                                                                               "</f>
        <v xml:space="preserve">CANDY                                                                                               </v>
      </c>
      <c r="D1403" s="26" t="str">
        <f t="shared" si="247"/>
        <v>MATUTINO</v>
      </c>
      <c r="E1403" s="26" t="str">
        <f>"ELISA ACUÑA Y ROSSETY MZ. 187-A LT. 24                                          "</f>
        <v xml:space="preserve">ELISA ACUÑA Y ROSSETY MZ. 187-A LT. 24                                          </v>
      </c>
      <c r="F1403" s="26" t="str">
        <f>"SANTA MARTHA ACATITLA AMPLIACION                                                                                                            "</f>
        <v xml:space="preserve">SANTA MARTHA ACATITLA AMPLIACION                                                                                                            </v>
      </c>
      <c r="G1403" s="26" t="str">
        <f t="shared" si="243"/>
        <v xml:space="preserve">IZTAPALAPA                                                                      </v>
      </c>
      <c r="H1403" s="26" t="str">
        <f t="shared" si="244"/>
        <v>000</v>
      </c>
      <c r="I1403" s="26" t="str">
        <f t="shared" si="238"/>
        <v>00</v>
      </c>
      <c r="J1403" s="26" t="str">
        <f>"62 "</f>
        <v xml:space="preserve">62 </v>
      </c>
      <c r="K1403" s="26" t="str">
        <f t="shared" si="245"/>
        <v>IZ</v>
      </c>
      <c r="L1403" s="26" t="str">
        <f t="shared" si="246"/>
        <v>DGSEI</v>
      </c>
      <c r="M1403" s="26" t="str">
        <f t="shared" si="236"/>
        <v>PARTICULAR</v>
      </c>
      <c r="N1403" s="26">
        <v>38</v>
      </c>
      <c r="O1403" s="26">
        <v>16</v>
      </c>
      <c r="P1403" s="26">
        <v>22</v>
      </c>
      <c r="Q1403" s="26">
        <v>3</v>
      </c>
      <c r="R1403" s="26">
        <v>1</v>
      </c>
      <c r="S1403" s="26">
        <v>2</v>
      </c>
      <c r="T1403" s="26">
        <v>2</v>
      </c>
      <c r="U1403" s="26">
        <v>5</v>
      </c>
      <c r="V1403" s="26">
        <v>1</v>
      </c>
      <c r="W1403" s="26"/>
    </row>
    <row r="1404" spans="1:23" x14ac:dyDescent="0.25">
      <c r="A1404" s="26" t="str">
        <f t="shared" si="237"/>
        <v>PREESCOLAR</v>
      </c>
      <c r="B1404" s="26" t="str">
        <f>"09PJN1994F"</f>
        <v>09PJN1994F</v>
      </c>
      <c r="C1404" s="26" t="str">
        <f>"HIDALGO                                                                                             "</f>
        <v xml:space="preserve">HIDALGO                                                                                             </v>
      </c>
      <c r="D1404" s="26" t="str">
        <f t="shared" si="247"/>
        <v>MATUTINO</v>
      </c>
      <c r="E1404" s="26" t="str">
        <f>"AQUILES SERDAN MZ. 58 LT. 653                                                   "</f>
        <v xml:space="preserve">AQUILES SERDAN MZ. 58 LT. 653                                                   </v>
      </c>
      <c r="F1404" s="26" t="str">
        <f>"SANTA MARIA AZTAHUACAN                                                                                                                      "</f>
        <v xml:space="preserve">SANTA MARIA AZTAHUACAN                                                                                                                      </v>
      </c>
      <c r="G1404" s="26" t="str">
        <f t="shared" si="243"/>
        <v xml:space="preserve">IZTAPALAPA                                                                      </v>
      </c>
      <c r="H1404" s="26" t="str">
        <f t="shared" si="244"/>
        <v>000</v>
      </c>
      <c r="I1404" s="26" t="str">
        <f t="shared" si="238"/>
        <v>00</v>
      </c>
      <c r="J1404" s="26" t="str">
        <f>"64 "</f>
        <v xml:space="preserve">64 </v>
      </c>
      <c r="K1404" s="26" t="str">
        <f t="shared" si="245"/>
        <v>IZ</v>
      </c>
      <c r="L1404" s="26" t="str">
        <f t="shared" si="246"/>
        <v>DGSEI</v>
      </c>
      <c r="M1404" s="26" t="str">
        <f t="shared" si="236"/>
        <v>PARTICULAR</v>
      </c>
      <c r="N1404" s="26">
        <v>45</v>
      </c>
      <c r="O1404" s="26">
        <v>19</v>
      </c>
      <c r="P1404" s="26">
        <v>26</v>
      </c>
      <c r="Q1404" s="26">
        <v>2</v>
      </c>
      <c r="R1404" s="26">
        <v>1</v>
      </c>
      <c r="S1404" s="26">
        <v>2</v>
      </c>
      <c r="T1404" s="26">
        <v>3</v>
      </c>
      <c r="U1404" s="26">
        <v>6</v>
      </c>
      <c r="V1404" s="26">
        <v>1</v>
      </c>
      <c r="W1404" s="26"/>
    </row>
    <row r="1405" spans="1:23" x14ac:dyDescent="0.25">
      <c r="A1405" s="26" t="str">
        <f t="shared" si="237"/>
        <v>PREESCOLAR</v>
      </c>
      <c r="B1405" s="26" t="str">
        <f>"09PJN2000Q"</f>
        <v>09PJN2000Q</v>
      </c>
      <c r="C1405" s="26" t="str">
        <f>"INSTITUTO JUAN GREGORIO MENDEL                                                                      "</f>
        <v xml:space="preserve">INSTITUTO JUAN GREGORIO MENDEL                                                                      </v>
      </c>
      <c r="D1405" s="26" t="str">
        <f t="shared" si="247"/>
        <v>MATUTINO</v>
      </c>
      <c r="E1405" s="26" t="str">
        <f>"AV. JACARANDAS NO. 27 MZ. 82 LT. 10                                             "</f>
        <v xml:space="preserve">AV. JACARANDAS NO. 27 MZ. 82 LT. 10                                             </v>
      </c>
      <c r="F1405" s="26" t="str">
        <f>"SANTIAGO ACAHUALTEPEC                                                                                                                       "</f>
        <v xml:space="preserve">SANTIAGO ACAHUALTEPEC                                                                                                                       </v>
      </c>
      <c r="G1405" s="26" t="str">
        <f t="shared" si="243"/>
        <v xml:space="preserve">IZTAPALAPA                                                                      </v>
      </c>
      <c r="H1405" s="26" t="str">
        <f t="shared" si="244"/>
        <v>000</v>
      </c>
      <c r="I1405" s="26" t="str">
        <f t="shared" si="238"/>
        <v>00</v>
      </c>
      <c r="J1405" s="26" t="str">
        <f>"64 "</f>
        <v xml:space="preserve">64 </v>
      </c>
      <c r="K1405" s="26" t="str">
        <f t="shared" si="245"/>
        <v>IZ</v>
      </c>
      <c r="L1405" s="26" t="str">
        <f t="shared" si="246"/>
        <v>DGSEI</v>
      </c>
      <c r="M1405" s="26" t="str">
        <f t="shared" si="236"/>
        <v>PARTICULAR</v>
      </c>
      <c r="N1405" s="26">
        <v>9</v>
      </c>
      <c r="O1405" s="26">
        <v>4</v>
      </c>
      <c r="P1405" s="26">
        <v>5</v>
      </c>
      <c r="Q1405" s="26">
        <v>2</v>
      </c>
      <c r="R1405" s="26">
        <v>1</v>
      </c>
      <c r="S1405" s="26">
        <v>2</v>
      </c>
      <c r="T1405" s="26">
        <v>0</v>
      </c>
      <c r="U1405" s="26">
        <v>3</v>
      </c>
      <c r="V1405" s="26">
        <v>1</v>
      </c>
      <c r="W1405" s="26"/>
    </row>
    <row r="1406" spans="1:23" x14ac:dyDescent="0.25">
      <c r="A1406" s="26" t="str">
        <f t="shared" si="237"/>
        <v>PREESCOLAR</v>
      </c>
      <c r="B1406" s="26" t="str">
        <f>"09PJN2002O"</f>
        <v>09PJN2002O</v>
      </c>
      <c r="C1406" s="26" t="str">
        <f>"COLEGIO ANAHUAC                                                                                     "</f>
        <v xml:space="preserve">COLEGIO ANAHUAC                                                                                     </v>
      </c>
      <c r="D1406" s="26" t="str">
        <f t="shared" si="247"/>
        <v>MATUTINO</v>
      </c>
      <c r="E1406" s="26" t="str">
        <f>"EMILIO MADERO MZ. 60 LT. 2                                                      "</f>
        <v xml:space="preserve">EMILIO MADERO MZ. 60 LT. 2                                                      </v>
      </c>
      <c r="F1406" s="26" t="str">
        <f>"SANTA MARTHA ACATITLA                                                                                                                       "</f>
        <v xml:space="preserve">SANTA MARTHA ACATITLA                                                                                                                       </v>
      </c>
      <c r="G1406" s="26" t="str">
        <f t="shared" si="243"/>
        <v xml:space="preserve">IZTAPALAPA                                                                      </v>
      </c>
      <c r="H1406" s="26" t="str">
        <f t="shared" si="244"/>
        <v>000</v>
      </c>
      <c r="I1406" s="26" t="str">
        <f t="shared" si="238"/>
        <v>00</v>
      </c>
      <c r="J1406" s="26" t="str">
        <f>"62 "</f>
        <v xml:space="preserve">62 </v>
      </c>
      <c r="K1406" s="26" t="str">
        <f t="shared" si="245"/>
        <v>IZ</v>
      </c>
      <c r="L1406" s="26" t="str">
        <f t="shared" si="246"/>
        <v>DGSEI</v>
      </c>
      <c r="M1406" s="26" t="str">
        <f t="shared" si="236"/>
        <v>PARTICULAR</v>
      </c>
      <c r="N1406" s="26">
        <v>45</v>
      </c>
      <c r="O1406" s="26">
        <v>17</v>
      </c>
      <c r="P1406" s="26">
        <v>28</v>
      </c>
      <c r="Q1406" s="26">
        <v>3</v>
      </c>
      <c r="R1406" s="26">
        <v>1</v>
      </c>
      <c r="S1406" s="26">
        <v>2</v>
      </c>
      <c r="T1406" s="26">
        <v>1</v>
      </c>
      <c r="U1406" s="26">
        <v>4</v>
      </c>
      <c r="V1406" s="26">
        <v>1</v>
      </c>
      <c r="W1406" s="26"/>
    </row>
    <row r="1407" spans="1:23" x14ac:dyDescent="0.25">
      <c r="A1407" s="26" t="str">
        <f t="shared" si="237"/>
        <v>PREESCOLAR</v>
      </c>
      <c r="B1407" s="26" t="str">
        <f>"09PJN2003N"</f>
        <v>09PJN2003N</v>
      </c>
      <c r="C1407" s="26" t="str">
        <f>"ESTUDIOS BASICOS GABRIELA MISTRAL                                                                   "</f>
        <v xml:space="preserve">ESTUDIOS BASICOS GABRIELA MISTRAL                                                                   </v>
      </c>
      <c r="D1407" s="26" t="str">
        <f t="shared" si="247"/>
        <v>MATUTINO</v>
      </c>
      <c r="E1407" s="26" t="str">
        <f>"FRANCISCO CANO NO. 349                                                          "</f>
        <v xml:space="preserve">FRANCISCO CANO NO. 349                                                          </v>
      </c>
      <c r="F1407" s="26" t="str">
        <f>"SANTA MARTHA ACATITLA                                                                                                                       "</f>
        <v xml:space="preserve">SANTA MARTHA ACATITLA                                                                                                                       </v>
      </c>
      <c r="G1407" s="26" t="str">
        <f t="shared" si="243"/>
        <v xml:space="preserve">IZTAPALAPA                                                                      </v>
      </c>
      <c r="H1407" s="26" t="str">
        <f t="shared" si="244"/>
        <v>000</v>
      </c>
      <c r="I1407" s="26" t="str">
        <f t="shared" si="238"/>
        <v>00</v>
      </c>
      <c r="J1407" s="26" t="str">
        <f>"62 "</f>
        <v xml:space="preserve">62 </v>
      </c>
      <c r="K1407" s="26" t="str">
        <f t="shared" si="245"/>
        <v>IZ</v>
      </c>
      <c r="L1407" s="26" t="str">
        <f t="shared" si="246"/>
        <v>DGSEI</v>
      </c>
      <c r="M1407" s="26" t="str">
        <f t="shared" ref="M1407:M1470" si="248">"PARTICULAR"</f>
        <v>PARTICULAR</v>
      </c>
      <c r="N1407" s="26">
        <v>44</v>
      </c>
      <c r="O1407" s="26">
        <v>22</v>
      </c>
      <c r="P1407" s="26">
        <v>22</v>
      </c>
      <c r="Q1407" s="26">
        <v>3</v>
      </c>
      <c r="R1407" s="26">
        <v>1</v>
      </c>
      <c r="S1407" s="26">
        <v>3</v>
      </c>
      <c r="T1407" s="26">
        <v>4</v>
      </c>
      <c r="U1407" s="26">
        <v>8</v>
      </c>
      <c r="V1407" s="26">
        <v>1</v>
      </c>
      <c r="W1407" s="26"/>
    </row>
    <row r="1408" spans="1:23" x14ac:dyDescent="0.25">
      <c r="A1408" s="26" t="str">
        <f t="shared" si="237"/>
        <v>PREESCOLAR</v>
      </c>
      <c r="B1408" s="26" t="str">
        <f>"09PJN2007J"</f>
        <v>09PJN2007J</v>
      </c>
      <c r="C1408" s="26" t="str">
        <f>"APPLE TREE MARIA MONTESSORI                                                                         "</f>
        <v xml:space="preserve">APPLE TREE MARIA MONTESSORI                                                                         </v>
      </c>
      <c r="D1408" s="26" t="str">
        <f t="shared" si="247"/>
        <v>MATUTINO</v>
      </c>
      <c r="E1408" s="26" t="str">
        <f>"JOSE LOPEZ PORTILLO MZ. 3 LT. 8                                                 "</f>
        <v xml:space="preserve">JOSE LOPEZ PORTILLO MZ. 3 LT. 8                                                 </v>
      </c>
      <c r="F1408" s="26" t="str">
        <f>"GUADALUPE DEL MORAL                                                                                                                         "</f>
        <v xml:space="preserve">GUADALUPE DEL MORAL                                                                                                                         </v>
      </c>
      <c r="G1408" s="26" t="str">
        <f t="shared" si="243"/>
        <v xml:space="preserve">IZTAPALAPA                                                                      </v>
      </c>
      <c r="H1408" s="26" t="str">
        <f t="shared" si="244"/>
        <v>000</v>
      </c>
      <c r="I1408" s="26" t="str">
        <f t="shared" si="238"/>
        <v>00</v>
      </c>
      <c r="J1408" s="26" t="str">
        <f>"61 "</f>
        <v xml:space="preserve">61 </v>
      </c>
      <c r="K1408" s="26" t="str">
        <f t="shared" si="245"/>
        <v>IZ</v>
      </c>
      <c r="L1408" s="26" t="str">
        <f t="shared" si="246"/>
        <v>DGSEI</v>
      </c>
      <c r="M1408" s="26" t="str">
        <f t="shared" si="248"/>
        <v>PARTICULAR</v>
      </c>
      <c r="N1408" s="26">
        <v>45</v>
      </c>
      <c r="O1408" s="26">
        <v>23</v>
      </c>
      <c r="P1408" s="26">
        <v>22</v>
      </c>
      <c r="Q1408" s="26">
        <v>3</v>
      </c>
      <c r="R1408" s="26">
        <v>1</v>
      </c>
      <c r="S1408" s="26">
        <v>2</v>
      </c>
      <c r="T1408" s="26">
        <v>3</v>
      </c>
      <c r="U1408" s="26">
        <v>6</v>
      </c>
      <c r="V1408" s="26">
        <v>1</v>
      </c>
      <c r="W1408" s="26"/>
    </row>
    <row r="1409" spans="1:23" x14ac:dyDescent="0.25">
      <c r="A1409" s="26" t="str">
        <f t="shared" si="237"/>
        <v>PREESCOLAR</v>
      </c>
      <c r="B1409" s="26" t="str">
        <f>"09PJN2018P"</f>
        <v>09PJN2018P</v>
      </c>
      <c r="C1409" s="26" t="str">
        <f>"CORAZON DE NIÑO                                                                                     "</f>
        <v xml:space="preserve">CORAZON DE NIÑO                                                                                     </v>
      </c>
      <c r="D1409" s="26" t="str">
        <f t="shared" si="247"/>
        <v>MATUTINO</v>
      </c>
      <c r="E1409" s="26" t="str">
        <f>"BENITO JUAREZ NO. 116                                                           "</f>
        <v xml:space="preserve">BENITO JUAREZ NO. 116                                                           </v>
      </c>
      <c r="F1409" s="26" t="str">
        <f>"PROGRESISTA                                                                                                                                 "</f>
        <v xml:space="preserve">PROGRESISTA                                                                                                                                 </v>
      </c>
      <c r="G1409" s="26" t="str">
        <f t="shared" si="243"/>
        <v xml:space="preserve">IZTAPALAPA                                                                      </v>
      </c>
      <c r="H1409" s="26" t="str">
        <f t="shared" si="244"/>
        <v>000</v>
      </c>
      <c r="I1409" s="26" t="str">
        <f t="shared" si="238"/>
        <v>00</v>
      </c>
      <c r="J1409" s="26" t="str">
        <f>"62 "</f>
        <v xml:space="preserve">62 </v>
      </c>
      <c r="K1409" s="26" t="str">
        <f t="shared" si="245"/>
        <v>IZ</v>
      </c>
      <c r="L1409" s="26" t="str">
        <f t="shared" si="246"/>
        <v>DGSEI</v>
      </c>
      <c r="M1409" s="26" t="str">
        <f t="shared" si="248"/>
        <v>PARTICULAR</v>
      </c>
      <c r="N1409" s="26">
        <v>23</v>
      </c>
      <c r="O1409" s="26">
        <v>9</v>
      </c>
      <c r="P1409" s="26">
        <v>14</v>
      </c>
      <c r="Q1409" s="26">
        <v>3</v>
      </c>
      <c r="R1409" s="26">
        <v>1</v>
      </c>
      <c r="S1409" s="26">
        <v>1</v>
      </c>
      <c r="T1409" s="26">
        <v>1</v>
      </c>
      <c r="U1409" s="26">
        <v>3</v>
      </c>
      <c r="V1409" s="26">
        <v>1</v>
      </c>
      <c r="W1409" s="26"/>
    </row>
    <row r="1410" spans="1:23" x14ac:dyDescent="0.25">
      <c r="A1410" s="26" t="str">
        <f t="shared" ref="A1410:A1473" si="249">"PREESCOLAR"</f>
        <v>PREESCOLAR</v>
      </c>
      <c r="B1410" s="26" t="str">
        <f>"09PJN2033H"</f>
        <v>09PJN2033H</v>
      </c>
      <c r="C1410" s="26" t="str">
        <f>"ROSARIO CASTELLANOS                                                                                 "</f>
        <v xml:space="preserve">ROSARIO CASTELLANOS                                                                                 </v>
      </c>
      <c r="D1410" s="26" t="str">
        <f t="shared" si="247"/>
        <v>MATUTINO</v>
      </c>
      <c r="E1410" s="26" t="str">
        <f>"GOBERNACION NO. 20                                                              "</f>
        <v xml:space="preserve">GOBERNACION NO. 20                                                              </v>
      </c>
      <c r="F1410" s="26" t="str">
        <f>"CULHUACAN                                                                                                                                   "</f>
        <v xml:space="preserve">CULHUACAN                                                                                                                                   </v>
      </c>
      <c r="G1410" s="26" t="str">
        <f t="shared" si="243"/>
        <v xml:space="preserve">IZTAPALAPA                                                                      </v>
      </c>
      <c r="H1410" s="26" t="str">
        <f t="shared" si="244"/>
        <v>000</v>
      </c>
      <c r="I1410" s="26" t="str">
        <f t="shared" ref="I1410:I1473" si="250">"00"</f>
        <v>00</v>
      </c>
      <c r="J1410" s="26" t="str">
        <f>"63 "</f>
        <v xml:space="preserve">63 </v>
      </c>
      <c r="K1410" s="26" t="str">
        <f t="shared" si="245"/>
        <v>IZ</v>
      </c>
      <c r="L1410" s="26" t="str">
        <f t="shared" si="246"/>
        <v>DGSEI</v>
      </c>
      <c r="M1410" s="26" t="str">
        <f t="shared" si="248"/>
        <v>PARTICULAR</v>
      </c>
      <c r="N1410" s="26">
        <v>22</v>
      </c>
      <c r="O1410" s="26">
        <v>12</v>
      </c>
      <c r="P1410" s="26">
        <v>10</v>
      </c>
      <c r="Q1410" s="26">
        <v>4</v>
      </c>
      <c r="R1410" s="26">
        <v>1</v>
      </c>
      <c r="S1410" s="26">
        <v>3</v>
      </c>
      <c r="T1410" s="26">
        <v>1</v>
      </c>
      <c r="U1410" s="26">
        <v>5</v>
      </c>
      <c r="V1410" s="26">
        <v>1</v>
      </c>
      <c r="W1410" s="26"/>
    </row>
    <row r="1411" spans="1:23" x14ac:dyDescent="0.25">
      <c r="A1411" s="26" t="str">
        <f t="shared" si="249"/>
        <v>PREESCOLAR</v>
      </c>
      <c r="B1411" s="26" t="str">
        <f>"09PJN2049I"</f>
        <v>09PJN2049I</v>
      </c>
      <c r="C1411" s="26" t="str">
        <f>"SHALOM                                                                                              "</f>
        <v xml:space="preserve">SHALOM                                                                                              </v>
      </c>
      <c r="D1411" s="26" t="str">
        <f t="shared" si="247"/>
        <v>MATUTINO</v>
      </c>
      <c r="E1411" s="26" t="str">
        <f>"HIDALGO MZ 23 LOTE 13                                                           "</f>
        <v xml:space="preserve">HIDALGO MZ 23 LOTE 13                                                           </v>
      </c>
      <c r="F1411" s="26" t="str">
        <f>"GUADALUPE DEL MORAL                                                                                                                         "</f>
        <v xml:space="preserve">GUADALUPE DEL MORAL                                                                                                                         </v>
      </c>
      <c r="G1411" s="26" t="str">
        <f t="shared" si="243"/>
        <v xml:space="preserve">IZTAPALAPA                                                                      </v>
      </c>
      <c r="H1411" s="26" t="str">
        <f t="shared" si="244"/>
        <v>000</v>
      </c>
      <c r="I1411" s="26" t="str">
        <f t="shared" si="250"/>
        <v>00</v>
      </c>
      <c r="J1411" s="26" t="str">
        <f>"61 "</f>
        <v xml:space="preserve">61 </v>
      </c>
      <c r="K1411" s="26" t="str">
        <f t="shared" si="245"/>
        <v>IZ</v>
      </c>
      <c r="L1411" s="26" t="str">
        <f t="shared" si="246"/>
        <v>DGSEI</v>
      </c>
      <c r="M1411" s="26" t="str">
        <f t="shared" si="248"/>
        <v>PARTICULAR</v>
      </c>
      <c r="N1411" s="26">
        <v>13</v>
      </c>
      <c r="O1411" s="26">
        <v>10</v>
      </c>
      <c r="P1411" s="26">
        <v>3</v>
      </c>
      <c r="Q1411" s="26">
        <v>3</v>
      </c>
      <c r="R1411" s="26">
        <v>1</v>
      </c>
      <c r="S1411" s="26">
        <v>1</v>
      </c>
      <c r="T1411" s="26">
        <v>5</v>
      </c>
      <c r="U1411" s="26">
        <v>7</v>
      </c>
      <c r="V1411" s="26">
        <v>1</v>
      </c>
      <c r="W1411" s="26"/>
    </row>
    <row r="1412" spans="1:23" x14ac:dyDescent="0.25">
      <c r="A1412" s="26" t="str">
        <f t="shared" si="249"/>
        <v>PREESCOLAR</v>
      </c>
      <c r="B1412" s="26" t="str">
        <f>"09PJN2051X"</f>
        <v>09PJN2051X</v>
      </c>
      <c r="C1412" s="26" t="str">
        <f>"INSTITUTO INFANTIL ERIK ERIKSON                                                                     "</f>
        <v xml:space="preserve">INSTITUTO INFANTIL ERIK ERIKSON                                                                     </v>
      </c>
      <c r="D1412" s="26" t="str">
        <f t="shared" si="247"/>
        <v>MATUTINO</v>
      </c>
      <c r="E1412" s="26" t="str">
        <f>"JOSE TOMAS ESTRELLA MZ. 1 LT. 2                                                 "</f>
        <v xml:space="preserve">JOSE TOMAS ESTRELLA MZ. 1 LT. 2                                                 </v>
      </c>
      <c r="F1412" s="26" t="str">
        <f>"PARAJE SAN JUAN JOYA                                                                                                                        "</f>
        <v xml:space="preserve">PARAJE SAN JUAN JOYA                                                                                                                        </v>
      </c>
      <c r="G1412" s="26" t="str">
        <f t="shared" si="243"/>
        <v xml:space="preserve">IZTAPALAPA                                                                      </v>
      </c>
      <c r="H1412" s="26" t="str">
        <f t="shared" si="244"/>
        <v>000</v>
      </c>
      <c r="I1412" s="26" t="str">
        <f t="shared" si="250"/>
        <v>00</v>
      </c>
      <c r="J1412" s="26" t="str">
        <f>"63 "</f>
        <v xml:space="preserve">63 </v>
      </c>
      <c r="K1412" s="26" t="str">
        <f t="shared" si="245"/>
        <v>IZ</v>
      </c>
      <c r="L1412" s="26" t="str">
        <f t="shared" si="246"/>
        <v>DGSEI</v>
      </c>
      <c r="M1412" s="26" t="str">
        <f t="shared" si="248"/>
        <v>PARTICULAR</v>
      </c>
      <c r="N1412" s="26">
        <v>15</v>
      </c>
      <c r="O1412" s="26">
        <v>11</v>
      </c>
      <c r="P1412" s="26">
        <v>4</v>
      </c>
      <c r="Q1412" s="26">
        <v>3</v>
      </c>
      <c r="R1412" s="26">
        <v>0</v>
      </c>
      <c r="S1412" s="26">
        <v>1</v>
      </c>
      <c r="T1412" s="26">
        <v>0</v>
      </c>
      <c r="U1412" s="26">
        <v>1</v>
      </c>
      <c r="V1412" s="26">
        <v>1</v>
      </c>
      <c r="W1412" s="26"/>
    </row>
    <row r="1413" spans="1:23" x14ac:dyDescent="0.25">
      <c r="A1413" s="26" t="str">
        <f t="shared" si="249"/>
        <v>PREESCOLAR</v>
      </c>
      <c r="B1413" s="26" t="str">
        <f>"09PJN2053V"</f>
        <v>09PJN2053V</v>
      </c>
      <c r="C1413" s="26" t="str">
        <f>"COLEGIO VINCENT W. VAN GOGH                                                                         "</f>
        <v xml:space="preserve">COLEGIO VINCENT W. VAN GOGH                                                                         </v>
      </c>
      <c r="D1413" s="26" t="str">
        <f t="shared" si="247"/>
        <v>MATUTINO</v>
      </c>
      <c r="E1413" s="26" t="str">
        <f>"GOBERNADOR ZULOAGA NO. 14                                                       "</f>
        <v xml:space="preserve">GOBERNADOR ZULOAGA NO. 14                                                       </v>
      </c>
      <c r="F1413" s="26" t="str">
        <f>"SAN MIGUEL DE LAS SALERAS                                                                                                                   "</f>
        <v xml:space="preserve">SAN MIGUEL DE LAS SALERAS                                                                                                                   </v>
      </c>
      <c r="G1413" s="26" t="str">
        <f t="shared" si="243"/>
        <v xml:space="preserve">IZTAPALAPA                                                                      </v>
      </c>
      <c r="H1413" s="26" t="str">
        <f t="shared" si="244"/>
        <v>000</v>
      </c>
      <c r="I1413" s="26" t="str">
        <f t="shared" si="250"/>
        <v>00</v>
      </c>
      <c r="J1413" s="26" t="str">
        <f>"61 "</f>
        <v xml:space="preserve">61 </v>
      </c>
      <c r="K1413" s="26" t="str">
        <f t="shared" si="245"/>
        <v>IZ</v>
      </c>
      <c r="L1413" s="26" t="str">
        <f t="shared" si="246"/>
        <v>DGSEI</v>
      </c>
      <c r="M1413" s="26" t="str">
        <f t="shared" si="248"/>
        <v>PARTICULAR</v>
      </c>
      <c r="N1413" s="26">
        <v>55</v>
      </c>
      <c r="O1413" s="26">
        <v>33</v>
      </c>
      <c r="P1413" s="26">
        <v>22</v>
      </c>
      <c r="Q1413" s="26">
        <v>4</v>
      </c>
      <c r="R1413" s="26">
        <v>1</v>
      </c>
      <c r="S1413" s="26">
        <v>4</v>
      </c>
      <c r="T1413" s="26">
        <v>2</v>
      </c>
      <c r="U1413" s="26">
        <v>7</v>
      </c>
      <c r="V1413" s="26">
        <v>1</v>
      </c>
      <c r="W1413" s="26"/>
    </row>
    <row r="1414" spans="1:23" x14ac:dyDescent="0.25">
      <c r="A1414" s="26" t="str">
        <f t="shared" si="249"/>
        <v>PREESCOLAR</v>
      </c>
      <c r="B1414" s="26" t="str">
        <f>"09PJN2056S"</f>
        <v>09PJN2056S</v>
      </c>
      <c r="C1414" s="26" t="str">
        <f>"TEMACHTIANI                                                                                         "</f>
        <v xml:space="preserve">TEMACHTIANI                                                                                         </v>
      </c>
      <c r="D1414" s="26" t="str">
        <f t="shared" si="247"/>
        <v>MATUTINO</v>
      </c>
      <c r="E1414" s="26" t="str">
        <f>"COMONFORT NO. 80                                                                "</f>
        <v xml:space="preserve">COMONFORT NO. 80                                                                </v>
      </c>
      <c r="F1414" s="26" t="str">
        <f>"SAN LUCAS                                                                                                                                   "</f>
        <v xml:space="preserve">SAN LUCAS                                                                                                                                   </v>
      </c>
      <c r="G1414" s="26" t="str">
        <f t="shared" si="243"/>
        <v xml:space="preserve">IZTAPALAPA                                                                      </v>
      </c>
      <c r="H1414" s="26" t="str">
        <f t="shared" si="244"/>
        <v>000</v>
      </c>
      <c r="I1414" s="26" t="str">
        <f t="shared" si="250"/>
        <v>00</v>
      </c>
      <c r="J1414" s="26" t="str">
        <f>"61 "</f>
        <v xml:space="preserve">61 </v>
      </c>
      <c r="K1414" s="26" t="str">
        <f t="shared" si="245"/>
        <v>IZ</v>
      </c>
      <c r="L1414" s="26" t="str">
        <f t="shared" si="246"/>
        <v>DGSEI</v>
      </c>
      <c r="M1414" s="26" t="str">
        <f t="shared" si="248"/>
        <v>PARTICULAR</v>
      </c>
      <c r="N1414" s="26">
        <v>26</v>
      </c>
      <c r="O1414" s="26">
        <v>13</v>
      </c>
      <c r="P1414" s="26">
        <v>13</v>
      </c>
      <c r="Q1414" s="26">
        <v>3</v>
      </c>
      <c r="R1414" s="26">
        <v>1</v>
      </c>
      <c r="S1414" s="26">
        <v>2</v>
      </c>
      <c r="T1414" s="26">
        <v>9</v>
      </c>
      <c r="U1414" s="26">
        <v>12</v>
      </c>
      <c r="V1414" s="26">
        <v>1</v>
      </c>
      <c r="W1414" s="26"/>
    </row>
    <row r="1415" spans="1:23" x14ac:dyDescent="0.25">
      <c r="A1415" s="26" t="str">
        <f t="shared" si="249"/>
        <v>PREESCOLAR</v>
      </c>
      <c r="B1415" s="26" t="str">
        <f>"09PJN2061D"</f>
        <v>09PJN2061D</v>
      </c>
      <c r="C1415" s="26" t="str">
        <f>"CIRCULO INFANTIL                                                                                    "</f>
        <v xml:space="preserve">CIRCULO INFANTIL                                                                                    </v>
      </c>
      <c r="D1415" s="26" t="str">
        <f t="shared" si="247"/>
        <v>MATUTINO</v>
      </c>
      <c r="E1415" s="26" t="str">
        <f>"CDA. SAN JOSE NO. 24                                                            "</f>
        <v xml:space="preserve">CDA. SAN JOSE NO. 24                                                            </v>
      </c>
      <c r="F1415" s="26" t="str">
        <f>"MAGDALENA ATLAZOLPA                                                                                                                         "</f>
        <v xml:space="preserve">MAGDALENA ATLAZOLPA                                                                                                                         </v>
      </c>
      <c r="G1415" s="26" t="str">
        <f t="shared" si="243"/>
        <v xml:space="preserve">IZTAPALAPA                                                                      </v>
      </c>
      <c r="H1415" s="26" t="str">
        <f t="shared" si="244"/>
        <v>000</v>
      </c>
      <c r="I1415" s="26" t="str">
        <f t="shared" si="250"/>
        <v>00</v>
      </c>
      <c r="J1415" s="26" t="str">
        <f>"61 "</f>
        <v xml:space="preserve">61 </v>
      </c>
      <c r="K1415" s="26" t="str">
        <f t="shared" si="245"/>
        <v>IZ</v>
      </c>
      <c r="L1415" s="26" t="str">
        <f t="shared" si="246"/>
        <v>DGSEI</v>
      </c>
      <c r="M1415" s="26" t="str">
        <f t="shared" si="248"/>
        <v>PARTICULAR</v>
      </c>
      <c r="N1415" s="26">
        <v>14</v>
      </c>
      <c r="O1415" s="26">
        <v>6</v>
      </c>
      <c r="P1415" s="26">
        <v>8</v>
      </c>
      <c r="Q1415" s="26">
        <v>3</v>
      </c>
      <c r="R1415" s="26">
        <v>0</v>
      </c>
      <c r="S1415" s="26">
        <v>2</v>
      </c>
      <c r="T1415" s="26">
        <v>1</v>
      </c>
      <c r="U1415" s="26">
        <v>3</v>
      </c>
      <c r="V1415" s="26">
        <v>1</v>
      </c>
      <c r="W1415" s="26"/>
    </row>
    <row r="1416" spans="1:23" x14ac:dyDescent="0.25">
      <c r="A1416" s="26" t="str">
        <f t="shared" si="249"/>
        <v>PREESCOLAR</v>
      </c>
      <c r="B1416" s="26" t="str">
        <f>"09PJN2063B"</f>
        <v>09PJN2063B</v>
      </c>
      <c r="C1416" s="26" t="str">
        <f>"GIGIO                                                                                               "</f>
        <v xml:space="preserve">GIGIO                                                                                               </v>
      </c>
      <c r="D1416" s="26" t="str">
        <f t="shared" si="247"/>
        <v>MATUTINO</v>
      </c>
      <c r="E1416" s="26" t="str">
        <f>"SUR 99-A NO. 701                                                                "</f>
        <v xml:space="preserve">SUR 99-A NO. 701                                                                </v>
      </c>
      <c r="F1416" s="26" t="str">
        <f>"SECTOR POPULAR                                                                                                                              "</f>
        <v xml:space="preserve">SECTOR POPULAR                                                                                                                              </v>
      </c>
      <c r="G1416" s="26" t="str">
        <f t="shared" si="243"/>
        <v xml:space="preserve">IZTAPALAPA                                                                      </v>
      </c>
      <c r="H1416" s="26" t="str">
        <f t="shared" si="244"/>
        <v>000</v>
      </c>
      <c r="I1416" s="26" t="str">
        <f t="shared" si="250"/>
        <v>00</v>
      </c>
      <c r="J1416" s="26" t="str">
        <f>"61 "</f>
        <v xml:space="preserve">61 </v>
      </c>
      <c r="K1416" s="26" t="str">
        <f t="shared" si="245"/>
        <v>IZ</v>
      </c>
      <c r="L1416" s="26" t="str">
        <f t="shared" si="246"/>
        <v>DGSEI</v>
      </c>
      <c r="M1416" s="26" t="str">
        <f t="shared" si="248"/>
        <v>PARTICULAR</v>
      </c>
      <c r="N1416" s="26">
        <v>20</v>
      </c>
      <c r="O1416" s="26">
        <v>10</v>
      </c>
      <c r="P1416" s="26">
        <v>10</v>
      </c>
      <c r="Q1416" s="26">
        <v>3</v>
      </c>
      <c r="R1416" s="26">
        <v>1</v>
      </c>
      <c r="S1416" s="26">
        <v>3</v>
      </c>
      <c r="T1416" s="26">
        <v>1</v>
      </c>
      <c r="U1416" s="26">
        <v>5</v>
      </c>
      <c r="V1416" s="26">
        <v>1</v>
      </c>
      <c r="W1416" s="26"/>
    </row>
    <row r="1417" spans="1:23" x14ac:dyDescent="0.25">
      <c r="A1417" s="26" t="str">
        <f t="shared" si="249"/>
        <v>PREESCOLAR</v>
      </c>
      <c r="B1417" s="26" t="str">
        <f>"09PJN2066Z"</f>
        <v>09PJN2066Z</v>
      </c>
      <c r="C1417" s="26" t="str">
        <f>"ANDRES OSUNA                                                                                        "</f>
        <v xml:space="preserve">ANDRES OSUNA                                                                                        </v>
      </c>
      <c r="D1417" s="26" t="str">
        <f t="shared" si="247"/>
        <v>MATUTINO</v>
      </c>
      <c r="E1417" s="26" t="str">
        <f>"BIOGRAFOS NO. 23                                                                "</f>
        <v xml:space="preserve">BIOGRAFOS NO. 23                                                                </v>
      </c>
      <c r="F1417" s="26" t="str">
        <f>"EL SIFON                                                                                                                                    "</f>
        <v xml:space="preserve">EL SIFON                                                                                                                                    </v>
      </c>
      <c r="G1417" s="26" t="str">
        <f t="shared" si="243"/>
        <v xml:space="preserve">IZTAPALAPA                                                                      </v>
      </c>
      <c r="H1417" s="26" t="str">
        <f t="shared" si="244"/>
        <v>000</v>
      </c>
      <c r="I1417" s="26" t="str">
        <f t="shared" si="250"/>
        <v>00</v>
      </c>
      <c r="J1417" s="26" t="str">
        <f>"61 "</f>
        <v xml:space="preserve">61 </v>
      </c>
      <c r="K1417" s="26" t="str">
        <f t="shared" si="245"/>
        <v>IZ</v>
      </c>
      <c r="L1417" s="26" t="str">
        <f t="shared" si="246"/>
        <v>DGSEI</v>
      </c>
      <c r="M1417" s="26" t="str">
        <f t="shared" si="248"/>
        <v>PARTICULAR</v>
      </c>
      <c r="N1417" s="26">
        <v>29</v>
      </c>
      <c r="O1417" s="26">
        <v>15</v>
      </c>
      <c r="P1417" s="26">
        <v>14</v>
      </c>
      <c r="Q1417" s="26">
        <v>3</v>
      </c>
      <c r="R1417" s="26">
        <v>1</v>
      </c>
      <c r="S1417" s="26">
        <v>2</v>
      </c>
      <c r="T1417" s="26">
        <v>4</v>
      </c>
      <c r="U1417" s="26">
        <v>7</v>
      </c>
      <c r="V1417" s="26">
        <v>1</v>
      </c>
      <c r="W1417" s="26"/>
    </row>
    <row r="1418" spans="1:23" x14ac:dyDescent="0.25">
      <c r="A1418" s="26" t="str">
        <f t="shared" si="249"/>
        <v>PREESCOLAR</v>
      </c>
      <c r="B1418" s="26" t="str">
        <f>"09PJN2070L"</f>
        <v>09PJN2070L</v>
      </c>
      <c r="C1418" s="26" t="str">
        <f>"GULLIVER                                                                                            "</f>
        <v xml:space="preserve">GULLIVER                                                                                            </v>
      </c>
      <c r="D1418" s="26" t="str">
        <f t="shared" si="247"/>
        <v>MATUTINO</v>
      </c>
      <c r="E1418" s="26" t="str">
        <f>"FRANCISCO JAVIER MINA MZ. 33 LT. 19                                             "</f>
        <v xml:space="preserve">FRANCISCO JAVIER MINA MZ. 33 LT. 19                                             </v>
      </c>
      <c r="F1418" s="26" t="str">
        <f>"SANTA CRUZ MEYEHUALCO                                                                                                                       "</f>
        <v xml:space="preserve">SANTA CRUZ MEYEHUALCO                                                                                                                       </v>
      </c>
      <c r="G1418" s="26" t="str">
        <f t="shared" si="243"/>
        <v xml:space="preserve">IZTAPALAPA                                                                      </v>
      </c>
      <c r="H1418" s="26" t="str">
        <f t="shared" si="244"/>
        <v>000</v>
      </c>
      <c r="I1418" s="26" t="str">
        <f t="shared" si="250"/>
        <v>00</v>
      </c>
      <c r="J1418" s="26" t="str">
        <f>"64 "</f>
        <v xml:space="preserve">64 </v>
      </c>
      <c r="K1418" s="26" t="str">
        <f t="shared" si="245"/>
        <v>IZ</v>
      </c>
      <c r="L1418" s="26" t="str">
        <f t="shared" si="246"/>
        <v>DGSEI</v>
      </c>
      <c r="M1418" s="26" t="str">
        <f t="shared" si="248"/>
        <v>PARTICULAR</v>
      </c>
      <c r="N1418" s="26">
        <v>19</v>
      </c>
      <c r="O1418" s="26">
        <v>12</v>
      </c>
      <c r="P1418" s="26">
        <v>7</v>
      </c>
      <c r="Q1418" s="26">
        <v>3</v>
      </c>
      <c r="R1418" s="26">
        <v>1</v>
      </c>
      <c r="S1418" s="26">
        <v>3</v>
      </c>
      <c r="T1418" s="26">
        <v>1</v>
      </c>
      <c r="U1418" s="26">
        <v>5</v>
      </c>
      <c r="V1418" s="26">
        <v>1</v>
      </c>
      <c r="W1418" s="26"/>
    </row>
    <row r="1419" spans="1:23" x14ac:dyDescent="0.25">
      <c r="A1419" s="26" t="str">
        <f t="shared" si="249"/>
        <v>PREESCOLAR</v>
      </c>
      <c r="B1419" s="26" t="str">
        <f>"09PJN2085N"</f>
        <v>09PJN2085N</v>
      </c>
      <c r="C1419" s="26" t="str">
        <f>"IMAGINA                                                                                             "</f>
        <v xml:space="preserve">IMAGINA                                                                                             </v>
      </c>
      <c r="D1419" s="26" t="str">
        <f t="shared" si="247"/>
        <v>MATUTINO</v>
      </c>
      <c r="E1419" s="26" t="str">
        <f>"AV. 5 DE MAYO NO. 149                                                           "</f>
        <v xml:space="preserve">AV. 5 DE MAYO NO. 149                                                           </v>
      </c>
      <c r="F1419" s="26" t="str">
        <f>"SAN IGNACIO                                                                                                                                 "</f>
        <v xml:space="preserve">SAN IGNACIO                                                                                                                                 </v>
      </c>
      <c r="G1419" s="26" t="str">
        <f t="shared" si="243"/>
        <v xml:space="preserve">IZTAPALAPA                                                                      </v>
      </c>
      <c r="H1419" s="26" t="str">
        <f t="shared" si="244"/>
        <v>000</v>
      </c>
      <c r="I1419" s="26" t="str">
        <f t="shared" si="250"/>
        <v>00</v>
      </c>
      <c r="J1419" s="26" t="str">
        <f>"61 "</f>
        <v xml:space="preserve">61 </v>
      </c>
      <c r="K1419" s="26" t="str">
        <f t="shared" si="245"/>
        <v>IZ</v>
      </c>
      <c r="L1419" s="26" t="str">
        <f t="shared" si="246"/>
        <v>DGSEI</v>
      </c>
      <c r="M1419" s="26" t="str">
        <f t="shared" si="248"/>
        <v>PARTICULAR</v>
      </c>
      <c r="N1419" s="26">
        <v>67</v>
      </c>
      <c r="O1419" s="26">
        <v>34</v>
      </c>
      <c r="P1419" s="26">
        <v>33</v>
      </c>
      <c r="Q1419" s="26">
        <v>3</v>
      </c>
      <c r="R1419" s="26">
        <v>1</v>
      </c>
      <c r="S1419" s="26">
        <v>3</v>
      </c>
      <c r="T1419" s="26">
        <v>1</v>
      </c>
      <c r="U1419" s="26">
        <v>5</v>
      </c>
      <c r="V1419" s="26">
        <v>1</v>
      </c>
      <c r="W1419" s="26"/>
    </row>
    <row r="1420" spans="1:23" x14ac:dyDescent="0.25">
      <c r="A1420" s="26" t="str">
        <f t="shared" si="249"/>
        <v>PREESCOLAR</v>
      </c>
      <c r="B1420" s="26" t="str">
        <f>"09PJN2090Z"</f>
        <v>09PJN2090Z</v>
      </c>
      <c r="C1420" s="26" t="str">
        <f>"INSTITUTO VALLADOLID                                                                                "</f>
        <v xml:space="preserve">INSTITUTO VALLADOLID                                                                                </v>
      </c>
      <c r="D1420" s="26" t="str">
        <f t="shared" si="247"/>
        <v>MATUTINO</v>
      </c>
      <c r="E1420" s="26" t="str">
        <f>"5 DE MAYO NO. 3                                                                 "</f>
        <v xml:space="preserve">5 DE MAYO NO. 3                                                                 </v>
      </c>
      <c r="F1420" s="26" t="str">
        <f>"LOS REYES                                                                                                                                   "</f>
        <v xml:space="preserve">LOS REYES                                                                                                                                   </v>
      </c>
      <c r="G1420" s="26" t="str">
        <f t="shared" si="243"/>
        <v xml:space="preserve">IZTAPALAPA                                                                      </v>
      </c>
      <c r="H1420" s="26" t="str">
        <f t="shared" si="244"/>
        <v>000</v>
      </c>
      <c r="I1420" s="26" t="str">
        <f t="shared" si="250"/>
        <v>00</v>
      </c>
      <c r="J1420" s="26" t="str">
        <f>"61 "</f>
        <v xml:space="preserve">61 </v>
      </c>
      <c r="K1420" s="26" t="str">
        <f t="shared" si="245"/>
        <v>IZ</v>
      </c>
      <c r="L1420" s="26" t="str">
        <f t="shared" si="246"/>
        <v>DGSEI</v>
      </c>
      <c r="M1420" s="26" t="str">
        <f t="shared" si="248"/>
        <v>PARTICULAR</v>
      </c>
      <c r="N1420" s="26">
        <v>44</v>
      </c>
      <c r="O1420" s="26">
        <v>18</v>
      </c>
      <c r="P1420" s="26">
        <v>26</v>
      </c>
      <c r="Q1420" s="26">
        <v>3</v>
      </c>
      <c r="R1420" s="26">
        <v>1</v>
      </c>
      <c r="S1420" s="26">
        <v>3</v>
      </c>
      <c r="T1420" s="26">
        <v>9</v>
      </c>
      <c r="U1420" s="26">
        <v>13</v>
      </c>
      <c r="V1420" s="26">
        <v>1</v>
      </c>
      <c r="W1420" s="26"/>
    </row>
    <row r="1421" spans="1:23" x14ac:dyDescent="0.25">
      <c r="A1421" s="26" t="str">
        <f t="shared" si="249"/>
        <v>PREESCOLAR</v>
      </c>
      <c r="B1421" s="26" t="str">
        <f>"09PJN2096T"</f>
        <v>09PJN2096T</v>
      </c>
      <c r="C1421" s="26" t="str">
        <f>"TOLLAN                                                                                              "</f>
        <v xml:space="preserve">TOLLAN                                                                                              </v>
      </c>
      <c r="D1421" s="26" t="str">
        <f t="shared" si="247"/>
        <v>MATUTINO</v>
      </c>
      <c r="E1421" s="26" t="str">
        <f>"CACAMA NO. 71                                                                   "</f>
        <v xml:space="preserve">CACAMA NO. 71                                                                   </v>
      </c>
      <c r="F1421" s="26" t="str">
        <f>"SANTA ISABEL TOLA                                                                                                                           "</f>
        <v xml:space="preserve">SANTA ISABEL TOLA                                                                                                                           </v>
      </c>
      <c r="G1421" s="26" t="str">
        <f t="shared" ref="G1421:G1436" si="251">"GUSTAVO A. MADERO                                                               "</f>
        <v xml:space="preserve">GUSTAVO A. MADERO                                                               </v>
      </c>
      <c r="H1421" s="26" t="str">
        <f>"197"</f>
        <v>197</v>
      </c>
      <c r="I1421" s="26" t="str">
        <f t="shared" si="250"/>
        <v>00</v>
      </c>
      <c r="J1421" s="26" t="str">
        <f t="shared" ref="J1421:J1436" si="252">"32 "</f>
        <v xml:space="preserve">32 </v>
      </c>
      <c r="K1421" s="26" t="str">
        <f t="shared" ref="K1421:K1436" si="253">"EP"</f>
        <v>EP</v>
      </c>
      <c r="L1421" s="26" t="str">
        <f t="shared" ref="L1421:L1436" si="254">"DGOSE"</f>
        <v>DGOSE</v>
      </c>
      <c r="M1421" s="26" t="str">
        <f t="shared" si="248"/>
        <v>PARTICULAR</v>
      </c>
      <c r="N1421" s="26">
        <v>40</v>
      </c>
      <c r="O1421" s="26">
        <v>20</v>
      </c>
      <c r="P1421" s="26">
        <v>20</v>
      </c>
      <c r="Q1421" s="26">
        <v>3</v>
      </c>
      <c r="R1421" s="26">
        <v>1</v>
      </c>
      <c r="S1421" s="26">
        <v>3</v>
      </c>
      <c r="T1421" s="26">
        <v>2</v>
      </c>
      <c r="U1421" s="26">
        <v>6</v>
      </c>
      <c r="V1421" s="26">
        <v>1</v>
      </c>
      <c r="W1421" s="26"/>
    </row>
    <row r="1422" spans="1:23" x14ac:dyDescent="0.25">
      <c r="A1422" s="26" t="str">
        <f t="shared" si="249"/>
        <v>PREESCOLAR</v>
      </c>
      <c r="B1422" s="26" t="str">
        <f>"09PJN2099Q"</f>
        <v>09PJN2099Q</v>
      </c>
      <c r="C1422" s="26" t="str">
        <f>"EDUARDO JENNER                                                                                      "</f>
        <v xml:space="preserve">EDUARDO JENNER                                                                                      </v>
      </c>
      <c r="D1422" s="26" t="str">
        <f t="shared" si="247"/>
        <v>MATUTINO</v>
      </c>
      <c r="E1422" s="26" t="str">
        <f>"SAN JUAN DE LOS LAGOS S/N                                                       "</f>
        <v xml:space="preserve">SAN JUAN DE LOS LAGOS S/N                                                       </v>
      </c>
      <c r="F1422" s="26" t="str">
        <f>"SAN FELIPE DE JESUS                                                                                                                         "</f>
        <v xml:space="preserve">SAN FELIPE DE JESUS                                                                                                                         </v>
      </c>
      <c r="G1422" s="26" t="str">
        <f t="shared" si="251"/>
        <v xml:space="preserve">GUSTAVO A. MADERO                                                               </v>
      </c>
      <c r="H1422" s="26" t="str">
        <f>"191"</f>
        <v>191</v>
      </c>
      <c r="I1422" s="26" t="str">
        <f t="shared" si="250"/>
        <v>00</v>
      </c>
      <c r="J1422" s="26" t="str">
        <f t="shared" si="252"/>
        <v xml:space="preserve">32 </v>
      </c>
      <c r="K1422" s="26" t="str">
        <f t="shared" si="253"/>
        <v>EP</v>
      </c>
      <c r="L1422" s="26" t="str">
        <f t="shared" si="254"/>
        <v>DGOSE</v>
      </c>
      <c r="M1422" s="26" t="str">
        <f t="shared" si="248"/>
        <v>PARTICULAR</v>
      </c>
      <c r="N1422" s="26">
        <v>21</v>
      </c>
      <c r="O1422" s="26">
        <v>12</v>
      </c>
      <c r="P1422" s="26">
        <v>9</v>
      </c>
      <c r="Q1422" s="26">
        <v>3</v>
      </c>
      <c r="R1422" s="26">
        <v>1</v>
      </c>
      <c r="S1422" s="26">
        <v>3</v>
      </c>
      <c r="T1422" s="26">
        <v>5</v>
      </c>
      <c r="U1422" s="26">
        <v>9</v>
      </c>
      <c r="V1422" s="26">
        <v>1</v>
      </c>
      <c r="W1422" s="26"/>
    </row>
    <row r="1423" spans="1:23" x14ac:dyDescent="0.25">
      <c r="A1423" s="26" t="str">
        <f t="shared" si="249"/>
        <v>PREESCOLAR</v>
      </c>
      <c r="B1423" s="26" t="str">
        <f>"09PJN2100P"</f>
        <v>09PJN2100P</v>
      </c>
      <c r="C1423" s="26" t="str">
        <f>"CRI CRI                                                                                             "</f>
        <v xml:space="preserve">CRI CRI                                                                                             </v>
      </c>
      <c r="D1423" s="26" t="str">
        <f t="shared" si="247"/>
        <v>MATUTINO</v>
      </c>
      <c r="E1423" s="26" t="s">
        <v>96</v>
      </c>
      <c r="F1423" s="26" t="str">
        <f>"SAN FELIPE DE JESUS                                                                                                                         "</f>
        <v xml:space="preserve">SAN FELIPE DE JESUS                                                                                                                         </v>
      </c>
      <c r="G1423" s="26" t="str">
        <f t="shared" si="251"/>
        <v xml:space="preserve">GUSTAVO A. MADERO                                                               </v>
      </c>
      <c r="H1423" s="26" t="str">
        <f>"191"</f>
        <v>191</v>
      </c>
      <c r="I1423" s="26" t="str">
        <f t="shared" si="250"/>
        <v>00</v>
      </c>
      <c r="J1423" s="26" t="str">
        <f t="shared" si="252"/>
        <v xml:space="preserve">32 </v>
      </c>
      <c r="K1423" s="26" t="str">
        <f t="shared" si="253"/>
        <v>EP</v>
      </c>
      <c r="L1423" s="26" t="str">
        <f t="shared" si="254"/>
        <v>DGOSE</v>
      </c>
      <c r="M1423" s="26" t="str">
        <f t="shared" si="248"/>
        <v>PARTICULAR</v>
      </c>
      <c r="N1423" s="26">
        <v>26</v>
      </c>
      <c r="O1423" s="26">
        <v>13</v>
      </c>
      <c r="P1423" s="26">
        <v>13</v>
      </c>
      <c r="Q1423" s="26">
        <v>3</v>
      </c>
      <c r="R1423" s="26">
        <v>1</v>
      </c>
      <c r="S1423" s="26">
        <v>1</v>
      </c>
      <c r="T1423" s="26">
        <v>2</v>
      </c>
      <c r="U1423" s="26">
        <v>4</v>
      </c>
      <c r="V1423" s="26">
        <v>1</v>
      </c>
      <c r="W1423" s="26"/>
    </row>
    <row r="1424" spans="1:23" x14ac:dyDescent="0.25">
      <c r="A1424" s="26" t="str">
        <f t="shared" si="249"/>
        <v>PREESCOLAR</v>
      </c>
      <c r="B1424" s="26" t="str">
        <f>"09PJN2113T"</f>
        <v>09PJN2113T</v>
      </c>
      <c r="C1424" s="26" t="str">
        <f>"EL PERIQUITO AZUL                                                                                   "</f>
        <v xml:space="preserve">EL PERIQUITO AZUL                                                                                   </v>
      </c>
      <c r="D1424" s="26" t="str">
        <f t="shared" si="247"/>
        <v>MATUTINO</v>
      </c>
      <c r="E1424" s="26" t="str">
        <f>"CABO BOJADOR NO. 86                                                             "</f>
        <v xml:space="preserve">CABO BOJADOR NO. 86                                                             </v>
      </c>
      <c r="F1424" s="26" t="str">
        <f>"GABRIEL HERNANDEZ                                                                                                                           "</f>
        <v xml:space="preserve">GABRIEL HERNANDEZ                                                                                                                           </v>
      </c>
      <c r="G1424" s="26" t="str">
        <f t="shared" si="251"/>
        <v xml:space="preserve">GUSTAVO A. MADERO                                                               </v>
      </c>
      <c r="H1424" s="26" t="str">
        <f>"095"</f>
        <v>095</v>
      </c>
      <c r="I1424" s="26" t="str">
        <f t="shared" si="250"/>
        <v>00</v>
      </c>
      <c r="J1424" s="26" t="str">
        <f t="shared" si="252"/>
        <v xml:space="preserve">32 </v>
      </c>
      <c r="K1424" s="26" t="str">
        <f t="shared" si="253"/>
        <v>EP</v>
      </c>
      <c r="L1424" s="26" t="str">
        <f t="shared" si="254"/>
        <v>DGOSE</v>
      </c>
      <c r="M1424" s="26" t="str">
        <f t="shared" si="248"/>
        <v>PARTICULAR</v>
      </c>
      <c r="N1424" s="26">
        <v>11</v>
      </c>
      <c r="O1424" s="26">
        <v>7</v>
      </c>
      <c r="P1424" s="26">
        <v>4</v>
      </c>
      <c r="Q1424" s="26">
        <v>2</v>
      </c>
      <c r="R1424" s="26">
        <v>1</v>
      </c>
      <c r="S1424" s="26">
        <v>2</v>
      </c>
      <c r="T1424" s="26">
        <v>1</v>
      </c>
      <c r="U1424" s="26">
        <v>4</v>
      </c>
      <c r="V1424" s="26">
        <v>1</v>
      </c>
      <c r="W1424" s="26"/>
    </row>
    <row r="1425" spans="1:23" x14ac:dyDescent="0.25">
      <c r="A1425" s="26" t="str">
        <f t="shared" si="249"/>
        <v>PREESCOLAR</v>
      </c>
      <c r="B1425" s="26" t="str">
        <f>"09PJN2117P"</f>
        <v>09PJN2117P</v>
      </c>
      <c r="C1425" s="26" t="str">
        <f>"JARDIN DE NIÑOS DEL BOSQUE                                                                          "</f>
        <v xml:space="preserve">JARDIN DE NIÑOS DEL BOSQUE                                                                          </v>
      </c>
      <c r="D1425" s="26" t="str">
        <f t="shared" si="247"/>
        <v>MATUTINO</v>
      </c>
      <c r="E1425" s="26" t="s">
        <v>97</v>
      </c>
      <c r="F1425" s="26" t="str">
        <f>"SANTA ISABEL TOLA                                                                                                                           "</f>
        <v xml:space="preserve">SANTA ISABEL TOLA                                                                                                                           </v>
      </c>
      <c r="G1425" s="26" t="str">
        <f t="shared" si="251"/>
        <v xml:space="preserve">GUSTAVO A. MADERO                                                               </v>
      </c>
      <c r="H1425" s="26" t="str">
        <f>"105"</f>
        <v>105</v>
      </c>
      <c r="I1425" s="26" t="str">
        <f t="shared" si="250"/>
        <v>00</v>
      </c>
      <c r="J1425" s="26" t="str">
        <f t="shared" si="252"/>
        <v xml:space="preserve">32 </v>
      </c>
      <c r="K1425" s="26" t="str">
        <f t="shared" si="253"/>
        <v>EP</v>
      </c>
      <c r="L1425" s="26" t="str">
        <f t="shared" si="254"/>
        <v>DGOSE</v>
      </c>
      <c r="M1425" s="26" t="str">
        <f t="shared" si="248"/>
        <v>PARTICULAR</v>
      </c>
      <c r="N1425" s="26">
        <v>9</v>
      </c>
      <c r="O1425" s="26">
        <v>4</v>
      </c>
      <c r="P1425" s="26">
        <v>5</v>
      </c>
      <c r="Q1425" s="26">
        <v>2</v>
      </c>
      <c r="R1425" s="26">
        <v>1</v>
      </c>
      <c r="S1425" s="26">
        <v>1</v>
      </c>
      <c r="T1425" s="26">
        <v>2</v>
      </c>
      <c r="U1425" s="26">
        <v>4</v>
      </c>
      <c r="V1425" s="26">
        <v>1</v>
      </c>
      <c r="W1425" s="26"/>
    </row>
    <row r="1426" spans="1:23" x14ac:dyDescent="0.25">
      <c r="A1426" s="26" t="str">
        <f t="shared" si="249"/>
        <v>PREESCOLAR</v>
      </c>
      <c r="B1426" s="26" t="str">
        <f>"09PJN2119N"</f>
        <v>09PJN2119N</v>
      </c>
      <c r="C1426" s="26" t="str">
        <f>"JARDÍN DE NIÑOS CAMPANITA                                                                           "</f>
        <v xml:space="preserve">JARDÍN DE NIÑOS CAMPANITA                                                                           </v>
      </c>
      <c r="D1426" s="26" t="str">
        <f t="shared" si="247"/>
        <v>MATUTINO</v>
      </c>
      <c r="E1426" s="26" t="str">
        <f>"AV. 475 No. 32                                                                  "</f>
        <v xml:space="preserve">AV. 475 No. 32                                                                  </v>
      </c>
      <c r="F1426" s="26" t="str">
        <f>"UNIDAD SAN JUAN DE ARAGON                                                                                                                   "</f>
        <v xml:space="preserve">UNIDAD SAN JUAN DE ARAGON                                                                                                                   </v>
      </c>
      <c r="G1426" s="26" t="str">
        <f t="shared" si="251"/>
        <v xml:space="preserve">GUSTAVO A. MADERO                                                               </v>
      </c>
      <c r="H1426" s="26" t="str">
        <f>"201"</f>
        <v>201</v>
      </c>
      <c r="I1426" s="26" t="str">
        <f t="shared" si="250"/>
        <v>00</v>
      </c>
      <c r="J1426" s="26" t="str">
        <f t="shared" si="252"/>
        <v xml:space="preserve">32 </v>
      </c>
      <c r="K1426" s="26" t="str">
        <f t="shared" si="253"/>
        <v>EP</v>
      </c>
      <c r="L1426" s="26" t="str">
        <f t="shared" si="254"/>
        <v>DGOSE</v>
      </c>
      <c r="M1426" s="26" t="str">
        <f t="shared" si="248"/>
        <v>PARTICULAR</v>
      </c>
      <c r="N1426" s="26">
        <v>24</v>
      </c>
      <c r="O1426" s="26">
        <v>16</v>
      </c>
      <c r="P1426" s="26">
        <v>8</v>
      </c>
      <c r="Q1426" s="26">
        <v>3</v>
      </c>
      <c r="R1426" s="26">
        <v>1</v>
      </c>
      <c r="S1426" s="26">
        <v>2</v>
      </c>
      <c r="T1426" s="26">
        <v>2</v>
      </c>
      <c r="U1426" s="26">
        <v>5</v>
      </c>
      <c r="V1426" s="26">
        <v>1</v>
      </c>
      <c r="W1426" s="26"/>
    </row>
    <row r="1427" spans="1:23" x14ac:dyDescent="0.25">
      <c r="A1427" s="26" t="str">
        <f t="shared" si="249"/>
        <v>PREESCOLAR</v>
      </c>
      <c r="B1427" s="26" t="str">
        <f>"09PJN2125Y"</f>
        <v>09PJN2125Y</v>
      </c>
      <c r="C1427" s="26" t="str">
        <f>"JARDÍN DE NIÑOS BERTRAND RUSSELL                                                                    "</f>
        <v xml:space="preserve">JARDÍN DE NIÑOS BERTRAND RUSSELL                                                                    </v>
      </c>
      <c r="D1427" s="26" t="str">
        <f t="shared" si="247"/>
        <v>MATUTINO</v>
      </c>
      <c r="E1427" s="26" t="str">
        <f>"CAMINO CAMPESTRE ""A""  NO. 30                                                    "</f>
        <v xml:space="preserve">CAMINO CAMPESTRE "A"  NO. 30                                                    </v>
      </c>
      <c r="F1427" s="26" t="str">
        <f>"CAMPESTRE ARAGON                                                                                                                            "</f>
        <v xml:space="preserve">CAMPESTRE ARAGON                                                                                                                            </v>
      </c>
      <c r="G1427" s="26" t="str">
        <f t="shared" si="251"/>
        <v xml:space="preserve">GUSTAVO A. MADERO                                                               </v>
      </c>
      <c r="H1427" s="26" t="str">
        <f>"180"</f>
        <v>180</v>
      </c>
      <c r="I1427" s="26" t="str">
        <f t="shared" si="250"/>
        <v>00</v>
      </c>
      <c r="J1427" s="26" t="str">
        <f t="shared" si="252"/>
        <v xml:space="preserve">32 </v>
      </c>
      <c r="K1427" s="26" t="str">
        <f t="shared" si="253"/>
        <v>EP</v>
      </c>
      <c r="L1427" s="26" t="str">
        <f t="shared" si="254"/>
        <v>DGOSE</v>
      </c>
      <c r="M1427" s="26" t="str">
        <f t="shared" si="248"/>
        <v>PARTICULAR</v>
      </c>
      <c r="N1427" s="26">
        <v>35</v>
      </c>
      <c r="O1427" s="26">
        <v>16</v>
      </c>
      <c r="P1427" s="26">
        <v>19</v>
      </c>
      <c r="Q1427" s="26">
        <v>3</v>
      </c>
      <c r="R1427" s="26">
        <v>1</v>
      </c>
      <c r="S1427" s="26">
        <v>3</v>
      </c>
      <c r="T1427" s="26">
        <v>1</v>
      </c>
      <c r="U1427" s="26">
        <v>5</v>
      </c>
      <c r="V1427" s="26">
        <v>1</v>
      </c>
      <c r="W1427" s="26"/>
    </row>
    <row r="1428" spans="1:23" x14ac:dyDescent="0.25">
      <c r="A1428" s="26" t="str">
        <f t="shared" si="249"/>
        <v>PREESCOLAR</v>
      </c>
      <c r="B1428" s="26" t="str">
        <f>"09PJN2133G"</f>
        <v>09PJN2133G</v>
      </c>
      <c r="C1428" s="26" t="str">
        <f>"SOL-TONATIUH                                                                                        "</f>
        <v xml:space="preserve">SOL-TONATIUH                                                                                        </v>
      </c>
      <c r="D1428" s="26" t="str">
        <f t="shared" si="247"/>
        <v>MATUTINO</v>
      </c>
      <c r="E1428" s="26" t="str">
        <f>"CAMINO DEL TRIUNFO A NO. 278                                                    "</f>
        <v xml:space="preserve">CAMINO DEL TRIUNFO A NO. 278                                                    </v>
      </c>
      <c r="F1428" s="26" t="str">
        <f>"CAMPESTRE ARAGON                                                                                                                            "</f>
        <v xml:space="preserve">CAMPESTRE ARAGON                                                                                                                            </v>
      </c>
      <c r="G1428" s="26" t="str">
        <f t="shared" si="251"/>
        <v xml:space="preserve">GUSTAVO A. MADERO                                                               </v>
      </c>
      <c r="H1428" s="26" t="str">
        <f>"199"</f>
        <v>199</v>
      </c>
      <c r="I1428" s="26" t="str">
        <f t="shared" si="250"/>
        <v>00</v>
      </c>
      <c r="J1428" s="26" t="str">
        <f t="shared" si="252"/>
        <v xml:space="preserve">32 </v>
      </c>
      <c r="K1428" s="26" t="str">
        <f t="shared" si="253"/>
        <v>EP</v>
      </c>
      <c r="L1428" s="26" t="str">
        <f t="shared" si="254"/>
        <v>DGOSE</v>
      </c>
      <c r="M1428" s="26" t="str">
        <f t="shared" si="248"/>
        <v>PARTICULAR</v>
      </c>
      <c r="N1428" s="26">
        <v>11</v>
      </c>
      <c r="O1428" s="26">
        <v>7</v>
      </c>
      <c r="P1428" s="26">
        <v>4</v>
      </c>
      <c r="Q1428" s="26">
        <v>2</v>
      </c>
      <c r="R1428" s="26">
        <v>1</v>
      </c>
      <c r="S1428" s="26">
        <v>2</v>
      </c>
      <c r="T1428" s="26">
        <v>4</v>
      </c>
      <c r="U1428" s="26">
        <v>7</v>
      </c>
      <c r="V1428" s="26">
        <v>1</v>
      </c>
      <c r="W1428" s="26"/>
    </row>
    <row r="1429" spans="1:23" x14ac:dyDescent="0.25">
      <c r="A1429" s="26" t="str">
        <f t="shared" si="249"/>
        <v>PREESCOLAR</v>
      </c>
      <c r="B1429" s="26" t="str">
        <f>"09PJN2137C"</f>
        <v>09PJN2137C</v>
      </c>
      <c r="C1429" s="26" t="str">
        <f>"KINDER GARDEN GLORALY                                                                               "</f>
        <v xml:space="preserve">KINDER GARDEN GLORALY                                                                               </v>
      </c>
      <c r="D1429" s="26" t="str">
        <f t="shared" si="247"/>
        <v>MATUTINO</v>
      </c>
      <c r="E1429" s="26" t="str">
        <f>"MATANZAS NO. 1039                                                               "</f>
        <v xml:space="preserve">MATANZAS NO. 1039                                                               </v>
      </c>
      <c r="F1429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1429" s="26" t="str">
        <f t="shared" si="251"/>
        <v xml:space="preserve">GUSTAVO A. MADERO                                                               </v>
      </c>
      <c r="H1429" s="26" t="str">
        <f>"105"</f>
        <v>105</v>
      </c>
      <c r="I1429" s="26" t="str">
        <f t="shared" si="250"/>
        <v>00</v>
      </c>
      <c r="J1429" s="26" t="str">
        <f t="shared" si="252"/>
        <v xml:space="preserve">32 </v>
      </c>
      <c r="K1429" s="26" t="str">
        <f t="shared" si="253"/>
        <v>EP</v>
      </c>
      <c r="L1429" s="26" t="str">
        <f t="shared" si="254"/>
        <v>DGOSE</v>
      </c>
      <c r="M1429" s="26" t="str">
        <f t="shared" si="248"/>
        <v>PARTICULAR</v>
      </c>
      <c r="N1429" s="26">
        <v>10</v>
      </c>
      <c r="O1429" s="26">
        <v>5</v>
      </c>
      <c r="P1429" s="26">
        <v>5</v>
      </c>
      <c r="Q1429" s="26">
        <v>2</v>
      </c>
      <c r="R1429" s="26">
        <v>1</v>
      </c>
      <c r="S1429" s="26">
        <v>1</v>
      </c>
      <c r="T1429" s="26">
        <v>3</v>
      </c>
      <c r="U1429" s="26">
        <v>5</v>
      </c>
      <c r="V1429" s="26">
        <v>1</v>
      </c>
      <c r="W1429" s="26"/>
    </row>
    <row r="1430" spans="1:23" x14ac:dyDescent="0.25">
      <c r="A1430" s="26" t="str">
        <f t="shared" si="249"/>
        <v>PREESCOLAR</v>
      </c>
      <c r="B1430" s="26" t="str">
        <f>"09PJN2149H"</f>
        <v>09PJN2149H</v>
      </c>
      <c r="C1430" s="26" t="str">
        <f>"JARDIN DE NIÑOS NINIVE                                                                              "</f>
        <v xml:space="preserve">JARDIN DE NIÑOS NINIVE                                                                              </v>
      </c>
      <c r="D1430" s="26" t="str">
        <f t="shared" si="247"/>
        <v>MATUTINO</v>
      </c>
      <c r="E1430" s="26" t="str">
        <f>"FERNANDO AMILPA NO. 99                                                          "</f>
        <v xml:space="preserve">FERNANDO AMILPA NO. 99                                                          </v>
      </c>
      <c r="F1430" s="26" t="str">
        <f>"UNIDAD HABITACIONAL CTM                                                                                                                     "</f>
        <v xml:space="preserve">UNIDAD HABITACIONAL CTM                                                                                                                     </v>
      </c>
      <c r="G1430" s="26" t="str">
        <f t="shared" si="251"/>
        <v xml:space="preserve">GUSTAVO A. MADERO                                                               </v>
      </c>
      <c r="H1430" s="26" t="str">
        <f>"191"</f>
        <v>191</v>
      </c>
      <c r="I1430" s="26" t="str">
        <f t="shared" si="250"/>
        <v>00</v>
      </c>
      <c r="J1430" s="26" t="str">
        <f t="shared" si="252"/>
        <v xml:space="preserve">32 </v>
      </c>
      <c r="K1430" s="26" t="str">
        <f t="shared" si="253"/>
        <v>EP</v>
      </c>
      <c r="L1430" s="26" t="str">
        <f t="shared" si="254"/>
        <v>DGOSE</v>
      </c>
      <c r="M1430" s="26" t="str">
        <f t="shared" si="248"/>
        <v>PARTICULAR</v>
      </c>
      <c r="N1430" s="26">
        <v>21</v>
      </c>
      <c r="O1430" s="26">
        <v>8</v>
      </c>
      <c r="P1430" s="26">
        <v>13</v>
      </c>
      <c r="Q1430" s="26">
        <v>3</v>
      </c>
      <c r="R1430" s="26">
        <v>1</v>
      </c>
      <c r="S1430" s="26">
        <v>2</v>
      </c>
      <c r="T1430" s="26">
        <v>3</v>
      </c>
      <c r="U1430" s="26">
        <v>6</v>
      </c>
      <c r="V1430" s="26">
        <v>1</v>
      </c>
      <c r="W1430" s="26"/>
    </row>
    <row r="1431" spans="1:23" x14ac:dyDescent="0.25">
      <c r="A1431" s="26" t="str">
        <f t="shared" si="249"/>
        <v>PREESCOLAR</v>
      </c>
      <c r="B1431" s="26" t="str">
        <f>"09PJN2152V"</f>
        <v>09PJN2152V</v>
      </c>
      <c r="C1431" s="26" t="str">
        <f>"PIOLIN                                                                                              "</f>
        <v xml:space="preserve">PIOLIN                                                                                              </v>
      </c>
      <c r="D1431" s="26" t="str">
        <f t="shared" si="247"/>
        <v>MATUTINO</v>
      </c>
      <c r="E1431" s="26" t="str">
        <f>"RET. MANUEL DEL OLMO NO. 10                                                     "</f>
        <v xml:space="preserve">RET. MANUEL DEL OLMO NO. 10                                                     </v>
      </c>
      <c r="F1431" s="26" t="str">
        <f>"ATZACOALCO                                                                                                                                  "</f>
        <v xml:space="preserve">ATZACOALCO                                                                                                                                  </v>
      </c>
      <c r="G1431" s="26" t="str">
        <f t="shared" si="251"/>
        <v xml:space="preserve">GUSTAVO A. MADERO                                                               </v>
      </c>
      <c r="H1431" s="26" t="str">
        <f>"095"</f>
        <v>095</v>
      </c>
      <c r="I1431" s="26" t="str">
        <f t="shared" si="250"/>
        <v>00</v>
      </c>
      <c r="J1431" s="26" t="str">
        <f t="shared" si="252"/>
        <v xml:space="preserve">32 </v>
      </c>
      <c r="K1431" s="26" t="str">
        <f t="shared" si="253"/>
        <v>EP</v>
      </c>
      <c r="L1431" s="26" t="str">
        <f t="shared" si="254"/>
        <v>DGOSE</v>
      </c>
      <c r="M1431" s="26" t="str">
        <f t="shared" si="248"/>
        <v>PARTICULAR</v>
      </c>
      <c r="N1431" s="26">
        <v>38</v>
      </c>
      <c r="O1431" s="26">
        <v>19</v>
      </c>
      <c r="P1431" s="26">
        <v>19</v>
      </c>
      <c r="Q1431" s="26">
        <v>3</v>
      </c>
      <c r="R1431" s="26">
        <v>2</v>
      </c>
      <c r="S1431" s="26">
        <v>2</v>
      </c>
      <c r="T1431" s="26">
        <v>2</v>
      </c>
      <c r="U1431" s="26">
        <v>6</v>
      </c>
      <c r="V1431" s="26">
        <v>1</v>
      </c>
      <c r="W1431" s="26"/>
    </row>
    <row r="1432" spans="1:23" x14ac:dyDescent="0.25">
      <c r="A1432" s="26" t="str">
        <f t="shared" si="249"/>
        <v>PREESCOLAR</v>
      </c>
      <c r="B1432" s="26" t="str">
        <f>"09PJN2159O"</f>
        <v>09PJN2159O</v>
      </c>
      <c r="C1432" s="26" t="str">
        <f>"JARDIN DE NIÑOS USERA                                                                               "</f>
        <v xml:space="preserve">JARDIN DE NIÑOS USERA                                                                               </v>
      </c>
      <c r="D1432" s="26" t="str">
        <f t="shared" si="247"/>
        <v>MATUTINO</v>
      </c>
      <c r="E1432" s="26" t="str">
        <f>"AV. VENUSTIANO CARRANZA NO. 1427                                                "</f>
        <v xml:space="preserve">AV. VENUSTIANO CARRANZA NO. 1427                                                </v>
      </c>
      <c r="F1432" s="26" t="str">
        <f>"CUAUTEPEC BARRIO ALTO                                                                                                                       "</f>
        <v xml:space="preserve">CUAUTEPEC BARRIO ALTO                                                                                                                       </v>
      </c>
      <c r="G1432" s="26" t="str">
        <f t="shared" si="251"/>
        <v xml:space="preserve">GUSTAVO A. MADERO                                                               </v>
      </c>
      <c r="H1432" s="26" t="str">
        <f>"227"</f>
        <v>227</v>
      </c>
      <c r="I1432" s="26" t="str">
        <f t="shared" si="250"/>
        <v>00</v>
      </c>
      <c r="J1432" s="26" t="str">
        <f t="shared" si="252"/>
        <v xml:space="preserve">32 </v>
      </c>
      <c r="K1432" s="26" t="str">
        <f t="shared" si="253"/>
        <v>EP</v>
      </c>
      <c r="L1432" s="26" t="str">
        <f t="shared" si="254"/>
        <v>DGOSE</v>
      </c>
      <c r="M1432" s="26" t="str">
        <f t="shared" si="248"/>
        <v>PARTICULAR</v>
      </c>
      <c r="N1432" s="26">
        <v>49</v>
      </c>
      <c r="O1432" s="26">
        <v>21</v>
      </c>
      <c r="P1432" s="26">
        <v>28</v>
      </c>
      <c r="Q1432" s="26">
        <v>3</v>
      </c>
      <c r="R1432" s="26">
        <v>1</v>
      </c>
      <c r="S1432" s="26">
        <v>3</v>
      </c>
      <c r="T1432" s="26">
        <v>3</v>
      </c>
      <c r="U1432" s="26">
        <v>7</v>
      </c>
      <c r="V1432" s="26">
        <v>1</v>
      </c>
      <c r="W1432" s="26"/>
    </row>
    <row r="1433" spans="1:23" x14ac:dyDescent="0.25">
      <c r="A1433" s="26" t="str">
        <f t="shared" si="249"/>
        <v>PREESCOLAR</v>
      </c>
      <c r="B1433" s="26" t="str">
        <f>"09PJN2163A"</f>
        <v>09PJN2163A</v>
      </c>
      <c r="C1433" s="26" t="str">
        <f>"JARDIN DE NIÑOS MARY TERE                                                                           "</f>
        <v xml:space="preserve">JARDIN DE NIÑOS MARY TERE                                                                           </v>
      </c>
      <c r="D1433" s="26" t="str">
        <f t="shared" si="247"/>
        <v>MATUTINO</v>
      </c>
      <c r="E1433" s="26" t="str">
        <f>"HIMNO NACIONAL NO. 130                                                          "</f>
        <v xml:space="preserve">HIMNO NACIONAL NO. 130                                                          </v>
      </c>
      <c r="F1433" s="26" t="str">
        <f>"TICOMAN                                                                                                                                     "</f>
        <v xml:space="preserve">TICOMAN                                                                                                                                     </v>
      </c>
      <c r="G1433" s="26" t="str">
        <f t="shared" si="251"/>
        <v xml:space="preserve">GUSTAVO A. MADERO                                                               </v>
      </c>
      <c r="H1433" s="26" t="str">
        <f>"155"</f>
        <v>155</v>
      </c>
      <c r="I1433" s="26" t="str">
        <f t="shared" si="250"/>
        <v>00</v>
      </c>
      <c r="J1433" s="26" t="str">
        <f t="shared" si="252"/>
        <v xml:space="preserve">32 </v>
      </c>
      <c r="K1433" s="26" t="str">
        <f t="shared" si="253"/>
        <v>EP</v>
      </c>
      <c r="L1433" s="26" t="str">
        <f t="shared" si="254"/>
        <v>DGOSE</v>
      </c>
      <c r="M1433" s="26" t="str">
        <f t="shared" si="248"/>
        <v>PARTICULAR</v>
      </c>
      <c r="N1433" s="26">
        <v>35</v>
      </c>
      <c r="O1433" s="26">
        <v>17</v>
      </c>
      <c r="P1433" s="26">
        <v>18</v>
      </c>
      <c r="Q1433" s="26">
        <v>3</v>
      </c>
      <c r="R1433" s="26">
        <v>1</v>
      </c>
      <c r="S1433" s="26">
        <v>3</v>
      </c>
      <c r="T1433" s="26">
        <v>1</v>
      </c>
      <c r="U1433" s="26">
        <v>5</v>
      </c>
      <c r="V1433" s="26">
        <v>1</v>
      </c>
      <c r="W1433" s="26"/>
    </row>
    <row r="1434" spans="1:23" x14ac:dyDescent="0.25">
      <c r="A1434" s="26" t="str">
        <f t="shared" si="249"/>
        <v>PREESCOLAR</v>
      </c>
      <c r="B1434" s="26" t="str">
        <f>"09PJN2164Z"</f>
        <v>09PJN2164Z</v>
      </c>
      <c r="C1434" s="26" t="str">
        <f>"CENTRO EDUCATIVO BRITANICO                                                                          "</f>
        <v xml:space="preserve">CENTRO EDUCATIVO BRITANICO                                                                          </v>
      </c>
      <c r="D1434" s="26" t="str">
        <f t="shared" si="247"/>
        <v>MATUTINO</v>
      </c>
      <c r="E1434" s="26" t="str">
        <f>"18 DE NOVIEMBRE DE 1917 NO. 46                                                  "</f>
        <v xml:space="preserve">18 DE NOVIEMBRE DE 1917 NO. 46                                                  </v>
      </c>
      <c r="F1434" s="26" t="str">
        <f>"SANTA MARIA TICOMAN                                                                                                                         "</f>
        <v xml:space="preserve">SANTA MARIA TICOMAN                                                                                                                         </v>
      </c>
      <c r="G1434" s="26" t="str">
        <f t="shared" si="251"/>
        <v xml:space="preserve">GUSTAVO A. MADERO                                                               </v>
      </c>
      <c r="H1434" s="26" t="str">
        <f>"155"</f>
        <v>155</v>
      </c>
      <c r="I1434" s="26" t="str">
        <f t="shared" si="250"/>
        <v>00</v>
      </c>
      <c r="J1434" s="26" t="str">
        <f t="shared" si="252"/>
        <v xml:space="preserve">32 </v>
      </c>
      <c r="K1434" s="26" t="str">
        <f t="shared" si="253"/>
        <v>EP</v>
      </c>
      <c r="L1434" s="26" t="str">
        <f t="shared" si="254"/>
        <v>DGOSE</v>
      </c>
      <c r="M1434" s="26" t="str">
        <f t="shared" si="248"/>
        <v>PARTICULAR</v>
      </c>
      <c r="N1434" s="26">
        <v>59</v>
      </c>
      <c r="O1434" s="26">
        <v>35</v>
      </c>
      <c r="P1434" s="26">
        <v>24</v>
      </c>
      <c r="Q1434" s="26">
        <v>3</v>
      </c>
      <c r="R1434" s="26">
        <v>1</v>
      </c>
      <c r="S1434" s="26">
        <v>3</v>
      </c>
      <c r="T1434" s="26">
        <v>3</v>
      </c>
      <c r="U1434" s="26">
        <v>7</v>
      </c>
      <c r="V1434" s="26">
        <v>1</v>
      </c>
      <c r="W1434" s="26"/>
    </row>
    <row r="1435" spans="1:23" x14ac:dyDescent="0.25">
      <c r="A1435" s="26" t="str">
        <f t="shared" si="249"/>
        <v>PREESCOLAR</v>
      </c>
      <c r="B1435" s="26" t="str">
        <f>"09PJN2176E"</f>
        <v>09PJN2176E</v>
      </c>
      <c r="C1435" s="26" t="str">
        <f>"CASA DE LOS NIÑOS AMEYALLI                                                                          "</f>
        <v xml:space="preserve">CASA DE LOS NIÑOS AMEYALLI                                                                          </v>
      </c>
      <c r="D1435" s="26" t="str">
        <f t="shared" si="247"/>
        <v>MATUTINO</v>
      </c>
      <c r="E1435" s="26" t="str">
        <f>"CALDAS No. 598                                                                  "</f>
        <v xml:space="preserve">CALDAS No. 598                                                                  </v>
      </c>
      <c r="F1435" s="26" t="str">
        <f>"VALLE DEL TEPEYAC                                                                                                                           "</f>
        <v xml:space="preserve">VALLE DEL TEPEYAC                                                                                                                           </v>
      </c>
      <c r="G1435" s="26" t="str">
        <f t="shared" si="251"/>
        <v xml:space="preserve">GUSTAVO A. MADERO                                                               </v>
      </c>
      <c r="H1435" s="26" t="str">
        <f>"193"</f>
        <v>193</v>
      </c>
      <c r="I1435" s="26" t="str">
        <f t="shared" si="250"/>
        <v>00</v>
      </c>
      <c r="J1435" s="26" t="str">
        <f t="shared" si="252"/>
        <v xml:space="preserve">32 </v>
      </c>
      <c r="K1435" s="26" t="str">
        <f t="shared" si="253"/>
        <v>EP</v>
      </c>
      <c r="L1435" s="26" t="str">
        <f t="shared" si="254"/>
        <v>DGOSE</v>
      </c>
      <c r="M1435" s="26" t="str">
        <f t="shared" si="248"/>
        <v>PARTICULAR</v>
      </c>
      <c r="N1435" s="26">
        <v>11</v>
      </c>
      <c r="O1435" s="26">
        <v>5</v>
      </c>
      <c r="P1435" s="26">
        <v>6</v>
      </c>
      <c r="Q1435" s="26">
        <v>3</v>
      </c>
      <c r="R1435" s="26">
        <v>1</v>
      </c>
      <c r="S1435" s="26">
        <v>1</v>
      </c>
      <c r="T1435" s="26">
        <v>1</v>
      </c>
      <c r="U1435" s="26">
        <v>3</v>
      </c>
      <c r="V1435" s="26">
        <v>1</v>
      </c>
      <c r="W1435" s="26"/>
    </row>
    <row r="1436" spans="1:23" x14ac:dyDescent="0.25">
      <c r="A1436" s="26" t="str">
        <f t="shared" si="249"/>
        <v>PREESCOLAR</v>
      </c>
      <c r="B1436" s="26" t="str">
        <f>"09PJN2181Q"</f>
        <v>09PJN2181Q</v>
      </c>
      <c r="C1436" s="26" t="str">
        <f>"ALEJANDRO GRAHAM BELL                                                                               "</f>
        <v xml:space="preserve">ALEJANDRO GRAHAM BELL                                                                               </v>
      </c>
      <c r="D1436" s="26" t="str">
        <f t="shared" si="247"/>
        <v>MATUTINO</v>
      </c>
      <c r="E1436" s="26" t="str">
        <f>"NORTE 92-B NO. 8421                                                             "</f>
        <v xml:space="preserve">NORTE 92-B NO. 8421                                                             </v>
      </c>
      <c r="F1436" s="26" t="str">
        <f>"LA ESMERALDA I                                                                                                                              "</f>
        <v xml:space="preserve">LA ESMERALDA I                                                                                                                              </v>
      </c>
      <c r="G1436" s="26" t="str">
        <f t="shared" si="251"/>
        <v xml:space="preserve">GUSTAVO A. MADERO                                                               </v>
      </c>
      <c r="H1436" s="26" t="str">
        <f>"073"</f>
        <v>073</v>
      </c>
      <c r="I1436" s="26" t="str">
        <f t="shared" si="250"/>
        <v>00</v>
      </c>
      <c r="J1436" s="26" t="str">
        <f t="shared" si="252"/>
        <v xml:space="preserve">32 </v>
      </c>
      <c r="K1436" s="26" t="str">
        <f t="shared" si="253"/>
        <v>EP</v>
      </c>
      <c r="L1436" s="26" t="str">
        <f t="shared" si="254"/>
        <v>DGOSE</v>
      </c>
      <c r="M1436" s="26" t="str">
        <f t="shared" si="248"/>
        <v>PARTICULAR</v>
      </c>
      <c r="N1436" s="26">
        <v>43</v>
      </c>
      <c r="O1436" s="26">
        <v>19</v>
      </c>
      <c r="P1436" s="26">
        <v>24</v>
      </c>
      <c r="Q1436" s="26">
        <v>3</v>
      </c>
      <c r="R1436" s="26">
        <v>1</v>
      </c>
      <c r="S1436" s="26">
        <v>3</v>
      </c>
      <c r="T1436" s="26">
        <v>0</v>
      </c>
      <c r="U1436" s="26">
        <v>4</v>
      </c>
      <c r="V1436" s="26">
        <v>1</v>
      </c>
      <c r="W1436" s="26"/>
    </row>
    <row r="1437" spans="1:23" x14ac:dyDescent="0.25">
      <c r="A1437" s="26" t="str">
        <f t="shared" si="249"/>
        <v>PREESCOLAR</v>
      </c>
      <c r="B1437" s="26" t="str">
        <f>"09PJN2184N"</f>
        <v>09PJN2184N</v>
      </c>
      <c r="C1437" s="26" t="str">
        <f>"PITAGORAS                                                                                           "</f>
        <v xml:space="preserve">PITAGORAS                                                                                           </v>
      </c>
      <c r="D1437" s="26" t="str">
        <f t="shared" si="247"/>
        <v>MATUTINO</v>
      </c>
      <c r="E1437" s="26" t="str">
        <f>"MONTES URALES MZ. 2 LT. 21                                                      "</f>
        <v xml:space="preserve">MONTES URALES MZ. 2 LT. 21                                                      </v>
      </c>
      <c r="F1437" s="26" t="str">
        <f>"GRANJAS ESTRELLA                                                                                                                            "</f>
        <v xml:space="preserve">GRANJAS ESTRELLA                                                                                                                            </v>
      </c>
      <c r="G1437" s="26" t="str">
        <f>"IZTAPALAPA                                                                      "</f>
        <v xml:space="preserve">IZTAPALAPA                                                                      </v>
      </c>
      <c r="H1437" s="26" t="str">
        <f>"000"</f>
        <v>000</v>
      </c>
      <c r="I1437" s="26" t="str">
        <f t="shared" si="250"/>
        <v>00</v>
      </c>
      <c r="J1437" s="26" t="str">
        <f>"63 "</f>
        <v xml:space="preserve">63 </v>
      </c>
      <c r="K1437" s="26" t="str">
        <f>"IZ"</f>
        <v>IZ</v>
      </c>
      <c r="L1437" s="26" t="str">
        <f>"DGSEI"</f>
        <v>DGSEI</v>
      </c>
      <c r="M1437" s="26" t="str">
        <f t="shared" si="248"/>
        <v>PARTICULAR</v>
      </c>
      <c r="N1437" s="26">
        <v>34</v>
      </c>
      <c r="O1437" s="26">
        <v>15</v>
      </c>
      <c r="P1437" s="26">
        <v>19</v>
      </c>
      <c r="Q1437" s="26">
        <v>3</v>
      </c>
      <c r="R1437" s="26">
        <v>1</v>
      </c>
      <c r="S1437" s="26">
        <v>2</v>
      </c>
      <c r="T1437" s="26">
        <v>1</v>
      </c>
      <c r="U1437" s="26">
        <v>4</v>
      </c>
      <c r="V1437" s="26">
        <v>1</v>
      </c>
      <c r="W1437" s="26"/>
    </row>
    <row r="1438" spans="1:23" x14ac:dyDescent="0.25">
      <c r="A1438" s="26" t="str">
        <f t="shared" si="249"/>
        <v>PREESCOLAR</v>
      </c>
      <c r="B1438" s="26" t="str">
        <f>"09PJN2188J"</f>
        <v>09PJN2188J</v>
      </c>
      <c r="C1438" s="26" t="str">
        <f>"CENTRO EDUCATIVO ILUSION                                                                            "</f>
        <v xml:space="preserve">CENTRO EDUCATIVO ILUSION                                                                            </v>
      </c>
      <c r="D1438" s="26" t="str">
        <f t="shared" si="247"/>
        <v>MATUTINO</v>
      </c>
      <c r="E1438" s="26" t="str">
        <f>"PONIENTE NO.108 NO. 309                                                         "</f>
        <v xml:space="preserve">PONIENTE NO.108 NO. 309                                                         </v>
      </c>
      <c r="F1438" s="26" t="str">
        <f>"SAN FELIPE DE JESUS                                                                                                                         "</f>
        <v xml:space="preserve">SAN FELIPE DE JESUS                                                                                                                         </v>
      </c>
      <c r="G1438" s="26" t="str">
        <f t="shared" ref="G1438:G1463" si="255">"GUSTAVO A. MADERO                                                               "</f>
        <v xml:space="preserve">GUSTAVO A. MADERO                                                               </v>
      </c>
      <c r="H1438" s="26" t="str">
        <f>"192"</f>
        <v>192</v>
      </c>
      <c r="I1438" s="26" t="str">
        <f t="shared" si="250"/>
        <v>00</v>
      </c>
      <c r="J1438" s="26" t="str">
        <f t="shared" ref="J1438:J1463" si="256">"32 "</f>
        <v xml:space="preserve">32 </v>
      </c>
      <c r="K1438" s="26" t="str">
        <f t="shared" ref="K1438:K1463" si="257">"EP"</f>
        <v>EP</v>
      </c>
      <c r="L1438" s="26" t="str">
        <f t="shared" ref="L1438:L1463" si="258">"DGOSE"</f>
        <v>DGOSE</v>
      </c>
      <c r="M1438" s="26" t="str">
        <f t="shared" si="248"/>
        <v>PARTICULAR</v>
      </c>
      <c r="N1438" s="26">
        <v>14</v>
      </c>
      <c r="O1438" s="26">
        <v>7</v>
      </c>
      <c r="P1438" s="26">
        <v>7</v>
      </c>
      <c r="Q1438" s="26">
        <v>3</v>
      </c>
      <c r="R1438" s="26">
        <v>1</v>
      </c>
      <c r="S1438" s="26">
        <v>2</v>
      </c>
      <c r="T1438" s="26">
        <v>3</v>
      </c>
      <c r="U1438" s="26">
        <v>6</v>
      </c>
      <c r="V1438" s="26">
        <v>1</v>
      </c>
      <c r="W1438" s="26"/>
    </row>
    <row r="1439" spans="1:23" x14ac:dyDescent="0.25">
      <c r="A1439" s="26" t="str">
        <f t="shared" si="249"/>
        <v>PREESCOLAR</v>
      </c>
      <c r="B1439" s="26" t="str">
        <f>"09PJN2190Y"</f>
        <v>09PJN2190Y</v>
      </c>
      <c r="C1439" s="26" t="str">
        <f>"MIGUEL LERDO DE TEJADA                                                                              "</f>
        <v xml:space="preserve">MIGUEL LERDO DE TEJADA                                                                              </v>
      </c>
      <c r="D1439" s="26" t="str">
        <f t="shared" si="247"/>
        <v>MATUTINO</v>
      </c>
      <c r="E1439" s="26" t="str">
        <f>"PEDRO LUIS OGAZON NO. 73                                                        "</f>
        <v xml:space="preserve">PEDRO LUIS OGAZON NO. 73                                                        </v>
      </c>
      <c r="F1439" s="26" t="str">
        <f>"VALLEJO                                                                                                                                     "</f>
        <v xml:space="preserve">VALLEJO                                                                                                                                     </v>
      </c>
      <c r="G1439" s="26" t="str">
        <f t="shared" si="255"/>
        <v xml:space="preserve">GUSTAVO A. MADERO                                                               </v>
      </c>
      <c r="H1439" s="26" t="str">
        <f>"177"</f>
        <v>177</v>
      </c>
      <c r="I1439" s="26" t="str">
        <f t="shared" si="250"/>
        <v>00</v>
      </c>
      <c r="J1439" s="26" t="str">
        <f t="shared" si="256"/>
        <v xml:space="preserve">32 </v>
      </c>
      <c r="K1439" s="26" t="str">
        <f t="shared" si="257"/>
        <v>EP</v>
      </c>
      <c r="L1439" s="26" t="str">
        <f t="shared" si="258"/>
        <v>DGOSE</v>
      </c>
      <c r="M1439" s="26" t="str">
        <f t="shared" si="248"/>
        <v>PARTICULAR</v>
      </c>
      <c r="N1439" s="26">
        <v>12</v>
      </c>
      <c r="O1439" s="26">
        <v>8</v>
      </c>
      <c r="P1439" s="26">
        <v>4</v>
      </c>
      <c r="Q1439" s="26">
        <v>3</v>
      </c>
      <c r="R1439" s="26">
        <v>1</v>
      </c>
      <c r="S1439" s="26">
        <v>3</v>
      </c>
      <c r="T1439" s="26">
        <v>0</v>
      </c>
      <c r="U1439" s="26">
        <v>4</v>
      </c>
      <c r="V1439" s="26">
        <v>1</v>
      </c>
      <c r="W1439" s="26"/>
    </row>
    <row r="1440" spans="1:23" x14ac:dyDescent="0.25">
      <c r="A1440" s="26" t="str">
        <f t="shared" si="249"/>
        <v>PREESCOLAR</v>
      </c>
      <c r="B1440" s="26" t="str">
        <f>"09PJN2195T"</f>
        <v>09PJN2195T</v>
      </c>
      <c r="C1440" s="26" t="str">
        <f>"ANA PAVLOVA                                                                                         "</f>
        <v xml:space="preserve">ANA PAVLOVA                                                                                         </v>
      </c>
      <c r="D1440" s="26" t="str">
        <f t="shared" si="247"/>
        <v>MATUTINO</v>
      </c>
      <c r="E1440" s="26" t="str">
        <f>"NORTE 1-J NO. 4813                                                              "</f>
        <v xml:space="preserve">NORTE 1-J NO. 4813                                                              </v>
      </c>
      <c r="F1440" s="26" t="str">
        <f>"PANAMERICANA                                                                                                                                "</f>
        <v xml:space="preserve">PANAMERICANA                                                                                                                                </v>
      </c>
      <c r="G1440" s="26" t="str">
        <f t="shared" si="255"/>
        <v xml:space="preserve">GUSTAVO A. MADERO                                                               </v>
      </c>
      <c r="H1440" s="26" t="str">
        <f>"192"</f>
        <v>192</v>
      </c>
      <c r="I1440" s="26" t="str">
        <f t="shared" si="250"/>
        <v>00</v>
      </c>
      <c r="J1440" s="26" t="str">
        <f t="shared" si="256"/>
        <v xml:space="preserve">32 </v>
      </c>
      <c r="K1440" s="26" t="str">
        <f t="shared" si="257"/>
        <v>EP</v>
      </c>
      <c r="L1440" s="26" t="str">
        <f t="shared" si="258"/>
        <v>DGOSE</v>
      </c>
      <c r="M1440" s="26" t="str">
        <f t="shared" si="248"/>
        <v>PARTICULAR</v>
      </c>
      <c r="N1440" s="26">
        <v>31</v>
      </c>
      <c r="O1440" s="26">
        <v>13</v>
      </c>
      <c r="P1440" s="26">
        <v>18</v>
      </c>
      <c r="Q1440" s="26">
        <v>3</v>
      </c>
      <c r="R1440" s="26">
        <v>1</v>
      </c>
      <c r="S1440" s="26">
        <v>3</v>
      </c>
      <c r="T1440" s="26">
        <v>4</v>
      </c>
      <c r="U1440" s="26">
        <v>8</v>
      </c>
      <c r="V1440" s="26">
        <v>1</v>
      </c>
      <c r="W1440" s="26"/>
    </row>
    <row r="1441" spans="1:23" x14ac:dyDescent="0.25">
      <c r="A1441" s="26" t="str">
        <f t="shared" si="249"/>
        <v>PREESCOLAR</v>
      </c>
      <c r="B1441" s="26" t="str">
        <f>"09PJN2196S"</f>
        <v>09PJN2196S</v>
      </c>
      <c r="C1441" s="26" t="str">
        <f>"COLEGIO MARGARITA MAZA DE JUAREZ                                                                    "</f>
        <v xml:space="preserve">COLEGIO MARGARITA MAZA DE JUAREZ                                                                    </v>
      </c>
      <c r="D1441" s="26" t="str">
        <f t="shared" si="247"/>
        <v>MATUTINO</v>
      </c>
      <c r="E1441" s="26" t="str">
        <f>"NORTE 7 A NO. 4704                                                              "</f>
        <v xml:space="preserve">NORTE 7 A NO. 4704                                                              </v>
      </c>
      <c r="F1441" s="26" t="str">
        <f>"DEFENSORES DE LA REPUBLICA                                                                                                                  "</f>
        <v xml:space="preserve">DEFENSORES DE LA REPUBLICA                                                                                                                  </v>
      </c>
      <c r="G1441" s="26" t="str">
        <f t="shared" si="255"/>
        <v xml:space="preserve">GUSTAVO A. MADERO                                                               </v>
      </c>
      <c r="H1441" s="26" t="str">
        <f>"192"</f>
        <v>192</v>
      </c>
      <c r="I1441" s="26" t="str">
        <f t="shared" si="250"/>
        <v>00</v>
      </c>
      <c r="J1441" s="26" t="str">
        <f t="shared" si="256"/>
        <v xml:space="preserve">32 </v>
      </c>
      <c r="K1441" s="26" t="str">
        <f t="shared" si="257"/>
        <v>EP</v>
      </c>
      <c r="L1441" s="26" t="str">
        <f t="shared" si="258"/>
        <v>DGOSE</v>
      </c>
      <c r="M1441" s="26" t="str">
        <f t="shared" si="248"/>
        <v>PARTICULAR</v>
      </c>
      <c r="N1441" s="26">
        <v>39</v>
      </c>
      <c r="O1441" s="26">
        <v>27</v>
      </c>
      <c r="P1441" s="26">
        <v>12</v>
      </c>
      <c r="Q1441" s="26">
        <v>3</v>
      </c>
      <c r="R1441" s="26">
        <v>1</v>
      </c>
      <c r="S1441" s="26">
        <v>3</v>
      </c>
      <c r="T1441" s="26">
        <v>0</v>
      </c>
      <c r="U1441" s="26">
        <v>4</v>
      </c>
      <c r="V1441" s="26">
        <v>1</v>
      </c>
      <c r="W1441" s="26"/>
    </row>
    <row r="1442" spans="1:23" x14ac:dyDescent="0.25">
      <c r="A1442" s="26" t="str">
        <f t="shared" si="249"/>
        <v>PREESCOLAR</v>
      </c>
      <c r="B1442" s="26" t="str">
        <f>"09PJN2198Q"</f>
        <v>09PJN2198Q</v>
      </c>
      <c r="C1442" s="26" t="str">
        <f>"MARIA IZQUIERDO                                                                                     "</f>
        <v xml:space="preserve">MARIA IZQUIERDO                                                                                     </v>
      </c>
      <c r="D1442" s="26" t="str">
        <f t="shared" si="247"/>
        <v>MATUTINO</v>
      </c>
      <c r="E1442" s="26" t="str">
        <f>"NORTE 11-A NO. 5035                                                             "</f>
        <v xml:space="preserve">NORTE 11-A NO. 5035                                                             </v>
      </c>
      <c r="F1442" s="26" t="str">
        <f>"MAGDALENA DE LAS SALINAS                                                                                                                    "</f>
        <v xml:space="preserve">MAGDALENA DE LAS SALINAS                                                                                                                    </v>
      </c>
      <c r="G1442" s="26" t="str">
        <f t="shared" si="255"/>
        <v xml:space="preserve">GUSTAVO A. MADERO                                                               </v>
      </c>
      <c r="H1442" s="26" t="str">
        <f>"192"</f>
        <v>192</v>
      </c>
      <c r="I1442" s="26" t="str">
        <f t="shared" si="250"/>
        <v>00</v>
      </c>
      <c r="J1442" s="26" t="str">
        <f t="shared" si="256"/>
        <v xml:space="preserve">32 </v>
      </c>
      <c r="K1442" s="26" t="str">
        <f t="shared" si="257"/>
        <v>EP</v>
      </c>
      <c r="L1442" s="26" t="str">
        <f t="shared" si="258"/>
        <v>DGOSE</v>
      </c>
      <c r="M1442" s="26" t="str">
        <f t="shared" si="248"/>
        <v>PARTICULAR</v>
      </c>
      <c r="N1442" s="26">
        <v>42</v>
      </c>
      <c r="O1442" s="26">
        <v>20</v>
      </c>
      <c r="P1442" s="26">
        <v>22</v>
      </c>
      <c r="Q1442" s="26">
        <v>3</v>
      </c>
      <c r="R1442" s="26">
        <v>1</v>
      </c>
      <c r="S1442" s="26">
        <v>2</v>
      </c>
      <c r="T1442" s="26">
        <v>5</v>
      </c>
      <c r="U1442" s="26">
        <v>8</v>
      </c>
      <c r="V1442" s="26">
        <v>1</v>
      </c>
      <c r="W1442" s="26"/>
    </row>
    <row r="1443" spans="1:23" x14ac:dyDescent="0.25">
      <c r="A1443" s="26" t="str">
        <f t="shared" si="249"/>
        <v>PREESCOLAR</v>
      </c>
      <c r="B1443" s="26" t="str">
        <f>"09PJN2200O"</f>
        <v>09PJN2200O</v>
      </c>
      <c r="C1443" s="26" t="str">
        <f>"ARCO IRIS                                                                                           "</f>
        <v xml:space="preserve">ARCO IRIS                                                                                           </v>
      </c>
      <c r="D1443" s="26" t="str">
        <f t="shared" si="247"/>
        <v>MATUTINO</v>
      </c>
      <c r="E1443" s="26" t="str">
        <f>"ORIENTE 153 NO. 3723                                                            "</f>
        <v xml:space="preserve">ORIENTE 153 NO. 3723                                                            </v>
      </c>
      <c r="F1443" s="26" t="str">
        <f>"SALVADOR DIAZ MIRON                                                                                                                         "</f>
        <v xml:space="preserve">SALVADOR DIAZ MIRON                                                                                                                         </v>
      </c>
      <c r="G1443" s="26" t="str">
        <f t="shared" si="255"/>
        <v xml:space="preserve">GUSTAVO A. MADERO                                                               </v>
      </c>
      <c r="H1443" s="26" t="str">
        <f>"095"</f>
        <v>095</v>
      </c>
      <c r="I1443" s="26" t="str">
        <f t="shared" si="250"/>
        <v>00</v>
      </c>
      <c r="J1443" s="26" t="str">
        <f t="shared" si="256"/>
        <v xml:space="preserve">32 </v>
      </c>
      <c r="K1443" s="26" t="str">
        <f t="shared" si="257"/>
        <v>EP</v>
      </c>
      <c r="L1443" s="26" t="str">
        <f t="shared" si="258"/>
        <v>DGOSE</v>
      </c>
      <c r="M1443" s="26" t="str">
        <f t="shared" si="248"/>
        <v>PARTICULAR</v>
      </c>
      <c r="N1443" s="26">
        <v>52</v>
      </c>
      <c r="O1443" s="26">
        <v>25</v>
      </c>
      <c r="P1443" s="26">
        <v>27</v>
      </c>
      <c r="Q1443" s="26">
        <v>3</v>
      </c>
      <c r="R1443" s="26">
        <v>1</v>
      </c>
      <c r="S1443" s="26">
        <v>3</v>
      </c>
      <c r="T1443" s="26">
        <v>4</v>
      </c>
      <c r="U1443" s="26">
        <v>8</v>
      </c>
      <c r="V1443" s="26">
        <v>1</v>
      </c>
      <c r="W1443" s="26"/>
    </row>
    <row r="1444" spans="1:23" x14ac:dyDescent="0.25">
      <c r="A1444" s="26" t="str">
        <f t="shared" si="249"/>
        <v>PREESCOLAR</v>
      </c>
      <c r="B1444" s="26" t="str">
        <f>"09PJN2204K"</f>
        <v>09PJN2204K</v>
      </c>
      <c r="C1444" s="26" t="str">
        <f>"CADI                                                                                                "</f>
        <v xml:space="preserve">CADI                                                                                                </v>
      </c>
      <c r="D1444" s="26" t="str">
        <f t="shared" si="247"/>
        <v>MATUTINO</v>
      </c>
      <c r="E1444" s="26" t="str">
        <f>"CHICLAYO NO. 855                                                                "</f>
        <v xml:space="preserve">CHICLAYO NO. 855                                                                </v>
      </c>
      <c r="F1444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1444" s="26" t="str">
        <f t="shared" si="255"/>
        <v xml:space="preserve">GUSTAVO A. MADERO                                                               </v>
      </c>
      <c r="H1444" s="26" t="str">
        <f>"192"</f>
        <v>192</v>
      </c>
      <c r="I1444" s="26" t="str">
        <f t="shared" si="250"/>
        <v>00</v>
      </c>
      <c r="J1444" s="26" t="str">
        <f t="shared" si="256"/>
        <v xml:space="preserve">32 </v>
      </c>
      <c r="K1444" s="26" t="str">
        <f t="shared" si="257"/>
        <v>EP</v>
      </c>
      <c r="L1444" s="26" t="str">
        <f t="shared" si="258"/>
        <v>DGOSE</v>
      </c>
      <c r="M1444" s="26" t="str">
        <f t="shared" si="248"/>
        <v>PARTICULAR</v>
      </c>
      <c r="N1444" s="26">
        <v>135</v>
      </c>
      <c r="O1444" s="26">
        <v>79</v>
      </c>
      <c r="P1444" s="26">
        <v>56</v>
      </c>
      <c r="Q1444" s="26">
        <v>9</v>
      </c>
      <c r="R1444" s="26">
        <v>1</v>
      </c>
      <c r="S1444" s="26">
        <v>9</v>
      </c>
      <c r="T1444" s="26">
        <v>17</v>
      </c>
      <c r="U1444" s="26">
        <v>27</v>
      </c>
      <c r="V1444" s="26">
        <v>1</v>
      </c>
      <c r="W1444" s="26"/>
    </row>
    <row r="1445" spans="1:23" x14ac:dyDescent="0.25">
      <c r="A1445" s="26" t="str">
        <f t="shared" si="249"/>
        <v>PREESCOLAR</v>
      </c>
      <c r="B1445" s="26" t="str">
        <f>"09PJN2208G"</f>
        <v>09PJN2208G</v>
      </c>
      <c r="C1445" s="26" t="str">
        <f>"MARIANO RIVA PALACIO                                                                                "</f>
        <v xml:space="preserve">MARIANO RIVA PALACIO                                                                                </v>
      </c>
      <c r="D1445" s="26" t="str">
        <f t="shared" si="247"/>
        <v>MATUTINO</v>
      </c>
      <c r="E1445" s="26" t="str">
        <f>"319 NO. 608                                                                     "</f>
        <v xml:space="preserve">319 NO. 608                                                                     </v>
      </c>
      <c r="F1445" s="26" t="str">
        <f>"NUEVA ATZACOALCO                                                                                                                            "</f>
        <v xml:space="preserve">NUEVA ATZACOALCO                                                                                                                            </v>
      </c>
      <c r="G1445" s="26" t="str">
        <f t="shared" si="255"/>
        <v xml:space="preserve">GUSTAVO A. MADERO                                                               </v>
      </c>
      <c r="H1445" s="26" t="str">
        <f>"152"</f>
        <v>152</v>
      </c>
      <c r="I1445" s="26" t="str">
        <f t="shared" si="250"/>
        <v>00</v>
      </c>
      <c r="J1445" s="26" t="str">
        <f t="shared" si="256"/>
        <v xml:space="preserve">32 </v>
      </c>
      <c r="K1445" s="26" t="str">
        <f t="shared" si="257"/>
        <v>EP</v>
      </c>
      <c r="L1445" s="26" t="str">
        <f t="shared" si="258"/>
        <v>DGOSE</v>
      </c>
      <c r="M1445" s="26" t="str">
        <f t="shared" si="248"/>
        <v>PARTICULAR</v>
      </c>
      <c r="N1445" s="26">
        <v>73</v>
      </c>
      <c r="O1445" s="26">
        <v>31</v>
      </c>
      <c r="P1445" s="26">
        <v>42</v>
      </c>
      <c r="Q1445" s="26">
        <v>5</v>
      </c>
      <c r="R1445" s="26">
        <v>1</v>
      </c>
      <c r="S1445" s="26">
        <v>3</v>
      </c>
      <c r="T1445" s="26">
        <v>11</v>
      </c>
      <c r="U1445" s="26">
        <v>15</v>
      </c>
      <c r="V1445" s="26">
        <v>1</v>
      </c>
      <c r="W1445" s="26"/>
    </row>
    <row r="1446" spans="1:23" x14ac:dyDescent="0.25">
      <c r="A1446" s="26" t="str">
        <f t="shared" si="249"/>
        <v>PREESCOLAR</v>
      </c>
      <c r="B1446" s="26" t="str">
        <f>"09PJN2211U"</f>
        <v>09PJN2211U</v>
      </c>
      <c r="C1446" s="26" t="str">
        <f>"VASCO DE QUIROGA                                                                                    "</f>
        <v xml:space="preserve">VASCO DE QUIROGA                                                                                    </v>
      </c>
      <c r="D1446" s="26" t="str">
        <f t="shared" si="247"/>
        <v>MATUTINO</v>
      </c>
      <c r="E1446" s="26" t="str">
        <f>"FRAY PEDRO DE CORDOBA NO. 112                                                   "</f>
        <v xml:space="preserve">FRAY PEDRO DE CORDOBA NO. 112                                                   </v>
      </c>
      <c r="F1446" s="26" t="str">
        <f>"VASCO DE QUIROGA                                                                                                                            "</f>
        <v xml:space="preserve">VASCO DE QUIROGA                                                                                                                            </v>
      </c>
      <c r="G1446" s="26" t="str">
        <f t="shared" si="255"/>
        <v xml:space="preserve">GUSTAVO A. MADERO                                                               </v>
      </c>
      <c r="H1446" s="26" t="str">
        <f>"152"</f>
        <v>152</v>
      </c>
      <c r="I1446" s="26" t="str">
        <f t="shared" si="250"/>
        <v>00</v>
      </c>
      <c r="J1446" s="26" t="str">
        <f t="shared" si="256"/>
        <v xml:space="preserve">32 </v>
      </c>
      <c r="K1446" s="26" t="str">
        <f t="shared" si="257"/>
        <v>EP</v>
      </c>
      <c r="L1446" s="26" t="str">
        <f t="shared" si="258"/>
        <v>DGOSE</v>
      </c>
      <c r="M1446" s="26" t="str">
        <f t="shared" si="248"/>
        <v>PARTICULAR</v>
      </c>
      <c r="N1446" s="26">
        <v>34</v>
      </c>
      <c r="O1446" s="26">
        <v>15</v>
      </c>
      <c r="P1446" s="26">
        <v>19</v>
      </c>
      <c r="Q1446" s="26">
        <v>3</v>
      </c>
      <c r="R1446" s="26">
        <v>1</v>
      </c>
      <c r="S1446" s="26">
        <v>3</v>
      </c>
      <c r="T1446" s="26">
        <v>4</v>
      </c>
      <c r="U1446" s="26">
        <v>8</v>
      </c>
      <c r="V1446" s="26">
        <v>1</v>
      </c>
      <c r="W1446" s="26"/>
    </row>
    <row r="1447" spans="1:23" x14ac:dyDescent="0.25">
      <c r="A1447" s="26" t="str">
        <f t="shared" si="249"/>
        <v>PREESCOLAR</v>
      </c>
      <c r="B1447" s="26" t="str">
        <f>"09PJN2212T"</f>
        <v>09PJN2212T</v>
      </c>
      <c r="C1447" s="26" t="str">
        <f>"MIS PRIMERAS LETRAS EN COLORES                                                                      "</f>
        <v xml:space="preserve">MIS PRIMERAS LETRAS EN COLORES                                                                      </v>
      </c>
      <c r="D1447" s="26" t="str">
        <f t="shared" si="247"/>
        <v>MATUTINO</v>
      </c>
      <c r="E1447" s="26" t="str">
        <f>"CALZADA DE GUADALUPE NO. 311                                                    "</f>
        <v xml:space="preserve">CALZADA DE GUADALUPE NO. 311                                                    </v>
      </c>
      <c r="F1447" s="26" t="str">
        <f>"GUADALUPE TEPEYAC                                                                                                                           "</f>
        <v xml:space="preserve">GUADALUPE TEPEYAC                                                                                                                           </v>
      </c>
      <c r="G1447" s="26" t="str">
        <f t="shared" si="255"/>
        <v xml:space="preserve">GUSTAVO A. MADERO                                                               </v>
      </c>
      <c r="H1447" s="26" t="str">
        <f>"198"</f>
        <v>198</v>
      </c>
      <c r="I1447" s="26" t="str">
        <f t="shared" si="250"/>
        <v>00</v>
      </c>
      <c r="J1447" s="26" t="str">
        <f t="shared" si="256"/>
        <v xml:space="preserve">32 </v>
      </c>
      <c r="K1447" s="26" t="str">
        <f t="shared" si="257"/>
        <v>EP</v>
      </c>
      <c r="L1447" s="26" t="str">
        <f t="shared" si="258"/>
        <v>DGOSE</v>
      </c>
      <c r="M1447" s="26" t="str">
        <f t="shared" si="248"/>
        <v>PARTICULAR</v>
      </c>
      <c r="N1447" s="26">
        <v>67</v>
      </c>
      <c r="O1447" s="26">
        <v>42</v>
      </c>
      <c r="P1447" s="26">
        <v>25</v>
      </c>
      <c r="Q1447" s="26">
        <v>3</v>
      </c>
      <c r="R1447" s="26">
        <v>1</v>
      </c>
      <c r="S1447" s="26">
        <v>3</v>
      </c>
      <c r="T1447" s="26">
        <v>7</v>
      </c>
      <c r="U1447" s="26">
        <v>11</v>
      </c>
      <c r="V1447" s="26">
        <v>1</v>
      </c>
      <c r="W1447" s="26"/>
    </row>
    <row r="1448" spans="1:23" x14ac:dyDescent="0.25">
      <c r="A1448" s="26" t="str">
        <f t="shared" si="249"/>
        <v>PREESCOLAR</v>
      </c>
      <c r="B1448" s="26" t="str">
        <f>"09PJN2215Q"</f>
        <v>09PJN2215Q</v>
      </c>
      <c r="C1448" s="26" t="str">
        <f>"GARABATO                                                                                            "</f>
        <v xml:space="preserve">GARABATO                                                                                            </v>
      </c>
      <c r="D1448" s="26" t="str">
        <f t="shared" si="247"/>
        <v>MATUTINO</v>
      </c>
      <c r="E1448" s="26" t="str">
        <f>"DELIA NO. 173                                                                   "</f>
        <v xml:space="preserve">DELIA NO. 173                                                                   </v>
      </c>
      <c r="F1448" s="26" t="str">
        <f>"GUADALUPE TEPEYAC                                                                                                                           "</f>
        <v xml:space="preserve">GUADALUPE TEPEYAC                                                                                                                           </v>
      </c>
      <c r="G1448" s="26" t="str">
        <f t="shared" si="255"/>
        <v xml:space="preserve">GUSTAVO A. MADERO                                                               </v>
      </c>
      <c r="H1448" s="26" t="str">
        <f>"177"</f>
        <v>177</v>
      </c>
      <c r="I1448" s="26" t="str">
        <f t="shared" si="250"/>
        <v>00</v>
      </c>
      <c r="J1448" s="26" t="str">
        <f t="shared" si="256"/>
        <v xml:space="preserve">32 </v>
      </c>
      <c r="K1448" s="26" t="str">
        <f t="shared" si="257"/>
        <v>EP</v>
      </c>
      <c r="L1448" s="26" t="str">
        <f t="shared" si="258"/>
        <v>DGOSE</v>
      </c>
      <c r="M1448" s="26" t="str">
        <f t="shared" si="248"/>
        <v>PARTICULAR</v>
      </c>
      <c r="N1448" s="26">
        <v>135</v>
      </c>
      <c r="O1448" s="26">
        <v>77</v>
      </c>
      <c r="P1448" s="26">
        <v>58</v>
      </c>
      <c r="Q1448" s="26">
        <v>6</v>
      </c>
      <c r="R1448" s="26">
        <v>1</v>
      </c>
      <c r="S1448" s="26">
        <v>6</v>
      </c>
      <c r="T1448" s="26">
        <v>11</v>
      </c>
      <c r="U1448" s="26">
        <v>18</v>
      </c>
      <c r="V1448" s="26">
        <v>1</v>
      </c>
      <c r="W1448" s="26"/>
    </row>
    <row r="1449" spans="1:23" x14ac:dyDescent="0.25">
      <c r="A1449" s="26" t="str">
        <f t="shared" si="249"/>
        <v>PREESCOLAR</v>
      </c>
      <c r="B1449" s="26" t="str">
        <f>"09PJN2216P"</f>
        <v>09PJN2216P</v>
      </c>
      <c r="C1449" s="26" t="str">
        <f>"HEIDI                                                                                               "</f>
        <v xml:space="preserve">HEIDI                                                                                               </v>
      </c>
      <c r="D1449" s="26" t="str">
        <f t="shared" si="247"/>
        <v>MATUTINO</v>
      </c>
      <c r="E1449" s="26" t="str">
        <f>"LAGOS DE MORENO S/N. MZA.65 LOTE 3                                              "</f>
        <v xml:space="preserve">LAGOS DE MORENO S/N. MZA.65 LOTE 3                                              </v>
      </c>
      <c r="F1449" s="26" t="str">
        <f>"SAN FELIPE DE JESUS                                                                                                                         "</f>
        <v xml:space="preserve">SAN FELIPE DE JESUS                                                                                                                         </v>
      </c>
      <c r="G1449" s="26" t="str">
        <f t="shared" si="255"/>
        <v xml:space="preserve">GUSTAVO A. MADERO                                                               </v>
      </c>
      <c r="H1449" s="26" t="str">
        <f>"073"</f>
        <v>073</v>
      </c>
      <c r="I1449" s="26" t="str">
        <f t="shared" si="250"/>
        <v>00</v>
      </c>
      <c r="J1449" s="26" t="str">
        <f t="shared" si="256"/>
        <v xml:space="preserve">32 </v>
      </c>
      <c r="K1449" s="26" t="str">
        <f t="shared" si="257"/>
        <v>EP</v>
      </c>
      <c r="L1449" s="26" t="str">
        <f t="shared" si="258"/>
        <v>DGOSE</v>
      </c>
      <c r="M1449" s="26" t="str">
        <f t="shared" si="248"/>
        <v>PARTICULAR</v>
      </c>
      <c r="N1449" s="26">
        <v>21</v>
      </c>
      <c r="O1449" s="26">
        <v>9</v>
      </c>
      <c r="P1449" s="26">
        <v>12</v>
      </c>
      <c r="Q1449" s="26">
        <v>3</v>
      </c>
      <c r="R1449" s="26">
        <v>1</v>
      </c>
      <c r="S1449" s="26">
        <v>2</v>
      </c>
      <c r="T1449" s="26">
        <v>0</v>
      </c>
      <c r="U1449" s="26">
        <v>3</v>
      </c>
      <c r="V1449" s="26">
        <v>1</v>
      </c>
      <c r="W1449" s="26"/>
    </row>
    <row r="1450" spans="1:23" x14ac:dyDescent="0.25">
      <c r="A1450" s="26" t="str">
        <f t="shared" si="249"/>
        <v>PREESCOLAR</v>
      </c>
      <c r="B1450" s="26" t="str">
        <f>"09PJN2230I"</f>
        <v>09PJN2230I</v>
      </c>
      <c r="C1450" s="26" t="str">
        <f>"JARDÍN DE NIÑOS AMIGUITO                                                                            "</f>
        <v xml:space="preserve">JARDÍN DE NIÑOS AMIGUITO                                                                            </v>
      </c>
      <c r="D1450" s="26" t="str">
        <f t="shared" si="247"/>
        <v>MATUTINO</v>
      </c>
      <c r="E1450" s="26" t="str">
        <f>"VILLA NETZAHUALCOYOTL No. 33                                                    "</f>
        <v xml:space="preserve">VILLA NETZAHUALCOYOTL No. 33                                                    </v>
      </c>
      <c r="F1450" s="26" t="str">
        <f>"VILLA DE ARAGON                                                                                                                             "</f>
        <v xml:space="preserve">VILLA DE ARAGON                                                                                                                             </v>
      </c>
      <c r="G1450" s="26" t="str">
        <f t="shared" si="255"/>
        <v xml:space="preserve">GUSTAVO A. MADERO                                                               </v>
      </c>
      <c r="H1450" s="26" t="str">
        <f>"201"</f>
        <v>201</v>
      </c>
      <c r="I1450" s="26" t="str">
        <f t="shared" si="250"/>
        <v>00</v>
      </c>
      <c r="J1450" s="26" t="str">
        <f t="shared" si="256"/>
        <v xml:space="preserve">32 </v>
      </c>
      <c r="K1450" s="26" t="str">
        <f t="shared" si="257"/>
        <v>EP</v>
      </c>
      <c r="L1450" s="26" t="str">
        <f t="shared" si="258"/>
        <v>DGOSE</v>
      </c>
      <c r="M1450" s="26" t="str">
        <f t="shared" si="248"/>
        <v>PARTICULAR</v>
      </c>
      <c r="N1450" s="26">
        <v>30</v>
      </c>
      <c r="O1450" s="26">
        <v>12</v>
      </c>
      <c r="P1450" s="26">
        <v>18</v>
      </c>
      <c r="Q1450" s="26">
        <v>3</v>
      </c>
      <c r="R1450" s="26">
        <v>1</v>
      </c>
      <c r="S1450" s="26">
        <v>3</v>
      </c>
      <c r="T1450" s="26">
        <v>0</v>
      </c>
      <c r="U1450" s="26">
        <v>4</v>
      </c>
      <c r="V1450" s="26">
        <v>1</v>
      </c>
      <c r="W1450" s="26"/>
    </row>
    <row r="1451" spans="1:23" x14ac:dyDescent="0.25">
      <c r="A1451" s="26" t="str">
        <f t="shared" si="249"/>
        <v>PREESCOLAR</v>
      </c>
      <c r="B1451" s="26" t="str">
        <f>"09PJN2231H"</f>
        <v>09PJN2231H</v>
      </c>
      <c r="C1451" s="26" t="str">
        <f>"MONTESSORI LINDAVISTA                                                                               "</f>
        <v xml:space="preserve">MONTESSORI LINDAVISTA                                                                               </v>
      </c>
      <c r="D1451" s="26" t="str">
        <f t="shared" si="247"/>
        <v>MATUTINO</v>
      </c>
      <c r="E1451" s="26" t="str">
        <f>"CALI NO. 773                                                                    "</f>
        <v xml:space="preserve">CALI NO. 773                                                                    </v>
      </c>
      <c r="F1451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1451" s="26" t="str">
        <f t="shared" si="255"/>
        <v xml:space="preserve">GUSTAVO A. MADERO                                                               </v>
      </c>
      <c r="H1451" s="26" t="str">
        <f>"193"</f>
        <v>193</v>
      </c>
      <c r="I1451" s="26" t="str">
        <f t="shared" si="250"/>
        <v>00</v>
      </c>
      <c r="J1451" s="26" t="str">
        <f t="shared" si="256"/>
        <v xml:space="preserve">32 </v>
      </c>
      <c r="K1451" s="26" t="str">
        <f t="shared" si="257"/>
        <v>EP</v>
      </c>
      <c r="L1451" s="26" t="str">
        <f t="shared" si="258"/>
        <v>DGOSE</v>
      </c>
      <c r="M1451" s="26" t="str">
        <f t="shared" si="248"/>
        <v>PARTICULAR</v>
      </c>
      <c r="N1451" s="26">
        <v>54</v>
      </c>
      <c r="O1451" s="26">
        <v>29</v>
      </c>
      <c r="P1451" s="26">
        <v>25</v>
      </c>
      <c r="Q1451" s="26">
        <v>3</v>
      </c>
      <c r="R1451" s="26">
        <v>1</v>
      </c>
      <c r="S1451" s="26">
        <v>3</v>
      </c>
      <c r="T1451" s="26">
        <v>7</v>
      </c>
      <c r="U1451" s="26">
        <v>11</v>
      </c>
      <c r="V1451" s="26">
        <v>1</v>
      </c>
      <c r="W1451" s="26"/>
    </row>
    <row r="1452" spans="1:23" x14ac:dyDescent="0.25">
      <c r="A1452" s="26" t="str">
        <f t="shared" si="249"/>
        <v>PREESCOLAR</v>
      </c>
      <c r="B1452" s="26" t="str">
        <f>"09PJN2240P"</f>
        <v>09PJN2240P</v>
      </c>
      <c r="C1452" s="26" t="str">
        <f>"ATZIMBA                                                                                             "</f>
        <v xml:space="preserve">ATZIMBA                                                                                             </v>
      </c>
      <c r="D1452" s="26" t="str">
        <f t="shared" si="247"/>
        <v>MATUTINO</v>
      </c>
      <c r="E1452" s="26" t="str">
        <f>"QUERETARO S/N.  MZA. 50 LT.13                                                   "</f>
        <v xml:space="preserve">QUERETARO S/N.  MZA. 50 LT.13                                                   </v>
      </c>
      <c r="F1452" s="26" t="str">
        <f>"CHALMA DE GUADALUPE                                                                                                                         "</f>
        <v xml:space="preserve">CHALMA DE GUADALUPE                                                                                                                         </v>
      </c>
      <c r="G1452" s="26" t="str">
        <f t="shared" si="255"/>
        <v xml:space="preserve">GUSTAVO A. MADERO                                                               </v>
      </c>
      <c r="H1452" s="26" t="str">
        <f>"105"</f>
        <v>105</v>
      </c>
      <c r="I1452" s="26" t="str">
        <f t="shared" si="250"/>
        <v>00</v>
      </c>
      <c r="J1452" s="26" t="str">
        <f t="shared" si="256"/>
        <v xml:space="preserve">32 </v>
      </c>
      <c r="K1452" s="26" t="str">
        <f t="shared" si="257"/>
        <v>EP</v>
      </c>
      <c r="L1452" s="26" t="str">
        <f t="shared" si="258"/>
        <v>DGOSE</v>
      </c>
      <c r="M1452" s="26" t="str">
        <f t="shared" si="248"/>
        <v>PARTICULAR</v>
      </c>
      <c r="N1452" s="26">
        <v>29</v>
      </c>
      <c r="O1452" s="26">
        <v>10</v>
      </c>
      <c r="P1452" s="26">
        <v>19</v>
      </c>
      <c r="Q1452" s="26">
        <v>3</v>
      </c>
      <c r="R1452" s="26">
        <v>1</v>
      </c>
      <c r="S1452" s="26">
        <v>2</v>
      </c>
      <c r="T1452" s="26">
        <v>2</v>
      </c>
      <c r="U1452" s="26">
        <v>5</v>
      </c>
      <c r="V1452" s="26">
        <v>1</v>
      </c>
      <c r="W1452" s="26"/>
    </row>
    <row r="1453" spans="1:23" x14ac:dyDescent="0.25">
      <c r="A1453" s="26" t="str">
        <f t="shared" si="249"/>
        <v>PREESCOLAR</v>
      </c>
      <c r="B1453" s="26" t="str">
        <f>"09PJN2248H"</f>
        <v>09PJN2248H</v>
      </c>
      <c r="C1453" s="26" t="str">
        <f>"INSTITUTO INFANTIL ARAGON                                                                           "</f>
        <v xml:space="preserve">INSTITUTO INFANTIL ARAGON                                                                           </v>
      </c>
      <c r="D1453" s="26" t="str">
        <f t="shared" si="247"/>
        <v>MATUTINO</v>
      </c>
      <c r="E1453" s="26" t="str">
        <f>"CALLE 633 No. 269                                                               "</f>
        <v xml:space="preserve">CALLE 633 No. 269                                                               </v>
      </c>
      <c r="F1453" s="26" t="str">
        <f>"SAN JUAN DE ARAGON                                                                                                                          "</f>
        <v xml:space="preserve">SAN JUAN DE ARAGON                                                                                                                          </v>
      </c>
      <c r="G1453" s="26" t="str">
        <f t="shared" si="255"/>
        <v xml:space="preserve">GUSTAVO A. MADERO                                                               </v>
      </c>
      <c r="H1453" s="26" t="str">
        <f>"180"</f>
        <v>180</v>
      </c>
      <c r="I1453" s="26" t="str">
        <f t="shared" si="250"/>
        <v>00</v>
      </c>
      <c r="J1453" s="26" t="str">
        <f t="shared" si="256"/>
        <v xml:space="preserve">32 </v>
      </c>
      <c r="K1453" s="26" t="str">
        <f t="shared" si="257"/>
        <v>EP</v>
      </c>
      <c r="L1453" s="26" t="str">
        <f t="shared" si="258"/>
        <v>DGOSE</v>
      </c>
      <c r="M1453" s="26" t="str">
        <f t="shared" si="248"/>
        <v>PARTICULAR</v>
      </c>
      <c r="N1453" s="26">
        <v>32</v>
      </c>
      <c r="O1453" s="26">
        <v>17</v>
      </c>
      <c r="P1453" s="26">
        <v>15</v>
      </c>
      <c r="Q1453" s="26">
        <v>3</v>
      </c>
      <c r="R1453" s="26">
        <v>1</v>
      </c>
      <c r="S1453" s="26">
        <v>2</v>
      </c>
      <c r="T1453" s="26">
        <v>3</v>
      </c>
      <c r="U1453" s="26">
        <v>6</v>
      </c>
      <c r="V1453" s="26">
        <v>1</v>
      </c>
      <c r="W1453" s="26"/>
    </row>
    <row r="1454" spans="1:23" x14ac:dyDescent="0.25">
      <c r="A1454" s="26" t="str">
        <f t="shared" si="249"/>
        <v>PREESCOLAR</v>
      </c>
      <c r="B1454" s="26" t="str">
        <f>"09PJN2262A"</f>
        <v>09PJN2262A</v>
      </c>
      <c r="C1454" s="26" t="str">
        <f>"JARDIN DE NIÑOS FEDERICO FROEBEL                                                                    "</f>
        <v xml:space="preserve">JARDIN DE NIÑOS FEDERICO FROEBEL                                                                    </v>
      </c>
      <c r="D1454" s="26" t="str">
        <f t="shared" si="247"/>
        <v>MATUTINO</v>
      </c>
      <c r="E1454" s="26" t="str">
        <f>"AV. 521 NO. 20                                                                  "</f>
        <v xml:space="preserve">AV. 521 NO. 20                                                                  </v>
      </c>
      <c r="F1454" s="26" t="str">
        <f>"ARAGON                                                                                                                                      "</f>
        <v xml:space="preserve">ARAGON                                                                                                                                      </v>
      </c>
      <c r="G1454" s="26" t="str">
        <f t="shared" si="255"/>
        <v xml:space="preserve">GUSTAVO A. MADERO                                                               </v>
      </c>
      <c r="H1454" s="26" t="str">
        <f>"180"</f>
        <v>180</v>
      </c>
      <c r="I1454" s="26" t="str">
        <f t="shared" si="250"/>
        <v>00</v>
      </c>
      <c r="J1454" s="26" t="str">
        <f t="shared" si="256"/>
        <v xml:space="preserve">32 </v>
      </c>
      <c r="K1454" s="26" t="str">
        <f t="shared" si="257"/>
        <v>EP</v>
      </c>
      <c r="L1454" s="26" t="str">
        <f t="shared" si="258"/>
        <v>DGOSE</v>
      </c>
      <c r="M1454" s="26" t="str">
        <f t="shared" si="248"/>
        <v>PARTICULAR</v>
      </c>
      <c r="N1454" s="26">
        <v>44</v>
      </c>
      <c r="O1454" s="26">
        <v>26</v>
      </c>
      <c r="P1454" s="26">
        <v>18</v>
      </c>
      <c r="Q1454" s="26">
        <v>3</v>
      </c>
      <c r="R1454" s="26">
        <v>1</v>
      </c>
      <c r="S1454" s="26">
        <v>3</v>
      </c>
      <c r="T1454" s="26">
        <v>3</v>
      </c>
      <c r="U1454" s="26">
        <v>7</v>
      </c>
      <c r="V1454" s="26">
        <v>1</v>
      </c>
      <c r="W1454" s="26"/>
    </row>
    <row r="1455" spans="1:23" x14ac:dyDescent="0.25">
      <c r="A1455" s="26" t="str">
        <f t="shared" si="249"/>
        <v>PREESCOLAR</v>
      </c>
      <c r="B1455" s="26" t="str">
        <f>"09PJN2268V"</f>
        <v>09PJN2268V</v>
      </c>
      <c r="C1455" s="26" t="str">
        <f>"COLEGIO MALINALLI                                                                                   "</f>
        <v xml:space="preserve">COLEGIO MALINALLI                                                                                   </v>
      </c>
      <c r="D1455" s="26" t="str">
        <f t="shared" si="247"/>
        <v>MATUTINO</v>
      </c>
      <c r="E1455" s="26" t="str">
        <f>"AVENIDA 515 NO.236                                                              "</f>
        <v xml:space="preserve">AVENIDA 515 NO.236                                                              </v>
      </c>
      <c r="F1455" s="26" t="str">
        <f>"UNIDAD SAN JUAN DE ARAGON 1A SECCIO                                                                                                         "</f>
        <v xml:space="preserve">UNIDAD SAN JUAN DE ARAGON 1A SECCIO                                                                                                         </v>
      </c>
      <c r="G1455" s="26" t="str">
        <f t="shared" si="255"/>
        <v xml:space="preserve">GUSTAVO A. MADERO                                                               </v>
      </c>
      <c r="H1455" s="26" t="str">
        <f>"198"</f>
        <v>198</v>
      </c>
      <c r="I1455" s="26" t="str">
        <f t="shared" si="250"/>
        <v>00</v>
      </c>
      <c r="J1455" s="26" t="str">
        <f t="shared" si="256"/>
        <v xml:space="preserve">32 </v>
      </c>
      <c r="K1455" s="26" t="str">
        <f t="shared" si="257"/>
        <v>EP</v>
      </c>
      <c r="L1455" s="26" t="str">
        <f t="shared" si="258"/>
        <v>DGOSE</v>
      </c>
      <c r="M1455" s="26" t="str">
        <f t="shared" si="248"/>
        <v>PARTICULAR</v>
      </c>
      <c r="N1455" s="26">
        <v>32</v>
      </c>
      <c r="O1455" s="26">
        <v>15</v>
      </c>
      <c r="P1455" s="26">
        <v>17</v>
      </c>
      <c r="Q1455" s="26">
        <v>3</v>
      </c>
      <c r="R1455" s="26">
        <v>1</v>
      </c>
      <c r="S1455" s="26">
        <v>3</v>
      </c>
      <c r="T1455" s="26">
        <v>8</v>
      </c>
      <c r="U1455" s="26">
        <v>12</v>
      </c>
      <c r="V1455" s="26">
        <v>1</v>
      </c>
      <c r="W1455" s="26"/>
    </row>
    <row r="1456" spans="1:23" x14ac:dyDescent="0.25">
      <c r="A1456" s="26" t="str">
        <f t="shared" si="249"/>
        <v>PREESCOLAR</v>
      </c>
      <c r="B1456" s="26" t="str">
        <f>"09PJN2279A"</f>
        <v>09PJN2279A</v>
      </c>
      <c r="C1456" s="26" t="str">
        <f>"FELIPE FRANCO                                                                                       "</f>
        <v xml:space="preserve">FELIPE FRANCO                                                                                       </v>
      </c>
      <c r="D1456" s="26" t="str">
        <f t="shared" si="247"/>
        <v>MATUTINO</v>
      </c>
      <c r="E1456" s="26" t="str">
        <f>"GUADALUPE VICTORIA No. 52                                                       "</f>
        <v xml:space="preserve">GUADALUPE VICTORIA No. 52                                                       </v>
      </c>
      <c r="F1456" s="26" t="str">
        <f>"CUAUTEPEC DE MADERO                                                                                                                         "</f>
        <v xml:space="preserve">CUAUTEPEC DE MADERO                                                                                                                         </v>
      </c>
      <c r="G1456" s="26" t="str">
        <f t="shared" si="255"/>
        <v xml:space="preserve">GUSTAVO A. MADERO                                                               </v>
      </c>
      <c r="H1456" s="26" t="str">
        <f>"227"</f>
        <v>227</v>
      </c>
      <c r="I1456" s="26" t="str">
        <f t="shared" si="250"/>
        <v>00</v>
      </c>
      <c r="J1456" s="26" t="str">
        <f t="shared" si="256"/>
        <v xml:space="preserve">32 </v>
      </c>
      <c r="K1456" s="26" t="str">
        <f t="shared" si="257"/>
        <v>EP</v>
      </c>
      <c r="L1456" s="26" t="str">
        <f t="shared" si="258"/>
        <v>DGOSE</v>
      </c>
      <c r="M1456" s="26" t="str">
        <f t="shared" si="248"/>
        <v>PARTICULAR</v>
      </c>
      <c r="N1456" s="26">
        <v>35</v>
      </c>
      <c r="O1456" s="26">
        <v>11</v>
      </c>
      <c r="P1456" s="26">
        <v>24</v>
      </c>
      <c r="Q1456" s="26">
        <v>3</v>
      </c>
      <c r="R1456" s="26">
        <v>1</v>
      </c>
      <c r="S1456" s="26">
        <v>3</v>
      </c>
      <c r="T1456" s="26">
        <v>5</v>
      </c>
      <c r="U1456" s="26">
        <v>9</v>
      </c>
      <c r="V1456" s="26">
        <v>1</v>
      </c>
      <c r="W1456" s="26"/>
    </row>
    <row r="1457" spans="1:23" x14ac:dyDescent="0.25">
      <c r="A1457" s="26" t="str">
        <f t="shared" si="249"/>
        <v>PREESCOLAR</v>
      </c>
      <c r="B1457" s="26" t="str">
        <f>"09PJN2280Q"</f>
        <v>09PJN2280Q</v>
      </c>
      <c r="C1457" s="26" t="str">
        <f>"JARDIN DE NIÑOS EL PRINCIPITO                                                                       "</f>
        <v xml:space="preserve">JARDIN DE NIÑOS EL PRINCIPITO                                                                       </v>
      </c>
      <c r="D1457" s="26" t="str">
        <f t="shared" si="247"/>
        <v>MATUTINO</v>
      </c>
      <c r="E1457" s="26" t="str">
        <f>"CALLE 6 No. 71                                                                  "</f>
        <v xml:space="preserve">CALLE 6 No. 71                                                                  </v>
      </c>
      <c r="F1457" s="26" t="str">
        <f>"PROGRESO NACIONAL                                                                                                                           "</f>
        <v xml:space="preserve">PROGRESO NACIONAL                                                                                                                           </v>
      </c>
      <c r="G1457" s="26" t="str">
        <f t="shared" si="255"/>
        <v xml:space="preserve">GUSTAVO A. MADERO                                                               </v>
      </c>
      <c r="H1457" s="26" t="str">
        <f>"068"</f>
        <v>068</v>
      </c>
      <c r="I1457" s="26" t="str">
        <f t="shared" si="250"/>
        <v>00</v>
      </c>
      <c r="J1457" s="26" t="str">
        <f t="shared" si="256"/>
        <v xml:space="preserve">32 </v>
      </c>
      <c r="K1457" s="26" t="str">
        <f t="shared" si="257"/>
        <v>EP</v>
      </c>
      <c r="L1457" s="26" t="str">
        <f t="shared" si="258"/>
        <v>DGOSE</v>
      </c>
      <c r="M1457" s="26" t="str">
        <f t="shared" si="248"/>
        <v>PARTICULAR</v>
      </c>
      <c r="N1457" s="26">
        <v>33</v>
      </c>
      <c r="O1457" s="26">
        <v>21</v>
      </c>
      <c r="P1457" s="26">
        <v>12</v>
      </c>
      <c r="Q1457" s="26">
        <v>3</v>
      </c>
      <c r="R1457" s="26">
        <v>1</v>
      </c>
      <c r="S1457" s="26">
        <v>3</v>
      </c>
      <c r="T1457" s="26">
        <v>1</v>
      </c>
      <c r="U1457" s="26">
        <v>5</v>
      </c>
      <c r="V1457" s="26">
        <v>1</v>
      </c>
      <c r="W1457" s="26"/>
    </row>
    <row r="1458" spans="1:23" x14ac:dyDescent="0.25">
      <c r="A1458" s="26" t="str">
        <f t="shared" si="249"/>
        <v>PREESCOLAR</v>
      </c>
      <c r="B1458" s="26" t="str">
        <f>"09PJN2284M"</f>
        <v>09PJN2284M</v>
      </c>
      <c r="C1458" s="26" t="str">
        <f>"JARDIN DE NIÑOS INDEPENDENCIA                                                                       "</f>
        <v xml:space="preserve">JARDIN DE NIÑOS INDEPENDENCIA                                                                       </v>
      </c>
      <c r="D1458" s="26" t="str">
        <f t="shared" si="247"/>
        <v>MATUTINO</v>
      </c>
      <c r="E1458" s="26" t="str">
        <f>"RESIDENCIAL ACUEDUCTO DE GPE.  NO. 235                                          "</f>
        <v xml:space="preserve">RESIDENCIAL ACUEDUCTO DE GPE.  NO. 235                                          </v>
      </c>
      <c r="F1458" s="26" t="str">
        <f>"ACUEDUCTO DE GUADALUPE                                                                                                                      "</f>
        <v xml:space="preserve">ACUEDUCTO DE GUADALUPE                                                                                                                      </v>
      </c>
      <c r="G1458" s="26" t="str">
        <f t="shared" si="255"/>
        <v xml:space="preserve">GUSTAVO A. MADERO                                                               </v>
      </c>
      <c r="H1458" s="26" t="str">
        <f>"003"</f>
        <v>003</v>
      </c>
      <c r="I1458" s="26" t="str">
        <f t="shared" si="250"/>
        <v>00</v>
      </c>
      <c r="J1458" s="26" t="str">
        <f t="shared" si="256"/>
        <v xml:space="preserve">32 </v>
      </c>
      <c r="K1458" s="26" t="str">
        <f t="shared" si="257"/>
        <v>EP</v>
      </c>
      <c r="L1458" s="26" t="str">
        <f t="shared" si="258"/>
        <v>DGOSE</v>
      </c>
      <c r="M1458" s="26" t="str">
        <f t="shared" si="248"/>
        <v>PARTICULAR</v>
      </c>
      <c r="N1458" s="26">
        <v>28</v>
      </c>
      <c r="O1458" s="26">
        <v>13</v>
      </c>
      <c r="P1458" s="26">
        <v>15</v>
      </c>
      <c r="Q1458" s="26">
        <v>3</v>
      </c>
      <c r="R1458" s="26">
        <v>1</v>
      </c>
      <c r="S1458" s="26">
        <v>3</v>
      </c>
      <c r="T1458" s="26">
        <v>5</v>
      </c>
      <c r="U1458" s="26">
        <v>9</v>
      </c>
      <c r="V1458" s="26">
        <v>1</v>
      </c>
      <c r="W1458" s="26"/>
    </row>
    <row r="1459" spans="1:23" x14ac:dyDescent="0.25">
      <c r="A1459" s="26" t="str">
        <f t="shared" si="249"/>
        <v>PREESCOLAR</v>
      </c>
      <c r="B1459" s="26" t="str">
        <f>"09PJN2291W"</f>
        <v>09PJN2291W</v>
      </c>
      <c r="C1459" s="26" t="str">
        <f>"JARDÍN DE NIÑOS CARRUSEL                                                                            "</f>
        <v xml:space="preserve">JARDÍN DE NIÑOS CARRUSEL                                                                            </v>
      </c>
      <c r="D1459" s="26" t="str">
        <f t="shared" si="247"/>
        <v>MATUTINO</v>
      </c>
      <c r="E1459" s="26" t="str">
        <f>"AV. 661 NO. 32                                                                  "</f>
        <v xml:space="preserve">AV. 661 NO. 32                                                                  </v>
      </c>
      <c r="F1459" s="26" t="str">
        <f>"SAN JUAN DE ARAGON                                                                                                                          "</f>
        <v xml:space="preserve">SAN JUAN DE ARAGON                                                                                                                          </v>
      </c>
      <c r="G1459" s="26" t="str">
        <f t="shared" si="255"/>
        <v xml:space="preserve">GUSTAVO A. MADERO                                                               </v>
      </c>
      <c r="H1459" s="26" t="str">
        <f>"201"</f>
        <v>201</v>
      </c>
      <c r="I1459" s="26" t="str">
        <f t="shared" si="250"/>
        <v>00</v>
      </c>
      <c r="J1459" s="26" t="str">
        <f t="shared" si="256"/>
        <v xml:space="preserve">32 </v>
      </c>
      <c r="K1459" s="26" t="str">
        <f t="shared" si="257"/>
        <v>EP</v>
      </c>
      <c r="L1459" s="26" t="str">
        <f t="shared" si="258"/>
        <v>DGOSE</v>
      </c>
      <c r="M1459" s="26" t="str">
        <f t="shared" si="248"/>
        <v>PARTICULAR</v>
      </c>
      <c r="N1459" s="26">
        <v>24</v>
      </c>
      <c r="O1459" s="26">
        <v>13</v>
      </c>
      <c r="P1459" s="26">
        <v>11</v>
      </c>
      <c r="Q1459" s="26">
        <v>2</v>
      </c>
      <c r="R1459" s="26">
        <v>1</v>
      </c>
      <c r="S1459" s="26">
        <v>2</v>
      </c>
      <c r="T1459" s="26">
        <v>3</v>
      </c>
      <c r="U1459" s="26">
        <v>6</v>
      </c>
      <c r="V1459" s="26">
        <v>1</v>
      </c>
      <c r="W1459" s="26"/>
    </row>
    <row r="1460" spans="1:23" x14ac:dyDescent="0.25">
      <c r="A1460" s="26" t="str">
        <f t="shared" si="249"/>
        <v>PREESCOLAR</v>
      </c>
      <c r="B1460" s="26" t="str">
        <f>"09PJN2293U"</f>
        <v>09PJN2293U</v>
      </c>
      <c r="C1460" s="26" t="str">
        <f>"COLEGIO KAMII                                                                                       "</f>
        <v xml:space="preserve">COLEGIO KAMII                                                                                       </v>
      </c>
      <c r="D1460" s="26" t="str">
        <f t="shared" si="247"/>
        <v>MATUTINO</v>
      </c>
      <c r="E1460" s="26" t="str">
        <f>"GABINO BARREDA S/N MZA.9 LT.20                                                  "</f>
        <v xml:space="preserve">GABINO BARREDA S/N MZA.9 LT.20                                                  </v>
      </c>
      <c r="F1460" s="26" t="str">
        <f>"ZONA ESCOLAR                                                                                                                                "</f>
        <v xml:space="preserve">ZONA ESCOLAR                                                                                                                                </v>
      </c>
      <c r="G1460" s="26" t="str">
        <f t="shared" si="255"/>
        <v xml:space="preserve">GUSTAVO A. MADERO                                                               </v>
      </c>
      <c r="H1460" s="26" t="str">
        <f>"117"</f>
        <v>117</v>
      </c>
      <c r="I1460" s="26" t="str">
        <f t="shared" si="250"/>
        <v>00</v>
      </c>
      <c r="J1460" s="26" t="str">
        <f t="shared" si="256"/>
        <v xml:space="preserve">32 </v>
      </c>
      <c r="K1460" s="26" t="str">
        <f t="shared" si="257"/>
        <v>EP</v>
      </c>
      <c r="L1460" s="26" t="str">
        <f t="shared" si="258"/>
        <v>DGOSE</v>
      </c>
      <c r="M1460" s="26" t="str">
        <f t="shared" si="248"/>
        <v>PARTICULAR</v>
      </c>
      <c r="N1460" s="26">
        <v>50</v>
      </c>
      <c r="O1460" s="26">
        <v>24</v>
      </c>
      <c r="P1460" s="26">
        <v>26</v>
      </c>
      <c r="Q1460" s="26">
        <v>3</v>
      </c>
      <c r="R1460" s="26">
        <v>1</v>
      </c>
      <c r="S1460" s="26">
        <v>3</v>
      </c>
      <c r="T1460" s="26">
        <v>1</v>
      </c>
      <c r="U1460" s="26">
        <v>5</v>
      </c>
      <c r="V1460" s="26">
        <v>1</v>
      </c>
      <c r="W1460" s="26"/>
    </row>
    <row r="1461" spans="1:23" x14ac:dyDescent="0.25">
      <c r="A1461" s="26" t="str">
        <f t="shared" si="249"/>
        <v>PREESCOLAR</v>
      </c>
      <c r="B1461" s="26" t="str">
        <f>"09PJN2294T"</f>
        <v>09PJN2294T</v>
      </c>
      <c r="C1461" s="26" t="str">
        <f>"CENTRO DE DESARROLLO INFANTIL LA CASA DE LOS NIÑOS                                                  "</f>
        <v xml:space="preserve">CENTRO DE DESARROLLO INFANTIL LA CASA DE LOS NIÑOS                                                  </v>
      </c>
      <c r="D1461" s="26" t="str">
        <f t="shared" si="247"/>
        <v>MATUTINO</v>
      </c>
      <c r="E1461" s="26" t="str">
        <f>"34-A NO.116                                                                     "</f>
        <v xml:space="preserve">34-A NO.116                                                                     </v>
      </c>
      <c r="F1461" s="26" t="str">
        <f>"SANTA ROSA                                                                                                                                  "</f>
        <v xml:space="preserve">SANTA ROSA                                                                                                                                  </v>
      </c>
      <c r="G1461" s="26" t="str">
        <f t="shared" si="255"/>
        <v xml:space="preserve">GUSTAVO A. MADERO                                                               </v>
      </c>
      <c r="H1461" s="26" t="str">
        <f>"068"</f>
        <v>068</v>
      </c>
      <c r="I1461" s="26" t="str">
        <f t="shared" si="250"/>
        <v>00</v>
      </c>
      <c r="J1461" s="26" t="str">
        <f t="shared" si="256"/>
        <v xml:space="preserve">32 </v>
      </c>
      <c r="K1461" s="26" t="str">
        <f t="shared" si="257"/>
        <v>EP</v>
      </c>
      <c r="L1461" s="26" t="str">
        <f t="shared" si="258"/>
        <v>DGOSE</v>
      </c>
      <c r="M1461" s="26" t="str">
        <f t="shared" si="248"/>
        <v>PARTICULAR</v>
      </c>
      <c r="N1461" s="26">
        <v>14</v>
      </c>
      <c r="O1461" s="26">
        <v>8</v>
      </c>
      <c r="P1461" s="26">
        <v>6</v>
      </c>
      <c r="Q1461" s="26">
        <v>3</v>
      </c>
      <c r="R1461" s="26">
        <v>1</v>
      </c>
      <c r="S1461" s="26">
        <v>2</v>
      </c>
      <c r="T1461" s="26">
        <v>0</v>
      </c>
      <c r="U1461" s="26">
        <v>3</v>
      </c>
      <c r="V1461" s="26">
        <v>1</v>
      </c>
      <c r="W1461" s="26"/>
    </row>
    <row r="1462" spans="1:23" x14ac:dyDescent="0.25">
      <c r="A1462" s="26" t="str">
        <f t="shared" si="249"/>
        <v>PREESCOLAR</v>
      </c>
      <c r="B1462" s="26" t="str">
        <f>"09PJN2297Q"</f>
        <v>09PJN2297Q</v>
      </c>
      <c r="C1462" s="26" t="str">
        <f>"HUITZILIN                                                                                           "</f>
        <v xml:space="preserve">HUITZILIN                                                                                           </v>
      </c>
      <c r="D1462" s="26" t="str">
        <f t="shared" si="247"/>
        <v>MATUTINO</v>
      </c>
      <c r="E1462" s="26" t="str">
        <f>"ESTADO DE NAYARIT No. 15                                                        "</f>
        <v xml:space="preserve">ESTADO DE NAYARIT No. 15                                                        </v>
      </c>
      <c r="F1462" s="26" t="str">
        <f>"LA PROVIDENCIA                                                                                                                              "</f>
        <v xml:space="preserve">LA PROVIDENCIA                                                                                                                              </v>
      </c>
      <c r="G1462" s="26" t="str">
        <f t="shared" si="255"/>
        <v xml:space="preserve">GUSTAVO A. MADERO                                                               </v>
      </c>
      <c r="H1462" s="26" t="str">
        <f>"180"</f>
        <v>180</v>
      </c>
      <c r="I1462" s="26" t="str">
        <f t="shared" si="250"/>
        <v>00</v>
      </c>
      <c r="J1462" s="26" t="str">
        <f t="shared" si="256"/>
        <v xml:space="preserve">32 </v>
      </c>
      <c r="K1462" s="26" t="str">
        <f t="shared" si="257"/>
        <v>EP</v>
      </c>
      <c r="L1462" s="26" t="str">
        <f t="shared" si="258"/>
        <v>DGOSE</v>
      </c>
      <c r="M1462" s="26" t="str">
        <f t="shared" si="248"/>
        <v>PARTICULAR</v>
      </c>
      <c r="N1462" s="26">
        <v>26</v>
      </c>
      <c r="O1462" s="26">
        <v>13</v>
      </c>
      <c r="P1462" s="26">
        <v>13</v>
      </c>
      <c r="Q1462" s="26">
        <v>2</v>
      </c>
      <c r="R1462" s="26">
        <v>1</v>
      </c>
      <c r="S1462" s="26">
        <v>2</v>
      </c>
      <c r="T1462" s="26">
        <v>1</v>
      </c>
      <c r="U1462" s="26">
        <v>4</v>
      </c>
      <c r="V1462" s="26">
        <v>1</v>
      </c>
      <c r="W1462" s="26"/>
    </row>
    <row r="1463" spans="1:23" x14ac:dyDescent="0.25">
      <c r="A1463" s="26" t="str">
        <f t="shared" si="249"/>
        <v>PREESCOLAR</v>
      </c>
      <c r="B1463" s="26" t="str">
        <f>"09PJN2302L"</f>
        <v>09PJN2302L</v>
      </c>
      <c r="C1463" s="26" t="str">
        <f>"LITTLE NASHVILLE                                                                                    "</f>
        <v xml:space="preserve">LITTLE NASHVILLE                                                                                    </v>
      </c>
      <c r="D1463" s="26" t="str">
        <f t="shared" si="247"/>
        <v>MATUTINO</v>
      </c>
      <c r="E1463" s="26" t="str">
        <f>"CALLE 665 NO. 9                                                                 "</f>
        <v xml:space="preserve">CALLE 665 NO. 9                                                                 </v>
      </c>
      <c r="F1463" s="26" t="str">
        <f>"CTM SAN JUAN DE ARAGON                                                                                                                      "</f>
        <v xml:space="preserve">CTM SAN JUAN DE ARAGON                                                                                                                      </v>
      </c>
      <c r="G1463" s="26" t="str">
        <f t="shared" si="255"/>
        <v xml:space="preserve">GUSTAVO A. MADERO                                                               </v>
      </c>
      <c r="H1463" s="26" t="str">
        <f>"201"</f>
        <v>201</v>
      </c>
      <c r="I1463" s="26" t="str">
        <f t="shared" si="250"/>
        <v>00</v>
      </c>
      <c r="J1463" s="26" t="str">
        <f t="shared" si="256"/>
        <v xml:space="preserve">32 </v>
      </c>
      <c r="K1463" s="26" t="str">
        <f t="shared" si="257"/>
        <v>EP</v>
      </c>
      <c r="L1463" s="26" t="str">
        <f t="shared" si="258"/>
        <v>DGOSE</v>
      </c>
      <c r="M1463" s="26" t="str">
        <f t="shared" si="248"/>
        <v>PARTICULAR</v>
      </c>
      <c r="N1463" s="26">
        <v>72</v>
      </c>
      <c r="O1463" s="26">
        <v>40</v>
      </c>
      <c r="P1463" s="26">
        <v>32</v>
      </c>
      <c r="Q1463" s="26">
        <v>5</v>
      </c>
      <c r="R1463" s="26">
        <v>1</v>
      </c>
      <c r="S1463" s="26">
        <v>3</v>
      </c>
      <c r="T1463" s="26">
        <v>9</v>
      </c>
      <c r="U1463" s="26">
        <v>13</v>
      </c>
      <c r="V1463" s="26">
        <v>1</v>
      </c>
      <c r="W1463" s="26"/>
    </row>
    <row r="1464" spans="1:23" x14ac:dyDescent="0.25">
      <c r="A1464" s="26" t="str">
        <f t="shared" si="249"/>
        <v>PREESCOLAR</v>
      </c>
      <c r="B1464" s="26" t="str">
        <f>"09PJN2309E"</f>
        <v>09PJN2309E</v>
      </c>
      <c r="C1464" s="26" t="str">
        <f>"ITZEL                                                                                               "</f>
        <v xml:space="preserve">ITZEL                                                                                               </v>
      </c>
      <c r="D1464" s="26" t="str">
        <f t="shared" si="247"/>
        <v>MATUTINO</v>
      </c>
      <c r="E1464" s="26" t="str">
        <f>"GLADIOLA NO. 29                                                                 "</f>
        <v xml:space="preserve">GLADIOLA NO. 29                                                                 </v>
      </c>
      <c r="F1464" s="26" t="str">
        <f>"BUENAVISTA                                                                                                                                  "</f>
        <v xml:space="preserve">BUENAVISTA                                                                                                                                  </v>
      </c>
      <c r="G1464" s="26" t="str">
        <f>"IZTAPALAPA                                                                      "</f>
        <v xml:space="preserve">IZTAPALAPA                                                                      </v>
      </c>
      <c r="H1464" s="26" t="str">
        <f>"000"</f>
        <v>000</v>
      </c>
      <c r="I1464" s="26" t="str">
        <f t="shared" si="250"/>
        <v>00</v>
      </c>
      <c r="J1464" s="26" t="str">
        <f>"64 "</f>
        <v xml:space="preserve">64 </v>
      </c>
      <c r="K1464" s="26" t="str">
        <f>"IZ"</f>
        <v>IZ</v>
      </c>
      <c r="L1464" s="26" t="str">
        <f>"DGSEI"</f>
        <v>DGSEI</v>
      </c>
      <c r="M1464" s="26" t="str">
        <f t="shared" si="248"/>
        <v>PARTICULAR</v>
      </c>
      <c r="N1464" s="26">
        <v>2</v>
      </c>
      <c r="O1464" s="26">
        <v>0</v>
      </c>
      <c r="P1464" s="26">
        <v>2</v>
      </c>
      <c r="Q1464" s="26">
        <v>2</v>
      </c>
      <c r="R1464" s="26">
        <v>0</v>
      </c>
      <c r="S1464" s="26">
        <v>1</v>
      </c>
      <c r="T1464" s="26">
        <v>1</v>
      </c>
      <c r="U1464" s="26">
        <v>2</v>
      </c>
      <c r="V1464" s="26">
        <v>1</v>
      </c>
      <c r="W1464" s="26"/>
    </row>
    <row r="1465" spans="1:23" x14ac:dyDescent="0.25">
      <c r="A1465" s="26" t="str">
        <f t="shared" si="249"/>
        <v>PREESCOLAR</v>
      </c>
      <c r="B1465" s="26" t="str">
        <f>"09PJN2335C"</f>
        <v>09PJN2335C</v>
      </c>
      <c r="C1465" s="26" t="str">
        <f>"ZIGGY                                                                                               "</f>
        <v xml:space="preserve">ZIGGY                                                                                               </v>
      </c>
      <c r="D1465" s="26" t="str">
        <f t="shared" ref="D1465:D1528" si="259">"MATUTINO"</f>
        <v>MATUTINO</v>
      </c>
      <c r="E1465" s="26" t="str">
        <f>"GUAYABAS MZ. 466 LT. 14                                                         "</f>
        <v xml:space="preserve">GUAYABAS MZ. 466 LT. 14                                                         </v>
      </c>
      <c r="F1465" s="26" t="str">
        <f>"MIRAVALLE                                                                                                                                   "</f>
        <v xml:space="preserve">MIRAVALLE                                                                                                                                   </v>
      </c>
      <c r="G1465" s="26" t="str">
        <f>"IZTAPALAPA                                                                      "</f>
        <v xml:space="preserve">IZTAPALAPA                                                                      </v>
      </c>
      <c r="H1465" s="26" t="str">
        <f>"000"</f>
        <v>000</v>
      </c>
      <c r="I1465" s="26" t="str">
        <f t="shared" si="250"/>
        <v>00</v>
      </c>
      <c r="J1465" s="26" t="str">
        <f>"64 "</f>
        <v xml:space="preserve">64 </v>
      </c>
      <c r="K1465" s="26" t="str">
        <f>"IZ"</f>
        <v>IZ</v>
      </c>
      <c r="L1465" s="26" t="str">
        <f>"DGSEI"</f>
        <v>DGSEI</v>
      </c>
      <c r="M1465" s="26" t="str">
        <f t="shared" si="248"/>
        <v>PARTICULAR</v>
      </c>
      <c r="N1465" s="26">
        <v>20</v>
      </c>
      <c r="O1465" s="26">
        <v>11</v>
      </c>
      <c r="P1465" s="26">
        <v>9</v>
      </c>
      <c r="Q1465" s="26">
        <v>3</v>
      </c>
      <c r="R1465" s="26">
        <v>1</v>
      </c>
      <c r="S1465" s="26">
        <v>2</v>
      </c>
      <c r="T1465" s="26">
        <v>0</v>
      </c>
      <c r="U1465" s="26">
        <v>3</v>
      </c>
      <c r="V1465" s="26">
        <v>1</v>
      </c>
      <c r="W1465" s="26"/>
    </row>
    <row r="1466" spans="1:23" x14ac:dyDescent="0.25">
      <c r="A1466" s="26" t="str">
        <f t="shared" si="249"/>
        <v>PREESCOLAR</v>
      </c>
      <c r="B1466" s="26" t="str">
        <f>"09PJN2341N"</f>
        <v>09PJN2341N</v>
      </c>
      <c r="C1466" s="26" t="str">
        <f>"JUANA DE ASBAJE                                                                                     "</f>
        <v xml:space="preserve">JUANA DE ASBAJE                                                                                     </v>
      </c>
      <c r="D1466" s="26" t="str">
        <f t="shared" si="259"/>
        <v>MATUTINO</v>
      </c>
      <c r="E1466" s="26" t="str">
        <f>"IZTAPALAPA MZ. 153 LT. 1578                                                     "</f>
        <v xml:space="preserve">IZTAPALAPA MZ. 153 LT. 1578                                                     </v>
      </c>
      <c r="F1466" s="26" t="str">
        <f>"SAN LORENZO TEZONCO                                                                                                                         "</f>
        <v xml:space="preserve">SAN LORENZO TEZONCO                                                                                                                         </v>
      </c>
      <c r="G1466" s="26" t="str">
        <f>"IZTAPALAPA                                                                      "</f>
        <v xml:space="preserve">IZTAPALAPA                                                                      </v>
      </c>
      <c r="H1466" s="26" t="str">
        <f>"000"</f>
        <v>000</v>
      </c>
      <c r="I1466" s="26" t="str">
        <f t="shared" si="250"/>
        <v>00</v>
      </c>
      <c r="J1466" s="26" t="str">
        <f>"63 "</f>
        <v xml:space="preserve">63 </v>
      </c>
      <c r="K1466" s="26" t="str">
        <f>"IZ"</f>
        <v>IZ</v>
      </c>
      <c r="L1466" s="26" t="str">
        <f>"DGSEI"</f>
        <v>DGSEI</v>
      </c>
      <c r="M1466" s="26" t="str">
        <f t="shared" si="248"/>
        <v>PARTICULAR</v>
      </c>
      <c r="N1466" s="26">
        <v>19</v>
      </c>
      <c r="O1466" s="26">
        <v>7</v>
      </c>
      <c r="P1466" s="26">
        <v>12</v>
      </c>
      <c r="Q1466" s="26">
        <v>2</v>
      </c>
      <c r="R1466" s="26">
        <v>1</v>
      </c>
      <c r="S1466" s="26">
        <v>2</v>
      </c>
      <c r="T1466" s="26">
        <v>1</v>
      </c>
      <c r="U1466" s="26">
        <v>4</v>
      </c>
      <c r="V1466" s="26">
        <v>1</v>
      </c>
      <c r="W1466" s="26"/>
    </row>
    <row r="1467" spans="1:23" x14ac:dyDescent="0.25">
      <c r="A1467" s="26" t="str">
        <f t="shared" si="249"/>
        <v>PREESCOLAR</v>
      </c>
      <c r="B1467" s="26" t="str">
        <f>"09PJN2344K"</f>
        <v>09PJN2344K</v>
      </c>
      <c r="C1467" s="26" t="str">
        <f>"FANTASIA                                                                                            "</f>
        <v xml:space="preserve">FANTASIA                                                                                            </v>
      </c>
      <c r="D1467" s="26" t="str">
        <f t="shared" si="259"/>
        <v>MATUTINO</v>
      </c>
      <c r="E1467" s="26" t="str">
        <f>"CEDROS No. 144                                                                  "</f>
        <v xml:space="preserve">CEDROS No. 144                                                                  </v>
      </c>
      <c r="F1467" s="26" t="str">
        <f>"SAN ANDRES                                                                                                                                  "</f>
        <v xml:space="preserve">SAN ANDRES                                                                                                                                  </v>
      </c>
      <c r="G1467" s="26" t="str">
        <f>"AZCAPOTZALCO                                                                    "</f>
        <v xml:space="preserve">AZCAPOTZALCO                                                                    </v>
      </c>
      <c r="H1467" s="26" t="str">
        <f>"106"</f>
        <v>106</v>
      </c>
      <c r="I1467" s="26" t="str">
        <f t="shared" si="250"/>
        <v>00</v>
      </c>
      <c r="J1467" s="26" t="str">
        <f>"32 "</f>
        <v xml:space="preserve">32 </v>
      </c>
      <c r="K1467" s="26" t="str">
        <f t="shared" ref="K1467:K1483" si="260">"EP"</f>
        <v>EP</v>
      </c>
      <c r="L1467" s="26" t="str">
        <f t="shared" ref="L1467:L1483" si="261">"DGOSE"</f>
        <v>DGOSE</v>
      </c>
      <c r="M1467" s="26" t="str">
        <f t="shared" si="248"/>
        <v>PARTICULAR</v>
      </c>
      <c r="N1467" s="26">
        <v>38</v>
      </c>
      <c r="O1467" s="26">
        <v>16</v>
      </c>
      <c r="P1467" s="26">
        <v>22</v>
      </c>
      <c r="Q1467" s="26">
        <v>3</v>
      </c>
      <c r="R1467" s="26">
        <v>1</v>
      </c>
      <c r="S1467" s="26">
        <v>3</v>
      </c>
      <c r="T1467" s="26">
        <v>12</v>
      </c>
      <c r="U1467" s="26">
        <v>16</v>
      </c>
      <c r="V1467" s="26">
        <v>1</v>
      </c>
      <c r="W1467" s="26"/>
    </row>
    <row r="1468" spans="1:23" x14ac:dyDescent="0.25">
      <c r="A1468" s="26" t="str">
        <f t="shared" si="249"/>
        <v>PREESCOLAR</v>
      </c>
      <c r="B1468" s="26" t="str">
        <f>"09PJN2347H"</f>
        <v>09PJN2347H</v>
      </c>
      <c r="C1468" s="26" t="str">
        <f>"COLEGIO DONATO BRAMANTE                                                                             "</f>
        <v xml:space="preserve">COLEGIO DONATO BRAMANTE                                                                             </v>
      </c>
      <c r="D1468" s="26" t="str">
        <f t="shared" si="259"/>
        <v>MATUTINO</v>
      </c>
      <c r="E1468" s="26" t="str">
        <f>"CALLE 25 No. 330                                                                "</f>
        <v xml:space="preserve">CALLE 25 No. 330                                                                </v>
      </c>
      <c r="F1468" s="26" t="str">
        <f>"PRO  HOGAR                                                                                                                                  "</f>
        <v xml:space="preserve">PRO  HOGAR                                                                                                                                  </v>
      </c>
      <c r="G1468" s="26" t="str">
        <f>"AZCAPOTZALCO                                                                    "</f>
        <v xml:space="preserve">AZCAPOTZALCO                                                                    </v>
      </c>
      <c r="H1468" s="26" t="str">
        <f>"190"</f>
        <v>190</v>
      </c>
      <c r="I1468" s="26" t="str">
        <f t="shared" si="250"/>
        <v>00</v>
      </c>
      <c r="J1468" s="26" t="str">
        <f>"32 "</f>
        <v xml:space="preserve">32 </v>
      </c>
      <c r="K1468" s="26" t="str">
        <f t="shared" si="260"/>
        <v>EP</v>
      </c>
      <c r="L1468" s="26" t="str">
        <f t="shared" si="261"/>
        <v>DGOSE</v>
      </c>
      <c r="M1468" s="26" t="str">
        <f t="shared" si="248"/>
        <v>PARTICULAR</v>
      </c>
      <c r="N1468" s="26">
        <v>33</v>
      </c>
      <c r="O1468" s="26">
        <v>14</v>
      </c>
      <c r="P1468" s="26">
        <v>19</v>
      </c>
      <c r="Q1468" s="26">
        <v>3</v>
      </c>
      <c r="R1468" s="26">
        <v>1</v>
      </c>
      <c r="S1468" s="26">
        <v>3</v>
      </c>
      <c r="T1468" s="26">
        <v>2</v>
      </c>
      <c r="U1468" s="26">
        <v>6</v>
      </c>
      <c r="V1468" s="26">
        <v>1</v>
      </c>
      <c r="W1468" s="26"/>
    </row>
    <row r="1469" spans="1:23" x14ac:dyDescent="0.25">
      <c r="A1469" s="26" t="str">
        <f t="shared" si="249"/>
        <v>PREESCOLAR</v>
      </c>
      <c r="B1469" s="26" t="str">
        <f>"09PJN2350V"</f>
        <v>09PJN2350V</v>
      </c>
      <c r="C1469" s="26" t="str">
        <f>"COLEGIO UNIVERSO                                                                                    "</f>
        <v xml:space="preserve">COLEGIO UNIVERSO                                                                                    </v>
      </c>
      <c r="D1469" s="26" t="str">
        <f t="shared" si="259"/>
        <v>MATUTINO</v>
      </c>
      <c r="E1469" s="26" t="str">
        <f>"FUNDIDORES NO.131 Y METALURGICOS NO.132                                         "</f>
        <v xml:space="preserve">FUNDIDORES NO.131 Y METALURGICOS NO.132                                         </v>
      </c>
      <c r="F1469" s="26" t="str">
        <f>"TRABAJADORES DEL HIERRO                                                                                                                     "</f>
        <v xml:space="preserve">TRABAJADORES DEL HIERRO                                                                                                                     </v>
      </c>
      <c r="G1469" s="26" t="str">
        <f>"AZCAPOTZALCO                                                                    "</f>
        <v xml:space="preserve">AZCAPOTZALCO                                                                    </v>
      </c>
      <c r="H1469" s="26" t="str">
        <f>"190"</f>
        <v>190</v>
      </c>
      <c r="I1469" s="26" t="str">
        <f t="shared" si="250"/>
        <v>00</v>
      </c>
      <c r="J1469" s="26" t="str">
        <f>"32 "</f>
        <v xml:space="preserve">32 </v>
      </c>
      <c r="K1469" s="26" t="str">
        <f t="shared" si="260"/>
        <v>EP</v>
      </c>
      <c r="L1469" s="26" t="str">
        <f t="shared" si="261"/>
        <v>DGOSE</v>
      </c>
      <c r="M1469" s="26" t="str">
        <f t="shared" si="248"/>
        <v>PARTICULAR</v>
      </c>
      <c r="N1469" s="26">
        <v>35</v>
      </c>
      <c r="O1469" s="26">
        <v>16</v>
      </c>
      <c r="P1469" s="26">
        <v>19</v>
      </c>
      <c r="Q1469" s="26">
        <v>3</v>
      </c>
      <c r="R1469" s="26">
        <v>1</v>
      </c>
      <c r="S1469" s="26">
        <v>3</v>
      </c>
      <c r="T1469" s="26">
        <v>5</v>
      </c>
      <c r="U1469" s="26">
        <v>9</v>
      </c>
      <c r="V1469" s="26">
        <v>1</v>
      </c>
      <c r="W1469" s="26"/>
    </row>
    <row r="1470" spans="1:23" x14ac:dyDescent="0.25">
      <c r="A1470" s="26" t="str">
        <f t="shared" si="249"/>
        <v>PREESCOLAR</v>
      </c>
      <c r="B1470" s="26" t="str">
        <f>"09PJN2351U"</f>
        <v>09PJN2351U</v>
      </c>
      <c r="C1470" s="26" t="str">
        <f>"JARDIN DE NIÑOS ESTRELLITA                                                                          "</f>
        <v xml:space="preserve">JARDIN DE NIÑOS ESTRELLITA                                                                          </v>
      </c>
      <c r="D1470" s="26" t="str">
        <f t="shared" si="259"/>
        <v>MATUTINO</v>
      </c>
      <c r="E1470" s="26" t="str">
        <f>"NORTE 85 NO. 466                                                                "</f>
        <v xml:space="preserve">NORTE 85 NO. 466                                                                </v>
      </c>
      <c r="F1470" s="26" t="str">
        <f>"SINDICATO MEXICANO DE ELECTRICISTAS                                                                                                         "</f>
        <v xml:space="preserve">SINDICATO MEXICANO DE ELECTRICISTAS                                                                                                         </v>
      </c>
      <c r="G1470" s="26" t="str">
        <f>"AZCAPOTZALCO                                                                    "</f>
        <v xml:space="preserve">AZCAPOTZALCO                                                                    </v>
      </c>
      <c r="H1470" s="26" t="str">
        <f>"106"</f>
        <v>106</v>
      </c>
      <c r="I1470" s="26" t="str">
        <f t="shared" si="250"/>
        <v>00</v>
      </c>
      <c r="J1470" s="26" t="str">
        <f>"32 "</f>
        <v xml:space="preserve">32 </v>
      </c>
      <c r="K1470" s="26" t="str">
        <f t="shared" si="260"/>
        <v>EP</v>
      </c>
      <c r="L1470" s="26" t="str">
        <f t="shared" si="261"/>
        <v>DGOSE</v>
      </c>
      <c r="M1470" s="26" t="str">
        <f t="shared" si="248"/>
        <v>PARTICULAR</v>
      </c>
      <c r="N1470" s="26">
        <v>17</v>
      </c>
      <c r="O1470" s="26">
        <v>7</v>
      </c>
      <c r="P1470" s="26">
        <v>10</v>
      </c>
      <c r="Q1470" s="26">
        <v>3</v>
      </c>
      <c r="R1470" s="26">
        <v>1</v>
      </c>
      <c r="S1470" s="26">
        <v>2</v>
      </c>
      <c r="T1470" s="26">
        <v>4</v>
      </c>
      <c r="U1470" s="26">
        <v>7</v>
      </c>
      <c r="V1470" s="26">
        <v>1</v>
      </c>
      <c r="W1470" s="26"/>
    </row>
    <row r="1471" spans="1:23" x14ac:dyDescent="0.25">
      <c r="A1471" s="26" t="str">
        <f t="shared" si="249"/>
        <v>PREESCOLAR</v>
      </c>
      <c r="B1471" s="26" t="str">
        <f>"09PJN2357O"</f>
        <v>09PJN2357O</v>
      </c>
      <c r="C1471" s="26" t="str">
        <f>"JARDIN DE NIÑOS HUITZITZILIN                                                                        "</f>
        <v xml:space="preserve">JARDIN DE NIÑOS HUITZITZILIN                                                                        </v>
      </c>
      <c r="D1471" s="26" t="str">
        <f t="shared" si="259"/>
        <v>MATUTINO</v>
      </c>
      <c r="E1471" s="26" t="str">
        <f>"NAYARITAS NO. 213                                                               "</f>
        <v xml:space="preserve">NAYARITAS NO. 213                                                               </v>
      </c>
      <c r="F1471" s="26" t="str">
        <f>"AJUSCO                                                                                                                                      "</f>
        <v xml:space="preserve">AJUSCO                                                                                                                                      </v>
      </c>
      <c r="G1471" s="26" t="str">
        <f t="shared" ref="G1471:G1483" si="262">"COYOACAN                                                                        "</f>
        <v xml:space="preserve">COYOACAN                                                                        </v>
      </c>
      <c r="H1471" s="26" t="str">
        <f>"077"</f>
        <v>077</v>
      </c>
      <c r="I1471" s="26" t="str">
        <f t="shared" si="250"/>
        <v>00</v>
      </c>
      <c r="J1471" s="26" t="str">
        <f t="shared" ref="J1471:J1483" si="263">"35 "</f>
        <v xml:space="preserve">35 </v>
      </c>
      <c r="K1471" s="26" t="str">
        <f t="shared" si="260"/>
        <v>EP</v>
      </c>
      <c r="L1471" s="26" t="str">
        <f t="shared" si="261"/>
        <v>DGOSE</v>
      </c>
      <c r="M1471" s="26" t="str">
        <f t="shared" ref="M1471:M1534" si="264">"PARTICULAR"</f>
        <v>PARTICULAR</v>
      </c>
      <c r="N1471" s="26">
        <v>22</v>
      </c>
      <c r="O1471" s="26">
        <v>16</v>
      </c>
      <c r="P1471" s="26">
        <v>6</v>
      </c>
      <c r="Q1471" s="26">
        <v>2</v>
      </c>
      <c r="R1471" s="26">
        <v>1</v>
      </c>
      <c r="S1471" s="26">
        <v>2</v>
      </c>
      <c r="T1471" s="26">
        <v>1</v>
      </c>
      <c r="U1471" s="26">
        <v>4</v>
      </c>
      <c r="V1471" s="26">
        <v>1</v>
      </c>
      <c r="W1471" s="26"/>
    </row>
    <row r="1472" spans="1:23" x14ac:dyDescent="0.25">
      <c r="A1472" s="26" t="str">
        <f t="shared" si="249"/>
        <v>PREESCOLAR</v>
      </c>
      <c r="B1472" s="26" t="str">
        <f>"09PJN2359M"</f>
        <v>09PJN2359M</v>
      </c>
      <c r="C1472" s="26" t="str">
        <f>"LADYBUG SCHOOL                                                                                      "</f>
        <v xml:space="preserve">LADYBUG SCHOOL                                                                                      </v>
      </c>
      <c r="D1472" s="26" t="str">
        <f t="shared" si="259"/>
        <v>MATUTINO</v>
      </c>
      <c r="E1472" s="26" t="str">
        <f>"RETORNO 35 No. 23                                                               "</f>
        <v xml:space="preserve">RETORNO 35 No. 23                                                               </v>
      </c>
      <c r="F1472" s="26" t="str">
        <f>"AVANTE                                                                                                                                      "</f>
        <v xml:space="preserve">AVANTE                                                                                                                                      </v>
      </c>
      <c r="G1472" s="26" t="str">
        <f t="shared" si="262"/>
        <v xml:space="preserve">COYOACAN                                                                        </v>
      </c>
      <c r="H1472" s="26" t="str">
        <f>"024"</f>
        <v>024</v>
      </c>
      <c r="I1472" s="26" t="str">
        <f t="shared" si="250"/>
        <v>00</v>
      </c>
      <c r="J1472" s="26" t="str">
        <f t="shared" si="263"/>
        <v xml:space="preserve">35 </v>
      </c>
      <c r="K1472" s="26" t="str">
        <f t="shared" si="260"/>
        <v>EP</v>
      </c>
      <c r="L1472" s="26" t="str">
        <f t="shared" si="261"/>
        <v>DGOSE</v>
      </c>
      <c r="M1472" s="26" t="str">
        <f t="shared" si="264"/>
        <v>PARTICULAR</v>
      </c>
      <c r="N1472" s="26">
        <v>11</v>
      </c>
      <c r="O1472" s="26">
        <v>6</v>
      </c>
      <c r="P1472" s="26">
        <v>5</v>
      </c>
      <c r="Q1472" s="26">
        <v>3</v>
      </c>
      <c r="R1472" s="26">
        <v>1</v>
      </c>
      <c r="S1472" s="26">
        <v>2</v>
      </c>
      <c r="T1472" s="26">
        <v>3</v>
      </c>
      <c r="U1472" s="26">
        <v>6</v>
      </c>
      <c r="V1472" s="26">
        <v>1</v>
      </c>
      <c r="W1472" s="26"/>
    </row>
    <row r="1473" spans="1:23" x14ac:dyDescent="0.25">
      <c r="A1473" s="26" t="str">
        <f t="shared" si="249"/>
        <v>PREESCOLAR</v>
      </c>
      <c r="B1473" s="26" t="str">
        <f>"09PJN2362Z"</f>
        <v>09PJN2362Z</v>
      </c>
      <c r="C1473" s="26" t="str">
        <f>"EL CASTILLO DE WINDSOR                                                                              "</f>
        <v xml:space="preserve">EL CASTILLO DE WINDSOR                                                                              </v>
      </c>
      <c r="D1473" s="26" t="str">
        <f t="shared" si="259"/>
        <v>MATUTINO</v>
      </c>
      <c r="E1473" s="26" t="str">
        <f>"NOCHE BUENA NO. 108 Y 112                                                       "</f>
        <v xml:space="preserve">NOCHE BUENA NO. 108 Y 112                                                       </v>
      </c>
      <c r="F1473" s="26" t="str">
        <f>"CIUDAD JARDIN                                                                                                                               "</f>
        <v xml:space="preserve">CIUDAD JARDIN                                                                                                                               </v>
      </c>
      <c r="G1473" s="26" t="str">
        <f t="shared" si="262"/>
        <v xml:space="preserve">COYOACAN                                                                        </v>
      </c>
      <c r="H1473" s="26" t="str">
        <f>"043"</f>
        <v>043</v>
      </c>
      <c r="I1473" s="26" t="str">
        <f t="shared" si="250"/>
        <v>00</v>
      </c>
      <c r="J1473" s="26" t="str">
        <f t="shared" si="263"/>
        <v xml:space="preserve">35 </v>
      </c>
      <c r="K1473" s="26" t="str">
        <f t="shared" si="260"/>
        <v>EP</v>
      </c>
      <c r="L1473" s="26" t="str">
        <f t="shared" si="261"/>
        <v>DGOSE</v>
      </c>
      <c r="M1473" s="26" t="str">
        <f t="shared" si="264"/>
        <v>PARTICULAR</v>
      </c>
      <c r="N1473" s="26">
        <v>149</v>
      </c>
      <c r="O1473" s="26">
        <v>76</v>
      </c>
      <c r="P1473" s="26">
        <v>73</v>
      </c>
      <c r="Q1473" s="26">
        <v>7</v>
      </c>
      <c r="R1473" s="26">
        <v>1</v>
      </c>
      <c r="S1473" s="26">
        <v>7</v>
      </c>
      <c r="T1473" s="26">
        <v>6</v>
      </c>
      <c r="U1473" s="26">
        <v>14</v>
      </c>
      <c r="V1473" s="26">
        <v>1</v>
      </c>
      <c r="W1473" s="26"/>
    </row>
    <row r="1474" spans="1:23" x14ac:dyDescent="0.25">
      <c r="A1474" s="26" t="str">
        <f t="shared" ref="A1474:A1537" si="265">"PREESCOLAR"</f>
        <v>PREESCOLAR</v>
      </c>
      <c r="B1474" s="26" t="str">
        <f>"09PJN2364Y"</f>
        <v>09PJN2364Y</v>
      </c>
      <c r="C1474" s="26" t="str">
        <f>"CENTRO EDUCATIVO PETIT BONHOMME                                                                     "</f>
        <v xml:space="preserve">CENTRO EDUCATIVO PETIT BONHOMME                                                                     </v>
      </c>
      <c r="D1474" s="26" t="str">
        <f t="shared" si="259"/>
        <v>MATUTINO</v>
      </c>
      <c r="E1474" s="26" t="str">
        <f>"RETORNO 3 NO. 29                                                                "</f>
        <v xml:space="preserve">RETORNO 3 NO. 29                                                                </v>
      </c>
      <c r="F1474" s="26" t="str">
        <f>"AVANTE                                                                                                                                      "</f>
        <v xml:space="preserve">AVANTE                                                                                                                                      </v>
      </c>
      <c r="G1474" s="26" t="str">
        <f t="shared" si="262"/>
        <v xml:space="preserve">COYOACAN                                                                        </v>
      </c>
      <c r="H1474" s="26" t="str">
        <f>"239"</f>
        <v>239</v>
      </c>
      <c r="I1474" s="26" t="str">
        <f t="shared" ref="I1474:I1537" si="266">"00"</f>
        <v>00</v>
      </c>
      <c r="J1474" s="26" t="str">
        <f t="shared" si="263"/>
        <v xml:space="preserve">35 </v>
      </c>
      <c r="K1474" s="26" t="str">
        <f t="shared" si="260"/>
        <v>EP</v>
      </c>
      <c r="L1474" s="26" t="str">
        <f t="shared" si="261"/>
        <v>DGOSE</v>
      </c>
      <c r="M1474" s="26" t="str">
        <f t="shared" si="264"/>
        <v>PARTICULAR</v>
      </c>
      <c r="N1474" s="26">
        <v>15</v>
      </c>
      <c r="O1474" s="26">
        <v>8</v>
      </c>
      <c r="P1474" s="26">
        <v>7</v>
      </c>
      <c r="Q1474" s="26">
        <v>3</v>
      </c>
      <c r="R1474" s="26">
        <v>1</v>
      </c>
      <c r="S1474" s="26">
        <v>3</v>
      </c>
      <c r="T1474" s="26">
        <v>8</v>
      </c>
      <c r="U1474" s="26">
        <v>12</v>
      </c>
      <c r="V1474" s="26">
        <v>1</v>
      </c>
      <c r="W1474" s="26"/>
    </row>
    <row r="1475" spans="1:23" x14ac:dyDescent="0.25">
      <c r="A1475" s="26" t="str">
        <f t="shared" si="265"/>
        <v>PREESCOLAR</v>
      </c>
      <c r="B1475" s="26" t="str">
        <f>"09PJN2366W"</f>
        <v>09PJN2366W</v>
      </c>
      <c r="C1475" s="26" t="str">
        <f>"COLEGIO ALF                                                                                         "</f>
        <v xml:space="preserve">COLEGIO ALF                                                                                         </v>
      </c>
      <c r="D1475" s="26" t="str">
        <f t="shared" si="259"/>
        <v>MATUTINO</v>
      </c>
      <c r="E1475" s="26" t="str">
        <f>"COACOYUNGA S/N. MZA.18 LT.4                                                     "</f>
        <v xml:space="preserve">COACOYUNGA S/N. MZA.18 LT.4                                                     </v>
      </c>
      <c r="F1475" s="26" t="str">
        <f>"PEDREGAL DE SANTO DOMINGO                                                                                                                   "</f>
        <v xml:space="preserve">PEDREGAL DE SANTO DOMINGO                                                                                                                   </v>
      </c>
      <c r="G1475" s="26" t="str">
        <f t="shared" si="262"/>
        <v xml:space="preserve">COYOACAN                                                                        </v>
      </c>
      <c r="H1475" s="26" t="str">
        <f>"137"</f>
        <v>137</v>
      </c>
      <c r="I1475" s="26" t="str">
        <f t="shared" si="266"/>
        <v>00</v>
      </c>
      <c r="J1475" s="26" t="str">
        <f t="shared" si="263"/>
        <v xml:space="preserve">35 </v>
      </c>
      <c r="K1475" s="26" t="str">
        <f t="shared" si="260"/>
        <v>EP</v>
      </c>
      <c r="L1475" s="26" t="str">
        <f t="shared" si="261"/>
        <v>DGOSE</v>
      </c>
      <c r="M1475" s="26" t="str">
        <f t="shared" si="264"/>
        <v>PARTICULAR</v>
      </c>
      <c r="N1475" s="26">
        <v>65</v>
      </c>
      <c r="O1475" s="26">
        <v>29</v>
      </c>
      <c r="P1475" s="26">
        <v>36</v>
      </c>
      <c r="Q1475" s="26">
        <v>3</v>
      </c>
      <c r="R1475" s="26">
        <v>1</v>
      </c>
      <c r="S1475" s="26">
        <v>3</v>
      </c>
      <c r="T1475" s="26">
        <v>3</v>
      </c>
      <c r="U1475" s="26">
        <v>7</v>
      </c>
      <c r="V1475" s="26">
        <v>1</v>
      </c>
      <c r="W1475" s="26"/>
    </row>
    <row r="1476" spans="1:23" x14ac:dyDescent="0.25">
      <c r="A1476" s="26" t="str">
        <f t="shared" si="265"/>
        <v>PREESCOLAR</v>
      </c>
      <c r="B1476" s="26" t="str">
        <f>"09PJN2372G"</f>
        <v>09PJN2372G</v>
      </c>
      <c r="C1476" s="26" t="str">
        <f>"CENTRO EDUCATIVO ALEXANDER                                                                          "</f>
        <v xml:space="preserve">CENTRO EDUCATIVO ALEXANDER                                                                          </v>
      </c>
      <c r="D1476" s="26" t="str">
        <f t="shared" si="259"/>
        <v>MATUTINO</v>
      </c>
      <c r="E1476" s="26" t="str">
        <f>"2A. PRIVADA ROSA MA. SEQUEIRA NO. 197                                           "</f>
        <v xml:space="preserve">2A. PRIVADA ROSA MA. SEQUEIRA NO. 197                                           </v>
      </c>
      <c r="F1476" s="26" t="str">
        <f>"UNIDAD HABITACIONAL CTM OCHO                                                                                                                "</f>
        <v xml:space="preserve">UNIDAD HABITACIONAL CTM OCHO                                                                                                                </v>
      </c>
      <c r="G1476" s="26" t="str">
        <f t="shared" si="262"/>
        <v xml:space="preserve">COYOACAN                                                                        </v>
      </c>
      <c r="H1476" s="26" t="str">
        <f>"125"</f>
        <v>125</v>
      </c>
      <c r="I1476" s="26" t="str">
        <f t="shared" si="266"/>
        <v>00</v>
      </c>
      <c r="J1476" s="26" t="str">
        <f t="shared" si="263"/>
        <v xml:space="preserve">35 </v>
      </c>
      <c r="K1476" s="26" t="str">
        <f t="shared" si="260"/>
        <v>EP</v>
      </c>
      <c r="L1476" s="26" t="str">
        <f t="shared" si="261"/>
        <v>DGOSE</v>
      </c>
      <c r="M1476" s="26" t="str">
        <f t="shared" si="264"/>
        <v>PARTICULAR</v>
      </c>
      <c r="N1476" s="26">
        <v>30</v>
      </c>
      <c r="O1476" s="26">
        <v>13</v>
      </c>
      <c r="P1476" s="26">
        <v>17</v>
      </c>
      <c r="Q1476" s="26">
        <v>3</v>
      </c>
      <c r="R1476" s="26">
        <v>1</v>
      </c>
      <c r="S1476" s="26">
        <v>3</v>
      </c>
      <c r="T1476" s="26">
        <v>2</v>
      </c>
      <c r="U1476" s="26">
        <v>6</v>
      </c>
      <c r="V1476" s="26">
        <v>1</v>
      </c>
      <c r="W1476" s="26"/>
    </row>
    <row r="1477" spans="1:23" x14ac:dyDescent="0.25">
      <c r="A1477" s="26" t="str">
        <f t="shared" si="265"/>
        <v>PREESCOLAR</v>
      </c>
      <c r="B1477" s="26" t="str">
        <f>"09PJN2373F"</f>
        <v>09PJN2373F</v>
      </c>
      <c r="C1477" s="26" t="str">
        <f>"COLEGIO AMSTERDAM                                                                                   "</f>
        <v xml:space="preserve">COLEGIO AMSTERDAM                                                                                   </v>
      </c>
      <c r="D1477" s="26" t="str">
        <f t="shared" si="259"/>
        <v>MATUTINO</v>
      </c>
      <c r="E1477" s="26" t="str">
        <f>"AMACUZAC No. 220                                                                "</f>
        <v xml:space="preserve">AMACUZAC No. 220                                                                </v>
      </c>
      <c r="F1477" s="26" t="str">
        <f>"HERMOSILLO                                                                                                                                  "</f>
        <v xml:space="preserve">HERMOSILLO                                                                                                                                  </v>
      </c>
      <c r="G1477" s="26" t="str">
        <f t="shared" si="262"/>
        <v xml:space="preserve">COYOACAN                                                                        </v>
      </c>
      <c r="H1477" s="26" t="str">
        <f>"024"</f>
        <v>024</v>
      </c>
      <c r="I1477" s="26" t="str">
        <f t="shared" si="266"/>
        <v>00</v>
      </c>
      <c r="J1477" s="26" t="str">
        <f t="shared" si="263"/>
        <v xml:space="preserve">35 </v>
      </c>
      <c r="K1477" s="26" t="str">
        <f t="shared" si="260"/>
        <v>EP</v>
      </c>
      <c r="L1477" s="26" t="str">
        <f t="shared" si="261"/>
        <v>DGOSE</v>
      </c>
      <c r="M1477" s="26" t="str">
        <f t="shared" si="264"/>
        <v>PARTICULAR</v>
      </c>
      <c r="N1477" s="26">
        <v>13</v>
      </c>
      <c r="O1477" s="26">
        <v>6</v>
      </c>
      <c r="P1477" s="26">
        <v>7</v>
      </c>
      <c r="Q1477" s="26">
        <v>3</v>
      </c>
      <c r="R1477" s="26">
        <v>1</v>
      </c>
      <c r="S1477" s="26">
        <v>1</v>
      </c>
      <c r="T1477" s="26">
        <v>3</v>
      </c>
      <c r="U1477" s="26">
        <v>5</v>
      </c>
      <c r="V1477" s="26">
        <v>1</v>
      </c>
      <c r="W1477" s="26"/>
    </row>
    <row r="1478" spans="1:23" x14ac:dyDescent="0.25">
      <c r="A1478" s="26" t="str">
        <f t="shared" si="265"/>
        <v>PREESCOLAR</v>
      </c>
      <c r="B1478" s="26" t="str">
        <f>"09PJN2374E"</f>
        <v>09PJN2374E</v>
      </c>
      <c r="C1478" s="26" t="str">
        <f>"COLEGIO ANGLO MEXICANO DE COYOACÁN                                                                  "</f>
        <v xml:space="preserve">COLEGIO ANGLO MEXICANO DE COYOACÁN                                                                  </v>
      </c>
      <c r="D1478" s="26" t="str">
        <f t="shared" si="259"/>
        <v>MATUTINO</v>
      </c>
      <c r="E1478" s="26" t="str">
        <f>"AV. RIO CHURUBUSCO NO. 405                                                      "</f>
        <v xml:space="preserve">AV. RIO CHURUBUSCO NO. 405                                                      </v>
      </c>
      <c r="F1478" s="26" t="str">
        <f>"PASEOS DE TAXQUEÑA                                                                                                                          "</f>
        <v xml:space="preserve">PASEOS DE TAXQUEÑA                                                                                                                          </v>
      </c>
      <c r="G1478" s="26" t="str">
        <f t="shared" si="262"/>
        <v xml:space="preserve">COYOACAN                                                                        </v>
      </c>
      <c r="H1478" s="26" t="str">
        <f>"111"</f>
        <v>111</v>
      </c>
      <c r="I1478" s="26" t="str">
        <f t="shared" si="266"/>
        <v>00</v>
      </c>
      <c r="J1478" s="26" t="str">
        <f t="shared" si="263"/>
        <v xml:space="preserve">35 </v>
      </c>
      <c r="K1478" s="26" t="str">
        <f t="shared" si="260"/>
        <v>EP</v>
      </c>
      <c r="L1478" s="26" t="str">
        <f t="shared" si="261"/>
        <v>DGOSE</v>
      </c>
      <c r="M1478" s="26" t="str">
        <f t="shared" si="264"/>
        <v>PARTICULAR</v>
      </c>
      <c r="N1478" s="26">
        <v>63</v>
      </c>
      <c r="O1478" s="26">
        <v>27</v>
      </c>
      <c r="P1478" s="26">
        <v>36</v>
      </c>
      <c r="Q1478" s="26">
        <v>4</v>
      </c>
      <c r="R1478" s="26">
        <v>1</v>
      </c>
      <c r="S1478" s="26">
        <v>3</v>
      </c>
      <c r="T1478" s="26">
        <v>12</v>
      </c>
      <c r="U1478" s="26">
        <v>16</v>
      </c>
      <c r="V1478" s="26">
        <v>1</v>
      </c>
      <c r="W1478" s="26"/>
    </row>
    <row r="1479" spans="1:23" x14ac:dyDescent="0.25">
      <c r="A1479" s="26" t="str">
        <f t="shared" si="265"/>
        <v>PREESCOLAR</v>
      </c>
      <c r="B1479" s="26" t="str">
        <f>"09PJN2376C"</f>
        <v>09PJN2376C</v>
      </c>
      <c r="C1479" s="26" t="str">
        <f>"JARDIN DE NIÑOS MONTREAL                                                                            "</f>
        <v xml:space="preserve">JARDIN DE NIÑOS MONTREAL                                                                            </v>
      </c>
      <c r="D1479" s="26" t="str">
        <f t="shared" si="259"/>
        <v>MATUTINO</v>
      </c>
      <c r="E1479" s="26" t="str">
        <f>"PLAZA TEOTIHUACAN NO. 290                                                       "</f>
        <v xml:space="preserve">PLAZA TEOTIHUACAN NO. 290                                                       </v>
      </c>
      <c r="F1479" s="26" t="str">
        <f>"UNIDAD HABITACIONAL CTM CINCO                                                                                                               "</f>
        <v xml:space="preserve">UNIDAD HABITACIONAL CTM CINCO                                                                                                               </v>
      </c>
      <c r="G1479" s="26" t="str">
        <f t="shared" si="262"/>
        <v xml:space="preserve">COYOACAN                                                                        </v>
      </c>
      <c r="H1479" s="26" t="str">
        <f>"099"</f>
        <v>099</v>
      </c>
      <c r="I1479" s="26" t="str">
        <f t="shared" si="266"/>
        <v>00</v>
      </c>
      <c r="J1479" s="26" t="str">
        <f t="shared" si="263"/>
        <v xml:space="preserve">35 </v>
      </c>
      <c r="K1479" s="26" t="str">
        <f t="shared" si="260"/>
        <v>EP</v>
      </c>
      <c r="L1479" s="26" t="str">
        <f t="shared" si="261"/>
        <v>DGOSE</v>
      </c>
      <c r="M1479" s="26" t="str">
        <f t="shared" si="264"/>
        <v>PARTICULAR</v>
      </c>
      <c r="N1479" s="26">
        <v>10</v>
      </c>
      <c r="O1479" s="26">
        <v>5</v>
      </c>
      <c r="P1479" s="26">
        <v>5</v>
      </c>
      <c r="Q1479" s="26">
        <v>2</v>
      </c>
      <c r="R1479" s="26">
        <v>1</v>
      </c>
      <c r="S1479" s="26">
        <v>2</v>
      </c>
      <c r="T1479" s="26">
        <v>0</v>
      </c>
      <c r="U1479" s="26">
        <v>3</v>
      </c>
      <c r="V1479" s="26">
        <v>1</v>
      </c>
      <c r="W1479" s="26"/>
    </row>
    <row r="1480" spans="1:23" x14ac:dyDescent="0.25">
      <c r="A1480" s="26" t="str">
        <f t="shared" si="265"/>
        <v>PREESCOLAR</v>
      </c>
      <c r="B1480" s="26" t="str">
        <f>"09PJN2378A"</f>
        <v>09PJN2378A</v>
      </c>
      <c r="C1480" s="26" t="str">
        <f>"EDELWEISS                                                                                           "</f>
        <v xml:space="preserve">EDELWEISS                                                                                           </v>
      </c>
      <c r="D1480" s="26" t="str">
        <f t="shared" si="259"/>
        <v>MATUTINO</v>
      </c>
      <c r="E1480" s="26" t="str">
        <f>"LONDRES No. 310                                                                 "</f>
        <v xml:space="preserve">LONDRES No. 310                                                                 </v>
      </c>
      <c r="F1480" s="26" t="str">
        <f>"DEL CARMEN                                                                                                                                  "</f>
        <v xml:space="preserve">DEL CARMEN                                                                                                                                  </v>
      </c>
      <c r="G1480" s="26" t="str">
        <f t="shared" si="262"/>
        <v xml:space="preserve">COYOACAN                                                                        </v>
      </c>
      <c r="H1480" s="26" t="str">
        <f>"111"</f>
        <v>111</v>
      </c>
      <c r="I1480" s="26" t="str">
        <f t="shared" si="266"/>
        <v>00</v>
      </c>
      <c r="J1480" s="26" t="str">
        <f t="shared" si="263"/>
        <v xml:space="preserve">35 </v>
      </c>
      <c r="K1480" s="26" t="str">
        <f t="shared" si="260"/>
        <v>EP</v>
      </c>
      <c r="L1480" s="26" t="str">
        <f t="shared" si="261"/>
        <v>DGOSE</v>
      </c>
      <c r="M1480" s="26" t="str">
        <f t="shared" si="264"/>
        <v>PARTICULAR</v>
      </c>
      <c r="N1480" s="26">
        <v>26</v>
      </c>
      <c r="O1480" s="26">
        <v>10</v>
      </c>
      <c r="P1480" s="26">
        <v>16</v>
      </c>
      <c r="Q1480" s="26">
        <v>1</v>
      </c>
      <c r="R1480" s="26">
        <v>1</v>
      </c>
      <c r="S1480" s="26">
        <v>1</v>
      </c>
      <c r="T1480" s="26">
        <v>6</v>
      </c>
      <c r="U1480" s="26">
        <v>8</v>
      </c>
      <c r="V1480" s="26">
        <v>1</v>
      </c>
      <c r="W1480" s="26"/>
    </row>
    <row r="1481" spans="1:23" x14ac:dyDescent="0.25">
      <c r="A1481" s="26" t="str">
        <f t="shared" si="265"/>
        <v>PREESCOLAR</v>
      </c>
      <c r="B1481" s="26" t="str">
        <f>"09PJN2379Z"</f>
        <v>09PJN2379Z</v>
      </c>
      <c r="C1481" s="26" t="str">
        <f>"KIPPY                                                                                               "</f>
        <v xml:space="preserve">KIPPY                                                                                               </v>
      </c>
      <c r="D1481" s="26" t="str">
        <f t="shared" si="259"/>
        <v>MATUTINO</v>
      </c>
      <c r="E1481" s="26" t="str">
        <f>"ABASOLO NO. 39                                                                  "</f>
        <v xml:space="preserve">ABASOLO NO. 39                                                                  </v>
      </c>
      <c r="F1481" s="26" t="str">
        <f>"DEL CARMEN                                                                                                                                  "</f>
        <v xml:space="preserve">DEL CARMEN                                                                                                                                  </v>
      </c>
      <c r="G1481" s="26" t="str">
        <f t="shared" si="262"/>
        <v xml:space="preserve">COYOACAN                                                                        </v>
      </c>
      <c r="H1481" s="26" t="str">
        <f>"111"</f>
        <v>111</v>
      </c>
      <c r="I1481" s="26" t="str">
        <f t="shared" si="266"/>
        <v>00</v>
      </c>
      <c r="J1481" s="26" t="str">
        <f t="shared" si="263"/>
        <v xml:space="preserve">35 </v>
      </c>
      <c r="K1481" s="26" t="str">
        <f t="shared" si="260"/>
        <v>EP</v>
      </c>
      <c r="L1481" s="26" t="str">
        <f t="shared" si="261"/>
        <v>DGOSE</v>
      </c>
      <c r="M1481" s="26" t="str">
        <f t="shared" si="264"/>
        <v>PARTICULAR</v>
      </c>
      <c r="N1481" s="26">
        <v>25</v>
      </c>
      <c r="O1481" s="26">
        <v>9</v>
      </c>
      <c r="P1481" s="26">
        <v>16</v>
      </c>
      <c r="Q1481" s="26">
        <v>3</v>
      </c>
      <c r="R1481" s="26">
        <v>1</v>
      </c>
      <c r="S1481" s="26">
        <v>3</v>
      </c>
      <c r="T1481" s="26">
        <v>4</v>
      </c>
      <c r="U1481" s="26">
        <v>8</v>
      </c>
      <c r="V1481" s="26">
        <v>1</v>
      </c>
      <c r="W1481" s="26"/>
    </row>
    <row r="1482" spans="1:23" x14ac:dyDescent="0.25">
      <c r="A1482" s="26" t="str">
        <f t="shared" si="265"/>
        <v>PREESCOLAR</v>
      </c>
      <c r="B1482" s="26" t="str">
        <f>"09PJN2381O"</f>
        <v>09PJN2381O</v>
      </c>
      <c r="C1482" s="26" t="str">
        <f>"CENTRO DIDACTICO Y CULTURAL                                                                         "</f>
        <v xml:space="preserve">CENTRO DIDACTICO Y CULTURAL                                                                         </v>
      </c>
      <c r="D1482" s="26" t="str">
        <f t="shared" si="259"/>
        <v>MATUTINO</v>
      </c>
      <c r="E1482" s="26" t="str">
        <f>"SEBASTIAN LERDO DE TEJADA NO. 2                                                 "</f>
        <v xml:space="preserve">SEBASTIAN LERDO DE TEJADA NO. 2                                                 </v>
      </c>
      <c r="F1482" s="26" t="str">
        <f>"DEL CARMEN                                                                                                                                  "</f>
        <v xml:space="preserve">DEL CARMEN                                                                                                                                  </v>
      </c>
      <c r="G1482" s="26" t="str">
        <f t="shared" si="262"/>
        <v xml:space="preserve">COYOACAN                                                                        </v>
      </c>
      <c r="H1482" s="26" t="str">
        <f>"237"</f>
        <v>237</v>
      </c>
      <c r="I1482" s="26" t="str">
        <f t="shared" si="266"/>
        <v>00</v>
      </c>
      <c r="J1482" s="26" t="str">
        <f t="shared" si="263"/>
        <v xml:space="preserve">35 </v>
      </c>
      <c r="K1482" s="26" t="str">
        <f t="shared" si="260"/>
        <v>EP</v>
      </c>
      <c r="L1482" s="26" t="str">
        <f t="shared" si="261"/>
        <v>DGOSE</v>
      </c>
      <c r="M1482" s="26" t="str">
        <f t="shared" si="264"/>
        <v>PARTICULAR</v>
      </c>
      <c r="N1482" s="26">
        <v>18</v>
      </c>
      <c r="O1482" s="26">
        <v>8</v>
      </c>
      <c r="P1482" s="26">
        <v>10</v>
      </c>
      <c r="Q1482" s="26">
        <v>2</v>
      </c>
      <c r="R1482" s="26">
        <v>1</v>
      </c>
      <c r="S1482" s="26">
        <v>1</v>
      </c>
      <c r="T1482" s="26">
        <v>3</v>
      </c>
      <c r="U1482" s="26">
        <v>5</v>
      </c>
      <c r="V1482" s="26">
        <v>1</v>
      </c>
      <c r="W1482" s="26"/>
    </row>
    <row r="1483" spans="1:23" x14ac:dyDescent="0.25">
      <c r="A1483" s="26" t="str">
        <f t="shared" si="265"/>
        <v>PREESCOLAR</v>
      </c>
      <c r="B1483" s="26" t="str">
        <f>"09PJN2383M"</f>
        <v>09PJN2383M</v>
      </c>
      <c r="C1483" s="26" t="str">
        <f>"CENTRO PEDAGOGICO NIÑO FELIZ                                                                        "</f>
        <v xml:space="preserve">CENTRO PEDAGOGICO NIÑO FELIZ                                                                        </v>
      </c>
      <c r="D1483" s="26" t="str">
        <f t="shared" si="259"/>
        <v>MATUTINO</v>
      </c>
      <c r="E1483" s="26" t="str">
        <f>"CALZADA DE LAS BOMBAS NO. 501                                                   "</f>
        <v xml:space="preserve">CALZADA DE LAS BOMBAS NO. 501                                                   </v>
      </c>
      <c r="F1483" s="26" t="str">
        <f>"CAMPESTRE COYOACAN                                                                                                                          "</f>
        <v xml:space="preserve">CAMPESTRE COYOACAN                                                                                                                          </v>
      </c>
      <c r="G1483" s="26" t="str">
        <f t="shared" si="262"/>
        <v xml:space="preserve">COYOACAN                                                                        </v>
      </c>
      <c r="H1483" s="26" t="str">
        <f>"125"</f>
        <v>125</v>
      </c>
      <c r="I1483" s="26" t="str">
        <f t="shared" si="266"/>
        <v>00</v>
      </c>
      <c r="J1483" s="26" t="str">
        <f t="shared" si="263"/>
        <v xml:space="preserve">35 </v>
      </c>
      <c r="K1483" s="26" t="str">
        <f t="shared" si="260"/>
        <v>EP</v>
      </c>
      <c r="L1483" s="26" t="str">
        <f t="shared" si="261"/>
        <v>DGOSE</v>
      </c>
      <c r="M1483" s="26" t="str">
        <f t="shared" si="264"/>
        <v>PARTICULAR</v>
      </c>
      <c r="N1483" s="26">
        <v>63</v>
      </c>
      <c r="O1483" s="26">
        <v>35</v>
      </c>
      <c r="P1483" s="26">
        <v>28</v>
      </c>
      <c r="Q1483" s="26">
        <v>6</v>
      </c>
      <c r="R1483" s="26">
        <v>1</v>
      </c>
      <c r="S1483" s="26">
        <v>3</v>
      </c>
      <c r="T1483" s="26">
        <v>8</v>
      </c>
      <c r="U1483" s="26">
        <v>12</v>
      </c>
      <c r="V1483" s="26">
        <v>1</v>
      </c>
      <c r="W1483" s="26"/>
    </row>
    <row r="1484" spans="1:23" x14ac:dyDescent="0.25">
      <c r="A1484" s="26" t="str">
        <f t="shared" si="265"/>
        <v>PREESCOLAR</v>
      </c>
      <c r="B1484" s="26" t="str">
        <f>"09PJN2388H"</f>
        <v>09PJN2388H</v>
      </c>
      <c r="C1484" s="26" t="str">
        <f>"EXCEL KIDS                                                                                          "</f>
        <v xml:space="preserve">EXCEL KIDS                                                                                          </v>
      </c>
      <c r="D1484" s="26" t="str">
        <f t="shared" si="259"/>
        <v>MATUTINO</v>
      </c>
      <c r="E1484" s="26" t="str">
        <f>"PLAYA PIE DE LA CUESTA NO. 405                                                  "</f>
        <v xml:space="preserve">PLAYA PIE DE LA CUESTA NO. 405                                                  </v>
      </c>
      <c r="F1484" s="26" t="str">
        <f>"EL RETOÑO                                                                                                                                   "</f>
        <v xml:space="preserve">EL RETOÑO                                                                                                                                   </v>
      </c>
      <c r="G1484" s="26" t="str">
        <f>"IZTAPALAPA                                                                      "</f>
        <v xml:space="preserve">IZTAPALAPA                                                                      </v>
      </c>
      <c r="H1484" s="26" t="str">
        <f>"000"</f>
        <v>000</v>
      </c>
      <c r="I1484" s="26" t="str">
        <f t="shared" si="266"/>
        <v>00</v>
      </c>
      <c r="J1484" s="26" t="str">
        <f>"61 "</f>
        <v xml:space="preserve">61 </v>
      </c>
      <c r="K1484" s="26" t="str">
        <f>"IZ"</f>
        <v>IZ</v>
      </c>
      <c r="L1484" s="26" t="str">
        <f>"DGSEI"</f>
        <v>DGSEI</v>
      </c>
      <c r="M1484" s="26" t="str">
        <f t="shared" si="264"/>
        <v>PARTICULAR</v>
      </c>
      <c r="N1484" s="26">
        <v>31</v>
      </c>
      <c r="O1484" s="26">
        <v>20</v>
      </c>
      <c r="P1484" s="26">
        <v>11</v>
      </c>
      <c r="Q1484" s="26">
        <v>3</v>
      </c>
      <c r="R1484" s="26">
        <v>1</v>
      </c>
      <c r="S1484" s="26">
        <v>3</v>
      </c>
      <c r="T1484" s="26">
        <v>1</v>
      </c>
      <c r="U1484" s="26">
        <v>5</v>
      </c>
      <c r="V1484" s="26">
        <v>1</v>
      </c>
      <c r="W1484" s="26"/>
    </row>
    <row r="1485" spans="1:23" x14ac:dyDescent="0.25">
      <c r="A1485" s="26" t="str">
        <f t="shared" si="265"/>
        <v>PREESCOLAR</v>
      </c>
      <c r="B1485" s="26" t="str">
        <f>"09PJN2391V"</f>
        <v>09PJN2391V</v>
      </c>
      <c r="C1485" s="26" t="str">
        <f>"INSTITUTO CULTURAL Y EDUCATIVO                                                                      "</f>
        <v xml:space="preserve">INSTITUTO CULTURAL Y EDUCATIVO                                                                      </v>
      </c>
      <c r="D1485" s="26" t="str">
        <f t="shared" si="259"/>
        <v>MATUTINO</v>
      </c>
      <c r="E1485" s="26" t="str">
        <f>"BELISARIO DOMINGUEZ NO. 120                                                     "</f>
        <v xml:space="preserve">BELISARIO DOMINGUEZ NO. 120                                                     </v>
      </c>
      <c r="F1485" s="26" t="str">
        <f>"VILLA COYOACAN                                                                                                                              "</f>
        <v xml:space="preserve">VILLA COYOACAN                                                                                                                              </v>
      </c>
      <c r="G1485" s="26" t="str">
        <f t="shared" ref="G1485:G1492" si="267">"COYOACAN                                                                        "</f>
        <v xml:space="preserve">COYOACAN                                                                        </v>
      </c>
      <c r="H1485" s="26" t="str">
        <f>"237"</f>
        <v>237</v>
      </c>
      <c r="I1485" s="26" t="str">
        <f t="shared" si="266"/>
        <v>00</v>
      </c>
      <c r="J1485" s="26" t="str">
        <f t="shared" ref="J1485:J1497" si="268">"35 "</f>
        <v xml:space="preserve">35 </v>
      </c>
      <c r="K1485" s="26" t="str">
        <f>"NP"</f>
        <v>NP</v>
      </c>
      <c r="L1485" s="26" t="str">
        <f t="shared" ref="L1485:L1529" si="269">"DGOSE"</f>
        <v>DGOSE</v>
      </c>
      <c r="M1485" s="26" t="str">
        <f t="shared" si="264"/>
        <v>PARTICULAR</v>
      </c>
      <c r="N1485" s="26">
        <v>20</v>
      </c>
      <c r="O1485" s="26">
        <v>8</v>
      </c>
      <c r="P1485" s="26">
        <v>12</v>
      </c>
      <c r="Q1485" s="26">
        <v>3</v>
      </c>
      <c r="R1485" s="26">
        <v>0</v>
      </c>
      <c r="S1485" s="26">
        <v>3</v>
      </c>
      <c r="T1485" s="26">
        <v>3</v>
      </c>
      <c r="U1485" s="26">
        <v>6</v>
      </c>
      <c r="V1485" s="26">
        <v>1</v>
      </c>
      <c r="W1485" s="26"/>
    </row>
    <row r="1486" spans="1:23" x14ac:dyDescent="0.25">
      <c r="A1486" s="26" t="str">
        <f t="shared" si="265"/>
        <v>PREESCOLAR</v>
      </c>
      <c r="B1486" s="26" t="str">
        <f>"09PJN2393T"</f>
        <v>09PJN2393T</v>
      </c>
      <c r="C1486" s="26" t="str">
        <f>"JARDIN DE NIÑOS SISTEMA EDUCATIVO BILINGUE                                                          "</f>
        <v xml:space="preserve">JARDIN DE NIÑOS SISTEMA EDUCATIVO BILINGUE                                                          </v>
      </c>
      <c r="D1486" s="26" t="str">
        <f t="shared" si="259"/>
        <v>MATUTINO</v>
      </c>
      <c r="E1486" s="26" t="str">
        <f>"VIA LACTEA NO. 80                                                               "</f>
        <v xml:space="preserve">VIA LACTEA NO. 80                                                               </v>
      </c>
      <c r="F1486" s="26" t="str">
        <f>"PRADO CHURUBUSCO                                                                                                                            "</f>
        <v xml:space="preserve">PRADO CHURUBUSCO                                                                                                                            </v>
      </c>
      <c r="G1486" s="26" t="str">
        <f t="shared" si="267"/>
        <v xml:space="preserve">COYOACAN                                                                        </v>
      </c>
      <c r="H1486" s="26" t="str">
        <f>"099"</f>
        <v>099</v>
      </c>
      <c r="I1486" s="26" t="str">
        <f t="shared" si="266"/>
        <v>00</v>
      </c>
      <c r="J1486" s="26" t="str">
        <f t="shared" si="268"/>
        <v xml:space="preserve">35 </v>
      </c>
      <c r="K1486" s="26" t="str">
        <f t="shared" ref="K1486:K1504" si="270">"EP"</f>
        <v>EP</v>
      </c>
      <c r="L1486" s="26" t="str">
        <f t="shared" si="269"/>
        <v>DGOSE</v>
      </c>
      <c r="M1486" s="26" t="str">
        <f t="shared" si="264"/>
        <v>PARTICULAR</v>
      </c>
      <c r="N1486" s="26">
        <v>44</v>
      </c>
      <c r="O1486" s="26">
        <v>18</v>
      </c>
      <c r="P1486" s="26">
        <v>26</v>
      </c>
      <c r="Q1486" s="26">
        <v>4</v>
      </c>
      <c r="R1486" s="26">
        <v>1</v>
      </c>
      <c r="S1486" s="26">
        <v>3</v>
      </c>
      <c r="T1486" s="26">
        <v>5</v>
      </c>
      <c r="U1486" s="26">
        <v>9</v>
      </c>
      <c r="V1486" s="26">
        <v>1</v>
      </c>
      <c r="W1486" s="26"/>
    </row>
    <row r="1487" spans="1:23" x14ac:dyDescent="0.25">
      <c r="A1487" s="26" t="str">
        <f t="shared" si="265"/>
        <v>PREESCOLAR</v>
      </c>
      <c r="B1487" s="26" t="str">
        <f>"09PJN2401L"</f>
        <v>09PJN2401L</v>
      </c>
      <c r="C1487" s="26" t="str">
        <f>"JEAN PIAGET                                                                                         "</f>
        <v xml:space="preserve">JEAN PIAGET                                                                                         </v>
      </c>
      <c r="D1487" s="26" t="str">
        <f t="shared" si="259"/>
        <v>MATUTINO</v>
      </c>
      <c r="E1487" s="26" t="str">
        <f>"SAGITARIO NO. 120 C                                                             "</f>
        <v xml:space="preserve">SAGITARIO NO. 120 C                                                             </v>
      </c>
      <c r="F1487" s="26" t="str">
        <f>"PRADO CHURUBUSCO                                                                                                                            "</f>
        <v xml:space="preserve">PRADO CHURUBUSCO                                                                                                                            </v>
      </c>
      <c r="G1487" s="26" t="str">
        <f t="shared" si="267"/>
        <v xml:space="preserve">COYOACAN                                                                        </v>
      </c>
      <c r="H1487" s="26" t="str">
        <f>"137"</f>
        <v>137</v>
      </c>
      <c r="I1487" s="26" t="str">
        <f t="shared" si="266"/>
        <v>00</v>
      </c>
      <c r="J1487" s="26" t="str">
        <f t="shared" si="268"/>
        <v xml:space="preserve">35 </v>
      </c>
      <c r="K1487" s="26" t="str">
        <f t="shared" si="270"/>
        <v>EP</v>
      </c>
      <c r="L1487" s="26" t="str">
        <f t="shared" si="269"/>
        <v>DGOSE</v>
      </c>
      <c r="M1487" s="26" t="str">
        <f t="shared" si="264"/>
        <v>PARTICULAR</v>
      </c>
      <c r="N1487" s="26">
        <v>6</v>
      </c>
      <c r="O1487" s="26">
        <v>4</v>
      </c>
      <c r="P1487" s="26">
        <v>2</v>
      </c>
      <c r="Q1487" s="26">
        <v>3</v>
      </c>
      <c r="R1487" s="26">
        <v>1</v>
      </c>
      <c r="S1487" s="26">
        <v>1</v>
      </c>
      <c r="T1487" s="26">
        <v>1</v>
      </c>
      <c r="U1487" s="26">
        <v>3</v>
      </c>
      <c r="V1487" s="26">
        <v>1</v>
      </c>
      <c r="W1487" s="26"/>
    </row>
    <row r="1488" spans="1:23" x14ac:dyDescent="0.25">
      <c r="A1488" s="26" t="str">
        <f t="shared" si="265"/>
        <v>PREESCOLAR</v>
      </c>
      <c r="B1488" s="26" t="str">
        <f>"09PJN2406G"</f>
        <v>09PJN2406G</v>
      </c>
      <c r="C1488" s="26" t="str">
        <f>"MONTE OLIMPO                                                                                        "</f>
        <v xml:space="preserve">MONTE OLIMPO                                                                                        </v>
      </c>
      <c r="D1488" s="26" t="str">
        <f t="shared" si="259"/>
        <v>MATUTINO</v>
      </c>
      <c r="E1488" s="26" t="str">
        <f>"AMATENANGO MZA. 11 LT. 28                                                       "</f>
        <v xml:space="preserve">AMATENANGO MZA. 11 LT. 28                                                       </v>
      </c>
      <c r="F1488" s="26" t="str">
        <f>"RESIDENCIAL CAFETALES                                                                                                                       "</f>
        <v xml:space="preserve">RESIDENCIAL CAFETALES                                                                                                                       </v>
      </c>
      <c r="G1488" s="26" t="str">
        <f t="shared" si="267"/>
        <v xml:space="preserve">COYOACAN                                                                        </v>
      </c>
      <c r="H1488" s="26" t="str">
        <f>"125"</f>
        <v>125</v>
      </c>
      <c r="I1488" s="26" t="str">
        <f t="shared" si="266"/>
        <v>00</v>
      </c>
      <c r="J1488" s="26" t="str">
        <f t="shared" si="268"/>
        <v xml:space="preserve">35 </v>
      </c>
      <c r="K1488" s="26" t="str">
        <f t="shared" si="270"/>
        <v>EP</v>
      </c>
      <c r="L1488" s="26" t="str">
        <f t="shared" si="269"/>
        <v>DGOSE</v>
      </c>
      <c r="M1488" s="26" t="str">
        <f t="shared" si="264"/>
        <v>PARTICULAR</v>
      </c>
      <c r="N1488" s="26">
        <v>15</v>
      </c>
      <c r="O1488" s="26">
        <v>9</v>
      </c>
      <c r="P1488" s="26">
        <v>6</v>
      </c>
      <c r="Q1488" s="26">
        <v>3</v>
      </c>
      <c r="R1488" s="26">
        <v>1</v>
      </c>
      <c r="S1488" s="26">
        <v>2</v>
      </c>
      <c r="T1488" s="26">
        <v>5</v>
      </c>
      <c r="U1488" s="26">
        <v>8</v>
      </c>
      <c r="V1488" s="26">
        <v>1</v>
      </c>
      <c r="W1488" s="26"/>
    </row>
    <row r="1489" spans="1:23" x14ac:dyDescent="0.25">
      <c r="A1489" s="26" t="str">
        <f t="shared" si="265"/>
        <v>PREESCOLAR</v>
      </c>
      <c r="B1489" s="26" t="str">
        <f>"09PJN2409D"</f>
        <v>09PJN2409D</v>
      </c>
      <c r="C1489" s="26" t="str">
        <f>"MI CASITA                                                                                           "</f>
        <v xml:space="preserve">MI CASITA                                                                                           </v>
      </c>
      <c r="D1489" s="26" t="str">
        <f t="shared" si="259"/>
        <v>MATUTINO</v>
      </c>
      <c r="E1489" s="26" t="str">
        <f>"NAHUATLACAS S/N.MZA.116 LOTE 3                                                  "</f>
        <v xml:space="preserve">NAHUATLACAS S/N.MZA.116 LOTE 3                                                  </v>
      </c>
      <c r="F1489" s="26" t="str">
        <f>"AJUSCO                                                                                                                                      "</f>
        <v xml:space="preserve">AJUSCO                                                                                                                                      </v>
      </c>
      <c r="G1489" s="26" t="str">
        <f t="shared" si="267"/>
        <v xml:space="preserve">COYOACAN                                                                        </v>
      </c>
      <c r="H1489" s="26" t="str">
        <f>"211"</f>
        <v>211</v>
      </c>
      <c r="I1489" s="26" t="str">
        <f t="shared" si="266"/>
        <v>00</v>
      </c>
      <c r="J1489" s="26" t="str">
        <f t="shared" si="268"/>
        <v xml:space="preserve">35 </v>
      </c>
      <c r="K1489" s="26" t="str">
        <f t="shared" si="270"/>
        <v>EP</v>
      </c>
      <c r="L1489" s="26" t="str">
        <f t="shared" si="269"/>
        <v>DGOSE</v>
      </c>
      <c r="M1489" s="26" t="str">
        <f t="shared" si="264"/>
        <v>PARTICULAR</v>
      </c>
      <c r="N1489" s="26">
        <v>22</v>
      </c>
      <c r="O1489" s="26">
        <v>15</v>
      </c>
      <c r="P1489" s="26">
        <v>7</v>
      </c>
      <c r="Q1489" s="26">
        <v>3</v>
      </c>
      <c r="R1489" s="26">
        <v>1</v>
      </c>
      <c r="S1489" s="26">
        <v>2</v>
      </c>
      <c r="T1489" s="26">
        <v>1</v>
      </c>
      <c r="U1489" s="26">
        <v>4</v>
      </c>
      <c r="V1489" s="26">
        <v>1</v>
      </c>
      <c r="W1489" s="26"/>
    </row>
    <row r="1490" spans="1:23" x14ac:dyDescent="0.25">
      <c r="A1490" s="26" t="str">
        <f t="shared" si="265"/>
        <v>PREESCOLAR</v>
      </c>
      <c r="B1490" s="26" t="str">
        <f>"09PJN2411S"</f>
        <v>09PJN2411S</v>
      </c>
      <c r="C1490" s="26" t="str">
        <f>"COLEGIO ST. PAUL                                                                                    "</f>
        <v xml:space="preserve">COLEGIO ST. PAUL                                                                                    </v>
      </c>
      <c r="D1490" s="26" t="str">
        <f t="shared" si="259"/>
        <v>MATUTINO</v>
      </c>
      <c r="E1490" s="26" t="str">
        <f>"PEDRO SAINZ DE BARANDA NO. 211                                                  "</f>
        <v xml:space="preserve">PEDRO SAINZ DE BARANDA NO. 211                                                  </v>
      </c>
      <c r="F1490" s="26" t="str">
        <f>"LOS CIPRESES                                                                                                                                "</f>
        <v xml:space="preserve">LOS CIPRESES                                                                                                                                </v>
      </c>
      <c r="G1490" s="26" t="str">
        <f t="shared" si="267"/>
        <v xml:space="preserve">COYOACAN                                                                        </v>
      </c>
      <c r="H1490" s="26" t="str">
        <f>"156"</f>
        <v>156</v>
      </c>
      <c r="I1490" s="26" t="str">
        <f t="shared" si="266"/>
        <v>00</v>
      </c>
      <c r="J1490" s="26" t="str">
        <f t="shared" si="268"/>
        <v xml:space="preserve">35 </v>
      </c>
      <c r="K1490" s="26" t="str">
        <f t="shared" si="270"/>
        <v>EP</v>
      </c>
      <c r="L1490" s="26" t="str">
        <f t="shared" si="269"/>
        <v>DGOSE</v>
      </c>
      <c r="M1490" s="26" t="str">
        <f t="shared" si="264"/>
        <v>PARTICULAR</v>
      </c>
      <c r="N1490" s="26">
        <v>32</v>
      </c>
      <c r="O1490" s="26">
        <v>8</v>
      </c>
      <c r="P1490" s="26">
        <v>24</v>
      </c>
      <c r="Q1490" s="26">
        <v>3</v>
      </c>
      <c r="R1490" s="26">
        <v>1</v>
      </c>
      <c r="S1490" s="26">
        <v>2</v>
      </c>
      <c r="T1490" s="26">
        <v>4</v>
      </c>
      <c r="U1490" s="26">
        <v>7</v>
      </c>
      <c r="V1490" s="26">
        <v>1</v>
      </c>
      <c r="W1490" s="26"/>
    </row>
    <row r="1491" spans="1:23" x14ac:dyDescent="0.25">
      <c r="A1491" s="26" t="str">
        <f t="shared" si="265"/>
        <v>PREESCOLAR</v>
      </c>
      <c r="B1491" s="26" t="str">
        <f>"09PJN2413Q"</f>
        <v>09PJN2413Q</v>
      </c>
      <c r="C1491" s="26" t="str">
        <f>"CENTRO ESCOLAR HERMANOS UNIDOS                                                                      "</f>
        <v xml:space="preserve">CENTRO ESCOLAR HERMANOS UNIDOS                                                                      </v>
      </c>
      <c r="D1491" s="26" t="str">
        <f t="shared" si="259"/>
        <v>MATUTINO</v>
      </c>
      <c r="E1491" s="26" t="str">
        <f>"NAHUATLACAS No. 89                                                              "</f>
        <v xml:space="preserve">NAHUATLACAS No. 89                                                              </v>
      </c>
      <c r="F1491" s="26" t="str">
        <f>"HUAYAMILPAS                                                                                                                                 "</f>
        <v xml:space="preserve">HUAYAMILPAS                                                                                                                                 </v>
      </c>
      <c r="G1491" s="26" t="str">
        <f t="shared" si="267"/>
        <v xml:space="preserve">COYOACAN                                                                        </v>
      </c>
      <c r="H1491" s="26" t="str">
        <f>"211"</f>
        <v>211</v>
      </c>
      <c r="I1491" s="26" t="str">
        <f t="shared" si="266"/>
        <v>00</v>
      </c>
      <c r="J1491" s="26" t="str">
        <f t="shared" si="268"/>
        <v xml:space="preserve">35 </v>
      </c>
      <c r="K1491" s="26" t="str">
        <f t="shared" si="270"/>
        <v>EP</v>
      </c>
      <c r="L1491" s="26" t="str">
        <f t="shared" si="269"/>
        <v>DGOSE</v>
      </c>
      <c r="M1491" s="26" t="str">
        <f t="shared" si="264"/>
        <v>PARTICULAR</v>
      </c>
      <c r="N1491" s="26">
        <v>40</v>
      </c>
      <c r="O1491" s="26">
        <v>24</v>
      </c>
      <c r="P1491" s="26">
        <v>16</v>
      </c>
      <c r="Q1491" s="26">
        <v>3</v>
      </c>
      <c r="R1491" s="26">
        <v>1</v>
      </c>
      <c r="S1491" s="26">
        <v>3</v>
      </c>
      <c r="T1491" s="26">
        <v>1</v>
      </c>
      <c r="U1491" s="26">
        <v>5</v>
      </c>
      <c r="V1491" s="26">
        <v>1</v>
      </c>
      <c r="W1491" s="26"/>
    </row>
    <row r="1492" spans="1:23" x14ac:dyDescent="0.25">
      <c r="A1492" s="26" t="str">
        <f t="shared" si="265"/>
        <v>PREESCOLAR</v>
      </c>
      <c r="B1492" s="26" t="str">
        <f>"09PJN2415O"</f>
        <v>09PJN2415O</v>
      </c>
      <c r="C1492" s="26" t="str">
        <f>"COLEGIO BROOKFIELD AMERICANO                                                                        "</f>
        <v xml:space="preserve">COLEGIO BROOKFIELD AMERICANO                                                                        </v>
      </c>
      <c r="D1492" s="26" t="str">
        <f t="shared" si="259"/>
        <v>MATUTINO</v>
      </c>
      <c r="E1492" s="26" t="str">
        <f>"SANTA CECILIA NO. 229 Y 231                                                     "</f>
        <v xml:space="preserve">SANTA CECILIA NO. 229 Y 231                                                     </v>
      </c>
      <c r="F1492" s="26" t="str">
        <f>"RESIDENCIAL CAFETALES                                                                                                                       "</f>
        <v xml:space="preserve">RESIDENCIAL CAFETALES                                                                                                                       </v>
      </c>
      <c r="G1492" s="26" t="str">
        <f t="shared" si="267"/>
        <v xml:space="preserve">COYOACAN                                                                        </v>
      </c>
      <c r="H1492" s="26" t="str">
        <f>"125"</f>
        <v>125</v>
      </c>
      <c r="I1492" s="26" t="str">
        <f t="shared" si="266"/>
        <v>00</v>
      </c>
      <c r="J1492" s="26" t="str">
        <f t="shared" si="268"/>
        <v xml:space="preserve">35 </v>
      </c>
      <c r="K1492" s="26" t="str">
        <f t="shared" si="270"/>
        <v>EP</v>
      </c>
      <c r="L1492" s="26" t="str">
        <f t="shared" si="269"/>
        <v>DGOSE</v>
      </c>
      <c r="M1492" s="26" t="str">
        <f t="shared" si="264"/>
        <v>PARTICULAR</v>
      </c>
      <c r="N1492" s="26">
        <v>72</v>
      </c>
      <c r="O1492" s="26">
        <v>35</v>
      </c>
      <c r="P1492" s="26">
        <v>37</v>
      </c>
      <c r="Q1492" s="26">
        <v>3</v>
      </c>
      <c r="R1492" s="26">
        <v>1</v>
      </c>
      <c r="S1492" s="26">
        <v>2</v>
      </c>
      <c r="T1492" s="26">
        <v>16</v>
      </c>
      <c r="U1492" s="26">
        <v>19</v>
      </c>
      <c r="V1492" s="26">
        <v>1</v>
      </c>
      <c r="W1492" s="26"/>
    </row>
    <row r="1493" spans="1:23" x14ac:dyDescent="0.25">
      <c r="A1493" s="26" t="str">
        <f t="shared" si="265"/>
        <v>PREESCOLAR</v>
      </c>
      <c r="B1493" s="26" t="str">
        <f>"09PJN2416N"</f>
        <v>09PJN2416N</v>
      </c>
      <c r="C1493" s="26" t="str">
        <f>"COLEGIO PALMERSTON                                                                                  "</f>
        <v xml:space="preserve">COLEGIO PALMERSTON                                                                                  </v>
      </c>
      <c r="D1493" s="26" t="str">
        <f t="shared" si="259"/>
        <v>MATUTINO</v>
      </c>
      <c r="E1493" s="26" t="str">
        <f>"CAMICHINES NO. 19                                                               "</f>
        <v xml:space="preserve">CAMICHINES NO. 19                                                               </v>
      </c>
      <c r="F1493" s="26" t="str">
        <f>"NUEVA ORIENTAL                                                                                                                              "</f>
        <v xml:space="preserve">NUEVA ORIENTAL                                                                                                                              </v>
      </c>
      <c r="G1493" s="26" t="str">
        <f>"TLALPAN                                                                         "</f>
        <v xml:space="preserve">TLALPAN                                                                         </v>
      </c>
      <c r="H1493" s="26" t="str">
        <f>"220"</f>
        <v>220</v>
      </c>
      <c r="I1493" s="26" t="str">
        <f t="shared" si="266"/>
        <v>00</v>
      </c>
      <c r="J1493" s="26" t="str">
        <f t="shared" si="268"/>
        <v xml:space="preserve">35 </v>
      </c>
      <c r="K1493" s="26" t="str">
        <f t="shared" si="270"/>
        <v>EP</v>
      </c>
      <c r="L1493" s="26" t="str">
        <f t="shared" si="269"/>
        <v>DGOSE</v>
      </c>
      <c r="M1493" s="26" t="str">
        <f t="shared" si="264"/>
        <v>PARTICULAR</v>
      </c>
      <c r="N1493" s="26">
        <v>24</v>
      </c>
      <c r="O1493" s="26">
        <v>10</v>
      </c>
      <c r="P1493" s="26">
        <v>14</v>
      </c>
      <c r="Q1493" s="26">
        <v>3</v>
      </c>
      <c r="R1493" s="26">
        <v>1</v>
      </c>
      <c r="S1493" s="26">
        <v>3</v>
      </c>
      <c r="T1493" s="26">
        <v>2</v>
      </c>
      <c r="U1493" s="26">
        <v>6</v>
      </c>
      <c r="V1493" s="26">
        <v>1</v>
      </c>
      <c r="W1493" s="26"/>
    </row>
    <row r="1494" spans="1:23" x14ac:dyDescent="0.25">
      <c r="A1494" s="26" t="str">
        <f t="shared" si="265"/>
        <v>PREESCOLAR</v>
      </c>
      <c r="B1494" s="26" t="str">
        <f>"09PJN2419K"</f>
        <v>09PJN2419K</v>
      </c>
      <c r="C1494" s="26" t="str">
        <f>"COLEGIO LA PETITE ECOLE                                                                             "</f>
        <v xml:space="preserve">COLEGIO LA PETITE ECOLE                                                                             </v>
      </c>
      <c r="D1494" s="26" t="str">
        <f t="shared" si="259"/>
        <v>MATUTINO</v>
      </c>
      <c r="E1494" s="26" t="str">
        <f>"EJIDO MEXICALTZINGO NO. 38                                                      "</f>
        <v xml:space="preserve">EJIDO MEXICALTZINGO NO. 38                                                      </v>
      </c>
      <c r="F1494" s="26" t="str">
        <f>"SAN FRANCISCO CULHUACAN                                                                                                                     "</f>
        <v xml:space="preserve">SAN FRANCISCO CULHUACAN                                                                                                                     </v>
      </c>
      <c r="G1494" s="26" t="str">
        <f>"COYOACAN                                                                        "</f>
        <v xml:space="preserve">COYOACAN                                                                        </v>
      </c>
      <c r="H1494" s="26" t="str">
        <f>"099"</f>
        <v>099</v>
      </c>
      <c r="I1494" s="26" t="str">
        <f t="shared" si="266"/>
        <v>00</v>
      </c>
      <c r="J1494" s="26" t="str">
        <f t="shared" si="268"/>
        <v xml:space="preserve">35 </v>
      </c>
      <c r="K1494" s="26" t="str">
        <f t="shared" si="270"/>
        <v>EP</v>
      </c>
      <c r="L1494" s="26" t="str">
        <f t="shared" si="269"/>
        <v>DGOSE</v>
      </c>
      <c r="M1494" s="26" t="str">
        <f t="shared" si="264"/>
        <v>PARTICULAR</v>
      </c>
      <c r="N1494" s="26">
        <v>29</v>
      </c>
      <c r="O1494" s="26">
        <v>15</v>
      </c>
      <c r="P1494" s="26">
        <v>14</v>
      </c>
      <c r="Q1494" s="26">
        <v>3</v>
      </c>
      <c r="R1494" s="26">
        <v>1</v>
      </c>
      <c r="S1494" s="26">
        <v>3</v>
      </c>
      <c r="T1494" s="26">
        <v>4</v>
      </c>
      <c r="U1494" s="26">
        <v>8</v>
      </c>
      <c r="V1494" s="26">
        <v>1</v>
      </c>
      <c r="W1494" s="26"/>
    </row>
    <row r="1495" spans="1:23" x14ac:dyDescent="0.25">
      <c r="A1495" s="26" t="str">
        <f t="shared" si="265"/>
        <v>PREESCOLAR</v>
      </c>
      <c r="B1495" s="26" t="str">
        <f>"09PJN2420Z"</f>
        <v>09PJN2420Z</v>
      </c>
      <c r="C1495" s="26" t="str">
        <f>"ELENA JACKSON FISKEHUNT                                                                             "</f>
        <v xml:space="preserve">ELENA JACKSON FISKEHUNT                                                                             </v>
      </c>
      <c r="D1495" s="26" t="str">
        <f t="shared" si="259"/>
        <v>MATUTINO</v>
      </c>
      <c r="E1495" s="26" t="str">
        <f>"TOTONACAS MZ.22 LT.25                                                           "</f>
        <v xml:space="preserve">TOTONACAS MZ.22 LT.25                                                           </v>
      </c>
      <c r="F1495" s="26" t="str">
        <f>"AJUSCO                                                                                                                                      "</f>
        <v xml:space="preserve">AJUSCO                                                                                                                                      </v>
      </c>
      <c r="G1495" s="26" t="str">
        <f>"COYOACAN                                                                        "</f>
        <v xml:space="preserve">COYOACAN                                                                        </v>
      </c>
      <c r="H1495" s="26" t="str">
        <f>"211"</f>
        <v>211</v>
      </c>
      <c r="I1495" s="26" t="str">
        <f t="shared" si="266"/>
        <v>00</v>
      </c>
      <c r="J1495" s="26" t="str">
        <f t="shared" si="268"/>
        <v xml:space="preserve">35 </v>
      </c>
      <c r="K1495" s="26" t="str">
        <f t="shared" si="270"/>
        <v>EP</v>
      </c>
      <c r="L1495" s="26" t="str">
        <f t="shared" si="269"/>
        <v>DGOSE</v>
      </c>
      <c r="M1495" s="26" t="str">
        <f t="shared" si="264"/>
        <v>PARTICULAR</v>
      </c>
      <c r="N1495" s="26">
        <v>27</v>
      </c>
      <c r="O1495" s="26">
        <v>18</v>
      </c>
      <c r="P1495" s="26">
        <v>9</v>
      </c>
      <c r="Q1495" s="26">
        <v>3</v>
      </c>
      <c r="R1495" s="26">
        <v>1</v>
      </c>
      <c r="S1495" s="26">
        <v>3</v>
      </c>
      <c r="T1495" s="26">
        <v>6</v>
      </c>
      <c r="U1495" s="26">
        <v>10</v>
      </c>
      <c r="V1495" s="26">
        <v>1</v>
      </c>
      <c r="W1495" s="26"/>
    </row>
    <row r="1496" spans="1:23" x14ac:dyDescent="0.25">
      <c r="A1496" s="26" t="str">
        <f t="shared" si="265"/>
        <v>PREESCOLAR</v>
      </c>
      <c r="B1496" s="26" t="str">
        <f>"09PJN2422Y"</f>
        <v>09PJN2422Y</v>
      </c>
      <c r="C1496" s="26" t="str">
        <f>"GUADALUPE S. DE AZUARA                                                                              "</f>
        <v xml:space="preserve">GUADALUPE S. DE AZUARA                                                                              </v>
      </c>
      <c r="D1496" s="26" t="str">
        <f t="shared" si="259"/>
        <v>MATUTINO</v>
      </c>
      <c r="E1496" s="26" t="str">
        <f>"EJIDO No. 106                                                                   "</f>
        <v xml:space="preserve">EJIDO No. 106                                                                   </v>
      </c>
      <c r="F1496" s="26" t="str">
        <f>"SAN FRANCISCO CULHUACAN EJIDO                                                                                                               "</f>
        <v xml:space="preserve">SAN FRANCISCO CULHUACAN EJIDO                                                                                                               </v>
      </c>
      <c r="G1496" s="26" t="str">
        <f>"COYOACAN                                                                        "</f>
        <v xml:space="preserve">COYOACAN                                                                        </v>
      </c>
      <c r="H1496" s="26" t="str">
        <f>"099"</f>
        <v>099</v>
      </c>
      <c r="I1496" s="26" t="str">
        <f t="shared" si="266"/>
        <v>00</v>
      </c>
      <c r="J1496" s="26" t="str">
        <f t="shared" si="268"/>
        <v xml:space="preserve">35 </v>
      </c>
      <c r="K1496" s="26" t="str">
        <f t="shared" si="270"/>
        <v>EP</v>
      </c>
      <c r="L1496" s="26" t="str">
        <f t="shared" si="269"/>
        <v>DGOSE</v>
      </c>
      <c r="M1496" s="26" t="str">
        <f t="shared" si="264"/>
        <v>PARTICULAR</v>
      </c>
      <c r="N1496" s="26">
        <v>78</v>
      </c>
      <c r="O1496" s="26">
        <v>43</v>
      </c>
      <c r="P1496" s="26">
        <v>35</v>
      </c>
      <c r="Q1496" s="26">
        <v>4</v>
      </c>
      <c r="R1496" s="26">
        <v>1</v>
      </c>
      <c r="S1496" s="26">
        <v>3</v>
      </c>
      <c r="T1496" s="26">
        <v>5</v>
      </c>
      <c r="U1496" s="26">
        <v>9</v>
      </c>
      <c r="V1496" s="26">
        <v>1</v>
      </c>
      <c r="W1496" s="26"/>
    </row>
    <row r="1497" spans="1:23" x14ac:dyDescent="0.25">
      <c r="A1497" s="26" t="str">
        <f t="shared" si="265"/>
        <v>PREESCOLAR</v>
      </c>
      <c r="B1497" s="26" t="str">
        <f>"09PJN2423X"</f>
        <v>09PJN2423X</v>
      </c>
      <c r="C1497" s="26" t="str">
        <f>"LA MONTAÑA DE CRISTAL                                                                               "</f>
        <v xml:space="preserve">LA MONTAÑA DE CRISTAL                                                                               </v>
      </c>
      <c r="D1497" s="26" t="str">
        <f t="shared" si="259"/>
        <v>MATUTINO</v>
      </c>
      <c r="E1497" s="26" t="str">
        <f>"EJIDO NO. 19                                                                    "</f>
        <v xml:space="preserve">EJIDO NO. 19                                                                    </v>
      </c>
      <c r="F1497" s="26" t="str">
        <f>"SAN FRANCISCO CULHUACAN                                                                                                                     "</f>
        <v xml:space="preserve">SAN FRANCISCO CULHUACAN                                                                                                                     </v>
      </c>
      <c r="G1497" s="26" t="str">
        <f>"COYOACAN                                                                        "</f>
        <v xml:space="preserve">COYOACAN                                                                        </v>
      </c>
      <c r="H1497" s="26" t="str">
        <f>"125"</f>
        <v>125</v>
      </c>
      <c r="I1497" s="26" t="str">
        <f t="shared" si="266"/>
        <v>00</v>
      </c>
      <c r="J1497" s="26" t="str">
        <f t="shared" si="268"/>
        <v xml:space="preserve">35 </v>
      </c>
      <c r="K1497" s="26" t="str">
        <f t="shared" si="270"/>
        <v>EP</v>
      </c>
      <c r="L1497" s="26" t="str">
        <f t="shared" si="269"/>
        <v>DGOSE</v>
      </c>
      <c r="M1497" s="26" t="str">
        <f t="shared" si="264"/>
        <v>PARTICULAR</v>
      </c>
      <c r="N1497" s="26">
        <v>20</v>
      </c>
      <c r="O1497" s="26">
        <v>7</v>
      </c>
      <c r="P1497" s="26">
        <v>13</v>
      </c>
      <c r="Q1497" s="26">
        <v>2</v>
      </c>
      <c r="R1497" s="26">
        <v>1</v>
      </c>
      <c r="S1497" s="26">
        <v>2</v>
      </c>
      <c r="T1497" s="26">
        <v>2</v>
      </c>
      <c r="U1497" s="26">
        <v>5</v>
      </c>
      <c r="V1497" s="26">
        <v>1</v>
      </c>
      <c r="W1497" s="26"/>
    </row>
    <row r="1498" spans="1:23" x14ac:dyDescent="0.25">
      <c r="A1498" s="26" t="str">
        <f t="shared" si="265"/>
        <v>PREESCOLAR</v>
      </c>
      <c r="B1498" s="26" t="str">
        <f>"09PJN2429R"</f>
        <v>09PJN2429R</v>
      </c>
      <c r="C1498" s="26" t="str">
        <f>"PREESCOLAR FLOR DE LIZ                                                                              "</f>
        <v xml:space="preserve">PREESCOLAR FLOR DE LIZ                                                                              </v>
      </c>
      <c r="D1498" s="26" t="str">
        <f t="shared" si="259"/>
        <v>MATUTINO</v>
      </c>
      <c r="E1498" s="26" t="str">
        <f>"ESCOLLO NO. 38                                                                  "</f>
        <v xml:space="preserve">ESCOLLO NO. 38                                                                  </v>
      </c>
      <c r="F1498" s="26" t="str">
        <f>"PILARES AGUILAS                                                                                                                             "</f>
        <v xml:space="preserve">PILARES AGUILAS                                                                                                                             </v>
      </c>
      <c r="G1498" s="26" t="str">
        <f t="shared" ref="G1498:G1514" si="271">"ALVARO OBREGON                                                                  "</f>
        <v xml:space="preserve">ALVARO OBREGON                                                                  </v>
      </c>
      <c r="H1498" s="26" t="str">
        <f>"215"</f>
        <v>215</v>
      </c>
      <c r="I1498" s="26" t="str">
        <f t="shared" si="266"/>
        <v>00</v>
      </c>
      <c r="J1498" s="26" t="str">
        <f t="shared" ref="J1498:J1514" si="272">"33 "</f>
        <v xml:space="preserve">33 </v>
      </c>
      <c r="K1498" s="26" t="str">
        <f t="shared" si="270"/>
        <v>EP</v>
      </c>
      <c r="L1498" s="26" t="str">
        <f t="shared" si="269"/>
        <v>DGOSE</v>
      </c>
      <c r="M1498" s="26" t="str">
        <f t="shared" si="264"/>
        <v>PARTICULAR</v>
      </c>
      <c r="N1498" s="26">
        <v>85</v>
      </c>
      <c r="O1498" s="26">
        <v>36</v>
      </c>
      <c r="P1498" s="26">
        <v>49</v>
      </c>
      <c r="Q1498" s="26">
        <v>4</v>
      </c>
      <c r="R1498" s="26">
        <v>1</v>
      </c>
      <c r="S1498" s="26">
        <v>4</v>
      </c>
      <c r="T1498" s="26">
        <v>6</v>
      </c>
      <c r="U1498" s="26">
        <v>11</v>
      </c>
      <c r="V1498" s="26">
        <v>1</v>
      </c>
      <c r="W1498" s="26"/>
    </row>
    <row r="1499" spans="1:23" x14ac:dyDescent="0.25">
      <c r="A1499" s="26" t="str">
        <f t="shared" si="265"/>
        <v>PREESCOLAR</v>
      </c>
      <c r="B1499" s="26" t="str">
        <f>"09PJN2430G"</f>
        <v>09PJN2430G</v>
      </c>
      <c r="C1499" s="26" t="str">
        <f>"HOBBIT KINDER                                                                                       "</f>
        <v xml:space="preserve">HOBBIT KINDER                                                                                       </v>
      </c>
      <c r="D1499" s="26" t="str">
        <f t="shared" si="259"/>
        <v>MATUTINO</v>
      </c>
      <c r="E1499" s="26" t="str">
        <f>"LOMAS DE TARANGO NO. 3                                                          "</f>
        <v xml:space="preserve">LOMAS DE TARANGO NO. 3                                                          </v>
      </c>
      <c r="F1499" s="26" t="str">
        <f>"LOMAS DE TARANGO                                                                                                                            "</f>
        <v xml:space="preserve">LOMAS DE TARANGO                                                                                                                            </v>
      </c>
      <c r="G1499" s="26" t="str">
        <f t="shared" si="271"/>
        <v xml:space="preserve">ALVARO OBREGON                                                                  </v>
      </c>
      <c r="H1499" s="26" t="str">
        <f>"217"</f>
        <v>217</v>
      </c>
      <c r="I1499" s="26" t="str">
        <f t="shared" si="266"/>
        <v>00</v>
      </c>
      <c r="J1499" s="26" t="str">
        <f t="shared" si="272"/>
        <v xml:space="preserve">33 </v>
      </c>
      <c r="K1499" s="26" t="str">
        <f t="shared" si="270"/>
        <v>EP</v>
      </c>
      <c r="L1499" s="26" t="str">
        <f t="shared" si="269"/>
        <v>DGOSE</v>
      </c>
      <c r="M1499" s="26" t="str">
        <f t="shared" si="264"/>
        <v>PARTICULAR</v>
      </c>
      <c r="N1499" s="26">
        <v>49</v>
      </c>
      <c r="O1499" s="26">
        <v>29</v>
      </c>
      <c r="P1499" s="26">
        <v>20</v>
      </c>
      <c r="Q1499" s="26">
        <v>3</v>
      </c>
      <c r="R1499" s="26">
        <v>1</v>
      </c>
      <c r="S1499" s="26">
        <v>2</v>
      </c>
      <c r="T1499" s="26">
        <v>13</v>
      </c>
      <c r="U1499" s="26">
        <v>16</v>
      </c>
      <c r="V1499" s="26">
        <v>1</v>
      </c>
      <c r="W1499" s="26"/>
    </row>
    <row r="1500" spans="1:23" x14ac:dyDescent="0.25">
      <c r="A1500" s="26" t="str">
        <f t="shared" si="265"/>
        <v>PREESCOLAR</v>
      </c>
      <c r="B1500" s="26" t="str">
        <f>"09PJN2433D"</f>
        <v>09PJN2433D</v>
      </c>
      <c r="C1500" s="26" t="str">
        <f>"JARDIN DE NIÑOS WINI PU                                                                             "</f>
        <v xml:space="preserve">JARDIN DE NIÑOS WINI PU                                                                             </v>
      </c>
      <c r="D1500" s="26" t="str">
        <f t="shared" si="259"/>
        <v>MATUTINO</v>
      </c>
      <c r="E1500" s="26" t="str">
        <f>"FRANCISCO ZARCO NO. 79                                                          "</f>
        <v xml:space="preserve">FRANCISCO ZARCO NO. 79                                                          </v>
      </c>
      <c r="F1500" s="26" t="str">
        <f>"BEJERO                                                                                                                                      "</f>
        <v xml:space="preserve">BEJERO                                                                                                                                      </v>
      </c>
      <c r="G1500" s="26" t="str">
        <f t="shared" si="271"/>
        <v xml:space="preserve">ALVARO OBREGON                                                                  </v>
      </c>
      <c r="H1500" s="26" t="str">
        <f>"166"</f>
        <v>166</v>
      </c>
      <c r="I1500" s="26" t="str">
        <f t="shared" si="266"/>
        <v>00</v>
      </c>
      <c r="J1500" s="26" t="str">
        <f t="shared" si="272"/>
        <v xml:space="preserve">33 </v>
      </c>
      <c r="K1500" s="26" t="str">
        <f t="shared" si="270"/>
        <v>EP</v>
      </c>
      <c r="L1500" s="26" t="str">
        <f t="shared" si="269"/>
        <v>DGOSE</v>
      </c>
      <c r="M1500" s="26" t="str">
        <f t="shared" si="264"/>
        <v>PARTICULAR</v>
      </c>
      <c r="N1500" s="26">
        <v>32</v>
      </c>
      <c r="O1500" s="26">
        <v>14</v>
      </c>
      <c r="P1500" s="26">
        <v>18</v>
      </c>
      <c r="Q1500" s="26">
        <v>2</v>
      </c>
      <c r="R1500" s="26">
        <v>1</v>
      </c>
      <c r="S1500" s="26">
        <v>2</v>
      </c>
      <c r="T1500" s="26">
        <v>3</v>
      </c>
      <c r="U1500" s="26">
        <v>6</v>
      </c>
      <c r="V1500" s="26">
        <v>1</v>
      </c>
      <c r="W1500" s="26"/>
    </row>
    <row r="1501" spans="1:23" x14ac:dyDescent="0.25">
      <c r="A1501" s="26" t="str">
        <f t="shared" si="265"/>
        <v>PREESCOLAR</v>
      </c>
      <c r="B1501" s="26" t="str">
        <f>"09PJN2435B"</f>
        <v>09PJN2435B</v>
      </c>
      <c r="C1501" s="26" t="str">
        <f>"JARDIN DE NIÑOS FUN - ROD                                                                           "</f>
        <v xml:space="preserve">JARDIN DE NIÑOS FUN - ROD                                                                           </v>
      </c>
      <c r="D1501" s="26" t="str">
        <f t="shared" si="259"/>
        <v>MATUTINO</v>
      </c>
      <c r="E1501" s="26" t="str">
        <f>"FERROCARRIL DE CUERNAVACA NO. 162                                               "</f>
        <v xml:space="preserve">FERROCARRIL DE CUERNAVACA NO. 162                                               </v>
      </c>
      <c r="F1501" s="26" t="str">
        <f>"SANTA MARIA NONOALCO                                                                                                                        "</f>
        <v xml:space="preserve">SANTA MARIA NONOALCO                                                                                                                        </v>
      </c>
      <c r="G1501" s="26" t="str">
        <f t="shared" si="271"/>
        <v xml:space="preserve">ALVARO OBREGON                                                                  </v>
      </c>
      <c r="H1501" s="26" t="str">
        <f>"218"</f>
        <v>218</v>
      </c>
      <c r="I1501" s="26" t="str">
        <f t="shared" si="266"/>
        <v>00</v>
      </c>
      <c r="J1501" s="26" t="str">
        <f t="shared" si="272"/>
        <v xml:space="preserve">33 </v>
      </c>
      <c r="K1501" s="26" t="str">
        <f t="shared" si="270"/>
        <v>EP</v>
      </c>
      <c r="L1501" s="26" t="str">
        <f t="shared" si="269"/>
        <v>DGOSE</v>
      </c>
      <c r="M1501" s="26" t="str">
        <f t="shared" si="264"/>
        <v>PARTICULAR</v>
      </c>
      <c r="N1501" s="26">
        <v>26</v>
      </c>
      <c r="O1501" s="26">
        <v>13</v>
      </c>
      <c r="P1501" s="26">
        <v>13</v>
      </c>
      <c r="Q1501" s="26">
        <v>3</v>
      </c>
      <c r="R1501" s="26">
        <v>1</v>
      </c>
      <c r="S1501" s="26">
        <v>3</v>
      </c>
      <c r="T1501" s="26">
        <v>2</v>
      </c>
      <c r="U1501" s="26">
        <v>6</v>
      </c>
      <c r="V1501" s="26">
        <v>1</v>
      </c>
      <c r="W1501" s="26"/>
    </row>
    <row r="1502" spans="1:23" x14ac:dyDescent="0.25">
      <c r="A1502" s="26" t="str">
        <f t="shared" si="265"/>
        <v>PREESCOLAR</v>
      </c>
      <c r="B1502" s="26" t="str">
        <f>"09PJN2440N"</f>
        <v>09PJN2440N</v>
      </c>
      <c r="C1502" s="26" t="str">
        <f>"COLEGIO CULTURAL MEXICANO                                                                           "</f>
        <v xml:space="preserve">COLEGIO CULTURAL MEXICANO                                                                           </v>
      </c>
      <c r="D1502" s="26" t="str">
        <f t="shared" si="259"/>
        <v>MATUTINO</v>
      </c>
      <c r="E1502" s="26" t="str">
        <f>"RUBEN DARIO S/N. MZA. 6 LT. 5                                                   "</f>
        <v xml:space="preserve">RUBEN DARIO S/N. MZA. 6 LT. 5                                                   </v>
      </c>
      <c r="F1502" s="26" t="str">
        <f>"LA CEBADA AMPLIACION                                                                                                                        "</f>
        <v xml:space="preserve">LA CEBADA AMPLIACION                                                                                                                        </v>
      </c>
      <c r="G1502" s="26" t="str">
        <f t="shared" si="271"/>
        <v xml:space="preserve">ALVARO OBREGON                                                                  </v>
      </c>
      <c r="H1502" s="26" t="str">
        <f>"166"</f>
        <v>166</v>
      </c>
      <c r="I1502" s="26" t="str">
        <f t="shared" si="266"/>
        <v>00</v>
      </c>
      <c r="J1502" s="26" t="str">
        <f t="shared" si="272"/>
        <v xml:space="preserve">33 </v>
      </c>
      <c r="K1502" s="26" t="str">
        <f t="shared" si="270"/>
        <v>EP</v>
      </c>
      <c r="L1502" s="26" t="str">
        <f t="shared" si="269"/>
        <v>DGOSE</v>
      </c>
      <c r="M1502" s="26" t="str">
        <f t="shared" si="264"/>
        <v>PARTICULAR</v>
      </c>
      <c r="N1502" s="26">
        <v>30</v>
      </c>
      <c r="O1502" s="26">
        <v>14</v>
      </c>
      <c r="P1502" s="26">
        <v>16</v>
      </c>
      <c r="Q1502" s="26">
        <v>3</v>
      </c>
      <c r="R1502" s="26">
        <v>1</v>
      </c>
      <c r="S1502" s="26">
        <v>3</v>
      </c>
      <c r="T1502" s="26">
        <v>1</v>
      </c>
      <c r="U1502" s="26">
        <v>5</v>
      </c>
      <c r="V1502" s="26">
        <v>1</v>
      </c>
      <c r="W1502" s="26"/>
    </row>
    <row r="1503" spans="1:23" x14ac:dyDescent="0.25">
      <c r="A1503" s="26" t="str">
        <f t="shared" si="265"/>
        <v>PREESCOLAR</v>
      </c>
      <c r="B1503" s="26" t="str">
        <f>"09PJN2448F"</f>
        <v>09PJN2448F</v>
      </c>
      <c r="C1503" s="26" t="str">
        <f>"JARDÍN DE NIÑOS CASTILLITO                                                                          "</f>
        <v xml:space="preserve">JARDÍN DE NIÑOS CASTILLITO                                                                          </v>
      </c>
      <c r="D1503" s="26" t="str">
        <f t="shared" si="259"/>
        <v>MATUTINO</v>
      </c>
      <c r="E1503" s="26" t="str">
        <f>"CALZADA DE LAS CARRETAS NO. 54                                                  "</f>
        <v xml:space="preserve">CALZADA DE LAS CARRETAS NO. 54                                                  </v>
      </c>
      <c r="F1503" s="26" t="str">
        <f>"COLINAS DEL SUR                                                                                                                             "</f>
        <v xml:space="preserve">COLINAS DEL SUR                                                                                                                             </v>
      </c>
      <c r="G1503" s="26" t="str">
        <f t="shared" si="271"/>
        <v xml:space="preserve">ALVARO OBREGON                                                                  </v>
      </c>
      <c r="H1503" s="26" t="str">
        <f>"218"</f>
        <v>218</v>
      </c>
      <c r="I1503" s="26" t="str">
        <f t="shared" si="266"/>
        <v>00</v>
      </c>
      <c r="J1503" s="26" t="str">
        <f t="shared" si="272"/>
        <v xml:space="preserve">33 </v>
      </c>
      <c r="K1503" s="26" t="str">
        <f t="shared" si="270"/>
        <v>EP</v>
      </c>
      <c r="L1503" s="26" t="str">
        <f t="shared" si="269"/>
        <v>DGOSE</v>
      </c>
      <c r="M1503" s="26" t="str">
        <f t="shared" si="264"/>
        <v>PARTICULAR</v>
      </c>
      <c r="N1503" s="26">
        <v>28</v>
      </c>
      <c r="O1503" s="26">
        <v>14</v>
      </c>
      <c r="P1503" s="26">
        <v>14</v>
      </c>
      <c r="Q1503" s="26">
        <v>3</v>
      </c>
      <c r="R1503" s="26">
        <v>1</v>
      </c>
      <c r="S1503" s="26">
        <v>2</v>
      </c>
      <c r="T1503" s="26">
        <v>4</v>
      </c>
      <c r="U1503" s="26">
        <v>7</v>
      </c>
      <c r="V1503" s="26">
        <v>1</v>
      </c>
      <c r="W1503" s="26"/>
    </row>
    <row r="1504" spans="1:23" x14ac:dyDescent="0.25">
      <c r="A1504" s="26" t="str">
        <f t="shared" si="265"/>
        <v>PREESCOLAR</v>
      </c>
      <c r="B1504" s="26" t="str">
        <f>"09PJN2449E"</f>
        <v>09PJN2449E</v>
      </c>
      <c r="C1504" s="26" t="str">
        <f>"PEPE GRILLO                                                                                         "</f>
        <v xml:space="preserve">PEPE GRILLO                                                                                         </v>
      </c>
      <c r="D1504" s="26" t="str">
        <f t="shared" si="259"/>
        <v>MATUTINO</v>
      </c>
      <c r="E1504" s="26" t="str">
        <f>"AV. HIDALGO NO. 137                                                             "</f>
        <v xml:space="preserve">AV. HIDALGO NO. 137                                                             </v>
      </c>
      <c r="F1504" s="26" t="str">
        <f>"OLIVAR DEL CONDE 1A SECCION                                                                                                                 "</f>
        <v xml:space="preserve">OLIVAR DEL CONDE 1A SECCION                                                                                                                 </v>
      </c>
      <c r="G1504" s="26" t="str">
        <f t="shared" si="271"/>
        <v xml:space="preserve">ALVARO OBREGON                                                                  </v>
      </c>
      <c r="H1504" s="26" t="str">
        <f>"122"</f>
        <v>122</v>
      </c>
      <c r="I1504" s="26" t="str">
        <f t="shared" si="266"/>
        <v>00</v>
      </c>
      <c r="J1504" s="26" t="str">
        <f t="shared" si="272"/>
        <v xml:space="preserve">33 </v>
      </c>
      <c r="K1504" s="26" t="str">
        <f t="shared" si="270"/>
        <v>EP</v>
      </c>
      <c r="L1504" s="26" t="str">
        <f t="shared" si="269"/>
        <v>DGOSE</v>
      </c>
      <c r="M1504" s="26" t="str">
        <f t="shared" si="264"/>
        <v>PARTICULAR</v>
      </c>
      <c r="N1504" s="26">
        <v>16</v>
      </c>
      <c r="O1504" s="26">
        <v>3</v>
      </c>
      <c r="P1504" s="26">
        <v>13</v>
      </c>
      <c r="Q1504" s="26">
        <v>3</v>
      </c>
      <c r="R1504" s="26">
        <v>1</v>
      </c>
      <c r="S1504" s="26">
        <v>2</v>
      </c>
      <c r="T1504" s="26">
        <v>2</v>
      </c>
      <c r="U1504" s="26">
        <v>5</v>
      </c>
      <c r="V1504" s="26">
        <v>1</v>
      </c>
      <c r="W1504" s="26"/>
    </row>
    <row r="1505" spans="1:23" x14ac:dyDescent="0.25">
      <c r="A1505" s="26" t="str">
        <f t="shared" si="265"/>
        <v>PREESCOLAR</v>
      </c>
      <c r="B1505" s="26" t="str">
        <f>"09PJN2450U"</f>
        <v>09PJN2450U</v>
      </c>
      <c r="C1505" s="26" t="str">
        <f>"JOSÉ VASCONCELOS                                                                                    "</f>
        <v xml:space="preserve">JOSÉ VASCONCELOS                                                                                    </v>
      </c>
      <c r="D1505" s="26" t="str">
        <f t="shared" si="259"/>
        <v>MATUTINO</v>
      </c>
      <c r="E1505" s="26" t="str">
        <f>"PUERTO DE VERACRUZ NO.11                                                        "</f>
        <v xml:space="preserve">PUERTO DE VERACRUZ NO.11                                                        </v>
      </c>
      <c r="F1505" s="26" t="str">
        <f>"PILOTO ADOLFO LOPEZ MATEOS                                                                                                                  "</f>
        <v xml:space="preserve">PILOTO ADOLFO LOPEZ MATEOS                                                                                                                  </v>
      </c>
      <c r="G1505" s="26" t="str">
        <f t="shared" si="271"/>
        <v xml:space="preserve">ALVARO OBREGON                                                                  </v>
      </c>
      <c r="H1505" s="26" t="str">
        <f>"165"</f>
        <v>165</v>
      </c>
      <c r="I1505" s="26" t="str">
        <f t="shared" si="266"/>
        <v>00</v>
      </c>
      <c r="J1505" s="26" t="str">
        <f t="shared" si="272"/>
        <v xml:space="preserve">33 </v>
      </c>
      <c r="K1505" s="26" t="str">
        <f>"NP"</f>
        <v>NP</v>
      </c>
      <c r="L1505" s="26" t="str">
        <f t="shared" si="269"/>
        <v>DGOSE</v>
      </c>
      <c r="M1505" s="26" t="str">
        <f t="shared" si="264"/>
        <v>PARTICULAR</v>
      </c>
      <c r="N1505" s="26">
        <v>37</v>
      </c>
      <c r="O1505" s="26">
        <v>22</v>
      </c>
      <c r="P1505" s="26">
        <v>15</v>
      </c>
      <c r="Q1505" s="26">
        <v>3</v>
      </c>
      <c r="R1505" s="26">
        <v>1</v>
      </c>
      <c r="S1505" s="26">
        <v>3</v>
      </c>
      <c r="T1505" s="26">
        <v>6</v>
      </c>
      <c r="U1505" s="26">
        <v>10</v>
      </c>
      <c r="V1505" s="26">
        <v>1</v>
      </c>
      <c r="W1505" s="26"/>
    </row>
    <row r="1506" spans="1:23" x14ac:dyDescent="0.25">
      <c r="A1506" s="26" t="str">
        <f t="shared" si="265"/>
        <v>PREESCOLAR</v>
      </c>
      <c r="B1506" s="26" t="str">
        <f>"09PJN2453R"</f>
        <v>09PJN2453R</v>
      </c>
      <c r="C1506" s="26" t="str">
        <f>"DIEGO RIVERA                                                                                        "</f>
        <v xml:space="preserve">DIEGO RIVERA                                                                                        </v>
      </c>
      <c r="D1506" s="26" t="str">
        <f t="shared" si="259"/>
        <v>MATUTINO</v>
      </c>
      <c r="E1506" s="26" t="str">
        <f>"AV. TAMAULIPAS NO. 1292                                                         "</f>
        <v xml:space="preserve">AV. TAMAULIPAS NO. 1292                                                         </v>
      </c>
      <c r="F1506" s="26" t="str">
        <f>"CORPUS CHRISTI                                                                                                                              "</f>
        <v xml:space="preserve">CORPUS CHRISTI                                                                                                                              </v>
      </c>
      <c r="G1506" s="26" t="str">
        <f t="shared" si="271"/>
        <v xml:space="preserve">ALVARO OBREGON                                                                  </v>
      </c>
      <c r="H1506" s="26" t="str">
        <f>"122"</f>
        <v>122</v>
      </c>
      <c r="I1506" s="26" t="str">
        <f t="shared" si="266"/>
        <v>00</v>
      </c>
      <c r="J1506" s="26" t="str">
        <f t="shared" si="272"/>
        <v xml:space="preserve">33 </v>
      </c>
      <c r="K1506" s="26" t="str">
        <f t="shared" ref="K1506:K1529" si="273">"EP"</f>
        <v>EP</v>
      </c>
      <c r="L1506" s="26" t="str">
        <f t="shared" si="269"/>
        <v>DGOSE</v>
      </c>
      <c r="M1506" s="26" t="str">
        <f t="shared" si="264"/>
        <v>PARTICULAR</v>
      </c>
      <c r="N1506" s="26">
        <v>38</v>
      </c>
      <c r="O1506" s="26">
        <v>19</v>
      </c>
      <c r="P1506" s="26">
        <v>19</v>
      </c>
      <c r="Q1506" s="26">
        <v>3</v>
      </c>
      <c r="R1506" s="26">
        <v>1</v>
      </c>
      <c r="S1506" s="26">
        <v>2</v>
      </c>
      <c r="T1506" s="26">
        <v>7</v>
      </c>
      <c r="U1506" s="26">
        <v>10</v>
      </c>
      <c r="V1506" s="26">
        <v>1</v>
      </c>
      <c r="W1506" s="26"/>
    </row>
    <row r="1507" spans="1:23" x14ac:dyDescent="0.25">
      <c r="A1507" s="26" t="str">
        <f t="shared" si="265"/>
        <v>PREESCOLAR</v>
      </c>
      <c r="B1507" s="26" t="str">
        <f>"09PJN2454Q"</f>
        <v>09PJN2454Q</v>
      </c>
      <c r="C1507" s="26" t="str">
        <f>"TOLLAN                                                                                              "</f>
        <v xml:space="preserve">TOLLAN                                                                                              </v>
      </c>
      <c r="D1507" s="26" t="str">
        <f t="shared" si="259"/>
        <v>MATUTINO</v>
      </c>
      <c r="E1507" s="26" t="str">
        <f>"AV. TAMAULIPAS No. 1316                                                         "</f>
        <v xml:space="preserve">AV. TAMAULIPAS No. 1316                                                         </v>
      </c>
      <c r="F1507" s="26" t="str">
        <f>"CORPUS CHRISTI                                                                                                                              "</f>
        <v xml:space="preserve">CORPUS CHRISTI                                                                                                                              </v>
      </c>
      <c r="G1507" s="26" t="str">
        <f t="shared" si="271"/>
        <v xml:space="preserve">ALVARO OBREGON                                                                  </v>
      </c>
      <c r="H1507" s="26" t="str">
        <f>"122"</f>
        <v>122</v>
      </c>
      <c r="I1507" s="26" t="str">
        <f t="shared" si="266"/>
        <v>00</v>
      </c>
      <c r="J1507" s="26" t="str">
        <f t="shared" si="272"/>
        <v xml:space="preserve">33 </v>
      </c>
      <c r="K1507" s="26" t="str">
        <f t="shared" si="273"/>
        <v>EP</v>
      </c>
      <c r="L1507" s="26" t="str">
        <f t="shared" si="269"/>
        <v>DGOSE</v>
      </c>
      <c r="M1507" s="26" t="str">
        <f t="shared" si="264"/>
        <v>PARTICULAR</v>
      </c>
      <c r="N1507" s="26">
        <v>18</v>
      </c>
      <c r="O1507" s="26">
        <v>12</v>
      </c>
      <c r="P1507" s="26">
        <v>6</v>
      </c>
      <c r="Q1507" s="26">
        <v>3</v>
      </c>
      <c r="R1507" s="26">
        <v>1</v>
      </c>
      <c r="S1507" s="26">
        <v>1</v>
      </c>
      <c r="T1507" s="26">
        <v>2</v>
      </c>
      <c r="U1507" s="26">
        <v>4</v>
      </c>
      <c r="V1507" s="26">
        <v>1</v>
      </c>
      <c r="W1507" s="26"/>
    </row>
    <row r="1508" spans="1:23" x14ac:dyDescent="0.25">
      <c r="A1508" s="26" t="str">
        <f t="shared" si="265"/>
        <v>PREESCOLAR</v>
      </c>
      <c r="B1508" s="26" t="str">
        <f>"09PJN2457N"</f>
        <v>09PJN2457N</v>
      </c>
      <c r="C1508" s="26" t="str">
        <f>"INSTITUTO ALEXANDER DUL                                                                             "</f>
        <v xml:space="preserve">INSTITUTO ALEXANDER DUL                                                                             </v>
      </c>
      <c r="D1508" s="26" t="str">
        <f t="shared" si="259"/>
        <v>MATUTINO</v>
      </c>
      <c r="E1508" s="26" t="str">
        <f>"SANTA LUCIA NO. 263                                                             "</f>
        <v xml:space="preserve">SANTA LUCIA NO. 263                                                             </v>
      </c>
      <c r="F1508" s="26" t="str">
        <f>"OLIVAR DEL CONDE 2A SECCION                                                                                                                 "</f>
        <v xml:space="preserve">OLIVAR DEL CONDE 2A SECCION                                                                                                                 </v>
      </c>
      <c r="G1508" s="26" t="str">
        <f t="shared" si="271"/>
        <v xml:space="preserve">ALVARO OBREGON                                                                  </v>
      </c>
      <c r="H1508" s="26" t="str">
        <f>"122"</f>
        <v>122</v>
      </c>
      <c r="I1508" s="26" t="str">
        <f t="shared" si="266"/>
        <v>00</v>
      </c>
      <c r="J1508" s="26" t="str">
        <f t="shared" si="272"/>
        <v xml:space="preserve">33 </v>
      </c>
      <c r="K1508" s="26" t="str">
        <f t="shared" si="273"/>
        <v>EP</v>
      </c>
      <c r="L1508" s="26" t="str">
        <f t="shared" si="269"/>
        <v>DGOSE</v>
      </c>
      <c r="M1508" s="26" t="str">
        <f t="shared" si="264"/>
        <v>PARTICULAR</v>
      </c>
      <c r="N1508" s="26">
        <v>39</v>
      </c>
      <c r="O1508" s="26">
        <v>23</v>
      </c>
      <c r="P1508" s="26">
        <v>16</v>
      </c>
      <c r="Q1508" s="26">
        <v>3</v>
      </c>
      <c r="R1508" s="26">
        <v>1</v>
      </c>
      <c r="S1508" s="26">
        <v>2</v>
      </c>
      <c r="T1508" s="26">
        <v>6</v>
      </c>
      <c r="U1508" s="26">
        <v>9</v>
      </c>
      <c r="V1508" s="26">
        <v>1</v>
      </c>
      <c r="W1508" s="26"/>
    </row>
    <row r="1509" spans="1:23" x14ac:dyDescent="0.25">
      <c r="A1509" s="26" t="str">
        <f t="shared" si="265"/>
        <v>PREESCOLAR</v>
      </c>
      <c r="B1509" s="26" t="str">
        <f>"09PJN2459L"</f>
        <v>09PJN2459L</v>
      </c>
      <c r="C1509" s="26" t="str">
        <f>"CENTRO EDUCATIVO LUIS DONALDO COLOSIO MURRIETA                                                      "</f>
        <v xml:space="preserve">CENTRO EDUCATIVO LUIS DONALDO COLOSIO MURRIETA                                                      </v>
      </c>
      <c r="D1509" s="26" t="str">
        <f t="shared" si="259"/>
        <v>MATUTINO</v>
      </c>
      <c r="E1509" s="26" t="str">
        <f>"CORREGIDORA NO. 42-B                                                            "</f>
        <v xml:space="preserve">CORREGIDORA NO. 42-B                                                            </v>
      </c>
      <c r="F1509" s="26" t="str">
        <f>"SANTA LUCIA                                                                                                                                 "</f>
        <v xml:space="preserve">SANTA LUCIA                                                                                                                                 </v>
      </c>
      <c r="G1509" s="26" t="str">
        <f t="shared" si="271"/>
        <v xml:space="preserve">ALVARO OBREGON                                                                  </v>
      </c>
      <c r="H1509" s="26" t="str">
        <f>"122"</f>
        <v>122</v>
      </c>
      <c r="I1509" s="26" t="str">
        <f t="shared" si="266"/>
        <v>00</v>
      </c>
      <c r="J1509" s="26" t="str">
        <f t="shared" si="272"/>
        <v xml:space="preserve">33 </v>
      </c>
      <c r="K1509" s="26" t="str">
        <f t="shared" si="273"/>
        <v>EP</v>
      </c>
      <c r="L1509" s="26" t="str">
        <f t="shared" si="269"/>
        <v>DGOSE</v>
      </c>
      <c r="M1509" s="26" t="str">
        <f t="shared" si="264"/>
        <v>PARTICULAR</v>
      </c>
      <c r="N1509" s="26">
        <v>10</v>
      </c>
      <c r="O1509" s="26">
        <v>5</v>
      </c>
      <c r="P1509" s="26">
        <v>5</v>
      </c>
      <c r="Q1509" s="26">
        <v>3</v>
      </c>
      <c r="R1509" s="26">
        <v>1</v>
      </c>
      <c r="S1509" s="26">
        <v>2</v>
      </c>
      <c r="T1509" s="26">
        <v>7</v>
      </c>
      <c r="U1509" s="26">
        <v>10</v>
      </c>
      <c r="V1509" s="26">
        <v>1</v>
      </c>
      <c r="W1509" s="26"/>
    </row>
    <row r="1510" spans="1:23" x14ac:dyDescent="0.25">
      <c r="A1510" s="26" t="str">
        <f t="shared" si="265"/>
        <v>PREESCOLAR</v>
      </c>
      <c r="B1510" s="26" t="str">
        <f>"09PJN2463Y"</f>
        <v>09PJN2463Y</v>
      </c>
      <c r="C1510" s="26" t="str">
        <f>"ESCUELA GUADALUPE D. PLIEGO                                                                         "</f>
        <v xml:space="preserve">ESCUELA GUADALUPE D. PLIEGO                                                                         </v>
      </c>
      <c r="D1510" s="26" t="str">
        <f t="shared" si="259"/>
        <v>MATUTINO</v>
      </c>
      <c r="E1510" s="26" t="str">
        <f>"SAN CARLOS NO. 9 Y 11                                                           "</f>
        <v xml:space="preserve">SAN CARLOS NO. 9 Y 11                                                           </v>
      </c>
      <c r="F1510" s="26" t="str">
        <f>"CAMPESTRE                                                                                                                                   "</f>
        <v xml:space="preserve">CAMPESTRE                                                                                                                                   </v>
      </c>
      <c r="G1510" s="26" t="str">
        <f t="shared" si="271"/>
        <v xml:space="preserve">ALVARO OBREGON                                                                  </v>
      </c>
      <c r="H1510" s="26" t="str">
        <f>"087"</f>
        <v>087</v>
      </c>
      <c r="I1510" s="26" t="str">
        <f t="shared" si="266"/>
        <v>00</v>
      </c>
      <c r="J1510" s="26" t="str">
        <f t="shared" si="272"/>
        <v xml:space="preserve">33 </v>
      </c>
      <c r="K1510" s="26" t="str">
        <f t="shared" si="273"/>
        <v>EP</v>
      </c>
      <c r="L1510" s="26" t="str">
        <f t="shared" si="269"/>
        <v>DGOSE</v>
      </c>
      <c r="M1510" s="26" t="str">
        <f t="shared" si="264"/>
        <v>PARTICULAR</v>
      </c>
      <c r="N1510" s="26">
        <v>41</v>
      </c>
      <c r="O1510" s="26">
        <v>23</v>
      </c>
      <c r="P1510" s="26">
        <v>18</v>
      </c>
      <c r="Q1510" s="26">
        <v>3</v>
      </c>
      <c r="R1510" s="26">
        <v>1</v>
      </c>
      <c r="S1510" s="26">
        <v>3</v>
      </c>
      <c r="T1510" s="26">
        <v>9</v>
      </c>
      <c r="U1510" s="26">
        <v>13</v>
      </c>
      <c r="V1510" s="26">
        <v>1</v>
      </c>
      <c r="W1510" s="26"/>
    </row>
    <row r="1511" spans="1:23" x14ac:dyDescent="0.25">
      <c r="A1511" s="26" t="str">
        <f t="shared" si="265"/>
        <v>PREESCOLAR</v>
      </c>
      <c r="B1511" s="26" t="str">
        <f>"09PJN2464X"</f>
        <v>09PJN2464X</v>
      </c>
      <c r="C1511" s="26" t="str">
        <f>"JARDIN DE NIÑOS ROSITA                                                                              "</f>
        <v xml:space="preserve">JARDIN DE NIÑOS ROSITA                                                                              </v>
      </c>
      <c r="D1511" s="26" t="str">
        <f t="shared" si="259"/>
        <v>MATUTINO</v>
      </c>
      <c r="E1511" s="26" t="str">
        <f>"BOLIVIANOS NO. 63                                                               "</f>
        <v xml:space="preserve">BOLIVIANOS NO. 63                                                               </v>
      </c>
      <c r="F1511" s="26" t="str">
        <f>"MARIA G DE GARCIA RUIZ                                                                                                                      "</f>
        <v xml:space="preserve">MARIA G DE GARCIA RUIZ                                                                                                                      </v>
      </c>
      <c r="G1511" s="26" t="str">
        <f t="shared" si="271"/>
        <v xml:space="preserve">ALVARO OBREGON                                                                  </v>
      </c>
      <c r="H1511" s="26" t="str">
        <f>"166"</f>
        <v>166</v>
      </c>
      <c r="I1511" s="26" t="str">
        <f t="shared" si="266"/>
        <v>00</v>
      </c>
      <c r="J1511" s="26" t="str">
        <f t="shared" si="272"/>
        <v xml:space="preserve">33 </v>
      </c>
      <c r="K1511" s="26" t="str">
        <f t="shared" si="273"/>
        <v>EP</v>
      </c>
      <c r="L1511" s="26" t="str">
        <f t="shared" si="269"/>
        <v>DGOSE</v>
      </c>
      <c r="M1511" s="26" t="str">
        <f t="shared" si="264"/>
        <v>PARTICULAR</v>
      </c>
      <c r="N1511" s="26">
        <v>16</v>
      </c>
      <c r="O1511" s="26">
        <v>8</v>
      </c>
      <c r="P1511" s="26">
        <v>8</v>
      </c>
      <c r="Q1511" s="26">
        <v>2</v>
      </c>
      <c r="R1511" s="26">
        <v>1</v>
      </c>
      <c r="S1511" s="26">
        <v>2</v>
      </c>
      <c r="T1511" s="26">
        <v>1</v>
      </c>
      <c r="U1511" s="26">
        <v>4</v>
      </c>
      <c r="V1511" s="26">
        <v>1</v>
      </c>
      <c r="W1511" s="26"/>
    </row>
    <row r="1512" spans="1:23" x14ac:dyDescent="0.25">
      <c r="A1512" s="26" t="str">
        <f t="shared" si="265"/>
        <v>PREESCOLAR</v>
      </c>
      <c r="B1512" s="26" t="str">
        <f>"09PJN2467U"</f>
        <v>09PJN2467U</v>
      </c>
      <c r="C1512" s="26" t="str">
        <f>"CAMINO REAL                                                                                         "</f>
        <v xml:space="preserve">CAMINO REAL                                                                                         </v>
      </c>
      <c r="D1512" s="26" t="str">
        <f t="shared" si="259"/>
        <v>MATUTINO</v>
      </c>
      <c r="E1512" s="26" t="str">
        <f>"JAZMIN NO.14                                                                    "</f>
        <v xml:space="preserve">JAZMIN NO.14                                                                    </v>
      </c>
      <c r="F1512" s="26" t="str">
        <f>"TETELPAN                                                                                                                                    "</f>
        <v xml:space="preserve">TETELPAN                                                                                                                                    </v>
      </c>
      <c r="G1512" s="26" t="str">
        <f t="shared" si="271"/>
        <v xml:space="preserve">ALVARO OBREGON                                                                  </v>
      </c>
      <c r="H1512" s="26" t="str">
        <f>"214"</f>
        <v>214</v>
      </c>
      <c r="I1512" s="26" t="str">
        <f t="shared" si="266"/>
        <v>00</v>
      </c>
      <c r="J1512" s="26" t="str">
        <f t="shared" si="272"/>
        <v xml:space="preserve">33 </v>
      </c>
      <c r="K1512" s="26" t="str">
        <f t="shared" si="273"/>
        <v>EP</v>
      </c>
      <c r="L1512" s="26" t="str">
        <f t="shared" si="269"/>
        <v>DGOSE</v>
      </c>
      <c r="M1512" s="26" t="str">
        <f t="shared" si="264"/>
        <v>PARTICULAR</v>
      </c>
      <c r="N1512" s="26">
        <v>20</v>
      </c>
      <c r="O1512" s="26">
        <v>12</v>
      </c>
      <c r="P1512" s="26">
        <v>8</v>
      </c>
      <c r="Q1512" s="26">
        <v>3</v>
      </c>
      <c r="R1512" s="26">
        <v>1</v>
      </c>
      <c r="S1512" s="26">
        <v>3</v>
      </c>
      <c r="T1512" s="26">
        <v>3</v>
      </c>
      <c r="U1512" s="26">
        <v>7</v>
      </c>
      <c r="V1512" s="26">
        <v>1</v>
      </c>
      <c r="W1512" s="26"/>
    </row>
    <row r="1513" spans="1:23" x14ac:dyDescent="0.25">
      <c r="A1513" s="26" t="str">
        <f t="shared" si="265"/>
        <v>PREESCOLAR</v>
      </c>
      <c r="B1513" s="26" t="str">
        <f>"09PJN2469S"</f>
        <v>09PJN2469S</v>
      </c>
      <c r="C1513" s="26" t="str">
        <f>"INSTITUTO FELIX DE JESUS ROUGIER                                                                    "</f>
        <v xml:space="preserve">INSTITUTO FELIX DE JESUS ROUGIER                                                                    </v>
      </c>
      <c r="D1513" s="26" t="str">
        <f t="shared" si="259"/>
        <v>MATUTINO</v>
      </c>
      <c r="E1513" s="26" t="str">
        <f>"HORTENSIA NO. 16-A                                                              "</f>
        <v xml:space="preserve">HORTENSIA NO. 16-A                                                              </v>
      </c>
      <c r="F1513" s="26" t="str">
        <f>"FLORIDA                                                                                                                                     "</f>
        <v xml:space="preserve">FLORIDA                                                                                                                                     </v>
      </c>
      <c r="G1513" s="26" t="str">
        <f t="shared" si="271"/>
        <v xml:space="preserve">ALVARO OBREGON                                                                  </v>
      </c>
      <c r="H1513" s="26" t="str">
        <f>"087"</f>
        <v>087</v>
      </c>
      <c r="I1513" s="26" t="str">
        <f t="shared" si="266"/>
        <v>00</v>
      </c>
      <c r="J1513" s="26" t="str">
        <f t="shared" si="272"/>
        <v xml:space="preserve">33 </v>
      </c>
      <c r="K1513" s="26" t="str">
        <f t="shared" si="273"/>
        <v>EP</v>
      </c>
      <c r="L1513" s="26" t="str">
        <f t="shared" si="269"/>
        <v>DGOSE</v>
      </c>
      <c r="M1513" s="26" t="str">
        <f t="shared" si="264"/>
        <v>PARTICULAR</v>
      </c>
      <c r="N1513" s="26">
        <v>18</v>
      </c>
      <c r="O1513" s="26">
        <v>12</v>
      </c>
      <c r="P1513" s="26">
        <v>6</v>
      </c>
      <c r="Q1513" s="26">
        <v>3</v>
      </c>
      <c r="R1513" s="26">
        <v>1</v>
      </c>
      <c r="S1513" s="26">
        <v>2</v>
      </c>
      <c r="T1513" s="26">
        <v>5</v>
      </c>
      <c r="U1513" s="26">
        <v>8</v>
      </c>
      <c r="V1513" s="26">
        <v>1</v>
      </c>
      <c r="W1513" s="26"/>
    </row>
    <row r="1514" spans="1:23" x14ac:dyDescent="0.25">
      <c r="A1514" s="26" t="str">
        <f t="shared" si="265"/>
        <v>PREESCOLAR</v>
      </c>
      <c r="B1514" s="26" t="str">
        <f>"09PJN2470H"</f>
        <v>09PJN2470H</v>
      </c>
      <c r="C1514" s="26" t="str">
        <f>"LA SALLE PREESCOLAR                                                                                 "</f>
        <v xml:space="preserve">LA SALLE PREESCOLAR                                                                                 </v>
      </c>
      <c r="D1514" s="26" t="str">
        <f t="shared" si="259"/>
        <v>MATUTINO</v>
      </c>
      <c r="E1514" s="26" t="str">
        <f>"FRANCIA NO. 31                                                                  "</f>
        <v xml:space="preserve">FRANCIA NO. 31                                                                  </v>
      </c>
      <c r="F1514" s="26" t="str">
        <f>"FLORIDA                                                                                                                                     "</f>
        <v xml:space="preserve">FLORIDA                                                                                                                                     </v>
      </c>
      <c r="G1514" s="26" t="str">
        <f t="shared" si="271"/>
        <v xml:space="preserve">ALVARO OBREGON                                                                  </v>
      </c>
      <c r="H1514" s="26" t="str">
        <f>"087"</f>
        <v>087</v>
      </c>
      <c r="I1514" s="26" t="str">
        <f t="shared" si="266"/>
        <v>00</v>
      </c>
      <c r="J1514" s="26" t="str">
        <f t="shared" si="272"/>
        <v xml:space="preserve">33 </v>
      </c>
      <c r="K1514" s="26" t="str">
        <f t="shared" si="273"/>
        <v>EP</v>
      </c>
      <c r="L1514" s="26" t="str">
        <f t="shared" si="269"/>
        <v>DGOSE</v>
      </c>
      <c r="M1514" s="26" t="str">
        <f t="shared" si="264"/>
        <v>PARTICULAR</v>
      </c>
      <c r="N1514" s="26">
        <v>109</v>
      </c>
      <c r="O1514" s="26">
        <v>63</v>
      </c>
      <c r="P1514" s="26">
        <v>46</v>
      </c>
      <c r="Q1514" s="26">
        <v>5</v>
      </c>
      <c r="R1514" s="26">
        <v>1</v>
      </c>
      <c r="S1514" s="26">
        <v>3</v>
      </c>
      <c r="T1514" s="26">
        <v>18</v>
      </c>
      <c r="U1514" s="26">
        <v>22</v>
      </c>
      <c r="V1514" s="26">
        <v>1</v>
      </c>
      <c r="W1514" s="26"/>
    </row>
    <row r="1515" spans="1:23" x14ac:dyDescent="0.25">
      <c r="A1515" s="26" t="str">
        <f t="shared" si="265"/>
        <v>PREESCOLAR</v>
      </c>
      <c r="B1515" s="26" t="str">
        <f>"09PJN2476B"</f>
        <v>09PJN2476B</v>
      </c>
      <c r="C1515" s="26" t="str">
        <f>"JARDIN DE NIÑOS HARVEY                                                                              "</f>
        <v xml:space="preserve">JARDIN DE NIÑOS HARVEY                                                                              </v>
      </c>
      <c r="D1515" s="26" t="str">
        <f t="shared" si="259"/>
        <v>MATUTINO</v>
      </c>
      <c r="E1515" s="26" t="str">
        <f>"TULIPAN S/N MZA. 13 LT. 61                                                      "</f>
        <v xml:space="preserve">TULIPAN S/N MZA. 13 LT. 61                                                      </v>
      </c>
      <c r="F1515" s="26" t="str">
        <f>"LOS REYES                                                                                                                                   "</f>
        <v xml:space="preserve">LOS REYES                                                                                                                                   </v>
      </c>
      <c r="G1515" s="26" t="str">
        <f>"TLAHUAC                                                                         "</f>
        <v xml:space="preserve">TLAHUAC                                                                         </v>
      </c>
      <c r="H1515" s="26" t="str">
        <f>"142"</f>
        <v>142</v>
      </c>
      <c r="I1515" s="26" t="str">
        <f t="shared" si="266"/>
        <v>00</v>
      </c>
      <c r="J1515" s="26" t="str">
        <f t="shared" ref="J1515:J1529" si="274">"35 "</f>
        <v xml:space="preserve">35 </v>
      </c>
      <c r="K1515" s="26" t="str">
        <f t="shared" si="273"/>
        <v>EP</v>
      </c>
      <c r="L1515" s="26" t="str">
        <f t="shared" si="269"/>
        <v>DGOSE</v>
      </c>
      <c r="M1515" s="26" t="str">
        <f t="shared" si="264"/>
        <v>PARTICULAR</v>
      </c>
      <c r="N1515" s="26">
        <v>20</v>
      </c>
      <c r="O1515" s="26">
        <v>12</v>
      </c>
      <c r="P1515" s="26">
        <v>8</v>
      </c>
      <c r="Q1515" s="26">
        <v>2</v>
      </c>
      <c r="R1515" s="26">
        <v>1</v>
      </c>
      <c r="S1515" s="26">
        <v>2</v>
      </c>
      <c r="T1515" s="26">
        <v>4</v>
      </c>
      <c r="U1515" s="26">
        <v>7</v>
      </c>
      <c r="V1515" s="26">
        <v>1</v>
      </c>
      <c r="W1515" s="26"/>
    </row>
    <row r="1516" spans="1:23" x14ac:dyDescent="0.25">
      <c r="A1516" s="26" t="str">
        <f t="shared" si="265"/>
        <v>PREESCOLAR</v>
      </c>
      <c r="B1516" s="26" t="str">
        <f>"09PJN2477A"</f>
        <v>09PJN2477A</v>
      </c>
      <c r="C1516" s="26" t="str">
        <f>"JARDÍN DE NIÑOS CARRUSEL                                                                            "</f>
        <v xml:space="preserve">JARDÍN DE NIÑOS CARRUSEL                                                                            </v>
      </c>
      <c r="D1516" s="26" t="str">
        <f t="shared" si="259"/>
        <v>MATUTINO</v>
      </c>
      <c r="E1516" s="26" t="str">
        <f>"AV. RENO NO. 92                                                                 "</f>
        <v xml:space="preserve">AV. RENO NO. 92                                                                 </v>
      </c>
      <c r="F1516" s="26" t="str">
        <f>"LOS OLIVOS                                                                                                                                  "</f>
        <v xml:space="preserve">LOS OLIVOS                                                                                                                                  </v>
      </c>
      <c r="G1516" s="26" t="str">
        <f>"TLAHUAC                                                                         "</f>
        <v xml:space="preserve">TLAHUAC                                                                         </v>
      </c>
      <c r="H1516" s="26" t="str">
        <f>"244"</f>
        <v>244</v>
      </c>
      <c r="I1516" s="26" t="str">
        <f t="shared" si="266"/>
        <v>00</v>
      </c>
      <c r="J1516" s="26" t="str">
        <f t="shared" si="274"/>
        <v xml:space="preserve">35 </v>
      </c>
      <c r="K1516" s="26" t="str">
        <f t="shared" si="273"/>
        <v>EP</v>
      </c>
      <c r="L1516" s="26" t="str">
        <f t="shared" si="269"/>
        <v>DGOSE</v>
      </c>
      <c r="M1516" s="26" t="str">
        <f t="shared" si="264"/>
        <v>PARTICULAR</v>
      </c>
      <c r="N1516" s="26">
        <v>10</v>
      </c>
      <c r="O1516" s="26">
        <v>2</v>
      </c>
      <c r="P1516" s="26">
        <v>8</v>
      </c>
      <c r="Q1516" s="26">
        <v>3</v>
      </c>
      <c r="R1516" s="26">
        <v>1</v>
      </c>
      <c r="S1516" s="26">
        <v>3</v>
      </c>
      <c r="T1516" s="26">
        <v>0</v>
      </c>
      <c r="U1516" s="26">
        <v>4</v>
      </c>
      <c r="V1516" s="26">
        <v>1</v>
      </c>
      <c r="W1516" s="26"/>
    </row>
    <row r="1517" spans="1:23" x14ac:dyDescent="0.25">
      <c r="A1517" s="26" t="str">
        <f t="shared" si="265"/>
        <v>PREESCOLAR</v>
      </c>
      <c r="B1517" s="26" t="str">
        <f>"09PJN2480O"</f>
        <v>09PJN2480O</v>
      </c>
      <c r="C1517" s="26" t="str">
        <f>"INSTITUTO ANTOINE HENRI BECQUEREL                                                                   "</f>
        <v xml:space="preserve">INSTITUTO ANTOINE HENRI BECQUEREL                                                                   </v>
      </c>
      <c r="D1517" s="26" t="str">
        <f t="shared" si="259"/>
        <v>MATUTINO</v>
      </c>
      <c r="E1517" s="26" t="str">
        <f>"MONT.DE LAS CORDILLERAS NO.108 MZA.12 L4                                        "</f>
        <v xml:space="preserve">MONT.DE LAS CORDILLERAS NO.108 MZA.12 L4                                        </v>
      </c>
      <c r="F1517" s="26" t="str">
        <f>"OJO DE AGUA                                                                                                                                 "</f>
        <v xml:space="preserve">OJO DE AGUA                                                                                                                                 </v>
      </c>
      <c r="G1517" s="26" t="str">
        <f>"TLAHUAC                                                                         "</f>
        <v xml:space="preserve">TLAHUAC                                                                         </v>
      </c>
      <c r="H1517" s="26" t="str">
        <f>"142"</f>
        <v>142</v>
      </c>
      <c r="I1517" s="26" t="str">
        <f t="shared" si="266"/>
        <v>00</v>
      </c>
      <c r="J1517" s="26" t="str">
        <f t="shared" si="274"/>
        <v xml:space="preserve">35 </v>
      </c>
      <c r="K1517" s="26" t="str">
        <f t="shared" si="273"/>
        <v>EP</v>
      </c>
      <c r="L1517" s="26" t="str">
        <f t="shared" si="269"/>
        <v>DGOSE</v>
      </c>
      <c r="M1517" s="26" t="str">
        <f t="shared" si="264"/>
        <v>PARTICULAR</v>
      </c>
      <c r="N1517" s="26">
        <v>33</v>
      </c>
      <c r="O1517" s="26">
        <v>21</v>
      </c>
      <c r="P1517" s="26">
        <v>12</v>
      </c>
      <c r="Q1517" s="26">
        <v>3</v>
      </c>
      <c r="R1517" s="26">
        <v>1</v>
      </c>
      <c r="S1517" s="26">
        <v>3</v>
      </c>
      <c r="T1517" s="26">
        <v>6</v>
      </c>
      <c r="U1517" s="26">
        <v>10</v>
      </c>
      <c r="V1517" s="26">
        <v>1</v>
      </c>
      <c r="W1517" s="26"/>
    </row>
    <row r="1518" spans="1:23" x14ac:dyDescent="0.25">
      <c r="A1518" s="26" t="str">
        <f t="shared" si="265"/>
        <v>PREESCOLAR</v>
      </c>
      <c r="B1518" s="26" t="str">
        <f>"09PJN2481N"</f>
        <v>09PJN2481N</v>
      </c>
      <c r="C1518" s="26" t="str">
        <f>"FRANCISCO BACON                                                                                     "</f>
        <v xml:space="preserve">FRANCISCO BACON                                                                                     </v>
      </c>
      <c r="D1518" s="26" t="str">
        <f t="shared" si="259"/>
        <v>MATUTINO</v>
      </c>
      <c r="E1518" s="26" t="str">
        <f>"AV. TLAHUAC NO. 7096                                                            "</f>
        <v xml:space="preserve">AV. TLAHUAC NO. 7096                                                            </v>
      </c>
      <c r="F1518" s="26" t="str">
        <f>"OJO DE AGUA                                                                                                                                 "</f>
        <v xml:space="preserve">OJO DE AGUA                                                                                                                                 </v>
      </c>
      <c r="G1518" s="26" t="str">
        <f>"TLAHUAC                                                                         "</f>
        <v xml:space="preserve">TLAHUAC                                                                         </v>
      </c>
      <c r="H1518" s="26" t="str">
        <f>"223"</f>
        <v>223</v>
      </c>
      <c r="I1518" s="26" t="str">
        <f t="shared" si="266"/>
        <v>00</v>
      </c>
      <c r="J1518" s="26" t="str">
        <f t="shared" si="274"/>
        <v xml:space="preserve">35 </v>
      </c>
      <c r="K1518" s="26" t="str">
        <f t="shared" si="273"/>
        <v>EP</v>
      </c>
      <c r="L1518" s="26" t="str">
        <f t="shared" si="269"/>
        <v>DGOSE</v>
      </c>
      <c r="M1518" s="26" t="str">
        <f t="shared" si="264"/>
        <v>PARTICULAR</v>
      </c>
      <c r="N1518" s="26">
        <v>8</v>
      </c>
      <c r="O1518" s="26">
        <v>4</v>
      </c>
      <c r="P1518" s="26">
        <v>4</v>
      </c>
      <c r="Q1518" s="26">
        <v>2</v>
      </c>
      <c r="R1518" s="26">
        <v>1</v>
      </c>
      <c r="S1518" s="26">
        <v>2</v>
      </c>
      <c r="T1518" s="26">
        <v>3</v>
      </c>
      <c r="U1518" s="26">
        <v>6</v>
      </c>
      <c r="V1518" s="26">
        <v>1</v>
      </c>
      <c r="W1518" s="26"/>
    </row>
    <row r="1519" spans="1:23" x14ac:dyDescent="0.25">
      <c r="A1519" s="26" t="str">
        <f t="shared" si="265"/>
        <v>PREESCOLAR</v>
      </c>
      <c r="B1519" s="26" t="str">
        <f>"09PJN2483L"</f>
        <v>09PJN2483L</v>
      </c>
      <c r="C1519" s="26" t="str">
        <f>"JARDIN DE NIÑOS GRECO LATINO                                                                        "</f>
        <v xml:space="preserve">JARDIN DE NIÑOS GRECO LATINO                                                                        </v>
      </c>
      <c r="D1519" s="26" t="str">
        <f t="shared" si="259"/>
        <v>MATUTINO</v>
      </c>
      <c r="E1519" s="26" t="str">
        <f>"3ER.CJON.MINA NO.11 Y FCO.JAVIER MINA 22                                        "</f>
        <v xml:space="preserve">3ER.CJON.MINA NO.11 Y FCO.JAVIER MINA 22                                        </v>
      </c>
      <c r="F1519" s="26" t="str">
        <f>"LA ASUNCION                                                                                                                                 "</f>
        <v xml:space="preserve">LA ASUNCION                                                                                                                                 </v>
      </c>
      <c r="G1519" s="26" t="str">
        <f>"TLAHUAC                                                                         "</f>
        <v xml:space="preserve">TLAHUAC                                                                         </v>
      </c>
      <c r="H1519" s="26" t="str">
        <f>"142"</f>
        <v>142</v>
      </c>
      <c r="I1519" s="26" t="str">
        <f t="shared" si="266"/>
        <v>00</v>
      </c>
      <c r="J1519" s="26" t="str">
        <f t="shared" si="274"/>
        <v xml:space="preserve">35 </v>
      </c>
      <c r="K1519" s="26" t="str">
        <f t="shared" si="273"/>
        <v>EP</v>
      </c>
      <c r="L1519" s="26" t="str">
        <f t="shared" si="269"/>
        <v>DGOSE</v>
      </c>
      <c r="M1519" s="26" t="str">
        <f t="shared" si="264"/>
        <v>PARTICULAR</v>
      </c>
      <c r="N1519" s="26">
        <v>13</v>
      </c>
      <c r="O1519" s="26">
        <v>7</v>
      </c>
      <c r="P1519" s="26">
        <v>6</v>
      </c>
      <c r="Q1519" s="26">
        <v>3</v>
      </c>
      <c r="R1519" s="26">
        <v>1</v>
      </c>
      <c r="S1519" s="26">
        <v>3</v>
      </c>
      <c r="T1519" s="26">
        <v>4</v>
      </c>
      <c r="U1519" s="26">
        <v>8</v>
      </c>
      <c r="V1519" s="26">
        <v>1</v>
      </c>
      <c r="W1519" s="26"/>
    </row>
    <row r="1520" spans="1:23" x14ac:dyDescent="0.25">
      <c r="A1520" s="26" t="str">
        <f t="shared" si="265"/>
        <v>PREESCOLAR</v>
      </c>
      <c r="B1520" s="26" t="str">
        <f>"09PJN2487H"</f>
        <v>09PJN2487H</v>
      </c>
      <c r="C1520" s="26" t="str">
        <f>"JARDÍN DE NIÑOS MALINALLI                                                                           "</f>
        <v xml:space="preserve">JARDÍN DE NIÑOS MALINALLI                                                                           </v>
      </c>
      <c r="D1520" s="26" t="str">
        <f t="shared" si="259"/>
        <v>MATUTINO</v>
      </c>
      <c r="E1520" s="26" t="str">
        <f>"MARIANO ESCOBEDO NO. 8                                                          "</f>
        <v xml:space="preserve">MARIANO ESCOBEDO NO. 8                                                          </v>
      </c>
      <c r="F1520" s="26" t="str">
        <f>"SAN MIGUEL AJUSCO                                                                                                                           "</f>
        <v xml:space="preserve">SAN MIGUEL AJUSCO                                                                                                                           </v>
      </c>
      <c r="G1520" s="26" t="str">
        <f t="shared" ref="G1520:G1529" si="275">"TLALPAN                                                                         "</f>
        <v xml:space="preserve">TLALPAN                                                                         </v>
      </c>
      <c r="H1520" s="26" t="str">
        <f>"076"</f>
        <v>076</v>
      </c>
      <c r="I1520" s="26" t="str">
        <f t="shared" si="266"/>
        <v>00</v>
      </c>
      <c r="J1520" s="26" t="str">
        <f t="shared" si="274"/>
        <v xml:space="preserve">35 </v>
      </c>
      <c r="K1520" s="26" t="str">
        <f t="shared" si="273"/>
        <v>EP</v>
      </c>
      <c r="L1520" s="26" t="str">
        <f t="shared" si="269"/>
        <v>DGOSE</v>
      </c>
      <c r="M1520" s="26" t="str">
        <f t="shared" si="264"/>
        <v>PARTICULAR</v>
      </c>
      <c r="N1520" s="26">
        <v>35</v>
      </c>
      <c r="O1520" s="26">
        <v>14</v>
      </c>
      <c r="P1520" s="26">
        <v>21</v>
      </c>
      <c r="Q1520" s="26">
        <v>3</v>
      </c>
      <c r="R1520" s="26">
        <v>1</v>
      </c>
      <c r="S1520" s="26">
        <v>2</v>
      </c>
      <c r="T1520" s="26">
        <v>3</v>
      </c>
      <c r="U1520" s="26">
        <v>6</v>
      </c>
      <c r="V1520" s="26">
        <v>1</v>
      </c>
      <c r="W1520" s="26"/>
    </row>
    <row r="1521" spans="1:23" x14ac:dyDescent="0.25">
      <c r="A1521" s="26" t="str">
        <f t="shared" si="265"/>
        <v>PREESCOLAR</v>
      </c>
      <c r="B1521" s="26" t="str">
        <f>"09PJN2488G"</f>
        <v>09PJN2488G</v>
      </c>
      <c r="C1521" s="26" t="str">
        <f>"CENTRO EDUCATIVO SIGLO XXI                                                                          "</f>
        <v xml:space="preserve">CENTRO EDUCATIVO SIGLO XXI                                                                          </v>
      </c>
      <c r="D1521" s="26" t="str">
        <f t="shared" si="259"/>
        <v>MATUTINO</v>
      </c>
      <c r="E1521" s="26" t="str">
        <f>"ROSAL NO. 120                                                                   "</f>
        <v xml:space="preserve">ROSAL NO. 120                                                                   </v>
      </c>
      <c r="F1521" s="26" t="str">
        <f>"SAN PEDRO MARTIR                                                                                                                            "</f>
        <v xml:space="preserve">SAN PEDRO MARTIR                                                                                                                            </v>
      </c>
      <c r="G1521" s="26" t="str">
        <f t="shared" si="275"/>
        <v xml:space="preserve">TLALPAN                                                                         </v>
      </c>
      <c r="H1521" s="26" t="str">
        <f>"062"</f>
        <v>062</v>
      </c>
      <c r="I1521" s="26" t="str">
        <f t="shared" si="266"/>
        <v>00</v>
      </c>
      <c r="J1521" s="26" t="str">
        <f t="shared" si="274"/>
        <v xml:space="preserve">35 </v>
      </c>
      <c r="K1521" s="26" t="str">
        <f t="shared" si="273"/>
        <v>EP</v>
      </c>
      <c r="L1521" s="26" t="str">
        <f t="shared" si="269"/>
        <v>DGOSE</v>
      </c>
      <c r="M1521" s="26" t="str">
        <f t="shared" si="264"/>
        <v>PARTICULAR</v>
      </c>
      <c r="N1521" s="26">
        <v>38</v>
      </c>
      <c r="O1521" s="26">
        <v>23</v>
      </c>
      <c r="P1521" s="26">
        <v>15</v>
      </c>
      <c r="Q1521" s="26">
        <v>3</v>
      </c>
      <c r="R1521" s="26">
        <v>1</v>
      </c>
      <c r="S1521" s="26">
        <v>2</v>
      </c>
      <c r="T1521" s="26">
        <v>4</v>
      </c>
      <c r="U1521" s="26">
        <v>7</v>
      </c>
      <c r="V1521" s="26">
        <v>1</v>
      </c>
      <c r="W1521" s="26"/>
    </row>
    <row r="1522" spans="1:23" x14ac:dyDescent="0.25">
      <c r="A1522" s="26" t="str">
        <f t="shared" si="265"/>
        <v>PREESCOLAR</v>
      </c>
      <c r="B1522" s="26" t="str">
        <f>"09PJN2490V"</f>
        <v>09PJN2490V</v>
      </c>
      <c r="C1522" s="26" t="str">
        <f>"SUMMER HILL                                                                                         "</f>
        <v xml:space="preserve">SUMMER HILL                                                                                         </v>
      </c>
      <c r="D1522" s="26" t="str">
        <f t="shared" si="259"/>
        <v>MATUTINO</v>
      </c>
      <c r="E1522" s="26" t="str">
        <f>"BOKOBA No. 221                                                                  "</f>
        <v xml:space="preserve">BOKOBA No. 221                                                                  </v>
      </c>
      <c r="F1522" s="26" t="str">
        <f>"SAN NICOLAS TOTOLAPAN                                                                                                                       "</f>
        <v xml:space="preserve">SAN NICOLAS TOTOLAPAN                                                                                                                       </v>
      </c>
      <c r="G1522" s="26" t="str">
        <f t="shared" si="275"/>
        <v xml:space="preserve">TLALPAN                                                                         </v>
      </c>
      <c r="H1522" s="26" t="str">
        <f>"225"</f>
        <v>225</v>
      </c>
      <c r="I1522" s="26" t="str">
        <f t="shared" si="266"/>
        <v>00</v>
      </c>
      <c r="J1522" s="26" t="str">
        <f t="shared" si="274"/>
        <v xml:space="preserve">35 </v>
      </c>
      <c r="K1522" s="26" t="str">
        <f t="shared" si="273"/>
        <v>EP</v>
      </c>
      <c r="L1522" s="26" t="str">
        <f t="shared" si="269"/>
        <v>DGOSE</v>
      </c>
      <c r="M1522" s="26" t="str">
        <f t="shared" si="264"/>
        <v>PARTICULAR</v>
      </c>
      <c r="N1522" s="26">
        <v>8</v>
      </c>
      <c r="O1522" s="26">
        <v>6</v>
      </c>
      <c r="P1522" s="26">
        <v>2</v>
      </c>
      <c r="Q1522" s="26">
        <v>2</v>
      </c>
      <c r="R1522" s="26">
        <v>1</v>
      </c>
      <c r="S1522" s="26">
        <v>1</v>
      </c>
      <c r="T1522" s="26">
        <v>3</v>
      </c>
      <c r="U1522" s="26">
        <v>5</v>
      </c>
      <c r="V1522" s="26">
        <v>1</v>
      </c>
      <c r="W1522" s="26"/>
    </row>
    <row r="1523" spans="1:23" x14ac:dyDescent="0.25">
      <c r="A1523" s="26" t="str">
        <f t="shared" si="265"/>
        <v>PREESCOLAR</v>
      </c>
      <c r="B1523" s="26" t="str">
        <f>"09PJN2495Q"</f>
        <v>09PJN2495Q</v>
      </c>
      <c r="C1523" s="26" t="str">
        <f>"CENTRO DE DESARROLLO  INFANTIL EL MUNDO DE LOS NIÑOS                                                "</f>
        <v xml:space="preserve">CENTRO DE DESARROLLO  INFANTIL EL MUNDO DE LOS NIÑOS                                                </v>
      </c>
      <c r="D1523" s="26" t="str">
        <f t="shared" si="259"/>
        <v>MATUTINO</v>
      </c>
      <c r="E1523" s="26" t="str">
        <f>"SEBASTIAN LERDO DE TEJADA NO. 8                                                 "</f>
        <v xml:space="preserve">SEBASTIAN LERDO DE TEJADA NO. 8                                                 </v>
      </c>
      <c r="F1523" s="26" t="str">
        <f>"BELISARIO DOMINGUEZ                                                                                                                         "</f>
        <v xml:space="preserve">BELISARIO DOMINGUEZ                                                                                                                         </v>
      </c>
      <c r="G1523" s="26" t="str">
        <f t="shared" si="275"/>
        <v xml:space="preserve">TLALPAN                                                                         </v>
      </c>
      <c r="H1523" s="26" t="str">
        <f>"050"</f>
        <v>050</v>
      </c>
      <c r="I1523" s="26" t="str">
        <f t="shared" si="266"/>
        <v>00</v>
      </c>
      <c r="J1523" s="26" t="str">
        <f t="shared" si="274"/>
        <v xml:space="preserve">35 </v>
      </c>
      <c r="K1523" s="26" t="str">
        <f t="shared" si="273"/>
        <v>EP</v>
      </c>
      <c r="L1523" s="26" t="str">
        <f t="shared" si="269"/>
        <v>DGOSE</v>
      </c>
      <c r="M1523" s="26" t="str">
        <f t="shared" si="264"/>
        <v>PARTICULAR</v>
      </c>
      <c r="N1523" s="26">
        <v>19</v>
      </c>
      <c r="O1523" s="26">
        <v>9</v>
      </c>
      <c r="P1523" s="26">
        <v>10</v>
      </c>
      <c r="Q1523" s="26">
        <v>3</v>
      </c>
      <c r="R1523" s="26">
        <v>1</v>
      </c>
      <c r="S1523" s="26">
        <v>2</v>
      </c>
      <c r="T1523" s="26">
        <v>12</v>
      </c>
      <c r="U1523" s="26">
        <v>15</v>
      </c>
      <c r="V1523" s="26">
        <v>1</v>
      </c>
      <c r="W1523" s="26"/>
    </row>
    <row r="1524" spans="1:23" x14ac:dyDescent="0.25">
      <c r="A1524" s="26" t="str">
        <f t="shared" si="265"/>
        <v>PREESCOLAR</v>
      </c>
      <c r="B1524" s="26" t="str">
        <f>"09PJN2498N"</f>
        <v>09PJN2498N</v>
      </c>
      <c r="C1524" s="26" t="str">
        <f>"JARDIN Y TALLERES INFANTILES LA ESTANCIA                                                            "</f>
        <v xml:space="preserve">JARDIN Y TALLERES INFANTILES LA ESTANCIA                                                            </v>
      </c>
      <c r="D1524" s="26" t="str">
        <f t="shared" si="259"/>
        <v>MATUTINO</v>
      </c>
      <c r="E1524" s="26" t="str">
        <f>"CAFETALES NO. 190                                                               "</f>
        <v xml:space="preserve">CAFETALES NO. 190                                                               </v>
      </c>
      <c r="F1524" s="26" t="str">
        <f>"RESIDENCIAL EX-HACIENDA COAPA                                                                                                               "</f>
        <v xml:space="preserve">RESIDENCIAL EX-HACIENDA COAPA                                                                                                               </v>
      </c>
      <c r="G1524" s="26" t="str">
        <f t="shared" si="275"/>
        <v xml:space="preserve">TLALPAN                                                                         </v>
      </c>
      <c r="H1524" s="26" t="str">
        <f>"050"</f>
        <v>050</v>
      </c>
      <c r="I1524" s="26" t="str">
        <f t="shared" si="266"/>
        <v>00</v>
      </c>
      <c r="J1524" s="26" t="str">
        <f t="shared" si="274"/>
        <v xml:space="preserve">35 </v>
      </c>
      <c r="K1524" s="26" t="str">
        <f t="shared" si="273"/>
        <v>EP</v>
      </c>
      <c r="L1524" s="26" t="str">
        <f t="shared" si="269"/>
        <v>DGOSE</v>
      </c>
      <c r="M1524" s="26" t="str">
        <f t="shared" si="264"/>
        <v>PARTICULAR</v>
      </c>
      <c r="N1524" s="26">
        <v>35</v>
      </c>
      <c r="O1524" s="26">
        <v>18</v>
      </c>
      <c r="P1524" s="26">
        <v>17</v>
      </c>
      <c r="Q1524" s="26">
        <v>3</v>
      </c>
      <c r="R1524" s="26">
        <v>1</v>
      </c>
      <c r="S1524" s="26">
        <v>3</v>
      </c>
      <c r="T1524" s="26">
        <v>4</v>
      </c>
      <c r="U1524" s="26">
        <v>8</v>
      </c>
      <c r="V1524" s="26">
        <v>1</v>
      </c>
      <c r="W1524" s="26"/>
    </row>
    <row r="1525" spans="1:23" x14ac:dyDescent="0.25">
      <c r="A1525" s="26" t="str">
        <f t="shared" si="265"/>
        <v>PREESCOLAR</v>
      </c>
      <c r="B1525" s="26" t="str">
        <f>"09PJN2501K"</f>
        <v>09PJN2501K</v>
      </c>
      <c r="C1525" s="26" t="str">
        <f>"CENTRO EDUCATIVO TLALOC                                                                             "</f>
        <v xml:space="preserve">CENTRO EDUCATIVO TLALOC                                                                             </v>
      </c>
      <c r="D1525" s="26" t="str">
        <f t="shared" si="259"/>
        <v>MATUTINO</v>
      </c>
      <c r="E1525" s="26" t="str">
        <f>"8 A ORIENTE  NO. 46                                                             "</f>
        <v xml:space="preserve">8 A ORIENTE  NO. 46                                                             </v>
      </c>
      <c r="F1525" s="26" t="str">
        <f>"ISIDRO FABELA                                                                                                                               "</f>
        <v xml:space="preserve">ISIDRO FABELA                                                                                                                               </v>
      </c>
      <c r="G1525" s="26" t="str">
        <f t="shared" si="275"/>
        <v xml:space="preserve">TLALPAN                                                                         </v>
      </c>
      <c r="H1525" s="26" t="str">
        <f>"222"</f>
        <v>222</v>
      </c>
      <c r="I1525" s="26" t="str">
        <f t="shared" si="266"/>
        <v>00</v>
      </c>
      <c r="J1525" s="26" t="str">
        <f t="shared" si="274"/>
        <v xml:space="preserve">35 </v>
      </c>
      <c r="K1525" s="26" t="str">
        <f t="shared" si="273"/>
        <v>EP</v>
      </c>
      <c r="L1525" s="26" t="str">
        <f t="shared" si="269"/>
        <v>DGOSE</v>
      </c>
      <c r="M1525" s="26" t="str">
        <f t="shared" si="264"/>
        <v>PARTICULAR</v>
      </c>
      <c r="N1525" s="26">
        <v>30</v>
      </c>
      <c r="O1525" s="26">
        <v>16</v>
      </c>
      <c r="P1525" s="26">
        <v>14</v>
      </c>
      <c r="Q1525" s="26">
        <v>3</v>
      </c>
      <c r="R1525" s="26">
        <v>1</v>
      </c>
      <c r="S1525" s="26">
        <v>2</v>
      </c>
      <c r="T1525" s="26">
        <v>2</v>
      </c>
      <c r="U1525" s="26">
        <v>5</v>
      </c>
      <c r="V1525" s="26">
        <v>1</v>
      </c>
      <c r="W1525" s="26"/>
    </row>
    <row r="1526" spans="1:23" x14ac:dyDescent="0.25">
      <c r="A1526" s="26" t="str">
        <f t="shared" si="265"/>
        <v>PREESCOLAR</v>
      </c>
      <c r="B1526" s="26" t="str">
        <f>"09PJN2503I"</f>
        <v>09PJN2503I</v>
      </c>
      <c r="C1526" s="26" t="str">
        <f>"COLEGIO PAULO FREIRE                                                                                "</f>
        <v xml:space="preserve">COLEGIO PAULO FREIRE                                                                                </v>
      </c>
      <c r="D1526" s="26" t="str">
        <f t="shared" si="259"/>
        <v>MATUTINO</v>
      </c>
      <c r="E1526" s="26" t="str">
        <f>"SEXTA ORIENTE NO. 102 MZA.12 LT.6                                               "</f>
        <v xml:space="preserve">SEXTA ORIENTE NO. 102 MZA.12 LT.6                                               </v>
      </c>
      <c r="F1526" s="26" t="str">
        <f>"ISIDRO FABELA                                                                                                                               "</f>
        <v xml:space="preserve">ISIDRO FABELA                                                                                                                               </v>
      </c>
      <c r="G1526" s="26" t="str">
        <f t="shared" si="275"/>
        <v xml:space="preserve">TLALPAN                                                                         </v>
      </c>
      <c r="H1526" s="26" t="str">
        <f>"222"</f>
        <v>222</v>
      </c>
      <c r="I1526" s="26" t="str">
        <f t="shared" si="266"/>
        <v>00</v>
      </c>
      <c r="J1526" s="26" t="str">
        <f t="shared" si="274"/>
        <v xml:space="preserve">35 </v>
      </c>
      <c r="K1526" s="26" t="str">
        <f t="shared" si="273"/>
        <v>EP</v>
      </c>
      <c r="L1526" s="26" t="str">
        <f t="shared" si="269"/>
        <v>DGOSE</v>
      </c>
      <c r="M1526" s="26" t="str">
        <f t="shared" si="264"/>
        <v>PARTICULAR</v>
      </c>
      <c r="N1526" s="26">
        <v>41</v>
      </c>
      <c r="O1526" s="26">
        <v>22</v>
      </c>
      <c r="P1526" s="26">
        <v>19</v>
      </c>
      <c r="Q1526" s="26">
        <v>3</v>
      </c>
      <c r="R1526" s="26">
        <v>1</v>
      </c>
      <c r="S1526" s="26">
        <v>3</v>
      </c>
      <c r="T1526" s="26">
        <v>7</v>
      </c>
      <c r="U1526" s="26">
        <v>11</v>
      </c>
      <c r="V1526" s="26">
        <v>1</v>
      </c>
      <c r="W1526" s="26"/>
    </row>
    <row r="1527" spans="1:23" x14ac:dyDescent="0.25">
      <c r="A1527" s="26" t="str">
        <f t="shared" si="265"/>
        <v>PREESCOLAR</v>
      </c>
      <c r="B1527" s="26" t="str">
        <f>"09PJN2505G"</f>
        <v>09PJN2505G</v>
      </c>
      <c r="C1527" s="26" t="str">
        <f>"JARDÍN DE NIÑOS ARCO IRIS                                                                           "</f>
        <v xml:space="preserve">JARDÍN DE NIÑOS ARCO IRIS                                                                           </v>
      </c>
      <c r="D1527" s="26" t="str">
        <f t="shared" si="259"/>
        <v>MATUTINO</v>
      </c>
      <c r="E1527" s="26" t="str">
        <f>"SUDZAL No. 538                                                                  "</f>
        <v xml:space="preserve">SUDZAL No. 538                                                                  </v>
      </c>
      <c r="F1527" s="26" t="str">
        <f>"PEDREGAL DE SAN NICOLAS                                                                                                                     "</f>
        <v xml:space="preserve">PEDREGAL DE SAN NICOLAS                                                                                                                     </v>
      </c>
      <c r="G1527" s="26" t="str">
        <f t="shared" si="275"/>
        <v xml:space="preserve">TLALPAN                                                                         </v>
      </c>
      <c r="H1527" s="26" t="str">
        <f>"135"</f>
        <v>135</v>
      </c>
      <c r="I1527" s="26" t="str">
        <f t="shared" si="266"/>
        <v>00</v>
      </c>
      <c r="J1527" s="26" t="str">
        <f t="shared" si="274"/>
        <v xml:space="preserve">35 </v>
      </c>
      <c r="K1527" s="26" t="str">
        <f t="shared" si="273"/>
        <v>EP</v>
      </c>
      <c r="L1527" s="26" t="str">
        <f t="shared" si="269"/>
        <v>DGOSE</v>
      </c>
      <c r="M1527" s="26" t="str">
        <f t="shared" si="264"/>
        <v>PARTICULAR</v>
      </c>
      <c r="N1527" s="26">
        <v>8</v>
      </c>
      <c r="O1527" s="26">
        <v>4</v>
      </c>
      <c r="P1527" s="26">
        <v>4</v>
      </c>
      <c r="Q1527" s="26">
        <v>3</v>
      </c>
      <c r="R1527" s="26">
        <v>1</v>
      </c>
      <c r="S1527" s="26">
        <v>3</v>
      </c>
      <c r="T1527" s="26">
        <v>0</v>
      </c>
      <c r="U1527" s="26">
        <v>4</v>
      </c>
      <c r="V1527" s="26">
        <v>1</v>
      </c>
      <c r="W1527" s="26"/>
    </row>
    <row r="1528" spans="1:23" x14ac:dyDescent="0.25">
      <c r="A1528" s="26" t="str">
        <f t="shared" si="265"/>
        <v>PREESCOLAR</v>
      </c>
      <c r="B1528" s="26" t="str">
        <f>"09PJN2507E"</f>
        <v>09PJN2507E</v>
      </c>
      <c r="C1528" s="26" t="str">
        <f>"JARDIN DE NIÑOS PIE PEQUEÑO                                                                         "</f>
        <v xml:space="preserve">JARDIN DE NIÑOS PIE PEQUEÑO                                                                         </v>
      </c>
      <c r="D1528" s="26" t="str">
        <f t="shared" si="259"/>
        <v>MATUTINO</v>
      </c>
      <c r="E1528" s="26" t="str">
        <f>"COLIMA No. 10                                                                   "</f>
        <v xml:space="preserve">COLIMA No. 10                                                                   </v>
      </c>
      <c r="F1528" s="26" t="str">
        <f>"MIGUEL HIDALGO AMPLIACION                                                                                                                   "</f>
        <v xml:space="preserve">MIGUEL HIDALGO AMPLIACION                                                                                                                   </v>
      </c>
      <c r="G1528" s="26" t="str">
        <f t="shared" si="275"/>
        <v xml:space="preserve">TLALPAN                                                                         </v>
      </c>
      <c r="H1528" s="26" t="str">
        <f>"278"</f>
        <v>278</v>
      </c>
      <c r="I1528" s="26" t="str">
        <f t="shared" si="266"/>
        <v>00</v>
      </c>
      <c r="J1528" s="26" t="str">
        <f t="shared" si="274"/>
        <v xml:space="preserve">35 </v>
      </c>
      <c r="K1528" s="26" t="str">
        <f t="shared" si="273"/>
        <v>EP</v>
      </c>
      <c r="L1528" s="26" t="str">
        <f t="shared" si="269"/>
        <v>DGOSE</v>
      </c>
      <c r="M1528" s="26" t="str">
        <f t="shared" si="264"/>
        <v>PARTICULAR</v>
      </c>
      <c r="N1528" s="26">
        <v>21</v>
      </c>
      <c r="O1528" s="26">
        <v>10</v>
      </c>
      <c r="P1528" s="26">
        <v>11</v>
      </c>
      <c r="Q1528" s="26">
        <v>3</v>
      </c>
      <c r="R1528" s="26">
        <v>1</v>
      </c>
      <c r="S1528" s="26">
        <v>3</v>
      </c>
      <c r="T1528" s="26">
        <v>0</v>
      </c>
      <c r="U1528" s="26">
        <v>4</v>
      </c>
      <c r="V1528" s="26">
        <v>1</v>
      </c>
      <c r="W1528" s="26"/>
    </row>
    <row r="1529" spans="1:23" x14ac:dyDescent="0.25">
      <c r="A1529" s="26" t="str">
        <f t="shared" si="265"/>
        <v>PREESCOLAR</v>
      </c>
      <c r="B1529" s="26" t="str">
        <f>"09PJN2508D"</f>
        <v>09PJN2508D</v>
      </c>
      <c r="C1529" s="26" t="str">
        <f>"COLEGIO DEL BOSQUE                                                                                  "</f>
        <v xml:space="preserve">COLEGIO DEL BOSQUE                                                                                  </v>
      </c>
      <c r="D1529" s="26" t="str">
        <f t="shared" ref="D1529:D1556" si="276">"MATUTINO"</f>
        <v>MATUTINO</v>
      </c>
      <c r="E1529" s="26" t="str">
        <f>"JOSE CASIMIRO CHOVELL NO.157                                                    "</f>
        <v xml:space="preserve">JOSE CASIMIRO CHOVELL NO.157                                                    </v>
      </c>
      <c r="F1529" s="26" t="str">
        <f>"MIGUEL HIDALGO                                                                                                                              "</f>
        <v xml:space="preserve">MIGUEL HIDALGO                                                                                                                              </v>
      </c>
      <c r="G1529" s="26" t="str">
        <f t="shared" si="275"/>
        <v xml:space="preserve">TLALPAN                                                                         </v>
      </c>
      <c r="H1529" s="26" t="str">
        <f>"225"</f>
        <v>225</v>
      </c>
      <c r="I1529" s="26" t="str">
        <f t="shared" si="266"/>
        <v>00</v>
      </c>
      <c r="J1529" s="26" t="str">
        <f t="shared" si="274"/>
        <v xml:space="preserve">35 </v>
      </c>
      <c r="K1529" s="26" t="str">
        <f t="shared" si="273"/>
        <v>EP</v>
      </c>
      <c r="L1529" s="26" t="str">
        <f t="shared" si="269"/>
        <v>DGOSE</v>
      </c>
      <c r="M1529" s="26" t="str">
        <f t="shared" si="264"/>
        <v>PARTICULAR</v>
      </c>
      <c r="N1529" s="26">
        <v>23</v>
      </c>
      <c r="O1529" s="26">
        <v>17</v>
      </c>
      <c r="P1529" s="26">
        <v>6</v>
      </c>
      <c r="Q1529" s="26">
        <v>3</v>
      </c>
      <c r="R1529" s="26">
        <v>1</v>
      </c>
      <c r="S1529" s="26">
        <v>3</v>
      </c>
      <c r="T1529" s="26">
        <v>2</v>
      </c>
      <c r="U1529" s="26">
        <v>6</v>
      </c>
      <c r="V1529" s="26">
        <v>1</v>
      </c>
      <c r="W1529" s="26"/>
    </row>
    <row r="1530" spans="1:23" x14ac:dyDescent="0.25">
      <c r="A1530" s="26" t="str">
        <f t="shared" si="265"/>
        <v>PREESCOLAR</v>
      </c>
      <c r="B1530" s="26" t="str">
        <f>"09PJN2511R"</f>
        <v>09PJN2511R</v>
      </c>
      <c r="C1530" s="26" t="str">
        <f>"GASPARCITO                                                                                          "</f>
        <v xml:space="preserve">GASPARCITO                                                                                          </v>
      </c>
      <c r="D1530" s="26" t="str">
        <f t="shared" si="276"/>
        <v>MATUTINO</v>
      </c>
      <c r="E1530" s="26" t="str">
        <f>"MACEDONIA NO. 13                                                                "</f>
        <v xml:space="preserve">MACEDONIA NO. 13                                                                </v>
      </c>
      <c r="F1530" s="26" t="str">
        <f>"LOMAS ESTRELLA                                                                                                                              "</f>
        <v xml:space="preserve">LOMAS ESTRELLA                                                                                                                              </v>
      </c>
      <c r="G1530" s="26" t="str">
        <f>"IZTAPALAPA                                                                      "</f>
        <v xml:space="preserve">IZTAPALAPA                                                                      </v>
      </c>
      <c r="H1530" s="26" t="str">
        <f>"000"</f>
        <v>000</v>
      </c>
      <c r="I1530" s="26" t="str">
        <f t="shared" si="266"/>
        <v>00</v>
      </c>
      <c r="J1530" s="26" t="str">
        <f>"63 "</f>
        <v xml:space="preserve">63 </v>
      </c>
      <c r="K1530" s="26" t="str">
        <f>"IZ"</f>
        <v>IZ</v>
      </c>
      <c r="L1530" s="26" t="str">
        <f>"DGSEI"</f>
        <v>DGSEI</v>
      </c>
      <c r="M1530" s="26" t="str">
        <f t="shared" si="264"/>
        <v>PARTICULAR</v>
      </c>
      <c r="N1530" s="26">
        <v>50</v>
      </c>
      <c r="O1530" s="26">
        <v>26</v>
      </c>
      <c r="P1530" s="26">
        <v>24</v>
      </c>
      <c r="Q1530" s="26">
        <v>3</v>
      </c>
      <c r="R1530" s="26">
        <v>1</v>
      </c>
      <c r="S1530" s="26">
        <v>3</v>
      </c>
      <c r="T1530" s="26">
        <v>2</v>
      </c>
      <c r="U1530" s="26">
        <v>6</v>
      </c>
      <c r="V1530" s="26">
        <v>1</v>
      </c>
      <c r="W1530" s="26"/>
    </row>
    <row r="1531" spans="1:23" x14ac:dyDescent="0.25">
      <c r="A1531" s="26" t="str">
        <f t="shared" si="265"/>
        <v>PREESCOLAR</v>
      </c>
      <c r="B1531" s="26" t="str">
        <f>"09PJN2513P"</f>
        <v>09PJN2513P</v>
      </c>
      <c r="C1531" s="26" t="str">
        <f>"COLEGIO ROBERTO OWEN                                                                                "</f>
        <v xml:space="preserve">COLEGIO ROBERTO OWEN                                                                                </v>
      </c>
      <c r="D1531" s="26" t="str">
        <f t="shared" si="276"/>
        <v>MATUTINO</v>
      </c>
      <c r="E1531" s="26" t="str">
        <f>"COCOTEROS No. 190                                                               "</f>
        <v xml:space="preserve">COCOTEROS No. 190                                                               </v>
      </c>
      <c r="F1531" s="26" t="str">
        <f>"NUEVA SANTA MARIA                                                                                                                           "</f>
        <v xml:space="preserve">NUEVA SANTA MARIA                                                                                                                           </v>
      </c>
      <c r="G1531" s="26" t="str">
        <f t="shared" ref="G1531:G1537" si="277">"AZCAPOTZALCO                                                                    "</f>
        <v xml:space="preserve">AZCAPOTZALCO                                                                    </v>
      </c>
      <c r="H1531" s="26" t="str">
        <f>"189"</f>
        <v>189</v>
      </c>
      <c r="I1531" s="26" t="str">
        <f t="shared" si="266"/>
        <v>00</v>
      </c>
      <c r="J1531" s="26" t="str">
        <f t="shared" ref="J1531:J1537" si="278">"32 "</f>
        <v xml:space="preserve">32 </v>
      </c>
      <c r="K1531" s="26" t="str">
        <f t="shared" ref="K1531:K1594" si="279">"EP"</f>
        <v>EP</v>
      </c>
      <c r="L1531" s="26" t="str">
        <f t="shared" ref="L1531:L1594" si="280">"DGOSE"</f>
        <v>DGOSE</v>
      </c>
      <c r="M1531" s="26" t="str">
        <f t="shared" si="264"/>
        <v>PARTICULAR</v>
      </c>
      <c r="N1531" s="26">
        <v>6</v>
      </c>
      <c r="O1531" s="26">
        <v>5</v>
      </c>
      <c r="P1531" s="26">
        <v>1</v>
      </c>
      <c r="Q1531" s="26">
        <v>2</v>
      </c>
      <c r="R1531" s="26">
        <v>1</v>
      </c>
      <c r="S1531" s="26">
        <v>2</v>
      </c>
      <c r="T1531" s="26">
        <v>3</v>
      </c>
      <c r="U1531" s="26">
        <v>6</v>
      </c>
      <c r="V1531" s="26">
        <v>1</v>
      </c>
      <c r="W1531" s="26"/>
    </row>
    <row r="1532" spans="1:23" x14ac:dyDescent="0.25">
      <c r="A1532" s="26" t="str">
        <f t="shared" si="265"/>
        <v>PREESCOLAR</v>
      </c>
      <c r="B1532" s="26" t="str">
        <f>"09PJN2516M"</f>
        <v>09PJN2516M</v>
      </c>
      <c r="C1532" s="26" t="str">
        <f>"JARDIN DE NIÑOS LA ABEJITA                                                                          "</f>
        <v xml:space="preserve">JARDIN DE NIÑOS LA ABEJITA                                                                          </v>
      </c>
      <c r="D1532" s="26" t="str">
        <f t="shared" si="276"/>
        <v>MATUTINO</v>
      </c>
      <c r="E1532" s="26" t="str">
        <f>"TORONJA NO. 220                                                                 "</f>
        <v xml:space="preserve">TORONJA NO. 220                                                                 </v>
      </c>
      <c r="F1532" s="26" t="str">
        <f>"NUEVA SANTA MARIA                                                                                                                           "</f>
        <v xml:space="preserve">NUEVA SANTA MARIA                                                                                                                           </v>
      </c>
      <c r="G1532" s="26" t="str">
        <f t="shared" si="277"/>
        <v xml:space="preserve">AZCAPOTZALCO                                                                    </v>
      </c>
      <c r="H1532" s="26" t="str">
        <f>"189"</f>
        <v>189</v>
      </c>
      <c r="I1532" s="26" t="str">
        <f t="shared" si="266"/>
        <v>00</v>
      </c>
      <c r="J1532" s="26" t="str">
        <f t="shared" si="278"/>
        <v xml:space="preserve">32 </v>
      </c>
      <c r="K1532" s="26" t="str">
        <f t="shared" si="279"/>
        <v>EP</v>
      </c>
      <c r="L1532" s="26" t="str">
        <f t="shared" si="280"/>
        <v>DGOSE</v>
      </c>
      <c r="M1532" s="26" t="str">
        <f t="shared" si="264"/>
        <v>PARTICULAR</v>
      </c>
      <c r="N1532" s="26">
        <v>20</v>
      </c>
      <c r="O1532" s="26">
        <v>9</v>
      </c>
      <c r="P1532" s="26">
        <v>11</v>
      </c>
      <c r="Q1532" s="26">
        <v>3</v>
      </c>
      <c r="R1532" s="26">
        <v>1</v>
      </c>
      <c r="S1532" s="26">
        <v>3</v>
      </c>
      <c r="T1532" s="26">
        <v>3</v>
      </c>
      <c r="U1532" s="26">
        <v>7</v>
      </c>
      <c r="V1532" s="26">
        <v>1</v>
      </c>
      <c r="W1532" s="26"/>
    </row>
    <row r="1533" spans="1:23" x14ac:dyDescent="0.25">
      <c r="A1533" s="26" t="str">
        <f t="shared" si="265"/>
        <v>PREESCOLAR</v>
      </c>
      <c r="B1533" s="26" t="str">
        <f>"09PJN2525U"</f>
        <v>09PJN2525U</v>
      </c>
      <c r="C1533" s="26" t="str">
        <f>"JARDIN DE NIÑOS ESTRELLITA                                                                          "</f>
        <v xml:space="preserve">JARDIN DE NIÑOS ESTRELLITA                                                                          </v>
      </c>
      <c r="D1533" s="26" t="str">
        <f t="shared" si="276"/>
        <v>MATUTINO</v>
      </c>
      <c r="E1533" s="26" t="str">
        <f>"QUICHES No. 25                                                                  "</f>
        <v xml:space="preserve">QUICHES No. 25                                                                  </v>
      </c>
      <c r="F1533" s="26" t="str">
        <f>"LA RAZA                                                                                                                                     "</f>
        <v xml:space="preserve">LA RAZA                                                                                                                                     </v>
      </c>
      <c r="G1533" s="26" t="str">
        <f t="shared" si="277"/>
        <v xml:space="preserve">AZCAPOTZALCO                                                                    </v>
      </c>
      <c r="H1533" s="26" t="str">
        <f>"190"</f>
        <v>190</v>
      </c>
      <c r="I1533" s="26" t="str">
        <f t="shared" si="266"/>
        <v>00</v>
      </c>
      <c r="J1533" s="26" t="str">
        <f t="shared" si="278"/>
        <v xml:space="preserve">32 </v>
      </c>
      <c r="K1533" s="26" t="str">
        <f t="shared" si="279"/>
        <v>EP</v>
      </c>
      <c r="L1533" s="26" t="str">
        <f t="shared" si="280"/>
        <v>DGOSE</v>
      </c>
      <c r="M1533" s="26" t="str">
        <f t="shared" si="264"/>
        <v>PARTICULAR</v>
      </c>
      <c r="N1533" s="26">
        <v>63</v>
      </c>
      <c r="O1533" s="26">
        <v>28</v>
      </c>
      <c r="P1533" s="26">
        <v>35</v>
      </c>
      <c r="Q1533" s="26">
        <v>3</v>
      </c>
      <c r="R1533" s="26">
        <v>1</v>
      </c>
      <c r="S1533" s="26">
        <v>3</v>
      </c>
      <c r="T1533" s="26">
        <v>5</v>
      </c>
      <c r="U1533" s="26">
        <v>9</v>
      </c>
      <c r="V1533" s="26">
        <v>1</v>
      </c>
      <c r="W1533" s="26"/>
    </row>
    <row r="1534" spans="1:23" x14ac:dyDescent="0.25">
      <c r="A1534" s="26" t="str">
        <f t="shared" si="265"/>
        <v>PREESCOLAR</v>
      </c>
      <c r="B1534" s="26" t="str">
        <f>"09PJN2526T"</f>
        <v>09PJN2526T</v>
      </c>
      <c r="C1534" s="26" t="str">
        <f>"INSTITUTO CRISOL                                                                                    "</f>
        <v xml:space="preserve">INSTITUTO CRISOL                                                                                    </v>
      </c>
      <c r="D1534" s="26" t="str">
        <f t="shared" si="276"/>
        <v>MATUTINO</v>
      </c>
      <c r="E1534" s="26" t="str">
        <f>"AV. JARDIN NO. 271                                                              "</f>
        <v xml:space="preserve">AV. JARDIN NO. 271                                                              </v>
      </c>
      <c r="F1534" s="26" t="str">
        <f>"DEL GAS                                                                                                                                     "</f>
        <v xml:space="preserve">DEL GAS                                                                                                                                     </v>
      </c>
      <c r="G1534" s="26" t="str">
        <f t="shared" si="277"/>
        <v xml:space="preserve">AZCAPOTZALCO                                                                    </v>
      </c>
      <c r="H1534" s="26" t="str">
        <f>"190"</f>
        <v>190</v>
      </c>
      <c r="I1534" s="26" t="str">
        <f t="shared" si="266"/>
        <v>00</v>
      </c>
      <c r="J1534" s="26" t="str">
        <f t="shared" si="278"/>
        <v xml:space="preserve">32 </v>
      </c>
      <c r="K1534" s="26" t="str">
        <f t="shared" si="279"/>
        <v>EP</v>
      </c>
      <c r="L1534" s="26" t="str">
        <f t="shared" si="280"/>
        <v>DGOSE</v>
      </c>
      <c r="M1534" s="26" t="str">
        <f t="shared" si="264"/>
        <v>PARTICULAR</v>
      </c>
      <c r="N1534" s="26">
        <v>60</v>
      </c>
      <c r="O1534" s="26">
        <v>33</v>
      </c>
      <c r="P1534" s="26">
        <v>27</v>
      </c>
      <c r="Q1534" s="26">
        <v>3</v>
      </c>
      <c r="R1534" s="26">
        <v>1</v>
      </c>
      <c r="S1534" s="26">
        <v>3</v>
      </c>
      <c r="T1534" s="26">
        <v>11</v>
      </c>
      <c r="U1534" s="26">
        <v>15</v>
      </c>
      <c r="V1534" s="26">
        <v>1</v>
      </c>
      <c r="W1534" s="26"/>
    </row>
    <row r="1535" spans="1:23" x14ac:dyDescent="0.25">
      <c r="A1535" s="26" t="str">
        <f t="shared" si="265"/>
        <v>PREESCOLAR</v>
      </c>
      <c r="B1535" s="26" t="str">
        <f>"09PJN2534B"</f>
        <v>09PJN2534B</v>
      </c>
      <c r="C1535" s="26" t="str">
        <f>"JARDÍN DE NIÑOS ARNOLD GESELL                                                                       "</f>
        <v xml:space="preserve">JARDÍN DE NIÑOS ARNOLD GESELL                                                                       </v>
      </c>
      <c r="D1535" s="26" t="str">
        <f t="shared" si="276"/>
        <v>MATUTINO</v>
      </c>
      <c r="E1535" s="26" t="str">
        <f>"CALLE CINCO No. 318                                                             "</f>
        <v xml:space="preserve">CALLE CINCO No. 318                                                             </v>
      </c>
      <c r="F1535" s="26" t="str">
        <f>"ALDANA                                                                                                                                      "</f>
        <v xml:space="preserve">ALDANA                                                                                                                                      </v>
      </c>
      <c r="G1535" s="26" t="str">
        <f t="shared" si="277"/>
        <v xml:space="preserve">AZCAPOTZALCO                                                                    </v>
      </c>
      <c r="H1535" s="26" t="str">
        <f>"190"</f>
        <v>190</v>
      </c>
      <c r="I1535" s="26" t="str">
        <f t="shared" si="266"/>
        <v>00</v>
      </c>
      <c r="J1535" s="26" t="str">
        <f t="shared" si="278"/>
        <v xml:space="preserve">32 </v>
      </c>
      <c r="K1535" s="26" t="str">
        <f t="shared" si="279"/>
        <v>EP</v>
      </c>
      <c r="L1535" s="26" t="str">
        <f t="shared" si="280"/>
        <v>DGOSE</v>
      </c>
      <c r="M1535" s="26" t="str">
        <f t="shared" ref="M1535:M1598" si="281">"PARTICULAR"</f>
        <v>PARTICULAR</v>
      </c>
      <c r="N1535" s="26">
        <v>28</v>
      </c>
      <c r="O1535" s="26">
        <v>15</v>
      </c>
      <c r="P1535" s="26">
        <v>13</v>
      </c>
      <c r="Q1535" s="26">
        <v>3</v>
      </c>
      <c r="R1535" s="26">
        <v>1</v>
      </c>
      <c r="S1535" s="26">
        <v>3</v>
      </c>
      <c r="T1535" s="26">
        <v>2</v>
      </c>
      <c r="U1535" s="26">
        <v>6</v>
      </c>
      <c r="V1535" s="26">
        <v>1</v>
      </c>
      <c r="W1535" s="26"/>
    </row>
    <row r="1536" spans="1:23" x14ac:dyDescent="0.25">
      <c r="A1536" s="26" t="str">
        <f t="shared" si="265"/>
        <v>PREESCOLAR</v>
      </c>
      <c r="B1536" s="26" t="str">
        <f>"09PJN2535A"</f>
        <v>09PJN2535A</v>
      </c>
      <c r="C1536" s="26" t="str">
        <f>"JARDIN DE NIÑOS TOHUI                                                                               "</f>
        <v xml:space="preserve">JARDIN DE NIÑOS TOHUI                                                                               </v>
      </c>
      <c r="D1536" s="26" t="str">
        <f t="shared" si="276"/>
        <v>MATUTINO</v>
      </c>
      <c r="E1536" s="26" t="str">
        <f>"MACARIO GAXIOLA NO. 15                                                          "</f>
        <v xml:space="preserve">MACARIO GAXIOLA NO. 15                                                          </v>
      </c>
      <c r="F1536" s="26" t="str">
        <f>"SAN PEDRO XALPA AMPLIACION                                                                                                                  "</f>
        <v xml:space="preserve">SAN PEDRO XALPA AMPLIACION                                                                                                                  </v>
      </c>
      <c r="G1536" s="26" t="str">
        <f t="shared" si="277"/>
        <v xml:space="preserve">AZCAPOTZALCO                                                                    </v>
      </c>
      <c r="H1536" s="26" t="str">
        <f>"059"</f>
        <v>059</v>
      </c>
      <c r="I1536" s="26" t="str">
        <f t="shared" si="266"/>
        <v>00</v>
      </c>
      <c r="J1536" s="26" t="str">
        <f t="shared" si="278"/>
        <v xml:space="preserve">32 </v>
      </c>
      <c r="K1536" s="26" t="str">
        <f t="shared" si="279"/>
        <v>EP</v>
      </c>
      <c r="L1536" s="26" t="str">
        <f t="shared" si="280"/>
        <v>DGOSE</v>
      </c>
      <c r="M1536" s="26" t="str">
        <f t="shared" si="281"/>
        <v>PARTICULAR</v>
      </c>
      <c r="N1536" s="26">
        <v>35</v>
      </c>
      <c r="O1536" s="26">
        <v>14</v>
      </c>
      <c r="P1536" s="26">
        <v>21</v>
      </c>
      <c r="Q1536" s="26">
        <v>3</v>
      </c>
      <c r="R1536" s="26">
        <v>1</v>
      </c>
      <c r="S1536" s="26">
        <v>3</v>
      </c>
      <c r="T1536" s="26">
        <v>4</v>
      </c>
      <c r="U1536" s="26">
        <v>8</v>
      </c>
      <c r="V1536" s="26">
        <v>1</v>
      </c>
      <c r="W1536" s="26"/>
    </row>
    <row r="1537" spans="1:23" x14ac:dyDescent="0.25">
      <c r="A1537" s="26" t="str">
        <f t="shared" si="265"/>
        <v>PREESCOLAR</v>
      </c>
      <c r="B1537" s="26" t="str">
        <f>"09PJN2538Y"</f>
        <v>09PJN2538Y</v>
      </c>
      <c r="C1537" s="26" t="str">
        <f>"MODERNIZACION EDUCATIVA                                                                             "</f>
        <v xml:space="preserve">MODERNIZACION EDUCATIVA                                                                             </v>
      </c>
      <c r="D1537" s="26" t="str">
        <f t="shared" si="276"/>
        <v>MATUTINO</v>
      </c>
      <c r="E1537" s="26" t="str">
        <f>"CAMPO MALUCO NO. 79                                                             "</f>
        <v xml:space="preserve">CAMPO MALUCO NO. 79                                                             </v>
      </c>
      <c r="F1537" s="26" t="str">
        <f>"SAN ANTONIO                                                                                                                                 "</f>
        <v xml:space="preserve">SAN ANTONIO                                                                                                                                 </v>
      </c>
      <c r="G1537" s="26" t="str">
        <f t="shared" si="277"/>
        <v xml:space="preserve">AZCAPOTZALCO                                                                    </v>
      </c>
      <c r="H1537" s="26" t="str">
        <f>"059"</f>
        <v>059</v>
      </c>
      <c r="I1537" s="26" t="str">
        <f t="shared" si="266"/>
        <v>00</v>
      </c>
      <c r="J1537" s="26" t="str">
        <f t="shared" si="278"/>
        <v xml:space="preserve">32 </v>
      </c>
      <c r="K1537" s="26" t="str">
        <f t="shared" si="279"/>
        <v>EP</v>
      </c>
      <c r="L1537" s="26" t="str">
        <f t="shared" si="280"/>
        <v>DGOSE</v>
      </c>
      <c r="M1537" s="26" t="str">
        <f t="shared" si="281"/>
        <v>PARTICULAR</v>
      </c>
      <c r="N1537" s="26">
        <v>31</v>
      </c>
      <c r="O1537" s="26">
        <v>16</v>
      </c>
      <c r="P1537" s="26">
        <v>15</v>
      </c>
      <c r="Q1537" s="26">
        <v>3</v>
      </c>
      <c r="R1537" s="26">
        <v>1</v>
      </c>
      <c r="S1537" s="26">
        <v>2</v>
      </c>
      <c r="T1537" s="26">
        <v>2</v>
      </c>
      <c r="U1537" s="26">
        <v>5</v>
      </c>
      <c r="V1537" s="26">
        <v>1</v>
      </c>
      <c r="W1537" s="26"/>
    </row>
    <row r="1538" spans="1:23" x14ac:dyDescent="0.25">
      <c r="A1538" s="26" t="str">
        <f t="shared" ref="A1538:A1601" si="282">"PREESCOLAR"</f>
        <v>PREESCOLAR</v>
      </c>
      <c r="B1538" s="26" t="str">
        <f>"09PJN2540M"</f>
        <v>09PJN2540M</v>
      </c>
      <c r="C1538" s="26" t="str">
        <f>"JARDIN DE NIÑOS INLAKESH                                                                            "</f>
        <v xml:space="preserve">JARDIN DE NIÑOS INLAKESH                                                                            </v>
      </c>
      <c r="D1538" s="26" t="str">
        <f t="shared" si="276"/>
        <v>MATUTINO</v>
      </c>
      <c r="E1538" s="26" t="str">
        <f>"PROLONGACION DE PUEBLA NO. 28                                                   "</f>
        <v xml:space="preserve">PROLONGACION DE PUEBLA NO. 28                                                   </v>
      </c>
      <c r="F1538" s="26" t="str">
        <f>"CUAJIMALPA                                                                                                                                  "</f>
        <v xml:space="preserve">CUAJIMALPA                                                                                                                                  </v>
      </c>
      <c r="G1538" s="26" t="str">
        <f>"CUAJIMALPA DE MORELOS                                                           "</f>
        <v xml:space="preserve">CUAJIMALPA DE MORELOS                                                           </v>
      </c>
      <c r="H1538" s="26" t="str">
        <f>"213"</f>
        <v>213</v>
      </c>
      <c r="I1538" s="26" t="str">
        <f t="shared" ref="I1538:I1601" si="283">"00"</f>
        <v>00</v>
      </c>
      <c r="J1538" s="26" t="str">
        <f t="shared" ref="J1538:J1557" si="284">"33 "</f>
        <v xml:space="preserve">33 </v>
      </c>
      <c r="K1538" s="26" t="str">
        <f t="shared" si="279"/>
        <v>EP</v>
      </c>
      <c r="L1538" s="26" t="str">
        <f t="shared" si="280"/>
        <v>DGOSE</v>
      </c>
      <c r="M1538" s="26" t="str">
        <f t="shared" si="281"/>
        <v>PARTICULAR</v>
      </c>
      <c r="N1538" s="26">
        <v>25</v>
      </c>
      <c r="O1538" s="26">
        <v>13</v>
      </c>
      <c r="P1538" s="26">
        <v>12</v>
      </c>
      <c r="Q1538" s="26">
        <v>3</v>
      </c>
      <c r="R1538" s="26">
        <v>1</v>
      </c>
      <c r="S1538" s="26">
        <v>3</v>
      </c>
      <c r="T1538" s="26">
        <v>0</v>
      </c>
      <c r="U1538" s="26">
        <v>4</v>
      </c>
      <c r="V1538" s="26">
        <v>1</v>
      </c>
      <c r="W1538" s="26"/>
    </row>
    <row r="1539" spans="1:23" x14ac:dyDescent="0.25">
      <c r="A1539" s="26" t="str">
        <f t="shared" si="282"/>
        <v>PREESCOLAR</v>
      </c>
      <c r="B1539" s="26" t="str">
        <f>"09PJN2541L"</f>
        <v>09PJN2541L</v>
      </c>
      <c r="C1539" s="26" t="str">
        <f>"JARDIN DE NIÑOS LOMAS DE VISTA HERMOSA                                                              "</f>
        <v xml:space="preserve">JARDIN DE NIÑOS LOMAS DE VISTA HERMOSA                                                              </v>
      </c>
      <c r="D1539" s="26" t="str">
        <f t="shared" si="276"/>
        <v>MATUTINO</v>
      </c>
      <c r="E1539" s="26" t="str">
        <f>"LOMA DEL PARQUE NO. 122                                                         "</f>
        <v xml:space="preserve">LOMA DEL PARQUE NO. 122                                                         </v>
      </c>
      <c r="F1539" s="26" t="str">
        <f>"LOMAS DE VISTA HERMOSA                                                                                                                      "</f>
        <v xml:space="preserve">LOMAS DE VISTA HERMOSA                                                                                                                      </v>
      </c>
      <c r="G1539" s="26" t="str">
        <f>"CUAJIMALPA DE MORELOS                                                           "</f>
        <v xml:space="preserve">CUAJIMALPA DE MORELOS                                                           </v>
      </c>
      <c r="H1539" s="26" t="str">
        <f>"089"</f>
        <v>089</v>
      </c>
      <c r="I1539" s="26" t="str">
        <f t="shared" si="283"/>
        <v>00</v>
      </c>
      <c r="J1539" s="26" t="str">
        <f t="shared" si="284"/>
        <v xml:space="preserve">33 </v>
      </c>
      <c r="K1539" s="26" t="str">
        <f t="shared" si="279"/>
        <v>EP</v>
      </c>
      <c r="L1539" s="26" t="str">
        <f t="shared" si="280"/>
        <v>DGOSE</v>
      </c>
      <c r="M1539" s="26" t="str">
        <f t="shared" si="281"/>
        <v>PARTICULAR</v>
      </c>
      <c r="N1539" s="26">
        <v>20</v>
      </c>
      <c r="O1539" s="26">
        <v>7</v>
      </c>
      <c r="P1539" s="26">
        <v>13</v>
      </c>
      <c r="Q1539" s="26">
        <v>2</v>
      </c>
      <c r="R1539" s="26">
        <v>1</v>
      </c>
      <c r="S1539" s="26">
        <v>2</v>
      </c>
      <c r="T1539" s="26">
        <v>3</v>
      </c>
      <c r="U1539" s="26">
        <v>6</v>
      </c>
      <c r="V1539" s="26">
        <v>1</v>
      </c>
      <c r="W1539" s="26"/>
    </row>
    <row r="1540" spans="1:23" x14ac:dyDescent="0.25">
      <c r="A1540" s="26" t="str">
        <f t="shared" si="282"/>
        <v>PREESCOLAR</v>
      </c>
      <c r="B1540" s="26" t="str">
        <f>"09PJN2542K"</f>
        <v>09PJN2542K</v>
      </c>
      <c r="C1540" s="26" t="str">
        <f>"JARDIN DE NIÑOS NAVIDAD                                                                             "</f>
        <v xml:space="preserve">JARDIN DE NIÑOS NAVIDAD                                                                             </v>
      </c>
      <c r="D1540" s="26" t="str">
        <f t="shared" si="276"/>
        <v>MATUTINO</v>
      </c>
      <c r="E1540" s="26" t="str">
        <f>"AV. PASTORES NO. 96                                                             "</f>
        <v xml:space="preserve">AV. PASTORES NO. 96                                                             </v>
      </c>
      <c r="F1540" s="26" t="str">
        <f>"LA NAVIDAD                                                                                                                                  "</f>
        <v xml:space="preserve">LA NAVIDAD                                                                                                                                  </v>
      </c>
      <c r="G1540" s="26" t="str">
        <f>"CUAJIMALPA DE MORELOS                                                           "</f>
        <v xml:space="preserve">CUAJIMALPA DE MORELOS                                                           </v>
      </c>
      <c r="H1540" s="26" t="str">
        <f>"212"</f>
        <v>212</v>
      </c>
      <c r="I1540" s="26" t="str">
        <f t="shared" si="283"/>
        <v>00</v>
      </c>
      <c r="J1540" s="26" t="str">
        <f t="shared" si="284"/>
        <v xml:space="preserve">33 </v>
      </c>
      <c r="K1540" s="26" t="str">
        <f t="shared" si="279"/>
        <v>EP</v>
      </c>
      <c r="L1540" s="26" t="str">
        <f t="shared" si="280"/>
        <v>DGOSE</v>
      </c>
      <c r="M1540" s="26" t="str">
        <f t="shared" si="281"/>
        <v>PARTICULAR</v>
      </c>
      <c r="N1540" s="26">
        <v>40</v>
      </c>
      <c r="O1540" s="26">
        <v>21</v>
      </c>
      <c r="P1540" s="26">
        <v>19</v>
      </c>
      <c r="Q1540" s="26">
        <v>3</v>
      </c>
      <c r="R1540" s="26">
        <v>1</v>
      </c>
      <c r="S1540" s="26">
        <v>3</v>
      </c>
      <c r="T1540" s="26">
        <v>3</v>
      </c>
      <c r="U1540" s="26">
        <v>7</v>
      </c>
      <c r="V1540" s="26">
        <v>1</v>
      </c>
      <c r="W1540" s="26"/>
    </row>
    <row r="1541" spans="1:23" x14ac:dyDescent="0.25">
      <c r="A1541" s="26" t="str">
        <f t="shared" si="282"/>
        <v>PREESCOLAR</v>
      </c>
      <c r="B1541" s="26" t="str">
        <f>"09PJN2544I"</f>
        <v>09PJN2544I</v>
      </c>
      <c r="C1541" s="26" t="str">
        <f>"TALLER EDUCATIVO MONTESSORI                                                                         "</f>
        <v xml:space="preserve">TALLER EDUCATIVO MONTESSORI                                                                         </v>
      </c>
      <c r="D1541" s="26" t="str">
        <f t="shared" si="276"/>
        <v>MATUTINO</v>
      </c>
      <c r="E1541" s="26" t="str">
        <f>"LOMA DEL PARQUE NO. 182                                                         "</f>
        <v xml:space="preserve">LOMA DEL PARQUE NO. 182                                                         </v>
      </c>
      <c r="F1541" s="26" t="str">
        <f>"LOMAS DE VISTA HERMOSA                                                                                                                      "</f>
        <v xml:space="preserve">LOMAS DE VISTA HERMOSA                                                                                                                      </v>
      </c>
      <c r="G1541" s="26" t="str">
        <f>"CUAJIMALPA DE MORELOS                                                           "</f>
        <v xml:space="preserve">CUAJIMALPA DE MORELOS                                                           </v>
      </c>
      <c r="H1541" s="26" t="str">
        <f>"212"</f>
        <v>212</v>
      </c>
      <c r="I1541" s="26" t="str">
        <f t="shared" si="283"/>
        <v>00</v>
      </c>
      <c r="J1541" s="26" t="str">
        <f t="shared" si="284"/>
        <v xml:space="preserve">33 </v>
      </c>
      <c r="K1541" s="26" t="str">
        <f t="shared" si="279"/>
        <v>EP</v>
      </c>
      <c r="L1541" s="26" t="str">
        <f t="shared" si="280"/>
        <v>DGOSE</v>
      </c>
      <c r="M1541" s="26" t="str">
        <f t="shared" si="281"/>
        <v>PARTICULAR</v>
      </c>
      <c r="N1541" s="26">
        <v>121</v>
      </c>
      <c r="O1541" s="26">
        <v>56</v>
      </c>
      <c r="P1541" s="26">
        <v>65</v>
      </c>
      <c r="Q1541" s="26">
        <v>5</v>
      </c>
      <c r="R1541" s="26">
        <v>1</v>
      </c>
      <c r="S1541" s="26">
        <v>5</v>
      </c>
      <c r="T1541" s="26">
        <v>10</v>
      </c>
      <c r="U1541" s="26">
        <v>16</v>
      </c>
      <c r="V1541" s="26">
        <v>1</v>
      </c>
      <c r="W1541" s="26"/>
    </row>
    <row r="1542" spans="1:23" x14ac:dyDescent="0.25">
      <c r="A1542" s="26" t="str">
        <f t="shared" si="282"/>
        <v>PREESCOLAR</v>
      </c>
      <c r="B1542" s="26" t="str">
        <f>"09PJN2556N"</f>
        <v>09PJN2556N</v>
      </c>
      <c r="C1542" s="26" t="str">
        <f>"KINDER LUCY                                                                                         "</f>
        <v xml:space="preserve">KINDER LUCY                                                                                         </v>
      </c>
      <c r="D1542" s="26" t="str">
        <f t="shared" si="276"/>
        <v>MATUTINO</v>
      </c>
      <c r="E1542" s="26" t="str">
        <f>"OYAMEL NO. 17                                                                   "</f>
        <v xml:space="preserve">OYAMEL NO. 17                                                                   </v>
      </c>
      <c r="F1542" s="26" t="str">
        <f>"IZTACALCO                                                                                                                                   "</f>
        <v xml:space="preserve">IZTACALCO                                                                                                                                   </v>
      </c>
      <c r="G1542" s="26" t="str">
        <f t="shared" ref="G1542:G1557" si="285">"IZTACALCO                                                                       "</f>
        <v xml:space="preserve">IZTACALCO                                                                       </v>
      </c>
      <c r="H1542" s="26" t="str">
        <f>"144"</f>
        <v>144</v>
      </c>
      <c r="I1542" s="26" t="str">
        <f t="shared" si="283"/>
        <v>00</v>
      </c>
      <c r="J1542" s="26" t="str">
        <f t="shared" si="284"/>
        <v xml:space="preserve">33 </v>
      </c>
      <c r="K1542" s="26" t="str">
        <f t="shared" si="279"/>
        <v>EP</v>
      </c>
      <c r="L1542" s="26" t="str">
        <f t="shared" si="280"/>
        <v>DGOSE</v>
      </c>
      <c r="M1542" s="26" t="str">
        <f t="shared" si="281"/>
        <v>PARTICULAR</v>
      </c>
      <c r="N1542" s="26">
        <v>53</v>
      </c>
      <c r="O1542" s="26">
        <v>26</v>
      </c>
      <c r="P1542" s="26">
        <v>27</v>
      </c>
      <c r="Q1542" s="26">
        <v>3</v>
      </c>
      <c r="R1542" s="26">
        <v>1</v>
      </c>
      <c r="S1542" s="26">
        <v>3</v>
      </c>
      <c r="T1542" s="26">
        <v>3</v>
      </c>
      <c r="U1542" s="26">
        <v>7</v>
      </c>
      <c r="V1542" s="26">
        <v>1</v>
      </c>
      <c r="W1542" s="26"/>
    </row>
    <row r="1543" spans="1:23" x14ac:dyDescent="0.25">
      <c r="A1543" s="26" t="str">
        <f t="shared" si="282"/>
        <v>PREESCOLAR</v>
      </c>
      <c r="B1543" s="26" t="str">
        <f>"09PJN2560Z"</f>
        <v>09PJN2560Z</v>
      </c>
      <c r="C1543" s="26" t="str">
        <f>"JARDÍN DE NIÑOS CARMEN'S                                                                            "</f>
        <v xml:space="preserve">JARDÍN DE NIÑOS CARMEN'S                                                                            </v>
      </c>
      <c r="D1543" s="26" t="str">
        <f t="shared" si="276"/>
        <v>MATUTINO</v>
      </c>
      <c r="E1543" s="26" t="str">
        <f>"SUR 121 NO. 2508                                                                "</f>
        <v xml:space="preserve">SUR 121 NO. 2508                                                                </v>
      </c>
      <c r="F1543" s="26" t="str">
        <f>"GABRIEL RAMOS MILLAN AMPLIACION                                                                                                             "</f>
        <v xml:space="preserve">GABRIEL RAMOS MILLAN AMPLIACION                                                                                                             </v>
      </c>
      <c r="G1543" s="26" t="str">
        <f t="shared" si="285"/>
        <v xml:space="preserve">IZTACALCO                                                                       </v>
      </c>
      <c r="H1543" s="26" t="str">
        <f>"144"</f>
        <v>144</v>
      </c>
      <c r="I1543" s="26" t="str">
        <f t="shared" si="283"/>
        <v>00</v>
      </c>
      <c r="J1543" s="26" t="str">
        <f t="shared" si="284"/>
        <v xml:space="preserve">33 </v>
      </c>
      <c r="K1543" s="26" t="str">
        <f t="shared" si="279"/>
        <v>EP</v>
      </c>
      <c r="L1543" s="26" t="str">
        <f t="shared" si="280"/>
        <v>DGOSE</v>
      </c>
      <c r="M1543" s="26" t="str">
        <f t="shared" si="281"/>
        <v>PARTICULAR</v>
      </c>
      <c r="N1543" s="26">
        <v>45</v>
      </c>
      <c r="O1543" s="26">
        <v>20</v>
      </c>
      <c r="P1543" s="26">
        <v>25</v>
      </c>
      <c r="Q1543" s="26">
        <v>3</v>
      </c>
      <c r="R1543" s="26">
        <v>1</v>
      </c>
      <c r="S1543" s="26">
        <v>3</v>
      </c>
      <c r="T1543" s="26">
        <v>0</v>
      </c>
      <c r="U1543" s="26">
        <v>4</v>
      </c>
      <c r="V1543" s="26">
        <v>1</v>
      </c>
      <c r="W1543" s="26"/>
    </row>
    <row r="1544" spans="1:23" x14ac:dyDescent="0.25">
      <c r="A1544" s="26" t="str">
        <f t="shared" si="282"/>
        <v>PREESCOLAR</v>
      </c>
      <c r="B1544" s="26" t="str">
        <f>"09PJN2568S"</f>
        <v>09PJN2568S</v>
      </c>
      <c r="C1544" s="26" t="str">
        <f>"ERMILO ABREU GOMEZ                                                                                  "</f>
        <v xml:space="preserve">ERMILO ABREU GOMEZ                                                                                  </v>
      </c>
      <c r="D1544" s="26" t="str">
        <f t="shared" si="276"/>
        <v>MATUTINO</v>
      </c>
      <c r="E1544" s="26" t="str">
        <f>"SUR 26 B NO. 19                                                                 "</f>
        <v xml:space="preserve">SUR 26 B NO. 19                                                                 </v>
      </c>
      <c r="F1544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1544" s="26" t="str">
        <f t="shared" si="285"/>
        <v xml:space="preserve">IZTACALCO                                                                       </v>
      </c>
      <c r="H1544" s="26" t="str">
        <f>"240"</f>
        <v>240</v>
      </c>
      <c r="I1544" s="26" t="str">
        <f t="shared" si="283"/>
        <v>00</v>
      </c>
      <c r="J1544" s="26" t="str">
        <f t="shared" si="284"/>
        <v xml:space="preserve">33 </v>
      </c>
      <c r="K1544" s="26" t="str">
        <f t="shared" si="279"/>
        <v>EP</v>
      </c>
      <c r="L1544" s="26" t="str">
        <f t="shared" si="280"/>
        <v>DGOSE</v>
      </c>
      <c r="M1544" s="26" t="str">
        <f t="shared" si="281"/>
        <v>PARTICULAR</v>
      </c>
      <c r="N1544" s="26">
        <v>36</v>
      </c>
      <c r="O1544" s="26">
        <v>17</v>
      </c>
      <c r="P1544" s="26">
        <v>19</v>
      </c>
      <c r="Q1544" s="26">
        <v>3</v>
      </c>
      <c r="R1544" s="26">
        <v>1</v>
      </c>
      <c r="S1544" s="26">
        <v>3</v>
      </c>
      <c r="T1544" s="26">
        <v>3</v>
      </c>
      <c r="U1544" s="26">
        <v>7</v>
      </c>
      <c r="V1544" s="26">
        <v>1</v>
      </c>
      <c r="W1544" s="26"/>
    </row>
    <row r="1545" spans="1:23" x14ac:dyDescent="0.25">
      <c r="A1545" s="26" t="str">
        <f t="shared" si="282"/>
        <v>PREESCOLAR</v>
      </c>
      <c r="B1545" s="26" t="str">
        <f>"09PJN2571F"</f>
        <v>09PJN2571F</v>
      </c>
      <c r="C1545" s="26" t="str">
        <f>"CHRISTIAN ANDERSEN                                                                                  "</f>
        <v xml:space="preserve">CHRISTIAN ANDERSEN                                                                                  </v>
      </c>
      <c r="D1545" s="26" t="str">
        <f t="shared" si="276"/>
        <v>MATUTINO</v>
      </c>
      <c r="E1545" s="26" t="str">
        <f>"SUR 28 A No. 20                                                                 "</f>
        <v xml:space="preserve">SUR 28 A No. 20                                                                 </v>
      </c>
      <c r="F1545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1545" s="26" t="str">
        <f t="shared" si="285"/>
        <v xml:space="preserve">IZTACALCO                                                                       </v>
      </c>
      <c r="H1545" s="26" t="str">
        <f>"240"</f>
        <v>240</v>
      </c>
      <c r="I1545" s="26" t="str">
        <f t="shared" si="283"/>
        <v>00</v>
      </c>
      <c r="J1545" s="26" t="str">
        <f t="shared" si="284"/>
        <v xml:space="preserve">33 </v>
      </c>
      <c r="K1545" s="26" t="str">
        <f t="shared" si="279"/>
        <v>EP</v>
      </c>
      <c r="L1545" s="26" t="str">
        <f t="shared" si="280"/>
        <v>DGOSE</v>
      </c>
      <c r="M1545" s="26" t="str">
        <f t="shared" si="281"/>
        <v>PARTICULAR</v>
      </c>
      <c r="N1545" s="26">
        <v>17</v>
      </c>
      <c r="O1545" s="26">
        <v>8</v>
      </c>
      <c r="P1545" s="26">
        <v>9</v>
      </c>
      <c r="Q1545" s="26">
        <v>2</v>
      </c>
      <c r="R1545" s="26">
        <v>1</v>
      </c>
      <c r="S1545" s="26">
        <v>2</v>
      </c>
      <c r="T1545" s="26">
        <v>0</v>
      </c>
      <c r="U1545" s="26">
        <v>3</v>
      </c>
      <c r="V1545" s="26">
        <v>1</v>
      </c>
      <c r="W1545" s="26"/>
    </row>
    <row r="1546" spans="1:23" x14ac:dyDescent="0.25">
      <c r="A1546" s="26" t="str">
        <f t="shared" si="282"/>
        <v>PREESCOLAR</v>
      </c>
      <c r="B1546" s="26" t="str">
        <f>"09PJN2575B"</f>
        <v>09PJN2575B</v>
      </c>
      <c r="C1546" s="26" t="str">
        <f>"EL CARACOLITO AZUL                                                                                  "</f>
        <v xml:space="preserve">EL CARACOLITO AZUL                                                                                  </v>
      </c>
      <c r="D1546" s="26" t="str">
        <f t="shared" si="276"/>
        <v>MATUTINO</v>
      </c>
      <c r="E1546" s="26" t="str">
        <f>"SUR 181 NO. 2214                                                                "</f>
        <v xml:space="preserve">SUR 181 NO. 2214                                                                </v>
      </c>
      <c r="F1546" s="26" t="str">
        <f>"GABRIEL RAMOS MILLAN                                                                                                                        "</f>
        <v xml:space="preserve">GABRIEL RAMOS MILLAN                                                                                                                        </v>
      </c>
      <c r="G1546" s="26" t="str">
        <f t="shared" si="285"/>
        <v xml:space="preserve">IZTACALCO                                                                       </v>
      </c>
      <c r="H1546" s="26" t="str">
        <f>"144"</f>
        <v>144</v>
      </c>
      <c r="I1546" s="26" t="str">
        <f t="shared" si="283"/>
        <v>00</v>
      </c>
      <c r="J1546" s="26" t="str">
        <f t="shared" si="284"/>
        <v xml:space="preserve">33 </v>
      </c>
      <c r="K1546" s="26" t="str">
        <f t="shared" si="279"/>
        <v>EP</v>
      </c>
      <c r="L1546" s="26" t="str">
        <f t="shared" si="280"/>
        <v>DGOSE</v>
      </c>
      <c r="M1546" s="26" t="str">
        <f t="shared" si="281"/>
        <v>PARTICULAR</v>
      </c>
      <c r="N1546" s="26">
        <v>21</v>
      </c>
      <c r="O1546" s="26">
        <v>11</v>
      </c>
      <c r="P1546" s="26">
        <v>10</v>
      </c>
      <c r="Q1546" s="26">
        <v>3</v>
      </c>
      <c r="R1546" s="26">
        <v>1</v>
      </c>
      <c r="S1546" s="26">
        <v>3</v>
      </c>
      <c r="T1546" s="26">
        <v>1</v>
      </c>
      <c r="U1546" s="26">
        <v>5</v>
      </c>
      <c r="V1546" s="26">
        <v>1</v>
      </c>
      <c r="W1546" s="26"/>
    </row>
    <row r="1547" spans="1:23" x14ac:dyDescent="0.25">
      <c r="A1547" s="26" t="str">
        <f t="shared" si="282"/>
        <v>PREESCOLAR</v>
      </c>
      <c r="B1547" s="26" t="str">
        <f>"09PJN2577Z"</f>
        <v>09PJN2577Z</v>
      </c>
      <c r="C1547" s="26" t="str">
        <f>"ROLLITO                                                                                             "</f>
        <v xml:space="preserve">ROLLITO                                                                                             </v>
      </c>
      <c r="D1547" s="26" t="str">
        <f t="shared" si="276"/>
        <v>MATUTINO</v>
      </c>
      <c r="E1547" s="26" t="str">
        <f>"SUR 173 No. 2208                                                                "</f>
        <v xml:space="preserve">SUR 173 No. 2208                                                                </v>
      </c>
      <c r="F1547" s="26" t="str">
        <f>"GABRIEL RAMOS MILLAN                                                                                                                        "</f>
        <v xml:space="preserve">GABRIEL RAMOS MILLAN                                                                                                                        </v>
      </c>
      <c r="G1547" s="26" t="str">
        <f t="shared" si="285"/>
        <v xml:space="preserve">IZTACALCO                                                                       </v>
      </c>
      <c r="H1547" s="26" t="str">
        <f>"144"</f>
        <v>144</v>
      </c>
      <c r="I1547" s="26" t="str">
        <f t="shared" si="283"/>
        <v>00</v>
      </c>
      <c r="J1547" s="26" t="str">
        <f t="shared" si="284"/>
        <v xml:space="preserve">33 </v>
      </c>
      <c r="K1547" s="26" t="str">
        <f t="shared" si="279"/>
        <v>EP</v>
      </c>
      <c r="L1547" s="26" t="str">
        <f t="shared" si="280"/>
        <v>DGOSE</v>
      </c>
      <c r="M1547" s="26" t="str">
        <f t="shared" si="281"/>
        <v>PARTICULAR</v>
      </c>
      <c r="N1547" s="26">
        <v>13</v>
      </c>
      <c r="O1547" s="26">
        <v>8</v>
      </c>
      <c r="P1547" s="26">
        <v>5</v>
      </c>
      <c r="Q1547" s="26">
        <v>3</v>
      </c>
      <c r="R1547" s="26">
        <v>1</v>
      </c>
      <c r="S1547" s="26">
        <v>3</v>
      </c>
      <c r="T1547" s="26">
        <v>0</v>
      </c>
      <c r="U1547" s="26">
        <v>4</v>
      </c>
      <c r="V1547" s="26">
        <v>1</v>
      </c>
      <c r="W1547" s="26"/>
    </row>
    <row r="1548" spans="1:23" x14ac:dyDescent="0.25">
      <c r="A1548" s="26" t="str">
        <f t="shared" si="282"/>
        <v>PREESCOLAR</v>
      </c>
      <c r="B1548" s="26" t="str">
        <f>"09PJN2582L"</f>
        <v>09PJN2582L</v>
      </c>
      <c r="C1548" s="26" t="str">
        <f>"HERBART JOHANN F.                                                                                   "</f>
        <v xml:space="preserve">HERBART JOHANN F.                                                                                   </v>
      </c>
      <c r="D1548" s="26" t="str">
        <f t="shared" si="276"/>
        <v>MATUTINO</v>
      </c>
      <c r="E1548" s="26" t="str">
        <f>"ANDRES MOLINA ENRIQUEZ NO. 27                                                   "</f>
        <v xml:space="preserve">ANDRES MOLINA ENRIQUEZ NO. 27                                                   </v>
      </c>
      <c r="F1548" s="26" t="str">
        <f>"SAN PEDRO                                                                                                                                   "</f>
        <v xml:space="preserve">SAN PEDRO                                                                                                                                   </v>
      </c>
      <c r="G1548" s="26" t="str">
        <f t="shared" si="285"/>
        <v xml:space="preserve">IZTACALCO                                                                       </v>
      </c>
      <c r="H1548" s="26" t="str">
        <f>"027"</f>
        <v>027</v>
      </c>
      <c r="I1548" s="26" t="str">
        <f t="shared" si="283"/>
        <v>00</v>
      </c>
      <c r="J1548" s="26" t="str">
        <f t="shared" si="284"/>
        <v xml:space="preserve">33 </v>
      </c>
      <c r="K1548" s="26" t="str">
        <f t="shared" si="279"/>
        <v>EP</v>
      </c>
      <c r="L1548" s="26" t="str">
        <f t="shared" si="280"/>
        <v>DGOSE</v>
      </c>
      <c r="M1548" s="26" t="str">
        <f t="shared" si="281"/>
        <v>PARTICULAR</v>
      </c>
      <c r="N1548" s="26">
        <v>19</v>
      </c>
      <c r="O1548" s="26">
        <v>11</v>
      </c>
      <c r="P1548" s="26">
        <v>8</v>
      </c>
      <c r="Q1548" s="26">
        <v>2</v>
      </c>
      <c r="R1548" s="26">
        <v>1</v>
      </c>
      <c r="S1548" s="26">
        <v>1</v>
      </c>
      <c r="T1548" s="26">
        <v>5</v>
      </c>
      <c r="U1548" s="26">
        <v>7</v>
      </c>
      <c r="V1548" s="26">
        <v>1</v>
      </c>
      <c r="W1548" s="26"/>
    </row>
    <row r="1549" spans="1:23" x14ac:dyDescent="0.25">
      <c r="A1549" s="26" t="str">
        <f t="shared" si="282"/>
        <v>PREESCOLAR</v>
      </c>
      <c r="B1549" s="26" t="str">
        <f>"09PJN2586H"</f>
        <v>09PJN2586H</v>
      </c>
      <c r="C1549" s="26" t="str">
        <f>"ALEGRIA                                                                                             "</f>
        <v xml:space="preserve">ALEGRIA                                                                                             </v>
      </c>
      <c r="D1549" s="26" t="str">
        <f t="shared" si="276"/>
        <v>MATUTINO</v>
      </c>
      <c r="E1549" s="26" t="str">
        <f>"RET. 7 DE SUR 20 No. 35                                                         "</f>
        <v xml:space="preserve">RET. 7 DE SUR 20 No. 35                                                         </v>
      </c>
      <c r="F1549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1549" s="26" t="str">
        <f t="shared" si="285"/>
        <v xml:space="preserve">IZTACALCO                                                                       </v>
      </c>
      <c r="H1549" s="26" t="str">
        <f>"236"</f>
        <v>236</v>
      </c>
      <c r="I1549" s="26" t="str">
        <f t="shared" si="283"/>
        <v>00</v>
      </c>
      <c r="J1549" s="26" t="str">
        <f t="shared" si="284"/>
        <v xml:space="preserve">33 </v>
      </c>
      <c r="K1549" s="26" t="str">
        <f t="shared" si="279"/>
        <v>EP</v>
      </c>
      <c r="L1549" s="26" t="str">
        <f t="shared" si="280"/>
        <v>DGOSE</v>
      </c>
      <c r="M1549" s="26" t="str">
        <f t="shared" si="281"/>
        <v>PARTICULAR</v>
      </c>
      <c r="N1549" s="26">
        <v>9</v>
      </c>
      <c r="O1549" s="26">
        <v>3</v>
      </c>
      <c r="P1549" s="26">
        <v>6</v>
      </c>
      <c r="Q1549" s="26">
        <v>2</v>
      </c>
      <c r="R1549" s="26">
        <v>1</v>
      </c>
      <c r="S1549" s="26">
        <v>2</v>
      </c>
      <c r="T1549" s="26">
        <v>1</v>
      </c>
      <c r="U1549" s="26">
        <v>4</v>
      </c>
      <c r="V1549" s="26">
        <v>1</v>
      </c>
      <c r="W1549" s="26"/>
    </row>
    <row r="1550" spans="1:23" x14ac:dyDescent="0.25">
      <c r="A1550" s="26" t="str">
        <f t="shared" si="282"/>
        <v>PREESCOLAR</v>
      </c>
      <c r="B1550" s="26" t="str">
        <f>"09PJN2587G"</f>
        <v>09PJN2587G</v>
      </c>
      <c r="C1550" s="26" t="str">
        <f>"JARDIN DE NIÑOS WINNICOTT                                                                           "</f>
        <v xml:space="preserve">JARDIN DE NIÑOS WINNICOTT                                                                           </v>
      </c>
      <c r="D1550" s="26" t="str">
        <f t="shared" si="276"/>
        <v>MATUTINO</v>
      </c>
      <c r="E1550" s="26" t="str">
        <f>"PRIVADA CATALINA NO.6                                                           "</f>
        <v xml:space="preserve">PRIVADA CATALINA NO.6                                                           </v>
      </c>
      <c r="F1550" s="26" t="str">
        <f>"AGRICOLA PANTITLAN                                                                                                                          "</f>
        <v xml:space="preserve">AGRICOLA PANTITLAN                                                                                                                          </v>
      </c>
      <c r="G1550" s="26" t="str">
        <f t="shared" si="285"/>
        <v xml:space="preserve">IZTACALCO                                                                       </v>
      </c>
      <c r="H1550" s="26" t="str">
        <f>"143"</f>
        <v>143</v>
      </c>
      <c r="I1550" s="26" t="str">
        <f t="shared" si="283"/>
        <v>00</v>
      </c>
      <c r="J1550" s="26" t="str">
        <f t="shared" si="284"/>
        <v xml:space="preserve">33 </v>
      </c>
      <c r="K1550" s="26" t="str">
        <f t="shared" si="279"/>
        <v>EP</v>
      </c>
      <c r="L1550" s="26" t="str">
        <f t="shared" si="280"/>
        <v>DGOSE</v>
      </c>
      <c r="M1550" s="26" t="str">
        <f t="shared" si="281"/>
        <v>PARTICULAR</v>
      </c>
      <c r="N1550" s="26">
        <v>38</v>
      </c>
      <c r="O1550" s="26">
        <v>19</v>
      </c>
      <c r="P1550" s="26">
        <v>19</v>
      </c>
      <c r="Q1550" s="26">
        <v>3</v>
      </c>
      <c r="R1550" s="26">
        <v>1</v>
      </c>
      <c r="S1550" s="26">
        <v>3</v>
      </c>
      <c r="T1550" s="26">
        <v>0</v>
      </c>
      <c r="U1550" s="26">
        <v>4</v>
      </c>
      <c r="V1550" s="26">
        <v>1</v>
      </c>
      <c r="W1550" s="26"/>
    </row>
    <row r="1551" spans="1:23" x14ac:dyDescent="0.25">
      <c r="A1551" s="26" t="str">
        <f t="shared" si="282"/>
        <v>PREESCOLAR</v>
      </c>
      <c r="B1551" s="26" t="str">
        <f>"09PJN2597N"</f>
        <v>09PJN2597N</v>
      </c>
      <c r="C1551" s="26" t="str">
        <f>"JARDIN DE NIÑOS FUEGO NUEVO                                                                         "</f>
        <v xml:space="preserve">JARDIN DE NIÑOS FUEGO NUEVO                                                                         </v>
      </c>
      <c r="D1551" s="26" t="str">
        <f t="shared" si="276"/>
        <v>MATUTINO</v>
      </c>
      <c r="E1551" s="26" t="str">
        <f>"FRANCISCO I. MADERO NO. 89                                                      "</f>
        <v xml:space="preserve">FRANCISCO I. MADERO NO. 89                                                      </v>
      </c>
      <c r="F1551" s="26" t="str">
        <f>"SAN MIGUEL BARRIO                                                                                                                           "</f>
        <v xml:space="preserve">SAN MIGUEL BARRIO                                                                                                                           </v>
      </c>
      <c r="G1551" s="26" t="str">
        <f t="shared" si="285"/>
        <v xml:space="preserve">IZTACALCO                                                                       </v>
      </c>
      <c r="H1551" s="26" t="str">
        <f>"144"</f>
        <v>144</v>
      </c>
      <c r="I1551" s="26" t="str">
        <f t="shared" si="283"/>
        <v>00</v>
      </c>
      <c r="J1551" s="26" t="str">
        <f t="shared" si="284"/>
        <v xml:space="preserve">33 </v>
      </c>
      <c r="K1551" s="26" t="str">
        <f t="shared" si="279"/>
        <v>EP</v>
      </c>
      <c r="L1551" s="26" t="str">
        <f t="shared" si="280"/>
        <v>DGOSE</v>
      </c>
      <c r="M1551" s="26" t="str">
        <f t="shared" si="281"/>
        <v>PARTICULAR</v>
      </c>
      <c r="N1551" s="26">
        <v>41</v>
      </c>
      <c r="O1551" s="26">
        <v>23</v>
      </c>
      <c r="P1551" s="26">
        <v>18</v>
      </c>
      <c r="Q1551" s="26">
        <v>2</v>
      </c>
      <c r="R1551" s="26">
        <v>1</v>
      </c>
      <c r="S1551" s="26">
        <v>2</v>
      </c>
      <c r="T1551" s="26">
        <v>3</v>
      </c>
      <c r="U1551" s="26">
        <v>6</v>
      </c>
      <c r="V1551" s="26">
        <v>1</v>
      </c>
      <c r="W1551" s="26"/>
    </row>
    <row r="1552" spans="1:23" x14ac:dyDescent="0.25">
      <c r="A1552" s="26" t="str">
        <f t="shared" si="282"/>
        <v>PREESCOLAR</v>
      </c>
      <c r="B1552" s="26" t="str">
        <f>"09PJN2598M"</f>
        <v>09PJN2598M</v>
      </c>
      <c r="C1552" s="26" t="str">
        <f>"ESCUELA MEXICANA DIANA LAURA RIOJAS                                                                 "</f>
        <v xml:space="preserve">ESCUELA MEXICANA DIANA LAURA RIOJAS                                                                 </v>
      </c>
      <c r="D1552" s="26" t="str">
        <f t="shared" si="276"/>
        <v>MATUTINO</v>
      </c>
      <c r="E1552" s="26" t="str">
        <f>"VIADUCTO MIGUEL ALEMAN NO. 393                                                  "</f>
        <v xml:space="preserve">VIADUCTO MIGUEL ALEMAN NO. 393                                                  </v>
      </c>
      <c r="F1552" s="26" t="str">
        <f>"LA CRUZ                                                                                                                                     "</f>
        <v xml:space="preserve">LA CRUZ                                                                                                                                     </v>
      </c>
      <c r="G1552" s="26" t="str">
        <f t="shared" si="285"/>
        <v xml:space="preserve">IZTACALCO                                                                       </v>
      </c>
      <c r="H1552" s="26" t="str">
        <f>"144"</f>
        <v>144</v>
      </c>
      <c r="I1552" s="26" t="str">
        <f t="shared" si="283"/>
        <v>00</v>
      </c>
      <c r="J1552" s="26" t="str">
        <f t="shared" si="284"/>
        <v xml:space="preserve">33 </v>
      </c>
      <c r="K1552" s="26" t="str">
        <f t="shared" si="279"/>
        <v>EP</v>
      </c>
      <c r="L1552" s="26" t="str">
        <f t="shared" si="280"/>
        <v>DGOSE</v>
      </c>
      <c r="M1552" s="26" t="str">
        <f t="shared" si="281"/>
        <v>PARTICULAR</v>
      </c>
      <c r="N1552" s="26">
        <v>9</v>
      </c>
      <c r="O1552" s="26">
        <v>5</v>
      </c>
      <c r="P1552" s="26">
        <v>4</v>
      </c>
      <c r="Q1552" s="26">
        <v>3</v>
      </c>
      <c r="R1552" s="26">
        <v>0</v>
      </c>
      <c r="S1552" s="26">
        <v>3</v>
      </c>
      <c r="T1552" s="26">
        <v>1</v>
      </c>
      <c r="U1552" s="26">
        <v>4</v>
      </c>
      <c r="V1552" s="26">
        <v>1</v>
      </c>
      <c r="W1552" s="26"/>
    </row>
    <row r="1553" spans="1:23" x14ac:dyDescent="0.25">
      <c r="A1553" s="26" t="str">
        <f t="shared" si="282"/>
        <v>PREESCOLAR</v>
      </c>
      <c r="B1553" s="26" t="str">
        <f>"09PJN2599L"</f>
        <v>09PJN2599L</v>
      </c>
      <c r="C1553" s="26" t="str">
        <f>"CENTRO EDUCATIVO MODERNO NITA MIRANDA                                                               "</f>
        <v xml:space="preserve">CENTRO EDUCATIVO MODERNO NITA MIRANDA                                                               </v>
      </c>
      <c r="D1553" s="26" t="str">
        <f t="shared" si="276"/>
        <v>MATUTINO</v>
      </c>
      <c r="E1553" s="26" t="str">
        <f>"TERRAPLEN DE RIO FRIO NO.144                                                    "</f>
        <v xml:space="preserve">TERRAPLEN DE RIO FRIO NO.144                                                    </v>
      </c>
      <c r="F1553" s="26" t="str">
        <f>"LA CRUZ                                                                                                                                     "</f>
        <v xml:space="preserve">LA CRUZ                                                                                                                                     </v>
      </c>
      <c r="G1553" s="26" t="str">
        <f t="shared" si="285"/>
        <v xml:space="preserve">IZTACALCO                                                                       </v>
      </c>
      <c r="H1553" s="26" t="str">
        <f>"144"</f>
        <v>144</v>
      </c>
      <c r="I1553" s="26" t="str">
        <f t="shared" si="283"/>
        <v>00</v>
      </c>
      <c r="J1553" s="26" t="str">
        <f t="shared" si="284"/>
        <v xml:space="preserve">33 </v>
      </c>
      <c r="K1553" s="26" t="str">
        <f t="shared" si="279"/>
        <v>EP</v>
      </c>
      <c r="L1553" s="26" t="str">
        <f t="shared" si="280"/>
        <v>DGOSE</v>
      </c>
      <c r="M1553" s="26" t="str">
        <f t="shared" si="281"/>
        <v>PARTICULAR</v>
      </c>
      <c r="N1553" s="26">
        <v>15</v>
      </c>
      <c r="O1553" s="26">
        <v>4</v>
      </c>
      <c r="P1553" s="26">
        <v>11</v>
      </c>
      <c r="Q1553" s="26">
        <v>2</v>
      </c>
      <c r="R1553" s="26">
        <v>1</v>
      </c>
      <c r="S1553" s="26">
        <v>1</v>
      </c>
      <c r="T1553" s="26">
        <v>5</v>
      </c>
      <c r="U1553" s="26">
        <v>7</v>
      </c>
      <c r="V1553" s="26">
        <v>1</v>
      </c>
      <c r="W1553" s="26"/>
    </row>
    <row r="1554" spans="1:23" x14ac:dyDescent="0.25">
      <c r="A1554" s="26" t="str">
        <f t="shared" si="282"/>
        <v>PREESCOLAR</v>
      </c>
      <c r="B1554" s="26" t="str">
        <f>"09PJN2600K"</f>
        <v>09PJN2600K</v>
      </c>
      <c r="C1554" s="26" t="str">
        <f>"CASA VERDE                                                                                          "</f>
        <v xml:space="preserve">CASA VERDE                                                                                          </v>
      </c>
      <c r="D1554" s="26" t="str">
        <f t="shared" si="276"/>
        <v>MATUTINO</v>
      </c>
      <c r="E1554" s="26" t="str">
        <f>"CALLE 1 NO. 24                                                                  "</f>
        <v xml:space="preserve">CALLE 1 NO. 24                                                                  </v>
      </c>
      <c r="F1554" s="26" t="str">
        <f>"IZTACALCO                                                                                                                                   "</f>
        <v xml:space="preserve">IZTACALCO                                                                                                                                   </v>
      </c>
      <c r="G1554" s="26" t="str">
        <f t="shared" si="285"/>
        <v xml:space="preserve">IZTACALCO                                                                       </v>
      </c>
      <c r="H1554" s="26" t="str">
        <f>"241"</f>
        <v>241</v>
      </c>
      <c r="I1554" s="26" t="str">
        <f t="shared" si="283"/>
        <v>00</v>
      </c>
      <c r="J1554" s="26" t="str">
        <f t="shared" si="284"/>
        <v xml:space="preserve">33 </v>
      </c>
      <c r="K1554" s="26" t="str">
        <f t="shared" si="279"/>
        <v>EP</v>
      </c>
      <c r="L1554" s="26" t="str">
        <f t="shared" si="280"/>
        <v>DGOSE</v>
      </c>
      <c r="M1554" s="26" t="str">
        <f t="shared" si="281"/>
        <v>PARTICULAR</v>
      </c>
      <c r="N1554" s="26">
        <v>82</v>
      </c>
      <c r="O1554" s="26">
        <v>42</v>
      </c>
      <c r="P1554" s="26">
        <v>40</v>
      </c>
      <c r="Q1554" s="26">
        <v>4</v>
      </c>
      <c r="R1554" s="26">
        <v>1</v>
      </c>
      <c r="S1554" s="26">
        <v>4</v>
      </c>
      <c r="T1554" s="26">
        <v>4</v>
      </c>
      <c r="U1554" s="26">
        <v>9</v>
      </c>
      <c r="V1554" s="26">
        <v>1</v>
      </c>
      <c r="W1554" s="26"/>
    </row>
    <row r="1555" spans="1:23" x14ac:dyDescent="0.25">
      <c r="A1555" s="26" t="str">
        <f t="shared" si="282"/>
        <v>PREESCOLAR</v>
      </c>
      <c r="B1555" s="26" t="str">
        <f>"09PJN2602I"</f>
        <v>09PJN2602I</v>
      </c>
      <c r="C1555" s="26" t="str">
        <f>"JARDÍN DE NIÑOS CAMPANITA                                                                           "</f>
        <v xml:space="preserve">JARDÍN DE NIÑOS CAMPANITA                                                                           </v>
      </c>
      <c r="D1555" s="26" t="str">
        <f t="shared" si="276"/>
        <v>MATUTINO</v>
      </c>
      <c r="E1555" s="26" t="str">
        <f>"SUR 159 No. 1714                                                                "</f>
        <v xml:space="preserve">SUR 159 No. 1714                                                                </v>
      </c>
      <c r="F1555" s="26" t="str">
        <f>"GABRIEL RAMOS MILLAN                                                                                                                        "</f>
        <v xml:space="preserve">GABRIEL RAMOS MILLAN                                                                                                                        </v>
      </c>
      <c r="G1555" s="26" t="str">
        <f t="shared" si="285"/>
        <v xml:space="preserve">IZTACALCO                                                                       </v>
      </c>
      <c r="H1555" s="26" t="str">
        <f>"144"</f>
        <v>144</v>
      </c>
      <c r="I1555" s="26" t="str">
        <f t="shared" si="283"/>
        <v>00</v>
      </c>
      <c r="J1555" s="26" t="str">
        <f t="shared" si="284"/>
        <v xml:space="preserve">33 </v>
      </c>
      <c r="K1555" s="26" t="str">
        <f t="shared" si="279"/>
        <v>EP</v>
      </c>
      <c r="L1555" s="26" t="str">
        <f t="shared" si="280"/>
        <v>DGOSE</v>
      </c>
      <c r="M1555" s="26" t="str">
        <f t="shared" si="281"/>
        <v>PARTICULAR</v>
      </c>
      <c r="N1555" s="26">
        <v>57</v>
      </c>
      <c r="O1555" s="26">
        <v>26</v>
      </c>
      <c r="P1555" s="26">
        <v>31</v>
      </c>
      <c r="Q1555" s="26">
        <v>3</v>
      </c>
      <c r="R1555" s="26">
        <v>1</v>
      </c>
      <c r="S1555" s="26">
        <v>3</v>
      </c>
      <c r="T1555" s="26">
        <v>2</v>
      </c>
      <c r="U1555" s="26">
        <v>6</v>
      </c>
      <c r="V1555" s="26">
        <v>1</v>
      </c>
      <c r="W1555" s="26"/>
    </row>
    <row r="1556" spans="1:23" x14ac:dyDescent="0.25">
      <c r="A1556" s="26" t="str">
        <f t="shared" si="282"/>
        <v>PREESCOLAR</v>
      </c>
      <c r="B1556" s="26" t="str">
        <f>"09PJN2607D"</f>
        <v>09PJN2607D</v>
      </c>
      <c r="C1556" s="26" t="str">
        <f>"MARIA MONTESSORI                                                                                    "</f>
        <v xml:space="preserve">MARIA MONTESSORI                                                                                    </v>
      </c>
      <c r="D1556" s="26" t="str">
        <f t="shared" si="276"/>
        <v>MATUTINO</v>
      </c>
      <c r="E1556" s="26" t="str">
        <f>"CALLE 7 NO. 272                                                                 "</f>
        <v xml:space="preserve">CALLE 7 NO. 272                                                                 </v>
      </c>
      <c r="F1556" s="26" t="str">
        <f>"IZTACALCO                                                                                                                                   "</f>
        <v xml:space="preserve">IZTACALCO                                                                                                                                   </v>
      </c>
      <c r="G1556" s="26" t="str">
        <f t="shared" si="285"/>
        <v xml:space="preserve">IZTACALCO                                                                       </v>
      </c>
      <c r="H1556" s="26" t="str">
        <f>"241"</f>
        <v>241</v>
      </c>
      <c r="I1556" s="26" t="str">
        <f t="shared" si="283"/>
        <v>00</v>
      </c>
      <c r="J1556" s="26" t="str">
        <f t="shared" si="284"/>
        <v xml:space="preserve">33 </v>
      </c>
      <c r="K1556" s="26" t="str">
        <f t="shared" si="279"/>
        <v>EP</v>
      </c>
      <c r="L1556" s="26" t="str">
        <f t="shared" si="280"/>
        <v>DGOSE</v>
      </c>
      <c r="M1556" s="26" t="str">
        <f t="shared" si="281"/>
        <v>PARTICULAR</v>
      </c>
      <c r="N1556" s="26">
        <v>25</v>
      </c>
      <c r="O1556" s="26">
        <v>7</v>
      </c>
      <c r="P1556" s="26">
        <v>18</v>
      </c>
      <c r="Q1556" s="26">
        <v>3</v>
      </c>
      <c r="R1556" s="26">
        <v>1</v>
      </c>
      <c r="S1556" s="26">
        <v>3</v>
      </c>
      <c r="T1556" s="26">
        <v>6</v>
      </c>
      <c r="U1556" s="26">
        <v>10</v>
      </c>
      <c r="V1556" s="26">
        <v>1</v>
      </c>
      <c r="W1556" s="26"/>
    </row>
    <row r="1557" spans="1:23" x14ac:dyDescent="0.25">
      <c r="A1557" s="26" t="str">
        <f t="shared" si="282"/>
        <v>PREESCOLAR</v>
      </c>
      <c r="B1557" s="26" t="str">
        <f>"09PJN2608C"</f>
        <v>09PJN2608C</v>
      </c>
      <c r="C1557" s="26" t="str">
        <f>"INSTITUTO TONANTZIN                                                                                 "</f>
        <v xml:space="preserve">INSTITUTO TONANTZIN                                                                                 </v>
      </c>
      <c r="D1557" s="26" t="str">
        <f>"TIEMPO COMPLETO"</f>
        <v>TIEMPO COMPLETO</v>
      </c>
      <c r="E1557" s="26" t="str">
        <f>"AV. NORTE NO. 9                                                                 "</f>
        <v xml:space="preserve">AV. NORTE NO. 9                                                                 </v>
      </c>
      <c r="F1557" s="26" t="str">
        <f>"AGRICOLA PANTITLAN                                                                                                                          "</f>
        <v xml:space="preserve">AGRICOLA PANTITLAN                                                                                                                          </v>
      </c>
      <c r="G1557" s="26" t="str">
        <f t="shared" si="285"/>
        <v xml:space="preserve">IZTACALCO                                                                       </v>
      </c>
      <c r="H1557" s="26" t="str">
        <f>"143"</f>
        <v>143</v>
      </c>
      <c r="I1557" s="26" t="str">
        <f t="shared" si="283"/>
        <v>00</v>
      </c>
      <c r="J1557" s="26" t="str">
        <f t="shared" si="284"/>
        <v xml:space="preserve">33 </v>
      </c>
      <c r="K1557" s="26" t="str">
        <f t="shared" si="279"/>
        <v>EP</v>
      </c>
      <c r="L1557" s="26" t="str">
        <f t="shared" si="280"/>
        <v>DGOSE</v>
      </c>
      <c r="M1557" s="26" t="str">
        <f t="shared" si="281"/>
        <v>PARTICULAR</v>
      </c>
      <c r="N1557" s="26">
        <v>40</v>
      </c>
      <c r="O1557" s="26">
        <v>23</v>
      </c>
      <c r="P1557" s="26">
        <v>17</v>
      </c>
      <c r="Q1557" s="26">
        <v>3</v>
      </c>
      <c r="R1557" s="26">
        <v>1</v>
      </c>
      <c r="S1557" s="26">
        <v>3</v>
      </c>
      <c r="T1557" s="26">
        <v>1</v>
      </c>
      <c r="U1557" s="26">
        <v>5</v>
      </c>
      <c r="V1557" s="26">
        <v>1</v>
      </c>
      <c r="W1557" s="26"/>
    </row>
    <row r="1558" spans="1:23" x14ac:dyDescent="0.25">
      <c r="A1558" s="26" t="str">
        <f t="shared" si="282"/>
        <v>PREESCOLAR</v>
      </c>
      <c r="B1558" s="26" t="str">
        <f>"09PJN2610R"</f>
        <v>09PJN2610R</v>
      </c>
      <c r="C1558" s="26" t="str">
        <f>"CANDY                                                                                               "</f>
        <v xml:space="preserve">CANDY                                                                                               </v>
      </c>
      <c r="D1558" s="26" t="str">
        <f t="shared" ref="D1558:D1621" si="286">"MATUTINO"</f>
        <v>MATUTINO</v>
      </c>
      <c r="E1558" s="26" t="str">
        <f>"1A. CERRADA DE BENITO JUAREZ NO. 5                                              "</f>
        <v xml:space="preserve">1A. CERRADA DE BENITO JUAREZ NO. 5                                              </v>
      </c>
      <c r="F1558" s="26" t="str">
        <f>"EL TANQUE                                                                                                                                   "</f>
        <v xml:space="preserve">EL TANQUE                                                                                                                                   </v>
      </c>
      <c r="G1558" s="26" t="str">
        <f>"LA MAGDALENA CONTRERAS                                                          "</f>
        <v xml:space="preserve">LA MAGDALENA CONTRERAS                                                          </v>
      </c>
      <c r="H1558" s="26" t="str">
        <f>"066"</f>
        <v>066</v>
      </c>
      <c r="I1558" s="26" t="str">
        <f t="shared" si="283"/>
        <v>00</v>
      </c>
      <c r="J1558" s="26" t="str">
        <f>"35 "</f>
        <v xml:space="preserve">35 </v>
      </c>
      <c r="K1558" s="26" t="str">
        <f t="shared" si="279"/>
        <v>EP</v>
      </c>
      <c r="L1558" s="26" t="str">
        <f t="shared" si="280"/>
        <v>DGOSE</v>
      </c>
      <c r="M1558" s="26" t="str">
        <f t="shared" si="281"/>
        <v>PARTICULAR</v>
      </c>
      <c r="N1558" s="26">
        <v>11</v>
      </c>
      <c r="O1558" s="26">
        <v>8</v>
      </c>
      <c r="P1558" s="26">
        <v>3</v>
      </c>
      <c r="Q1558" s="26">
        <v>2</v>
      </c>
      <c r="R1558" s="26">
        <v>1</v>
      </c>
      <c r="S1558" s="26">
        <v>2</v>
      </c>
      <c r="T1558" s="26">
        <v>0</v>
      </c>
      <c r="U1558" s="26">
        <v>3</v>
      </c>
      <c r="V1558" s="26">
        <v>1</v>
      </c>
      <c r="W1558" s="26"/>
    </row>
    <row r="1559" spans="1:23" x14ac:dyDescent="0.25">
      <c r="A1559" s="26" t="str">
        <f t="shared" si="282"/>
        <v>PREESCOLAR</v>
      </c>
      <c r="B1559" s="26" t="str">
        <f>"09PJN2612P"</f>
        <v>09PJN2612P</v>
      </c>
      <c r="C1559" s="26" t="str">
        <f>"JUAN DE JAUREGUI                                                                                    "</f>
        <v xml:space="preserve">JUAN DE JAUREGUI                                                                                    </v>
      </c>
      <c r="D1559" s="26" t="str">
        <f t="shared" si="286"/>
        <v>MATUTINO</v>
      </c>
      <c r="E1559" s="26" t="str">
        <f>"EMILIANO ZAPATA No. 11                                                          "</f>
        <v xml:space="preserve">EMILIANO ZAPATA No. 11                                                          </v>
      </c>
      <c r="F1559" s="26" t="str">
        <f>"LOMAS QUEBRADAS                                                                                                                             "</f>
        <v xml:space="preserve">LOMAS QUEBRADAS                                                                                                                             </v>
      </c>
      <c r="G1559" s="26" t="str">
        <f>"LA MAGDALENA CONTRERAS                                                          "</f>
        <v xml:space="preserve">LA MAGDALENA CONTRERAS                                                          </v>
      </c>
      <c r="H1559" s="26" t="str">
        <f>"066"</f>
        <v>066</v>
      </c>
      <c r="I1559" s="26" t="str">
        <f t="shared" si="283"/>
        <v>00</v>
      </c>
      <c r="J1559" s="26" t="str">
        <f>"35 "</f>
        <v xml:space="preserve">35 </v>
      </c>
      <c r="K1559" s="26" t="str">
        <f t="shared" si="279"/>
        <v>EP</v>
      </c>
      <c r="L1559" s="26" t="str">
        <f t="shared" si="280"/>
        <v>DGOSE</v>
      </c>
      <c r="M1559" s="26" t="str">
        <f t="shared" si="281"/>
        <v>PARTICULAR</v>
      </c>
      <c r="N1559" s="26">
        <v>12</v>
      </c>
      <c r="O1559" s="26">
        <v>3</v>
      </c>
      <c r="P1559" s="26">
        <v>9</v>
      </c>
      <c r="Q1559" s="26">
        <v>3</v>
      </c>
      <c r="R1559" s="26">
        <v>1</v>
      </c>
      <c r="S1559" s="26">
        <v>2</v>
      </c>
      <c r="T1559" s="26">
        <v>5</v>
      </c>
      <c r="U1559" s="26">
        <v>8</v>
      </c>
      <c r="V1559" s="26">
        <v>1</v>
      </c>
      <c r="W1559" s="26"/>
    </row>
    <row r="1560" spans="1:23" x14ac:dyDescent="0.25">
      <c r="A1560" s="26" t="str">
        <f t="shared" si="282"/>
        <v>PREESCOLAR</v>
      </c>
      <c r="B1560" s="26" t="str">
        <f>"09PJN2614N"</f>
        <v>09PJN2614N</v>
      </c>
      <c r="C1560" s="26" t="str">
        <f>"COLEGIO GIOCOSA                                                                                     "</f>
        <v xml:space="preserve">COLEGIO GIOCOSA                                                                                     </v>
      </c>
      <c r="D1560" s="26" t="str">
        <f t="shared" si="286"/>
        <v>MATUTINO</v>
      </c>
      <c r="E1560" s="26" t="str">
        <f>"PASEO DEL PEDREGAL NO. 907                                                      "</f>
        <v xml:space="preserve">PASEO DEL PEDREGAL NO. 907                                                      </v>
      </c>
      <c r="F1560" s="26" t="str">
        <f>"JARDINES DEL PEDREGAL                                                                                                                       "</f>
        <v xml:space="preserve">JARDINES DEL PEDREGAL                                                                                                                       </v>
      </c>
      <c r="G1560" s="26" t="str">
        <f>"ALVARO OBREGON                                                                  "</f>
        <v xml:space="preserve">ALVARO OBREGON                                                                  </v>
      </c>
      <c r="H1560" s="26" t="str">
        <f>"150"</f>
        <v>150</v>
      </c>
      <c r="I1560" s="26" t="str">
        <f t="shared" si="283"/>
        <v>00</v>
      </c>
      <c r="J1560" s="26" t="str">
        <f>"33 "</f>
        <v xml:space="preserve">33 </v>
      </c>
      <c r="K1560" s="26" t="str">
        <f t="shared" si="279"/>
        <v>EP</v>
      </c>
      <c r="L1560" s="26" t="str">
        <f t="shared" si="280"/>
        <v>DGOSE</v>
      </c>
      <c r="M1560" s="26" t="str">
        <f t="shared" si="281"/>
        <v>PARTICULAR</v>
      </c>
      <c r="N1560" s="26">
        <v>21</v>
      </c>
      <c r="O1560" s="26">
        <v>11</v>
      </c>
      <c r="P1560" s="26">
        <v>10</v>
      </c>
      <c r="Q1560" s="26">
        <v>3</v>
      </c>
      <c r="R1560" s="26">
        <v>1</v>
      </c>
      <c r="S1560" s="26">
        <v>3</v>
      </c>
      <c r="T1560" s="26">
        <v>2</v>
      </c>
      <c r="U1560" s="26">
        <v>6</v>
      </c>
      <c r="V1560" s="26">
        <v>1</v>
      </c>
      <c r="W1560" s="26"/>
    </row>
    <row r="1561" spans="1:23" x14ac:dyDescent="0.25">
      <c r="A1561" s="26" t="str">
        <f t="shared" si="282"/>
        <v>PREESCOLAR</v>
      </c>
      <c r="B1561" s="26" t="str">
        <f>"09PJN2615M"</f>
        <v>09PJN2615M</v>
      </c>
      <c r="C1561" s="26" t="str">
        <f>"CENTRO EDUCATIVO FEDERICO GARCIA LORCA                                                              "</f>
        <v xml:space="preserve">CENTRO EDUCATIVO FEDERICO GARCIA LORCA                                                              </v>
      </c>
      <c r="D1561" s="26" t="str">
        <f t="shared" si="286"/>
        <v>MATUTINO</v>
      </c>
      <c r="E1561" s="26" t="str">
        <f>"AV. MEXICO NO. 578                                                              "</f>
        <v xml:space="preserve">AV. MEXICO NO. 578                                                              </v>
      </c>
      <c r="F1561" s="26" t="str">
        <f>"SAN JERONIMO ACULCO                                                                                                                         "</f>
        <v xml:space="preserve">SAN JERONIMO ACULCO                                                                                                                         </v>
      </c>
      <c r="G1561" s="26" t="str">
        <f>"LA MAGDALENA CONTRERAS                                                          "</f>
        <v xml:space="preserve">LA MAGDALENA CONTRERAS                                                          </v>
      </c>
      <c r="H1561" s="26" t="str">
        <f>"113"</f>
        <v>113</v>
      </c>
      <c r="I1561" s="26" t="str">
        <f t="shared" si="283"/>
        <v>00</v>
      </c>
      <c r="J1561" s="26" t="str">
        <f t="shared" ref="J1561:J1572" si="287">"35 "</f>
        <v xml:space="preserve">35 </v>
      </c>
      <c r="K1561" s="26" t="str">
        <f t="shared" si="279"/>
        <v>EP</v>
      </c>
      <c r="L1561" s="26" t="str">
        <f t="shared" si="280"/>
        <v>DGOSE</v>
      </c>
      <c r="M1561" s="26" t="str">
        <f t="shared" si="281"/>
        <v>PARTICULAR</v>
      </c>
      <c r="N1561" s="26">
        <v>18</v>
      </c>
      <c r="O1561" s="26">
        <v>7</v>
      </c>
      <c r="P1561" s="26">
        <v>11</v>
      </c>
      <c r="Q1561" s="26">
        <v>3</v>
      </c>
      <c r="R1561" s="26">
        <v>1</v>
      </c>
      <c r="S1561" s="26">
        <v>3</v>
      </c>
      <c r="T1561" s="26">
        <v>6</v>
      </c>
      <c r="U1561" s="26">
        <v>10</v>
      </c>
      <c r="V1561" s="26">
        <v>1</v>
      </c>
      <c r="W1561" s="26"/>
    </row>
    <row r="1562" spans="1:23" x14ac:dyDescent="0.25">
      <c r="A1562" s="26" t="str">
        <f t="shared" si="282"/>
        <v>PREESCOLAR</v>
      </c>
      <c r="B1562" s="26" t="str">
        <f>"09PJN2616L"</f>
        <v>09PJN2616L</v>
      </c>
      <c r="C1562" s="26" t="str">
        <f>"COLORES                                                                                             "</f>
        <v xml:space="preserve">COLORES                                                                                             </v>
      </c>
      <c r="D1562" s="26" t="str">
        <f t="shared" si="286"/>
        <v>MATUTINO</v>
      </c>
      <c r="E1562" s="26" t="str">
        <f>"LOMA BONITA NO. 55 (ANTES 70).                                                  "</f>
        <v xml:space="preserve">LOMA BONITA NO. 55 (ANTES 70).                                                  </v>
      </c>
      <c r="F1562" s="26" t="str">
        <f>"SAN JERONIMO ACULCO                                                                                                                         "</f>
        <v xml:space="preserve">SAN JERONIMO ACULCO                                                                                                                         </v>
      </c>
      <c r="G1562" s="26" t="str">
        <f>"LA MAGDALENA CONTRERAS                                                          "</f>
        <v xml:space="preserve">LA MAGDALENA CONTRERAS                                                          </v>
      </c>
      <c r="H1562" s="26" t="str">
        <f>"113"</f>
        <v>113</v>
      </c>
      <c r="I1562" s="26" t="str">
        <f t="shared" si="283"/>
        <v>00</v>
      </c>
      <c r="J1562" s="26" t="str">
        <f t="shared" si="287"/>
        <v xml:space="preserve">35 </v>
      </c>
      <c r="K1562" s="26" t="str">
        <f t="shared" si="279"/>
        <v>EP</v>
      </c>
      <c r="L1562" s="26" t="str">
        <f t="shared" si="280"/>
        <v>DGOSE</v>
      </c>
      <c r="M1562" s="26" t="str">
        <f t="shared" si="281"/>
        <v>PARTICULAR</v>
      </c>
      <c r="N1562" s="26">
        <v>32</v>
      </c>
      <c r="O1562" s="26">
        <v>17</v>
      </c>
      <c r="P1562" s="26">
        <v>15</v>
      </c>
      <c r="Q1562" s="26">
        <v>3</v>
      </c>
      <c r="R1562" s="26">
        <v>1</v>
      </c>
      <c r="S1562" s="26">
        <v>3</v>
      </c>
      <c r="T1562" s="26">
        <v>10</v>
      </c>
      <c r="U1562" s="26">
        <v>14</v>
      </c>
      <c r="V1562" s="26">
        <v>1</v>
      </c>
      <c r="W1562" s="26"/>
    </row>
    <row r="1563" spans="1:23" x14ac:dyDescent="0.25">
      <c r="A1563" s="26" t="str">
        <f t="shared" si="282"/>
        <v>PREESCOLAR</v>
      </c>
      <c r="B1563" s="26" t="str">
        <f>"09PJN2623V"</f>
        <v>09PJN2623V</v>
      </c>
      <c r="C1563" s="26" t="str">
        <f>"XOCHILHUITL                                                                                         "</f>
        <v xml:space="preserve">XOCHILHUITL                                                                                         </v>
      </c>
      <c r="D1563" s="26" t="str">
        <f t="shared" si="286"/>
        <v>MATUTINO</v>
      </c>
      <c r="E1563" s="26" t="str">
        <f>"AV. HIDALGO NO. 12                                                              "</f>
        <v xml:space="preserve">AV. HIDALGO NO. 12                                                              </v>
      </c>
      <c r="F1563" s="26" t="str">
        <f>"SAN ANTONIO TECOMITL                                                                                                                        "</f>
        <v xml:space="preserve">SAN ANTONIO TECOMITL                                                                                                                        </v>
      </c>
      <c r="G1563" s="26" t="str">
        <f>"MILPA ALTA                                                                      "</f>
        <v xml:space="preserve">MILPA ALTA                                                                      </v>
      </c>
      <c r="H1563" s="26" t="str">
        <f>"141"</f>
        <v>141</v>
      </c>
      <c r="I1563" s="26" t="str">
        <f t="shared" si="283"/>
        <v>00</v>
      </c>
      <c r="J1563" s="26" t="str">
        <f t="shared" si="287"/>
        <v xml:space="preserve">35 </v>
      </c>
      <c r="K1563" s="26" t="str">
        <f t="shared" si="279"/>
        <v>EP</v>
      </c>
      <c r="L1563" s="26" t="str">
        <f t="shared" si="280"/>
        <v>DGOSE</v>
      </c>
      <c r="M1563" s="26" t="str">
        <f t="shared" si="281"/>
        <v>PARTICULAR</v>
      </c>
      <c r="N1563" s="26">
        <v>34</v>
      </c>
      <c r="O1563" s="26">
        <v>21</v>
      </c>
      <c r="P1563" s="26">
        <v>13</v>
      </c>
      <c r="Q1563" s="26">
        <v>3</v>
      </c>
      <c r="R1563" s="26">
        <v>1</v>
      </c>
      <c r="S1563" s="26">
        <v>3</v>
      </c>
      <c r="T1563" s="26">
        <v>2</v>
      </c>
      <c r="U1563" s="26">
        <v>6</v>
      </c>
      <c r="V1563" s="26">
        <v>1</v>
      </c>
      <c r="W1563" s="26"/>
    </row>
    <row r="1564" spans="1:23" x14ac:dyDescent="0.25">
      <c r="A1564" s="26" t="str">
        <f t="shared" si="282"/>
        <v>PREESCOLAR</v>
      </c>
      <c r="B1564" s="26" t="str">
        <f>"09PJN2624U"</f>
        <v>09PJN2624U</v>
      </c>
      <c r="C1564" s="26" t="str">
        <f>"PLAN DE AYALA                                                                                       "</f>
        <v xml:space="preserve">PLAN DE AYALA                                                                                       </v>
      </c>
      <c r="D1564" s="26" t="str">
        <f t="shared" si="286"/>
        <v>MATUTINO</v>
      </c>
      <c r="E1564" s="26" t="str">
        <f>"MORELOS NO. 118                                                                 "</f>
        <v xml:space="preserve">MORELOS NO. 118                                                                 </v>
      </c>
      <c r="F1564" s="26" t="str">
        <f>"SAN PABLO OZTOTEPEC                                                                                                                         "</f>
        <v xml:space="preserve">SAN PABLO OZTOTEPEC                                                                                                                         </v>
      </c>
      <c r="G1564" s="26" t="str">
        <f>"MILPA ALTA                                                                      "</f>
        <v xml:space="preserve">MILPA ALTA                                                                      </v>
      </c>
      <c r="H1564" s="26" t="str">
        <f>"104"</f>
        <v>104</v>
      </c>
      <c r="I1564" s="26" t="str">
        <f t="shared" si="283"/>
        <v>00</v>
      </c>
      <c r="J1564" s="26" t="str">
        <f t="shared" si="287"/>
        <v xml:space="preserve">35 </v>
      </c>
      <c r="K1564" s="26" t="str">
        <f t="shared" si="279"/>
        <v>EP</v>
      </c>
      <c r="L1564" s="26" t="str">
        <f t="shared" si="280"/>
        <v>DGOSE</v>
      </c>
      <c r="M1564" s="26" t="str">
        <f t="shared" si="281"/>
        <v>PARTICULAR</v>
      </c>
      <c r="N1564" s="26">
        <v>21</v>
      </c>
      <c r="O1564" s="26">
        <v>9</v>
      </c>
      <c r="P1564" s="26">
        <v>12</v>
      </c>
      <c r="Q1564" s="26">
        <v>2</v>
      </c>
      <c r="R1564" s="26">
        <v>1</v>
      </c>
      <c r="S1564" s="26">
        <v>2</v>
      </c>
      <c r="T1564" s="26">
        <v>1</v>
      </c>
      <c r="U1564" s="26">
        <v>4</v>
      </c>
      <c r="V1564" s="26">
        <v>1</v>
      </c>
      <c r="W1564" s="26"/>
    </row>
    <row r="1565" spans="1:23" x14ac:dyDescent="0.25">
      <c r="A1565" s="26" t="str">
        <f t="shared" si="282"/>
        <v>PREESCOLAR</v>
      </c>
      <c r="B1565" s="26" t="str">
        <f>"09PJN2627R"</f>
        <v>09PJN2627R</v>
      </c>
      <c r="C1565" s="26" t="str">
        <f>"JARDIN DE NIÑOS TECELTICAN                                                                          "</f>
        <v xml:space="preserve">JARDIN DE NIÑOS TECELTICAN                                                                          </v>
      </c>
      <c r="D1565" s="26" t="str">
        <f t="shared" si="286"/>
        <v>MATUTINO</v>
      </c>
      <c r="E1565" s="26" t="str">
        <f>"CAMINO A PIEDRA DEL COMAL NO.15                                                 "</f>
        <v xml:space="preserve">CAMINO A PIEDRA DEL COMAL NO.15                                                 </v>
      </c>
      <c r="F1565" s="26" t="str">
        <f>"TEPEPAN AMPLIACION                                                                                                                          "</f>
        <v xml:space="preserve">TEPEPAN AMPLIACION                                                                                                                          </v>
      </c>
      <c r="G1565" s="26" t="str">
        <f t="shared" ref="G1565:G1572" si="288">"XOCHIMILCO                                                                      "</f>
        <v xml:space="preserve">XOCHIMILCO                                                                      </v>
      </c>
      <c r="H1565" s="26" t="str">
        <f>"081"</f>
        <v>081</v>
      </c>
      <c r="I1565" s="26" t="str">
        <f t="shared" si="283"/>
        <v>00</v>
      </c>
      <c r="J1565" s="26" t="str">
        <f t="shared" si="287"/>
        <v xml:space="preserve">35 </v>
      </c>
      <c r="K1565" s="26" t="str">
        <f t="shared" si="279"/>
        <v>EP</v>
      </c>
      <c r="L1565" s="26" t="str">
        <f t="shared" si="280"/>
        <v>DGOSE</v>
      </c>
      <c r="M1565" s="26" t="str">
        <f t="shared" si="281"/>
        <v>PARTICULAR</v>
      </c>
      <c r="N1565" s="26">
        <v>16</v>
      </c>
      <c r="O1565" s="26">
        <v>8</v>
      </c>
      <c r="P1565" s="26">
        <v>8</v>
      </c>
      <c r="Q1565" s="26">
        <v>3</v>
      </c>
      <c r="R1565" s="26">
        <v>1</v>
      </c>
      <c r="S1565" s="26">
        <v>2</v>
      </c>
      <c r="T1565" s="26">
        <v>5</v>
      </c>
      <c r="U1565" s="26">
        <v>8</v>
      </c>
      <c r="V1565" s="26">
        <v>1</v>
      </c>
      <c r="W1565" s="26"/>
    </row>
    <row r="1566" spans="1:23" x14ac:dyDescent="0.25">
      <c r="A1566" s="26" t="str">
        <f t="shared" si="282"/>
        <v>PREESCOLAR</v>
      </c>
      <c r="B1566" s="26" t="str">
        <f>"09PJN2629P"</f>
        <v>09PJN2629P</v>
      </c>
      <c r="C1566" s="26" t="str">
        <f>"COLEGIO RENACIMIENTO DEL SUR                                                                        "</f>
        <v xml:space="preserve">COLEGIO RENACIMIENTO DEL SUR                                                                        </v>
      </c>
      <c r="D1566" s="26" t="str">
        <f t="shared" si="286"/>
        <v>MATUTINO</v>
      </c>
      <c r="E1566" s="26" t="str">
        <f>"ANTIGUA CARRETTERA XOCH-TULYEH NO. 694                                          "</f>
        <v xml:space="preserve">ANTIGUA CARRETTERA XOCH-TULYEH NO. 694                                          </v>
      </c>
      <c r="F1566" s="26" t="str">
        <f>"SANTA MARIA NATIVITAS                                                                                                                       "</f>
        <v xml:space="preserve">SANTA MARIA NATIVITAS                                                                                                                       </v>
      </c>
      <c r="G1566" s="26" t="str">
        <f t="shared" si="288"/>
        <v xml:space="preserve">XOCHIMILCO                                                                      </v>
      </c>
      <c r="H1566" s="26" t="str">
        <f>"053"</f>
        <v>053</v>
      </c>
      <c r="I1566" s="26" t="str">
        <f t="shared" si="283"/>
        <v>00</v>
      </c>
      <c r="J1566" s="26" t="str">
        <f t="shared" si="287"/>
        <v xml:space="preserve">35 </v>
      </c>
      <c r="K1566" s="26" t="str">
        <f t="shared" si="279"/>
        <v>EP</v>
      </c>
      <c r="L1566" s="26" t="str">
        <f t="shared" si="280"/>
        <v>DGOSE</v>
      </c>
      <c r="M1566" s="26" t="str">
        <f t="shared" si="281"/>
        <v>PARTICULAR</v>
      </c>
      <c r="N1566" s="26">
        <v>44</v>
      </c>
      <c r="O1566" s="26">
        <v>23</v>
      </c>
      <c r="P1566" s="26">
        <v>21</v>
      </c>
      <c r="Q1566" s="26">
        <v>3</v>
      </c>
      <c r="R1566" s="26">
        <v>1</v>
      </c>
      <c r="S1566" s="26">
        <v>2</v>
      </c>
      <c r="T1566" s="26">
        <v>6</v>
      </c>
      <c r="U1566" s="26">
        <v>9</v>
      </c>
      <c r="V1566" s="26">
        <v>1</v>
      </c>
      <c r="W1566" s="26"/>
    </row>
    <row r="1567" spans="1:23" x14ac:dyDescent="0.25">
      <c r="A1567" s="26" t="str">
        <f t="shared" si="282"/>
        <v>PREESCOLAR</v>
      </c>
      <c r="B1567" s="26" t="str">
        <f>"09PJN2630E"</f>
        <v>09PJN2630E</v>
      </c>
      <c r="C1567" s="26" t="str">
        <f>"CENTRO PEDAGOGICO XOCHIMILCO                                                                        "</f>
        <v xml:space="preserve">CENTRO PEDAGOGICO XOCHIMILCO                                                                        </v>
      </c>
      <c r="D1567" s="26" t="str">
        <f t="shared" si="286"/>
        <v>MATUTINO</v>
      </c>
      <c r="E1567" s="26" t="str">
        <f>"PROLONG. 16 DE SEPTIEMBRE No. 70                                                "</f>
        <v xml:space="preserve">PROLONG. 16 DE SEPTIEMBRE No. 70                                                </v>
      </c>
      <c r="F1567" s="26" t="str">
        <f>"XALTOCAN                                                                                                                                    "</f>
        <v xml:space="preserve">XALTOCAN                                                                                                                                    </v>
      </c>
      <c r="G1567" s="26" t="str">
        <f t="shared" si="288"/>
        <v xml:space="preserve">XOCHIMILCO                                                                      </v>
      </c>
      <c r="H1567" s="26" t="str">
        <f>"053"</f>
        <v>053</v>
      </c>
      <c r="I1567" s="26" t="str">
        <f t="shared" si="283"/>
        <v>00</v>
      </c>
      <c r="J1567" s="26" t="str">
        <f t="shared" si="287"/>
        <v xml:space="preserve">35 </v>
      </c>
      <c r="K1567" s="26" t="str">
        <f t="shared" si="279"/>
        <v>EP</v>
      </c>
      <c r="L1567" s="26" t="str">
        <f t="shared" si="280"/>
        <v>DGOSE</v>
      </c>
      <c r="M1567" s="26" t="str">
        <f t="shared" si="281"/>
        <v>PARTICULAR</v>
      </c>
      <c r="N1567" s="26">
        <v>25</v>
      </c>
      <c r="O1567" s="26">
        <v>11</v>
      </c>
      <c r="P1567" s="26">
        <v>14</v>
      </c>
      <c r="Q1567" s="26">
        <v>3</v>
      </c>
      <c r="R1567" s="26">
        <v>1</v>
      </c>
      <c r="S1567" s="26">
        <v>2</v>
      </c>
      <c r="T1567" s="26">
        <v>7</v>
      </c>
      <c r="U1567" s="26">
        <v>10</v>
      </c>
      <c r="V1567" s="26">
        <v>1</v>
      </c>
      <c r="W1567" s="26"/>
    </row>
    <row r="1568" spans="1:23" x14ac:dyDescent="0.25">
      <c r="A1568" s="26" t="str">
        <f t="shared" si="282"/>
        <v>PREESCOLAR</v>
      </c>
      <c r="B1568" s="26" t="str">
        <f>"09PJN2634A"</f>
        <v>09PJN2634A</v>
      </c>
      <c r="C1568" s="26" t="str">
        <f>"PROFR. JOSE FARIAS GALINDO                                                                          "</f>
        <v xml:space="preserve">PROFR. JOSE FARIAS GALINDO                                                                          </v>
      </c>
      <c r="D1568" s="26" t="str">
        <f t="shared" si="286"/>
        <v>MATUTINO</v>
      </c>
      <c r="E1568" s="26" t="str">
        <f>"VIOLETA NO.9                                                                    "</f>
        <v xml:space="preserve">VIOLETA NO.9                                                                    </v>
      </c>
      <c r="F1568" s="26" t="str">
        <f>"LA GUADALUPITA                                                                                                                              "</f>
        <v xml:space="preserve">LA GUADALUPITA                                                                                                                              </v>
      </c>
      <c r="G1568" s="26" t="str">
        <f t="shared" si="288"/>
        <v xml:space="preserve">XOCHIMILCO                                                                      </v>
      </c>
      <c r="H1568" s="26" t="str">
        <f>"033"</f>
        <v>033</v>
      </c>
      <c r="I1568" s="26" t="str">
        <f t="shared" si="283"/>
        <v>00</v>
      </c>
      <c r="J1568" s="26" t="str">
        <f t="shared" si="287"/>
        <v xml:space="preserve">35 </v>
      </c>
      <c r="K1568" s="26" t="str">
        <f t="shared" si="279"/>
        <v>EP</v>
      </c>
      <c r="L1568" s="26" t="str">
        <f t="shared" si="280"/>
        <v>DGOSE</v>
      </c>
      <c r="M1568" s="26" t="str">
        <f t="shared" si="281"/>
        <v>PARTICULAR</v>
      </c>
      <c r="N1568" s="26">
        <v>10</v>
      </c>
      <c r="O1568" s="26">
        <v>6</v>
      </c>
      <c r="P1568" s="26">
        <v>4</v>
      </c>
      <c r="Q1568" s="26">
        <v>3</v>
      </c>
      <c r="R1568" s="26">
        <v>1</v>
      </c>
      <c r="S1568" s="26">
        <v>2</v>
      </c>
      <c r="T1568" s="26">
        <v>1</v>
      </c>
      <c r="U1568" s="26">
        <v>4</v>
      </c>
      <c r="V1568" s="26">
        <v>1</v>
      </c>
      <c r="W1568" s="26"/>
    </row>
    <row r="1569" spans="1:23" x14ac:dyDescent="0.25">
      <c r="A1569" s="26" t="str">
        <f t="shared" si="282"/>
        <v>PREESCOLAR</v>
      </c>
      <c r="B1569" s="26" t="str">
        <f>"09PJN2637Y"</f>
        <v>09PJN2637Y</v>
      </c>
      <c r="C1569" s="26" t="str">
        <f>"JARDIN DE NIÑOS MARTIN DE LA CRUZ                                                                   "</f>
        <v xml:space="preserve">JARDIN DE NIÑOS MARTIN DE LA CRUZ                                                                   </v>
      </c>
      <c r="D1569" s="26" t="str">
        <f t="shared" si="286"/>
        <v>MATUTINO</v>
      </c>
      <c r="E1569" s="26" t="str">
        <f>"AV. DE LAS GARGOLAS NO. 110                                                     "</f>
        <v xml:space="preserve">AV. DE LAS GARGOLAS NO. 110                                                     </v>
      </c>
      <c r="F1569" s="26" t="str">
        <f>"JARDINES DEL SUR FRACCIONAMIENTO                                                                                                            "</f>
        <v xml:space="preserve">JARDINES DEL SUR FRACCIONAMIENTO                                                                                                            </v>
      </c>
      <c r="G1569" s="26" t="str">
        <f t="shared" si="288"/>
        <v xml:space="preserve">XOCHIMILCO                                                                      </v>
      </c>
      <c r="H1569" s="26" t="str">
        <f>"084"</f>
        <v>084</v>
      </c>
      <c r="I1569" s="26" t="str">
        <f t="shared" si="283"/>
        <v>00</v>
      </c>
      <c r="J1569" s="26" t="str">
        <f t="shared" si="287"/>
        <v xml:space="preserve">35 </v>
      </c>
      <c r="K1569" s="26" t="str">
        <f t="shared" si="279"/>
        <v>EP</v>
      </c>
      <c r="L1569" s="26" t="str">
        <f t="shared" si="280"/>
        <v>DGOSE</v>
      </c>
      <c r="M1569" s="26" t="str">
        <f t="shared" si="281"/>
        <v>PARTICULAR</v>
      </c>
      <c r="N1569" s="26">
        <v>59</v>
      </c>
      <c r="O1569" s="26">
        <v>26</v>
      </c>
      <c r="P1569" s="26">
        <v>33</v>
      </c>
      <c r="Q1569" s="26">
        <v>3</v>
      </c>
      <c r="R1569" s="26">
        <v>1</v>
      </c>
      <c r="S1569" s="26">
        <v>3</v>
      </c>
      <c r="T1569" s="26">
        <v>10</v>
      </c>
      <c r="U1569" s="26">
        <v>14</v>
      </c>
      <c r="V1569" s="26">
        <v>1</v>
      </c>
      <c r="W1569" s="26"/>
    </row>
    <row r="1570" spans="1:23" x14ac:dyDescent="0.25">
      <c r="A1570" s="26" t="str">
        <f t="shared" si="282"/>
        <v>PREESCOLAR</v>
      </c>
      <c r="B1570" s="26" t="str">
        <f>"09PJN2638X"</f>
        <v>09PJN2638X</v>
      </c>
      <c r="C1570" s="26" t="str">
        <f>"INSTITUTO CANADIENSE CLARAC                                                                         "</f>
        <v xml:space="preserve">INSTITUTO CANADIENSE CLARAC                                                                         </v>
      </c>
      <c r="D1570" s="26" t="str">
        <f t="shared" si="286"/>
        <v>MATUTINO</v>
      </c>
      <c r="E1570" s="26" t="str">
        <f>"CARRETERA A SAN PABLO NO. 374                                                   "</f>
        <v xml:space="preserve">CARRETERA A SAN PABLO NO. 374                                                   </v>
      </c>
      <c r="F1570" s="26" t="str">
        <f>"XOCHIMILCO                                                                                                                                  "</f>
        <v xml:space="preserve">XOCHIMILCO                                                                                                                                  </v>
      </c>
      <c r="G1570" s="26" t="str">
        <f t="shared" si="288"/>
        <v xml:space="preserve">XOCHIMILCO                                                                      </v>
      </c>
      <c r="H1570" s="26" t="str">
        <f>"052"</f>
        <v>052</v>
      </c>
      <c r="I1570" s="26" t="str">
        <f t="shared" si="283"/>
        <v>00</v>
      </c>
      <c r="J1570" s="26" t="str">
        <f t="shared" si="287"/>
        <v xml:space="preserve">35 </v>
      </c>
      <c r="K1570" s="26" t="str">
        <f t="shared" si="279"/>
        <v>EP</v>
      </c>
      <c r="L1570" s="26" t="str">
        <f t="shared" si="280"/>
        <v>DGOSE</v>
      </c>
      <c r="M1570" s="26" t="str">
        <f t="shared" si="281"/>
        <v>PARTICULAR</v>
      </c>
      <c r="N1570" s="26">
        <v>98</v>
      </c>
      <c r="O1570" s="26">
        <v>44</v>
      </c>
      <c r="P1570" s="26">
        <v>54</v>
      </c>
      <c r="Q1570" s="26">
        <v>6</v>
      </c>
      <c r="R1570" s="26">
        <v>1</v>
      </c>
      <c r="S1570" s="26">
        <v>6</v>
      </c>
      <c r="T1570" s="26">
        <v>11</v>
      </c>
      <c r="U1570" s="26">
        <v>18</v>
      </c>
      <c r="V1570" s="26">
        <v>1</v>
      </c>
      <c r="W1570" s="26"/>
    </row>
    <row r="1571" spans="1:23" x14ac:dyDescent="0.25">
      <c r="A1571" s="26" t="str">
        <f t="shared" si="282"/>
        <v>PREESCOLAR</v>
      </c>
      <c r="B1571" s="26" t="str">
        <f>"09PJN2641K"</f>
        <v>09PJN2641K</v>
      </c>
      <c r="C1571" s="26" t="str">
        <f>"COLEGIO EUTERPE                                                                                     "</f>
        <v xml:space="preserve">COLEGIO EUTERPE                                                                                     </v>
      </c>
      <c r="D1571" s="26" t="str">
        <f t="shared" si="286"/>
        <v>MATUTINO</v>
      </c>
      <c r="E1571" s="26" t="str">
        <f>"2A. CERRADA DE ALDAMA S/N. LT. 4                                                "</f>
        <v xml:space="preserve">2A. CERRADA DE ALDAMA S/N. LT. 4                                                </v>
      </c>
      <c r="F1571" s="26" t="str">
        <f>"PASEOS DEL SUR                                                                                                                              "</f>
        <v xml:space="preserve">PASEOS DEL SUR                                                                                                                              </v>
      </c>
      <c r="G1571" s="26" t="str">
        <f t="shared" si="288"/>
        <v xml:space="preserve">XOCHIMILCO                                                                      </v>
      </c>
      <c r="H1571" s="26" t="str">
        <f>"172"</f>
        <v>172</v>
      </c>
      <c r="I1571" s="26" t="str">
        <f t="shared" si="283"/>
        <v>00</v>
      </c>
      <c r="J1571" s="26" t="str">
        <f t="shared" si="287"/>
        <v xml:space="preserve">35 </v>
      </c>
      <c r="K1571" s="26" t="str">
        <f t="shared" si="279"/>
        <v>EP</v>
      </c>
      <c r="L1571" s="26" t="str">
        <f t="shared" si="280"/>
        <v>DGOSE</v>
      </c>
      <c r="M1571" s="26" t="str">
        <f t="shared" si="281"/>
        <v>PARTICULAR</v>
      </c>
      <c r="N1571" s="26">
        <v>35</v>
      </c>
      <c r="O1571" s="26">
        <v>18</v>
      </c>
      <c r="P1571" s="26">
        <v>17</v>
      </c>
      <c r="Q1571" s="26">
        <v>3</v>
      </c>
      <c r="R1571" s="26">
        <v>1</v>
      </c>
      <c r="S1571" s="26">
        <v>3</v>
      </c>
      <c r="T1571" s="26">
        <v>2</v>
      </c>
      <c r="U1571" s="26">
        <v>6</v>
      </c>
      <c r="V1571" s="26">
        <v>1</v>
      </c>
      <c r="W1571" s="26"/>
    </row>
    <row r="1572" spans="1:23" x14ac:dyDescent="0.25">
      <c r="A1572" s="26" t="str">
        <f t="shared" si="282"/>
        <v>PREESCOLAR</v>
      </c>
      <c r="B1572" s="26" t="str">
        <f>"09PJN2642J"</f>
        <v>09PJN2642J</v>
      </c>
      <c r="C1572" s="26" t="str">
        <f>"JARDÍN DE NIÑOS BOSQUE DEL SUR                                                                      "</f>
        <v xml:space="preserve">JARDÍN DE NIÑOS BOSQUE DEL SUR                                                                      </v>
      </c>
      <c r="D1572" s="26" t="str">
        <f t="shared" si="286"/>
        <v>MATUTINO</v>
      </c>
      <c r="E1572" s="26" t="str">
        <f>"SAN LORENZO NO. 11                                                              "</f>
        <v xml:space="preserve">SAN LORENZO NO. 11                                                              </v>
      </c>
      <c r="F1572" s="26" t="str">
        <f>"BOSQUE RESIDENCIAL DEL SUR                                                                                                                  "</f>
        <v xml:space="preserve">BOSQUE RESIDENCIAL DEL SUR                                                                                                                  </v>
      </c>
      <c r="G1572" s="26" t="str">
        <f t="shared" si="288"/>
        <v xml:space="preserve">XOCHIMILCO                                                                      </v>
      </c>
      <c r="H1572" s="26" t="str">
        <f>"172"</f>
        <v>172</v>
      </c>
      <c r="I1572" s="26" t="str">
        <f t="shared" si="283"/>
        <v>00</v>
      </c>
      <c r="J1572" s="26" t="str">
        <f t="shared" si="287"/>
        <v xml:space="preserve">35 </v>
      </c>
      <c r="K1572" s="26" t="str">
        <f t="shared" si="279"/>
        <v>EP</v>
      </c>
      <c r="L1572" s="26" t="str">
        <f t="shared" si="280"/>
        <v>DGOSE</v>
      </c>
      <c r="M1572" s="26" t="str">
        <f t="shared" si="281"/>
        <v>PARTICULAR</v>
      </c>
      <c r="N1572" s="26">
        <v>44</v>
      </c>
      <c r="O1572" s="26">
        <v>23</v>
      </c>
      <c r="P1572" s="26">
        <v>21</v>
      </c>
      <c r="Q1572" s="26">
        <v>3</v>
      </c>
      <c r="R1572" s="26">
        <v>1</v>
      </c>
      <c r="S1572" s="26">
        <v>3</v>
      </c>
      <c r="T1572" s="26">
        <v>5</v>
      </c>
      <c r="U1572" s="26">
        <v>9</v>
      </c>
      <c r="V1572" s="26">
        <v>1</v>
      </c>
      <c r="W1572" s="26"/>
    </row>
    <row r="1573" spans="1:23" x14ac:dyDescent="0.25">
      <c r="A1573" s="26" t="str">
        <f t="shared" si="282"/>
        <v>PREESCOLAR</v>
      </c>
      <c r="B1573" s="26" t="str">
        <f>"09PJN2646F"</f>
        <v>09PJN2646F</v>
      </c>
      <c r="C1573" s="26" t="str">
        <f>"MONTESSORI CALMECAC                                                                                 "</f>
        <v xml:space="preserve">MONTESSORI CALMECAC                                                                                 </v>
      </c>
      <c r="D1573" s="26" t="str">
        <f t="shared" si="286"/>
        <v>MATUTINO</v>
      </c>
      <c r="E1573" s="26" t="str">
        <f>"EMPERADORES No. 22                                                              "</f>
        <v xml:space="preserve">EMPERADORES No. 22                                                              </v>
      </c>
      <c r="F1573" s="26" t="str">
        <f>"PORTALES                                                                                                                                    "</f>
        <v xml:space="preserve">PORTALES                                                                                                                                    </v>
      </c>
      <c r="G1573" s="26" t="str">
        <f>"BENITO JUAREZ                                                                   "</f>
        <v xml:space="preserve">BENITO JUAREZ                                                                   </v>
      </c>
      <c r="H1573" s="26" t="str">
        <f>"234"</f>
        <v>234</v>
      </c>
      <c r="I1573" s="26" t="str">
        <f t="shared" si="283"/>
        <v>00</v>
      </c>
      <c r="J1573" s="26" t="str">
        <f>"33 "</f>
        <v xml:space="preserve">33 </v>
      </c>
      <c r="K1573" s="26" t="str">
        <f t="shared" si="279"/>
        <v>EP</v>
      </c>
      <c r="L1573" s="26" t="str">
        <f t="shared" si="280"/>
        <v>DGOSE</v>
      </c>
      <c r="M1573" s="26" t="str">
        <f t="shared" si="281"/>
        <v>PARTICULAR</v>
      </c>
      <c r="N1573" s="26">
        <v>3</v>
      </c>
      <c r="O1573" s="26">
        <v>1</v>
      </c>
      <c r="P1573" s="26">
        <v>2</v>
      </c>
      <c r="Q1573" s="26">
        <v>1</v>
      </c>
      <c r="R1573" s="26">
        <v>1</v>
      </c>
      <c r="S1573" s="26">
        <v>1</v>
      </c>
      <c r="T1573" s="26">
        <v>2</v>
      </c>
      <c r="U1573" s="26">
        <v>4</v>
      </c>
      <c r="V1573" s="26">
        <v>1</v>
      </c>
      <c r="W1573" s="26"/>
    </row>
    <row r="1574" spans="1:23" x14ac:dyDescent="0.25">
      <c r="A1574" s="26" t="str">
        <f t="shared" si="282"/>
        <v>PREESCOLAR</v>
      </c>
      <c r="B1574" s="26" t="str">
        <f>"09PJN2652Q"</f>
        <v>09PJN2652Q</v>
      </c>
      <c r="C1574" s="26" t="str">
        <f>"JARDIN DE NIÑOS GARFIELD                                                                            "</f>
        <v xml:space="preserve">JARDIN DE NIÑOS GARFIELD                                                                            </v>
      </c>
      <c r="D1574" s="26" t="str">
        <f t="shared" si="286"/>
        <v>MATUTINO</v>
      </c>
      <c r="E1574" s="26" t="str">
        <f>"LOUISIANA NO. 123                                                               "</f>
        <v xml:space="preserve">LOUISIANA NO. 123                                                               </v>
      </c>
      <c r="F1574" s="26" t="str">
        <f>"NAPOLES                                                                                                                                     "</f>
        <v xml:space="preserve">NAPOLES                                                                                                                                     </v>
      </c>
      <c r="G1574" s="26" t="str">
        <f>"BENITO JUAREZ                                                                   "</f>
        <v xml:space="preserve">BENITO JUAREZ                                                                   </v>
      </c>
      <c r="H1574" s="26" t="str">
        <f>"032"</f>
        <v>032</v>
      </c>
      <c r="I1574" s="26" t="str">
        <f t="shared" si="283"/>
        <v>00</v>
      </c>
      <c r="J1574" s="26" t="str">
        <f>"33 "</f>
        <v xml:space="preserve">33 </v>
      </c>
      <c r="K1574" s="26" t="str">
        <f t="shared" si="279"/>
        <v>EP</v>
      </c>
      <c r="L1574" s="26" t="str">
        <f t="shared" si="280"/>
        <v>DGOSE</v>
      </c>
      <c r="M1574" s="26" t="str">
        <f t="shared" si="281"/>
        <v>PARTICULAR</v>
      </c>
      <c r="N1574" s="26">
        <v>23</v>
      </c>
      <c r="O1574" s="26">
        <v>16</v>
      </c>
      <c r="P1574" s="26">
        <v>7</v>
      </c>
      <c r="Q1574" s="26">
        <v>3</v>
      </c>
      <c r="R1574" s="26">
        <v>1</v>
      </c>
      <c r="S1574" s="26">
        <v>2</v>
      </c>
      <c r="T1574" s="26">
        <v>4</v>
      </c>
      <c r="U1574" s="26">
        <v>7</v>
      </c>
      <c r="V1574" s="26">
        <v>1</v>
      </c>
      <c r="W1574" s="26"/>
    </row>
    <row r="1575" spans="1:23" x14ac:dyDescent="0.25">
      <c r="A1575" s="26" t="str">
        <f t="shared" si="282"/>
        <v>PREESCOLAR</v>
      </c>
      <c r="B1575" s="26" t="str">
        <f>"09PJN2657L"</f>
        <v>09PJN2657L</v>
      </c>
      <c r="C1575" s="26" t="str">
        <f>"COLEGIO ASTURIAS                                                                                    "</f>
        <v xml:space="preserve">COLEGIO ASTURIAS                                                                                    </v>
      </c>
      <c r="D1575" s="26" t="str">
        <f t="shared" si="286"/>
        <v>MATUTINO</v>
      </c>
      <c r="E1575" s="26" t="str">
        <f>"SUR 69 NO. 3010                                                                 "</f>
        <v xml:space="preserve">SUR 69 NO. 3010                                                                 </v>
      </c>
      <c r="F1575" s="26" t="str">
        <f>"ASTURIAS                                                                                                                                    "</f>
        <v xml:space="preserve">ASTURIAS                                                                                                                                    </v>
      </c>
      <c r="G1575" s="26" t="s">
        <v>4128</v>
      </c>
      <c r="H1575" s="26" t="str">
        <f>"022"</f>
        <v>022</v>
      </c>
      <c r="I1575" s="26" t="str">
        <f t="shared" si="283"/>
        <v>00</v>
      </c>
      <c r="J1575" s="26" t="str">
        <f t="shared" ref="J1575:J1589" si="289">"32 "</f>
        <v xml:space="preserve">32 </v>
      </c>
      <c r="K1575" s="26" t="str">
        <f t="shared" si="279"/>
        <v>EP</v>
      </c>
      <c r="L1575" s="26" t="str">
        <f t="shared" si="280"/>
        <v>DGOSE</v>
      </c>
      <c r="M1575" s="26" t="str">
        <f t="shared" si="281"/>
        <v>PARTICULAR</v>
      </c>
      <c r="N1575" s="26">
        <v>64</v>
      </c>
      <c r="O1575" s="26">
        <v>31</v>
      </c>
      <c r="P1575" s="26">
        <v>33</v>
      </c>
      <c r="Q1575" s="26">
        <v>3</v>
      </c>
      <c r="R1575" s="26">
        <v>1</v>
      </c>
      <c r="S1575" s="26">
        <v>3</v>
      </c>
      <c r="T1575" s="26">
        <v>8</v>
      </c>
      <c r="U1575" s="26">
        <v>12</v>
      </c>
      <c r="V1575" s="26">
        <v>1</v>
      </c>
      <c r="W1575" s="26"/>
    </row>
    <row r="1576" spans="1:23" x14ac:dyDescent="0.25">
      <c r="A1576" s="26" t="str">
        <f t="shared" si="282"/>
        <v>PREESCOLAR</v>
      </c>
      <c r="B1576" s="26" t="str">
        <f>"09PJN2663W"</f>
        <v>09PJN2663W</v>
      </c>
      <c r="C1576" s="26" t="str">
        <f>"JARDIN DE NIÑOS ELVIS                                                                               "</f>
        <v xml:space="preserve">JARDIN DE NIÑOS ELVIS                                                                               </v>
      </c>
      <c r="D1576" s="26" t="str">
        <f t="shared" si="286"/>
        <v>MATUTINO</v>
      </c>
      <c r="E1576" s="26" t="str">
        <f>"GONZALEZ ORTEGA NO. 105 ESQ. AV.TRAB.                                           "</f>
        <v xml:space="preserve">GONZALEZ ORTEGA NO. 105 ESQ. AV.TRAB.                                           </v>
      </c>
      <c r="F1576" s="26" t="str">
        <f>"MORELOS                                                                                                                                     "</f>
        <v xml:space="preserve">MORELOS                                                                                                                                     </v>
      </c>
      <c r="G1576" s="26" t="s">
        <v>4128</v>
      </c>
      <c r="H1576" s="26" t="str">
        <f>"204"</f>
        <v>204</v>
      </c>
      <c r="I1576" s="26" t="str">
        <f t="shared" si="283"/>
        <v>00</v>
      </c>
      <c r="J1576" s="26" t="str">
        <f t="shared" si="289"/>
        <v xml:space="preserve">32 </v>
      </c>
      <c r="K1576" s="26" t="str">
        <f t="shared" si="279"/>
        <v>EP</v>
      </c>
      <c r="L1576" s="26" t="str">
        <f t="shared" si="280"/>
        <v>DGOSE</v>
      </c>
      <c r="M1576" s="26" t="str">
        <f t="shared" si="281"/>
        <v>PARTICULAR</v>
      </c>
      <c r="N1576" s="26">
        <v>20</v>
      </c>
      <c r="O1576" s="26">
        <v>13</v>
      </c>
      <c r="P1576" s="26">
        <v>7</v>
      </c>
      <c r="Q1576" s="26">
        <v>2</v>
      </c>
      <c r="R1576" s="26">
        <v>1</v>
      </c>
      <c r="S1576" s="26">
        <v>1</v>
      </c>
      <c r="T1576" s="26">
        <v>3</v>
      </c>
      <c r="U1576" s="26">
        <v>5</v>
      </c>
      <c r="V1576" s="26">
        <v>1</v>
      </c>
      <c r="W1576" s="26"/>
    </row>
    <row r="1577" spans="1:23" x14ac:dyDescent="0.25">
      <c r="A1577" s="26" t="str">
        <f t="shared" si="282"/>
        <v>PREESCOLAR</v>
      </c>
      <c r="B1577" s="26" t="str">
        <f>"09PJN2666T"</f>
        <v>09PJN2666T</v>
      </c>
      <c r="C1577" s="26" t="str">
        <f>"JARDIN DE NIÑOS MA.RI.PY                                                                            "</f>
        <v xml:space="preserve">JARDIN DE NIÑOS MA.RI.PY                                                                            </v>
      </c>
      <c r="D1577" s="26" t="str">
        <f t="shared" si="286"/>
        <v>MATUTINO</v>
      </c>
      <c r="E1577" s="26" t="str">
        <f>"CEDRO NO. 68                                                                    "</f>
        <v xml:space="preserve">CEDRO NO. 68                                                                    </v>
      </c>
      <c r="F1577" s="26" t="str">
        <f>"SANTA MARIA LA RIBERA                                                                                                                       "</f>
        <v xml:space="preserve">SANTA MARIA LA RIBERA                                                                                                                       </v>
      </c>
      <c r="G1577" s="26" t="s">
        <v>4128</v>
      </c>
      <c r="H1577" s="26" t="str">
        <f>"203"</f>
        <v>203</v>
      </c>
      <c r="I1577" s="26" t="str">
        <f t="shared" si="283"/>
        <v>00</v>
      </c>
      <c r="J1577" s="26" t="str">
        <f t="shared" si="289"/>
        <v xml:space="preserve">32 </v>
      </c>
      <c r="K1577" s="26" t="str">
        <f t="shared" si="279"/>
        <v>EP</v>
      </c>
      <c r="L1577" s="26" t="str">
        <f t="shared" si="280"/>
        <v>DGOSE</v>
      </c>
      <c r="M1577" s="26" t="str">
        <f t="shared" si="281"/>
        <v>PARTICULAR</v>
      </c>
      <c r="N1577" s="26">
        <v>28</v>
      </c>
      <c r="O1577" s="26">
        <v>12</v>
      </c>
      <c r="P1577" s="26">
        <v>16</v>
      </c>
      <c r="Q1577" s="26">
        <v>3</v>
      </c>
      <c r="R1577" s="26">
        <v>1</v>
      </c>
      <c r="S1577" s="26">
        <v>2</v>
      </c>
      <c r="T1577" s="26">
        <v>2</v>
      </c>
      <c r="U1577" s="26">
        <v>5</v>
      </c>
      <c r="V1577" s="26">
        <v>1</v>
      </c>
      <c r="W1577" s="26"/>
    </row>
    <row r="1578" spans="1:23" x14ac:dyDescent="0.25">
      <c r="A1578" s="26" t="str">
        <f t="shared" si="282"/>
        <v>PREESCOLAR</v>
      </c>
      <c r="B1578" s="26" t="str">
        <f>"09PJN2668R"</f>
        <v>09PJN2668R</v>
      </c>
      <c r="C1578" s="26" t="str">
        <f>"HOGAR ACTIVO DESARROLLO INTEGRAL INFANTIL (H.A.D.I.I.)                                              "</f>
        <v xml:space="preserve">HOGAR ACTIVO DESARROLLO INTEGRAL INFANTIL (H.A.D.I.I.)                                              </v>
      </c>
      <c r="D1578" s="26" t="str">
        <f t="shared" si="286"/>
        <v>MATUTINO</v>
      </c>
      <c r="E1578" s="26" t="str">
        <f>"JOSE ANTONIO ALZATE NO. 132                                                     "</f>
        <v xml:space="preserve">JOSE ANTONIO ALZATE NO. 132                                                     </v>
      </c>
      <c r="F1578" s="26" t="str">
        <f>"SANTA MARIA LA RIBERA                                                                                                                       "</f>
        <v xml:space="preserve">SANTA MARIA LA RIBERA                                                                                                                       </v>
      </c>
      <c r="G1578" s="26" t="s">
        <v>4128</v>
      </c>
      <c r="H1578" s="26" t="str">
        <f>"203"</f>
        <v>203</v>
      </c>
      <c r="I1578" s="26" t="str">
        <f t="shared" si="283"/>
        <v>00</v>
      </c>
      <c r="J1578" s="26" t="str">
        <f t="shared" si="289"/>
        <v xml:space="preserve">32 </v>
      </c>
      <c r="K1578" s="26" t="str">
        <f t="shared" si="279"/>
        <v>EP</v>
      </c>
      <c r="L1578" s="26" t="str">
        <f t="shared" si="280"/>
        <v>DGOSE</v>
      </c>
      <c r="M1578" s="26" t="str">
        <f t="shared" si="281"/>
        <v>PARTICULAR</v>
      </c>
      <c r="N1578" s="26">
        <v>83</v>
      </c>
      <c r="O1578" s="26">
        <v>46</v>
      </c>
      <c r="P1578" s="26">
        <v>37</v>
      </c>
      <c r="Q1578" s="26">
        <v>3</v>
      </c>
      <c r="R1578" s="26">
        <v>1</v>
      </c>
      <c r="S1578" s="26">
        <v>3</v>
      </c>
      <c r="T1578" s="26">
        <v>10</v>
      </c>
      <c r="U1578" s="26">
        <v>14</v>
      </c>
      <c r="V1578" s="26">
        <v>1</v>
      </c>
      <c r="W1578" s="26"/>
    </row>
    <row r="1579" spans="1:23" x14ac:dyDescent="0.25">
      <c r="A1579" s="26" t="str">
        <f t="shared" si="282"/>
        <v>PREESCOLAR</v>
      </c>
      <c r="B1579" s="26" t="str">
        <f>"09PJN2670F"</f>
        <v>09PJN2670F</v>
      </c>
      <c r="C1579" s="26" t="str">
        <f>"JARDÍN DE NIÑOS BONDDY                                                                              "</f>
        <v xml:space="preserve">JARDÍN DE NIÑOS BONDDY                                                                              </v>
      </c>
      <c r="D1579" s="26" t="str">
        <f t="shared" si="286"/>
        <v>MATUTINO</v>
      </c>
      <c r="E1579" s="26" t="str">
        <f>"LORENZO BOTURINI NO. 139                                                        "</f>
        <v xml:space="preserve">LORENZO BOTURINI NO. 139                                                        </v>
      </c>
      <c r="F1579" s="26" t="str">
        <f>"OBRERA                                                                                                                                      "</f>
        <v xml:space="preserve">OBRERA                                                                                                                                      </v>
      </c>
      <c r="G1579" s="26" t="s">
        <v>4128</v>
      </c>
      <c r="H1579" s="26" t="str">
        <f>"022"</f>
        <v>022</v>
      </c>
      <c r="I1579" s="26" t="str">
        <f t="shared" si="283"/>
        <v>00</v>
      </c>
      <c r="J1579" s="26" t="str">
        <f t="shared" si="289"/>
        <v xml:space="preserve">32 </v>
      </c>
      <c r="K1579" s="26" t="str">
        <f t="shared" si="279"/>
        <v>EP</v>
      </c>
      <c r="L1579" s="26" t="str">
        <f t="shared" si="280"/>
        <v>DGOSE</v>
      </c>
      <c r="M1579" s="26" t="str">
        <f t="shared" si="281"/>
        <v>PARTICULAR</v>
      </c>
      <c r="N1579" s="26">
        <v>9</v>
      </c>
      <c r="O1579" s="26">
        <v>4</v>
      </c>
      <c r="P1579" s="26">
        <v>5</v>
      </c>
      <c r="Q1579" s="26">
        <v>3</v>
      </c>
      <c r="R1579" s="26">
        <v>1</v>
      </c>
      <c r="S1579" s="26">
        <v>1</v>
      </c>
      <c r="T1579" s="26">
        <v>0</v>
      </c>
      <c r="U1579" s="26">
        <v>2</v>
      </c>
      <c r="V1579" s="26">
        <v>1</v>
      </c>
      <c r="W1579" s="26"/>
    </row>
    <row r="1580" spans="1:23" x14ac:dyDescent="0.25">
      <c r="A1580" s="26" t="str">
        <f t="shared" si="282"/>
        <v>PREESCOLAR</v>
      </c>
      <c r="B1580" s="26" t="str">
        <f>"09PJN2674B"</f>
        <v>09PJN2674B</v>
      </c>
      <c r="C1580" s="26" t="str">
        <f>"EL CASTILLITO                                                                                       "</f>
        <v xml:space="preserve">EL CASTILLITO                                                                                       </v>
      </c>
      <c r="D1580" s="26" t="str">
        <f t="shared" si="286"/>
        <v>MATUTINO</v>
      </c>
      <c r="E1580" s="26" t="str">
        <f>"FRAY JUAN DE TORQUEMADA NO. 87-A                                                "</f>
        <v xml:space="preserve">FRAY JUAN DE TORQUEMADA NO. 87-A                                                </v>
      </c>
      <c r="F1580" s="26" t="str">
        <f>"OBRERA                                                                                                                                      "</f>
        <v xml:space="preserve">OBRERA                                                                                                                                      </v>
      </c>
      <c r="G1580" s="26" t="s">
        <v>4128</v>
      </c>
      <c r="H1580" s="26" t="str">
        <f>"204"</f>
        <v>204</v>
      </c>
      <c r="I1580" s="26" t="str">
        <f t="shared" si="283"/>
        <v>00</v>
      </c>
      <c r="J1580" s="26" t="str">
        <f t="shared" si="289"/>
        <v xml:space="preserve">32 </v>
      </c>
      <c r="K1580" s="26" t="str">
        <f t="shared" si="279"/>
        <v>EP</v>
      </c>
      <c r="L1580" s="26" t="str">
        <f t="shared" si="280"/>
        <v>DGOSE</v>
      </c>
      <c r="M1580" s="26" t="str">
        <f t="shared" si="281"/>
        <v>PARTICULAR</v>
      </c>
      <c r="N1580" s="26">
        <v>17</v>
      </c>
      <c r="O1580" s="26">
        <v>12</v>
      </c>
      <c r="P1580" s="26">
        <v>5</v>
      </c>
      <c r="Q1580" s="26">
        <v>2</v>
      </c>
      <c r="R1580" s="26">
        <v>1</v>
      </c>
      <c r="S1580" s="26">
        <v>2</v>
      </c>
      <c r="T1580" s="26">
        <v>2</v>
      </c>
      <c r="U1580" s="26">
        <v>5</v>
      </c>
      <c r="V1580" s="26">
        <v>1</v>
      </c>
      <c r="W1580" s="26"/>
    </row>
    <row r="1581" spans="1:23" x14ac:dyDescent="0.25">
      <c r="A1581" s="26" t="str">
        <f t="shared" si="282"/>
        <v>PREESCOLAR</v>
      </c>
      <c r="B1581" s="26" t="str">
        <f>"09PJN2675A"</f>
        <v>09PJN2675A</v>
      </c>
      <c r="C1581" s="26" t="str">
        <f>"CASTILLO DEL SABER                                                                                  "</f>
        <v xml:space="preserve">CASTILLO DEL SABER                                                                                  </v>
      </c>
      <c r="D1581" s="26" t="str">
        <f t="shared" si="286"/>
        <v>MATUTINO</v>
      </c>
      <c r="E1581" s="26" t="str">
        <f>"J. MARIA AGREDA Y SANCHEZ No. 298                                               "</f>
        <v xml:space="preserve">J. MARIA AGREDA Y SANCHEZ No. 298                                               </v>
      </c>
      <c r="F1581" s="26" t="str">
        <f>"TRANSITO                                                                                                                                    "</f>
        <v xml:space="preserve">TRANSITO                                                                                                                                    </v>
      </c>
      <c r="G1581" s="26" t="s">
        <v>4128</v>
      </c>
      <c r="H1581" s="26" t="str">
        <f>"204"</f>
        <v>204</v>
      </c>
      <c r="I1581" s="26" t="str">
        <f t="shared" si="283"/>
        <v>00</v>
      </c>
      <c r="J1581" s="26" t="str">
        <f t="shared" si="289"/>
        <v xml:space="preserve">32 </v>
      </c>
      <c r="K1581" s="26" t="str">
        <f t="shared" si="279"/>
        <v>EP</v>
      </c>
      <c r="L1581" s="26" t="str">
        <f t="shared" si="280"/>
        <v>DGOSE</v>
      </c>
      <c r="M1581" s="26" t="str">
        <f t="shared" si="281"/>
        <v>PARTICULAR</v>
      </c>
      <c r="N1581" s="26">
        <v>29</v>
      </c>
      <c r="O1581" s="26">
        <v>15</v>
      </c>
      <c r="P1581" s="26">
        <v>14</v>
      </c>
      <c r="Q1581" s="26">
        <v>3</v>
      </c>
      <c r="R1581" s="26">
        <v>1</v>
      </c>
      <c r="S1581" s="26">
        <v>3</v>
      </c>
      <c r="T1581" s="26">
        <v>4</v>
      </c>
      <c r="U1581" s="26">
        <v>8</v>
      </c>
      <c r="V1581" s="26">
        <v>1</v>
      </c>
      <c r="W1581" s="26"/>
    </row>
    <row r="1582" spans="1:23" x14ac:dyDescent="0.25">
      <c r="A1582" s="26" t="str">
        <f t="shared" si="282"/>
        <v>PREESCOLAR</v>
      </c>
      <c r="B1582" s="26" t="str">
        <f>"09PJN2680M"</f>
        <v>09PJN2680M</v>
      </c>
      <c r="C1582" s="26" t="str">
        <f>"LICEO MEXICANO                                                                                      "</f>
        <v xml:space="preserve">LICEO MEXICANO                                                                                      </v>
      </c>
      <c r="D1582" s="26" t="str">
        <f t="shared" si="286"/>
        <v>MATUTINO</v>
      </c>
      <c r="E1582" s="26" t="str">
        <f>"CORDOBA No. 167                                                                 "</f>
        <v xml:space="preserve">CORDOBA No. 167                                                                 </v>
      </c>
      <c r="F1582" s="26" t="str">
        <f>"ROMA NORTE                                                                                                                                  "</f>
        <v xml:space="preserve">ROMA NORTE                                                                                                                                  </v>
      </c>
      <c r="G1582" s="26" t="s">
        <v>4128</v>
      </c>
      <c r="H1582" s="26" t="str">
        <f>"203"</f>
        <v>203</v>
      </c>
      <c r="I1582" s="26" t="str">
        <f t="shared" si="283"/>
        <v>00</v>
      </c>
      <c r="J1582" s="26" t="str">
        <f t="shared" si="289"/>
        <v xml:space="preserve">32 </v>
      </c>
      <c r="K1582" s="26" t="str">
        <f t="shared" si="279"/>
        <v>EP</v>
      </c>
      <c r="L1582" s="26" t="str">
        <f t="shared" si="280"/>
        <v>DGOSE</v>
      </c>
      <c r="M1582" s="26" t="str">
        <f t="shared" si="281"/>
        <v>PARTICULAR</v>
      </c>
      <c r="N1582" s="26">
        <v>15</v>
      </c>
      <c r="O1582" s="26">
        <v>11</v>
      </c>
      <c r="P1582" s="26">
        <v>4</v>
      </c>
      <c r="Q1582" s="26">
        <v>3</v>
      </c>
      <c r="R1582" s="26">
        <v>1</v>
      </c>
      <c r="S1582" s="26">
        <v>3</v>
      </c>
      <c r="T1582" s="26">
        <v>3</v>
      </c>
      <c r="U1582" s="26">
        <v>7</v>
      </c>
      <c r="V1582" s="26">
        <v>1</v>
      </c>
      <c r="W1582" s="26"/>
    </row>
    <row r="1583" spans="1:23" x14ac:dyDescent="0.25">
      <c r="A1583" s="26" t="str">
        <f t="shared" si="282"/>
        <v>PREESCOLAR</v>
      </c>
      <c r="B1583" s="26" t="str">
        <f>"09PJN2685H"</f>
        <v>09PJN2685H</v>
      </c>
      <c r="C1583" s="26" t="str">
        <f>"MARIA DE LOS ANGELES ENCISO                                                                         "</f>
        <v xml:space="preserve">MARIA DE LOS ANGELES ENCISO                                                                         </v>
      </c>
      <c r="D1583" s="26" t="str">
        <f t="shared" si="286"/>
        <v>MATUTINO</v>
      </c>
      <c r="E1583" s="26" t="str">
        <f>"PRADO SUR No. 740                                                               "</f>
        <v xml:space="preserve">PRADO SUR No. 740                                                               </v>
      </c>
      <c r="F1583" s="26" t="str">
        <f>"LOMAS DE CHAPULTEPEC                                                                                                                        "</f>
        <v xml:space="preserve">LOMAS DE CHAPULTEPEC                                                                                                                        </v>
      </c>
      <c r="G1583" s="26" t="str">
        <f t="shared" ref="G1583:G1588" si="290">"MIGUEL HIDALGO                                                                  "</f>
        <v xml:space="preserve">MIGUEL HIDALGO                                                                  </v>
      </c>
      <c r="H1583" s="26" t="str">
        <f>"131"</f>
        <v>131</v>
      </c>
      <c r="I1583" s="26" t="str">
        <f t="shared" si="283"/>
        <v>00</v>
      </c>
      <c r="J1583" s="26" t="str">
        <f t="shared" si="289"/>
        <v xml:space="preserve">32 </v>
      </c>
      <c r="K1583" s="26" t="str">
        <f t="shared" si="279"/>
        <v>EP</v>
      </c>
      <c r="L1583" s="26" t="str">
        <f t="shared" si="280"/>
        <v>DGOSE</v>
      </c>
      <c r="M1583" s="26" t="str">
        <f t="shared" si="281"/>
        <v>PARTICULAR</v>
      </c>
      <c r="N1583" s="26">
        <v>26</v>
      </c>
      <c r="O1583" s="26">
        <v>14</v>
      </c>
      <c r="P1583" s="26">
        <v>12</v>
      </c>
      <c r="Q1583" s="26">
        <v>3</v>
      </c>
      <c r="R1583" s="26">
        <v>1</v>
      </c>
      <c r="S1583" s="26">
        <v>3</v>
      </c>
      <c r="T1583" s="26">
        <v>3</v>
      </c>
      <c r="U1583" s="26">
        <v>7</v>
      </c>
      <c r="V1583" s="26">
        <v>1</v>
      </c>
      <c r="W1583" s="26"/>
    </row>
    <row r="1584" spans="1:23" x14ac:dyDescent="0.25">
      <c r="A1584" s="26" t="str">
        <f t="shared" si="282"/>
        <v>PREESCOLAR</v>
      </c>
      <c r="B1584" s="26" t="str">
        <f>"09PJN2686G"</f>
        <v>09PJN2686G</v>
      </c>
      <c r="C1584" s="26" t="str">
        <f>"ESCUELA LOMAS ALTAS PREESCOLAR                                                                      "</f>
        <v xml:space="preserve">ESCUELA LOMAS ALTAS PREESCOLAR                                                                      </v>
      </c>
      <c r="D1584" s="26" t="str">
        <f t="shared" si="286"/>
        <v>MATUTINO</v>
      </c>
      <c r="E1584" s="26" t="str">
        <f>"MONTAÑAS CALIZAS NO. 305                                                        "</f>
        <v xml:space="preserve">MONTAÑAS CALIZAS NO. 305                                                        </v>
      </c>
      <c r="F1584" s="26" t="str">
        <f>"LOMAS DE CHAPULTEPEC                                                                                                                        "</f>
        <v xml:space="preserve">LOMAS DE CHAPULTEPEC                                                                                                                        </v>
      </c>
      <c r="G1584" s="26" t="str">
        <f t="shared" si="290"/>
        <v xml:space="preserve">MIGUEL HIDALGO                                                                  </v>
      </c>
      <c r="H1584" s="26" t="str">
        <f>"207"</f>
        <v>207</v>
      </c>
      <c r="I1584" s="26" t="str">
        <f t="shared" si="283"/>
        <v>00</v>
      </c>
      <c r="J1584" s="26" t="str">
        <f t="shared" si="289"/>
        <v xml:space="preserve">32 </v>
      </c>
      <c r="K1584" s="26" t="str">
        <f t="shared" si="279"/>
        <v>EP</v>
      </c>
      <c r="L1584" s="26" t="str">
        <f t="shared" si="280"/>
        <v>DGOSE</v>
      </c>
      <c r="M1584" s="26" t="str">
        <f t="shared" si="281"/>
        <v>PARTICULAR</v>
      </c>
      <c r="N1584" s="26">
        <v>75</v>
      </c>
      <c r="O1584" s="26">
        <v>39</v>
      </c>
      <c r="P1584" s="26">
        <v>36</v>
      </c>
      <c r="Q1584" s="26">
        <v>3</v>
      </c>
      <c r="R1584" s="26">
        <v>1</v>
      </c>
      <c r="S1584" s="26">
        <v>3</v>
      </c>
      <c r="T1584" s="26">
        <v>5</v>
      </c>
      <c r="U1584" s="26">
        <v>9</v>
      </c>
      <c r="V1584" s="26">
        <v>1</v>
      </c>
      <c r="W1584" s="26"/>
    </row>
    <row r="1585" spans="1:23" x14ac:dyDescent="0.25">
      <c r="A1585" s="26" t="str">
        <f t="shared" si="282"/>
        <v>PREESCOLAR</v>
      </c>
      <c r="B1585" s="26" t="str">
        <f>"09PJN2687F"</f>
        <v>09PJN2687F</v>
      </c>
      <c r="C1585" s="26" t="str">
        <f>"COLEGIO PETERSON LOMAS                                                                              "</f>
        <v xml:space="preserve">COLEGIO PETERSON LOMAS                                                                              </v>
      </c>
      <c r="D1585" s="26" t="str">
        <f t="shared" si="286"/>
        <v>MATUTINO</v>
      </c>
      <c r="E1585" s="26" t="str">
        <f>"MONTES HIMALAYA NO. 615                                                         "</f>
        <v xml:space="preserve">MONTES HIMALAYA NO. 615                                                         </v>
      </c>
      <c r="F1585" s="26" t="str">
        <f>"LOMAS DE CHAPULTEPEC                                                                                                                        "</f>
        <v xml:space="preserve">LOMAS DE CHAPULTEPEC                                                                                                                        </v>
      </c>
      <c r="G1585" s="26" t="str">
        <f t="shared" si="290"/>
        <v xml:space="preserve">MIGUEL HIDALGO                                                                  </v>
      </c>
      <c r="H1585" s="26" t="str">
        <f>"207"</f>
        <v>207</v>
      </c>
      <c r="I1585" s="26" t="str">
        <f t="shared" si="283"/>
        <v>00</v>
      </c>
      <c r="J1585" s="26" t="str">
        <f t="shared" si="289"/>
        <v xml:space="preserve">32 </v>
      </c>
      <c r="K1585" s="26" t="str">
        <f t="shared" si="279"/>
        <v>EP</v>
      </c>
      <c r="L1585" s="26" t="str">
        <f t="shared" si="280"/>
        <v>DGOSE</v>
      </c>
      <c r="M1585" s="26" t="str">
        <f t="shared" si="281"/>
        <v>PARTICULAR</v>
      </c>
      <c r="N1585" s="26">
        <v>111</v>
      </c>
      <c r="O1585" s="26">
        <v>59</v>
      </c>
      <c r="P1585" s="26">
        <v>52</v>
      </c>
      <c r="Q1585" s="26">
        <v>6</v>
      </c>
      <c r="R1585" s="26">
        <v>1</v>
      </c>
      <c r="S1585" s="26">
        <v>6</v>
      </c>
      <c r="T1585" s="26">
        <v>12</v>
      </c>
      <c r="U1585" s="26">
        <v>19</v>
      </c>
      <c r="V1585" s="26">
        <v>1</v>
      </c>
      <c r="W1585" s="26"/>
    </row>
    <row r="1586" spans="1:23" x14ac:dyDescent="0.25">
      <c r="A1586" s="26" t="str">
        <f t="shared" si="282"/>
        <v>PREESCOLAR</v>
      </c>
      <c r="B1586" s="26" t="str">
        <f>"09PJN2688E"</f>
        <v>09PJN2688E</v>
      </c>
      <c r="C1586" s="26" t="str">
        <f>"ESCUELA AMERICANA MONTESSORI                                                                        "</f>
        <v xml:space="preserve">ESCUELA AMERICANA MONTESSORI                                                                        </v>
      </c>
      <c r="D1586" s="26" t="str">
        <f t="shared" si="286"/>
        <v>MATUTINO</v>
      </c>
      <c r="E1586" s="26" t="str">
        <f>"PASEO DE LA REFORMA NO. 1210                                                    "</f>
        <v xml:space="preserve">PASEO DE LA REFORMA NO. 1210                                                    </v>
      </c>
      <c r="F1586" s="26" t="str">
        <f>"LOMAS DE CHAPULTEPEC                                                                                                                        "</f>
        <v xml:space="preserve">LOMAS DE CHAPULTEPEC                                                                                                                        </v>
      </c>
      <c r="G1586" s="26" t="str">
        <f t="shared" si="290"/>
        <v xml:space="preserve">MIGUEL HIDALGO                                                                  </v>
      </c>
      <c r="H1586" s="26" t="str">
        <f>"207"</f>
        <v>207</v>
      </c>
      <c r="I1586" s="26" t="str">
        <f t="shared" si="283"/>
        <v>00</v>
      </c>
      <c r="J1586" s="26" t="str">
        <f t="shared" si="289"/>
        <v xml:space="preserve">32 </v>
      </c>
      <c r="K1586" s="26" t="str">
        <f t="shared" si="279"/>
        <v>EP</v>
      </c>
      <c r="L1586" s="26" t="str">
        <f t="shared" si="280"/>
        <v>DGOSE</v>
      </c>
      <c r="M1586" s="26" t="str">
        <f t="shared" si="281"/>
        <v>PARTICULAR</v>
      </c>
      <c r="N1586" s="26">
        <v>102</v>
      </c>
      <c r="O1586" s="26">
        <v>50</v>
      </c>
      <c r="P1586" s="26">
        <v>52</v>
      </c>
      <c r="Q1586" s="26">
        <v>5</v>
      </c>
      <c r="R1586" s="26">
        <v>1</v>
      </c>
      <c r="S1586" s="26">
        <v>5</v>
      </c>
      <c r="T1586" s="26">
        <v>15</v>
      </c>
      <c r="U1586" s="26">
        <v>21</v>
      </c>
      <c r="V1586" s="26">
        <v>1</v>
      </c>
      <c r="W1586" s="26"/>
    </row>
    <row r="1587" spans="1:23" x14ac:dyDescent="0.25">
      <c r="A1587" s="26" t="str">
        <f t="shared" si="282"/>
        <v>PREESCOLAR</v>
      </c>
      <c r="B1587" s="26" t="str">
        <f>"09PJN2689D"</f>
        <v>09PJN2689D</v>
      </c>
      <c r="C1587" s="26" t="str">
        <f>"ATENEA                                                                                              "</f>
        <v xml:space="preserve">ATENEA                                                                                              </v>
      </c>
      <c r="D1587" s="26" t="str">
        <f t="shared" si="286"/>
        <v>MATUTINO</v>
      </c>
      <c r="E1587" s="26" t="str">
        <f>"POCITO No. 27                                                                   "</f>
        <v xml:space="preserve">POCITO No. 27                                                                   </v>
      </c>
      <c r="F1587" s="26" t="str">
        <f>"POPOTLA                                                                                                                                     "</f>
        <v xml:space="preserve">POPOTLA                                                                                                                                     </v>
      </c>
      <c r="G1587" s="26" t="str">
        <f t="shared" si="290"/>
        <v xml:space="preserve">MIGUEL HIDALGO                                                                  </v>
      </c>
      <c r="H1587" s="26" t="str">
        <f>"009"</f>
        <v>009</v>
      </c>
      <c r="I1587" s="26" t="str">
        <f t="shared" si="283"/>
        <v>00</v>
      </c>
      <c r="J1587" s="26" t="str">
        <f t="shared" si="289"/>
        <v xml:space="preserve">32 </v>
      </c>
      <c r="K1587" s="26" t="str">
        <f t="shared" si="279"/>
        <v>EP</v>
      </c>
      <c r="L1587" s="26" t="str">
        <f t="shared" si="280"/>
        <v>DGOSE</v>
      </c>
      <c r="M1587" s="26" t="str">
        <f t="shared" si="281"/>
        <v>PARTICULAR</v>
      </c>
      <c r="N1587" s="26">
        <v>31</v>
      </c>
      <c r="O1587" s="26">
        <v>20</v>
      </c>
      <c r="P1587" s="26">
        <v>11</v>
      </c>
      <c r="Q1587" s="26">
        <v>3</v>
      </c>
      <c r="R1587" s="26">
        <v>1</v>
      </c>
      <c r="S1587" s="26">
        <v>3</v>
      </c>
      <c r="T1587" s="26">
        <v>3</v>
      </c>
      <c r="U1587" s="26">
        <v>7</v>
      </c>
      <c r="V1587" s="26">
        <v>1</v>
      </c>
      <c r="W1587" s="26"/>
    </row>
    <row r="1588" spans="1:23" x14ac:dyDescent="0.25">
      <c r="A1588" s="26" t="str">
        <f t="shared" si="282"/>
        <v>PREESCOLAR</v>
      </c>
      <c r="B1588" s="26" t="str">
        <f>"09PJN2696N"</f>
        <v>09PJN2696N</v>
      </c>
      <c r="C1588" s="26" t="str">
        <f>"COLEGIO FRANCISCO I. MADERO                                                                         "</f>
        <v xml:space="preserve">COLEGIO FRANCISCO I. MADERO                                                                         </v>
      </c>
      <c r="D1588" s="26" t="str">
        <f t="shared" si="286"/>
        <v>MATUTINO</v>
      </c>
      <c r="E1588" s="26" t="str">
        <f>"CALLE 3 NO. 535                                                                 "</f>
        <v xml:space="preserve">CALLE 3 NO. 535                                                                 </v>
      </c>
      <c r="F1588" s="26" t="str">
        <f>"FRANCISCO I MADERO                                                                                                                          "</f>
        <v xml:space="preserve">FRANCISCO I MADERO                                                                                                                          </v>
      </c>
      <c r="G1588" s="26" t="str">
        <f t="shared" si="290"/>
        <v xml:space="preserve">MIGUEL HIDALGO                                                                  </v>
      </c>
      <c r="H1588" s="26" t="str">
        <f>"075"</f>
        <v>075</v>
      </c>
      <c r="I1588" s="26" t="str">
        <f t="shared" si="283"/>
        <v>00</v>
      </c>
      <c r="J1588" s="26" t="str">
        <f t="shared" si="289"/>
        <v xml:space="preserve">32 </v>
      </c>
      <c r="K1588" s="26" t="str">
        <f t="shared" si="279"/>
        <v>EP</v>
      </c>
      <c r="L1588" s="26" t="str">
        <f t="shared" si="280"/>
        <v>DGOSE</v>
      </c>
      <c r="M1588" s="26" t="str">
        <f t="shared" si="281"/>
        <v>PARTICULAR</v>
      </c>
      <c r="N1588" s="26">
        <v>27</v>
      </c>
      <c r="O1588" s="26">
        <v>15</v>
      </c>
      <c r="P1588" s="26">
        <v>12</v>
      </c>
      <c r="Q1588" s="26">
        <v>3</v>
      </c>
      <c r="R1588" s="26">
        <v>0</v>
      </c>
      <c r="S1588" s="26">
        <v>3</v>
      </c>
      <c r="T1588" s="26">
        <v>0</v>
      </c>
      <c r="U1588" s="26">
        <v>3</v>
      </c>
      <c r="V1588" s="26">
        <v>1</v>
      </c>
      <c r="W1588" s="26"/>
    </row>
    <row r="1589" spans="1:23" x14ac:dyDescent="0.25">
      <c r="A1589" s="26" t="str">
        <f t="shared" si="282"/>
        <v>PREESCOLAR</v>
      </c>
      <c r="B1589" s="26" t="str">
        <f>"09PJN2703G"</f>
        <v>09PJN2703G</v>
      </c>
      <c r="C1589" s="26" t="str">
        <f>"CENTRO EDUCATIVO INFANTIL SIGLO XXI                                                                 "</f>
        <v xml:space="preserve">CENTRO EDUCATIVO INFANTIL SIGLO XXI                                                                 </v>
      </c>
      <c r="D1589" s="26" t="str">
        <f t="shared" si="286"/>
        <v>MATUTINO</v>
      </c>
      <c r="E1589" s="26" t="str">
        <f>"OMETUSCO NO. 43                                                                 "</f>
        <v xml:space="preserve">OMETUSCO NO. 43                                                                 </v>
      </c>
      <c r="F1589" s="26" t="str">
        <f>"HIPODROMO DE LA CONDESA                                                                                                                     "</f>
        <v xml:space="preserve">HIPODROMO DE LA CONDESA                                                                                                                     </v>
      </c>
      <c r="G1589" s="26" t="s">
        <v>4128</v>
      </c>
      <c r="H1589" s="26" t="str">
        <f>"202"</f>
        <v>202</v>
      </c>
      <c r="I1589" s="26" t="str">
        <f t="shared" si="283"/>
        <v>00</v>
      </c>
      <c r="J1589" s="26" t="str">
        <f t="shared" si="289"/>
        <v xml:space="preserve">32 </v>
      </c>
      <c r="K1589" s="26" t="str">
        <f t="shared" si="279"/>
        <v>EP</v>
      </c>
      <c r="L1589" s="26" t="str">
        <f t="shared" si="280"/>
        <v>DGOSE</v>
      </c>
      <c r="M1589" s="26" t="str">
        <f t="shared" si="281"/>
        <v>PARTICULAR</v>
      </c>
      <c r="N1589" s="26">
        <v>76</v>
      </c>
      <c r="O1589" s="26">
        <v>41</v>
      </c>
      <c r="P1589" s="26">
        <v>35</v>
      </c>
      <c r="Q1589" s="26">
        <v>4</v>
      </c>
      <c r="R1589" s="26">
        <v>1</v>
      </c>
      <c r="S1589" s="26">
        <v>4</v>
      </c>
      <c r="T1589" s="26">
        <v>7</v>
      </c>
      <c r="U1589" s="26">
        <v>12</v>
      </c>
      <c r="V1589" s="26">
        <v>1</v>
      </c>
      <c r="W1589" s="26"/>
    </row>
    <row r="1590" spans="1:23" x14ac:dyDescent="0.25">
      <c r="A1590" s="26" t="str">
        <f t="shared" si="282"/>
        <v>PREESCOLAR</v>
      </c>
      <c r="B1590" s="26" t="str">
        <f>"09PJN2708B"</f>
        <v>09PJN2708B</v>
      </c>
      <c r="C1590" s="26" t="str">
        <f>"JARDIN DE NIÑOS REINO INFANTIL                                                                      "</f>
        <v xml:space="preserve">JARDIN DE NIÑOS REINO INFANTIL                                                                      </v>
      </c>
      <c r="D1590" s="26" t="str">
        <f t="shared" si="286"/>
        <v>MATUTINO</v>
      </c>
      <c r="E1590" s="26" t="str">
        <f>"CANTON NO. 139 Y 141                                                            "</f>
        <v xml:space="preserve">CANTON NO. 139 Y 141                                                            </v>
      </c>
      <c r="F1590" s="26" t="str">
        <f>"ROMERO RUBIO                                                                                                                                "</f>
        <v xml:space="preserve">ROMERO RUBIO                                                                                                                                </v>
      </c>
      <c r="G1590" s="26" t="str">
        <f t="shared" ref="G1590:G1598" si="291">"VENUSTIANO CARRANZA                                                             "</f>
        <v xml:space="preserve">VENUSTIANO CARRANZA                                                             </v>
      </c>
      <c r="H1590" s="26" t="str">
        <f>"130"</f>
        <v>130</v>
      </c>
      <c r="I1590" s="26" t="str">
        <f t="shared" si="283"/>
        <v>00</v>
      </c>
      <c r="J1590" s="26" t="str">
        <f t="shared" ref="J1590:J1598" si="292">"33 "</f>
        <v xml:space="preserve">33 </v>
      </c>
      <c r="K1590" s="26" t="str">
        <f t="shared" si="279"/>
        <v>EP</v>
      </c>
      <c r="L1590" s="26" t="str">
        <f t="shared" si="280"/>
        <v>DGOSE</v>
      </c>
      <c r="M1590" s="26" t="str">
        <f t="shared" si="281"/>
        <v>PARTICULAR</v>
      </c>
      <c r="N1590" s="26">
        <v>164</v>
      </c>
      <c r="O1590" s="26">
        <v>77</v>
      </c>
      <c r="P1590" s="26">
        <v>87</v>
      </c>
      <c r="Q1590" s="26">
        <v>8</v>
      </c>
      <c r="R1590" s="26">
        <v>1</v>
      </c>
      <c r="S1590" s="26">
        <v>8</v>
      </c>
      <c r="T1590" s="26">
        <v>10</v>
      </c>
      <c r="U1590" s="26">
        <v>19</v>
      </c>
      <c r="V1590" s="26">
        <v>1</v>
      </c>
      <c r="W1590" s="26"/>
    </row>
    <row r="1591" spans="1:23" x14ac:dyDescent="0.25">
      <c r="A1591" s="26" t="str">
        <f t="shared" si="282"/>
        <v>PREESCOLAR</v>
      </c>
      <c r="B1591" s="26" t="str">
        <f>"09PJN2709A"</f>
        <v>09PJN2709A</v>
      </c>
      <c r="C1591" s="26" t="str">
        <f>"SEMILLITA                                                                                           "</f>
        <v xml:space="preserve">SEMILLITA                                                                                           </v>
      </c>
      <c r="D1591" s="26" t="str">
        <f t="shared" si="286"/>
        <v>MATUTINO</v>
      </c>
      <c r="E1591" s="26" t="str">
        <f>"ALUMINIO NO. 505                                                                "</f>
        <v xml:space="preserve">ALUMINIO NO. 505                                                                </v>
      </c>
      <c r="F1591" s="26" t="str">
        <f>"20 DE NOVIEMBRE                                                                                                                             "</f>
        <v xml:space="preserve">20 DE NOVIEMBRE                                                                                                                             </v>
      </c>
      <c r="G1591" s="26" t="str">
        <f t="shared" si="291"/>
        <v xml:space="preserve">VENUSTIANO CARRANZA                                                             </v>
      </c>
      <c r="H1591" s="26" t="str">
        <f>"130"</f>
        <v>130</v>
      </c>
      <c r="I1591" s="26" t="str">
        <f t="shared" si="283"/>
        <v>00</v>
      </c>
      <c r="J1591" s="26" t="str">
        <f t="shared" si="292"/>
        <v xml:space="preserve">33 </v>
      </c>
      <c r="K1591" s="26" t="str">
        <f t="shared" si="279"/>
        <v>EP</v>
      </c>
      <c r="L1591" s="26" t="str">
        <f t="shared" si="280"/>
        <v>DGOSE</v>
      </c>
      <c r="M1591" s="26" t="str">
        <f t="shared" si="281"/>
        <v>PARTICULAR</v>
      </c>
      <c r="N1591" s="26">
        <v>22</v>
      </c>
      <c r="O1591" s="26">
        <v>8</v>
      </c>
      <c r="P1591" s="26">
        <v>14</v>
      </c>
      <c r="Q1591" s="26">
        <v>3</v>
      </c>
      <c r="R1591" s="26">
        <v>1</v>
      </c>
      <c r="S1591" s="26">
        <v>3</v>
      </c>
      <c r="T1591" s="26">
        <v>3</v>
      </c>
      <c r="U1591" s="26">
        <v>7</v>
      </c>
      <c r="V1591" s="26">
        <v>1</v>
      </c>
      <c r="W1591" s="26"/>
    </row>
    <row r="1592" spans="1:23" x14ac:dyDescent="0.25">
      <c r="A1592" s="26" t="str">
        <f t="shared" si="282"/>
        <v>PREESCOLAR</v>
      </c>
      <c r="B1592" s="26" t="str">
        <f>"09PJN2723U"</f>
        <v>09PJN2723U</v>
      </c>
      <c r="C1592" s="26" t="str">
        <f>"CENTRO DIDÁCTICO INFANTIL C.E.D.I.                                                                  "</f>
        <v xml:space="preserve">CENTRO DIDÁCTICO INFANTIL C.E.D.I.                                                                  </v>
      </c>
      <c r="D1592" s="26" t="str">
        <f t="shared" si="286"/>
        <v>MATUTINO</v>
      </c>
      <c r="E1592" s="26" t="str">
        <f>"XOCOYOTE NO. 265                                                                "</f>
        <v xml:space="preserve">XOCOYOTE NO. 265                                                                </v>
      </c>
      <c r="F1592" s="26" t="str">
        <f>"ARENAL 4A SECCION                                                                                                                           "</f>
        <v xml:space="preserve">ARENAL 4A SECCION                                                                                                                           </v>
      </c>
      <c r="G1592" s="26" t="str">
        <f t="shared" si="291"/>
        <v xml:space="preserve">VENUSTIANO CARRANZA                                                             </v>
      </c>
      <c r="H1592" s="26" t="str">
        <f>"161"</f>
        <v>161</v>
      </c>
      <c r="I1592" s="26" t="str">
        <f t="shared" si="283"/>
        <v>00</v>
      </c>
      <c r="J1592" s="26" t="str">
        <f t="shared" si="292"/>
        <v xml:space="preserve">33 </v>
      </c>
      <c r="K1592" s="26" t="str">
        <f t="shared" si="279"/>
        <v>EP</v>
      </c>
      <c r="L1592" s="26" t="str">
        <f t="shared" si="280"/>
        <v>DGOSE</v>
      </c>
      <c r="M1592" s="26" t="str">
        <f t="shared" si="281"/>
        <v>PARTICULAR</v>
      </c>
      <c r="N1592" s="26">
        <v>19</v>
      </c>
      <c r="O1592" s="26">
        <v>9</v>
      </c>
      <c r="P1592" s="26">
        <v>10</v>
      </c>
      <c r="Q1592" s="26">
        <v>3</v>
      </c>
      <c r="R1592" s="26">
        <v>1</v>
      </c>
      <c r="S1592" s="26">
        <v>3</v>
      </c>
      <c r="T1592" s="26">
        <v>0</v>
      </c>
      <c r="U1592" s="26">
        <v>4</v>
      </c>
      <c r="V1592" s="26">
        <v>1</v>
      </c>
      <c r="W1592" s="26"/>
    </row>
    <row r="1593" spans="1:23" x14ac:dyDescent="0.25">
      <c r="A1593" s="26" t="str">
        <f t="shared" si="282"/>
        <v>PREESCOLAR</v>
      </c>
      <c r="B1593" s="26" t="str">
        <f>"09PJN2724T"</f>
        <v>09PJN2724T</v>
      </c>
      <c r="C1593" s="26" t="str">
        <f>"COLEGIO NUEVA PATRIA                                                                                "</f>
        <v xml:space="preserve">COLEGIO NUEVA PATRIA                                                                                </v>
      </c>
      <c r="D1593" s="26" t="str">
        <f t="shared" si="286"/>
        <v>MATUTINO</v>
      </c>
      <c r="E1593" s="26" t="str">
        <f>"NEZAHUALCOYOTL NO. 126                                                          "</f>
        <v xml:space="preserve">NEZAHUALCOYOTL NO. 126                                                          </v>
      </c>
      <c r="F1593" s="26" t="str">
        <f>"ARENAL 1A SECCION                                                                                                                           "</f>
        <v xml:space="preserve">ARENAL 1A SECCION                                                                                                                           </v>
      </c>
      <c r="G1593" s="26" t="str">
        <f t="shared" si="291"/>
        <v xml:space="preserve">VENUSTIANO CARRANZA                                                             </v>
      </c>
      <c r="H1593" s="26" t="str">
        <f>"161"</f>
        <v>161</v>
      </c>
      <c r="I1593" s="26" t="str">
        <f t="shared" si="283"/>
        <v>00</v>
      </c>
      <c r="J1593" s="26" t="str">
        <f t="shared" si="292"/>
        <v xml:space="preserve">33 </v>
      </c>
      <c r="K1593" s="26" t="str">
        <f t="shared" si="279"/>
        <v>EP</v>
      </c>
      <c r="L1593" s="26" t="str">
        <f t="shared" si="280"/>
        <v>DGOSE</v>
      </c>
      <c r="M1593" s="26" t="str">
        <f t="shared" si="281"/>
        <v>PARTICULAR</v>
      </c>
      <c r="N1593" s="26">
        <v>30</v>
      </c>
      <c r="O1593" s="26">
        <v>17</v>
      </c>
      <c r="P1593" s="26">
        <v>13</v>
      </c>
      <c r="Q1593" s="26">
        <v>3</v>
      </c>
      <c r="R1593" s="26">
        <v>1</v>
      </c>
      <c r="S1593" s="26">
        <v>2</v>
      </c>
      <c r="T1593" s="26">
        <v>2</v>
      </c>
      <c r="U1593" s="26">
        <v>5</v>
      </c>
      <c r="V1593" s="26">
        <v>1</v>
      </c>
      <c r="W1593" s="26"/>
    </row>
    <row r="1594" spans="1:23" x14ac:dyDescent="0.25">
      <c r="A1594" s="26" t="str">
        <f t="shared" si="282"/>
        <v>PREESCOLAR</v>
      </c>
      <c r="B1594" s="26" t="str">
        <f>"09PJN2725S"</f>
        <v>09PJN2725S</v>
      </c>
      <c r="C1594" s="26" t="str">
        <f>"COLEGIO LA FAYETTE                                                                                  "</f>
        <v xml:space="preserve">COLEGIO LA FAYETTE                                                                                  </v>
      </c>
      <c r="D1594" s="26" t="str">
        <f t="shared" si="286"/>
        <v>MATUTINO</v>
      </c>
      <c r="E1594" s="26" t="str">
        <f>"TRUCHA NO. 47                                                                   "</f>
        <v xml:space="preserve">TRUCHA NO. 47                                                                   </v>
      </c>
      <c r="F1594" s="26" t="str">
        <f>"CARACOL                                                                                                                                     "</f>
        <v xml:space="preserve">CARACOL                                                                                                                                     </v>
      </c>
      <c r="G1594" s="26" t="str">
        <f t="shared" si="291"/>
        <v xml:space="preserve">VENUSTIANO CARRANZA                                                             </v>
      </c>
      <c r="H1594" s="26" t="str">
        <f>"161"</f>
        <v>161</v>
      </c>
      <c r="I1594" s="26" t="str">
        <f t="shared" si="283"/>
        <v>00</v>
      </c>
      <c r="J1594" s="26" t="str">
        <f t="shared" si="292"/>
        <v xml:space="preserve">33 </v>
      </c>
      <c r="K1594" s="26" t="str">
        <f t="shared" si="279"/>
        <v>EP</v>
      </c>
      <c r="L1594" s="26" t="str">
        <f t="shared" si="280"/>
        <v>DGOSE</v>
      </c>
      <c r="M1594" s="26" t="str">
        <f t="shared" si="281"/>
        <v>PARTICULAR</v>
      </c>
      <c r="N1594" s="26">
        <v>34</v>
      </c>
      <c r="O1594" s="26">
        <v>14</v>
      </c>
      <c r="P1594" s="26">
        <v>20</v>
      </c>
      <c r="Q1594" s="26">
        <v>3</v>
      </c>
      <c r="R1594" s="26">
        <v>1</v>
      </c>
      <c r="S1594" s="26">
        <v>3</v>
      </c>
      <c r="T1594" s="26">
        <v>2</v>
      </c>
      <c r="U1594" s="26">
        <v>6</v>
      </c>
      <c r="V1594" s="26">
        <v>1</v>
      </c>
      <c r="W1594" s="26"/>
    </row>
    <row r="1595" spans="1:23" x14ac:dyDescent="0.25">
      <c r="A1595" s="26" t="str">
        <f t="shared" si="282"/>
        <v>PREESCOLAR</v>
      </c>
      <c r="B1595" s="26" t="str">
        <f>"09PJN2732B"</f>
        <v>09PJN2732B</v>
      </c>
      <c r="C1595" s="26" t="str">
        <f>"JARDIN DE NIÑOS MARY PILY                                                                           "</f>
        <v xml:space="preserve">JARDIN DE NIÑOS MARY PILY                                                                           </v>
      </c>
      <c r="D1595" s="26" t="str">
        <f t="shared" si="286"/>
        <v>MATUTINO</v>
      </c>
      <c r="E1595" s="26" t="str">
        <f>"JERICO NO.88                                                                    "</f>
        <v xml:space="preserve">JERICO NO.88                                                                    </v>
      </c>
      <c r="F1595" s="26" t="str">
        <f>"ROMERO RUBIO                                                                                                                                "</f>
        <v xml:space="preserve">ROMERO RUBIO                                                                                                                                </v>
      </c>
      <c r="G1595" s="26" t="str">
        <f t="shared" si="291"/>
        <v xml:space="preserve">VENUSTIANO CARRANZA                                                             </v>
      </c>
      <c r="H1595" s="26" t="str">
        <f>"130"</f>
        <v>130</v>
      </c>
      <c r="I1595" s="26" t="str">
        <f t="shared" si="283"/>
        <v>00</v>
      </c>
      <c r="J1595" s="26" t="str">
        <f t="shared" si="292"/>
        <v xml:space="preserve">33 </v>
      </c>
      <c r="K1595" s="26" t="str">
        <f t="shared" ref="K1595:K1602" si="293">"EP"</f>
        <v>EP</v>
      </c>
      <c r="L1595" s="26" t="str">
        <f t="shared" ref="L1595:L1602" si="294">"DGOSE"</f>
        <v>DGOSE</v>
      </c>
      <c r="M1595" s="26" t="str">
        <f t="shared" si="281"/>
        <v>PARTICULAR</v>
      </c>
      <c r="N1595" s="26">
        <v>46</v>
      </c>
      <c r="O1595" s="26">
        <v>29</v>
      </c>
      <c r="P1595" s="26">
        <v>17</v>
      </c>
      <c r="Q1595" s="26">
        <v>3</v>
      </c>
      <c r="R1595" s="26">
        <v>1</v>
      </c>
      <c r="S1595" s="26">
        <v>3</v>
      </c>
      <c r="T1595" s="26">
        <v>6</v>
      </c>
      <c r="U1595" s="26">
        <v>10</v>
      </c>
      <c r="V1595" s="26">
        <v>1</v>
      </c>
      <c r="W1595" s="26"/>
    </row>
    <row r="1596" spans="1:23" x14ac:dyDescent="0.25">
      <c r="A1596" s="26" t="str">
        <f t="shared" si="282"/>
        <v>PREESCOLAR</v>
      </c>
      <c r="B1596" s="26" t="str">
        <f>"09PJN2737X"</f>
        <v>09PJN2737X</v>
      </c>
      <c r="C1596" s="26" t="str">
        <f>"EL MUNDO DE LOS NIÑOS                                                                               "</f>
        <v xml:space="preserve">EL MUNDO DE LOS NIÑOS                                                                               </v>
      </c>
      <c r="D1596" s="26" t="str">
        <f t="shared" si="286"/>
        <v>MATUTINO</v>
      </c>
      <c r="E1596" s="26" t="str">
        <f>"MARMOLERIA NO. 77                                                               "</f>
        <v xml:space="preserve">MARMOLERIA NO. 77                                                               </v>
      </c>
      <c r="F1596" s="26" t="str">
        <f>"20 DE NOVIEMBRE                                                                                                                             "</f>
        <v xml:space="preserve">20 DE NOVIEMBRE                                                                                                                             </v>
      </c>
      <c r="G1596" s="26" t="str">
        <f t="shared" si="291"/>
        <v xml:space="preserve">VENUSTIANO CARRANZA                                                             </v>
      </c>
      <c r="H1596" s="26" t="str">
        <f>"025"</f>
        <v>025</v>
      </c>
      <c r="I1596" s="26" t="str">
        <f t="shared" si="283"/>
        <v>00</v>
      </c>
      <c r="J1596" s="26" t="str">
        <f t="shared" si="292"/>
        <v xml:space="preserve">33 </v>
      </c>
      <c r="K1596" s="26" t="str">
        <f t="shared" si="293"/>
        <v>EP</v>
      </c>
      <c r="L1596" s="26" t="str">
        <f t="shared" si="294"/>
        <v>DGOSE</v>
      </c>
      <c r="M1596" s="26" t="str">
        <f t="shared" si="281"/>
        <v>PARTICULAR</v>
      </c>
      <c r="N1596" s="26">
        <v>14</v>
      </c>
      <c r="O1596" s="26">
        <v>7</v>
      </c>
      <c r="P1596" s="26">
        <v>7</v>
      </c>
      <c r="Q1596" s="26">
        <v>2</v>
      </c>
      <c r="R1596" s="26">
        <v>1</v>
      </c>
      <c r="S1596" s="26">
        <v>1</v>
      </c>
      <c r="T1596" s="26">
        <v>4</v>
      </c>
      <c r="U1596" s="26">
        <v>6</v>
      </c>
      <c r="V1596" s="26">
        <v>1</v>
      </c>
      <c r="W1596" s="26"/>
    </row>
    <row r="1597" spans="1:23" x14ac:dyDescent="0.25">
      <c r="A1597" s="26" t="str">
        <f t="shared" si="282"/>
        <v>PREESCOLAR</v>
      </c>
      <c r="B1597" s="26" t="str">
        <f>"09PJN2745F"</f>
        <v>09PJN2745F</v>
      </c>
      <c r="C1597" s="26" t="str">
        <f>"JARDIN DE NIÑOS OXFORD                                                                              "</f>
        <v xml:space="preserve">JARDIN DE NIÑOS OXFORD                                                                              </v>
      </c>
      <c r="D1597" s="26" t="str">
        <f t="shared" si="286"/>
        <v>MATUTINO</v>
      </c>
      <c r="E1597" s="26" t="str">
        <f>"ENRIQUE FARMAN NO. 104                                                          "</f>
        <v xml:space="preserve">ENRIQUE FARMAN NO. 104                                                          </v>
      </c>
      <c r="F1597" s="26" t="str">
        <f>"AVIACION CIVIL                                                                                                                              "</f>
        <v xml:space="preserve">AVIACION CIVIL                                                                                                                              </v>
      </c>
      <c r="G1597" s="26" t="str">
        <f t="shared" si="291"/>
        <v xml:space="preserve">VENUSTIANO CARRANZA                                                             </v>
      </c>
      <c r="H1597" s="26" t="str">
        <f>"161"</f>
        <v>161</v>
      </c>
      <c r="I1597" s="26" t="str">
        <f t="shared" si="283"/>
        <v>00</v>
      </c>
      <c r="J1597" s="26" t="str">
        <f t="shared" si="292"/>
        <v xml:space="preserve">33 </v>
      </c>
      <c r="K1597" s="26" t="str">
        <f t="shared" si="293"/>
        <v>EP</v>
      </c>
      <c r="L1597" s="26" t="str">
        <f t="shared" si="294"/>
        <v>DGOSE</v>
      </c>
      <c r="M1597" s="26" t="str">
        <f t="shared" si="281"/>
        <v>PARTICULAR</v>
      </c>
      <c r="N1597" s="26">
        <v>17</v>
      </c>
      <c r="O1597" s="26">
        <v>12</v>
      </c>
      <c r="P1597" s="26">
        <v>5</v>
      </c>
      <c r="Q1597" s="26">
        <v>3</v>
      </c>
      <c r="R1597" s="26">
        <v>1</v>
      </c>
      <c r="S1597" s="26">
        <v>3</v>
      </c>
      <c r="T1597" s="26">
        <v>1</v>
      </c>
      <c r="U1597" s="26">
        <v>5</v>
      </c>
      <c r="V1597" s="26">
        <v>1</v>
      </c>
      <c r="W1597" s="26"/>
    </row>
    <row r="1598" spans="1:23" x14ac:dyDescent="0.25">
      <c r="A1598" s="26" t="str">
        <f t="shared" si="282"/>
        <v>PREESCOLAR</v>
      </c>
      <c r="B1598" s="26" t="str">
        <f>"09PJN2746E"</f>
        <v>09PJN2746E</v>
      </c>
      <c r="C1598" s="26" t="str">
        <f>"JARDÍN DE NIÑOS CELESTIN FREINET                                                                    "</f>
        <v xml:space="preserve">JARDÍN DE NIÑOS CELESTIN FREINET                                                                    </v>
      </c>
      <c r="D1598" s="26" t="str">
        <f t="shared" si="286"/>
        <v>MATUTINO</v>
      </c>
      <c r="E1598" s="26" t="s">
        <v>98</v>
      </c>
      <c r="F1598" s="26" t="str">
        <f>"FEDERAL                                                                                                                                     "</f>
        <v xml:space="preserve">FEDERAL                                                                                                                                     </v>
      </c>
      <c r="G1598" s="26" t="str">
        <f t="shared" si="291"/>
        <v xml:space="preserve">VENUSTIANO CARRANZA                                                             </v>
      </c>
      <c r="H1598" s="26" t="str">
        <f>"161"</f>
        <v>161</v>
      </c>
      <c r="I1598" s="26" t="str">
        <f t="shared" si="283"/>
        <v>00</v>
      </c>
      <c r="J1598" s="26" t="str">
        <f t="shared" si="292"/>
        <v xml:space="preserve">33 </v>
      </c>
      <c r="K1598" s="26" t="str">
        <f t="shared" si="293"/>
        <v>EP</v>
      </c>
      <c r="L1598" s="26" t="str">
        <f t="shared" si="294"/>
        <v>DGOSE</v>
      </c>
      <c r="M1598" s="26" t="str">
        <f t="shared" si="281"/>
        <v>PARTICULAR</v>
      </c>
      <c r="N1598" s="26">
        <v>49</v>
      </c>
      <c r="O1598" s="26">
        <v>25</v>
      </c>
      <c r="P1598" s="26">
        <v>24</v>
      </c>
      <c r="Q1598" s="26">
        <v>3</v>
      </c>
      <c r="R1598" s="26">
        <v>1</v>
      </c>
      <c r="S1598" s="26">
        <v>3</v>
      </c>
      <c r="T1598" s="26">
        <v>7</v>
      </c>
      <c r="U1598" s="26">
        <v>11</v>
      </c>
      <c r="V1598" s="26">
        <v>1</v>
      </c>
      <c r="W1598" s="26"/>
    </row>
    <row r="1599" spans="1:23" x14ac:dyDescent="0.25">
      <c r="A1599" s="26" t="str">
        <f t="shared" si="282"/>
        <v>PREESCOLAR</v>
      </c>
      <c r="B1599" s="26" t="str">
        <f>"09PJN2754N"</f>
        <v>09PJN2754N</v>
      </c>
      <c r="C1599" s="26" t="str">
        <f>"ESTANCIA INFANTIL KIPLING                                                                           "</f>
        <v xml:space="preserve">ESTANCIA INFANTIL KIPLING                                                                           </v>
      </c>
      <c r="D1599" s="26" t="str">
        <f t="shared" si="286"/>
        <v>MATUTINO</v>
      </c>
      <c r="E1599" s="26" t="str">
        <f>"CAMPO TORTUGUERO NO. 97                                                         "</f>
        <v xml:space="preserve">CAMPO TORTUGUERO NO. 97                                                         </v>
      </c>
      <c r="F1599" s="26" t="str">
        <f>"REYNOSA TAMAULIPAS                                                                                                                          "</f>
        <v xml:space="preserve">REYNOSA TAMAULIPAS                                                                                                                          </v>
      </c>
      <c r="G1599" s="26" t="str">
        <f>"AZCAPOTZALCO                                                                    "</f>
        <v xml:space="preserve">AZCAPOTZALCO                                                                    </v>
      </c>
      <c r="H1599" s="26" t="str">
        <f>"009"</f>
        <v>009</v>
      </c>
      <c r="I1599" s="26" t="str">
        <f t="shared" si="283"/>
        <v>00</v>
      </c>
      <c r="J1599" s="26" t="str">
        <f>"32 "</f>
        <v xml:space="preserve">32 </v>
      </c>
      <c r="K1599" s="26" t="str">
        <f t="shared" si="293"/>
        <v>EP</v>
      </c>
      <c r="L1599" s="26" t="str">
        <f t="shared" si="294"/>
        <v>DGOSE</v>
      </c>
      <c r="M1599" s="26" t="str">
        <f t="shared" ref="M1599:M1662" si="295">"PARTICULAR"</f>
        <v>PARTICULAR</v>
      </c>
      <c r="N1599" s="26">
        <v>4</v>
      </c>
      <c r="O1599" s="26">
        <v>2</v>
      </c>
      <c r="P1599" s="26">
        <v>2</v>
      </c>
      <c r="Q1599" s="26">
        <v>1</v>
      </c>
      <c r="R1599" s="26">
        <v>1</v>
      </c>
      <c r="S1599" s="26">
        <v>1</v>
      </c>
      <c r="T1599" s="26">
        <v>0</v>
      </c>
      <c r="U1599" s="26">
        <v>2</v>
      </c>
      <c r="V1599" s="26">
        <v>1</v>
      </c>
      <c r="W1599" s="26"/>
    </row>
    <row r="1600" spans="1:23" x14ac:dyDescent="0.25">
      <c r="A1600" s="26" t="str">
        <f t="shared" si="282"/>
        <v>PREESCOLAR</v>
      </c>
      <c r="B1600" s="26" t="str">
        <f>"09PJN2756L"</f>
        <v>09PJN2756L</v>
      </c>
      <c r="C1600" s="26" t="str">
        <f>"INSTITUTO BERN                                                                                      "</f>
        <v xml:space="preserve">INSTITUTO BERN                                                                                      </v>
      </c>
      <c r="D1600" s="26" t="str">
        <f t="shared" si="286"/>
        <v>MATUTINO</v>
      </c>
      <c r="E1600" s="26" t="str">
        <f>"AMERICA NO. 319                                                                 "</f>
        <v xml:space="preserve">AMERICA NO. 319                                                                 </v>
      </c>
      <c r="F1600" s="26" t="str">
        <f>"LOS REYES                                                                                                                                   "</f>
        <v xml:space="preserve">LOS REYES                                                                                                                                   </v>
      </c>
      <c r="G1600" s="26" t="str">
        <f>"COYOACAN                                                                        "</f>
        <v xml:space="preserve">COYOACAN                                                                        </v>
      </c>
      <c r="H1600" s="26" t="str">
        <f>"237"</f>
        <v>237</v>
      </c>
      <c r="I1600" s="26" t="str">
        <f t="shared" si="283"/>
        <v>00</v>
      </c>
      <c r="J1600" s="26" t="str">
        <f>"35 "</f>
        <v xml:space="preserve">35 </v>
      </c>
      <c r="K1600" s="26" t="str">
        <f t="shared" si="293"/>
        <v>EP</v>
      </c>
      <c r="L1600" s="26" t="str">
        <f t="shared" si="294"/>
        <v>DGOSE</v>
      </c>
      <c r="M1600" s="26" t="str">
        <f t="shared" si="295"/>
        <v>PARTICULAR</v>
      </c>
      <c r="N1600" s="26">
        <v>16</v>
      </c>
      <c r="O1600" s="26">
        <v>9</v>
      </c>
      <c r="P1600" s="26">
        <v>7</v>
      </c>
      <c r="Q1600" s="26">
        <v>3</v>
      </c>
      <c r="R1600" s="26">
        <v>1</v>
      </c>
      <c r="S1600" s="26">
        <v>3</v>
      </c>
      <c r="T1600" s="26">
        <v>4</v>
      </c>
      <c r="U1600" s="26">
        <v>8</v>
      </c>
      <c r="V1600" s="26">
        <v>1</v>
      </c>
      <c r="W1600" s="26"/>
    </row>
    <row r="1601" spans="1:23" x14ac:dyDescent="0.25">
      <c r="A1601" s="26" t="str">
        <f t="shared" si="282"/>
        <v>PREESCOLAR</v>
      </c>
      <c r="B1601" s="26" t="str">
        <f>"09PJN2762W"</f>
        <v>09PJN2762W</v>
      </c>
      <c r="C1601" s="26" t="str">
        <f>"APRENDIENDO A APRENDER                                                                              "</f>
        <v xml:space="preserve">APRENDIENDO A APRENDER                                                                              </v>
      </c>
      <c r="D1601" s="26" t="str">
        <f t="shared" si="286"/>
        <v>MATUTINO</v>
      </c>
      <c r="E1601" s="26" t="str">
        <f>"PINOS No. 29                                                                    "</f>
        <v xml:space="preserve">PINOS No. 29                                                                    </v>
      </c>
      <c r="F1601" s="26" t="str">
        <f>"DEL BOSQUE                                                                                                                                  "</f>
        <v xml:space="preserve">DEL BOSQUE                                                                                                                                  </v>
      </c>
      <c r="G1601" s="26" t="str">
        <f>"GUSTAVO A. MADERO                                                               "</f>
        <v xml:space="preserve">GUSTAVO A. MADERO                                                               </v>
      </c>
      <c r="H1601" s="26" t="str">
        <f>"155"</f>
        <v>155</v>
      </c>
      <c r="I1601" s="26" t="str">
        <f t="shared" si="283"/>
        <v>00</v>
      </c>
      <c r="J1601" s="26" t="str">
        <f>"32 "</f>
        <v xml:space="preserve">32 </v>
      </c>
      <c r="K1601" s="26" t="str">
        <f t="shared" si="293"/>
        <v>EP</v>
      </c>
      <c r="L1601" s="26" t="str">
        <f t="shared" si="294"/>
        <v>DGOSE</v>
      </c>
      <c r="M1601" s="26" t="str">
        <f t="shared" si="295"/>
        <v>PARTICULAR</v>
      </c>
      <c r="N1601" s="26">
        <v>34</v>
      </c>
      <c r="O1601" s="26">
        <v>14</v>
      </c>
      <c r="P1601" s="26">
        <v>20</v>
      </c>
      <c r="Q1601" s="26">
        <v>3</v>
      </c>
      <c r="R1601" s="26">
        <v>1</v>
      </c>
      <c r="S1601" s="26">
        <v>3</v>
      </c>
      <c r="T1601" s="26">
        <v>1</v>
      </c>
      <c r="U1601" s="26">
        <v>5</v>
      </c>
      <c r="V1601" s="26">
        <v>1</v>
      </c>
      <c r="W1601" s="26"/>
    </row>
    <row r="1602" spans="1:23" x14ac:dyDescent="0.25">
      <c r="A1602" s="26" t="str">
        <f t="shared" ref="A1602:A1665" si="296">"PREESCOLAR"</f>
        <v>PREESCOLAR</v>
      </c>
      <c r="B1602" s="26" t="str">
        <f>"09PJN2766S"</f>
        <v>09PJN2766S</v>
      </c>
      <c r="C1602" s="26" t="str">
        <f>"COLEGIO MARIANO ESCOBEDO                                                                            "</f>
        <v xml:space="preserve">COLEGIO MARIANO ESCOBEDO                                                                            </v>
      </c>
      <c r="D1602" s="26" t="str">
        <f t="shared" si="286"/>
        <v>MATUTINO</v>
      </c>
      <c r="E1602" s="26" t="str">
        <f>"CHIMALPOPOCA No. 3                                                              "</f>
        <v xml:space="preserve">CHIMALPOPOCA No. 3                                                              </v>
      </c>
      <c r="F1602" s="26" t="str">
        <f>"SANTA ISABEL TOLA                                                                                                                           "</f>
        <v xml:space="preserve">SANTA ISABEL TOLA                                                                                                                           </v>
      </c>
      <c r="G1602" s="26" t="str">
        <f>"GUSTAVO A. MADERO                                                               "</f>
        <v xml:space="preserve">GUSTAVO A. MADERO                                                               </v>
      </c>
      <c r="H1602" s="26" t="str">
        <f>"154"</f>
        <v>154</v>
      </c>
      <c r="I1602" s="26" t="str">
        <f t="shared" ref="I1602:I1665" si="297">"00"</f>
        <v>00</v>
      </c>
      <c r="J1602" s="26" t="str">
        <f>"32 "</f>
        <v xml:space="preserve">32 </v>
      </c>
      <c r="K1602" s="26" t="str">
        <f t="shared" si="293"/>
        <v>EP</v>
      </c>
      <c r="L1602" s="26" t="str">
        <f t="shared" si="294"/>
        <v>DGOSE</v>
      </c>
      <c r="M1602" s="26" t="str">
        <f t="shared" si="295"/>
        <v>PARTICULAR</v>
      </c>
      <c r="N1602" s="26">
        <v>11</v>
      </c>
      <c r="O1602" s="26">
        <v>5</v>
      </c>
      <c r="P1602" s="26">
        <v>6</v>
      </c>
      <c r="Q1602" s="26">
        <v>3</v>
      </c>
      <c r="R1602" s="26">
        <v>1</v>
      </c>
      <c r="S1602" s="26">
        <v>3</v>
      </c>
      <c r="T1602" s="26">
        <v>3</v>
      </c>
      <c r="U1602" s="26">
        <v>7</v>
      </c>
      <c r="V1602" s="26">
        <v>1</v>
      </c>
      <c r="W1602" s="26"/>
    </row>
    <row r="1603" spans="1:23" x14ac:dyDescent="0.25">
      <c r="A1603" s="26" t="str">
        <f t="shared" si="296"/>
        <v>PREESCOLAR</v>
      </c>
      <c r="B1603" s="26" t="str">
        <f>"09PJN2767R"</f>
        <v>09PJN2767R</v>
      </c>
      <c r="C1603" s="26" t="str">
        <f>"LOS DERECHOS DEL NIÑO                                                                               "</f>
        <v xml:space="preserve">LOS DERECHOS DEL NIÑO                                                                               </v>
      </c>
      <c r="D1603" s="26" t="str">
        <f t="shared" si="286"/>
        <v>MATUTINO</v>
      </c>
      <c r="E1603" s="26" t="str">
        <f>"PLANETA MZ. 7 LT. 7                                                             "</f>
        <v xml:space="preserve">PLANETA MZ. 7 LT. 7                                                             </v>
      </c>
      <c r="F1603" s="26" t="str">
        <f>"CASA BLANCA                                                                                                                                 "</f>
        <v xml:space="preserve">CASA BLANCA                                                                                                                                 </v>
      </c>
      <c r="G1603" s="26" t="str">
        <f t="shared" ref="G1603:G1611" si="298">"IZTAPALAPA                                                                      "</f>
        <v xml:space="preserve">IZTAPALAPA                                                                      </v>
      </c>
      <c r="H1603" s="26" t="str">
        <f>"000"</f>
        <v>000</v>
      </c>
      <c r="I1603" s="26" t="str">
        <f t="shared" si="297"/>
        <v>00</v>
      </c>
      <c r="J1603" s="26" t="str">
        <f t="shared" ref="J1603:J1610" si="299">"63 "</f>
        <v xml:space="preserve">63 </v>
      </c>
      <c r="K1603" s="26" t="str">
        <f t="shared" ref="K1603:K1611" si="300">"IZ"</f>
        <v>IZ</v>
      </c>
      <c r="L1603" s="26" t="str">
        <f t="shared" ref="L1603:L1611" si="301">"DGSEI"</f>
        <v>DGSEI</v>
      </c>
      <c r="M1603" s="26" t="str">
        <f t="shared" si="295"/>
        <v>PARTICULAR</v>
      </c>
      <c r="N1603" s="26">
        <v>27</v>
      </c>
      <c r="O1603" s="26">
        <v>10</v>
      </c>
      <c r="P1603" s="26">
        <v>17</v>
      </c>
      <c r="Q1603" s="26">
        <v>3</v>
      </c>
      <c r="R1603" s="26">
        <v>1</v>
      </c>
      <c r="S1603" s="26">
        <v>2</v>
      </c>
      <c r="T1603" s="26">
        <v>1</v>
      </c>
      <c r="U1603" s="26">
        <v>4</v>
      </c>
      <c r="V1603" s="26">
        <v>1</v>
      </c>
      <c r="W1603" s="26"/>
    </row>
    <row r="1604" spans="1:23" x14ac:dyDescent="0.25">
      <c r="A1604" s="26" t="str">
        <f t="shared" si="296"/>
        <v>PREESCOLAR</v>
      </c>
      <c r="B1604" s="26" t="str">
        <f>"09PJN2773B"</f>
        <v>09PJN2773B</v>
      </c>
      <c r="C1604" s="26" t="str">
        <f>"PRINCIPE DEL BOSQUE                                                                                 "</f>
        <v xml:space="preserve">PRINCIPE DEL BOSQUE                                                                                 </v>
      </c>
      <c r="D1604" s="26" t="str">
        <f t="shared" si="286"/>
        <v>MATUTINO</v>
      </c>
      <c r="E1604" s="26" t="str">
        <f>"RIO ARGELIA MZ. 45 LT. 10                                                       "</f>
        <v xml:space="preserve">RIO ARGELIA MZ. 45 LT. 10                                                       </v>
      </c>
      <c r="F1604" s="26" t="str">
        <f>"VALLE DE SAN LORENZO                                                                                                                        "</f>
        <v xml:space="preserve">VALLE DE SAN LORENZO                                                                                                                        </v>
      </c>
      <c r="G1604" s="26" t="str">
        <f t="shared" si="298"/>
        <v xml:space="preserve">IZTAPALAPA                                                                      </v>
      </c>
      <c r="H1604" s="26" t="str">
        <f>"000"</f>
        <v>000</v>
      </c>
      <c r="I1604" s="26" t="str">
        <f t="shared" si="297"/>
        <v>00</v>
      </c>
      <c r="J1604" s="26" t="str">
        <f t="shared" si="299"/>
        <v xml:space="preserve">63 </v>
      </c>
      <c r="K1604" s="26" t="str">
        <f t="shared" si="300"/>
        <v>IZ</v>
      </c>
      <c r="L1604" s="26" t="str">
        <f t="shared" si="301"/>
        <v>DGSEI</v>
      </c>
      <c r="M1604" s="26" t="str">
        <f t="shared" si="295"/>
        <v>PARTICULAR</v>
      </c>
      <c r="N1604" s="26">
        <v>27</v>
      </c>
      <c r="O1604" s="26">
        <v>15</v>
      </c>
      <c r="P1604" s="26">
        <v>12</v>
      </c>
      <c r="Q1604" s="26">
        <v>3</v>
      </c>
      <c r="R1604" s="26">
        <v>1</v>
      </c>
      <c r="S1604" s="26">
        <v>2</v>
      </c>
      <c r="T1604" s="26">
        <v>1</v>
      </c>
      <c r="U1604" s="26">
        <v>4</v>
      </c>
      <c r="V1604" s="26">
        <v>1</v>
      </c>
      <c r="W1604" s="26"/>
    </row>
    <row r="1605" spans="1:23" x14ac:dyDescent="0.25">
      <c r="A1605" s="26" t="str">
        <f t="shared" si="296"/>
        <v>PREESCOLAR</v>
      </c>
      <c r="B1605" s="26" t="str">
        <f>"09PJN2775Z"</f>
        <v>09PJN2775Z</v>
      </c>
      <c r="C1605" s="26" t="str">
        <f>"CENTRO EDUCATIVO LANZ DURET                                                                         "</f>
        <v xml:space="preserve">CENTRO EDUCATIVO LANZ DURET                                                                         </v>
      </c>
      <c r="D1605" s="26" t="str">
        <f t="shared" si="286"/>
        <v>MATUTINO</v>
      </c>
      <c r="E1605" s="26" t="str">
        <f>"SAN ISIDRO LT. 8 MZ. 18                                                         "</f>
        <v xml:space="preserve">SAN ISIDRO LT. 8 MZ. 18                                                         </v>
      </c>
      <c r="F1605" s="26" t="str">
        <f>"LOMAS SAN LORENZO                                                                                                                           "</f>
        <v xml:space="preserve">LOMAS SAN LORENZO                                                                                                                           </v>
      </c>
      <c r="G1605" s="26" t="str">
        <f t="shared" si="298"/>
        <v xml:space="preserve">IZTAPALAPA                                                                      </v>
      </c>
      <c r="H1605" s="26" t="str">
        <f>"000"</f>
        <v>000</v>
      </c>
      <c r="I1605" s="26" t="str">
        <f t="shared" si="297"/>
        <v>00</v>
      </c>
      <c r="J1605" s="26" t="str">
        <f t="shared" si="299"/>
        <v xml:space="preserve">63 </v>
      </c>
      <c r="K1605" s="26" t="str">
        <f t="shared" si="300"/>
        <v>IZ</v>
      </c>
      <c r="L1605" s="26" t="str">
        <f t="shared" si="301"/>
        <v>DGSEI</v>
      </c>
      <c r="M1605" s="26" t="str">
        <f t="shared" si="295"/>
        <v>PARTICULAR</v>
      </c>
      <c r="N1605" s="26">
        <v>17</v>
      </c>
      <c r="O1605" s="26">
        <v>4</v>
      </c>
      <c r="P1605" s="26">
        <v>13</v>
      </c>
      <c r="Q1605" s="26">
        <v>3</v>
      </c>
      <c r="R1605" s="26">
        <v>1</v>
      </c>
      <c r="S1605" s="26">
        <v>3</v>
      </c>
      <c r="T1605" s="26">
        <v>1</v>
      </c>
      <c r="U1605" s="26">
        <v>5</v>
      </c>
      <c r="V1605" s="26">
        <v>1</v>
      </c>
      <c r="W1605" s="26"/>
    </row>
    <row r="1606" spans="1:23" x14ac:dyDescent="0.25">
      <c r="A1606" s="26" t="str">
        <f t="shared" si="296"/>
        <v>PREESCOLAR</v>
      </c>
      <c r="B1606" s="26" t="str">
        <f>"09PJN2781K"</f>
        <v>09PJN2781K</v>
      </c>
      <c r="C1606" s="26" t="str">
        <f>"LAS ABEJITAS                                                                                        "</f>
        <v xml:space="preserve">LAS ABEJITAS                                                                                        </v>
      </c>
      <c r="D1606" s="26" t="str">
        <f t="shared" si="286"/>
        <v>MATUTINO</v>
      </c>
      <c r="E1606" s="26" t="str">
        <f>"PRIV. STA CRUZ NO.1 MZ. 63 LT. 29-A                                             "</f>
        <v xml:space="preserve">PRIV. STA CRUZ NO.1 MZ. 63 LT. 29-A                                             </v>
      </c>
      <c r="F1606" s="26" t="str">
        <f>"LOMAS SAN LORENZO                                                                                                                           "</f>
        <v xml:space="preserve">LOMAS SAN LORENZO                                                                                                                           </v>
      </c>
      <c r="G1606" s="26" t="str">
        <f t="shared" si="298"/>
        <v xml:space="preserve">IZTAPALAPA                                                                      </v>
      </c>
      <c r="H1606" s="26" t="str">
        <f>"000"</f>
        <v>000</v>
      </c>
      <c r="I1606" s="26" t="str">
        <f t="shared" si="297"/>
        <v>00</v>
      </c>
      <c r="J1606" s="26" t="str">
        <f t="shared" si="299"/>
        <v xml:space="preserve">63 </v>
      </c>
      <c r="K1606" s="26" t="str">
        <f t="shared" si="300"/>
        <v>IZ</v>
      </c>
      <c r="L1606" s="26" t="str">
        <f t="shared" si="301"/>
        <v>DGSEI</v>
      </c>
      <c r="M1606" s="26" t="str">
        <f t="shared" si="295"/>
        <v>PARTICULAR</v>
      </c>
      <c r="N1606" s="26">
        <v>50</v>
      </c>
      <c r="O1606" s="26">
        <v>25</v>
      </c>
      <c r="P1606" s="26">
        <v>25</v>
      </c>
      <c r="Q1606" s="26">
        <v>3</v>
      </c>
      <c r="R1606" s="26">
        <v>1</v>
      </c>
      <c r="S1606" s="26">
        <v>3</v>
      </c>
      <c r="T1606" s="26">
        <v>1</v>
      </c>
      <c r="U1606" s="26">
        <v>5</v>
      </c>
      <c r="V1606" s="26">
        <v>1</v>
      </c>
      <c r="W1606" s="26"/>
    </row>
    <row r="1607" spans="1:23" x14ac:dyDescent="0.25">
      <c r="A1607" s="26" t="str">
        <f t="shared" si="296"/>
        <v>PREESCOLAR</v>
      </c>
      <c r="B1607" s="26" t="str">
        <f>"09PJN2783I"</f>
        <v>09PJN2783I</v>
      </c>
      <c r="C1607" s="26" t="str">
        <f>"LICEO HERBART S.C.                                                                                  "</f>
        <v xml:space="preserve">LICEO HERBART S.C.                                                                                  </v>
      </c>
      <c r="D1607" s="26" t="str">
        <f t="shared" si="286"/>
        <v>MATUTINO</v>
      </c>
      <c r="E1607" s="26" t="str">
        <f>"INSURGENTES NO 165                                                              "</f>
        <v xml:space="preserve">INSURGENTES NO 165                                                              </v>
      </c>
      <c r="F1607" s="26" t="str">
        <f>"LAS PEÑAS AMPLIACION                                                                                                                        "</f>
        <v xml:space="preserve">LAS PEÑAS AMPLIACION                                                                                                                        </v>
      </c>
      <c r="G1607" s="26" t="str">
        <f t="shared" si="298"/>
        <v xml:space="preserve">IZTAPALAPA                                                                      </v>
      </c>
      <c r="H1607" s="26" t="str">
        <f>"046"</f>
        <v>046</v>
      </c>
      <c r="I1607" s="26" t="str">
        <f t="shared" si="297"/>
        <v>00</v>
      </c>
      <c r="J1607" s="26" t="str">
        <f t="shared" si="299"/>
        <v xml:space="preserve">63 </v>
      </c>
      <c r="K1607" s="26" t="str">
        <f t="shared" si="300"/>
        <v>IZ</v>
      </c>
      <c r="L1607" s="26" t="str">
        <f t="shared" si="301"/>
        <v>DGSEI</v>
      </c>
      <c r="M1607" s="26" t="str">
        <f t="shared" si="295"/>
        <v>PARTICULAR</v>
      </c>
      <c r="N1607" s="26">
        <v>91</v>
      </c>
      <c r="O1607" s="26">
        <v>54</v>
      </c>
      <c r="P1607" s="26">
        <v>37</v>
      </c>
      <c r="Q1607" s="26">
        <v>5</v>
      </c>
      <c r="R1607" s="26">
        <v>1</v>
      </c>
      <c r="S1607" s="26">
        <v>5</v>
      </c>
      <c r="T1607" s="26">
        <v>4</v>
      </c>
      <c r="U1607" s="26">
        <v>10</v>
      </c>
      <c r="V1607" s="26">
        <v>1</v>
      </c>
      <c r="W1607" s="26"/>
    </row>
    <row r="1608" spans="1:23" x14ac:dyDescent="0.25">
      <c r="A1608" s="26" t="str">
        <f t="shared" si="296"/>
        <v>PREESCOLAR</v>
      </c>
      <c r="B1608" s="26" t="str">
        <f>"09PJN2784H"</f>
        <v>09PJN2784H</v>
      </c>
      <c r="C1608" s="26" t="str">
        <f>"COLEGIO JOSE MARTI                                                                                  "</f>
        <v xml:space="preserve">COLEGIO JOSE MARTI                                                                                  </v>
      </c>
      <c r="D1608" s="26" t="str">
        <f t="shared" si="286"/>
        <v>MATUTINO</v>
      </c>
      <c r="E1608" s="26" t="str">
        <f>"JACARANDAS MZ. 709 LT. 5                                                        "</f>
        <v xml:space="preserve">JACARANDAS MZ. 709 LT. 5                                                        </v>
      </c>
      <c r="F1608" s="26" t="str">
        <f>"LOMAS SAN LORENZO                                                                                                                           "</f>
        <v xml:space="preserve">LOMAS SAN LORENZO                                                                                                                           </v>
      </c>
      <c r="G1608" s="26" t="str">
        <f t="shared" si="298"/>
        <v xml:space="preserve">IZTAPALAPA                                                                      </v>
      </c>
      <c r="H1608" s="26" t="str">
        <f>"000"</f>
        <v>000</v>
      </c>
      <c r="I1608" s="26" t="str">
        <f t="shared" si="297"/>
        <v>00</v>
      </c>
      <c r="J1608" s="26" t="str">
        <f t="shared" si="299"/>
        <v xml:space="preserve">63 </v>
      </c>
      <c r="K1608" s="26" t="str">
        <f t="shared" si="300"/>
        <v>IZ</v>
      </c>
      <c r="L1608" s="26" t="str">
        <f t="shared" si="301"/>
        <v>DGSEI</v>
      </c>
      <c r="M1608" s="26" t="str">
        <f t="shared" si="295"/>
        <v>PARTICULAR</v>
      </c>
      <c r="N1608" s="26">
        <v>42</v>
      </c>
      <c r="O1608" s="26">
        <v>19</v>
      </c>
      <c r="P1608" s="26">
        <v>23</v>
      </c>
      <c r="Q1608" s="26">
        <v>3</v>
      </c>
      <c r="R1608" s="26">
        <v>1</v>
      </c>
      <c r="S1608" s="26">
        <v>3</v>
      </c>
      <c r="T1608" s="26">
        <v>1</v>
      </c>
      <c r="U1608" s="26">
        <v>5</v>
      </c>
      <c r="V1608" s="26">
        <v>1</v>
      </c>
      <c r="W1608" s="26"/>
    </row>
    <row r="1609" spans="1:23" x14ac:dyDescent="0.25">
      <c r="A1609" s="26" t="str">
        <f t="shared" si="296"/>
        <v>PREESCOLAR</v>
      </c>
      <c r="B1609" s="26" t="str">
        <f>"09PJN2791R"</f>
        <v>09PJN2791R</v>
      </c>
      <c r="C1609" s="26" t="str">
        <f>"LA MARCHA DE LAS LETRAS                                                                             "</f>
        <v xml:space="preserve">LA MARCHA DE LAS LETRAS                                                                             </v>
      </c>
      <c r="D1609" s="26" t="str">
        <f t="shared" si="286"/>
        <v>MATUTINO</v>
      </c>
      <c r="E1609" s="26" t="str">
        <f>"CALLE 4 MZ. 4 LT. 10                                                            "</f>
        <v xml:space="preserve">CALLE 4 MZ. 4 LT. 10                                                            </v>
      </c>
      <c r="F1609" s="26" t="str">
        <f>"JOSE LOPEZ PORTILLO                                                                                                                         "</f>
        <v xml:space="preserve">JOSE LOPEZ PORTILLO                                                                                                                         </v>
      </c>
      <c r="G1609" s="26" t="str">
        <f t="shared" si="298"/>
        <v xml:space="preserve">IZTAPALAPA                                                                      </v>
      </c>
      <c r="H1609" s="26" t="str">
        <f>"000"</f>
        <v>000</v>
      </c>
      <c r="I1609" s="26" t="str">
        <f t="shared" si="297"/>
        <v>00</v>
      </c>
      <c r="J1609" s="26" t="str">
        <f t="shared" si="299"/>
        <v xml:space="preserve">63 </v>
      </c>
      <c r="K1609" s="26" t="str">
        <f t="shared" si="300"/>
        <v>IZ</v>
      </c>
      <c r="L1609" s="26" t="str">
        <f t="shared" si="301"/>
        <v>DGSEI</v>
      </c>
      <c r="M1609" s="26" t="str">
        <f t="shared" si="295"/>
        <v>PARTICULAR</v>
      </c>
      <c r="N1609" s="26">
        <v>78</v>
      </c>
      <c r="O1609" s="26">
        <v>46</v>
      </c>
      <c r="P1609" s="26">
        <v>32</v>
      </c>
      <c r="Q1609" s="26">
        <v>4</v>
      </c>
      <c r="R1609" s="26">
        <v>1</v>
      </c>
      <c r="S1609" s="26">
        <v>2</v>
      </c>
      <c r="T1609" s="26">
        <v>7</v>
      </c>
      <c r="U1609" s="26">
        <v>10</v>
      </c>
      <c r="V1609" s="26">
        <v>1</v>
      </c>
      <c r="W1609" s="26"/>
    </row>
    <row r="1610" spans="1:23" x14ac:dyDescent="0.25">
      <c r="A1610" s="26" t="str">
        <f t="shared" si="296"/>
        <v>PREESCOLAR</v>
      </c>
      <c r="B1610" s="26" t="str">
        <f>"09PJN2809Z"</f>
        <v>09PJN2809Z</v>
      </c>
      <c r="C1610" s="26" t="str">
        <f>"CENTRO INFANTIL EDUCATIVO JEAN PIAGET                                                               "</f>
        <v xml:space="preserve">CENTRO INFANTIL EDUCATIVO JEAN PIAGET                                                               </v>
      </c>
      <c r="D1610" s="26" t="str">
        <f t="shared" si="286"/>
        <v>MATUTINO</v>
      </c>
      <c r="E1610" s="26" t="str">
        <f>"ZARAGOZA NO. 103                                                                "</f>
        <v xml:space="preserve">ZARAGOZA NO. 103                                                                </v>
      </c>
      <c r="F1610" s="26" t="str">
        <f>"LOMAS SAN LORENZO                                                                                                                           "</f>
        <v xml:space="preserve">LOMAS SAN LORENZO                                                                                                                           </v>
      </c>
      <c r="G1610" s="26" t="str">
        <f t="shared" si="298"/>
        <v xml:space="preserve">IZTAPALAPA                                                                      </v>
      </c>
      <c r="H1610" s="26" t="str">
        <f>"000"</f>
        <v>000</v>
      </c>
      <c r="I1610" s="26" t="str">
        <f t="shared" si="297"/>
        <v>00</v>
      </c>
      <c r="J1610" s="26" t="str">
        <f t="shared" si="299"/>
        <v xml:space="preserve">63 </v>
      </c>
      <c r="K1610" s="26" t="str">
        <f t="shared" si="300"/>
        <v>IZ</v>
      </c>
      <c r="L1610" s="26" t="str">
        <f t="shared" si="301"/>
        <v>DGSEI</v>
      </c>
      <c r="M1610" s="26" t="str">
        <f t="shared" si="295"/>
        <v>PARTICULAR</v>
      </c>
      <c r="N1610" s="26">
        <v>19</v>
      </c>
      <c r="O1610" s="26">
        <v>10</v>
      </c>
      <c r="P1610" s="26">
        <v>9</v>
      </c>
      <c r="Q1610" s="26">
        <v>2</v>
      </c>
      <c r="R1610" s="26">
        <v>1</v>
      </c>
      <c r="S1610" s="26">
        <v>1</v>
      </c>
      <c r="T1610" s="26">
        <v>3</v>
      </c>
      <c r="U1610" s="26">
        <v>5</v>
      </c>
      <c r="V1610" s="26">
        <v>1</v>
      </c>
      <c r="W1610" s="26"/>
    </row>
    <row r="1611" spans="1:23" x14ac:dyDescent="0.25">
      <c r="A1611" s="26" t="str">
        <f t="shared" si="296"/>
        <v>PREESCOLAR</v>
      </c>
      <c r="B1611" s="26" t="str">
        <f>"09PJN2811O"</f>
        <v>09PJN2811O</v>
      </c>
      <c r="C1611" s="26" t="str">
        <f>"COLEGIO REY MECONETZIN                                                                              "</f>
        <v xml:space="preserve">COLEGIO REY MECONETZIN                                                                              </v>
      </c>
      <c r="D1611" s="26" t="str">
        <f t="shared" si="286"/>
        <v>MATUTINO</v>
      </c>
      <c r="E1611" s="26" t="str">
        <f>"ANDADOR KRIPTON MZ. 3 LT. 3                                                     "</f>
        <v xml:space="preserve">ANDADOR KRIPTON MZ. 3 LT. 3                                                     </v>
      </c>
      <c r="F1611" s="26" t="str">
        <f>"EL MANTO                                                                                                                                    "</f>
        <v xml:space="preserve">EL MANTO                                                                                                                                    </v>
      </c>
      <c r="G1611" s="26" t="str">
        <f t="shared" si="298"/>
        <v xml:space="preserve">IZTAPALAPA                                                                      </v>
      </c>
      <c r="H1611" s="26" t="str">
        <f>"000"</f>
        <v>000</v>
      </c>
      <c r="I1611" s="26" t="str">
        <f t="shared" si="297"/>
        <v>00</v>
      </c>
      <c r="J1611" s="26" t="str">
        <f>"61 "</f>
        <v xml:space="preserve">61 </v>
      </c>
      <c r="K1611" s="26" t="str">
        <f t="shared" si="300"/>
        <v>IZ</v>
      </c>
      <c r="L1611" s="26" t="str">
        <f t="shared" si="301"/>
        <v>DGSEI</v>
      </c>
      <c r="M1611" s="26" t="str">
        <f t="shared" si="295"/>
        <v>PARTICULAR</v>
      </c>
      <c r="N1611" s="26">
        <v>9</v>
      </c>
      <c r="O1611" s="26">
        <v>2</v>
      </c>
      <c r="P1611" s="26">
        <v>7</v>
      </c>
      <c r="Q1611" s="26">
        <v>3</v>
      </c>
      <c r="R1611" s="26">
        <v>1</v>
      </c>
      <c r="S1611" s="26">
        <v>1</v>
      </c>
      <c r="T1611" s="26">
        <v>8</v>
      </c>
      <c r="U1611" s="26">
        <v>10</v>
      </c>
      <c r="V1611" s="26">
        <v>1</v>
      </c>
      <c r="W1611" s="26"/>
    </row>
    <row r="1612" spans="1:23" x14ac:dyDescent="0.25">
      <c r="A1612" s="26" t="str">
        <f t="shared" si="296"/>
        <v>PREESCOLAR</v>
      </c>
      <c r="B1612" s="26" t="str">
        <f>"09PJN2816J"</f>
        <v>09PJN2816J</v>
      </c>
      <c r="C1612" s="26" t="str">
        <f>"COLEGIO INGLES                                                                                      "</f>
        <v xml:space="preserve">COLEGIO INGLES                                                                                      </v>
      </c>
      <c r="D1612" s="26" t="str">
        <f t="shared" si="286"/>
        <v>MATUTINO</v>
      </c>
      <c r="E1612" s="26" t="str">
        <f>"ARGENTINOS NO. 11                                                               "</f>
        <v xml:space="preserve">ARGENTINOS NO. 11                                                               </v>
      </c>
      <c r="F1612" s="26" t="str">
        <f>"MARIA G DE GARCIA RUIZ                                                                                                                      "</f>
        <v xml:space="preserve">MARIA G DE GARCIA RUIZ                                                                                                                      </v>
      </c>
      <c r="G1612" s="26" t="str">
        <f>"ALVARO OBREGON                                                                  "</f>
        <v xml:space="preserve">ALVARO OBREGON                                                                  </v>
      </c>
      <c r="H1612" s="26" t="str">
        <f>"166"</f>
        <v>166</v>
      </c>
      <c r="I1612" s="26" t="str">
        <f t="shared" si="297"/>
        <v>00</v>
      </c>
      <c r="J1612" s="26" t="str">
        <f>"33 "</f>
        <v xml:space="preserve">33 </v>
      </c>
      <c r="K1612" s="26" t="str">
        <f t="shared" ref="K1612:K1632" si="302">"EP"</f>
        <v>EP</v>
      </c>
      <c r="L1612" s="26" t="str">
        <f t="shared" ref="L1612:L1632" si="303">"DGOSE"</f>
        <v>DGOSE</v>
      </c>
      <c r="M1612" s="26" t="str">
        <f t="shared" si="295"/>
        <v>PARTICULAR</v>
      </c>
      <c r="N1612" s="26">
        <v>19</v>
      </c>
      <c r="O1612" s="26">
        <v>7</v>
      </c>
      <c r="P1612" s="26">
        <v>12</v>
      </c>
      <c r="Q1612" s="26">
        <v>2</v>
      </c>
      <c r="R1612" s="26">
        <v>1</v>
      </c>
      <c r="S1612" s="26">
        <v>2</v>
      </c>
      <c r="T1612" s="26">
        <v>0</v>
      </c>
      <c r="U1612" s="26">
        <v>3</v>
      </c>
      <c r="V1612" s="26">
        <v>1</v>
      </c>
      <c r="W1612" s="26"/>
    </row>
    <row r="1613" spans="1:23" x14ac:dyDescent="0.25">
      <c r="A1613" s="26" t="str">
        <f t="shared" si="296"/>
        <v>PREESCOLAR</v>
      </c>
      <c r="B1613" s="26" t="str">
        <f>"09PJN2820W"</f>
        <v>09PJN2820W</v>
      </c>
      <c r="C1613" s="26" t="str">
        <f>"COLEGIO DESARROLLO INTEGRAL DEL NIÑO MONTESSORI                                                     "</f>
        <v xml:space="preserve">COLEGIO DESARROLLO INTEGRAL DEL NIÑO MONTESSORI                                                     </v>
      </c>
      <c r="D1613" s="26" t="str">
        <f t="shared" si="286"/>
        <v>MATUTINO</v>
      </c>
      <c r="E1613" s="26" t="str">
        <f>"ANILLO PERIFERICO ORIENTE NO. 2472                                              "</f>
        <v xml:space="preserve">ANILLO PERIFERICO ORIENTE NO. 2472                                              </v>
      </c>
      <c r="F1613" s="26" t="str">
        <f>"RINCONADA COAPA                                                                                                                             "</f>
        <v xml:space="preserve">RINCONADA COAPA                                                                                                                             </v>
      </c>
      <c r="G1613" s="26" t="str">
        <f>"TLALPAN                                                                         "</f>
        <v xml:space="preserve">TLALPAN                                                                         </v>
      </c>
      <c r="H1613" s="26" t="str">
        <f>"050"</f>
        <v>050</v>
      </c>
      <c r="I1613" s="26" t="str">
        <f t="shared" si="297"/>
        <v>00</v>
      </c>
      <c r="J1613" s="26" t="str">
        <f>"35 "</f>
        <v xml:space="preserve">35 </v>
      </c>
      <c r="K1613" s="26" t="str">
        <f t="shared" si="302"/>
        <v>EP</v>
      </c>
      <c r="L1613" s="26" t="str">
        <f t="shared" si="303"/>
        <v>DGOSE</v>
      </c>
      <c r="M1613" s="26" t="str">
        <f t="shared" si="295"/>
        <v>PARTICULAR</v>
      </c>
      <c r="N1613" s="26">
        <v>3</v>
      </c>
      <c r="O1613" s="26">
        <v>2</v>
      </c>
      <c r="P1613" s="26">
        <v>1</v>
      </c>
      <c r="Q1613" s="26">
        <v>3</v>
      </c>
      <c r="R1613" s="26">
        <v>1</v>
      </c>
      <c r="S1613" s="26">
        <v>1</v>
      </c>
      <c r="T1613" s="26">
        <v>2</v>
      </c>
      <c r="U1613" s="26">
        <v>4</v>
      </c>
      <c r="V1613" s="26">
        <v>1</v>
      </c>
      <c r="W1613" s="26"/>
    </row>
    <row r="1614" spans="1:23" x14ac:dyDescent="0.25">
      <c r="A1614" s="26" t="str">
        <f t="shared" si="296"/>
        <v>PREESCOLAR</v>
      </c>
      <c r="B1614" s="26" t="str">
        <f>"09PJN2827P"</f>
        <v>09PJN2827P</v>
      </c>
      <c r="C1614" s="26" t="str">
        <f>"JARDÍN DE NIÑOS LOS NIÑOS DE LA SALLE                                                               "</f>
        <v xml:space="preserve">JARDÍN DE NIÑOS LOS NIÑOS DE LA SALLE                                                               </v>
      </c>
      <c r="D1614" s="26" t="str">
        <f t="shared" si="286"/>
        <v>MATUTINO</v>
      </c>
      <c r="E1614" s="26" t="str">
        <f>"16 DE SEPTIEMBRE NO. 133                                                        "</f>
        <v xml:space="preserve">16 DE SEPTIEMBRE NO. 133                                                        </v>
      </c>
      <c r="F1614" s="26" t="str">
        <f>"SAN ANDRES TOTOLTEPEC                                                                                                                       "</f>
        <v xml:space="preserve">SAN ANDRES TOTOLTEPEC                                                                                                                       </v>
      </c>
      <c r="G1614" s="26" t="str">
        <f>"TLALPAN                                                                         "</f>
        <v xml:space="preserve">TLALPAN                                                                         </v>
      </c>
      <c r="H1614" s="26" t="str">
        <f>"226"</f>
        <v>226</v>
      </c>
      <c r="I1614" s="26" t="str">
        <f t="shared" si="297"/>
        <v>00</v>
      </c>
      <c r="J1614" s="26" t="str">
        <f>"35 "</f>
        <v xml:space="preserve">35 </v>
      </c>
      <c r="K1614" s="26" t="str">
        <f t="shared" si="302"/>
        <v>EP</v>
      </c>
      <c r="L1614" s="26" t="str">
        <f t="shared" si="303"/>
        <v>DGOSE</v>
      </c>
      <c r="M1614" s="26" t="str">
        <f t="shared" si="295"/>
        <v>PARTICULAR</v>
      </c>
      <c r="N1614" s="26">
        <v>18</v>
      </c>
      <c r="O1614" s="26">
        <v>9</v>
      </c>
      <c r="P1614" s="26">
        <v>9</v>
      </c>
      <c r="Q1614" s="26">
        <v>3</v>
      </c>
      <c r="R1614" s="26">
        <v>1</v>
      </c>
      <c r="S1614" s="26">
        <v>3</v>
      </c>
      <c r="T1614" s="26">
        <v>3</v>
      </c>
      <c r="U1614" s="26">
        <v>7</v>
      </c>
      <c r="V1614" s="26">
        <v>1</v>
      </c>
      <c r="W1614" s="26"/>
    </row>
    <row r="1615" spans="1:23" x14ac:dyDescent="0.25">
      <c r="A1615" s="26" t="str">
        <f t="shared" si="296"/>
        <v>PREESCOLAR</v>
      </c>
      <c r="B1615" s="26" t="str">
        <f>"09PJN2830C"</f>
        <v>09PJN2830C</v>
      </c>
      <c r="C1615" s="26" t="str">
        <f>"ERETBIM                                                                                             "</f>
        <v xml:space="preserve">ERETBIM                                                                                             </v>
      </c>
      <c r="D1615" s="26" t="str">
        <f t="shared" si="286"/>
        <v>MATUTINO</v>
      </c>
      <c r="E1615" s="26" t="str">
        <f>"AVE DEL PARAISO NO. 10                                                          "</f>
        <v xml:space="preserve">AVE DEL PARAISO NO. 10                                                          </v>
      </c>
      <c r="F1615" s="26" t="str">
        <f>"EJIDOS SAN PEDRO MARTIR                                                                                                                     "</f>
        <v xml:space="preserve">EJIDOS SAN PEDRO MARTIR                                                                                                                     </v>
      </c>
      <c r="G1615" s="26" t="str">
        <f>"TLALPAN                                                                         "</f>
        <v xml:space="preserve">TLALPAN                                                                         </v>
      </c>
      <c r="H1615" s="26" t="str">
        <f>"076"</f>
        <v>076</v>
      </c>
      <c r="I1615" s="26" t="str">
        <f t="shared" si="297"/>
        <v>00</v>
      </c>
      <c r="J1615" s="26" t="str">
        <f>"35 "</f>
        <v xml:space="preserve">35 </v>
      </c>
      <c r="K1615" s="26" t="str">
        <f t="shared" si="302"/>
        <v>EP</v>
      </c>
      <c r="L1615" s="26" t="str">
        <f t="shared" si="303"/>
        <v>DGOSE</v>
      </c>
      <c r="M1615" s="26" t="str">
        <f t="shared" si="295"/>
        <v>PARTICULAR</v>
      </c>
      <c r="N1615" s="26">
        <v>27</v>
      </c>
      <c r="O1615" s="26">
        <v>12</v>
      </c>
      <c r="P1615" s="26">
        <v>15</v>
      </c>
      <c r="Q1615" s="26">
        <v>3</v>
      </c>
      <c r="R1615" s="26">
        <v>1</v>
      </c>
      <c r="S1615" s="26">
        <v>3</v>
      </c>
      <c r="T1615" s="26">
        <v>4</v>
      </c>
      <c r="U1615" s="26">
        <v>8</v>
      </c>
      <c r="V1615" s="26">
        <v>1</v>
      </c>
      <c r="W1615" s="26"/>
    </row>
    <row r="1616" spans="1:23" x14ac:dyDescent="0.25">
      <c r="A1616" s="26" t="str">
        <f t="shared" si="296"/>
        <v>PREESCOLAR</v>
      </c>
      <c r="B1616" s="26" t="str">
        <f>"09PJN2834Z"</f>
        <v>09PJN2834Z</v>
      </c>
      <c r="C1616" s="26" t="str">
        <f>"JUAN ESCUTIA                                                                                        "</f>
        <v xml:space="preserve">JUAN ESCUTIA                                                                                        </v>
      </c>
      <c r="D1616" s="26" t="str">
        <f t="shared" si="286"/>
        <v>MATUTINO</v>
      </c>
      <c r="E1616" s="26" t="str">
        <f>"AV. NIÑOS HEROES DE CHAPULTEPEC No. 141                                         "</f>
        <v xml:space="preserve">AV. NIÑOS HEROES DE CHAPULTEPEC No. 141                                         </v>
      </c>
      <c r="F1616" s="26" t="str">
        <f>"NIÑOS HEROES                                                                                                                                "</f>
        <v xml:space="preserve">NIÑOS HEROES                                                                                                                                </v>
      </c>
      <c r="G1616" s="26" t="str">
        <f t="shared" ref="G1616:G1622" si="304">"BENITO JUAREZ                                                                   "</f>
        <v xml:space="preserve">BENITO JUAREZ                                                                   </v>
      </c>
      <c r="H1616" s="26" t="str">
        <f>"029"</f>
        <v>029</v>
      </c>
      <c r="I1616" s="26" t="str">
        <f t="shared" si="297"/>
        <v>00</v>
      </c>
      <c r="J1616" s="26" t="str">
        <f t="shared" ref="J1616:J1622" si="305">"33 "</f>
        <v xml:space="preserve">33 </v>
      </c>
      <c r="K1616" s="26" t="str">
        <f t="shared" si="302"/>
        <v>EP</v>
      </c>
      <c r="L1616" s="26" t="str">
        <f t="shared" si="303"/>
        <v>DGOSE</v>
      </c>
      <c r="M1616" s="26" t="str">
        <f t="shared" si="295"/>
        <v>PARTICULAR</v>
      </c>
      <c r="N1616" s="26">
        <v>15</v>
      </c>
      <c r="O1616" s="26">
        <v>9</v>
      </c>
      <c r="P1616" s="26">
        <v>6</v>
      </c>
      <c r="Q1616" s="26">
        <v>3</v>
      </c>
      <c r="R1616" s="26">
        <v>1</v>
      </c>
      <c r="S1616" s="26">
        <v>2</v>
      </c>
      <c r="T1616" s="26">
        <v>2</v>
      </c>
      <c r="U1616" s="26">
        <v>5</v>
      </c>
      <c r="V1616" s="26">
        <v>1</v>
      </c>
      <c r="W1616" s="26"/>
    </row>
    <row r="1617" spans="1:23" x14ac:dyDescent="0.25">
      <c r="A1617" s="26" t="str">
        <f t="shared" si="296"/>
        <v>PREESCOLAR</v>
      </c>
      <c r="B1617" s="26" t="str">
        <f>"09PJN2837W"</f>
        <v>09PJN2837W</v>
      </c>
      <c r="C1617" s="26" t="str">
        <f>"SHADI MONTESSORI S. C.                                                                              "</f>
        <v xml:space="preserve">SHADI MONTESSORI S. C.                                                                              </v>
      </c>
      <c r="D1617" s="26" t="str">
        <f t="shared" si="286"/>
        <v>MATUTINO</v>
      </c>
      <c r="E1617" s="26" t="str">
        <f>"PROLONG. UXMAL No. 1089                                                         "</f>
        <v xml:space="preserve">PROLONG. UXMAL No. 1089                                                         </v>
      </c>
      <c r="F1617" s="26" t="str">
        <f>"GENERAL PEDRO MARIA ANAYA                                                                                                                   "</f>
        <v xml:space="preserve">GENERAL PEDRO MARIA ANAYA                                                                                                                   </v>
      </c>
      <c r="G1617" s="26" t="str">
        <f t="shared" si="304"/>
        <v xml:space="preserve">BENITO JUAREZ                                                                   </v>
      </c>
      <c r="H1617" s="26" t="str">
        <f>"234"</f>
        <v>234</v>
      </c>
      <c r="I1617" s="26" t="str">
        <f t="shared" si="297"/>
        <v>00</v>
      </c>
      <c r="J1617" s="26" t="str">
        <f t="shared" si="305"/>
        <v xml:space="preserve">33 </v>
      </c>
      <c r="K1617" s="26" t="str">
        <f t="shared" si="302"/>
        <v>EP</v>
      </c>
      <c r="L1617" s="26" t="str">
        <f t="shared" si="303"/>
        <v>DGOSE</v>
      </c>
      <c r="M1617" s="26" t="str">
        <f t="shared" si="295"/>
        <v>PARTICULAR</v>
      </c>
      <c r="N1617" s="26">
        <v>17</v>
      </c>
      <c r="O1617" s="26">
        <v>10</v>
      </c>
      <c r="P1617" s="26">
        <v>7</v>
      </c>
      <c r="Q1617" s="26">
        <v>3</v>
      </c>
      <c r="R1617" s="26">
        <v>1</v>
      </c>
      <c r="S1617" s="26">
        <v>2</v>
      </c>
      <c r="T1617" s="26">
        <v>6</v>
      </c>
      <c r="U1617" s="26">
        <v>9</v>
      </c>
      <c r="V1617" s="26">
        <v>1</v>
      </c>
      <c r="W1617" s="26"/>
    </row>
    <row r="1618" spans="1:23" x14ac:dyDescent="0.25">
      <c r="A1618" s="26" t="str">
        <f t="shared" si="296"/>
        <v>PREESCOLAR</v>
      </c>
      <c r="B1618" s="26" t="str">
        <f>"09PJN2843G"</f>
        <v>09PJN2843G</v>
      </c>
      <c r="C1618" s="26" t="str">
        <f>"INSTITUTO CULTURAL PEDAGOGICO FEDERICO FROEBEL                                                      "</f>
        <v xml:space="preserve">INSTITUTO CULTURAL PEDAGOGICO FEDERICO FROEBEL                                                      </v>
      </c>
      <c r="D1618" s="26" t="str">
        <f t="shared" si="286"/>
        <v>MATUTINO</v>
      </c>
      <c r="E1618" s="26" t="str">
        <f>"ODESA No. 305                                                                   "</f>
        <v xml:space="preserve">ODESA No. 305                                                                   </v>
      </c>
      <c r="F1618" s="26" t="str">
        <f>"PORTALES                                                                                                                                    "</f>
        <v xml:space="preserve">PORTALES                                                                                                                                    </v>
      </c>
      <c r="G1618" s="26" t="str">
        <f t="shared" si="304"/>
        <v xml:space="preserve">BENITO JUAREZ                                                                   </v>
      </c>
      <c r="H1618" s="26" t="str">
        <f>"090"</f>
        <v>090</v>
      </c>
      <c r="I1618" s="26" t="str">
        <f t="shared" si="297"/>
        <v>00</v>
      </c>
      <c r="J1618" s="26" t="str">
        <f t="shared" si="305"/>
        <v xml:space="preserve">33 </v>
      </c>
      <c r="K1618" s="26" t="str">
        <f t="shared" si="302"/>
        <v>EP</v>
      </c>
      <c r="L1618" s="26" t="str">
        <f t="shared" si="303"/>
        <v>DGOSE</v>
      </c>
      <c r="M1618" s="26" t="str">
        <f t="shared" si="295"/>
        <v>PARTICULAR</v>
      </c>
      <c r="N1618" s="26">
        <v>20</v>
      </c>
      <c r="O1618" s="26">
        <v>11</v>
      </c>
      <c r="P1618" s="26">
        <v>9</v>
      </c>
      <c r="Q1618" s="26">
        <v>3</v>
      </c>
      <c r="R1618" s="26">
        <v>1</v>
      </c>
      <c r="S1618" s="26">
        <v>2</v>
      </c>
      <c r="T1618" s="26">
        <v>3</v>
      </c>
      <c r="U1618" s="26">
        <v>6</v>
      </c>
      <c r="V1618" s="26">
        <v>1</v>
      </c>
      <c r="W1618" s="26"/>
    </row>
    <row r="1619" spans="1:23" x14ac:dyDescent="0.25">
      <c r="A1619" s="26" t="str">
        <f t="shared" si="296"/>
        <v>PREESCOLAR</v>
      </c>
      <c r="B1619" s="26" t="str">
        <f>"09PJN2845E"</f>
        <v>09PJN2845E</v>
      </c>
      <c r="C1619" s="26" t="str">
        <f>"COLEGIO COOK                                                                                        "</f>
        <v xml:space="preserve">COLEGIO COOK                                                                                        </v>
      </c>
      <c r="D1619" s="26" t="str">
        <f t="shared" si="286"/>
        <v>MATUTINO</v>
      </c>
      <c r="E1619" s="26" t="str">
        <f>"BOLIVAR No. 747                                                                 "</f>
        <v xml:space="preserve">BOLIVAR No. 747                                                                 </v>
      </c>
      <c r="F1619" s="26" t="str">
        <f>"ALAMOS                                                                                                                                      "</f>
        <v xml:space="preserve">ALAMOS                                                                                                                                      </v>
      </c>
      <c r="G1619" s="26" t="str">
        <f t="shared" si="304"/>
        <v xml:space="preserve">BENITO JUAREZ                                                                   </v>
      </c>
      <c r="H1619" s="26" t="str">
        <f>"090"</f>
        <v>090</v>
      </c>
      <c r="I1619" s="26" t="str">
        <f t="shared" si="297"/>
        <v>00</v>
      </c>
      <c r="J1619" s="26" t="str">
        <f t="shared" si="305"/>
        <v xml:space="preserve">33 </v>
      </c>
      <c r="K1619" s="26" t="str">
        <f t="shared" si="302"/>
        <v>EP</v>
      </c>
      <c r="L1619" s="26" t="str">
        <f t="shared" si="303"/>
        <v>DGOSE</v>
      </c>
      <c r="M1619" s="26" t="str">
        <f t="shared" si="295"/>
        <v>PARTICULAR</v>
      </c>
      <c r="N1619" s="26">
        <v>32</v>
      </c>
      <c r="O1619" s="26">
        <v>17</v>
      </c>
      <c r="P1619" s="26">
        <v>15</v>
      </c>
      <c r="Q1619" s="26">
        <v>3</v>
      </c>
      <c r="R1619" s="26">
        <v>1</v>
      </c>
      <c r="S1619" s="26">
        <v>2</v>
      </c>
      <c r="T1619" s="26">
        <v>4</v>
      </c>
      <c r="U1619" s="26">
        <v>7</v>
      </c>
      <c r="V1619" s="26">
        <v>1</v>
      </c>
      <c r="W1619" s="26"/>
    </row>
    <row r="1620" spans="1:23" x14ac:dyDescent="0.25">
      <c r="A1620" s="26" t="str">
        <f t="shared" si="296"/>
        <v>PREESCOLAR</v>
      </c>
      <c r="B1620" s="26" t="str">
        <f>"09PJN2851P"</f>
        <v>09PJN2851P</v>
      </c>
      <c r="C1620" s="26" t="str">
        <f>"CENTRO DE DESARROLLO INFANTIL BANUET                                                                "</f>
        <v xml:space="preserve">CENTRO DE DESARROLLO INFANTIL BANUET                                                                </v>
      </c>
      <c r="D1620" s="26" t="str">
        <f t="shared" si="286"/>
        <v>MATUTINO</v>
      </c>
      <c r="E1620" s="26" t="str">
        <f>"TOKIO No. 212                                                                   "</f>
        <v xml:space="preserve">TOKIO No. 212                                                                   </v>
      </c>
      <c r="F1620" s="26" t="str">
        <f>"PORTALES                                                                                                                                    "</f>
        <v xml:space="preserve">PORTALES                                                                                                                                    </v>
      </c>
      <c r="G1620" s="26" t="str">
        <f t="shared" si="304"/>
        <v xml:space="preserve">BENITO JUAREZ                                                                   </v>
      </c>
      <c r="H1620" s="26" t="str">
        <f>"037"</f>
        <v>037</v>
      </c>
      <c r="I1620" s="26" t="str">
        <f t="shared" si="297"/>
        <v>00</v>
      </c>
      <c r="J1620" s="26" t="str">
        <f t="shared" si="305"/>
        <v xml:space="preserve">33 </v>
      </c>
      <c r="K1620" s="26" t="str">
        <f t="shared" si="302"/>
        <v>EP</v>
      </c>
      <c r="L1620" s="26" t="str">
        <f t="shared" si="303"/>
        <v>DGOSE</v>
      </c>
      <c r="M1620" s="26" t="str">
        <f t="shared" si="295"/>
        <v>PARTICULAR</v>
      </c>
      <c r="N1620" s="26">
        <v>29</v>
      </c>
      <c r="O1620" s="26">
        <v>16</v>
      </c>
      <c r="P1620" s="26">
        <v>13</v>
      </c>
      <c r="Q1620" s="26">
        <v>3</v>
      </c>
      <c r="R1620" s="26">
        <v>1</v>
      </c>
      <c r="S1620" s="26">
        <v>3</v>
      </c>
      <c r="T1620" s="26">
        <v>1</v>
      </c>
      <c r="U1620" s="26">
        <v>5</v>
      </c>
      <c r="V1620" s="26">
        <v>1</v>
      </c>
      <c r="W1620" s="26"/>
    </row>
    <row r="1621" spans="1:23" x14ac:dyDescent="0.25">
      <c r="A1621" s="26" t="str">
        <f t="shared" si="296"/>
        <v>PREESCOLAR</v>
      </c>
      <c r="B1621" s="26" t="str">
        <f>"09PJN2852O"</f>
        <v>09PJN2852O</v>
      </c>
      <c r="C1621" s="26" t="str">
        <f>"GAMA                                                                                                "</f>
        <v xml:space="preserve">GAMA                                                                                                </v>
      </c>
      <c r="D1621" s="26" t="str">
        <f t="shared" si="286"/>
        <v>MATUTINO</v>
      </c>
      <c r="E1621" s="26" t="str">
        <f>"CORRESPONDENCIA NO. 54                                                          "</f>
        <v xml:space="preserve">CORRESPONDENCIA NO. 54                                                          </v>
      </c>
      <c r="F1621" s="26" t="str">
        <f>"POSTAL                                                                                                                                      "</f>
        <v xml:space="preserve">POSTAL                                                                                                                                      </v>
      </c>
      <c r="G1621" s="26" t="str">
        <f t="shared" si="304"/>
        <v xml:space="preserve">BENITO JUAREZ                                                                   </v>
      </c>
      <c r="H1621" s="26" t="str">
        <f>"230"</f>
        <v>230</v>
      </c>
      <c r="I1621" s="26" t="str">
        <f t="shared" si="297"/>
        <v>00</v>
      </c>
      <c r="J1621" s="26" t="str">
        <f t="shared" si="305"/>
        <v xml:space="preserve">33 </v>
      </c>
      <c r="K1621" s="26" t="str">
        <f t="shared" si="302"/>
        <v>EP</v>
      </c>
      <c r="L1621" s="26" t="str">
        <f t="shared" si="303"/>
        <v>DGOSE</v>
      </c>
      <c r="M1621" s="26" t="str">
        <f t="shared" si="295"/>
        <v>PARTICULAR</v>
      </c>
      <c r="N1621" s="26">
        <v>41</v>
      </c>
      <c r="O1621" s="26">
        <v>20</v>
      </c>
      <c r="P1621" s="26">
        <v>21</v>
      </c>
      <c r="Q1621" s="26">
        <v>3</v>
      </c>
      <c r="R1621" s="26">
        <v>1</v>
      </c>
      <c r="S1621" s="26">
        <v>3</v>
      </c>
      <c r="T1621" s="26">
        <v>7</v>
      </c>
      <c r="U1621" s="26">
        <v>11</v>
      </c>
      <c r="V1621" s="26">
        <v>1</v>
      </c>
      <c r="W1621" s="26"/>
    </row>
    <row r="1622" spans="1:23" x14ac:dyDescent="0.25">
      <c r="A1622" s="26" t="str">
        <f t="shared" si="296"/>
        <v>PREESCOLAR</v>
      </c>
      <c r="B1622" s="26" t="str">
        <f>"09PJN2853N"</f>
        <v>09PJN2853N</v>
      </c>
      <c r="C1622" s="26" t="str">
        <f>"CENTRO DE ESTUDIOS INTEGRADOS LA ABEJITA                                                            "</f>
        <v xml:space="preserve">CENTRO DE ESTUDIOS INTEGRADOS LA ABEJITA                                                            </v>
      </c>
      <c r="D1622" s="26" t="str">
        <f t="shared" ref="D1622:D1634" si="306">"MATUTINO"</f>
        <v>MATUTINO</v>
      </c>
      <c r="E1622" s="26" t="str">
        <f>"BALBOA NO. 1103                                                                 "</f>
        <v xml:space="preserve">BALBOA NO. 1103                                                                 </v>
      </c>
      <c r="F1622" s="26" t="str">
        <f>"PORTALES                                                                                                                                    "</f>
        <v xml:space="preserve">PORTALES                                                                                                                                    </v>
      </c>
      <c r="G1622" s="26" t="str">
        <f t="shared" si="304"/>
        <v xml:space="preserve">BENITO JUAREZ                                                                   </v>
      </c>
      <c r="H1622" s="26" t="str">
        <f>"037"</f>
        <v>037</v>
      </c>
      <c r="I1622" s="26" t="str">
        <f t="shared" si="297"/>
        <v>00</v>
      </c>
      <c r="J1622" s="26" t="str">
        <f t="shared" si="305"/>
        <v xml:space="preserve">33 </v>
      </c>
      <c r="K1622" s="26" t="str">
        <f t="shared" si="302"/>
        <v>EP</v>
      </c>
      <c r="L1622" s="26" t="str">
        <f t="shared" si="303"/>
        <v>DGOSE</v>
      </c>
      <c r="M1622" s="26" t="str">
        <f t="shared" si="295"/>
        <v>PARTICULAR</v>
      </c>
      <c r="N1622" s="26">
        <v>55</v>
      </c>
      <c r="O1622" s="26">
        <v>29</v>
      </c>
      <c r="P1622" s="26">
        <v>26</v>
      </c>
      <c r="Q1622" s="26">
        <v>3</v>
      </c>
      <c r="R1622" s="26">
        <v>1</v>
      </c>
      <c r="S1622" s="26">
        <v>2</v>
      </c>
      <c r="T1622" s="26">
        <v>7</v>
      </c>
      <c r="U1622" s="26">
        <v>10</v>
      </c>
      <c r="V1622" s="26">
        <v>1</v>
      </c>
      <c r="W1622" s="26"/>
    </row>
    <row r="1623" spans="1:23" x14ac:dyDescent="0.25">
      <c r="A1623" s="26" t="str">
        <f t="shared" si="296"/>
        <v>PREESCOLAR</v>
      </c>
      <c r="B1623" s="26" t="str">
        <f>"09PJN2857J"</f>
        <v>09PJN2857J</v>
      </c>
      <c r="C1623" s="26" t="str">
        <f>"TRES CULTURAS                                                                                       "</f>
        <v xml:space="preserve">TRES CULTURAS                                                                                       </v>
      </c>
      <c r="D1623" s="26" t="str">
        <f t="shared" si="306"/>
        <v>MATUTINO</v>
      </c>
      <c r="E1623" s="26" t="str">
        <f>"INGLATERRA NO. 32                                                               "</f>
        <v xml:space="preserve">INGLATERRA NO. 32                                                               </v>
      </c>
      <c r="F1623" s="26" t="str">
        <f>"SAN SIMON TOLNAHUAC                                                                                                                         "</f>
        <v xml:space="preserve">SAN SIMON TOLNAHUAC                                                                                                                         </v>
      </c>
      <c r="G1623" s="26" t="s">
        <v>4128</v>
      </c>
      <c r="H1623" s="26" t="str">
        <f>"057"</f>
        <v>057</v>
      </c>
      <c r="I1623" s="26" t="str">
        <f t="shared" si="297"/>
        <v>00</v>
      </c>
      <c r="J1623" s="26" t="str">
        <f>"32 "</f>
        <v xml:space="preserve">32 </v>
      </c>
      <c r="K1623" s="26" t="str">
        <f t="shared" si="302"/>
        <v>EP</v>
      </c>
      <c r="L1623" s="26" t="str">
        <f t="shared" si="303"/>
        <v>DGOSE</v>
      </c>
      <c r="M1623" s="26" t="str">
        <f t="shared" si="295"/>
        <v>PARTICULAR</v>
      </c>
      <c r="N1623" s="26">
        <v>9</v>
      </c>
      <c r="O1623" s="26">
        <v>5</v>
      </c>
      <c r="P1623" s="26">
        <v>4</v>
      </c>
      <c r="Q1623" s="26">
        <v>2</v>
      </c>
      <c r="R1623" s="26">
        <v>1</v>
      </c>
      <c r="S1623" s="26">
        <v>2</v>
      </c>
      <c r="T1623" s="26">
        <v>2</v>
      </c>
      <c r="U1623" s="26">
        <v>5</v>
      </c>
      <c r="V1623" s="26">
        <v>1</v>
      </c>
      <c r="W1623" s="26"/>
    </row>
    <row r="1624" spans="1:23" x14ac:dyDescent="0.25">
      <c r="A1624" s="26" t="str">
        <f t="shared" si="296"/>
        <v>PREESCOLAR</v>
      </c>
      <c r="B1624" s="26" t="str">
        <f>"09PJN2863U"</f>
        <v>09PJN2863U</v>
      </c>
      <c r="C1624" s="26" t="str">
        <f>"COLEGIO CAROLINGIO                                                                                  "</f>
        <v xml:space="preserve">COLEGIO CAROLINGIO                                                                                  </v>
      </c>
      <c r="D1624" s="26" t="str">
        <f t="shared" si="306"/>
        <v>MATUTINO</v>
      </c>
      <c r="E1624" s="26" t="str">
        <f>"CARUSO NO. 115                                                                  "</f>
        <v xml:space="preserve">CARUSO NO. 115                                                                  </v>
      </c>
      <c r="F1624" s="26" t="str">
        <f>"PERALVILLO                                                                                                                                  "</f>
        <v xml:space="preserve">PERALVILLO                                                                                                                                  </v>
      </c>
      <c r="G1624" s="26" t="s">
        <v>4128</v>
      </c>
      <c r="H1624" s="26" t="str">
        <f>"057"</f>
        <v>057</v>
      </c>
      <c r="I1624" s="26" t="str">
        <f t="shared" si="297"/>
        <v>00</v>
      </c>
      <c r="J1624" s="26" t="str">
        <f>"32 "</f>
        <v xml:space="preserve">32 </v>
      </c>
      <c r="K1624" s="26" t="str">
        <f t="shared" si="302"/>
        <v>EP</v>
      </c>
      <c r="L1624" s="26" t="str">
        <f t="shared" si="303"/>
        <v>DGOSE</v>
      </c>
      <c r="M1624" s="26" t="str">
        <f t="shared" si="295"/>
        <v>PARTICULAR</v>
      </c>
      <c r="N1624" s="26">
        <v>29</v>
      </c>
      <c r="O1624" s="26">
        <v>17</v>
      </c>
      <c r="P1624" s="26">
        <v>12</v>
      </c>
      <c r="Q1624" s="26">
        <v>3</v>
      </c>
      <c r="R1624" s="26">
        <v>1</v>
      </c>
      <c r="S1624" s="26">
        <v>3</v>
      </c>
      <c r="T1624" s="26">
        <v>5</v>
      </c>
      <c r="U1624" s="26">
        <v>9</v>
      </c>
      <c r="V1624" s="26">
        <v>1</v>
      </c>
      <c r="W1624" s="26"/>
    </row>
    <row r="1625" spans="1:23" x14ac:dyDescent="0.25">
      <c r="A1625" s="26" t="str">
        <f t="shared" si="296"/>
        <v>PREESCOLAR</v>
      </c>
      <c r="B1625" s="26" t="str">
        <f>"09PJN2864T"</f>
        <v>09PJN2864T</v>
      </c>
      <c r="C1625" s="26" t="str">
        <f>"ESCUELA DECROLY                                                                                     "</f>
        <v xml:space="preserve">ESCUELA DECROLY                                                                                     </v>
      </c>
      <c r="D1625" s="26" t="str">
        <f t="shared" si="306"/>
        <v>MATUTINO</v>
      </c>
      <c r="E1625" s="26" t="str">
        <f>"ZACATECAS NO. 88                                                                "</f>
        <v xml:space="preserve">ZACATECAS NO. 88                                                                </v>
      </c>
      <c r="F1625" s="26" t="str">
        <f>"ROMA NORTE                                                                                                                                  "</f>
        <v xml:space="preserve">ROMA NORTE                                                                                                                                  </v>
      </c>
      <c r="G1625" s="26" t="s">
        <v>4128</v>
      </c>
      <c r="H1625" s="26" t="str">
        <f>"202"</f>
        <v>202</v>
      </c>
      <c r="I1625" s="26" t="str">
        <f t="shared" si="297"/>
        <v>00</v>
      </c>
      <c r="J1625" s="26" t="str">
        <f>"32 "</f>
        <v xml:space="preserve">32 </v>
      </c>
      <c r="K1625" s="26" t="str">
        <f t="shared" si="302"/>
        <v>EP</v>
      </c>
      <c r="L1625" s="26" t="str">
        <f t="shared" si="303"/>
        <v>DGOSE</v>
      </c>
      <c r="M1625" s="26" t="str">
        <f t="shared" si="295"/>
        <v>PARTICULAR</v>
      </c>
      <c r="N1625" s="26">
        <v>47</v>
      </c>
      <c r="O1625" s="26">
        <v>19</v>
      </c>
      <c r="P1625" s="26">
        <v>28</v>
      </c>
      <c r="Q1625" s="26">
        <v>3</v>
      </c>
      <c r="R1625" s="26">
        <v>1</v>
      </c>
      <c r="S1625" s="26">
        <v>3</v>
      </c>
      <c r="T1625" s="26">
        <v>6</v>
      </c>
      <c r="U1625" s="26">
        <v>10</v>
      </c>
      <c r="V1625" s="26">
        <v>1</v>
      </c>
      <c r="W1625" s="26"/>
    </row>
    <row r="1626" spans="1:23" x14ac:dyDescent="0.25">
      <c r="A1626" s="26" t="str">
        <f t="shared" si="296"/>
        <v>PREESCOLAR</v>
      </c>
      <c r="B1626" s="26" t="str">
        <f>"09PJN2867Q"</f>
        <v>09PJN2867Q</v>
      </c>
      <c r="C1626" s="26" t="str">
        <f>"COLEGIO INGLES DURKHEIM                                                                             "</f>
        <v xml:space="preserve">COLEGIO INGLES DURKHEIM                                                                             </v>
      </c>
      <c r="D1626" s="26" t="str">
        <f t="shared" si="306"/>
        <v>MATUTINO</v>
      </c>
      <c r="E1626" s="26" t="str">
        <f>"JOSE MA. DEL CASTILLO VELASCO NO. 65                                            "</f>
        <v xml:space="preserve">JOSE MA. DEL CASTILLO VELASCO NO. 65                                            </v>
      </c>
      <c r="F1626" s="26" t="str">
        <f>"PERIODISTA                                                                                                                                  "</f>
        <v xml:space="preserve">PERIODISTA                                                                                                                                  </v>
      </c>
      <c r="G1626" s="26" t="str">
        <f>"MIGUEL HIDALGO                                                                  "</f>
        <v xml:space="preserve">MIGUEL HIDALGO                                                                  </v>
      </c>
      <c r="H1626" s="26" t="str">
        <f>"056"</f>
        <v>056</v>
      </c>
      <c r="I1626" s="26" t="str">
        <f t="shared" si="297"/>
        <v>00</v>
      </c>
      <c r="J1626" s="26" t="str">
        <f>"32 "</f>
        <v xml:space="preserve">32 </v>
      </c>
      <c r="K1626" s="26" t="str">
        <f t="shared" si="302"/>
        <v>EP</v>
      </c>
      <c r="L1626" s="26" t="str">
        <f t="shared" si="303"/>
        <v>DGOSE</v>
      </c>
      <c r="M1626" s="26" t="str">
        <f t="shared" si="295"/>
        <v>PARTICULAR</v>
      </c>
      <c r="N1626" s="26">
        <v>121</v>
      </c>
      <c r="O1626" s="26">
        <v>65</v>
      </c>
      <c r="P1626" s="26">
        <v>56</v>
      </c>
      <c r="Q1626" s="26">
        <v>6</v>
      </c>
      <c r="R1626" s="26">
        <v>1</v>
      </c>
      <c r="S1626" s="26">
        <v>6</v>
      </c>
      <c r="T1626" s="26">
        <v>0</v>
      </c>
      <c r="U1626" s="26">
        <v>7</v>
      </c>
      <c r="V1626" s="26">
        <v>1</v>
      </c>
      <c r="W1626" s="26"/>
    </row>
    <row r="1627" spans="1:23" x14ac:dyDescent="0.25">
      <c r="A1627" s="26" t="str">
        <f t="shared" si="296"/>
        <v>PREESCOLAR</v>
      </c>
      <c r="B1627" s="26" t="str">
        <f>"09PJN2871C"</f>
        <v>09PJN2871C</v>
      </c>
      <c r="C1627" s="26" t="str">
        <f>"NIÑOS PEQUEÑOS EN ACCION                                                                            "</f>
        <v xml:space="preserve">NIÑOS PEQUEÑOS EN ACCION                                                                            </v>
      </c>
      <c r="D1627" s="26" t="str">
        <f t="shared" si="306"/>
        <v>MATUTINO</v>
      </c>
      <c r="E1627" s="26" t="str">
        <f>"NAYARIT NO.160                                                                  "</f>
        <v xml:space="preserve">NAYARIT NO.160                                                                  </v>
      </c>
      <c r="F1627" s="26" t="str">
        <f>"PEÑON DE LOS BAÑOS                                                                                                                          "</f>
        <v xml:space="preserve">PEÑON DE LOS BAÑOS                                                                                                                          </v>
      </c>
      <c r="G1627" s="26" t="str">
        <f>"VENUSTIANO CARRANZA                                                             "</f>
        <v xml:space="preserve">VENUSTIANO CARRANZA                                                             </v>
      </c>
      <c r="H1627" s="26" t="str">
        <f>"025"</f>
        <v>025</v>
      </c>
      <c r="I1627" s="26" t="str">
        <f t="shared" si="297"/>
        <v>00</v>
      </c>
      <c r="J1627" s="26" t="str">
        <f>"33 "</f>
        <v xml:space="preserve">33 </v>
      </c>
      <c r="K1627" s="26" t="str">
        <f t="shared" si="302"/>
        <v>EP</v>
      </c>
      <c r="L1627" s="26" t="str">
        <f t="shared" si="303"/>
        <v>DGOSE</v>
      </c>
      <c r="M1627" s="26" t="str">
        <f t="shared" si="295"/>
        <v>PARTICULAR</v>
      </c>
      <c r="N1627" s="26">
        <v>23</v>
      </c>
      <c r="O1627" s="26">
        <v>15</v>
      </c>
      <c r="P1627" s="26">
        <v>8</v>
      </c>
      <c r="Q1627" s="26">
        <v>2</v>
      </c>
      <c r="R1627" s="26">
        <v>1</v>
      </c>
      <c r="S1627" s="26">
        <v>2</v>
      </c>
      <c r="T1627" s="26">
        <v>0</v>
      </c>
      <c r="U1627" s="26">
        <v>3</v>
      </c>
      <c r="V1627" s="26">
        <v>1</v>
      </c>
      <c r="W1627" s="26"/>
    </row>
    <row r="1628" spans="1:23" x14ac:dyDescent="0.25">
      <c r="A1628" s="26" t="str">
        <f t="shared" si="296"/>
        <v>PREESCOLAR</v>
      </c>
      <c r="B1628" s="26" t="str">
        <f>"09PJN2875Z"</f>
        <v>09PJN2875Z</v>
      </c>
      <c r="C1628" s="26" t="str">
        <f>"COLEGIO VERDI                                                                                       "</f>
        <v xml:space="preserve">COLEGIO VERDI                                                                                       </v>
      </c>
      <c r="D1628" s="26" t="str">
        <f t="shared" si="306"/>
        <v>MATUTINO</v>
      </c>
      <c r="E1628" s="26" t="str">
        <f>"NORTE 13 NO. 291                                                                "</f>
        <v xml:space="preserve">NORTE 13 NO. 291                                                                </v>
      </c>
      <c r="F1628" s="26" t="str">
        <f>"MOCTEZUMA 2A SECCION                                                                                                                        "</f>
        <v xml:space="preserve">MOCTEZUMA 2A SECCION                                                                                                                        </v>
      </c>
      <c r="G1628" s="26" t="str">
        <f>"VENUSTIANO CARRANZA                                                             "</f>
        <v xml:space="preserve">VENUSTIANO CARRANZA                                                             </v>
      </c>
      <c r="H1628" s="26" t="str">
        <f>"248"</f>
        <v>248</v>
      </c>
      <c r="I1628" s="26" t="str">
        <f t="shared" si="297"/>
        <v>00</v>
      </c>
      <c r="J1628" s="26" t="str">
        <f>"33 "</f>
        <v xml:space="preserve">33 </v>
      </c>
      <c r="K1628" s="26" t="str">
        <f t="shared" si="302"/>
        <v>EP</v>
      </c>
      <c r="L1628" s="26" t="str">
        <f t="shared" si="303"/>
        <v>DGOSE</v>
      </c>
      <c r="M1628" s="26" t="str">
        <f t="shared" si="295"/>
        <v>PARTICULAR</v>
      </c>
      <c r="N1628" s="26">
        <v>34</v>
      </c>
      <c r="O1628" s="26">
        <v>14</v>
      </c>
      <c r="P1628" s="26">
        <v>20</v>
      </c>
      <c r="Q1628" s="26">
        <v>3</v>
      </c>
      <c r="R1628" s="26">
        <v>1</v>
      </c>
      <c r="S1628" s="26">
        <v>3</v>
      </c>
      <c r="T1628" s="26">
        <v>5</v>
      </c>
      <c r="U1628" s="26">
        <v>9</v>
      </c>
      <c r="V1628" s="26">
        <v>1</v>
      </c>
      <c r="W1628" s="26"/>
    </row>
    <row r="1629" spans="1:23" x14ac:dyDescent="0.25">
      <c r="A1629" s="26" t="str">
        <f t="shared" si="296"/>
        <v>PREESCOLAR</v>
      </c>
      <c r="B1629" s="26" t="str">
        <f>"09PJN2877X"</f>
        <v>09PJN2877X</v>
      </c>
      <c r="C1629" s="26" t="str">
        <f>"CENTRO DE DESARROLLO INFANTIL LOS PATITOS                                                           "</f>
        <v xml:space="preserve">CENTRO DE DESARROLLO INFANTIL LOS PATITOS                                                           </v>
      </c>
      <c r="D1629" s="26" t="str">
        <f t="shared" si="306"/>
        <v>MATUTINO</v>
      </c>
      <c r="E1629" s="26" t="str">
        <f>"NORTE 9 No. 112                                                                 "</f>
        <v xml:space="preserve">NORTE 9 No. 112                                                                 </v>
      </c>
      <c r="F1629" s="26" t="str">
        <f>"MOCTEZUMA 2A SECCION                                                                                                                        "</f>
        <v xml:space="preserve">MOCTEZUMA 2A SECCION                                                                                                                        </v>
      </c>
      <c r="G1629" s="26" t="str">
        <f>"VENUSTIANO CARRANZA                                                             "</f>
        <v xml:space="preserve">VENUSTIANO CARRANZA                                                             </v>
      </c>
      <c r="H1629" s="26" t="str">
        <f>"248"</f>
        <v>248</v>
      </c>
      <c r="I1629" s="26" t="str">
        <f t="shared" si="297"/>
        <v>00</v>
      </c>
      <c r="J1629" s="26" t="str">
        <f>"33 "</f>
        <v xml:space="preserve">33 </v>
      </c>
      <c r="K1629" s="26" t="str">
        <f t="shared" si="302"/>
        <v>EP</v>
      </c>
      <c r="L1629" s="26" t="str">
        <f t="shared" si="303"/>
        <v>DGOSE</v>
      </c>
      <c r="M1629" s="26" t="str">
        <f t="shared" si="295"/>
        <v>PARTICULAR</v>
      </c>
      <c r="N1629" s="26">
        <v>33</v>
      </c>
      <c r="O1629" s="26">
        <v>19</v>
      </c>
      <c r="P1629" s="26">
        <v>14</v>
      </c>
      <c r="Q1629" s="26">
        <v>3</v>
      </c>
      <c r="R1629" s="26">
        <v>1</v>
      </c>
      <c r="S1629" s="26">
        <v>2</v>
      </c>
      <c r="T1629" s="26">
        <v>6</v>
      </c>
      <c r="U1629" s="26">
        <v>9</v>
      </c>
      <c r="V1629" s="26">
        <v>1</v>
      </c>
      <c r="W1629" s="26"/>
    </row>
    <row r="1630" spans="1:23" x14ac:dyDescent="0.25">
      <c r="A1630" s="26" t="str">
        <f t="shared" si="296"/>
        <v>PREESCOLAR</v>
      </c>
      <c r="B1630" s="26" t="str">
        <f>"09PJN2885F"</f>
        <v>09PJN2885F</v>
      </c>
      <c r="C1630" s="26" t="str">
        <f>"JARDÍN DE NIÑOS COLIBRI                                                                             "</f>
        <v xml:space="preserve">JARDÍN DE NIÑOS COLIBRI                                                                             </v>
      </c>
      <c r="D1630" s="26" t="str">
        <f t="shared" si="306"/>
        <v>MATUTINO</v>
      </c>
      <c r="E1630" s="26" t="str">
        <f>"AV. FRANCISCO MORAZAN NO. 87                                                    "</f>
        <v xml:space="preserve">AV. FRANCISCO MORAZAN NO. 87                                                    </v>
      </c>
      <c r="F1630" s="26" t="str">
        <f>"ZARAGOZA                                                                                                                                    "</f>
        <v xml:space="preserve">ZARAGOZA                                                                                                                                    </v>
      </c>
      <c r="G1630" s="26" t="str">
        <f>"VENUSTIANO CARRANZA                                                             "</f>
        <v xml:space="preserve">VENUSTIANO CARRANZA                                                             </v>
      </c>
      <c r="H1630" s="26" t="str">
        <f>"250"</f>
        <v>250</v>
      </c>
      <c r="I1630" s="26" t="str">
        <f t="shared" si="297"/>
        <v>00</v>
      </c>
      <c r="J1630" s="26" t="str">
        <f>"33 "</f>
        <v xml:space="preserve">33 </v>
      </c>
      <c r="K1630" s="26" t="str">
        <f t="shared" si="302"/>
        <v>EP</v>
      </c>
      <c r="L1630" s="26" t="str">
        <f t="shared" si="303"/>
        <v>DGOSE</v>
      </c>
      <c r="M1630" s="26" t="str">
        <f t="shared" si="295"/>
        <v>PARTICULAR</v>
      </c>
      <c r="N1630" s="26">
        <v>57</v>
      </c>
      <c r="O1630" s="26">
        <v>31</v>
      </c>
      <c r="P1630" s="26">
        <v>26</v>
      </c>
      <c r="Q1630" s="26">
        <v>3</v>
      </c>
      <c r="R1630" s="26">
        <v>1</v>
      </c>
      <c r="S1630" s="26">
        <v>3</v>
      </c>
      <c r="T1630" s="26">
        <v>4</v>
      </c>
      <c r="U1630" s="26">
        <v>8</v>
      </c>
      <c r="V1630" s="26">
        <v>1</v>
      </c>
      <c r="W1630" s="26"/>
    </row>
    <row r="1631" spans="1:23" x14ac:dyDescent="0.25">
      <c r="A1631" s="26" t="str">
        <f t="shared" si="296"/>
        <v>PREESCOLAR</v>
      </c>
      <c r="B1631" s="26" t="str">
        <f>"09PJN2891Q"</f>
        <v>09PJN2891Q</v>
      </c>
      <c r="C1631" s="26" t="str">
        <f>"INSTITUTO TECNICO Y CULTURAL                                                                        "</f>
        <v xml:space="preserve">INSTITUTO TECNICO Y CULTURAL                                                                        </v>
      </c>
      <c r="D1631" s="26" t="str">
        <f t="shared" si="306"/>
        <v>MATUTINO</v>
      </c>
      <c r="E1631" s="26" t="str">
        <f>"XOCHICALCO NO. 491-487                                                          "</f>
        <v xml:space="preserve">XOCHICALCO NO. 491-487                                                          </v>
      </c>
      <c r="F1631" s="26" t="str">
        <f>"NARVARTE                                                                                                                                    "</f>
        <v xml:space="preserve">NARVARTE                                                                                                                                    </v>
      </c>
      <c r="G1631" s="26" t="str">
        <f>"BENITO JUAREZ                                                                   "</f>
        <v xml:space="preserve">BENITO JUAREZ                                                                   </v>
      </c>
      <c r="H1631" s="26" t="str">
        <f>"230"</f>
        <v>230</v>
      </c>
      <c r="I1631" s="26" t="str">
        <f t="shared" si="297"/>
        <v>00</v>
      </c>
      <c r="J1631" s="26" t="str">
        <f>"33 "</f>
        <v xml:space="preserve">33 </v>
      </c>
      <c r="K1631" s="26" t="str">
        <f t="shared" si="302"/>
        <v>EP</v>
      </c>
      <c r="L1631" s="26" t="str">
        <f t="shared" si="303"/>
        <v>DGOSE</v>
      </c>
      <c r="M1631" s="26" t="str">
        <f t="shared" si="295"/>
        <v>PARTICULAR</v>
      </c>
      <c r="N1631" s="26">
        <v>214</v>
      </c>
      <c r="O1631" s="26">
        <v>91</v>
      </c>
      <c r="P1631" s="26">
        <v>123</v>
      </c>
      <c r="Q1631" s="26">
        <v>9</v>
      </c>
      <c r="R1631" s="26">
        <v>1</v>
      </c>
      <c r="S1631" s="26">
        <v>9</v>
      </c>
      <c r="T1631" s="26">
        <v>10</v>
      </c>
      <c r="U1631" s="26">
        <v>20</v>
      </c>
      <c r="V1631" s="26">
        <v>1</v>
      </c>
      <c r="W1631" s="26"/>
    </row>
    <row r="1632" spans="1:23" x14ac:dyDescent="0.25">
      <c r="A1632" s="26" t="str">
        <f t="shared" si="296"/>
        <v>PREESCOLAR</v>
      </c>
      <c r="B1632" s="26" t="str">
        <f>"09PJN2894N"</f>
        <v>09PJN2894N</v>
      </c>
      <c r="C1632" s="26" t="str">
        <f>"MI AMIGO WINNIE POOH                                                                                "</f>
        <v xml:space="preserve">MI AMIGO WINNIE POOH                                                                                </v>
      </c>
      <c r="D1632" s="26" t="str">
        <f t="shared" si="306"/>
        <v>MATUTINO</v>
      </c>
      <c r="E1632" s="26" t="str">
        <f>"ARROYO NUEVO NO. 38                                                             "</f>
        <v xml:space="preserve">ARROYO NUEVO NO. 38                                                             </v>
      </c>
      <c r="F1632" s="26" t="str">
        <f>"LA ESCALERA                                                                                                                                 "</f>
        <v xml:space="preserve">LA ESCALERA                                                                                                                                 </v>
      </c>
      <c r="G1632" s="26" t="str">
        <f>"GUSTAVO A. MADERO                                                               "</f>
        <v xml:space="preserve">GUSTAVO A. MADERO                                                               </v>
      </c>
      <c r="H1632" s="26" t="str">
        <f>"003"</f>
        <v>003</v>
      </c>
      <c r="I1632" s="26" t="str">
        <f t="shared" si="297"/>
        <v>00</v>
      </c>
      <c r="J1632" s="26" t="str">
        <f>"32 "</f>
        <v xml:space="preserve">32 </v>
      </c>
      <c r="K1632" s="26" t="str">
        <f t="shared" si="302"/>
        <v>EP</v>
      </c>
      <c r="L1632" s="26" t="str">
        <f t="shared" si="303"/>
        <v>DGOSE</v>
      </c>
      <c r="M1632" s="26" t="str">
        <f t="shared" si="295"/>
        <v>PARTICULAR</v>
      </c>
      <c r="N1632" s="26">
        <v>38</v>
      </c>
      <c r="O1632" s="26">
        <v>19</v>
      </c>
      <c r="P1632" s="26">
        <v>19</v>
      </c>
      <c r="Q1632" s="26">
        <v>3</v>
      </c>
      <c r="R1632" s="26">
        <v>1</v>
      </c>
      <c r="S1632" s="26">
        <v>3</v>
      </c>
      <c r="T1632" s="26">
        <v>2</v>
      </c>
      <c r="U1632" s="26">
        <v>6</v>
      </c>
      <c r="V1632" s="26">
        <v>1</v>
      </c>
      <c r="W1632" s="26"/>
    </row>
    <row r="1633" spans="1:23" x14ac:dyDescent="0.25">
      <c r="A1633" s="26" t="str">
        <f t="shared" si="296"/>
        <v>PREESCOLAR</v>
      </c>
      <c r="B1633" s="26" t="str">
        <f>"09PJN2903E"</f>
        <v>09PJN2903E</v>
      </c>
      <c r="C1633" s="26" t="str">
        <f>"CENTRO EDUCATIVO INFANTIL YING-YING                                                                 "</f>
        <v xml:space="preserve">CENTRO EDUCATIVO INFANTIL YING-YING                                                                 </v>
      </c>
      <c r="D1633" s="26" t="str">
        <f t="shared" si="306"/>
        <v>MATUTINO</v>
      </c>
      <c r="E1633" s="26" t="str">
        <f>"ANTONIO PLAZA NO. 29                                                            "</f>
        <v xml:space="preserve">ANTONIO PLAZA NO. 29                                                            </v>
      </c>
      <c r="F1633" s="26" t="str">
        <f>"CITLALI                                                                                                                                     "</f>
        <v xml:space="preserve">CITLALI                                                                                                                                     </v>
      </c>
      <c r="G1633" s="26" t="str">
        <f>"IZTAPALAPA                                                                      "</f>
        <v xml:space="preserve">IZTAPALAPA                                                                      </v>
      </c>
      <c r="H1633" s="26" t="str">
        <f>"000"</f>
        <v>000</v>
      </c>
      <c r="I1633" s="26" t="str">
        <f t="shared" si="297"/>
        <v>00</v>
      </c>
      <c r="J1633" s="26" t="str">
        <f>"64 "</f>
        <v xml:space="preserve">64 </v>
      </c>
      <c r="K1633" s="26" t="str">
        <f>"IZ"</f>
        <v>IZ</v>
      </c>
      <c r="L1633" s="26" t="str">
        <f>"DGSEI"</f>
        <v>DGSEI</v>
      </c>
      <c r="M1633" s="26" t="str">
        <f t="shared" si="295"/>
        <v>PARTICULAR</v>
      </c>
      <c r="N1633" s="26">
        <v>18</v>
      </c>
      <c r="O1633" s="26">
        <v>10</v>
      </c>
      <c r="P1633" s="26">
        <v>8</v>
      </c>
      <c r="Q1633" s="26">
        <v>1</v>
      </c>
      <c r="R1633" s="26">
        <v>1</v>
      </c>
      <c r="S1633" s="26">
        <v>1</v>
      </c>
      <c r="T1633" s="26">
        <v>0</v>
      </c>
      <c r="U1633" s="26">
        <v>2</v>
      </c>
      <c r="V1633" s="26">
        <v>1</v>
      </c>
      <c r="W1633" s="26"/>
    </row>
    <row r="1634" spans="1:23" x14ac:dyDescent="0.25">
      <c r="A1634" s="26" t="str">
        <f t="shared" si="296"/>
        <v>PREESCOLAR</v>
      </c>
      <c r="B1634" s="26" t="str">
        <f>"09PJN2910O"</f>
        <v>09PJN2910O</v>
      </c>
      <c r="C1634" s="26" t="str">
        <f>"INSTITUTO WISDOM                                                                                    "</f>
        <v xml:space="preserve">INSTITUTO WISDOM                                                                                    </v>
      </c>
      <c r="D1634" s="26" t="str">
        <f t="shared" si="306"/>
        <v>MATUTINO</v>
      </c>
      <c r="E1634" s="26" t="str">
        <f>"MARMOLEJO NO. 103                                                               "</f>
        <v xml:space="preserve">MARMOLEJO NO. 103                                                               </v>
      </c>
      <c r="F1634" s="26" t="str">
        <f>"CERRO DE LA ESTRELLA                                                                                                                        "</f>
        <v xml:space="preserve">CERRO DE LA ESTRELLA                                                                                                                        </v>
      </c>
      <c r="G1634" s="26" t="str">
        <f>"IZTAPALAPA                                                                      "</f>
        <v xml:space="preserve">IZTAPALAPA                                                                      </v>
      </c>
      <c r="H1634" s="26" t="str">
        <f>"000"</f>
        <v>000</v>
      </c>
      <c r="I1634" s="26" t="str">
        <f t="shared" si="297"/>
        <v>00</v>
      </c>
      <c r="J1634" s="26" t="str">
        <f>"63 "</f>
        <v xml:space="preserve">63 </v>
      </c>
      <c r="K1634" s="26" t="str">
        <f>"IZ"</f>
        <v>IZ</v>
      </c>
      <c r="L1634" s="26" t="str">
        <f>"DGSEI"</f>
        <v>DGSEI</v>
      </c>
      <c r="M1634" s="26" t="str">
        <f t="shared" si="295"/>
        <v>PARTICULAR</v>
      </c>
      <c r="N1634" s="26">
        <v>27</v>
      </c>
      <c r="O1634" s="26">
        <v>12</v>
      </c>
      <c r="P1634" s="26">
        <v>15</v>
      </c>
      <c r="Q1634" s="26">
        <v>3</v>
      </c>
      <c r="R1634" s="26">
        <v>1</v>
      </c>
      <c r="S1634" s="26">
        <v>3</v>
      </c>
      <c r="T1634" s="26">
        <v>0</v>
      </c>
      <c r="U1634" s="26">
        <v>4</v>
      </c>
      <c r="V1634" s="26">
        <v>1</v>
      </c>
      <c r="W1634" s="26"/>
    </row>
    <row r="1635" spans="1:23" x14ac:dyDescent="0.25">
      <c r="A1635" s="26" t="str">
        <f t="shared" si="296"/>
        <v>PREESCOLAR</v>
      </c>
      <c r="B1635" s="26" t="str">
        <f>"09PJN2920V"</f>
        <v>09PJN2920V</v>
      </c>
      <c r="C1635" s="26" t="str">
        <f>"CENTRO EDUCATIVO INFANTIL YING-YING                                                                 "</f>
        <v xml:space="preserve">CENTRO EDUCATIVO INFANTIL YING-YING                                                                 </v>
      </c>
      <c r="D1635" s="26" t="str">
        <f>"VESPERTINO"</f>
        <v>VESPERTINO</v>
      </c>
      <c r="E1635" s="26" t="str">
        <f>"ANTONIO PLAZA NO. 29                                                            "</f>
        <v xml:space="preserve">ANTONIO PLAZA NO. 29                                                            </v>
      </c>
      <c r="F1635" s="26" t="str">
        <f>"CITLALI                                                                                                                                     "</f>
        <v xml:space="preserve">CITLALI                                                                                                                                     </v>
      </c>
      <c r="G1635" s="26" t="str">
        <f>"IZTAPALAPA                                                                      "</f>
        <v xml:space="preserve">IZTAPALAPA                                                                      </v>
      </c>
      <c r="H1635" s="26" t="str">
        <f>"000"</f>
        <v>000</v>
      </c>
      <c r="I1635" s="26" t="str">
        <f t="shared" si="297"/>
        <v>00</v>
      </c>
      <c r="J1635" s="26" t="str">
        <f>"64 "</f>
        <v xml:space="preserve">64 </v>
      </c>
      <c r="K1635" s="26" t="str">
        <f>"IZ"</f>
        <v>IZ</v>
      </c>
      <c r="L1635" s="26" t="str">
        <f>"DGSEI"</f>
        <v>DGSEI</v>
      </c>
      <c r="M1635" s="26" t="str">
        <f t="shared" si="295"/>
        <v>PARTICULAR</v>
      </c>
      <c r="N1635" s="26">
        <v>14</v>
      </c>
      <c r="O1635" s="26">
        <v>7</v>
      </c>
      <c r="P1635" s="26">
        <v>7</v>
      </c>
      <c r="Q1635" s="26">
        <v>2</v>
      </c>
      <c r="R1635" s="26">
        <v>1</v>
      </c>
      <c r="S1635" s="26">
        <v>1</v>
      </c>
      <c r="T1635" s="26">
        <v>0</v>
      </c>
      <c r="U1635" s="26">
        <v>2</v>
      </c>
      <c r="V1635" s="26">
        <v>1</v>
      </c>
      <c r="W1635" s="26"/>
    </row>
    <row r="1636" spans="1:23" x14ac:dyDescent="0.25">
      <c r="A1636" s="26" t="str">
        <f t="shared" si="296"/>
        <v>PREESCOLAR</v>
      </c>
      <c r="B1636" s="26" t="str">
        <f>"09PJN2946C"</f>
        <v>09PJN2946C</v>
      </c>
      <c r="C1636" s="26" t="str">
        <f>"JARDÍN DE NIÑOS MONARCA                                                                             "</f>
        <v xml:space="preserve">JARDÍN DE NIÑOS MONARCA                                                                             </v>
      </c>
      <c r="D1636" s="26" t="str">
        <f t="shared" ref="D1636:D1699" si="307">"MATUTINO"</f>
        <v>MATUTINO</v>
      </c>
      <c r="E1636" s="26" t="str">
        <f>"NUEVO LEON NO. 240                                                              "</f>
        <v xml:space="preserve">NUEVO LEON NO. 240                                                              </v>
      </c>
      <c r="F1636" s="26" t="str">
        <f>"SANTA CRUZ BARRIO                                                                                                                           "</f>
        <v xml:space="preserve">SANTA CRUZ BARRIO                                                                                                                           </v>
      </c>
      <c r="G1636" s="26" t="str">
        <f>"MILPA ALTA                                                                      "</f>
        <v xml:space="preserve">MILPA ALTA                                                                      </v>
      </c>
      <c r="H1636" s="26" t="str">
        <f>"281"</f>
        <v>281</v>
      </c>
      <c r="I1636" s="26" t="str">
        <f t="shared" si="297"/>
        <v>00</v>
      </c>
      <c r="J1636" s="26" t="str">
        <f>"35 "</f>
        <v xml:space="preserve">35 </v>
      </c>
      <c r="K1636" s="26" t="str">
        <f>"EP"</f>
        <v>EP</v>
      </c>
      <c r="L1636" s="26" t="str">
        <f>"DGOSE"</f>
        <v>DGOSE</v>
      </c>
      <c r="M1636" s="26" t="str">
        <f t="shared" si="295"/>
        <v>PARTICULAR</v>
      </c>
      <c r="N1636" s="26">
        <v>5</v>
      </c>
      <c r="O1636" s="26">
        <v>3</v>
      </c>
      <c r="P1636" s="26">
        <v>2</v>
      </c>
      <c r="Q1636" s="26">
        <v>3</v>
      </c>
      <c r="R1636" s="26">
        <v>1</v>
      </c>
      <c r="S1636" s="26">
        <v>2</v>
      </c>
      <c r="T1636" s="26">
        <v>2</v>
      </c>
      <c r="U1636" s="26">
        <v>5</v>
      </c>
      <c r="V1636" s="26">
        <v>1</v>
      </c>
      <c r="W1636" s="26"/>
    </row>
    <row r="1637" spans="1:23" x14ac:dyDescent="0.25">
      <c r="A1637" s="26" t="str">
        <f t="shared" si="296"/>
        <v>PREESCOLAR</v>
      </c>
      <c r="B1637" s="26" t="str">
        <f>"09PJN2949Z"</f>
        <v>09PJN2949Z</v>
      </c>
      <c r="C1637" s="26" t="str">
        <f>"COLEGIO SPRINGFIELD                                                                                 "</f>
        <v xml:space="preserve">COLEGIO SPRINGFIELD                                                                                 </v>
      </c>
      <c r="D1637" s="26" t="str">
        <f t="shared" si="307"/>
        <v>MATUTINO</v>
      </c>
      <c r="E1637" s="26" t="str">
        <f>"AV. PROLONG. DIVISION DEL NORTE NO. 4284                                        "</f>
        <v xml:space="preserve">AV. PROLONG. DIVISION DEL NORTE NO. 4284                                        </v>
      </c>
      <c r="F1637" s="26" t="str">
        <f>"NUEVA ORIENTAL                                                                                                                              "</f>
        <v xml:space="preserve">NUEVA ORIENTAL                                                                                                                              </v>
      </c>
      <c r="G1637" s="26" t="str">
        <f>"TLALPAN                                                                         "</f>
        <v xml:space="preserve">TLALPAN                                                                         </v>
      </c>
      <c r="H1637" s="26" t="str">
        <f>"220"</f>
        <v>220</v>
      </c>
      <c r="I1637" s="26" t="str">
        <f t="shared" si="297"/>
        <v>00</v>
      </c>
      <c r="J1637" s="26" t="str">
        <f>"35 "</f>
        <v xml:space="preserve">35 </v>
      </c>
      <c r="K1637" s="26" t="str">
        <f>"EP"</f>
        <v>EP</v>
      </c>
      <c r="L1637" s="26" t="str">
        <f>"DGOSE"</f>
        <v>DGOSE</v>
      </c>
      <c r="M1637" s="26" t="str">
        <f t="shared" si="295"/>
        <v>PARTICULAR</v>
      </c>
      <c r="N1637" s="26">
        <v>60</v>
      </c>
      <c r="O1637" s="26">
        <v>30</v>
      </c>
      <c r="P1637" s="26">
        <v>30</v>
      </c>
      <c r="Q1637" s="26">
        <v>4</v>
      </c>
      <c r="R1637" s="26">
        <v>1</v>
      </c>
      <c r="S1637" s="26">
        <v>2</v>
      </c>
      <c r="T1637" s="26">
        <v>9</v>
      </c>
      <c r="U1637" s="26">
        <v>12</v>
      </c>
      <c r="V1637" s="26">
        <v>1</v>
      </c>
      <c r="W1637" s="26"/>
    </row>
    <row r="1638" spans="1:23" x14ac:dyDescent="0.25">
      <c r="A1638" s="26" t="str">
        <f t="shared" si="296"/>
        <v>PREESCOLAR</v>
      </c>
      <c r="B1638" s="26" t="str">
        <f>"09PJN2950P"</f>
        <v>09PJN2950P</v>
      </c>
      <c r="C1638" s="26" t="str">
        <f>"HAPPY KINDER                                                                                        "</f>
        <v xml:space="preserve">HAPPY KINDER                                                                                        </v>
      </c>
      <c r="D1638" s="26" t="str">
        <f t="shared" si="307"/>
        <v>MATUTINO</v>
      </c>
      <c r="E1638" s="26" t="str">
        <f>"RICARTE NO. 42 Y ATEPOXCO NO. 44                                                "</f>
        <v xml:space="preserve">RICARTE NO. 42 Y ATEPOXCO NO. 44                                                </v>
      </c>
      <c r="F1638" s="26" t="str">
        <f>"TEPEYAC INSURGENTES                                                                                                                         "</f>
        <v xml:space="preserve">TEPEYAC INSURGENTES                                                                                                                         </v>
      </c>
      <c r="G1638" s="26" t="str">
        <f>"GUSTAVO A. MADERO                                                               "</f>
        <v xml:space="preserve">GUSTAVO A. MADERO                                                               </v>
      </c>
      <c r="H1638" s="26" t="str">
        <f>"195"</f>
        <v>195</v>
      </c>
      <c r="I1638" s="26" t="str">
        <f t="shared" si="297"/>
        <v>00</v>
      </c>
      <c r="J1638" s="26" t="str">
        <f>"32 "</f>
        <v xml:space="preserve">32 </v>
      </c>
      <c r="K1638" s="26" t="str">
        <f>"EP"</f>
        <v>EP</v>
      </c>
      <c r="L1638" s="26" t="str">
        <f>"DGOSE"</f>
        <v>DGOSE</v>
      </c>
      <c r="M1638" s="26" t="str">
        <f t="shared" si="295"/>
        <v>PARTICULAR</v>
      </c>
      <c r="N1638" s="26">
        <v>234</v>
      </c>
      <c r="O1638" s="26">
        <v>106</v>
      </c>
      <c r="P1638" s="26">
        <v>128</v>
      </c>
      <c r="Q1638" s="26">
        <v>10</v>
      </c>
      <c r="R1638" s="26">
        <v>1</v>
      </c>
      <c r="S1638" s="26">
        <v>7</v>
      </c>
      <c r="T1638" s="26">
        <v>2</v>
      </c>
      <c r="U1638" s="26">
        <v>10</v>
      </c>
      <c r="V1638" s="26">
        <v>1</v>
      </c>
      <c r="W1638" s="26"/>
    </row>
    <row r="1639" spans="1:23" x14ac:dyDescent="0.25">
      <c r="A1639" s="26" t="str">
        <f t="shared" si="296"/>
        <v>PREESCOLAR</v>
      </c>
      <c r="B1639" s="26" t="str">
        <f>"09PJN2951O"</f>
        <v>09PJN2951O</v>
      </c>
      <c r="C1639" s="26" t="str">
        <f>"JARDIN DE NIÑOS FRAY LUIS DE LEON                                                                   "</f>
        <v xml:space="preserve">JARDIN DE NIÑOS FRAY LUIS DE LEON                                                                   </v>
      </c>
      <c r="D1639" s="26" t="str">
        <f t="shared" si="307"/>
        <v>MATUTINO</v>
      </c>
      <c r="E1639" s="26" t="str">
        <f>"DONIZETTI NO.167                                                                "</f>
        <v xml:space="preserve">DONIZETTI NO.167                                                                </v>
      </c>
      <c r="F1639" s="26" t="str">
        <f>"VALLEJO                                                                                                                                     "</f>
        <v xml:space="preserve">VALLEJO                                                                                                                                     </v>
      </c>
      <c r="G1639" s="26" t="str">
        <f>"GUSTAVO A. MADERO                                                               "</f>
        <v xml:space="preserve">GUSTAVO A. MADERO                                                               </v>
      </c>
      <c r="H1639" s="26" t="str">
        <f>"192"</f>
        <v>192</v>
      </c>
      <c r="I1639" s="26" t="str">
        <f t="shared" si="297"/>
        <v>00</v>
      </c>
      <c r="J1639" s="26" t="str">
        <f>"32 "</f>
        <v xml:space="preserve">32 </v>
      </c>
      <c r="K1639" s="26" t="str">
        <f>"EP"</f>
        <v>EP</v>
      </c>
      <c r="L1639" s="26" t="str">
        <f>"DGOSE"</f>
        <v>DGOSE</v>
      </c>
      <c r="M1639" s="26" t="str">
        <f t="shared" si="295"/>
        <v>PARTICULAR</v>
      </c>
      <c r="N1639" s="26">
        <v>34</v>
      </c>
      <c r="O1639" s="26">
        <v>18</v>
      </c>
      <c r="P1639" s="26">
        <v>16</v>
      </c>
      <c r="Q1639" s="26">
        <v>3</v>
      </c>
      <c r="R1639" s="26">
        <v>1</v>
      </c>
      <c r="S1639" s="26">
        <v>3</v>
      </c>
      <c r="T1639" s="26">
        <v>8</v>
      </c>
      <c r="U1639" s="26">
        <v>12</v>
      </c>
      <c r="V1639" s="26">
        <v>1</v>
      </c>
      <c r="W1639" s="26"/>
    </row>
    <row r="1640" spans="1:23" x14ac:dyDescent="0.25">
      <c r="A1640" s="26" t="str">
        <f t="shared" si="296"/>
        <v>PREESCOLAR</v>
      </c>
      <c r="B1640" s="26" t="str">
        <f>"09PJN2953M"</f>
        <v>09PJN2953M</v>
      </c>
      <c r="C1640" s="26" t="str">
        <f>"COLEGIO JULIO TORRI                                                                                 "</f>
        <v xml:space="preserve">COLEGIO JULIO TORRI                                                                                 </v>
      </c>
      <c r="D1640" s="26" t="str">
        <f t="shared" si="307"/>
        <v>MATUTINO</v>
      </c>
      <c r="E1640" s="26" t="str">
        <f>"AV. QUETZAL NO. 28                                                              "</f>
        <v xml:space="preserve">AV. QUETZAL NO. 28                                                              </v>
      </c>
      <c r="F1640" s="26" t="str">
        <f>"PARAISO                                                                                                                                     "</f>
        <v xml:space="preserve">PARAISO                                                                                                                                     </v>
      </c>
      <c r="G1640" s="26" t="str">
        <f>"IZTAPALAPA                                                                      "</f>
        <v xml:space="preserve">IZTAPALAPA                                                                      </v>
      </c>
      <c r="H1640" s="26" t="str">
        <f>"000"</f>
        <v>000</v>
      </c>
      <c r="I1640" s="26" t="str">
        <f t="shared" si="297"/>
        <v>00</v>
      </c>
      <c r="J1640" s="26" t="str">
        <f>"62 "</f>
        <v xml:space="preserve">62 </v>
      </c>
      <c r="K1640" s="26" t="str">
        <f>"IZ"</f>
        <v>IZ</v>
      </c>
      <c r="L1640" s="26" t="str">
        <f>"DGSEI"</f>
        <v>DGSEI</v>
      </c>
      <c r="M1640" s="26" t="str">
        <f t="shared" si="295"/>
        <v>PARTICULAR</v>
      </c>
      <c r="N1640" s="26">
        <v>56</v>
      </c>
      <c r="O1640" s="26">
        <v>31</v>
      </c>
      <c r="P1640" s="26">
        <v>25</v>
      </c>
      <c r="Q1640" s="26">
        <v>4</v>
      </c>
      <c r="R1640" s="26">
        <v>1</v>
      </c>
      <c r="S1640" s="26">
        <v>4</v>
      </c>
      <c r="T1640" s="26">
        <v>4</v>
      </c>
      <c r="U1640" s="26">
        <v>9</v>
      </c>
      <c r="V1640" s="26">
        <v>1</v>
      </c>
      <c r="W1640" s="26"/>
    </row>
    <row r="1641" spans="1:23" x14ac:dyDescent="0.25">
      <c r="A1641" s="26" t="str">
        <f t="shared" si="296"/>
        <v>PREESCOLAR</v>
      </c>
      <c r="B1641" s="26" t="str">
        <f>"09PJN2955K"</f>
        <v>09PJN2955K</v>
      </c>
      <c r="C1641" s="26" t="str">
        <f>"BENJAMIN BLOOM                                                                                      "</f>
        <v xml:space="preserve">BENJAMIN BLOOM                                                                                      </v>
      </c>
      <c r="D1641" s="26" t="str">
        <f t="shared" si="307"/>
        <v>MATUTINO</v>
      </c>
      <c r="E1641" s="26" t="str">
        <f>"JOSE JUSTO ALVAREZ NO. 74                                                       "</f>
        <v xml:space="preserve">JOSE JUSTO ALVAREZ NO. 74                                                       </v>
      </c>
      <c r="F1641" s="26" t="str">
        <f>"CONSTITUCION DE LA REPUBLICA                                                                                                                "</f>
        <v xml:space="preserve">CONSTITUCION DE LA REPUBLICA                                                                                                                </v>
      </c>
      <c r="G1641" s="26" t="str">
        <f>"GUSTAVO A. MADERO                                                               "</f>
        <v xml:space="preserve">GUSTAVO A. MADERO                                                               </v>
      </c>
      <c r="H1641" s="26" t="str">
        <f>"191"</f>
        <v>191</v>
      </c>
      <c r="I1641" s="26" t="str">
        <f t="shared" si="297"/>
        <v>00</v>
      </c>
      <c r="J1641" s="26" t="str">
        <f>"32 "</f>
        <v xml:space="preserve">32 </v>
      </c>
      <c r="K1641" s="26" t="str">
        <f>"EP"</f>
        <v>EP</v>
      </c>
      <c r="L1641" s="26" t="str">
        <f>"DGOSE"</f>
        <v>DGOSE</v>
      </c>
      <c r="M1641" s="26" t="str">
        <f t="shared" si="295"/>
        <v>PARTICULAR</v>
      </c>
      <c r="N1641" s="26">
        <v>57</v>
      </c>
      <c r="O1641" s="26">
        <v>30</v>
      </c>
      <c r="P1641" s="26">
        <v>27</v>
      </c>
      <c r="Q1641" s="26">
        <v>3</v>
      </c>
      <c r="R1641" s="26">
        <v>1</v>
      </c>
      <c r="S1641" s="26">
        <v>3</v>
      </c>
      <c r="T1641" s="26">
        <v>1</v>
      </c>
      <c r="U1641" s="26">
        <v>5</v>
      </c>
      <c r="V1641" s="26">
        <v>1</v>
      </c>
      <c r="W1641" s="26"/>
    </row>
    <row r="1642" spans="1:23" x14ac:dyDescent="0.25">
      <c r="A1642" s="26" t="str">
        <f t="shared" si="296"/>
        <v>PREESCOLAR</v>
      </c>
      <c r="B1642" s="26" t="str">
        <f>"09PJN2956J"</f>
        <v>09PJN2956J</v>
      </c>
      <c r="C1642" s="26" t="str">
        <f>"INSTITUTO BOSCHETTI                                                                                 "</f>
        <v xml:space="preserve">INSTITUTO BOSCHETTI                                                                                 </v>
      </c>
      <c r="D1642" s="26" t="str">
        <f t="shared" si="307"/>
        <v>MATUTINO</v>
      </c>
      <c r="E1642" s="26" t="str">
        <f>"ERMITA IZTAPALAPA NO. 2166                                                      "</f>
        <v xml:space="preserve">ERMITA IZTAPALAPA NO. 2166                                                      </v>
      </c>
      <c r="F1642" s="26" t="str">
        <f>"CONSTITUCION 1917                                                                                                                           "</f>
        <v xml:space="preserve">CONSTITUCION 1917                                                                                                                           </v>
      </c>
      <c r="G1642" s="26" t="str">
        <f>"IZTAPALAPA                                                                      "</f>
        <v xml:space="preserve">IZTAPALAPA                                                                      </v>
      </c>
      <c r="H1642" s="26" t="str">
        <f>"000"</f>
        <v>000</v>
      </c>
      <c r="I1642" s="26" t="str">
        <f t="shared" si="297"/>
        <v>00</v>
      </c>
      <c r="J1642" s="26" t="str">
        <f>"62 "</f>
        <v xml:space="preserve">62 </v>
      </c>
      <c r="K1642" s="26" t="str">
        <f>"IZ"</f>
        <v>IZ</v>
      </c>
      <c r="L1642" s="26" t="str">
        <f>"DGSEI"</f>
        <v>DGSEI</v>
      </c>
      <c r="M1642" s="26" t="str">
        <f t="shared" si="295"/>
        <v>PARTICULAR</v>
      </c>
      <c r="N1642" s="26">
        <v>23</v>
      </c>
      <c r="O1642" s="26">
        <v>12</v>
      </c>
      <c r="P1642" s="26">
        <v>11</v>
      </c>
      <c r="Q1642" s="26">
        <v>3</v>
      </c>
      <c r="R1642" s="26">
        <v>1</v>
      </c>
      <c r="S1642" s="26">
        <v>2</v>
      </c>
      <c r="T1642" s="26">
        <v>7</v>
      </c>
      <c r="U1642" s="26">
        <v>10</v>
      </c>
      <c r="V1642" s="26">
        <v>1</v>
      </c>
      <c r="W1642" s="26"/>
    </row>
    <row r="1643" spans="1:23" x14ac:dyDescent="0.25">
      <c r="A1643" s="26" t="str">
        <f t="shared" si="296"/>
        <v>PREESCOLAR</v>
      </c>
      <c r="B1643" s="26" t="str">
        <f>"09PJN2959G"</f>
        <v>09PJN2959G</v>
      </c>
      <c r="C1643" s="26" t="str">
        <f>"JARDIN DE NIÑOS PAPALOTL                                                                            "</f>
        <v xml:space="preserve">JARDIN DE NIÑOS PAPALOTL                                                                            </v>
      </c>
      <c r="D1643" s="26" t="str">
        <f t="shared" si="307"/>
        <v>MATUTINO</v>
      </c>
      <c r="E1643" s="26" t="str">
        <f>"NORTE 178 No. 607                                                               "</f>
        <v xml:space="preserve">NORTE 178 No. 607                                                               </v>
      </c>
      <c r="F1643" s="26" t="str">
        <f>"PENSADOR MEXICANO                                                                                                                           "</f>
        <v xml:space="preserve">PENSADOR MEXICANO                                                                                                                           </v>
      </c>
      <c r="G1643" s="26" t="str">
        <f>"VENUSTIANO CARRANZA                                                             "</f>
        <v xml:space="preserve">VENUSTIANO CARRANZA                                                             </v>
      </c>
      <c r="H1643" s="26" t="str">
        <f>"025"</f>
        <v>025</v>
      </c>
      <c r="I1643" s="26" t="str">
        <f t="shared" si="297"/>
        <v>00</v>
      </c>
      <c r="J1643" s="26" t="str">
        <f>"33 "</f>
        <v xml:space="preserve">33 </v>
      </c>
      <c r="K1643" s="26" t="str">
        <f t="shared" ref="K1643:K1648" si="308">"EP"</f>
        <v>EP</v>
      </c>
      <c r="L1643" s="26" t="str">
        <f t="shared" ref="L1643:L1648" si="309">"DGOSE"</f>
        <v>DGOSE</v>
      </c>
      <c r="M1643" s="26" t="str">
        <f t="shared" si="295"/>
        <v>PARTICULAR</v>
      </c>
      <c r="N1643" s="26">
        <v>38</v>
      </c>
      <c r="O1643" s="26">
        <v>16</v>
      </c>
      <c r="P1643" s="26">
        <v>22</v>
      </c>
      <c r="Q1643" s="26">
        <v>3</v>
      </c>
      <c r="R1643" s="26">
        <v>1</v>
      </c>
      <c r="S1643" s="26">
        <v>3</v>
      </c>
      <c r="T1643" s="26">
        <v>4</v>
      </c>
      <c r="U1643" s="26">
        <v>8</v>
      </c>
      <c r="V1643" s="26">
        <v>1</v>
      </c>
      <c r="W1643" s="26"/>
    </row>
    <row r="1644" spans="1:23" x14ac:dyDescent="0.25">
      <c r="A1644" s="26" t="str">
        <f t="shared" si="296"/>
        <v>PREESCOLAR</v>
      </c>
      <c r="B1644" s="26" t="str">
        <f>"09PJN2960W"</f>
        <v>09PJN2960W</v>
      </c>
      <c r="C1644" s="26" t="str">
        <f>"EL MUNDO DEL SABER                                                                                  "</f>
        <v xml:space="preserve">EL MUNDO DEL SABER                                                                                  </v>
      </c>
      <c r="D1644" s="26" t="str">
        <f t="shared" si="307"/>
        <v>MATUTINO</v>
      </c>
      <c r="E1644" s="26" t="str">
        <f>"HELIODORO VALLE No. 315                                                         "</f>
        <v xml:space="preserve">HELIODORO VALLE No. 315                                                         </v>
      </c>
      <c r="F1644" s="26" t="str">
        <f>"MERCED BALBUENA                                                                                                                             "</f>
        <v xml:space="preserve">MERCED BALBUENA                                                                                                                             </v>
      </c>
      <c r="G1644" s="26" t="str">
        <f>"VENUSTIANO CARRANZA                                                             "</f>
        <v xml:space="preserve">VENUSTIANO CARRANZA                                                             </v>
      </c>
      <c r="H1644" s="26" t="str">
        <f>"096"</f>
        <v>096</v>
      </c>
      <c r="I1644" s="26" t="str">
        <f t="shared" si="297"/>
        <v>00</v>
      </c>
      <c r="J1644" s="26" t="str">
        <f>"33 "</f>
        <v xml:space="preserve">33 </v>
      </c>
      <c r="K1644" s="26" t="str">
        <f t="shared" si="308"/>
        <v>EP</v>
      </c>
      <c r="L1644" s="26" t="str">
        <f t="shared" si="309"/>
        <v>DGOSE</v>
      </c>
      <c r="M1644" s="26" t="str">
        <f t="shared" si="295"/>
        <v>PARTICULAR</v>
      </c>
      <c r="N1644" s="26">
        <v>32</v>
      </c>
      <c r="O1644" s="26">
        <v>19</v>
      </c>
      <c r="P1644" s="26">
        <v>13</v>
      </c>
      <c r="Q1644" s="26">
        <v>3</v>
      </c>
      <c r="R1644" s="26">
        <v>1</v>
      </c>
      <c r="S1644" s="26">
        <v>3</v>
      </c>
      <c r="T1644" s="26">
        <v>3</v>
      </c>
      <c r="U1644" s="26">
        <v>7</v>
      </c>
      <c r="V1644" s="26">
        <v>1</v>
      </c>
      <c r="W1644" s="26"/>
    </row>
    <row r="1645" spans="1:23" x14ac:dyDescent="0.25">
      <c r="A1645" s="26" t="str">
        <f t="shared" si="296"/>
        <v>PREESCOLAR</v>
      </c>
      <c r="B1645" s="26" t="str">
        <f>"09PJN2961V"</f>
        <v>09PJN2961V</v>
      </c>
      <c r="C1645" s="26" t="str">
        <f>"COLEGIO DONALD WOODS WINNICOTT                                                                      "</f>
        <v xml:space="preserve">COLEGIO DONALD WOODS WINNICOTT                                                                      </v>
      </c>
      <c r="D1645" s="26" t="str">
        <f t="shared" si="307"/>
        <v>MATUTINO</v>
      </c>
      <c r="E1645" s="26" t="str">
        <f>"PLAYA CALETA No. 327                                                            "</f>
        <v xml:space="preserve">PLAYA CALETA No. 327                                                            </v>
      </c>
      <c r="F1645" s="26" t="str">
        <f>"REFORMA IZTACCIHUATL NORTE                                                                                                                  "</f>
        <v xml:space="preserve">REFORMA IZTACCIHUATL NORTE                                                                                                                  </v>
      </c>
      <c r="G1645" s="26" t="str">
        <f>"IZTACALCO                                                                       "</f>
        <v xml:space="preserve">IZTACALCO                                                                       </v>
      </c>
      <c r="H1645" s="26" t="str">
        <f>"027"</f>
        <v>027</v>
      </c>
      <c r="I1645" s="26" t="str">
        <f t="shared" si="297"/>
        <v>00</v>
      </c>
      <c r="J1645" s="26" t="str">
        <f>"33 "</f>
        <v xml:space="preserve">33 </v>
      </c>
      <c r="K1645" s="26" t="str">
        <f t="shared" si="308"/>
        <v>EP</v>
      </c>
      <c r="L1645" s="26" t="str">
        <f t="shared" si="309"/>
        <v>DGOSE</v>
      </c>
      <c r="M1645" s="26" t="str">
        <f t="shared" si="295"/>
        <v>PARTICULAR</v>
      </c>
      <c r="N1645" s="26">
        <v>35</v>
      </c>
      <c r="O1645" s="26">
        <v>24</v>
      </c>
      <c r="P1645" s="26">
        <v>11</v>
      </c>
      <c r="Q1645" s="26">
        <v>3</v>
      </c>
      <c r="R1645" s="26">
        <v>1</v>
      </c>
      <c r="S1645" s="26">
        <v>3</v>
      </c>
      <c r="T1645" s="26">
        <v>7</v>
      </c>
      <c r="U1645" s="26">
        <v>11</v>
      </c>
      <c r="V1645" s="26">
        <v>1</v>
      </c>
      <c r="W1645" s="26"/>
    </row>
    <row r="1646" spans="1:23" x14ac:dyDescent="0.25">
      <c r="A1646" s="26" t="str">
        <f t="shared" si="296"/>
        <v>PREESCOLAR</v>
      </c>
      <c r="B1646" s="26" t="str">
        <f>"09PJN2963T"</f>
        <v>09PJN2963T</v>
      </c>
      <c r="C1646" s="26" t="str">
        <f>"CENTRO DE DESARROLLO INFANTIL ALMA LATINA                                                           "</f>
        <v xml:space="preserve">CENTRO DE DESARROLLO INFANTIL ALMA LATINA                                                           </v>
      </c>
      <c r="D1646" s="26" t="str">
        <f t="shared" si="307"/>
        <v>MATUTINO</v>
      </c>
      <c r="E1646" s="26" t="str">
        <f>"PLAN DE SAN LUIS NO. 582                                                        "</f>
        <v xml:space="preserve">PLAN DE SAN LUIS NO. 582                                                        </v>
      </c>
      <c r="F1646" s="26" t="str">
        <f>"NUEVA SANTA MARIA                                                                                                                           "</f>
        <v xml:space="preserve">NUEVA SANTA MARIA                                                                                                                           </v>
      </c>
      <c r="G1646" s="26" t="str">
        <f>"AZCAPOTZALCO                                                                    "</f>
        <v xml:space="preserve">AZCAPOTZALCO                                                                    </v>
      </c>
      <c r="H1646" s="26" t="str">
        <f>"189"</f>
        <v>189</v>
      </c>
      <c r="I1646" s="26" t="str">
        <f t="shared" si="297"/>
        <v>00</v>
      </c>
      <c r="J1646" s="26" t="str">
        <f>"32 "</f>
        <v xml:space="preserve">32 </v>
      </c>
      <c r="K1646" s="26" t="str">
        <f t="shared" si="308"/>
        <v>EP</v>
      </c>
      <c r="L1646" s="26" t="str">
        <f t="shared" si="309"/>
        <v>DGOSE</v>
      </c>
      <c r="M1646" s="26" t="str">
        <f t="shared" si="295"/>
        <v>PARTICULAR</v>
      </c>
      <c r="N1646" s="26">
        <v>7</v>
      </c>
      <c r="O1646" s="26">
        <v>5</v>
      </c>
      <c r="P1646" s="26">
        <v>2</v>
      </c>
      <c r="Q1646" s="26">
        <v>2</v>
      </c>
      <c r="R1646" s="26">
        <v>1</v>
      </c>
      <c r="S1646" s="26">
        <v>2</v>
      </c>
      <c r="T1646" s="26">
        <v>1</v>
      </c>
      <c r="U1646" s="26">
        <v>4</v>
      </c>
      <c r="V1646" s="26">
        <v>1</v>
      </c>
      <c r="W1646" s="26"/>
    </row>
    <row r="1647" spans="1:23" x14ac:dyDescent="0.25">
      <c r="A1647" s="26" t="str">
        <f t="shared" si="296"/>
        <v>PREESCOLAR</v>
      </c>
      <c r="B1647" s="26" t="str">
        <f>"09PJN2970C"</f>
        <v>09PJN2970C</v>
      </c>
      <c r="C1647" s="26" t="str">
        <f>"JARDÍN DE NIÑOS BUCKINGHAM                                                                          "</f>
        <v xml:space="preserve">JARDÍN DE NIÑOS BUCKINGHAM                                                                          </v>
      </c>
      <c r="D1647" s="26" t="str">
        <f t="shared" si="307"/>
        <v>MATUTINO</v>
      </c>
      <c r="E1647" s="26" t="str">
        <f>"ORIENTE 237 NO.464                                                              "</f>
        <v xml:space="preserve">ORIENTE 237 NO.464                                                              </v>
      </c>
      <c r="F1647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1647" s="26" t="str">
        <f>"IZTACALCO                                                                       "</f>
        <v xml:space="preserve">IZTACALCO                                                                       </v>
      </c>
      <c r="H1647" s="26" t="str">
        <f>"143"</f>
        <v>143</v>
      </c>
      <c r="I1647" s="26" t="str">
        <f t="shared" si="297"/>
        <v>00</v>
      </c>
      <c r="J1647" s="26" t="str">
        <f>"33 "</f>
        <v xml:space="preserve">33 </v>
      </c>
      <c r="K1647" s="26" t="str">
        <f t="shared" si="308"/>
        <v>EP</v>
      </c>
      <c r="L1647" s="26" t="str">
        <f t="shared" si="309"/>
        <v>DGOSE</v>
      </c>
      <c r="M1647" s="26" t="str">
        <f t="shared" si="295"/>
        <v>PARTICULAR</v>
      </c>
      <c r="N1647" s="26">
        <v>90</v>
      </c>
      <c r="O1647" s="26">
        <v>46</v>
      </c>
      <c r="P1647" s="26">
        <v>44</v>
      </c>
      <c r="Q1647" s="26">
        <v>5</v>
      </c>
      <c r="R1647" s="26">
        <v>1</v>
      </c>
      <c r="S1647" s="26">
        <v>5</v>
      </c>
      <c r="T1647" s="26">
        <v>9</v>
      </c>
      <c r="U1647" s="26">
        <v>15</v>
      </c>
      <c r="V1647" s="26">
        <v>1</v>
      </c>
      <c r="W1647" s="26"/>
    </row>
    <row r="1648" spans="1:23" x14ac:dyDescent="0.25">
      <c r="A1648" s="26" t="str">
        <f t="shared" si="296"/>
        <v>PREESCOLAR</v>
      </c>
      <c r="B1648" s="26" t="str">
        <f>"09PJN2974Z"</f>
        <v>09PJN2974Z</v>
      </c>
      <c r="C1648" s="26" t="str">
        <f>"CENTRO EDUCATIVO PAIDEIA                                                                            "</f>
        <v xml:space="preserve">CENTRO EDUCATIVO PAIDEIA                                                                            </v>
      </c>
      <c r="D1648" s="26" t="str">
        <f t="shared" si="307"/>
        <v>MATUTINO</v>
      </c>
      <c r="E1648" s="26" t="str">
        <f>"AV. ALFONSO No. 148                                                             "</f>
        <v xml:space="preserve">AV. ALFONSO No. 148                                                             </v>
      </c>
      <c r="F1648" s="26" t="str">
        <f>"ALAMOS                                                                                                                                      "</f>
        <v xml:space="preserve">ALAMOS                                                                                                                                      </v>
      </c>
      <c r="G1648" s="26" t="str">
        <f>"BENITO JUAREZ                                                                   "</f>
        <v xml:space="preserve">BENITO JUAREZ                                                                   </v>
      </c>
      <c r="H1648" s="26" t="str">
        <f>"230"</f>
        <v>230</v>
      </c>
      <c r="I1648" s="26" t="str">
        <f t="shared" si="297"/>
        <v>00</v>
      </c>
      <c r="J1648" s="26" t="str">
        <f>"33 "</f>
        <v xml:space="preserve">33 </v>
      </c>
      <c r="K1648" s="26" t="str">
        <f t="shared" si="308"/>
        <v>EP</v>
      </c>
      <c r="L1648" s="26" t="str">
        <f t="shared" si="309"/>
        <v>DGOSE</v>
      </c>
      <c r="M1648" s="26" t="str">
        <f t="shared" si="295"/>
        <v>PARTICULAR</v>
      </c>
      <c r="N1648" s="26">
        <v>13</v>
      </c>
      <c r="O1648" s="26">
        <v>9</v>
      </c>
      <c r="P1648" s="26">
        <v>4</v>
      </c>
      <c r="Q1648" s="26">
        <v>2</v>
      </c>
      <c r="R1648" s="26">
        <v>1</v>
      </c>
      <c r="S1648" s="26">
        <v>2</v>
      </c>
      <c r="T1648" s="26">
        <v>1</v>
      </c>
      <c r="U1648" s="26">
        <v>4</v>
      </c>
      <c r="V1648" s="26">
        <v>1</v>
      </c>
      <c r="W1648" s="26"/>
    </row>
    <row r="1649" spans="1:23" x14ac:dyDescent="0.25">
      <c r="A1649" s="26" t="str">
        <f t="shared" si="296"/>
        <v>PREESCOLAR</v>
      </c>
      <c r="B1649" s="26" t="str">
        <f>"09PJN2984F"</f>
        <v>09PJN2984F</v>
      </c>
      <c r="C1649" s="26" t="str">
        <f>"VICTORIA                                                                                            "</f>
        <v xml:space="preserve">VICTORIA                                                                                            </v>
      </c>
      <c r="D1649" s="26" t="str">
        <f t="shared" si="307"/>
        <v>MATUTINO</v>
      </c>
      <c r="E1649" s="26" t="str">
        <f>"20 DE NOVIEMBRE NO.917                                                          "</f>
        <v xml:space="preserve">20 DE NOVIEMBRE NO.917                                                          </v>
      </c>
      <c r="F1649" s="26" t="str">
        <f>"SANTA MARIA AZTAHUACAN                                                                                                                      "</f>
        <v xml:space="preserve">SANTA MARIA AZTAHUACAN                                                                                                                      </v>
      </c>
      <c r="G1649" s="26" t="str">
        <f>"IZTAPALAPA                                                                      "</f>
        <v xml:space="preserve">IZTAPALAPA                                                                      </v>
      </c>
      <c r="H1649" s="26" t="str">
        <f>"000"</f>
        <v>000</v>
      </c>
      <c r="I1649" s="26" t="str">
        <f t="shared" si="297"/>
        <v>00</v>
      </c>
      <c r="J1649" s="26" t="str">
        <f>"64 "</f>
        <v xml:space="preserve">64 </v>
      </c>
      <c r="K1649" s="26" t="str">
        <f>"IZ"</f>
        <v>IZ</v>
      </c>
      <c r="L1649" s="26" t="str">
        <f>"DGSEI"</f>
        <v>DGSEI</v>
      </c>
      <c r="M1649" s="26" t="str">
        <f t="shared" si="295"/>
        <v>PARTICULAR</v>
      </c>
      <c r="N1649" s="26">
        <v>15</v>
      </c>
      <c r="O1649" s="26">
        <v>7</v>
      </c>
      <c r="P1649" s="26">
        <v>8</v>
      </c>
      <c r="Q1649" s="26">
        <v>3</v>
      </c>
      <c r="R1649" s="26">
        <v>1</v>
      </c>
      <c r="S1649" s="26">
        <v>3</v>
      </c>
      <c r="T1649" s="26">
        <v>7</v>
      </c>
      <c r="U1649" s="26">
        <v>11</v>
      </c>
      <c r="V1649" s="26">
        <v>1</v>
      </c>
      <c r="W1649" s="26"/>
    </row>
    <row r="1650" spans="1:23" x14ac:dyDescent="0.25">
      <c r="A1650" s="26" t="str">
        <f t="shared" si="296"/>
        <v>PREESCOLAR</v>
      </c>
      <c r="B1650" s="26" t="str">
        <f>"09PJN3002V"</f>
        <v>09PJN3002V</v>
      </c>
      <c r="C1650" s="26" t="str">
        <f>"COLEGIO LA  MONARCA                                                                                 "</f>
        <v xml:space="preserve">COLEGIO LA  MONARCA                                                                                 </v>
      </c>
      <c r="D1650" s="26" t="str">
        <f t="shared" si="307"/>
        <v>MATUTINO</v>
      </c>
      <c r="E1650" s="26" t="str">
        <f>"ROQUE VELASCO CERON NO. 55                                                      "</f>
        <v xml:space="preserve">ROQUE VELASCO CERON NO. 55                                                      </v>
      </c>
      <c r="F1650" s="26" t="str">
        <f>"CRISTO REY                                                                                                                                  "</f>
        <v xml:space="preserve">CRISTO REY                                                                                                                                  </v>
      </c>
      <c r="G1650" s="26" t="str">
        <f>"ALVARO OBREGON                                                                  "</f>
        <v xml:space="preserve">ALVARO OBREGON                                                                  </v>
      </c>
      <c r="H1650" s="26" t="str">
        <f>"165"</f>
        <v>165</v>
      </c>
      <c r="I1650" s="26" t="str">
        <f t="shared" si="297"/>
        <v>00</v>
      </c>
      <c r="J1650" s="26" t="str">
        <f>"33 "</f>
        <v xml:space="preserve">33 </v>
      </c>
      <c r="K1650" s="26" t="str">
        <f>"EP"</f>
        <v>EP</v>
      </c>
      <c r="L1650" s="26" t="str">
        <f>"DGOSE"</f>
        <v>DGOSE</v>
      </c>
      <c r="M1650" s="26" t="str">
        <f t="shared" si="295"/>
        <v>PARTICULAR</v>
      </c>
      <c r="N1650" s="26">
        <v>26</v>
      </c>
      <c r="O1650" s="26">
        <v>17</v>
      </c>
      <c r="P1650" s="26">
        <v>9</v>
      </c>
      <c r="Q1650" s="26">
        <v>3</v>
      </c>
      <c r="R1650" s="26">
        <v>1</v>
      </c>
      <c r="S1650" s="26">
        <v>2</v>
      </c>
      <c r="T1650" s="26">
        <v>6</v>
      </c>
      <c r="U1650" s="26">
        <v>9</v>
      </c>
      <c r="V1650" s="26">
        <v>1</v>
      </c>
      <c r="W1650" s="26"/>
    </row>
    <row r="1651" spans="1:23" x14ac:dyDescent="0.25">
      <c r="A1651" s="26" t="str">
        <f t="shared" si="296"/>
        <v>PREESCOLAR</v>
      </c>
      <c r="B1651" s="26" t="str">
        <f>"09PJN3003U"</f>
        <v>09PJN3003U</v>
      </c>
      <c r="C1651" s="26" t="str">
        <f>"COLEGIO AXUSCO                                                                                      "</f>
        <v xml:space="preserve">COLEGIO AXUSCO                                                                                      </v>
      </c>
      <c r="D1651" s="26" t="str">
        <f t="shared" si="307"/>
        <v>MATUTINO</v>
      </c>
      <c r="E1651" s="26" t="str">
        <f>"FRANCISCO PEÑUÑURI NO.5                                                         "</f>
        <v xml:space="preserve">FRANCISCO PEÑUÑURI NO.5                                                         </v>
      </c>
      <c r="F1651" s="26" t="str">
        <f>"SANTO TOMAS AJUSCO                                                                                                                          "</f>
        <v xml:space="preserve">SANTO TOMAS AJUSCO                                                                                                                          </v>
      </c>
      <c r="G1651" s="26" t="str">
        <f>"TLALPAN                                                                         "</f>
        <v xml:space="preserve">TLALPAN                                                                         </v>
      </c>
      <c r="H1651" s="26" t="str">
        <f>"076"</f>
        <v>076</v>
      </c>
      <c r="I1651" s="26" t="str">
        <f t="shared" si="297"/>
        <v>00</v>
      </c>
      <c r="J1651" s="26" t="str">
        <f>"35 "</f>
        <v xml:space="preserve">35 </v>
      </c>
      <c r="K1651" s="26" t="str">
        <f>"EP"</f>
        <v>EP</v>
      </c>
      <c r="L1651" s="26" t="str">
        <f>"DGOSE"</f>
        <v>DGOSE</v>
      </c>
      <c r="M1651" s="26" t="str">
        <f t="shared" si="295"/>
        <v>PARTICULAR</v>
      </c>
      <c r="N1651" s="26">
        <v>25</v>
      </c>
      <c r="O1651" s="26">
        <v>10</v>
      </c>
      <c r="P1651" s="26">
        <v>15</v>
      </c>
      <c r="Q1651" s="26">
        <v>3</v>
      </c>
      <c r="R1651" s="26">
        <v>1</v>
      </c>
      <c r="S1651" s="26">
        <v>2</v>
      </c>
      <c r="T1651" s="26">
        <v>5</v>
      </c>
      <c r="U1651" s="26">
        <v>8</v>
      </c>
      <c r="V1651" s="26">
        <v>1</v>
      </c>
      <c r="W1651" s="26"/>
    </row>
    <row r="1652" spans="1:23" x14ac:dyDescent="0.25">
      <c r="A1652" s="26" t="str">
        <f t="shared" si="296"/>
        <v>PREESCOLAR</v>
      </c>
      <c r="B1652" s="26" t="str">
        <f>"09PJN3010D"</f>
        <v>09PJN3010D</v>
      </c>
      <c r="C1652" s="26" t="str">
        <f>"HEROES DE CHAPULTEPEC                                                                               "</f>
        <v xml:space="preserve">HEROES DE CHAPULTEPEC                                                                               </v>
      </c>
      <c r="D1652" s="26" t="str">
        <f t="shared" si="307"/>
        <v>MATUTINO</v>
      </c>
      <c r="E1652" s="26" t="str">
        <f>"JESUS ALMANZA NO. 46                                                            "</f>
        <v xml:space="preserve">JESUS ALMANZA NO. 46                                                            </v>
      </c>
      <c r="F1652" s="26" t="str">
        <f>"TEPALCATES                                                                                                                                  "</f>
        <v xml:space="preserve">TEPALCATES                                                                                                                                  </v>
      </c>
      <c r="G1652" s="26" t="str">
        <f>"IZTAPALAPA                                                                      "</f>
        <v xml:space="preserve">IZTAPALAPA                                                                      </v>
      </c>
      <c r="H1652" s="26" t="str">
        <f>"000"</f>
        <v>000</v>
      </c>
      <c r="I1652" s="26" t="str">
        <f t="shared" si="297"/>
        <v>00</v>
      </c>
      <c r="J1652" s="26" t="str">
        <f>"62 "</f>
        <v xml:space="preserve">62 </v>
      </c>
      <c r="K1652" s="26" t="str">
        <f>"IZ"</f>
        <v>IZ</v>
      </c>
      <c r="L1652" s="26" t="str">
        <f>"DGSEI"</f>
        <v>DGSEI</v>
      </c>
      <c r="M1652" s="26" t="str">
        <f t="shared" si="295"/>
        <v>PARTICULAR</v>
      </c>
      <c r="N1652" s="26">
        <v>29</v>
      </c>
      <c r="O1652" s="26">
        <v>16</v>
      </c>
      <c r="P1652" s="26">
        <v>13</v>
      </c>
      <c r="Q1652" s="26">
        <v>3</v>
      </c>
      <c r="R1652" s="26">
        <v>1</v>
      </c>
      <c r="S1652" s="26">
        <v>2</v>
      </c>
      <c r="T1652" s="26">
        <v>5</v>
      </c>
      <c r="U1652" s="26">
        <v>8</v>
      </c>
      <c r="V1652" s="26">
        <v>1</v>
      </c>
      <c r="W1652" s="26"/>
    </row>
    <row r="1653" spans="1:23" x14ac:dyDescent="0.25">
      <c r="A1653" s="26" t="str">
        <f t="shared" si="296"/>
        <v>PREESCOLAR</v>
      </c>
      <c r="B1653" s="26" t="str">
        <f>"09PJN3011C"</f>
        <v>09PJN3011C</v>
      </c>
      <c r="C1653" s="26" t="str">
        <f>"MANUEL VALDES ACUÑA                                                                                 "</f>
        <v xml:space="preserve">MANUEL VALDES ACUÑA                                                                                 </v>
      </c>
      <c r="D1653" s="26" t="str">
        <f t="shared" si="307"/>
        <v>MATUTINO</v>
      </c>
      <c r="E1653" s="26" t="str">
        <f>"NUBLO NO. 24  MZA. 8 LT. 1                                                      "</f>
        <v xml:space="preserve">NUBLO NO. 24  MZA. 8 LT. 1                                                      </v>
      </c>
      <c r="F1653" s="26" t="str">
        <f>"GRANJAS CABRERA                                                                                                                             "</f>
        <v xml:space="preserve">GRANJAS CABRERA                                                                                                                             </v>
      </c>
      <c r="G1653" s="26" t="str">
        <f>"TLAHUAC                                                                         "</f>
        <v xml:space="preserve">TLAHUAC                                                                         </v>
      </c>
      <c r="H1653" s="26" t="str">
        <f>"244"</f>
        <v>244</v>
      </c>
      <c r="I1653" s="26" t="str">
        <f t="shared" si="297"/>
        <v>00</v>
      </c>
      <c r="J1653" s="26" t="str">
        <f>"35 "</f>
        <v xml:space="preserve">35 </v>
      </c>
      <c r="K1653" s="26" t="str">
        <f t="shared" ref="K1653:K1662" si="310">"EP"</f>
        <v>EP</v>
      </c>
      <c r="L1653" s="26" t="str">
        <f t="shared" ref="L1653:L1662" si="311">"DGOSE"</f>
        <v>DGOSE</v>
      </c>
      <c r="M1653" s="26" t="str">
        <f t="shared" si="295"/>
        <v>PARTICULAR</v>
      </c>
      <c r="N1653" s="26">
        <v>69</v>
      </c>
      <c r="O1653" s="26">
        <v>33</v>
      </c>
      <c r="P1653" s="26">
        <v>36</v>
      </c>
      <c r="Q1653" s="26">
        <v>3</v>
      </c>
      <c r="R1653" s="26">
        <v>1</v>
      </c>
      <c r="S1653" s="26">
        <v>3</v>
      </c>
      <c r="T1653" s="26">
        <v>4</v>
      </c>
      <c r="U1653" s="26">
        <v>8</v>
      </c>
      <c r="V1653" s="26">
        <v>1</v>
      </c>
      <c r="W1653" s="26"/>
    </row>
    <row r="1654" spans="1:23" x14ac:dyDescent="0.25">
      <c r="A1654" s="26" t="str">
        <f t="shared" si="296"/>
        <v>PREESCOLAR</v>
      </c>
      <c r="B1654" s="26" t="str">
        <f>"09PJN3012B"</f>
        <v>09PJN3012B</v>
      </c>
      <c r="C1654" s="26" t="str">
        <f>"INSTITUTO MARIA GORETTI                                                                             "</f>
        <v xml:space="preserve">INSTITUTO MARIA GORETTI                                                                             </v>
      </c>
      <c r="D1654" s="26" t="str">
        <f t="shared" si="307"/>
        <v>MATUTINO</v>
      </c>
      <c r="E1654" s="26" t="str">
        <f>"LAGO SAN MARTIN NO. 10                                                          "</f>
        <v xml:space="preserve">LAGO SAN MARTIN NO. 10                                                          </v>
      </c>
      <c r="F1654" s="26" t="str">
        <f>"ARGENTINA ANTIGUA                                                                                                                           "</f>
        <v xml:space="preserve">ARGENTINA ANTIGUA                                                                                                                           </v>
      </c>
      <c r="G1654" s="26" t="str">
        <f>"MIGUEL HIDALGO                                                                  "</f>
        <v xml:space="preserve">MIGUEL HIDALGO                                                                  </v>
      </c>
      <c r="H1654" s="26" t="str">
        <f>"009"</f>
        <v>009</v>
      </c>
      <c r="I1654" s="26" t="str">
        <f t="shared" si="297"/>
        <v>00</v>
      </c>
      <c r="J1654" s="26" t="str">
        <f>"32 "</f>
        <v xml:space="preserve">32 </v>
      </c>
      <c r="K1654" s="26" t="str">
        <f t="shared" si="310"/>
        <v>EP</v>
      </c>
      <c r="L1654" s="26" t="str">
        <f t="shared" si="311"/>
        <v>DGOSE</v>
      </c>
      <c r="M1654" s="26" t="str">
        <f t="shared" si="295"/>
        <v>PARTICULAR</v>
      </c>
      <c r="N1654" s="26">
        <v>42</v>
      </c>
      <c r="O1654" s="26">
        <v>18</v>
      </c>
      <c r="P1654" s="26">
        <v>24</v>
      </c>
      <c r="Q1654" s="26">
        <v>3</v>
      </c>
      <c r="R1654" s="26">
        <v>1</v>
      </c>
      <c r="S1654" s="26">
        <v>3</v>
      </c>
      <c r="T1654" s="26">
        <v>1</v>
      </c>
      <c r="U1654" s="26">
        <v>5</v>
      </c>
      <c r="V1654" s="26">
        <v>1</v>
      </c>
      <c r="W1654" s="26"/>
    </row>
    <row r="1655" spans="1:23" x14ac:dyDescent="0.25">
      <c r="A1655" s="26" t="str">
        <f t="shared" si="296"/>
        <v>PREESCOLAR</v>
      </c>
      <c r="B1655" s="26" t="str">
        <f>"09PJN3014Z"</f>
        <v>09PJN3014Z</v>
      </c>
      <c r="C1655" s="26" t="str">
        <f>"INSTITUTO MARCELINA                                                                                 "</f>
        <v xml:space="preserve">INSTITUTO MARCELINA                                                                                 </v>
      </c>
      <c r="D1655" s="26" t="str">
        <f t="shared" si="307"/>
        <v>MATUTINO</v>
      </c>
      <c r="E1655" s="26" t="str">
        <f>"AV. 521 NO. 58                                                                  "</f>
        <v xml:space="preserve">AV. 521 NO. 58                                                                  </v>
      </c>
      <c r="F1655" s="26" t="str">
        <f>"SAN JUAN DE ARAGON                                                                                                                          "</f>
        <v xml:space="preserve">SAN JUAN DE ARAGON                                                                                                                          </v>
      </c>
      <c r="G1655" s="26" t="str">
        <f>"GUSTAVO A. MADERO                                                               "</f>
        <v xml:space="preserve">GUSTAVO A. MADERO                                                               </v>
      </c>
      <c r="H1655" s="26" t="str">
        <f>"180"</f>
        <v>180</v>
      </c>
      <c r="I1655" s="26" t="str">
        <f t="shared" si="297"/>
        <v>00</v>
      </c>
      <c r="J1655" s="26" t="str">
        <f>"32 "</f>
        <v xml:space="preserve">32 </v>
      </c>
      <c r="K1655" s="26" t="str">
        <f t="shared" si="310"/>
        <v>EP</v>
      </c>
      <c r="L1655" s="26" t="str">
        <f t="shared" si="311"/>
        <v>DGOSE</v>
      </c>
      <c r="M1655" s="26" t="str">
        <f t="shared" si="295"/>
        <v>PARTICULAR</v>
      </c>
      <c r="N1655" s="26">
        <v>47</v>
      </c>
      <c r="O1655" s="26">
        <v>21</v>
      </c>
      <c r="P1655" s="26">
        <v>26</v>
      </c>
      <c r="Q1655" s="26">
        <v>3</v>
      </c>
      <c r="R1655" s="26">
        <v>1</v>
      </c>
      <c r="S1655" s="26">
        <v>3</v>
      </c>
      <c r="T1655" s="26">
        <v>7</v>
      </c>
      <c r="U1655" s="26">
        <v>11</v>
      </c>
      <c r="V1655" s="26">
        <v>1</v>
      </c>
      <c r="W1655" s="26"/>
    </row>
    <row r="1656" spans="1:23" x14ac:dyDescent="0.25">
      <c r="A1656" s="26" t="str">
        <f t="shared" si="296"/>
        <v>PREESCOLAR</v>
      </c>
      <c r="B1656" s="26" t="str">
        <f>"09PJN3018W"</f>
        <v>09PJN3018W</v>
      </c>
      <c r="C1656" s="26" t="str">
        <f>"CENTRO DE FORMACION ESCOLAR BANTING                                                                 "</f>
        <v xml:space="preserve">CENTRO DE FORMACION ESCOLAR BANTING                                                                 </v>
      </c>
      <c r="D1656" s="26" t="str">
        <f t="shared" si="307"/>
        <v>MATUTINO</v>
      </c>
      <c r="E1656" s="26" t="str">
        <f>"CUAUHTEMOC S/N. MZA. 3 LT.5                                                     "</f>
        <v xml:space="preserve">CUAUHTEMOC S/N. MZA. 3 LT.5                                                     </v>
      </c>
      <c r="F1656" s="26" t="str">
        <f>"AJUSCO                                                                                                                                      "</f>
        <v xml:space="preserve">AJUSCO                                                                                                                                      </v>
      </c>
      <c r="G1656" s="26" t="str">
        <f>"COYOACAN                                                                        "</f>
        <v xml:space="preserve">COYOACAN                                                                        </v>
      </c>
      <c r="H1656" s="26" t="str">
        <f>"211"</f>
        <v>211</v>
      </c>
      <c r="I1656" s="26" t="str">
        <f t="shared" si="297"/>
        <v>00</v>
      </c>
      <c r="J1656" s="26" t="str">
        <f>"35 "</f>
        <v xml:space="preserve">35 </v>
      </c>
      <c r="K1656" s="26" t="str">
        <f t="shared" si="310"/>
        <v>EP</v>
      </c>
      <c r="L1656" s="26" t="str">
        <f t="shared" si="311"/>
        <v>DGOSE</v>
      </c>
      <c r="M1656" s="26" t="str">
        <f t="shared" si="295"/>
        <v>PARTICULAR</v>
      </c>
      <c r="N1656" s="26">
        <v>102</v>
      </c>
      <c r="O1656" s="26">
        <v>60</v>
      </c>
      <c r="P1656" s="26">
        <v>42</v>
      </c>
      <c r="Q1656" s="26">
        <v>3</v>
      </c>
      <c r="R1656" s="26">
        <v>1</v>
      </c>
      <c r="S1656" s="26">
        <v>3</v>
      </c>
      <c r="T1656" s="26">
        <v>7</v>
      </c>
      <c r="U1656" s="26">
        <v>11</v>
      </c>
      <c r="V1656" s="26">
        <v>1</v>
      </c>
      <c r="W1656" s="26"/>
    </row>
    <row r="1657" spans="1:23" x14ac:dyDescent="0.25">
      <c r="A1657" s="26" t="str">
        <f t="shared" si="296"/>
        <v>PREESCOLAR</v>
      </c>
      <c r="B1657" s="26" t="str">
        <f>"09PJN3023H"</f>
        <v>09PJN3023H</v>
      </c>
      <c r="C1657" s="26" t="str">
        <f>"CENTRO EDUCATIVO OVIDIO DECROLY                                                                     "</f>
        <v xml:space="preserve">CENTRO EDUCATIVO OVIDIO DECROLY                                                                     </v>
      </c>
      <c r="D1657" s="26" t="str">
        <f t="shared" si="307"/>
        <v>MATUTINO</v>
      </c>
      <c r="E1657" s="26" t="str">
        <f>"FRANCITA No. 162                                                                "</f>
        <v xml:space="preserve">FRANCITA No. 162                                                                </v>
      </c>
      <c r="F1657" s="26" t="str">
        <f>"PETROLERA                                                                                                                                   "</f>
        <v xml:space="preserve">PETROLERA                                                                                                                                   </v>
      </c>
      <c r="G1657" s="26" t="str">
        <f>"AZCAPOTZALCO                                                                    "</f>
        <v xml:space="preserve">AZCAPOTZALCO                                                                    </v>
      </c>
      <c r="H1657" s="26" t="str">
        <f>"056"</f>
        <v>056</v>
      </c>
      <c r="I1657" s="26" t="str">
        <f t="shared" si="297"/>
        <v>00</v>
      </c>
      <c r="J1657" s="26" t="str">
        <f>"32 "</f>
        <v xml:space="preserve">32 </v>
      </c>
      <c r="K1657" s="26" t="str">
        <f t="shared" si="310"/>
        <v>EP</v>
      </c>
      <c r="L1657" s="26" t="str">
        <f t="shared" si="311"/>
        <v>DGOSE</v>
      </c>
      <c r="M1657" s="26" t="str">
        <f t="shared" si="295"/>
        <v>PARTICULAR</v>
      </c>
      <c r="N1657" s="26">
        <v>37</v>
      </c>
      <c r="O1657" s="26">
        <v>21</v>
      </c>
      <c r="P1657" s="26">
        <v>16</v>
      </c>
      <c r="Q1657" s="26">
        <v>3</v>
      </c>
      <c r="R1657" s="26">
        <v>1</v>
      </c>
      <c r="S1657" s="26">
        <v>3</v>
      </c>
      <c r="T1657" s="26">
        <v>3</v>
      </c>
      <c r="U1657" s="26">
        <v>7</v>
      </c>
      <c r="V1657" s="26">
        <v>1</v>
      </c>
      <c r="W1657" s="26"/>
    </row>
    <row r="1658" spans="1:23" x14ac:dyDescent="0.25">
      <c r="A1658" s="26" t="str">
        <f t="shared" si="296"/>
        <v>PREESCOLAR</v>
      </c>
      <c r="B1658" s="26" t="str">
        <f>"09PJN3049P"</f>
        <v>09PJN3049P</v>
      </c>
      <c r="C1658" s="26" t="str">
        <f>"CHUMAYEL                                                                                            "</f>
        <v xml:space="preserve">CHUMAYEL                                                                                            </v>
      </c>
      <c r="D1658" s="26" t="str">
        <f t="shared" si="307"/>
        <v>MATUTINO</v>
      </c>
      <c r="E1658" s="26" t="str">
        <f>"ARABELLA NO. 130                                                                "</f>
        <v xml:space="preserve">ARABELLA NO. 130                                                                </v>
      </c>
      <c r="F1658" s="26" t="str">
        <f>"AGRICOLA METROPOLITANA                                                                                                                      "</f>
        <v xml:space="preserve">AGRICOLA METROPOLITANA                                                                                                                      </v>
      </c>
      <c r="G1658" s="26" t="str">
        <f>"TLAHUAC                                                                         "</f>
        <v xml:space="preserve">TLAHUAC                                                                         </v>
      </c>
      <c r="H1658" s="26" t="str">
        <f>"124"</f>
        <v>124</v>
      </c>
      <c r="I1658" s="26" t="str">
        <f t="shared" si="297"/>
        <v>00</v>
      </c>
      <c r="J1658" s="26" t="str">
        <f>"35 "</f>
        <v xml:space="preserve">35 </v>
      </c>
      <c r="K1658" s="26" t="str">
        <f t="shared" si="310"/>
        <v>EP</v>
      </c>
      <c r="L1658" s="26" t="str">
        <f t="shared" si="311"/>
        <v>DGOSE</v>
      </c>
      <c r="M1658" s="26" t="str">
        <f t="shared" si="295"/>
        <v>PARTICULAR</v>
      </c>
      <c r="N1658" s="26">
        <v>6</v>
      </c>
      <c r="O1658" s="26">
        <v>4</v>
      </c>
      <c r="P1658" s="26">
        <v>2</v>
      </c>
      <c r="Q1658" s="26">
        <v>1</v>
      </c>
      <c r="R1658" s="26">
        <v>1</v>
      </c>
      <c r="S1658" s="26">
        <v>1</v>
      </c>
      <c r="T1658" s="26">
        <v>0</v>
      </c>
      <c r="U1658" s="26">
        <v>2</v>
      </c>
      <c r="V1658" s="26">
        <v>1</v>
      </c>
      <c r="W1658" s="26"/>
    </row>
    <row r="1659" spans="1:23" x14ac:dyDescent="0.25">
      <c r="A1659" s="26" t="str">
        <f t="shared" si="296"/>
        <v>PREESCOLAR</v>
      </c>
      <c r="B1659" s="26" t="str">
        <f>"09PJN3055Z"</f>
        <v>09PJN3055Z</v>
      </c>
      <c r="C1659" s="26" t="str">
        <f>"COLEGIO JACKSNOVILLE                                                                                "</f>
        <v xml:space="preserve">COLEGIO JACKSNOVILLE                                                                                </v>
      </c>
      <c r="D1659" s="26" t="str">
        <f t="shared" si="307"/>
        <v>MATUTINO</v>
      </c>
      <c r="E1659" s="26" t="str">
        <f>"GRAL. FRONTERA NO. 46                                                           "</f>
        <v xml:space="preserve">GRAL. FRONTERA NO. 46                                                           </v>
      </c>
      <c r="F1659" s="26" t="str">
        <f>"TIZAPAN                                                                                                                                     "</f>
        <v xml:space="preserve">TIZAPAN                                                                                                                                     </v>
      </c>
      <c r="G1659" s="26" t="str">
        <f>"ALVARO OBREGON                                                                  "</f>
        <v xml:space="preserve">ALVARO OBREGON                                                                  </v>
      </c>
      <c r="H1659" s="26" t="str">
        <f>"214"</f>
        <v>214</v>
      </c>
      <c r="I1659" s="26" t="str">
        <f t="shared" si="297"/>
        <v>00</v>
      </c>
      <c r="J1659" s="26" t="str">
        <f>"33 "</f>
        <v xml:space="preserve">33 </v>
      </c>
      <c r="K1659" s="26" t="str">
        <f t="shared" si="310"/>
        <v>EP</v>
      </c>
      <c r="L1659" s="26" t="str">
        <f t="shared" si="311"/>
        <v>DGOSE</v>
      </c>
      <c r="M1659" s="26" t="str">
        <f t="shared" si="295"/>
        <v>PARTICULAR</v>
      </c>
      <c r="N1659" s="26">
        <v>25</v>
      </c>
      <c r="O1659" s="26">
        <v>15</v>
      </c>
      <c r="P1659" s="26">
        <v>10</v>
      </c>
      <c r="Q1659" s="26">
        <v>3</v>
      </c>
      <c r="R1659" s="26">
        <v>1</v>
      </c>
      <c r="S1659" s="26">
        <v>2</v>
      </c>
      <c r="T1659" s="26">
        <v>4</v>
      </c>
      <c r="U1659" s="26">
        <v>7</v>
      </c>
      <c r="V1659" s="26">
        <v>1</v>
      </c>
      <c r="W1659" s="26"/>
    </row>
    <row r="1660" spans="1:23" x14ac:dyDescent="0.25">
      <c r="A1660" s="26" t="str">
        <f t="shared" si="296"/>
        <v>PREESCOLAR</v>
      </c>
      <c r="B1660" s="26" t="str">
        <f>"09PJN3056Z"</f>
        <v>09PJN3056Z</v>
      </c>
      <c r="C1660" s="26" t="str">
        <f>"CENDI KEY ELLEN                                                                                     "</f>
        <v xml:space="preserve">CENDI KEY ELLEN                                                                                     </v>
      </c>
      <c r="D1660" s="26" t="str">
        <f t="shared" si="307"/>
        <v>MATUTINO</v>
      </c>
      <c r="E1660" s="26" t="str">
        <f>"ALDAMA No. 50                                                                   "</f>
        <v xml:space="preserve">ALDAMA No. 50                                                                   </v>
      </c>
      <c r="F1660" s="26" t="str">
        <f>"SAN MATEO TLALTENANGO                                                                                                                       "</f>
        <v xml:space="preserve">SAN MATEO TLALTENANGO                                                                                                                       </v>
      </c>
      <c r="G1660" s="26" t="str">
        <f>"CUAJIMALPA DE MORELOS                                                           "</f>
        <v xml:space="preserve">CUAJIMALPA DE MORELOS                                                           </v>
      </c>
      <c r="H1660" s="26" t="str">
        <f>"213"</f>
        <v>213</v>
      </c>
      <c r="I1660" s="26" t="str">
        <f t="shared" si="297"/>
        <v>00</v>
      </c>
      <c r="J1660" s="26" t="str">
        <f>"33 "</f>
        <v xml:space="preserve">33 </v>
      </c>
      <c r="K1660" s="26" t="str">
        <f t="shared" si="310"/>
        <v>EP</v>
      </c>
      <c r="L1660" s="26" t="str">
        <f t="shared" si="311"/>
        <v>DGOSE</v>
      </c>
      <c r="M1660" s="26" t="str">
        <f t="shared" si="295"/>
        <v>PARTICULAR</v>
      </c>
      <c r="N1660" s="26">
        <v>45</v>
      </c>
      <c r="O1660" s="26">
        <v>24</v>
      </c>
      <c r="P1660" s="26">
        <v>21</v>
      </c>
      <c r="Q1660" s="26">
        <v>3</v>
      </c>
      <c r="R1660" s="26">
        <v>1</v>
      </c>
      <c r="S1660" s="26">
        <v>2</v>
      </c>
      <c r="T1660" s="26">
        <v>6</v>
      </c>
      <c r="U1660" s="26">
        <v>9</v>
      </c>
      <c r="V1660" s="26">
        <v>1</v>
      </c>
      <c r="W1660" s="26"/>
    </row>
    <row r="1661" spans="1:23" x14ac:dyDescent="0.25">
      <c r="A1661" s="26" t="str">
        <f t="shared" si="296"/>
        <v>PREESCOLAR</v>
      </c>
      <c r="B1661" s="26" t="str">
        <f>"09PJN3061K"</f>
        <v>09PJN3061K</v>
      </c>
      <c r="C1661" s="26" t="str">
        <f>"JARDÍN DE NIÑOS CAMPANITA                                                                           "</f>
        <v xml:space="preserve">JARDÍN DE NIÑOS CAMPANITA                                                                           </v>
      </c>
      <c r="D1661" s="26" t="str">
        <f t="shared" si="307"/>
        <v>MATUTINO</v>
      </c>
      <c r="E1661" s="26" t="str">
        <f>"CHICARAS NO. 35                                                                 "</f>
        <v xml:space="preserve">CHICARAS NO. 35                                                                 </v>
      </c>
      <c r="F1661" s="26" t="str">
        <f>"EL CARACOL                                                                                                                                  "</f>
        <v xml:space="preserve">EL CARACOL                                                                                                                                  </v>
      </c>
      <c r="G1661" s="26" t="str">
        <f>"COYOACAN                                                                        "</f>
        <v xml:space="preserve">COYOACAN                                                                        </v>
      </c>
      <c r="H1661" s="26" t="str">
        <f>"077"</f>
        <v>077</v>
      </c>
      <c r="I1661" s="26" t="str">
        <f t="shared" si="297"/>
        <v>00</v>
      </c>
      <c r="J1661" s="26" t="str">
        <f>"35 "</f>
        <v xml:space="preserve">35 </v>
      </c>
      <c r="K1661" s="26" t="str">
        <f t="shared" si="310"/>
        <v>EP</v>
      </c>
      <c r="L1661" s="26" t="str">
        <f t="shared" si="311"/>
        <v>DGOSE</v>
      </c>
      <c r="M1661" s="26" t="str">
        <f t="shared" si="295"/>
        <v>PARTICULAR</v>
      </c>
      <c r="N1661" s="26">
        <v>37</v>
      </c>
      <c r="O1661" s="26">
        <v>20</v>
      </c>
      <c r="P1661" s="26">
        <v>17</v>
      </c>
      <c r="Q1661" s="26">
        <v>3</v>
      </c>
      <c r="R1661" s="26">
        <v>1</v>
      </c>
      <c r="S1661" s="26">
        <v>3</v>
      </c>
      <c r="T1661" s="26">
        <v>5</v>
      </c>
      <c r="U1661" s="26">
        <v>9</v>
      </c>
      <c r="V1661" s="26">
        <v>1</v>
      </c>
      <c r="W1661" s="26"/>
    </row>
    <row r="1662" spans="1:23" x14ac:dyDescent="0.25">
      <c r="A1662" s="26" t="str">
        <f t="shared" si="296"/>
        <v>PREESCOLAR</v>
      </c>
      <c r="B1662" s="26" t="str">
        <f>"09PJN3063I"</f>
        <v>09PJN3063I</v>
      </c>
      <c r="C1662" s="26" t="str">
        <f>"KINDERGARDEN HAPPY KIDS                                                                             "</f>
        <v xml:space="preserve">KINDERGARDEN HAPPY KIDS                                                                             </v>
      </c>
      <c r="D1662" s="26" t="str">
        <f t="shared" si="307"/>
        <v>MATUTINO</v>
      </c>
      <c r="E1662" s="26" t="str">
        <f>"AV. 529 NO. 86                                                                  "</f>
        <v xml:space="preserve">AV. 529 NO. 86                                                                  </v>
      </c>
      <c r="F1662" s="26" t="str">
        <f>"SAN JUAN DE ARAGON                                                                                                                          "</f>
        <v xml:space="preserve">SAN JUAN DE ARAGON                                                                                                                          </v>
      </c>
      <c r="G1662" s="26" t="str">
        <f>"GUSTAVO A. MADERO                                                               "</f>
        <v xml:space="preserve">GUSTAVO A. MADERO                                                               </v>
      </c>
      <c r="H1662" s="26" t="str">
        <f>"006"</f>
        <v>006</v>
      </c>
      <c r="I1662" s="26" t="str">
        <f t="shared" si="297"/>
        <v>00</v>
      </c>
      <c r="J1662" s="26" t="str">
        <f>"32 "</f>
        <v xml:space="preserve">32 </v>
      </c>
      <c r="K1662" s="26" t="str">
        <f t="shared" si="310"/>
        <v>EP</v>
      </c>
      <c r="L1662" s="26" t="str">
        <f t="shared" si="311"/>
        <v>DGOSE</v>
      </c>
      <c r="M1662" s="26" t="str">
        <f t="shared" si="295"/>
        <v>PARTICULAR</v>
      </c>
      <c r="N1662" s="26">
        <v>22</v>
      </c>
      <c r="O1662" s="26">
        <v>16</v>
      </c>
      <c r="P1662" s="26">
        <v>6</v>
      </c>
      <c r="Q1662" s="26">
        <v>2</v>
      </c>
      <c r="R1662" s="26">
        <v>1</v>
      </c>
      <c r="S1662" s="26">
        <v>2</v>
      </c>
      <c r="T1662" s="26">
        <v>3</v>
      </c>
      <c r="U1662" s="26">
        <v>6</v>
      </c>
      <c r="V1662" s="26">
        <v>1</v>
      </c>
      <c r="W1662" s="26"/>
    </row>
    <row r="1663" spans="1:23" x14ac:dyDescent="0.25">
      <c r="A1663" s="26" t="str">
        <f t="shared" si="296"/>
        <v>PREESCOLAR</v>
      </c>
      <c r="B1663" s="26" t="str">
        <f>"09PJN3069C"</f>
        <v>09PJN3069C</v>
      </c>
      <c r="C1663" s="26" t="str">
        <f>"CENTRO DE DESARROLLO INFANTIL MARIA CURIE                                                           "</f>
        <v xml:space="preserve">CENTRO DE DESARROLLO INFANTIL MARIA CURIE                                                           </v>
      </c>
      <c r="D1663" s="26" t="str">
        <f t="shared" si="307"/>
        <v>MATUTINO</v>
      </c>
      <c r="E1663" s="26" t="str">
        <f>"ROCIO NO. 19                                                                    "</f>
        <v xml:space="preserve">ROCIO NO. 19                                                                    </v>
      </c>
      <c r="F1663" s="26" t="str">
        <f>"LA HERA                                                                                                                                     "</f>
        <v xml:space="preserve">LA HERA                                                                                                                                     </v>
      </c>
      <c r="G1663" s="26" t="str">
        <f>"IZTAPALAPA                                                                      "</f>
        <v xml:space="preserve">IZTAPALAPA                                                                      </v>
      </c>
      <c r="H1663" s="26" t="str">
        <f>"000"</f>
        <v>000</v>
      </c>
      <c r="I1663" s="26" t="str">
        <f t="shared" si="297"/>
        <v>00</v>
      </c>
      <c r="J1663" s="26" t="str">
        <f>"63 "</f>
        <v xml:space="preserve">63 </v>
      </c>
      <c r="K1663" s="26" t="str">
        <f>"IZ"</f>
        <v>IZ</v>
      </c>
      <c r="L1663" s="26" t="str">
        <f>"DGSEI"</f>
        <v>DGSEI</v>
      </c>
      <c r="M1663" s="26" t="str">
        <f t="shared" ref="M1663:M1726" si="312">"PARTICULAR"</f>
        <v>PARTICULAR</v>
      </c>
      <c r="N1663" s="26">
        <v>21</v>
      </c>
      <c r="O1663" s="26">
        <v>6</v>
      </c>
      <c r="P1663" s="26">
        <v>15</v>
      </c>
      <c r="Q1663" s="26">
        <v>3</v>
      </c>
      <c r="R1663" s="26">
        <v>1</v>
      </c>
      <c r="S1663" s="26">
        <v>2</v>
      </c>
      <c r="T1663" s="26">
        <v>2</v>
      </c>
      <c r="U1663" s="26">
        <v>5</v>
      </c>
      <c r="V1663" s="26">
        <v>1</v>
      </c>
      <c r="W1663" s="26"/>
    </row>
    <row r="1664" spans="1:23" x14ac:dyDescent="0.25">
      <c r="A1664" s="26" t="str">
        <f t="shared" si="296"/>
        <v>PREESCOLAR</v>
      </c>
      <c r="B1664" s="26" t="str">
        <f>"09PJN3079J"</f>
        <v>09PJN3079J</v>
      </c>
      <c r="C1664" s="26" t="str">
        <f>"COLEGIO CLAPAREDE                                                                                   "</f>
        <v xml:space="preserve">COLEGIO CLAPAREDE                                                                                   </v>
      </c>
      <c r="D1664" s="26" t="str">
        <f t="shared" si="307"/>
        <v>MATUTINO</v>
      </c>
      <c r="E1664" s="26" t="str">
        <f>"MIGUEL ANGEL No. 73                                                             "</f>
        <v xml:space="preserve">MIGUEL ANGEL No. 73                                                             </v>
      </c>
      <c r="F1664" s="26" t="str">
        <f>"MIXCOAC                                                                                                                                     "</f>
        <v xml:space="preserve">MIXCOAC                                                                                                                                     </v>
      </c>
      <c r="G1664" s="26" t="str">
        <f>"BENITO JUAREZ                                                                   "</f>
        <v xml:space="preserve">BENITO JUAREZ                                                                   </v>
      </c>
      <c r="H1664" s="26" t="str">
        <f>"110"</f>
        <v>110</v>
      </c>
      <c r="I1664" s="26" t="str">
        <f t="shared" si="297"/>
        <v>00</v>
      </c>
      <c r="J1664" s="26" t="str">
        <f>"33 "</f>
        <v xml:space="preserve">33 </v>
      </c>
      <c r="K1664" s="26" t="str">
        <f t="shared" ref="K1664:K1669" si="313">"EP"</f>
        <v>EP</v>
      </c>
      <c r="L1664" s="26" t="str">
        <f t="shared" ref="L1664:L1669" si="314">"DGOSE"</f>
        <v>DGOSE</v>
      </c>
      <c r="M1664" s="26" t="str">
        <f t="shared" si="312"/>
        <v>PARTICULAR</v>
      </c>
      <c r="N1664" s="26">
        <v>16</v>
      </c>
      <c r="O1664" s="26">
        <v>11</v>
      </c>
      <c r="P1664" s="26">
        <v>5</v>
      </c>
      <c r="Q1664" s="26">
        <v>2</v>
      </c>
      <c r="R1664" s="26">
        <v>1</v>
      </c>
      <c r="S1664" s="26">
        <v>2</v>
      </c>
      <c r="T1664" s="26">
        <v>7</v>
      </c>
      <c r="U1664" s="26">
        <v>10</v>
      </c>
      <c r="V1664" s="26">
        <v>1</v>
      </c>
      <c r="W1664" s="26"/>
    </row>
    <row r="1665" spans="1:23" x14ac:dyDescent="0.25">
      <c r="A1665" s="26" t="str">
        <f t="shared" si="296"/>
        <v>PREESCOLAR</v>
      </c>
      <c r="B1665" s="26" t="str">
        <f>"09PJN3095A"</f>
        <v>09PJN3095A</v>
      </c>
      <c r="C1665" s="26" t="str">
        <f>"CENTRO DE DESARROLLO INFANTIL BRITANIA                                                              "</f>
        <v xml:space="preserve">CENTRO DE DESARROLLO INFANTIL BRITANIA                                                              </v>
      </c>
      <c r="D1665" s="26" t="str">
        <f t="shared" si="307"/>
        <v>MATUTINO</v>
      </c>
      <c r="E1665" s="26" t="str">
        <f>"AZABACHE No. 80                                                                 "</f>
        <v xml:space="preserve">AZABACHE No. 80                                                                 </v>
      </c>
      <c r="F1665" s="26" t="str">
        <f>"ESTRELLA                                                                                                                                    "</f>
        <v xml:space="preserve">ESTRELLA                                                                                                                                    </v>
      </c>
      <c r="G1665" s="26" t="str">
        <f>"GUSTAVO A. MADERO                                                               "</f>
        <v xml:space="preserve">GUSTAVO A. MADERO                                                               </v>
      </c>
      <c r="H1665" s="26" t="str">
        <f>"191"</f>
        <v>191</v>
      </c>
      <c r="I1665" s="26" t="str">
        <f t="shared" si="297"/>
        <v>00</v>
      </c>
      <c r="J1665" s="26" t="str">
        <f>"32 "</f>
        <v xml:space="preserve">32 </v>
      </c>
      <c r="K1665" s="26" t="str">
        <f t="shared" si="313"/>
        <v>EP</v>
      </c>
      <c r="L1665" s="26" t="str">
        <f t="shared" si="314"/>
        <v>DGOSE</v>
      </c>
      <c r="M1665" s="26" t="str">
        <f t="shared" si="312"/>
        <v>PARTICULAR</v>
      </c>
      <c r="N1665" s="26">
        <v>4</v>
      </c>
      <c r="O1665" s="26">
        <v>1</v>
      </c>
      <c r="P1665" s="26">
        <v>3</v>
      </c>
      <c r="Q1665" s="26">
        <v>2</v>
      </c>
      <c r="R1665" s="26">
        <v>1</v>
      </c>
      <c r="S1665" s="26">
        <v>1</v>
      </c>
      <c r="T1665" s="26">
        <v>3</v>
      </c>
      <c r="U1665" s="26">
        <v>5</v>
      </c>
      <c r="V1665" s="26">
        <v>1</v>
      </c>
      <c r="W1665" s="26"/>
    </row>
    <row r="1666" spans="1:23" x14ac:dyDescent="0.25">
      <c r="A1666" s="26" t="str">
        <f t="shared" ref="A1666:A1729" si="315">"PREESCOLAR"</f>
        <v>PREESCOLAR</v>
      </c>
      <c r="B1666" s="26" t="str">
        <f>"09PJN3097Z"</f>
        <v>09PJN3097Z</v>
      </c>
      <c r="C1666" s="26" t="str">
        <f>"LA CASA DEL NIÑO DEL PEDREGAL                                                                       "</f>
        <v xml:space="preserve">LA CASA DEL NIÑO DEL PEDREGAL                                                                       </v>
      </c>
      <c r="D1666" s="26" t="str">
        <f t="shared" si="307"/>
        <v>MATUTINO</v>
      </c>
      <c r="E1666" s="26" t="str">
        <f>"COLEGIO NO. 300                                                                 "</f>
        <v xml:space="preserve">COLEGIO NO. 300                                                                 </v>
      </c>
      <c r="F1666" s="26" t="str">
        <f>"JARDINES DEL PEDREGAL                                                                                                                       "</f>
        <v xml:space="preserve">JARDINES DEL PEDREGAL                                                                                                                       </v>
      </c>
      <c r="G1666" s="26" t="str">
        <f>"ALVARO OBREGON                                                                  "</f>
        <v xml:space="preserve">ALVARO OBREGON                                                                  </v>
      </c>
      <c r="H1666" s="26" t="str">
        <f>"150"</f>
        <v>150</v>
      </c>
      <c r="I1666" s="26" t="str">
        <f t="shared" ref="I1666:I1729" si="316">"00"</f>
        <v>00</v>
      </c>
      <c r="J1666" s="26" t="str">
        <f>"33 "</f>
        <v xml:space="preserve">33 </v>
      </c>
      <c r="K1666" s="26" t="str">
        <f t="shared" si="313"/>
        <v>EP</v>
      </c>
      <c r="L1666" s="26" t="str">
        <f t="shared" si="314"/>
        <v>DGOSE</v>
      </c>
      <c r="M1666" s="26" t="str">
        <f t="shared" si="312"/>
        <v>PARTICULAR</v>
      </c>
      <c r="N1666" s="26">
        <v>46</v>
      </c>
      <c r="O1666" s="26">
        <v>23</v>
      </c>
      <c r="P1666" s="26">
        <v>23</v>
      </c>
      <c r="Q1666" s="26">
        <v>3</v>
      </c>
      <c r="R1666" s="26">
        <v>1</v>
      </c>
      <c r="S1666" s="26">
        <v>3</v>
      </c>
      <c r="T1666" s="26">
        <v>2</v>
      </c>
      <c r="U1666" s="26">
        <v>6</v>
      </c>
      <c r="V1666" s="26">
        <v>1</v>
      </c>
      <c r="W1666" s="26"/>
    </row>
    <row r="1667" spans="1:23" x14ac:dyDescent="0.25">
      <c r="A1667" s="26" t="str">
        <f t="shared" si="315"/>
        <v>PREESCOLAR</v>
      </c>
      <c r="B1667" s="26" t="str">
        <f>"09PJN3102U"</f>
        <v>09PJN3102U</v>
      </c>
      <c r="C1667" s="26" t="str">
        <f>"PINOCHITO                                                                                           "</f>
        <v xml:space="preserve">PINOCHITO                                                                                           </v>
      </c>
      <c r="D1667" s="26" t="str">
        <f t="shared" si="307"/>
        <v>MATUTINO</v>
      </c>
      <c r="E1667" s="26" t="str">
        <f>"NORTE 88 NO. 4230                                                               "</f>
        <v xml:space="preserve">NORTE 88 NO. 4230                                                               </v>
      </c>
      <c r="F1667" s="26" t="str">
        <f>"MALINCHE                                                                                                                                    "</f>
        <v xml:space="preserve">MALINCHE                                                                                                                                    </v>
      </c>
      <c r="G1667" s="26" t="str">
        <f>"GUSTAVO A. MADERO                                                               "</f>
        <v xml:space="preserve">GUSTAVO A. MADERO                                                               </v>
      </c>
      <c r="H1667" s="26" t="str">
        <f>"195"</f>
        <v>195</v>
      </c>
      <c r="I1667" s="26" t="str">
        <f t="shared" si="316"/>
        <v>00</v>
      </c>
      <c r="J1667" s="26" t="str">
        <f>"32 "</f>
        <v xml:space="preserve">32 </v>
      </c>
      <c r="K1667" s="26" t="str">
        <f t="shared" si="313"/>
        <v>EP</v>
      </c>
      <c r="L1667" s="26" t="str">
        <f t="shared" si="314"/>
        <v>DGOSE</v>
      </c>
      <c r="M1667" s="26" t="str">
        <f t="shared" si="312"/>
        <v>PARTICULAR</v>
      </c>
      <c r="N1667" s="26">
        <v>20</v>
      </c>
      <c r="O1667" s="26">
        <v>11</v>
      </c>
      <c r="P1667" s="26">
        <v>9</v>
      </c>
      <c r="Q1667" s="26">
        <v>3</v>
      </c>
      <c r="R1667" s="26">
        <v>0</v>
      </c>
      <c r="S1667" s="26">
        <v>2</v>
      </c>
      <c r="T1667" s="26">
        <v>1</v>
      </c>
      <c r="U1667" s="26">
        <v>3</v>
      </c>
      <c r="V1667" s="26">
        <v>1</v>
      </c>
      <c r="W1667" s="26"/>
    </row>
    <row r="1668" spans="1:23" x14ac:dyDescent="0.25">
      <c r="A1668" s="26" t="str">
        <f t="shared" si="315"/>
        <v>PREESCOLAR</v>
      </c>
      <c r="B1668" s="26" t="str">
        <f>"09PJN3119U"</f>
        <v>09PJN3119U</v>
      </c>
      <c r="C1668" s="26" t="str">
        <f>"ESCUELAS INFANTILES CONSTRUYE                                                                       "</f>
        <v xml:space="preserve">ESCUELAS INFANTILES CONSTRUYE                                                                       </v>
      </c>
      <c r="D1668" s="26" t="str">
        <f t="shared" si="307"/>
        <v>MATUTINO</v>
      </c>
      <c r="E1668" s="26" t="str">
        <f>"MORELOS NO. 8                                                                   "</f>
        <v xml:space="preserve">MORELOS NO. 8                                                                   </v>
      </c>
      <c r="F1668" s="26" t="str">
        <f>"SAN MIGUEL TOPILEJO                                                                                                                         "</f>
        <v xml:space="preserve">SAN MIGUEL TOPILEJO                                                                                                                         </v>
      </c>
      <c r="G1668" s="26" t="str">
        <f>"TLALPAN                                                                         "</f>
        <v xml:space="preserve">TLALPAN                                                                         </v>
      </c>
      <c r="H1668" s="26" t="str">
        <f>"062"</f>
        <v>062</v>
      </c>
      <c r="I1668" s="26" t="str">
        <f t="shared" si="316"/>
        <v>00</v>
      </c>
      <c r="J1668" s="26" t="str">
        <f>"35 "</f>
        <v xml:space="preserve">35 </v>
      </c>
      <c r="K1668" s="26" t="str">
        <f t="shared" si="313"/>
        <v>EP</v>
      </c>
      <c r="L1668" s="26" t="str">
        <f t="shared" si="314"/>
        <v>DGOSE</v>
      </c>
      <c r="M1668" s="26" t="str">
        <f t="shared" si="312"/>
        <v>PARTICULAR</v>
      </c>
      <c r="N1668" s="26">
        <v>34</v>
      </c>
      <c r="O1668" s="26">
        <v>19</v>
      </c>
      <c r="P1668" s="26">
        <v>15</v>
      </c>
      <c r="Q1668" s="26">
        <v>3</v>
      </c>
      <c r="R1668" s="26">
        <v>1</v>
      </c>
      <c r="S1668" s="26">
        <v>3</v>
      </c>
      <c r="T1668" s="26">
        <v>1</v>
      </c>
      <c r="U1668" s="26">
        <v>5</v>
      </c>
      <c r="V1668" s="26">
        <v>1</v>
      </c>
      <c r="W1668" s="26"/>
    </row>
    <row r="1669" spans="1:23" x14ac:dyDescent="0.25">
      <c r="A1669" s="26" t="str">
        <f t="shared" si="315"/>
        <v>PREESCOLAR</v>
      </c>
      <c r="B1669" s="26" t="str">
        <f>"09PJN3121I"</f>
        <v>09PJN3121I</v>
      </c>
      <c r="C1669" s="26" t="str">
        <f>"LAZZARO SPALLANZANI                                                                                 "</f>
        <v xml:space="preserve">LAZZARO SPALLANZANI                                                                                 </v>
      </c>
      <c r="D1669" s="26" t="str">
        <f t="shared" si="307"/>
        <v>MATUTINO</v>
      </c>
      <c r="E1669" s="26" t="str">
        <f>"ORIENTE 243 C No. 225                                                           "</f>
        <v xml:space="preserve">ORIENTE 243 C No. 225                                                           </v>
      </c>
      <c r="F1669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1669" s="26" t="str">
        <f>"IZTACALCO                                                                       "</f>
        <v xml:space="preserve">IZTACALCO                                                                       </v>
      </c>
      <c r="H1669" s="26" t="str">
        <f>"236"</f>
        <v>236</v>
      </c>
      <c r="I1669" s="26" t="str">
        <f t="shared" si="316"/>
        <v>00</v>
      </c>
      <c r="J1669" s="26" t="str">
        <f>"33 "</f>
        <v xml:space="preserve">33 </v>
      </c>
      <c r="K1669" s="26" t="str">
        <f t="shared" si="313"/>
        <v>EP</v>
      </c>
      <c r="L1669" s="26" t="str">
        <f t="shared" si="314"/>
        <v>DGOSE</v>
      </c>
      <c r="M1669" s="26" t="str">
        <f t="shared" si="312"/>
        <v>PARTICULAR</v>
      </c>
      <c r="N1669" s="26">
        <v>9</v>
      </c>
      <c r="O1669" s="26">
        <v>5</v>
      </c>
      <c r="P1669" s="26">
        <v>4</v>
      </c>
      <c r="Q1669" s="26">
        <v>2</v>
      </c>
      <c r="R1669" s="26">
        <v>1</v>
      </c>
      <c r="S1669" s="26">
        <v>2</v>
      </c>
      <c r="T1669" s="26">
        <v>2</v>
      </c>
      <c r="U1669" s="26">
        <v>5</v>
      </c>
      <c r="V1669" s="26">
        <v>1</v>
      </c>
      <c r="W1669" s="26"/>
    </row>
    <row r="1670" spans="1:23" x14ac:dyDescent="0.25">
      <c r="A1670" s="26" t="str">
        <f t="shared" si="315"/>
        <v>PREESCOLAR</v>
      </c>
      <c r="B1670" s="26" t="str">
        <f>"09PJN3122H"</f>
        <v>09PJN3122H</v>
      </c>
      <c r="C1670" s="26" t="str">
        <f>"INSTITUTO CULTURAL DERECHOS HUMANOS                                                                 "</f>
        <v xml:space="preserve">INSTITUTO CULTURAL DERECHOS HUMANOS                                                                 </v>
      </c>
      <c r="D1670" s="26" t="str">
        <f t="shared" si="307"/>
        <v>MATUTINO</v>
      </c>
      <c r="E1670" s="26" t="str">
        <f>"EMILIO N. ACOSTA MZ. 161 LT. 19                                                 "</f>
        <v xml:space="preserve">EMILIO N. ACOSTA MZ. 161 LT. 19                                                 </v>
      </c>
      <c r="F1670" s="26" t="str">
        <f>"SANTA MARTHA ACATITLA AMPLIACION                                                                                                            "</f>
        <v xml:space="preserve">SANTA MARTHA ACATITLA AMPLIACION                                                                                                            </v>
      </c>
      <c r="G1670" s="26" t="str">
        <f>"IZTAPALAPA                                                                      "</f>
        <v xml:space="preserve">IZTAPALAPA                                                                      </v>
      </c>
      <c r="H1670" s="26" t="str">
        <f>"000"</f>
        <v>000</v>
      </c>
      <c r="I1670" s="26" t="str">
        <f t="shared" si="316"/>
        <v>00</v>
      </c>
      <c r="J1670" s="26" t="str">
        <f>"62 "</f>
        <v xml:space="preserve">62 </v>
      </c>
      <c r="K1670" s="26" t="str">
        <f>"IZ"</f>
        <v>IZ</v>
      </c>
      <c r="L1670" s="26" t="str">
        <f>"DGSEI"</f>
        <v>DGSEI</v>
      </c>
      <c r="M1670" s="26" t="str">
        <f t="shared" si="312"/>
        <v>PARTICULAR</v>
      </c>
      <c r="N1670" s="26">
        <v>51</v>
      </c>
      <c r="O1670" s="26">
        <v>27</v>
      </c>
      <c r="P1670" s="26">
        <v>24</v>
      </c>
      <c r="Q1670" s="26">
        <v>3</v>
      </c>
      <c r="R1670" s="26">
        <v>1</v>
      </c>
      <c r="S1670" s="26">
        <v>3</v>
      </c>
      <c r="T1670" s="26">
        <v>6</v>
      </c>
      <c r="U1670" s="26">
        <v>10</v>
      </c>
      <c r="V1670" s="26">
        <v>1</v>
      </c>
      <c r="W1670" s="26"/>
    </row>
    <row r="1671" spans="1:23" x14ac:dyDescent="0.25">
      <c r="A1671" s="26" t="str">
        <f t="shared" si="315"/>
        <v>PREESCOLAR</v>
      </c>
      <c r="B1671" s="26" t="str">
        <f>"09PJN3129A"</f>
        <v>09PJN3129A</v>
      </c>
      <c r="C1671" s="26" t="str">
        <f>"CENTRO DE ASISTENCIA PREESCOLAR KEIKO                                                               "</f>
        <v xml:space="preserve">CENTRO DE ASISTENCIA PREESCOLAR KEIKO                                                               </v>
      </c>
      <c r="D1671" s="26" t="str">
        <f t="shared" si="307"/>
        <v>MATUTINO</v>
      </c>
      <c r="E1671" s="26" t="str">
        <f>"GRAN BAHAMA NO.16                                                               "</f>
        <v xml:space="preserve">GRAN BAHAMA NO.16                                                               </v>
      </c>
      <c r="F1671" s="26" t="str">
        <f>"LA MARTINICA                                                                                                                                "</f>
        <v xml:space="preserve">LA MARTINICA                                                                                                                                </v>
      </c>
      <c r="G1671" s="26" t="str">
        <f>"ALVARO OBREGON                                                                  "</f>
        <v xml:space="preserve">ALVARO OBREGON                                                                  </v>
      </c>
      <c r="H1671" s="26" t="str">
        <f>"046"</f>
        <v>046</v>
      </c>
      <c r="I1671" s="26" t="str">
        <f t="shared" si="316"/>
        <v>00</v>
      </c>
      <c r="J1671" s="26" t="str">
        <f>"33 "</f>
        <v xml:space="preserve">33 </v>
      </c>
      <c r="K1671" s="26" t="str">
        <f>"EP"</f>
        <v>EP</v>
      </c>
      <c r="L1671" s="26" t="str">
        <f>"DGOSE"</f>
        <v>DGOSE</v>
      </c>
      <c r="M1671" s="26" t="str">
        <f t="shared" si="312"/>
        <v>PARTICULAR</v>
      </c>
      <c r="N1671" s="26">
        <v>20</v>
      </c>
      <c r="O1671" s="26">
        <v>10</v>
      </c>
      <c r="P1671" s="26">
        <v>10</v>
      </c>
      <c r="Q1671" s="26">
        <v>3</v>
      </c>
      <c r="R1671" s="26">
        <v>1</v>
      </c>
      <c r="S1671" s="26">
        <v>3</v>
      </c>
      <c r="T1671" s="26">
        <v>2</v>
      </c>
      <c r="U1671" s="26">
        <v>6</v>
      </c>
      <c r="V1671" s="26">
        <v>1</v>
      </c>
      <c r="W1671" s="26"/>
    </row>
    <row r="1672" spans="1:23" x14ac:dyDescent="0.25">
      <c r="A1672" s="26" t="str">
        <f t="shared" si="315"/>
        <v>PREESCOLAR</v>
      </c>
      <c r="B1672" s="26" t="str">
        <f>"09PJN3132O"</f>
        <v>09PJN3132O</v>
      </c>
      <c r="C1672" s="26" t="str">
        <f>"JARDIN DE NIÑOS LA PEQUEÑA LULU                                                                     "</f>
        <v xml:space="preserve">JARDIN DE NIÑOS LA PEQUEÑA LULU                                                                     </v>
      </c>
      <c r="D1672" s="26" t="str">
        <f t="shared" si="307"/>
        <v>MATUTINO</v>
      </c>
      <c r="E1672" s="26" t="str">
        <f>"VALENTIN AMPUDIA NO. 2 (ANT. SANAHCAT Y/                                        "</f>
        <v xml:space="preserve">VALENTIN AMPUDIA NO. 2 (ANT. SANAHCAT Y/                                        </v>
      </c>
      <c r="F1672" s="26" t="str">
        <f>"MIGUEL HIDALGO AMPLIACION                                                                                                                   "</f>
        <v xml:space="preserve">MIGUEL HIDALGO AMPLIACION                                                                                                                   </v>
      </c>
      <c r="G1672" s="26" t="str">
        <f>"TLALPAN                                                                         "</f>
        <v xml:space="preserve">TLALPAN                                                                         </v>
      </c>
      <c r="H1672" s="26" t="str">
        <f>"278"</f>
        <v>278</v>
      </c>
      <c r="I1672" s="26" t="str">
        <f t="shared" si="316"/>
        <v>00</v>
      </c>
      <c r="J1672" s="26" t="str">
        <f>"35 "</f>
        <v xml:space="preserve">35 </v>
      </c>
      <c r="K1672" s="26" t="str">
        <f>"EP"</f>
        <v>EP</v>
      </c>
      <c r="L1672" s="26" t="str">
        <f>"DGOSE"</f>
        <v>DGOSE</v>
      </c>
      <c r="M1672" s="26" t="str">
        <f t="shared" si="312"/>
        <v>PARTICULAR</v>
      </c>
      <c r="N1672" s="26">
        <v>12</v>
      </c>
      <c r="O1672" s="26">
        <v>6</v>
      </c>
      <c r="P1672" s="26">
        <v>6</v>
      </c>
      <c r="Q1672" s="26">
        <v>3</v>
      </c>
      <c r="R1672" s="26">
        <v>1</v>
      </c>
      <c r="S1672" s="26">
        <v>3</v>
      </c>
      <c r="T1672" s="26">
        <v>2</v>
      </c>
      <c r="U1672" s="26">
        <v>6</v>
      </c>
      <c r="V1672" s="26">
        <v>1</v>
      </c>
      <c r="W1672" s="26"/>
    </row>
    <row r="1673" spans="1:23" x14ac:dyDescent="0.25">
      <c r="A1673" s="26" t="str">
        <f t="shared" si="315"/>
        <v>PREESCOLAR</v>
      </c>
      <c r="B1673" s="26" t="str">
        <f>"09PJN3133N"</f>
        <v>09PJN3133N</v>
      </c>
      <c r="C1673" s="26" t="str">
        <f>"CRAYONS KIDS                                                                                        "</f>
        <v xml:space="preserve">CRAYONS KIDS                                                                                        </v>
      </c>
      <c r="D1673" s="26" t="str">
        <f t="shared" si="307"/>
        <v>MATUTINO</v>
      </c>
      <c r="E1673" s="26" t="str">
        <f>"AV. AÑO DE JUAREZ NO. 300                                                       "</f>
        <v xml:space="preserve">AV. AÑO DE JUAREZ NO. 300                                                       </v>
      </c>
      <c r="F1673" s="26" t="str">
        <f>"GRANJAS SAN ANTONIO                                                                                                                         "</f>
        <v xml:space="preserve">GRANJAS SAN ANTONIO                                                                                                                         </v>
      </c>
      <c r="G1673" s="26" t="str">
        <f>"IZTAPALAPA                                                                      "</f>
        <v xml:space="preserve">IZTAPALAPA                                                                      </v>
      </c>
      <c r="H1673" s="26" t="str">
        <f>"000"</f>
        <v>000</v>
      </c>
      <c r="I1673" s="26" t="str">
        <f t="shared" si="316"/>
        <v>00</v>
      </c>
      <c r="J1673" s="26" t="str">
        <f>"61 "</f>
        <v xml:space="preserve">61 </v>
      </c>
      <c r="K1673" s="26" t="str">
        <f>"IZ"</f>
        <v>IZ</v>
      </c>
      <c r="L1673" s="26" t="str">
        <f>"DGSEI"</f>
        <v>DGSEI</v>
      </c>
      <c r="M1673" s="26" t="str">
        <f t="shared" si="312"/>
        <v>PARTICULAR</v>
      </c>
      <c r="N1673" s="26">
        <v>21</v>
      </c>
      <c r="O1673" s="26">
        <v>14</v>
      </c>
      <c r="P1673" s="26">
        <v>7</v>
      </c>
      <c r="Q1673" s="26">
        <v>3</v>
      </c>
      <c r="R1673" s="26">
        <v>1</v>
      </c>
      <c r="S1673" s="26">
        <v>2</v>
      </c>
      <c r="T1673" s="26">
        <v>1</v>
      </c>
      <c r="U1673" s="26">
        <v>4</v>
      </c>
      <c r="V1673" s="26">
        <v>1</v>
      </c>
      <c r="W1673" s="26"/>
    </row>
    <row r="1674" spans="1:23" x14ac:dyDescent="0.25">
      <c r="A1674" s="26" t="str">
        <f t="shared" si="315"/>
        <v>PREESCOLAR</v>
      </c>
      <c r="B1674" s="26" t="str">
        <f>"09PJN3135L"</f>
        <v>09PJN3135L</v>
      </c>
      <c r="C1674" s="26" t="str">
        <f>"LUIS DONALDO COLOSIO                                                                                "</f>
        <v xml:space="preserve">LUIS DONALDO COLOSIO                                                                                </v>
      </c>
      <c r="D1674" s="26" t="str">
        <f t="shared" si="307"/>
        <v>MATUTINO</v>
      </c>
      <c r="E1674" s="26" t="str">
        <f>"AYUNTAMIENTO NO. 9                                                              "</f>
        <v xml:space="preserve">AYUNTAMIENTO NO. 9                                                              </v>
      </c>
      <c r="F1674" s="26" t="str">
        <f>"SAN LUCAS                                                                                                                                   "</f>
        <v xml:space="preserve">SAN LUCAS                                                                                                                                   </v>
      </c>
      <c r="G1674" s="26" t="str">
        <f>"IZTAPALAPA                                                                      "</f>
        <v xml:space="preserve">IZTAPALAPA                                                                      </v>
      </c>
      <c r="H1674" s="26" t="str">
        <f>"000"</f>
        <v>000</v>
      </c>
      <c r="I1674" s="26" t="str">
        <f t="shared" si="316"/>
        <v>00</v>
      </c>
      <c r="J1674" s="26" t="str">
        <f>"61 "</f>
        <v xml:space="preserve">61 </v>
      </c>
      <c r="K1674" s="26" t="str">
        <f>"IZ"</f>
        <v>IZ</v>
      </c>
      <c r="L1674" s="26" t="str">
        <f>"DGSEI"</f>
        <v>DGSEI</v>
      </c>
      <c r="M1674" s="26" t="str">
        <f t="shared" si="312"/>
        <v>PARTICULAR</v>
      </c>
      <c r="N1674" s="26">
        <v>39</v>
      </c>
      <c r="O1674" s="26">
        <v>23</v>
      </c>
      <c r="P1674" s="26">
        <v>16</v>
      </c>
      <c r="Q1674" s="26">
        <v>2</v>
      </c>
      <c r="R1674" s="26">
        <v>1</v>
      </c>
      <c r="S1674" s="26">
        <v>1</v>
      </c>
      <c r="T1674" s="26">
        <v>1</v>
      </c>
      <c r="U1674" s="26">
        <v>3</v>
      </c>
      <c r="V1674" s="26">
        <v>1</v>
      </c>
      <c r="W1674" s="26"/>
    </row>
    <row r="1675" spans="1:23" x14ac:dyDescent="0.25">
      <c r="A1675" s="26" t="str">
        <f t="shared" si="315"/>
        <v>PREESCOLAR</v>
      </c>
      <c r="B1675" s="26" t="str">
        <f>"09PJN3138I"</f>
        <v>09PJN3138I</v>
      </c>
      <c r="C1675" s="26" t="str">
        <f>"AMEYALLI                                                                                            "</f>
        <v xml:space="preserve">AMEYALLI                                                                                            </v>
      </c>
      <c r="D1675" s="26" t="str">
        <f t="shared" si="307"/>
        <v>MATUTINO</v>
      </c>
      <c r="E1675" s="26" t="str">
        <f>"REFORMA AGRARIA MZ. 57 LT. 48                                                   "</f>
        <v xml:space="preserve">REFORMA AGRARIA MZ. 57 LT. 48                                                   </v>
      </c>
      <c r="F1675" s="26" t="str">
        <f>"REFORMA POLITICA                                                                                                                            "</f>
        <v xml:space="preserve">REFORMA POLITICA                                                                                                                            </v>
      </c>
      <c r="G1675" s="26" t="str">
        <f>"IZTAPALAPA                                                                      "</f>
        <v xml:space="preserve">IZTAPALAPA                                                                      </v>
      </c>
      <c r="H1675" s="26" t="str">
        <f>"000"</f>
        <v>000</v>
      </c>
      <c r="I1675" s="26" t="str">
        <f t="shared" si="316"/>
        <v>00</v>
      </c>
      <c r="J1675" s="26" t="str">
        <f>"64 "</f>
        <v xml:space="preserve">64 </v>
      </c>
      <c r="K1675" s="26" t="str">
        <f>"IZ"</f>
        <v>IZ</v>
      </c>
      <c r="L1675" s="26" t="str">
        <f>"DGSEI"</f>
        <v>DGSEI</v>
      </c>
      <c r="M1675" s="26" t="str">
        <f t="shared" si="312"/>
        <v>PARTICULAR</v>
      </c>
      <c r="N1675" s="26">
        <v>42</v>
      </c>
      <c r="O1675" s="26">
        <v>22</v>
      </c>
      <c r="P1675" s="26">
        <v>20</v>
      </c>
      <c r="Q1675" s="26">
        <v>3</v>
      </c>
      <c r="R1675" s="26">
        <v>1</v>
      </c>
      <c r="S1675" s="26">
        <v>2</v>
      </c>
      <c r="T1675" s="26">
        <v>2</v>
      </c>
      <c r="U1675" s="26">
        <v>5</v>
      </c>
      <c r="V1675" s="26">
        <v>1</v>
      </c>
      <c r="W1675" s="26"/>
    </row>
    <row r="1676" spans="1:23" x14ac:dyDescent="0.25">
      <c r="A1676" s="26" t="str">
        <f t="shared" si="315"/>
        <v>PREESCOLAR</v>
      </c>
      <c r="B1676" s="26" t="str">
        <f>"09PJN3148P"</f>
        <v>09PJN3148P</v>
      </c>
      <c r="C1676" s="26" t="str">
        <f>"JARDIN DE NIÑOS WILLIE                                                                              "</f>
        <v xml:space="preserve">JARDIN DE NIÑOS WILLIE                                                                              </v>
      </c>
      <c r="D1676" s="26" t="str">
        <f t="shared" si="307"/>
        <v>MATUTINO</v>
      </c>
      <c r="E1676" s="26" t="str">
        <f>"UNION No. 15                                                                    "</f>
        <v xml:space="preserve">UNION No. 15                                                                    </v>
      </c>
      <c r="F1676" s="26" t="str">
        <f>"LA FAMA                                                                                                                                     "</f>
        <v xml:space="preserve">LA FAMA                                                                                                                                     </v>
      </c>
      <c r="G1676" s="26" t="str">
        <f>"TLALPAN                                                                         "</f>
        <v xml:space="preserve">TLALPAN                                                                         </v>
      </c>
      <c r="H1676" s="26" t="str">
        <f>"146"</f>
        <v>146</v>
      </c>
      <c r="I1676" s="26" t="str">
        <f t="shared" si="316"/>
        <v>00</v>
      </c>
      <c r="J1676" s="26" t="str">
        <f>"35 "</f>
        <v xml:space="preserve">35 </v>
      </c>
      <c r="K1676" s="26" t="str">
        <f>"EP"</f>
        <v>EP</v>
      </c>
      <c r="L1676" s="26" t="str">
        <f>"DGOSE"</f>
        <v>DGOSE</v>
      </c>
      <c r="M1676" s="26" t="str">
        <f t="shared" si="312"/>
        <v>PARTICULAR</v>
      </c>
      <c r="N1676" s="26">
        <v>47</v>
      </c>
      <c r="O1676" s="26">
        <v>26</v>
      </c>
      <c r="P1676" s="26">
        <v>21</v>
      </c>
      <c r="Q1676" s="26">
        <v>3</v>
      </c>
      <c r="R1676" s="26">
        <v>1</v>
      </c>
      <c r="S1676" s="26">
        <v>3</v>
      </c>
      <c r="T1676" s="26">
        <v>7</v>
      </c>
      <c r="U1676" s="26">
        <v>11</v>
      </c>
      <c r="V1676" s="26">
        <v>1</v>
      </c>
      <c r="W1676" s="26"/>
    </row>
    <row r="1677" spans="1:23" x14ac:dyDescent="0.25">
      <c r="A1677" s="26" t="str">
        <f t="shared" si="315"/>
        <v>PREESCOLAR</v>
      </c>
      <c r="B1677" s="26" t="str">
        <f>"09PJN3149O"</f>
        <v>09PJN3149O</v>
      </c>
      <c r="C1677" s="26" t="str">
        <f>"COLEGIO BILBAO                                                                                      "</f>
        <v xml:space="preserve">COLEGIO BILBAO                                                                                      </v>
      </c>
      <c r="D1677" s="26" t="str">
        <f t="shared" si="307"/>
        <v>MATUTINO</v>
      </c>
      <c r="E1677" s="26" t="str">
        <f>"TLAMIMILOLPA NO. 39                                                             "</f>
        <v xml:space="preserve">TLAMIMILOLPA NO. 39                                                             </v>
      </c>
      <c r="F1677" s="26" t="str">
        <f>"SAN MATEO TLALTENANGO                                                                                                                       "</f>
        <v xml:space="preserve">SAN MATEO TLALTENANGO                                                                                                                       </v>
      </c>
      <c r="G1677" s="26" t="str">
        <f>"CUAJIMALPA DE MORELOS                                                           "</f>
        <v xml:space="preserve">CUAJIMALPA DE MORELOS                                                           </v>
      </c>
      <c r="H1677" s="26" t="str">
        <f>"213"</f>
        <v>213</v>
      </c>
      <c r="I1677" s="26" t="str">
        <f t="shared" si="316"/>
        <v>00</v>
      </c>
      <c r="J1677" s="26" t="str">
        <f>"33 "</f>
        <v xml:space="preserve">33 </v>
      </c>
      <c r="K1677" s="26" t="str">
        <f>"EP"</f>
        <v>EP</v>
      </c>
      <c r="L1677" s="26" t="str">
        <f>"DGOSE"</f>
        <v>DGOSE</v>
      </c>
      <c r="M1677" s="26" t="str">
        <f t="shared" si="312"/>
        <v>PARTICULAR</v>
      </c>
      <c r="N1677" s="26">
        <v>14</v>
      </c>
      <c r="O1677" s="26">
        <v>7</v>
      </c>
      <c r="P1677" s="26">
        <v>7</v>
      </c>
      <c r="Q1677" s="26">
        <v>3</v>
      </c>
      <c r="R1677" s="26">
        <v>1</v>
      </c>
      <c r="S1677" s="26">
        <v>2</v>
      </c>
      <c r="T1677" s="26">
        <v>11</v>
      </c>
      <c r="U1677" s="26">
        <v>14</v>
      </c>
      <c r="V1677" s="26">
        <v>1</v>
      </c>
      <c r="W1677" s="26"/>
    </row>
    <row r="1678" spans="1:23" x14ac:dyDescent="0.25">
      <c r="A1678" s="26" t="str">
        <f t="shared" si="315"/>
        <v>PREESCOLAR</v>
      </c>
      <c r="B1678" s="26" t="str">
        <f>"09PJN3150D"</f>
        <v>09PJN3150D</v>
      </c>
      <c r="C1678" s="26" t="str">
        <f>"COLEGIO EL CASTILLO DE VERSALLES                                                                    "</f>
        <v xml:space="preserve">COLEGIO EL CASTILLO DE VERSALLES                                                                    </v>
      </c>
      <c r="D1678" s="26" t="str">
        <f t="shared" si="307"/>
        <v>MATUTINO</v>
      </c>
      <c r="E1678" s="26" t="str">
        <f>"CIRCUITO RIO SAN PEDRO NO. 76                                                   "</f>
        <v xml:space="preserve">CIRCUITO RIO SAN PEDRO NO. 76                                                   </v>
      </c>
      <c r="F1678" s="26" t="str">
        <f>"REAL DEL MORAL                                                                                                                              "</f>
        <v xml:space="preserve">REAL DEL MORAL                                                                                                                              </v>
      </c>
      <c r="G1678" s="26" t="str">
        <f>"IZTAPALAPA                                                                      "</f>
        <v xml:space="preserve">IZTAPALAPA                                                                      </v>
      </c>
      <c r="H1678" s="26" t="str">
        <f>"000"</f>
        <v>000</v>
      </c>
      <c r="I1678" s="26" t="str">
        <f t="shared" si="316"/>
        <v>00</v>
      </c>
      <c r="J1678" s="26" t="str">
        <f>"61 "</f>
        <v xml:space="preserve">61 </v>
      </c>
      <c r="K1678" s="26" t="str">
        <f>"IZ"</f>
        <v>IZ</v>
      </c>
      <c r="L1678" s="26" t="str">
        <f>"DGSEI"</f>
        <v>DGSEI</v>
      </c>
      <c r="M1678" s="26" t="str">
        <f t="shared" si="312"/>
        <v>PARTICULAR</v>
      </c>
      <c r="N1678" s="26">
        <v>38</v>
      </c>
      <c r="O1678" s="26">
        <v>16</v>
      </c>
      <c r="P1678" s="26">
        <v>22</v>
      </c>
      <c r="Q1678" s="26">
        <v>3</v>
      </c>
      <c r="R1678" s="26">
        <v>1</v>
      </c>
      <c r="S1678" s="26">
        <v>3</v>
      </c>
      <c r="T1678" s="26">
        <v>4</v>
      </c>
      <c r="U1678" s="26">
        <v>8</v>
      </c>
      <c r="V1678" s="26">
        <v>1</v>
      </c>
      <c r="W1678" s="26"/>
    </row>
    <row r="1679" spans="1:23" x14ac:dyDescent="0.25">
      <c r="A1679" s="26" t="str">
        <f t="shared" si="315"/>
        <v>PREESCOLAR</v>
      </c>
      <c r="B1679" s="26" t="str">
        <f>"09PJN3159V"</f>
        <v>09PJN3159V</v>
      </c>
      <c r="C1679" s="26" t="str">
        <f>"CENTRO ESCOLAR PAIDOS                                                                               "</f>
        <v xml:space="preserve">CENTRO ESCOLAR PAIDOS                                                                               </v>
      </c>
      <c r="D1679" s="26" t="str">
        <f t="shared" si="307"/>
        <v>MATUTINO</v>
      </c>
      <c r="E1679" s="26" t="str">
        <f>"RETAMA NO. 80                                                                   "</f>
        <v xml:space="preserve">RETAMA NO. 80                                                                   </v>
      </c>
      <c r="F1679" s="26" t="str">
        <f>"TLALPAN                                                                                                                                     "</f>
        <v xml:space="preserve">TLALPAN                                                                                                                                     </v>
      </c>
      <c r="G1679" s="26" t="str">
        <f>"TLALPAN                                                                         "</f>
        <v xml:space="preserve">TLALPAN                                                                         </v>
      </c>
      <c r="H1679" s="26" t="str">
        <f>"132"</f>
        <v>132</v>
      </c>
      <c r="I1679" s="26" t="str">
        <f t="shared" si="316"/>
        <v>00</v>
      </c>
      <c r="J1679" s="26" t="str">
        <f>"35 "</f>
        <v xml:space="preserve">35 </v>
      </c>
      <c r="K1679" s="26" t="str">
        <f>"EP"</f>
        <v>EP</v>
      </c>
      <c r="L1679" s="26" t="str">
        <f>"DGOSE"</f>
        <v>DGOSE</v>
      </c>
      <c r="M1679" s="26" t="str">
        <f t="shared" si="312"/>
        <v>PARTICULAR</v>
      </c>
      <c r="N1679" s="26">
        <v>30</v>
      </c>
      <c r="O1679" s="26">
        <v>17</v>
      </c>
      <c r="P1679" s="26">
        <v>13</v>
      </c>
      <c r="Q1679" s="26">
        <v>3</v>
      </c>
      <c r="R1679" s="26">
        <v>1</v>
      </c>
      <c r="S1679" s="26">
        <v>3</v>
      </c>
      <c r="T1679" s="26">
        <v>9</v>
      </c>
      <c r="U1679" s="26">
        <v>13</v>
      </c>
      <c r="V1679" s="26">
        <v>1</v>
      </c>
      <c r="W1679" s="26"/>
    </row>
    <row r="1680" spans="1:23" x14ac:dyDescent="0.25">
      <c r="A1680" s="26" t="str">
        <f t="shared" si="315"/>
        <v>PREESCOLAR</v>
      </c>
      <c r="B1680" s="26" t="str">
        <f>"09PJN3160K"</f>
        <v>09PJN3160K</v>
      </c>
      <c r="C1680" s="26" t="str">
        <f>"CONTINENTAL LEXINGTON INSTITUTE                                                                     "</f>
        <v xml:space="preserve">CONTINENTAL LEXINGTON INSTITUTE                                                                     </v>
      </c>
      <c r="D1680" s="26" t="str">
        <f t="shared" si="307"/>
        <v>MATUTINO</v>
      </c>
      <c r="E1680" s="26" t="str">
        <f>"HACIENDA DE SAN NICOLAS TOLENTINO NO. 13                                        "</f>
        <v xml:space="preserve">HACIENDA DE SAN NICOLAS TOLENTINO NO. 13                                        </v>
      </c>
      <c r="F1680" s="26" t="str">
        <f>"EJIDOS DE HUIPULCO                                                                                                                          "</f>
        <v xml:space="preserve">EJIDOS DE HUIPULCO                                                                                                                          </v>
      </c>
      <c r="G1680" s="26" t="str">
        <f>"TLALPAN                                                                         "</f>
        <v xml:space="preserve">TLALPAN                                                                         </v>
      </c>
      <c r="H1680" s="26" t="str">
        <f>"276"</f>
        <v>276</v>
      </c>
      <c r="I1680" s="26" t="str">
        <f t="shared" si="316"/>
        <v>00</v>
      </c>
      <c r="J1680" s="26" t="str">
        <f>"35 "</f>
        <v xml:space="preserve">35 </v>
      </c>
      <c r="K1680" s="26" t="str">
        <f>"EP"</f>
        <v>EP</v>
      </c>
      <c r="L1680" s="26" t="str">
        <f>"DGOSE"</f>
        <v>DGOSE</v>
      </c>
      <c r="M1680" s="26" t="str">
        <f t="shared" si="312"/>
        <v>PARTICULAR</v>
      </c>
      <c r="N1680" s="26">
        <v>16</v>
      </c>
      <c r="O1680" s="26">
        <v>6</v>
      </c>
      <c r="P1680" s="26">
        <v>10</v>
      </c>
      <c r="Q1680" s="26">
        <v>3</v>
      </c>
      <c r="R1680" s="26">
        <v>1</v>
      </c>
      <c r="S1680" s="26">
        <v>2</v>
      </c>
      <c r="T1680" s="26">
        <v>4</v>
      </c>
      <c r="U1680" s="26">
        <v>7</v>
      </c>
      <c r="V1680" s="26">
        <v>1</v>
      </c>
      <c r="W1680" s="26"/>
    </row>
    <row r="1681" spans="1:23" x14ac:dyDescent="0.25">
      <c r="A1681" s="26" t="str">
        <f t="shared" si="315"/>
        <v>PREESCOLAR</v>
      </c>
      <c r="B1681" s="26" t="str">
        <f>"09PJN3161J"</f>
        <v>09PJN3161J</v>
      </c>
      <c r="C1681" s="26" t="str">
        <f>"TLALTENANGO                                                                                         "</f>
        <v xml:space="preserve">TLALTENANGO                                                                                         </v>
      </c>
      <c r="D1681" s="26" t="str">
        <f t="shared" si="307"/>
        <v>MATUTINO</v>
      </c>
      <c r="E1681" s="26" t="str">
        <f>"JUAREZ No. 20                                                                   "</f>
        <v xml:space="preserve">JUAREZ No. 20                                                                   </v>
      </c>
      <c r="F1681" s="26" t="str">
        <f>"SAN MATEO TLALTENANGO                                                                                                                       "</f>
        <v xml:space="preserve">SAN MATEO TLALTENANGO                                                                                                                       </v>
      </c>
      <c r="G1681" s="26" t="str">
        <f>"CUAJIMALPA DE MORELOS                                                           "</f>
        <v xml:space="preserve">CUAJIMALPA DE MORELOS                                                           </v>
      </c>
      <c r="H1681" s="26" t="str">
        <f>"213"</f>
        <v>213</v>
      </c>
      <c r="I1681" s="26" t="str">
        <f t="shared" si="316"/>
        <v>00</v>
      </c>
      <c r="J1681" s="26" t="str">
        <f>"33 "</f>
        <v xml:space="preserve">33 </v>
      </c>
      <c r="K1681" s="26" t="str">
        <f>"EP"</f>
        <v>EP</v>
      </c>
      <c r="L1681" s="26" t="str">
        <f>"DGOSE"</f>
        <v>DGOSE</v>
      </c>
      <c r="M1681" s="26" t="str">
        <f t="shared" si="312"/>
        <v>PARTICULAR</v>
      </c>
      <c r="N1681" s="26">
        <v>36</v>
      </c>
      <c r="O1681" s="26">
        <v>20</v>
      </c>
      <c r="P1681" s="26">
        <v>16</v>
      </c>
      <c r="Q1681" s="26">
        <v>3</v>
      </c>
      <c r="R1681" s="26">
        <v>1</v>
      </c>
      <c r="S1681" s="26">
        <v>3</v>
      </c>
      <c r="T1681" s="26">
        <v>1</v>
      </c>
      <c r="U1681" s="26">
        <v>5</v>
      </c>
      <c r="V1681" s="26">
        <v>1</v>
      </c>
      <c r="W1681" s="26"/>
    </row>
    <row r="1682" spans="1:23" x14ac:dyDescent="0.25">
      <c r="A1682" s="26" t="str">
        <f t="shared" si="315"/>
        <v>PREESCOLAR</v>
      </c>
      <c r="B1682" s="26" t="str">
        <f>"09PJN3166E"</f>
        <v>09PJN3166E</v>
      </c>
      <c r="C1682" s="26" t="str">
        <f>"INSTITUTO DE LOS NIÑOS                                                                              "</f>
        <v xml:space="preserve">INSTITUTO DE LOS NIÑOS                                                                              </v>
      </c>
      <c r="D1682" s="26" t="str">
        <f t="shared" si="307"/>
        <v>MATUTINO</v>
      </c>
      <c r="E1682" s="26" t="str">
        <f>"AMADO NERVO No. 70                                                              "</f>
        <v xml:space="preserve">AMADO NERVO No. 70                                                              </v>
      </c>
      <c r="F1682" s="26" t="str">
        <f>"MODERNA                                                                                                                                     "</f>
        <v xml:space="preserve">MODERNA                                                                                                                                     </v>
      </c>
      <c r="G1682" s="26" t="str">
        <f>"BENITO JUAREZ                                                                   "</f>
        <v xml:space="preserve">BENITO JUAREZ                                                                   </v>
      </c>
      <c r="H1682" s="26" t="str">
        <f>"090"</f>
        <v>090</v>
      </c>
      <c r="I1682" s="26" t="str">
        <f t="shared" si="316"/>
        <v>00</v>
      </c>
      <c r="J1682" s="26" t="str">
        <f>"33 "</f>
        <v xml:space="preserve">33 </v>
      </c>
      <c r="K1682" s="26" t="str">
        <f>"EP"</f>
        <v>EP</v>
      </c>
      <c r="L1682" s="26" t="str">
        <f>"DGOSE"</f>
        <v>DGOSE</v>
      </c>
      <c r="M1682" s="26" t="str">
        <f t="shared" si="312"/>
        <v>PARTICULAR</v>
      </c>
      <c r="N1682" s="26">
        <v>24</v>
      </c>
      <c r="O1682" s="26">
        <v>12</v>
      </c>
      <c r="P1682" s="26">
        <v>12</v>
      </c>
      <c r="Q1682" s="26">
        <v>3</v>
      </c>
      <c r="R1682" s="26">
        <v>1</v>
      </c>
      <c r="S1682" s="26">
        <v>3</v>
      </c>
      <c r="T1682" s="26">
        <v>6</v>
      </c>
      <c r="U1682" s="26">
        <v>10</v>
      </c>
      <c r="V1682" s="26">
        <v>1</v>
      </c>
      <c r="W1682" s="26"/>
    </row>
    <row r="1683" spans="1:23" x14ac:dyDescent="0.25">
      <c r="A1683" s="26" t="str">
        <f t="shared" si="315"/>
        <v>PREESCOLAR</v>
      </c>
      <c r="B1683" s="26" t="str">
        <f>"09PJN3181X"</f>
        <v>09PJN3181X</v>
      </c>
      <c r="C1683" s="26" t="str">
        <f>"YUM KAX                                                                                             "</f>
        <v xml:space="preserve">YUM KAX                                                                                             </v>
      </c>
      <c r="D1683" s="26" t="str">
        <f t="shared" si="307"/>
        <v>MATUTINO</v>
      </c>
      <c r="E1683" s="26" t="str">
        <f>"INGENIEROS QUIMICOS MZ. 12  LT . 31                                             "</f>
        <v xml:space="preserve">INGENIEROS QUIMICOS MZ. 12  LT . 31                                             </v>
      </c>
      <c r="F1683" s="26" t="str">
        <f>"NUEVA ROSITA                                                                                                                                "</f>
        <v xml:space="preserve">NUEVA ROSITA                                                                                                                                </v>
      </c>
      <c r="G1683" s="26" t="str">
        <f>"IZTAPALAPA                                                                      "</f>
        <v xml:space="preserve">IZTAPALAPA                                                                      </v>
      </c>
      <c r="H1683" s="26" t="str">
        <f>"000"</f>
        <v>000</v>
      </c>
      <c r="I1683" s="26" t="str">
        <f t="shared" si="316"/>
        <v>00</v>
      </c>
      <c r="J1683" s="26" t="str">
        <f>"61 "</f>
        <v xml:space="preserve">61 </v>
      </c>
      <c r="K1683" s="26" t="str">
        <f>"IZ"</f>
        <v>IZ</v>
      </c>
      <c r="L1683" s="26" t="str">
        <f>"DGSEI"</f>
        <v>DGSEI</v>
      </c>
      <c r="M1683" s="26" t="str">
        <f t="shared" si="312"/>
        <v>PARTICULAR</v>
      </c>
      <c r="N1683" s="26">
        <v>44</v>
      </c>
      <c r="O1683" s="26">
        <v>23</v>
      </c>
      <c r="P1683" s="26">
        <v>21</v>
      </c>
      <c r="Q1683" s="26">
        <v>3</v>
      </c>
      <c r="R1683" s="26">
        <v>1</v>
      </c>
      <c r="S1683" s="26">
        <v>2</v>
      </c>
      <c r="T1683" s="26">
        <v>0</v>
      </c>
      <c r="U1683" s="26">
        <v>3</v>
      </c>
      <c r="V1683" s="26">
        <v>1</v>
      </c>
      <c r="W1683" s="26"/>
    </row>
    <row r="1684" spans="1:23" x14ac:dyDescent="0.25">
      <c r="A1684" s="26" t="str">
        <f t="shared" si="315"/>
        <v>PREESCOLAR</v>
      </c>
      <c r="B1684" s="26" t="str">
        <f>"09PJN3188Q"</f>
        <v>09PJN3188Q</v>
      </c>
      <c r="C1684" s="26" t="str">
        <f>"APRENDIENDO CON EL GRILLITO                                                                         "</f>
        <v xml:space="preserve">APRENDIENDO CON EL GRILLITO                                                                         </v>
      </c>
      <c r="D1684" s="26" t="str">
        <f t="shared" si="307"/>
        <v>MATUTINO</v>
      </c>
      <c r="E1684" s="26" t="str">
        <f>"AV. MINAS MZ. 58 LT. 13                                                         "</f>
        <v xml:space="preserve">AV. MINAS MZ. 58 LT. 13                                                         </v>
      </c>
      <c r="F1684" s="26" t="str">
        <f>"XALPA                                                                                                                                       "</f>
        <v xml:space="preserve">XALPA                                                                                                                                       </v>
      </c>
      <c r="G1684" s="26" t="str">
        <f>"IZTAPALAPA                                                                      "</f>
        <v xml:space="preserve">IZTAPALAPA                                                                      </v>
      </c>
      <c r="H1684" s="26" t="str">
        <f>"000"</f>
        <v>000</v>
      </c>
      <c r="I1684" s="26" t="str">
        <f t="shared" si="316"/>
        <v>00</v>
      </c>
      <c r="J1684" s="26" t="str">
        <f>"64 "</f>
        <v xml:space="preserve">64 </v>
      </c>
      <c r="K1684" s="26" t="str">
        <f>"IZ"</f>
        <v>IZ</v>
      </c>
      <c r="L1684" s="26" t="str">
        <f>"DGSEI"</f>
        <v>DGSEI</v>
      </c>
      <c r="M1684" s="26" t="str">
        <f t="shared" si="312"/>
        <v>PARTICULAR</v>
      </c>
      <c r="N1684" s="26">
        <v>23</v>
      </c>
      <c r="O1684" s="26">
        <v>16</v>
      </c>
      <c r="P1684" s="26">
        <v>7</v>
      </c>
      <c r="Q1684" s="26">
        <v>2</v>
      </c>
      <c r="R1684" s="26">
        <v>1</v>
      </c>
      <c r="S1684" s="26">
        <v>2</v>
      </c>
      <c r="T1684" s="26">
        <v>1</v>
      </c>
      <c r="U1684" s="26">
        <v>4</v>
      </c>
      <c r="V1684" s="26">
        <v>1</v>
      </c>
      <c r="W1684" s="26"/>
    </row>
    <row r="1685" spans="1:23" x14ac:dyDescent="0.25">
      <c r="A1685" s="26" t="str">
        <f t="shared" si="315"/>
        <v>PREESCOLAR</v>
      </c>
      <c r="B1685" s="26" t="str">
        <f>"09PJN3190E"</f>
        <v>09PJN3190E</v>
      </c>
      <c r="C1685" s="26" t="str">
        <f>"JARDÍN DE NIÑOS ROSIERY                                                                             "</f>
        <v xml:space="preserve">JARDÍN DE NIÑOS ROSIERY                                                                             </v>
      </c>
      <c r="D1685" s="26" t="str">
        <f t="shared" si="307"/>
        <v>MATUTINO</v>
      </c>
      <c r="E1685" s="26" t="str">
        <f>"AV. ACOXPA AND. 5 ENT. 3 CASA 3                                                 "</f>
        <v xml:space="preserve">AV. ACOXPA AND. 5 ENT. 3 CASA 3                                                 </v>
      </c>
      <c r="F1685" s="26" t="str">
        <f>"VILLA COAPA                                                                                                                                 "</f>
        <v xml:space="preserve">VILLA COAPA                                                                                                                                 </v>
      </c>
      <c r="G1685" s="26" t="str">
        <f>"TLALPAN                                                                         "</f>
        <v xml:space="preserve">TLALPAN                                                                         </v>
      </c>
      <c r="H1685" s="26" t="str">
        <f>"276"</f>
        <v>276</v>
      </c>
      <c r="I1685" s="26" t="str">
        <f t="shared" si="316"/>
        <v>00</v>
      </c>
      <c r="J1685" s="26" t="str">
        <f>"35 "</f>
        <v xml:space="preserve">35 </v>
      </c>
      <c r="K1685" s="26" t="str">
        <f t="shared" ref="K1685:K1743" si="317">"EP"</f>
        <v>EP</v>
      </c>
      <c r="L1685" s="26" t="str">
        <f t="shared" ref="L1685:L1743" si="318">"DGOSE"</f>
        <v>DGOSE</v>
      </c>
      <c r="M1685" s="26" t="str">
        <f t="shared" si="312"/>
        <v>PARTICULAR</v>
      </c>
      <c r="N1685" s="26">
        <v>6</v>
      </c>
      <c r="O1685" s="26">
        <v>2</v>
      </c>
      <c r="P1685" s="26">
        <v>4</v>
      </c>
      <c r="Q1685" s="26">
        <v>2</v>
      </c>
      <c r="R1685" s="26">
        <v>1</v>
      </c>
      <c r="S1685" s="26">
        <v>2</v>
      </c>
      <c r="T1685" s="26">
        <v>0</v>
      </c>
      <c r="U1685" s="26">
        <v>3</v>
      </c>
      <c r="V1685" s="26">
        <v>1</v>
      </c>
      <c r="W1685" s="26"/>
    </row>
    <row r="1686" spans="1:23" x14ac:dyDescent="0.25">
      <c r="A1686" s="26" t="str">
        <f t="shared" si="315"/>
        <v>PREESCOLAR</v>
      </c>
      <c r="B1686" s="26" t="str">
        <f>"09PJN3194A"</f>
        <v>09PJN3194A</v>
      </c>
      <c r="C1686" s="26" t="str">
        <f>"AKETZALI                                                                                            "</f>
        <v xml:space="preserve">AKETZALI                                                                                            </v>
      </c>
      <c r="D1686" s="26" t="str">
        <f t="shared" si="307"/>
        <v>MATUTINO</v>
      </c>
      <c r="E1686" s="26" t="str">
        <f>"CALLE 1 No. 12                                                                  "</f>
        <v xml:space="preserve">CALLE 1 No. 12                                                                  </v>
      </c>
      <c r="F1686" s="26" t="str">
        <f>"HERON PROAL                                                                                                                                 "</f>
        <v xml:space="preserve">HERON PROAL                                                                                                                                 </v>
      </c>
      <c r="G1686" s="26" t="str">
        <f>"ALVARO OBREGON                                                                  "</f>
        <v xml:space="preserve">ALVARO OBREGON                                                                  </v>
      </c>
      <c r="H1686" s="26" t="str">
        <f>"046"</f>
        <v>046</v>
      </c>
      <c r="I1686" s="26" t="str">
        <f t="shared" si="316"/>
        <v>00</v>
      </c>
      <c r="J1686" s="26" t="str">
        <f>"33 "</f>
        <v xml:space="preserve">33 </v>
      </c>
      <c r="K1686" s="26" t="str">
        <f t="shared" si="317"/>
        <v>EP</v>
      </c>
      <c r="L1686" s="26" t="str">
        <f t="shared" si="318"/>
        <v>DGOSE</v>
      </c>
      <c r="M1686" s="26" t="str">
        <f t="shared" si="312"/>
        <v>PARTICULAR</v>
      </c>
      <c r="N1686" s="26">
        <v>45</v>
      </c>
      <c r="O1686" s="26">
        <v>30</v>
      </c>
      <c r="P1686" s="26">
        <v>15</v>
      </c>
      <c r="Q1686" s="26">
        <v>3</v>
      </c>
      <c r="R1686" s="26">
        <v>1</v>
      </c>
      <c r="S1686" s="26">
        <v>2</v>
      </c>
      <c r="T1686" s="26">
        <v>4</v>
      </c>
      <c r="U1686" s="26">
        <v>7</v>
      </c>
      <c r="V1686" s="26">
        <v>1</v>
      </c>
      <c r="W1686" s="26"/>
    </row>
    <row r="1687" spans="1:23" x14ac:dyDescent="0.25">
      <c r="A1687" s="26" t="str">
        <f t="shared" si="315"/>
        <v>PREESCOLAR</v>
      </c>
      <c r="B1687" s="26" t="str">
        <f>"09PJN3199W"</f>
        <v>09PJN3199W</v>
      </c>
      <c r="C1687" s="26" t="str">
        <f>"JARDÍN DE NIÑOS ALI                                                                                 "</f>
        <v xml:space="preserve">JARDÍN DE NIÑOS ALI                                                                                 </v>
      </c>
      <c r="D1687" s="26" t="str">
        <f t="shared" si="307"/>
        <v>MATUTINO</v>
      </c>
      <c r="E1687" s="26" t="str">
        <f>"ROSAL NO. 56                                                                    "</f>
        <v xml:space="preserve">ROSAL NO. 56                                                                    </v>
      </c>
      <c r="F1687" s="26" t="str">
        <f>"PUEBLO NUEVO BAJO                                                                                                                           "</f>
        <v xml:space="preserve">PUEBLO NUEVO BAJO                                                                                                                           </v>
      </c>
      <c r="G1687" s="26" t="str">
        <f>"LA MAGDALENA CONTRERAS                                                          "</f>
        <v xml:space="preserve">LA MAGDALENA CONTRERAS                                                          </v>
      </c>
      <c r="H1687" s="26" t="str">
        <f>"066"</f>
        <v>066</v>
      </c>
      <c r="I1687" s="26" t="str">
        <f t="shared" si="316"/>
        <v>00</v>
      </c>
      <c r="J1687" s="26" t="str">
        <f>"35 "</f>
        <v xml:space="preserve">35 </v>
      </c>
      <c r="K1687" s="26" t="str">
        <f t="shared" si="317"/>
        <v>EP</v>
      </c>
      <c r="L1687" s="26" t="str">
        <f t="shared" si="318"/>
        <v>DGOSE</v>
      </c>
      <c r="M1687" s="26" t="str">
        <f t="shared" si="312"/>
        <v>PARTICULAR</v>
      </c>
      <c r="N1687" s="26">
        <v>47</v>
      </c>
      <c r="O1687" s="26">
        <v>17</v>
      </c>
      <c r="P1687" s="26">
        <v>30</v>
      </c>
      <c r="Q1687" s="26">
        <v>3</v>
      </c>
      <c r="R1687" s="26">
        <v>1</v>
      </c>
      <c r="S1687" s="26">
        <v>3</v>
      </c>
      <c r="T1687" s="26">
        <v>2</v>
      </c>
      <c r="U1687" s="26">
        <v>6</v>
      </c>
      <c r="V1687" s="26">
        <v>1</v>
      </c>
      <c r="W1687" s="26"/>
    </row>
    <row r="1688" spans="1:23" x14ac:dyDescent="0.25">
      <c r="A1688" s="26" t="str">
        <f t="shared" si="315"/>
        <v>PREESCOLAR</v>
      </c>
      <c r="B1688" s="26" t="str">
        <f>"09PJN3204R"</f>
        <v>09PJN3204R</v>
      </c>
      <c r="C1688" s="26" t="str">
        <f>"AKETZALLI                                                                                           "</f>
        <v xml:space="preserve">AKETZALLI                                                                                           </v>
      </c>
      <c r="D1688" s="26" t="str">
        <f t="shared" si="307"/>
        <v>MATUTINO</v>
      </c>
      <c r="E1688" s="26" t="str">
        <f>"ROSA CHINA NO. 34                                                               "</f>
        <v xml:space="preserve">ROSA CHINA NO. 34                                                               </v>
      </c>
      <c r="F1688" s="26" t="str">
        <f>"MOLINO DE ROSAS                                                                                                                             "</f>
        <v xml:space="preserve">MOLINO DE ROSAS                                                                                                                             </v>
      </c>
      <c r="G1688" s="26" t="str">
        <f>"ALVARO OBREGON                                                                  "</f>
        <v xml:space="preserve">ALVARO OBREGON                                                                  </v>
      </c>
      <c r="H1688" s="26" t="str">
        <f>"165"</f>
        <v>165</v>
      </c>
      <c r="I1688" s="26" t="str">
        <f t="shared" si="316"/>
        <v>00</v>
      </c>
      <c r="J1688" s="26" t="str">
        <f>"33 "</f>
        <v xml:space="preserve">33 </v>
      </c>
      <c r="K1688" s="26" t="str">
        <f t="shared" si="317"/>
        <v>EP</v>
      </c>
      <c r="L1688" s="26" t="str">
        <f t="shared" si="318"/>
        <v>DGOSE</v>
      </c>
      <c r="M1688" s="26" t="str">
        <f t="shared" si="312"/>
        <v>PARTICULAR</v>
      </c>
      <c r="N1688" s="26">
        <v>41</v>
      </c>
      <c r="O1688" s="26">
        <v>21</v>
      </c>
      <c r="P1688" s="26">
        <v>20</v>
      </c>
      <c r="Q1688" s="26">
        <v>3</v>
      </c>
      <c r="R1688" s="26">
        <v>1</v>
      </c>
      <c r="S1688" s="26">
        <v>3</v>
      </c>
      <c r="T1688" s="26">
        <v>2</v>
      </c>
      <c r="U1688" s="26">
        <v>6</v>
      </c>
      <c r="V1688" s="26">
        <v>1</v>
      </c>
      <c r="W1688" s="26"/>
    </row>
    <row r="1689" spans="1:23" x14ac:dyDescent="0.25">
      <c r="A1689" s="26" t="str">
        <f t="shared" si="315"/>
        <v>PREESCOLAR</v>
      </c>
      <c r="B1689" s="26" t="str">
        <f>"09PJN3207O"</f>
        <v>09PJN3207O</v>
      </c>
      <c r="C1689" s="26" t="str">
        <f>"JARDÍN DE NIÑOS BETTY                                                                               "</f>
        <v xml:space="preserve">JARDÍN DE NIÑOS BETTY                                                                               </v>
      </c>
      <c r="D1689" s="26" t="str">
        <f t="shared" si="307"/>
        <v>MATUTINO</v>
      </c>
      <c r="E1689" s="26" t="str">
        <f>"TLACOTALPAN NO. 130                                                             "</f>
        <v xml:space="preserve">TLACOTALPAN NO. 130                                                             </v>
      </c>
      <c r="F1689" s="26" t="str">
        <f>"ROMA SUR                                                                                                                                    "</f>
        <v xml:space="preserve">ROMA SUR                                                                                                                                    </v>
      </c>
      <c r="G1689" s="26" t="s">
        <v>4128</v>
      </c>
      <c r="H1689" s="26" t="str">
        <f>"020"</f>
        <v>020</v>
      </c>
      <c r="I1689" s="26" t="str">
        <f t="shared" si="316"/>
        <v>00</v>
      </c>
      <c r="J1689" s="26" t="str">
        <f>"32 "</f>
        <v xml:space="preserve">32 </v>
      </c>
      <c r="K1689" s="26" t="str">
        <f t="shared" si="317"/>
        <v>EP</v>
      </c>
      <c r="L1689" s="26" t="str">
        <f t="shared" si="318"/>
        <v>DGOSE</v>
      </c>
      <c r="M1689" s="26" t="str">
        <f t="shared" si="312"/>
        <v>PARTICULAR</v>
      </c>
      <c r="N1689" s="26">
        <v>21</v>
      </c>
      <c r="O1689" s="26">
        <v>9</v>
      </c>
      <c r="P1689" s="26">
        <v>12</v>
      </c>
      <c r="Q1689" s="26">
        <v>3</v>
      </c>
      <c r="R1689" s="26">
        <v>1</v>
      </c>
      <c r="S1689" s="26">
        <v>3</v>
      </c>
      <c r="T1689" s="26">
        <v>7</v>
      </c>
      <c r="U1689" s="26">
        <v>11</v>
      </c>
      <c r="V1689" s="26">
        <v>1</v>
      </c>
      <c r="W1689" s="26"/>
    </row>
    <row r="1690" spans="1:23" x14ac:dyDescent="0.25">
      <c r="A1690" s="26" t="str">
        <f t="shared" si="315"/>
        <v>PREESCOLAR</v>
      </c>
      <c r="B1690" s="26" t="str">
        <f>"09PJN3210B"</f>
        <v>09PJN3210B</v>
      </c>
      <c r="C1690" s="26" t="str">
        <f>"CARROLL LEWIS                                                                                       "</f>
        <v xml:space="preserve">CARROLL LEWIS                                                                                       </v>
      </c>
      <c r="D1690" s="26" t="str">
        <f t="shared" si="307"/>
        <v>MATUTINO</v>
      </c>
      <c r="E1690" s="26" t="str">
        <f>"EMILIANO ZAPATA NO. 29                                                          "</f>
        <v xml:space="preserve">EMILIANO ZAPATA NO. 29                                                          </v>
      </c>
      <c r="F1690" s="26" t="str">
        <f>"SANTA CATARINA AMPLIACION                                                                                                                   "</f>
        <v xml:space="preserve">SANTA CATARINA AMPLIACION                                                                                                                   </v>
      </c>
      <c r="G1690" s="26" t="str">
        <f>"TLAHUAC                                                                         "</f>
        <v xml:space="preserve">TLAHUAC                                                                         </v>
      </c>
      <c r="H1690" s="26" t="str">
        <f>"223"</f>
        <v>223</v>
      </c>
      <c r="I1690" s="26" t="str">
        <f t="shared" si="316"/>
        <v>00</v>
      </c>
      <c r="J1690" s="26" t="str">
        <f>"35 "</f>
        <v xml:space="preserve">35 </v>
      </c>
      <c r="K1690" s="26" t="str">
        <f t="shared" si="317"/>
        <v>EP</v>
      </c>
      <c r="L1690" s="26" t="str">
        <f t="shared" si="318"/>
        <v>DGOSE</v>
      </c>
      <c r="M1690" s="26" t="str">
        <f t="shared" si="312"/>
        <v>PARTICULAR</v>
      </c>
      <c r="N1690" s="26">
        <v>25</v>
      </c>
      <c r="O1690" s="26">
        <v>16</v>
      </c>
      <c r="P1690" s="26">
        <v>9</v>
      </c>
      <c r="Q1690" s="26">
        <v>2</v>
      </c>
      <c r="R1690" s="26">
        <v>1</v>
      </c>
      <c r="S1690" s="26">
        <v>2</v>
      </c>
      <c r="T1690" s="26">
        <v>0</v>
      </c>
      <c r="U1690" s="26">
        <v>3</v>
      </c>
      <c r="V1690" s="26">
        <v>1</v>
      </c>
      <c r="W1690" s="26"/>
    </row>
    <row r="1691" spans="1:23" x14ac:dyDescent="0.25">
      <c r="A1691" s="26" t="str">
        <f t="shared" si="315"/>
        <v>PREESCOLAR</v>
      </c>
      <c r="B1691" s="26" t="str">
        <f>"09PJN3212Z"</f>
        <v>09PJN3212Z</v>
      </c>
      <c r="C1691" s="26" t="str">
        <f>"JARDÍN DE NIÑOS CANDY LAND                                                                          "</f>
        <v xml:space="preserve">JARDÍN DE NIÑOS CANDY LAND                                                                          </v>
      </c>
      <c r="D1691" s="26" t="str">
        <f t="shared" si="307"/>
        <v>MATUTINO</v>
      </c>
      <c r="E1691" s="26" t="str">
        <f>"ALMACENES NO.112 P.B. EDIFICIO QUERETARO                                        "</f>
        <v xml:space="preserve">ALMACENES NO.112 P.B. EDIFICIO QUERETARO                                        </v>
      </c>
      <c r="F1691" s="26" t="str">
        <f>"UNIDAD NONOALCO TLATELOLCO                                                                                                                  "</f>
        <v xml:space="preserve">UNIDAD NONOALCO TLATELOLCO                                                                                                                  </v>
      </c>
      <c r="G1691" s="26" t="s">
        <v>4128</v>
      </c>
      <c r="H1691" s="26" t="str">
        <f>"057"</f>
        <v>057</v>
      </c>
      <c r="I1691" s="26" t="str">
        <f t="shared" si="316"/>
        <v>00</v>
      </c>
      <c r="J1691" s="26" t="str">
        <f>"32 "</f>
        <v xml:space="preserve">32 </v>
      </c>
      <c r="K1691" s="26" t="str">
        <f t="shared" si="317"/>
        <v>EP</v>
      </c>
      <c r="L1691" s="26" t="str">
        <f t="shared" si="318"/>
        <v>DGOSE</v>
      </c>
      <c r="M1691" s="26" t="str">
        <f t="shared" si="312"/>
        <v>PARTICULAR</v>
      </c>
      <c r="N1691" s="26">
        <v>51</v>
      </c>
      <c r="O1691" s="26">
        <v>28</v>
      </c>
      <c r="P1691" s="26">
        <v>23</v>
      </c>
      <c r="Q1691" s="26">
        <v>3</v>
      </c>
      <c r="R1691" s="26">
        <v>1</v>
      </c>
      <c r="S1691" s="26">
        <v>3</v>
      </c>
      <c r="T1691" s="26">
        <v>3</v>
      </c>
      <c r="U1691" s="26">
        <v>7</v>
      </c>
      <c r="V1691" s="26">
        <v>1</v>
      </c>
      <c r="W1691" s="26"/>
    </row>
    <row r="1692" spans="1:23" x14ac:dyDescent="0.25">
      <c r="A1692" s="26" t="str">
        <f t="shared" si="315"/>
        <v>PREESCOLAR</v>
      </c>
      <c r="B1692" s="26" t="str">
        <f>"09PJN3219T"</f>
        <v>09PJN3219T</v>
      </c>
      <c r="C1692" s="26" t="str">
        <f>"CENTRO CULTURAL MONTESSORI                                                                          "</f>
        <v xml:space="preserve">CENTRO CULTURAL MONTESSORI                                                                          </v>
      </c>
      <c r="D1692" s="26" t="str">
        <f t="shared" si="307"/>
        <v>MATUTINO</v>
      </c>
      <c r="E1692" s="26" t="str">
        <f>"INSURGENTES SUR NO. 4004                                                        "</f>
        <v xml:space="preserve">INSURGENTES SUR NO. 4004                                                        </v>
      </c>
      <c r="F1692" s="26" t="str">
        <f>"TLALPAN                                                                                                                                     "</f>
        <v xml:space="preserve">TLALPAN                                                                                                                                     </v>
      </c>
      <c r="G1692" s="26" t="str">
        <f>"TLALPAN                                                                         "</f>
        <v xml:space="preserve">TLALPAN                                                                         </v>
      </c>
      <c r="H1692" s="26" t="str">
        <f>"051"</f>
        <v>051</v>
      </c>
      <c r="I1692" s="26" t="str">
        <f t="shared" si="316"/>
        <v>00</v>
      </c>
      <c r="J1692" s="26" t="str">
        <f>"35 "</f>
        <v xml:space="preserve">35 </v>
      </c>
      <c r="K1692" s="26" t="str">
        <f t="shared" si="317"/>
        <v>EP</v>
      </c>
      <c r="L1692" s="26" t="str">
        <f t="shared" si="318"/>
        <v>DGOSE</v>
      </c>
      <c r="M1692" s="26" t="str">
        <f t="shared" si="312"/>
        <v>PARTICULAR</v>
      </c>
      <c r="N1692" s="26">
        <v>22</v>
      </c>
      <c r="O1692" s="26">
        <v>13</v>
      </c>
      <c r="P1692" s="26">
        <v>9</v>
      </c>
      <c r="Q1692" s="26">
        <v>3</v>
      </c>
      <c r="R1692" s="26">
        <v>1</v>
      </c>
      <c r="S1692" s="26">
        <v>2</v>
      </c>
      <c r="T1692" s="26">
        <v>3</v>
      </c>
      <c r="U1692" s="26">
        <v>6</v>
      </c>
      <c r="V1692" s="26">
        <v>1</v>
      </c>
      <c r="W1692" s="26"/>
    </row>
    <row r="1693" spans="1:23" x14ac:dyDescent="0.25">
      <c r="A1693" s="26" t="str">
        <f t="shared" si="315"/>
        <v>PREESCOLAR</v>
      </c>
      <c r="B1693" s="26" t="str">
        <f>"09PJN3220I"</f>
        <v>09PJN3220I</v>
      </c>
      <c r="C1693" s="26" t="str">
        <f>"CENTRO DE EDUCACIÓN PERSONALIZADA                                                                   "</f>
        <v xml:space="preserve">CENTRO DE EDUCACIÓN PERSONALIZADA                                                                   </v>
      </c>
      <c r="D1693" s="26" t="str">
        <f t="shared" si="307"/>
        <v>MATUTINO</v>
      </c>
      <c r="E1693" s="26" t="str">
        <f>"TEZOQUIPA NO. 26                                                                "</f>
        <v xml:space="preserve">TEZOQUIPA NO. 26                                                                </v>
      </c>
      <c r="F1693" s="26" t="str">
        <f>"LA JOYA                                                                                                                                     "</f>
        <v xml:space="preserve">LA JOYA                                                                                                                                     </v>
      </c>
      <c r="G1693" s="26" t="str">
        <f>"TLALPAN                                                                         "</f>
        <v xml:space="preserve">TLALPAN                                                                         </v>
      </c>
      <c r="H1693" s="26" t="str">
        <f>"132"</f>
        <v>132</v>
      </c>
      <c r="I1693" s="26" t="str">
        <f t="shared" si="316"/>
        <v>00</v>
      </c>
      <c r="J1693" s="26" t="str">
        <f>"35 "</f>
        <v xml:space="preserve">35 </v>
      </c>
      <c r="K1693" s="26" t="str">
        <f t="shared" si="317"/>
        <v>EP</v>
      </c>
      <c r="L1693" s="26" t="str">
        <f t="shared" si="318"/>
        <v>DGOSE</v>
      </c>
      <c r="M1693" s="26" t="str">
        <f t="shared" si="312"/>
        <v>PARTICULAR</v>
      </c>
      <c r="N1693" s="26">
        <v>16</v>
      </c>
      <c r="O1693" s="26">
        <v>12</v>
      </c>
      <c r="P1693" s="26">
        <v>4</v>
      </c>
      <c r="Q1693" s="26">
        <v>3</v>
      </c>
      <c r="R1693" s="26">
        <v>1</v>
      </c>
      <c r="S1693" s="26">
        <v>2</v>
      </c>
      <c r="T1693" s="26">
        <v>5</v>
      </c>
      <c r="U1693" s="26">
        <v>8</v>
      </c>
      <c r="V1693" s="26">
        <v>1</v>
      </c>
      <c r="W1693" s="26"/>
    </row>
    <row r="1694" spans="1:23" x14ac:dyDescent="0.25">
      <c r="A1694" s="26" t="str">
        <f t="shared" si="315"/>
        <v>PREESCOLAR</v>
      </c>
      <c r="B1694" s="26" t="str">
        <f>"09PJN3222G"</f>
        <v>09PJN3222G</v>
      </c>
      <c r="C1694" s="26" t="str">
        <f>"JARDIN DE NIÑOS JEAN PIAGET                                                                         "</f>
        <v xml:space="preserve">JARDIN DE NIÑOS JEAN PIAGET                                                                         </v>
      </c>
      <c r="D1694" s="26" t="str">
        <f t="shared" si="307"/>
        <v>MATUTINO</v>
      </c>
      <c r="E1694" s="26" t="str">
        <f>"MAR DE LOS VAPORES MZA. 201 LT. 11                                              "</f>
        <v xml:space="preserve">MAR DE LOS VAPORES MZA. 201 LT. 11                                              </v>
      </c>
      <c r="F1694" s="26" t="str">
        <f>"SELENE AMPLIACION                                                                                                                           "</f>
        <v xml:space="preserve">SELENE AMPLIACION                                                                                                                           </v>
      </c>
      <c r="G1694" s="26" t="str">
        <f>"TLAHUAC                                                                         "</f>
        <v xml:space="preserve">TLAHUAC                                                                         </v>
      </c>
      <c r="H1694" s="26" t="str">
        <f>"223"</f>
        <v>223</v>
      </c>
      <c r="I1694" s="26" t="str">
        <f t="shared" si="316"/>
        <v>00</v>
      </c>
      <c r="J1694" s="26" t="str">
        <f>"35 "</f>
        <v xml:space="preserve">35 </v>
      </c>
      <c r="K1694" s="26" t="str">
        <f t="shared" si="317"/>
        <v>EP</v>
      </c>
      <c r="L1694" s="26" t="str">
        <f t="shared" si="318"/>
        <v>DGOSE</v>
      </c>
      <c r="M1694" s="26" t="str">
        <f t="shared" si="312"/>
        <v>PARTICULAR</v>
      </c>
      <c r="N1694" s="26">
        <v>10</v>
      </c>
      <c r="O1694" s="26">
        <v>5</v>
      </c>
      <c r="P1694" s="26">
        <v>5</v>
      </c>
      <c r="Q1694" s="26">
        <v>2</v>
      </c>
      <c r="R1694" s="26">
        <v>1</v>
      </c>
      <c r="S1694" s="26">
        <v>2</v>
      </c>
      <c r="T1694" s="26">
        <v>0</v>
      </c>
      <c r="U1694" s="26">
        <v>3</v>
      </c>
      <c r="V1694" s="26">
        <v>1</v>
      </c>
      <c r="W1694" s="26"/>
    </row>
    <row r="1695" spans="1:23" x14ac:dyDescent="0.25">
      <c r="A1695" s="26" t="str">
        <f t="shared" si="315"/>
        <v>PREESCOLAR</v>
      </c>
      <c r="B1695" s="26" t="str">
        <f>"09PJN3230P"</f>
        <v>09PJN3230P</v>
      </c>
      <c r="C1695" s="26" t="str">
        <f>"CIRCULO INFANTIL PERSONALIZADO                                                                      "</f>
        <v xml:space="preserve">CIRCULO INFANTIL PERSONALIZADO                                                                      </v>
      </c>
      <c r="D1695" s="26" t="str">
        <f t="shared" si="307"/>
        <v>MATUTINO</v>
      </c>
      <c r="E1695" s="26" t="str">
        <f>"JOSE MARIA CASTORENA NO. 672                                                    "</f>
        <v xml:space="preserve">JOSE MARIA CASTORENA NO. 672                                                    </v>
      </c>
      <c r="F1695" s="26" t="str">
        <f>"EL MOLINO                                                                                                                                   "</f>
        <v xml:space="preserve">EL MOLINO                                                                                                                                   </v>
      </c>
      <c r="G1695" s="26" t="str">
        <f>"CUAJIMALPA DE MORELOS                                                           "</f>
        <v xml:space="preserve">CUAJIMALPA DE MORELOS                                                           </v>
      </c>
      <c r="H1695" s="26" t="str">
        <f>"279"</f>
        <v>279</v>
      </c>
      <c r="I1695" s="26" t="str">
        <f t="shared" si="316"/>
        <v>00</v>
      </c>
      <c r="J1695" s="26" t="str">
        <f>"33 "</f>
        <v xml:space="preserve">33 </v>
      </c>
      <c r="K1695" s="26" t="str">
        <f t="shared" si="317"/>
        <v>EP</v>
      </c>
      <c r="L1695" s="26" t="str">
        <f t="shared" si="318"/>
        <v>DGOSE</v>
      </c>
      <c r="M1695" s="26" t="str">
        <f t="shared" si="312"/>
        <v>PARTICULAR</v>
      </c>
      <c r="N1695" s="26">
        <v>40</v>
      </c>
      <c r="O1695" s="26">
        <v>21</v>
      </c>
      <c r="P1695" s="26">
        <v>19</v>
      </c>
      <c r="Q1695" s="26">
        <v>5</v>
      </c>
      <c r="R1695" s="26">
        <v>1</v>
      </c>
      <c r="S1695" s="26">
        <v>3</v>
      </c>
      <c r="T1695" s="26">
        <v>5</v>
      </c>
      <c r="U1695" s="26">
        <v>9</v>
      </c>
      <c r="V1695" s="26">
        <v>1</v>
      </c>
      <c r="W1695" s="26"/>
    </row>
    <row r="1696" spans="1:23" x14ac:dyDescent="0.25">
      <c r="A1696" s="26" t="str">
        <f t="shared" si="315"/>
        <v>PREESCOLAR</v>
      </c>
      <c r="B1696" s="26" t="str">
        <f>"09PJN3231O"</f>
        <v>09PJN3231O</v>
      </c>
      <c r="C1696" s="26" t="str">
        <f>"COLEGIO ATOCPAN                                                                                     "</f>
        <v xml:space="preserve">COLEGIO ATOCPAN                                                                                     </v>
      </c>
      <c r="D1696" s="26" t="str">
        <f t="shared" si="307"/>
        <v>MATUTINO</v>
      </c>
      <c r="E1696" s="26" t="str">
        <f>"ATZAYACATL NO. 99                                                               "</f>
        <v xml:space="preserve">ATZAYACATL NO. 99                                                               </v>
      </c>
      <c r="F1696" s="26" t="str">
        <f>"SAN PEDRO ATOCPAN SECCION 3                                                                                                                 "</f>
        <v xml:space="preserve">SAN PEDRO ATOCPAN SECCION 3                                                                                                                 </v>
      </c>
      <c r="G1696" s="26" t="str">
        <f>"MILPA ALTA                                                                      "</f>
        <v xml:space="preserve">MILPA ALTA                                                                      </v>
      </c>
      <c r="H1696" s="26" t="str">
        <f>"104"</f>
        <v>104</v>
      </c>
      <c r="I1696" s="26" t="str">
        <f t="shared" si="316"/>
        <v>00</v>
      </c>
      <c r="J1696" s="26" t="str">
        <f t="shared" ref="J1696:J1702" si="319">"35 "</f>
        <v xml:space="preserve">35 </v>
      </c>
      <c r="K1696" s="26" t="str">
        <f t="shared" si="317"/>
        <v>EP</v>
      </c>
      <c r="L1696" s="26" t="str">
        <f t="shared" si="318"/>
        <v>DGOSE</v>
      </c>
      <c r="M1696" s="26" t="str">
        <f t="shared" si="312"/>
        <v>PARTICULAR</v>
      </c>
      <c r="N1696" s="26">
        <v>10</v>
      </c>
      <c r="O1696" s="26">
        <v>7</v>
      </c>
      <c r="P1696" s="26">
        <v>3</v>
      </c>
      <c r="Q1696" s="26">
        <v>2</v>
      </c>
      <c r="R1696" s="26">
        <v>1</v>
      </c>
      <c r="S1696" s="26">
        <v>2</v>
      </c>
      <c r="T1696" s="26">
        <v>7</v>
      </c>
      <c r="U1696" s="26">
        <v>10</v>
      </c>
      <c r="V1696" s="26">
        <v>1</v>
      </c>
      <c r="W1696" s="26"/>
    </row>
    <row r="1697" spans="1:23" x14ac:dyDescent="0.25">
      <c r="A1697" s="26" t="str">
        <f t="shared" si="315"/>
        <v>PREESCOLAR</v>
      </c>
      <c r="B1697" s="26" t="str">
        <f>"09PJN3232N"</f>
        <v>09PJN3232N</v>
      </c>
      <c r="C1697" s="26" t="str">
        <f>"COLEGIO OVIEDO SCHONTHAL                                                                            "</f>
        <v xml:space="preserve">COLEGIO OVIEDO SCHONTHAL                                                                            </v>
      </c>
      <c r="D1697" s="26" t="str">
        <f t="shared" si="307"/>
        <v>MATUTINO</v>
      </c>
      <c r="E1697" s="26" t="str">
        <f>"CALZADA DE TLALPAN NO. 5090                                                     "</f>
        <v xml:space="preserve">CALZADA DE TLALPAN NO. 5090                                                     </v>
      </c>
      <c r="F1697" s="26" t="str">
        <f>"LA JOYA                                                                                                                                     "</f>
        <v xml:space="preserve">LA JOYA                                                                                                                                     </v>
      </c>
      <c r="G1697" s="26" t="str">
        <f>"TLALPAN                                                                         "</f>
        <v xml:space="preserve">TLALPAN                                                                         </v>
      </c>
      <c r="H1697" s="26" t="str">
        <f>"132"</f>
        <v>132</v>
      </c>
      <c r="I1697" s="26" t="str">
        <f t="shared" si="316"/>
        <v>00</v>
      </c>
      <c r="J1697" s="26" t="str">
        <f t="shared" si="319"/>
        <v xml:space="preserve">35 </v>
      </c>
      <c r="K1697" s="26" t="str">
        <f t="shared" si="317"/>
        <v>EP</v>
      </c>
      <c r="L1697" s="26" t="str">
        <f t="shared" si="318"/>
        <v>DGOSE</v>
      </c>
      <c r="M1697" s="26" t="str">
        <f t="shared" si="312"/>
        <v>PARTICULAR</v>
      </c>
      <c r="N1697" s="26">
        <v>66</v>
      </c>
      <c r="O1697" s="26">
        <v>40</v>
      </c>
      <c r="P1697" s="26">
        <v>26</v>
      </c>
      <c r="Q1697" s="26">
        <v>5</v>
      </c>
      <c r="R1697" s="26">
        <v>1</v>
      </c>
      <c r="S1697" s="26">
        <v>5</v>
      </c>
      <c r="T1697" s="26">
        <v>9</v>
      </c>
      <c r="U1697" s="26">
        <v>15</v>
      </c>
      <c r="V1697" s="26">
        <v>1</v>
      </c>
      <c r="W1697" s="26"/>
    </row>
    <row r="1698" spans="1:23" x14ac:dyDescent="0.25">
      <c r="A1698" s="26" t="str">
        <f t="shared" si="315"/>
        <v>PREESCOLAR</v>
      </c>
      <c r="B1698" s="26" t="str">
        <f>"09PJN3233M"</f>
        <v>09PJN3233M</v>
      </c>
      <c r="C1698" s="26" t="str">
        <f>"COLEGIO PATRIA Y PROGRESO                                                                           "</f>
        <v xml:space="preserve">COLEGIO PATRIA Y PROGRESO                                                                           </v>
      </c>
      <c r="D1698" s="26" t="str">
        <f t="shared" si="307"/>
        <v>MATUTINO</v>
      </c>
      <c r="E1698" s="26" t="str">
        <f>"SANTA CRUZ S/N. MZA. 76 LT. 39                                                  "</f>
        <v xml:space="preserve">SANTA CRUZ S/N. MZA. 76 LT. 39                                                  </v>
      </c>
      <c r="F1698" s="26" t="str">
        <f>"LAS ARBOLEDAS                                                                                                                               "</f>
        <v xml:space="preserve">LAS ARBOLEDAS                                                                                                                               </v>
      </c>
      <c r="G1698" s="26" t="str">
        <f>"TLAHUAC                                                                         "</f>
        <v xml:space="preserve">TLAHUAC                                                                         </v>
      </c>
      <c r="H1698" s="26" t="str">
        <f>"065"</f>
        <v>065</v>
      </c>
      <c r="I1698" s="26" t="str">
        <f t="shared" si="316"/>
        <v>00</v>
      </c>
      <c r="J1698" s="26" t="str">
        <f t="shared" si="319"/>
        <v xml:space="preserve">35 </v>
      </c>
      <c r="K1698" s="26" t="str">
        <f t="shared" si="317"/>
        <v>EP</v>
      </c>
      <c r="L1698" s="26" t="str">
        <f t="shared" si="318"/>
        <v>DGOSE</v>
      </c>
      <c r="M1698" s="26" t="str">
        <f t="shared" si="312"/>
        <v>PARTICULAR</v>
      </c>
      <c r="N1698" s="26">
        <v>41</v>
      </c>
      <c r="O1698" s="26">
        <v>19</v>
      </c>
      <c r="P1698" s="26">
        <v>22</v>
      </c>
      <c r="Q1698" s="26">
        <v>3</v>
      </c>
      <c r="R1698" s="26">
        <v>1</v>
      </c>
      <c r="S1698" s="26">
        <v>3</v>
      </c>
      <c r="T1698" s="26">
        <v>4</v>
      </c>
      <c r="U1698" s="26">
        <v>8</v>
      </c>
      <c r="V1698" s="26">
        <v>1</v>
      </c>
      <c r="W1698" s="26"/>
    </row>
    <row r="1699" spans="1:23" x14ac:dyDescent="0.25">
      <c r="A1699" s="26" t="str">
        <f t="shared" si="315"/>
        <v>PREESCOLAR</v>
      </c>
      <c r="B1699" s="26" t="str">
        <f>"09PJN3234L"</f>
        <v>09PJN3234L</v>
      </c>
      <c r="C1699" s="26" t="str">
        <f>"LICEO EUROPEO CAMPUS SUR                                                                            "</f>
        <v xml:space="preserve">LICEO EUROPEO CAMPUS SUR                                                                            </v>
      </c>
      <c r="D1699" s="26" t="str">
        <f t="shared" si="307"/>
        <v>MATUTINO</v>
      </c>
      <c r="E1699" s="26" t="str">
        <f>"CORREGIDORA NO. 499                                                             "</f>
        <v xml:space="preserve">CORREGIDORA NO. 499                                                             </v>
      </c>
      <c r="F1699" s="26" t="str">
        <f>"MIGUEL HIDALGO                                                                                                                              "</f>
        <v xml:space="preserve">MIGUEL HIDALGO                                                                                                                              </v>
      </c>
      <c r="G1699" s="26" t="str">
        <f>"TLALPAN                                                                         "</f>
        <v xml:space="preserve">TLALPAN                                                                         </v>
      </c>
      <c r="H1699" s="26" t="str">
        <f>"222"</f>
        <v>222</v>
      </c>
      <c r="I1699" s="26" t="str">
        <f t="shared" si="316"/>
        <v>00</v>
      </c>
      <c r="J1699" s="26" t="str">
        <f t="shared" si="319"/>
        <v xml:space="preserve">35 </v>
      </c>
      <c r="K1699" s="26" t="str">
        <f t="shared" si="317"/>
        <v>EP</v>
      </c>
      <c r="L1699" s="26" t="str">
        <f t="shared" si="318"/>
        <v>DGOSE</v>
      </c>
      <c r="M1699" s="26" t="str">
        <f t="shared" si="312"/>
        <v>PARTICULAR</v>
      </c>
      <c r="N1699" s="26">
        <v>42</v>
      </c>
      <c r="O1699" s="26">
        <v>21</v>
      </c>
      <c r="P1699" s="26">
        <v>21</v>
      </c>
      <c r="Q1699" s="26">
        <v>3</v>
      </c>
      <c r="R1699" s="26">
        <v>1</v>
      </c>
      <c r="S1699" s="26">
        <v>2</v>
      </c>
      <c r="T1699" s="26">
        <v>5</v>
      </c>
      <c r="U1699" s="26">
        <v>8</v>
      </c>
      <c r="V1699" s="26">
        <v>1</v>
      </c>
      <c r="W1699" s="26"/>
    </row>
    <row r="1700" spans="1:23" x14ac:dyDescent="0.25">
      <c r="A1700" s="26" t="str">
        <f t="shared" si="315"/>
        <v>PREESCOLAR</v>
      </c>
      <c r="B1700" s="26" t="str">
        <f>"09PJN3242U"</f>
        <v>09PJN3242U</v>
      </c>
      <c r="C1700" s="26" t="str">
        <f>"CUICACALLI                                                                                          "</f>
        <v xml:space="preserve">CUICACALLI                                                                                          </v>
      </c>
      <c r="D1700" s="26" t="str">
        <f t="shared" ref="D1700:D1763" si="320">"MATUTINO"</f>
        <v>MATUTINO</v>
      </c>
      <c r="E1700" s="26" t="str">
        <f>"PINO SUAREZ NO.56                                                               "</f>
        <v xml:space="preserve">PINO SUAREZ NO.56                                                               </v>
      </c>
      <c r="F1700" s="26" t="str">
        <f>"XOCHIMILCO                                                                                                                                  "</f>
        <v xml:space="preserve">XOCHIMILCO                                                                                                                                  </v>
      </c>
      <c r="G1700" s="26" t="str">
        <f>"XOCHIMILCO                                                                      "</f>
        <v xml:space="preserve">XOCHIMILCO                                                                      </v>
      </c>
      <c r="H1700" s="26" t="str">
        <f>"104"</f>
        <v>104</v>
      </c>
      <c r="I1700" s="26" t="str">
        <f t="shared" si="316"/>
        <v>00</v>
      </c>
      <c r="J1700" s="26" t="str">
        <f t="shared" si="319"/>
        <v xml:space="preserve">35 </v>
      </c>
      <c r="K1700" s="26" t="str">
        <f t="shared" si="317"/>
        <v>EP</v>
      </c>
      <c r="L1700" s="26" t="str">
        <f t="shared" si="318"/>
        <v>DGOSE</v>
      </c>
      <c r="M1700" s="26" t="str">
        <f t="shared" si="312"/>
        <v>PARTICULAR</v>
      </c>
      <c r="N1700" s="26">
        <v>24</v>
      </c>
      <c r="O1700" s="26">
        <v>12</v>
      </c>
      <c r="P1700" s="26">
        <v>12</v>
      </c>
      <c r="Q1700" s="26">
        <v>3</v>
      </c>
      <c r="R1700" s="26">
        <v>1</v>
      </c>
      <c r="S1700" s="26">
        <v>3</v>
      </c>
      <c r="T1700" s="26">
        <v>8</v>
      </c>
      <c r="U1700" s="26">
        <v>12</v>
      </c>
      <c r="V1700" s="26">
        <v>1</v>
      </c>
      <c r="W1700" s="26"/>
    </row>
    <row r="1701" spans="1:23" x14ac:dyDescent="0.25">
      <c r="A1701" s="26" t="str">
        <f t="shared" si="315"/>
        <v>PREESCOLAR</v>
      </c>
      <c r="B1701" s="26" t="str">
        <f>"09PJN3246Q"</f>
        <v>09PJN3246Q</v>
      </c>
      <c r="C1701" s="26" t="str">
        <f>"JARDIN DE NIÑOS DOLORES CORREA ZAPATA                                                               "</f>
        <v xml:space="preserve">JARDIN DE NIÑOS DOLORES CORREA ZAPATA                                                               </v>
      </c>
      <c r="D1701" s="26" t="str">
        <f t="shared" si="320"/>
        <v>MATUTINO</v>
      </c>
      <c r="E1701" s="26" t="str">
        <f>"AV. AQUILES SERDAN NO. 140                                                      "</f>
        <v xml:space="preserve">AV. AQUILES SERDAN NO. 140                                                      </v>
      </c>
      <c r="F1701" s="26" t="str">
        <f>"SANTIAGO TULYEHUALCO                                                                                                                        "</f>
        <v xml:space="preserve">SANTIAGO TULYEHUALCO                                                                                                                        </v>
      </c>
      <c r="G1701" s="26" t="str">
        <f>"XOCHIMILCO                                                                      "</f>
        <v xml:space="preserve">XOCHIMILCO                                                                      </v>
      </c>
      <c r="H1701" s="26" t="str">
        <f>"141"</f>
        <v>141</v>
      </c>
      <c r="I1701" s="26" t="str">
        <f t="shared" si="316"/>
        <v>00</v>
      </c>
      <c r="J1701" s="26" t="str">
        <f t="shared" si="319"/>
        <v xml:space="preserve">35 </v>
      </c>
      <c r="K1701" s="26" t="str">
        <f t="shared" si="317"/>
        <v>EP</v>
      </c>
      <c r="L1701" s="26" t="str">
        <f t="shared" si="318"/>
        <v>DGOSE</v>
      </c>
      <c r="M1701" s="26" t="str">
        <f t="shared" si="312"/>
        <v>PARTICULAR</v>
      </c>
      <c r="N1701" s="26">
        <v>61</v>
      </c>
      <c r="O1701" s="26">
        <v>44</v>
      </c>
      <c r="P1701" s="26">
        <v>17</v>
      </c>
      <c r="Q1701" s="26">
        <v>3</v>
      </c>
      <c r="R1701" s="26">
        <v>1</v>
      </c>
      <c r="S1701" s="26">
        <v>3</v>
      </c>
      <c r="T1701" s="26">
        <v>3</v>
      </c>
      <c r="U1701" s="26">
        <v>7</v>
      </c>
      <c r="V1701" s="26">
        <v>1</v>
      </c>
      <c r="W1701" s="26"/>
    </row>
    <row r="1702" spans="1:23" x14ac:dyDescent="0.25">
      <c r="A1702" s="26" t="str">
        <f t="shared" si="315"/>
        <v>PREESCOLAR</v>
      </c>
      <c r="B1702" s="26" t="str">
        <f>"09PJN3247P"</f>
        <v>09PJN3247P</v>
      </c>
      <c r="C1702" s="26" t="str">
        <f>"EGLANTINE JEFF                                                                                      "</f>
        <v xml:space="preserve">EGLANTINE JEFF                                                                                      </v>
      </c>
      <c r="D1702" s="26" t="str">
        <f t="shared" si="320"/>
        <v>MATUTINO</v>
      </c>
      <c r="E1702" s="26" t="str">
        <f>"PALMA NO. 48                                                                    "</f>
        <v xml:space="preserve">PALMA NO. 48                                                                    </v>
      </c>
      <c r="F1702" s="26" t="str">
        <f>"SAN ANDRES TOTOLTEPEC                                                                                                                       "</f>
        <v xml:space="preserve">SAN ANDRES TOTOLTEPEC                                                                                                                       </v>
      </c>
      <c r="G1702" s="26" t="str">
        <f>"TLALPAN                                                                         "</f>
        <v xml:space="preserve">TLALPAN                                                                         </v>
      </c>
      <c r="H1702" s="26" t="str">
        <f>"226"</f>
        <v>226</v>
      </c>
      <c r="I1702" s="26" t="str">
        <f t="shared" si="316"/>
        <v>00</v>
      </c>
      <c r="J1702" s="26" t="str">
        <f t="shared" si="319"/>
        <v xml:space="preserve">35 </v>
      </c>
      <c r="K1702" s="26" t="str">
        <f t="shared" si="317"/>
        <v>EP</v>
      </c>
      <c r="L1702" s="26" t="str">
        <f t="shared" si="318"/>
        <v>DGOSE</v>
      </c>
      <c r="M1702" s="26" t="str">
        <f t="shared" si="312"/>
        <v>PARTICULAR</v>
      </c>
      <c r="N1702" s="26">
        <v>26</v>
      </c>
      <c r="O1702" s="26">
        <v>13</v>
      </c>
      <c r="P1702" s="26">
        <v>13</v>
      </c>
      <c r="Q1702" s="26">
        <v>3</v>
      </c>
      <c r="R1702" s="26">
        <v>1</v>
      </c>
      <c r="S1702" s="26">
        <v>3</v>
      </c>
      <c r="T1702" s="26">
        <v>1</v>
      </c>
      <c r="U1702" s="26">
        <v>5</v>
      </c>
      <c r="V1702" s="26">
        <v>1</v>
      </c>
      <c r="W1702" s="26"/>
    </row>
    <row r="1703" spans="1:23" x14ac:dyDescent="0.25">
      <c r="A1703" s="26" t="str">
        <f t="shared" si="315"/>
        <v>PREESCOLAR</v>
      </c>
      <c r="B1703" s="26" t="str">
        <f>"09PJN3248O"</f>
        <v>09PJN3248O</v>
      </c>
      <c r="C1703" s="26" t="str">
        <f>"INSTITUTO PEDAGOGICO NUEVO AMANECER                                                                 "</f>
        <v xml:space="preserve">INSTITUTO PEDAGOGICO NUEVO AMANECER                                                                 </v>
      </c>
      <c r="D1703" s="26" t="str">
        <f t="shared" si="320"/>
        <v>MATUTINO</v>
      </c>
      <c r="E1703" s="26" t="str">
        <f>"RETORNO 5 DE SUR 16 NO. 48                                                      "</f>
        <v xml:space="preserve">RETORNO 5 DE SUR 16 NO. 48                                                      </v>
      </c>
      <c r="F1703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1703" s="26" t="str">
        <f>"IZTACALCO                                                                       "</f>
        <v xml:space="preserve">IZTACALCO                                                                       </v>
      </c>
      <c r="H1703" s="26" t="str">
        <f>"240"</f>
        <v>240</v>
      </c>
      <c r="I1703" s="26" t="str">
        <f t="shared" si="316"/>
        <v>00</v>
      </c>
      <c r="J1703" s="26" t="str">
        <f>"33 "</f>
        <v xml:space="preserve">33 </v>
      </c>
      <c r="K1703" s="26" t="str">
        <f t="shared" si="317"/>
        <v>EP</v>
      </c>
      <c r="L1703" s="26" t="str">
        <f t="shared" si="318"/>
        <v>DGOSE</v>
      </c>
      <c r="M1703" s="26" t="str">
        <f t="shared" si="312"/>
        <v>PARTICULAR</v>
      </c>
      <c r="N1703" s="26">
        <v>5</v>
      </c>
      <c r="O1703" s="26">
        <v>1</v>
      </c>
      <c r="P1703" s="26">
        <v>4</v>
      </c>
      <c r="Q1703" s="26">
        <v>1</v>
      </c>
      <c r="R1703" s="26">
        <v>1</v>
      </c>
      <c r="S1703" s="26">
        <v>1</v>
      </c>
      <c r="T1703" s="26">
        <v>2</v>
      </c>
      <c r="U1703" s="26">
        <v>4</v>
      </c>
      <c r="V1703" s="26">
        <v>1</v>
      </c>
      <c r="W1703" s="26"/>
    </row>
    <row r="1704" spans="1:23" x14ac:dyDescent="0.25">
      <c r="A1704" s="26" t="str">
        <f t="shared" si="315"/>
        <v>PREESCOLAR</v>
      </c>
      <c r="B1704" s="26" t="str">
        <f>"09PJN3251B"</f>
        <v>09PJN3251B</v>
      </c>
      <c r="C1704" s="26" t="str">
        <f>"EL REY DE CHOCOLATE                                                                                 "</f>
        <v xml:space="preserve">EL REY DE CHOCOLATE                                                                                 </v>
      </c>
      <c r="D1704" s="26" t="str">
        <f t="shared" si="320"/>
        <v>MATUTINO</v>
      </c>
      <c r="E1704" s="26" t="str">
        <f>"MIGUEL OCARANZA NO. 122                                                         "</f>
        <v xml:space="preserve">MIGUEL OCARANZA NO. 122                                                         </v>
      </c>
      <c r="F1704" s="26" t="str">
        <f>"MERCED GOMEZ                                                                                                                                "</f>
        <v xml:space="preserve">MERCED GOMEZ                                                                                                                                </v>
      </c>
      <c r="G1704" s="26" t="str">
        <f>"ALVARO OBREGON                                                                  "</f>
        <v xml:space="preserve">ALVARO OBREGON                                                                  </v>
      </c>
      <c r="H1704" s="26" t="str">
        <f>"218"</f>
        <v>218</v>
      </c>
      <c r="I1704" s="26" t="str">
        <f t="shared" si="316"/>
        <v>00</v>
      </c>
      <c r="J1704" s="26" t="str">
        <f>"33 "</f>
        <v xml:space="preserve">33 </v>
      </c>
      <c r="K1704" s="26" t="str">
        <f t="shared" si="317"/>
        <v>EP</v>
      </c>
      <c r="L1704" s="26" t="str">
        <f t="shared" si="318"/>
        <v>DGOSE</v>
      </c>
      <c r="M1704" s="26" t="str">
        <f t="shared" si="312"/>
        <v>PARTICULAR</v>
      </c>
      <c r="N1704" s="26">
        <v>23</v>
      </c>
      <c r="O1704" s="26">
        <v>13</v>
      </c>
      <c r="P1704" s="26">
        <v>10</v>
      </c>
      <c r="Q1704" s="26">
        <v>3</v>
      </c>
      <c r="R1704" s="26">
        <v>1</v>
      </c>
      <c r="S1704" s="26">
        <v>3</v>
      </c>
      <c r="T1704" s="26">
        <v>2</v>
      </c>
      <c r="U1704" s="26">
        <v>6</v>
      </c>
      <c r="V1704" s="26">
        <v>1</v>
      </c>
      <c r="W1704" s="26"/>
    </row>
    <row r="1705" spans="1:23" x14ac:dyDescent="0.25">
      <c r="A1705" s="26" t="str">
        <f t="shared" si="315"/>
        <v>PREESCOLAR</v>
      </c>
      <c r="B1705" s="26" t="str">
        <f>"09PJN3253Z"</f>
        <v>09PJN3253Z</v>
      </c>
      <c r="C1705" s="26" t="str">
        <f>"EL SOLDADITO DE PLOMO                                                                               "</f>
        <v xml:space="preserve">EL SOLDADITO DE PLOMO                                                                               </v>
      </c>
      <c r="D1705" s="26" t="str">
        <f t="shared" si="320"/>
        <v>MATUTINO</v>
      </c>
      <c r="E1705" s="26" t="str">
        <f>"PLAYA ROQUETA NO. 212                                                           "</f>
        <v xml:space="preserve">PLAYA ROQUETA NO. 212                                                           </v>
      </c>
      <c r="F1705" s="26" t="str">
        <f>"REFORMA IZTACCIHUATL NORTE                                                                                                                  "</f>
        <v xml:space="preserve">REFORMA IZTACCIHUATL NORTE                                                                                                                  </v>
      </c>
      <c r="G1705" s="26" t="str">
        <f>"IZTACALCO                                                                       "</f>
        <v xml:space="preserve">IZTACALCO                                                                       </v>
      </c>
      <c r="H1705" s="26" t="str">
        <f>"027"</f>
        <v>027</v>
      </c>
      <c r="I1705" s="26" t="str">
        <f t="shared" si="316"/>
        <v>00</v>
      </c>
      <c r="J1705" s="26" t="str">
        <f>"33 "</f>
        <v xml:space="preserve">33 </v>
      </c>
      <c r="K1705" s="26" t="str">
        <f t="shared" si="317"/>
        <v>EP</v>
      </c>
      <c r="L1705" s="26" t="str">
        <f t="shared" si="318"/>
        <v>DGOSE</v>
      </c>
      <c r="M1705" s="26" t="str">
        <f t="shared" si="312"/>
        <v>PARTICULAR</v>
      </c>
      <c r="N1705" s="26">
        <v>44</v>
      </c>
      <c r="O1705" s="26">
        <v>30</v>
      </c>
      <c r="P1705" s="26">
        <v>14</v>
      </c>
      <c r="Q1705" s="26">
        <v>3</v>
      </c>
      <c r="R1705" s="26">
        <v>1</v>
      </c>
      <c r="S1705" s="26">
        <v>3</v>
      </c>
      <c r="T1705" s="26">
        <v>7</v>
      </c>
      <c r="U1705" s="26">
        <v>11</v>
      </c>
      <c r="V1705" s="26">
        <v>1</v>
      </c>
      <c r="W1705" s="26"/>
    </row>
    <row r="1706" spans="1:23" x14ac:dyDescent="0.25">
      <c r="A1706" s="26" t="str">
        <f t="shared" si="315"/>
        <v>PREESCOLAR</v>
      </c>
      <c r="B1706" s="26" t="str">
        <f>"09PJN3260J"</f>
        <v>09PJN3260J</v>
      </c>
      <c r="C1706" s="26" t="str">
        <f>"COLEGIO GESELL                                                                                      "</f>
        <v xml:space="preserve">COLEGIO GESELL                                                                                      </v>
      </c>
      <c r="D1706" s="26" t="str">
        <f t="shared" si="320"/>
        <v>MATUTINO</v>
      </c>
      <c r="E1706" s="26" t="str">
        <f>"MONTECRISTO NO. 3                                                               "</f>
        <v xml:space="preserve">MONTECRISTO NO. 3                                                               </v>
      </c>
      <c r="F1706" s="26" t="str">
        <f>"CUAUHTEMOC                                                                                                                                  "</f>
        <v xml:space="preserve">CUAUHTEMOC                                                                                                                                  </v>
      </c>
      <c r="G1706" s="26" t="str">
        <f>"LA MAGDALENA CONTRERAS                                                          "</f>
        <v xml:space="preserve">LA MAGDALENA CONTRERAS                                                          </v>
      </c>
      <c r="H1706" s="26" t="str">
        <f>"066"</f>
        <v>066</v>
      </c>
      <c r="I1706" s="26" t="str">
        <f t="shared" si="316"/>
        <v>00</v>
      </c>
      <c r="J1706" s="26" t="str">
        <f>"35 "</f>
        <v xml:space="preserve">35 </v>
      </c>
      <c r="K1706" s="26" t="str">
        <f t="shared" si="317"/>
        <v>EP</v>
      </c>
      <c r="L1706" s="26" t="str">
        <f t="shared" si="318"/>
        <v>DGOSE</v>
      </c>
      <c r="M1706" s="26" t="str">
        <f t="shared" si="312"/>
        <v>PARTICULAR</v>
      </c>
      <c r="N1706" s="26">
        <v>57</v>
      </c>
      <c r="O1706" s="26">
        <v>40</v>
      </c>
      <c r="P1706" s="26">
        <v>17</v>
      </c>
      <c r="Q1706" s="26">
        <v>3</v>
      </c>
      <c r="R1706" s="26">
        <v>1</v>
      </c>
      <c r="S1706" s="26">
        <v>3</v>
      </c>
      <c r="T1706" s="26">
        <v>2</v>
      </c>
      <c r="U1706" s="26">
        <v>6</v>
      </c>
      <c r="V1706" s="26">
        <v>1</v>
      </c>
      <c r="W1706" s="26"/>
    </row>
    <row r="1707" spans="1:23" x14ac:dyDescent="0.25">
      <c r="A1707" s="26" t="str">
        <f t="shared" si="315"/>
        <v>PREESCOLAR</v>
      </c>
      <c r="B1707" s="26" t="str">
        <f>"09PJN3268B"</f>
        <v>09PJN3268B</v>
      </c>
      <c r="C1707" s="26" t="str">
        <f>"INSTITUTO MONTINI                                                                                   "</f>
        <v xml:space="preserve">INSTITUTO MONTINI                                                                                   </v>
      </c>
      <c r="D1707" s="26" t="str">
        <f t="shared" si="320"/>
        <v>MATUTINO</v>
      </c>
      <c r="E1707" s="26" t="str">
        <f>"LOS JUAREZ NO. 31                                                               "</f>
        <v xml:space="preserve">LOS JUAREZ NO. 31                                                               </v>
      </c>
      <c r="F1707" s="26" t="str">
        <f>"SAN JOSE INSURGENTES                                                                                                                        "</f>
        <v xml:space="preserve">SAN JOSE INSURGENTES                                                                                                                        </v>
      </c>
      <c r="G1707" s="26" t="str">
        <f>"BENITO JUAREZ                                                                   "</f>
        <v xml:space="preserve">BENITO JUAREZ                                                                   </v>
      </c>
      <c r="H1707" s="26" t="str">
        <f>"110"</f>
        <v>110</v>
      </c>
      <c r="I1707" s="26" t="str">
        <f t="shared" si="316"/>
        <v>00</v>
      </c>
      <c r="J1707" s="26" t="str">
        <f>"33 "</f>
        <v xml:space="preserve">33 </v>
      </c>
      <c r="K1707" s="26" t="str">
        <f t="shared" si="317"/>
        <v>EP</v>
      </c>
      <c r="L1707" s="26" t="str">
        <f t="shared" si="318"/>
        <v>DGOSE</v>
      </c>
      <c r="M1707" s="26" t="str">
        <f t="shared" si="312"/>
        <v>PARTICULAR</v>
      </c>
      <c r="N1707" s="26">
        <v>13</v>
      </c>
      <c r="O1707" s="26">
        <v>6</v>
      </c>
      <c r="P1707" s="26">
        <v>7</v>
      </c>
      <c r="Q1707" s="26">
        <v>3</v>
      </c>
      <c r="R1707" s="26">
        <v>1</v>
      </c>
      <c r="S1707" s="26">
        <v>3</v>
      </c>
      <c r="T1707" s="26">
        <v>5</v>
      </c>
      <c r="U1707" s="26">
        <v>9</v>
      </c>
      <c r="V1707" s="26">
        <v>1</v>
      </c>
      <c r="W1707" s="26"/>
    </row>
    <row r="1708" spans="1:23" x14ac:dyDescent="0.25">
      <c r="A1708" s="26" t="str">
        <f t="shared" si="315"/>
        <v>PREESCOLAR</v>
      </c>
      <c r="B1708" s="26" t="str">
        <f>"09PJN3269A"</f>
        <v>09PJN3269A</v>
      </c>
      <c r="C1708" s="26" t="str">
        <f>"INSTITUTO DONCELLA DE ORLEANS                                                                       "</f>
        <v xml:space="preserve">INSTITUTO DONCELLA DE ORLEANS                                                                       </v>
      </c>
      <c r="D1708" s="26" t="str">
        <f t="shared" si="320"/>
        <v>MATUTINO</v>
      </c>
      <c r="E1708" s="26" t="str">
        <f>"HUASTECA NO. 238                                                                "</f>
        <v xml:space="preserve">HUASTECA NO. 238                                                                </v>
      </c>
      <c r="F1708" s="26" t="str">
        <f>"INDUSTRIAL                                                                                                                                  "</f>
        <v xml:space="preserve">INDUSTRIAL                                                                                                                                  </v>
      </c>
      <c r="G1708" s="26" t="str">
        <f>"GUSTAVO A. MADERO                                                               "</f>
        <v xml:space="preserve">GUSTAVO A. MADERO                                                               </v>
      </c>
      <c r="H1708" s="26" t="str">
        <f>"177"</f>
        <v>177</v>
      </c>
      <c r="I1708" s="26" t="str">
        <f t="shared" si="316"/>
        <v>00</v>
      </c>
      <c r="J1708" s="26" t="str">
        <f>"32 "</f>
        <v xml:space="preserve">32 </v>
      </c>
      <c r="K1708" s="26" t="str">
        <f t="shared" si="317"/>
        <v>EP</v>
      </c>
      <c r="L1708" s="26" t="str">
        <f t="shared" si="318"/>
        <v>DGOSE</v>
      </c>
      <c r="M1708" s="26" t="str">
        <f t="shared" si="312"/>
        <v>PARTICULAR</v>
      </c>
      <c r="N1708" s="26">
        <v>37</v>
      </c>
      <c r="O1708" s="26">
        <v>22</v>
      </c>
      <c r="P1708" s="26">
        <v>15</v>
      </c>
      <c r="Q1708" s="26">
        <v>3</v>
      </c>
      <c r="R1708" s="26">
        <v>1</v>
      </c>
      <c r="S1708" s="26">
        <v>3</v>
      </c>
      <c r="T1708" s="26">
        <v>7</v>
      </c>
      <c r="U1708" s="26">
        <v>11</v>
      </c>
      <c r="V1708" s="26">
        <v>1</v>
      </c>
      <c r="W1708" s="26"/>
    </row>
    <row r="1709" spans="1:23" x14ac:dyDescent="0.25">
      <c r="A1709" s="26" t="str">
        <f t="shared" si="315"/>
        <v>PREESCOLAR</v>
      </c>
      <c r="B1709" s="26" t="str">
        <f>"09PJN3270Q"</f>
        <v>09PJN3270Q</v>
      </c>
      <c r="C1709" s="26" t="str">
        <f>"INSTITUTO GUADALUPE INSURGENTES                                                                     "</f>
        <v xml:space="preserve">INSTITUTO GUADALUPE INSURGENTES                                                                     </v>
      </c>
      <c r="D1709" s="26" t="str">
        <f t="shared" si="320"/>
        <v>MATUTINO</v>
      </c>
      <c r="E1709" s="26" t="str">
        <f>"ING. BARTOLO VERGARA NO. 32                                                     "</f>
        <v xml:space="preserve">ING. BARTOLO VERGARA NO. 32                                                     </v>
      </c>
      <c r="F1709" s="26" t="str">
        <f>"GUADALUPE INSURGENTES                                                                                                                       "</f>
        <v xml:space="preserve">GUADALUPE INSURGENTES                                                                                                                       </v>
      </c>
      <c r="G1709" s="26" t="str">
        <f>"GUSTAVO A. MADERO                                                               "</f>
        <v xml:space="preserve">GUSTAVO A. MADERO                                                               </v>
      </c>
      <c r="H1709" s="26" t="str">
        <f>"105"</f>
        <v>105</v>
      </c>
      <c r="I1709" s="26" t="str">
        <f t="shared" si="316"/>
        <v>00</v>
      </c>
      <c r="J1709" s="26" t="str">
        <f>"32 "</f>
        <v xml:space="preserve">32 </v>
      </c>
      <c r="K1709" s="26" t="str">
        <f t="shared" si="317"/>
        <v>EP</v>
      </c>
      <c r="L1709" s="26" t="str">
        <f t="shared" si="318"/>
        <v>DGOSE</v>
      </c>
      <c r="M1709" s="26" t="str">
        <f t="shared" si="312"/>
        <v>PARTICULAR</v>
      </c>
      <c r="N1709" s="26">
        <v>67</v>
      </c>
      <c r="O1709" s="26">
        <v>33</v>
      </c>
      <c r="P1709" s="26">
        <v>34</v>
      </c>
      <c r="Q1709" s="26">
        <v>3</v>
      </c>
      <c r="R1709" s="26">
        <v>1</v>
      </c>
      <c r="S1709" s="26">
        <v>3</v>
      </c>
      <c r="T1709" s="26">
        <v>6</v>
      </c>
      <c r="U1709" s="26">
        <v>10</v>
      </c>
      <c r="V1709" s="26">
        <v>1</v>
      </c>
      <c r="W1709" s="26"/>
    </row>
    <row r="1710" spans="1:23" x14ac:dyDescent="0.25">
      <c r="A1710" s="26" t="str">
        <f t="shared" si="315"/>
        <v>PREESCOLAR</v>
      </c>
      <c r="B1710" s="26" t="str">
        <f>"09PJN3272O"</f>
        <v>09PJN3272O</v>
      </c>
      <c r="C1710" s="26" t="str">
        <f>"CENDI INTI                                                                                          "</f>
        <v xml:space="preserve">CENDI INTI                                                                                          </v>
      </c>
      <c r="D1710" s="26" t="str">
        <f t="shared" si="320"/>
        <v>MATUTINO</v>
      </c>
      <c r="E1710" s="26" t="str">
        <f>"CALZ. DE TLALPAN No. 4924                                                       "</f>
        <v xml:space="preserve">CALZ. DE TLALPAN No. 4924                                                       </v>
      </c>
      <c r="F1710" s="26" t="str">
        <f>"LA JOYA                                                                                                                                     "</f>
        <v xml:space="preserve">LA JOYA                                                                                                                                     </v>
      </c>
      <c r="G1710" s="26" t="str">
        <f>"TLALPAN                                                                         "</f>
        <v xml:space="preserve">TLALPAN                                                                         </v>
      </c>
      <c r="H1710" s="26" t="str">
        <f>"132"</f>
        <v>132</v>
      </c>
      <c r="I1710" s="26" t="str">
        <f t="shared" si="316"/>
        <v>00</v>
      </c>
      <c r="J1710" s="26" t="str">
        <f>"35 "</f>
        <v xml:space="preserve">35 </v>
      </c>
      <c r="K1710" s="26" t="str">
        <f t="shared" si="317"/>
        <v>EP</v>
      </c>
      <c r="L1710" s="26" t="str">
        <f t="shared" si="318"/>
        <v>DGOSE</v>
      </c>
      <c r="M1710" s="26" t="str">
        <f t="shared" si="312"/>
        <v>PARTICULAR</v>
      </c>
      <c r="N1710" s="26">
        <v>25</v>
      </c>
      <c r="O1710" s="26">
        <v>8</v>
      </c>
      <c r="P1710" s="26">
        <v>17</v>
      </c>
      <c r="Q1710" s="26">
        <v>4</v>
      </c>
      <c r="R1710" s="26">
        <v>1</v>
      </c>
      <c r="S1710" s="26">
        <v>4</v>
      </c>
      <c r="T1710" s="26">
        <v>3</v>
      </c>
      <c r="U1710" s="26">
        <v>8</v>
      </c>
      <c r="V1710" s="26">
        <v>1</v>
      </c>
      <c r="W1710" s="26"/>
    </row>
    <row r="1711" spans="1:23" x14ac:dyDescent="0.25">
      <c r="A1711" s="26" t="str">
        <f t="shared" si="315"/>
        <v>PREESCOLAR</v>
      </c>
      <c r="B1711" s="26" t="str">
        <f>"09PJN3273N"</f>
        <v>09PJN3273N</v>
      </c>
      <c r="C1711" s="26" t="str">
        <f>"INSTITUTO ISAAC NEWTON                                                                              "</f>
        <v xml:space="preserve">INSTITUTO ISAAC NEWTON                                                                              </v>
      </c>
      <c r="D1711" s="26" t="str">
        <f t="shared" si="320"/>
        <v>MATUTINO</v>
      </c>
      <c r="E1711" s="26" t="str">
        <f>"SUR 20 NO. 580                                                                  "</f>
        <v xml:space="preserve">SUR 20 NO. 580                                                                  </v>
      </c>
      <c r="F1711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1711" s="26" t="str">
        <f>"IZTACALCO                                                                       "</f>
        <v xml:space="preserve">IZTACALCO                                                                       </v>
      </c>
      <c r="H1711" s="26" t="str">
        <f>"240"</f>
        <v>240</v>
      </c>
      <c r="I1711" s="26" t="str">
        <f t="shared" si="316"/>
        <v>00</v>
      </c>
      <c r="J1711" s="26" t="str">
        <f>"33 "</f>
        <v xml:space="preserve">33 </v>
      </c>
      <c r="K1711" s="26" t="str">
        <f t="shared" si="317"/>
        <v>EP</v>
      </c>
      <c r="L1711" s="26" t="str">
        <f t="shared" si="318"/>
        <v>DGOSE</v>
      </c>
      <c r="M1711" s="26" t="str">
        <f t="shared" si="312"/>
        <v>PARTICULAR</v>
      </c>
      <c r="N1711" s="26">
        <v>73</v>
      </c>
      <c r="O1711" s="26">
        <v>34</v>
      </c>
      <c r="P1711" s="26">
        <v>39</v>
      </c>
      <c r="Q1711" s="26">
        <v>4</v>
      </c>
      <c r="R1711" s="26">
        <v>1</v>
      </c>
      <c r="S1711" s="26">
        <v>4</v>
      </c>
      <c r="T1711" s="26">
        <v>8</v>
      </c>
      <c r="U1711" s="26">
        <v>13</v>
      </c>
      <c r="V1711" s="26">
        <v>1</v>
      </c>
      <c r="W1711" s="26"/>
    </row>
    <row r="1712" spans="1:23" x14ac:dyDescent="0.25">
      <c r="A1712" s="26" t="str">
        <f t="shared" si="315"/>
        <v>PREESCOLAR</v>
      </c>
      <c r="B1712" s="26" t="str">
        <f>"09PJN3276K"</f>
        <v>09PJN3276K</v>
      </c>
      <c r="C1712" s="26" t="str">
        <f>"CENTRO PEDAGOGICO INTERACTIVO CIMAT                                                                 "</f>
        <v xml:space="preserve">CENTRO PEDAGOGICO INTERACTIVO CIMAT                                                                 </v>
      </c>
      <c r="D1712" s="26" t="str">
        <f t="shared" si="320"/>
        <v>MATUTINO</v>
      </c>
      <c r="E1712" s="26" t="str">
        <f>"RETORNO 47 DE CECILIO ROBELO NO. 14                                             "</f>
        <v xml:space="preserve">RETORNO 47 DE CECILIO ROBELO NO. 14                                             </v>
      </c>
      <c r="F1712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1712" s="26" t="str">
        <f>"VENUSTIANO CARRANZA                                                             "</f>
        <v xml:space="preserve">VENUSTIANO CARRANZA                                                             </v>
      </c>
      <c r="H1712" s="26" t="str">
        <f>"250"</f>
        <v>250</v>
      </c>
      <c r="I1712" s="26" t="str">
        <f t="shared" si="316"/>
        <v>00</v>
      </c>
      <c r="J1712" s="26" t="str">
        <f>"33 "</f>
        <v xml:space="preserve">33 </v>
      </c>
      <c r="K1712" s="26" t="str">
        <f t="shared" si="317"/>
        <v>EP</v>
      </c>
      <c r="L1712" s="26" t="str">
        <f t="shared" si="318"/>
        <v>DGOSE</v>
      </c>
      <c r="M1712" s="26" t="str">
        <f t="shared" si="312"/>
        <v>PARTICULAR</v>
      </c>
      <c r="N1712" s="26">
        <v>61</v>
      </c>
      <c r="O1712" s="26">
        <v>33</v>
      </c>
      <c r="P1712" s="26">
        <v>28</v>
      </c>
      <c r="Q1712" s="26">
        <v>4</v>
      </c>
      <c r="R1712" s="26">
        <v>1</v>
      </c>
      <c r="S1712" s="26">
        <v>4</v>
      </c>
      <c r="T1712" s="26">
        <v>7</v>
      </c>
      <c r="U1712" s="26">
        <v>12</v>
      </c>
      <c r="V1712" s="26">
        <v>1</v>
      </c>
      <c r="W1712" s="26"/>
    </row>
    <row r="1713" spans="1:23" x14ac:dyDescent="0.25">
      <c r="A1713" s="26" t="str">
        <f t="shared" si="315"/>
        <v>PREESCOLAR</v>
      </c>
      <c r="B1713" s="26" t="str">
        <f>"09PJN3281W"</f>
        <v>09PJN3281W</v>
      </c>
      <c r="C1713" s="26" t="str">
        <f>"INSTITUTO MESOAMERICA                                                                               "</f>
        <v xml:space="preserve">INSTITUTO MESOAMERICA                                                                               </v>
      </c>
      <c r="D1713" s="26" t="str">
        <f t="shared" si="320"/>
        <v>MATUTINO</v>
      </c>
      <c r="E1713" s="26" t="str">
        <f>"2 DE ABRIL NO.367                                                               "</f>
        <v xml:space="preserve">2 DE ABRIL NO.367                                                               </v>
      </c>
      <c r="F1713" s="26" t="str">
        <f>"SANTA CRUZ ACALPIXCA                                                                                                                        "</f>
        <v xml:space="preserve">SANTA CRUZ ACALPIXCA                                                                                                                        </v>
      </c>
      <c r="G1713" s="26" t="str">
        <f>"XOCHIMILCO                                                                      "</f>
        <v xml:space="preserve">XOCHIMILCO                                                                      </v>
      </c>
      <c r="H1713" s="26" t="str">
        <f>"053"</f>
        <v>053</v>
      </c>
      <c r="I1713" s="26" t="str">
        <f t="shared" si="316"/>
        <v>00</v>
      </c>
      <c r="J1713" s="26" t="str">
        <f>"35 "</f>
        <v xml:space="preserve">35 </v>
      </c>
      <c r="K1713" s="26" t="str">
        <f t="shared" si="317"/>
        <v>EP</v>
      </c>
      <c r="L1713" s="26" t="str">
        <f t="shared" si="318"/>
        <v>DGOSE</v>
      </c>
      <c r="M1713" s="26" t="str">
        <f t="shared" si="312"/>
        <v>PARTICULAR</v>
      </c>
      <c r="N1713" s="26">
        <v>16</v>
      </c>
      <c r="O1713" s="26">
        <v>5</v>
      </c>
      <c r="P1713" s="26">
        <v>11</v>
      </c>
      <c r="Q1713" s="26">
        <v>3</v>
      </c>
      <c r="R1713" s="26">
        <v>1</v>
      </c>
      <c r="S1713" s="26">
        <v>3</v>
      </c>
      <c r="T1713" s="26">
        <v>6</v>
      </c>
      <c r="U1713" s="26">
        <v>10</v>
      </c>
      <c r="V1713" s="26">
        <v>1</v>
      </c>
      <c r="W1713" s="26"/>
    </row>
    <row r="1714" spans="1:23" x14ac:dyDescent="0.25">
      <c r="A1714" s="26" t="str">
        <f t="shared" si="315"/>
        <v>PREESCOLAR</v>
      </c>
      <c r="B1714" s="26" t="str">
        <f>"09PJN3286R"</f>
        <v>09PJN3286R</v>
      </c>
      <c r="C1714" s="26" t="str">
        <f>"JESUS SOTELO INCLAN                                                                                 "</f>
        <v xml:space="preserve">JESUS SOTELO INCLAN                                                                                 </v>
      </c>
      <c r="D1714" s="26" t="str">
        <f t="shared" si="320"/>
        <v>MATUTINO</v>
      </c>
      <c r="E1714" s="26" t="str">
        <f>"CARRETERA SAN PABLO NO. 920                                                     "</f>
        <v xml:space="preserve">CARRETERA SAN PABLO NO. 920                                                     </v>
      </c>
      <c r="F1714" s="26" t="str">
        <f>"SAN ANDRES AHUAYUCAN                                                                                                                        "</f>
        <v xml:space="preserve">SAN ANDRES AHUAYUCAN                                                                                                                        </v>
      </c>
      <c r="G1714" s="26" t="str">
        <f>"XOCHIMILCO                                                                      "</f>
        <v xml:space="preserve">XOCHIMILCO                                                                      </v>
      </c>
      <c r="H1714" s="26" t="str">
        <f>"081"</f>
        <v>081</v>
      </c>
      <c r="I1714" s="26" t="str">
        <f t="shared" si="316"/>
        <v>00</v>
      </c>
      <c r="J1714" s="26" t="str">
        <f>"35 "</f>
        <v xml:space="preserve">35 </v>
      </c>
      <c r="K1714" s="26" t="str">
        <f t="shared" si="317"/>
        <v>EP</v>
      </c>
      <c r="L1714" s="26" t="str">
        <f t="shared" si="318"/>
        <v>DGOSE</v>
      </c>
      <c r="M1714" s="26" t="str">
        <f t="shared" si="312"/>
        <v>PARTICULAR</v>
      </c>
      <c r="N1714" s="26">
        <v>13</v>
      </c>
      <c r="O1714" s="26">
        <v>7</v>
      </c>
      <c r="P1714" s="26">
        <v>6</v>
      </c>
      <c r="Q1714" s="26">
        <v>3</v>
      </c>
      <c r="R1714" s="26">
        <v>1</v>
      </c>
      <c r="S1714" s="26">
        <v>2</v>
      </c>
      <c r="T1714" s="26">
        <v>6</v>
      </c>
      <c r="U1714" s="26">
        <v>9</v>
      </c>
      <c r="V1714" s="26">
        <v>1</v>
      </c>
      <c r="W1714" s="26"/>
    </row>
    <row r="1715" spans="1:23" x14ac:dyDescent="0.25">
      <c r="A1715" s="26" t="str">
        <f t="shared" si="315"/>
        <v>PREESCOLAR</v>
      </c>
      <c r="B1715" s="26" t="str">
        <f>"09PJN3288P"</f>
        <v>09PJN3288P</v>
      </c>
      <c r="C1715" s="26" t="str">
        <f>"JARDÍN DE NIÑOS JUAN SALVADOR GAVIOTA                                                               "</f>
        <v xml:space="preserve">JARDÍN DE NIÑOS JUAN SALVADOR GAVIOTA                                                               </v>
      </c>
      <c r="D1715" s="26" t="str">
        <f t="shared" si="320"/>
        <v>MATUTINO</v>
      </c>
      <c r="E1715" s="26" t="str">
        <f>"TULUM MZA. 243 LT. 7                                                            "</f>
        <v xml:space="preserve">TULUM MZA. 243 LT. 7                                                            </v>
      </c>
      <c r="F1715" s="26" t="str">
        <f>"HEROES DE PADIERNA                                                                                                                          "</f>
        <v xml:space="preserve">HEROES DE PADIERNA                                                                                                                          </v>
      </c>
      <c r="G1715" s="26" t="str">
        <f>"TLALPAN                                                                         "</f>
        <v xml:space="preserve">TLALPAN                                                                         </v>
      </c>
      <c r="H1715" s="26" t="str">
        <f>"135"</f>
        <v>135</v>
      </c>
      <c r="I1715" s="26" t="str">
        <f t="shared" si="316"/>
        <v>00</v>
      </c>
      <c r="J1715" s="26" t="str">
        <f>"35 "</f>
        <v xml:space="preserve">35 </v>
      </c>
      <c r="K1715" s="26" t="str">
        <f t="shared" si="317"/>
        <v>EP</v>
      </c>
      <c r="L1715" s="26" t="str">
        <f t="shared" si="318"/>
        <v>DGOSE</v>
      </c>
      <c r="M1715" s="26" t="str">
        <f t="shared" si="312"/>
        <v>PARTICULAR</v>
      </c>
      <c r="N1715" s="26">
        <v>22</v>
      </c>
      <c r="O1715" s="26">
        <v>15</v>
      </c>
      <c r="P1715" s="26">
        <v>7</v>
      </c>
      <c r="Q1715" s="26">
        <v>3</v>
      </c>
      <c r="R1715" s="26">
        <v>1</v>
      </c>
      <c r="S1715" s="26">
        <v>2</v>
      </c>
      <c r="T1715" s="26">
        <v>1</v>
      </c>
      <c r="U1715" s="26">
        <v>4</v>
      </c>
      <c r="V1715" s="26">
        <v>1</v>
      </c>
      <c r="W1715" s="26"/>
    </row>
    <row r="1716" spans="1:23" x14ac:dyDescent="0.25">
      <c r="A1716" s="26" t="str">
        <f t="shared" si="315"/>
        <v>PREESCOLAR</v>
      </c>
      <c r="B1716" s="26" t="str">
        <f>"09PJN3290D"</f>
        <v>09PJN3290D</v>
      </c>
      <c r="C1716" s="26" t="str">
        <f>"KEIKO                                                                                               "</f>
        <v xml:space="preserve">KEIKO                                                                                               </v>
      </c>
      <c r="D1716" s="26" t="str">
        <f t="shared" si="320"/>
        <v>MATUTINO</v>
      </c>
      <c r="E1716" s="26" t="str">
        <f>"FELIPE ANGELES NO. 91                                                           "</f>
        <v xml:space="preserve">FELIPE ANGELES NO. 91                                                           </v>
      </c>
      <c r="F1716" s="26" t="str">
        <f>"BELLA VISTA                                                                                                                                 "</f>
        <v xml:space="preserve">BELLA VISTA                                                                                                                                 </v>
      </c>
      <c r="G1716" s="26" t="str">
        <f>"ALVARO OBREGON                                                                  "</f>
        <v xml:space="preserve">ALVARO OBREGON                                                                  </v>
      </c>
      <c r="H1716" s="26" t="str">
        <f>"219"</f>
        <v>219</v>
      </c>
      <c r="I1716" s="26" t="str">
        <f t="shared" si="316"/>
        <v>00</v>
      </c>
      <c r="J1716" s="26" t="str">
        <f>"33 "</f>
        <v xml:space="preserve">33 </v>
      </c>
      <c r="K1716" s="26" t="str">
        <f t="shared" si="317"/>
        <v>EP</v>
      </c>
      <c r="L1716" s="26" t="str">
        <f t="shared" si="318"/>
        <v>DGOSE</v>
      </c>
      <c r="M1716" s="26" t="str">
        <f t="shared" si="312"/>
        <v>PARTICULAR</v>
      </c>
      <c r="N1716" s="26">
        <v>67</v>
      </c>
      <c r="O1716" s="26">
        <v>34</v>
      </c>
      <c r="P1716" s="26">
        <v>33</v>
      </c>
      <c r="Q1716" s="26">
        <v>4</v>
      </c>
      <c r="R1716" s="26">
        <v>1</v>
      </c>
      <c r="S1716" s="26">
        <v>4</v>
      </c>
      <c r="T1716" s="26">
        <v>2</v>
      </c>
      <c r="U1716" s="26">
        <v>7</v>
      </c>
      <c r="V1716" s="26">
        <v>1</v>
      </c>
      <c r="W1716" s="26"/>
    </row>
    <row r="1717" spans="1:23" x14ac:dyDescent="0.25">
      <c r="A1717" s="26" t="str">
        <f t="shared" si="315"/>
        <v>PREESCOLAR</v>
      </c>
      <c r="B1717" s="26" t="str">
        <f>"09PJN3292B"</f>
        <v>09PJN3292B</v>
      </c>
      <c r="C1717" s="26" t="str">
        <f>"COLORINES                                                                                           "</f>
        <v xml:space="preserve">COLORINES                                                                                           </v>
      </c>
      <c r="D1717" s="26" t="str">
        <f t="shared" si="320"/>
        <v>MATUTINO</v>
      </c>
      <c r="E1717" s="26" t="str">
        <f>"CORREOS Y TELEGRAFOS NO. 65                                                     "</f>
        <v xml:space="preserve">CORREOS Y TELEGRAFOS NO. 65                                                     </v>
      </c>
      <c r="F1717" s="26" t="str">
        <f>"FEDERAL                                                                                                                                     "</f>
        <v xml:space="preserve">FEDERAL                                                                                                                                     </v>
      </c>
      <c r="G1717" s="26" t="str">
        <f>"VENUSTIANO CARRANZA                                                             "</f>
        <v xml:space="preserve">VENUSTIANO CARRANZA                                                             </v>
      </c>
      <c r="H1717" s="26" t="str">
        <f>"250"</f>
        <v>250</v>
      </c>
      <c r="I1717" s="26" t="str">
        <f t="shared" si="316"/>
        <v>00</v>
      </c>
      <c r="J1717" s="26" t="str">
        <f>"33 "</f>
        <v xml:space="preserve">33 </v>
      </c>
      <c r="K1717" s="26" t="str">
        <f t="shared" si="317"/>
        <v>EP</v>
      </c>
      <c r="L1717" s="26" t="str">
        <f t="shared" si="318"/>
        <v>DGOSE</v>
      </c>
      <c r="M1717" s="26" t="str">
        <f t="shared" si="312"/>
        <v>PARTICULAR</v>
      </c>
      <c r="N1717" s="26">
        <v>11</v>
      </c>
      <c r="O1717" s="26">
        <v>8</v>
      </c>
      <c r="P1717" s="26">
        <v>3</v>
      </c>
      <c r="Q1717" s="26">
        <v>3</v>
      </c>
      <c r="R1717" s="26">
        <v>1</v>
      </c>
      <c r="S1717" s="26">
        <v>2</v>
      </c>
      <c r="T1717" s="26">
        <v>0</v>
      </c>
      <c r="U1717" s="26">
        <v>3</v>
      </c>
      <c r="V1717" s="26">
        <v>1</v>
      </c>
      <c r="W1717" s="26"/>
    </row>
    <row r="1718" spans="1:23" x14ac:dyDescent="0.25">
      <c r="A1718" s="26" t="str">
        <f t="shared" si="315"/>
        <v>PREESCOLAR</v>
      </c>
      <c r="B1718" s="26" t="str">
        <f>"09PJN3296Y"</f>
        <v>09PJN3296Y</v>
      </c>
      <c r="C1718" s="26" t="str">
        <f>"CENTRO DE EDUCACION INFANTIL LA ESCUELITA                                                           "</f>
        <v xml:space="preserve">CENTRO DE EDUCACION INFANTIL LA ESCUELITA                                                           </v>
      </c>
      <c r="D1718" s="26" t="str">
        <f t="shared" si="320"/>
        <v>MATUTINO</v>
      </c>
      <c r="E1718" s="26" t="str">
        <f>"AMALILLO No. 4                                                                  "</f>
        <v xml:space="preserve">AMALILLO No. 4                                                                  </v>
      </c>
      <c r="F1718" s="26" t="str">
        <f>"SAN ANDRES TOTOLTEPEC                                                                                                                       "</f>
        <v xml:space="preserve">SAN ANDRES TOTOLTEPEC                                                                                                                       </v>
      </c>
      <c r="G1718" s="26" t="str">
        <f>"TLALPAN                                                                         "</f>
        <v xml:space="preserve">TLALPAN                                                                         </v>
      </c>
      <c r="H1718" s="26" t="str">
        <f>"226"</f>
        <v>226</v>
      </c>
      <c r="I1718" s="26" t="str">
        <f t="shared" si="316"/>
        <v>00</v>
      </c>
      <c r="J1718" s="26" t="str">
        <f>"35 "</f>
        <v xml:space="preserve">35 </v>
      </c>
      <c r="K1718" s="26" t="str">
        <f t="shared" si="317"/>
        <v>EP</v>
      </c>
      <c r="L1718" s="26" t="str">
        <f t="shared" si="318"/>
        <v>DGOSE</v>
      </c>
      <c r="M1718" s="26" t="str">
        <f t="shared" si="312"/>
        <v>PARTICULAR</v>
      </c>
      <c r="N1718" s="26">
        <v>4</v>
      </c>
      <c r="O1718" s="26">
        <v>3</v>
      </c>
      <c r="P1718" s="26">
        <v>1</v>
      </c>
      <c r="Q1718" s="26">
        <v>2</v>
      </c>
      <c r="R1718" s="26">
        <v>1</v>
      </c>
      <c r="S1718" s="26">
        <v>2</v>
      </c>
      <c r="T1718" s="26">
        <v>1</v>
      </c>
      <c r="U1718" s="26">
        <v>4</v>
      </c>
      <c r="V1718" s="26">
        <v>1</v>
      </c>
      <c r="W1718" s="26"/>
    </row>
    <row r="1719" spans="1:23" x14ac:dyDescent="0.25">
      <c r="A1719" s="26" t="str">
        <f t="shared" si="315"/>
        <v>PREESCOLAR</v>
      </c>
      <c r="B1719" s="26" t="str">
        <f>"09PJN3301T"</f>
        <v>09PJN3301T</v>
      </c>
      <c r="C1719" s="26" t="str">
        <f>"LEOPOLDO KIEL                                                                                       "</f>
        <v xml:space="preserve">LEOPOLDO KIEL                                                                                       </v>
      </c>
      <c r="D1719" s="26" t="str">
        <f t="shared" si="320"/>
        <v>MATUTINO</v>
      </c>
      <c r="E1719" s="26" t="str">
        <f>"LA TURBA No. 185                                                                "</f>
        <v xml:space="preserve">LA TURBA No. 185                                                                </v>
      </c>
      <c r="F1719" s="26" t="str">
        <f>"GRANJAS CABRERA                                                                                                                             "</f>
        <v xml:space="preserve">GRANJAS CABRERA                                                                                                                             </v>
      </c>
      <c r="G1719" s="26" t="str">
        <f>"TLAHUAC                                                                         "</f>
        <v xml:space="preserve">TLAHUAC                                                                         </v>
      </c>
      <c r="H1719" s="26" t="str">
        <f>"244"</f>
        <v>244</v>
      </c>
      <c r="I1719" s="26" t="str">
        <f t="shared" si="316"/>
        <v>00</v>
      </c>
      <c r="J1719" s="26" t="str">
        <f>"35 "</f>
        <v xml:space="preserve">35 </v>
      </c>
      <c r="K1719" s="26" t="str">
        <f t="shared" si="317"/>
        <v>EP</v>
      </c>
      <c r="L1719" s="26" t="str">
        <f t="shared" si="318"/>
        <v>DGOSE</v>
      </c>
      <c r="M1719" s="26" t="str">
        <f t="shared" si="312"/>
        <v>PARTICULAR</v>
      </c>
      <c r="N1719" s="26">
        <v>9</v>
      </c>
      <c r="O1719" s="26">
        <v>4</v>
      </c>
      <c r="P1719" s="26">
        <v>5</v>
      </c>
      <c r="Q1719" s="26">
        <v>2</v>
      </c>
      <c r="R1719" s="26">
        <v>1</v>
      </c>
      <c r="S1719" s="26">
        <v>2</v>
      </c>
      <c r="T1719" s="26">
        <v>2</v>
      </c>
      <c r="U1719" s="26">
        <v>5</v>
      </c>
      <c r="V1719" s="26">
        <v>1</v>
      </c>
      <c r="W1719" s="26"/>
    </row>
    <row r="1720" spans="1:23" x14ac:dyDescent="0.25">
      <c r="A1720" s="26" t="str">
        <f t="shared" si="315"/>
        <v>PREESCOLAR</v>
      </c>
      <c r="B1720" s="26" t="str">
        <f>"09PJN3302S"</f>
        <v>09PJN3302S</v>
      </c>
      <c r="C1720" s="26" t="str">
        <f>"COLEGIO LIBERTADORES DE AMERICA                                                                     "</f>
        <v xml:space="preserve">COLEGIO LIBERTADORES DE AMERICA                                                                     </v>
      </c>
      <c r="D1720" s="26" t="str">
        <f t="shared" si="320"/>
        <v>MATUTINO</v>
      </c>
      <c r="E1720" s="26" t="str">
        <f>"SAN FERNANDO NO. 82 B                                                           "</f>
        <v xml:space="preserve">SAN FERNANDO NO. 82 B                                                           </v>
      </c>
      <c r="F1720" s="26" t="str">
        <f>"TLALPAN                                                                                                                                     "</f>
        <v xml:space="preserve">TLALPAN                                                                                                                                     </v>
      </c>
      <c r="G1720" s="26" t="str">
        <f>"TLALPAN                                                                         "</f>
        <v xml:space="preserve">TLALPAN                                                                         </v>
      </c>
      <c r="H1720" s="26" t="str">
        <f>"222"</f>
        <v>222</v>
      </c>
      <c r="I1720" s="26" t="str">
        <f t="shared" si="316"/>
        <v>00</v>
      </c>
      <c r="J1720" s="26" t="str">
        <f>"35 "</f>
        <v xml:space="preserve">35 </v>
      </c>
      <c r="K1720" s="26" t="str">
        <f t="shared" si="317"/>
        <v>EP</v>
      </c>
      <c r="L1720" s="26" t="str">
        <f t="shared" si="318"/>
        <v>DGOSE</v>
      </c>
      <c r="M1720" s="26" t="str">
        <f t="shared" si="312"/>
        <v>PARTICULAR</v>
      </c>
      <c r="N1720" s="26">
        <v>110</v>
      </c>
      <c r="O1720" s="26">
        <v>49</v>
      </c>
      <c r="P1720" s="26">
        <v>61</v>
      </c>
      <c r="Q1720" s="26">
        <v>5</v>
      </c>
      <c r="R1720" s="26">
        <v>1</v>
      </c>
      <c r="S1720" s="26">
        <v>5</v>
      </c>
      <c r="T1720" s="26">
        <v>8</v>
      </c>
      <c r="U1720" s="26">
        <v>14</v>
      </c>
      <c r="V1720" s="26">
        <v>1</v>
      </c>
      <c r="W1720" s="26"/>
    </row>
    <row r="1721" spans="1:23" x14ac:dyDescent="0.25">
      <c r="A1721" s="26" t="str">
        <f t="shared" si="315"/>
        <v>PREESCOLAR</v>
      </c>
      <c r="B1721" s="26" t="str">
        <f>"09PJN3303R"</f>
        <v>09PJN3303R</v>
      </c>
      <c r="C1721" s="26" t="str">
        <f>"COLEGIO LOS ANGELES                                                                                 "</f>
        <v xml:space="preserve">COLEGIO LOS ANGELES                                                                                 </v>
      </c>
      <c r="D1721" s="26" t="str">
        <f t="shared" si="320"/>
        <v>MATUTINO</v>
      </c>
      <c r="E1721" s="26" t="str">
        <f>"SOL NO. 116                                                                     "</f>
        <v xml:space="preserve">SOL NO. 116                                                                     </v>
      </c>
      <c r="F1721" s="26" t="str">
        <f>"GUERRERO                                                                                                                                    "</f>
        <v xml:space="preserve">GUERRERO                                                                                                                                    </v>
      </c>
      <c r="G1721" s="26" t="s">
        <v>4128</v>
      </c>
      <c r="H1721" s="26" t="str">
        <f>"205"</f>
        <v>205</v>
      </c>
      <c r="I1721" s="26" t="str">
        <f t="shared" si="316"/>
        <v>00</v>
      </c>
      <c r="J1721" s="26" t="str">
        <f>"32 "</f>
        <v xml:space="preserve">32 </v>
      </c>
      <c r="K1721" s="26" t="str">
        <f t="shared" si="317"/>
        <v>EP</v>
      </c>
      <c r="L1721" s="26" t="str">
        <f t="shared" si="318"/>
        <v>DGOSE</v>
      </c>
      <c r="M1721" s="26" t="str">
        <f t="shared" si="312"/>
        <v>PARTICULAR</v>
      </c>
      <c r="N1721" s="26">
        <v>20</v>
      </c>
      <c r="O1721" s="26">
        <v>11</v>
      </c>
      <c r="P1721" s="26">
        <v>9</v>
      </c>
      <c r="Q1721" s="26">
        <v>2</v>
      </c>
      <c r="R1721" s="26">
        <v>1</v>
      </c>
      <c r="S1721" s="26">
        <v>2</v>
      </c>
      <c r="T1721" s="26">
        <v>5</v>
      </c>
      <c r="U1721" s="26">
        <v>8</v>
      </c>
      <c r="V1721" s="26">
        <v>1</v>
      </c>
      <c r="W1721" s="26"/>
    </row>
    <row r="1722" spans="1:23" x14ac:dyDescent="0.25">
      <c r="A1722" s="26" t="str">
        <f t="shared" si="315"/>
        <v>PREESCOLAR</v>
      </c>
      <c r="B1722" s="26" t="str">
        <f>"09PJN3305P"</f>
        <v>09PJN3305P</v>
      </c>
      <c r="C1722" s="26" t="str">
        <f>"JARDIN DE NIÑOS OCTAVIO PAZ                                                                         "</f>
        <v xml:space="preserve">JARDIN DE NIÑOS OCTAVIO PAZ                                                                         </v>
      </c>
      <c r="D1722" s="26" t="str">
        <f t="shared" si="320"/>
        <v>MATUTINO</v>
      </c>
      <c r="E1722" s="26" t="str">
        <f>"RETORNO 31 DE GENARO GARCIA NO. 10                                              "</f>
        <v xml:space="preserve">RETORNO 31 DE GENARO GARCIA NO. 10                                              </v>
      </c>
      <c r="F1722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1722" s="26" t="str">
        <f>"VENUSTIANO CARRANZA                                                             "</f>
        <v xml:space="preserve">VENUSTIANO CARRANZA                                                             </v>
      </c>
      <c r="H1722" s="26" t="str">
        <f>"096"</f>
        <v>096</v>
      </c>
      <c r="I1722" s="26" t="str">
        <f t="shared" si="316"/>
        <v>00</v>
      </c>
      <c r="J1722" s="26" t="str">
        <f>"33 "</f>
        <v xml:space="preserve">33 </v>
      </c>
      <c r="K1722" s="26" t="str">
        <f t="shared" si="317"/>
        <v>EP</v>
      </c>
      <c r="L1722" s="26" t="str">
        <f t="shared" si="318"/>
        <v>DGOSE</v>
      </c>
      <c r="M1722" s="26" t="str">
        <f t="shared" si="312"/>
        <v>PARTICULAR</v>
      </c>
      <c r="N1722" s="26">
        <v>32</v>
      </c>
      <c r="O1722" s="26">
        <v>18</v>
      </c>
      <c r="P1722" s="26">
        <v>14</v>
      </c>
      <c r="Q1722" s="26">
        <v>3</v>
      </c>
      <c r="R1722" s="26">
        <v>1</v>
      </c>
      <c r="S1722" s="26">
        <v>2</v>
      </c>
      <c r="T1722" s="26">
        <v>0</v>
      </c>
      <c r="U1722" s="26">
        <v>3</v>
      </c>
      <c r="V1722" s="26">
        <v>1</v>
      </c>
      <c r="W1722" s="26"/>
    </row>
    <row r="1723" spans="1:23" x14ac:dyDescent="0.25">
      <c r="A1723" s="26" t="str">
        <f t="shared" si="315"/>
        <v>PREESCOLAR</v>
      </c>
      <c r="B1723" s="26" t="str">
        <f>"09PJN3306O"</f>
        <v>09PJN3306O</v>
      </c>
      <c r="C1723" s="26" t="str">
        <f>"ESTANCIA INFANTIL LOS PEQUES                                                                        "</f>
        <v xml:space="preserve">ESTANCIA INFANTIL LOS PEQUES                                                                        </v>
      </c>
      <c r="D1723" s="26" t="str">
        <f t="shared" si="320"/>
        <v>MATUTINO</v>
      </c>
      <c r="E1723" s="26" t="str">
        <f>"AV. CENTENARIO NO. 601                                                          "</f>
        <v xml:space="preserve">AV. CENTENARIO NO. 601                                                          </v>
      </c>
      <c r="F1723" s="26" t="str">
        <f>"LOMAS DE TARANGO                                                                                                                            "</f>
        <v xml:space="preserve">LOMAS DE TARANGO                                                                                                                            </v>
      </c>
      <c r="G1723" s="26" t="str">
        <f>"ALVARO OBREGON                                                                  "</f>
        <v xml:space="preserve">ALVARO OBREGON                                                                  </v>
      </c>
      <c r="H1723" s="26" t="str">
        <f>"046"</f>
        <v>046</v>
      </c>
      <c r="I1723" s="26" t="str">
        <f t="shared" si="316"/>
        <v>00</v>
      </c>
      <c r="J1723" s="26" t="str">
        <f>"33 "</f>
        <v xml:space="preserve">33 </v>
      </c>
      <c r="K1723" s="26" t="str">
        <f t="shared" si="317"/>
        <v>EP</v>
      </c>
      <c r="L1723" s="26" t="str">
        <f t="shared" si="318"/>
        <v>DGOSE</v>
      </c>
      <c r="M1723" s="26" t="str">
        <f t="shared" si="312"/>
        <v>PARTICULAR</v>
      </c>
      <c r="N1723" s="26">
        <v>19</v>
      </c>
      <c r="O1723" s="26">
        <v>9</v>
      </c>
      <c r="P1723" s="26">
        <v>10</v>
      </c>
      <c r="Q1723" s="26">
        <v>3</v>
      </c>
      <c r="R1723" s="26">
        <v>1</v>
      </c>
      <c r="S1723" s="26">
        <v>2</v>
      </c>
      <c r="T1723" s="26">
        <v>6</v>
      </c>
      <c r="U1723" s="26">
        <v>9</v>
      </c>
      <c r="V1723" s="26">
        <v>1</v>
      </c>
      <c r="W1723" s="26"/>
    </row>
    <row r="1724" spans="1:23" x14ac:dyDescent="0.25">
      <c r="A1724" s="26" t="str">
        <f t="shared" si="315"/>
        <v>PREESCOLAR</v>
      </c>
      <c r="B1724" s="26" t="str">
        <f>"09PJN3308M"</f>
        <v>09PJN3308M</v>
      </c>
      <c r="C1724" s="26" t="str">
        <f>"JARDIN DE NIÑOS LUCECITA                                                                            "</f>
        <v xml:space="preserve">JARDIN DE NIÑOS LUCECITA                                                                            </v>
      </c>
      <c r="D1724" s="26" t="str">
        <f t="shared" si="320"/>
        <v>MATUTINO</v>
      </c>
      <c r="E1724" s="26" t="str">
        <f>"CALLE 633 NO. 203                                                               "</f>
        <v xml:space="preserve">CALLE 633 NO. 203                                                               </v>
      </c>
      <c r="F1724" s="26" t="str">
        <f>"UNIDAD SAN JUAN DE ARAGON 5A SECCIO                                                                                                         "</f>
        <v xml:space="preserve">UNIDAD SAN JUAN DE ARAGON 5A SECCIO                                                                                                         </v>
      </c>
      <c r="G1724" s="26" t="str">
        <f>"GUSTAVO A. MADERO                                                               "</f>
        <v xml:space="preserve">GUSTAVO A. MADERO                                                               </v>
      </c>
      <c r="H1724" s="26" t="str">
        <f>"006"</f>
        <v>006</v>
      </c>
      <c r="I1724" s="26" t="str">
        <f t="shared" si="316"/>
        <v>00</v>
      </c>
      <c r="J1724" s="26" t="str">
        <f>"32 "</f>
        <v xml:space="preserve">32 </v>
      </c>
      <c r="K1724" s="26" t="str">
        <f t="shared" si="317"/>
        <v>EP</v>
      </c>
      <c r="L1724" s="26" t="str">
        <f t="shared" si="318"/>
        <v>DGOSE</v>
      </c>
      <c r="M1724" s="26" t="str">
        <f t="shared" si="312"/>
        <v>PARTICULAR</v>
      </c>
      <c r="N1724" s="26">
        <v>10</v>
      </c>
      <c r="O1724" s="26">
        <v>3</v>
      </c>
      <c r="P1724" s="26">
        <v>7</v>
      </c>
      <c r="Q1724" s="26">
        <v>2</v>
      </c>
      <c r="R1724" s="26">
        <v>1</v>
      </c>
      <c r="S1724" s="26">
        <v>2</v>
      </c>
      <c r="T1724" s="26">
        <v>0</v>
      </c>
      <c r="U1724" s="26">
        <v>3</v>
      </c>
      <c r="V1724" s="26">
        <v>1</v>
      </c>
      <c r="W1724" s="26"/>
    </row>
    <row r="1725" spans="1:23" x14ac:dyDescent="0.25">
      <c r="A1725" s="26" t="str">
        <f t="shared" si="315"/>
        <v>PREESCOLAR</v>
      </c>
      <c r="B1725" s="26" t="str">
        <f>"09PJN3309L"</f>
        <v>09PJN3309L</v>
      </c>
      <c r="C1725" s="26" t="str">
        <f>"JARDIN DE NIÑOS LUCERO                                                                              "</f>
        <v xml:space="preserve">JARDIN DE NIÑOS LUCERO                                                                              </v>
      </c>
      <c r="D1725" s="26" t="str">
        <f t="shared" si="320"/>
        <v>MATUTINO</v>
      </c>
      <c r="E1725" s="26" t="str">
        <f>"SUR 115 NO. 2413                                                                "</f>
        <v xml:space="preserve">SUR 115 NO. 2413                                                                </v>
      </c>
      <c r="F1725" s="26" t="str">
        <f>"GABRIEL RAMOS MILLAN AMPLIACION                                                                                                             "</f>
        <v xml:space="preserve">GABRIEL RAMOS MILLAN AMPLIACION                                                                                                             </v>
      </c>
      <c r="G1725" s="26" t="str">
        <f>"IZTACALCO                                                                       "</f>
        <v xml:space="preserve">IZTACALCO                                                                       </v>
      </c>
      <c r="H1725" s="26" t="str">
        <f>"144"</f>
        <v>144</v>
      </c>
      <c r="I1725" s="26" t="str">
        <f t="shared" si="316"/>
        <v>00</v>
      </c>
      <c r="J1725" s="26" t="str">
        <f>"33 "</f>
        <v xml:space="preserve">33 </v>
      </c>
      <c r="K1725" s="26" t="str">
        <f t="shared" si="317"/>
        <v>EP</v>
      </c>
      <c r="L1725" s="26" t="str">
        <f t="shared" si="318"/>
        <v>DGOSE</v>
      </c>
      <c r="M1725" s="26" t="str">
        <f t="shared" si="312"/>
        <v>PARTICULAR</v>
      </c>
      <c r="N1725" s="26">
        <v>107</v>
      </c>
      <c r="O1725" s="26">
        <v>44</v>
      </c>
      <c r="P1725" s="26">
        <v>63</v>
      </c>
      <c r="Q1725" s="26">
        <v>4</v>
      </c>
      <c r="R1725" s="26">
        <v>1</v>
      </c>
      <c r="S1725" s="26">
        <v>4</v>
      </c>
      <c r="T1725" s="26">
        <v>5</v>
      </c>
      <c r="U1725" s="26">
        <v>10</v>
      </c>
      <c r="V1725" s="26">
        <v>1</v>
      </c>
      <c r="W1725" s="26"/>
    </row>
    <row r="1726" spans="1:23" x14ac:dyDescent="0.25">
      <c r="A1726" s="26" t="str">
        <f t="shared" si="315"/>
        <v>PREESCOLAR</v>
      </c>
      <c r="B1726" s="26" t="str">
        <f>"09PJN3312Z"</f>
        <v>09PJN3312Z</v>
      </c>
      <c r="C1726" s="26" t="str">
        <f>"JARDIN DE NIÑOS MAESTRO MANUEL ACOSTA                                                               "</f>
        <v xml:space="preserve">JARDIN DE NIÑOS MAESTRO MANUEL ACOSTA                                                               </v>
      </c>
      <c r="D1726" s="26" t="str">
        <f t="shared" si="320"/>
        <v>MATUTINO</v>
      </c>
      <c r="E1726" s="26" t="str">
        <f>"TENANCALCO NO. 13                                                               "</f>
        <v xml:space="preserve">TENANCALCO NO. 13                                                               </v>
      </c>
      <c r="F1726" s="26" t="str">
        <f>"MIGUEL HIDALGO                                                                                                                              "</f>
        <v xml:space="preserve">MIGUEL HIDALGO                                                                                                                              </v>
      </c>
      <c r="G1726" s="26" t="str">
        <f>"TLALPAN                                                                         "</f>
        <v xml:space="preserve">TLALPAN                                                                         </v>
      </c>
      <c r="H1726" s="26" t="str">
        <f>"222"</f>
        <v>222</v>
      </c>
      <c r="I1726" s="26" t="str">
        <f t="shared" si="316"/>
        <v>00</v>
      </c>
      <c r="J1726" s="26" t="str">
        <f>"35 "</f>
        <v xml:space="preserve">35 </v>
      </c>
      <c r="K1726" s="26" t="str">
        <f t="shared" si="317"/>
        <v>EP</v>
      </c>
      <c r="L1726" s="26" t="str">
        <f t="shared" si="318"/>
        <v>DGOSE</v>
      </c>
      <c r="M1726" s="26" t="str">
        <f t="shared" si="312"/>
        <v>PARTICULAR</v>
      </c>
      <c r="N1726" s="26">
        <v>49</v>
      </c>
      <c r="O1726" s="26">
        <v>19</v>
      </c>
      <c r="P1726" s="26">
        <v>30</v>
      </c>
      <c r="Q1726" s="26">
        <v>3</v>
      </c>
      <c r="R1726" s="26">
        <v>1</v>
      </c>
      <c r="S1726" s="26">
        <v>2</v>
      </c>
      <c r="T1726" s="26">
        <v>10</v>
      </c>
      <c r="U1726" s="26">
        <v>13</v>
      </c>
      <c r="V1726" s="26">
        <v>1</v>
      </c>
      <c r="W1726" s="26"/>
    </row>
    <row r="1727" spans="1:23" x14ac:dyDescent="0.25">
      <c r="A1727" s="26" t="str">
        <f t="shared" si="315"/>
        <v>PREESCOLAR</v>
      </c>
      <c r="B1727" s="26" t="str">
        <f>"09PJN3313Y"</f>
        <v>09PJN3313Y</v>
      </c>
      <c r="C1727" s="26" t="str">
        <f>"KINDER MAFALDA                                                                                      "</f>
        <v xml:space="preserve">KINDER MAFALDA                                                                                      </v>
      </c>
      <c r="D1727" s="26" t="str">
        <f t="shared" si="320"/>
        <v>MATUTINO</v>
      </c>
      <c r="E1727" s="26" t="str">
        <f>"LAZARO CARDENAS NO. 8                                                           "</f>
        <v xml:space="preserve">LAZARO CARDENAS NO. 8                                                           </v>
      </c>
      <c r="F1727" s="26" t="str">
        <f>"LA MALINCHE                                                                                                                                 "</f>
        <v xml:space="preserve">LA MALINCHE                                                                                                                                 </v>
      </c>
      <c r="G1727" s="26" t="str">
        <f>"LA MAGDALENA CONTRERAS                                                          "</f>
        <v xml:space="preserve">LA MAGDALENA CONTRERAS                                                          </v>
      </c>
      <c r="H1727" s="26" t="str">
        <f>"066"</f>
        <v>066</v>
      </c>
      <c r="I1727" s="26" t="str">
        <f t="shared" si="316"/>
        <v>00</v>
      </c>
      <c r="J1727" s="26" t="str">
        <f>"35 "</f>
        <v xml:space="preserve">35 </v>
      </c>
      <c r="K1727" s="26" t="str">
        <f t="shared" si="317"/>
        <v>EP</v>
      </c>
      <c r="L1727" s="26" t="str">
        <f t="shared" si="318"/>
        <v>DGOSE</v>
      </c>
      <c r="M1727" s="26" t="str">
        <f t="shared" ref="M1727:M1790" si="321">"PARTICULAR"</f>
        <v>PARTICULAR</v>
      </c>
      <c r="N1727" s="26">
        <v>21</v>
      </c>
      <c r="O1727" s="26">
        <v>12</v>
      </c>
      <c r="P1727" s="26">
        <v>9</v>
      </c>
      <c r="Q1727" s="26">
        <v>3</v>
      </c>
      <c r="R1727" s="26">
        <v>1</v>
      </c>
      <c r="S1727" s="26">
        <v>3</v>
      </c>
      <c r="T1727" s="26">
        <v>1</v>
      </c>
      <c r="U1727" s="26">
        <v>5</v>
      </c>
      <c r="V1727" s="26">
        <v>1</v>
      </c>
      <c r="W1727" s="26"/>
    </row>
    <row r="1728" spans="1:23" x14ac:dyDescent="0.25">
      <c r="A1728" s="26" t="str">
        <f t="shared" si="315"/>
        <v>PREESCOLAR</v>
      </c>
      <c r="B1728" s="26" t="str">
        <f>"09PJN3316V"</f>
        <v>09PJN3316V</v>
      </c>
      <c r="C1728" s="26" t="str">
        <f>"MELODY                                                                                              "</f>
        <v xml:space="preserve">MELODY                                                                                              </v>
      </c>
      <c r="D1728" s="26" t="str">
        <f t="shared" si="320"/>
        <v>MATUTINO</v>
      </c>
      <c r="E1728" s="26" t="str">
        <f>"SUR 26 No. 19                                                                   "</f>
        <v xml:space="preserve">SUR 26 No. 19                                                                   </v>
      </c>
      <c r="F1728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1728" s="26" t="str">
        <f>"IZTACALCO                                                                       "</f>
        <v xml:space="preserve">IZTACALCO                                                                       </v>
      </c>
      <c r="H1728" s="26" t="str">
        <f>"240"</f>
        <v>240</v>
      </c>
      <c r="I1728" s="26" t="str">
        <f t="shared" si="316"/>
        <v>00</v>
      </c>
      <c r="J1728" s="26" t="str">
        <f t="shared" ref="J1728:J1733" si="322">"33 "</f>
        <v xml:space="preserve">33 </v>
      </c>
      <c r="K1728" s="26" t="str">
        <f t="shared" si="317"/>
        <v>EP</v>
      </c>
      <c r="L1728" s="26" t="str">
        <f t="shared" si="318"/>
        <v>DGOSE</v>
      </c>
      <c r="M1728" s="26" t="str">
        <f t="shared" si="321"/>
        <v>PARTICULAR</v>
      </c>
      <c r="N1728" s="26">
        <v>43</v>
      </c>
      <c r="O1728" s="26">
        <v>18</v>
      </c>
      <c r="P1728" s="26">
        <v>25</v>
      </c>
      <c r="Q1728" s="26">
        <v>3</v>
      </c>
      <c r="R1728" s="26">
        <v>1</v>
      </c>
      <c r="S1728" s="26">
        <v>3</v>
      </c>
      <c r="T1728" s="26">
        <v>7</v>
      </c>
      <c r="U1728" s="26">
        <v>11</v>
      </c>
      <c r="V1728" s="26">
        <v>1</v>
      </c>
      <c r="W1728" s="26"/>
    </row>
    <row r="1729" spans="1:23" x14ac:dyDescent="0.25">
      <c r="A1729" s="26" t="str">
        <f t="shared" si="315"/>
        <v>PREESCOLAR</v>
      </c>
      <c r="B1729" s="26" t="str">
        <f>"09PJN3317U"</f>
        <v>09PJN3317U</v>
      </c>
      <c r="C1729" s="26" t="str">
        <f>"CENTRO EDUCATIVO MEZTLI                                                                             "</f>
        <v xml:space="preserve">CENTRO EDUCATIVO MEZTLI                                                                             </v>
      </c>
      <c r="D1729" s="26" t="str">
        <f t="shared" si="320"/>
        <v>MATUTINO</v>
      </c>
      <c r="E1729" s="26" t="str">
        <f>"PASO CHACABUCO NO. 18                                                           "</f>
        <v xml:space="preserve">PASO CHACABUCO NO. 18                                                           </v>
      </c>
      <c r="F1729" s="26" t="str">
        <f>"LA MEXICANA                                                                                                                                 "</f>
        <v xml:space="preserve">LA MEXICANA                                                                                                                                 </v>
      </c>
      <c r="G1729" s="26" t="str">
        <f>"ALVARO OBREGON                                                                  "</f>
        <v xml:space="preserve">ALVARO OBREGON                                                                  </v>
      </c>
      <c r="H1729" s="26" t="str">
        <f>"166"</f>
        <v>166</v>
      </c>
      <c r="I1729" s="26" t="str">
        <f t="shared" si="316"/>
        <v>00</v>
      </c>
      <c r="J1729" s="26" t="str">
        <f t="shared" si="322"/>
        <v xml:space="preserve">33 </v>
      </c>
      <c r="K1729" s="26" t="str">
        <f t="shared" si="317"/>
        <v>EP</v>
      </c>
      <c r="L1729" s="26" t="str">
        <f t="shared" si="318"/>
        <v>DGOSE</v>
      </c>
      <c r="M1729" s="26" t="str">
        <f t="shared" si="321"/>
        <v>PARTICULAR</v>
      </c>
      <c r="N1729" s="26">
        <v>24</v>
      </c>
      <c r="O1729" s="26">
        <v>9</v>
      </c>
      <c r="P1729" s="26">
        <v>15</v>
      </c>
      <c r="Q1729" s="26">
        <v>3</v>
      </c>
      <c r="R1729" s="26">
        <v>1</v>
      </c>
      <c r="S1729" s="26">
        <v>2</v>
      </c>
      <c r="T1729" s="26">
        <v>2</v>
      </c>
      <c r="U1729" s="26">
        <v>5</v>
      </c>
      <c r="V1729" s="26">
        <v>1</v>
      </c>
      <c r="W1729" s="26"/>
    </row>
    <row r="1730" spans="1:23" x14ac:dyDescent="0.25">
      <c r="A1730" s="26" t="str">
        <f t="shared" ref="A1730:A1793" si="323">"PREESCOLAR"</f>
        <v>PREESCOLAR</v>
      </c>
      <c r="B1730" s="26" t="str">
        <f>"09PJN3318T"</f>
        <v>09PJN3318T</v>
      </c>
      <c r="C1730" s="26" t="str">
        <f>"JARDIN DE NIÑOS MI FANTASIA                                                                         "</f>
        <v xml:space="preserve">JARDIN DE NIÑOS MI FANTASIA                                                                         </v>
      </c>
      <c r="D1730" s="26" t="str">
        <f t="shared" si="320"/>
        <v>MATUTINO</v>
      </c>
      <c r="E1730" s="26" t="str">
        <f>"25 DE DICIEMBRE NO. 51                                                          "</f>
        <v xml:space="preserve">25 DE DICIEMBRE NO. 51                                                          </v>
      </c>
      <c r="F1730" s="26" t="str">
        <f>"GRANJAS DE NAVIDAD                                                                                                                          "</f>
        <v xml:space="preserve">GRANJAS DE NAVIDAD                                                                                                                          </v>
      </c>
      <c r="G1730" s="26" t="str">
        <f>"CUAJIMALPA DE MORELOS                                                           "</f>
        <v xml:space="preserve">CUAJIMALPA DE MORELOS                                                           </v>
      </c>
      <c r="H1730" s="26" t="str">
        <f>"212"</f>
        <v>212</v>
      </c>
      <c r="I1730" s="26" t="str">
        <f t="shared" ref="I1730:I1793" si="324">"00"</f>
        <v>00</v>
      </c>
      <c r="J1730" s="26" t="str">
        <f t="shared" si="322"/>
        <v xml:space="preserve">33 </v>
      </c>
      <c r="K1730" s="26" t="str">
        <f t="shared" si="317"/>
        <v>EP</v>
      </c>
      <c r="L1730" s="26" t="str">
        <f t="shared" si="318"/>
        <v>DGOSE</v>
      </c>
      <c r="M1730" s="26" t="str">
        <f t="shared" si="321"/>
        <v>PARTICULAR</v>
      </c>
      <c r="N1730" s="26">
        <v>33</v>
      </c>
      <c r="O1730" s="26">
        <v>20</v>
      </c>
      <c r="P1730" s="26">
        <v>13</v>
      </c>
      <c r="Q1730" s="26">
        <v>3</v>
      </c>
      <c r="R1730" s="26">
        <v>1</v>
      </c>
      <c r="S1730" s="26">
        <v>3</v>
      </c>
      <c r="T1730" s="26">
        <v>1</v>
      </c>
      <c r="U1730" s="26">
        <v>5</v>
      </c>
      <c r="V1730" s="26">
        <v>1</v>
      </c>
      <c r="W1730" s="26"/>
    </row>
    <row r="1731" spans="1:23" x14ac:dyDescent="0.25">
      <c r="A1731" s="26" t="str">
        <f t="shared" si="323"/>
        <v>PREESCOLAR</v>
      </c>
      <c r="B1731" s="26" t="str">
        <f>"09PJN3319S"</f>
        <v>09PJN3319S</v>
      </c>
      <c r="C1731" s="26" t="str">
        <f>"MI KINDER                                                                                           "</f>
        <v xml:space="preserve">MI KINDER                                                                                           </v>
      </c>
      <c r="D1731" s="26" t="str">
        <f t="shared" si="320"/>
        <v>MATUTINO</v>
      </c>
      <c r="E1731" s="26" t="str">
        <f>"BOULEVARD DE LA LUZ NO. 232                                                     "</f>
        <v xml:space="preserve">BOULEVARD DE LA LUZ NO. 232                                                     </v>
      </c>
      <c r="F1731" s="26" t="str">
        <f>"JARDINES DEL PEDREGAL                                                                                                                       "</f>
        <v xml:space="preserve">JARDINES DEL PEDREGAL                                                                                                                       </v>
      </c>
      <c r="G1731" s="26" t="str">
        <f>"ALVARO OBREGON                                                                  "</f>
        <v xml:space="preserve">ALVARO OBREGON                                                                  </v>
      </c>
      <c r="H1731" s="26" t="str">
        <f>"150"</f>
        <v>150</v>
      </c>
      <c r="I1731" s="26" t="str">
        <f t="shared" si="324"/>
        <v>00</v>
      </c>
      <c r="J1731" s="26" t="str">
        <f t="shared" si="322"/>
        <v xml:space="preserve">33 </v>
      </c>
      <c r="K1731" s="26" t="str">
        <f t="shared" si="317"/>
        <v>EP</v>
      </c>
      <c r="L1731" s="26" t="str">
        <f t="shared" si="318"/>
        <v>DGOSE</v>
      </c>
      <c r="M1731" s="26" t="str">
        <f t="shared" si="321"/>
        <v>PARTICULAR</v>
      </c>
      <c r="N1731" s="26">
        <v>117</v>
      </c>
      <c r="O1731" s="26">
        <v>77</v>
      </c>
      <c r="P1731" s="26">
        <v>40</v>
      </c>
      <c r="Q1731" s="26">
        <v>7</v>
      </c>
      <c r="R1731" s="26">
        <v>1</v>
      </c>
      <c r="S1731" s="26">
        <v>7</v>
      </c>
      <c r="T1731" s="26">
        <v>10</v>
      </c>
      <c r="U1731" s="26">
        <v>18</v>
      </c>
      <c r="V1731" s="26">
        <v>1</v>
      </c>
      <c r="W1731" s="26"/>
    </row>
    <row r="1732" spans="1:23" x14ac:dyDescent="0.25">
      <c r="A1732" s="26" t="str">
        <f t="shared" si="323"/>
        <v>PREESCOLAR</v>
      </c>
      <c r="B1732" s="26" t="str">
        <f>"09PJN3320H"</f>
        <v>09PJN3320H</v>
      </c>
      <c r="C1732" s="26" t="str">
        <f>"JARDIN DE NIÑOS QUETZALCOATL                                                                        "</f>
        <v xml:space="preserve">JARDIN DE NIÑOS QUETZALCOATL                                                                        </v>
      </c>
      <c r="D1732" s="26" t="str">
        <f t="shared" si="320"/>
        <v>MATUTINO</v>
      </c>
      <c r="E1732" s="26" t="str">
        <f>"AV. MONTES DE LAS CRUCES NO. 56                                                 "</f>
        <v xml:space="preserve">AV. MONTES DE LAS CRUCES NO. 56                                                 </v>
      </c>
      <c r="F1732" s="26" t="str">
        <f>"LA PILA                                                                                                                                     "</f>
        <v xml:space="preserve">LA PILA                                                                                                                                     </v>
      </c>
      <c r="G1732" s="26" t="str">
        <f>"CUAJIMALPA DE MORELOS                                                           "</f>
        <v xml:space="preserve">CUAJIMALPA DE MORELOS                                                           </v>
      </c>
      <c r="H1732" s="26" t="str">
        <f>"279"</f>
        <v>279</v>
      </c>
      <c r="I1732" s="26" t="str">
        <f t="shared" si="324"/>
        <v>00</v>
      </c>
      <c r="J1732" s="26" t="str">
        <f t="shared" si="322"/>
        <v xml:space="preserve">33 </v>
      </c>
      <c r="K1732" s="26" t="str">
        <f t="shared" si="317"/>
        <v>EP</v>
      </c>
      <c r="L1732" s="26" t="str">
        <f t="shared" si="318"/>
        <v>DGOSE</v>
      </c>
      <c r="M1732" s="26" t="str">
        <f t="shared" si="321"/>
        <v>PARTICULAR</v>
      </c>
      <c r="N1732" s="26">
        <v>28</v>
      </c>
      <c r="O1732" s="26">
        <v>18</v>
      </c>
      <c r="P1732" s="26">
        <v>10</v>
      </c>
      <c r="Q1732" s="26">
        <v>2</v>
      </c>
      <c r="R1732" s="26">
        <v>1</v>
      </c>
      <c r="S1732" s="26">
        <v>2</v>
      </c>
      <c r="T1732" s="26">
        <v>0</v>
      </c>
      <c r="U1732" s="26">
        <v>3</v>
      </c>
      <c r="V1732" s="26">
        <v>1</v>
      </c>
      <c r="W1732" s="26"/>
    </row>
    <row r="1733" spans="1:23" x14ac:dyDescent="0.25">
      <c r="A1733" s="26" t="str">
        <f t="shared" si="323"/>
        <v>PREESCOLAR</v>
      </c>
      <c r="B1733" s="26" t="str">
        <f>"09PJN3324D"</f>
        <v>09PJN3324D</v>
      </c>
      <c r="C1733" s="26" t="str">
        <f>"MONTESSORI DE ATLAMAYA                                                                              "</f>
        <v xml:space="preserve">MONTESSORI DE ATLAMAYA                                                                              </v>
      </c>
      <c r="D1733" s="26" t="str">
        <f t="shared" si="320"/>
        <v>MATUTINO</v>
      </c>
      <c r="E1733" s="26" t="str">
        <f>"TLAPACOYA NO. 45                                                                "</f>
        <v xml:space="preserve">TLAPACOYA NO. 45                                                                </v>
      </c>
      <c r="F1733" s="26" t="str">
        <f>"ATLAMAYA                                                                                                                                    "</f>
        <v xml:space="preserve">ATLAMAYA                                                                                                                                    </v>
      </c>
      <c r="G1733" s="26" t="str">
        <f>"ALVARO OBREGON                                                                  "</f>
        <v xml:space="preserve">ALVARO OBREGON                                                                  </v>
      </c>
      <c r="H1733" s="26" t="str">
        <f>"214"</f>
        <v>214</v>
      </c>
      <c r="I1733" s="26" t="str">
        <f t="shared" si="324"/>
        <v>00</v>
      </c>
      <c r="J1733" s="26" t="str">
        <f t="shared" si="322"/>
        <v xml:space="preserve">33 </v>
      </c>
      <c r="K1733" s="26" t="str">
        <f t="shared" si="317"/>
        <v>EP</v>
      </c>
      <c r="L1733" s="26" t="str">
        <f t="shared" si="318"/>
        <v>DGOSE</v>
      </c>
      <c r="M1733" s="26" t="str">
        <f t="shared" si="321"/>
        <v>PARTICULAR</v>
      </c>
      <c r="N1733" s="26">
        <v>32</v>
      </c>
      <c r="O1733" s="26">
        <v>21</v>
      </c>
      <c r="P1733" s="26">
        <v>11</v>
      </c>
      <c r="Q1733" s="26">
        <v>3</v>
      </c>
      <c r="R1733" s="26">
        <v>1</v>
      </c>
      <c r="S1733" s="26">
        <v>2</v>
      </c>
      <c r="T1733" s="26">
        <v>4</v>
      </c>
      <c r="U1733" s="26">
        <v>7</v>
      </c>
      <c r="V1733" s="26">
        <v>1</v>
      </c>
      <c r="W1733" s="26"/>
    </row>
    <row r="1734" spans="1:23" x14ac:dyDescent="0.25">
      <c r="A1734" s="26" t="str">
        <f t="shared" si="323"/>
        <v>PREESCOLAR</v>
      </c>
      <c r="B1734" s="26" t="str">
        <f>"09PJN3340V"</f>
        <v>09PJN3340V</v>
      </c>
      <c r="C1734" s="26" t="str">
        <f>"COLEGIO QUIRINO MENDOZA Y CORTES                                                                    "</f>
        <v xml:space="preserve">COLEGIO QUIRINO MENDOZA Y CORTES                                                                    </v>
      </c>
      <c r="D1734" s="26" t="str">
        <f t="shared" si="320"/>
        <v>MATUTINO</v>
      </c>
      <c r="E1734" s="26" t="str">
        <f>"MELCHOR OCAMPO NO. 36                                                           "</f>
        <v xml:space="preserve">MELCHOR OCAMPO NO. 36                                                           </v>
      </c>
      <c r="F1734" s="26" t="str">
        <f>"TLAHUAC                                                                                                                                     "</f>
        <v xml:space="preserve">TLAHUAC                                                                                                                                     </v>
      </c>
      <c r="G1734" s="26" t="str">
        <f>"TLAHUAC                                                                         "</f>
        <v xml:space="preserve">TLAHUAC                                                                         </v>
      </c>
      <c r="H1734" s="26" t="str">
        <f>"142"</f>
        <v>142</v>
      </c>
      <c r="I1734" s="26" t="str">
        <f t="shared" si="324"/>
        <v>00</v>
      </c>
      <c r="J1734" s="26" t="str">
        <f>"35 "</f>
        <v xml:space="preserve">35 </v>
      </c>
      <c r="K1734" s="26" t="str">
        <f t="shared" si="317"/>
        <v>EP</v>
      </c>
      <c r="L1734" s="26" t="str">
        <f t="shared" si="318"/>
        <v>DGOSE</v>
      </c>
      <c r="M1734" s="26" t="str">
        <f t="shared" si="321"/>
        <v>PARTICULAR</v>
      </c>
      <c r="N1734" s="26">
        <v>64</v>
      </c>
      <c r="O1734" s="26">
        <v>35</v>
      </c>
      <c r="P1734" s="26">
        <v>29</v>
      </c>
      <c r="Q1734" s="26">
        <v>5</v>
      </c>
      <c r="R1734" s="26">
        <v>1</v>
      </c>
      <c r="S1734" s="26">
        <v>5</v>
      </c>
      <c r="T1734" s="26">
        <v>2</v>
      </c>
      <c r="U1734" s="26">
        <v>8</v>
      </c>
      <c r="V1734" s="26">
        <v>1</v>
      </c>
      <c r="W1734" s="26"/>
    </row>
    <row r="1735" spans="1:23" x14ac:dyDescent="0.25">
      <c r="A1735" s="26" t="str">
        <f t="shared" si="323"/>
        <v>PREESCOLAR</v>
      </c>
      <c r="B1735" s="26" t="str">
        <f>"09PJN3341U"</f>
        <v>09PJN3341U</v>
      </c>
      <c r="C1735" s="26" t="str">
        <f>"CENTRO EDUCATIVO INFANTIL AL PRINCIPIO DEL ARCO IRIS                                                "</f>
        <v xml:space="preserve">CENTRO EDUCATIVO INFANTIL AL PRINCIPIO DEL ARCO IRIS                                                </v>
      </c>
      <c r="D1735" s="26" t="str">
        <f t="shared" si="320"/>
        <v>MATUTINO</v>
      </c>
      <c r="E1735" s="26" t="str">
        <f>"ZACATEPETL NO. 330                                                              "</f>
        <v xml:space="preserve">ZACATEPETL NO. 330                                                              </v>
      </c>
      <c r="F1735" s="26" t="str">
        <f>"PARQUE DEL PEDREGAL                                                                                                                         "</f>
        <v xml:space="preserve">PARQUE DEL PEDREGAL                                                                                                                         </v>
      </c>
      <c r="G1735" s="26" t="str">
        <f>"TLALPAN                                                                         "</f>
        <v xml:space="preserve">TLALPAN                                                                         </v>
      </c>
      <c r="H1735" s="26" t="str">
        <f>"146"</f>
        <v>146</v>
      </c>
      <c r="I1735" s="26" t="str">
        <f t="shared" si="324"/>
        <v>00</v>
      </c>
      <c r="J1735" s="26" t="str">
        <f>"35 "</f>
        <v xml:space="preserve">35 </v>
      </c>
      <c r="K1735" s="26" t="str">
        <f t="shared" si="317"/>
        <v>EP</v>
      </c>
      <c r="L1735" s="26" t="str">
        <f t="shared" si="318"/>
        <v>DGOSE</v>
      </c>
      <c r="M1735" s="26" t="str">
        <f t="shared" si="321"/>
        <v>PARTICULAR</v>
      </c>
      <c r="N1735" s="26">
        <v>14</v>
      </c>
      <c r="O1735" s="26">
        <v>8</v>
      </c>
      <c r="P1735" s="26">
        <v>6</v>
      </c>
      <c r="Q1735" s="26">
        <v>3</v>
      </c>
      <c r="R1735" s="26">
        <v>1</v>
      </c>
      <c r="S1735" s="26">
        <v>3</v>
      </c>
      <c r="T1735" s="26">
        <v>6</v>
      </c>
      <c r="U1735" s="26">
        <v>10</v>
      </c>
      <c r="V1735" s="26">
        <v>1</v>
      </c>
      <c r="W1735" s="26"/>
    </row>
    <row r="1736" spans="1:23" x14ac:dyDescent="0.25">
      <c r="A1736" s="26" t="str">
        <f t="shared" si="323"/>
        <v>PREESCOLAR</v>
      </c>
      <c r="B1736" s="26" t="str">
        <f>"09PJN3342T"</f>
        <v>09PJN3342T</v>
      </c>
      <c r="C1736" s="26" t="str">
        <f>"LICEO ROBERT OWEN                                                                                   "</f>
        <v xml:space="preserve">LICEO ROBERT OWEN                                                                                   </v>
      </c>
      <c r="D1736" s="26" t="str">
        <f t="shared" si="320"/>
        <v>MATUTINO</v>
      </c>
      <c r="E1736" s="26" t="str">
        <f>"CDA DE  PINO NO. 12                                                             "</f>
        <v xml:space="preserve">CDA DE  PINO NO. 12                                                             </v>
      </c>
      <c r="F1736" s="26" t="str">
        <f>"LA GUADALUPITA                                                                                                                              "</f>
        <v xml:space="preserve">LA GUADALUPITA                                                                                                                              </v>
      </c>
      <c r="G1736" s="26" t="str">
        <f>"XOCHIMILCO                                                                      "</f>
        <v xml:space="preserve">XOCHIMILCO                                                                      </v>
      </c>
      <c r="H1736" s="26" t="str">
        <f>"141"</f>
        <v>141</v>
      </c>
      <c r="I1736" s="26" t="str">
        <f t="shared" si="324"/>
        <v>00</v>
      </c>
      <c r="J1736" s="26" t="str">
        <f>"35 "</f>
        <v xml:space="preserve">35 </v>
      </c>
      <c r="K1736" s="26" t="str">
        <f t="shared" si="317"/>
        <v>EP</v>
      </c>
      <c r="L1736" s="26" t="str">
        <f t="shared" si="318"/>
        <v>DGOSE</v>
      </c>
      <c r="M1736" s="26" t="str">
        <f t="shared" si="321"/>
        <v>PARTICULAR</v>
      </c>
      <c r="N1736" s="26">
        <v>33</v>
      </c>
      <c r="O1736" s="26">
        <v>22</v>
      </c>
      <c r="P1736" s="26">
        <v>11</v>
      </c>
      <c r="Q1736" s="26">
        <v>3</v>
      </c>
      <c r="R1736" s="26">
        <v>1</v>
      </c>
      <c r="S1736" s="26">
        <v>3</v>
      </c>
      <c r="T1736" s="26">
        <v>5</v>
      </c>
      <c r="U1736" s="26">
        <v>9</v>
      </c>
      <c r="V1736" s="26">
        <v>1</v>
      </c>
      <c r="W1736" s="26"/>
    </row>
    <row r="1737" spans="1:23" x14ac:dyDescent="0.25">
      <c r="A1737" s="26" t="str">
        <f t="shared" si="323"/>
        <v>PREESCOLAR</v>
      </c>
      <c r="B1737" s="26" t="str">
        <f>"09PJN3344R"</f>
        <v>09PJN3344R</v>
      </c>
      <c r="C1737" s="26" t="str">
        <f>"JARDIN DE NIÑOS SEMILLITA DE MEXICO                                                                 "</f>
        <v xml:space="preserve">JARDIN DE NIÑOS SEMILLITA DE MEXICO                                                                 </v>
      </c>
      <c r="D1737" s="26" t="str">
        <f t="shared" si="320"/>
        <v>MATUTINO</v>
      </c>
      <c r="E1737" s="26" t="str">
        <f>"3A. CERRADA DE OBSERVATORIO NO. 12                                              "</f>
        <v xml:space="preserve">3A. CERRADA DE OBSERVATORIO NO. 12                                              </v>
      </c>
      <c r="F1737" s="26" t="str">
        <f>"COVE                                                                                                                                        "</f>
        <v xml:space="preserve">COVE                                                                                                                                        </v>
      </c>
      <c r="G1737" s="26" t="str">
        <f>"ALVARO OBREGON                                                                  "</f>
        <v xml:space="preserve">ALVARO OBREGON                                                                  </v>
      </c>
      <c r="H1737" s="26" t="str">
        <f>"166"</f>
        <v>166</v>
      </c>
      <c r="I1737" s="26" t="str">
        <f t="shared" si="324"/>
        <v>00</v>
      </c>
      <c r="J1737" s="26" t="str">
        <f>"33 "</f>
        <v xml:space="preserve">33 </v>
      </c>
      <c r="K1737" s="26" t="str">
        <f t="shared" si="317"/>
        <v>EP</v>
      </c>
      <c r="L1737" s="26" t="str">
        <f t="shared" si="318"/>
        <v>DGOSE</v>
      </c>
      <c r="M1737" s="26" t="str">
        <f t="shared" si="321"/>
        <v>PARTICULAR</v>
      </c>
      <c r="N1737" s="26">
        <v>88</v>
      </c>
      <c r="O1737" s="26">
        <v>36</v>
      </c>
      <c r="P1737" s="26">
        <v>52</v>
      </c>
      <c r="Q1737" s="26">
        <v>4</v>
      </c>
      <c r="R1737" s="26">
        <v>1</v>
      </c>
      <c r="S1737" s="26">
        <v>4</v>
      </c>
      <c r="T1737" s="26">
        <v>4</v>
      </c>
      <c r="U1737" s="26">
        <v>9</v>
      </c>
      <c r="V1737" s="26">
        <v>1</v>
      </c>
      <c r="W1737" s="26"/>
    </row>
    <row r="1738" spans="1:23" x14ac:dyDescent="0.25">
      <c r="A1738" s="26" t="str">
        <f t="shared" si="323"/>
        <v>PREESCOLAR</v>
      </c>
      <c r="B1738" s="26" t="str">
        <f>"09PJN3346P"</f>
        <v>09PJN3346P</v>
      </c>
      <c r="C1738" s="26" t="str">
        <f>"SIMON BOLIVAR                                                                                       "</f>
        <v xml:space="preserve">SIMON BOLIVAR                                                                                       </v>
      </c>
      <c r="D1738" s="26" t="str">
        <f t="shared" si="320"/>
        <v>MATUTINO</v>
      </c>
      <c r="E1738" s="26" t="str">
        <f>"CRATER NO. 811                                                                  "</f>
        <v xml:space="preserve">CRATER NO. 811                                                                  </v>
      </c>
      <c r="F1738" s="26" t="str">
        <f>"JARDINES DEL PEDREGAL                                                                                                                       "</f>
        <v xml:space="preserve">JARDINES DEL PEDREGAL                                                                                                                       </v>
      </c>
      <c r="G1738" s="26" t="str">
        <f>"ALVARO OBREGON                                                                  "</f>
        <v xml:space="preserve">ALVARO OBREGON                                                                  </v>
      </c>
      <c r="H1738" s="26" t="str">
        <f>"150"</f>
        <v>150</v>
      </c>
      <c r="I1738" s="26" t="str">
        <f t="shared" si="324"/>
        <v>00</v>
      </c>
      <c r="J1738" s="26" t="str">
        <f>"33 "</f>
        <v xml:space="preserve">33 </v>
      </c>
      <c r="K1738" s="26" t="str">
        <f t="shared" si="317"/>
        <v>EP</v>
      </c>
      <c r="L1738" s="26" t="str">
        <f t="shared" si="318"/>
        <v>DGOSE</v>
      </c>
      <c r="M1738" s="26" t="str">
        <f t="shared" si="321"/>
        <v>PARTICULAR</v>
      </c>
      <c r="N1738" s="26">
        <v>14</v>
      </c>
      <c r="O1738" s="26">
        <v>10</v>
      </c>
      <c r="P1738" s="26">
        <v>4</v>
      </c>
      <c r="Q1738" s="26">
        <v>3</v>
      </c>
      <c r="R1738" s="26">
        <v>1</v>
      </c>
      <c r="S1738" s="26">
        <v>2</v>
      </c>
      <c r="T1738" s="26">
        <v>8</v>
      </c>
      <c r="U1738" s="26">
        <v>11</v>
      </c>
      <c r="V1738" s="26">
        <v>1</v>
      </c>
      <c r="W1738" s="26"/>
    </row>
    <row r="1739" spans="1:23" x14ac:dyDescent="0.25">
      <c r="A1739" s="26" t="str">
        <f t="shared" si="323"/>
        <v>PREESCOLAR</v>
      </c>
      <c r="B1739" s="26" t="str">
        <f>"09PJN3348N"</f>
        <v>09PJN3348N</v>
      </c>
      <c r="C1739" s="26" t="str">
        <f>"HILLSIDE SCHOOL                                                                                     "</f>
        <v xml:space="preserve">HILLSIDE SCHOOL                                                                                     </v>
      </c>
      <c r="D1739" s="26" t="str">
        <f t="shared" si="320"/>
        <v>MATUTINO</v>
      </c>
      <c r="E1739" s="26" t="str">
        <f>"DIVISION DEL NORTE NO. 101                                                      "</f>
        <v xml:space="preserve">DIVISION DEL NORTE NO. 101                                                      </v>
      </c>
      <c r="F1739" s="26" t="str">
        <f>"MEMETLA                                                                                                                                     "</f>
        <v xml:space="preserve">MEMETLA                                                                                                                                     </v>
      </c>
      <c r="G1739" s="26" t="str">
        <f>"CUAJIMALPA DE MORELOS                                                           "</f>
        <v xml:space="preserve">CUAJIMALPA DE MORELOS                                                           </v>
      </c>
      <c r="H1739" s="26" t="str">
        <f>"213"</f>
        <v>213</v>
      </c>
      <c r="I1739" s="26" t="str">
        <f t="shared" si="324"/>
        <v>00</v>
      </c>
      <c r="J1739" s="26" t="str">
        <f>"33 "</f>
        <v xml:space="preserve">33 </v>
      </c>
      <c r="K1739" s="26" t="str">
        <f t="shared" si="317"/>
        <v>EP</v>
      </c>
      <c r="L1739" s="26" t="str">
        <f t="shared" si="318"/>
        <v>DGOSE</v>
      </c>
      <c r="M1739" s="26" t="str">
        <f t="shared" si="321"/>
        <v>PARTICULAR</v>
      </c>
      <c r="N1739" s="26">
        <v>54</v>
      </c>
      <c r="O1739" s="26">
        <v>28</v>
      </c>
      <c r="P1739" s="26">
        <v>26</v>
      </c>
      <c r="Q1739" s="26">
        <v>4</v>
      </c>
      <c r="R1739" s="26">
        <v>1</v>
      </c>
      <c r="S1739" s="26">
        <v>4</v>
      </c>
      <c r="T1739" s="26">
        <v>7</v>
      </c>
      <c r="U1739" s="26">
        <v>12</v>
      </c>
      <c r="V1739" s="26">
        <v>1</v>
      </c>
      <c r="W1739" s="26"/>
    </row>
    <row r="1740" spans="1:23" x14ac:dyDescent="0.25">
      <c r="A1740" s="26" t="str">
        <f t="shared" si="323"/>
        <v>PREESCOLAR</v>
      </c>
      <c r="B1740" s="26" t="str">
        <f>"09PJN3349M"</f>
        <v>09PJN3349M</v>
      </c>
      <c r="C1740" s="26" t="str">
        <f>"COLEGIO MALINALLI                                                                                   "</f>
        <v xml:space="preserve">COLEGIO MALINALLI                                                                                   </v>
      </c>
      <c r="D1740" s="26" t="str">
        <f t="shared" si="320"/>
        <v>MATUTINO</v>
      </c>
      <c r="E1740" s="26" t="str">
        <f>"ALCESTIS MZA. 14 LT. 2                                                          "</f>
        <v xml:space="preserve">ALCESTIS MZA. 14 LT. 2                                                          </v>
      </c>
      <c r="F1740" s="26" t="str">
        <f>"MIGUEL HIDALGO                                                                                                                              "</f>
        <v xml:space="preserve">MIGUEL HIDALGO                                                                                                                              </v>
      </c>
      <c r="G1740" s="26" t="str">
        <f>"TLAHUAC                                                                         "</f>
        <v xml:space="preserve">TLAHUAC                                                                         </v>
      </c>
      <c r="H1740" s="26" t="str">
        <f>"242"</f>
        <v>242</v>
      </c>
      <c r="I1740" s="26" t="str">
        <f t="shared" si="324"/>
        <v>00</v>
      </c>
      <c r="J1740" s="26" t="str">
        <f>"35 "</f>
        <v xml:space="preserve">35 </v>
      </c>
      <c r="K1740" s="26" t="str">
        <f t="shared" si="317"/>
        <v>EP</v>
      </c>
      <c r="L1740" s="26" t="str">
        <f t="shared" si="318"/>
        <v>DGOSE</v>
      </c>
      <c r="M1740" s="26" t="str">
        <f t="shared" si="321"/>
        <v>PARTICULAR</v>
      </c>
      <c r="N1740" s="26">
        <v>54</v>
      </c>
      <c r="O1740" s="26">
        <v>24</v>
      </c>
      <c r="P1740" s="26">
        <v>30</v>
      </c>
      <c r="Q1740" s="26">
        <v>3</v>
      </c>
      <c r="R1740" s="26">
        <v>1</v>
      </c>
      <c r="S1740" s="26">
        <v>3</v>
      </c>
      <c r="T1740" s="26">
        <v>1</v>
      </c>
      <c r="U1740" s="26">
        <v>5</v>
      </c>
      <c r="V1740" s="26">
        <v>1</v>
      </c>
      <c r="W1740" s="26"/>
    </row>
    <row r="1741" spans="1:23" x14ac:dyDescent="0.25">
      <c r="A1741" s="26" t="str">
        <f t="shared" si="323"/>
        <v>PREESCOLAR</v>
      </c>
      <c r="B1741" s="26" t="str">
        <f>"09PJN3354Y"</f>
        <v>09PJN3354Y</v>
      </c>
      <c r="C1741" s="26" t="str">
        <f>"COLEGIO DEL TEPEYAC CENTRO EDUCATIVO PREESCOLAR                                                     "</f>
        <v xml:space="preserve">COLEGIO DEL TEPEYAC CENTRO EDUCATIVO PREESCOLAR                                                     </v>
      </c>
      <c r="D1741" s="26" t="str">
        <f t="shared" si="320"/>
        <v>MATUTINO</v>
      </c>
      <c r="E1741" s="26" t="str">
        <f>"CALLAO NO. 770                                                                  "</f>
        <v xml:space="preserve">CALLAO NO. 770                                                                  </v>
      </c>
      <c r="F1741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1741" s="26" t="str">
        <f>"GUSTAVO A. MADERO                                                               "</f>
        <v xml:space="preserve">GUSTAVO A. MADERO                                                               </v>
      </c>
      <c r="H1741" s="26" t="str">
        <f>"095"</f>
        <v>095</v>
      </c>
      <c r="I1741" s="26" t="str">
        <f t="shared" si="324"/>
        <v>00</v>
      </c>
      <c r="J1741" s="26" t="str">
        <f>"32 "</f>
        <v xml:space="preserve">32 </v>
      </c>
      <c r="K1741" s="26" t="str">
        <f t="shared" si="317"/>
        <v>EP</v>
      </c>
      <c r="L1741" s="26" t="str">
        <f t="shared" si="318"/>
        <v>DGOSE</v>
      </c>
      <c r="M1741" s="26" t="str">
        <f t="shared" si="321"/>
        <v>PARTICULAR</v>
      </c>
      <c r="N1741" s="26">
        <v>174</v>
      </c>
      <c r="O1741" s="26">
        <v>82</v>
      </c>
      <c r="P1741" s="26">
        <v>92</v>
      </c>
      <c r="Q1741" s="26">
        <v>8</v>
      </c>
      <c r="R1741" s="26">
        <v>1</v>
      </c>
      <c r="S1741" s="26">
        <v>8</v>
      </c>
      <c r="T1741" s="26">
        <v>17</v>
      </c>
      <c r="U1741" s="26">
        <v>26</v>
      </c>
      <c r="V1741" s="26">
        <v>1</v>
      </c>
      <c r="W1741" s="26"/>
    </row>
    <row r="1742" spans="1:23" x14ac:dyDescent="0.25">
      <c r="A1742" s="26" t="str">
        <f t="shared" si="323"/>
        <v>PREESCOLAR</v>
      </c>
      <c r="B1742" s="26" t="str">
        <f>"09PJN3361H"</f>
        <v>09PJN3361H</v>
      </c>
      <c r="C1742" s="26" t="str">
        <f>"VINCENT VAN GOGH                                                                                    "</f>
        <v xml:space="preserve">VINCENT VAN GOGH                                                                                    </v>
      </c>
      <c r="D1742" s="26" t="str">
        <f t="shared" si="320"/>
        <v>MATUTINO</v>
      </c>
      <c r="E1742" s="26" t="str">
        <f>"ZOTITLA NO. 60                                                                  "</f>
        <v xml:space="preserve">ZOTITLA NO. 60                                                                  </v>
      </c>
      <c r="F1742" s="26" t="str">
        <f>"ABDIAS GARCIA SOTO                                                                                                                          "</f>
        <v xml:space="preserve">ABDIAS GARCIA SOTO                                                                                                                          </v>
      </c>
      <c r="G1742" s="26" t="str">
        <f>"CUAJIMALPA DE MORELOS                                                           "</f>
        <v xml:space="preserve">CUAJIMALPA DE MORELOS                                                           </v>
      </c>
      <c r="H1742" s="26" t="str">
        <f>"213"</f>
        <v>213</v>
      </c>
      <c r="I1742" s="26" t="str">
        <f t="shared" si="324"/>
        <v>00</v>
      </c>
      <c r="J1742" s="26" t="str">
        <f>"33 "</f>
        <v xml:space="preserve">33 </v>
      </c>
      <c r="K1742" s="26" t="str">
        <f t="shared" si="317"/>
        <v>EP</v>
      </c>
      <c r="L1742" s="26" t="str">
        <f t="shared" si="318"/>
        <v>DGOSE</v>
      </c>
      <c r="M1742" s="26" t="str">
        <f t="shared" si="321"/>
        <v>PARTICULAR</v>
      </c>
      <c r="N1742" s="26">
        <v>18</v>
      </c>
      <c r="O1742" s="26">
        <v>9</v>
      </c>
      <c r="P1742" s="26">
        <v>9</v>
      </c>
      <c r="Q1742" s="26">
        <v>3</v>
      </c>
      <c r="R1742" s="26">
        <v>1</v>
      </c>
      <c r="S1742" s="26">
        <v>3</v>
      </c>
      <c r="T1742" s="26">
        <v>5</v>
      </c>
      <c r="U1742" s="26">
        <v>9</v>
      </c>
      <c r="V1742" s="26">
        <v>1</v>
      </c>
      <c r="W1742" s="26"/>
    </row>
    <row r="1743" spans="1:23" x14ac:dyDescent="0.25">
      <c r="A1743" s="26" t="str">
        <f t="shared" si="323"/>
        <v>PREESCOLAR</v>
      </c>
      <c r="B1743" s="26" t="str">
        <f>"09PJN3366C"</f>
        <v>09PJN3366C</v>
      </c>
      <c r="C1743" s="26" t="str">
        <f>"JARDIN DE NIÑOS YEYO                                                                                "</f>
        <v xml:space="preserve">JARDIN DE NIÑOS YEYO                                                                                </v>
      </c>
      <c r="D1743" s="26" t="str">
        <f t="shared" si="320"/>
        <v>MATUTINO</v>
      </c>
      <c r="E1743" s="26" t="str">
        <f>"JOJUTLA NO. 130                                                                 "</f>
        <v xml:space="preserve">JOJUTLA NO. 130                                                                 </v>
      </c>
      <c r="F1743" s="26" t="str">
        <f>"LA JOYA                                                                                                                                     "</f>
        <v xml:space="preserve">LA JOYA                                                                                                                                     </v>
      </c>
      <c r="G1743" s="26" t="str">
        <f>"TLALPAN                                                                         "</f>
        <v xml:space="preserve">TLALPAN                                                                         </v>
      </c>
      <c r="H1743" s="26" t="str">
        <f>"076"</f>
        <v>076</v>
      </c>
      <c r="I1743" s="26" t="str">
        <f t="shared" si="324"/>
        <v>00</v>
      </c>
      <c r="J1743" s="26" t="str">
        <f>"35 "</f>
        <v xml:space="preserve">35 </v>
      </c>
      <c r="K1743" s="26" t="str">
        <f t="shared" si="317"/>
        <v>EP</v>
      </c>
      <c r="L1743" s="26" t="str">
        <f t="shared" si="318"/>
        <v>DGOSE</v>
      </c>
      <c r="M1743" s="26" t="str">
        <f t="shared" si="321"/>
        <v>PARTICULAR</v>
      </c>
      <c r="N1743" s="26">
        <v>33</v>
      </c>
      <c r="O1743" s="26">
        <v>23</v>
      </c>
      <c r="P1743" s="26">
        <v>10</v>
      </c>
      <c r="Q1743" s="26">
        <v>3</v>
      </c>
      <c r="R1743" s="26">
        <v>1</v>
      </c>
      <c r="S1743" s="26">
        <v>3</v>
      </c>
      <c r="T1743" s="26">
        <v>2</v>
      </c>
      <c r="U1743" s="26">
        <v>6</v>
      </c>
      <c r="V1743" s="26">
        <v>1</v>
      </c>
      <c r="W1743" s="26"/>
    </row>
    <row r="1744" spans="1:23" x14ac:dyDescent="0.25">
      <c r="A1744" s="26" t="str">
        <f t="shared" si="323"/>
        <v>PREESCOLAR</v>
      </c>
      <c r="B1744" s="26" t="str">
        <f>"09PJN3376J"</f>
        <v>09PJN3376J</v>
      </c>
      <c r="C1744" s="26" t="str">
        <f>"INSTITUTO BILINGÜE AXAYACATL CUITLAHUAC                                                             "</f>
        <v xml:space="preserve">INSTITUTO BILINGÜE AXAYACATL CUITLAHUAC                                                             </v>
      </c>
      <c r="D1744" s="26" t="str">
        <f t="shared" si="320"/>
        <v>MATUTINO</v>
      </c>
      <c r="E1744" s="26" t="str">
        <f>"JOSE MARIA FACHA MZ. 5 LT. 26                                                   "</f>
        <v xml:space="preserve">JOSE MARIA FACHA MZ. 5 LT. 26                                                   </v>
      </c>
      <c r="F1744" s="26" t="str">
        <f>"SANTA MARTHA ACATITLA AMPLIACION                                                                                                            "</f>
        <v xml:space="preserve">SANTA MARTHA ACATITLA AMPLIACION                                                                                                            </v>
      </c>
      <c r="G1744" s="26" t="str">
        <f>"IZTAPALAPA                                                                      "</f>
        <v xml:space="preserve">IZTAPALAPA                                                                      </v>
      </c>
      <c r="H1744" s="26" t="str">
        <f>"000"</f>
        <v>000</v>
      </c>
      <c r="I1744" s="26" t="str">
        <f t="shared" si="324"/>
        <v>00</v>
      </c>
      <c r="J1744" s="26" t="str">
        <f>"62 "</f>
        <v xml:space="preserve">62 </v>
      </c>
      <c r="K1744" s="26" t="str">
        <f>"IZ"</f>
        <v>IZ</v>
      </c>
      <c r="L1744" s="26" t="str">
        <f>"DGSEI"</f>
        <v>DGSEI</v>
      </c>
      <c r="M1744" s="26" t="str">
        <f t="shared" si="321"/>
        <v>PARTICULAR</v>
      </c>
      <c r="N1744" s="26">
        <v>24</v>
      </c>
      <c r="O1744" s="26">
        <v>18</v>
      </c>
      <c r="P1744" s="26">
        <v>6</v>
      </c>
      <c r="Q1744" s="26">
        <v>3</v>
      </c>
      <c r="R1744" s="26">
        <v>1</v>
      </c>
      <c r="S1744" s="26">
        <v>2</v>
      </c>
      <c r="T1744" s="26">
        <v>5</v>
      </c>
      <c r="U1744" s="26">
        <v>8</v>
      </c>
      <c r="V1744" s="26">
        <v>1</v>
      </c>
      <c r="W1744" s="26"/>
    </row>
    <row r="1745" spans="1:23" x14ac:dyDescent="0.25">
      <c r="A1745" s="26" t="str">
        <f t="shared" si="323"/>
        <v>PREESCOLAR</v>
      </c>
      <c r="B1745" s="26" t="str">
        <f>"09PJN3377I"</f>
        <v>09PJN3377I</v>
      </c>
      <c r="C1745" s="26" t="str">
        <f>"MARGARET MAHLER                                                                                     "</f>
        <v xml:space="preserve">MARGARET MAHLER                                                                                     </v>
      </c>
      <c r="D1745" s="26" t="str">
        <f t="shared" si="320"/>
        <v>MATUTINO</v>
      </c>
      <c r="E1745" s="26" t="str">
        <f>"LAICA MZ. 4 LT. 4                                                               "</f>
        <v xml:space="preserve">LAICA MZ. 4 LT. 4                                                               </v>
      </c>
      <c r="F1745" s="26" t="str">
        <f>"XALPA                                                                                                                                       "</f>
        <v xml:space="preserve">XALPA                                                                                                                                       </v>
      </c>
      <c r="G1745" s="26" t="str">
        <f>"IZTAPALAPA                                                                      "</f>
        <v xml:space="preserve">IZTAPALAPA                                                                      </v>
      </c>
      <c r="H1745" s="26" t="str">
        <f>"000"</f>
        <v>000</v>
      </c>
      <c r="I1745" s="26" t="str">
        <f t="shared" si="324"/>
        <v>00</v>
      </c>
      <c r="J1745" s="26" t="str">
        <f>"64 "</f>
        <v xml:space="preserve">64 </v>
      </c>
      <c r="K1745" s="26" t="str">
        <f>"IZ"</f>
        <v>IZ</v>
      </c>
      <c r="L1745" s="26" t="str">
        <f>"DGSEI"</f>
        <v>DGSEI</v>
      </c>
      <c r="M1745" s="26" t="str">
        <f t="shared" si="321"/>
        <v>PARTICULAR</v>
      </c>
      <c r="N1745" s="26">
        <v>31</v>
      </c>
      <c r="O1745" s="26">
        <v>14</v>
      </c>
      <c r="P1745" s="26">
        <v>17</v>
      </c>
      <c r="Q1745" s="26">
        <v>3</v>
      </c>
      <c r="R1745" s="26">
        <v>1</v>
      </c>
      <c r="S1745" s="26">
        <v>2</v>
      </c>
      <c r="T1745" s="26">
        <v>0</v>
      </c>
      <c r="U1745" s="26">
        <v>3</v>
      </c>
      <c r="V1745" s="26">
        <v>1</v>
      </c>
      <c r="W1745" s="26"/>
    </row>
    <row r="1746" spans="1:23" x14ac:dyDescent="0.25">
      <c r="A1746" s="26" t="str">
        <f t="shared" si="323"/>
        <v>PREESCOLAR</v>
      </c>
      <c r="B1746" s="26" t="str">
        <f>"09PJN3378H"</f>
        <v>09PJN3378H</v>
      </c>
      <c r="C1746" s="26" t="str">
        <f>"CENTRO EDUCATIVO FRIDA KAHLO                                                                        "</f>
        <v xml:space="preserve">CENTRO EDUCATIVO FRIDA KAHLO                                                                        </v>
      </c>
      <c r="D1746" s="26" t="str">
        <f t="shared" si="320"/>
        <v>MATUTINO</v>
      </c>
      <c r="E1746" s="26" t="str">
        <f>"JUAN SEVERIANO NO. 35                                                           "</f>
        <v xml:space="preserve">JUAN SEVERIANO NO. 35                                                           </v>
      </c>
      <c r="F1746" s="26" t="str">
        <f>"PARAJE SAN JUAN                                                                                                                             "</f>
        <v xml:space="preserve">PARAJE SAN JUAN                                                                                                                             </v>
      </c>
      <c r="G1746" s="26" t="str">
        <f>"IZTAPALAPA                                                                      "</f>
        <v xml:space="preserve">IZTAPALAPA                                                                      </v>
      </c>
      <c r="H1746" s="26" t="str">
        <f>"000"</f>
        <v>000</v>
      </c>
      <c r="I1746" s="26" t="str">
        <f t="shared" si="324"/>
        <v>00</v>
      </c>
      <c r="J1746" s="26" t="str">
        <f>"63 "</f>
        <v xml:space="preserve">63 </v>
      </c>
      <c r="K1746" s="26" t="str">
        <f>"IZ"</f>
        <v>IZ</v>
      </c>
      <c r="L1746" s="26" t="str">
        <f>"DGSEI"</f>
        <v>DGSEI</v>
      </c>
      <c r="M1746" s="26" t="str">
        <f t="shared" si="321"/>
        <v>PARTICULAR</v>
      </c>
      <c r="N1746" s="26">
        <v>50</v>
      </c>
      <c r="O1746" s="26">
        <v>22</v>
      </c>
      <c r="P1746" s="26">
        <v>28</v>
      </c>
      <c r="Q1746" s="26">
        <v>3</v>
      </c>
      <c r="R1746" s="26">
        <v>1</v>
      </c>
      <c r="S1746" s="26">
        <v>3</v>
      </c>
      <c r="T1746" s="26">
        <v>4</v>
      </c>
      <c r="U1746" s="26">
        <v>8</v>
      </c>
      <c r="V1746" s="26">
        <v>1</v>
      </c>
      <c r="W1746" s="26"/>
    </row>
    <row r="1747" spans="1:23" x14ac:dyDescent="0.25">
      <c r="A1747" s="26" t="str">
        <f t="shared" si="323"/>
        <v>PREESCOLAR</v>
      </c>
      <c r="B1747" s="26" t="str">
        <f>"09PJN3382U"</f>
        <v>09PJN3382U</v>
      </c>
      <c r="C1747" s="26" t="str">
        <f>"NIÑOS HEROES                                                                                        "</f>
        <v xml:space="preserve">NIÑOS HEROES                                                                                        </v>
      </c>
      <c r="D1747" s="26" t="str">
        <f t="shared" si="320"/>
        <v>MATUTINO</v>
      </c>
      <c r="E1747" s="26" t="str">
        <f>"COMETA MZ. 37 LT. 17                                                            "</f>
        <v xml:space="preserve">COMETA MZ. 37 LT. 17                                                            </v>
      </c>
      <c r="F1747" s="26" t="str">
        <f>"LOMAS DE LA ESTANCIA                                                                                                                        "</f>
        <v xml:space="preserve">LOMAS DE LA ESTANCIA                                                                                                                        </v>
      </c>
      <c r="G1747" s="26" t="str">
        <f>"IZTAPALAPA                                                                      "</f>
        <v xml:space="preserve">IZTAPALAPA                                                                      </v>
      </c>
      <c r="H1747" s="26" t="str">
        <f>"000"</f>
        <v>000</v>
      </c>
      <c r="I1747" s="26" t="str">
        <f t="shared" si="324"/>
        <v>00</v>
      </c>
      <c r="J1747" s="26" t="str">
        <f>"64 "</f>
        <v xml:space="preserve">64 </v>
      </c>
      <c r="K1747" s="26" t="str">
        <f>"IZ"</f>
        <v>IZ</v>
      </c>
      <c r="L1747" s="26" t="str">
        <f>"DGSEI"</f>
        <v>DGSEI</v>
      </c>
      <c r="M1747" s="26" t="str">
        <f t="shared" si="321"/>
        <v>PARTICULAR</v>
      </c>
      <c r="N1747" s="26">
        <v>50</v>
      </c>
      <c r="O1747" s="26">
        <v>27</v>
      </c>
      <c r="P1747" s="26">
        <v>23</v>
      </c>
      <c r="Q1747" s="26">
        <v>3</v>
      </c>
      <c r="R1747" s="26">
        <v>1</v>
      </c>
      <c r="S1747" s="26">
        <v>2</v>
      </c>
      <c r="T1747" s="26">
        <v>2</v>
      </c>
      <c r="U1747" s="26">
        <v>5</v>
      </c>
      <c r="V1747" s="26">
        <v>1</v>
      </c>
      <c r="W1747" s="26"/>
    </row>
    <row r="1748" spans="1:23" x14ac:dyDescent="0.25">
      <c r="A1748" s="26" t="str">
        <f t="shared" si="323"/>
        <v>PREESCOLAR</v>
      </c>
      <c r="B1748" s="26" t="str">
        <f>"09PJN3384S"</f>
        <v>09PJN3384S</v>
      </c>
      <c r="C1748" s="26" t="str">
        <f>"CENTRO DE ESTIMULACIÓN Y RECREACIÓN INFANTIL S.C.                                                   "</f>
        <v xml:space="preserve">CENTRO DE ESTIMULACIÓN Y RECREACIÓN INFANTIL S.C.                                                   </v>
      </c>
      <c r="D1748" s="26" t="str">
        <f t="shared" si="320"/>
        <v>MATUTINO</v>
      </c>
      <c r="E1748" s="26" t="str">
        <f>"ALEJANDRIA NO. 62                                                               "</f>
        <v xml:space="preserve">ALEJANDRIA NO. 62                                                               </v>
      </c>
      <c r="F1748" s="26" t="str">
        <f>"CLAVERIA                                                                                                                                    "</f>
        <v xml:space="preserve">CLAVERIA                                                                                                                                    </v>
      </c>
      <c r="G1748" s="26" t="str">
        <f>"AZCAPOTZALCO                                                                    "</f>
        <v xml:space="preserve">AZCAPOTZALCO                                                                    </v>
      </c>
      <c r="H1748" s="26" t="str">
        <f>"059"</f>
        <v>059</v>
      </c>
      <c r="I1748" s="26" t="str">
        <f t="shared" si="324"/>
        <v>00</v>
      </c>
      <c r="J1748" s="26" t="str">
        <f>"32 "</f>
        <v xml:space="preserve">32 </v>
      </c>
      <c r="K1748" s="26" t="str">
        <f t="shared" ref="K1748:K1757" si="325">"EP"</f>
        <v>EP</v>
      </c>
      <c r="L1748" s="26" t="str">
        <f t="shared" ref="L1748:L1757" si="326">"DGOSE"</f>
        <v>DGOSE</v>
      </c>
      <c r="M1748" s="26" t="str">
        <f t="shared" si="321"/>
        <v>PARTICULAR</v>
      </c>
      <c r="N1748" s="26">
        <v>35</v>
      </c>
      <c r="O1748" s="26">
        <v>17</v>
      </c>
      <c r="P1748" s="26">
        <v>18</v>
      </c>
      <c r="Q1748" s="26">
        <v>3</v>
      </c>
      <c r="R1748" s="26">
        <v>1</v>
      </c>
      <c r="S1748" s="26">
        <v>2</v>
      </c>
      <c r="T1748" s="26">
        <v>5</v>
      </c>
      <c r="U1748" s="26">
        <v>8</v>
      </c>
      <c r="V1748" s="26">
        <v>1</v>
      </c>
      <c r="W1748" s="26"/>
    </row>
    <row r="1749" spans="1:23" x14ac:dyDescent="0.25">
      <c r="A1749" s="26" t="str">
        <f t="shared" si="323"/>
        <v>PREESCOLAR</v>
      </c>
      <c r="B1749" s="26" t="str">
        <f>"09PJN3385R"</f>
        <v>09PJN3385R</v>
      </c>
      <c r="C1749" s="26" t="str">
        <f>"JARDIN DE NIÑOS DEL VALLE                                                                           "</f>
        <v xml:space="preserve">JARDIN DE NIÑOS DEL VALLE                                                                           </v>
      </c>
      <c r="D1749" s="26" t="str">
        <f t="shared" si="320"/>
        <v>MATUTINO</v>
      </c>
      <c r="E1749" s="26" t="str">
        <f>"JUSTO SIERRA NO. 190                                                            "</f>
        <v xml:space="preserve">JUSTO SIERRA NO. 190                                                            </v>
      </c>
      <c r="F1749" s="26" t="str">
        <f>"ZONA ESCOLAR                                                                                                                                "</f>
        <v xml:space="preserve">ZONA ESCOLAR                                                                                                                                </v>
      </c>
      <c r="G1749" s="26" t="str">
        <f>"GUSTAVO A. MADERO                                                               "</f>
        <v xml:space="preserve">GUSTAVO A. MADERO                                                               </v>
      </c>
      <c r="H1749" s="26" t="str">
        <f>"105"</f>
        <v>105</v>
      </c>
      <c r="I1749" s="26" t="str">
        <f t="shared" si="324"/>
        <v>00</v>
      </c>
      <c r="J1749" s="26" t="str">
        <f>"32 "</f>
        <v xml:space="preserve">32 </v>
      </c>
      <c r="K1749" s="26" t="str">
        <f t="shared" si="325"/>
        <v>EP</v>
      </c>
      <c r="L1749" s="26" t="str">
        <f t="shared" si="326"/>
        <v>DGOSE</v>
      </c>
      <c r="M1749" s="26" t="str">
        <f t="shared" si="321"/>
        <v>PARTICULAR</v>
      </c>
      <c r="N1749" s="26">
        <v>35</v>
      </c>
      <c r="O1749" s="26">
        <v>20</v>
      </c>
      <c r="P1749" s="26">
        <v>15</v>
      </c>
      <c r="Q1749" s="26">
        <v>3</v>
      </c>
      <c r="R1749" s="26">
        <v>1</v>
      </c>
      <c r="S1749" s="26">
        <v>2</v>
      </c>
      <c r="T1749" s="26">
        <v>3</v>
      </c>
      <c r="U1749" s="26">
        <v>6</v>
      </c>
      <c r="V1749" s="26">
        <v>1</v>
      </c>
      <c r="W1749" s="26"/>
    </row>
    <row r="1750" spans="1:23" x14ac:dyDescent="0.25">
      <c r="A1750" s="26" t="str">
        <f t="shared" si="323"/>
        <v>PREESCOLAR</v>
      </c>
      <c r="B1750" s="26" t="str">
        <f>"09PJN3387P"</f>
        <v>09PJN3387P</v>
      </c>
      <c r="C1750" s="26" t="str">
        <f>"JARDIN DE NIÑOS MONARCA                                                                             "</f>
        <v xml:space="preserve">JARDIN DE NIÑOS MONARCA                                                                             </v>
      </c>
      <c r="D1750" s="26" t="str">
        <f t="shared" si="320"/>
        <v>MATUTINO</v>
      </c>
      <c r="E1750" s="26" t="str">
        <f>"SACALUM No. 601                                                                 "</f>
        <v xml:space="preserve">SACALUM No. 601                                                                 </v>
      </c>
      <c r="F1750" s="26" t="str">
        <f>"LOS ENCINOS                                                                                                                                 "</f>
        <v xml:space="preserve">LOS ENCINOS                                                                                                                                 </v>
      </c>
      <c r="G1750" s="26" t="str">
        <f>"TLALPAN                                                                         "</f>
        <v xml:space="preserve">TLALPAN                                                                         </v>
      </c>
      <c r="H1750" s="26" t="str">
        <f>"135"</f>
        <v>135</v>
      </c>
      <c r="I1750" s="26" t="str">
        <f t="shared" si="324"/>
        <v>00</v>
      </c>
      <c r="J1750" s="26" t="str">
        <f>"35 "</f>
        <v xml:space="preserve">35 </v>
      </c>
      <c r="K1750" s="26" t="str">
        <f t="shared" si="325"/>
        <v>EP</v>
      </c>
      <c r="L1750" s="26" t="str">
        <f t="shared" si="326"/>
        <v>DGOSE</v>
      </c>
      <c r="M1750" s="26" t="str">
        <f t="shared" si="321"/>
        <v>PARTICULAR</v>
      </c>
      <c r="N1750" s="26">
        <v>47</v>
      </c>
      <c r="O1750" s="26">
        <v>14</v>
      </c>
      <c r="P1750" s="26">
        <v>33</v>
      </c>
      <c r="Q1750" s="26">
        <v>3</v>
      </c>
      <c r="R1750" s="26">
        <v>1</v>
      </c>
      <c r="S1750" s="26">
        <v>3</v>
      </c>
      <c r="T1750" s="26">
        <v>1</v>
      </c>
      <c r="U1750" s="26">
        <v>5</v>
      </c>
      <c r="V1750" s="26">
        <v>1</v>
      </c>
      <c r="W1750" s="26"/>
    </row>
    <row r="1751" spans="1:23" x14ac:dyDescent="0.25">
      <c r="A1751" s="26" t="str">
        <f t="shared" si="323"/>
        <v>PREESCOLAR</v>
      </c>
      <c r="B1751" s="26" t="str">
        <f>"09PJN3388O"</f>
        <v>09PJN3388O</v>
      </c>
      <c r="C1751" s="26" t="str">
        <f>"JOSE MARIA MORELOS Y PAVON                                                                          "</f>
        <v xml:space="preserve">JOSE MARIA MORELOS Y PAVON                                                                          </v>
      </c>
      <c r="D1751" s="26" t="str">
        <f t="shared" si="320"/>
        <v>MATUTINO</v>
      </c>
      <c r="E1751" s="26" t="str">
        <f>"5 DE MAYO NO. 107 B                                                             "</f>
        <v xml:space="preserve">5 DE MAYO NO. 107 B                                                             </v>
      </c>
      <c r="F1751" s="26" t="str">
        <f>"XALTOCAN                                                                                                                                    "</f>
        <v xml:space="preserve">XALTOCAN                                                                                                                                    </v>
      </c>
      <c r="G1751" s="26" t="str">
        <f>"XOCHIMILCO                                                                      "</f>
        <v xml:space="preserve">XOCHIMILCO                                                                      </v>
      </c>
      <c r="H1751" s="26" t="str">
        <f>"033"</f>
        <v>033</v>
      </c>
      <c r="I1751" s="26" t="str">
        <f t="shared" si="324"/>
        <v>00</v>
      </c>
      <c r="J1751" s="26" t="str">
        <f>"35 "</f>
        <v xml:space="preserve">35 </v>
      </c>
      <c r="K1751" s="26" t="str">
        <f t="shared" si="325"/>
        <v>EP</v>
      </c>
      <c r="L1751" s="26" t="str">
        <f t="shared" si="326"/>
        <v>DGOSE</v>
      </c>
      <c r="M1751" s="26" t="str">
        <f t="shared" si="321"/>
        <v>PARTICULAR</v>
      </c>
      <c r="N1751" s="26">
        <v>48</v>
      </c>
      <c r="O1751" s="26">
        <v>25</v>
      </c>
      <c r="P1751" s="26">
        <v>23</v>
      </c>
      <c r="Q1751" s="26">
        <v>3</v>
      </c>
      <c r="R1751" s="26">
        <v>1</v>
      </c>
      <c r="S1751" s="26">
        <v>3</v>
      </c>
      <c r="T1751" s="26">
        <v>6</v>
      </c>
      <c r="U1751" s="26">
        <v>10</v>
      </c>
      <c r="V1751" s="26">
        <v>1</v>
      </c>
      <c r="W1751" s="26"/>
    </row>
    <row r="1752" spans="1:23" x14ac:dyDescent="0.25">
      <c r="A1752" s="26" t="str">
        <f t="shared" si="323"/>
        <v>PREESCOLAR</v>
      </c>
      <c r="B1752" s="26" t="str">
        <f>"09PJN3393Z"</f>
        <v>09PJN3393Z</v>
      </c>
      <c r="C1752" s="26" t="str">
        <f>"BAMBI                                                                                               "</f>
        <v xml:space="preserve">BAMBI                                                                                               </v>
      </c>
      <c r="D1752" s="26" t="str">
        <f t="shared" si="320"/>
        <v>MATUTINO</v>
      </c>
      <c r="E1752" s="26" t="str">
        <f>"CARUSO No. 45                                                                   "</f>
        <v xml:space="preserve">CARUSO No. 45                                                                   </v>
      </c>
      <c r="F1752" s="26" t="str">
        <f>"EX-HIPODROMO DE PERALVILLO                                                                                                                  "</f>
        <v xml:space="preserve">EX-HIPODROMO DE PERALVILLO                                                                                                                  </v>
      </c>
      <c r="G1752" s="26" t="s">
        <v>4128</v>
      </c>
      <c r="H1752" s="26" t="str">
        <f>"057"</f>
        <v>057</v>
      </c>
      <c r="I1752" s="26" t="str">
        <f t="shared" si="324"/>
        <v>00</v>
      </c>
      <c r="J1752" s="26" t="str">
        <f>"32 "</f>
        <v xml:space="preserve">32 </v>
      </c>
      <c r="K1752" s="26" t="str">
        <f t="shared" si="325"/>
        <v>EP</v>
      </c>
      <c r="L1752" s="26" t="str">
        <f t="shared" si="326"/>
        <v>DGOSE</v>
      </c>
      <c r="M1752" s="26" t="str">
        <f t="shared" si="321"/>
        <v>PARTICULAR</v>
      </c>
      <c r="N1752" s="26">
        <v>49</v>
      </c>
      <c r="O1752" s="26">
        <v>23</v>
      </c>
      <c r="P1752" s="26">
        <v>26</v>
      </c>
      <c r="Q1752" s="26">
        <v>3</v>
      </c>
      <c r="R1752" s="26">
        <v>1</v>
      </c>
      <c r="S1752" s="26">
        <v>3</v>
      </c>
      <c r="T1752" s="26">
        <v>0</v>
      </c>
      <c r="U1752" s="26">
        <v>4</v>
      </c>
      <c r="V1752" s="26">
        <v>1</v>
      </c>
      <c r="W1752" s="26"/>
    </row>
    <row r="1753" spans="1:23" x14ac:dyDescent="0.25">
      <c r="A1753" s="26" t="str">
        <f t="shared" si="323"/>
        <v>PREESCOLAR</v>
      </c>
      <c r="B1753" s="26" t="str">
        <f>"09PJN3394Z"</f>
        <v>09PJN3394Z</v>
      </c>
      <c r="C1753" s="26" t="str">
        <f>"JARDÍN DE NIÑOS CAMPANITAS                                                                          "</f>
        <v xml:space="preserve">JARDÍN DE NIÑOS CAMPANITAS                                                                          </v>
      </c>
      <c r="D1753" s="26" t="str">
        <f t="shared" si="320"/>
        <v>MATUTINO</v>
      </c>
      <c r="E1753" s="26" t="str">
        <f>"GUILLERMO MASSIEU NO. 86                                                        "</f>
        <v xml:space="preserve">GUILLERMO MASSIEU NO. 86                                                        </v>
      </c>
      <c r="F1753" s="26" t="str">
        <f>"LA ESCALERA                                                                                                                                 "</f>
        <v xml:space="preserve">LA ESCALERA                                                                                                                                 </v>
      </c>
      <c r="G1753" s="26" t="str">
        <f>"GUSTAVO A. MADERO                                                               "</f>
        <v xml:space="preserve">GUSTAVO A. MADERO                                                               </v>
      </c>
      <c r="H1753" s="26" t="str">
        <f>"197"</f>
        <v>197</v>
      </c>
      <c r="I1753" s="26" t="str">
        <f t="shared" si="324"/>
        <v>00</v>
      </c>
      <c r="J1753" s="26" t="str">
        <f>"32 "</f>
        <v xml:space="preserve">32 </v>
      </c>
      <c r="K1753" s="26" t="str">
        <f t="shared" si="325"/>
        <v>EP</v>
      </c>
      <c r="L1753" s="26" t="str">
        <f t="shared" si="326"/>
        <v>DGOSE</v>
      </c>
      <c r="M1753" s="26" t="str">
        <f t="shared" si="321"/>
        <v>PARTICULAR</v>
      </c>
      <c r="N1753" s="26">
        <v>41</v>
      </c>
      <c r="O1753" s="26">
        <v>24</v>
      </c>
      <c r="P1753" s="26">
        <v>17</v>
      </c>
      <c r="Q1753" s="26">
        <v>3</v>
      </c>
      <c r="R1753" s="26">
        <v>1</v>
      </c>
      <c r="S1753" s="26">
        <v>3</v>
      </c>
      <c r="T1753" s="26">
        <v>2</v>
      </c>
      <c r="U1753" s="26">
        <v>6</v>
      </c>
      <c r="V1753" s="26">
        <v>1</v>
      </c>
      <c r="W1753" s="26"/>
    </row>
    <row r="1754" spans="1:23" x14ac:dyDescent="0.25">
      <c r="A1754" s="26" t="str">
        <f t="shared" si="323"/>
        <v>PREESCOLAR</v>
      </c>
      <c r="B1754" s="26" t="str">
        <f>"09PJN3397W"</f>
        <v>09PJN3397W</v>
      </c>
      <c r="C1754" s="26" t="str">
        <f>"KINDER AMERICAS DEL TEPEYAC                                                                         "</f>
        <v xml:space="preserve">KINDER AMERICAS DEL TEPEYAC                                                                         </v>
      </c>
      <c r="D1754" s="26" t="str">
        <f t="shared" si="320"/>
        <v>MATUTINO</v>
      </c>
      <c r="E1754" s="26" t="str">
        <f>"MANTA NO. 606                                                                   "</f>
        <v xml:space="preserve">MANTA NO. 606                                                                   </v>
      </c>
      <c r="F1754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1754" s="26" t="str">
        <f>"GUSTAVO A. MADERO                                                               "</f>
        <v xml:space="preserve">GUSTAVO A. MADERO                                                               </v>
      </c>
      <c r="H1754" s="26" t="str">
        <f>"003"</f>
        <v>003</v>
      </c>
      <c r="I1754" s="26" t="str">
        <f t="shared" si="324"/>
        <v>00</v>
      </c>
      <c r="J1754" s="26" t="str">
        <f>"32 "</f>
        <v xml:space="preserve">32 </v>
      </c>
      <c r="K1754" s="26" t="str">
        <f t="shared" si="325"/>
        <v>EP</v>
      </c>
      <c r="L1754" s="26" t="str">
        <f t="shared" si="326"/>
        <v>DGOSE</v>
      </c>
      <c r="M1754" s="26" t="str">
        <f t="shared" si="321"/>
        <v>PARTICULAR</v>
      </c>
      <c r="N1754" s="26">
        <v>27</v>
      </c>
      <c r="O1754" s="26">
        <v>16</v>
      </c>
      <c r="P1754" s="26">
        <v>11</v>
      </c>
      <c r="Q1754" s="26">
        <v>3</v>
      </c>
      <c r="R1754" s="26">
        <v>1</v>
      </c>
      <c r="S1754" s="26">
        <v>3</v>
      </c>
      <c r="T1754" s="26">
        <v>3</v>
      </c>
      <c r="U1754" s="26">
        <v>7</v>
      </c>
      <c r="V1754" s="26">
        <v>1</v>
      </c>
      <c r="W1754" s="26"/>
    </row>
    <row r="1755" spans="1:23" x14ac:dyDescent="0.25">
      <c r="A1755" s="26" t="str">
        <f t="shared" si="323"/>
        <v>PREESCOLAR</v>
      </c>
      <c r="B1755" s="26" t="str">
        <f>"09PJN3398V"</f>
        <v>09PJN3398V</v>
      </c>
      <c r="C1755" s="26" t="str">
        <f>"LICEO UNIVERSITARIO JOSÉ VASCONCELOS                                                                "</f>
        <v xml:space="preserve">LICEO UNIVERSITARIO JOSÉ VASCONCELOS                                                                </v>
      </c>
      <c r="D1755" s="26" t="str">
        <f t="shared" si="320"/>
        <v>MATUTINO</v>
      </c>
      <c r="E1755" s="26" t="str">
        <f>"CARRETERA A SN JUAN TEPENAHUAC NO. 25                                           "</f>
        <v xml:space="preserve">CARRETERA A SN JUAN TEPENAHUAC NO. 25                                           </v>
      </c>
      <c r="F1755" s="26" t="str">
        <f>"SANTA ANA TLACOTENCO                                                                                                                        "</f>
        <v xml:space="preserve">SANTA ANA TLACOTENCO                                                                                                                        </v>
      </c>
      <c r="G1755" s="26" t="str">
        <f>"MILPA ALTA                                                                      "</f>
        <v xml:space="preserve">MILPA ALTA                                                                      </v>
      </c>
      <c r="H1755" s="26" t="str">
        <f>"281"</f>
        <v>281</v>
      </c>
      <c r="I1755" s="26" t="str">
        <f t="shared" si="324"/>
        <v>00</v>
      </c>
      <c r="J1755" s="26" t="str">
        <f>"35 "</f>
        <v xml:space="preserve">35 </v>
      </c>
      <c r="K1755" s="26" t="str">
        <f t="shared" si="325"/>
        <v>EP</v>
      </c>
      <c r="L1755" s="26" t="str">
        <f t="shared" si="326"/>
        <v>DGOSE</v>
      </c>
      <c r="M1755" s="26" t="str">
        <f t="shared" si="321"/>
        <v>PARTICULAR</v>
      </c>
      <c r="N1755" s="26">
        <v>25</v>
      </c>
      <c r="O1755" s="26">
        <v>15</v>
      </c>
      <c r="P1755" s="26">
        <v>10</v>
      </c>
      <c r="Q1755" s="26">
        <v>3</v>
      </c>
      <c r="R1755" s="26">
        <v>1</v>
      </c>
      <c r="S1755" s="26">
        <v>3</v>
      </c>
      <c r="T1755" s="26">
        <v>5</v>
      </c>
      <c r="U1755" s="26">
        <v>9</v>
      </c>
      <c r="V1755" s="26">
        <v>1</v>
      </c>
      <c r="W1755" s="26"/>
    </row>
    <row r="1756" spans="1:23" x14ac:dyDescent="0.25">
      <c r="A1756" s="26" t="str">
        <f t="shared" si="323"/>
        <v>PREESCOLAR</v>
      </c>
      <c r="B1756" s="26" t="str">
        <f>"09PJN3400T"</f>
        <v>09PJN3400T</v>
      </c>
      <c r="C1756" s="26" t="str">
        <f>"EL PAPALOTE                                                                                         "</f>
        <v xml:space="preserve">EL PAPALOTE                                                                                         </v>
      </c>
      <c r="D1756" s="26" t="str">
        <f t="shared" si="320"/>
        <v>MATUTINO</v>
      </c>
      <c r="E1756" s="26" t="str">
        <f>"CARMEN  NO. 323 MZ-88 L-8                                                       "</f>
        <v xml:space="preserve">CARMEN  NO. 323 MZ-88 L-8                                                       </v>
      </c>
      <c r="F1756" s="26" t="str">
        <f>"MIGUEL HIDALGO                                                                                                                              "</f>
        <v xml:space="preserve">MIGUEL HIDALGO                                                                                                                              </v>
      </c>
      <c r="G1756" s="26" t="str">
        <f>"TLAHUAC                                                                         "</f>
        <v xml:space="preserve">TLAHUAC                                                                         </v>
      </c>
      <c r="H1756" s="26" t="str">
        <f>"242"</f>
        <v>242</v>
      </c>
      <c r="I1756" s="26" t="str">
        <f t="shared" si="324"/>
        <v>00</v>
      </c>
      <c r="J1756" s="26" t="str">
        <f>"35 "</f>
        <v xml:space="preserve">35 </v>
      </c>
      <c r="K1756" s="26" t="str">
        <f t="shared" si="325"/>
        <v>EP</v>
      </c>
      <c r="L1756" s="26" t="str">
        <f t="shared" si="326"/>
        <v>DGOSE</v>
      </c>
      <c r="M1756" s="26" t="str">
        <f t="shared" si="321"/>
        <v>PARTICULAR</v>
      </c>
      <c r="N1756" s="26">
        <v>20</v>
      </c>
      <c r="O1756" s="26">
        <v>12</v>
      </c>
      <c r="P1756" s="26">
        <v>8</v>
      </c>
      <c r="Q1756" s="26">
        <v>3</v>
      </c>
      <c r="R1756" s="26">
        <v>1</v>
      </c>
      <c r="S1756" s="26">
        <v>2</v>
      </c>
      <c r="T1756" s="26">
        <v>0</v>
      </c>
      <c r="U1756" s="26">
        <v>3</v>
      </c>
      <c r="V1756" s="26">
        <v>1</v>
      </c>
      <c r="W1756" s="26"/>
    </row>
    <row r="1757" spans="1:23" x14ac:dyDescent="0.25">
      <c r="A1757" s="26" t="str">
        <f t="shared" si="323"/>
        <v>PREESCOLAR</v>
      </c>
      <c r="B1757" s="26" t="str">
        <f>"09PJN3403Q"</f>
        <v>09PJN3403Q</v>
      </c>
      <c r="C1757" s="26" t="str">
        <f>"JARDIN DE NIÑOS ROSITA FRESITA                                                                      "</f>
        <v xml:space="preserve">JARDIN DE NIÑOS ROSITA FRESITA                                                                      </v>
      </c>
      <c r="D1757" s="26" t="str">
        <f t="shared" si="320"/>
        <v>MATUTINO</v>
      </c>
      <c r="E1757" s="26" t="str">
        <f>"PASO REAL LOTE 1                                                                "</f>
        <v xml:space="preserve">PASO REAL LOTE 1                                                                </v>
      </c>
      <c r="F1757" s="26" t="str">
        <f>"LA PALMITA                                                                                                                                  "</f>
        <v xml:space="preserve">LA PALMITA                                                                                                                                  </v>
      </c>
      <c r="G1757" s="26" t="str">
        <f>"ALVARO OBREGON                                                                  "</f>
        <v xml:space="preserve">ALVARO OBREGON                                                                  </v>
      </c>
      <c r="H1757" s="26" t="str">
        <f>"166"</f>
        <v>166</v>
      </c>
      <c r="I1757" s="26" t="str">
        <f t="shared" si="324"/>
        <v>00</v>
      </c>
      <c r="J1757" s="26" t="str">
        <f>"33 "</f>
        <v xml:space="preserve">33 </v>
      </c>
      <c r="K1757" s="26" t="str">
        <f t="shared" si="325"/>
        <v>EP</v>
      </c>
      <c r="L1757" s="26" t="str">
        <f t="shared" si="326"/>
        <v>DGOSE</v>
      </c>
      <c r="M1757" s="26" t="str">
        <f t="shared" si="321"/>
        <v>PARTICULAR</v>
      </c>
      <c r="N1757" s="26">
        <v>49</v>
      </c>
      <c r="O1757" s="26">
        <v>22</v>
      </c>
      <c r="P1757" s="26">
        <v>27</v>
      </c>
      <c r="Q1757" s="26">
        <v>3</v>
      </c>
      <c r="R1757" s="26">
        <v>1</v>
      </c>
      <c r="S1757" s="26">
        <v>2</v>
      </c>
      <c r="T1757" s="26">
        <v>3</v>
      </c>
      <c r="U1757" s="26">
        <v>6</v>
      </c>
      <c r="V1757" s="26">
        <v>1</v>
      </c>
      <c r="W1757" s="26"/>
    </row>
    <row r="1758" spans="1:23" x14ac:dyDescent="0.25">
      <c r="A1758" s="26" t="str">
        <f t="shared" si="323"/>
        <v>PREESCOLAR</v>
      </c>
      <c r="B1758" s="26" t="str">
        <f>"09PJN3405O"</f>
        <v>09PJN3405O</v>
      </c>
      <c r="C1758" s="26" t="str">
        <f>"COLEGIO MARBERTH                                                                                    "</f>
        <v xml:space="preserve">COLEGIO MARBERTH                                                                                    </v>
      </c>
      <c r="D1758" s="26" t="str">
        <f t="shared" si="320"/>
        <v>MATUTINO</v>
      </c>
      <c r="E1758" s="26" t="s">
        <v>99</v>
      </c>
      <c r="F1758" s="26" t="str">
        <f>"UNIDAD HABITACIONAL VICENTE GUERRER                                                                                                         "</f>
        <v xml:space="preserve">UNIDAD HABITACIONAL VICENTE GUERRER                                                                                                         </v>
      </c>
      <c r="G1758" s="26" t="str">
        <f>"IZTAPALAPA                                                                      "</f>
        <v xml:space="preserve">IZTAPALAPA                                                                      </v>
      </c>
      <c r="H1758" s="26" t="str">
        <f>"000"</f>
        <v>000</v>
      </c>
      <c r="I1758" s="26" t="str">
        <f t="shared" si="324"/>
        <v>00</v>
      </c>
      <c r="J1758" s="26" t="str">
        <f>"62 "</f>
        <v xml:space="preserve">62 </v>
      </c>
      <c r="K1758" s="26" t="str">
        <f>"IZ"</f>
        <v>IZ</v>
      </c>
      <c r="L1758" s="26" t="str">
        <f>"DGSEI"</f>
        <v>DGSEI</v>
      </c>
      <c r="M1758" s="26" t="str">
        <f t="shared" si="321"/>
        <v>PARTICULAR</v>
      </c>
      <c r="N1758" s="26">
        <v>25</v>
      </c>
      <c r="O1758" s="26">
        <v>14</v>
      </c>
      <c r="P1758" s="26">
        <v>11</v>
      </c>
      <c r="Q1758" s="26">
        <v>2</v>
      </c>
      <c r="R1758" s="26">
        <v>1</v>
      </c>
      <c r="S1758" s="26">
        <v>2</v>
      </c>
      <c r="T1758" s="26">
        <v>0</v>
      </c>
      <c r="U1758" s="26">
        <v>3</v>
      </c>
      <c r="V1758" s="26">
        <v>1</v>
      </c>
      <c r="W1758" s="26"/>
    </row>
    <row r="1759" spans="1:23" x14ac:dyDescent="0.25">
      <c r="A1759" s="26" t="str">
        <f t="shared" si="323"/>
        <v>PREESCOLAR</v>
      </c>
      <c r="B1759" s="26" t="str">
        <f>"09PJN3410Z"</f>
        <v>09PJN3410Z</v>
      </c>
      <c r="C1759" s="26" t="str">
        <f>"CENTRO ESCOLAR CHIQUITINES                                                                          "</f>
        <v xml:space="preserve">CENTRO ESCOLAR CHIQUITINES                                                                          </v>
      </c>
      <c r="D1759" s="26" t="str">
        <f t="shared" si="320"/>
        <v>MATUTINO</v>
      </c>
      <c r="E1759" s="26" t="str">
        <f>"CALLE LIRA NO. 20                                                               "</f>
        <v xml:space="preserve">CALLE LIRA NO. 20                                                               </v>
      </c>
      <c r="F1759" s="26" t="str">
        <f>"PRADOS DE COYOACAN                                                                                                                          "</f>
        <v xml:space="preserve">PRADOS DE COYOACAN                                                                                                                          </v>
      </c>
      <c r="G1759" s="26" t="str">
        <f>"COYOACAN                                                                        "</f>
        <v xml:space="preserve">COYOACAN                                                                        </v>
      </c>
      <c r="H1759" s="26" t="str">
        <f>"239"</f>
        <v>239</v>
      </c>
      <c r="I1759" s="26" t="str">
        <f t="shared" si="324"/>
        <v>00</v>
      </c>
      <c r="J1759" s="26" t="str">
        <f>"35 "</f>
        <v xml:space="preserve">35 </v>
      </c>
      <c r="K1759" s="26" t="str">
        <f>"EP"</f>
        <v>EP</v>
      </c>
      <c r="L1759" s="26" t="str">
        <f>"DGOSE"</f>
        <v>DGOSE</v>
      </c>
      <c r="M1759" s="26" t="str">
        <f t="shared" si="321"/>
        <v>PARTICULAR</v>
      </c>
      <c r="N1759" s="26">
        <v>16</v>
      </c>
      <c r="O1759" s="26">
        <v>9</v>
      </c>
      <c r="P1759" s="26">
        <v>7</v>
      </c>
      <c r="Q1759" s="26">
        <v>1</v>
      </c>
      <c r="R1759" s="26">
        <v>1</v>
      </c>
      <c r="S1759" s="26">
        <v>1</v>
      </c>
      <c r="T1759" s="26">
        <v>4</v>
      </c>
      <c r="U1759" s="26">
        <v>6</v>
      </c>
      <c r="V1759" s="26">
        <v>1</v>
      </c>
      <c r="W1759" s="26"/>
    </row>
    <row r="1760" spans="1:23" x14ac:dyDescent="0.25">
      <c r="A1760" s="26" t="str">
        <f t="shared" si="323"/>
        <v>PREESCOLAR</v>
      </c>
      <c r="B1760" s="26" t="str">
        <f>"09PJN3412Y"</f>
        <v>09PJN3412Y</v>
      </c>
      <c r="C1760" s="26" t="str">
        <f>"COLEGIO HARDEN                                                                                      "</f>
        <v xml:space="preserve">COLEGIO HARDEN                                                                                      </v>
      </c>
      <c r="D1760" s="26" t="str">
        <f t="shared" si="320"/>
        <v>MATUTINO</v>
      </c>
      <c r="E1760" s="26" t="str">
        <f>"AV. CUAUHTEMOC NO. 701                                                          "</f>
        <v xml:space="preserve">AV. CUAUHTEMOC NO. 701                                                          </v>
      </c>
      <c r="F1760" s="26" t="str">
        <f>"NARVARTE                                                                                                                                    "</f>
        <v xml:space="preserve">NARVARTE                                                                                                                                    </v>
      </c>
      <c r="G1760" s="26" t="str">
        <f>"BENITO JUAREZ                                                                   "</f>
        <v xml:space="preserve">BENITO JUAREZ                                                                   </v>
      </c>
      <c r="H1760" s="26" t="str">
        <f>"230"</f>
        <v>230</v>
      </c>
      <c r="I1760" s="26" t="str">
        <f t="shared" si="324"/>
        <v>00</v>
      </c>
      <c r="J1760" s="26" t="str">
        <f>"33 "</f>
        <v xml:space="preserve">33 </v>
      </c>
      <c r="K1760" s="26" t="str">
        <f>"EP"</f>
        <v>EP</v>
      </c>
      <c r="L1760" s="26" t="str">
        <f>"DGOSE"</f>
        <v>DGOSE</v>
      </c>
      <c r="M1760" s="26" t="str">
        <f t="shared" si="321"/>
        <v>PARTICULAR</v>
      </c>
      <c r="N1760" s="26">
        <v>37</v>
      </c>
      <c r="O1760" s="26">
        <v>18</v>
      </c>
      <c r="P1760" s="26">
        <v>19</v>
      </c>
      <c r="Q1760" s="26">
        <v>3</v>
      </c>
      <c r="R1760" s="26">
        <v>1</v>
      </c>
      <c r="S1760" s="26">
        <v>2</v>
      </c>
      <c r="T1760" s="26">
        <v>6</v>
      </c>
      <c r="U1760" s="26">
        <v>9</v>
      </c>
      <c r="V1760" s="26">
        <v>1</v>
      </c>
      <c r="W1760" s="26"/>
    </row>
    <row r="1761" spans="1:23" x14ac:dyDescent="0.25">
      <c r="A1761" s="26" t="str">
        <f t="shared" si="323"/>
        <v>PREESCOLAR</v>
      </c>
      <c r="B1761" s="26" t="str">
        <f>"09PJN3413X"</f>
        <v>09PJN3413X</v>
      </c>
      <c r="C1761" s="26" t="str">
        <f>"MICHEL TOURNIER                                                                                     "</f>
        <v xml:space="preserve">MICHEL TOURNIER                                                                                     </v>
      </c>
      <c r="D1761" s="26" t="str">
        <f t="shared" si="320"/>
        <v>MATUTINO</v>
      </c>
      <c r="E1761" s="26" t="str">
        <f>"SAN ANTONIO S/N ESQ. MATEO SALDAÑA                                              "</f>
        <v xml:space="preserve">SAN ANTONIO S/N ESQ. MATEO SALDAÑA                                              </v>
      </c>
      <c r="F1761" s="26" t="str">
        <f>"SAN LORENZO TEZONCO                                                                                                                         "</f>
        <v xml:space="preserve">SAN LORENZO TEZONCO                                                                                                                         </v>
      </c>
      <c r="G1761" s="26" t="str">
        <f>"IZTAPALAPA                                                                      "</f>
        <v xml:space="preserve">IZTAPALAPA                                                                      </v>
      </c>
      <c r="H1761" s="26" t="str">
        <f>"000"</f>
        <v>000</v>
      </c>
      <c r="I1761" s="26" t="str">
        <f t="shared" si="324"/>
        <v>00</v>
      </c>
      <c r="J1761" s="26" t="str">
        <f>"63 "</f>
        <v xml:space="preserve">63 </v>
      </c>
      <c r="K1761" s="26" t="str">
        <f>"IZ"</f>
        <v>IZ</v>
      </c>
      <c r="L1761" s="26" t="str">
        <f>"DGSEI"</f>
        <v>DGSEI</v>
      </c>
      <c r="M1761" s="26" t="str">
        <f t="shared" si="321"/>
        <v>PARTICULAR</v>
      </c>
      <c r="N1761" s="26">
        <v>8</v>
      </c>
      <c r="O1761" s="26">
        <v>3</v>
      </c>
      <c r="P1761" s="26">
        <v>5</v>
      </c>
      <c r="Q1761" s="26">
        <v>2</v>
      </c>
      <c r="R1761" s="26">
        <v>1</v>
      </c>
      <c r="S1761" s="26">
        <v>2</v>
      </c>
      <c r="T1761" s="26">
        <v>0</v>
      </c>
      <c r="U1761" s="26">
        <v>3</v>
      </c>
      <c r="V1761" s="26">
        <v>1</v>
      </c>
      <c r="W1761" s="26"/>
    </row>
    <row r="1762" spans="1:23" x14ac:dyDescent="0.25">
      <c r="A1762" s="26" t="str">
        <f t="shared" si="323"/>
        <v>PREESCOLAR</v>
      </c>
      <c r="B1762" s="26" t="str">
        <f>"09PJN3417T"</f>
        <v>09PJN3417T</v>
      </c>
      <c r="C1762" s="26" t="str">
        <f>"CENTRO DE ATENCION PREESCOLAR ZAPOTITLAN                                                            "</f>
        <v xml:space="preserve">CENTRO DE ATENCION PREESCOLAR ZAPOTITLAN                                                            </v>
      </c>
      <c r="D1762" s="26" t="str">
        <f t="shared" si="320"/>
        <v>MATUTINO</v>
      </c>
      <c r="E1762" s="26" t="str">
        <f>"INDEPENDENCIA NO.6                                                              "</f>
        <v xml:space="preserve">INDEPENDENCIA NO.6                                                              </v>
      </c>
      <c r="F1762" s="26" t="str">
        <f>"ZAPOTITLA                                                                                                                                   "</f>
        <v xml:space="preserve">ZAPOTITLA                                                                                                                                   </v>
      </c>
      <c r="G1762" s="26" t="str">
        <f>"TLAHUAC                                                                         "</f>
        <v xml:space="preserve">TLAHUAC                                                                         </v>
      </c>
      <c r="H1762" s="26" t="str">
        <f>"242"</f>
        <v>242</v>
      </c>
      <c r="I1762" s="26" t="str">
        <f t="shared" si="324"/>
        <v>00</v>
      </c>
      <c r="J1762" s="26" t="str">
        <f>"35 "</f>
        <v xml:space="preserve">35 </v>
      </c>
      <c r="K1762" s="26" t="str">
        <f>"EP"</f>
        <v>EP</v>
      </c>
      <c r="L1762" s="26" t="str">
        <f>"DGOSE"</f>
        <v>DGOSE</v>
      </c>
      <c r="M1762" s="26" t="str">
        <f t="shared" si="321"/>
        <v>PARTICULAR</v>
      </c>
      <c r="N1762" s="26">
        <v>22</v>
      </c>
      <c r="O1762" s="26">
        <v>11</v>
      </c>
      <c r="P1762" s="26">
        <v>11</v>
      </c>
      <c r="Q1762" s="26">
        <v>3</v>
      </c>
      <c r="R1762" s="26">
        <v>1</v>
      </c>
      <c r="S1762" s="26">
        <v>3</v>
      </c>
      <c r="T1762" s="26">
        <v>1</v>
      </c>
      <c r="U1762" s="26">
        <v>5</v>
      </c>
      <c r="V1762" s="26">
        <v>1</v>
      </c>
      <c r="W1762" s="26"/>
    </row>
    <row r="1763" spans="1:23" x14ac:dyDescent="0.25">
      <c r="A1763" s="26" t="str">
        <f t="shared" si="323"/>
        <v>PREESCOLAR</v>
      </c>
      <c r="B1763" s="26" t="str">
        <f>"09PJN3419R"</f>
        <v>09PJN3419R</v>
      </c>
      <c r="C1763" s="26" t="str">
        <f>"ADOLPHE FERRIERE                                                                                    "</f>
        <v xml:space="preserve">ADOLPHE FERRIERE                                                                                    </v>
      </c>
      <c r="D1763" s="26" t="str">
        <f t="shared" si="320"/>
        <v>MATUTINO</v>
      </c>
      <c r="E1763" s="26" t="str">
        <f>"JAZMIN MZ. 131 LT. 2                                                            "</f>
        <v xml:space="preserve">JAZMIN MZ. 131 LT. 2                                                            </v>
      </c>
      <c r="F1763" s="26" t="str">
        <f>"TENORIOS                                                                                                                                    "</f>
        <v xml:space="preserve">TENORIOS                                                                                                                                    </v>
      </c>
      <c r="G1763" s="26" t="str">
        <f>"IZTAPALAPA                                                                      "</f>
        <v xml:space="preserve">IZTAPALAPA                                                                      </v>
      </c>
      <c r="H1763" s="26" t="str">
        <f>"000"</f>
        <v>000</v>
      </c>
      <c r="I1763" s="26" t="str">
        <f t="shared" si="324"/>
        <v>00</v>
      </c>
      <c r="J1763" s="26" t="str">
        <f>"64 "</f>
        <v xml:space="preserve">64 </v>
      </c>
      <c r="K1763" s="26" t="str">
        <f>"IZ"</f>
        <v>IZ</v>
      </c>
      <c r="L1763" s="26" t="str">
        <f>"DGSEI"</f>
        <v>DGSEI</v>
      </c>
      <c r="M1763" s="26" t="str">
        <f t="shared" si="321"/>
        <v>PARTICULAR</v>
      </c>
      <c r="N1763" s="26">
        <v>28</v>
      </c>
      <c r="O1763" s="26">
        <v>18</v>
      </c>
      <c r="P1763" s="26">
        <v>10</v>
      </c>
      <c r="Q1763" s="26">
        <v>3</v>
      </c>
      <c r="R1763" s="26">
        <v>1</v>
      </c>
      <c r="S1763" s="26">
        <v>3</v>
      </c>
      <c r="T1763" s="26">
        <v>3</v>
      </c>
      <c r="U1763" s="26">
        <v>7</v>
      </c>
      <c r="V1763" s="26">
        <v>1</v>
      </c>
      <c r="W1763" s="26"/>
    </row>
    <row r="1764" spans="1:23" x14ac:dyDescent="0.25">
      <c r="A1764" s="26" t="str">
        <f t="shared" si="323"/>
        <v>PREESCOLAR</v>
      </c>
      <c r="B1764" s="26" t="str">
        <f>"09PJN3421F"</f>
        <v>09PJN3421F</v>
      </c>
      <c r="C1764" s="26" t="str">
        <f>"INSTRUCCION Y NATACION                                                                              "</f>
        <v xml:space="preserve">INSTRUCCION Y NATACION                                                                              </v>
      </c>
      <c r="D1764" s="26" t="str">
        <f t="shared" ref="D1764:D1827" si="327">"MATUTINO"</f>
        <v>MATUTINO</v>
      </c>
      <c r="E1764" s="26" t="str">
        <f>"PATRICIO SANZ No. 1330                                                          "</f>
        <v xml:space="preserve">PATRICIO SANZ No. 1330                                                          </v>
      </c>
      <c r="F1764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1764" s="26" t="str">
        <f>"BENITO JUAREZ                                                                   "</f>
        <v xml:space="preserve">BENITO JUAREZ                                                                   </v>
      </c>
      <c r="H1764" s="26" t="str">
        <f>"032"</f>
        <v>032</v>
      </c>
      <c r="I1764" s="26" t="str">
        <f t="shared" si="324"/>
        <v>00</v>
      </c>
      <c r="J1764" s="26" t="str">
        <f>"33 "</f>
        <v xml:space="preserve">33 </v>
      </c>
      <c r="K1764" s="26" t="str">
        <f t="shared" ref="K1764:K1788" si="328">"EP"</f>
        <v>EP</v>
      </c>
      <c r="L1764" s="26" t="str">
        <f t="shared" ref="L1764:L1827" si="329">"DGOSE"</f>
        <v>DGOSE</v>
      </c>
      <c r="M1764" s="26" t="str">
        <f t="shared" si="321"/>
        <v>PARTICULAR</v>
      </c>
      <c r="N1764" s="26">
        <v>27</v>
      </c>
      <c r="O1764" s="26">
        <v>14</v>
      </c>
      <c r="P1764" s="26">
        <v>13</v>
      </c>
      <c r="Q1764" s="26">
        <v>3</v>
      </c>
      <c r="R1764" s="26">
        <v>1</v>
      </c>
      <c r="S1764" s="26">
        <v>3</v>
      </c>
      <c r="T1764" s="26">
        <v>4</v>
      </c>
      <c r="U1764" s="26">
        <v>8</v>
      </c>
      <c r="V1764" s="26">
        <v>1</v>
      </c>
      <c r="W1764" s="26"/>
    </row>
    <row r="1765" spans="1:23" x14ac:dyDescent="0.25">
      <c r="A1765" s="26" t="str">
        <f t="shared" si="323"/>
        <v>PREESCOLAR</v>
      </c>
      <c r="B1765" s="26" t="str">
        <f>"09PJN3422E"</f>
        <v>09PJN3422E</v>
      </c>
      <c r="C1765" s="26" t="str">
        <f>"ICC JR                                                                                              "</f>
        <v xml:space="preserve">ICC JR                                                                                              </v>
      </c>
      <c r="D1765" s="26" t="str">
        <f t="shared" si="327"/>
        <v>MATUTINO</v>
      </c>
      <c r="E1765" s="26" t="str">
        <f>"TIERRA ARENOSA NO. 5                                                            "</f>
        <v xml:space="preserve">TIERRA ARENOSA NO. 5                                                            </v>
      </c>
      <c r="F1765" s="26" t="str">
        <f>"TIERRA NUEVA                                                                                                                                "</f>
        <v xml:space="preserve">TIERRA NUEVA                                                                                                                                </v>
      </c>
      <c r="G1765" s="26" t="str">
        <f>"AZCAPOTZALCO                                                                    "</f>
        <v xml:space="preserve">AZCAPOTZALCO                                                                    </v>
      </c>
      <c r="H1765" s="26" t="str">
        <f>"009"</f>
        <v>009</v>
      </c>
      <c r="I1765" s="26" t="str">
        <f t="shared" si="324"/>
        <v>00</v>
      </c>
      <c r="J1765" s="26" t="str">
        <f>"32 "</f>
        <v xml:space="preserve">32 </v>
      </c>
      <c r="K1765" s="26" t="str">
        <f t="shared" si="328"/>
        <v>EP</v>
      </c>
      <c r="L1765" s="26" t="str">
        <f t="shared" si="329"/>
        <v>DGOSE</v>
      </c>
      <c r="M1765" s="26" t="str">
        <f t="shared" si="321"/>
        <v>PARTICULAR</v>
      </c>
      <c r="N1765" s="26">
        <v>50</v>
      </c>
      <c r="O1765" s="26">
        <v>26</v>
      </c>
      <c r="P1765" s="26">
        <v>24</v>
      </c>
      <c r="Q1765" s="26">
        <v>3</v>
      </c>
      <c r="R1765" s="26">
        <v>1</v>
      </c>
      <c r="S1765" s="26">
        <v>3</v>
      </c>
      <c r="T1765" s="26">
        <v>2</v>
      </c>
      <c r="U1765" s="26">
        <v>6</v>
      </c>
      <c r="V1765" s="26">
        <v>1</v>
      </c>
      <c r="W1765" s="26"/>
    </row>
    <row r="1766" spans="1:23" x14ac:dyDescent="0.25">
      <c r="A1766" s="26" t="str">
        <f t="shared" si="323"/>
        <v>PREESCOLAR</v>
      </c>
      <c r="B1766" s="26" t="str">
        <f>"09PJN3423D"</f>
        <v>09PJN3423D</v>
      </c>
      <c r="C1766" s="26" t="str">
        <f>"COLEGIO MONTESSORI XIADANI                                                                          "</f>
        <v xml:space="preserve">COLEGIO MONTESSORI XIADANI                                                                          </v>
      </c>
      <c r="D1766" s="26" t="str">
        <f t="shared" si="327"/>
        <v>MATUTINO</v>
      </c>
      <c r="E1766" s="26" t="str">
        <f>"RETORNO 32 DE GENARO GARCIA No. 46                                              "</f>
        <v xml:space="preserve">RETORNO 32 DE GENARO GARCIA No. 46                                              </v>
      </c>
      <c r="F1766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1766" s="26" t="str">
        <f>"VENUSTIANO CARRANZA                                                             "</f>
        <v xml:space="preserve">VENUSTIANO CARRANZA                                                             </v>
      </c>
      <c r="H1766" s="26" t="str">
        <f>"250"</f>
        <v>250</v>
      </c>
      <c r="I1766" s="26" t="str">
        <f t="shared" si="324"/>
        <v>00</v>
      </c>
      <c r="J1766" s="26" t="str">
        <f>"33 "</f>
        <v xml:space="preserve">33 </v>
      </c>
      <c r="K1766" s="26" t="str">
        <f t="shared" si="328"/>
        <v>EP</v>
      </c>
      <c r="L1766" s="26" t="str">
        <f t="shared" si="329"/>
        <v>DGOSE</v>
      </c>
      <c r="M1766" s="26" t="str">
        <f t="shared" si="321"/>
        <v>PARTICULAR</v>
      </c>
      <c r="N1766" s="26">
        <v>7</v>
      </c>
      <c r="O1766" s="26">
        <v>3</v>
      </c>
      <c r="P1766" s="26">
        <v>4</v>
      </c>
      <c r="Q1766" s="26">
        <v>3</v>
      </c>
      <c r="R1766" s="26">
        <v>1</v>
      </c>
      <c r="S1766" s="26">
        <v>1</v>
      </c>
      <c r="T1766" s="26">
        <v>3</v>
      </c>
      <c r="U1766" s="26">
        <v>5</v>
      </c>
      <c r="V1766" s="26">
        <v>1</v>
      </c>
      <c r="W1766" s="26"/>
    </row>
    <row r="1767" spans="1:23" x14ac:dyDescent="0.25">
      <c r="A1767" s="26" t="str">
        <f t="shared" si="323"/>
        <v>PREESCOLAR</v>
      </c>
      <c r="B1767" s="26" t="str">
        <f>"09PJN3425B"</f>
        <v>09PJN3425B</v>
      </c>
      <c r="C1767" s="26" t="str">
        <f>"COLEGIO NIÑOS DEL MUNDO                                                                             "</f>
        <v xml:space="preserve">COLEGIO NIÑOS DEL MUNDO                                                                             </v>
      </c>
      <c r="D1767" s="26" t="str">
        <f t="shared" si="327"/>
        <v>MATUTINO</v>
      </c>
      <c r="E1767" s="26" t="str">
        <f>"SASSOFERRATO No. 24                                                             "</f>
        <v xml:space="preserve">SASSOFERRATO No. 24                                                             </v>
      </c>
      <c r="F1767" s="26" t="str">
        <f>"ALFONSO XIII                                                                                                                                "</f>
        <v xml:space="preserve">ALFONSO XIII                                                                                                                                </v>
      </c>
      <c r="G1767" s="26" t="str">
        <f>"ALVARO OBREGON                                                                  "</f>
        <v xml:space="preserve">ALVARO OBREGON                                                                  </v>
      </c>
      <c r="H1767" s="26" t="str">
        <f>"217"</f>
        <v>217</v>
      </c>
      <c r="I1767" s="26" t="str">
        <f t="shared" si="324"/>
        <v>00</v>
      </c>
      <c r="J1767" s="26" t="str">
        <f>"33 "</f>
        <v xml:space="preserve">33 </v>
      </c>
      <c r="K1767" s="26" t="str">
        <f t="shared" si="328"/>
        <v>EP</v>
      </c>
      <c r="L1767" s="26" t="str">
        <f t="shared" si="329"/>
        <v>DGOSE</v>
      </c>
      <c r="M1767" s="26" t="str">
        <f t="shared" si="321"/>
        <v>PARTICULAR</v>
      </c>
      <c r="N1767" s="26">
        <v>28</v>
      </c>
      <c r="O1767" s="26">
        <v>18</v>
      </c>
      <c r="P1767" s="26">
        <v>10</v>
      </c>
      <c r="Q1767" s="26">
        <v>3</v>
      </c>
      <c r="R1767" s="26">
        <v>1</v>
      </c>
      <c r="S1767" s="26">
        <v>2</v>
      </c>
      <c r="T1767" s="26">
        <v>6</v>
      </c>
      <c r="U1767" s="26">
        <v>9</v>
      </c>
      <c r="V1767" s="26">
        <v>1</v>
      </c>
      <c r="W1767" s="26"/>
    </row>
    <row r="1768" spans="1:23" x14ac:dyDescent="0.25">
      <c r="A1768" s="26" t="str">
        <f t="shared" si="323"/>
        <v>PREESCOLAR</v>
      </c>
      <c r="B1768" s="26" t="str">
        <f>"09PJN3426A"</f>
        <v>09PJN3426A</v>
      </c>
      <c r="C1768" s="26" t="str">
        <f>"JARDIN DE NIÑOS TOTZIN                                                                              "</f>
        <v xml:space="preserve">JARDIN DE NIÑOS TOTZIN                                                                              </v>
      </c>
      <c r="D1768" s="26" t="str">
        <f t="shared" si="327"/>
        <v>MATUTINO</v>
      </c>
      <c r="E1768" s="26" t="str">
        <f>"RET. 1 DE SUR 28 No. 9                                                          "</f>
        <v xml:space="preserve">RET. 1 DE SUR 28 No. 9                                                          </v>
      </c>
      <c r="F1768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1768" s="26" t="str">
        <f>"IZTACALCO                                                                       "</f>
        <v xml:space="preserve">IZTACALCO                                                                       </v>
      </c>
      <c r="H1768" s="26" t="str">
        <f>"240"</f>
        <v>240</v>
      </c>
      <c r="I1768" s="26" t="str">
        <f t="shared" si="324"/>
        <v>00</v>
      </c>
      <c r="J1768" s="26" t="str">
        <f>"33 "</f>
        <v xml:space="preserve">33 </v>
      </c>
      <c r="K1768" s="26" t="str">
        <f t="shared" si="328"/>
        <v>EP</v>
      </c>
      <c r="L1768" s="26" t="str">
        <f t="shared" si="329"/>
        <v>DGOSE</v>
      </c>
      <c r="M1768" s="26" t="str">
        <f t="shared" si="321"/>
        <v>PARTICULAR</v>
      </c>
      <c r="N1768" s="26">
        <v>50</v>
      </c>
      <c r="O1768" s="26">
        <v>26</v>
      </c>
      <c r="P1768" s="26">
        <v>24</v>
      </c>
      <c r="Q1768" s="26">
        <v>3</v>
      </c>
      <c r="R1768" s="26">
        <v>1</v>
      </c>
      <c r="S1768" s="26">
        <v>3</v>
      </c>
      <c r="T1768" s="26">
        <v>5</v>
      </c>
      <c r="U1768" s="26">
        <v>9</v>
      </c>
      <c r="V1768" s="26">
        <v>1</v>
      </c>
      <c r="W1768" s="26"/>
    </row>
    <row r="1769" spans="1:23" x14ac:dyDescent="0.25">
      <c r="A1769" s="26" t="str">
        <f t="shared" si="323"/>
        <v>PREESCOLAR</v>
      </c>
      <c r="B1769" s="26" t="str">
        <f>"09PJN3427Z"</f>
        <v>09PJN3427Z</v>
      </c>
      <c r="C1769" s="26" t="str">
        <f>"JARDIN DE NIÑOS POLICROMIAS                                                                         "</f>
        <v xml:space="preserve">JARDIN DE NIÑOS POLICROMIAS                                                                         </v>
      </c>
      <c r="D1769" s="26" t="str">
        <f t="shared" si="327"/>
        <v>MATUTINO</v>
      </c>
      <c r="E1769" s="26" t="str">
        <f>"FRANCISCO FERNANDEZ DEL CASTILLO NO.2851                                        "</f>
        <v xml:space="preserve">FRANCISCO FERNANDEZ DEL CASTILLO NO.2851                                        </v>
      </c>
      <c r="F1769" s="26" t="str">
        <f>"NATIVITAS                                                                                                                                   "</f>
        <v xml:space="preserve">NATIVITAS                                                                                                                                   </v>
      </c>
      <c r="G1769" s="26" t="str">
        <f>"BENITO JUAREZ                                                                   "</f>
        <v xml:space="preserve">BENITO JUAREZ                                                                   </v>
      </c>
      <c r="H1769" s="26" t="str">
        <f>"090"</f>
        <v>090</v>
      </c>
      <c r="I1769" s="26" t="str">
        <f t="shared" si="324"/>
        <v>00</v>
      </c>
      <c r="J1769" s="26" t="str">
        <f>"33 "</f>
        <v xml:space="preserve">33 </v>
      </c>
      <c r="K1769" s="26" t="str">
        <f t="shared" si="328"/>
        <v>EP</v>
      </c>
      <c r="L1769" s="26" t="str">
        <f t="shared" si="329"/>
        <v>DGOSE</v>
      </c>
      <c r="M1769" s="26" t="str">
        <f t="shared" si="321"/>
        <v>PARTICULAR</v>
      </c>
      <c r="N1769" s="26">
        <v>17</v>
      </c>
      <c r="O1769" s="26">
        <v>13</v>
      </c>
      <c r="P1769" s="26">
        <v>4</v>
      </c>
      <c r="Q1769" s="26">
        <v>3</v>
      </c>
      <c r="R1769" s="26">
        <v>1</v>
      </c>
      <c r="S1769" s="26">
        <v>2</v>
      </c>
      <c r="T1769" s="26">
        <v>3</v>
      </c>
      <c r="U1769" s="26">
        <v>6</v>
      </c>
      <c r="V1769" s="26">
        <v>1</v>
      </c>
      <c r="W1769" s="26"/>
    </row>
    <row r="1770" spans="1:23" x14ac:dyDescent="0.25">
      <c r="A1770" s="26" t="str">
        <f t="shared" si="323"/>
        <v>PREESCOLAR</v>
      </c>
      <c r="B1770" s="26" t="str">
        <f>"09PJN3428Z"</f>
        <v>09PJN3428Z</v>
      </c>
      <c r="C1770" s="26" t="str">
        <f>"JARDIN DE NIÑOS GIRASOL                                                                             "</f>
        <v xml:space="preserve">JARDIN DE NIÑOS GIRASOL                                                                             </v>
      </c>
      <c r="D1770" s="26" t="str">
        <f t="shared" si="327"/>
        <v>MATUTINO</v>
      </c>
      <c r="E1770" s="26" t="str">
        <f>"BOULEVARD DEL TEMOLUCO No. 134                                                  "</f>
        <v xml:space="preserve">BOULEVARD DEL TEMOLUCO No. 134                                                  </v>
      </c>
      <c r="F1770" s="26" t="str">
        <f>"ACUEDUCTO DE GUADALUPE                                                                                                                      "</f>
        <v xml:space="preserve">ACUEDUCTO DE GUADALUPE                                                                                                                      </v>
      </c>
      <c r="G1770" s="26" t="str">
        <f>"GUSTAVO A. MADERO                                                               "</f>
        <v xml:space="preserve">GUSTAVO A. MADERO                                                               </v>
      </c>
      <c r="H1770" s="26" t="str">
        <f>"196"</f>
        <v>196</v>
      </c>
      <c r="I1770" s="26" t="str">
        <f t="shared" si="324"/>
        <v>00</v>
      </c>
      <c r="J1770" s="26" t="str">
        <f>"32 "</f>
        <v xml:space="preserve">32 </v>
      </c>
      <c r="K1770" s="26" t="str">
        <f t="shared" si="328"/>
        <v>EP</v>
      </c>
      <c r="L1770" s="26" t="str">
        <f t="shared" si="329"/>
        <v>DGOSE</v>
      </c>
      <c r="M1770" s="26" t="str">
        <f t="shared" si="321"/>
        <v>PARTICULAR</v>
      </c>
      <c r="N1770" s="26">
        <v>68</v>
      </c>
      <c r="O1770" s="26">
        <v>36</v>
      </c>
      <c r="P1770" s="26">
        <v>32</v>
      </c>
      <c r="Q1770" s="26">
        <v>5</v>
      </c>
      <c r="R1770" s="26">
        <v>1</v>
      </c>
      <c r="S1770" s="26">
        <v>5</v>
      </c>
      <c r="T1770" s="26">
        <v>2</v>
      </c>
      <c r="U1770" s="26">
        <v>8</v>
      </c>
      <c r="V1770" s="26">
        <v>1</v>
      </c>
      <c r="W1770" s="26"/>
    </row>
    <row r="1771" spans="1:23" x14ac:dyDescent="0.25">
      <c r="A1771" s="26" t="str">
        <f t="shared" si="323"/>
        <v>PREESCOLAR</v>
      </c>
      <c r="B1771" s="26" t="str">
        <f>"09PJN3430N"</f>
        <v>09PJN3430N</v>
      </c>
      <c r="C1771" s="26" t="str">
        <f>"KINDER GRAHAM GREENE                                                                                "</f>
        <v xml:space="preserve">KINDER GRAHAM GREENE                                                                                </v>
      </c>
      <c r="D1771" s="26" t="str">
        <f t="shared" si="327"/>
        <v>MATUTINO</v>
      </c>
      <c r="E1771" s="26" t="str">
        <f>"MANUELA SAENZ NO. 25                                                            "</f>
        <v xml:space="preserve">MANUELA SAENZ NO. 25                                                            </v>
      </c>
      <c r="F1771" s="26" t="str">
        <f>"PRESIDENTES EJIDALES                                                                                                                        "</f>
        <v xml:space="preserve">PRESIDENTES EJIDALES                                                                                                                        </v>
      </c>
      <c r="G1771" s="26" t="str">
        <f>"COYOACAN                                                                        "</f>
        <v xml:space="preserve">COYOACAN                                                                        </v>
      </c>
      <c r="H1771" s="26" t="str">
        <f>"125"</f>
        <v>125</v>
      </c>
      <c r="I1771" s="26" t="str">
        <f t="shared" si="324"/>
        <v>00</v>
      </c>
      <c r="J1771" s="26" t="str">
        <f>"35 "</f>
        <v xml:space="preserve">35 </v>
      </c>
      <c r="K1771" s="26" t="str">
        <f t="shared" si="328"/>
        <v>EP</v>
      </c>
      <c r="L1771" s="26" t="str">
        <f t="shared" si="329"/>
        <v>DGOSE</v>
      </c>
      <c r="M1771" s="26" t="str">
        <f t="shared" si="321"/>
        <v>PARTICULAR</v>
      </c>
      <c r="N1771" s="26">
        <v>32</v>
      </c>
      <c r="O1771" s="26">
        <v>15</v>
      </c>
      <c r="P1771" s="26">
        <v>17</v>
      </c>
      <c r="Q1771" s="26">
        <v>3</v>
      </c>
      <c r="R1771" s="26">
        <v>1</v>
      </c>
      <c r="S1771" s="26">
        <v>3</v>
      </c>
      <c r="T1771" s="26">
        <v>9</v>
      </c>
      <c r="U1771" s="26">
        <v>13</v>
      </c>
      <c r="V1771" s="26">
        <v>1</v>
      </c>
      <c r="W1771" s="26"/>
    </row>
    <row r="1772" spans="1:23" x14ac:dyDescent="0.25">
      <c r="A1772" s="26" t="str">
        <f t="shared" si="323"/>
        <v>PREESCOLAR</v>
      </c>
      <c r="B1772" s="26" t="str">
        <f>"09PJN3434J"</f>
        <v>09PJN3434J</v>
      </c>
      <c r="C1772" s="26" t="str">
        <f>"JARDIN DE NIÑOS UNAM                                                                                "</f>
        <v xml:space="preserve">JARDIN DE NIÑOS UNAM                                                                                </v>
      </c>
      <c r="D1772" s="26" t="str">
        <f t="shared" si="327"/>
        <v>MATUTINO</v>
      </c>
      <c r="E1772" s="26" t="str">
        <f>"CIRCUITO ESCOLAR DE CIUDAD UNIVERSITARIA                                        "</f>
        <v xml:space="preserve">CIRCUITO ESCOLAR DE CIUDAD UNIVERSITARIA                                        </v>
      </c>
      <c r="F1772" s="26" t="str">
        <f>"COYOACAN                                                                                                                                    "</f>
        <v xml:space="preserve">COYOACAN                                                                                                                                    </v>
      </c>
      <c r="G1772" s="26" t="str">
        <f>"COYOACAN                                                                        "</f>
        <v xml:space="preserve">COYOACAN                                                                        </v>
      </c>
      <c r="H1772" s="26" t="str">
        <f>"237"</f>
        <v>237</v>
      </c>
      <c r="I1772" s="26" t="str">
        <f t="shared" si="324"/>
        <v>00</v>
      </c>
      <c r="J1772" s="26" t="str">
        <f>"35 "</f>
        <v xml:space="preserve">35 </v>
      </c>
      <c r="K1772" s="26" t="str">
        <f t="shared" si="328"/>
        <v>EP</v>
      </c>
      <c r="L1772" s="26" t="str">
        <f t="shared" si="329"/>
        <v>DGOSE</v>
      </c>
      <c r="M1772" s="26" t="str">
        <f t="shared" si="321"/>
        <v>PARTICULAR</v>
      </c>
      <c r="N1772" s="26">
        <v>385</v>
      </c>
      <c r="O1772" s="26">
        <v>201</v>
      </c>
      <c r="P1772" s="26">
        <v>184</v>
      </c>
      <c r="Q1772" s="26">
        <v>12</v>
      </c>
      <c r="R1772" s="26">
        <v>1</v>
      </c>
      <c r="S1772" s="26">
        <v>12</v>
      </c>
      <c r="T1772" s="26">
        <v>6</v>
      </c>
      <c r="U1772" s="26">
        <v>19</v>
      </c>
      <c r="V1772" s="26">
        <v>1</v>
      </c>
      <c r="W1772" s="26"/>
    </row>
    <row r="1773" spans="1:23" x14ac:dyDescent="0.25">
      <c r="A1773" s="26" t="str">
        <f t="shared" si="323"/>
        <v>PREESCOLAR</v>
      </c>
      <c r="B1773" s="26" t="str">
        <f>"09PJN3435I"</f>
        <v>09PJN3435I</v>
      </c>
      <c r="C1773" s="26" t="str">
        <f>"JARDÍN DE NIÑOS CARMEL                                                                              "</f>
        <v xml:space="preserve">JARDÍN DE NIÑOS CARMEL                                                                              </v>
      </c>
      <c r="D1773" s="26" t="str">
        <f t="shared" si="327"/>
        <v>MATUTINO</v>
      </c>
      <c r="E1773" s="26" t="str">
        <f>"RANCHO ESTANZUELA NO. 130                                                       "</f>
        <v xml:space="preserve">RANCHO ESTANZUELA NO. 130                                                       </v>
      </c>
      <c r="F1773" s="26" t="str">
        <f>"HACIENDAS DE COYOACAN                                                                                                                       "</f>
        <v xml:space="preserve">HACIENDAS DE COYOACAN                                                                                                                       </v>
      </c>
      <c r="G1773" s="26" t="str">
        <f>"COYOACAN                                                                        "</f>
        <v xml:space="preserve">COYOACAN                                                                        </v>
      </c>
      <c r="H1773" s="26" t="str">
        <f>"125"</f>
        <v>125</v>
      </c>
      <c r="I1773" s="26" t="str">
        <f t="shared" si="324"/>
        <v>00</v>
      </c>
      <c r="J1773" s="26" t="str">
        <f>"35 "</f>
        <v xml:space="preserve">35 </v>
      </c>
      <c r="K1773" s="26" t="str">
        <f t="shared" si="328"/>
        <v>EP</v>
      </c>
      <c r="L1773" s="26" t="str">
        <f t="shared" si="329"/>
        <v>DGOSE</v>
      </c>
      <c r="M1773" s="26" t="str">
        <f t="shared" si="321"/>
        <v>PARTICULAR</v>
      </c>
      <c r="N1773" s="26">
        <v>131</v>
      </c>
      <c r="O1773" s="26">
        <v>62</v>
      </c>
      <c r="P1773" s="26">
        <v>69</v>
      </c>
      <c r="Q1773" s="26">
        <v>7</v>
      </c>
      <c r="R1773" s="26">
        <v>1</v>
      </c>
      <c r="S1773" s="26">
        <v>4</v>
      </c>
      <c r="T1773" s="26">
        <v>11</v>
      </c>
      <c r="U1773" s="26">
        <v>16</v>
      </c>
      <c r="V1773" s="26">
        <v>1</v>
      </c>
      <c r="W1773" s="26"/>
    </row>
    <row r="1774" spans="1:23" x14ac:dyDescent="0.25">
      <c r="A1774" s="26" t="str">
        <f t="shared" si="323"/>
        <v>PREESCOLAR</v>
      </c>
      <c r="B1774" s="26" t="str">
        <f>"09PJN3439E"</f>
        <v>09PJN3439E</v>
      </c>
      <c r="C1774" s="26" t="str">
        <f>"COLEGIO BILINGÜE MEXICO                                                                             "</f>
        <v xml:space="preserve">COLEGIO BILINGÜE MEXICO                                                                             </v>
      </c>
      <c r="D1774" s="26" t="str">
        <f t="shared" si="327"/>
        <v>MATUTINO</v>
      </c>
      <c r="E1774" s="26" t="str">
        <f>"BAJA CALIFORNIA SUR NO. 91 Y 93                                                 "</f>
        <v xml:space="preserve">BAJA CALIFORNIA SUR NO. 91 Y 93                                                 </v>
      </c>
      <c r="F1774" s="26" t="str">
        <f>"LA PROVIDENCIA                                                                                                                              "</f>
        <v xml:space="preserve">LA PROVIDENCIA                                                                                                                              </v>
      </c>
      <c r="G1774" s="26" t="str">
        <f t="shared" ref="G1774:G1795" si="330">"GUSTAVO A. MADERO                                                               "</f>
        <v xml:space="preserve">GUSTAVO A. MADERO                                                               </v>
      </c>
      <c r="H1774" s="26" t="str">
        <f>"180"</f>
        <v>180</v>
      </c>
      <c r="I1774" s="26" t="str">
        <f t="shared" si="324"/>
        <v>00</v>
      </c>
      <c r="J1774" s="26" t="str">
        <f t="shared" ref="J1774:J1811" si="331">"32 "</f>
        <v xml:space="preserve">32 </v>
      </c>
      <c r="K1774" s="26" t="str">
        <f t="shared" si="328"/>
        <v>EP</v>
      </c>
      <c r="L1774" s="26" t="str">
        <f t="shared" si="329"/>
        <v>DGOSE</v>
      </c>
      <c r="M1774" s="26" t="str">
        <f t="shared" si="321"/>
        <v>PARTICULAR</v>
      </c>
      <c r="N1774" s="26">
        <v>32</v>
      </c>
      <c r="O1774" s="26">
        <v>20</v>
      </c>
      <c r="P1774" s="26">
        <v>12</v>
      </c>
      <c r="Q1774" s="26">
        <v>3</v>
      </c>
      <c r="R1774" s="26">
        <v>1</v>
      </c>
      <c r="S1774" s="26">
        <v>3</v>
      </c>
      <c r="T1774" s="26">
        <v>1</v>
      </c>
      <c r="U1774" s="26">
        <v>5</v>
      </c>
      <c r="V1774" s="26">
        <v>1</v>
      </c>
      <c r="W1774" s="26"/>
    </row>
    <row r="1775" spans="1:23" x14ac:dyDescent="0.25">
      <c r="A1775" s="26" t="str">
        <f t="shared" si="323"/>
        <v>PREESCOLAR</v>
      </c>
      <c r="B1775" s="26" t="str">
        <f>"09PJN3442S"</f>
        <v>09PJN3442S</v>
      </c>
      <c r="C1775" s="26" t="str">
        <f>"BARBARA COLYNS                                                                                      "</f>
        <v xml:space="preserve">BARBARA COLYNS                                                                                      </v>
      </c>
      <c r="D1775" s="26" t="str">
        <f t="shared" si="327"/>
        <v>MATUTINO</v>
      </c>
      <c r="E1775" s="26" t="str">
        <f>"PROLONGACION DE GRANATE NO. 10                                                  "</f>
        <v xml:space="preserve">PROLONGACION DE GRANATE NO. 10                                                  </v>
      </c>
      <c r="F1775" s="26" t="str">
        <f>"ESTRELLA                                                                                                                                    "</f>
        <v xml:space="preserve">ESTRELLA                                                                                                                                    </v>
      </c>
      <c r="G1775" s="26" t="str">
        <f t="shared" si="330"/>
        <v xml:space="preserve">GUSTAVO A. MADERO                                                               </v>
      </c>
      <c r="H1775" s="26" t="str">
        <f>"095"</f>
        <v>095</v>
      </c>
      <c r="I1775" s="26" t="str">
        <f t="shared" si="324"/>
        <v>00</v>
      </c>
      <c r="J1775" s="26" t="str">
        <f t="shared" si="331"/>
        <v xml:space="preserve">32 </v>
      </c>
      <c r="K1775" s="26" t="str">
        <f t="shared" si="328"/>
        <v>EP</v>
      </c>
      <c r="L1775" s="26" t="str">
        <f t="shared" si="329"/>
        <v>DGOSE</v>
      </c>
      <c r="M1775" s="26" t="str">
        <f t="shared" si="321"/>
        <v>PARTICULAR</v>
      </c>
      <c r="N1775" s="26">
        <v>44</v>
      </c>
      <c r="O1775" s="26">
        <v>28</v>
      </c>
      <c r="P1775" s="26">
        <v>16</v>
      </c>
      <c r="Q1775" s="26">
        <v>3</v>
      </c>
      <c r="R1775" s="26">
        <v>1</v>
      </c>
      <c r="S1775" s="26">
        <v>3</v>
      </c>
      <c r="T1775" s="26">
        <v>2</v>
      </c>
      <c r="U1775" s="26">
        <v>6</v>
      </c>
      <c r="V1775" s="26">
        <v>1</v>
      </c>
      <c r="W1775" s="26"/>
    </row>
    <row r="1776" spans="1:23" x14ac:dyDescent="0.25">
      <c r="A1776" s="26" t="str">
        <f t="shared" si="323"/>
        <v>PREESCOLAR</v>
      </c>
      <c r="B1776" s="26" t="str">
        <f>"09PJN3443R"</f>
        <v>09PJN3443R</v>
      </c>
      <c r="C1776" s="26" t="str">
        <f>"COLEGIO KINDERLAND                                                                                  "</f>
        <v xml:space="preserve">COLEGIO KINDERLAND                                                                                  </v>
      </c>
      <c r="D1776" s="26" t="str">
        <f t="shared" si="327"/>
        <v>MATUTINO</v>
      </c>
      <c r="E1776" s="26" t="str">
        <f>"ETEN NO. 701                                                                    "</f>
        <v xml:space="preserve">ETEN NO. 701                                                                    </v>
      </c>
      <c r="F1776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1776" s="26" t="str">
        <f t="shared" si="330"/>
        <v xml:space="preserve">GUSTAVO A. MADERO                                                               </v>
      </c>
      <c r="H1776" s="26" t="str">
        <f>"003"</f>
        <v>003</v>
      </c>
      <c r="I1776" s="26" t="str">
        <f t="shared" si="324"/>
        <v>00</v>
      </c>
      <c r="J1776" s="26" t="str">
        <f t="shared" si="331"/>
        <v xml:space="preserve">32 </v>
      </c>
      <c r="K1776" s="26" t="str">
        <f t="shared" si="328"/>
        <v>EP</v>
      </c>
      <c r="L1776" s="26" t="str">
        <f t="shared" si="329"/>
        <v>DGOSE</v>
      </c>
      <c r="M1776" s="26" t="str">
        <f t="shared" si="321"/>
        <v>PARTICULAR</v>
      </c>
      <c r="N1776" s="26">
        <v>9</v>
      </c>
      <c r="O1776" s="26">
        <v>2</v>
      </c>
      <c r="P1776" s="26">
        <v>7</v>
      </c>
      <c r="Q1776" s="26">
        <v>2</v>
      </c>
      <c r="R1776" s="26">
        <v>1</v>
      </c>
      <c r="S1776" s="26">
        <v>2</v>
      </c>
      <c r="T1776" s="26">
        <v>5</v>
      </c>
      <c r="U1776" s="26">
        <v>8</v>
      </c>
      <c r="V1776" s="26">
        <v>1</v>
      </c>
      <c r="W1776" s="26"/>
    </row>
    <row r="1777" spans="1:23" x14ac:dyDescent="0.25">
      <c r="A1777" s="26" t="str">
        <f t="shared" si="323"/>
        <v>PREESCOLAR</v>
      </c>
      <c r="B1777" s="26" t="str">
        <f>"09PJN3446O"</f>
        <v>09PJN3446O</v>
      </c>
      <c r="C1777" s="26" t="str">
        <f>"OVIDE DECROLY                                                                                       "</f>
        <v xml:space="preserve">OVIDE DECROLY                                                                                       </v>
      </c>
      <c r="D1777" s="26" t="str">
        <f t="shared" si="327"/>
        <v>MATUTINO</v>
      </c>
      <c r="E1777" s="26" t="str">
        <f>"AV. SANTIAGO ATEPETLAC NO. 151                                                  "</f>
        <v xml:space="preserve">AV. SANTIAGO ATEPETLAC NO. 151                                                  </v>
      </c>
      <c r="F1777" s="26" t="str">
        <f>"GUADALUPE PROLETARIA                                                                                                                        "</f>
        <v xml:space="preserve">GUADALUPE PROLETARIA                                                                                                                        </v>
      </c>
      <c r="G1777" s="26" t="str">
        <f t="shared" si="330"/>
        <v xml:space="preserve">GUSTAVO A. MADERO                                                               </v>
      </c>
      <c r="H1777" s="26" t="str">
        <f>"003"</f>
        <v>003</v>
      </c>
      <c r="I1777" s="26" t="str">
        <f t="shared" si="324"/>
        <v>00</v>
      </c>
      <c r="J1777" s="26" t="str">
        <f t="shared" si="331"/>
        <v xml:space="preserve">32 </v>
      </c>
      <c r="K1777" s="26" t="str">
        <f t="shared" si="328"/>
        <v>EP</v>
      </c>
      <c r="L1777" s="26" t="str">
        <f t="shared" si="329"/>
        <v>DGOSE</v>
      </c>
      <c r="M1777" s="26" t="str">
        <f t="shared" si="321"/>
        <v>PARTICULAR</v>
      </c>
      <c r="N1777" s="26">
        <v>33</v>
      </c>
      <c r="O1777" s="26">
        <v>15</v>
      </c>
      <c r="P1777" s="26">
        <v>18</v>
      </c>
      <c r="Q1777" s="26">
        <v>3</v>
      </c>
      <c r="R1777" s="26">
        <v>1</v>
      </c>
      <c r="S1777" s="26">
        <v>3</v>
      </c>
      <c r="T1777" s="26">
        <v>3</v>
      </c>
      <c r="U1777" s="26">
        <v>7</v>
      </c>
      <c r="V1777" s="26">
        <v>1</v>
      </c>
      <c r="W1777" s="26"/>
    </row>
    <row r="1778" spans="1:23" x14ac:dyDescent="0.25">
      <c r="A1778" s="26" t="str">
        <f t="shared" si="323"/>
        <v>PREESCOLAR</v>
      </c>
      <c r="B1778" s="26" t="str">
        <f>"09PJN3450A"</f>
        <v>09PJN3450A</v>
      </c>
      <c r="C1778" s="26" t="str">
        <f>"KINDER LAS AMERICAS                                                                                 "</f>
        <v xml:space="preserve">KINDER LAS AMERICAS                                                                                 </v>
      </c>
      <c r="D1778" s="26" t="str">
        <f t="shared" si="327"/>
        <v>MATUTINO</v>
      </c>
      <c r="E1778" s="26" t="str">
        <f>"CASMA NO. 609                                                                   "</f>
        <v xml:space="preserve">CASMA NO. 609                                                                   </v>
      </c>
      <c r="F1778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1778" s="26" t="str">
        <f t="shared" si="330"/>
        <v xml:space="preserve">GUSTAVO A. MADERO                                                               </v>
      </c>
      <c r="H1778" s="26" t="str">
        <f>"177"</f>
        <v>177</v>
      </c>
      <c r="I1778" s="26" t="str">
        <f t="shared" si="324"/>
        <v>00</v>
      </c>
      <c r="J1778" s="26" t="str">
        <f t="shared" si="331"/>
        <v xml:space="preserve">32 </v>
      </c>
      <c r="K1778" s="26" t="str">
        <f t="shared" si="328"/>
        <v>EP</v>
      </c>
      <c r="L1778" s="26" t="str">
        <f t="shared" si="329"/>
        <v>DGOSE</v>
      </c>
      <c r="M1778" s="26" t="str">
        <f t="shared" si="321"/>
        <v>PARTICULAR</v>
      </c>
      <c r="N1778" s="26">
        <v>25</v>
      </c>
      <c r="O1778" s="26">
        <v>13</v>
      </c>
      <c r="P1778" s="26">
        <v>12</v>
      </c>
      <c r="Q1778" s="26">
        <v>3</v>
      </c>
      <c r="R1778" s="26">
        <v>1</v>
      </c>
      <c r="S1778" s="26">
        <v>3</v>
      </c>
      <c r="T1778" s="26">
        <v>1</v>
      </c>
      <c r="U1778" s="26">
        <v>5</v>
      </c>
      <c r="V1778" s="26">
        <v>1</v>
      </c>
      <c r="W1778" s="26"/>
    </row>
    <row r="1779" spans="1:23" x14ac:dyDescent="0.25">
      <c r="A1779" s="26" t="str">
        <f t="shared" si="323"/>
        <v>PREESCOLAR</v>
      </c>
      <c r="B1779" s="26" t="str">
        <f>"09PJN3451Z"</f>
        <v>09PJN3451Z</v>
      </c>
      <c r="C1779" s="26" t="str">
        <f>"KINDER DEL PILAR                                                                                    "</f>
        <v xml:space="preserve">KINDER DEL PILAR                                                                                    </v>
      </c>
      <c r="D1779" s="26" t="str">
        <f t="shared" si="327"/>
        <v>MATUTINO</v>
      </c>
      <c r="E1779" s="26" t="str">
        <f>"SIERRA VISTA NO. 302                                                            "</f>
        <v xml:space="preserve">SIERRA VISTA NO. 302                                                            </v>
      </c>
      <c r="F1779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1779" s="26" t="str">
        <f t="shared" si="330"/>
        <v xml:space="preserve">GUSTAVO A. MADERO                                                               </v>
      </c>
      <c r="H1779" s="26" t="str">
        <f>"105"</f>
        <v>105</v>
      </c>
      <c r="I1779" s="26" t="str">
        <f t="shared" si="324"/>
        <v>00</v>
      </c>
      <c r="J1779" s="26" t="str">
        <f t="shared" si="331"/>
        <v xml:space="preserve">32 </v>
      </c>
      <c r="K1779" s="26" t="str">
        <f t="shared" si="328"/>
        <v>EP</v>
      </c>
      <c r="L1779" s="26" t="str">
        <f t="shared" si="329"/>
        <v>DGOSE</v>
      </c>
      <c r="M1779" s="26" t="str">
        <f t="shared" si="321"/>
        <v>PARTICULAR</v>
      </c>
      <c r="N1779" s="26">
        <v>41</v>
      </c>
      <c r="O1779" s="26">
        <v>21</v>
      </c>
      <c r="P1779" s="26">
        <v>20</v>
      </c>
      <c r="Q1779" s="26">
        <v>3</v>
      </c>
      <c r="R1779" s="26">
        <v>1</v>
      </c>
      <c r="S1779" s="26">
        <v>3</v>
      </c>
      <c r="T1779" s="26">
        <v>4</v>
      </c>
      <c r="U1779" s="26">
        <v>8</v>
      </c>
      <c r="V1779" s="26">
        <v>1</v>
      </c>
      <c r="W1779" s="26"/>
    </row>
    <row r="1780" spans="1:23" x14ac:dyDescent="0.25">
      <c r="A1780" s="26" t="str">
        <f t="shared" si="323"/>
        <v>PREESCOLAR</v>
      </c>
      <c r="B1780" s="26" t="str">
        <f>"09PJN3452Z"</f>
        <v>09PJN3452Z</v>
      </c>
      <c r="C1780" s="26" t="str">
        <f>"ESTRELLA DE LA MAÑANA                                                                               "</f>
        <v xml:space="preserve">ESTRELLA DE LA MAÑANA                                                                               </v>
      </c>
      <c r="D1780" s="26" t="str">
        <f t="shared" si="327"/>
        <v>MATUTINO</v>
      </c>
      <c r="E1780" s="26" t="str">
        <f>"CATAMARCA NO. 125                                                               "</f>
        <v xml:space="preserve">CATAMARCA NO. 125                                                               </v>
      </c>
      <c r="F1780" s="26" t="str">
        <f>"SAN PEDRO ZACATENCO                                                                                                                         "</f>
        <v xml:space="preserve">SAN PEDRO ZACATENCO                                                                                                                         </v>
      </c>
      <c r="G1780" s="26" t="str">
        <f t="shared" si="330"/>
        <v xml:space="preserve">GUSTAVO A. MADERO                                                               </v>
      </c>
      <c r="H1780" s="26" t="str">
        <f>"003"</f>
        <v>003</v>
      </c>
      <c r="I1780" s="26" t="str">
        <f t="shared" si="324"/>
        <v>00</v>
      </c>
      <c r="J1780" s="26" t="str">
        <f t="shared" si="331"/>
        <v xml:space="preserve">32 </v>
      </c>
      <c r="K1780" s="26" t="str">
        <f t="shared" si="328"/>
        <v>EP</v>
      </c>
      <c r="L1780" s="26" t="str">
        <f t="shared" si="329"/>
        <v>DGOSE</v>
      </c>
      <c r="M1780" s="26" t="str">
        <f t="shared" si="321"/>
        <v>PARTICULAR</v>
      </c>
      <c r="N1780" s="26">
        <v>22</v>
      </c>
      <c r="O1780" s="26">
        <v>16</v>
      </c>
      <c r="P1780" s="26">
        <v>6</v>
      </c>
      <c r="Q1780" s="26">
        <v>3</v>
      </c>
      <c r="R1780" s="26">
        <v>1</v>
      </c>
      <c r="S1780" s="26">
        <v>3</v>
      </c>
      <c r="T1780" s="26">
        <v>5</v>
      </c>
      <c r="U1780" s="26">
        <v>9</v>
      </c>
      <c r="V1780" s="26">
        <v>1</v>
      </c>
      <c r="W1780" s="26"/>
    </row>
    <row r="1781" spans="1:23" x14ac:dyDescent="0.25">
      <c r="A1781" s="26" t="str">
        <f t="shared" si="323"/>
        <v>PREESCOLAR</v>
      </c>
      <c r="B1781" s="26" t="str">
        <f>"09PJN3454X"</f>
        <v>09PJN3454X</v>
      </c>
      <c r="C1781" s="26" t="str">
        <f>"JARDIN DE NIÑOS FRIDA KAHLO                                                                         "</f>
        <v xml:space="preserve">JARDIN DE NIÑOS FRIDA KAHLO                                                                         </v>
      </c>
      <c r="D1781" s="26" t="str">
        <f t="shared" si="327"/>
        <v>MATUTINO</v>
      </c>
      <c r="E1781" s="26" t="str">
        <f>"PATRIA No. 357                                                                  "</f>
        <v xml:space="preserve">PATRIA No. 357                                                                  </v>
      </c>
      <c r="F1781" s="26" t="str">
        <f>"SANTA MARIA TICOMAN                                                                                                                         "</f>
        <v xml:space="preserve">SANTA MARIA TICOMAN                                                                                                                         </v>
      </c>
      <c r="G1781" s="26" t="str">
        <f t="shared" si="330"/>
        <v xml:space="preserve">GUSTAVO A. MADERO                                                               </v>
      </c>
      <c r="H1781" s="26" t="str">
        <f>"227"</f>
        <v>227</v>
      </c>
      <c r="I1781" s="26" t="str">
        <f t="shared" si="324"/>
        <v>00</v>
      </c>
      <c r="J1781" s="26" t="str">
        <f t="shared" si="331"/>
        <v xml:space="preserve">32 </v>
      </c>
      <c r="K1781" s="26" t="str">
        <f t="shared" si="328"/>
        <v>EP</v>
      </c>
      <c r="L1781" s="26" t="str">
        <f t="shared" si="329"/>
        <v>DGOSE</v>
      </c>
      <c r="M1781" s="26" t="str">
        <f t="shared" si="321"/>
        <v>PARTICULAR</v>
      </c>
      <c r="N1781" s="26">
        <v>17</v>
      </c>
      <c r="O1781" s="26">
        <v>8</v>
      </c>
      <c r="P1781" s="26">
        <v>9</v>
      </c>
      <c r="Q1781" s="26">
        <v>3</v>
      </c>
      <c r="R1781" s="26">
        <v>1</v>
      </c>
      <c r="S1781" s="26">
        <v>3</v>
      </c>
      <c r="T1781" s="26">
        <v>2</v>
      </c>
      <c r="U1781" s="26">
        <v>6</v>
      </c>
      <c r="V1781" s="26">
        <v>1</v>
      </c>
      <c r="W1781" s="26"/>
    </row>
    <row r="1782" spans="1:23" x14ac:dyDescent="0.25">
      <c r="A1782" s="26" t="str">
        <f t="shared" si="323"/>
        <v>PREESCOLAR</v>
      </c>
      <c r="B1782" s="26" t="str">
        <f>"09PJN3455W"</f>
        <v>09PJN3455W</v>
      </c>
      <c r="C1782" s="26" t="str">
        <f>"KINDER MELYMAR                                                                                      "</f>
        <v xml:space="preserve">KINDER MELYMAR                                                                                      </v>
      </c>
      <c r="D1782" s="26" t="str">
        <f t="shared" si="327"/>
        <v>MATUTINO</v>
      </c>
      <c r="E1782" s="26" t="str">
        <f>"BANDERA No. 143                                                                 "</f>
        <v xml:space="preserve">BANDERA No. 143                                                                 </v>
      </c>
      <c r="F1782" s="26" t="str">
        <f>"LA LAGUNA TICOMAN                                                                                                                           "</f>
        <v xml:space="preserve">LA LAGUNA TICOMAN                                                                                                                           </v>
      </c>
      <c r="G1782" s="26" t="str">
        <f t="shared" si="330"/>
        <v xml:space="preserve">GUSTAVO A. MADERO                                                               </v>
      </c>
      <c r="H1782" s="26" t="str">
        <f>"197"</f>
        <v>197</v>
      </c>
      <c r="I1782" s="26" t="str">
        <f t="shared" si="324"/>
        <v>00</v>
      </c>
      <c r="J1782" s="26" t="str">
        <f t="shared" si="331"/>
        <v xml:space="preserve">32 </v>
      </c>
      <c r="K1782" s="26" t="str">
        <f t="shared" si="328"/>
        <v>EP</v>
      </c>
      <c r="L1782" s="26" t="str">
        <f t="shared" si="329"/>
        <v>DGOSE</v>
      </c>
      <c r="M1782" s="26" t="str">
        <f t="shared" si="321"/>
        <v>PARTICULAR</v>
      </c>
      <c r="N1782" s="26">
        <v>26</v>
      </c>
      <c r="O1782" s="26">
        <v>14</v>
      </c>
      <c r="P1782" s="26">
        <v>12</v>
      </c>
      <c r="Q1782" s="26">
        <v>3</v>
      </c>
      <c r="R1782" s="26">
        <v>1</v>
      </c>
      <c r="S1782" s="26">
        <v>3</v>
      </c>
      <c r="T1782" s="26">
        <v>4</v>
      </c>
      <c r="U1782" s="26">
        <v>8</v>
      </c>
      <c r="V1782" s="26">
        <v>1</v>
      </c>
      <c r="W1782" s="26"/>
    </row>
    <row r="1783" spans="1:23" x14ac:dyDescent="0.25">
      <c r="A1783" s="26" t="str">
        <f t="shared" si="323"/>
        <v>PREESCOLAR</v>
      </c>
      <c r="B1783" s="26" t="str">
        <f>"09PJN3457U"</f>
        <v>09PJN3457U</v>
      </c>
      <c r="C1783" s="26" t="str">
        <f>"COLEGIO FRANCES HIDALGO                                                                             "</f>
        <v xml:space="preserve">COLEGIO FRANCES HIDALGO                                                                             </v>
      </c>
      <c r="D1783" s="26" t="str">
        <f t="shared" si="327"/>
        <v>MATUTINO</v>
      </c>
      <c r="E1783" s="26" t="str">
        <f>"HUITZILIHUITL NO. 30                                                            "</f>
        <v xml:space="preserve">HUITZILIHUITL NO. 30                                                            </v>
      </c>
      <c r="F1783" s="26" t="str">
        <f>"SANTA ISABEL TOLA                                                                                                                           "</f>
        <v xml:space="preserve">SANTA ISABEL TOLA                                                                                                                           </v>
      </c>
      <c r="G1783" s="26" t="str">
        <f t="shared" si="330"/>
        <v xml:space="preserve">GUSTAVO A. MADERO                                                               </v>
      </c>
      <c r="H1783" s="26" t="str">
        <f>"105"</f>
        <v>105</v>
      </c>
      <c r="I1783" s="26" t="str">
        <f t="shared" si="324"/>
        <v>00</v>
      </c>
      <c r="J1783" s="26" t="str">
        <f t="shared" si="331"/>
        <v xml:space="preserve">32 </v>
      </c>
      <c r="K1783" s="26" t="str">
        <f t="shared" si="328"/>
        <v>EP</v>
      </c>
      <c r="L1783" s="26" t="str">
        <f t="shared" si="329"/>
        <v>DGOSE</v>
      </c>
      <c r="M1783" s="26" t="str">
        <f t="shared" si="321"/>
        <v>PARTICULAR</v>
      </c>
      <c r="N1783" s="26">
        <v>100</v>
      </c>
      <c r="O1783" s="26">
        <v>57</v>
      </c>
      <c r="P1783" s="26">
        <v>43</v>
      </c>
      <c r="Q1783" s="26">
        <v>6</v>
      </c>
      <c r="R1783" s="26">
        <v>1</v>
      </c>
      <c r="S1783" s="26">
        <v>4</v>
      </c>
      <c r="T1783" s="26">
        <v>15</v>
      </c>
      <c r="U1783" s="26">
        <v>20</v>
      </c>
      <c r="V1783" s="26">
        <v>1</v>
      </c>
      <c r="W1783" s="26"/>
    </row>
    <row r="1784" spans="1:23" x14ac:dyDescent="0.25">
      <c r="A1784" s="26" t="str">
        <f t="shared" si="323"/>
        <v>PREESCOLAR</v>
      </c>
      <c r="B1784" s="26" t="str">
        <f>"09PJN3459S"</f>
        <v>09PJN3459S</v>
      </c>
      <c r="C1784" s="26" t="str">
        <f>"LITTLE MAGIC WORD                                                                                   "</f>
        <v xml:space="preserve">LITTLE MAGIC WORD                                                                                   </v>
      </c>
      <c r="D1784" s="26" t="str">
        <f t="shared" si="327"/>
        <v>MATUTINO</v>
      </c>
      <c r="E1784" s="26" t="str">
        <f>"TENOCHTITLAN NO. 66                                                             "</f>
        <v xml:space="preserve">TENOCHTITLAN NO. 66                                                             </v>
      </c>
      <c r="F1784" s="26" t="str">
        <f>"SANTA ISABEL TOLA                                                                                                                           "</f>
        <v xml:space="preserve">SANTA ISABEL TOLA                                                                                                                           </v>
      </c>
      <c r="G1784" s="26" t="str">
        <f t="shared" si="330"/>
        <v xml:space="preserve">GUSTAVO A. MADERO                                                               </v>
      </c>
      <c r="H1784" s="26" t="str">
        <f>"105"</f>
        <v>105</v>
      </c>
      <c r="I1784" s="26" t="str">
        <f t="shared" si="324"/>
        <v>00</v>
      </c>
      <c r="J1784" s="26" t="str">
        <f t="shared" si="331"/>
        <v xml:space="preserve">32 </v>
      </c>
      <c r="K1784" s="26" t="str">
        <f t="shared" si="328"/>
        <v>EP</v>
      </c>
      <c r="L1784" s="26" t="str">
        <f t="shared" si="329"/>
        <v>DGOSE</v>
      </c>
      <c r="M1784" s="26" t="str">
        <f t="shared" si="321"/>
        <v>PARTICULAR</v>
      </c>
      <c r="N1784" s="26">
        <v>40</v>
      </c>
      <c r="O1784" s="26">
        <v>26</v>
      </c>
      <c r="P1784" s="26">
        <v>14</v>
      </c>
      <c r="Q1784" s="26">
        <v>3</v>
      </c>
      <c r="R1784" s="26">
        <v>1</v>
      </c>
      <c r="S1784" s="26">
        <v>3</v>
      </c>
      <c r="T1784" s="26">
        <v>6</v>
      </c>
      <c r="U1784" s="26">
        <v>10</v>
      </c>
      <c r="V1784" s="26">
        <v>1</v>
      </c>
      <c r="W1784" s="26"/>
    </row>
    <row r="1785" spans="1:23" x14ac:dyDescent="0.25">
      <c r="A1785" s="26" t="str">
        <f t="shared" si="323"/>
        <v>PREESCOLAR</v>
      </c>
      <c r="B1785" s="26" t="str">
        <f>"09PJN3460H"</f>
        <v>09PJN3460H</v>
      </c>
      <c r="C1785" s="26" t="str">
        <f>"COLEGIO VICTORIA TEPEYAC                                                                            "</f>
        <v xml:space="preserve">COLEGIO VICTORIA TEPEYAC                                                                            </v>
      </c>
      <c r="D1785" s="26" t="str">
        <f t="shared" si="327"/>
        <v>MATUTINO</v>
      </c>
      <c r="E1785" s="26" t="str">
        <f>"BUENAVISTA NO. 124                                                              "</f>
        <v xml:space="preserve">BUENAVISTA NO. 124                                                              </v>
      </c>
      <c r="F1785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1785" s="26" t="str">
        <f t="shared" si="330"/>
        <v xml:space="preserve">GUSTAVO A. MADERO                                                               </v>
      </c>
      <c r="H1785" s="26" t="str">
        <f>"105"</f>
        <v>105</v>
      </c>
      <c r="I1785" s="26" t="str">
        <f t="shared" si="324"/>
        <v>00</v>
      </c>
      <c r="J1785" s="26" t="str">
        <f t="shared" si="331"/>
        <v xml:space="preserve">32 </v>
      </c>
      <c r="K1785" s="26" t="str">
        <f t="shared" si="328"/>
        <v>EP</v>
      </c>
      <c r="L1785" s="26" t="str">
        <f t="shared" si="329"/>
        <v>DGOSE</v>
      </c>
      <c r="M1785" s="26" t="str">
        <f t="shared" si="321"/>
        <v>PARTICULAR</v>
      </c>
      <c r="N1785" s="26">
        <v>28</v>
      </c>
      <c r="O1785" s="26">
        <v>17</v>
      </c>
      <c r="P1785" s="26">
        <v>11</v>
      </c>
      <c r="Q1785" s="26">
        <v>3</v>
      </c>
      <c r="R1785" s="26">
        <v>1</v>
      </c>
      <c r="S1785" s="26">
        <v>2</v>
      </c>
      <c r="T1785" s="26">
        <v>4</v>
      </c>
      <c r="U1785" s="26">
        <v>7</v>
      </c>
      <c r="V1785" s="26">
        <v>1</v>
      </c>
      <c r="W1785" s="26"/>
    </row>
    <row r="1786" spans="1:23" x14ac:dyDescent="0.25">
      <c r="A1786" s="26" t="str">
        <f t="shared" si="323"/>
        <v>PREESCOLAR</v>
      </c>
      <c r="B1786" s="26" t="str">
        <f>"09PJN3465C"</f>
        <v>09PJN3465C</v>
      </c>
      <c r="C1786" s="26" t="str">
        <f>"BONAMPAK                                                                                            "</f>
        <v xml:space="preserve">BONAMPAK                                                                                            </v>
      </c>
      <c r="D1786" s="26" t="str">
        <f t="shared" si="327"/>
        <v>MATUTINO</v>
      </c>
      <c r="E1786" s="26" t="str">
        <f>"RIO SAN JAVIER NO. 264                                                          "</f>
        <v xml:space="preserve">RIO SAN JAVIER NO. 264                                                          </v>
      </c>
      <c r="F1786" s="26" t="str">
        <f>"ACUEDUCTO DE GUADALUPE                                                                                                                      "</f>
        <v xml:space="preserve">ACUEDUCTO DE GUADALUPE                                                                                                                      </v>
      </c>
      <c r="G1786" s="26" t="str">
        <f t="shared" si="330"/>
        <v xml:space="preserve">GUSTAVO A. MADERO                                                               </v>
      </c>
      <c r="H1786" s="26" t="str">
        <f>"192"</f>
        <v>192</v>
      </c>
      <c r="I1786" s="26" t="str">
        <f t="shared" si="324"/>
        <v>00</v>
      </c>
      <c r="J1786" s="26" t="str">
        <f t="shared" si="331"/>
        <v xml:space="preserve">32 </v>
      </c>
      <c r="K1786" s="26" t="str">
        <f t="shared" si="328"/>
        <v>EP</v>
      </c>
      <c r="L1786" s="26" t="str">
        <f t="shared" si="329"/>
        <v>DGOSE</v>
      </c>
      <c r="M1786" s="26" t="str">
        <f t="shared" si="321"/>
        <v>PARTICULAR</v>
      </c>
      <c r="N1786" s="26">
        <v>40</v>
      </c>
      <c r="O1786" s="26">
        <v>27</v>
      </c>
      <c r="P1786" s="26">
        <v>13</v>
      </c>
      <c r="Q1786" s="26">
        <v>3</v>
      </c>
      <c r="R1786" s="26">
        <v>1</v>
      </c>
      <c r="S1786" s="26">
        <v>3</v>
      </c>
      <c r="T1786" s="26">
        <v>3</v>
      </c>
      <c r="U1786" s="26">
        <v>7</v>
      </c>
      <c r="V1786" s="26">
        <v>1</v>
      </c>
      <c r="W1786" s="26"/>
    </row>
    <row r="1787" spans="1:23" x14ac:dyDescent="0.25">
      <c r="A1787" s="26" t="str">
        <f t="shared" si="323"/>
        <v>PREESCOLAR</v>
      </c>
      <c r="B1787" s="26" t="str">
        <f>"09PJN3466B"</f>
        <v>09PJN3466B</v>
      </c>
      <c r="C1787" s="26" t="str">
        <f>"CASTILLITO                                                                                          "</f>
        <v xml:space="preserve">CASTILLITO                                                                                          </v>
      </c>
      <c r="D1787" s="26" t="str">
        <f t="shared" si="327"/>
        <v>MATUTINO</v>
      </c>
      <c r="E1787" s="26" t="str">
        <f>"DELTAS NO. 24 MZA. 15 LT. 18                                                    "</f>
        <v xml:space="preserve">DELTAS NO. 24 MZA. 15 LT. 18                                                    </v>
      </c>
      <c r="F1787" s="26" t="str">
        <f>"ACUEDUCTO DE GUADALUPE                                                                                                                      "</f>
        <v xml:space="preserve">ACUEDUCTO DE GUADALUPE                                                                                                                      </v>
      </c>
      <c r="G1787" s="26" t="str">
        <f t="shared" si="330"/>
        <v xml:space="preserve">GUSTAVO A. MADERO                                                               </v>
      </c>
      <c r="H1787" s="26" t="str">
        <f>"117"</f>
        <v>117</v>
      </c>
      <c r="I1787" s="26" t="str">
        <f t="shared" si="324"/>
        <v>00</v>
      </c>
      <c r="J1787" s="26" t="str">
        <f t="shared" si="331"/>
        <v xml:space="preserve">32 </v>
      </c>
      <c r="K1787" s="26" t="str">
        <f t="shared" si="328"/>
        <v>EP</v>
      </c>
      <c r="L1787" s="26" t="str">
        <f t="shared" si="329"/>
        <v>DGOSE</v>
      </c>
      <c r="M1787" s="26" t="str">
        <f t="shared" si="321"/>
        <v>PARTICULAR</v>
      </c>
      <c r="N1787" s="26">
        <v>26</v>
      </c>
      <c r="O1787" s="26">
        <v>7</v>
      </c>
      <c r="P1787" s="26">
        <v>19</v>
      </c>
      <c r="Q1787" s="26">
        <v>3</v>
      </c>
      <c r="R1787" s="26">
        <v>1</v>
      </c>
      <c r="S1787" s="26">
        <v>3</v>
      </c>
      <c r="T1787" s="26">
        <v>6</v>
      </c>
      <c r="U1787" s="26">
        <v>10</v>
      </c>
      <c r="V1787" s="26">
        <v>1</v>
      </c>
      <c r="W1787" s="26"/>
    </row>
    <row r="1788" spans="1:23" x14ac:dyDescent="0.25">
      <c r="A1788" s="26" t="str">
        <f t="shared" si="323"/>
        <v>PREESCOLAR</v>
      </c>
      <c r="B1788" s="26" t="str">
        <f>"09PJN3467A"</f>
        <v>09PJN3467A</v>
      </c>
      <c r="C1788" s="26" t="str">
        <f>"JARDIN DE NIÑOS YING YING                                                                           "</f>
        <v xml:space="preserve">JARDIN DE NIÑOS YING YING                                                                           </v>
      </c>
      <c r="D1788" s="26" t="str">
        <f t="shared" si="327"/>
        <v>MATUTINO</v>
      </c>
      <c r="E1788" s="26" t="str">
        <f>"BOULEVARD DEL TEMOLUCO No. 326                                                  "</f>
        <v xml:space="preserve">BOULEVARD DEL TEMOLUCO No. 326                                                  </v>
      </c>
      <c r="F1788" s="26" t="str">
        <f>"ACUEDUCTO DE GUADALUPE                                                                                                                      "</f>
        <v xml:space="preserve">ACUEDUCTO DE GUADALUPE                                                                                                                      </v>
      </c>
      <c r="G1788" s="26" t="str">
        <f t="shared" si="330"/>
        <v xml:space="preserve">GUSTAVO A. MADERO                                                               </v>
      </c>
      <c r="H1788" s="26" t="str">
        <f>"227"</f>
        <v>227</v>
      </c>
      <c r="I1788" s="26" t="str">
        <f t="shared" si="324"/>
        <v>00</v>
      </c>
      <c r="J1788" s="26" t="str">
        <f t="shared" si="331"/>
        <v xml:space="preserve">32 </v>
      </c>
      <c r="K1788" s="26" t="str">
        <f t="shared" si="328"/>
        <v>EP</v>
      </c>
      <c r="L1788" s="26" t="str">
        <f t="shared" si="329"/>
        <v>DGOSE</v>
      </c>
      <c r="M1788" s="26" t="str">
        <f t="shared" si="321"/>
        <v>PARTICULAR</v>
      </c>
      <c r="N1788" s="26">
        <v>41</v>
      </c>
      <c r="O1788" s="26">
        <v>13</v>
      </c>
      <c r="P1788" s="26">
        <v>28</v>
      </c>
      <c r="Q1788" s="26">
        <v>2</v>
      </c>
      <c r="R1788" s="26">
        <v>1</v>
      </c>
      <c r="S1788" s="26">
        <v>2</v>
      </c>
      <c r="T1788" s="26">
        <v>0</v>
      </c>
      <c r="U1788" s="26">
        <v>3</v>
      </c>
      <c r="V1788" s="26">
        <v>1</v>
      </c>
      <c r="W1788" s="26"/>
    </row>
    <row r="1789" spans="1:23" x14ac:dyDescent="0.25">
      <c r="A1789" s="26" t="str">
        <f t="shared" si="323"/>
        <v>PREESCOLAR</v>
      </c>
      <c r="B1789" s="26" t="str">
        <f>"09PJN3468Z"</f>
        <v>09PJN3468Z</v>
      </c>
      <c r="C1789" s="26" t="str">
        <f>"COLEGIO MICHAEL FARADAY                                                                             "</f>
        <v xml:space="preserve">COLEGIO MICHAEL FARADAY                                                                             </v>
      </c>
      <c r="D1789" s="26" t="str">
        <f t="shared" si="327"/>
        <v>MATUTINO</v>
      </c>
      <c r="E1789" s="26" t="str">
        <f>"AGUASCALIENTES NO. 284-286 MZ. 66 LT.5-4                                        "</f>
        <v xml:space="preserve">AGUASCALIENTES NO. 284-286 MZ. 66 LT.5-4                                        </v>
      </c>
      <c r="F1789" s="26" t="str">
        <f>"CHALMA DE GUADALUPE                                                                                                                         "</f>
        <v xml:space="preserve">CHALMA DE GUADALUPE                                                                                                                         </v>
      </c>
      <c r="G1789" s="26" t="str">
        <f t="shared" si="330"/>
        <v xml:space="preserve">GUSTAVO A. MADERO                                                               </v>
      </c>
      <c r="H1789" s="26" t="str">
        <f>"117"</f>
        <v>117</v>
      </c>
      <c r="I1789" s="26" t="str">
        <f t="shared" si="324"/>
        <v>00</v>
      </c>
      <c r="J1789" s="26" t="str">
        <f t="shared" si="331"/>
        <v xml:space="preserve">32 </v>
      </c>
      <c r="K1789" s="26" t="str">
        <f>"NP"</f>
        <v>NP</v>
      </c>
      <c r="L1789" s="26" t="str">
        <f t="shared" si="329"/>
        <v>DGOSE</v>
      </c>
      <c r="M1789" s="26" t="str">
        <f t="shared" si="321"/>
        <v>PARTICULAR</v>
      </c>
      <c r="N1789" s="26">
        <v>49</v>
      </c>
      <c r="O1789" s="26">
        <v>20</v>
      </c>
      <c r="P1789" s="26">
        <v>29</v>
      </c>
      <c r="Q1789" s="26">
        <v>3</v>
      </c>
      <c r="R1789" s="26">
        <v>1</v>
      </c>
      <c r="S1789" s="26">
        <v>3</v>
      </c>
      <c r="T1789" s="26">
        <v>2</v>
      </c>
      <c r="U1789" s="26">
        <v>6</v>
      </c>
      <c r="V1789" s="26">
        <v>1</v>
      </c>
      <c r="W1789" s="26"/>
    </row>
    <row r="1790" spans="1:23" x14ac:dyDescent="0.25">
      <c r="A1790" s="26" t="str">
        <f t="shared" si="323"/>
        <v>PREESCOLAR</v>
      </c>
      <c r="B1790" s="26" t="str">
        <f>"09PJN3469Z"</f>
        <v>09PJN3469Z</v>
      </c>
      <c r="C1790" s="26" t="str">
        <f>"RAFAEL SOLANA                                                                                       "</f>
        <v xml:space="preserve">RAFAEL SOLANA                                                                                       </v>
      </c>
      <c r="D1790" s="26" t="str">
        <f t="shared" si="327"/>
        <v>MATUTINO</v>
      </c>
      <c r="E1790" s="26" t="str">
        <f>"PROYECTO DE EXPLOTACION MZA. 9 LOTE 9 Y 10                                      "</f>
        <v xml:space="preserve">PROYECTO DE EXPLOTACION MZA. 9 LOTE 9 Y 10                                      </v>
      </c>
      <c r="F1790" s="26" t="str">
        <f>"SOLIDARIDAD NACIONAL                                                                                                                        "</f>
        <v xml:space="preserve">SOLIDARIDAD NACIONAL                                                                                                                        </v>
      </c>
      <c r="G1790" s="26" t="str">
        <f t="shared" si="330"/>
        <v xml:space="preserve">GUSTAVO A. MADERO                                                               </v>
      </c>
      <c r="H1790" s="26" t="str">
        <f>"068"</f>
        <v>068</v>
      </c>
      <c r="I1790" s="26" t="str">
        <f t="shared" si="324"/>
        <v>00</v>
      </c>
      <c r="J1790" s="26" t="str">
        <f t="shared" si="331"/>
        <v xml:space="preserve">32 </v>
      </c>
      <c r="K1790" s="26" t="str">
        <f t="shared" ref="K1790:K1805" si="332">"EP"</f>
        <v>EP</v>
      </c>
      <c r="L1790" s="26" t="str">
        <f t="shared" si="329"/>
        <v>DGOSE</v>
      </c>
      <c r="M1790" s="26" t="str">
        <f t="shared" si="321"/>
        <v>PARTICULAR</v>
      </c>
      <c r="N1790" s="26">
        <v>21</v>
      </c>
      <c r="O1790" s="26">
        <v>12</v>
      </c>
      <c r="P1790" s="26">
        <v>9</v>
      </c>
      <c r="Q1790" s="26">
        <v>3</v>
      </c>
      <c r="R1790" s="26">
        <v>1</v>
      </c>
      <c r="S1790" s="26">
        <v>3</v>
      </c>
      <c r="T1790" s="26">
        <v>7</v>
      </c>
      <c r="U1790" s="26">
        <v>11</v>
      </c>
      <c r="V1790" s="26">
        <v>1</v>
      </c>
      <c r="W1790" s="26"/>
    </row>
    <row r="1791" spans="1:23" x14ac:dyDescent="0.25">
      <c r="A1791" s="26" t="str">
        <f t="shared" si="323"/>
        <v>PREESCOLAR</v>
      </c>
      <c r="B1791" s="26" t="str">
        <f>"09PJN3475J"</f>
        <v>09PJN3475J</v>
      </c>
      <c r="C1791" s="26" t="str">
        <f>"FORMACION INTEGRAL EDUCATIVA Y DESARROLLO                                                           "</f>
        <v xml:space="preserve">FORMACION INTEGRAL EDUCATIVA Y DESARROLLO                                                           </v>
      </c>
      <c r="D1791" s="26" t="str">
        <f t="shared" si="327"/>
        <v>MATUTINO</v>
      </c>
      <c r="E1791" s="26" t="str">
        <f>"J. ROSAS (E.ZAPATA) NO. 385 MZA. A LT. 7                                        "</f>
        <v xml:space="preserve">J. ROSAS (E.ZAPATA) NO. 385 MZA. A LT. 7                                        </v>
      </c>
      <c r="F1791" s="26" t="str">
        <f>"BENITO JUAREZ                                                                                                                               "</f>
        <v xml:space="preserve">BENITO JUAREZ                                                                                                                               </v>
      </c>
      <c r="G1791" s="26" t="str">
        <f t="shared" si="330"/>
        <v xml:space="preserve">GUSTAVO A. MADERO                                                               </v>
      </c>
      <c r="H1791" s="26" t="str">
        <f>"117"</f>
        <v>117</v>
      </c>
      <c r="I1791" s="26" t="str">
        <f t="shared" si="324"/>
        <v>00</v>
      </c>
      <c r="J1791" s="26" t="str">
        <f t="shared" si="331"/>
        <v xml:space="preserve">32 </v>
      </c>
      <c r="K1791" s="26" t="str">
        <f t="shared" si="332"/>
        <v>EP</v>
      </c>
      <c r="L1791" s="26" t="str">
        <f t="shared" si="329"/>
        <v>DGOSE</v>
      </c>
      <c r="M1791" s="26" t="str">
        <f t="shared" ref="M1791:M1854" si="333">"PARTICULAR"</f>
        <v>PARTICULAR</v>
      </c>
      <c r="N1791" s="26">
        <v>38</v>
      </c>
      <c r="O1791" s="26">
        <v>20</v>
      </c>
      <c r="P1791" s="26">
        <v>18</v>
      </c>
      <c r="Q1791" s="26">
        <v>3</v>
      </c>
      <c r="R1791" s="26">
        <v>1</v>
      </c>
      <c r="S1791" s="26">
        <v>3</v>
      </c>
      <c r="T1791" s="26">
        <v>5</v>
      </c>
      <c r="U1791" s="26">
        <v>9</v>
      </c>
      <c r="V1791" s="26">
        <v>1</v>
      </c>
      <c r="W1791" s="26"/>
    </row>
    <row r="1792" spans="1:23" x14ac:dyDescent="0.25">
      <c r="A1792" s="26" t="str">
        <f t="shared" si="323"/>
        <v>PREESCOLAR</v>
      </c>
      <c r="B1792" s="26" t="str">
        <f>"09PJN3483S"</f>
        <v>09PJN3483S</v>
      </c>
      <c r="C1792" s="26" t="str">
        <f>"JARDÍN DE NIÑOS CARSOLIO                                                                            "</f>
        <v xml:space="preserve">JARDÍN DE NIÑOS CARSOLIO                                                                            </v>
      </c>
      <c r="D1792" s="26" t="str">
        <f t="shared" si="327"/>
        <v>MATUTINO</v>
      </c>
      <c r="E1792" s="26" t="str">
        <f>"AV. 504 NO. 18                                                                  "</f>
        <v xml:space="preserve">AV. 504 NO. 18                                                                  </v>
      </c>
      <c r="F1792" s="26" t="str">
        <f>"UNIDAD SAN JUAN DE ARAGON                                                                                                                   "</f>
        <v xml:space="preserve">UNIDAD SAN JUAN DE ARAGON                                                                                                                   </v>
      </c>
      <c r="G1792" s="26" t="str">
        <f t="shared" si="330"/>
        <v xml:space="preserve">GUSTAVO A. MADERO                                                               </v>
      </c>
      <c r="H1792" s="26" t="str">
        <f>"195"</f>
        <v>195</v>
      </c>
      <c r="I1792" s="26" t="str">
        <f t="shared" si="324"/>
        <v>00</v>
      </c>
      <c r="J1792" s="26" t="str">
        <f t="shared" si="331"/>
        <v xml:space="preserve">32 </v>
      </c>
      <c r="K1792" s="26" t="str">
        <f t="shared" si="332"/>
        <v>EP</v>
      </c>
      <c r="L1792" s="26" t="str">
        <f t="shared" si="329"/>
        <v>DGOSE</v>
      </c>
      <c r="M1792" s="26" t="str">
        <f t="shared" si="333"/>
        <v>PARTICULAR</v>
      </c>
      <c r="N1792" s="26">
        <v>36</v>
      </c>
      <c r="O1792" s="26">
        <v>15</v>
      </c>
      <c r="P1792" s="26">
        <v>21</v>
      </c>
      <c r="Q1792" s="26">
        <v>3</v>
      </c>
      <c r="R1792" s="26">
        <v>1</v>
      </c>
      <c r="S1792" s="26">
        <v>3</v>
      </c>
      <c r="T1792" s="26">
        <v>2</v>
      </c>
      <c r="U1792" s="26">
        <v>6</v>
      </c>
      <c r="V1792" s="26">
        <v>1</v>
      </c>
      <c r="W1792" s="26"/>
    </row>
    <row r="1793" spans="1:23" x14ac:dyDescent="0.25">
      <c r="A1793" s="26" t="str">
        <f t="shared" si="323"/>
        <v>PREESCOLAR</v>
      </c>
      <c r="B1793" s="26" t="str">
        <f>"09PJN3484R"</f>
        <v>09PJN3484R</v>
      </c>
      <c r="C1793" s="26" t="str">
        <f>"JARDÍN DE NIÑOS CARRUSEL                                                                            "</f>
        <v xml:space="preserve">JARDÍN DE NIÑOS CARRUSEL                                                                            </v>
      </c>
      <c r="D1793" s="26" t="str">
        <f t="shared" si="327"/>
        <v>MATUTINO</v>
      </c>
      <c r="E1793" s="26" t="str">
        <f>"ORIENTE 121 NO. 4606                                                            "</f>
        <v xml:space="preserve">ORIENTE 121 NO. 4606                                                            </v>
      </c>
      <c r="F1793" s="26" t="str">
        <f>"GERTRUDIS SANCHEZ                                                                                                                           "</f>
        <v xml:space="preserve">GERTRUDIS SANCHEZ                                                                                                                           </v>
      </c>
      <c r="G1793" s="26" t="str">
        <f t="shared" si="330"/>
        <v xml:space="preserve">GUSTAVO A. MADERO                                                               </v>
      </c>
      <c r="H1793" s="26" t="str">
        <f>"006"</f>
        <v>006</v>
      </c>
      <c r="I1793" s="26" t="str">
        <f t="shared" si="324"/>
        <v>00</v>
      </c>
      <c r="J1793" s="26" t="str">
        <f t="shared" si="331"/>
        <v xml:space="preserve">32 </v>
      </c>
      <c r="K1793" s="26" t="str">
        <f t="shared" si="332"/>
        <v>EP</v>
      </c>
      <c r="L1793" s="26" t="str">
        <f t="shared" si="329"/>
        <v>DGOSE</v>
      </c>
      <c r="M1793" s="26" t="str">
        <f t="shared" si="333"/>
        <v>PARTICULAR</v>
      </c>
      <c r="N1793" s="26">
        <v>104</v>
      </c>
      <c r="O1793" s="26">
        <v>48</v>
      </c>
      <c r="P1793" s="26">
        <v>56</v>
      </c>
      <c r="Q1793" s="26">
        <v>5</v>
      </c>
      <c r="R1793" s="26">
        <v>1</v>
      </c>
      <c r="S1793" s="26">
        <v>5</v>
      </c>
      <c r="T1793" s="26">
        <v>2</v>
      </c>
      <c r="U1793" s="26">
        <v>8</v>
      </c>
      <c r="V1793" s="26">
        <v>1</v>
      </c>
      <c r="W1793" s="26"/>
    </row>
    <row r="1794" spans="1:23" x14ac:dyDescent="0.25">
      <c r="A1794" s="26" t="str">
        <f t="shared" ref="A1794:A1857" si="334">"PREESCOLAR"</f>
        <v>PREESCOLAR</v>
      </c>
      <c r="B1794" s="26" t="str">
        <f>"09PJN3486P"</f>
        <v>09PJN3486P</v>
      </c>
      <c r="C1794" s="26" t="str">
        <f>"CENTRO PEDAGÓGICO CRI CRI                                                                           "</f>
        <v xml:space="preserve">CENTRO PEDAGÓGICO CRI CRI                                                                           </v>
      </c>
      <c r="D1794" s="26" t="str">
        <f t="shared" si="327"/>
        <v>MATUTINO</v>
      </c>
      <c r="E1794" s="26" t="str">
        <f>"NORTE 94 NO. 6554                                                               "</f>
        <v xml:space="preserve">NORTE 94 NO. 6554                                                               </v>
      </c>
      <c r="F1794" s="26" t="str">
        <f>"SAN PEDRO EL CHICO                                                                                                                          "</f>
        <v xml:space="preserve">SAN PEDRO EL CHICO                                                                                                                          </v>
      </c>
      <c r="G1794" s="26" t="str">
        <f t="shared" si="330"/>
        <v xml:space="preserve">GUSTAVO A. MADERO                                                               </v>
      </c>
      <c r="H1794" s="26" t="str">
        <f>"198"</f>
        <v>198</v>
      </c>
      <c r="I1794" s="26" t="str">
        <f t="shared" ref="I1794:I1857" si="335">"00"</f>
        <v>00</v>
      </c>
      <c r="J1794" s="26" t="str">
        <f t="shared" si="331"/>
        <v xml:space="preserve">32 </v>
      </c>
      <c r="K1794" s="26" t="str">
        <f t="shared" si="332"/>
        <v>EP</v>
      </c>
      <c r="L1794" s="26" t="str">
        <f t="shared" si="329"/>
        <v>DGOSE</v>
      </c>
      <c r="M1794" s="26" t="str">
        <f t="shared" si="333"/>
        <v>PARTICULAR</v>
      </c>
      <c r="N1794" s="26">
        <v>27</v>
      </c>
      <c r="O1794" s="26">
        <v>13</v>
      </c>
      <c r="P1794" s="26">
        <v>14</v>
      </c>
      <c r="Q1794" s="26">
        <v>2</v>
      </c>
      <c r="R1794" s="26">
        <v>1</v>
      </c>
      <c r="S1794" s="26">
        <v>2</v>
      </c>
      <c r="T1794" s="26">
        <v>4</v>
      </c>
      <c r="U1794" s="26">
        <v>7</v>
      </c>
      <c r="V1794" s="26">
        <v>1</v>
      </c>
      <c r="W1794" s="26"/>
    </row>
    <row r="1795" spans="1:23" x14ac:dyDescent="0.25">
      <c r="A1795" s="26" t="str">
        <f t="shared" si="334"/>
        <v>PREESCOLAR</v>
      </c>
      <c r="B1795" s="26" t="str">
        <f>"09PJN3497Y"</f>
        <v>09PJN3497Y</v>
      </c>
      <c r="C1795" s="26" t="str">
        <f>"NUEVO AMANECER                                                                                      "</f>
        <v xml:space="preserve">NUEVO AMANECER                                                                                      </v>
      </c>
      <c r="D1795" s="26" t="str">
        <f t="shared" si="327"/>
        <v>MATUTINO</v>
      </c>
      <c r="E1795" s="26" t="str">
        <f>"AVENIDA 551 NO.206                                                              "</f>
        <v xml:space="preserve">AVENIDA 551 NO.206                                                              </v>
      </c>
      <c r="F1795" s="26" t="str">
        <f>"UNIDAD SAN JUAN DE ARAGON 1A SECCIO                                                                                                         "</f>
        <v xml:space="preserve">UNIDAD SAN JUAN DE ARAGON 1A SECCIO                                                                                                         </v>
      </c>
      <c r="G1795" s="26" t="str">
        <f t="shared" si="330"/>
        <v xml:space="preserve">GUSTAVO A. MADERO                                                               </v>
      </c>
      <c r="H1795" s="26" t="str">
        <f>"180"</f>
        <v>180</v>
      </c>
      <c r="I1795" s="26" t="str">
        <f t="shared" si="335"/>
        <v>00</v>
      </c>
      <c r="J1795" s="26" t="str">
        <f t="shared" si="331"/>
        <v xml:space="preserve">32 </v>
      </c>
      <c r="K1795" s="26" t="str">
        <f t="shared" si="332"/>
        <v>EP</v>
      </c>
      <c r="L1795" s="26" t="str">
        <f t="shared" si="329"/>
        <v>DGOSE</v>
      </c>
      <c r="M1795" s="26" t="str">
        <f t="shared" si="333"/>
        <v>PARTICULAR</v>
      </c>
      <c r="N1795" s="26">
        <v>32</v>
      </c>
      <c r="O1795" s="26">
        <v>15</v>
      </c>
      <c r="P1795" s="26">
        <v>17</v>
      </c>
      <c r="Q1795" s="26">
        <v>3</v>
      </c>
      <c r="R1795" s="26">
        <v>1</v>
      </c>
      <c r="S1795" s="26">
        <v>3</v>
      </c>
      <c r="T1795" s="26">
        <v>1</v>
      </c>
      <c r="U1795" s="26">
        <v>5</v>
      </c>
      <c r="V1795" s="26">
        <v>1</v>
      </c>
      <c r="W1795" s="26"/>
    </row>
    <row r="1796" spans="1:23" x14ac:dyDescent="0.25">
      <c r="A1796" s="26" t="str">
        <f t="shared" si="334"/>
        <v>PREESCOLAR</v>
      </c>
      <c r="B1796" s="26" t="str">
        <f>"09PJN3498U"</f>
        <v>09PJN3498U</v>
      </c>
      <c r="C1796" s="26" t="str">
        <f>"JARDIN DE NIÑOS BILINGÜE CHARLY                                                                     "</f>
        <v xml:space="preserve">JARDIN DE NIÑOS BILINGÜE CHARLY                                                                     </v>
      </c>
      <c r="D1796" s="26" t="str">
        <f t="shared" si="327"/>
        <v>MATUTINO</v>
      </c>
      <c r="E1796" s="26" t="str">
        <f>"HACIENDA CONDESA NO.71                                                          "</f>
        <v xml:space="preserve">HACIENDA CONDESA NO.71                                                          </v>
      </c>
      <c r="F1796" s="26" t="str">
        <f>"PRADOS DEL ROSARIO                                                                                                                          "</f>
        <v xml:space="preserve">PRADOS DEL ROSARIO                                                                                                                          </v>
      </c>
      <c r="G1796" s="26" t="str">
        <f>"AZCAPOTZALCO                                                                    "</f>
        <v xml:space="preserve">AZCAPOTZALCO                                                                    </v>
      </c>
      <c r="H1796" s="26" t="str">
        <f>"056"</f>
        <v>056</v>
      </c>
      <c r="I1796" s="26" t="str">
        <f t="shared" si="335"/>
        <v>00</v>
      </c>
      <c r="J1796" s="26" t="str">
        <f t="shared" si="331"/>
        <v xml:space="preserve">32 </v>
      </c>
      <c r="K1796" s="26" t="str">
        <f t="shared" si="332"/>
        <v>EP</v>
      </c>
      <c r="L1796" s="26" t="str">
        <f t="shared" si="329"/>
        <v>DGOSE</v>
      </c>
      <c r="M1796" s="26" t="str">
        <f t="shared" si="333"/>
        <v>PARTICULAR</v>
      </c>
      <c r="N1796" s="26">
        <v>87</v>
      </c>
      <c r="O1796" s="26">
        <v>34</v>
      </c>
      <c r="P1796" s="26">
        <v>53</v>
      </c>
      <c r="Q1796" s="26">
        <v>6</v>
      </c>
      <c r="R1796" s="26">
        <v>1</v>
      </c>
      <c r="S1796" s="26">
        <v>6</v>
      </c>
      <c r="T1796" s="26">
        <v>4</v>
      </c>
      <c r="U1796" s="26">
        <v>11</v>
      </c>
      <c r="V1796" s="26">
        <v>1</v>
      </c>
      <c r="W1796" s="26"/>
    </row>
    <row r="1797" spans="1:23" x14ac:dyDescent="0.25">
      <c r="A1797" s="26" t="str">
        <f t="shared" si="334"/>
        <v>PREESCOLAR</v>
      </c>
      <c r="B1797" s="26" t="str">
        <f>"09PJN3499T"</f>
        <v>09PJN3499T</v>
      </c>
      <c r="C1797" s="26" t="str">
        <f>"CENTRO ESCOLAR LANCASTER                                                                            "</f>
        <v xml:space="preserve">CENTRO ESCOLAR LANCASTER                                                                            </v>
      </c>
      <c r="D1797" s="26" t="str">
        <f t="shared" si="327"/>
        <v>MATUTINO</v>
      </c>
      <c r="E1797" s="26" t="str">
        <f>"HACIENDA ESCOLASTICA NO. 69                                                     "</f>
        <v xml:space="preserve">HACIENDA ESCOLASTICA NO. 69                                                     </v>
      </c>
      <c r="F1797" s="26" t="str">
        <f>"LA PROVIDENCIA                                                                                                                              "</f>
        <v xml:space="preserve">LA PROVIDENCIA                                                                                                                              </v>
      </c>
      <c r="G1797" s="26" t="str">
        <f>"AZCAPOTZALCO                                                                    "</f>
        <v xml:space="preserve">AZCAPOTZALCO                                                                    </v>
      </c>
      <c r="H1797" s="26" t="str">
        <f>"056"</f>
        <v>056</v>
      </c>
      <c r="I1797" s="26" t="str">
        <f t="shared" si="335"/>
        <v>00</v>
      </c>
      <c r="J1797" s="26" t="str">
        <f t="shared" si="331"/>
        <v xml:space="preserve">32 </v>
      </c>
      <c r="K1797" s="26" t="str">
        <f t="shared" si="332"/>
        <v>EP</v>
      </c>
      <c r="L1797" s="26" t="str">
        <f t="shared" si="329"/>
        <v>DGOSE</v>
      </c>
      <c r="M1797" s="26" t="str">
        <f t="shared" si="333"/>
        <v>PARTICULAR</v>
      </c>
      <c r="N1797" s="26">
        <v>108</v>
      </c>
      <c r="O1797" s="26">
        <v>66</v>
      </c>
      <c r="P1797" s="26">
        <v>42</v>
      </c>
      <c r="Q1797" s="26">
        <v>6</v>
      </c>
      <c r="R1797" s="26">
        <v>1</v>
      </c>
      <c r="S1797" s="26">
        <v>3</v>
      </c>
      <c r="T1797" s="26">
        <v>9</v>
      </c>
      <c r="U1797" s="26">
        <v>13</v>
      </c>
      <c r="V1797" s="26">
        <v>1</v>
      </c>
      <c r="W1797" s="26"/>
    </row>
    <row r="1798" spans="1:23" x14ac:dyDescent="0.25">
      <c r="A1798" s="26" t="str">
        <f t="shared" si="334"/>
        <v>PREESCOLAR</v>
      </c>
      <c r="B1798" s="26" t="str">
        <f>"09PJN3500S"</f>
        <v>09PJN3500S</v>
      </c>
      <c r="C1798" s="26" t="str">
        <f>"JARDIN DE NIÑOS PAPALOTE                                                                            "</f>
        <v xml:space="preserve">JARDIN DE NIÑOS PAPALOTE                                                                            </v>
      </c>
      <c r="D1798" s="26" t="str">
        <f t="shared" si="327"/>
        <v>MATUTINO</v>
      </c>
      <c r="E1798" s="26" t="str">
        <f>"EMILIANO ZAPATA No. 129                                                         "</f>
        <v xml:space="preserve">EMILIANO ZAPATA No. 129                                                         </v>
      </c>
      <c r="F1798" s="26" t="str">
        <f>"LA PROVIDENCIA                                                                                                                              "</f>
        <v xml:space="preserve">LA PROVIDENCIA                                                                                                                              </v>
      </c>
      <c r="G1798" s="26" t="str">
        <f>"AZCAPOTZALCO                                                                    "</f>
        <v xml:space="preserve">AZCAPOTZALCO                                                                    </v>
      </c>
      <c r="H1798" s="26" t="str">
        <f>"056"</f>
        <v>056</v>
      </c>
      <c r="I1798" s="26" t="str">
        <f t="shared" si="335"/>
        <v>00</v>
      </c>
      <c r="J1798" s="26" t="str">
        <f t="shared" si="331"/>
        <v xml:space="preserve">32 </v>
      </c>
      <c r="K1798" s="26" t="str">
        <f t="shared" si="332"/>
        <v>EP</v>
      </c>
      <c r="L1798" s="26" t="str">
        <f t="shared" si="329"/>
        <v>DGOSE</v>
      </c>
      <c r="M1798" s="26" t="str">
        <f t="shared" si="333"/>
        <v>PARTICULAR</v>
      </c>
      <c r="N1798" s="26">
        <v>52</v>
      </c>
      <c r="O1798" s="26">
        <v>20</v>
      </c>
      <c r="P1798" s="26">
        <v>32</v>
      </c>
      <c r="Q1798" s="26">
        <v>3</v>
      </c>
      <c r="R1798" s="26">
        <v>1</v>
      </c>
      <c r="S1798" s="26">
        <v>3</v>
      </c>
      <c r="T1798" s="26">
        <v>1</v>
      </c>
      <c r="U1798" s="26">
        <v>5</v>
      </c>
      <c r="V1798" s="26">
        <v>1</v>
      </c>
      <c r="W1798" s="26"/>
    </row>
    <row r="1799" spans="1:23" x14ac:dyDescent="0.25">
      <c r="A1799" s="26" t="str">
        <f t="shared" si="334"/>
        <v>PREESCOLAR</v>
      </c>
      <c r="B1799" s="26" t="str">
        <f>"09PJN3503P"</f>
        <v>09PJN3503P</v>
      </c>
      <c r="C1799" s="26" t="str">
        <f>"UN CUENTO MAGICO                                                                                    "</f>
        <v xml:space="preserve">UN CUENTO MAGICO                                                                                    </v>
      </c>
      <c r="D1799" s="26" t="str">
        <f t="shared" si="327"/>
        <v>MATUTINO</v>
      </c>
      <c r="E1799" s="26" t="str">
        <f>"ACAMAPICHTLI NO. 103                                                            "</f>
        <v xml:space="preserve">ACAMAPICHTLI NO. 103                                                            </v>
      </c>
      <c r="F1799" s="26" t="str">
        <f>"LA PRECIOSA                                                                                                                                 "</f>
        <v xml:space="preserve">LA PRECIOSA                                                                                                                                 </v>
      </c>
      <c r="G1799" s="26" t="str">
        <f>"AZCAPOTZALCO                                                                    "</f>
        <v xml:space="preserve">AZCAPOTZALCO                                                                    </v>
      </c>
      <c r="H1799" s="26" t="str">
        <f>"177"</f>
        <v>177</v>
      </c>
      <c r="I1799" s="26" t="str">
        <f t="shared" si="335"/>
        <v>00</v>
      </c>
      <c r="J1799" s="26" t="str">
        <f t="shared" si="331"/>
        <v xml:space="preserve">32 </v>
      </c>
      <c r="K1799" s="26" t="str">
        <f t="shared" si="332"/>
        <v>EP</v>
      </c>
      <c r="L1799" s="26" t="str">
        <f t="shared" si="329"/>
        <v>DGOSE</v>
      </c>
      <c r="M1799" s="26" t="str">
        <f t="shared" si="333"/>
        <v>PARTICULAR</v>
      </c>
      <c r="N1799" s="26">
        <v>19</v>
      </c>
      <c r="O1799" s="26">
        <v>10</v>
      </c>
      <c r="P1799" s="26">
        <v>9</v>
      </c>
      <c r="Q1799" s="26">
        <v>3</v>
      </c>
      <c r="R1799" s="26">
        <v>1</v>
      </c>
      <c r="S1799" s="26">
        <v>2</v>
      </c>
      <c r="T1799" s="26">
        <v>1</v>
      </c>
      <c r="U1799" s="26">
        <v>4</v>
      </c>
      <c r="V1799" s="26">
        <v>1</v>
      </c>
      <c r="W1799" s="26"/>
    </row>
    <row r="1800" spans="1:23" x14ac:dyDescent="0.25">
      <c r="A1800" s="26" t="str">
        <f t="shared" si="334"/>
        <v>PREESCOLAR</v>
      </c>
      <c r="B1800" s="26" t="str">
        <f>"09PJN3505N"</f>
        <v>09PJN3505N</v>
      </c>
      <c r="C1800" s="26" t="str">
        <f>"INSTITUTO AMERICANO BILINGÜE JONH F. KENNEDY                                                        "</f>
        <v xml:space="preserve">INSTITUTO AMERICANO BILINGÜE JONH F. KENNEDY                                                        </v>
      </c>
      <c r="D1800" s="26" t="str">
        <f t="shared" si="327"/>
        <v>MATUTINO</v>
      </c>
      <c r="E1800" s="26" t="str">
        <f>"ENRIQUE GONZALEZ MARTINEZ NO. 51                                                "</f>
        <v xml:space="preserve">ENRIQUE GONZALEZ MARTINEZ NO. 51                                                </v>
      </c>
      <c r="F1800" s="26" t="str">
        <f>"SANTA MARIA LA RIBERA                                                                                                                       "</f>
        <v xml:space="preserve">SANTA MARIA LA RIBERA                                                                                                                       </v>
      </c>
      <c r="G1800" s="26" t="s">
        <v>4128</v>
      </c>
      <c r="H1800" s="26" t="str">
        <f>"203"</f>
        <v>203</v>
      </c>
      <c r="I1800" s="26" t="str">
        <f t="shared" si="335"/>
        <v>00</v>
      </c>
      <c r="J1800" s="26" t="str">
        <f t="shared" si="331"/>
        <v xml:space="preserve">32 </v>
      </c>
      <c r="K1800" s="26" t="str">
        <f t="shared" si="332"/>
        <v>EP</v>
      </c>
      <c r="L1800" s="26" t="str">
        <f t="shared" si="329"/>
        <v>DGOSE</v>
      </c>
      <c r="M1800" s="26" t="str">
        <f t="shared" si="333"/>
        <v>PARTICULAR</v>
      </c>
      <c r="N1800" s="26">
        <v>60</v>
      </c>
      <c r="O1800" s="26">
        <v>24</v>
      </c>
      <c r="P1800" s="26">
        <v>36</v>
      </c>
      <c r="Q1800" s="26">
        <v>3</v>
      </c>
      <c r="R1800" s="26">
        <v>1</v>
      </c>
      <c r="S1800" s="26">
        <v>3</v>
      </c>
      <c r="T1800" s="26">
        <v>6</v>
      </c>
      <c r="U1800" s="26">
        <v>10</v>
      </c>
      <c r="V1800" s="26">
        <v>1</v>
      </c>
      <c r="W1800" s="26"/>
    </row>
    <row r="1801" spans="1:23" x14ac:dyDescent="0.25">
      <c r="A1801" s="26" t="str">
        <f t="shared" si="334"/>
        <v>PREESCOLAR</v>
      </c>
      <c r="B1801" s="26" t="str">
        <f>"09PJN3509J"</f>
        <v>09PJN3509J</v>
      </c>
      <c r="C1801" s="26" t="str">
        <f>"COLEGIO PORVENIR                                                                                    "</f>
        <v xml:space="preserve">COLEGIO PORVENIR                                                                                    </v>
      </c>
      <c r="D1801" s="26" t="str">
        <f t="shared" si="327"/>
        <v>MATUTINO</v>
      </c>
      <c r="E1801" s="26" t="str">
        <f>"TABASCO NO. 151                                                                 "</f>
        <v xml:space="preserve">TABASCO NO. 151                                                                 </v>
      </c>
      <c r="F1801" s="26" t="str">
        <f>"ROMA NORTE                                                                                                                                  "</f>
        <v xml:space="preserve">ROMA NORTE                                                                                                                                  </v>
      </c>
      <c r="G1801" s="26" t="s">
        <v>4128</v>
      </c>
      <c r="H1801" s="26" t="str">
        <f>"152"</f>
        <v>152</v>
      </c>
      <c r="I1801" s="26" t="str">
        <f t="shared" si="335"/>
        <v>00</v>
      </c>
      <c r="J1801" s="26" t="str">
        <f t="shared" si="331"/>
        <v xml:space="preserve">32 </v>
      </c>
      <c r="K1801" s="26" t="str">
        <f t="shared" si="332"/>
        <v>EP</v>
      </c>
      <c r="L1801" s="26" t="str">
        <f t="shared" si="329"/>
        <v>DGOSE</v>
      </c>
      <c r="M1801" s="26" t="str">
        <f t="shared" si="333"/>
        <v>PARTICULAR</v>
      </c>
      <c r="N1801" s="26">
        <v>81</v>
      </c>
      <c r="O1801" s="26">
        <v>43</v>
      </c>
      <c r="P1801" s="26">
        <v>38</v>
      </c>
      <c r="Q1801" s="26">
        <v>3</v>
      </c>
      <c r="R1801" s="26">
        <v>1</v>
      </c>
      <c r="S1801" s="26">
        <v>3</v>
      </c>
      <c r="T1801" s="26">
        <v>3</v>
      </c>
      <c r="U1801" s="26">
        <v>7</v>
      </c>
      <c r="V1801" s="26">
        <v>1</v>
      </c>
      <c r="W1801" s="26"/>
    </row>
    <row r="1802" spans="1:23" x14ac:dyDescent="0.25">
      <c r="A1802" s="26" t="str">
        <f t="shared" si="334"/>
        <v>PREESCOLAR</v>
      </c>
      <c r="B1802" s="26" t="str">
        <f>"09PJN3510Z"</f>
        <v>09PJN3510Z</v>
      </c>
      <c r="C1802" s="26" t="str">
        <f>"LAS ROSITAS                                                                                         "</f>
        <v xml:space="preserve">LAS ROSITAS                                                                                         </v>
      </c>
      <c r="D1802" s="26" t="str">
        <f t="shared" si="327"/>
        <v>MATUTINO</v>
      </c>
      <c r="E1802" s="26" t="str">
        <f>"NEPTUNO No. 6                                                                   "</f>
        <v xml:space="preserve">NEPTUNO No. 6                                                                   </v>
      </c>
      <c r="F1802" s="26" t="str">
        <f>"SAN SIMON TOLNAHUAC                                                                                                                         "</f>
        <v xml:space="preserve">SAN SIMON TOLNAHUAC                                                                                                                         </v>
      </c>
      <c r="G1802" s="26" t="s">
        <v>4128</v>
      </c>
      <c r="H1802" s="26" t="str">
        <f>"057"</f>
        <v>057</v>
      </c>
      <c r="I1802" s="26" t="str">
        <f t="shared" si="335"/>
        <v>00</v>
      </c>
      <c r="J1802" s="26" t="str">
        <f t="shared" si="331"/>
        <v xml:space="preserve">32 </v>
      </c>
      <c r="K1802" s="26" t="str">
        <f t="shared" si="332"/>
        <v>EP</v>
      </c>
      <c r="L1802" s="26" t="str">
        <f t="shared" si="329"/>
        <v>DGOSE</v>
      </c>
      <c r="M1802" s="26" t="str">
        <f t="shared" si="333"/>
        <v>PARTICULAR</v>
      </c>
      <c r="N1802" s="26">
        <v>11</v>
      </c>
      <c r="O1802" s="26">
        <v>6</v>
      </c>
      <c r="P1802" s="26">
        <v>5</v>
      </c>
      <c r="Q1802" s="26">
        <v>2</v>
      </c>
      <c r="R1802" s="26">
        <v>1</v>
      </c>
      <c r="S1802" s="26">
        <v>1</v>
      </c>
      <c r="T1802" s="26">
        <v>2</v>
      </c>
      <c r="U1802" s="26">
        <v>4</v>
      </c>
      <c r="V1802" s="26">
        <v>1</v>
      </c>
      <c r="W1802" s="26"/>
    </row>
    <row r="1803" spans="1:23" x14ac:dyDescent="0.25">
      <c r="A1803" s="26" t="str">
        <f t="shared" si="334"/>
        <v>PREESCOLAR</v>
      </c>
      <c r="B1803" s="26" t="str">
        <f>"09PJN3516T"</f>
        <v>09PJN3516T</v>
      </c>
      <c r="C1803" s="26" t="str">
        <f>"DAISY KINDERGARDEN                                                                                  "</f>
        <v xml:space="preserve">DAISY KINDERGARDEN                                                                                  </v>
      </c>
      <c r="D1803" s="26" t="str">
        <f t="shared" si="327"/>
        <v>MATUTINO</v>
      </c>
      <c r="E1803" s="26" t="str">
        <f>"LAGO SUPERIOR NO. 87                                                            "</f>
        <v xml:space="preserve">LAGO SUPERIOR NO. 87                                                            </v>
      </c>
      <c r="F1803" s="26" t="str">
        <f>"LEGARIA                                                                                                                                     "</f>
        <v xml:space="preserve">LEGARIA                                                                                                                                     </v>
      </c>
      <c r="G1803" s="26" t="str">
        <f t="shared" ref="G1803:G1808" si="336">"MIGUEL HIDALGO                                                                  "</f>
        <v xml:space="preserve">MIGUEL HIDALGO                                                                  </v>
      </c>
      <c r="H1803" s="26" t="str">
        <f>"009"</f>
        <v>009</v>
      </c>
      <c r="I1803" s="26" t="str">
        <f t="shared" si="335"/>
        <v>00</v>
      </c>
      <c r="J1803" s="26" t="str">
        <f t="shared" si="331"/>
        <v xml:space="preserve">32 </v>
      </c>
      <c r="K1803" s="26" t="str">
        <f t="shared" si="332"/>
        <v>EP</v>
      </c>
      <c r="L1803" s="26" t="str">
        <f t="shared" si="329"/>
        <v>DGOSE</v>
      </c>
      <c r="M1803" s="26" t="str">
        <f t="shared" si="333"/>
        <v>PARTICULAR</v>
      </c>
      <c r="N1803" s="26">
        <v>17</v>
      </c>
      <c r="O1803" s="26">
        <v>9</v>
      </c>
      <c r="P1803" s="26">
        <v>8</v>
      </c>
      <c r="Q1803" s="26">
        <v>3</v>
      </c>
      <c r="R1803" s="26">
        <v>1</v>
      </c>
      <c r="S1803" s="26">
        <v>3</v>
      </c>
      <c r="T1803" s="26">
        <v>5</v>
      </c>
      <c r="U1803" s="26">
        <v>9</v>
      </c>
      <c r="V1803" s="26">
        <v>1</v>
      </c>
      <c r="W1803" s="26"/>
    </row>
    <row r="1804" spans="1:23" x14ac:dyDescent="0.25">
      <c r="A1804" s="26" t="str">
        <f t="shared" si="334"/>
        <v>PREESCOLAR</v>
      </c>
      <c r="B1804" s="26" t="str">
        <f>"09PJN3517S"</f>
        <v>09PJN3517S</v>
      </c>
      <c r="C1804" s="26" t="str">
        <f>"COLEGIO INGLES MICHAEL FARADAY                                                                      "</f>
        <v xml:space="preserve">COLEGIO INGLES MICHAEL FARADAY                                                                      </v>
      </c>
      <c r="D1804" s="26" t="str">
        <f t="shared" si="327"/>
        <v>MATUTINO</v>
      </c>
      <c r="E1804" s="26" t="str">
        <f>"LAGUNA DE TAMIAHUA NO. 110                                                      "</f>
        <v xml:space="preserve">LAGUNA DE TAMIAHUA NO. 110                                                      </v>
      </c>
      <c r="F1804" s="26" t="str">
        <f>"ANAHUAC I                                                                                                                                   "</f>
        <v xml:space="preserve">ANAHUAC I                                                                                                                                   </v>
      </c>
      <c r="G1804" s="26" t="str">
        <f t="shared" si="336"/>
        <v xml:space="preserve">MIGUEL HIDALGO                                                                  </v>
      </c>
      <c r="H1804" s="26" t="str">
        <f>"131"</f>
        <v>131</v>
      </c>
      <c r="I1804" s="26" t="str">
        <f t="shared" si="335"/>
        <v>00</v>
      </c>
      <c r="J1804" s="26" t="str">
        <f t="shared" si="331"/>
        <v xml:space="preserve">32 </v>
      </c>
      <c r="K1804" s="26" t="str">
        <f t="shared" si="332"/>
        <v>EP</v>
      </c>
      <c r="L1804" s="26" t="str">
        <f t="shared" si="329"/>
        <v>DGOSE</v>
      </c>
      <c r="M1804" s="26" t="str">
        <f t="shared" si="333"/>
        <v>PARTICULAR</v>
      </c>
      <c r="N1804" s="26">
        <v>48</v>
      </c>
      <c r="O1804" s="26">
        <v>26</v>
      </c>
      <c r="P1804" s="26">
        <v>22</v>
      </c>
      <c r="Q1804" s="26">
        <v>3</v>
      </c>
      <c r="R1804" s="26">
        <v>1</v>
      </c>
      <c r="S1804" s="26">
        <v>3</v>
      </c>
      <c r="T1804" s="26">
        <v>12</v>
      </c>
      <c r="U1804" s="26">
        <v>16</v>
      </c>
      <c r="V1804" s="26">
        <v>1</v>
      </c>
      <c r="W1804" s="26"/>
    </row>
    <row r="1805" spans="1:23" x14ac:dyDescent="0.25">
      <c r="A1805" s="26" t="str">
        <f t="shared" si="334"/>
        <v>PREESCOLAR</v>
      </c>
      <c r="B1805" s="26" t="str">
        <f>"09PJN3519Q"</f>
        <v>09PJN3519Q</v>
      </c>
      <c r="C1805" s="26" t="str">
        <f>"FEDERICO FROEBEL                                                                                    "</f>
        <v xml:space="preserve">FEDERICO FROEBEL                                                                                    </v>
      </c>
      <c r="D1805" s="26" t="str">
        <f t="shared" si="327"/>
        <v>MATUTINO</v>
      </c>
      <c r="E1805" s="26" t="str">
        <f>"2A. PRIVADA DE LAGO MASK NO. 8                                                  "</f>
        <v xml:space="preserve">2A. PRIVADA DE LAGO MASK NO. 8                                                  </v>
      </c>
      <c r="F1805" s="26" t="str">
        <f>"ANAHUAC I                                                                                                                                   "</f>
        <v xml:space="preserve">ANAHUAC I                                                                                                                                   </v>
      </c>
      <c r="G1805" s="26" t="str">
        <f t="shared" si="336"/>
        <v xml:space="preserve">MIGUEL HIDALGO                                                                  </v>
      </c>
      <c r="H1805" s="26" t="str">
        <f>"131"</f>
        <v>131</v>
      </c>
      <c r="I1805" s="26" t="str">
        <f t="shared" si="335"/>
        <v>00</v>
      </c>
      <c r="J1805" s="26" t="str">
        <f t="shared" si="331"/>
        <v xml:space="preserve">32 </v>
      </c>
      <c r="K1805" s="26" t="str">
        <f t="shared" si="332"/>
        <v>EP</v>
      </c>
      <c r="L1805" s="26" t="str">
        <f t="shared" si="329"/>
        <v>DGOSE</v>
      </c>
      <c r="M1805" s="26" t="str">
        <f t="shared" si="333"/>
        <v>PARTICULAR</v>
      </c>
      <c r="N1805" s="26">
        <v>19</v>
      </c>
      <c r="O1805" s="26">
        <v>7</v>
      </c>
      <c r="P1805" s="26">
        <v>12</v>
      </c>
      <c r="Q1805" s="26">
        <v>3</v>
      </c>
      <c r="R1805" s="26">
        <v>1</v>
      </c>
      <c r="S1805" s="26">
        <v>3</v>
      </c>
      <c r="T1805" s="26">
        <v>4</v>
      </c>
      <c r="U1805" s="26">
        <v>8</v>
      </c>
      <c r="V1805" s="26">
        <v>1</v>
      </c>
      <c r="W1805" s="26"/>
    </row>
    <row r="1806" spans="1:23" x14ac:dyDescent="0.25">
      <c r="A1806" s="26" t="str">
        <f t="shared" si="334"/>
        <v>PREESCOLAR</v>
      </c>
      <c r="B1806" s="26" t="str">
        <f>"09PJN3526Z"</f>
        <v>09PJN3526Z</v>
      </c>
      <c r="C1806" s="26" t="str">
        <f>"MONTESSORIS NEW GENERATION                                                                          "</f>
        <v xml:space="preserve">MONTESSORIS NEW GENERATION                                                                          </v>
      </c>
      <c r="D1806" s="26" t="str">
        <f t="shared" si="327"/>
        <v>MATUTINO</v>
      </c>
      <c r="E1806" s="26" t="str">
        <f>"SIERRA MUINURA No. 29                                                           "</f>
        <v xml:space="preserve">SIERRA MUINURA No. 29                                                           </v>
      </c>
      <c r="F1806" s="26" t="str">
        <f>"REFORMA SOCIAL                                                                                                                              "</f>
        <v xml:space="preserve">REFORMA SOCIAL                                                                                                                              </v>
      </c>
      <c r="G1806" s="26" t="str">
        <f t="shared" si="336"/>
        <v xml:space="preserve">MIGUEL HIDALGO                                                                  </v>
      </c>
      <c r="H1806" s="26" t="str">
        <f>"196"</f>
        <v>196</v>
      </c>
      <c r="I1806" s="26" t="str">
        <f t="shared" si="335"/>
        <v>00</v>
      </c>
      <c r="J1806" s="26" t="str">
        <f t="shared" si="331"/>
        <v xml:space="preserve">32 </v>
      </c>
      <c r="K1806" s="26" t="str">
        <f>"NP"</f>
        <v>NP</v>
      </c>
      <c r="L1806" s="26" t="str">
        <f t="shared" si="329"/>
        <v>DGOSE</v>
      </c>
      <c r="M1806" s="26" t="str">
        <f t="shared" si="333"/>
        <v>PARTICULAR</v>
      </c>
      <c r="N1806" s="26">
        <v>28</v>
      </c>
      <c r="O1806" s="26">
        <v>19</v>
      </c>
      <c r="P1806" s="26">
        <v>9</v>
      </c>
      <c r="Q1806" s="26">
        <v>3</v>
      </c>
      <c r="R1806" s="26">
        <v>1</v>
      </c>
      <c r="S1806" s="26">
        <v>2</v>
      </c>
      <c r="T1806" s="26">
        <v>3</v>
      </c>
      <c r="U1806" s="26">
        <v>6</v>
      </c>
      <c r="V1806" s="26">
        <v>1</v>
      </c>
      <c r="W1806" s="26"/>
    </row>
    <row r="1807" spans="1:23" x14ac:dyDescent="0.25">
      <c r="A1807" s="26" t="str">
        <f t="shared" si="334"/>
        <v>PREESCOLAR</v>
      </c>
      <c r="B1807" s="26" t="str">
        <f>"09PJN3527Z"</f>
        <v>09PJN3527Z</v>
      </c>
      <c r="C1807" s="26" t="str">
        <f>"COLEGIO DANTE ALIGHIERI                                                                             "</f>
        <v xml:space="preserve">COLEGIO DANTE ALIGHIERI                                                                             </v>
      </c>
      <c r="D1807" s="26" t="str">
        <f t="shared" si="327"/>
        <v>MATUTINO</v>
      </c>
      <c r="E1807" s="26" t="str">
        <f>"CERRADA DE LA PAZ NO. 11                                                        "</f>
        <v xml:space="preserve">CERRADA DE LA PAZ NO. 11                                                        </v>
      </c>
      <c r="F1807" s="26" t="str">
        <f>"ESCANDON                                                                                                                                    "</f>
        <v xml:space="preserve">ESCANDON                                                                                                                                    </v>
      </c>
      <c r="G1807" s="26" t="str">
        <f t="shared" si="336"/>
        <v xml:space="preserve">MIGUEL HIDALGO                                                                  </v>
      </c>
      <c r="H1807" s="26" t="str">
        <f>"014"</f>
        <v>014</v>
      </c>
      <c r="I1807" s="26" t="str">
        <f t="shared" si="335"/>
        <v>00</v>
      </c>
      <c r="J1807" s="26" t="str">
        <f t="shared" si="331"/>
        <v xml:space="preserve">32 </v>
      </c>
      <c r="K1807" s="26" t="str">
        <f t="shared" ref="K1807:K1841" si="337">"EP"</f>
        <v>EP</v>
      </c>
      <c r="L1807" s="26" t="str">
        <f t="shared" si="329"/>
        <v>DGOSE</v>
      </c>
      <c r="M1807" s="26" t="str">
        <f t="shared" si="333"/>
        <v>PARTICULAR</v>
      </c>
      <c r="N1807" s="26">
        <v>55</v>
      </c>
      <c r="O1807" s="26">
        <v>19</v>
      </c>
      <c r="P1807" s="26">
        <v>36</v>
      </c>
      <c r="Q1807" s="26">
        <v>3</v>
      </c>
      <c r="R1807" s="26">
        <v>1</v>
      </c>
      <c r="S1807" s="26">
        <v>3</v>
      </c>
      <c r="T1807" s="26">
        <v>6</v>
      </c>
      <c r="U1807" s="26">
        <v>10</v>
      </c>
      <c r="V1807" s="26">
        <v>1</v>
      </c>
      <c r="W1807" s="26"/>
    </row>
    <row r="1808" spans="1:23" x14ac:dyDescent="0.25">
      <c r="A1808" s="26" t="str">
        <f t="shared" si="334"/>
        <v>PREESCOLAR</v>
      </c>
      <c r="B1808" s="26" t="str">
        <f>"09PJN3528Y"</f>
        <v>09PJN3528Y</v>
      </c>
      <c r="C1808" s="26" t="str">
        <f>"CENTRO INFANTIL DE DESARROLLO INFANTIL SIGLO XXII                                                   "</f>
        <v xml:space="preserve">CENTRO INFANTIL DE DESARROLLO INFANTIL SIGLO XXII                                                   </v>
      </c>
      <c r="D1808" s="26" t="str">
        <f t="shared" si="327"/>
        <v>MATUTINO</v>
      </c>
      <c r="E1808" s="26" t="str">
        <f>"PROGRESO NO. 94                                                                 "</f>
        <v xml:space="preserve">PROGRESO NO. 94                                                                 </v>
      </c>
      <c r="F1808" s="26" t="str">
        <f>"ESCANDON                                                                                                                                    "</f>
        <v xml:space="preserve">ESCANDON                                                                                                                                    </v>
      </c>
      <c r="G1808" s="26" t="str">
        <f t="shared" si="336"/>
        <v xml:space="preserve">MIGUEL HIDALGO                                                                  </v>
      </c>
      <c r="H1808" s="26" t="str">
        <f>"059"</f>
        <v>059</v>
      </c>
      <c r="I1808" s="26" t="str">
        <f t="shared" si="335"/>
        <v>00</v>
      </c>
      <c r="J1808" s="26" t="str">
        <f t="shared" si="331"/>
        <v xml:space="preserve">32 </v>
      </c>
      <c r="K1808" s="26" t="str">
        <f t="shared" si="337"/>
        <v>EP</v>
      </c>
      <c r="L1808" s="26" t="str">
        <f t="shared" si="329"/>
        <v>DGOSE</v>
      </c>
      <c r="M1808" s="26" t="str">
        <f t="shared" si="333"/>
        <v>PARTICULAR</v>
      </c>
      <c r="N1808" s="26">
        <v>35</v>
      </c>
      <c r="O1808" s="26">
        <v>18</v>
      </c>
      <c r="P1808" s="26">
        <v>17</v>
      </c>
      <c r="Q1808" s="26">
        <v>3</v>
      </c>
      <c r="R1808" s="26">
        <v>1</v>
      </c>
      <c r="S1808" s="26">
        <v>3</v>
      </c>
      <c r="T1808" s="26">
        <v>15</v>
      </c>
      <c r="U1808" s="26">
        <v>19</v>
      </c>
      <c r="V1808" s="26">
        <v>1</v>
      </c>
      <c r="W1808" s="26"/>
    </row>
    <row r="1809" spans="1:23" x14ac:dyDescent="0.25">
      <c r="A1809" s="26" t="str">
        <f t="shared" si="334"/>
        <v>PREESCOLAR</v>
      </c>
      <c r="B1809" s="26" t="str">
        <f>"09PJN3529X"</f>
        <v>09PJN3529X</v>
      </c>
      <c r="C1809" s="26" t="str">
        <f>"SERRADELL                                                                                           "</f>
        <v xml:space="preserve">SERRADELL                                                                                           </v>
      </c>
      <c r="D1809" s="26" t="str">
        <f t="shared" si="327"/>
        <v>MATUTINO</v>
      </c>
      <c r="E1809" s="26" t="str">
        <f>"BAJA CALIFORNIA NO. 335                                                         "</f>
        <v xml:space="preserve">BAJA CALIFORNIA NO. 335                                                         </v>
      </c>
      <c r="F1809" s="26" t="str">
        <f>"HIPODROMO                                                                                                                                   "</f>
        <v xml:space="preserve">HIPODROMO                                                                                                                                   </v>
      </c>
      <c r="G1809" s="26" t="s">
        <v>4128</v>
      </c>
      <c r="H1809" s="26" t="str">
        <f>"202"</f>
        <v>202</v>
      </c>
      <c r="I1809" s="26" t="str">
        <f t="shared" si="335"/>
        <v>00</v>
      </c>
      <c r="J1809" s="26" t="str">
        <f t="shared" si="331"/>
        <v xml:space="preserve">32 </v>
      </c>
      <c r="K1809" s="26" t="str">
        <f t="shared" si="337"/>
        <v>EP</v>
      </c>
      <c r="L1809" s="26" t="str">
        <f t="shared" si="329"/>
        <v>DGOSE</v>
      </c>
      <c r="M1809" s="26" t="str">
        <f t="shared" si="333"/>
        <v>PARTICULAR</v>
      </c>
      <c r="N1809" s="26">
        <v>56</v>
      </c>
      <c r="O1809" s="26">
        <v>26</v>
      </c>
      <c r="P1809" s="26">
        <v>30</v>
      </c>
      <c r="Q1809" s="26">
        <v>3</v>
      </c>
      <c r="R1809" s="26">
        <v>1</v>
      </c>
      <c r="S1809" s="26">
        <v>3</v>
      </c>
      <c r="T1809" s="26">
        <v>3</v>
      </c>
      <c r="U1809" s="26">
        <v>7</v>
      </c>
      <c r="V1809" s="26">
        <v>1</v>
      </c>
      <c r="W1809" s="26"/>
    </row>
    <row r="1810" spans="1:23" x14ac:dyDescent="0.25">
      <c r="A1810" s="26" t="str">
        <f t="shared" si="334"/>
        <v>PREESCOLAR</v>
      </c>
      <c r="B1810" s="26" t="str">
        <f>"09PJN3532K"</f>
        <v>09PJN3532K</v>
      </c>
      <c r="C1810" s="26" t="str">
        <f>"WESTHILL INSTITUTE                                                                                  "</f>
        <v xml:space="preserve">WESTHILL INSTITUTE                                                                                  </v>
      </c>
      <c r="D1810" s="26" t="str">
        <f t="shared" si="327"/>
        <v>MATUTINO</v>
      </c>
      <c r="E1810" s="26" t="str">
        <f>"MONTES CARPATOS NO. 940                                                         "</f>
        <v xml:space="preserve">MONTES CARPATOS NO. 940                                                         </v>
      </c>
      <c r="F1810" s="26" t="str">
        <f>"LOMAS VIRREYES                                                                                                                              "</f>
        <v xml:space="preserve">LOMAS VIRREYES                                                                                                                              </v>
      </c>
      <c r="G1810" s="26" t="str">
        <f>"MIGUEL HIDALGO                                                                  "</f>
        <v xml:space="preserve">MIGUEL HIDALGO                                                                  </v>
      </c>
      <c r="H1810" s="26" t="str">
        <f>"207"</f>
        <v>207</v>
      </c>
      <c r="I1810" s="26" t="str">
        <f t="shared" si="335"/>
        <v>00</v>
      </c>
      <c r="J1810" s="26" t="str">
        <f t="shared" si="331"/>
        <v xml:space="preserve">32 </v>
      </c>
      <c r="K1810" s="26" t="str">
        <f t="shared" si="337"/>
        <v>EP</v>
      </c>
      <c r="L1810" s="26" t="str">
        <f t="shared" si="329"/>
        <v>DGOSE</v>
      </c>
      <c r="M1810" s="26" t="str">
        <f t="shared" si="333"/>
        <v>PARTICULAR</v>
      </c>
      <c r="N1810" s="26">
        <v>57</v>
      </c>
      <c r="O1810" s="26">
        <v>31</v>
      </c>
      <c r="P1810" s="26">
        <v>26</v>
      </c>
      <c r="Q1810" s="26">
        <v>4</v>
      </c>
      <c r="R1810" s="26">
        <v>1</v>
      </c>
      <c r="S1810" s="26">
        <v>4</v>
      </c>
      <c r="T1810" s="26">
        <v>4</v>
      </c>
      <c r="U1810" s="26">
        <v>9</v>
      </c>
      <c r="V1810" s="26">
        <v>1</v>
      </c>
      <c r="W1810" s="26"/>
    </row>
    <row r="1811" spans="1:23" x14ac:dyDescent="0.25">
      <c r="A1811" s="26" t="str">
        <f t="shared" si="334"/>
        <v>PREESCOLAR</v>
      </c>
      <c r="B1811" s="26" t="str">
        <f>"09PJN3533J"</f>
        <v>09PJN3533J</v>
      </c>
      <c r="C1811" s="26" t="str">
        <f>"WESTHILL INSTITUTE                                                                                  "</f>
        <v xml:space="preserve">WESTHILL INSTITUTE                                                                                  </v>
      </c>
      <c r="D1811" s="26" t="str">
        <f t="shared" si="327"/>
        <v>MATUTINO</v>
      </c>
      <c r="E1811" s="26" t="str">
        <f>"MONTE ATHOS NO. 330                                                             "</f>
        <v xml:space="preserve">MONTE ATHOS NO. 330                                                             </v>
      </c>
      <c r="F1811" s="26" t="str">
        <f>"LOMAS DE CHAPULTEPEC                                                                                                                        "</f>
        <v xml:space="preserve">LOMAS DE CHAPULTEPEC                                                                                                                        </v>
      </c>
      <c r="G1811" s="26" t="str">
        <f>"MIGUEL HIDALGO                                                                  "</f>
        <v xml:space="preserve">MIGUEL HIDALGO                                                                  </v>
      </c>
      <c r="H1811" s="26" t="str">
        <f>"207"</f>
        <v>207</v>
      </c>
      <c r="I1811" s="26" t="str">
        <f t="shared" si="335"/>
        <v>00</v>
      </c>
      <c r="J1811" s="26" t="str">
        <f t="shared" si="331"/>
        <v xml:space="preserve">32 </v>
      </c>
      <c r="K1811" s="26" t="str">
        <f t="shared" si="337"/>
        <v>EP</v>
      </c>
      <c r="L1811" s="26" t="str">
        <f t="shared" si="329"/>
        <v>DGOSE</v>
      </c>
      <c r="M1811" s="26" t="str">
        <f t="shared" si="333"/>
        <v>PARTICULAR</v>
      </c>
      <c r="N1811" s="26">
        <v>22</v>
      </c>
      <c r="O1811" s="26">
        <v>11</v>
      </c>
      <c r="P1811" s="26">
        <v>11</v>
      </c>
      <c r="Q1811" s="26">
        <v>2</v>
      </c>
      <c r="R1811" s="26">
        <v>1</v>
      </c>
      <c r="S1811" s="26">
        <v>2</v>
      </c>
      <c r="T1811" s="26">
        <v>8</v>
      </c>
      <c r="U1811" s="26">
        <v>11</v>
      </c>
      <c r="V1811" s="26">
        <v>1</v>
      </c>
      <c r="W1811" s="26"/>
    </row>
    <row r="1812" spans="1:23" x14ac:dyDescent="0.25">
      <c r="A1812" s="26" t="str">
        <f t="shared" si="334"/>
        <v>PREESCOLAR</v>
      </c>
      <c r="B1812" s="26" t="str">
        <f>"09PJN3534I"</f>
        <v>09PJN3534I</v>
      </c>
      <c r="C1812" s="26" t="str">
        <f>"COLEGIO WES                                                                                         "</f>
        <v xml:space="preserve">COLEGIO WES                                                                                         </v>
      </c>
      <c r="D1812" s="26" t="str">
        <f t="shared" si="327"/>
        <v>MATUTINO</v>
      </c>
      <c r="E1812" s="26" t="str">
        <f>"JOSE MARIA CASTORENA NO. 318                                                    "</f>
        <v xml:space="preserve">JOSE MARIA CASTORENA NO. 318                                                    </v>
      </c>
      <c r="F1812" s="26" t="str">
        <f>"CUAJIMALPA                                                                                                                                  "</f>
        <v xml:space="preserve">CUAJIMALPA                                                                                                                                  </v>
      </c>
      <c r="G1812" s="26" t="str">
        <f>"CUAJIMALPA DE MORELOS                                                           "</f>
        <v xml:space="preserve">CUAJIMALPA DE MORELOS                                                           </v>
      </c>
      <c r="H1812" s="26" t="str">
        <f>"279"</f>
        <v>279</v>
      </c>
      <c r="I1812" s="26" t="str">
        <f t="shared" si="335"/>
        <v>00</v>
      </c>
      <c r="J1812" s="26" t="str">
        <f>"33 "</f>
        <v xml:space="preserve">33 </v>
      </c>
      <c r="K1812" s="26" t="str">
        <f t="shared" si="337"/>
        <v>EP</v>
      </c>
      <c r="L1812" s="26" t="str">
        <f t="shared" si="329"/>
        <v>DGOSE</v>
      </c>
      <c r="M1812" s="26" t="str">
        <f t="shared" si="333"/>
        <v>PARTICULAR</v>
      </c>
      <c r="N1812" s="26">
        <v>114</v>
      </c>
      <c r="O1812" s="26">
        <v>66</v>
      </c>
      <c r="P1812" s="26">
        <v>48</v>
      </c>
      <c r="Q1812" s="26">
        <v>6</v>
      </c>
      <c r="R1812" s="26">
        <v>1</v>
      </c>
      <c r="S1812" s="26">
        <v>6</v>
      </c>
      <c r="T1812" s="26">
        <v>9</v>
      </c>
      <c r="U1812" s="26">
        <v>16</v>
      </c>
      <c r="V1812" s="26">
        <v>1</v>
      </c>
      <c r="W1812" s="26"/>
    </row>
    <row r="1813" spans="1:23" x14ac:dyDescent="0.25">
      <c r="A1813" s="26" t="str">
        <f t="shared" si="334"/>
        <v>PREESCOLAR</v>
      </c>
      <c r="B1813" s="26" t="str">
        <f>"09PJN3535H"</f>
        <v>09PJN3535H</v>
      </c>
      <c r="C1813" s="26" t="str">
        <f>"LA CASITA DEL BOSQUE                                                                                "</f>
        <v xml:space="preserve">LA CASITA DEL BOSQUE                                                                                </v>
      </c>
      <c r="D1813" s="26" t="str">
        <f t="shared" si="327"/>
        <v>MATUTINO</v>
      </c>
      <c r="E1813" s="26" t="str">
        <f>"JUAN DE ACUÑA NO. 323                                                           "</f>
        <v xml:space="preserve">JUAN DE ACUÑA NO. 323                                                           </v>
      </c>
      <c r="F1813" s="26" t="str">
        <f>"LOMAS VIRREYES                                                                                                                              "</f>
        <v xml:space="preserve">LOMAS VIRREYES                                                                                                                              </v>
      </c>
      <c r="G1813" s="26" t="str">
        <f>"MIGUEL HIDALGO                                                                  "</f>
        <v xml:space="preserve">MIGUEL HIDALGO                                                                  </v>
      </c>
      <c r="H1813" s="26" t="str">
        <f>"131"</f>
        <v>131</v>
      </c>
      <c r="I1813" s="26" t="str">
        <f t="shared" si="335"/>
        <v>00</v>
      </c>
      <c r="J1813" s="26" t="str">
        <f>"32 "</f>
        <v xml:space="preserve">32 </v>
      </c>
      <c r="K1813" s="26" t="str">
        <f t="shared" si="337"/>
        <v>EP</v>
      </c>
      <c r="L1813" s="26" t="str">
        <f t="shared" si="329"/>
        <v>DGOSE</v>
      </c>
      <c r="M1813" s="26" t="str">
        <f t="shared" si="333"/>
        <v>PARTICULAR</v>
      </c>
      <c r="N1813" s="26">
        <v>18</v>
      </c>
      <c r="O1813" s="26">
        <v>12</v>
      </c>
      <c r="P1813" s="26">
        <v>6</v>
      </c>
      <c r="Q1813" s="26">
        <v>3</v>
      </c>
      <c r="R1813" s="26">
        <v>1</v>
      </c>
      <c r="S1813" s="26">
        <v>3</v>
      </c>
      <c r="T1813" s="26">
        <v>6</v>
      </c>
      <c r="U1813" s="26">
        <v>10</v>
      </c>
      <c r="V1813" s="26">
        <v>1</v>
      </c>
      <c r="W1813" s="26"/>
    </row>
    <row r="1814" spans="1:23" x14ac:dyDescent="0.25">
      <c r="A1814" s="26" t="str">
        <f t="shared" si="334"/>
        <v>PREESCOLAR</v>
      </c>
      <c r="B1814" s="26" t="str">
        <f>"09PJN3538E"</f>
        <v>09PJN3538E</v>
      </c>
      <c r="C1814" s="26" t="s">
        <v>100</v>
      </c>
      <c r="D1814" s="26" t="str">
        <f t="shared" si="327"/>
        <v>MATUTINO</v>
      </c>
      <c r="E1814" s="26" t="str">
        <f>"XICOTENCATL No. 294                                                             "</f>
        <v xml:space="preserve">XICOTENCATL No. 294                                                             </v>
      </c>
      <c r="F1814" s="26" t="str">
        <f>"DEL CARMEN                                                                                                                                  "</f>
        <v xml:space="preserve">DEL CARMEN                                                                                                                                  </v>
      </c>
      <c r="G1814" s="26" t="str">
        <f>"COYOACAN                                                                        "</f>
        <v xml:space="preserve">COYOACAN                                                                        </v>
      </c>
      <c r="H1814" s="26" t="str">
        <f>"111"</f>
        <v>111</v>
      </c>
      <c r="I1814" s="26" t="str">
        <f t="shared" si="335"/>
        <v>00</v>
      </c>
      <c r="J1814" s="26" t="str">
        <f t="shared" ref="J1814:J1820" si="338">"35 "</f>
        <v xml:space="preserve">35 </v>
      </c>
      <c r="K1814" s="26" t="str">
        <f t="shared" si="337"/>
        <v>EP</v>
      </c>
      <c r="L1814" s="26" t="str">
        <f t="shared" si="329"/>
        <v>DGOSE</v>
      </c>
      <c r="M1814" s="26" t="str">
        <f t="shared" si="333"/>
        <v>PARTICULAR</v>
      </c>
      <c r="N1814" s="26">
        <v>12</v>
      </c>
      <c r="O1814" s="26">
        <v>7</v>
      </c>
      <c r="P1814" s="26">
        <v>5</v>
      </c>
      <c r="Q1814" s="26">
        <v>3</v>
      </c>
      <c r="R1814" s="26">
        <v>1</v>
      </c>
      <c r="S1814" s="26">
        <v>3</v>
      </c>
      <c r="T1814" s="26">
        <v>3</v>
      </c>
      <c r="U1814" s="26">
        <v>7</v>
      </c>
      <c r="V1814" s="26">
        <v>1</v>
      </c>
      <c r="W1814" s="26"/>
    </row>
    <row r="1815" spans="1:23" x14ac:dyDescent="0.25">
      <c r="A1815" s="26" t="str">
        <f t="shared" si="334"/>
        <v>PREESCOLAR</v>
      </c>
      <c r="B1815" s="26" t="str">
        <f>"09PJN3539D"</f>
        <v>09PJN3539D</v>
      </c>
      <c r="C1815" s="26" t="str">
        <f>"ESCUELA FUNDACION MIER Y PESADO                                                                     "</f>
        <v xml:space="preserve">ESCUELA FUNDACION MIER Y PESADO                                                                     </v>
      </c>
      <c r="D1815" s="26" t="str">
        <f t="shared" si="327"/>
        <v>MATUTINO</v>
      </c>
      <c r="E1815" s="26" t="str">
        <f>"GENERAL ANAYA NO. 371                                                           "</f>
        <v xml:space="preserve">GENERAL ANAYA NO. 371                                                           </v>
      </c>
      <c r="F1815" s="26" t="str">
        <f>"DEL CARMEN                                                                                                                                  "</f>
        <v xml:space="preserve">DEL CARMEN                                                                                                                                  </v>
      </c>
      <c r="G1815" s="26" t="str">
        <f>"COYOACAN                                                                        "</f>
        <v xml:space="preserve">COYOACAN                                                                        </v>
      </c>
      <c r="H1815" s="26" t="str">
        <f>"111"</f>
        <v>111</v>
      </c>
      <c r="I1815" s="26" t="str">
        <f t="shared" si="335"/>
        <v>00</v>
      </c>
      <c r="J1815" s="26" t="str">
        <f t="shared" si="338"/>
        <v xml:space="preserve">35 </v>
      </c>
      <c r="K1815" s="26" t="str">
        <f t="shared" si="337"/>
        <v>EP</v>
      </c>
      <c r="L1815" s="26" t="str">
        <f t="shared" si="329"/>
        <v>DGOSE</v>
      </c>
      <c r="M1815" s="26" t="str">
        <f t="shared" si="333"/>
        <v>PARTICULAR</v>
      </c>
      <c r="N1815" s="26">
        <v>180</v>
      </c>
      <c r="O1815" s="26">
        <v>85</v>
      </c>
      <c r="P1815" s="26">
        <v>95</v>
      </c>
      <c r="Q1815" s="26">
        <v>6</v>
      </c>
      <c r="R1815" s="26">
        <v>1</v>
      </c>
      <c r="S1815" s="26">
        <v>6</v>
      </c>
      <c r="T1815" s="26">
        <v>6</v>
      </c>
      <c r="U1815" s="26">
        <v>13</v>
      </c>
      <c r="V1815" s="26">
        <v>1</v>
      </c>
      <c r="W1815" s="26"/>
    </row>
    <row r="1816" spans="1:23" x14ac:dyDescent="0.25">
      <c r="A1816" s="26" t="str">
        <f t="shared" si="334"/>
        <v>PREESCOLAR</v>
      </c>
      <c r="B1816" s="26" t="str">
        <f>"09PJN3544P"</f>
        <v>09PJN3544P</v>
      </c>
      <c r="C1816" s="26" t="str">
        <f>"CENTRO PEDAGOGICO INFANTIL JEAN PIAGET                                                              "</f>
        <v xml:space="preserve">CENTRO PEDAGOGICO INFANTIL JEAN PIAGET                                                              </v>
      </c>
      <c r="D1816" s="26" t="str">
        <f t="shared" si="327"/>
        <v>MATUTINO</v>
      </c>
      <c r="E1816" s="26" t="str">
        <f>"MIXTECAS No. 493                                                                "</f>
        <v xml:space="preserve">MIXTECAS No. 493                                                                </v>
      </c>
      <c r="F1816" s="26" t="str">
        <f>"AJUSCO                                                                                                                                      "</f>
        <v xml:space="preserve">AJUSCO                                                                                                                                      </v>
      </c>
      <c r="G1816" s="26" t="str">
        <f>"COYOACAN                                                                        "</f>
        <v xml:space="preserve">COYOACAN                                                                        </v>
      </c>
      <c r="H1816" s="26" t="str">
        <f>"211"</f>
        <v>211</v>
      </c>
      <c r="I1816" s="26" t="str">
        <f t="shared" si="335"/>
        <v>00</v>
      </c>
      <c r="J1816" s="26" t="str">
        <f t="shared" si="338"/>
        <v xml:space="preserve">35 </v>
      </c>
      <c r="K1816" s="26" t="str">
        <f t="shared" si="337"/>
        <v>EP</v>
      </c>
      <c r="L1816" s="26" t="str">
        <f t="shared" si="329"/>
        <v>DGOSE</v>
      </c>
      <c r="M1816" s="26" t="str">
        <f t="shared" si="333"/>
        <v>PARTICULAR</v>
      </c>
      <c r="N1816" s="26">
        <v>48</v>
      </c>
      <c r="O1816" s="26">
        <v>17</v>
      </c>
      <c r="P1816" s="26">
        <v>31</v>
      </c>
      <c r="Q1816" s="26">
        <v>3</v>
      </c>
      <c r="R1816" s="26">
        <v>1</v>
      </c>
      <c r="S1816" s="26">
        <v>3</v>
      </c>
      <c r="T1816" s="26">
        <v>9</v>
      </c>
      <c r="U1816" s="26">
        <v>13</v>
      </c>
      <c r="V1816" s="26">
        <v>1</v>
      </c>
      <c r="W1816" s="26"/>
    </row>
    <row r="1817" spans="1:23" x14ac:dyDescent="0.25">
      <c r="A1817" s="26" t="str">
        <f t="shared" si="334"/>
        <v>PREESCOLAR</v>
      </c>
      <c r="B1817" s="26" t="str">
        <f>"09PJN3546N"</f>
        <v>09PJN3546N</v>
      </c>
      <c r="C1817" s="26" t="str">
        <f>"COLEGIO ST. JOHN'S                                                                                  "</f>
        <v xml:space="preserve">COLEGIO ST. JOHN'S                                                                                  </v>
      </c>
      <c r="D1817" s="26" t="str">
        <f t="shared" si="327"/>
        <v>MATUTINO</v>
      </c>
      <c r="E1817" s="26" t="str">
        <f>"CALZADA DE LOS TENORIOS NO. 80                                                  "</f>
        <v xml:space="preserve">CALZADA DE LOS TENORIOS NO. 80                                                  </v>
      </c>
      <c r="F1817" s="26" t="str">
        <f>"RAMOS MILLAN COAPA                                                                                                                          "</f>
        <v xml:space="preserve">RAMOS MILLAN COAPA                                                                                                                          </v>
      </c>
      <c r="G1817" s="26" t="str">
        <f>"TLALPAN                                                                         "</f>
        <v xml:space="preserve">TLALPAN                                                                         </v>
      </c>
      <c r="H1817" s="26" t="str">
        <f>"220"</f>
        <v>220</v>
      </c>
      <c r="I1817" s="26" t="str">
        <f t="shared" si="335"/>
        <v>00</v>
      </c>
      <c r="J1817" s="26" t="str">
        <f t="shared" si="338"/>
        <v xml:space="preserve">35 </v>
      </c>
      <c r="K1817" s="26" t="str">
        <f t="shared" si="337"/>
        <v>EP</v>
      </c>
      <c r="L1817" s="26" t="str">
        <f t="shared" si="329"/>
        <v>DGOSE</v>
      </c>
      <c r="M1817" s="26" t="str">
        <f t="shared" si="333"/>
        <v>PARTICULAR</v>
      </c>
      <c r="N1817" s="26">
        <v>58</v>
      </c>
      <c r="O1817" s="26">
        <v>22</v>
      </c>
      <c r="P1817" s="26">
        <v>36</v>
      </c>
      <c r="Q1817" s="26">
        <v>4</v>
      </c>
      <c r="R1817" s="26">
        <v>1</v>
      </c>
      <c r="S1817" s="26">
        <v>2</v>
      </c>
      <c r="T1817" s="26">
        <v>8</v>
      </c>
      <c r="U1817" s="26">
        <v>11</v>
      </c>
      <c r="V1817" s="26">
        <v>1</v>
      </c>
      <c r="W1817" s="26"/>
    </row>
    <row r="1818" spans="1:23" x14ac:dyDescent="0.25">
      <c r="A1818" s="26" t="str">
        <f t="shared" si="334"/>
        <v>PREESCOLAR</v>
      </c>
      <c r="B1818" s="26" t="str">
        <f>"09PJN3547M"</f>
        <v>09PJN3547M</v>
      </c>
      <c r="C1818" s="26" t="str">
        <f>"COLEGIO MANUEL EDUARDO DE GOROSTIZA                                                                 "</f>
        <v xml:space="preserve">COLEGIO MANUEL EDUARDO DE GOROSTIZA                                                                 </v>
      </c>
      <c r="D1818" s="26" t="str">
        <f t="shared" si="327"/>
        <v>MATUTINO</v>
      </c>
      <c r="E1818" s="26" t="str">
        <f>"CALZ. DE LAS BRUJAS NO. 327                                                     "</f>
        <v xml:space="preserve">CALZ. DE LAS BRUJAS NO. 327                                                     </v>
      </c>
      <c r="F1818" s="26" t="str">
        <f>"LAS HADAS                                                                                                                                   "</f>
        <v xml:space="preserve">LAS HADAS                                                                                                                                   </v>
      </c>
      <c r="G1818" s="26" t="str">
        <f>"TLALPAN                                                                         "</f>
        <v xml:space="preserve">TLALPAN                                                                         </v>
      </c>
      <c r="H1818" s="26" t="str">
        <f>"050"</f>
        <v>050</v>
      </c>
      <c r="I1818" s="26" t="str">
        <f t="shared" si="335"/>
        <v>00</v>
      </c>
      <c r="J1818" s="26" t="str">
        <f t="shared" si="338"/>
        <v xml:space="preserve">35 </v>
      </c>
      <c r="K1818" s="26" t="str">
        <f t="shared" si="337"/>
        <v>EP</v>
      </c>
      <c r="L1818" s="26" t="str">
        <f t="shared" si="329"/>
        <v>DGOSE</v>
      </c>
      <c r="M1818" s="26" t="str">
        <f t="shared" si="333"/>
        <v>PARTICULAR</v>
      </c>
      <c r="N1818" s="26">
        <v>30</v>
      </c>
      <c r="O1818" s="26">
        <v>15</v>
      </c>
      <c r="P1818" s="26">
        <v>15</v>
      </c>
      <c r="Q1818" s="26">
        <v>3</v>
      </c>
      <c r="R1818" s="26">
        <v>1</v>
      </c>
      <c r="S1818" s="26">
        <v>3</v>
      </c>
      <c r="T1818" s="26">
        <v>1</v>
      </c>
      <c r="U1818" s="26">
        <v>5</v>
      </c>
      <c r="V1818" s="26">
        <v>1</v>
      </c>
      <c r="W1818" s="26"/>
    </row>
    <row r="1819" spans="1:23" x14ac:dyDescent="0.25">
      <c r="A1819" s="26" t="str">
        <f t="shared" si="334"/>
        <v>PREESCOLAR</v>
      </c>
      <c r="B1819" s="26" t="str">
        <f>"09PJN3549K"</f>
        <v>09PJN3549K</v>
      </c>
      <c r="C1819" s="26" t="str">
        <f>"JARDÍN DE NIÑOS GABILONDO SOLER - CRICRI                                                            "</f>
        <v xml:space="preserve">JARDÍN DE NIÑOS GABILONDO SOLER - CRICRI                                                            </v>
      </c>
      <c r="D1819" s="26" t="str">
        <f t="shared" si="327"/>
        <v>MATUTINO</v>
      </c>
      <c r="E1819" s="26" t="str">
        <f>"AYUNTAMIENTO NO. 135                                                            "</f>
        <v xml:space="preserve">AYUNTAMIENTO NO. 135                                                            </v>
      </c>
      <c r="F1819" s="26" t="str">
        <f>"LA FAMA                                                                                                                                     "</f>
        <v xml:space="preserve">LA FAMA                                                                                                                                     </v>
      </c>
      <c r="G1819" s="26" t="str">
        <f>"TLALPAN                                                                         "</f>
        <v xml:space="preserve">TLALPAN                                                                         </v>
      </c>
      <c r="H1819" s="26" t="str">
        <f>"225"</f>
        <v>225</v>
      </c>
      <c r="I1819" s="26" t="str">
        <f t="shared" si="335"/>
        <v>00</v>
      </c>
      <c r="J1819" s="26" t="str">
        <f t="shared" si="338"/>
        <v xml:space="preserve">35 </v>
      </c>
      <c r="K1819" s="26" t="str">
        <f t="shared" si="337"/>
        <v>EP</v>
      </c>
      <c r="L1819" s="26" t="str">
        <f t="shared" si="329"/>
        <v>DGOSE</v>
      </c>
      <c r="M1819" s="26" t="str">
        <f t="shared" si="333"/>
        <v>PARTICULAR</v>
      </c>
      <c r="N1819" s="26">
        <v>23</v>
      </c>
      <c r="O1819" s="26">
        <v>11</v>
      </c>
      <c r="P1819" s="26">
        <v>12</v>
      </c>
      <c r="Q1819" s="26">
        <v>3</v>
      </c>
      <c r="R1819" s="26">
        <v>1</v>
      </c>
      <c r="S1819" s="26">
        <v>3</v>
      </c>
      <c r="T1819" s="26">
        <v>0</v>
      </c>
      <c r="U1819" s="26">
        <v>4</v>
      </c>
      <c r="V1819" s="26">
        <v>1</v>
      </c>
      <c r="W1819" s="26"/>
    </row>
    <row r="1820" spans="1:23" x14ac:dyDescent="0.25">
      <c r="A1820" s="26" t="str">
        <f t="shared" si="334"/>
        <v>PREESCOLAR</v>
      </c>
      <c r="B1820" s="26" t="str">
        <f>"09PJN3551Z"</f>
        <v>09PJN3551Z</v>
      </c>
      <c r="C1820" s="26" t="str">
        <f>"MUNDO INFANTIL DE ALFRED NOBEL                                                                      "</f>
        <v xml:space="preserve">MUNDO INFANTIL DE ALFRED NOBEL                                                                      </v>
      </c>
      <c r="D1820" s="26" t="str">
        <f t="shared" si="327"/>
        <v>MATUTINO</v>
      </c>
      <c r="E1820" s="26" t="str">
        <f>"DZEMUL NO. 192                                                                  "</f>
        <v xml:space="preserve">DZEMUL NO. 192                                                                  </v>
      </c>
      <c r="F1820" s="26" t="str">
        <f>"PEDREGAL DE SAN NICOLAS                                                                                                                     "</f>
        <v xml:space="preserve">PEDREGAL DE SAN NICOLAS                                                                                                                     </v>
      </c>
      <c r="G1820" s="26" t="str">
        <f>"TLALPAN                                                                         "</f>
        <v xml:space="preserve">TLALPAN                                                                         </v>
      </c>
      <c r="H1820" s="26" t="str">
        <f>"135"</f>
        <v>135</v>
      </c>
      <c r="I1820" s="26" t="str">
        <f t="shared" si="335"/>
        <v>00</v>
      </c>
      <c r="J1820" s="26" t="str">
        <f t="shared" si="338"/>
        <v xml:space="preserve">35 </v>
      </c>
      <c r="K1820" s="26" t="str">
        <f t="shared" si="337"/>
        <v>EP</v>
      </c>
      <c r="L1820" s="26" t="str">
        <f t="shared" si="329"/>
        <v>DGOSE</v>
      </c>
      <c r="M1820" s="26" t="str">
        <f t="shared" si="333"/>
        <v>PARTICULAR</v>
      </c>
      <c r="N1820" s="26">
        <v>22</v>
      </c>
      <c r="O1820" s="26">
        <v>13</v>
      </c>
      <c r="P1820" s="26">
        <v>9</v>
      </c>
      <c r="Q1820" s="26">
        <v>3</v>
      </c>
      <c r="R1820" s="26">
        <v>1</v>
      </c>
      <c r="S1820" s="26">
        <v>2</v>
      </c>
      <c r="T1820" s="26">
        <v>1</v>
      </c>
      <c r="U1820" s="26">
        <v>4</v>
      </c>
      <c r="V1820" s="26">
        <v>1</v>
      </c>
      <c r="W1820" s="26"/>
    </row>
    <row r="1821" spans="1:23" x14ac:dyDescent="0.25">
      <c r="A1821" s="26" t="str">
        <f t="shared" si="334"/>
        <v>PREESCOLAR</v>
      </c>
      <c r="B1821" s="26" t="str">
        <f>"09PJN3553X"</f>
        <v>09PJN3553X</v>
      </c>
      <c r="C1821" s="26" t="str">
        <f>"XUMI MONTESSORI                                                                                     "</f>
        <v xml:space="preserve">XUMI MONTESSORI                                                                                     </v>
      </c>
      <c r="D1821" s="26" t="str">
        <f t="shared" si="327"/>
        <v>MATUTINO</v>
      </c>
      <c r="E1821" s="26" t="str">
        <f>"ARTEAGA Y SALAZAR NO. 1614                                                      "</f>
        <v xml:space="preserve">ARTEAGA Y SALAZAR NO. 1614                                                      </v>
      </c>
      <c r="F1821" s="26" t="str">
        <f>"CONTADERO                                                                                                                                   "</f>
        <v xml:space="preserve">CONTADERO                                                                                                                                   </v>
      </c>
      <c r="G1821" s="26" t="str">
        <f>"CUAJIMALPA DE MORELOS                                                           "</f>
        <v xml:space="preserve">CUAJIMALPA DE MORELOS                                                           </v>
      </c>
      <c r="H1821" s="26" t="str">
        <f>"151"</f>
        <v>151</v>
      </c>
      <c r="I1821" s="26" t="str">
        <f t="shared" si="335"/>
        <v>00</v>
      </c>
      <c r="J1821" s="26" t="str">
        <f>"33 "</f>
        <v xml:space="preserve">33 </v>
      </c>
      <c r="K1821" s="26" t="str">
        <f t="shared" si="337"/>
        <v>EP</v>
      </c>
      <c r="L1821" s="26" t="str">
        <f t="shared" si="329"/>
        <v>DGOSE</v>
      </c>
      <c r="M1821" s="26" t="str">
        <f t="shared" si="333"/>
        <v>PARTICULAR</v>
      </c>
      <c r="N1821" s="26">
        <v>24</v>
      </c>
      <c r="O1821" s="26">
        <v>13</v>
      </c>
      <c r="P1821" s="26">
        <v>11</v>
      </c>
      <c r="Q1821" s="26">
        <v>3</v>
      </c>
      <c r="R1821" s="26">
        <v>1</v>
      </c>
      <c r="S1821" s="26">
        <v>3</v>
      </c>
      <c r="T1821" s="26">
        <v>6</v>
      </c>
      <c r="U1821" s="26">
        <v>10</v>
      </c>
      <c r="V1821" s="26">
        <v>1</v>
      </c>
      <c r="W1821" s="26"/>
    </row>
    <row r="1822" spans="1:23" x14ac:dyDescent="0.25">
      <c r="A1822" s="26" t="str">
        <f t="shared" si="334"/>
        <v>PREESCOLAR</v>
      </c>
      <c r="B1822" s="26" t="str">
        <f>"09PJN3554W"</f>
        <v>09PJN3554W</v>
      </c>
      <c r="C1822" s="26" t="str">
        <f>"JARDIN DE NIÑOS HUITZIL                                                                             "</f>
        <v xml:space="preserve">JARDIN DE NIÑOS HUITZIL                                                                             </v>
      </c>
      <c r="D1822" s="26" t="str">
        <f t="shared" si="327"/>
        <v>MATUTINO</v>
      </c>
      <c r="E1822" s="26" t="str">
        <f>"AV. TOLUCA No. 795                                                              "</f>
        <v xml:space="preserve">AV. TOLUCA No. 795                                                              </v>
      </c>
      <c r="F1822" s="26" t="str">
        <f>"OLIVAR DE LOS PADRES                                                                                                                        "</f>
        <v xml:space="preserve">OLIVAR DE LOS PADRES                                                                                                                        </v>
      </c>
      <c r="G1822" s="26" t="str">
        <f>"ALVARO OBREGON                                                                  "</f>
        <v xml:space="preserve">ALVARO OBREGON                                                                  </v>
      </c>
      <c r="H1822" s="26" t="str">
        <f>"175"</f>
        <v>175</v>
      </c>
      <c r="I1822" s="26" t="str">
        <f t="shared" si="335"/>
        <v>00</v>
      </c>
      <c r="J1822" s="26" t="str">
        <f>"33 "</f>
        <v xml:space="preserve">33 </v>
      </c>
      <c r="K1822" s="26" t="str">
        <f t="shared" si="337"/>
        <v>EP</v>
      </c>
      <c r="L1822" s="26" t="str">
        <f t="shared" si="329"/>
        <v>DGOSE</v>
      </c>
      <c r="M1822" s="26" t="str">
        <f t="shared" si="333"/>
        <v>PARTICULAR</v>
      </c>
      <c r="N1822" s="26">
        <v>50</v>
      </c>
      <c r="O1822" s="26">
        <v>22</v>
      </c>
      <c r="P1822" s="26">
        <v>28</v>
      </c>
      <c r="Q1822" s="26">
        <v>3</v>
      </c>
      <c r="R1822" s="26">
        <v>1</v>
      </c>
      <c r="S1822" s="26">
        <v>3</v>
      </c>
      <c r="T1822" s="26">
        <v>5</v>
      </c>
      <c r="U1822" s="26">
        <v>9</v>
      </c>
      <c r="V1822" s="26">
        <v>1</v>
      </c>
      <c r="W1822" s="26"/>
    </row>
    <row r="1823" spans="1:23" x14ac:dyDescent="0.25">
      <c r="A1823" s="26" t="str">
        <f t="shared" si="334"/>
        <v>PREESCOLAR</v>
      </c>
      <c r="B1823" s="26" t="str">
        <f>"09PJN3556U"</f>
        <v>09PJN3556U</v>
      </c>
      <c r="C1823" s="26" t="str">
        <f>"COLEGIO BERNAL DIAZ DEL CASTILLO                                                                    "</f>
        <v xml:space="preserve">COLEGIO BERNAL DIAZ DEL CASTILLO                                                                    </v>
      </c>
      <c r="D1823" s="26" t="str">
        <f t="shared" si="327"/>
        <v>MATUTINO</v>
      </c>
      <c r="E1823" s="26" t="str">
        <f>"PLAYA REGATAS NO. 313                                                           "</f>
        <v xml:space="preserve">PLAYA REGATAS NO. 313                                                           </v>
      </c>
      <c r="F1823" s="26" t="str">
        <f>"REFORMA IZTACCIHUATL NORTE                                                                                                                  "</f>
        <v xml:space="preserve">REFORMA IZTACCIHUATL NORTE                                                                                                                  </v>
      </c>
      <c r="G1823" s="26" t="str">
        <f>"IZTACALCO                                                                       "</f>
        <v xml:space="preserve">IZTACALCO                                                                       </v>
      </c>
      <c r="H1823" s="26" t="str">
        <f>"027"</f>
        <v>027</v>
      </c>
      <c r="I1823" s="26" t="str">
        <f t="shared" si="335"/>
        <v>00</v>
      </c>
      <c r="J1823" s="26" t="str">
        <f>"33 "</f>
        <v xml:space="preserve">33 </v>
      </c>
      <c r="K1823" s="26" t="str">
        <f t="shared" si="337"/>
        <v>EP</v>
      </c>
      <c r="L1823" s="26" t="str">
        <f t="shared" si="329"/>
        <v>DGOSE</v>
      </c>
      <c r="M1823" s="26" t="str">
        <f t="shared" si="333"/>
        <v>PARTICULAR</v>
      </c>
      <c r="N1823" s="26">
        <v>2</v>
      </c>
      <c r="O1823" s="26">
        <v>1</v>
      </c>
      <c r="P1823" s="26">
        <v>1</v>
      </c>
      <c r="Q1823" s="26">
        <v>1</v>
      </c>
      <c r="R1823" s="26">
        <v>1</v>
      </c>
      <c r="S1823" s="26">
        <v>1</v>
      </c>
      <c r="T1823" s="26">
        <v>2</v>
      </c>
      <c r="U1823" s="26">
        <v>4</v>
      </c>
      <c r="V1823" s="26">
        <v>1</v>
      </c>
      <c r="W1823" s="26"/>
    </row>
    <row r="1824" spans="1:23" x14ac:dyDescent="0.25">
      <c r="A1824" s="26" t="str">
        <f t="shared" si="334"/>
        <v>PREESCOLAR</v>
      </c>
      <c r="B1824" s="26" t="str">
        <f>"09PJN3559R"</f>
        <v>09PJN3559R</v>
      </c>
      <c r="C1824" s="26" t="str">
        <f>"HAPPY KING                                                                                          "</f>
        <v xml:space="preserve">HAPPY KING                                                                                          </v>
      </c>
      <c r="D1824" s="26" t="str">
        <f t="shared" si="327"/>
        <v>MATUTINO</v>
      </c>
      <c r="E1824" s="26" t="str">
        <f>"PLAYA HERMOSA No. 575                                                           "</f>
        <v xml:space="preserve">PLAYA HERMOSA No. 575                                                           </v>
      </c>
      <c r="F1824" s="26" t="str">
        <f>"REFORMA IZTACIHUATL SUR                                                                                                                     "</f>
        <v xml:space="preserve">REFORMA IZTACIHUATL SUR                                                                                                                     </v>
      </c>
      <c r="G1824" s="26" t="str">
        <f>"IZTACALCO                                                                       "</f>
        <v xml:space="preserve">IZTACALCO                                                                       </v>
      </c>
      <c r="H1824" s="26" t="str">
        <f>"238"</f>
        <v>238</v>
      </c>
      <c r="I1824" s="26" t="str">
        <f t="shared" si="335"/>
        <v>00</v>
      </c>
      <c r="J1824" s="26" t="str">
        <f>"33 "</f>
        <v xml:space="preserve">33 </v>
      </c>
      <c r="K1824" s="26" t="str">
        <f t="shared" si="337"/>
        <v>EP</v>
      </c>
      <c r="L1824" s="26" t="str">
        <f t="shared" si="329"/>
        <v>DGOSE</v>
      </c>
      <c r="M1824" s="26" t="str">
        <f t="shared" si="333"/>
        <v>PARTICULAR</v>
      </c>
      <c r="N1824" s="26">
        <v>38</v>
      </c>
      <c r="O1824" s="26">
        <v>19</v>
      </c>
      <c r="P1824" s="26">
        <v>19</v>
      </c>
      <c r="Q1824" s="26">
        <v>3</v>
      </c>
      <c r="R1824" s="26">
        <v>1</v>
      </c>
      <c r="S1824" s="26">
        <v>3</v>
      </c>
      <c r="T1824" s="26">
        <v>1</v>
      </c>
      <c r="U1824" s="26">
        <v>5</v>
      </c>
      <c r="V1824" s="26">
        <v>1</v>
      </c>
      <c r="W1824" s="26"/>
    </row>
    <row r="1825" spans="1:23" x14ac:dyDescent="0.25">
      <c r="A1825" s="26" t="str">
        <f t="shared" si="334"/>
        <v>PREESCOLAR</v>
      </c>
      <c r="B1825" s="26" t="str">
        <f>"09PJN3560G"</f>
        <v>09PJN3560G</v>
      </c>
      <c r="C1825" s="26" t="str">
        <f>"COLEGIO QUETZAL                                                                                     "</f>
        <v xml:space="preserve">COLEGIO QUETZAL                                                                                     </v>
      </c>
      <c r="D1825" s="26" t="str">
        <f t="shared" si="327"/>
        <v>MATUTINO</v>
      </c>
      <c r="E1825" s="26" t="str">
        <f>"AV. SUR 20 NO. 315                                                              "</f>
        <v xml:space="preserve">AV. SUR 20 NO. 315                                                              </v>
      </c>
      <c r="F1825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1825" s="26" t="str">
        <f>"IZTACALCO                                                                       "</f>
        <v xml:space="preserve">IZTACALCO                                                                       </v>
      </c>
      <c r="H1825" s="26" t="str">
        <f>"236"</f>
        <v>236</v>
      </c>
      <c r="I1825" s="26" t="str">
        <f t="shared" si="335"/>
        <v>00</v>
      </c>
      <c r="J1825" s="26" t="str">
        <f>"33 "</f>
        <v xml:space="preserve">33 </v>
      </c>
      <c r="K1825" s="26" t="str">
        <f t="shared" si="337"/>
        <v>EP</v>
      </c>
      <c r="L1825" s="26" t="str">
        <f t="shared" si="329"/>
        <v>DGOSE</v>
      </c>
      <c r="M1825" s="26" t="str">
        <f t="shared" si="333"/>
        <v>PARTICULAR</v>
      </c>
      <c r="N1825" s="26">
        <v>58</v>
      </c>
      <c r="O1825" s="26">
        <v>25</v>
      </c>
      <c r="P1825" s="26">
        <v>33</v>
      </c>
      <c r="Q1825" s="26">
        <v>3</v>
      </c>
      <c r="R1825" s="26">
        <v>1</v>
      </c>
      <c r="S1825" s="26">
        <v>3</v>
      </c>
      <c r="T1825" s="26">
        <v>7</v>
      </c>
      <c r="U1825" s="26">
        <v>11</v>
      </c>
      <c r="V1825" s="26">
        <v>1</v>
      </c>
      <c r="W1825" s="26"/>
    </row>
    <row r="1826" spans="1:23" x14ac:dyDescent="0.25">
      <c r="A1826" s="26" t="str">
        <f t="shared" si="334"/>
        <v>PREESCOLAR</v>
      </c>
      <c r="B1826" s="26" t="str">
        <f>"09PJN3561F"</f>
        <v>09PJN3561F</v>
      </c>
      <c r="C1826" s="26" t="str">
        <f>"TZICATPILLI                                                                                         "</f>
        <v xml:space="preserve">TZICATPILLI                                                                                         </v>
      </c>
      <c r="D1826" s="26" t="str">
        <f t="shared" si="327"/>
        <v>MATUTINO</v>
      </c>
      <c r="E1826" s="26" t="str">
        <f>"MOCTEZUMA NO. 52                                                                "</f>
        <v xml:space="preserve">MOCTEZUMA NO. 52                                                                </v>
      </c>
      <c r="F1826" s="26" t="str">
        <f>"SAN PEDRO ATOCPAN SECCION 3                                                                                                                 "</f>
        <v xml:space="preserve">SAN PEDRO ATOCPAN SECCION 3                                                                                                                 </v>
      </c>
      <c r="G1826" s="26" t="str">
        <f>"MILPA ALTA                                                                      "</f>
        <v xml:space="preserve">MILPA ALTA                                                                      </v>
      </c>
      <c r="H1826" s="26" t="str">
        <f>"104"</f>
        <v>104</v>
      </c>
      <c r="I1826" s="26" t="str">
        <f t="shared" si="335"/>
        <v>00</v>
      </c>
      <c r="J1826" s="26" t="str">
        <f t="shared" ref="J1826:J1835" si="339">"35 "</f>
        <v xml:space="preserve">35 </v>
      </c>
      <c r="K1826" s="26" t="str">
        <f t="shared" si="337"/>
        <v>EP</v>
      </c>
      <c r="L1826" s="26" t="str">
        <f t="shared" si="329"/>
        <v>DGOSE</v>
      </c>
      <c r="M1826" s="26" t="str">
        <f t="shared" si="333"/>
        <v>PARTICULAR</v>
      </c>
      <c r="N1826" s="26">
        <v>19</v>
      </c>
      <c r="O1826" s="26">
        <v>8</v>
      </c>
      <c r="P1826" s="26">
        <v>11</v>
      </c>
      <c r="Q1826" s="26">
        <v>3</v>
      </c>
      <c r="R1826" s="26">
        <v>1</v>
      </c>
      <c r="S1826" s="26">
        <v>2</v>
      </c>
      <c r="T1826" s="26">
        <v>3</v>
      </c>
      <c r="U1826" s="26">
        <v>6</v>
      </c>
      <c r="V1826" s="26">
        <v>1</v>
      </c>
      <c r="W1826" s="26"/>
    </row>
    <row r="1827" spans="1:23" x14ac:dyDescent="0.25">
      <c r="A1827" s="26" t="str">
        <f t="shared" si="334"/>
        <v>PREESCOLAR</v>
      </c>
      <c r="B1827" s="26" t="str">
        <f>"09PJN3562E"</f>
        <v>09PJN3562E</v>
      </c>
      <c r="C1827" s="26" t="str">
        <f>"JARDIN DE NIÑOS TULYEHUALCO                                                                         "</f>
        <v xml:space="preserve">JARDIN DE NIÑOS TULYEHUALCO                                                                         </v>
      </c>
      <c r="D1827" s="26" t="str">
        <f t="shared" si="327"/>
        <v>MATUTINO</v>
      </c>
      <c r="E1827" s="26" t="str">
        <f>"FRANCISCO VILLA NO. 20                                                          "</f>
        <v xml:space="preserve">FRANCISCO VILLA NO. 20                                                          </v>
      </c>
      <c r="F1827" s="26" t="str">
        <f>"QUIAHUATLA                                                                                                                                  "</f>
        <v xml:space="preserve">QUIAHUATLA                                                                                                                                  </v>
      </c>
      <c r="G1827" s="26" t="str">
        <f t="shared" ref="G1827:G1835" si="340">"TLAHUAC                                                                         "</f>
        <v xml:space="preserve">TLAHUAC                                                                         </v>
      </c>
      <c r="H1827" s="26" t="str">
        <f>"142"</f>
        <v>142</v>
      </c>
      <c r="I1827" s="26" t="str">
        <f t="shared" si="335"/>
        <v>00</v>
      </c>
      <c r="J1827" s="26" t="str">
        <f t="shared" si="339"/>
        <v xml:space="preserve">35 </v>
      </c>
      <c r="K1827" s="26" t="str">
        <f t="shared" si="337"/>
        <v>EP</v>
      </c>
      <c r="L1827" s="26" t="str">
        <f t="shared" si="329"/>
        <v>DGOSE</v>
      </c>
      <c r="M1827" s="26" t="str">
        <f t="shared" si="333"/>
        <v>PARTICULAR</v>
      </c>
      <c r="N1827" s="26">
        <v>37</v>
      </c>
      <c r="O1827" s="26">
        <v>19</v>
      </c>
      <c r="P1827" s="26">
        <v>18</v>
      </c>
      <c r="Q1827" s="26">
        <v>3</v>
      </c>
      <c r="R1827" s="26">
        <v>1</v>
      </c>
      <c r="S1827" s="26">
        <v>2</v>
      </c>
      <c r="T1827" s="26">
        <v>4</v>
      </c>
      <c r="U1827" s="26">
        <v>7</v>
      </c>
      <c r="V1827" s="26">
        <v>1</v>
      </c>
      <c r="W1827" s="26"/>
    </row>
    <row r="1828" spans="1:23" x14ac:dyDescent="0.25">
      <c r="A1828" s="26" t="str">
        <f t="shared" si="334"/>
        <v>PREESCOLAR</v>
      </c>
      <c r="B1828" s="26" t="str">
        <f>"09PJN3563D"</f>
        <v>09PJN3563D</v>
      </c>
      <c r="C1828" s="26" t="str">
        <f>"CULTURAS DE MEXICO                                                                                  "</f>
        <v xml:space="preserve">CULTURAS DE MEXICO                                                                                  </v>
      </c>
      <c r="D1828" s="26" t="str">
        <f t="shared" ref="D1828:D1891" si="341">"MATUTINO"</f>
        <v>MATUTINO</v>
      </c>
      <c r="E1828" s="26" t="str">
        <f>"MANUEL M. LOPEZ S/N MZA. 79 LT. 10                                              "</f>
        <v xml:space="preserve">MANUEL M. LOPEZ S/N MZA. 79 LT. 10                                              </v>
      </c>
      <c r="F1828" s="26" t="str">
        <f>"BARRIO SANTA ANA ZAPOTITLAN                                                                                                                 "</f>
        <v xml:space="preserve">BARRIO SANTA ANA ZAPOTITLAN                                                                                                                 </v>
      </c>
      <c r="G1828" s="26" t="str">
        <f t="shared" si="340"/>
        <v xml:space="preserve">TLAHUAC                                                                         </v>
      </c>
      <c r="H1828" s="26" t="str">
        <f>"065"</f>
        <v>065</v>
      </c>
      <c r="I1828" s="26" t="str">
        <f t="shared" si="335"/>
        <v>00</v>
      </c>
      <c r="J1828" s="26" t="str">
        <f t="shared" si="339"/>
        <v xml:space="preserve">35 </v>
      </c>
      <c r="K1828" s="26" t="str">
        <f t="shared" si="337"/>
        <v>EP</v>
      </c>
      <c r="L1828" s="26" t="str">
        <f t="shared" ref="L1828:L1891" si="342">"DGOSE"</f>
        <v>DGOSE</v>
      </c>
      <c r="M1828" s="26" t="str">
        <f t="shared" si="333"/>
        <v>PARTICULAR</v>
      </c>
      <c r="N1828" s="26">
        <v>65</v>
      </c>
      <c r="O1828" s="26">
        <v>30</v>
      </c>
      <c r="P1828" s="26">
        <v>35</v>
      </c>
      <c r="Q1828" s="26">
        <v>4</v>
      </c>
      <c r="R1828" s="26">
        <v>1</v>
      </c>
      <c r="S1828" s="26">
        <v>4</v>
      </c>
      <c r="T1828" s="26">
        <v>9</v>
      </c>
      <c r="U1828" s="26">
        <v>14</v>
      </c>
      <c r="V1828" s="26">
        <v>1</v>
      </c>
      <c r="W1828" s="26"/>
    </row>
    <row r="1829" spans="1:23" x14ac:dyDescent="0.25">
      <c r="A1829" s="26" t="str">
        <f t="shared" si="334"/>
        <v>PREESCOLAR</v>
      </c>
      <c r="B1829" s="26" t="str">
        <f>"09PJN3564C"</f>
        <v>09PJN3564C</v>
      </c>
      <c r="C1829" s="26" t="str">
        <f>"MARÍA CHAVARRÍA VITAL                                                                               "</f>
        <v xml:space="preserve">MARÍA CHAVARRÍA VITAL                                                                               </v>
      </c>
      <c r="D1829" s="26" t="str">
        <f t="shared" si="341"/>
        <v>MATUTINO</v>
      </c>
      <c r="E1829" s="26" t="str">
        <f>"MANUEL M. LOPEZ MZA.79 LOTE 15                                                  "</f>
        <v xml:space="preserve">MANUEL M. LOPEZ MZA.79 LOTE 15                                                  </v>
      </c>
      <c r="F1829" s="26" t="str">
        <f>"BARRIO SANTA ANA ZAPOTITLAN                                                                                                                 "</f>
        <v xml:space="preserve">BARRIO SANTA ANA ZAPOTITLAN                                                                                                                 </v>
      </c>
      <c r="G1829" s="26" t="str">
        <f t="shared" si="340"/>
        <v xml:space="preserve">TLAHUAC                                                                         </v>
      </c>
      <c r="H1829" s="26" t="str">
        <f>"065"</f>
        <v>065</v>
      </c>
      <c r="I1829" s="26" t="str">
        <f t="shared" si="335"/>
        <v>00</v>
      </c>
      <c r="J1829" s="26" t="str">
        <f t="shared" si="339"/>
        <v xml:space="preserve">35 </v>
      </c>
      <c r="K1829" s="26" t="str">
        <f t="shared" si="337"/>
        <v>EP</v>
      </c>
      <c r="L1829" s="26" t="str">
        <f t="shared" si="342"/>
        <v>DGOSE</v>
      </c>
      <c r="M1829" s="26" t="str">
        <f t="shared" si="333"/>
        <v>PARTICULAR</v>
      </c>
      <c r="N1829" s="26">
        <v>65</v>
      </c>
      <c r="O1829" s="26">
        <v>36</v>
      </c>
      <c r="P1829" s="26">
        <v>29</v>
      </c>
      <c r="Q1829" s="26">
        <v>4</v>
      </c>
      <c r="R1829" s="26">
        <v>1</v>
      </c>
      <c r="S1829" s="26">
        <v>4</v>
      </c>
      <c r="T1829" s="26">
        <v>5</v>
      </c>
      <c r="U1829" s="26">
        <v>10</v>
      </c>
      <c r="V1829" s="26">
        <v>1</v>
      </c>
      <c r="W1829" s="26"/>
    </row>
    <row r="1830" spans="1:23" x14ac:dyDescent="0.25">
      <c r="A1830" s="26" t="str">
        <f t="shared" si="334"/>
        <v>PREESCOLAR</v>
      </c>
      <c r="B1830" s="26" t="str">
        <f>"09PJN3565B"</f>
        <v>09PJN3565B</v>
      </c>
      <c r="C1830" s="26" t="str">
        <f>"LICEO INFANTIL MODERNO                                                                              "</f>
        <v xml:space="preserve">LICEO INFANTIL MODERNO                                                                              </v>
      </c>
      <c r="D1830" s="26" t="str">
        <f t="shared" si="341"/>
        <v>MATUTINO</v>
      </c>
      <c r="E1830" s="26" t="str">
        <f>"FALSTAFF ( ANTES INDEPENDENCIA ) NO. 268                                        "</f>
        <v xml:space="preserve">FALSTAFF ( ANTES INDEPENDENCIA ) NO. 268                                        </v>
      </c>
      <c r="F1830" s="26" t="str">
        <f>"LA NOPALERA                                                                                                                                 "</f>
        <v xml:space="preserve">LA NOPALERA                                                                                                                                 </v>
      </c>
      <c r="G1830" s="26" t="str">
        <f t="shared" si="340"/>
        <v xml:space="preserve">TLAHUAC                                                                         </v>
      </c>
      <c r="H1830" s="26" t="str">
        <f>"244"</f>
        <v>244</v>
      </c>
      <c r="I1830" s="26" t="str">
        <f t="shared" si="335"/>
        <v>00</v>
      </c>
      <c r="J1830" s="26" t="str">
        <f t="shared" si="339"/>
        <v xml:space="preserve">35 </v>
      </c>
      <c r="K1830" s="26" t="str">
        <f t="shared" si="337"/>
        <v>EP</v>
      </c>
      <c r="L1830" s="26" t="str">
        <f t="shared" si="342"/>
        <v>DGOSE</v>
      </c>
      <c r="M1830" s="26" t="str">
        <f t="shared" si="333"/>
        <v>PARTICULAR</v>
      </c>
      <c r="N1830" s="26">
        <v>39</v>
      </c>
      <c r="O1830" s="26">
        <v>24</v>
      </c>
      <c r="P1830" s="26">
        <v>15</v>
      </c>
      <c r="Q1830" s="26">
        <v>3</v>
      </c>
      <c r="R1830" s="26">
        <v>1</v>
      </c>
      <c r="S1830" s="26">
        <v>3</v>
      </c>
      <c r="T1830" s="26">
        <v>4</v>
      </c>
      <c r="U1830" s="26">
        <v>8</v>
      </c>
      <c r="V1830" s="26">
        <v>1</v>
      </c>
      <c r="W1830" s="26"/>
    </row>
    <row r="1831" spans="1:23" x14ac:dyDescent="0.25">
      <c r="A1831" s="26" t="str">
        <f t="shared" si="334"/>
        <v>PREESCOLAR</v>
      </c>
      <c r="B1831" s="26" t="str">
        <f>"09PJN3566A"</f>
        <v>09PJN3566A</v>
      </c>
      <c r="C1831" s="26" t="str">
        <f>"INSTITUT FRANCAIS IMKA                                                                              "</f>
        <v xml:space="preserve">INSTITUT FRANCAIS IMKA                                                                              </v>
      </c>
      <c r="D1831" s="26" t="str">
        <f t="shared" si="341"/>
        <v>MATUTINO</v>
      </c>
      <c r="E1831" s="26" t="str">
        <f>"MUCIO CLEMENTETI NO. 17                                                         "</f>
        <v xml:space="preserve">MUCIO CLEMENTETI NO. 17                                                         </v>
      </c>
      <c r="F1831" s="26" t="str">
        <f>"LA NOPALERA                                                                                                                                 "</f>
        <v xml:space="preserve">LA NOPALERA                                                                                                                                 </v>
      </c>
      <c r="G1831" s="26" t="str">
        <f t="shared" si="340"/>
        <v xml:space="preserve">TLAHUAC                                                                         </v>
      </c>
      <c r="H1831" s="26" t="str">
        <f>"244"</f>
        <v>244</v>
      </c>
      <c r="I1831" s="26" t="str">
        <f t="shared" si="335"/>
        <v>00</v>
      </c>
      <c r="J1831" s="26" t="str">
        <f t="shared" si="339"/>
        <v xml:space="preserve">35 </v>
      </c>
      <c r="K1831" s="26" t="str">
        <f t="shared" si="337"/>
        <v>EP</v>
      </c>
      <c r="L1831" s="26" t="str">
        <f t="shared" si="342"/>
        <v>DGOSE</v>
      </c>
      <c r="M1831" s="26" t="str">
        <f t="shared" si="333"/>
        <v>PARTICULAR</v>
      </c>
      <c r="N1831" s="26">
        <v>30</v>
      </c>
      <c r="O1831" s="26">
        <v>17</v>
      </c>
      <c r="P1831" s="26">
        <v>13</v>
      </c>
      <c r="Q1831" s="26">
        <v>3</v>
      </c>
      <c r="R1831" s="26">
        <v>1</v>
      </c>
      <c r="S1831" s="26">
        <v>3</v>
      </c>
      <c r="T1831" s="26">
        <v>6</v>
      </c>
      <c r="U1831" s="26">
        <v>10</v>
      </c>
      <c r="V1831" s="26">
        <v>1</v>
      </c>
      <c r="W1831" s="26"/>
    </row>
    <row r="1832" spans="1:23" x14ac:dyDescent="0.25">
      <c r="A1832" s="26" t="str">
        <f t="shared" si="334"/>
        <v>PREESCOLAR</v>
      </c>
      <c r="B1832" s="26" t="str">
        <f>"09PJN3567Z"</f>
        <v>09PJN3567Z</v>
      </c>
      <c r="C1832" s="26" t="str">
        <f>"LUDWIG VAN BEETHOVEN                                                                                "</f>
        <v xml:space="preserve">LUDWIG VAN BEETHOVEN                                                                                </v>
      </c>
      <c r="D1832" s="26" t="str">
        <f t="shared" si="341"/>
        <v>MATUTINO</v>
      </c>
      <c r="E1832" s="26" t="str">
        <f>"JOSE MARIA BECERRIL NO. 3                                                       "</f>
        <v xml:space="preserve">JOSE MARIA BECERRIL NO. 3                                                       </v>
      </c>
      <c r="F1832" s="26" t="str">
        <f>"GUADALUPE TLALTENCO                                                                                                                         "</f>
        <v xml:space="preserve">GUADALUPE TLALTENCO                                                                                                                         </v>
      </c>
      <c r="G1832" s="26" t="str">
        <f t="shared" si="340"/>
        <v xml:space="preserve">TLAHUAC                                                                         </v>
      </c>
      <c r="H1832" s="26" t="str">
        <f>"242"</f>
        <v>242</v>
      </c>
      <c r="I1832" s="26" t="str">
        <f t="shared" si="335"/>
        <v>00</v>
      </c>
      <c r="J1832" s="26" t="str">
        <f t="shared" si="339"/>
        <v xml:space="preserve">35 </v>
      </c>
      <c r="K1832" s="26" t="str">
        <f t="shared" si="337"/>
        <v>EP</v>
      </c>
      <c r="L1832" s="26" t="str">
        <f t="shared" si="342"/>
        <v>DGOSE</v>
      </c>
      <c r="M1832" s="26" t="str">
        <f t="shared" si="333"/>
        <v>PARTICULAR</v>
      </c>
      <c r="N1832" s="26">
        <v>35</v>
      </c>
      <c r="O1832" s="26">
        <v>19</v>
      </c>
      <c r="P1832" s="26">
        <v>16</v>
      </c>
      <c r="Q1832" s="26">
        <v>3</v>
      </c>
      <c r="R1832" s="26">
        <v>1</v>
      </c>
      <c r="S1832" s="26">
        <v>3</v>
      </c>
      <c r="T1832" s="26">
        <v>3</v>
      </c>
      <c r="U1832" s="26">
        <v>7</v>
      </c>
      <c r="V1832" s="26">
        <v>1</v>
      </c>
      <c r="W1832" s="26"/>
    </row>
    <row r="1833" spans="1:23" x14ac:dyDescent="0.25">
      <c r="A1833" s="26" t="str">
        <f t="shared" si="334"/>
        <v>PREESCOLAR</v>
      </c>
      <c r="B1833" s="26" t="str">
        <f>"09PJN3568Z"</f>
        <v>09PJN3568Z</v>
      </c>
      <c r="C1833" s="26" t="str">
        <f>"EL PEQUEÑO MUNDO                                                                                    "</f>
        <v xml:space="preserve">EL PEQUEÑO MUNDO                                                                                    </v>
      </c>
      <c r="D1833" s="26" t="str">
        <f t="shared" si="341"/>
        <v>MATUTINO</v>
      </c>
      <c r="E1833" s="26" t="str">
        <f>"ESCORPENA NO. 56                                                                "</f>
        <v xml:space="preserve">ESCORPENA NO. 56                                                                </v>
      </c>
      <c r="F1833" s="26" t="str">
        <f>"LOS OLIVOS                                                                                                                                  "</f>
        <v xml:space="preserve">LOS OLIVOS                                                                                                                                  </v>
      </c>
      <c r="G1833" s="26" t="str">
        <f t="shared" si="340"/>
        <v xml:space="preserve">TLAHUAC                                                                         </v>
      </c>
      <c r="H1833" s="26" t="str">
        <f>"244"</f>
        <v>244</v>
      </c>
      <c r="I1833" s="26" t="str">
        <f t="shared" si="335"/>
        <v>00</v>
      </c>
      <c r="J1833" s="26" t="str">
        <f t="shared" si="339"/>
        <v xml:space="preserve">35 </v>
      </c>
      <c r="K1833" s="26" t="str">
        <f t="shared" si="337"/>
        <v>EP</v>
      </c>
      <c r="L1833" s="26" t="str">
        <f t="shared" si="342"/>
        <v>DGOSE</v>
      </c>
      <c r="M1833" s="26" t="str">
        <f t="shared" si="333"/>
        <v>PARTICULAR</v>
      </c>
      <c r="N1833" s="26">
        <v>7</v>
      </c>
      <c r="O1833" s="26">
        <v>6</v>
      </c>
      <c r="P1833" s="26">
        <v>1</v>
      </c>
      <c r="Q1833" s="26">
        <v>3</v>
      </c>
      <c r="R1833" s="26">
        <v>1</v>
      </c>
      <c r="S1833" s="26">
        <v>2</v>
      </c>
      <c r="T1833" s="26">
        <v>0</v>
      </c>
      <c r="U1833" s="26">
        <v>3</v>
      </c>
      <c r="V1833" s="26">
        <v>1</v>
      </c>
      <c r="W1833" s="26"/>
    </row>
    <row r="1834" spans="1:23" x14ac:dyDescent="0.25">
      <c r="A1834" s="26" t="str">
        <f t="shared" si="334"/>
        <v>PREESCOLAR</v>
      </c>
      <c r="B1834" s="26" t="str">
        <f>"09PJN3570N"</f>
        <v>09PJN3570N</v>
      </c>
      <c r="C1834" s="26" t="str">
        <f>"INSTITUTO CULTURAL JOSE VASCONCELOS                                                                 "</f>
        <v xml:space="preserve">INSTITUTO CULTURAL JOSE VASCONCELOS                                                                 </v>
      </c>
      <c r="D1834" s="26" t="str">
        <f t="shared" si="341"/>
        <v>MATUTINO</v>
      </c>
      <c r="E1834" s="26" t="str">
        <f>"MARLIN NO. 28 L-6 Y MARLIN S/N L-4 M-109                                        "</f>
        <v xml:space="preserve">MARLIN NO. 28 L-6 Y MARLIN S/N L-4 M-109                                        </v>
      </c>
      <c r="F1834" s="26" t="str">
        <f>"DEL MAR                                                                                                                                     "</f>
        <v xml:space="preserve">DEL MAR                                                                                                                                     </v>
      </c>
      <c r="G1834" s="26" t="str">
        <f t="shared" si="340"/>
        <v xml:space="preserve">TLAHUAC                                                                         </v>
      </c>
      <c r="H1834" s="26" t="str">
        <f>"124"</f>
        <v>124</v>
      </c>
      <c r="I1834" s="26" t="str">
        <f t="shared" si="335"/>
        <v>00</v>
      </c>
      <c r="J1834" s="26" t="str">
        <f t="shared" si="339"/>
        <v xml:space="preserve">35 </v>
      </c>
      <c r="K1834" s="26" t="str">
        <f t="shared" si="337"/>
        <v>EP</v>
      </c>
      <c r="L1834" s="26" t="str">
        <f t="shared" si="342"/>
        <v>DGOSE</v>
      </c>
      <c r="M1834" s="26" t="str">
        <f t="shared" si="333"/>
        <v>PARTICULAR</v>
      </c>
      <c r="N1834" s="26">
        <v>64</v>
      </c>
      <c r="O1834" s="26">
        <v>31</v>
      </c>
      <c r="P1834" s="26">
        <v>33</v>
      </c>
      <c r="Q1834" s="26">
        <v>3</v>
      </c>
      <c r="R1834" s="26">
        <v>1</v>
      </c>
      <c r="S1834" s="26">
        <v>3</v>
      </c>
      <c r="T1834" s="26">
        <v>2</v>
      </c>
      <c r="U1834" s="26">
        <v>6</v>
      </c>
      <c r="V1834" s="26">
        <v>1</v>
      </c>
      <c r="W1834" s="26"/>
    </row>
    <row r="1835" spans="1:23" x14ac:dyDescent="0.25">
      <c r="A1835" s="26" t="str">
        <f t="shared" si="334"/>
        <v>PREESCOLAR</v>
      </c>
      <c r="B1835" s="26" t="str">
        <f>"09PJN3571M"</f>
        <v>09PJN3571M</v>
      </c>
      <c r="C1835" s="26" t="str">
        <f>"JARDIN DE NIÑOS Y NIÑAS GARABATOS                                                                   "</f>
        <v xml:space="preserve">JARDIN DE NIÑOS Y NIÑAS GARABATOS                                                                   </v>
      </c>
      <c r="D1835" s="26" t="str">
        <f t="shared" si="341"/>
        <v>MATUTINO</v>
      </c>
      <c r="E1835" s="26" t="str">
        <f>"PESCADO NO. 79 MZA. 34 LT. 19                                                   "</f>
        <v xml:space="preserve">PESCADO NO. 79 MZA. 34 LT. 19                                                   </v>
      </c>
      <c r="F1835" s="26" t="str">
        <f>"DEL MAR                                                                                                                                     "</f>
        <v xml:space="preserve">DEL MAR                                                                                                                                     </v>
      </c>
      <c r="G1835" s="26" t="str">
        <f t="shared" si="340"/>
        <v xml:space="preserve">TLAHUAC                                                                         </v>
      </c>
      <c r="H1835" s="26" t="str">
        <f>"124"</f>
        <v>124</v>
      </c>
      <c r="I1835" s="26" t="str">
        <f t="shared" si="335"/>
        <v>00</v>
      </c>
      <c r="J1835" s="26" t="str">
        <f t="shared" si="339"/>
        <v xml:space="preserve">35 </v>
      </c>
      <c r="K1835" s="26" t="str">
        <f t="shared" si="337"/>
        <v>EP</v>
      </c>
      <c r="L1835" s="26" t="str">
        <f t="shared" si="342"/>
        <v>DGOSE</v>
      </c>
      <c r="M1835" s="26" t="str">
        <f t="shared" si="333"/>
        <v>PARTICULAR</v>
      </c>
      <c r="N1835" s="26">
        <v>28</v>
      </c>
      <c r="O1835" s="26">
        <v>16</v>
      </c>
      <c r="P1835" s="26">
        <v>12</v>
      </c>
      <c r="Q1835" s="26">
        <v>3</v>
      </c>
      <c r="R1835" s="26">
        <v>1</v>
      </c>
      <c r="S1835" s="26">
        <v>3</v>
      </c>
      <c r="T1835" s="26">
        <v>0</v>
      </c>
      <c r="U1835" s="26">
        <v>4</v>
      </c>
      <c r="V1835" s="26">
        <v>1</v>
      </c>
      <c r="W1835" s="26"/>
    </row>
    <row r="1836" spans="1:23" x14ac:dyDescent="0.25">
      <c r="A1836" s="26" t="str">
        <f t="shared" si="334"/>
        <v>PREESCOLAR</v>
      </c>
      <c r="B1836" s="26" t="str">
        <f>"09PJN3580U"</f>
        <v>09PJN3580U</v>
      </c>
      <c r="C1836" s="26" t="str">
        <f>"JARDIN DE NIÑOS SHADDAY                                                                             "</f>
        <v xml:space="preserve">JARDIN DE NIÑOS SHADDAY                                                                             </v>
      </c>
      <c r="D1836" s="26" t="str">
        <f t="shared" si="341"/>
        <v>MATUTINO</v>
      </c>
      <c r="E1836" s="26" t="str">
        <f>"RET. 11 GENARO GARCIA NO. 10 GPO.19 E-32                                        "</f>
        <v xml:space="preserve">RET. 11 GENARO GARCIA NO. 10 GPO.19 E-32                                        </v>
      </c>
      <c r="F1836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1836" s="26" t="str">
        <f>"VENUSTIANO CARRANZA                                                             "</f>
        <v xml:space="preserve">VENUSTIANO CARRANZA                                                             </v>
      </c>
      <c r="H1836" s="26" t="str">
        <f>"096"</f>
        <v>096</v>
      </c>
      <c r="I1836" s="26" t="str">
        <f t="shared" si="335"/>
        <v>00</v>
      </c>
      <c r="J1836" s="26" t="str">
        <f>"33 "</f>
        <v xml:space="preserve">33 </v>
      </c>
      <c r="K1836" s="26" t="str">
        <f t="shared" si="337"/>
        <v>EP</v>
      </c>
      <c r="L1836" s="26" t="str">
        <f t="shared" si="342"/>
        <v>DGOSE</v>
      </c>
      <c r="M1836" s="26" t="str">
        <f t="shared" si="333"/>
        <v>PARTICULAR</v>
      </c>
      <c r="N1836" s="26">
        <v>23</v>
      </c>
      <c r="O1836" s="26">
        <v>14</v>
      </c>
      <c r="P1836" s="26">
        <v>9</v>
      </c>
      <c r="Q1836" s="26">
        <v>3</v>
      </c>
      <c r="R1836" s="26">
        <v>1</v>
      </c>
      <c r="S1836" s="26">
        <v>2</v>
      </c>
      <c r="T1836" s="26">
        <v>2</v>
      </c>
      <c r="U1836" s="26">
        <v>5</v>
      </c>
      <c r="V1836" s="26">
        <v>1</v>
      </c>
      <c r="W1836" s="26"/>
    </row>
    <row r="1837" spans="1:23" x14ac:dyDescent="0.25">
      <c r="A1837" s="26" t="str">
        <f t="shared" si="334"/>
        <v>PREESCOLAR</v>
      </c>
      <c r="B1837" s="26" t="str">
        <f>"09PJN3581T"</f>
        <v>09PJN3581T</v>
      </c>
      <c r="C1837" s="26" t="str">
        <f>"COLEGIO MONTE ROSA                                                                                  "</f>
        <v xml:space="preserve">COLEGIO MONTE ROSA                                                                                  </v>
      </c>
      <c r="D1837" s="26" t="str">
        <f t="shared" si="341"/>
        <v>MATUTINO</v>
      </c>
      <c r="E1837" s="26" t="str">
        <f>"GENARO GARCIA NO. 125                                                           "</f>
        <v xml:space="preserve">GENARO GARCIA NO. 125                                                           </v>
      </c>
      <c r="F1837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1837" s="26" t="str">
        <f>"VENUSTIANO CARRANZA                                                             "</f>
        <v xml:space="preserve">VENUSTIANO CARRANZA                                                             </v>
      </c>
      <c r="H1837" s="26" t="str">
        <f>"096"</f>
        <v>096</v>
      </c>
      <c r="I1837" s="26" t="str">
        <f t="shared" si="335"/>
        <v>00</v>
      </c>
      <c r="J1837" s="26" t="str">
        <f>"33 "</f>
        <v xml:space="preserve">33 </v>
      </c>
      <c r="K1837" s="26" t="str">
        <f t="shared" si="337"/>
        <v>EP</v>
      </c>
      <c r="L1837" s="26" t="str">
        <f t="shared" si="342"/>
        <v>DGOSE</v>
      </c>
      <c r="M1837" s="26" t="str">
        <f t="shared" si="333"/>
        <v>PARTICULAR</v>
      </c>
      <c r="N1837" s="26">
        <v>82</v>
      </c>
      <c r="O1837" s="26">
        <v>32</v>
      </c>
      <c r="P1837" s="26">
        <v>50</v>
      </c>
      <c r="Q1837" s="26">
        <v>6</v>
      </c>
      <c r="R1837" s="26">
        <v>1</v>
      </c>
      <c r="S1837" s="26">
        <v>3</v>
      </c>
      <c r="T1837" s="26">
        <v>5</v>
      </c>
      <c r="U1837" s="26">
        <v>9</v>
      </c>
      <c r="V1837" s="26">
        <v>1</v>
      </c>
      <c r="W1837" s="26"/>
    </row>
    <row r="1838" spans="1:23" x14ac:dyDescent="0.25">
      <c r="A1838" s="26" t="str">
        <f t="shared" si="334"/>
        <v>PREESCOLAR</v>
      </c>
      <c r="B1838" s="26" t="str">
        <f>"09PJN3582S"</f>
        <v>09PJN3582S</v>
      </c>
      <c r="C1838" s="26" t="str">
        <f>"JARDIN DE NIÑOS VIENA                                                                               "</f>
        <v xml:space="preserve">JARDIN DE NIÑOS VIENA                                                                               </v>
      </c>
      <c r="D1838" s="26" t="str">
        <f t="shared" si="341"/>
        <v>MATUTINO</v>
      </c>
      <c r="E1838" s="26" t="str">
        <f>"XINANTECATL NO. 93                                                              "</f>
        <v xml:space="preserve">XINANTECATL NO. 93                                                              </v>
      </c>
      <c r="F1838" s="26" t="str">
        <f>"ARENAL 3A SECCION                                                                                                                           "</f>
        <v xml:space="preserve">ARENAL 3A SECCION                                                                                                                           </v>
      </c>
      <c r="G1838" s="26" t="str">
        <f>"VENUSTIANO CARRANZA                                                             "</f>
        <v xml:space="preserve">VENUSTIANO CARRANZA                                                             </v>
      </c>
      <c r="H1838" s="26" t="str">
        <f>"161"</f>
        <v>161</v>
      </c>
      <c r="I1838" s="26" t="str">
        <f t="shared" si="335"/>
        <v>00</v>
      </c>
      <c r="J1838" s="26" t="str">
        <f>"33 "</f>
        <v xml:space="preserve">33 </v>
      </c>
      <c r="K1838" s="26" t="str">
        <f t="shared" si="337"/>
        <v>EP</v>
      </c>
      <c r="L1838" s="26" t="str">
        <f t="shared" si="342"/>
        <v>DGOSE</v>
      </c>
      <c r="M1838" s="26" t="str">
        <f t="shared" si="333"/>
        <v>PARTICULAR</v>
      </c>
      <c r="N1838" s="26">
        <v>59</v>
      </c>
      <c r="O1838" s="26">
        <v>28</v>
      </c>
      <c r="P1838" s="26">
        <v>31</v>
      </c>
      <c r="Q1838" s="26">
        <v>3</v>
      </c>
      <c r="R1838" s="26">
        <v>1</v>
      </c>
      <c r="S1838" s="26">
        <v>3</v>
      </c>
      <c r="T1838" s="26">
        <v>1</v>
      </c>
      <c r="U1838" s="26">
        <v>5</v>
      </c>
      <c r="V1838" s="26">
        <v>1</v>
      </c>
      <c r="W1838" s="26"/>
    </row>
    <row r="1839" spans="1:23" x14ac:dyDescent="0.25">
      <c r="A1839" s="26" t="str">
        <f t="shared" si="334"/>
        <v>PREESCOLAR</v>
      </c>
      <c r="B1839" s="26" t="str">
        <f>"09PJN3585P"</f>
        <v>09PJN3585P</v>
      </c>
      <c r="C1839" s="26" t="str">
        <f>"INSTITUTO PEDAGOGICO INFANTIL MEXICO                                                                "</f>
        <v xml:space="preserve">INSTITUTO PEDAGOGICO INFANTIL MEXICO                                                                </v>
      </c>
      <c r="D1839" s="26" t="str">
        <f t="shared" si="341"/>
        <v>MATUTINO</v>
      </c>
      <c r="E1839" s="26" t="str">
        <f>"PROCURADURIA GRAL. DE JUSTICIA NO. 234                                          "</f>
        <v xml:space="preserve">PROCURADURIA GRAL. DE JUSTICIA NO. 234                                          </v>
      </c>
      <c r="F1839" s="26" t="str">
        <f>"FEDERAL                                                                                                                                     "</f>
        <v xml:space="preserve">FEDERAL                                                                                                                                     </v>
      </c>
      <c r="G1839" s="26" t="str">
        <f>"VENUSTIANO CARRANZA                                                             "</f>
        <v xml:space="preserve">VENUSTIANO CARRANZA                                                             </v>
      </c>
      <c r="H1839" s="26" t="str">
        <f>"250"</f>
        <v>250</v>
      </c>
      <c r="I1839" s="26" t="str">
        <f t="shared" si="335"/>
        <v>00</v>
      </c>
      <c r="J1839" s="26" t="str">
        <f>"33 "</f>
        <v xml:space="preserve">33 </v>
      </c>
      <c r="K1839" s="26" t="str">
        <f t="shared" si="337"/>
        <v>EP</v>
      </c>
      <c r="L1839" s="26" t="str">
        <f t="shared" si="342"/>
        <v>DGOSE</v>
      </c>
      <c r="M1839" s="26" t="str">
        <f t="shared" si="333"/>
        <v>PARTICULAR</v>
      </c>
      <c r="N1839" s="26">
        <v>53</v>
      </c>
      <c r="O1839" s="26">
        <v>35</v>
      </c>
      <c r="P1839" s="26">
        <v>18</v>
      </c>
      <c r="Q1839" s="26">
        <v>3</v>
      </c>
      <c r="R1839" s="26">
        <v>1</v>
      </c>
      <c r="S1839" s="26">
        <v>2</v>
      </c>
      <c r="T1839" s="26">
        <v>4</v>
      </c>
      <c r="U1839" s="26">
        <v>7</v>
      </c>
      <c r="V1839" s="26">
        <v>1</v>
      </c>
      <c r="W1839" s="26"/>
    </row>
    <row r="1840" spans="1:23" x14ac:dyDescent="0.25">
      <c r="A1840" s="26" t="str">
        <f t="shared" si="334"/>
        <v>PREESCOLAR</v>
      </c>
      <c r="B1840" s="26" t="str">
        <f>"09PJN3588M"</f>
        <v>09PJN3588M</v>
      </c>
      <c r="C1840" s="26" t="str">
        <f>"CARRUSEL MAGICO                                                                                     "</f>
        <v xml:space="preserve">CARRUSEL MAGICO                                                                                     </v>
      </c>
      <c r="D1840" s="26" t="str">
        <f t="shared" si="341"/>
        <v>MATUTINO</v>
      </c>
      <c r="E1840" s="26" t="str">
        <f>"PINOS No. 41                                                                    "</f>
        <v xml:space="preserve">PINOS No. 41                                                                    </v>
      </c>
      <c r="F1840" s="26" t="str">
        <f>"DEL BOSQUE                                                                                                                                  "</f>
        <v xml:space="preserve">DEL BOSQUE                                                                                                                                  </v>
      </c>
      <c r="G1840" s="26" t="str">
        <f>"GUSTAVO A. MADERO                                                               "</f>
        <v xml:space="preserve">GUSTAVO A. MADERO                                                               </v>
      </c>
      <c r="H1840" s="26" t="str">
        <f>"227"</f>
        <v>227</v>
      </c>
      <c r="I1840" s="26" t="str">
        <f t="shared" si="335"/>
        <v>00</v>
      </c>
      <c r="J1840" s="26" t="str">
        <f>"32 "</f>
        <v xml:space="preserve">32 </v>
      </c>
      <c r="K1840" s="26" t="str">
        <f t="shared" si="337"/>
        <v>EP</v>
      </c>
      <c r="L1840" s="26" t="str">
        <f t="shared" si="342"/>
        <v>DGOSE</v>
      </c>
      <c r="M1840" s="26" t="str">
        <f t="shared" si="333"/>
        <v>PARTICULAR</v>
      </c>
      <c r="N1840" s="26">
        <v>38</v>
      </c>
      <c r="O1840" s="26">
        <v>16</v>
      </c>
      <c r="P1840" s="26">
        <v>22</v>
      </c>
      <c r="Q1840" s="26">
        <v>3</v>
      </c>
      <c r="R1840" s="26">
        <v>1</v>
      </c>
      <c r="S1840" s="26">
        <v>3</v>
      </c>
      <c r="T1840" s="26">
        <v>1</v>
      </c>
      <c r="U1840" s="26">
        <v>5</v>
      </c>
      <c r="V1840" s="26">
        <v>1</v>
      </c>
      <c r="W1840" s="26"/>
    </row>
    <row r="1841" spans="1:23" x14ac:dyDescent="0.25">
      <c r="A1841" s="26" t="str">
        <f t="shared" si="334"/>
        <v>PREESCOLAR</v>
      </c>
      <c r="B1841" s="26" t="str">
        <f>"09PJN3593Y"</f>
        <v>09PJN3593Y</v>
      </c>
      <c r="C1841" s="26" t="str">
        <f>"INSTITUTO PEDAGÓGICO EMMA GODOY                                                                     "</f>
        <v xml:space="preserve">INSTITUTO PEDAGÓGICO EMMA GODOY                                                                     </v>
      </c>
      <c r="D1841" s="26" t="str">
        <f t="shared" si="341"/>
        <v>MATUTINO</v>
      </c>
      <c r="E1841" s="26" t="str">
        <f>"ESPEJO DE AGUA NO. 1                                                            "</f>
        <v xml:space="preserve">ESPEJO DE AGUA NO. 1                                                            </v>
      </c>
      <c r="F1841" s="26" t="str">
        <f>"IZTACALCO                                                                                                                                   "</f>
        <v xml:space="preserve">IZTACALCO                                                                                                                                   </v>
      </c>
      <c r="G1841" s="26" t="str">
        <f>"IZTACALCO                                                                       "</f>
        <v xml:space="preserve">IZTACALCO                                                                       </v>
      </c>
      <c r="H1841" s="26" t="str">
        <f>"236"</f>
        <v>236</v>
      </c>
      <c r="I1841" s="26" t="str">
        <f t="shared" si="335"/>
        <v>00</v>
      </c>
      <c r="J1841" s="26" t="str">
        <f>"33 "</f>
        <v xml:space="preserve">33 </v>
      </c>
      <c r="K1841" s="26" t="str">
        <f t="shared" si="337"/>
        <v>EP</v>
      </c>
      <c r="L1841" s="26" t="str">
        <f t="shared" si="342"/>
        <v>DGOSE</v>
      </c>
      <c r="M1841" s="26" t="str">
        <f t="shared" si="333"/>
        <v>PARTICULAR</v>
      </c>
      <c r="N1841" s="26">
        <v>38</v>
      </c>
      <c r="O1841" s="26">
        <v>23</v>
      </c>
      <c r="P1841" s="26">
        <v>15</v>
      </c>
      <c r="Q1841" s="26">
        <v>3</v>
      </c>
      <c r="R1841" s="26">
        <v>1</v>
      </c>
      <c r="S1841" s="26">
        <v>2</v>
      </c>
      <c r="T1841" s="26">
        <v>6</v>
      </c>
      <c r="U1841" s="26">
        <v>9</v>
      </c>
      <c r="V1841" s="26">
        <v>1</v>
      </c>
      <c r="W1841" s="26"/>
    </row>
    <row r="1842" spans="1:23" x14ac:dyDescent="0.25">
      <c r="A1842" s="26" t="str">
        <f t="shared" si="334"/>
        <v>PREESCOLAR</v>
      </c>
      <c r="B1842" s="26" t="str">
        <f>"09PJN3594X"</f>
        <v>09PJN3594X</v>
      </c>
      <c r="C1842" s="26" t="str">
        <f>"COLEGIO IRLANDÉS  KILKENNY                                                                          "</f>
        <v xml:space="preserve">COLEGIO IRLANDÉS  KILKENNY                                                                          </v>
      </c>
      <c r="D1842" s="26" t="str">
        <f t="shared" si="341"/>
        <v>MATUTINO</v>
      </c>
      <c r="E1842" s="26" t="str">
        <f>"SUCRE NO. 80                                                                    "</f>
        <v xml:space="preserve">SUCRE NO. 80                                                                    </v>
      </c>
      <c r="F1842" s="26" t="str">
        <f>"MODERNA                                                                                                                                     "</f>
        <v xml:space="preserve">MODERNA                                                                                                                                     </v>
      </c>
      <c r="G1842" s="26" t="str">
        <f>"BENITO JUAREZ                                                                   "</f>
        <v xml:space="preserve">BENITO JUAREZ                                                                   </v>
      </c>
      <c r="H1842" s="26" t="str">
        <f>"029"</f>
        <v>029</v>
      </c>
      <c r="I1842" s="26" t="str">
        <f t="shared" si="335"/>
        <v>00</v>
      </c>
      <c r="J1842" s="26" t="str">
        <f>"33 "</f>
        <v xml:space="preserve">33 </v>
      </c>
      <c r="K1842" s="26" t="str">
        <f>"NP"</f>
        <v>NP</v>
      </c>
      <c r="L1842" s="26" t="str">
        <f t="shared" si="342"/>
        <v>DGOSE</v>
      </c>
      <c r="M1842" s="26" t="str">
        <f t="shared" si="333"/>
        <v>PARTICULAR</v>
      </c>
      <c r="N1842" s="26">
        <v>5</v>
      </c>
      <c r="O1842" s="26">
        <v>0</v>
      </c>
      <c r="P1842" s="26">
        <v>5</v>
      </c>
      <c r="Q1842" s="26">
        <v>1</v>
      </c>
      <c r="R1842" s="26">
        <v>1</v>
      </c>
      <c r="S1842" s="26">
        <v>1</v>
      </c>
      <c r="T1842" s="26">
        <v>4</v>
      </c>
      <c r="U1842" s="26">
        <v>6</v>
      </c>
      <c r="V1842" s="26">
        <v>1</v>
      </c>
      <c r="W1842" s="26"/>
    </row>
    <row r="1843" spans="1:23" x14ac:dyDescent="0.25">
      <c r="A1843" s="26" t="str">
        <f t="shared" si="334"/>
        <v>PREESCOLAR</v>
      </c>
      <c r="B1843" s="26" t="str">
        <f>"09PJN3597U"</f>
        <v>09PJN3597U</v>
      </c>
      <c r="C1843" s="26" t="str">
        <f>"ANDERSEN HANS CHRISTIAN                                                                             "</f>
        <v xml:space="preserve">ANDERSEN HANS CHRISTIAN                                                                             </v>
      </c>
      <c r="D1843" s="26" t="str">
        <f t="shared" si="341"/>
        <v>MATUTINO</v>
      </c>
      <c r="E1843" s="26" t="str">
        <f>"AV. DEL MAR NO. 145                                                             "</f>
        <v xml:space="preserve">AV. DEL MAR NO. 145                                                             </v>
      </c>
      <c r="F1843" s="26" t="str">
        <f>"DEL MAR                                                                                                                                     "</f>
        <v xml:space="preserve">DEL MAR                                                                                                                                     </v>
      </c>
      <c r="G1843" s="26" t="str">
        <f>"TLAHUAC                                                                         "</f>
        <v xml:space="preserve">TLAHUAC                                                                         </v>
      </c>
      <c r="H1843" s="26" t="str">
        <f>"124"</f>
        <v>124</v>
      </c>
      <c r="I1843" s="26" t="str">
        <f t="shared" si="335"/>
        <v>00</v>
      </c>
      <c r="J1843" s="26" t="str">
        <f>"35 "</f>
        <v xml:space="preserve">35 </v>
      </c>
      <c r="K1843" s="26" t="str">
        <f t="shared" ref="K1843:K1906" si="343">"EP"</f>
        <v>EP</v>
      </c>
      <c r="L1843" s="26" t="str">
        <f t="shared" si="342"/>
        <v>DGOSE</v>
      </c>
      <c r="M1843" s="26" t="str">
        <f t="shared" si="333"/>
        <v>PARTICULAR</v>
      </c>
      <c r="N1843" s="26">
        <v>15</v>
      </c>
      <c r="O1843" s="26">
        <v>6</v>
      </c>
      <c r="P1843" s="26">
        <v>9</v>
      </c>
      <c r="Q1843" s="26">
        <v>3</v>
      </c>
      <c r="R1843" s="26">
        <v>1</v>
      </c>
      <c r="S1843" s="26">
        <v>2</v>
      </c>
      <c r="T1843" s="26">
        <v>0</v>
      </c>
      <c r="U1843" s="26">
        <v>3</v>
      </c>
      <c r="V1843" s="26">
        <v>1</v>
      </c>
      <c r="W1843" s="26"/>
    </row>
    <row r="1844" spans="1:23" x14ac:dyDescent="0.25">
      <c r="A1844" s="26" t="str">
        <f t="shared" si="334"/>
        <v>PREESCOLAR</v>
      </c>
      <c r="B1844" s="26" t="str">
        <f>"09PJN3598T"</f>
        <v>09PJN3598T</v>
      </c>
      <c r="C1844" s="26" t="str">
        <f>"SUNRISE HILLS CDI                                                                                   "</f>
        <v xml:space="preserve">SUNRISE HILLS CDI                                                                                   </v>
      </c>
      <c r="D1844" s="26" t="str">
        <f t="shared" si="341"/>
        <v>MATUTINO</v>
      </c>
      <c r="E1844" s="26" t="str">
        <f>"HUEHUETAN MZA. 140 NO.128                                                       "</f>
        <v xml:space="preserve">HUEHUETAN MZA. 140 NO.128                                                       </v>
      </c>
      <c r="F1844" s="26" t="str">
        <f>"LOMAS DE PADIERNA                                                                                                                           "</f>
        <v xml:space="preserve">LOMAS DE PADIERNA                                                                                                                           </v>
      </c>
      <c r="G1844" s="26" t="str">
        <f>"TLALPAN                                                                         "</f>
        <v xml:space="preserve">TLALPAN                                                                         </v>
      </c>
      <c r="H1844" s="26" t="str">
        <f>"147"</f>
        <v>147</v>
      </c>
      <c r="I1844" s="26" t="str">
        <f t="shared" si="335"/>
        <v>00</v>
      </c>
      <c r="J1844" s="26" t="str">
        <f>"35 "</f>
        <v xml:space="preserve">35 </v>
      </c>
      <c r="K1844" s="26" t="str">
        <f t="shared" si="343"/>
        <v>EP</v>
      </c>
      <c r="L1844" s="26" t="str">
        <f t="shared" si="342"/>
        <v>DGOSE</v>
      </c>
      <c r="M1844" s="26" t="str">
        <f t="shared" si="333"/>
        <v>PARTICULAR</v>
      </c>
      <c r="N1844" s="26">
        <v>40</v>
      </c>
      <c r="O1844" s="26">
        <v>27</v>
      </c>
      <c r="P1844" s="26">
        <v>13</v>
      </c>
      <c r="Q1844" s="26">
        <v>3</v>
      </c>
      <c r="R1844" s="26">
        <v>1</v>
      </c>
      <c r="S1844" s="26">
        <v>3</v>
      </c>
      <c r="T1844" s="26">
        <v>8</v>
      </c>
      <c r="U1844" s="26">
        <v>12</v>
      </c>
      <c r="V1844" s="26">
        <v>1</v>
      </c>
      <c r="W1844" s="26"/>
    </row>
    <row r="1845" spans="1:23" x14ac:dyDescent="0.25">
      <c r="A1845" s="26" t="str">
        <f t="shared" si="334"/>
        <v>PREESCOLAR</v>
      </c>
      <c r="B1845" s="26" t="str">
        <f>"09PJN3599S"</f>
        <v>09PJN3599S</v>
      </c>
      <c r="C1845" s="26" t="str">
        <f>"SEMILLITAS DEL INSTITUTO INGLES MEXICANO                                                            "</f>
        <v xml:space="preserve">SEMILLITAS DEL INSTITUTO INGLES MEXICANO                                                            </v>
      </c>
      <c r="D1845" s="26" t="str">
        <f t="shared" si="341"/>
        <v>MATUTINO</v>
      </c>
      <c r="E1845" s="26" t="str">
        <f>"RANCHO DEL VERGEL NO. 130                                                       "</f>
        <v xml:space="preserve">RANCHO DEL VERGEL NO. 130                                                       </v>
      </c>
      <c r="F1845" s="26" t="str">
        <f>"PRADO COAPA                                                                                                                                 "</f>
        <v xml:space="preserve">PRADO COAPA                                                                                                                                 </v>
      </c>
      <c r="G1845" s="26" t="str">
        <f>"TLALPAN                                                                         "</f>
        <v xml:space="preserve">TLALPAN                                                                         </v>
      </c>
      <c r="H1845" s="26" t="str">
        <f>"050"</f>
        <v>050</v>
      </c>
      <c r="I1845" s="26" t="str">
        <f t="shared" si="335"/>
        <v>00</v>
      </c>
      <c r="J1845" s="26" t="str">
        <f>"35 "</f>
        <v xml:space="preserve">35 </v>
      </c>
      <c r="K1845" s="26" t="str">
        <f t="shared" si="343"/>
        <v>EP</v>
      </c>
      <c r="L1845" s="26" t="str">
        <f t="shared" si="342"/>
        <v>DGOSE</v>
      </c>
      <c r="M1845" s="26" t="str">
        <f t="shared" si="333"/>
        <v>PARTICULAR</v>
      </c>
      <c r="N1845" s="26">
        <v>70</v>
      </c>
      <c r="O1845" s="26">
        <v>45</v>
      </c>
      <c r="P1845" s="26">
        <v>25</v>
      </c>
      <c r="Q1845" s="26">
        <v>4</v>
      </c>
      <c r="R1845" s="26">
        <v>1</v>
      </c>
      <c r="S1845" s="26">
        <v>4</v>
      </c>
      <c r="T1845" s="26">
        <v>12</v>
      </c>
      <c r="U1845" s="26">
        <v>17</v>
      </c>
      <c r="V1845" s="26">
        <v>1</v>
      </c>
      <c r="W1845" s="26"/>
    </row>
    <row r="1846" spans="1:23" x14ac:dyDescent="0.25">
      <c r="A1846" s="26" t="str">
        <f t="shared" si="334"/>
        <v>PREESCOLAR</v>
      </c>
      <c r="B1846" s="26" t="str">
        <f>"09PJN3600R"</f>
        <v>09PJN3600R</v>
      </c>
      <c r="C1846" s="26" t="str">
        <f>"COMUNIDAD ESTUDIANTIL ANDERSON                                                                      "</f>
        <v xml:space="preserve">COMUNIDAD ESTUDIANTIL ANDERSON                                                                      </v>
      </c>
      <c r="D1846" s="26" t="str">
        <f t="shared" si="341"/>
        <v>MATUTINO</v>
      </c>
      <c r="E1846" s="26" t="str">
        <f>"CACAHUATALES No. 42                                                             "</f>
        <v xml:space="preserve">CACAHUATALES No. 42                                                             </v>
      </c>
      <c r="F1846" s="26" t="str">
        <f>"GRANJAS COAPA                                                                                                                               "</f>
        <v xml:space="preserve">GRANJAS COAPA                                                                                                                               </v>
      </c>
      <c r="G1846" s="26" t="str">
        <f>"TLALPAN                                                                         "</f>
        <v xml:space="preserve">TLALPAN                                                                         </v>
      </c>
      <c r="H1846" s="26" t="str">
        <f>"220"</f>
        <v>220</v>
      </c>
      <c r="I1846" s="26" t="str">
        <f t="shared" si="335"/>
        <v>00</v>
      </c>
      <c r="J1846" s="26" t="str">
        <f>"35 "</f>
        <v xml:space="preserve">35 </v>
      </c>
      <c r="K1846" s="26" t="str">
        <f t="shared" si="343"/>
        <v>EP</v>
      </c>
      <c r="L1846" s="26" t="str">
        <f t="shared" si="342"/>
        <v>DGOSE</v>
      </c>
      <c r="M1846" s="26" t="str">
        <f t="shared" si="333"/>
        <v>PARTICULAR</v>
      </c>
      <c r="N1846" s="26">
        <v>47</v>
      </c>
      <c r="O1846" s="26">
        <v>19</v>
      </c>
      <c r="P1846" s="26">
        <v>28</v>
      </c>
      <c r="Q1846" s="26">
        <v>3</v>
      </c>
      <c r="R1846" s="26">
        <v>1</v>
      </c>
      <c r="S1846" s="26">
        <v>3</v>
      </c>
      <c r="T1846" s="26">
        <v>5</v>
      </c>
      <c r="U1846" s="26">
        <v>9</v>
      </c>
      <c r="V1846" s="26">
        <v>1</v>
      </c>
      <c r="W1846" s="26"/>
    </row>
    <row r="1847" spans="1:23" x14ac:dyDescent="0.25">
      <c r="A1847" s="26" t="str">
        <f t="shared" si="334"/>
        <v>PREESCOLAR</v>
      </c>
      <c r="B1847" s="26" t="str">
        <f>"09PJN3603O"</f>
        <v>09PJN3603O</v>
      </c>
      <c r="C1847" s="26" t="str">
        <f>"JEAN PIAGET                                                                                         "</f>
        <v xml:space="preserve">JEAN PIAGET                                                                                         </v>
      </c>
      <c r="D1847" s="26" t="str">
        <f t="shared" si="341"/>
        <v>MATUTINO</v>
      </c>
      <c r="E1847" s="26" t="str">
        <f>"CAMINO VIEJO A MIXCOAC NO. 292 (ANT. 17)                                        "</f>
        <v xml:space="preserve">CAMINO VIEJO A MIXCOAC NO. 292 (ANT. 17)                                        </v>
      </c>
      <c r="F1847" s="26" t="str">
        <f>"SAN BARTOLO AMEYALCO                                                                                                                        "</f>
        <v xml:space="preserve">SAN BARTOLO AMEYALCO                                                                                                                        </v>
      </c>
      <c r="G1847" s="26" t="str">
        <f>"ALVARO OBREGON                                                                  "</f>
        <v xml:space="preserve">ALVARO OBREGON                                                                  </v>
      </c>
      <c r="H1847" s="26" t="str">
        <f>"175"</f>
        <v>175</v>
      </c>
      <c r="I1847" s="26" t="str">
        <f t="shared" si="335"/>
        <v>00</v>
      </c>
      <c r="J1847" s="26" t="str">
        <f>"33 "</f>
        <v xml:space="preserve">33 </v>
      </c>
      <c r="K1847" s="26" t="str">
        <f t="shared" si="343"/>
        <v>EP</v>
      </c>
      <c r="L1847" s="26" t="str">
        <f t="shared" si="342"/>
        <v>DGOSE</v>
      </c>
      <c r="M1847" s="26" t="str">
        <f t="shared" si="333"/>
        <v>PARTICULAR</v>
      </c>
      <c r="N1847" s="26">
        <v>27</v>
      </c>
      <c r="O1847" s="26">
        <v>15</v>
      </c>
      <c r="P1847" s="26">
        <v>12</v>
      </c>
      <c r="Q1847" s="26">
        <v>3</v>
      </c>
      <c r="R1847" s="26">
        <v>1</v>
      </c>
      <c r="S1847" s="26">
        <v>3</v>
      </c>
      <c r="T1847" s="26">
        <v>2</v>
      </c>
      <c r="U1847" s="26">
        <v>6</v>
      </c>
      <c r="V1847" s="26">
        <v>1</v>
      </c>
      <c r="W1847" s="26"/>
    </row>
    <row r="1848" spans="1:23" x14ac:dyDescent="0.25">
      <c r="A1848" s="26" t="str">
        <f t="shared" si="334"/>
        <v>PREESCOLAR</v>
      </c>
      <c r="B1848" s="26" t="str">
        <f>"09PJN3606L"</f>
        <v>09PJN3606L</v>
      </c>
      <c r="C1848" s="26" t="str">
        <f>"INSTITUTO PSICOPEDAGOGICO DEL BOSQUE                                                                "</f>
        <v xml:space="preserve">INSTITUTO PSICOPEDAGOGICO DEL BOSQUE                                                                </v>
      </c>
      <c r="D1848" s="26" t="str">
        <f t="shared" si="341"/>
        <v>MATUTINO</v>
      </c>
      <c r="E1848" s="26" t="str">
        <f>"PRIVADA DE VISTA HERMOSA NO.12                                                  "</f>
        <v xml:space="preserve">PRIVADA DE VISTA HERMOSA NO.12                                                  </v>
      </c>
      <c r="F1848" s="26" t="str">
        <f>"SANTA ROSA XOCHIAC                                                                                                                          "</f>
        <v xml:space="preserve">SANTA ROSA XOCHIAC                                                                                                                          </v>
      </c>
      <c r="G1848" s="26" t="str">
        <f>"ALVARO OBREGON                                                                  "</f>
        <v xml:space="preserve">ALVARO OBREGON                                                                  </v>
      </c>
      <c r="H1848" s="26" t="str">
        <f>"175"</f>
        <v>175</v>
      </c>
      <c r="I1848" s="26" t="str">
        <f t="shared" si="335"/>
        <v>00</v>
      </c>
      <c r="J1848" s="26" t="str">
        <f>"33 "</f>
        <v xml:space="preserve">33 </v>
      </c>
      <c r="K1848" s="26" t="str">
        <f t="shared" si="343"/>
        <v>EP</v>
      </c>
      <c r="L1848" s="26" t="str">
        <f t="shared" si="342"/>
        <v>DGOSE</v>
      </c>
      <c r="M1848" s="26" t="str">
        <f t="shared" si="333"/>
        <v>PARTICULAR</v>
      </c>
      <c r="N1848" s="26">
        <v>5</v>
      </c>
      <c r="O1848" s="26">
        <v>1</v>
      </c>
      <c r="P1848" s="26">
        <v>4</v>
      </c>
      <c r="Q1848" s="26">
        <v>3</v>
      </c>
      <c r="R1848" s="26">
        <v>1</v>
      </c>
      <c r="S1848" s="26">
        <v>2</v>
      </c>
      <c r="T1848" s="26">
        <v>4</v>
      </c>
      <c r="U1848" s="26">
        <v>7</v>
      </c>
      <c r="V1848" s="26">
        <v>1</v>
      </c>
      <c r="W1848" s="26"/>
    </row>
    <row r="1849" spans="1:23" x14ac:dyDescent="0.25">
      <c r="A1849" s="26" t="str">
        <f t="shared" si="334"/>
        <v>PREESCOLAR</v>
      </c>
      <c r="B1849" s="26" t="str">
        <f>"09PJN3607K"</f>
        <v>09PJN3607K</v>
      </c>
      <c r="C1849" s="26" t="str">
        <f>"HEROES                                                                                              "</f>
        <v xml:space="preserve">HEROES                                                                                              </v>
      </c>
      <c r="D1849" s="26" t="str">
        <f t="shared" si="341"/>
        <v>MATUTINO</v>
      </c>
      <c r="E1849" s="26" t="str">
        <f>"MIGUEL ANGEL DE QUEVEDO NO. 426                                                 "</f>
        <v xml:space="preserve">MIGUEL ANGEL DE QUEVEDO NO. 426                                                 </v>
      </c>
      <c r="F1849" s="26" t="str">
        <f>"SANTA CATARINA                                                                                                                              "</f>
        <v xml:space="preserve">SANTA CATARINA                                                                                                                              </v>
      </c>
      <c r="G1849" s="26" t="str">
        <f>"COYOACAN                                                                        "</f>
        <v xml:space="preserve">COYOACAN                                                                        </v>
      </c>
      <c r="H1849" s="26" t="str">
        <f>"137"</f>
        <v>137</v>
      </c>
      <c r="I1849" s="26" t="str">
        <f t="shared" si="335"/>
        <v>00</v>
      </c>
      <c r="J1849" s="26" t="str">
        <f>"35 "</f>
        <v xml:space="preserve">35 </v>
      </c>
      <c r="K1849" s="26" t="str">
        <f t="shared" si="343"/>
        <v>EP</v>
      </c>
      <c r="L1849" s="26" t="str">
        <f t="shared" si="342"/>
        <v>DGOSE</v>
      </c>
      <c r="M1849" s="26" t="str">
        <f t="shared" si="333"/>
        <v>PARTICULAR</v>
      </c>
      <c r="N1849" s="26">
        <v>47</v>
      </c>
      <c r="O1849" s="26">
        <v>25</v>
      </c>
      <c r="P1849" s="26">
        <v>22</v>
      </c>
      <c r="Q1849" s="26">
        <v>3</v>
      </c>
      <c r="R1849" s="26">
        <v>1</v>
      </c>
      <c r="S1849" s="26">
        <v>3</v>
      </c>
      <c r="T1849" s="26">
        <v>8</v>
      </c>
      <c r="U1849" s="26">
        <v>12</v>
      </c>
      <c r="V1849" s="26">
        <v>1</v>
      </c>
      <c r="W1849" s="26"/>
    </row>
    <row r="1850" spans="1:23" x14ac:dyDescent="0.25">
      <c r="A1850" s="26" t="str">
        <f t="shared" si="334"/>
        <v>PREESCOLAR</v>
      </c>
      <c r="B1850" s="26" t="str">
        <f>"09PJN3615T"</f>
        <v>09PJN3615T</v>
      </c>
      <c r="C1850" s="26" t="str">
        <f>"CENTRO DE DESARROLLO INFANTIL INTEGRAL GABRIELA MISTRAL                                             "</f>
        <v xml:space="preserve">CENTRO DE DESARROLLO INFANTIL INTEGRAL GABRIELA MISTRAL                                             </v>
      </c>
      <c r="D1850" s="26" t="str">
        <f t="shared" si="341"/>
        <v>MATUTINO</v>
      </c>
      <c r="E1850" s="26" t="str">
        <f>"NORTE 15-A NO. 5262                                                             "</f>
        <v xml:space="preserve">NORTE 15-A NO. 5262                                                             </v>
      </c>
      <c r="F1850" s="26" t="str">
        <f>"NUEVA VALLEJO                                                                                                                               "</f>
        <v xml:space="preserve">NUEVA VALLEJO                                                                                                                               </v>
      </c>
      <c r="G1850" s="26" t="str">
        <f t="shared" ref="G1850:G1858" si="344">"GUSTAVO A. MADERO                                                               "</f>
        <v xml:space="preserve">GUSTAVO A. MADERO                                                               </v>
      </c>
      <c r="H1850" s="26" t="str">
        <f>"197"</f>
        <v>197</v>
      </c>
      <c r="I1850" s="26" t="str">
        <f t="shared" si="335"/>
        <v>00</v>
      </c>
      <c r="J1850" s="26" t="str">
        <f t="shared" ref="J1850:J1862" si="345">"32 "</f>
        <v xml:space="preserve">32 </v>
      </c>
      <c r="K1850" s="26" t="str">
        <f t="shared" si="343"/>
        <v>EP</v>
      </c>
      <c r="L1850" s="26" t="str">
        <f t="shared" si="342"/>
        <v>DGOSE</v>
      </c>
      <c r="M1850" s="26" t="str">
        <f t="shared" si="333"/>
        <v>PARTICULAR</v>
      </c>
      <c r="N1850" s="26">
        <v>12</v>
      </c>
      <c r="O1850" s="26">
        <v>10</v>
      </c>
      <c r="P1850" s="26">
        <v>2</v>
      </c>
      <c r="Q1850" s="26">
        <v>3</v>
      </c>
      <c r="R1850" s="26">
        <v>1</v>
      </c>
      <c r="S1850" s="26">
        <v>3</v>
      </c>
      <c r="T1850" s="26">
        <v>0</v>
      </c>
      <c r="U1850" s="26">
        <v>4</v>
      </c>
      <c r="V1850" s="26">
        <v>1</v>
      </c>
      <c r="W1850" s="26"/>
    </row>
    <row r="1851" spans="1:23" x14ac:dyDescent="0.25">
      <c r="A1851" s="26" t="str">
        <f t="shared" si="334"/>
        <v>PREESCOLAR</v>
      </c>
      <c r="B1851" s="26" t="str">
        <f>"09PJN3617R"</f>
        <v>09PJN3617R</v>
      </c>
      <c r="C1851" s="26" t="str">
        <f>"COLEGIO GARCÍA HOOTCH KINDERGARTEN                                                                  "</f>
        <v xml:space="preserve">COLEGIO GARCÍA HOOTCH KINDERGARTEN                                                                  </v>
      </c>
      <c r="D1851" s="26" t="str">
        <f t="shared" si="341"/>
        <v>MATUTINO</v>
      </c>
      <c r="E1851" s="26" t="str">
        <f>"GRANATE NO. 24                                                                  "</f>
        <v xml:space="preserve">GRANATE NO. 24                                                                  </v>
      </c>
      <c r="F1851" s="26" t="str">
        <f>"ESTRELLA                                                                                                                                    "</f>
        <v xml:space="preserve">ESTRELLA                                                                                                                                    </v>
      </c>
      <c r="G1851" s="26" t="str">
        <f t="shared" si="344"/>
        <v xml:space="preserve">GUSTAVO A. MADERO                                                               </v>
      </c>
      <c r="H1851" s="26" t="str">
        <f>"177"</f>
        <v>177</v>
      </c>
      <c r="I1851" s="26" t="str">
        <f t="shared" si="335"/>
        <v>00</v>
      </c>
      <c r="J1851" s="26" t="str">
        <f t="shared" si="345"/>
        <v xml:space="preserve">32 </v>
      </c>
      <c r="K1851" s="26" t="str">
        <f t="shared" si="343"/>
        <v>EP</v>
      </c>
      <c r="L1851" s="26" t="str">
        <f t="shared" si="342"/>
        <v>DGOSE</v>
      </c>
      <c r="M1851" s="26" t="str">
        <f t="shared" si="333"/>
        <v>PARTICULAR</v>
      </c>
      <c r="N1851" s="26">
        <v>72</v>
      </c>
      <c r="O1851" s="26">
        <v>37</v>
      </c>
      <c r="P1851" s="26">
        <v>35</v>
      </c>
      <c r="Q1851" s="26">
        <v>3</v>
      </c>
      <c r="R1851" s="26">
        <v>1</v>
      </c>
      <c r="S1851" s="26">
        <v>2</v>
      </c>
      <c r="T1851" s="26">
        <v>3</v>
      </c>
      <c r="U1851" s="26">
        <v>6</v>
      </c>
      <c r="V1851" s="26">
        <v>1</v>
      </c>
      <c r="W1851" s="26"/>
    </row>
    <row r="1852" spans="1:23" x14ac:dyDescent="0.25">
      <c r="A1852" s="26" t="str">
        <f t="shared" si="334"/>
        <v>PREESCOLAR</v>
      </c>
      <c r="B1852" s="26" t="str">
        <f>"09PJN3623B"</f>
        <v>09PJN3623B</v>
      </c>
      <c r="C1852" s="26" t="str">
        <f>"JARDIN DE NIÑOS TERESITA LOS ANGELES                                                                "</f>
        <v xml:space="preserve">JARDIN DE NIÑOS TERESITA LOS ANGELES                                                                </v>
      </c>
      <c r="D1852" s="26" t="str">
        <f t="shared" si="341"/>
        <v>MATUTINO</v>
      </c>
      <c r="E1852" s="26" t="str">
        <f>"CALLE 309 No. 20                                                                "</f>
        <v xml:space="preserve">CALLE 309 No. 20                                                                </v>
      </c>
      <c r="F1852" s="26" t="str">
        <f>"UNIDAD HABITACIONAL EL COYOL                                                                                                                "</f>
        <v xml:space="preserve">UNIDAD HABITACIONAL EL COYOL                                                                                                                </v>
      </c>
      <c r="G1852" s="26" t="str">
        <f t="shared" si="344"/>
        <v xml:space="preserve">GUSTAVO A. MADERO                                                               </v>
      </c>
      <c r="H1852" s="26" t="str">
        <f>"191"</f>
        <v>191</v>
      </c>
      <c r="I1852" s="26" t="str">
        <f t="shared" si="335"/>
        <v>00</v>
      </c>
      <c r="J1852" s="26" t="str">
        <f t="shared" si="345"/>
        <v xml:space="preserve">32 </v>
      </c>
      <c r="K1852" s="26" t="str">
        <f t="shared" si="343"/>
        <v>EP</v>
      </c>
      <c r="L1852" s="26" t="str">
        <f t="shared" si="342"/>
        <v>DGOSE</v>
      </c>
      <c r="M1852" s="26" t="str">
        <f t="shared" si="333"/>
        <v>PARTICULAR</v>
      </c>
      <c r="N1852" s="26">
        <v>45</v>
      </c>
      <c r="O1852" s="26">
        <v>26</v>
      </c>
      <c r="P1852" s="26">
        <v>19</v>
      </c>
      <c r="Q1852" s="26">
        <v>3</v>
      </c>
      <c r="R1852" s="26">
        <v>1</v>
      </c>
      <c r="S1852" s="26">
        <v>3</v>
      </c>
      <c r="T1852" s="26">
        <v>3</v>
      </c>
      <c r="U1852" s="26">
        <v>7</v>
      </c>
      <c r="V1852" s="26">
        <v>1</v>
      </c>
      <c r="W1852" s="26"/>
    </row>
    <row r="1853" spans="1:23" x14ac:dyDescent="0.25">
      <c r="A1853" s="26" t="str">
        <f t="shared" si="334"/>
        <v>PREESCOLAR</v>
      </c>
      <c r="B1853" s="26" t="str">
        <f>"09PJN3627Y"</f>
        <v>09PJN3627Y</v>
      </c>
      <c r="C1853" s="26" t="str">
        <f>"JARDIN DE NIÑOS LA ESMERALDA                                                                        "</f>
        <v xml:space="preserve">JARDIN DE NIÑOS LA ESMERALDA                                                                        </v>
      </c>
      <c r="D1853" s="26" t="str">
        <f t="shared" si="341"/>
        <v>MATUTINO</v>
      </c>
      <c r="E1853" s="26" t="str">
        <f>"NORTE 94 NO. 8310                                                               "</f>
        <v xml:space="preserve">NORTE 94 NO. 8310                                                               </v>
      </c>
      <c r="F1853" s="26" t="str">
        <f>"LA ESMERALDA I                                                                                                                              "</f>
        <v xml:space="preserve">LA ESMERALDA I                                                                                                                              </v>
      </c>
      <c r="G1853" s="26" t="str">
        <f t="shared" si="344"/>
        <v xml:space="preserve">GUSTAVO A. MADERO                                                               </v>
      </c>
      <c r="H1853" s="26" t="str">
        <f>"095"</f>
        <v>095</v>
      </c>
      <c r="I1853" s="26" t="str">
        <f t="shared" si="335"/>
        <v>00</v>
      </c>
      <c r="J1853" s="26" t="str">
        <f t="shared" si="345"/>
        <v xml:space="preserve">32 </v>
      </c>
      <c r="K1853" s="26" t="str">
        <f t="shared" si="343"/>
        <v>EP</v>
      </c>
      <c r="L1853" s="26" t="str">
        <f t="shared" si="342"/>
        <v>DGOSE</v>
      </c>
      <c r="M1853" s="26" t="str">
        <f t="shared" si="333"/>
        <v>PARTICULAR</v>
      </c>
      <c r="N1853" s="26">
        <v>25</v>
      </c>
      <c r="O1853" s="26">
        <v>11</v>
      </c>
      <c r="P1853" s="26">
        <v>14</v>
      </c>
      <c r="Q1853" s="26">
        <v>3</v>
      </c>
      <c r="R1853" s="26">
        <v>1</v>
      </c>
      <c r="S1853" s="26">
        <v>3</v>
      </c>
      <c r="T1853" s="26">
        <v>1</v>
      </c>
      <c r="U1853" s="26">
        <v>5</v>
      </c>
      <c r="V1853" s="26">
        <v>1</v>
      </c>
      <c r="W1853" s="26"/>
    </row>
    <row r="1854" spans="1:23" x14ac:dyDescent="0.25">
      <c r="A1854" s="26" t="str">
        <f t="shared" si="334"/>
        <v>PREESCOLAR</v>
      </c>
      <c r="B1854" s="26" t="str">
        <f>"09PJN3628X"</f>
        <v>09PJN3628X</v>
      </c>
      <c r="C1854" s="26" t="str">
        <f>"JARDIN DE NIÑOS CRICKET                                                                             "</f>
        <v xml:space="preserve">JARDIN DE NIÑOS CRICKET                                                                             </v>
      </c>
      <c r="D1854" s="26" t="str">
        <f t="shared" si="341"/>
        <v>MATUTINO</v>
      </c>
      <c r="E1854" s="26" t="str">
        <f>"CALLE 319 NO. 833                                                               "</f>
        <v xml:space="preserve">CALLE 319 NO. 833                                                               </v>
      </c>
      <c r="F1854" s="26" t="str">
        <f>"NUEVA ATZACOALCO                                                                                                                            "</f>
        <v xml:space="preserve">NUEVA ATZACOALCO                                                                                                                            </v>
      </c>
      <c r="G1854" s="26" t="str">
        <f t="shared" si="344"/>
        <v xml:space="preserve">GUSTAVO A. MADERO                                                               </v>
      </c>
      <c r="H1854" s="26" t="str">
        <f>"152"</f>
        <v>152</v>
      </c>
      <c r="I1854" s="26" t="str">
        <f t="shared" si="335"/>
        <v>00</v>
      </c>
      <c r="J1854" s="26" t="str">
        <f t="shared" si="345"/>
        <v xml:space="preserve">32 </v>
      </c>
      <c r="K1854" s="26" t="str">
        <f t="shared" si="343"/>
        <v>EP</v>
      </c>
      <c r="L1854" s="26" t="str">
        <f t="shared" si="342"/>
        <v>DGOSE</v>
      </c>
      <c r="M1854" s="26" t="str">
        <f t="shared" si="333"/>
        <v>PARTICULAR</v>
      </c>
      <c r="N1854" s="26">
        <v>37</v>
      </c>
      <c r="O1854" s="26">
        <v>10</v>
      </c>
      <c r="P1854" s="26">
        <v>27</v>
      </c>
      <c r="Q1854" s="26">
        <v>3</v>
      </c>
      <c r="R1854" s="26">
        <v>1</v>
      </c>
      <c r="S1854" s="26">
        <v>3</v>
      </c>
      <c r="T1854" s="26">
        <v>3</v>
      </c>
      <c r="U1854" s="26">
        <v>7</v>
      </c>
      <c r="V1854" s="26">
        <v>1</v>
      </c>
      <c r="W1854" s="26"/>
    </row>
    <row r="1855" spans="1:23" x14ac:dyDescent="0.25">
      <c r="A1855" s="26" t="str">
        <f t="shared" si="334"/>
        <v>PREESCOLAR</v>
      </c>
      <c r="B1855" s="26" t="str">
        <f>"09PJN3630L"</f>
        <v>09PJN3630L</v>
      </c>
      <c r="C1855" s="26" t="str">
        <f>"CENTRO PEDAGÓGICO MONTE ALBÁN (PLANTEL LEÓN DE LOS ALDAMA)                                          "</f>
        <v xml:space="preserve">CENTRO PEDAGÓGICO MONTE ALBÁN (PLANTEL LEÓN DE LOS ALDAMA)                                          </v>
      </c>
      <c r="D1855" s="26" t="str">
        <f t="shared" si="341"/>
        <v>MATUTINO</v>
      </c>
      <c r="E1855" s="26" t="str">
        <f>"LEON DE LOS ALDAMAS NO. 76                                                      "</f>
        <v xml:space="preserve">LEON DE LOS ALDAMAS NO. 76                                                      </v>
      </c>
      <c r="F1855" s="26" t="str">
        <f>"SAN FELIPE DE JESUS                                                                                                                         "</f>
        <v xml:space="preserve">SAN FELIPE DE JESUS                                                                                                                         </v>
      </c>
      <c r="G1855" s="26" t="str">
        <f t="shared" si="344"/>
        <v xml:space="preserve">GUSTAVO A. MADERO                                                               </v>
      </c>
      <c r="H1855" s="26" t="str">
        <f>"095"</f>
        <v>095</v>
      </c>
      <c r="I1855" s="26" t="str">
        <f t="shared" si="335"/>
        <v>00</v>
      </c>
      <c r="J1855" s="26" t="str">
        <f t="shared" si="345"/>
        <v xml:space="preserve">32 </v>
      </c>
      <c r="K1855" s="26" t="str">
        <f t="shared" si="343"/>
        <v>EP</v>
      </c>
      <c r="L1855" s="26" t="str">
        <f t="shared" si="342"/>
        <v>DGOSE</v>
      </c>
      <c r="M1855" s="26" t="str">
        <f t="shared" ref="M1855:M1918" si="346">"PARTICULAR"</f>
        <v>PARTICULAR</v>
      </c>
      <c r="N1855" s="26">
        <v>53</v>
      </c>
      <c r="O1855" s="26">
        <v>26</v>
      </c>
      <c r="P1855" s="26">
        <v>27</v>
      </c>
      <c r="Q1855" s="26">
        <v>3</v>
      </c>
      <c r="R1855" s="26">
        <v>1</v>
      </c>
      <c r="S1855" s="26">
        <v>2</v>
      </c>
      <c r="T1855" s="26">
        <v>7</v>
      </c>
      <c r="U1855" s="26">
        <v>10</v>
      </c>
      <c r="V1855" s="26">
        <v>1</v>
      </c>
      <c r="W1855" s="26"/>
    </row>
    <row r="1856" spans="1:23" x14ac:dyDescent="0.25">
      <c r="A1856" s="26" t="str">
        <f t="shared" si="334"/>
        <v>PREESCOLAR</v>
      </c>
      <c r="B1856" s="26" t="str">
        <f>"09PJN3632J"</f>
        <v>09PJN3632J</v>
      </c>
      <c r="C1856" s="26" t="str">
        <f>"CITLALI                                                                                             "</f>
        <v xml:space="preserve">CITLALI                                                                                             </v>
      </c>
      <c r="D1856" s="26" t="str">
        <f t="shared" si="341"/>
        <v>MATUTINO</v>
      </c>
      <c r="E1856" s="26" t="str">
        <f>"TIXTLA ESQ. CALPULALPAN NO. 2460                                                "</f>
        <v xml:space="preserve">TIXTLA ESQ. CALPULALPAN NO. 2460                                                </v>
      </c>
      <c r="F1856" s="26" t="str">
        <f>"SAN FELIPE DE JESUS                                                                                                                         "</f>
        <v xml:space="preserve">SAN FELIPE DE JESUS                                                                                                                         </v>
      </c>
      <c r="G1856" s="26" t="str">
        <f t="shared" si="344"/>
        <v xml:space="preserve">GUSTAVO A. MADERO                                                               </v>
      </c>
      <c r="H1856" s="26" t="str">
        <f>"073"</f>
        <v>073</v>
      </c>
      <c r="I1856" s="26" t="str">
        <f t="shared" si="335"/>
        <v>00</v>
      </c>
      <c r="J1856" s="26" t="str">
        <f t="shared" si="345"/>
        <v xml:space="preserve">32 </v>
      </c>
      <c r="K1856" s="26" t="str">
        <f t="shared" si="343"/>
        <v>EP</v>
      </c>
      <c r="L1856" s="26" t="str">
        <f t="shared" si="342"/>
        <v>DGOSE</v>
      </c>
      <c r="M1856" s="26" t="str">
        <f t="shared" si="346"/>
        <v>PARTICULAR</v>
      </c>
      <c r="N1856" s="26">
        <v>53</v>
      </c>
      <c r="O1856" s="26">
        <v>24</v>
      </c>
      <c r="P1856" s="26">
        <v>29</v>
      </c>
      <c r="Q1856" s="26">
        <v>3</v>
      </c>
      <c r="R1856" s="26">
        <v>1</v>
      </c>
      <c r="S1856" s="26">
        <v>3</v>
      </c>
      <c r="T1856" s="26">
        <v>0</v>
      </c>
      <c r="U1856" s="26">
        <v>4</v>
      </c>
      <c r="V1856" s="26">
        <v>1</v>
      </c>
      <c r="W1856" s="26"/>
    </row>
    <row r="1857" spans="1:23" x14ac:dyDescent="0.25">
      <c r="A1857" s="26" t="str">
        <f t="shared" si="334"/>
        <v>PREESCOLAR</v>
      </c>
      <c r="B1857" s="26" t="str">
        <f>"09PJN3634H"</f>
        <v>09PJN3634H</v>
      </c>
      <c r="C1857" s="26" t="str">
        <f>"MIS PRIMERAS LETRAS ABC                                                                             "</f>
        <v xml:space="preserve">MIS PRIMERAS LETRAS ABC                                                                             </v>
      </c>
      <c r="D1857" s="26" t="str">
        <f t="shared" si="341"/>
        <v>MATUTINO</v>
      </c>
      <c r="E1857" s="26" t="str">
        <f>"ATOTONILCO NO. 1503                                                             "</f>
        <v xml:space="preserve">ATOTONILCO NO. 1503                                                             </v>
      </c>
      <c r="F1857" s="26" t="str">
        <f>"SAN FELIPE DE JESUS                                                                                                                         "</f>
        <v xml:space="preserve">SAN FELIPE DE JESUS                                                                                                                         </v>
      </c>
      <c r="G1857" s="26" t="str">
        <f t="shared" si="344"/>
        <v xml:space="preserve">GUSTAVO A. MADERO                                                               </v>
      </c>
      <c r="H1857" s="26" t="str">
        <f>"073"</f>
        <v>073</v>
      </c>
      <c r="I1857" s="26" t="str">
        <f t="shared" si="335"/>
        <v>00</v>
      </c>
      <c r="J1857" s="26" t="str">
        <f t="shared" si="345"/>
        <v xml:space="preserve">32 </v>
      </c>
      <c r="K1857" s="26" t="str">
        <f t="shared" si="343"/>
        <v>EP</v>
      </c>
      <c r="L1857" s="26" t="str">
        <f t="shared" si="342"/>
        <v>DGOSE</v>
      </c>
      <c r="M1857" s="26" t="str">
        <f t="shared" si="346"/>
        <v>PARTICULAR</v>
      </c>
      <c r="N1857" s="26">
        <v>50</v>
      </c>
      <c r="O1857" s="26">
        <v>24</v>
      </c>
      <c r="P1857" s="26">
        <v>26</v>
      </c>
      <c r="Q1857" s="26">
        <v>3</v>
      </c>
      <c r="R1857" s="26">
        <v>1</v>
      </c>
      <c r="S1857" s="26">
        <v>3</v>
      </c>
      <c r="T1857" s="26">
        <v>0</v>
      </c>
      <c r="U1857" s="26">
        <v>4</v>
      </c>
      <c r="V1857" s="26">
        <v>1</v>
      </c>
      <c r="W1857" s="26"/>
    </row>
    <row r="1858" spans="1:23" x14ac:dyDescent="0.25">
      <c r="A1858" s="26" t="str">
        <f t="shared" ref="A1858:A1921" si="347">"PREESCOLAR"</f>
        <v>PREESCOLAR</v>
      </c>
      <c r="B1858" s="26" t="str">
        <f>"09PJN3636F"</f>
        <v>09PJN3636F</v>
      </c>
      <c r="C1858" s="26" t="str">
        <f>"JARDÍN DE NIÑOS COLIBRI                                                                             "</f>
        <v xml:space="preserve">JARDÍN DE NIÑOS COLIBRI                                                                             </v>
      </c>
      <c r="D1858" s="26" t="str">
        <f t="shared" si="341"/>
        <v>MATUTINO</v>
      </c>
      <c r="E1858" s="26" t="str">
        <f>"PARRAL NO. 12                                                                   "</f>
        <v xml:space="preserve">PARRAL NO. 12                                                                   </v>
      </c>
      <c r="F1858" s="26" t="str">
        <f>"SAN FELIPE DE JESUS                                                                                                                         "</f>
        <v xml:space="preserve">SAN FELIPE DE JESUS                                                                                                                         </v>
      </c>
      <c r="G1858" s="26" t="str">
        <f t="shared" si="344"/>
        <v xml:space="preserve">GUSTAVO A. MADERO                                                               </v>
      </c>
      <c r="H1858" s="26" t="str">
        <f>"152"</f>
        <v>152</v>
      </c>
      <c r="I1858" s="26" t="str">
        <f t="shared" ref="I1858:I1921" si="348">"00"</f>
        <v>00</v>
      </c>
      <c r="J1858" s="26" t="str">
        <f t="shared" si="345"/>
        <v xml:space="preserve">32 </v>
      </c>
      <c r="K1858" s="26" t="str">
        <f t="shared" si="343"/>
        <v>EP</v>
      </c>
      <c r="L1858" s="26" t="str">
        <f t="shared" si="342"/>
        <v>DGOSE</v>
      </c>
      <c r="M1858" s="26" t="str">
        <f t="shared" si="346"/>
        <v>PARTICULAR</v>
      </c>
      <c r="N1858" s="26">
        <v>10</v>
      </c>
      <c r="O1858" s="26">
        <v>6</v>
      </c>
      <c r="P1858" s="26">
        <v>4</v>
      </c>
      <c r="Q1858" s="26">
        <v>2</v>
      </c>
      <c r="R1858" s="26">
        <v>1</v>
      </c>
      <c r="S1858" s="26">
        <v>1</v>
      </c>
      <c r="T1858" s="26">
        <v>0</v>
      </c>
      <c r="U1858" s="26">
        <v>2</v>
      </c>
      <c r="V1858" s="26">
        <v>1</v>
      </c>
      <c r="W1858" s="26"/>
    </row>
    <row r="1859" spans="1:23" x14ac:dyDescent="0.25">
      <c r="A1859" s="26" t="str">
        <f t="shared" si="347"/>
        <v>PREESCOLAR</v>
      </c>
      <c r="B1859" s="26" t="str">
        <f>"09PJN3637E"</f>
        <v>09PJN3637E</v>
      </c>
      <c r="C1859" s="26" t="str">
        <f>"CENTRO EDUCATIVO MONARCA                                                                            "</f>
        <v xml:space="preserve">CENTRO EDUCATIVO MONARCA                                                                            </v>
      </c>
      <c r="D1859" s="26" t="str">
        <f t="shared" si="341"/>
        <v>MATUTINO</v>
      </c>
      <c r="E1859" s="26" t="str">
        <f>"FRANCITA NO. 171                                                                "</f>
        <v xml:space="preserve">FRANCITA NO. 171                                                                </v>
      </c>
      <c r="F1859" s="26" t="str">
        <f>"PETROLERA                                                                                                                                   "</f>
        <v xml:space="preserve">PETROLERA                                                                                                                                   </v>
      </c>
      <c r="G1859" s="26" t="str">
        <f>"AZCAPOTZALCO                                                                    "</f>
        <v xml:space="preserve">AZCAPOTZALCO                                                                    </v>
      </c>
      <c r="H1859" s="26" t="str">
        <f>"009"</f>
        <v>009</v>
      </c>
      <c r="I1859" s="26" t="str">
        <f t="shared" si="348"/>
        <v>00</v>
      </c>
      <c r="J1859" s="26" t="str">
        <f t="shared" si="345"/>
        <v xml:space="preserve">32 </v>
      </c>
      <c r="K1859" s="26" t="str">
        <f t="shared" si="343"/>
        <v>EP</v>
      </c>
      <c r="L1859" s="26" t="str">
        <f t="shared" si="342"/>
        <v>DGOSE</v>
      </c>
      <c r="M1859" s="26" t="str">
        <f t="shared" si="346"/>
        <v>PARTICULAR</v>
      </c>
      <c r="N1859" s="26">
        <v>36</v>
      </c>
      <c r="O1859" s="26">
        <v>19</v>
      </c>
      <c r="P1859" s="26">
        <v>17</v>
      </c>
      <c r="Q1859" s="26">
        <v>3</v>
      </c>
      <c r="R1859" s="26">
        <v>1</v>
      </c>
      <c r="S1859" s="26">
        <v>3</v>
      </c>
      <c r="T1859" s="26">
        <v>7</v>
      </c>
      <c r="U1859" s="26">
        <v>11</v>
      </c>
      <c r="V1859" s="26">
        <v>1</v>
      </c>
      <c r="W1859" s="26"/>
    </row>
    <row r="1860" spans="1:23" x14ac:dyDescent="0.25">
      <c r="A1860" s="26" t="str">
        <f t="shared" si="347"/>
        <v>PREESCOLAR</v>
      </c>
      <c r="B1860" s="26" t="str">
        <f>"09PJN3639C"</f>
        <v>09PJN3639C</v>
      </c>
      <c r="C1860" s="26" t="str">
        <f>"JARDÍN DE NIÑOS CHRIS                                                                               "</f>
        <v xml:space="preserve">JARDÍN DE NIÑOS CHRIS                                                                               </v>
      </c>
      <c r="D1860" s="26" t="str">
        <f t="shared" si="341"/>
        <v>MATUTINO</v>
      </c>
      <c r="E1860" s="26" t="str">
        <f>"MASSENET No. 144                                                                "</f>
        <v xml:space="preserve">MASSENET No. 144                                                                </v>
      </c>
      <c r="F1860" s="26" t="str">
        <f>"PERALVILLO                                                                                                                                  "</f>
        <v xml:space="preserve">PERALVILLO                                                                                                                                  </v>
      </c>
      <c r="G1860" s="26" t="s">
        <v>4128</v>
      </c>
      <c r="H1860" s="26" t="str">
        <f>"057"</f>
        <v>057</v>
      </c>
      <c r="I1860" s="26" t="str">
        <f t="shared" si="348"/>
        <v>00</v>
      </c>
      <c r="J1860" s="26" t="str">
        <f t="shared" si="345"/>
        <v xml:space="preserve">32 </v>
      </c>
      <c r="K1860" s="26" t="str">
        <f t="shared" si="343"/>
        <v>EP</v>
      </c>
      <c r="L1860" s="26" t="str">
        <f t="shared" si="342"/>
        <v>DGOSE</v>
      </c>
      <c r="M1860" s="26" t="str">
        <f t="shared" si="346"/>
        <v>PARTICULAR</v>
      </c>
      <c r="N1860" s="26">
        <v>25</v>
      </c>
      <c r="O1860" s="26">
        <v>12</v>
      </c>
      <c r="P1860" s="26">
        <v>13</v>
      </c>
      <c r="Q1860" s="26">
        <v>3</v>
      </c>
      <c r="R1860" s="26">
        <v>1</v>
      </c>
      <c r="S1860" s="26">
        <v>2</v>
      </c>
      <c r="T1860" s="26">
        <v>4</v>
      </c>
      <c r="U1860" s="26">
        <v>7</v>
      </c>
      <c r="V1860" s="26">
        <v>1</v>
      </c>
      <c r="W1860" s="26"/>
    </row>
    <row r="1861" spans="1:23" x14ac:dyDescent="0.25">
      <c r="A1861" s="26" t="str">
        <f t="shared" si="347"/>
        <v>PREESCOLAR</v>
      </c>
      <c r="B1861" s="26" t="str">
        <f>"09PJN3640S"</f>
        <v>09PJN3640S</v>
      </c>
      <c r="C1861" s="26" t="str">
        <f>"INSTITUTO PASCUAL BORGIA                                                                            "</f>
        <v xml:space="preserve">INSTITUTO PASCUAL BORGIA                                                                            </v>
      </c>
      <c r="D1861" s="26" t="str">
        <f t="shared" si="341"/>
        <v>MATUTINO</v>
      </c>
      <c r="E1861" s="26" t="str">
        <f>"LAGO ARGENTINA No. 17                                                           "</f>
        <v xml:space="preserve">LAGO ARGENTINA No. 17                                                           </v>
      </c>
      <c r="F1861" s="26" t="str">
        <f>"ARGENTINA ANTIGUA                                                                                                                           "</f>
        <v xml:space="preserve">ARGENTINA ANTIGUA                                                                                                                           </v>
      </c>
      <c r="G1861" s="26" t="str">
        <f>"MIGUEL HIDALGO                                                                  "</f>
        <v xml:space="preserve">MIGUEL HIDALGO                                                                  </v>
      </c>
      <c r="H1861" s="26" t="str">
        <f>"056"</f>
        <v>056</v>
      </c>
      <c r="I1861" s="26" t="str">
        <f t="shared" si="348"/>
        <v>00</v>
      </c>
      <c r="J1861" s="26" t="str">
        <f t="shared" si="345"/>
        <v xml:space="preserve">32 </v>
      </c>
      <c r="K1861" s="26" t="str">
        <f t="shared" si="343"/>
        <v>EP</v>
      </c>
      <c r="L1861" s="26" t="str">
        <f t="shared" si="342"/>
        <v>DGOSE</v>
      </c>
      <c r="M1861" s="26" t="str">
        <f t="shared" si="346"/>
        <v>PARTICULAR</v>
      </c>
      <c r="N1861" s="26">
        <v>48</v>
      </c>
      <c r="O1861" s="26">
        <v>25</v>
      </c>
      <c r="P1861" s="26">
        <v>23</v>
      </c>
      <c r="Q1861" s="26">
        <v>3</v>
      </c>
      <c r="R1861" s="26">
        <v>1</v>
      </c>
      <c r="S1861" s="26">
        <v>3</v>
      </c>
      <c r="T1861" s="26">
        <v>3</v>
      </c>
      <c r="U1861" s="26">
        <v>7</v>
      </c>
      <c r="V1861" s="26">
        <v>1</v>
      </c>
      <c r="W1861" s="26"/>
    </row>
    <row r="1862" spans="1:23" x14ac:dyDescent="0.25">
      <c r="A1862" s="26" t="str">
        <f t="shared" si="347"/>
        <v>PREESCOLAR</v>
      </c>
      <c r="B1862" s="26" t="str">
        <f>"09PJN3641R"</f>
        <v>09PJN3641R</v>
      </c>
      <c r="C1862" s="26" t="str">
        <f>"DOMINGO SAVIO                                                                                       "</f>
        <v xml:space="preserve">DOMINGO SAVIO                                                                                       </v>
      </c>
      <c r="D1862" s="26" t="str">
        <f t="shared" si="341"/>
        <v>MATUTINO</v>
      </c>
      <c r="E1862" s="26" t="str">
        <f>"GENERAL MARIANO ARISTA NO. 96                                                   "</f>
        <v xml:space="preserve">GENERAL MARIANO ARISTA NO. 96                                                   </v>
      </c>
      <c r="F1862" s="26" t="str">
        <f>"SAN JOAQUIN                                                                                                                                 "</f>
        <v xml:space="preserve">SAN JOAQUIN                                                                                                                                 </v>
      </c>
      <c r="G1862" s="26" t="str">
        <f>"MIGUEL HIDALGO                                                                  "</f>
        <v xml:space="preserve">MIGUEL HIDALGO                                                                  </v>
      </c>
      <c r="H1862" s="26" t="str">
        <f>"177"</f>
        <v>177</v>
      </c>
      <c r="I1862" s="26" t="str">
        <f t="shared" si="348"/>
        <v>00</v>
      </c>
      <c r="J1862" s="26" t="str">
        <f t="shared" si="345"/>
        <v xml:space="preserve">32 </v>
      </c>
      <c r="K1862" s="26" t="str">
        <f t="shared" si="343"/>
        <v>EP</v>
      </c>
      <c r="L1862" s="26" t="str">
        <f t="shared" si="342"/>
        <v>DGOSE</v>
      </c>
      <c r="M1862" s="26" t="str">
        <f t="shared" si="346"/>
        <v>PARTICULAR</v>
      </c>
      <c r="N1862" s="26">
        <v>139</v>
      </c>
      <c r="O1862" s="26">
        <v>61</v>
      </c>
      <c r="P1862" s="26">
        <v>78</v>
      </c>
      <c r="Q1862" s="26">
        <v>9</v>
      </c>
      <c r="R1862" s="26">
        <v>1</v>
      </c>
      <c r="S1862" s="26">
        <v>9</v>
      </c>
      <c r="T1862" s="26">
        <v>6</v>
      </c>
      <c r="U1862" s="26">
        <v>16</v>
      </c>
      <c r="V1862" s="26">
        <v>1</v>
      </c>
      <c r="W1862" s="26"/>
    </row>
    <row r="1863" spans="1:23" x14ac:dyDescent="0.25">
      <c r="A1863" s="26" t="str">
        <f t="shared" si="347"/>
        <v>PREESCOLAR</v>
      </c>
      <c r="B1863" s="26" t="str">
        <f>"09PJN3644O"</f>
        <v>09PJN3644O</v>
      </c>
      <c r="C1863" s="26" t="str">
        <f>"MAGICO DE LOS NIÑOS                                                                                 "</f>
        <v xml:space="preserve">MAGICO DE LOS NIÑOS                                                                                 </v>
      </c>
      <c r="D1863" s="26" t="str">
        <f t="shared" si="341"/>
        <v>MATUTINO</v>
      </c>
      <c r="E1863" s="26" t="str">
        <f>"14 DE JULIO (ANTES CAPITALES) NO. 43                                            "</f>
        <v xml:space="preserve">14 DE JULIO (ANTES CAPITALES) NO. 43                                            </v>
      </c>
      <c r="F1863" s="26" t="str">
        <f>"SAN MARCOS                                                                                                                                  "</f>
        <v xml:space="preserve">SAN MARCOS                                                                                                                                  </v>
      </c>
      <c r="G1863" s="26" t="str">
        <f t="shared" ref="G1863:G1870" si="349">"XOCHIMILCO                                                                      "</f>
        <v xml:space="preserve">XOCHIMILCO                                                                      </v>
      </c>
      <c r="H1863" s="26" t="str">
        <f>"103"</f>
        <v>103</v>
      </c>
      <c r="I1863" s="26" t="str">
        <f t="shared" si="348"/>
        <v>00</v>
      </c>
      <c r="J1863" s="26" t="str">
        <f t="shared" ref="J1863:J1872" si="350">"35 "</f>
        <v xml:space="preserve">35 </v>
      </c>
      <c r="K1863" s="26" t="str">
        <f t="shared" si="343"/>
        <v>EP</v>
      </c>
      <c r="L1863" s="26" t="str">
        <f t="shared" si="342"/>
        <v>DGOSE</v>
      </c>
      <c r="M1863" s="26" t="str">
        <f t="shared" si="346"/>
        <v>PARTICULAR</v>
      </c>
      <c r="N1863" s="26">
        <v>29</v>
      </c>
      <c r="O1863" s="26">
        <v>20</v>
      </c>
      <c r="P1863" s="26">
        <v>9</v>
      </c>
      <c r="Q1863" s="26">
        <v>1</v>
      </c>
      <c r="R1863" s="26">
        <v>1</v>
      </c>
      <c r="S1863" s="26">
        <v>1</v>
      </c>
      <c r="T1863" s="26">
        <v>2</v>
      </c>
      <c r="U1863" s="26">
        <v>4</v>
      </c>
      <c r="V1863" s="26">
        <v>1</v>
      </c>
      <c r="W1863" s="26"/>
    </row>
    <row r="1864" spans="1:23" x14ac:dyDescent="0.25">
      <c r="A1864" s="26" t="str">
        <f t="shared" si="347"/>
        <v>PREESCOLAR</v>
      </c>
      <c r="B1864" s="26" t="str">
        <f>"09PJN3645N"</f>
        <v>09PJN3645N</v>
      </c>
      <c r="C1864" s="26" t="str">
        <f>"COLEGIO ALFREDO NOBEL                                                                               "</f>
        <v xml:space="preserve">COLEGIO ALFREDO NOBEL                                                                               </v>
      </c>
      <c r="D1864" s="26" t="str">
        <f t="shared" si="341"/>
        <v>MATUTINO</v>
      </c>
      <c r="E1864" s="26" t="str">
        <f>"16 DE SEPTIEMBRE NO. 292                                                        "</f>
        <v xml:space="preserve">16 DE SEPTIEMBRE NO. 292                                                        </v>
      </c>
      <c r="F1864" s="26" t="str">
        <f>"XALTOCAN                                                                                                                                    "</f>
        <v xml:space="preserve">XALTOCAN                                                                                                                                    </v>
      </c>
      <c r="G1864" s="26" t="str">
        <f t="shared" si="349"/>
        <v xml:space="preserve">XOCHIMILCO                                                                      </v>
      </c>
      <c r="H1864" s="26" t="str">
        <f>"033"</f>
        <v>033</v>
      </c>
      <c r="I1864" s="26" t="str">
        <f t="shared" si="348"/>
        <v>00</v>
      </c>
      <c r="J1864" s="26" t="str">
        <f t="shared" si="350"/>
        <v xml:space="preserve">35 </v>
      </c>
      <c r="K1864" s="26" t="str">
        <f t="shared" si="343"/>
        <v>EP</v>
      </c>
      <c r="L1864" s="26" t="str">
        <f t="shared" si="342"/>
        <v>DGOSE</v>
      </c>
      <c r="M1864" s="26" t="str">
        <f t="shared" si="346"/>
        <v>PARTICULAR</v>
      </c>
      <c r="N1864" s="26">
        <v>86</v>
      </c>
      <c r="O1864" s="26">
        <v>46</v>
      </c>
      <c r="P1864" s="26">
        <v>40</v>
      </c>
      <c r="Q1864" s="26">
        <v>5</v>
      </c>
      <c r="R1864" s="26">
        <v>1</v>
      </c>
      <c r="S1864" s="26">
        <v>5</v>
      </c>
      <c r="T1864" s="26">
        <v>8</v>
      </c>
      <c r="U1864" s="26">
        <v>14</v>
      </c>
      <c r="V1864" s="26">
        <v>1</v>
      </c>
      <c r="W1864" s="26"/>
    </row>
    <row r="1865" spans="1:23" x14ac:dyDescent="0.25">
      <c r="A1865" s="26" t="str">
        <f t="shared" si="347"/>
        <v>PREESCOLAR</v>
      </c>
      <c r="B1865" s="26" t="str">
        <f>"09PJN3646M"</f>
        <v>09PJN3646M</v>
      </c>
      <c r="C1865" s="26" t="str">
        <f>"COLEGIO L. ZUCKERMAN                                                                                "</f>
        <v xml:space="preserve">COLEGIO L. ZUCKERMAN                                                                                </v>
      </c>
      <c r="D1865" s="26" t="str">
        <f t="shared" si="341"/>
        <v>MATUTINO</v>
      </c>
      <c r="E1865" s="26" t="str">
        <f>"ANDADOR 5 DE TEPOZANES NO.4                                                     "</f>
        <v xml:space="preserve">ANDADOR 5 DE TEPOZANES NO.4                                                     </v>
      </c>
      <c r="F1865" s="26" t="str">
        <f>"SAN MARCOS NORTE AMPLIACION                                                                                                                 "</f>
        <v xml:space="preserve">SAN MARCOS NORTE AMPLIACION                                                                                                                 </v>
      </c>
      <c r="G1865" s="26" t="str">
        <f t="shared" si="349"/>
        <v xml:space="preserve">XOCHIMILCO                                                                      </v>
      </c>
      <c r="H1865" s="26" t="str">
        <f>"103"</f>
        <v>103</v>
      </c>
      <c r="I1865" s="26" t="str">
        <f t="shared" si="348"/>
        <v>00</v>
      </c>
      <c r="J1865" s="26" t="str">
        <f t="shared" si="350"/>
        <v xml:space="preserve">35 </v>
      </c>
      <c r="K1865" s="26" t="str">
        <f t="shared" si="343"/>
        <v>EP</v>
      </c>
      <c r="L1865" s="26" t="str">
        <f t="shared" si="342"/>
        <v>DGOSE</v>
      </c>
      <c r="M1865" s="26" t="str">
        <f t="shared" si="346"/>
        <v>PARTICULAR</v>
      </c>
      <c r="N1865" s="26">
        <v>21</v>
      </c>
      <c r="O1865" s="26">
        <v>10</v>
      </c>
      <c r="P1865" s="26">
        <v>11</v>
      </c>
      <c r="Q1865" s="26">
        <v>2</v>
      </c>
      <c r="R1865" s="26">
        <v>1</v>
      </c>
      <c r="S1865" s="26">
        <v>2</v>
      </c>
      <c r="T1865" s="26">
        <v>1</v>
      </c>
      <c r="U1865" s="26">
        <v>4</v>
      </c>
      <c r="V1865" s="26">
        <v>1</v>
      </c>
      <c r="W1865" s="26"/>
    </row>
    <row r="1866" spans="1:23" x14ac:dyDescent="0.25">
      <c r="A1866" s="26" t="str">
        <f t="shared" si="347"/>
        <v>PREESCOLAR</v>
      </c>
      <c r="B1866" s="26" t="str">
        <f>"09PJN3647L"</f>
        <v>09PJN3647L</v>
      </c>
      <c r="C1866" s="26" t="str">
        <f>"MAESTRO CARLOS CHAVEZ                                                                               "</f>
        <v xml:space="preserve">MAESTRO CARLOS CHAVEZ                                                                               </v>
      </c>
      <c r="D1866" s="26" t="str">
        <f t="shared" si="341"/>
        <v>MATUTINO</v>
      </c>
      <c r="E1866" s="26" t="str">
        <f>"PROLONGACION DIVISION DEL NORTE NO. 5466                                        "</f>
        <v xml:space="preserve">PROLONGACION DIVISION DEL NORTE NO. 5466                                        </v>
      </c>
      <c r="F1866" s="26" t="str">
        <f>"SAN MARCOS                                                                                                                                  "</f>
        <v xml:space="preserve">SAN MARCOS                                                                                                                                  </v>
      </c>
      <c r="G1866" s="26" t="str">
        <f t="shared" si="349"/>
        <v xml:space="preserve">XOCHIMILCO                                                                      </v>
      </c>
      <c r="H1866" s="26" t="str">
        <f>"052"</f>
        <v>052</v>
      </c>
      <c r="I1866" s="26" t="str">
        <f t="shared" si="348"/>
        <v>00</v>
      </c>
      <c r="J1866" s="26" t="str">
        <f t="shared" si="350"/>
        <v xml:space="preserve">35 </v>
      </c>
      <c r="K1866" s="26" t="str">
        <f t="shared" si="343"/>
        <v>EP</v>
      </c>
      <c r="L1866" s="26" t="str">
        <f t="shared" si="342"/>
        <v>DGOSE</v>
      </c>
      <c r="M1866" s="26" t="str">
        <f t="shared" si="346"/>
        <v>PARTICULAR</v>
      </c>
      <c r="N1866" s="26">
        <v>38</v>
      </c>
      <c r="O1866" s="26">
        <v>17</v>
      </c>
      <c r="P1866" s="26">
        <v>21</v>
      </c>
      <c r="Q1866" s="26">
        <v>3</v>
      </c>
      <c r="R1866" s="26">
        <v>1</v>
      </c>
      <c r="S1866" s="26">
        <v>3</v>
      </c>
      <c r="T1866" s="26">
        <v>7</v>
      </c>
      <c r="U1866" s="26">
        <v>11</v>
      </c>
      <c r="V1866" s="26">
        <v>1</v>
      </c>
      <c r="W1866" s="26"/>
    </row>
    <row r="1867" spans="1:23" x14ac:dyDescent="0.25">
      <c r="A1867" s="26" t="str">
        <f t="shared" si="347"/>
        <v>PREESCOLAR</v>
      </c>
      <c r="B1867" s="26" t="str">
        <f>"09PJN3648K"</f>
        <v>09PJN3648K</v>
      </c>
      <c r="C1867" s="26" t="str">
        <f>"JARDIN DE NIÑOS PALAS ATENEA                                                                        "</f>
        <v xml:space="preserve">JARDIN DE NIÑOS PALAS ATENEA                                                                        </v>
      </c>
      <c r="D1867" s="26" t="str">
        <f t="shared" si="341"/>
        <v>MATUTINO</v>
      </c>
      <c r="E1867" s="26" t="str">
        <f>"5 DE MAYO NO. 111                                                               "</f>
        <v xml:space="preserve">5 DE MAYO NO. 111                                                               </v>
      </c>
      <c r="F1867" s="26" t="str">
        <f>"SANTIAGO TEPALCATLAPAN                                                                                                                      "</f>
        <v xml:space="preserve">SANTIAGO TEPALCATLAPAN                                                                                                                      </v>
      </c>
      <c r="G1867" s="26" t="str">
        <f t="shared" si="349"/>
        <v xml:space="preserve">XOCHIMILCO                                                                      </v>
      </c>
      <c r="H1867" s="26" t="str">
        <f>"081"</f>
        <v>081</v>
      </c>
      <c r="I1867" s="26" t="str">
        <f t="shared" si="348"/>
        <v>00</v>
      </c>
      <c r="J1867" s="26" t="str">
        <f t="shared" si="350"/>
        <v xml:space="preserve">35 </v>
      </c>
      <c r="K1867" s="26" t="str">
        <f t="shared" si="343"/>
        <v>EP</v>
      </c>
      <c r="L1867" s="26" t="str">
        <f t="shared" si="342"/>
        <v>DGOSE</v>
      </c>
      <c r="M1867" s="26" t="str">
        <f t="shared" si="346"/>
        <v>PARTICULAR</v>
      </c>
      <c r="N1867" s="26">
        <v>53</v>
      </c>
      <c r="O1867" s="26">
        <v>25</v>
      </c>
      <c r="P1867" s="26">
        <v>28</v>
      </c>
      <c r="Q1867" s="26">
        <v>3</v>
      </c>
      <c r="R1867" s="26">
        <v>1</v>
      </c>
      <c r="S1867" s="26">
        <v>3</v>
      </c>
      <c r="T1867" s="26">
        <v>6</v>
      </c>
      <c r="U1867" s="26">
        <v>10</v>
      </c>
      <c r="V1867" s="26">
        <v>1</v>
      </c>
      <c r="W1867" s="26"/>
    </row>
    <row r="1868" spans="1:23" x14ac:dyDescent="0.25">
      <c r="A1868" s="26" t="str">
        <f t="shared" si="347"/>
        <v>PREESCOLAR</v>
      </c>
      <c r="B1868" s="26" t="str">
        <f>"09PJN3653W"</f>
        <v>09PJN3653W</v>
      </c>
      <c r="C1868" s="26" t="str">
        <f>"CENTRO EDUCATIVO MATERNALITOS                                                                       "</f>
        <v xml:space="preserve">CENTRO EDUCATIVO MATERNALITOS                                                                       </v>
      </c>
      <c r="D1868" s="26" t="str">
        <f t="shared" si="341"/>
        <v>MATUTINO</v>
      </c>
      <c r="E1868" s="26" t="str">
        <f>"RINCON DEL CIELO NO. 89                                                         "</f>
        <v xml:space="preserve">RINCON DEL CIELO NO. 89                                                         </v>
      </c>
      <c r="F1868" s="26" t="str">
        <f>"BOSQUES DEL SUR                                                                                                                             "</f>
        <v xml:space="preserve">BOSQUES DEL SUR                                                                                                                             </v>
      </c>
      <c r="G1868" s="26" t="str">
        <f t="shared" si="349"/>
        <v xml:space="preserve">XOCHIMILCO                                                                      </v>
      </c>
      <c r="H1868" s="26" t="str">
        <f>"172"</f>
        <v>172</v>
      </c>
      <c r="I1868" s="26" t="str">
        <f t="shared" si="348"/>
        <v>00</v>
      </c>
      <c r="J1868" s="26" t="str">
        <f t="shared" si="350"/>
        <v xml:space="preserve">35 </v>
      </c>
      <c r="K1868" s="26" t="str">
        <f t="shared" si="343"/>
        <v>EP</v>
      </c>
      <c r="L1868" s="26" t="str">
        <f t="shared" si="342"/>
        <v>DGOSE</v>
      </c>
      <c r="M1868" s="26" t="str">
        <f t="shared" si="346"/>
        <v>PARTICULAR</v>
      </c>
      <c r="N1868" s="26">
        <v>7</v>
      </c>
      <c r="O1868" s="26">
        <v>6</v>
      </c>
      <c r="P1868" s="26">
        <v>1</v>
      </c>
      <c r="Q1868" s="26">
        <v>2</v>
      </c>
      <c r="R1868" s="26">
        <v>1</v>
      </c>
      <c r="S1868" s="26">
        <v>1</v>
      </c>
      <c r="T1868" s="26">
        <v>1</v>
      </c>
      <c r="U1868" s="26">
        <v>3</v>
      </c>
      <c r="V1868" s="26">
        <v>1</v>
      </c>
      <c r="W1868" s="26"/>
    </row>
    <row r="1869" spans="1:23" x14ac:dyDescent="0.25">
      <c r="A1869" s="26" t="str">
        <f t="shared" si="347"/>
        <v>PREESCOLAR</v>
      </c>
      <c r="B1869" s="26" t="str">
        <f>"09PJN3655U"</f>
        <v>09PJN3655U</v>
      </c>
      <c r="C1869" s="26" t="str">
        <f>"KINDERPLATZ                                                                                         "</f>
        <v xml:space="preserve">KINDERPLATZ                                                                                         </v>
      </c>
      <c r="D1869" s="26" t="str">
        <f t="shared" si="341"/>
        <v>MATUTINO</v>
      </c>
      <c r="E1869" s="26" t="str">
        <f>"ALDAMA NO. 5                                                                    "</f>
        <v xml:space="preserve">ALDAMA NO. 5                                                                    </v>
      </c>
      <c r="F1869" s="26" t="str">
        <f>"SAN JUAN TEPEPAN                                                                                                                            "</f>
        <v xml:space="preserve">SAN JUAN TEPEPAN                                                                                                                            </v>
      </c>
      <c r="G1869" s="26" t="str">
        <f t="shared" si="349"/>
        <v xml:space="preserve">XOCHIMILCO                                                                      </v>
      </c>
      <c r="H1869" s="26" t="str">
        <f>"103"</f>
        <v>103</v>
      </c>
      <c r="I1869" s="26" t="str">
        <f t="shared" si="348"/>
        <v>00</v>
      </c>
      <c r="J1869" s="26" t="str">
        <f t="shared" si="350"/>
        <v xml:space="preserve">35 </v>
      </c>
      <c r="K1869" s="26" t="str">
        <f t="shared" si="343"/>
        <v>EP</v>
      </c>
      <c r="L1869" s="26" t="str">
        <f t="shared" si="342"/>
        <v>DGOSE</v>
      </c>
      <c r="M1869" s="26" t="str">
        <f t="shared" si="346"/>
        <v>PARTICULAR</v>
      </c>
      <c r="N1869" s="26">
        <v>32</v>
      </c>
      <c r="O1869" s="26">
        <v>19</v>
      </c>
      <c r="P1869" s="26">
        <v>13</v>
      </c>
      <c r="Q1869" s="26">
        <v>3</v>
      </c>
      <c r="R1869" s="26">
        <v>1</v>
      </c>
      <c r="S1869" s="26">
        <v>2</v>
      </c>
      <c r="T1869" s="26">
        <v>3</v>
      </c>
      <c r="U1869" s="26">
        <v>6</v>
      </c>
      <c r="V1869" s="26">
        <v>1</v>
      </c>
      <c r="W1869" s="26"/>
    </row>
    <row r="1870" spans="1:23" x14ac:dyDescent="0.25">
      <c r="A1870" s="26" t="str">
        <f t="shared" si="347"/>
        <v>PREESCOLAR</v>
      </c>
      <c r="B1870" s="26" t="str">
        <f>"09PJN3657S"</f>
        <v>09PJN3657S</v>
      </c>
      <c r="C1870" s="26" t="str">
        <f>"CUAUHTZIN                                                                                           "</f>
        <v xml:space="preserve">CUAUHTZIN                                                                                           </v>
      </c>
      <c r="D1870" s="26" t="str">
        <f t="shared" si="341"/>
        <v>MATUTINO</v>
      </c>
      <c r="E1870" s="26" t="str">
        <f>"HOMBRES ILUSTRES NO.640                                                         "</f>
        <v xml:space="preserve">HOMBRES ILUSTRES NO.640                                                         </v>
      </c>
      <c r="F1870" s="26" t="str">
        <f>"SANTA CECILIA TEPETLAPA                                                                                                                     "</f>
        <v xml:space="preserve">SANTA CECILIA TEPETLAPA                                                                                                                     </v>
      </c>
      <c r="G1870" s="26" t="str">
        <f t="shared" si="349"/>
        <v xml:space="preserve">XOCHIMILCO                                                                      </v>
      </c>
      <c r="H1870" s="26" t="str">
        <f>"081"</f>
        <v>081</v>
      </c>
      <c r="I1870" s="26" t="str">
        <f t="shared" si="348"/>
        <v>00</v>
      </c>
      <c r="J1870" s="26" t="str">
        <f t="shared" si="350"/>
        <v xml:space="preserve">35 </v>
      </c>
      <c r="K1870" s="26" t="str">
        <f t="shared" si="343"/>
        <v>EP</v>
      </c>
      <c r="L1870" s="26" t="str">
        <f t="shared" si="342"/>
        <v>DGOSE</v>
      </c>
      <c r="M1870" s="26" t="str">
        <f t="shared" si="346"/>
        <v>PARTICULAR</v>
      </c>
      <c r="N1870" s="26">
        <v>30</v>
      </c>
      <c r="O1870" s="26">
        <v>17</v>
      </c>
      <c r="P1870" s="26">
        <v>13</v>
      </c>
      <c r="Q1870" s="26">
        <v>3</v>
      </c>
      <c r="R1870" s="26">
        <v>1</v>
      </c>
      <c r="S1870" s="26">
        <v>2</v>
      </c>
      <c r="T1870" s="26">
        <v>2</v>
      </c>
      <c r="U1870" s="26">
        <v>5</v>
      </c>
      <c r="V1870" s="26">
        <v>1</v>
      </c>
      <c r="W1870" s="26"/>
    </row>
    <row r="1871" spans="1:23" x14ac:dyDescent="0.25">
      <c r="A1871" s="26" t="str">
        <f t="shared" si="347"/>
        <v>PREESCOLAR</v>
      </c>
      <c r="B1871" s="26" t="str">
        <f>"09PJN3658R"</f>
        <v>09PJN3658R</v>
      </c>
      <c r="C1871" s="26" t="str">
        <f>"OVIDIO DECROLY                                                                                      "</f>
        <v xml:space="preserve">OVIDIO DECROLY                                                                                      </v>
      </c>
      <c r="D1871" s="26" t="str">
        <f t="shared" si="341"/>
        <v>MATUTINO</v>
      </c>
      <c r="E1871" s="26" t="str">
        <f>"ESTACION METRO GOMEZ FARIAS MZA.Z 10 55 LOTE 31                                 "</f>
        <v xml:space="preserve">ESTACION METRO GOMEZ FARIAS MZA.Z 10 55 LOTE 31                                 </v>
      </c>
      <c r="F1871" s="26" t="str">
        <f>"LA ESTACION                                                                                                                                 "</f>
        <v xml:space="preserve">LA ESTACION                                                                                                                                 </v>
      </c>
      <c r="G1871" s="26" t="str">
        <f>"TLAHUAC                                                                         "</f>
        <v xml:space="preserve">TLAHUAC                                                                         </v>
      </c>
      <c r="H1871" s="26" t="str">
        <f>"065"</f>
        <v>065</v>
      </c>
      <c r="I1871" s="26" t="str">
        <f t="shared" si="348"/>
        <v>00</v>
      </c>
      <c r="J1871" s="26" t="str">
        <f t="shared" si="350"/>
        <v xml:space="preserve">35 </v>
      </c>
      <c r="K1871" s="26" t="str">
        <f t="shared" si="343"/>
        <v>EP</v>
      </c>
      <c r="L1871" s="26" t="str">
        <f t="shared" si="342"/>
        <v>DGOSE</v>
      </c>
      <c r="M1871" s="26" t="str">
        <f t="shared" si="346"/>
        <v>PARTICULAR</v>
      </c>
      <c r="N1871" s="26">
        <v>93</v>
      </c>
      <c r="O1871" s="26">
        <v>38</v>
      </c>
      <c r="P1871" s="26">
        <v>55</v>
      </c>
      <c r="Q1871" s="26">
        <v>5</v>
      </c>
      <c r="R1871" s="26">
        <v>1</v>
      </c>
      <c r="S1871" s="26">
        <v>5</v>
      </c>
      <c r="T1871" s="26">
        <v>2</v>
      </c>
      <c r="U1871" s="26">
        <v>8</v>
      </c>
      <c r="V1871" s="26">
        <v>1</v>
      </c>
      <c r="W1871" s="26"/>
    </row>
    <row r="1872" spans="1:23" x14ac:dyDescent="0.25">
      <c r="A1872" s="26" t="str">
        <f t="shared" si="347"/>
        <v>PREESCOLAR</v>
      </c>
      <c r="B1872" s="26" t="str">
        <f>"09PJN3662D"</f>
        <v>09PJN3662D</v>
      </c>
      <c r="C1872" s="26" t="str">
        <f>"LUIS ENRIQUE ERRO Y SOLER                                                                           "</f>
        <v xml:space="preserve">LUIS ENRIQUE ERRO Y SOLER                                                                           </v>
      </c>
      <c r="D1872" s="26" t="str">
        <f t="shared" si="341"/>
        <v>MATUTINO</v>
      </c>
      <c r="E1872" s="26" t="str">
        <f>"CAMINO A NATIVITAS NO. 346                                                      "</f>
        <v xml:space="preserve">CAMINO A NATIVITAS NO. 346                                                      </v>
      </c>
      <c r="F1872" s="26" t="str">
        <f>"XALTOCAN                                                                                                                                    "</f>
        <v xml:space="preserve">XALTOCAN                                                                                                                                    </v>
      </c>
      <c r="G1872" s="26" t="str">
        <f>"XOCHIMILCO                                                                      "</f>
        <v xml:space="preserve">XOCHIMILCO                                                                      </v>
      </c>
      <c r="H1872" s="26" t="str">
        <f>"053"</f>
        <v>053</v>
      </c>
      <c r="I1872" s="26" t="str">
        <f t="shared" si="348"/>
        <v>00</v>
      </c>
      <c r="J1872" s="26" t="str">
        <f t="shared" si="350"/>
        <v xml:space="preserve">35 </v>
      </c>
      <c r="K1872" s="26" t="str">
        <f t="shared" si="343"/>
        <v>EP</v>
      </c>
      <c r="L1872" s="26" t="str">
        <f t="shared" si="342"/>
        <v>DGOSE</v>
      </c>
      <c r="M1872" s="26" t="str">
        <f t="shared" si="346"/>
        <v>PARTICULAR</v>
      </c>
      <c r="N1872" s="26">
        <v>56</v>
      </c>
      <c r="O1872" s="26">
        <v>32</v>
      </c>
      <c r="P1872" s="26">
        <v>24</v>
      </c>
      <c r="Q1872" s="26">
        <v>3</v>
      </c>
      <c r="R1872" s="26">
        <v>1</v>
      </c>
      <c r="S1872" s="26">
        <v>2</v>
      </c>
      <c r="T1872" s="26">
        <v>9</v>
      </c>
      <c r="U1872" s="26">
        <v>12</v>
      </c>
      <c r="V1872" s="26">
        <v>1</v>
      </c>
      <c r="W1872" s="26"/>
    </row>
    <row r="1873" spans="1:23" x14ac:dyDescent="0.25">
      <c r="A1873" s="26" t="str">
        <f t="shared" si="347"/>
        <v>PREESCOLAR</v>
      </c>
      <c r="B1873" s="26" t="str">
        <f>"09PJN3665A"</f>
        <v>09PJN3665A</v>
      </c>
      <c r="C1873" s="26" t="str">
        <f>"JARDIN DE NIÑOS HAMELIN                                                                             "</f>
        <v xml:space="preserve">JARDIN DE NIÑOS HAMELIN                                                                             </v>
      </c>
      <c r="D1873" s="26" t="str">
        <f t="shared" si="341"/>
        <v>MATUTINO</v>
      </c>
      <c r="E1873" s="26" t="str">
        <f>"CALLE 25 NO. 157                                                                "</f>
        <v xml:space="preserve">CALLE 25 NO. 157                                                                </v>
      </c>
      <c r="F1873" s="26" t="str">
        <f>"OLIVAR DEL CONDE 1A SECCION                                                                                                                 "</f>
        <v xml:space="preserve">OLIVAR DEL CONDE 1A SECCION                                                                                                                 </v>
      </c>
      <c r="G1873" s="26" t="str">
        <f>"ALVARO OBREGON                                                                  "</f>
        <v xml:space="preserve">ALVARO OBREGON                                                                  </v>
      </c>
      <c r="H1873" s="26" t="str">
        <f>"122"</f>
        <v>122</v>
      </c>
      <c r="I1873" s="26" t="str">
        <f t="shared" si="348"/>
        <v>00</v>
      </c>
      <c r="J1873" s="26" t="str">
        <f>"33 "</f>
        <v xml:space="preserve">33 </v>
      </c>
      <c r="K1873" s="26" t="str">
        <f t="shared" si="343"/>
        <v>EP</v>
      </c>
      <c r="L1873" s="26" t="str">
        <f t="shared" si="342"/>
        <v>DGOSE</v>
      </c>
      <c r="M1873" s="26" t="str">
        <f t="shared" si="346"/>
        <v>PARTICULAR</v>
      </c>
      <c r="N1873" s="26">
        <v>4</v>
      </c>
      <c r="O1873" s="26">
        <v>2</v>
      </c>
      <c r="P1873" s="26">
        <v>2</v>
      </c>
      <c r="Q1873" s="26">
        <v>2</v>
      </c>
      <c r="R1873" s="26">
        <v>1</v>
      </c>
      <c r="S1873" s="26">
        <v>1</v>
      </c>
      <c r="T1873" s="26">
        <v>2</v>
      </c>
      <c r="U1873" s="26">
        <v>4</v>
      </c>
      <c r="V1873" s="26">
        <v>1</v>
      </c>
      <c r="W1873" s="26"/>
    </row>
    <row r="1874" spans="1:23" x14ac:dyDescent="0.25">
      <c r="A1874" s="26" t="str">
        <f t="shared" si="347"/>
        <v>PREESCOLAR</v>
      </c>
      <c r="B1874" s="26" t="str">
        <f>"09PJN3669X"</f>
        <v>09PJN3669X</v>
      </c>
      <c r="C1874" s="26" t="str">
        <f>"GANDHI                                                                                              "</f>
        <v xml:space="preserve">GANDHI                                                                                              </v>
      </c>
      <c r="D1874" s="26" t="str">
        <f t="shared" si="341"/>
        <v>MATUTINO</v>
      </c>
      <c r="E1874" s="26" t="str">
        <f>"PUEBLA ORIENTE NO. 122                                                          "</f>
        <v xml:space="preserve">PUEBLA ORIENTE NO. 122                                                          </v>
      </c>
      <c r="F1874" s="26" t="str">
        <f>"SANTA CRUZ BARRIO                                                                                                                           "</f>
        <v xml:space="preserve">SANTA CRUZ BARRIO                                                                                                                           </v>
      </c>
      <c r="G1874" s="26" t="str">
        <f>"MILPA ALTA                                                                      "</f>
        <v xml:space="preserve">MILPA ALTA                                                                      </v>
      </c>
      <c r="H1874" s="26" t="str">
        <f>"141"</f>
        <v>141</v>
      </c>
      <c r="I1874" s="26" t="str">
        <f t="shared" si="348"/>
        <v>00</v>
      </c>
      <c r="J1874" s="26" t="str">
        <f t="shared" ref="J1874:J1879" si="351">"35 "</f>
        <v xml:space="preserve">35 </v>
      </c>
      <c r="K1874" s="26" t="str">
        <f t="shared" si="343"/>
        <v>EP</v>
      </c>
      <c r="L1874" s="26" t="str">
        <f t="shared" si="342"/>
        <v>DGOSE</v>
      </c>
      <c r="M1874" s="26" t="str">
        <f t="shared" si="346"/>
        <v>PARTICULAR</v>
      </c>
      <c r="N1874" s="26">
        <v>22</v>
      </c>
      <c r="O1874" s="26">
        <v>13</v>
      </c>
      <c r="P1874" s="26">
        <v>9</v>
      </c>
      <c r="Q1874" s="26">
        <v>3</v>
      </c>
      <c r="R1874" s="26">
        <v>1</v>
      </c>
      <c r="S1874" s="26">
        <v>3</v>
      </c>
      <c r="T1874" s="26">
        <v>5</v>
      </c>
      <c r="U1874" s="26">
        <v>9</v>
      </c>
      <c r="V1874" s="26">
        <v>1</v>
      </c>
      <c r="W1874" s="26"/>
    </row>
    <row r="1875" spans="1:23" x14ac:dyDescent="0.25">
      <c r="A1875" s="26" t="str">
        <f t="shared" si="347"/>
        <v>PREESCOLAR</v>
      </c>
      <c r="B1875" s="26" t="str">
        <f>"09PJN3673J"</f>
        <v>09PJN3673J</v>
      </c>
      <c r="C1875" s="26" t="str">
        <f>"TLAMACHTILOYAN                                                                                      "</f>
        <v xml:space="preserve">TLAMACHTILOYAN                                                                                      </v>
      </c>
      <c r="D1875" s="26" t="str">
        <f t="shared" si="341"/>
        <v>MATUTINO</v>
      </c>
      <c r="E1875" s="26" t="str">
        <f>"CAPULIN NO. 227                                                                 "</f>
        <v xml:space="preserve">CAPULIN NO. 227                                                                 </v>
      </c>
      <c r="F1875" s="26" t="str">
        <f>"LAS PERITAS                                                                                                                                 "</f>
        <v xml:space="preserve">LAS PERITAS                                                                                                                                 </v>
      </c>
      <c r="G1875" s="26" t="str">
        <f>"XOCHIMILCO                                                                      "</f>
        <v xml:space="preserve">XOCHIMILCO                                                                      </v>
      </c>
      <c r="H1875" s="26" t="str">
        <f>"172"</f>
        <v>172</v>
      </c>
      <c r="I1875" s="26" t="str">
        <f t="shared" si="348"/>
        <v>00</v>
      </c>
      <c r="J1875" s="26" t="str">
        <f t="shared" si="351"/>
        <v xml:space="preserve">35 </v>
      </c>
      <c r="K1875" s="26" t="str">
        <f t="shared" si="343"/>
        <v>EP</v>
      </c>
      <c r="L1875" s="26" t="str">
        <f t="shared" si="342"/>
        <v>DGOSE</v>
      </c>
      <c r="M1875" s="26" t="str">
        <f t="shared" si="346"/>
        <v>PARTICULAR</v>
      </c>
      <c r="N1875" s="26">
        <v>26</v>
      </c>
      <c r="O1875" s="26">
        <v>12</v>
      </c>
      <c r="P1875" s="26">
        <v>14</v>
      </c>
      <c r="Q1875" s="26">
        <v>3</v>
      </c>
      <c r="R1875" s="26">
        <v>1</v>
      </c>
      <c r="S1875" s="26">
        <v>2</v>
      </c>
      <c r="T1875" s="26">
        <v>6</v>
      </c>
      <c r="U1875" s="26">
        <v>9</v>
      </c>
      <c r="V1875" s="26">
        <v>1</v>
      </c>
      <c r="W1875" s="26"/>
    </row>
    <row r="1876" spans="1:23" x14ac:dyDescent="0.25">
      <c r="A1876" s="26" t="str">
        <f t="shared" si="347"/>
        <v>PREESCOLAR</v>
      </c>
      <c r="B1876" s="26" t="str">
        <f>"09PJN3674I"</f>
        <v>09PJN3674I</v>
      </c>
      <c r="C1876" s="26" t="str">
        <f>"SUC-CED                                                                                             "</f>
        <v xml:space="preserve">SUC-CED                                                                                             </v>
      </c>
      <c r="D1876" s="26" t="str">
        <f t="shared" si="341"/>
        <v>MATUTINO</v>
      </c>
      <c r="E1876" s="26" t="str">
        <f>"PLAN SEXENAL NO. 64                                                             "</f>
        <v xml:space="preserve">PLAN SEXENAL NO. 64                                                             </v>
      </c>
      <c r="F1876" s="26" t="str">
        <f>"HUICHAPAN                                                                                                                                   "</f>
        <v xml:space="preserve">HUICHAPAN                                                                                                                                   </v>
      </c>
      <c r="G1876" s="26" t="str">
        <f>"XOCHIMILCO                                                                      "</f>
        <v xml:space="preserve">XOCHIMILCO                                                                      </v>
      </c>
      <c r="H1876" s="26" t="str">
        <f>"084"</f>
        <v>084</v>
      </c>
      <c r="I1876" s="26" t="str">
        <f t="shared" si="348"/>
        <v>00</v>
      </c>
      <c r="J1876" s="26" t="str">
        <f t="shared" si="351"/>
        <v xml:space="preserve">35 </v>
      </c>
      <c r="K1876" s="26" t="str">
        <f t="shared" si="343"/>
        <v>EP</v>
      </c>
      <c r="L1876" s="26" t="str">
        <f t="shared" si="342"/>
        <v>DGOSE</v>
      </c>
      <c r="M1876" s="26" t="str">
        <f t="shared" si="346"/>
        <v>PARTICULAR</v>
      </c>
      <c r="N1876" s="26">
        <v>9</v>
      </c>
      <c r="O1876" s="26">
        <v>8</v>
      </c>
      <c r="P1876" s="26">
        <v>1</v>
      </c>
      <c r="Q1876" s="26">
        <v>3</v>
      </c>
      <c r="R1876" s="26">
        <v>1</v>
      </c>
      <c r="S1876" s="26">
        <v>2</v>
      </c>
      <c r="T1876" s="26">
        <v>4</v>
      </c>
      <c r="U1876" s="26">
        <v>7</v>
      </c>
      <c r="V1876" s="26">
        <v>1</v>
      </c>
      <c r="W1876" s="26"/>
    </row>
    <row r="1877" spans="1:23" x14ac:dyDescent="0.25">
      <c r="A1877" s="26" t="str">
        <f t="shared" si="347"/>
        <v>PREESCOLAR</v>
      </c>
      <c r="B1877" s="26" t="str">
        <f>"09PJN3675H"</f>
        <v>09PJN3675H</v>
      </c>
      <c r="C1877" s="26" t="str">
        <f>"COLEGIO IZTACCIHUATL                                                                                "</f>
        <v xml:space="preserve">COLEGIO IZTACCIHUATL                                                                                </v>
      </c>
      <c r="D1877" s="26" t="str">
        <f t="shared" si="341"/>
        <v>MATUTINO</v>
      </c>
      <c r="E1877" s="26" t="str">
        <f>"LAZARO CARDENAS NO. 51                                                          "</f>
        <v xml:space="preserve">LAZARO CARDENAS NO. 51                                                          </v>
      </c>
      <c r="F1877" s="26" t="str">
        <f>"SAN GREGORIO ATLAPULCO                                                                                                                      "</f>
        <v xml:space="preserve">SAN GREGORIO ATLAPULCO                                                                                                                      </v>
      </c>
      <c r="G1877" s="26" t="str">
        <f>"XOCHIMILCO                                                                      "</f>
        <v xml:space="preserve">XOCHIMILCO                                                                      </v>
      </c>
      <c r="H1877" s="26" t="str">
        <f>"081"</f>
        <v>081</v>
      </c>
      <c r="I1877" s="26" t="str">
        <f t="shared" si="348"/>
        <v>00</v>
      </c>
      <c r="J1877" s="26" t="str">
        <f t="shared" si="351"/>
        <v xml:space="preserve">35 </v>
      </c>
      <c r="K1877" s="26" t="str">
        <f t="shared" si="343"/>
        <v>EP</v>
      </c>
      <c r="L1877" s="26" t="str">
        <f t="shared" si="342"/>
        <v>DGOSE</v>
      </c>
      <c r="M1877" s="26" t="str">
        <f t="shared" si="346"/>
        <v>PARTICULAR</v>
      </c>
      <c r="N1877" s="26">
        <v>47</v>
      </c>
      <c r="O1877" s="26">
        <v>19</v>
      </c>
      <c r="P1877" s="26">
        <v>28</v>
      </c>
      <c r="Q1877" s="26">
        <v>3</v>
      </c>
      <c r="R1877" s="26">
        <v>1</v>
      </c>
      <c r="S1877" s="26">
        <v>2</v>
      </c>
      <c r="T1877" s="26">
        <v>7</v>
      </c>
      <c r="U1877" s="26">
        <v>10</v>
      </c>
      <c r="V1877" s="26">
        <v>1</v>
      </c>
      <c r="W1877" s="26"/>
    </row>
    <row r="1878" spans="1:23" x14ac:dyDescent="0.25">
      <c r="A1878" s="26" t="str">
        <f t="shared" si="347"/>
        <v>PREESCOLAR</v>
      </c>
      <c r="B1878" s="26" t="str">
        <f>"09PJN3676G"</f>
        <v>09PJN3676G</v>
      </c>
      <c r="C1878" s="26" t="str">
        <f>"COLEGIO AMEYALLI                                                                                    "</f>
        <v xml:space="preserve">COLEGIO AMEYALLI                                                                                    </v>
      </c>
      <c r="D1878" s="26" t="str">
        <f t="shared" si="341"/>
        <v>MATUTINO</v>
      </c>
      <c r="E1878" s="26" t="str">
        <f>"JACARANDAS NO.61                                                                "</f>
        <v xml:space="preserve">JACARANDAS NO.61                                                                </v>
      </c>
      <c r="F1878" s="26" t="str">
        <f>"SAN GREGORIO ATLAPULCO                                                                                                                      "</f>
        <v xml:space="preserve">SAN GREGORIO ATLAPULCO                                                                                                                      </v>
      </c>
      <c r="G1878" s="26" t="str">
        <f>"XOCHIMILCO                                                                      "</f>
        <v xml:space="preserve">XOCHIMILCO                                                                      </v>
      </c>
      <c r="H1878" s="26" t="str">
        <f>"053"</f>
        <v>053</v>
      </c>
      <c r="I1878" s="26" t="str">
        <f t="shared" si="348"/>
        <v>00</v>
      </c>
      <c r="J1878" s="26" t="str">
        <f t="shared" si="351"/>
        <v xml:space="preserve">35 </v>
      </c>
      <c r="K1878" s="26" t="str">
        <f t="shared" si="343"/>
        <v>EP</v>
      </c>
      <c r="L1878" s="26" t="str">
        <f t="shared" si="342"/>
        <v>DGOSE</v>
      </c>
      <c r="M1878" s="26" t="str">
        <f t="shared" si="346"/>
        <v>PARTICULAR</v>
      </c>
      <c r="N1878" s="26">
        <v>25</v>
      </c>
      <c r="O1878" s="26">
        <v>16</v>
      </c>
      <c r="P1878" s="26">
        <v>9</v>
      </c>
      <c r="Q1878" s="26">
        <v>3</v>
      </c>
      <c r="R1878" s="26">
        <v>1</v>
      </c>
      <c r="S1878" s="26">
        <v>3</v>
      </c>
      <c r="T1878" s="26">
        <v>2</v>
      </c>
      <c r="U1878" s="26">
        <v>6</v>
      </c>
      <c r="V1878" s="26">
        <v>1</v>
      </c>
      <c r="W1878" s="26"/>
    </row>
    <row r="1879" spans="1:23" x14ac:dyDescent="0.25">
      <c r="A1879" s="26" t="str">
        <f t="shared" si="347"/>
        <v>PREESCOLAR</v>
      </c>
      <c r="B1879" s="26" t="str">
        <f>"09PJN3679D"</f>
        <v>09PJN3679D</v>
      </c>
      <c r="C1879" s="26" t="str">
        <f>"CENTRO EDUCATIVO MONTESSORI ISKU IREKHORENI                                                         "</f>
        <v xml:space="preserve">CENTRO EDUCATIVO MONTESSORI ISKU IREKHORENI                                                         </v>
      </c>
      <c r="D1879" s="26" t="str">
        <f t="shared" si="341"/>
        <v>MATUTINO</v>
      </c>
      <c r="E1879" s="26" t="str">
        <f>"PROLONGACION DIVISION DEL NORTE NO. 35                                          "</f>
        <v xml:space="preserve">PROLONGACION DIVISION DEL NORTE NO. 35                                          </v>
      </c>
      <c r="F1879" s="26" t="str">
        <f>"XOCHIMILCO                                                                                                                                  "</f>
        <v xml:space="preserve">XOCHIMILCO                                                                                                                                  </v>
      </c>
      <c r="G1879" s="26" t="str">
        <f>"XOCHIMILCO                                                                      "</f>
        <v xml:space="preserve">XOCHIMILCO                                                                      </v>
      </c>
      <c r="H1879" s="26" t="str">
        <f>"141"</f>
        <v>141</v>
      </c>
      <c r="I1879" s="26" t="str">
        <f t="shared" si="348"/>
        <v>00</v>
      </c>
      <c r="J1879" s="26" t="str">
        <f t="shared" si="351"/>
        <v xml:space="preserve">35 </v>
      </c>
      <c r="K1879" s="26" t="str">
        <f t="shared" si="343"/>
        <v>EP</v>
      </c>
      <c r="L1879" s="26" t="str">
        <f t="shared" si="342"/>
        <v>DGOSE</v>
      </c>
      <c r="M1879" s="26" t="str">
        <f t="shared" si="346"/>
        <v>PARTICULAR</v>
      </c>
      <c r="N1879" s="26">
        <v>48</v>
      </c>
      <c r="O1879" s="26">
        <v>23</v>
      </c>
      <c r="P1879" s="26">
        <v>25</v>
      </c>
      <c r="Q1879" s="26">
        <v>3</v>
      </c>
      <c r="R1879" s="26">
        <v>1</v>
      </c>
      <c r="S1879" s="26">
        <v>2</v>
      </c>
      <c r="T1879" s="26">
        <v>3</v>
      </c>
      <c r="U1879" s="26">
        <v>6</v>
      </c>
      <c r="V1879" s="26">
        <v>1</v>
      </c>
      <c r="W1879" s="26"/>
    </row>
    <row r="1880" spans="1:23" x14ac:dyDescent="0.25">
      <c r="A1880" s="26" t="str">
        <f t="shared" si="347"/>
        <v>PREESCOLAR</v>
      </c>
      <c r="B1880" s="26" t="str">
        <f>"09PJN3681S"</f>
        <v>09PJN3681S</v>
      </c>
      <c r="C1880" s="26" t="str">
        <f>"KURUWI LUGAR DE NIÑOS                                                                               "</f>
        <v xml:space="preserve">KURUWI LUGAR DE NIÑOS                                                                               </v>
      </c>
      <c r="D1880" s="26" t="str">
        <f t="shared" si="341"/>
        <v>MATUTINO</v>
      </c>
      <c r="E1880" s="26" t="str">
        <f>"COLEGIO NO. 777                                                                 "</f>
        <v xml:space="preserve">COLEGIO NO. 777                                                                 </v>
      </c>
      <c r="F1880" s="26" t="str">
        <f>"JARDINES DEL PEDREGAL                                                                                                                       "</f>
        <v xml:space="preserve">JARDINES DEL PEDREGAL                                                                                                                       </v>
      </c>
      <c r="G1880" s="26" t="str">
        <f>"ALVARO OBREGON                                                                  "</f>
        <v xml:space="preserve">ALVARO OBREGON                                                                  </v>
      </c>
      <c r="H1880" s="26" t="str">
        <f>"150"</f>
        <v>150</v>
      </c>
      <c r="I1880" s="26" t="str">
        <f t="shared" si="348"/>
        <v>00</v>
      </c>
      <c r="J1880" s="26" t="str">
        <f>"33 "</f>
        <v xml:space="preserve">33 </v>
      </c>
      <c r="K1880" s="26" t="str">
        <f t="shared" si="343"/>
        <v>EP</v>
      </c>
      <c r="L1880" s="26" t="str">
        <f t="shared" si="342"/>
        <v>DGOSE</v>
      </c>
      <c r="M1880" s="26" t="str">
        <f t="shared" si="346"/>
        <v>PARTICULAR</v>
      </c>
      <c r="N1880" s="26">
        <v>144</v>
      </c>
      <c r="O1880" s="26">
        <v>82</v>
      </c>
      <c r="P1880" s="26">
        <v>62</v>
      </c>
      <c r="Q1880" s="26">
        <v>7</v>
      </c>
      <c r="R1880" s="26">
        <v>1</v>
      </c>
      <c r="S1880" s="26">
        <v>7</v>
      </c>
      <c r="T1880" s="26">
        <v>13</v>
      </c>
      <c r="U1880" s="26">
        <v>21</v>
      </c>
      <c r="V1880" s="26">
        <v>1</v>
      </c>
      <c r="W1880" s="26"/>
    </row>
    <row r="1881" spans="1:23" x14ac:dyDescent="0.25">
      <c r="A1881" s="26" t="str">
        <f t="shared" si="347"/>
        <v>PREESCOLAR</v>
      </c>
      <c r="B1881" s="26" t="str">
        <f>"09PJN3682R"</f>
        <v>09PJN3682R</v>
      </c>
      <c r="C1881" s="26" t="str">
        <f>"CENTRO EDUCATIVO ALFRED ADLER                                                                       "</f>
        <v xml:space="preserve">CENTRO EDUCATIVO ALFRED ADLER                                                                       </v>
      </c>
      <c r="D1881" s="26" t="str">
        <f t="shared" si="341"/>
        <v>MATUTINO</v>
      </c>
      <c r="E1881" s="26" t="str">
        <f>"SUR 112 A  NO. 27                                                               "</f>
        <v xml:space="preserve">SUR 112 A  NO. 27                                                               </v>
      </c>
      <c r="F1881" s="26" t="str">
        <f>"COVE                                                                                                                                        "</f>
        <v xml:space="preserve">COVE                                                                                                                                        </v>
      </c>
      <c r="G1881" s="26" t="str">
        <f>"ALVARO OBREGON                                                                  "</f>
        <v xml:space="preserve">ALVARO OBREGON                                                                  </v>
      </c>
      <c r="H1881" s="26" t="str">
        <f>"219"</f>
        <v>219</v>
      </c>
      <c r="I1881" s="26" t="str">
        <f t="shared" si="348"/>
        <v>00</v>
      </c>
      <c r="J1881" s="26" t="str">
        <f>"33 "</f>
        <v xml:space="preserve">33 </v>
      </c>
      <c r="K1881" s="26" t="str">
        <f t="shared" si="343"/>
        <v>EP</v>
      </c>
      <c r="L1881" s="26" t="str">
        <f t="shared" si="342"/>
        <v>DGOSE</v>
      </c>
      <c r="M1881" s="26" t="str">
        <f t="shared" si="346"/>
        <v>PARTICULAR</v>
      </c>
      <c r="N1881" s="26">
        <v>57</v>
      </c>
      <c r="O1881" s="26">
        <v>26</v>
      </c>
      <c r="P1881" s="26">
        <v>31</v>
      </c>
      <c r="Q1881" s="26">
        <v>3</v>
      </c>
      <c r="R1881" s="26">
        <v>1</v>
      </c>
      <c r="S1881" s="26">
        <v>3</v>
      </c>
      <c r="T1881" s="26">
        <v>3</v>
      </c>
      <c r="U1881" s="26">
        <v>7</v>
      </c>
      <c r="V1881" s="26">
        <v>1</v>
      </c>
      <c r="W1881" s="26"/>
    </row>
    <row r="1882" spans="1:23" x14ac:dyDescent="0.25">
      <c r="A1882" s="26" t="str">
        <f t="shared" si="347"/>
        <v>PREESCOLAR</v>
      </c>
      <c r="B1882" s="26" t="str">
        <f>"09PJN3688L"</f>
        <v>09PJN3688L</v>
      </c>
      <c r="C1882" s="26" t="str">
        <f>"FRAY GARCIA DE CISNEROS                                                                             "</f>
        <v xml:space="preserve">FRAY GARCIA DE CISNEROS                                                                             </v>
      </c>
      <c r="D1882" s="26" t="str">
        <f t="shared" si="341"/>
        <v>MATUTINO</v>
      </c>
      <c r="E1882" s="26" t="str">
        <f>"INSURGENTES NORTE NO. 1590                                                      "</f>
        <v xml:space="preserve">INSURGENTES NORTE NO. 1590                                                      </v>
      </c>
      <c r="F1882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1882" s="26" t="str">
        <f>"GUSTAVO A. MADERO                                                               "</f>
        <v xml:space="preserve">GUSTAVO A. MADERO                                                               </v>
      </c>
      <c r="H1882" s="26" t="str">
        <f>"117"</f>
        <v>117</v>
      </c>
      <c r="I1882" s="26" t="str">
        <f t="shared" si="348"/>
        <v>00</v>
      </c>
      <c r="J1882" s="26" t="str">
        <f>"32 "</f>
        <v xml:space="preserve">32 </v>
      </c>
      <c r="K1882" s="26" t="str">
        <f t="shared" si="343"/>
        <v>EP</v>
      </c>
      <c r="L1882" s="26" t="str">
        <f t="shared" si="342"/>
        <v>DGOSE</v>
      </c>
      <c r="M1882" s="26" t="str">
        <f t="shared" si="346"/>
        <v>PARTICULAR</v>
      </c>
      <c r="N1882" s="26">
        <v>45</v>
      </c>
      <c r="O1882" s="26">
        <v>24</v>
      </c>
      <c r="P1882" s="26">
        <v>21</v>
      </c>
      <c r="Q1882" s="26">
        <v>3</v>
      </c>
      <c r="R1882" s="26">
        <v>1</v>
      </c>
      <c r="S1882" s="26">
        <v>3</v>
      </c>
      <c r="T1882" s="26">
        <v>6</v>
      </c>
      <c r="U1882" s="26">
        <v>10</v>
      </c>
      <c r="V1882" s="26">
        <v>1</v>
      </c>
      <c r="W1882" s="26"/>
    </row>
    <row r="1883" spans="1:23" x14ac:dyDescent="0.25">
      <c r="A1883" s="26" t="str">
        <f t="shared" si="347"/>
        <v>PREESCOLAR</v>
      </c>
      <c r="B1883" s="26" t="str">
        <f>"09PJN3689K"</f>
        <v>09PJN3689K</v>
      </c>
      <c r="C1883" s="26" t="str">
        <f>"CENTRO DE DESARROLLO INFANTIL MUNDO FELIZ                                                           "</f>
        <v xml:space="preserve">CENTRO DE DESARROLLO INFANTIL MUNDO FELIZ                                                           </v>
      </c>
      <c r="D1883" s="26" t="str">
        <f t="shared" si="341"/>
        <v>MATUTINO</v>
      </c>
      <c r="E1883" s="26" t="str">
        <f>"NETZAHUALCOYOTL NO. 126                                                         "</f>
        <v xml:space="preserve">NETZAHUALCOYOTL NO. 126                                                         </v>
      </c>
      <c r="F1883" s="26" t="str">
        <f>"ARAGON                                                                                                                                      "</f>
        <v xml:space="preserve">ARAGON                                                                                                                                      </v>
      </c>
      <c r="G1883" s="26" t="str">
        <f>"GUSTAVO A. MADERO                                                               "</f>
        <v xml:space="preserve">GUSTAVO A. MADERO                                                               </v>
      </c>
      <c r="H1883" s="26" t="str">
        <f>"006"</f>
        <v>006</v>
      </c>
      <c r="I1883" s="26" t="str">
        <f t="shared" si="348"/>
        <v>00</v>
      </c>
      <c r="J1883" s="26" t="str">
        <f>"32 "</f>
        <v xml:space="preserve">32 </v>
      </c>
      <c r="K1883" s="26" t="str">
        <f t="shared" si="343"/>
        <v>EP</v>
      </c>
      <c r="L1883" s="26" t="str">
        <f t="shared" si="342"/>
        <v>DGOSE</v>
      </c>
      <c r="M1883" s="26" t="str">
        <f t="shared" si="346"/>
        <v>PARTICULAR</v>
      </c>
      <c r="N1883" s="26">
        <v>168</v>
      </c>
      <c r="O1883" s="26">
        <v>84</v>
      </c>
      <c r="P1883" s="26">
        <v>84</v>
      </c>
      <c r="Q1883" s="26">
        <v>6</v>
      </c>
      <c r="R1883" s="26">
        <v>1</v>
      </c>
      <c r="S1883" s="26">
        <v>6</v>
      </c>
      <c r="T1883" s="26">
        <v>10</v>
      </c>
      <c r="U1883" s="26">
        <v>17</v>
      </c>
      <c r="V1883" s="26">
        <v>1</v>
      </c>
      <c r="W1883" s="26"/>
    </row>
    <row r="1884" spans="1:23" x14ac:dyDescent="0.25">
      <c r="A1884" s="26" t="str">
        <f t="shared" si="347"/>
        <v>PREESCOLAR</v>
      </c>
      <c r="B1884" s="26" t="str">
        <f>"09PJN3695V"</f>
        <v>09PJN3695V</v>
      </c>
      <c r="C1884" s="26" t="str">
        <f>"KINDER YACATIA                                                                                      "</f>
        <v xml:space="preserve">KINDER YACATIA                                                                                      </v>
      </c>
      <c r="D1884" s="26" t="str">
        <f t="shared" si="341"/>
        <v>MATUTINO</v>
      </c>
      <c r="E1884" s="26" t="str">
        <f>"BUENAVISTA No. 79                                                               "</f>
        <v xml:space="preserve">BUENAVISTA No. 79                                                               </v>
      </c>
      <c r="F1884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1884" s="26" t="str">
        <f>"GUSTAVO A. MADERO                                                               "</f>
        <v xml:space="preserve">GUSTAVO A. MADERO                                                               </v>
      </c>
      <c r="H1884" s="26" t="str">
        <f>"073"</f>
        <v>073</v>
      </c>
      <c r="I1884" s="26" t="str">
        <f t="shared" si="348"/>
        <v>00</v>
      </c>
      <c r="J1884" s="26" t="str">
        <f>"32 "</f>
        <v xml:space="preserve">32 </v>
      </c>
      <c r="K1884" s="26" t="str">
        <f t="shared" si="343"/>
        <v>EP</v>
      </c>
      <c r="L1884" s="26" t="str">
        <f t="shared" si="342"/>
        <v>DGOSE</v>
      </c>
      <c r="M1884" s="26" t="str">
        <f t="shared" si="346"/>
        <v>PARTICULAR</v>
      </c>
      <c r="N1884" s="26">
        <v>76</v>
      </c>
      <c r="O1884" s="26">
        <v>33</v>
      </c>
      <c r="P1884" s="26">
        <v>43</v>
      </c>
      <c r="Q1884" s="26">
        <v>7</v>
      </c>
      <c r="R1884" s="26">
        <v>1</v>
      </c>
      <c r="S1884" s="26">
        <v>3</v>
      </c>
      <c r="T1884" s="26">
        <v>4</v>
      </c>
      <c r="U1884" s="26">
        <v>8</v>
      </c>
      <c r="V1884" s="26">
        <v>1</v>
      </c>
      <c r="W1884" s="26"/>
    </row>
    <row r="1885" spans="1:23" x14ac:dyDescent="0.25">
      <c r="A1885" s="26" t="str">
        <f t="shared" si="347"/>
        <v>PREESCOLAR</v>
      </c>
      <c r="B1885" s="26" t="str">
        <f>"09PJN3697T"</f>
        <v>09PJN3697T</v>
      </c>
      <c r="C1885" s="26" t="str">
        <f>"VILLA MONTESSORI                                                                                    "</f>
        <v xml:space="preserve">VILLA MONTESSORI                                                                                    </v>
      </c>
      <c r="D1885" s="26" t="str">
        <f t="shared" si="341"/>
        <v>MATUTINO</v>
      </c>
      <c r="E1885" s="26" t="str">
        <f>"UNION NO. 272                                                                   "</f>
        <v xml:space="preserve">UNION NO. 272                                                                   </v>
      </c>
      <c r="F1885" s="26" t="str">
        <f>"TEPEYAC INSURGENTES                                                                                                                         "</f>
        <v xml:space="preserve">TEPEYAC INSURGENTES                                                                                                                         </v>
      </c>
      <c r="G1885" s="26" t="str">
        <f>"GUSTAVO A. MADERO                                                               "</f>
        <v xml:space="preserve">GUSTAVO A. MADERO                                                               </v>
      </c>
      <c r="H1885" s="26" t="str">
        <f>"095"</f>
        <v>095</v>
      </c>
      <c r="I1885" s="26" t="str">
        <f t="shared" si="348"/>
        <v>00</v>
      </c>
      <c r="J1885" s="26" t="str">
        <f>"32 "</f>
        <v xml:space="preserve">32 </v>
      </c>
      <c r="K1885" s="26" t="str">
        <f t="shared" si="343"/>
        <v>EP</v>
      </c>
      <c r="L1885" s="26" t="str">
        <f t="shared" si="342"/>
        <v>DGOSE</v>
      </c>
      <c r="M1885" s="26" t="str">
        <f t="shared" si="346"/>
        <v>PARTICULAR</v>
      </c>
      <c r="N1885" s="26">
        <v>29</v>
      </c>
      <c r="O1885" s="26">
        <v>15</v>
      </c>
      <c r="P1885" s="26">
        <v>14</v>
      </c>
      <c r="Q1885" s="26">
        <v>3</v>
      </c>
      <c r="R1885" s="26">
        <v>1</v>
      </c>
      <c r="S1885" s="26">
        <v>2</v>
      </c>
      <c r="T1885" s="26">
        <v>2</v>
      </c>
      <c r="U1885" s="26">
        <v>5</v>
      </c>
      <c r="V1885" s="26">
        <v>1</v>
      </c>
      <c r="W1885" s="26"/>
    </row>
    <row r="1886" spans="1:23" x14ac:dyDescent="0.25">
      <c r="A1886" s="26" t="str">
        <f t="shared" si="347"/>
        <v>PREESCOLAR</v>
      </c>
      <c r="B1886" s="26" t="str">
        <f>"09PJN3698S"</f>
        <v>09PJN3698S</v>
      </c>
      <c r="C1886" s="26" t="str">
        <f>"ENRIQUE DUNANT                                                                                      "</f>
        <v xml:space="preserve">ENRIQUE DUNANT                                                                                      </v>
      </c>
      <c r="D1886" s="26" t="str">
        <f t="shared" si="341"/>
        <v>MATUTINO</v>
      </c>
      <c r="E1886" s="26" t="str">
        <f>"BOULEVARD DEL TEMOLUCO NO. 108                                                  "</f>
        <v xml:space="preserve">BOULEVARD DEL TEMOLUCO NO. 108                                                  </v>
      </c>
      <c r="F1886" s="26" t="str">
        <f>"ACUEDUCTO DE GUADALUPE                                                                                                                      "</f>
        <v xml:space="preserve">ACUEDUCTO DE GUADALUPE                                                                                                                      </v>
      </c>
      <c r="G1886" s="26" t="str">
        <f>"GUSTAVO A. MADERO                                                               "</f>
        <v xml:space="preserve">GUSTAVO A. MADERO                                                               </v>
      </c>
      <c r="H1886" s="26" t="str">
        <f>"196"</f>
        <v>196</v>
      </c>
      <c r="I1886" s="26" t="str">
        <f t="shared" si="348"/>
        <v>00</v>
      </c>
      <c r="J1886" s="26" t="str">
        <f>"32 "</f>
        <v xml:space="preserve">32 </v>
      </c>
      <c r="K1886" s="26" t="str">
        <f t="shared" si="343"/>
        <v>EP</v>
      </c>
      <c r="L1886" s="26" t="str">
        <f t="shared" si="342"/>
        <v>DGOSE</v>
      </c>
      <c r="M1886" s="26" t="str">
        <f t="shared" si="346"/>
        <v>PARTICULAR</v>
      </c>
      <c r="N1886" s="26">
        <v>41</v>
      </c>
      <c r="O1886" s="26">
        <v>19</v>
      </c>
      <c r="P1886" s="26">
        <v>22</v>
      </c>
      <c r="Q1886" s="26">
        <v>3</v>
      </c>
      <c r="R1886" s="26">
        <v>1</v>
      </c>
      <c r="S1886" s="26">
        <v>2</v>
      </c>
      <c r="T1886" s="26">
        <v>3</v>
      </c>
      <c r="U1886" s="26">
        <v>6</v>
      </c>
      <c r="V1886" s="26">
        <v>1</v>
      </c>
      <c r="W1886" s="26"/>
    </row>
    <row r="1887" spans="1:23" x14ac:dyDescent="0.25">
      <c r="A1887" s="26" t="str">
        <f t="shared" si="347"/>
        <v>PREESCOLAR</v>
      </c>
      <c r="B1887" s="26" t="str">
        <f>"09PJN3701P"</f>
        <v>09PJN3701P</v>
      </c>
      <c r="C1887" s="26" t="str">
        <f>"CENTRO ESCOLAR EDUCATIVO HARLEQUIN                                                                  "</f>
        <v xml:space="preserve">CENTRO ESCOLAR EDUCATIVO HARLEQUIN                                                                  </v>
      </c>
      <c r="D1887" s="26" t="str">
        <f t="shared" si="341"/>
        <v>MATUTINO</v>
      </c>
      <c r="E1887" s="26" t="str">
        <f>"AV. LOMAS DE GUADALUPE NO. 290                                                  "</f>
        <v xml:space="preserve">AV. LOMAS DE GUADALUPE NO. 290                                                  </v>
      </c>
      <c r="F1887" s="26" t="str">
        <f>"LOMAS DE GUADALUPE FRACCIONAMIENTO                                                                                                          "</f>
        <v xml:space="preserve">LOMAS DE GUADALUPE FRACCIONAMIENTO                                                                                                          </v>
      </c>
      <c r="G1887" s="26" t="str">
        <f>"ALVARO OBREGON                                                                  "</f>
        <v xml:space="preserve">ALVARO OBREGON                                                                  </v>
      </c>
      <c r="H1887" s="26" t="str">
        <f>"215"</f>
        <v>215</v>
      </c>
      <c r="I1887" s="26" t="str">
        <f t="shared" si="348"/>
        <v>00</v>
      </c>
      <c r="J1887" s="26" t="str">
        <f>"33 "</f>
        <v xml:space="preserve">33 </v>
      </c>
      <c r="K1887" s="26" t="str">
        <f t="shared" si="343"/>
        <v>EP</v>
      </c>
      <c r="L1887" s="26" t="str">
        <f t="shared" si="342"/>
        <v>DGOSE</v>
      </c>
      <c r="M1887" s="26" t="str">
        <f t="shared" si="346"/>
        <v>PARTICULAR</v>
      </c>
      <c r="N1887" s="26">
        <v>67</v>
      </c>
      <c r="O1887" s="26">
        <v>37</v>
      </c>
      <c r="P1887" s="26">
        <v>30</v>
      </c>
      <c r="Q1887" s="26">
        <v>6</v>
      </c>
      <c r="R1887" s="26">
        <v>1</v>
      </c>
      <c r="S1887" s="26">
        <v>3</v>
      </c>
      <c r="T1887" s="26">
        <v>4</v>
      </c>
      <c r="U1887" s="26">
        <v>8</v>
      </c>
      <c r="V1887" s="26">
        <v>1</v>
      </c>
      <c r="W1887" s="26"/>
    </row>
    <row r="1888" spans="1:23" x14ac:dyDescent="0.25">
      <c r="A1888" s="26" t="str">
        <f t="shared" si="347"/>
        <v>PREESCOLAR</v>
      </c>
      <c r="B1888" s="26" t="str">
        <f>"09PJN3703N"</f>
        <v>09PJN3703N</v>
      </c>
      <c r="C1888" s="26" t="str">
        <f>"JARDIN DE NIÑOS TU CASITA                                                                           "</f>
        <v xml:space="preserve">JARDIN DE NIÑOS TU CASITA                                                                           </v>
      </c>
      <c r="D1888" s="26" t="str">
        <f t="shared" si="341"/>
        <v>MATUTINO</v>
      </c>
      <c r="E1888" s="26" t="str">
        <f>"AV. 527 NO. 5                                                                   "</f>
        <v xml:space="preserve">AV. 527 NO. 5                                                                   </v>
      </c>
      <c r="F1888" s="26" t="str">
        <f>"UNIDAD SAN JUAN DE ARAGON 1A SECCIO                                                                                                         "</f>
        <v xml:space="preserve">UNIDAD SAN JUAN DE ARAGON 1A SECCIO                                                                                                         </v>
      </c>
      <c r="G1888" s="26" t="str">
        <f>"GUSTAVO A. MADERO                                                               "</f>
        <v xml:space="preserve">GUSTAVO A. MADERO                                                               </v>
      </c>
      <c r="H1888" s="26" t="str">
        <f>"095"</f>
        <v>095</v>
      </c>
      <c r="I1888" s="26" t="str">
        <f t="shared" si="348"/>
        <v>00</v>
      </c>
      <c r="J1888" s="26" t="str">
        <f>"32 "</f>
        <v xml:space="preserve">32 </v>
      </c>
      <c r="K1888" s="26" t="str">
        <f t="shared" si="343"/>
        <v>EP</v>
      </c>
      <c r="L1888" s="26" t="str">
        <f t="shared" si="342"/>
        <v>DGOSE</v>
      </c>
      <c r="M1888" s="26" t="str">
        <f t="shared" si="346"/>
        <v>PARTICULAR</v>
      </c>
      <c r="N1888" s="26">
        <v>20</v>
      </c>
      <c r="O1888" s="26">
        <v>7</v>
      </c>
      <c r="P1888" s="26">
        <v>13</v>
      </c>
      <c r="Q1888" s="26">
        <v>3</v>
      </c>
      <c r="R1888" s="26">
        <v>1</v>
      </c>
      <c r="S1888" s="26">
        <v>3</v>
      </c>
      <c r="T1888" s="26">
        <v>2</v>
      </c>
      <c r="U1888" s="26">
        <v>6</v>
      </c>
      <c r="V1888" s="26">
        <v>1</v>
      </c>
      <c r="W1888" s="26"/>
    </row>
    <row r="1889" spans="1:23" x14ac:dyDescent="0.25">
      <c r="A1889" s="26" t="str">
        <f t="shared" si="347"/>
        <v>PREESCOLAR</v>
      </c>
      <c r="B1889" s="26" t="str">
        <f>"09PJN3706K"</f>
        <v>09PJN3706K</v>
      </c>
      <c r="C1889" s="26" t="str">
        <f>"JARDIN DE NIÑOS SANTA CRUZ ALTILLO                                                                  "</f>
        <v xml:space="preserve">JARDIN DE NIÑOS SANTA CRUZ ALTILLO                                                                  </v>
      </c>
      <c r="D1889" s="26" t="str">
        <f t="shared" si="341"/>
        <v>MATUTINO</v>
      </c>
      <c r="E1889" s="26" t="str">
        <f>"EMILIANO ZAPATA NO. 437                                                         "</f>
        <v xml:space="preserve">EMILIANO ZAPATA NO. 437                                                         </v>
      </c>
      <c r="F1889" s="26" t="str">
        <f>"SANTA CRUZ ATOYAC                                                                                                                           "</f>
        <v xml:space="preserve">SANTA CRUZ ATOYAC                                                                                                                           </v>
      </c>
      <c r="G1889" s="26" t="str">
        <f>"BENITO JUAREZ                                                                   "</f>
        <v xml:space="preserve">BENITO JUAREZ                                                                   </v>
      </c>
      <c r="H1889" s="26" t="str">
        <f>"037"</f>
        <v>037</v>
      </c>
      <c r="I1889" s="26" t="str">
        <f t="shared" si="348"/>
        <v>00</v>
      </c>
      <c r="J1889" s="26" t="str">
        <f>"33 "</f>
        <v xml:space="preserve">33 </v>
      </c>
      <c r="K1889" s="26" t="str">
        <f t="shared" si="343"/>
        <v>EP</v>
      </c>
      <c r="L1889" s="26" t="str">
        <f t="shared" si="342"/>
        <v>DGOSE</v>
      </c>
      <c r="M1889" s="26" t="str">
        <f t="shared" si="346"/>
        <v>PARTICULAR</v>
      </c>
      <c r="N1889" s="26">
        <v>36</v>
      </c>
      <c r="O1889" s="26">
        <v>24</v>
      </c>
      <c r="P1889" s="26">
        <v>12</v>
      </c>
      <c r="Q1889" s="26">
        <v>3</v>
      </c>
      <c r="R1889" s="26">
        <v>1</v>
      </c>
      <c r="S1889" s="26">
        <v>3</v>
      </c>
      <c r="T1889" s="26">
        <v>1</v>
      </c>
      <c r="U1889" s="26">
        <v>5</v>
      </c>
      <c r="V1889" s="26">
        <v>1</v>
      </c>
      <c r="W1889" s="26"/>
    </row>
    <row r="1890" spans="1:23" x14ac:dyDescent="0.25">
      <c r="A1890" s="26" t="str">
        <f t="shared" si="347"/>
        <v>PREESCOLAR</v>
      </c>
      <c r="B1890" s="26" t="str">
        <f>"09PJN3708I"</f>
        <v>09PJN3708I</v>
      </c>
      <c r="C1890" s="26" t="str">
        <f>"JARDÍN DE NIÑOS ANGELAN                                                                             "</f>
        <v xml:space="preserve">JARDÍN DE NIÑOS ANGELAN                                                                             </v>
      </c>
      <c r="D1890" s="26" t="str">
        <f t="shared" si="341"/>
        <v>MATUTINO</v>
      </c>
      <c r="E1890" s="26" t="str">
        <f>"AV. UNIVERSIDAD NO. 1871- A (CASA 2)                                            "</f>
        <v xml:space="preserve">AV. UNIVERSIDAD NO. 1871- A (CASA 2)                                            </v>
      </c>
      <c r="F1890" s="26" t="str">
        <f>"OXTOPULCO                                                                                                                                   "</f>
        <v xml:space="preserve">OXTOPULCO                                                                                                                                   </v>
      </c>
      <c r="G1890" s="26" t="str">
        <f>"COYOACAN                                                                        "</f>
        <v xml:space="preserve">COYOACAN                                                                        </v>
      </c>
      <c r="H1890" s="26" t="str">
        <f>"137"</f>
        <v>137</v>
      </c>
      <c r="I1890" s="26" t="str">
        <f t="shared" si="348"/>
        <v>00</v>
      </c>
      <c r="J1890" s="26" t="str">
        <f>"35 "</f>
        <v xml:space="preserve">35 </v>
      </c>
      <c r="K1890" s="26" t="str">
        <f t="shared" si="343"/>
        <v>EP</v>
      </c>
      <c r="L1890" s="26" t="str">
        <f t="shared" si="342"/>
        <v>DGOSE</v>
      </c>
      <c r="M1890" s="26" t="str">
        <f t="shared" si="346"/>
        <v>PARTICULAR</v>
      </c>
      <c r="N1890" s="26">
        <v>23</v>
      </c>
      <c r="O1890" s="26">
        <v>8</v>
      </c>
      <c r="P1890" s="26">
        <v>15</v>
      </c>
      <c r="Q1890" s="26">
        <v>3</v>
      </c>
      <c r="R1890" s="26">
        <v>1</v>
      </c>
      <c r="S1890" s="26">
        <v>3</v>
      </c>
      <c r="T1890" s="26">
        <v>4</v>
      </c>
      <c r="U1890" s="26">
        <v>8</v>
      </c>
      <c r="V1890" s="26">
        <v>1</v>
      </c>
      <c r="W1890" s="26"/>
    </row>
    <row r="1891" spans="1:23" x14ac:dyDescent="0.25">
      <c r="A1891" s="26" t="str">
        <f t="shared" si="347"/>
        <v>PREESCOLAR</v>
      </c>
      <c r="B1891" s="26" t="str">
        <f>"09PJN3713U"</f>
        <v>09PJN3713U</v>
      </c>
      <c r="C1891" s="26" t="str">
        <f>"ESCUELA TOMAS ALVA EDISON                                                                           "</f>
        <v xml:space="preserve">ESCUELA TOMAS ALVA EDISON                                                                           </v>
      </c>
      <c r="D1891" s="26" t="str">
        <f t="shared" si="341"/>
        <v>MATUTINO</v>
      </c>
      <c r="E1891" s="26" t="str">
        <f>"HERIBERTO FRIAS NO. 1401                                                        "</f>
        <v xml:space="preserve">HERIBERTO FRIAS NO. 1401                                                        </v>
      </c>
      <c r="F1891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1891" s="26" t="str">
        <f>"BENITO JUAREZ                                                                   "</f>
        <v xml:space="preserve">BENITO JUAREZ                                                                   </v>
      </c>
      <c r="H1891" s="26" t="str">
        <f>"231"</f>
        <v>231</v>
      </c>
      <c r="I1891" s="26" t="str">
        <f t="shared" si="348"/>
        <v>00</v>
      </c>
      <c r="J1891" s="26" t="str">
        <f>"33 "</f>
        <v xml:space="preserve">33 </v>
      </c>
      <c r="K1891" s="26" t="str">
        <f t="shared" si="343"/>
        <v>EP</v>
      </c>
      <c r="L1891" s="26" t="str">
        <f t="shared" si="342"/>
        <v>DGOSE</v>
      </c>
      <c r="M1891" s="26" t="str">
        <f t="shared" si="346"/>
        <v>PARTICULAR</v>
      </c>
      <c r="N1891" s="26">
        <v>220</v>
      </c>
      <c r="O1891" s="26">
        <v>111</v>
      </c>
      <c r="P1891" s="26">
        <v>109</v>
      </c>
      <c r="Q1891" s="26">
        <v>11</v>
      </c>
      <c r="R1891" s="26">
        <v>1</v>
      </c>
      <c r="S1891" s="26">
        <v>11</v>
      </c>
      <c r="T1891" s="26">
        <v>30</v>
      </c>
      <c r="U1891" s="26">
        <v>42</v>
      </c>
      <c r="V1891" s="26">
        <v>1</v>
      </c>
      <c r="W1891" s="26"/>
    </row>
    <row r="1892" spans="1:23" x14ac:dyDescent="0.25">
      <c r="A1892" s="26" t="str">
        <f t="shared" si="347"/>
        <v>PREESCOLAR</v>
      </c>
      <c r="B1892" s="26" t="str">
        <f>"09PJN3716R"</f>
        <v>09PJN3716R</v>
      </c>
      <c r="C1892" s="26" t="str">
        <f>"EL PEQUEÑO MUNDO                                                                                    "</f>
        <v xml:space="preserve">EL PEQUEÑO MUNDO                                                                                    </v>
      </c>
      <c r="D1892" s="26" t="str">
        <f t="shared" ref="D1892:D1945" si="352">"MATUTINO"</f>
        <v>MATUTINO</v>
      </c>
      <c r="E1892" s="26" t="str">
        <f>"NICOLAS SAN JUAN NO. 940                                                        "</f>
        <v xml:space="preserve">NICOLAS SAN JUAN NO. 940                                                        </v>
      </c>
      <c r="F1892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1892" s="26" t="str">
        <f>"BENITO JUAREZ                                                                   "</f>
        <v xml:space="preserve">BENITO JUAREZ                                                                   </v>
      </c>
      <c r="H1892" s="26" t="str">
        <f>"232"</f>
        <v>232</v>
      </c>
      <c r="I1892" s="26" t="str">
        <f t="shared" si="348"/>
        <v>00</v>
      </c>
      <c r="J1892" s="26" t="str">
        <f>"33 "</f>
        <v xml:space="preserve">33 </v>
      </c>
      <c r="K1892" s="26" t="str">
        <f t="shared" si="343"/>
        <v>EP</v>
      </c>
      <c r="L1892" s="26" t="str">
        <f t="shared" ref="L1892:L1926" si="353">"DGOSE"</f>
        <v>DGOSE</v>
      </c>
      <c r="M1892" s="26" t="str">
        <f t="shared" si="346"/>
        <v>PARTICULAR</v>
      </c>
      <c r="N1892" s="26">
        <v>31</v>
      </c>
      <c r="O1892" s="26">
        <v>14</v>
      </c>
      <c r="P1892" s="26">
        <v>17</v>
      </c>
      <c r="Q1892" s="26">
        <v>3</v>
      </c>
      <c r="R1892" s="26">
        <v>1</v>
      </c>
      <c r="S1892" s="26">
        <v>3</v>
      </c>
      <c r="T1892" s="26">
        <v>8</v>
      </c>
      <c r="U1892" s="26">
        <v>12</v>
      </c>
      <c r="V1892" s="26">
        <v>1</v>
      </c>
      <c r="W1892" s="26"/>
    </row>
    <row r="1893" spans="1:23" x14ac:dyDescent="0.25">
      <c r="A1893" s="26" t="str">
        <f t="shared" si="347"/>
        <v>PREESCOLAR</v>
      </c>
      <c r="B1893" s="26" t="str">
        <f>"09PJN3717Q"</f>
        <v>09PJN3717Q</v>
      </c>
      <c r="C1893" s="26" t="str">
        <f>"INSTITUTO CANADIENSE DE MEXICO                                                                      "</f>
        <v xml:space="preserve">INSTITUTO CANADIENSE DE MEXICO                                                                      </v>
      </c>
      <c r="D1893" s="26" t="str">
        <f t="shared" si="352"/>
        <v>MATUTINO</v>
      </c>
      <c r="E1893" s="26" t="str">
        <f>"BARTOLOACHE NO. 1914                                                            "</f>
        <v xml:space="preserve">BARTOLOACHE NO. 1914                                                            </v>
      </c>
      <c r="F1893" s="26" t="str">
        <f>"ACACIAS                                                                                                                                     "</f>
        <v xml:space="preserve">ACACIAS                                                                                                                                     </v>
      </c>
      <c r="G1893" s="26" t="str">
        <f>"BENITO JUAREZ                                                                   "</f>
        <v xml:space="preserve">BENITO JUAREZ                                                                   </v>
      </c>
      <c r="H1893" s="26" t="str">
        <f>"110"</f>
        <v>110</v>
      </c>
      <c r="I1893" s="26" t="str">
        <f t="shared" si="348"/>
        <v>00</v>
      </c>
      <c r="J1893" s="26" t="str">
        <f>"33 "</f>
        <v xml:space="preserve">33 </v>
      </c>
      <c r="K1893" s="26" t="str">
        <f t="shared" si="343"/>
        <v>EP</v>
      </c>
      <c r="L1893" s="26" t="str">
        <f t="shared" si="353"/>
        <v>DGOSE</v>
      </c>
      <c r="M1893" s="26" t="str">
        <f t="shared" si="346"/>
        <v>PARTICULAR</v>
      </c>
      <c r="N1893" s="26">
        <v>55</v>
      </c>
      <c r="O1893" s="26">
        <v>30</v>
      </c>
      <c r="P1893" s="26">
        <v>25</v>
      </c>
      <c r="Q1893" s="26">
        <v>3</v>
      </c>
      <c r="R1893" s="26">
        <v>1</v>
      </c>
      <c r="S1893" s="26">
        <v>2</v>
      </c>
      <c r="T1893" s="26">
        <v>8</v>
      </c>
      <c r="U1893" s="26">
        <v>11</v>
      </c>
      <c r="V1893" s="26">
        <v>1</v>
      </c>
      <c r="W1893" s="26"/>
    </row>
    <row r="1894" spans="1:23" x14ac:dyDescent="0.25">
      <c r="A1894" s="26" t="str">
        <f t="shared" si="347"/>
        <v>PREESCOLAR</v>
      </c>
      <c r="B1894" s="26" t="str">
        <f>"09PJN3719O"</f>
        <v>09PJN3719O</v>
      </c>
      <c r="C1894" s="26" t="str">
        <f>"COLEGIO LOUIS BUON LANGLAIS CAMPUS I PREESCOLAR                                                     "</f>
        <v xml:space="preserve">COLEGIO LOUIS BUON LANGLAIS CAMPUS I PREESCOLAR                                                     </v>
      </c>
      <c r="D1894" s="26" t="str">
        <f t="shared" si="352"/>
        <v>MATUTINO</v>
      </c>
      <c r="E1894" s="26" t="str">
        <f>"CALLE 12 NO. 86                                                                 "</f>
        <v xml:space="preserve">CALLE 12 NO. 86                                                                 </v>
      </c>
      <c r="F1894" s="26" t="str">
        <f>"OLIVAR DEL CONDE 1A SECCION                                                                                                                 "</f>
        <v xml:space="preserve">OLIVAR DEL CONDE 1A SECCION                                                                                                                 </v>
      </c>
      <c r="G1894" s="26" t="str">
        <f>"ALVARO OBREGON                                                                  "</f>
        <v xml:space="preserve">ALVARO OBREGON                                                                  </v>
      </c>
      <c r="H1894" s="26" t="str">
        <f>"217"</f>
        <v>217</v>
      </c>
      <c r="I1894" s="26" t="str">
        <f t="shared" si="348"/>
        <v>00</v>
      </c>
      <c r="J1894" s="26" t="str">
        <f>"33 "</f>
        <v xml:space="preserve">33 </v>
      </c>
      <c r="K1894" s="26" t="str">
        <f t="shared" si="343"/>
        <v>EP</v>
      </c>
      <c r="L1894" s="26" t="str">
        <f t="shared" si="353"/>
        <v>DGOSE</v>
      </c>
      <c r="M1894" s="26" t="str">
        <f t="shared" si="346"/>
        <v>PARTICULAR</v>
      </c>
      <c r="N1894" s="26">
        <v>30</v>
      </c>
      <c r="O1894" s="26">
        <v>16</v>
      </c>
      <c r="P1894" s="26">
        <v>14</v>
      </c>
      <c r="Q1894" s="26">
        <v>3</v>
      </c>
      <c r="R1894" s="26">
        <v>1</v>
      </c>
      <c r="S1894" s="26">
        <v>2</v>
      </c>
      <c r="T1894" s="26">
        <v>2</v>
      </c>
      <c r="U1894" s="26">
        <v>5</v>
      </c>
      <c r="V1894" s="26">
        <v>1</v>
      </c>
      <c r="W1894" s="26"/>
    </row>
    <row r="1895" spans="1:23" x14ac:dyDescent="0.25">
      <c r="A1895" s="26" t="str">
        <f t="shared" si="347"/>
        <v>PREESCOLAR</v>
      </c>
      <c r="B1895" s="26" t="str">
        <f>"09PJN3720D"</f>
        <v>09PJN3720D</v>
      </c>
      <c r="C1895" s="26" t="str">
        <f>"CENTRO EDUCATIVO GABRIELA MISTRAL                                                                   "</f>
        <v xml:space="preserve">CENTRO EDUCATIVO GABRIELA MISTRAL                                                                   </v>
      </c>
      <c r="D1895" s="26" t="str">
        <f t="shared" si="352"/>
        <v>MATUTINO</v>
      </c>
      <c r="E1895" s="26" t="str">
        <f>"DEL ROSARIO NO. 12 MZA. 1 LT. 5                                                 "</f>
        <v xml:space="preserve">DEL ROSARIO NO. 12 MZA. 1 LT. 5                                                 </v>
      </c>
      <c r="F1895" s="26" t="str">
        <f>"CUAUTEPEC DE MADERO                                                                                                                         "</f>
        <v xml:space="preserve">CUAUTEPEC DE MADERO                                                                                                                         </v>
      </c>
      <c r="G1895" s="26" t="str">
        <f>"GUSTAVO A. MADERO                                                               "</f>
        <v xml:space="preserve">GUSTAVO A. MADERO                                                               </v>
      </c>
      <c r="H1895" s="26" t="str">
        <f>"227"</f>
        <v>227</v>
      </c>
      <c r="I1895" s="26" t="str">
        <f t="shared" si="348"/>
        <v>00</v>
      </c>
      <c r="J1895" s="26" t="str">
        <f>"32 "</f>
        <v xml:space="preserve">32 </v>
      </c>
      <c r="K1895" s="26" t="str">
        <f t="shared" si="343"/>
        <v>EP</v>
      </c>
      <c r="L1895" s="26" t="str">
        <f t="shared" si="353"/>
        <v>DGOSE</v>
      </c>
      <c r="M1895" s="26" t="str">
        <f t="shared" si="346"/>
        <v>PARTICULAR</v>
      </c>
      <c r="N1895" s="26">
        <v>34</v>
      </c>
      <c r="O1895" s="26">
        <v>13</v>
      </c>
      <c r="P1895" s="26">
        <v>21</v>
      </c>
      <c r="Q1895" s="26">
        <v>3</v>
      </c>
      <c r="R1895" s="26">
        <v>1</v>
      </c>
      <c r="S1895" s="26">
        <v>3</v>
      </c>
      <c r="T1895" s="26">
        <v>0</v>
      </c>
      <c r="U1895" s="26">
        <v>4</v>
      </c>
      <c r="V1895" s="26">
        <v>1</v>
      </c>
      <c r="W1895" s="26"/>
    </row>
    <row r="1896" spans="1:23" x14ac:dyDescent="0.25">
      <c r="A1896" s="26" t="str">
        <f t="shared" si="347"/>
        <v>PREESCOLAR</v>
      </c>
      <c r="B1896" s="26" t="str">
        <f>"09PJN3725Z"</f>
        <v>09PJN3725Z</v>
      </c>
      <c r="C1896" s="26" t="str">
        <f>"LAS HORAS FELICES                                                                                   "</f>
        <v xml:space="preserve">LAS HORAS FELICES                                                                                   </v>
      </c>
      <c r="D1896" s="26" t="str">
        <f t="shared" si="352"/>
        <v>MATUTINO</v>
      </c>
      <c r="E1896" s="26" t="str">
        <f>"ZACATECAS  NO. 2                                                                "</f>
        <v xml:space="preserve">ZACATECAS  NO. 2                                                                </v>
      </c>
      <c r="F1896" s="26" t="str">
        <f>"PROVIDENCIA                                                                                                                                 "</f>
        <v xml:space="preserve">PROVIDENCIA                                                                                                                                 </v>
      </c>
      <c r="G1896" s="26" t="str">
        <f>"GUSTAVO A. MADERO                                                               "</f>
        <v xml:space="preserve">GUSTAVO A. MADERO                                                               </v>
      </c>
      <c r="H1896" s="26" t="str">
        <f>"199"</f>
        <v>199</v>
      </c>
      <c r="I1896" s="26" t="str">
        <f t="shared" si="348"/>
        <v>00</v>
      </c>
      <c r="J1896" s="26" t="str">
        <f>"32 "</f>
        <v xml:space="preserve">32 </v>
      </c>
      <c r="K1896" s="26" t="str">
        <f t="shared" si="343"/>
        <v>EP</v>
      </c>
      <c r="L1896" s="26" t="str">
        <f t="shared" si="353"/>
        <v>DGOSE</v>
      </c>
      <c r="M1896" s="26" t="str">
        <f t="shared" si="346"/>
        <v>PARTICULAR</v>
      </c>
      <c r="N1896" s="26">
        <v>20</v>
      </c>
      <c r="O1896" s="26">
        <v>9</v>
      </c>
      <c r="P1896" s="26">
        <v>11</v>
      </c>
      <c r="Q1896" s="26">
        <v>3</v>
      </c>
      <c r="R1896" s="26">
        <v>1</v>
      </c>
      <c r="S1896" s="26">
        <v>3</v>
      </c>
      <c r="T1896" s="26">
        <v>0</v>
      </c>
      <c r="U1896" s="26">
        <v>4</v>
      </c>
      <c r="V1896" s="26">
        <v>1</v>
      </c>
      <c r="W1896" s="26"/>
    </row>
    <row r="1897" spans="1:23" x14ac:dyDescent="0.25">
      <c r="A1897" s="26" t="str">
        <f t="shared" si="347"/>
        <v>PREESCOLAR</v>
      </c>
      <c r="B1897" s="26" t="str">
        <f>"09PJN3726Y"</f>
        <v>09PJN3726Y</v>
      </c>
      <c r="C1897" s="26" t="str">
        <f>"HIGHLANDS PRESCHOOL                                                                                 "</f>
        <v xml:space="preserve">HIGHLANDS PRESCHOOL                                                                                 </v>
      </c>
      <c r="D1897" s="26" t="str">
        <f t="shared" si="352"/>
        <v>MATUTINO</v>
      </c>
      <c r="E1897" s="26" t="str">
        <f>"FARALLON NO. 125                                                                "</f>
        <v xml:space="preserve">FARALLON NO. 125                                                                </v>
      </c>
      <c r="F1897" s="26" t="str">
        <f>"JARDINES DEL PEDREGAL                                                                                                                       "</f>
        <v xml:space="preserve">JARDINES DEL PEDREGAL                                                                                                                       </v>
      </c>
      <c r="G1897" s="26" t="str">
        <f>"ALVARO OBREGON                                                                  "</f>
        <v xml:space="preserve">ALVARO OBREGON                                                                  </v>
      </c>
      <c r="H1897" s="26" t="str">
        <f>"150"</f>
        <v>150</v>
      </c>
      <c r="I1897" s="26" t="str">
        <f t="shared" si="348"/>
        <v>00</v>
      </c>
      <c r="J1897" s="26" t="str">
        <f>"33 "</f>
        <v xml:space="preserve">33 </v>
      </c>
      <c r="K1897" s="26" t="str">
        <f t="shared" si="343"/>
        <v>EP</v>
      </c>
      <c r="L1897" s="26" t="str">
        <f t="shared" si="353"/>
        <v>DGOSE</v>
      </c>
      <c r="M1897" s="26" t="str">
        <f t="shared" si="346"/>
        <v>PARTICULAR</v>
      </c>
      <c r="N1897" s="26">
        <v>125</v>
      </c>
      <c r="O1897" s="26">
        <v>64</v>
      </c>
      <c r="P1897" s="26">
        <v>61</v>
      </c>
      <c r="Q1897" s="26">
        <v>6</v>
      </c>
      <c r="R1897" s="26">
        <v>1</v>
      </c>
      <c r="S1897" s="26">
        <v>6</v>
      </c>
      <c r="T1897" s="26">
        <v>12</v>
      </c>
      <c r="U1897" s="26">
        <v>19</v>
      </c>
      <c r="V1897" s="26">
        <v>1</v>
      </c>
      <c r="W1897" s="26"/>
    </row>
    <row r="1898" spans="1:23" x14ac:dyDescent="0.25">
      <c r="A1898" s="26" t="str">
        <f t="shared" si="347"/>
        <v>PREESCOLAR</v>
      </c>
      <c r="B1898" s="26" t="str">
        <f>"09PJN3728W"</f>
        <v>09PJN3728W</v>
      </c>
      <c r="C1898" s="26" t="str">
        <f>"GREAT KIDS KINDERGARDEN                                                                             "</f>
        <v xml:space="preserve">GREAT KIDS KINDERGARDEN                                                                             </v>
      </c>
      <c r="D1898" s="26" t="str">
        <f t="shared" si="352"/>
        <v>MATUTINO</v>
      </c>
      <c r="E1898" s="26" t="str">
        <f>"FARALLON NO. 151                                                                "</f>
        <v xml:space="preserve">FARALLON NO. 151                                                                </v>
      </c>
      <c r="F1898" s="26" t="str">
        <f>"JARDINES DEL PEDREGAL                                                                                                                       "</f>
        <v xml:space="preserve">JARDINES DEL PEDREGAL                                                                                                                       </v>
      </c>
      <c r="G1898" s="26" t="str">
        <f>"ALVARO OBREGON                                                                  "</f>
        <v xml:space="preserve">ALVARO OBREGON                                                                  </v>
      </c>
      <c r="H1898" s="26" t="str">
        <f>"150"</f>
        <v>150</v>
      </c>
      <c r="I1898" s="26" t="str">
        <f t="shared" si="348"/>
        <v>00</v>
      </c>
      <c r="J1898" s="26" t="str">
        <f>"33 "</f>
        <v xml:space="preserve">33 </v>
      </c>
      <c r="K1898" s="26" t="str">
        <f t="shared" si="343"/>
        <v>EP</v>
      </c>
      <c r="L1898" s="26" t="str">
        <f t="shared" si="353"/>
        <v>DGOSE</v>
      </c>
      <c r="M1898" s="26" t="str">
        <f t="shared" si="346"/>
        <v>PARTICULAR</v>
      </c>
      <c r="N1898" s="26">
        <v>29</v>
      </c>
      <c r="O1898" s="26">
        <v>11</v>
      </c>
      <c r="P1898" s="26">
        <v>18</v>
      </c>
      <c r="Q1898" s="26">
        <v>3</v>
      </c>
      <c r="R1898" s="26">
        <v>1</v>
      </c>
      <c r="S1898" s="26">
        <v>3</v>
      </c>
      <c r="T1898" s="26">
        <v>7</v>
      </c>
      <c r="U1898" s="26">
        <v>11</v>
      </c>
      <c r="V1898" s="26">
        <v>1</v>
      </c>
      <c r="W1898" s="26"/>
    </row>
    <row r="1899" spans="1:23" x14ac:dyDescent="0.25">
      <c r="A1899" s="26" t="str">
        <f t="shared" si="347"/>
        <v>PREESCOLAR</v>
      </c>
      <c r="B1899" s="26" t="str">
        <f>"09PJN3730K"</f>
        <v>09PJN3730K</v>
      </c>
      <c r="C1899" s="26" t="str">
        <f>"LECHE KIDS SCHOOL                                                                                   "</f>
        <v xml:space="preserve">LECHE KIDS SCHOOL                                                                                   </v>
      </c>
      <c r="D1899" s="26" t="str">
        <f t="shared" si="352"/>
        <v>MATUTINO</v>
      </c>
      <c r="E1899" s="26" t="str">
        <f>"AV. 539 NO. 105                                                                 "</f>
        <v xml:space="preserve">AV. 539 NO. 105                                                                 </v>
      </c>
      <c r="F1899" s="26" t="str">
        <f>"SAN JUAN DE ARAGON                                                                                                                          "</f>
        <v xml:space="preserve">SAN JUAN DE ARAGON                                                                                                                          </v>
      </c>
      <c r="G1899" s="26" t="str">
        <f>"GUSTAVO A. MADERO                                                               "</f>
        <v xml:space="preserve">GUSTAVO A. MADERO                                                               </v>
      </c>
      <c r="H1899" s="26" t="str">
        <f>"199"</f>
        <v>199</v>
      </c>
      <c r="I1899" s="26" t="str">
        <f t="shared" si="348"/>
        <v>00</v>
      </c>
      <c r="J1899" s="26" t="str">
        <f>"32 "</f>
        <v xml:space="preserve">32 </v>
      </c>
      <c r="K1899" s="26" t="str">
        <f t="shared" si="343"/>
        <v>EP</v>
      </c>
      <c r="L1899" s="26" t="str">
        <f t="shared" si="353"/>
        <v>DGOSE</v>
      </c>
      <c r="M1899" s="26" t="str">
        <f t="shared" si="346"/>
        <v>PARTICULAR</v>
      </c>
      <c r="N1899" s="26">
        <v>25</v>
      </c>
      <c r="O1899" s="26">
        <v>13</v>
      </c>
      <c r="P1899" s="26">
        <v>12</v>
      </c>
      <c r="Q1899" s="26">
        <v>2</v>
      </c>
      <c r="R1899" s="26">
        <v>1</v>
      </c>
      <c r="S1899" s="26">
        <v>2</v>
      </c>
      <c r="T1899" s="26">
        <v>1</v>
      </c>
      <c r="U1899" s="26">
        <v>4</v>
      </c>
      <c r="V1899" s="26">
        <v>1</v>
      </c>
      <c r="W1899" s="26"/>
    </row>
    <row r="1900" spans="1:23" x14ac:dyDescent="0.25">
      <c r="A1900" s="26" t="str">
        <f t="shared" si="347"/>
        <v>PREESCOLAR</v>
      </c>
      <c r="B1900" s="26" t="str">
        <f>"09PJN3733H"</f>
        <v>09PJN3733H</v>
      </c>
      <c r="C1900" s="26" t="str">
        <f>"INDEPENDENCIA Y SOLIDARIDAD                                                                         "</f>
        <v xml:space="preserve">INDEPENDENCIA Y SOLIDARIDAD                                                                         </v>
      </c>
      <c r="D1900" s="26" t="str">
        <f t="shared" si="352"/>
        <v>MATUTINO</v>
      </c>
      <c r="E1900" s="26" t="str">
        <f>"ITURBIDE PONIENTE NO. 127                                                       "</f>
        <v xml:space="preserve">ITURBIDE PONIENTE NO. 127                                                       </v>
      </c>
      <c r="F1900" s="26" t="str">
        <f>"SAN ANTONIO TECOMITL                                                                                                                        "</f>
        <v xml:space="preserve">SAN ANTONIO TECOMITL                                                                                                                        </v>
      </c>
      <c r="G1900" s="26" t="str">
        <f>"MILPA ALTA                                                                      "</f>
        <v xml:space="preserve">MILPA ALTA                                                                      </v>
      </c>
      <c r="H1900" s="26" t="str">
        <f>"141"</f>
        <v>141</v>
      </c>
      <c r="I1900" s="26" t="str">
        <f t="shared" si="348"/>
        <v>00</v>
      </c>
      <c r="J1900" s="26" t="str">
        <f>"35 "</f>
        <v xml:space="preserve">35 </v>
      </c>
      <c r="K1900" s="26" t="str">
        <f t="shared" si="343"/>
        <v>EP</v>
      </c>
      <c r="L1900" s="26" t="str">
        <f t="shared" si="353"/>
        <v>DGOSE</v>
      </c>
      <c r="M1900" s="26" t="str">
        <f t="shared" si="346"/>
        <v>PARTICULAR</v>
      </c>
      <c r="N1900" s="26">
        <v>21</v>
      </c>
      <c r="O1900" s="26">
        <v>14</v>
      </c>
      <c r="P1900" s="26">
        <v>7</v>
      </c>
      <c r="Q1900" s="26">
        <v>3</v>
      </c>
      <c r="R1900" s="26">
        <v>0</v>
      </c>
      <c r="S1900" s="26">
        <v>3</v>
      </c>
      <c r="T1900" s="26">
        <v>3</v>
      </c>
      <c r="U1900" s="26">
        <v>6</v>
      </c>
      <c r="V1900" s="26">
        <v>1</v>
      </c>
      <c r="W1900" s="26"/>
    </row>
    <row r="1901" spans="1:23" x14ac:dyDescent="0.25">
      <c r="A1901" s="26" t="str">
        <f t="shared" si="347"/>
        <v>PREESCOLAR</v>
      </c>
      <c r="B1901" s="26" t="str">
        <f>"09PJN3736E"</f>
        <v>09PJN3736E</v>
      </c>
      <c r="C1901" s="26" t="str">
        <f>"JARDIN DE NIÑOS LAS AMERICAS                                                                        "</f>
        <v xml:space="preserve">JARDIN DE NIÑOS LAS AMERICAS                                                                        </v>
      </c>
      <c r="D1901" s="26" t="str">
        <f t="shared" si="352"/>
        <v>MATUTINO</v>
      </c>
      <c r="E1901" s="26" t="str">
        <f>"AV. 608 NO. 327                                                                 "</f>
        <v xml:space="preserve">AV. 608 NO. 327                                                                 </v>
      </c>
      <c r="F1901" s="26" t="str">
        <f>"SAN JUAN DE ARAGON                                                                                                                          "</f>
        <v xml:space="preserve">SAN JUAN DE ARAGON                                                                                                                          </v>
      </c>
      <c r="G1901" s="26" t="str">
        <f>"GUSTAVO A. MADERO                                                               "</f>
        <v xml:space="preserve">GUSTAVO A. MADERO                                                               </v>
      </c>
      <c r="H1901" s="26" t="str">
        <f>"201"</f>
        <v>201</v>
      </c>
      <c r="I1901" s="26" t="str">
        <f t="shared" si="348"/>
        <v>00</v>
      </c>
      <c r="J1901" s="26" t="str">
        <f>"32 "</f>
        <v xml:space="preserve">32 </v>
      </c>
      <c r="K1901" s="26" t="str">
        <f t="shared" si="343"/>
        <v>EP</v>
      </c>
      <c r="L1901" s="26" t="str">
        <f t="shared" si="353"/>
        <v>DGOSE</v>
      </c>
      <c r="M1901" s="26" t="str">
        <f t="shared" si="346"/>
        <v>PARTICULAR</v>
      </c>
      <c r="N1901" s="26">
        <v>63</v>
      </c>
      <c r="O1901" s="26">
        <v>21</v>
      </c>
      <c r="P1901" s="26">
        <v>42</v>
      </c>
      <c r="Q1901" s="26">
        <v>3</v>
      </c>
      <c r="R1901" s="26">
        <v>1</v>
      </c>
      <c r="S1901" s="26">
        <v>3</v>
      </c>
      <c r="T1901" s="26">
        <v>7</v>
      </c>
      <c r="U1901" s="26">
        <v>11</v>
      </c>
      <c r="V1901" s="26">
        <v>1</v>
      </c>
      <c r="W1901" s="26"/>
    </row>
    <row r="1902" spans="1:23" x14ac:dyDescent="0.25">
      <c r="A1902" s="26" t="str">
        <f t="shared" si="347"/>
        <v>PREESCOLAR</v>
      </c>
      <c r="B1902" s="26" t="str">
        <f>"09PJN3739B"</f>
        <v>09PJN3739B</v>
      </c>
      <c r="C1902" s="26" t="str">
        <f>"JARDIN DE NIÑOS TONATIUH                                                                            "</f>
        <v xml:space="preserve">JARDIN DE NIÑOS TONATIUH                                                                            </v>
      </c>
      <c r="D1902" s="26" t="str">
        <f t="shared" si="352"/>
        <v>MATUTINO</v>
      </c>
      <c r="E1902" s="26" t="str">
        <f>"GRACIELA NO. 111                                                                "</f>
        <v xml:space="preserve">GRACIELA NO. 111                                                                </v>
      </c>
      <c r="F1902" s="26" t="str">
        <f>"GUADALUPE TEPEYAC                                                                                                                           "</f>
        <v xml:space="preserve">GUADALUPE TEPEYAC                                                                                                                           </v>
      </c>
      <c r="G1902" s="26" t="str">
        <f>"GUSTAVO A. MADERO                                                               "</f>
        <v xml:space="preserve">GUSTAVO A. MADERO                                                               </v>
      </c>
      <c r="H1902" s="26" t="str">
        <f>"198"</f>
        <v>198</v>
      </c>
      <c r="I1902" s="26" t="str">
        <f t="shared" si="348"/>
        <v>00</v>
      </c>
      <c r="J1902" s="26" t="str">
        <f>"32 "</f>
        <v xml:space="preserve">32 </v>
      </c>
      <c r="K1902" s="26" t="str">
        <f t="shared" si="343"/>
        <v>EP</v>
      </c>
      <c r="L1902" s="26" t="str">
        <f t="shared" si="353"/>
        <v>DGOSE</v>
      </c>
      <c r="M1902" s="26" t="str">
        <f t="shared" si="346"/>
        <v>PARTICULAR</v>
      </c>
      <c r="N1902" s="26">
        <v>27</v>
      </c>
      <c r="O1902" s="26">
        <v>11</v>
      </c>
      <c r="P1902" s="26">
        <v>16</v>
      </c>
      <c r="Q1902" s="26">
        <v>3</v>
      </c>
      <c r="R1902" s="26">
        <v>1</v>
      </c>
      <c r="S1902" s="26">
        <v>3</v>
      </c>
      <c r="T1902" s="26">
        <v>5</v>
      </c>
      <c r="U1902" s="26">
        <v>9</v>
      </c>
      <c r="V1902" s="26">
        <v>1</v>
      </c>
      <c r="W1902" s="26"/>
    </row>
    <row r="1903" spans="1:23" x14ac:dyDescent="0.25">
      <c r="A1903" s="26" t="str">
        <f t="shared" si="347"/>
        <v>PREESCOLAR</v>
      </c>
      <c r="B1903" s="26" t="str">
        <f>"09PJN3740R"</f>
        <v>09PJN3740R</v>
      </c>
      <c r="C1903" s="26" t="str">
        <f>"JARDIN DE NIÑOS MI MUNDO                                                                            "</f>
        <v xml:space="preserve">JARDIN DE NIÑOS MI MUNDO                                                                            </v>
      </c>
      <c r="D1903" s="26" t="str">
        <f t="shared" si="352"/>
        <v>MATUTINO</v>
      </c>
      <c r="E1903" s="26" t="str">
        <f>"JUAN SANCHEZ AZCONA NO. 1448                                                    "</f>
        <v xml:space="preserve">JUAN SANCHEZ AZCONA NO. 1448                                                    </v>
      </c>
      <c r="F1903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1903" s="26" t="str">
        <f>"BENITO JUAREZ                                                                   "</f>
        <v xml:space="preserve">BENITO JUAREZ                                                                   </v>
      </c>
      <c r="H1903" s="26" t="str">
        <f>"231"</f>
        <v>231</v>
      </c>
      <c r="I1903" s="26" t="str">
        <f t="shared" si="348"/>
        <v>00</v>
      </c>
      <c r="J1903" s="26" t="str">
        <f>"33 "</f>
        <v xml:space="preserve">33 </v>
      </c>
      <c r="K1903" s="26" t="str">
        <f t="shared" si="343"/>
        <v>EP</v>
      </c>
      <c r="L1903" s="26" t="str">
        <f t="shared" si="353"/>
        <v>DGOSE</v>
      </c>
      <c r="M1903" s="26" t="str">
        <f t="shared" si="346"/>
        <v>PARTICULAR</v>
      </c>
      <c r="N1903" s="26">
        <v>36</v>
      </c>
      <c r="O1903" s="26">
        <v>16</v>
      </c>
      <c r="P1903" s="26">
        <v>20</v>
      </c>
      <c r="Q1903" s="26">
        <v>3</v>
      </c>
      <c r="R1903" s="26">
        <v>1</v>
      </c>
      <c r="S1903" s="26">
        <v>3</v>
      </c>
      <c r="T1903" s="26">
        <v>8</v>
      </c>
      <c r="U1903" s="26">
        <v>12</v>
      </c>
      <c r="V1903" s="26">
        <v>1</v>
      </c>
      <c r="W1903" s="26"/>
    </row>
    <row r="1904" spans="1:23" x14ac:dyDescent="0.25">
      <c r="A1904" s="26" t="str">
        <f t="shared" si="347"/>
        <v>PREESCOLAR</v>
      </c>
      <c r="B1904" s="26" t="str">
        <f>"09PJN3741Q"</f>
        <v>09PJN3741Q</v>
      </c>
      <c r="C1904" s="26" t="str">
        <f>"CENTRO DE EDUCACION PREESCOLAR SIGLO XXI                                                            "</f>
        <v xml:space="preserve">CENTRO DE EDUCACION PREESCOLAR SIGLO XXI                                                            </v>
      </c>
      <c r="D1904" s="26" t="str">
        <f t="shared" si="352"/>
        <v>MATUTINO</v>
      </c>
      <c r="E1904" s="26" t="str">
        <f>"RETORNO 35 DE CECILIO ROBELO NO. 52                                             "</f>
        <v xml:space="preserve">RETORNO 35 DE CECILIO ROBELO NO. 52                                             </v>
      </c>
      <c r="F1904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1904" s="26" t="str">
        <f>"VENUSTIANO CARRANZA                                                             "</f>
        <v xml:space="preserve">VENUSTIANO CARRANZA                                                             </v>
      </c>
      <c r="H1904" s="26" t="str">
        <f>"248"</f>
        <v>248</v>
      </c>
      <c r="I1904" s="26" t="str">
        <f t="shared" si="348"/>
        <v>00</v>
      </c>
      <c r="J1904" s="26" t="str">
        <f>"33 "</f>
        <v xml:space="preserve">33 </v>
      </c>
      <c r="K1904" s="26" t="str">
        <f t="shared" si="343"/>
        <v>EP</v>
      </c>
      <c r="L1904" s="26" t="str">
        <f t="shared" si="353"/>
        <v>DGOSE</v>
      </c>
      <c r="M1904" s="26" t="str">
        <f t="shared" si="346"/>
        <v>PARTICULAR</v>
      </c>
      <c r="N1904" s="26">
        <v>37</v>
      </c>
      <c r="O1904" s="26">
        <v>22</v>
      </c>
      <c r="P1904" s="26">
        <v>15</v>
      </c>
      <c r="Q1904" s="26">
        <v>3</v>
      </c>
      <c r="R1904" s="26">
        <v>1</v>
      </c>
      <c r="S1904" s="26">
        <v>3</v>
      </c>
      <c r="T1904" s="26">
        <v>1</v>
      </c>
      <c r="U1904" s="26">
        <v>5</v>
      </c>
      <c r="V1904" s="26">
        <v>1</v>
      </c>
      <c r="W1904" s="26"/>
    </row>
    <row r="1905" spans="1:23" x14ac:dyDescent="0.25">
      <c r="A1905" s="26" t="str">
        <f t="shared" si="347"/>
        <v>PREESCOLAR</v>
      </c>
      <c r="B1905" s="26" t="str">
        <f>"09PJN3743O"</f>
        <v>09PJN3743O</v>
      </c>
      <c r="C1905" s="26" t="str">
        <f>"CENTRO EDUCATIVO ASCOT                                                                              "</f>
        <v xml:space="preserve">CENTRO EDUCATIVO ASCOT                                                                              </v>
      </c>
      <c r="D1905" s="26" t="str">
        <f t="shared" si="352"/>
        <v>MATUTINO</v>
      </c>
      <c r="E1905" s="26" t="str">
        <f>"GABRIEL MANCERA NO. 852                                                         "</f>
        <v xml:space="preserve">GABRIEL MANCERA NO. 852                                                         </v>
      </c>
      <c r="F1905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1905" s="26" t="str">
        <f>"BENITO JUAREZ                                                                   "</f>
        <v xml:space="preserve">BENITO JUAREZ                                                                   </v>
      </c>
      <c r="H1905" s="26" t="str">
        <f>"232"</f>
        <v>232</v>
      </c>
      <c r="I1905" s="26" t="str">
        <f t="shared" si="348"/>
        <v>00</v>
      </c>
      <c r="J1905" s="26" t="str">
        <f>"33 "</f>
        <v xml:space="preserve">33 </v>
      </c>
      <c r="K1905" s="26" t="str">
        <f t="shared" si="343"/>
        <v>EP</v>
      </c>
      <c r="L1905" s="26" t="str">
        <f t="shared" si="353"/>
        <v>DGOSE</v>
      </c>
      <c r="M1905" s="26" t="str">
        <f t="shared" si="346"/>
        <v>PARTICULAR</v>
      </c>
      <c r="N1905" s="26">
        <v>20</v>
      </c>
      <c r="O1905" s="26">
        <v>12</v>
      </c>
      <c r="P1905" s="26">
        <v>8</v>
      </c>
      <c r="Q1905" s="26">
        <v>3</v>
      </c>
      <c r="R1905" s="26">
        <v>1</v>
      </c>
      <c r="S1905" s="26">
        <v>3</v>
      </c>
      <c r="T1905" s="26">
        <v>6</v>
      </c>
      <c r="U1905" s="26">
        <v>10</v>
      </c>
      <c r="V1905" s="26">
        <v>1</v>
      </c>
      <c r="W1905" s="26"/>
    </row>
    <row r="1906" spans="1:23" x14ac:dyDescent="0.25">
      <c r="A1906" s="26" t="str">
        <f t="shared" si="347"/>
        <v>PREESCOLAR</v>
      </c>
      <c r="B1906" s="26" t="str">
        <f>"09PJN3747K"</f>
        <v>09PJN3747K</v>
      </c>
      <c r="C1906" s="26" t="str">
        <f>"CENTRO DE DESARROLLO INFANTIL ERIK ERIKSON                                                          "</f>
        <v xml:space="preserve">CENTRO DE DESARROLLO INFANTIL ERIK ERIKSON                                                          </v>
      </c>
      <c r="D1906" s="26" t="str">
        <f t="shared" si="352"/>
        <v>MATUTINO</v>
      </c>
      <c r="E1906" s="26" t="str">
        <f>"CALETA NO. 37                                                                   "</f>
        <v xml:space="preserve">CALETA NO. 37                                                                   </v>
      </c>
      <c r="F1906" s="26" t="str">
        <f>"NARVARTE                                                                                                                                    "</f>
        <v xml:space="preserve">NARVARTE                                                                                                                                    </v>
      </c>
      <c r="G1906" s="26" t="str">
        <f>"BENITO JUAREZ                                                                   "</f>
        <v xml:space="preserve">BENITO JUAREZ                                                                   </v>
      </c>
      <c r="H1906" s="26" t="str">
        <f>"090"</f>
        <v>090</v>
      </c>
      <c r="I1906" s="26" t="str">
        <f t="shared" si="348"/>
        <v>00</v>
      </c>
      <c r="J1906" s="26" t="str">
        <f>"33 "</f>
        <v xml:space="preserve">33 </v>
      </c>
      <c r="K1906" s="26" t="str">
        <f t="shared" si="343"/>
        <v>EP</v>
      </c>
      <c r="L1906" s="26" t="str">
        <f t="shared" si="353"/>
        <v>DGOSE</v>
      </c>
      <c r="M1906" s="26" t="str">
        <f t="shared" si="346"/>
        <v>PARTICULAR</v>
      </c>
      <c r="N1906" s="26">
        <v>12</v>
      </c>
      <c r="O1906" s="26">
        <v>7</v>
      </c>
      <c r="P1906" s="26">
        <v>5</v>
      </c>
      <c r="Q1906" s="26">
        <v>2</v>
      </c>
      <c r="R1906" s="26">
        <v>1</v>
      </c>
      <c r="S1906" s="26">
        <v>1</v>
      </c>
      <c r="T1906" s="26">
        <v>3</v>
      </c>
      <c r="U1906" s="26">
        <v>5</v>
      </c>
      <c r="V1906" s="26">
        <v>1</v>
      </c>
      <c r="W1906" s="26"/>
    </row>
    <row r="1907" spans="1:23" x14ac:dyDescent="0.25">
      <c r="A1907" s="26" t="str">
        <f t="shared" si="347"/>
        <v>PREESCOLAR</v>
      </c>
      <c r="B1907" s="26" t="str">
        <f>"09PJN3749I"</f>
        <v>09PJN3749I</v>
      </c>
      <c r="C1907" s="26" t="str">
        <f>"INSTITUTO BAJA CALIFORNIA                                                                           "</f>
        <v xml:space="preserve">INSTITUTO BAJA CALIFORNIA                                                                           </v>
      </c>
      <c r="D1907" s="26" t="str">
        <f t="shared" si="352"/>
        <v>MATUTINO</v>
      </c>
      <c r="E1907" s="26" t="str">
        <f>"GUANABANA NO. 73                                                                "</f>
        <v xml:space="preserve">GUANABANA NO. 73                                                                </v>
      </c>
      <c r="F1907" s="26" t="str">
        <f>"NUEVA SANTA MARIA                                                                                                                           "</f>
        <v xml:space="preserve">NUEVA SANTA MARIA                                                                                                                           </v>
      </c>
      <c r="G1907" s="26" t="str">
        <f>"AZCAPOTZALCO                                                                    "</f>
        <v xml:space="preserve">AZCAPOTZALCO                                                                    </v>
      </c>
      <c r="H1907" s="26" t="str">
        <f>"189"</f>
        <v>189</v>
      </c>
      <c r="I1907" s="26" t="str">
        <f t="shared" si="348"/>
        <v>00</v>
      </c>
      <c r="J1907" s="26" t="str">
        <f>"32 "</f>
        <v xml:space="preserve">32 </v>
      </c>
      <c r="K1907" s="26" t="str">
        <f t="shared" ref="K1907:K1926" si="354">"EP"</f>
        <v>EP</v>
      </c>
      <c r="L1907" s="26" t="str">
        <f t="shared" si="353"/>
        <v>DGOSE</v>
      </c>
      <c r="M1907" s="26" t="str">
        <f t="shared" si="346"/>
        <v>PARTICULAR</v>
      </c>
      <c r="N1907" s="26">
        <v>21</v>
      </c>
      <c r="O1907" s="26">
        <v>11</v>
      </c>
      <c r="P1907" s="26">
        <v>10</v>
      </c>
      <c r="Q1907" s="26">
        <v>3</v>
      </c>
      <c r="R1907" s="26">
        <v>1</v>
      </c>
      <c r="S1907" s="26">
        <v>3</v>
      </c>
      <c r="T1907" s="26">
        <v>0</v>
      </c>
      <c r="U1907" s="26">
        <v>4</v>
      </c>
      <c r="V1907" s="26">
        <v>1</v>
      </c>
      <c r="W1907" s="26"/>
    </row>
    <row r="1908" spans="1:23" x14ac:dyDescent="0.25">
      <c r="A1908" s="26" t="str">
        <f t="shared" si="347"/>
        <v>PREESCOLAR</v>
      </c>
      <c r="B1908" s="26" t="str">
        <f>"09PJN3752W"</f>
        <v>09PJN3752W</v>
      </c>
      <c r="C1908" s="26" t="str">
        <f>"JARDIN DE NIÑOS DE LA ESCUELA INTERNACIONAL                                                         "</f>
        <v xml:space="preserve">JARDIN DE NIÑOS DE LA ESCUELA INTERNACIONAL                                                         </v>
      </c>
      <c r="D1908" s="26" t="str">
        <f t="shared" si="352"/>
        <v>MATUTINO</v>
      </c>
      <c r="E1908" s="26" t="str">
        <f>"CRUZ BLANCA NO. 15                                                              "</f>
        <v xml:space="preserve">CRUZ BLANCA NO. 15                                                              </v>
      </c>
      <c r="F1908" s="26" t="str">
        <f>"DEL CARMEN                                                                                                                                  "</f>
        <v xml:space="preserve">DEL CARMEN                                                                                                                                  </v>
      </c>
      <c r="G1908" s="26" t="str">
        <f>"COYOACAN                                                                        "</f>
        <v xml:space="preserve">COYOACAN                                                                        </v>
      </c>
      <c r="H1908" s="26" t="str">
        <f>"111"</f>
        <v>111</v>
      </c>
      <c r="I1908" s="26" t="str">
        <f t="shared" si="348"/>
        <v>00</v>
      </c>
      <c r="J1908" s="26" t="str">
        <f>"35 "</f>
        <v xml:space="preserve">35 </v>
      </c>
      <c r="K1908" s="26" t="str">
        <f t="shared" si="354"/>
        <v>EP</v>
      </c>
      <c r="L1908" s="26" t="str">
        <f t="shared" si="353"/>
        <v>DGOSE</v>
      </c>
      <c r="M1908" s="26" t="str">
        <f t="shared" si="346"/>
        <v>PARTICULAR</v>
      </c>
      <c r="N1908" s="26">
        <v>27</v>
      </c>
      <c r="O1908" s="26">
        <v>16</v>
      </c>
      <c r="P1908" s="26">
        <v>11</v>
      </c>
      <c r="Q1908" s="26">
        <v>3</v>
      </c>
      <c r="R1908" s="26">
        <v>1</v>
      </c>
      <c r="S1908" s="26">
        <v>3</v>
      </c>
      <c r="T1908" s="26">
        <v>6</v>
      </c>
      <c r="U1908" s="26">
        <v>10</v>
      </c>
      <c r="V1908" s="26">
        <v>1</v>
      </c>
      <c r="W1908" s="26"/>
    </row>
    <row r="1909" spans="1:23" x14ac:dyDescent="0.25">
      <c r="A1909" s="26" t="str">
        <f t="shared" si="347"/>
        <v>PREESCOLAR</v>
      </c>
      <c r="B1909" s="26" t="str">
        <f>"09PJN3754U"</f>
        <v>09PJN3754U</v>
      </c>
      <c r="C1909" s="26" t="str">
        <f>"JARDIN DE NIÑOS OCEANO                                                                              "</f>
        <v xml:space="preserve">JARDIN DE NIÑOS OCEANO                                                                              </v>
      </c>
      <c r="D1909" s="26" t="str">
        <f t="shared" si="352"/>
        <v>MATUTINO</v>
      </c>
      <c r="E1909" s="26" t="str">
        <f>"TRUCHA NO 57                                                                    "</f>
        <v xml:space="preserve">TRUCHA NO 57                                                                    </v>
      </c>
      <c r="F1909" s="26" t="str">
        <f>"CARACOL                                                                                                                                     "</f>
        <v xml:space="preserve">CARACOL                                                                                                                                     </v>
      </c>
      <c r="G1909" s="26" t="str">
        <f>"VENUSTIANO CARRANZA                                                             "</f>
        <v xml:space="preserve">VENUSTIANO CARRANZA                                                             </v>
      </c>
      <c r="H1909" s="26" t="str">
        <f>"161"</f>
        <v>161</v>
      </c>
      <c r="I1909" s="26" t="str">
        <f t="shared" si="348"/>
        <v>00</v>
      </c>
      <c r="J1909" s="26" t="str">
        <f>"33 "</f>
        <v xml:space="preserve">33 </v>
      </c>
      <c r="K1909" s="26" t="str">
        <f t="shared" si="354"/>
        <v>EP</v>
      </c>
      <c r="L1909" s="26" t="str">
        <f t="shared" si="353"/>
        <v>DGOSE</v>
      </c>
      <c r="M1909" s="26" t="str">
        <f t="shared" si="346"/>
        <v>PARTICULAR</v>
      </c>
      <c r="N1909" s="26">
        <v>36</v>
      </c>
      <c r="O1909" s="26">
        <v>20</v>
      </c>
      <c r="P1909" s="26">
        <v>16</v>
      </c>
      <c r="Q1909" s="26">
        <v>3</v>
      </c>
      <c r="R1909" s="26">
        <v>1</v>
      </c>
      <c r="S1909" s="26">
        <v>2</v>
      </c>
      <c r="T1909" s="26">
        <v>5</v>
      </c>
      <c r="U1909" s="26">
        <v>8</v>
      </c>
      <c r="V1909" s="26">
        <v>1</v>
      </c>
      <c r="W1909" s="26"/>
    </row>
    <row r="1910" spans="1:23" x14ac:dyDescent="0.25">
      <c r="A1910" s="26" t="str">
        <f t="shared" si="347"/>
        <v>PREESCOLAR</v>
      </c>
      <c r="B1910" s="26" t="str">
        <f>"09PJN3756S"</f>
        <v>09PJN3756S</v>
      </c>
      <c r="C1910" s="26" t="str">
        <f>"JULES VERNE SCHOOL                                                                                  "</f>
        <v xml:space="preserve">JULES VERNE SCHOOL                                                                                  </v>
      </c>
      <c r="D1910" s="26" t="str">
        <f t="shared" si="352"/>
        <v>MATUTINO</v>
      </c>
      <c r="E1910" s="26" t="str">
        <f>"HERIBERTO FRIAS No 949                                                          "</f>
        <v xml:space="preserve">HERIBERTO FRIAS No 949                                                          </v>
      </c>
      <c r="F1910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1910" s="26" t="str">
        <f>"BENITO JUAREZ                                                                   "</f>
        <v xml:space="preserve">BENITO JUAREZ                                                                   </v>
      </c>
      <c r="H1910" s="26" t="str">
        <f>"231"</f>
        <v>231</v>
      </c>
      <c r="I1910" s="26" t="str">
        <f t="shared" si="348"/>
        <v>00</v>
      </c>
      <c r="J1910" s="26" t="str">
        <f>"33 "</f>
        <v xml:space="preserve">33 </v>
      </c>
      <c r="K1910" s="26" t="str">
        <f t="shared" si="354"/>
        <v>EP</v>
      </c>
      <c r="L1910" s="26" t="str">
        <f t="shared" si="353"/>
        <v>DGOSE</v>
      </c>
      <c r="M1910" s="26" t="str">
        <f t="shared" si="346"/>
        <v>PARTICULAR</v>
      </c>
      <c r="N1910" s="26">
        <v>26</v>
      </c>
      <c r="O1910" s="26">
        <v>9</v>
      </c>
      <c r="P1910" s="26">
        <v>17</v>
      </c>
      <c r="Q1910" s="26">
        <v>3</v>
      </c>
      <c r="R1910" s="26">
        <v>1</v>
      </c>
      <c r="S1910" s="26">
        <v>3</v>
      </c>
      <c r="T1910" s="26">
        <v>7</v>
      </c>
      <c r="U1910" s="26">
        <v>11</v>
      </c>
      <c r="V1910" s="26">
        <v>1</v>
      </c>
      <c r="W1910" s="26"/>
    </row>
    <row r="1911" spans="1:23" x14ac:dyDescent="0.25">
      <c r="A1911" s="26" t="str">
        <f t="shared" si="347"/>
        <v>PREESCOLAR</v>
      </c>
      <c r="B1911" s="26" t="str">
        <f>"09PJN3760E"</f>
        <v>09PJN3760E</v>
      </c>
      <c r="C1911" s="26" t="str">
        <f>"COLEGIO GABRIEL GARCIA MARQUEZ                                                                      "</f>
        <v xml:space="preserve">COLEGIO GABRIEL GARCIA MARQUEZ                                                                      </v>
      </c>
      <c r="D1911" s="26" t="str">
        <f t="shared" si="352"/>
        <v>MATUTINO</v>
      </c>
      <c r="E1911" s="26" t="str">
        <f>"GUADALUPE I. RAMIREZ NO. 311                                                    "</f>
        <v xml:space="preserve">GUADALUPE I. RAMIREZ NO. 311                                                    </v>
      </c>
      <c r="F1911" s="26" t="str">
        <f>"SAN MARCOS                                                                                                                                  "</f>
        <v xml:space="preserve">SAN MARCOS                                                                                                                                  </v>
      </c>
      <c r="G1911" s="26" t="str">
        <f>"XOCHIMILCO                                                                      "</f>
        <v xml:space="preserve">XOCHIMILCO                                                                      </v>
      </c>
      <c r="H1911" s="26" t="str">
        <f>"084"</f>
        <v>084</v>
      </c>
      <c r="I1911" s="26" t="str">
        <f t="shared" si="348"/>
        <v>00</v>
      </c>
      <c r="J1911" s="26" t="str">
        <f>"35 "</f>
        <v xml:space="preserve">35 </v>
      </c>
      <c r="K1911" s="26" t="str">
        <f t="shared" si="354"/>
        <v>EP</v>
      </c>
      <c r="L1911" s="26" t="str">
        <f t="shared" si="353"/>
        <v>DGOSE</v>
      </c>
      <c r="M1911" s="26" t="str">
        <f t="shared" si="346"/>
        <v>PARTICULAR</v>
      </c>
      <c r="N1911" s="26">
        <v>47</v>
      </c>
      <c r="O1911" s="26">
        <v>23</v>
      </c>
      <c r="P1911" s="26">
        <v>24</v>
      </c>
      <c r="Q1911" s="26">
        <v>3</v>
      </c>
      <c r="R1911" s="26">
        <v>1</v>
      </c>
      <c r="S1911" s="26">
        <v>3</v>
      </c>
      <c r="T1911" s="26">
        <v>3</v>
      </c>
      <c r="U1911" s="26">
        <v>7</v>
      </c>
      <c r="V1911" s="26">
        <v>1</v>
      </c>
      <c r="W1911" s="26"/>
    </row>
    <row r="1912" spans="1:23" x14ac:dyDescent="0.25">
      <c r="A1912" s="26" t="str">
        <f t="shared" si="347"/>
        <v>PREESCOLAR</v>
      </c>
      <c r="B1912" s="26" t="str">
        <f>"09PJN3763B"</f>
        <v>09PJN3763B</v>
      </c>
      <c r="C1912" s="26" t="str">
        <f>"CENTRO DE DESARROLLO INFANTIL SOLECITO                                                              "</f>
        <v xml:space="preserve">CENTRO DE DESARROLLO INFANTIL SOLECITO                                                              </v>
      </c>
      <c r="D1912" s="26" t="str">
        <f t="shared" si="352"/>
        <v>MATUTINO</v>
      </c>
      <c r="E1912" s="26" t="str">
        <f>"SAN ALBERTO MZA. 579 LT.4                                                       "</f>
        <v xml:space="preserve">SAN ALBERTO MZA. 579 LT.4                                                       </v>
      </c>
      <c r="F1912" s="26" t="str">
        <f>"SANTA URSULA COAPA                                                                                                                          "</f>
        <v xml:space="preserve">SANTA URSULA COAPA                                                                                                                          </v>
      </c>
      <c r="G1912" s="26" t="str">
        <f>"COYOACAN                                                                        "</f>
        <v xml:space="preserve">COYOACAN                                                                        </v>
      </c>
      <c r="H1912" s="26" t="str">
        <f>"077"</f>
        <v>077</v>
      </c>
      <c r="I1912" s="26" t="str">
        <f t="shared" si="348"/>
        <v>00</v>
      </c>
      <c r="J1912" s="26" t="str">
        <f>"35 "</f>
        <v xml:space="preserve">35 </v>
      </c>
      <c r="K1912" s="26" t="str">
        <f t="shared" si="354"/>
        <v>EP</v>
      </c>
      <c r="L1912" s="26" t="str">
        <f t="shared" si="353"/>
        <v>DGOSE</v>
      </c>
      <c r="M1912" s="26" t="str">
        <f t="shared" si="346"/>
        <v>PARTICULAR</v>
      </c>
      <c r="N1912" s="26">
        <v>41</v>
      </c>
      <c r="O1912" s="26">
        <v>27</v>
      </c>
      <c r="P1912" s="26">
        <v>14</v>
      </c>
      <c r="Q1912" s="26">
        <v>3</v>
      </c>
      <c r="R1912" s="26">
        <v>1</v>
      </c>
      <c r="S1912" s="26">
        <v>3</v>
      </c>
      <c r="T1912" s="26">
        <v>1</v>
      </c>
      <c r="U1912" s="26">
        <v>5</v>
      </c>
      <c r="V1912" s="26">
        <v>1</v>
      </c>
      <c r="W1912" s="26"/>
    </row>
    <row r="1913" spans="1:23" x14ac:dyDescent="0.25">
      <c r="A1913" s="26" t="str">
        <f t="shared" si="347"/>
        <v>PREESCOLAR</v>
      </c>
      <c r="B1913" s="26" t="str">
        <f>"09PJN3769W"</f>
        <v>09PJN3769W</v>
      </c>
      <c r="C1913" s="26" t="str">
        <f>"MONTESSORI SIGLO XXI                                                                                "</f>
        <v xml:space="preserve">MONTESSORI SIGLO XXI                                                                                </v>
      </c>
      <c r="D1913" s="26" t="str">
        <f t="shared" si="352"/>
        <v>MATUTINO</v>
      </c>
      <c r="E1913" s="26" t="str">
        <f>"CORDOBANES NO. 43                                                               "</f>
        <v xml:space="preserve">CORDOBANES NO. 43                                                               </v>
      </c>
      <c r="F1913" s="26" t="str">
        <f>"SAN JOSE INSURGENTES                                                                                                                        "</f>
        <v xml:space="preserve">SAN JOSE INSURGENTES                                                                                                                        </v>
      </c>
      <c r="G1913" s="26" t="str">
        <f>"BENITO JUAREZ                                                                   "</f>
        <v xml:space="preserve">BENITO JUAREZ                                                                   </v>
      </c>
      <c r="H1913" s="26" t="str">
        <f>"110"</f>
        <v>110</v>
      </c>
      <c r="I1913" s="26" t="str">
        <f t="shared" si="348"/>
        <v>00</v>
      </c>
      <c r="J1913" s="26" t="str">
        <f>"33 "</f>
        <v xml:space="preserve">33 </v>
      </c>
      <c r="K1913" s="26" t="str">
        <f t="shared" si="354"/>
        <v>EP</v>
      </c>
      <c r="L1913" s="26" t="str">
        <f t="shared" si="353"/>
        <v>DGOSE</v>
      </c>
      <c r="M1913" s="26" t="str">
        <f t="shared" si="346"/>
        <v>PARTICULAR</v>
      </c>
      <c r="N1913" s="26">
        <v>19</v>
      </c>
      <c r="O1913" s="26">
        <v>9</v>
      </c>
      <c r="P1913" s="26">
        <v>10</v>
      </c>
      <c r="Q1913" s="26">
        <v>3</v>
      </c>
      <c r="R1913" s="26">
        <v>1</v>
      </c>
      <c r="S1913" s="26">
        <v>1</v>
      </c>
      <c r="T1913" s="26">
        <v>3</v>
      </c>
      <c r="U1913" s="26">
        <v>5</v>
      </c>
      <c r="V1913" s="26">
        <v>1</v>
      </c>
      <c r="W1913" s="26"/>
    </row>
    <row r="1914" spans="1:23" x14ac:dyDescent="0.25">
      <c r="A1914" s="26" t="str">
        <f t="shared" si="347"/>
        <v>PREESCOLAR</v>
      </c>
      <c r="B1914" s="26" t="str">
        <f>"09PJN3770L"</f>
        <v>09PJN3770L</v>
      </c>
      <c r="C1914" s="26" t="str">
        <f>"CENTRO ESCOLAR BRITANNIA                                                                            "</f>
        <v xml:space="preserve">CENTRO ESCOLAR BRITANNIA                                                                            </v>
      </c>
      <c r="D1914" s="26" t="str">
        <f t="shared" si="352"/>
        <v>MATUTINO</v>
      </c>
      <c r="E1914" s="26" t="str">
        <f>"CORDOBANES NO. 32                                                               "</f>
        <v xml:space="preserve">CORDOBANES NO. 32                                                               </v>
      </c>
      <c r="F1914" s="26" t="str">
        <f>"SAN JOSE INSURGENTES                                                                                                                        "</f>
        <v xml:space="preserve">SAN JOSE INSURGENTES                                                                                                                        </v>
      </c>
      <c r="G1914" s="26" t="str">
        <f>"BENITO JUAREZ                                                                   "</f>
        <v xml:space="preserve">BENITO JUAREZ                                                                   </v>
      </c>
      <c r="H1914" s="26" t="str">
        <f>"110"</f>
        <v>110</v>
      </c>
      <c r="I1914" s="26" t="str">
        <f t="shared" si="348"/>
        <v>00</v>
      </c>
      <c r="J1914" s="26" t="str">
        <f>"33 "</f>
        <v xml:space="preserve">33 </v>
      </c>
      <c r="K1914" s="26" t="str">
        <f t="shared" si="354"/>
        <v>EP</v>
      </c>
      <c r="L1914" s="26" t="str">
        <f t="shared" si="353"/>
        <v>DGOSE</v>
      </c>
      <c r="M1914" s="26" t="str">
        <f t="shared" si="346"/>
        <v>PARTICULAR</v>
      </c>
      <c r="N1914" s="26">
        <v>32</v>
      </c>
      <c r="O1914" s="26">
        <v>16</v>
      </c>
      <c r="P1914" s="26">
        <v>16</v>
      </c>
      <c r="Q1914" s="26">
        <v>3</v>
      </c>
      <c r="R1914" s="26">
        <v>1</v>
      </c>
      <c r="S1914" s="26">
        <v>3</v>
      </c>
      <c r="T1914" s="26">
        <v>3</v>
      </c>
      <c r="U1914" s="26">
        <v>7</v>
      </c>
      <c r="V1914" s="26">
        <v>1</v>
      </c>
      <c r="W1914" s="26"/>
    </row>
    <row r="1915" spans="1:23" x14ac:dyDescent="0.25">
      <c r="A1915" s="26" t="str">
        <f t="shared" si="347"/>
        <v>PREESCOLAR</v>
      </c>
      <c r="B1915" s="26" t="str">
        <f>"09PJN3774H"</f>
        <v>09PJN3774H</v>
      </c>
      <c r="C1915" s="26" t="str">
        <f>"COLEGIO WESTMOUNT                                                                                   "</f>
        <v xml:space="preserve">COLEGIO WESTMOUNT                                                                                   </v>
      </c>
      <c r="D1915" s="26" t="str">
        <f t="shared" si="352"/>
        <v>MATUTINO</v>
      </c>
      <c r="E1915" s="26" t="str">
        <f>"DR. JOSE MARIA VERTIZ NO. 1221                                                  "</f>
        <v xml:space="preserve">DR. JOSE MARIA VERTIZ NO. 1221                                                  </v>
      </c>
      <c r="F1915" s="26" t="str">
        <f>"VERTIZ NARVARTE                                                                                                                             "</f>
        <v xml:space="preserve">VERTIZ NARVARTE                                                                                                                             </v>
      </c>
      <c r="G1915" s="26" t="str">
        <f>"BENITO JUAREZ                                                                   "</f>
        <v xml:space="preserve">BENITO JUAREZ                                                                   </v>
      </c>
      <c r="H1915" s="26" t="str">
        <f>"230"</f>
        <v>230</v>
      </c>
      <c r="I1915" s="26" t="str">
        <f t="shared" si="348"/>
        <v>00</v>
      </c>
      <c r="J1915" s="26" t="str">
        <f>"33 "</f>
        <v xml:space="preserve">33 </v>
      </c>
      <c r="K1915" s="26" t="str">
        <f t="shared" si="354"/>
        <v>EP</v>
      </c>
      <c r="L1915" s="26" t="str">
        <f t="shared" si="353"/>
        <v>DGOSE</v>
      </c>
      <c r="M1915" s="26" t="str">
        <f t="shared" si="346"/>
        <v>PARTICULAR</v>
      </c>
      <c r="N1915" s="26">
        <v>10</v>
      </c>
      <c r="O1915" s="26">
        <v>3</v>
      </c>
      <c r="P1915" s="26">
        <v>7</v>
      </c>
      <c r="Q1915" s="26">
        <v>2</v>
      </c>
      <c r="R1915" s="26">
        <v>1</v>
      </c>
      <c r="S1915" s="26">
        <v>2</v>
      </c>
      <c r="T1915" s="26">
        <v>1</v>
      </c>
      <c r="U1915" s="26">
        <v>4</v>
      </c>
      <c r="V1915" s="26">
        <v>1</v>
      </c>
      <c r="W1915" s="26"/>
    </row>
    <row r="1916" spans="1:23" x14ac:dyDescent="0.25">
      <c r="A1916" s="26" t="str">
        <f t="shared" si="347"/>
        <v>PREESCOLAR</v>
      </c>
      <c r="B1916" s="26" t="str">
        <f>"09PJN3777E"</f>
        <v>09PJN3777E</v>
      </c>
      <c r="C1916" s="26" t="str">
        <f>"COLEGIO REINO UNIDO                                                                                 "</f>
        <v xml:space="preserve">COLEGIO REINO UNIDO                                                                                 </v>
      </c>
      <c r="D1916" s="26" t="str">
        <f t="shared" si="352"/>
        <v>MATUTINO</v>
      </c>
      <c r="E1916" s="26" t="str">
        <f>"XOCHIMILCO NO. 15                                                               "</f>
        <v xml:space="preserve">XOCHIMILCO NO. 15                                                               </v>
      </c>
      <c r="F1916" s="26" t="str">
        <f>"MERCED GOMEZ                                                                                                                                "</f>
        <v xml:space="preserve">MERCED GOMEZ                                                                                                                                </v>
      </c>
      <c r="G1916" s="26" t="str">
        <f>"ALVARO OBREGON                                                                  "</f>
        <v xml:space="preserve">ALVARO OBREGON                                                                  </v>
      </c>
      <c r="H1916" s="26" t="str">
        <f>"217"</f>
        <v>217</v>
      </c>
      <c r="I1916" s="26" t="str">
        <f t="shared" si="348"/>
        <v>00</v>
      </c>
      <c r="J1916" s="26" t="str">
        <f>"33 "</f>
        <v xml:space="preserve">33 </v>
      </c>
      <c r="K1916" s="26" t="str">
        <f t="shared" si="354"/>
        <v>EP</v>
      </c>
      <c r="L1916" s="26" t="str">
        <f t="shared" si="353"/>
        <v>DGOSE</v>
      </c>
      <c r="M1916" s="26" t="str">
        <f t="shared" si="346"/>
        <v>PARTICULAR</v>
      </c>
      <c r="N1916" s="26">
        <v>13</v>
      </c>
      <c r="O1916" s="26">
        <v>6</v>
      </c>
      <c r="P1916" s="26">
        <v>7</v>
      </c>
      <c r="Q1916" s="26">
        <v>3</v>
      </c>
      <c r="R1916" s="26">
        <v>1</v>
      </c>
      <c r="S1916" s="26">
        <v>2</v>
      </c>
      <c r="T1916" s="26">
        <v>6</v>
      </c>
      <c r="U1916" s="26">
        <v>9</v>
      </c>
      <c r="V1916" s="26">
        <v>1</v>
      </c>
      <c r="W1916" s="26"/>
    </row>
    <row r="1917" spans="1:23" x14ac:dyDescent="0.25">
      <c r="A1917" s="26" t="str">
        <f t="shared" si="347"/>
        <v>PREESCOLAR</v>
      </c>
      <c r="B1917" s="26" t="str">
        <f>"09PJN3779C"</f>
        <v>09PJN3779C</v>
      </c>
      <c r="C1917" s="26" t="str">
        <f>"JARDÍN DE NIÑOS CALMECACTIN                                                                         "</f>
        <v xml:space="preserve">JARDÍN DE NIÑOS CALMECACTIN                                                                         </v>
      </c>
      <c r="D1917" s="26" t="str">
        <f t="shared" si="352"/>
        <v>MATUTINO</v>
      </c>
      <c r="E1917" s="26" t="str">
        <f>"CERRADA DE MAGNOLIA NO. 12                                                      "</f>
        <v xml:space="preserve">CERRADA DE MAGNOLIA NO. 12                                                      </v>
      </c>
      <c r="F1917" s="26" t="str">
        <f>"TETELPAN                                                                                                                                    "</f>
        <v xml:space="preserve">TETELPAN                                                                                                                                    </v>
      </c>
      <c r="G1917" s="26" t="str">
        <f>"ALVARO OBREGON                                                                  "</f>
        <v xml:space="preserve">ALVARO OBREGON                                                                  </v>
      </c>
      <c r="H1917" s="26" t="str">
        <f>"214"</f>
        <v>214</v>
      </c>
      <c r="I1917" s="26" t="str">
        <f t="shared" si="348"/>
        <v>00</v>
      </c>
      <c r="J1917" s="26" t="str">
        <f>"33 "</f>
        <v xml:space="preserve">33 </v>
      </c>
      <c r="K1917" s="26" t="str">
        <f t="shared" si="354"/>
        <v>EP</v>
      </c>
      <c r="L1917" s="26" t="str">
        <f t="shared" si="353"/>
        <v>DGOSE</v>
      </c>
      <c r="M1917" s="26" t="str">
        <f t="shared" si="346"/>
        <v>PARTICULAR</v>
      </c>
      <c r="N1917" s="26">
        <v>29</v>
      </c>
      <c r="O1917" s="26">
        <v>20</v>
      </c>
      <c r="P1917" s="26">
        <v>9</v>
      </c>
      <c r="Q1917" s="26">
        <v>3</v>
      </c>
      <c r="R1917" s="26">
        <v>1</v>
      </c>
      <c r="S1917" s="26">
        <v>3</v>
      </c>
      <c r="T1917" s="26">
        <v>3</v>
      </c>
      <c r="U1917" s="26">
        <v>7</v>
      </c>
      <c r="V1917" s="26">
        <v>1</v>
      </c>
      <c r="W1917" s="26"/>
    </row>
    <row r="1918" spans="1:23" x14ac:dyDescent="0.25">
      <c r="A1918" s="26" t="str">
        <f t="shared" si="347"/>
        <v>PREESCOLAR</v>
      </c>
      <c r="B1918" s="26" t="str">
        <f>"09PJN3793W"</f>
        <v>09PJN3793W</v>
      </c>
      <c r="C1918" s="26" t="str">
        <f>"JARDIN DE NIÑOS SIMBA                                                                               "</f>
        <v xml:space="preserve">JARDIN DE NIÑOS SIMBA                                                                               </v>
      </c>
      <c r="D1918" s="26" t="str">
        <f t="shared" si="352"/>
        <v>MATUTINO</v>
      </c>
      <c r="E1918" s="26" t="str">
        <f>"AVENIDA JARDIN  NO. 41                                                          "</f>
        <v xml:space="preserve">AVENIDA JARDIN  NO. 41                                                          </v>
      </c>
      <c r="F1918" s="26" t="str">
        <f>"TLATILCO                                                                                                                                    "</f>
        <v xml:space="preserve">TLATILCO                                                                                                                                    </v>
      </c>
      <c r="G1918" s="26" t="str">
        <f>"AZCAPOTZALCO                                                                    "</f>
        <v xml:space="preserve">AZCAPOTZALCO                                                                    </v>
      </c>
      <c r="H1918" s="26" t="str">
        <f>"189"</f>
        <v>189</v>
      </c>
      <c r="I1918" s="26" t="str">
        <f t="shared" si="348"/>
        <v>00</v>
      </c>
      <c r="J1918" s="26" t="str">
        <f>"32 "</f>
        <v xml:space="preserve">32 </v>
      </c>
      <c r="K1918" s="26" t="str">
        <f t="shared" si="354"/>
        <v>EP</v>
      </c>
      <c r="L1918" s="26" t="str">
        <f t="shared" si="353"/>
        <v>DGOSE</v>
      </c>
      <c r="M1918" s="26" t="str">
        <f t="shared" si="346"/>
        <v>PARTICULAR</v>
      </c>
      <c r="N1918" s="26">
        <v>16</v>
      </c>
      <c r="O1918" s="26">
        <v>7</v>
      </c>
      <c r="P1918" s="26">
        <v>9</v>
      </c>
      <c r="Q1918" s="26">
        <v>3</v>
      </c>
      <c r="R1918" s="26">
        <v>1</v>
      </c>
      <c r="S1918" s="26">
        <v>3</v>
      </c>
      <c r="T1918" s="26">
        <v>1</v>
      </c>
      <c r="U1918" s="26">
        <v>5</v>
      </c>
      <c r="V1918" s="26">
        <v>1</v>
      </c>
      <c r="W1918" s="26"/>
    </row>
    <row r="1919" spans="1:23" x14ac:dyDescent="0.25">
      <c r="A1919" s="26" t="str">
        <f t="shared" si="347"/>
        <v>PREESCOLAR</v>
      </c>
      <c r="B1919" s="26" t="str">
        <f>"09PJN3796T"</f>
        <v>09PJN3796T</v>
      </c>
      <c r="C1919" s="26" t="str">
        <f>"JARDIN DE NIÑOS DINOS                                                                               "</f>
        <v xml:space="preserve">JARDIN DE NIÑOS DINOS                                                                               </v>
      </c>
      <c r="D1919" s="26" t="str">
        <f t="shared" si="352"/>
        <v>MATUTINO</v>
      </c>
      <c r="E1919" s="26" t="str">
        <f>"OASIS NO. 35                                                                    "</f>
        <v xml:space="preserve">OASIS NO. 35                                                                    </v>
      </c>
      <c r="F1919" s="26" t="str">
        <f>"CLAVERIA                                                                                                                                    "</f>
        <v xml:space="preserve">CLAVERIA                                                                                                                                    </v>
      </c>
      <c r="G1919" s="26" t="str">
        <f>"AZCAPOTZALCO                                                                    "</f>
        <v xml:space="preserve">AZCAPOTZALCO                                                                    </v>
      </c>
      <c r="H1919" s="26" t="str">
        <f>"059"</f>
        <v>059</v>
      </c>
      <c r="I1919" s="26" t="str">
        <f t="shared" si="348"/>
        <v>00</v>
      </c>
      <c r="J1919" s="26" t="str">
        <f>"32 "</f>
        <v xml:space="preserve">32 </v>
      </c>
      <c r="K1919" s="26" t="str">
        <f t="shared" si="354"/>
        <v>EP</v>
      </c>
      <c r="L1919" s="26" t="str">
        <f t="shared" si="353"/>
        <v>DGOSE</v>
      </c>
      <c r="M1919" s="26" t="str">
        <f t="shared" ref="M1919:M1982" si="355">"PARTICULAR"</f>
        <v>PARTICULAR</v>
      </c>
      <c r="N1919" s="26">
        <v>47</v>
      </c>
      <c r="O1919" s="26">
        <v>25</v>
      </c>
      <c r="P1919" s="26">
        <v>22</v>
      </c>
      <c r="Q1919" s="26">
        <v>2</v>
      </c>
      <c r="R1919" s="26">
        <v>1</v>
      </c>
      <c r="S1919" s="26">
        <v>2</v>
      </c>
      <c r="T1919" s="26">
        <v>3</v>
      </c>
      <c r="U1919" s="26">
        <v>6</v>
      </c>
      <c r="V1919" s="26">
        <v>1</v>
      </c>
      <c r="W1919" s="26"/>
    </row>
    <row r="1920" spans="1:23" x14ac:dyDescent="0.25">
      <c r="A1920" s="26" t="str">
        <f t="shared" si="347"/>
        <v>PREESCOLAR</v>
      </c>
      <c r="B1920" s="26" t="str">
        <f>"09PJN3797S"</f>
        <v>09PJN3797S</v>
      </c>
      <c r="C1920" s="26" t="str">
        <f>"TULIP'S KINDERGARDEN                                                                                "</f>
        <v xml:space="preserve">TULIP'S KINDERGARDEN                                                                                </v>
      </c>
      <c r="D1920" s="26" t="str">
        <f t="shared" si="352"/>
        <v>MATUTINO</v>
      </c>
      <c r="E1920" s="26" t="str">
        <f>"EMPERADORES NO. 186 BIS                                                         "</f>
        <v xml:space="preserve">EMPERADORES NO. 186 BIS                                                         </v>
      </c>
      <c r="F1920" s="26" t="str">
        <f>"PORTALES                                                                                                                                    "</f>
        <v xml:space="preserve">PORTALES                                                                                                                                    </v>
      </c>
      <c r="G1920" s="26" t="str">
        <f>"BENITO JUAREZ                                                                   "</f>
        <v xml:space="preserve">BENITO JUAREZ                                                                   </v>
      </c>
      <c r="H1920" s="26" t="str">
        <f>"234"</f>
        <v>234</v>
      </c>
      <c r="I1920" s="26" t="str">
        <f t="shared" si="348"/>
        <v>00</v>
      </c>
      <c r="J1920" s="26" t="str">
        <f>"33 "</f>
        <v xml:space="preserve">33 </v>
      </c>
      <c r="K1920" s="26" t="str">
        <f t="shared" si="354"/>
        <v>EP</v>
      </c>
      <c r="L1920" s="26" t="str">
        <f t="shared" si="353"/>
        <v>DGOSE</v>
      </c>
      <c r="M1920" s="26" t="str">
        <f t="shared" si="355"/>
        <v>PARTICULAR</v>
      </c>
      <c r="N1920" s="26">
        <v>32</v>
      </c>
      <c r="O1920" s="26">
        <v>16</v>
      </c>
      <c r="P1920" s="26">
        <v>16</v>
      </c>
      <c r="Q1920" s="26">
        <v>3</v>
      </c>
      <c r="R1920" s="26">
        <v>1</v>
      </c>
      <c r="S1920" s="26">
        <v>3</v>
      </c>
      <c r="T1920" s="26">
        <v>3</v>
      </c>
      <c r="U1920" s="26">
        <v>7</v>
      </c>
      <c r="V1920" s="26">
        <v>1</v>
      </c>
      <c r="W1920" s="26"/>
    </row>
    <row r="1921" spans="1:23" x14ac:dyDescent="0.25">
      <c r="A1921" s="26" t="str">
        <f t="shared" si="347"/>
        <v>PREESCOLAR</v>
      </c>
      <c r="B1921" s="26" t="str">
        <f>"09PJN3798R"</f>
        <v>09PJN3798R</v>
      </c>
      <c r="C1921" s="26" t="str">
        <f>"KINDERGYM                                                                                           "</f>
        <v xml:space="preserve">KINDERGYM                                                                                           </v>
      </c>
      <c r="D1921" s="26" t="str">
        <f t="shared" si="352"/>
        <v>MATUTINO</v>
      </c>
      <c r="E1921" s="26" t="str">
        <f>"GENARO GARCIA NOS. 164 Y 166                                                    "</f>
        <v xml:space="preserve">GENARO GARCIA NOS. 164 Y 166                                                    </v>
      </c>
      <c r="F1921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1921" s="26" t="str">
        <f>"VENUSTIANO CARRANZA                                                             "</f>
        <v xml:space="preserve">VENUSTIANO CARRANZA                                                             </v>
      </c>
      <c r="H1921" s="26" t="str">
        <f>"250"</f>
        <v>250</v>
      </c>
      <c r="I1921" s="26" t="str">
        <f t="shared" si="348"/>
        <v>00</v>
      </c>
      <c r="J1921" s="26" t="str">
        <f>"33 "</f>
        <v xml:space="preserve">33 </v>
      </c>
      <c r="K1921" s="26" t="str">
        <f t="shared" si="354"/>
        <v>EP</v>
      </c>
      <c r="L1921" s="26" t="str">
        <f t="shared" si="353"/>
        <v>DGOSE</v>
      </c>
      <c r="M1921" s="26" t="str">
        <f t="shared" si="355"/>
        <v>PARTICULAR</v>
      </c>
      <c r="N1921" s="26">
        <v>73</v>
      </c>
      <c r="O1921" s="26">
        <v>40</v>
      </c>
      <c r="P1921" s="26">
        <v>33</v>
      </c>
      <c r="Q1921" s="26">
        <v>5</v>
      </c>
      <c r="R1921" s="26">
        <v>1</v>
      </c>
      <c r="S1921" s="26">
        <v>5</v>
      </c>
      <c r="T1921" s="26">
        <v>16</v>
      </c>
      <c r="U1921" s="26">
        <v>22</v>
      </c>
      <c r="V1921" s="26">
        <v>1</v>
      </c>
      <c r="W1921" s="26"/>
    </row>
    <row r="1922" spans="1:23" x14ac:dyDescent="0.25">
      <c r="A1922" s="26" t="str">
        <f t="shared" ref="A1922:A1985" si="356">"PREESCOLAR"</f>
        <v>PREESCOLAR</v>
      </c>
      <c r="B1922" s="26" t="str">
        <f>"09PJN3799Q"</f>
        <v>09PJN3799Q</v>
      </c>
      <c r="C1922" s="26" t="str">
        <f>"CENTRO EDUCATIVO SANDY                                                                              "</f>
        <v xml:space="preserve">CENTRO EDUCATIVO SANDY                                                                              </v>
      </c>
      <c r="D1922" s="26" t="str">
        <f t="shared" si="352"/>
        <v>MATUTINO</v>
      </c>
      <c r="E1922" s="26" t="str">
        <f>"JUAN DE DIOS PEZA NO. 21                                                        "</f>
        <v xml:space="preserve">JUAN DE DIOS PEZA NO. 21                                                        </v>
      </c>
      <c r="F1922" s="26" t="str">
        <f>"OBRERA                                                                                                                                      "</f>
        <v xml:space="preserve">OBRERA                                                                                                                                      </v>
      </c>
      <c r="G1922" s="26" t="s">
        <v>4128</v>
      </c>
      <c r="H1922" s="26" t="str">
        <f>"022"</f>
        <v>022</v>
      </c>
      <c r="I1922" s="26" t="str">
        <f t="shared" ref="I1922:I1985" si="357">"00"</f>
        <v>00</v>
      </c>
      <c r="J1922" s="26" t="str">
        <f>"32 "</f>
        <v xml:space="preserve">32 </v>
      </c>
      <c r="K1922" s="26" t="str">
        <f t="shared" si="354"/>
        <v>EP</v>
      </c>
      <c r="L1922" s="26" t="str">
        <f t="shared" si="353"/>
        <v>DGOSE</v>
      </c>
      <c r="M1922" s="26" t="str">
        <f t="shared" si="355"/>
        <v>PARTICULAR</v>
      </c>
      <c r="N1922" s="26">
        <v>26</v>
      </c>
      <c r="O1922" s="26">
        <v>11</v>
      </c>
      <c r="P1922" s="26">
        <v>15</v>
      </c>
      <c r="Q1922" s="26">
        <v>3</v>
      </c>
      <c r="R1922" s="26">
        <v>1</v>
      </c>
      <c r="S1922" s="26">
        <v>3</v>
      </c>
      <c r="T1922" s="26">
        <v>3</v>
      </c>
      <c r="U1922" s="26">
        <v>7</v>
      </c>
      <c r="V1922" s="26">
        <v>1</v>
      </c>
      <c r="W1922" s="26"/>
    </row>
    <row r="1923" spans="1:23" x14ac:dyDescent="0.25">
      <c r="A1923" s="26" t="str">
        <f t="shared" si="356"/>
        <v>PREESCOLAR</v>
      </c>
      <c r="B1923" s="26" t="str">
        <f>"09PJN3800P"</f>
        <v>09PJN3800P</v>
      </c>
      <c r="C1923" s="26" t="str">
        <f>"INSTITUTO TLALPAN BOSQUE DE LOS NIÑOS                                                               "</f>
        <v xml:space="preserve">INSTITUTO TLALPAN BOSQUE DE LOS NIÑOS                                                               </v>
      </c>
      <c r="D1923" s="26" t="str">
        <f t="shared" si="352"/>
        <v>MATUTINO</v>
      </c>
      <c r="E1923" s="26" t="str">
        <f>"RENATO LEDUC NO. 109                                                            "</f>
        <v xml:space="preserve">RENATO LEDUC NO. 109                                                            </v>
      </c>
      <c r="F1923" s="26" t="str">
        <f>"BOSQUES DE TETLAMEYA                                                                                                                        "</f>
        <v xml:space="preserve">BOSQUES DE TETLAMEYA                                                                                                                        </v>
      </c>
      <c r="G1923" s="26" t="str">
        <f>"COYOACAN                                                                        "</f>
        <v xml:space="preserve">COYOACAN                                                                        </v>
      </c>
      <c r="H1923" s="26" t="str">
        <f>"156"</f>
        <v>156</v>
      </c>
      <c r="I1923" s="26" t="str">
        <f t="shared" si="357"/>
        <v>00</v>
      </c>
      <c r="J1923" s="26" t="str">
        <f>"35 "</f>
        <v xml:space="preserve">35 </v>
      </c>
      <c r="K1923" s="26" t="str">
        <f t="shared" si="354"/>
        <v>EP</v>
      </c>
      <c r="L1923" s="26" t="str">
        <f t="shared" si="353"/>
        <v>DGOSE</v>
      </c>
      <c r="M1923" s="26" t="str">
        <f t="shared" si="355"/>
        <v>PARTICULAR</v>
      </c>
      <c r="N1923" s="26">
        <v>111</v>
      </c>
      <c r="O1923" s="26">
        <v>64</v>
      </c>
      <c r="P1923" s="26">
        <v>47</v>
      </c>
      <c r="Q1923" s="26">
        <v>7</v>
      </c>
      <c r="R1923" s="26">
        <v>1</v>
      </c>
      <c r="S1923" s="26">
        <v>4</v>
      </c>
      <c r="T1923" s="26">
        <v>13</v>
      </c>
      <c r="U1923" s="26">
        <v>18</v>
      </c>
      <c r="V1923" s="26">
        <v>1</v>
      </c>
      <c r="W1923" s="26"/>
    </row>
    <row r="1924" spans="1:23" x14ac:dyDescent="0.25">
      <c r="A1924" s="26" t="str">
        <f t="shared" si="356"/>
        <v>PREESCOLAR</v>
      </c>
      <c r="B1924" s="26" t="str">
        <f>"09PJN3801O"</f>
        <v>09PJN3801O</v>
      </c>
      <c r="C1924" s="26" t="str">
        <f>"ESCUELA HERMINIO ALMENDROS                                                                          "</f>
        <v xml:space="preserve">ESCUELA HERMINIO ALMENDROS                                                                          </v>
      </c>
      <c r="D1924" s="26" t="str">
        <f t="shared" si="352"/>
        <v>MATUTINO</v>
      </c>
      <c r="E1924" s="26" t="str">
        <f>"CHIMALCOYOTL NO. 99                                                             "</f>
        <v xml:space="preserve">CHIMALCOYOTL NO. 99                                                             </v>
      </c>
      <c r="F1924" s="26" t="str">
        <f>"TORIELLO GUERRA                                                                                                                             "</f>
        <v xml:space="preserve">TORIELLO GUERRA                                                                                                                             </v>
      </c>
      <c r="G1924" s="26" t="str">
        <f>"TLALPAN                                                                         "</f>
        <v xml:space="preserve">TLALPAN                                                                         </v>
      </c>
      <c r="H1924" s="26" t="str">
        <f>"051"</f>
        <v>051</v>
      </c>
      <c r="I1924" s="26" t="str">
        <f t="shared" si="357"/>
        <v>00</v>
      </c>
      <c r="J1924" s="26" t="str">
        <f>"35 "</f>
        <v xml:space="preserve">35 </v>
      </c>
      <c r="K1924" s="26" t="str">
        <f t="shared" si="354"/>
        <v>EP</v>
      </c>
      <c r="L1924" s="26" t="str">
        <f t="shared" si="353"/>
        <v>DGOSE</v>
      </c>
      <c r="M1924" s="26" t="str">
        <f t="shared" si="355"/>
        <v>PARTICULAR</v>
      </c>
      <c r="N1924" s="26">
        <v>27</v>
      </c>
      <c r="O1924" s="26">
        <v>17</v>
      </c>
      <c r="P1924" s="26">
        <v>10</v>
      </c>
      <c r="Q1924" s="26">
        <v>3</v>
      </c>
      <c r="R1924" s="26">
        <v>1</v>
      </c>
      <c r="S1924" s="26">
        <v>2</v>
      </c>
      <c r="T1924" s="26">
        <v>5</v>
      </c>
      <c r="U1924" s="26">
        <v>8</v>
      </c>
      <c r="V1924" s="26">
        <v>1</v>
      </c>
      <c r="W1924" s="26"/>
    </row>
    <row r="1925" spans="1:23" x14ac:dyDescent="0.25">
      <c r="A1925" s="26" t="str">
        <f t="shared" si="356"/>
        <v>PREESCOLAR</v>
      </c>
      <c r="B1925" s="26" t="str">
        <f>"09PJN3802N"</f>
        <v>09PJN3802N</v>
      </c>
      <c r="C1925" s="26" t="str">
        <f>"INSTITUTO DE INTEGRACION EDUCATIVA                                                                  "</f>
        <v xml:space="preserve">INSTITUTO DE INTEGRACION EDUCATIVA                                                                  </v>
      </c>
      <c r="D1925" s="26" t="str">
        <f t="shared" si="352"/>
        <v>MATUTINO</v>
      </c>
      <c r="E1925" s="26" t="str">
        <f>"ANAXAGORAS NO. 1420                                                             "</f>
        <v xml:space="preserve">ANAXAGORAS NO. 1420                                                             </v>
      </c>
      <c r="F1925" s="26" t="str">
        <f>"SANTA CRUZ ATOYAC                                                                                                                           "</f>
        <v xml:space="preserve">SANTA CRUZ ATOYAC                                                                                                                           </v>
      </c>
      <c r="G1925" s="26" t="str">
        <f>"BENITO JUAREZ                                                                   "</f>
        <v xml:space="preserve">BENITO JUAREZ                                                                   </v>
      </c>
      <c r="H1925" s="26" t="str">
        <f>"090"</f>
        <v>090</v>
      </c>
      <c r="I1925" s="26" t="str">
        <f t="shared" si="357"/>
        <v>00</v>
      </c>
      <c r="J1925" s="26" t="str">
        <f>"33 "</f>
        <v xml:space="preserve">33 </v>
      </c>
      <c r="K1925" s="26" t="str">
        <f t="shared" si="354"/>
        <v>EP</v>
      </c>
      <c r="L1925" s="26" t="str">
        <f t="shared" si="353"/>
        <v>DGOSE</v>
      </c>
      <c r="M1925" s="26" t="str">
        <f t="shared" si="355"/>
        <v>PARTICULAR</v>
      </c>
      <c r="N1925" s="26">
        <v>20</v>
      </c>
      <c r="O1925" s="26">
        <v>8</v>
      </c>
      <c r="P1925" s="26">
        <v>12</v>
      </c>
      <c r="Q1925" s="26">
        <v>3</v>
      </c>
      <c r="R1925" s="26">
        <v>1</v>
      </c>
      <c r="S1925" s="26">
        <v>3</v>
      </c>
      <c r="T1925" s="26">
        <v>3</v>
      </c>
      <c r="U1925" s="26">
        <v>7</v>
      </c>
      <c r="V1925" s="26">
        <v>1</v>
      </c>
      <c r="W1925" s="26"/>
    </row>
    <row r="1926" spans="1:23" x14ac:dyDescent="0.25">
      <c r="A1926" s="26" t="str">
        <f t="shared" si="356"/>
        <v>PREESCOLAR</v>
      </c>
      <c r="B1926" s="26" t="str">
        <f>"09PJN3803M"</f>
        <v>09PJN3803M</v>
      </c>
      <c r="C1926" s="26" t="str">
        <f>"KINDER SAMANTHA                                                                                     "</f>
        <v xml:space="preserve">KINDER SAMANTHA                                                                                     </v>
      </c>
      <c r="D1926" s="26" t="str">
        <f t="shared" si="352"/>
        <v>MATUTINO</v>
      </c>
      <c r="E1926" s="26" t="str">
        <f>"CARROCEROS NO. 66                                                               "</f>
        <v xml:space="preserve">CARROCEROS NO. 66                                                               </v>
      </c>
      <c r="F1926" s="26" t="str">
        <f>"MORELOS                                                                                                                                     "</f>
        <v xml:space="preserve">MORELOS                                                                                                                                     </v>
      </c>
      <c r="G1926" s="26" t="str">
        <f>"VENUSTIANO CARRANZA                                                             "</f>
        <v xml:space="preserve">VENUSTIANO CARRANZA                                                             </v>
      </c>
      <c r="H1926" s="26" t="str">
        <f>"025"</f>
        <v>025</v>
      </c>
      <c r="I1926" s="26" t="str">
        <f t="shared" si="357"/>
        <v>00</v>
      </c>
      <c r="J1926" s="26" t="str">
        <f>"33 "</f>
        <v xml:space="preserve">33 </v>
      </c>
      <c r="K1926" s="26" t="str">
        <f t="shared" si="354"/>
        <v>EP</v>
      </c>
      <c r="L1926" s="26" t="str">
        <f t="shared" si="353"/>
        <v>DGOSE</v>
      </c>
      <c r="M1926" s="26" t="str">
        <f t="shared" si="355"/>
        <v>PARTICULAR</v>
      </c>
      <c r="N1926" s="26">
        <v>26</v>
      </c>
      <c r="O1926" s="26">
        <v>9</v>
      </c>
      <c r="P1926" s="26">
        <v>17</v>
      </c>
      <c r="Q1926" s="26">
        <v>3</v>
      </c>
      <c r="R1926" s="26">
        <v>1</v>
      </c>
      <c r="S1926" s="26">
        <v>3</v>
      </c>
      <c r="T1926" s="26">
        <v>3</v>
      </c>
      <c r="U1926" s="26">
        <v>7</v>
      </c>
      <c r="V1926" s="26">
        <v>1</v>
      </c>
      <c r="W1926" s="26"/>
    </row>
    <row r="1927" spans="1:23" x14ac:dyDescent="0.25">
      <c r="A1927" s="26" t="str">
        <f t="shared" si="356"/>
        <v>PREESCOLAR</v>
      </c>
      <c r="B1927" s="26" t="str">
        <f>"09PJN3805K"</f>
        <v>09PJN3805K</v>
      </c>
      <c r="C1927" s="26" t="str">
        <f>"INSTITUTO DIANA SPENCER                                                                             "</f>
        <v xml:space="preserve">INSTITUTO DIANA SPENCER                                                                             </v>
      </c>
      <c r="D1927" s="26" t="str">
        <f t="shared" si="352"/>
        <v>MATUTINO</v>
      </c>
      <c r="E1927" s="26" t="str">
        <f>"AGUJAS NO. 709-A                                                                "</f>
        <v xml:space="preserve">AGUJAS NO. 709-A                                                                </v>
      </c>
      <c r="F1927" s="26" t="str">
        <f>"EL VERGEL                                                                                                                                   "</f>
        <v xml:space="preserve">EL VERGEL                                                                                                                                   </v>
      </c>
      <c r="G1927" s="26" t="str">
        <f>"IZTAPALAPA                                                                      "</f>
        <v xml:space="preserve">IZTAPALAPA                                                                      </v>
      </c>
      <c r="H1927" s="26" t="str">
        <f>"000"</f>
        <v>000</v>
      </c>
      <c r="I1927" s="26" t="str">
        <f t="shared" si="357"/>
        <v>00</v>
      </c>
      <c r="J1927" s="26" t="str">
        <f>"63 "</f>
        <v xml:space="preserve">63 </v>
      </c>
      <c r="K1927" s="26" t="str">
        <f>"IZ"</f>
        <v>IZ</v>
      </c>
      <c r="L1927" s="26" t="str">
        <f>"DGSEI"</f>
        <v>DGSEI</v>
      </c>
      <c r="M1927" s="26" t="str">
        <f t="shared" si="355"/>
        <v>PARTICULAR</v>
      </c>
      <c r="N1927" s="26">
        <v>21</v>
      </c>
      <c r="O1927" s="26">
        <v>12</v>
      </c>
      <c r="P1927" s="26">
        <v>9</v>
      </c>
      <c r="Q1927" s="26">
        <v>3</v>
      </c>
      <c r="R1927" s="26">
        <v>1</v>
      </c>
      <c r="S1927" s="26">
        <v>1</v>
      </c>
      <c r="T1927" s="26">
        <v>3</v>
      </c>
      <c r="U1927" s="26">
        <v>5</v>
      </c>
      <c r="V1927" s="26">
        <v>1</v>
      </c>
      <c r="W1927" s="26"/>
    </row>
    <row r="1928" spans="1:23" x14ac:dyDescent="0.25">
      <c r="A1928" s="26" t="str">
        <f t="shared" si="356"/>
        <v>PREESCOLAR</v>
      </c>
      <c r="B1928" s="26" t="str">
        <f>"09PJN3808H"</f>
        <v>09PJN3808H</v>
      </c>
      <c r="C1928" s="26" t="str">
        <f>"AMANECER                                                                                            "</f>
        <v xml:space="preserve">AMANECER                                                                                            </v>
      </c>
      <c r="D1928" s="26" t="str">
        <f t="shared" si="352"/>
        <v>MATUTINO</v>
      </c>
      <c r="E1928" s="26" t="str">
        <f>"CALLE 321 NO. 634                                                               "</f>
        <v xml:space="preserve">CALLE 321 NO. 634                                                               </v>
      </c>
      <c r="F1928" s="26" t="str">
        <f>"NUEVA ATZACOALCO                                                                                                                            "</f>
        <v xml:space="preserve">NUEVA ATZACOALCO                                                                                                                            </v>
      </c>
      <c r="G1928" s="26" t="str">
        <f>"GUSTAVO A. MADERO                                                               "</f>
        <v xml:space="preserve">GUSTAVO A. MADERO                                                               </v>
      </c>
      <c r="H1928" s="26" t="str">
        <f>"152"</f>
        <v>152</v>
      </c>
      <c r="I1928" s="26" t="str">
        <f t="shared" si="357"/>
        <v>00</v>
      </c>
      <c r="J1928" s="26" t="str">
        <f>"32 "</f>
        <v xml:space="preserve">32 </v>
      </c>
      <c r="K1928" s="26" t="str">
        <f t="shared" ref="K1928:K1934" si="358">"EP"</f>
        <v>EP</v>
      </c>
      <c r="L1928" s="26" t="str">
        <f t="shared" ref="L1928:L1934" si="359">"DGOSE"</f>
        <v>DGOSE</v>
      </c>
      <c r="M1928" s="26" t="str">
        <f t="shared" si="355"/>
        <v>PARTICULAR</v>
      </c>
      <c r="N1928" s="26">
        <v>79</v>
      </c>
      <c r="O1928" s="26">
        <v>40</v>
      </c>
      <c r="P1928" s="26">
        <v>39</v>
      </c>
      <c r="Q1928" s="26">
        <v>4</v>
      </c>
      <c r="R1928" s="26">
        <v>1</v>
      </c>
      <c r="S1928" s="26">
        <v>4</v>
      </c>
      <c r="T1928" s="26">
        <v>3</v>
      </c>
      <c r="U1928" s="26">
        <v>8</v>
      </c>
      <c r="V1928" s="26">
        <v>1</v>
      </c>
      <c r="W1928" s="26"/>
    </row>
    <row r="1929" spans="1:23" x14ac:dyDescent="0.25">
      <c r="A1929" s="26" t="str">
        <f t="shared" si="356"/>
        <v>PREESCOLAR</v>
      </c>
      <c r="B1929" s="26" t="str">
        <f>"09PJN3814S"</f>
        <v>09PJN3814S</v>
      </c>
      <c r="C1929" s="26" t="str">
        <f>"COLEGIO WILLIAM JAMES                                                                               "</f>
        <v xml:space="preserve">COLEGIO WILLIAM JAMES                                                                               </v>
      </c>
      <c r="D1929" s="26" t="str">
        <f t="shared" si="352"/>
        <v>MATUTINO</v>
      </c>
      <c r="E1929" s="26" t="str">
        <f>"AV. TAMAULIPAS NO.1190                                                          "</f>
        <v xml:space="preserve">AV. TAMAULIPAS NO.1190                                                          </v>
      </c>
      <c r="F1929" s="26" t="str">
        <f>"CORPUS CHRISTI                                                                                                                              "</f>
        <v xml:space="preserve">CORPUS CHRISTI                                                                                                                              </v>
      </c>
      <c r="G1929" s="26" t="str">
        <f>"ALVARO OBREGON                                                                  "</f>
        <v xml:space="preserve">ALVARO OBREGON                                                                  </v>
      </c>
      <c r="H1929" s="26" t="str">
        <f>"122"</f>
        <v>122</v>
      </c>
      <c r="I1929" s="26" t="str">
        <f t="shared" si="357"/>
        <v>00</v>
      </c>
      <c r="J1929" s="26" t="str">
        <f>"33 "</f>
        <v xml:space="preserve">33 </v>
      </c>
      <c r="K1929" s="26" t="str">
        <f t="shared" si="358"/>
        <v>EP</v>
      </c>
      <c r="L1929" s="26" t="str">
        <f t="shared" si="359"/>
        <v>DGOSE</v>
      </c>
      <c r="M1929" s="26" t="str">
        <f t="shared" si="355"/>
        <v>PARTICULAR</v>
      </c>
      <c r="N1929" s="26">
        <v>106</v>
      </c>
      <c r="O1929" s="26">
        <v>59</v>
      </c>
      <c r="P1929" s="26">
        <v>47</v>
      </c>
      <c r="Q1929" s="26">
        <v>3</v>
      </c>
      <c r="R1929" s="26">
        <v>1</v>
      </c>
      <c r="S1929" s="26">
        <v>3</v>
      </c>
      <c r="T1929" s="26">
        <v>3</v>
      </c>
      <c r="U1929" s="26">
        <v>7</v>
      </c>
      <c r="V1929" s="26">
        <v>1</v>
      </c>
      <c r="W1929" s="26"/>
    </row>
    <row r="1930" spans="1:23" x14ac:dyDescent="0.25">
      <c r="A1930" s="26" t="str">
        <f t="shared" si="356"/>
        <v>PREESCOLAR</v>
      </c>
      <c r="B1930" s="26" t="str">
        <f>"09PJN3815R"</f>
        <v>09PJN3815R</v>
      </c>
      <c r="C1930" s="26" t="str">
        <f>"COLEGIO SANTA TERESA                                                                                "</f>
        <v xml:space="preserve">COLEGIO SANTA TERESA                                                                                </v>
      </c>
      <c r="D1930" s="26" t="str">
        <f t="shared" si="352"/>
        <v>MATUTINO</v>
      </c>
      <c r="E1930" s="26" t="str">
        <f>"TOLUCA NO. 44                                                                   "</f>
        <v xml:space="preserve">TOLUCA NO. 44                                                                   </v>
      </c>
      <c r="F1930" s="26" t="str">
        <f>"SANTA TERESA                                                                                                                                "</f>
        <v xml:space="preserve">SANTA TERESA                                                                                                                                </v>
      </c>
      <c r="G1930" s="26" t="str">
        <f>"LA MAGDALENA CONTRERAS                                                          "</f>
        <v xml:space="preserve">LA MAGDALENA CONTRERAS                                                          </v>
      </c>
      <c r="H1930" s="26" t="str">
        <f>"113"</f>
        <v>113</v>
      </c>
      <c r="I1930" s="26" t="str">
        <f t="shared" si="357"/>
        <v>00</v>
      </c>
      <c r="J1930" s="26" t="str">
        <f>"35 "</f>
        <v xml:space="preserve">35 </v>
      </c>
      <c r="K1930" s="26" t="str">
        <f t="shared" si="358"/>
        <v>EP</v>
      </c>
      <c r="L1930" s="26" t="str">
        <f t="shared" si="359"/>
        <v>DGOSE</v>
      </c>
      <c r="M1930" s="26" t="str">
        <f t="shared" si="355"/>
        <v>PARTICULAR</v>
      </c>
      <c r="N1930" s="26">
        <v>32</v>
      </c>
      <c r="O1930" s="26">
        <v>19</v>
      </c>
      <c r="P1930" s="26">
        <v>13</v>
      </c>
      <c r="Q1930" s="26">
        <v>3</v>
      </c>
      <c r="R1930" s="26">
        <v>1</v>
      </c>
      <c r="S1930" s="26">
        <v>3</v>
      </c>
      <c r="T1930" s="26">
        <v>2</v>
      </c>
      <c r="U1930" s="26">
        <v>6</v>
      </c>
      <c r="V1930" s="26">
        <v>1</v>
      </c>
      <c r="W1930" s="26"/>
    </row>
    <row r="1931" spans="1:23" x14ac:dyDescent="0.25">
      <c r="A1931" s="26" t="str">
        <f t="shared" si="356"/>
        <v>PREESCOLAR</v>
      </c>
      <c r="B1931" s="26" t="str">
        <f>"09PJN3816Q"</f>
        <v>09PJN3816Q</v>
      </c>
      <c r="C1931" s="26" t="str">
        <f>"MI PEQUEÑO CICLON                                                                                   "</f>
        <v xml:space="preserve">MI PEQUEÑO CICLON                                                                                   </v>
      </c>
      <c r="D1931" s="26" t="str">
        <f t="shared" si="352"/>
        <v>MATUTINO</v>
      </c>
      <c r="E1931" s="26" t="str">
        <f>"AV. MEXICO NO. 68                                                               "</f>
        <v xml:space="preserve">AV. MEXICO NO. 68                                                               </v>
      </c>
      <c r="F1931" s="26" t="str">
        <f>"TIZAPAN                                                                                                                                     "</f>
        <v xml:space="preserve">TIZAPAN                                                                                                                                     </v>
      </c>
      <c r="G1931" s="26" t="str">
        <f>"ALVARO OBREGON                                                                  "</f>
        <v xml:space="preserve">ALVARO OBREGON                                                                  </v>
      </c>
      <c r="H1931" s="26" t="str">
        <f>"214"</f>
        <v>214</v>
      </c>
      <c r="I1931" s="26" t="str">
        <f t="shared" si="357"/>
        <v>00</v>
      </c>
      <c r="J1931" s="26" t="str">
        <f>"33 "</f>
        <v xml:space="preserve">33 </v>
      </c>
      <c r="K1931" s="26" t="str">
        <f t="shared" si="358"/>
        <v>EP</v>
      </c>
      <c r="L1931" s="26" t="str">
        <f t="shared" si="359"/>
        <v>DGOSE</v>
      </c>
      <c r="M1931" s="26" t="str">
        <f t="shared" si="355"/>
        <v>PARTICULAR</v>
      </c>
      <c r="N1931" s="26">
        <v>29</v>
      </c>
      <c r="O1931" s="26">
        <v>17</v>
      </c>
      <c r="P1931" s="26">
        <v>12</v>
      </c>
      <c r="Q1931" s="26">
        <v>3</v>
      </c>
      <c r="R1931" s="26">
        <v>1</v>
      </c>
      <c r="S1931" s="26">
        <v>2</v>
      </c>
      <c r="T1931" s="26">
        <v>3</v>
      </c>
      <c r="U1931" s="26">
        <v>6</v>
      </c>
      <c r="V1931" s="26">
        <v>1</v>
      </c>
      <c r="W1931" s="26"/>
    </row>
    <row r="1932" spans="1:23" x14ac:dyDescent="0.25">
      <c r="A1932" s="26" t="str">
        <f t="shared" si="356"/>
        <v>PREESCOLAR</v>
      </c>
      <c r="B1932" s="26" t="str">
        <f>"09PJN3820C"</f>
        <v>09PJN3820C</v>
      </c>
      <c r="C1932" s="26" t="str">
        <f>"CENTRO INFANTIL FELIPE NERI                                                                         "</f>
        <v xml:space="preserve">CENTRO INFANTIL FELIPE NERI                                                                         </v>
      </c>
      <c r="D1932" s="26" t="str">
        <f t="shared" si="352"/>
        <v>MATUTINO</v>
      </c>
      <c r="E1932" s="26" t="str">
        <f>"OTOMIES NO. 189                                                                 "</f>
        <v xml:space="preserve">OTOMIES NO. 189                                                                 </v>
      </c>
      <c r="F1932" s="26" t="str">
        <f>"AJUSCO                                                                                                                                      "</f>
        <v xml:space="preserve">AJUSCO                                                                                                                                      </v>
      </c>
      <c r="G1932" s="26" t="str">
        <f>"COYOACAN                                                                        "</f>
        <v xml:space="preserve">COYOACAN                                                                        </v>
      </c>
      <c r="H1932" s="26" t="str">
        <f>"077"</f>
        <v>077</v>
      </c>
      <c r="I1932" s="26" t="str">
        <f t="shared" si="357"/>
        <v>00</v>
      </c>
      <c r="J1932" s="26" t="str">
        <f>"35 "</f>
        <v xml:space="preserve">35 </v>
      </c>
      <c r="K1932" s="26" t="str">
        <f t="shared" si="358"/>
        <v>EP</v>
      </c>
      <c r="L1932" s="26" t="str">
        <f t="shared" si="359"/>
        <v>DGOSE</v>
      </c>
      <c r="M1932" s="26" t="str">
        <f t="shared" si="355"/>
        <v>PARTICULAR</v>
      </c>
      <c r="N1932" s="26">
        <v>58</v>
      </c>
      <c r="O1932" s="26">
        <v>30</v>
      </c>
      <c r="P1932" s="26">
        <v>28</v>
      </c>
      <c r="Q1932" s="26">
        <v>3</v>
      </c>
      <c r="R1932" s="26">
        <v>1</v>
      </c>
      <c r="S1932" s="26">
        <v>2</v>
      </c>
      <c r="T1932" s="26">
        <v>3</v>
      </c>
      <c r="U1932" s="26">
        <v>6</v>
      </c>
      <c r="V1932" s="26">
        <v>1</v>
      </c>
      <c r="W1932" s="26"/>
    </row>
    <row r="1933" spans="1:23" x14ac:dyDescent="0.25">
      <c r="A1933" s="26" t="str">
        <f t="shared" si="356"/>
        <v>PREESCOLAR</v>
      </c>
      <c r="B1933" s="26" t="str">
        <f>"09PJN3821B"</f>
        <v>09PJN3821B</v>
      </c>
      <c r="C1933" s="26" t="str">
        <f>"BABY TIME                                                                                           "</f>
        <v xml:space="preserve">BABY TIME                                                                                           </v>
      </c>
      <c r="D1933" s="26" t="str">
        <f t="shared" si="352"/>
        <v>MATUTINO</v>
      </c>
      <c r="E1933" s="26" t="str">
        <f>"ALEJANDRIA NO. 47                                                               "</f>
        <v xml:space="preserve">ALEJANDRIA NO. 47                                                               </v>
      </c>
      <c r="F1933" s="26" t="str">
        <f>"CLAVERIA                                                                                                                                    "</f>
        <v xml:space="preserve">CLAVERIA                                                                                                                                    </v>
      </c>
      <c r="G1933" s="26" t="str">
        <f>"AZCAPOTZALCO                                                                    "</f>
        <v xml:space="preserve">AZCAPOTZALCO                                                                    </v>
      </c>
      <c r="H1933" s="26" t="str">
        <f>"177"</f>
        <v>177</v>
      </c>
      <c r="I1933" s="26" t="str">
        <f t="shared" si="357"/>
        <v>00</v>
      </c>
      <c r="J1933" s="26" t="str">
        <f>"32 "</f>
        <v xml:space="preserve">32 </v>
      </c>
      <c r="K1933" s="26" t="str">
        <f t="shared" si="358"/>
        <v>EP</v>
      </c>
      <c r="L1933" s="26" t="str">
        <f t="shared" si="359"/>
        <v>DGOSE</v>
      </c>
      <c r="M1933" s="26" t="str">
        <f t="shared" si="355"/>
        <v>PARTICULAR</v>
      </c>
      <c r="N1933" s="26">
        <v>37</v>
      </c>
      <c r="O1933" s="26">
        <v>19</v>
      </c>
      <c r="P1933" s="26">
        <v>18</v>
      </c>
      <c r="Q1933" s="26">
        <v>3</v>
      </c>
      <c r="R1933" s="26">
        <v>1</v>
      </c>
      <c r="S1933" s="26">
        <v>2</v>
      </c>
      <c r="T1933" s="26">
        <v>3</v>
      </c>
      <c r="U1933" s="26">
        <v>6</v>
      </c>
      <c r="V1933" s="26">
        <v>1</v>
      </c>
      <c r="W1933" s="26"/>
    </row>
    <row r="1934" spans="1:23" x14ac:dyDescent="0.25">
      <c r="A1934" s="26" t="str">
        <f t="shared" si="356"/>
        <v>PREESCOLAR</v>
      </c>
      <c r="B1934" s="26" t="str">
        <f>"09PJN3822A"</f>
        <v>09PJN3822A</v>
      </c>
      <c r="C1934" s="26" t="str">
        <f>"CENTRO DE DESARROLLO INFANTIL BILINGÜE ""TEGÜI""                                                      "</f>
        <v xml:space="preserve">CENTRO DE DESARROLLO INFANTIL BILINGÜE "TEGÜI"                                                      </v>
      </c>
      <c r="D1934" s="26" t="str">
        <f t="shared" si="352"/>
        <v>MATUTINO</v>
      </c>
      <c r="E1934" s="26" t="str">
        <f>"CDA. FELIX CUEVAS NO. 15                                                        "</f>
        <v xml:space="preserve">CDA. FELIX CUEVAS NO. 15                                                        </v>
      </c>
      <c r="F1934" s="26" t="str">
        <f>"TLACOQUEMECATL DEL VALLE                                                                                                                    "</f>
        <v xml:space="preserve">TLACOQUEMECATL DEL VALLE                                                                                                                    </v>
      </c>
      <c r="G1934" s="26" t="str">
        <f>"BENITO JUAREZ                                                                   "</f>
        <v xml:space="preserve">BENITO JUAREZ                                                                   </v>
      </c>
      <c r="H1934" s="26" t="str">
        <f>"231"</f>
        <v>231</v>
      </c>
      <c r="I1934" s="26" t="str">
        <f t="shared" si="357"/>
        <v>00</v>
      </c>
      <c r="J1934" s="26" t="str">
        <f>"33 "</f>
        <v xml:space="preserve">33 </v>
      </c>
      <c r="K1934" s="26" t="str">
        <f t="shared" si="358"/>
        <v>EP</v>
      </c>
      <c r="L1934" s="26" t="str">
        <f t="shared" si="359"/>
        <v>DGOSE</v>
      </c>
      <c r="M1934" s="26" t="str">
        <f t="shared" si="355"/>
        <v>PARTICULAR</v>
      </c>
      <c r="N1934" s="26">
        <v>50</v>
      </c>
      <c r="O1934" s="26">
        <v>22</v>
      </c>
      <c r="P1934" s="26">
        <v>28</v>
      </c>
      <c r="Q1934" s="26">
        <v>3</v>
      </c>
      <c r="R1934" s="26">
        <v>1</v>
      </c>
      <c r="S1934" s="26">
        <v>3</v>
      </c>
      <c r="T1934" s="26">
        <v>7</v>
      </c>
      <c r="U1934" s="26">
        <v>11</v>
      </c>
      <c r="V1934" s="26">
        <v>1</v>
      </c>
      <c r="W1934" s="26"/>
    </row>
    <row r="1935" spans="1:23" x14ac:dyDescent="0.25">
      <c r="A1935" s="26" t="str">
        <f t="shared" si="356"/>
        <v>PREESCOLAR</v>
      </c>
      <c r="B1935" s="26" t="str">
        <f>"09PJN3824Z"</f>
        <v>09PJN3824Z</v>
      </c>
      <c r="C1935" s="26" t="str">
        <f>"KIDS LAND                                                                                           "</f>
        <v xml:space="preserve">KIDS LAND                                                                                           </v>
      </c>
      <c r="D1935" s="26" t="str">
        <f t="shared" si="352"/>
        <v>MATUTINO</v>
      </c>
      <c r="E1935" s="26" t="str">
        <f>"AV. APATLACO NO. 303                                                            "</f>
        <v xml:space="preserve">AV. APATLACO NO. 303                                                            </v>
      </c>
      <c r="F1935" s="26" t="str">
        <f>"APATLACO                                                                                                                                    "</f>
        <v xml:space="preserve">APATLACO                                                                                                                                    </v>
      </c>
      <c r="G1935" s="26" t="str">
        <f>"IZTAPALAPA                                                                      "</f>
        <v xml:space="preserve">IZTAPALAPA                                                                      </v>
      </c>
      <c r="H1935" s="26" t="str">
        <f>"000"</f>
        <v>000</v>
      </c>
      <c r="I1935" s="26" t="str">
        <f t="shared" si="357"/>
        <v>00</v>
      </c>
      <c r="J1935" s="26" t="str">
        <f>"61 "</f>
        <v xml:space="preserve">61 </v>
      </c>
      <c r="K1935" s="26" t="str">
        <f>"IZ"</f>
        <v>IZ</v>
      </c>
      <c r="L1935" s="26" t="str">
        <f>"DGSEI"</f>
        <v>DGSEI</v>
      </c>
      <c r="M1935" s="26" t="str">
        <f t="shared" si="355"/>
        <v>PARTICULAR</v>
      </c>
      <c r="N1935" s="26">
        <v>21</v>
      </c>
      <c r="O1935" s="26">
        <v>8</v>
      </c>
      <c r="P1935" s="26">
        <v>13</v>
      </c>
      <c r="Q1935" s="26">
        <v>2</v>
      </c>
      <c r="R1935" s="26">
        <v>1</v>
      </c>
      <c r="S1935" s="26">
        <v>1</v>
      </c>
      <c r="T1935" s="26">
        <v>4</v>
      </c>
      <c r="U1935" s="26">
        <v>6</v>
      </c>
      <c r="V1935" s="26">
        <v>1</v>
      </c>
      <c r="W1935" s="26"/>
    </row>
    <row r="1936" spans="1:23" x14ac:dyDescent="0.25">
      <c r="A1936" s="26" t="str">
        <f t="shared" si="356"/>
        <v>PREESCOLAR</v>
      </c>
      <c r="B1936" s="26" t="str">
        <f>"09PJN3828V"</f>
        <v>09PJN3828V</v>
      </c>
      <c r="C1936" s="26" t="str">
        <f>"CENTRO EDUCATIVO MONTREAL                                                                           "</f>
        <v xml:space="preserve">CENTRO EDUCATIVO MONTREAL                                                                           </v>
      </c>
      <c r="D1936" s="26" t="str">
        <f t="shared" si="352"/>
        <v>MATUTINO</v>
      </c>
      <c r="E1936" s="26" t="str">
        <f>"UXMAL NO. 266                                                                   "</f>
        <v xml:space="preserve">UXMAL NO. 266                                                                   </v>
      </c>
      <c r="F1936" s="26" t="str">
        <f>"NARVARTE                                                                                                                                    "</f>
        <v xml:space="preserve">NARVARTE                                                                                                                                    </v>
      </c>
      <c r="G1936" s="26" t="str">
        <f t="shared" ref="G1936:G1941" si="360">"BENITO JUAREZ                                                                   "</f>
        <v xml:space="preserve">BENITO JUAREZ                                                                   </v>
      </c>
      <c r="H1936" s="26" t="str">
        <f>"029"</f>
        <v>029</v>
      </c>
      <c r="I1936" s="26" t="str">
        <f t="shared" si="357"/>
        <v>00</v>
      </c>
      <c r="J1936" s="26" t="str">
        <f t="shared" ref="J1936:J1944" si="361">"33 "</f>
        <v xml:space="preserve">33 </v>
      </c>
      <c r="K1936" s="26" t="str">
        <f t="shared" ref="K1936:K1944" si="362">"EP"</f>
        <v>EP</v>
      </c>
      <c r="L1936" s="26" t="str">
        <f t="shared" ref="L1936:L1944" si="363">"DGOSE"</f>
        <v>DGOSE</v>
      </c>
      <c r="M1936" s="26" t="str">
        <f t="shared" si="355"/>
        <v>PARTICULAR</v>
      </c>
      <c r="N1936" s="26">
        <v>38</v>
      </c>
      <c r="O1936" s="26">
        <v>24</v>
      </c>
      <c r="P1936" s="26">
        <v>14</v>
      </c>
      <c r="Q1936" s="26">
        <v>3</v>
      </c>
      <c r="R1936" s="26">
        <v>1</v>
      </c>
      <c r="S1936" s="26">
        <v>2</v>
      </c>
      <c r="T1936" s="26">
        <v>3</v>
      </c>
      <c r="U1936" s="26">
        <v>6</v>
      </c>
      <c r="V1936" s="26">
        <v>1</v>
      </c>
      <c r="W1936" s="26"/>
    </row>
    <row r="1937" spans="1:23" x14ac:dyDescent="0.25">
      <c r="A1937" s="26" t="str">
        <f t="shared" si="356"/>
        <v>PREESCOLAR</v>
      </c>
      <c r="B1937" s="26" t="str">
        <f>"09PJN3848I"</f>
        <v>09PJN3848I</v>
      </c>
      <c r="C1937" s="26" t="str">
        <f>"COLEGIO PEDAGOGICO AMERICAS                                                                         "</f>
        <v xml:space="preserve">COLEGIO PEDAGOGICO AMERICAS                                                                         </v>
      </c>
      <c r="D1937" s="26" t="str">
        <f t="shared" si="352"/>
        <v>MATUTINO</v>
      </c>
      <c r="E1937" s="26" t="str">
        <f>"AMERICAS NO. 165                                                                "</f>
        <v xml:space="preserve">AMERICAS NO. 165                                                                </v>
      </c>
      <c r="F1937" s="26" t="str">
        <f>"MODERNA                                                                                                                                     "</f>
        <v xml:space="preserve">MODERNA                                                                                                                                     </v>
      </c>
      <c r="G1937" s="26" t="str">
        <f t="shared" si="360"/>
        <v xml:space="preserve">BENITO JUAREZ                                                                   </v>
      </c>
      <c r="H1937" s="26" t="str">
        <f>"029"</f>
        <v>029</v>
      </c>
      <c r="I1937" s="26" t="str">
        <f t="shared" si="357"/>
        <v>00</v>
      </c>
      <c r="J1937" s="26" t="str">
        <f t="shared" si="361"/>
        <v xml:space="preserve">33 </v>
      </c>
      <c r="K1937" s="26" t="str">
        <f t="shared" si="362"/>
        <v>EP</v>
      </c>
      <c r="L1937" s="26" t="str">
        <f t="shared" si="363"/>
        <v>DGOSE</v>
      </c>
      <c r="M1937" s="26" t="str">
        <f t="shared" si="355"/>
        <v>PARTICULAR</v>
      </c>
      <c r="N1937" s="26">
        <v>31</v>
      </c>
      <c r="O1937" s="26">
        <v>15</v>
      </c>
      <c r="P1937" s="26">
        <v>16</v>
      </c>
      <c r="Q1937" s="26">
        <v>3</v>
      </c>
      <c r="R1937" s="26">
        <v>1</v>
      </c>
      <c r="S1937" s="26">
        <v>2</v>
      </c>
      <c r="T1937" s="26">
        <v>10</v>
      </c>
      <c r="U1937" s="26">
        <v>13</v>
      </c>
      <c r="V1937" s="26">
        <v>1</v>
      </c>
      <c r="W1937" s="26"/>
    </row>
    <row r="1938" spans="1:23" x14ac:dyDescent="0.25">
      <c r="A1938" s="26" t="str">
        <f t="shared" si="356"/>
        <v>PREESCOLAR</v>
      </c>
      <c r="B1938" s="26" t="str">
        <f>"09PJN3850X"</f>
        <v>09PJN3850X</v>
      </c>
      <c r="C1938" s="26" t="str">
        <f>"JARDIN DE NIÑOS ERASMO CASTELLANOS QUINTO                                                           "</f>
        <v xml:space="preserve">JARDIN DE NIÑOS ERASMO CASTELLANOS QUINTO                                                           </v>
      </c>
      <c r="D1938" s="26" t="str">
        <f t="shared" si="352"/>
        <v>MATUTINO</v>
      </c>
      <c r="E1938" s="26" t="str">
        <f>"MIGUEL ANGEL NO. 25                                                             "</f>
        <v xml:space="preserve">MIGUEL ANGEL NO. 25                                                             </v>
      </c>
      <c r="F1938" s="26" t="str">
        <f>"MODERNA                                                                                                                                     "</f>
        <v xml:space="preserve">MODERNA                                                                                                                                     </v>
      </c>
      <c r="G1938" s="26" t="str">
        <f t="shared" si="360"/>
        <v xml:space="preserve">BENITO JUAREZ                                                                   </v>
      </c>
      <c r="H1938" s="26" t="str">
        <f>"029"</f>
        <v>029</v>
      </c>
      <c r="I1938" s="26" t="str">
        <f t="shared" si="357"/>
        <v>00</v>
      </c>
      <c r="J1938" s="26" t="str">
        <f t="shared" si="361"/>
        <v xml:space="preserve">33 </v>
      </c>
      <c r="K1938" s="26" t="str">
        <f t="shared" si="362"/>
        <v>EP</v>
      </c>
      <c r="L1938" s="26" t="str">
        <f t="shared" si="363"/>
        <v>DGOSE</v>
      </c>
      <c r="M1938" s="26" t="str">
        <f t="shared" si="355"/>
        <v>PARTICULAR</v>
      </c>
      <c r="N1938" s="26">
        <v>43</v>
      </c>
      <c r="O1938" s="26">
        <v>21</v>
      </c>
      <c r="P1938" s="26">
        <v>22</v>
      </c>
      <c r="Q1938" s="26">
        <v>3</v>
      </c>
      <c r="R1938" s="26">
        <v>1</v>
      </c>
      <c r="S1938" s="26">
        <v>3</v>
      </c>
      <c r="T1938" s="26">
        <v>5</v>
      </c>
      <c r="U1938" s="26">
        <v>9</v>
      </c>
      <c r="V1938" s="26">
        <v>1</v>
      </c>
      <c r="W1938" s="26"/>
    </row>
    <row r="1939" spans="1:23" x14ac:dyDescent="0.25">
      <c r="A1939" s="26" t="str">
        <f t="shared" si="356"/>
        <v>PREESCOLAR</v>
      </c>
      <c r="B1939" s="26" t="str">
        <f>"09PJN3852V"</f>
        <v>09PJN3852V</v>
      </c>
      <c r="C1939" s="26" t="str">
        <f>"JARDIN DE NIÑOS PRADO                                                                               "</f>
        <v xml:space="preserve">JARDIN DE NIÑOS PRADO                                                                               </v>
      </c>
      <c r="D1939" s="26" t="str">
        <f t="shared" si="352"/>
        <v>MATUTINO</v>
      </c>
      <c r="E1939" s="26" t="str">
        <f>"CANARIAS NO. 912                                                                "</f>
        <v xml:space="preserve">CANARIAS NO. 912                                                                </v>
      </c>
      <c r="F1939" s="26" t="str">
        <f>"PORTALES                                                                                                                                    "</f>
        <v xml:space="preserve">PORTALES                                                                                                                                    </v>
      </c>
      <c r="G1939" s="26" t="str">
        <f t="shared" si="360"/>
        <v xml:space="preserve">BENITO JUAREZ                                                                   </v>
      </c>
      <c r="H1939" s="26" t="str">
        <f>"234"</f>
        <v>234</v>
      </c>
      <c r="I1939" s="26" t="str">
        <f t="shared" si="357"/>
        <v>00</v>
      </c>
      <c r="J1939" s="26" t="str">
        <f t="shared" si="361"/>
        <v xml:space="preserve">33 </v>
      </c>
      <c r="K1939" s="26" t="str">
        <f t="shared" si="362"/>
        <v>EP</v>
      </c>
      <c r="L1939" s="26" t="str">
        <f t="shared" si="363"/>
        <v>DGOSE</v>
      </c>
      <c r="M1939" s="26" t="str">
        <f t="shared" si="355"/>
        <v>PARTICULAR</v>
      </c>
      <c r="N1939" s="26">
        <v>9</v>
      </c>
      <c r="O1939" s="26">
        <v>3</v>
      </c>
      <c r="P1939" s="26">
        <v>6</v>
      </c>
      <c r="Q1939" s="26">
        <v>2</v>
      </c>
      <c r="R1939" s="26">
        <v>1</v>
      </c>
      <c r="S1939" s="26">
        <v>1</v>
      </c>
      <c r="T1939" s="26">
        <v>5</v>
      </c>
      <c r="U1939" s="26">
        <v>7</v>
      </c>
      <c r="V1939" s="26">
        <v>1</v>
      </c>
      <c r="W1939" s="26"/>
    </row>
    <row r="1940" spans="1:23" x14ac:dyDescent="0.25">
      <c r="A1940" s="26" t="str">
        <f t="shared" si="356"/>
        <v>PREESCOLAR</v>
      </c>
      <c r="B1940" s="26" t="str">
        <f>"09PJN3853U"</f>
        <v>09PJN3853U</v>
      </c>
      <c r="C1940" s="26" t="str">
        <f>"PEQUEÑOS CONSTRUCTORES                                                                              "</f>
        <v xml:space="preserve">PEQUEÑOS CONSTRUCTORES                                                                              </v>
      </c>
      <c r="D1940" s="26" t="str">
        <f t="shared" si="352"/>
        <v>MATUTINO</v>
      </c>
      <c r="E1940" s="26" t="str">
        <f>"BELGICA NO. 1111                                                                "</f>
        <v xml:space="preserve">BELGICA NO. 1111                                                                </v>
      </c>
      <c r="F1940" s="26" t="str">
        <f>"PORTALES                                                                                                                                    "</f>
        <v xml:space="preserve">PORTALES                                                                                                                                    </v>
      </c>
      <c r="G1940" s="26" t="str">
        <f t="shared" si="360"/>
        <v xml:space="preserve">BENITO JUAREZ                                                                   </v>
      </c>
      <c r="H1940" s="26" t="str">
        <f>"037"</f>
        <v>037</v>
      </c>
      <c r="I1940" s="26" t="str">
        <f t="shared" si="357"/>
        <v>00</v>
      </c>
      <c r="J1940" s="26" t="str">
        <f t="shared" si="361"/>
        <v xml:space="preserve">33 </v>
      </c>
      <c r="K1940" s="26" t="str">
        <f t="shared" si="362"/>
        <v>EP</v>
      </c>
      <c r="L1940" s="26" t="str">
        <f t="shared" si="363"/>
        <v>DGOSE</v>
      </c>
      <c r="M1940" s="26" t="str">
        <f t="shared" si="355"/>
        <v>PARTICULAR</v>
      </c>
      <c r="N1940" s="26">
        <v>19</v>
      </c>
      <c r="O1940" s="26">
        <v>10</v>
      </c>
      <c r="P1940" s="26">
        <v>9</v>
      </c>
      <c r="Q1940" s="26">
        <v>3</v>
      </c>
      <c r="R1940" s="26">
        <v>1</v>
      </c>
      <c r="S1940" s="26">
        <v>2</v>
      </c>
      <c r="T1940" s="26">
        <v>6</v>
      </c>
      <c r="U1940" s="26">
        <v>9</v>
      </c>
      <c r="V1940" s="26">
        <v>1</v>
      </c>
      <c r="W1940" s="26"/>
    </row>
    <row r="1941" spans="1:23" x14ac:dyDescent="0.25">
      <c r="A1941" s="26" t="str">
        <f t="shared" si="356"/>
        <v>PREESCOLAR</v>
      </c>
      <c r="B1941" s="26" t="str">
        <f>"09PJN3859O"</f>
        <v>09PJN3859O</v>
      </c>
      <c r="C1941" s="26" t="str">
        <f>"JARDÍN DE NIÑOS COLEGIO MIGUEL ANGEL ASTURIAS                                                       "</f>
        <v xml:space="preserve">JARDÍN DE NIÑOS COLEGIO MIGUEL ANGEL ASTURIAS                                                       </v>
      </c>
      <c r="D1941" s="26" t="str">
        <f t="shared" si="352"/>
        <v>MATUTINO</v>
      </c>
      <c r="E1941" s="26" t="str">
        <f>"UXMAL NO. 367                                                                   "</f>
        <v xml:space="preserve">UXMAL NO. 367                                                                   </v>
      </c>
      <c r="F1941" s="26" t="str">
        <f>"NARVARTE                                                                                                                                    "</f>
        <v xml:space="preserve">NARVARTE                                                                                                                                    </v>
      </c>
      <c r="G1941" s="26" t="str">
        <f t="shared" si="360"/>
        <v xml:space="preserve">BENITO JUAREZ                                                                   </v>
      </c>
      <c r="H1941" s="26" t="str">
        <f>"037"</f>
        <v>037</v>
      </c>
      <c r="I1941" s="26" t="str">
        <f t="shared" si="357"/>
        <v>00</v>
      </c>
      <c r="J1941" s="26" t="str">
        <f t="shared" si="361"/>
        <v xml:space="preserve">33 </v>
      </c>
      <c r="K1941" s="26" t="str">
        <f t="shared" si="362"/>
        <v>EP</v>
      </c>
      <c r="L1941" s="26" t="str">
        <f t="shared" si="363"/>
        <v>DGOSE</v>
      </c>
      <c r="M1941" s="26" t="str">
        <f t="shared" si="355"/>
        <v>PARTICULAR</v>
      </c>
      <c r="N1941" s="26">
        <v>27</v>
      </c>
      <c r="O1941" s="26">
        <v>12</v>
      </c>
      <c r="P1941" s="26">
        <v>15</v>
      </c>
      <c r="Q1941" s="26">
        <v>3</v>
      </c>
      <c r="R1941" s="26">
        <v>1</v>
      </c>
      <c r="S1941" s="26">
        <v>2</v>
      </c>
      <c r="T1941" s="26">
        <v>7</v>
      </c>
      <c r="U1941" s="26">
        <v>10</v>
      </c>
      <c r="V1941" s="26">
        <v>1</v>
      </c>
      <c r="W1941" s="26"/>
    </row>
    <row r="1942" spans="1:23" x14ac:dyDescent="0.25">
      <c r="A1942" s="26" t="str">
        <f t="shared" si="356"/>
        <v>PREESCOLAR</v>
      </c>
      <c r="B1942" s="26" t="str">
        <f>"09PJN3861C"</f>
        <v>09PJN3861C</v>
      </c>
      <c r="C1942" s="26" t="str">
        <f>"JARDIN DE NIÑOS YONANET                                                                             "</f>
        <v xml:space="preserve">JARDIN DE NIÑOS YONANET                                                                             </v>
      </c>
      <c r="D1942" s="26" t="str">
        <f t="shared" si="352"/>
        <v>MATUTINO</v>
      </c>
      <c r="E1942" s="26" t="str">
        <f>"SAN FRANCISCO NO. 21                                                            "</f>
        <v xml:space="preserve">SAN FRANCISCO NO. 21                                                            </v>
      </c>
      <c r="F1942" s="26" t="str">
        <f>"MOLINO DE SANTO DOMINGO                                                                                                                     "</f>
        <v xml:space="preserve">MOLINO DE SANTO DOMINGO                                                                                                                     </v>
      </c>
      <c r="G1942" s="26" t="str">
        <f>"ALVARO OBREGON                                                                  "</f>
        <v xml:space="preserve">ALVARO OBREGON                                                                  </v>
      </c>
      <c r="H1942" s="26" t="str">
        <f>"219"</f>
        <v>219</v>
      </c>
      <c r="I1942" s="26" t="str">
        <f t="shared" si="357"/>
        <v>00</v>
      </c>
      <c r="J1942" s="26" t="str">
        <f t="shared" si="361"/>
        <v xml:space="preserve">33 </v>
      </c>
      <c r="K1942" s="26" t="str">
        <f t="shared" si="362"/>
        <v>EP</v>
      </c>
      <c r="L1942" s="26" t="str">
        <f t="shared" si="363"/>
        <v>DGOSE</v>
      </c>
      <c r="M1942" s="26" t="str">
        <f t="shared" si="355"/>
        <v>PARTICULAR</v>
      </c>
      <c r="N1942" s="26">
        <v>32</v>
      </c>
      <c r="O1942" s="26">
        <v>19</v>
      </c>
      <c r="P1942" s="26">
        <v>13</v>
      </c>
      <c r="Q1942" s="26">
        <v>3</v>
      </c>
      <c r="R1942" s="26">
        <v>1</v>
      </c>
      <c r="S1942" s="26">
        <v>3</v>
      </c>
      <c r="T1942" s="26">
        <v>0</v>
      </c>
      <c r="U1942" s="26">
        <v>4</v>
      </c>
      <c r="V1942" s="26">
        <v>1</v>
      </c>
      <c r="W1942" s="26"/>
    </row>
    <row r="1943" spans="1:23" x14ac:dyDescent="0.25">
      <c r="A1943" s="26" t="str">
        <f t="shared" si="356"/>
        <v>PREESCOLAR</v>
      </c>
      <c r="B1943" s="26" t="str">
        <f>"09PJN3864Z"</f>
        <v>09PJN3864Z</v>
      </c>
      <c r="C1943" s="26" t="str">
        <f>"CENTRO PEDAGOGICO FEDERICO FROEBEL                                                                  "</f>
        <v xml:space="preserve">CENTRO PEDAGOGICO FEDERICO FROEBEL                                                                  </v>
      </c>
      <c r="D1943" s="26" t="str">
        <f t="shared" si="352"/>
        <v>MATUTINO</v>
      </c>
      <c r="E1943" s="26" t="str">
        <f>"CALLE DOS NO. 224                                                               "</f>
        <v xml:space="preserve">CALLE DOS NO. 224                                                               </v>
      </c>
      <c r="F1943" s="26" t="str">
        <f>"IZTACALCO                                                                                                                                   "</f>
        <v xml:space="preserve">IZTACALCO                                                                                                                                   </v>
      </c>
      <c r="G1943" s="26" t="str">
        <f>"IZTACALCO                                                                       "</f>
        <v xml:space="preserve">IZTACALCO                                                                       </v>
      </c>
      <c r="H1943" s="26" t="str">
        <f>"241"</f>
        <v>241</v>
      </c>
      <c r="I1943" s="26" t="str">
        <f t="shared" si="357"/>
        <v>00</v>
      </c>
      <c r="J1943" s="26" t="str">
        <f t="shared" si="361"/>
        <v xml:space="preserve">33 </v>
      </c>
      <c r="K1943" s="26" t="str">
        <f t="shared" si="362"/>
        <v>EP</v>
      </c>
      <c r="L1943" s="26" t="str">
        <f t="shared" si="363"/>
        <v>DGOSE</v>
      </c>
      <c r="M1943" s="26" t="str">
        <f t="shared" si="355"/>
        <v>PARTICULAR</v>
      </c>
      <c r="N1943" s="26">
        <v>36</v>
      </c>
      <c r="O1943" s="26">
        <v>17</v>
      </c>
      <c r="P1943" s="26">
        <v>19</v>
      </c>
      <c r="Q1943" s="26">
        <v>3</v>
      </c>
      <c r="R1943" s="26">
        <v>1</v>
      </c>
      <c r="S1943" s="26">
        <v>3</v>
      </c>
      <c r="T1943" s="26">
        <v>5</v>
      </c>
      <c r="U1943" s="26">
        <v>9</v>
      </c>
      <c r="V1943" s="26">
        <v>1</v>
      </c>
      <c r="W1943" s="26"/>
    </row>
    <row r="1944" spans="1:23" x14ac:dyDescent="0.25">
      <c r="A1944" s="26" t="str">
        <f t="shared" si="356"/>
        <v>PREESCOLAR</v>
      </c>
      <c r="B1944" s="26" t="str">
        <f>"09PJN3865Z"</f>
        <v>09PJN3865Z</v>
      </c>
      <c r="C1944" s="26" t="str">
        <f>"RO.MA.L.I.                                                                                          "</f>
        <v xml:space="preserve">RO.MA.L.I.                                                                                          </v>
      </c>
      <c r="D1944" s="26" t="str">
        <f t="shared" si="352"/>
        <v>MATUTINO</v>
      </c>
      <c r="E1944" s="26" t="str">
        <f>"TORRENTE NO. 110                                                                "</f>
        <v xml:space="preserve">TORRENTE NO. 110                                                                </v>
      </c>
      <c r="F1944" s="26" t="str">
        <f>"ALPES                                                                                                                                       "</f>
        <v xml:space="preserve">ALPES                                                                                                                                       </v>
      </c>
      <c r="G1944" s="26" t="str">
        <f>"ALVARO OBREGON                                                                  "</f>
        <v xml:space="preserve">ALVARO OBREGON                                                                  </v>
      </c>
      <c r="H1944" s="26" t="str">
        <f>"217"</f>
        <v>217</v>
      </c>
      <c r="I1944" s="26" t="str">
        <f t="shared" si="357"/>
        <v>00</v>
      </c>
      <c r="J1944" s="26" t="str">
        <f t="shared" si="361"/>
        <v xml:space="preserve">33 </v>
      </c>
      <c r="K1944" s="26" t="str">
        <f t="shared" si="362"/>
        <v>EP</v>
      </c>
      <c r="L1944" s="26" t="str">
        <f t="shared" si="363"/>
        <v>DGOSE</v>
      </c>
      <c r="M1944" s="26" t="str">
        <f t="shared" si="355"/>
        <v>PARTICULAR</v>
      </c>
      <c r="N1944" s="26">
        <v>46</v>
      </c>
      <c r="O1944" s="26">
        <v>23</v>
      </c>
      <c r="P1944" s="26">
        <v>23</v>
      </c>
      <c r="Q1944" s="26">
        <v>3</v>
      </c>
      <c r="R1944" s="26">
        <v>1</v>
      </c>
      <c r="S1944" s="26">
        <v>3</v>
      </c>
      <c r="T1944" s="26">
        <v>7</v>
      </c>
      <c r="U1944" s="26">
        <v>11</v>
      </c>
      <c r="V1944" s="26">
        <v>1</v>
      </c>
      <c r="W1944" s="26"/>
    </row>
    <row r="1945" spans="1:23" x14ac:dyDescent="0.25">
      <c r="A1945" s="26" t="str">
        <f t="shared" si="356"/>
        <v>PREESCOLAR</v>
      </c>
      <c r="B1945" s="26" t="str">
        <f>"09PJN3873H"</f>
        <v>09PJN3873H</v>
      </c>
      <c r="C1945" s="26" t="str">
        <f>"JOHN F. KENNEDY                                                                                     "</f>
        <v xml:space="preserve">JOHN F. KENNEDY                                                                                     </v>
      </c>
      <c r="D1945" s="26" t="str">
        <f t="shared" si="352"/>
        <v>MATUTINO</v>
      </c>
      <c r="E1945" s="26" t="str">
        <f>"SANTA LUCIA NO. 12                                                              "</f>
        <v xml:space="preserve">SANTA LUCIA NO. 12                                                              </v>
      </c>
      <c r="F1945" s="26" t="str">
        <f>"CARLOS HANK GONZALEZ                                                                                                                        "</f>
        <v xml:space="preserve">CARLOS HANK GONZALEZ                                                                                                                        </v>
      </c>
      <c r="G1945" s="26" t="str">
        <f>"IZTAPALAPA                                                                      "</f>
        <v xml:space="preserve">IZTAPALAPA                                                                      </v>
      </c>
      <c r="H1945" s="26" t="str">
        <f>"000"</f>
        <v>000</v>
      </c>
      <c r="I1945" s="26" t="str">
        <f t="shared" si="357"/>
        <v>00</v>
      </c>
      <c r="J1945" s="26" t="str">
        <f>"63 "</f>
        <v xml:space="preserve">63 </v>
      </c>
      <c r="K1945" s="26" t="str">
        <f>"IZ"</f>
        <v>IZ</v>
      </c>
      <c r="L1945" s="26" t="str">
        <f>"DGSEI"</f>
        <v>DGSEI</v>
      </c>
      <c r="M1945" s="26" t="str">
        <f t="shared" si="355"/>
        <v>PARTICULAR</v>
      </c>
      <c r="N1945" s="26">
        <v>35</v>
      </c>
      <c r="O1945" s="26">
        <v>20</v>
      </c>
      <c r="P1945" s="26">
        <v>15</v>
      </c>
      <c r="Q1945" s="26">
        <v>2</v>
      </c>
      <c r="R1945" s="26">
        <v>1</v>
      </c>
      <c r="S1945" s="26">
        <v>2</v>
      </c>
      <c r="T1945" s="26">
        <v>2</v>
      </c>
      <c r="U1945" s="26">
        <v>5</v>
      </c>
      <c r="V1945" s="26">
        <v>1</v>
      </c>
      <c r="W1945" s="26"/>
    </row>
    <row r="1946" spans="1:23" x14ac:dyDescent="0.25">
      <c r="A1946" s="26" t="str">
        <f t="shared" si="356"/>
        <v>PREESCOLAR</v>
      </c>
      <c r="B1946" s="26" t="str">
        <f>"09PJN3874G"</f>
        <v>09PJN3874G</v>
      </c>
      <c r="C1946" s="26" t="str">
        <f>"VICENTE GUERRERO                                                                                    "</f>
        <v xml:space="preserve">VICENTE GUERRERO                                                                                    </v>
      </c>
      <c r="D1946" s="26" t="str">
        <f>"TIEMPO COMPLETO"</f>
        <v>TIEMPO COMPLETO</v>
      </c>
      <c r="E1946" s="26" t="str">
        <f>"30 DE MAYO MZ. 155 LT. 15                                                       "</f>
        <v xml:space="preserve">30 DE MAYO MZ. 155 LT. 15                                                       </v>
      </c>
      <c r="F1946" s="26" t="str">
        <f>"IXTLAHUACAN                                                                                                                                 "</f>
        <v xml:space="preserve">IXTLAHUACAN                                                                                                                                 </v>
      </c>
      <c r="G1946" s="26" t="str">
        <f>"IZTAPALAPA                                                                      "</f>
        <v xml:space="preserve">IZTAPALAPA                                                                      </v>
      </c>
      <c r="H1946" s="26" t="str">
        <f>"000"</f>
        <v>000</v>
      </c>
      <c r="I1946" s="26" t="str">
        <f t="shared" si="357"/>
        <v>00</v>
      </c>
      <c r="J1946" s="26" t="str">
        <f>"64 "</f>
        <v xml:space="preserve">64 </v>
      </c>
      <c r="K1946" s="26" t="str">
        <f>"IZ"</f>
        <v>IZ</v>
      </c>
      <c r="L1946" s="26" t="str">
        <f>"DGSEI"</f>
        <v>DGSEI</v>
      </c>
      <c r="M1946" s="26" t="str">
        <f t="shared" si="355"/>
        <v>PARTICULAR</v>
      </c>
      <c r="N1946" s="26">
        <v>13</v>
      </c>
      <c r="O1946" s="26">
        <v>10</v>
      </c>
      <c r="P1946" s="26">
        <v>3</v>
      </c>
      <c r="Q1946" s="26">
        <v>2</v>
      </c>
      <c r="R1946" s="26">
        <v>1</v>
      </c>
      <c r="S1946" s="26">
        <v>2</v>
      </c>
      <c r="T1946" s="26">
        <v>1</v>
      </c>
      <c r="U1946" s="26">
        <v>4</v>
      </c>
      <c r="V1946" s="26">
        <v>1</v>
      </c>
      <c r="W1946" s="26"/>
    </row>
    <row r="1947" spans="1:23" x14ac:dyDescent="0.25">
      <c r="A1947" s="26" t="str">
        <f t="shared" si="356"/>
        <v>PREESCOLAR</v>
      </c>
      <c r="B1947" s="26" t="str">
        <f>"09PJN3876E"</f>
        <v>09PJN3876E</v>
      </c>
      <c r="C1947" s="26" t="str">
        <f>"EL MUNDO DE LOS NIÑOS                                                                               "</f>
        <v xml:space="preserve">EL MUNDO DE LOS NIÑOS                                                                               </v>
      </c>
      <c r="D1947" s="26" t="str">
        <f t="shared" ref="D1947:D2010" si="364">"MATUTINO"</f>
        <v>MATUTINO</v>
      </c>
      <c r="E1947" s="26" t="str">
        <f>"CALLE 5 NO. 122                                                                 "</f>
        <v xml:space="preserve">CALLE 5 NO. 122                                                                 </v>
      </c>
      <c r="F1947" s="26" t="str">
        <f>"ZARAGOZA                                                                                                                                    "</f>
        <v xml:space="preserve">ZARAGOZA                                                                                                                                    </v>
      </c>
      <c r="G1947" s="26" t="str">
        <f>"VENUSTIANO CARRANZA                                                             "</f>
        <v xml:space="preserve">VENUSTIANO CARRANZA                                                             </v>
      </c>
      <c r="H1947" s="26" t="str">
        <f>"250"</f>
        <v>250</v>
      </c>
      <c r="I1947" s="26" t="str">
        <f t="shared" si="357"/>
        <v>00</v>
      </c>
      <c r="J1947" s="26" t="str">
        <f>"33 "</f>
        <v xml:space="preserve">33 </v>
      </c>
      <c r="K1947" s="26" t="str">
        <f t="shared" ref="K1947:K1966" si="365">"EP"</f>
        <v>EP</v>
      </c>
      <c r="L1947" s="26" t="str">
        <f t="shared" ref="L1947:L1966" si="366">"DGOSE"</f>
        <v>DGOSE</v>
      </c>
      <c r="M1947" s="26" t="str">
        <f t="shared" si="355"/>
        <v>PARTICULAR</v>
      </c>
      <c r="N1947" s="26">
        <v>14</v>
      </c>
      <c r="O1947" s="26">
        <v>6</v>
      </c>
      <c r="P1947" s="26">
        <v>8</v>
      </c>
      <c r="Q1947" s="26">
        <v>3</v>
      </c>
      <c r="R1947" s="26">
        <v>1</v>
      </c>
      <c r="S1947" s="26">
        <v>3</v>
      </c>
      <c r="T1947" s="26">
        <v>1</v>
      </c>
      <c r="U1947" s="26">
        <v>5</v>
      </c>
      <c r="V1947" s="26">
        <v>1</v>
      </c>
      <c r="W1947" s="26"/>
    </row>
    <row r="1948" spans="1:23" x14ac:dyDescent="0.25">
      <c r="A1948" s="26" t="str">
        <f t="shared" si="356"/>
        <v>PREESCOLAR</v>
      </c>
      <c r="B1948" s="26" t="str">
        <f>"09PJN3878C"</f>
        <v>09PJN3878C</v>
      </c>
      <c r="C1948" s="26" t="str">
        <f>"GOTITAS DE VIDA                                                                                     "</f>
        <v xml:space="preserve">GOTITAS DE VIDA                                                                                     </v>
      </c>
      <c r="D1948" s="26" t="str">
        <f t="shared" si="364"/>
        <v>MATUTINO</v>
      </c>
      <c r="E1948" s="26" t="str">
        <f>"CANTERA NO 5                                                                    "</f>
        <v xml:space="preserve">CANTERA NO 5                                                                    </v>
      </c>
      <c r="F1948" s="26" t="str">
        <f>"TEPEYAC INSURGENTES                                                                                                                         "</f>
        <v xml:space="preserve">TEPEYAC INSURGENTES                                                                                                                         </v>
      </c>
      <c r="G1948" s="26" t="str">
        <f>"GUSTAVO A. MADERO                                                               "</f>
        <v xml:space="preserve">GUSTAVO A. MADERO                                                               </v>
      </c>
      <c r="H1948" s="26" t="str">
        <f>"177"</f>
        <v>177</v>
      </c>
      <c r="I1948" s="26" t="str">
        <f t="shared" si="357"/>
        <v>00</v>
      </c>
      <c r="J1948" s="26" t="str">
        <f>"32 "</f>
        <v xml:space="preserve">32 </v>
      </c>
      <c r="K1948" s="26" t="str">
        <f t="shared" si="365"/>
        <v>EP</v>
      </c>
      <c r="L1948" s="26" t="str">
        <f t="shared" si="366"/>
        <v>DGOSE</v>
      </c>
      <c r="M1948" s="26" t="str">
        <f t="shared" si="355"/>
        <v>PARTICULAR</v>
      </c>
      <c r="N1948" s="26">
        <v>20</v>
      </c>
      <c r="O1948" s="26">
        <v>8</v>
      </c>
      <c r="P1948" s="26">
        <v>12</v>
      </c>
      <c r="Q1948" s="26">
        <v>2</v>
      </c>
      <c r="R1948" s="26">
        <v>1</v>
      </c>
      <c r="S1948" s="26">
        <v>1</v>
      </c>
      <c r="T1948" s="26">
        <v>4</v>
      </c>
      <c r="U1948" s="26">
        <v>6</v>
      </c>
      <c r="V1948" s="26">
        <v>1</v>
      </c>
      <c r="W1948" s="26"/>
    </row>
    <row r="1949" spans="1:23" x14ac:dyDescent="0.25">
      <c r="A1949" s="26" t="str">
        <f t="shared" si="356"/>
        <v>PREESCOLAR</v>
      </c>
      <c r="B1949" s="26" t="str">
        <f>"09PJN3883O"</f>
        <v>09PJN3883O</v>
      </c>
      <c r="C1949" s="26" t="str">
        <f>"INSTITUTO ABERDEEN                                                                                  "</f>
        <v xml:space="preserve">INSTITUTO ABERDEEN                                                                                  </v>
      </c>
      <c r="D1949" s="26" t="str">
        <f t="shared" si="364"/>
        <v>MATUTINO</v>
      </c>
      <c r="E1949" s="26" t="str">
        <f>"PUERTO REAL NO. 19                                                              "</f>
        <v xml:space="preserve">PUERTO REAL NO. 19                                                              </v>
      </c>
      <c r="F1949" s="26" t="str">
        <f>"HIPODROMO DE LA CONDESA                                                                                                                     "</f>
        <v xml:space="preserve">HIPODROMO DE LA CONDESA                                                                                                                     </v>
      </c>
      <c r="G1949" s="26" t="s">
        <v>4128</v>
      </c>
      <c r="H1949" s="26" t="str">
        <f>"020"</f>
        <v>020</v>
      </c>
      <c r="I1949" s="26" t="str">
        <f t="shared" si="357"/>
        <v>00</v>
      </c>
      <c r="J1949" s="26" t="str">
        <f>"32 "</f>
        <v xml:space="preserve">32 </v>
      </c>
      <c r="K1949" s="26" t="str">
        <f t="shared" si="365"/>
        <v>EP</v>
      </c>
      <c r="L1949" s="26" t="str">
        <f t="shared" si="366"/>
        <v>DGOSE</v>
      </c>
      <c r="M1949" s="26" t="str">
        <f t="shared" si="355"/>
        <v>PARTICULAR</v>
      </c>
      <c r="N1949" s="26">
        <v>58</v>
      </c>
      <c r="O1949" s="26">
        <v>27</v>
      </c>
      <c r="P1949" s="26">
        <v>31</v>
      </c>
      <c r="Q1949" s="26">
        <v>3</v>
      </c>
      <c r="R1949" s="26">
        <v>1</v>
      </c>
      <c r="S1949" s="26">
        <v>3</v>
      </c>
      <c r="T1949" s="26">
        <v>3</v>
      </c>
      <c r="U1949" s="26">
        <v>7</v>
      </c>
      <c r="V1949" s="26">
        <v>1</v>
      </c>
      <c r="W1949" s="26"/>
    </row>
    <row r="1950" spans="1:23" x14ac:dyDescent="0.25">
      <c r="A1950" s="26" t="str">
        <f t="shared" si="356"/>
        <v>PREESCOLAR</v>
      </c>
      <c r="B1950" s="26" t="str">
        <f>"09PJN3887K"</f>
        <v>09PJN3887K</v>
      </c>
      <c r="C1950" s="26" t="str">
        <f>"JARDIN DE NIÑOS WISCONSIN                                                                           "</f>
        <v xml:space="preserve">JARDIN DE NIÑOS WISCONSIN                                                                           </v>
      </c>
      <c r="D1950" s="26" t="str">
        <f t="shared" si="364"/>
        <v>MATUTINO</v>
      </c>
      <c r="E1950" s="26" t="str">
        <f>"LUZ SAVIÑON NO. 927                                                             "</f>
        <v xml:space="preserve">LUZ SAVIÑON NO. 927                                                             </v>
      </c>
      <c r="F1950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1950" s="26" t="str">
        <f>"BENITO JUAREZ                                                                   "</f>
        <v xml:space="preserve">BENITO JUAREZ                                                                   </v>
      </c>
      <c r="H1950" s="26" t="str">
        <f>"232"</f>
        <v>232</v>
      </c>
      <c r="I1950" s="26" t="str">
        <f t="shared" si="357"/>
        <v>00</v>
      </c>
      <c r="J1950" s="26" t="str">
        <f>"33 "</f>
        <v xml:space="preserve">33 </v>
      </c>
      <c r="K1950" s="26" t="str">
        <f t="shared" si="365"/>
        <v>EP</v>
      </c>
      <c r="L1950" s="26" t="str">
        <f t="shared" si="366"/>
        <v>DGOSE</v>
      </c>
      <c r="M1950" s="26" t="str">
        <f t="shared" si="355"/>
        <v>PARTICULAR</v>
      </c>
      <c r="N1950" s="26">
        <v>22</v>
      </c>
      <c r="O1950" s="26">
        <v>15</v>
      </c>
      <c r="P1950" s="26">
        <v>7</v>
      </c>
      <c r="Q1950" s="26">
        <v>3</v>
      </c>
      <c r="R1950" s="26">
        <v>1</v>
      </c>
      <c r="S1950" s="26">
        <v>3</v>
      </c>
      <c r="T1950" s="26">
        <v>3</v>
      </c>
      <c r="U1950" s="26">
        <v>7</v>
      </c>
      <c r="V1950" s="26">
        <v>1</v>
      </c>
      <c r="W1950" s="26"/>
    </row>
    <row r="1951" spans="1:23" x14ac:dyDescent="0.25">
      <c r="A1951" s="26" t="str">
        <f t="shared" si="356"/>
        <v>PREESCOLAR</v>
      </c>
      <c r="B1951" s="26" t="str">
        <f>"09PJN3891X"</f>
        <v>09PJN3891X</v>
      </c>
      <c r="C1951" s="26" t="str">
        <f>"NENET CALLI MONTESSORI                                                                              "</f>
        <v xml:space="preserve">NENET CALLI MONTESSORI                                                                              </v>
      </c>
      <c r="D1951" s="26" t="str">
        <f t="shared" si="364"/>
        <v>MATUTINO</v>
      </c>
      <c r="E1951" s="26" t="str">
        <f>"TLACOQUEMECATL NO. 69                                                           "</f>
        <v xml:space="preserve">TLACOQUEMECATL NO. 69                                                           </v>
      </c>
      <c r="F1951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1951" s="26" t="str">
        <f>"BENITO JUAREZ                                                                   "</f>
        <v xml:space="preserve">BENITO JUAREZ                                                                   </v>
      </c>
      <c r="H1951" s="26" t="str">
        <f>"032"</f>
        <v>032</v>
      </c>
      <c r="I1951" s="26" t="str">
        <f t="shared" si="357"/>
        <v>00</v>
      </c>
      <c r="J1951" s="26" t="str">
        <f>"33 "</f>
        <v xml:space="preserve">33 </v>
      </c>
      <c r="K1951" s="26" t="str">
        <f t="shared" si="365"/>
        <v>EP</v>
      </c>
      <c r="L1951" s="26" t="str">
        <f t="shared" si="366"/>
        <v>DGOSE</v>
      </c>
      <c r="M1951" s="26" t="str">
        <f t="shared" si="355"/>
        <v>PARTICULAR</v>
      </c>
      <c r="N1951" s="26">
        <v>42</v>
      </c>
      <c r="O1951" s="26">
        <v>23</v>
      </c>
      <c r="P1951" s="26">
        <v>19</v>
      </c>
      <c r="Q1951" s="26">
        <v>3</v>
      </c>
      <c r="R1951" s="26">
        <v>1</v>
      </c>
      <c r="S1951" s="26">
        <v>3</v>
      </c>
      <c r="T1951" s="26">
        <v>7</v>
      </c>
      <c r="U1951" s="26">
        <v>11</v>
      </c>
      <c r="V1951" s="26">
        <v>1</v>
      </c>
      <c r="W1951" s="26"/>
    </row>
    <row r="1952" spans="1:23" x14ac:dyDescent="0.25">
      <c r="A1952" s="26" t="str">
        <f t="shared" si="356"/>
        <v>PREESCOLAR</v>
      </c>
      <c r="B1952" s="26" t="str">
        <f>"09PJN3896S"</f>
        <v>09PJN3896S</v>
      </c>
      <c r="C1952" s="26" t="str">
        <f>"CENTRO EDUCACIONAL NEMOHUA                                                                          "</f>
        <v xml:space="preserve">CENTRO EDUCACIONAL NEMOHUA                                                                          </v>
      </c>
      <c r="D1952" s="26" t="str">
        <f t="shared" si="364"/>
        <v>MATUTINO</v>
      </c>
      <c r="E1952" s="26" t="str">
        <f>"MIER Y PESADO NO. 28-D                                                          "</f>
        <v xml:space="preserve">MIER Y PESADO NO. 28-D                                                          </v>
      </c>
      <c r="F1952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1952" s="26" t="str">
        <f>"BENITO JUAREZ                                                                   "</f>
        <v xml:space="preserve">BENITO JUAREZ                                                                   </v>
      </c>
      <c r="H1952" s="26" t="str">
        <f>"232"</f>
        <v>232</v>
      </c>
      <c r="I1952" s="26" t="str">
        <f t="shared" si="357"/>
        <v>00</v>
      </c>
      <c r="J1952" s="26" t="str">
        <f>"33 "</f>
        <v xml:space="preserve">33 </v>
      </c>
      <c r="K1952" s="26" t="str">
        <f t="shared" si="365"/>
        <v>EP</v>
      </c>
      <c r="L1952" s="26" t="str">
        <f t="shared" si="366"/>
        <v>DGOSE</v>
      </c>
      <c r="M1952" s="26" t="str">
        <f t="shared" si="355"/>
        <v>PARTICULAR</v>
      </c>
      <c r="N1952" s="26">
        <v>23</v>
      </c>
      <c r="O1952" s="26">
        <v>13</v>
      </c>
      <c r="P1952" s="26">
        <v>10</v>
      </c>
      <c r="Q1952" s="26">
        <v>3</v>
      </c>
      <c r="R1952" s="26">
        <v>1</v>
      </c>
      <c r="S1952" s="26">
        <v>3</v>
      </c>
      <c r="T1952" s="26">
        <v>6</v>
      </c>
      <c r="U1952" s="26">
        <v>10</v>
      </c>
      <c r="V1952" s="26">
        <v>1</v>
      </c>
      <c r="W1952" s="26"/>
    </row>
    <row r="1953" spans="1:23" x14ac:dyDescent="0.25">
      <c r="A1953" s="26" t="str">
        <f t="shared" si="356"/>
        <v>PREESCOLAR</v>
      </c>
      <c r="B1953" s="26" t="str">
        <f>"09PJN3897R"</f>
        <v>09PJN3897R</v>
      </c>
      <c r="C1953" s="26" t="str">
        <f>"CENTRO EDUCATIVO MODERNO                                                                            "</f>
        <v xml:space="preserve">CENTRO EDUCATIVO MODERNO                                                                            </v>
      </c>
      <c r="D1953" s="26" t="str">
        <f t="shared" si="364"/>
        <v>MATUTINO</v>
      </c>
      <c r="E1953" s="26" t="str">
        <f>"XOLA NO. 36                                                                     "</f>
        <v xml:space="preserve">XOLA NO. 36                                                                     </v>
      </c>
      <c r="F1953" s="26" t="str">
        <f>"ALAMOS                                                                                                                                      "</f>
        <v xml:space="preserve">ALAMOS                                                                                                                                      </v>
      </c>
      <c r="G1953" s="26" t="str">
        <f>"BENITO JUAREZ                                                                   "</f>
        <v xml:space="preserve">BENITO JUAREZ                                                                   </v>
      </c>
      <c r="H1953" s="26" t="str">
        <f>"037"</f>
        <v>037</v>
      </c>
      <c r="I1953" s="26" t="str">
        <f t="shared" si="357"/>
        <v>00</v>
      </c>
      <c r="J1953" s="26" t="str">
        <f>"33 "</f>
        <v xml:space="preserve">33 </v>
      </c>
      <c r="K1953" s="26" t="str">
        <f t="shared" si="365"/>
        <v>EP</v>
      </c>
      <c r="L1953" s="26" t="str">
        <f t="shared" si="366"/>
        <v>DGOSE</v>
      </c>
      <c r="M1953" s="26" t="str">
        <f t="shared" si="355"/>
        <v>PARTICULAR</v>
      </c>
      <c r="N1953" s="26">
        <v>52</v>
      </c>
      <c r="O1953" s="26">
        <v>29</v>
      </c>
      <c r="P1953" s="26">
        <v>23</v>
      </c>
      <c r="Q1953" s="26">
        <v>3</v>
      </c>
      <c r="R1953" s="26">
        <v>1</v>
      </c>
      <c r="S1953" s="26">
        <v>3</v>
      </c>
      <c r="T1953" s="26">
        <v>4</v>
      </c>
      <c r="U1953" s="26">
        <v>8</v>
      </c>
      <c r="V1953" s="26">
        <v>1</v>
      </c>
      <c r="W1953" s="26"/>
    </row>
    <row r="1954" spans="1:23" x14ac:dyDescent="0.25">
      <c r="A1954" s="26" t="str">
        <f t="shared" si="356"/>
        <v>PREESCOLAR</v>
      </c>
      <c r="B1954" s="26" t="str">
        <f>"09PJN3898Q"</f>
        <v>09PJN3898Q</v>
      </c>
      <c r="C1954" s="26" t="str">
        <f>"KIDS EXPLORING                                                                                      "</f>
        <v xml:space="preserve">KIDS EXPLORING                                                                                      </v>
      </c>
      <c r="D1954" s="26" t="str">
        <f t="shared" si="364"/>
        <v>MATUTINO</v>
      </c>
      <c r="E1954" s="26" t="str">
        <f>"PARROQUIA NO. 423                                                               "</f>
        <v xml:space="preserve">PARROQUIA NO. 423                                                               </v>
      </c>
      <c r="F1954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1954" s="26" t="str">
        <f>"BENITO JUAREZ                                                                   "</f>
        <v xml:space="preserve">BENITO JUAREZ                                                                   </v>
      </c>
      <c r="H1954" s="26" t="str">
        <f>"231"</f>
        <v>231</v>
      </c>
      <c r="I1954" s="26" t="str">
        <f t="shared" si="357"/>
        <v>00</v>
      </c>
      <c r="J1954" s="26" t="str">
        <f>"33 "</f>
        <v xml:space="preserve">33 </v>
      </c>
      <c r="K1954" s="26" t="str">
        <f t="shared" si="365"/>
        <v>EP</v>
      </c>
      <c r="L1954" s="26" t="str">
        <f t="shared" si="366"/>
        <v>DGOSE</v>
      </c>
      <c r="M1954" s="26" t="str">
        <f t="shared" si="355"/>
        <v>PARTICULAR</v>
      </c>
      <c r="N1954" s="26">
        <v>10</v>
      </c>
      <c r="O1954" s="26">
        <v>6</v>
      </c>
      <c r="P1954" s="26">
        <v>4</v>
      </c>
      <c r="Q1954" s="26">
        <v>2</v>
      </c>
      <c r="R1954" s="26">
        <v>1</v>
      </c>
      <c r="S1954" s="26">
        <v>2</v>
      </c>
      <c r="T1954" s="26">
        <v>0</v>
      </c>
      <c r="U1954" s="26">
        <v>3</v>
      </c>
      <c r="V1954" s="26">
        <v>1</v>
      </c>
      <c r="W1954" s="26"/>
    </row>
    <row r="1955" spans="1:23" x14ac:dyDescent="0.25">
      <c r="A1955" s="26" t="str">
        <f t="shared" si="356"/>
        <v>PREESCOLAR</v>
      </c>
      <c r="B1955" s="26" t="str">
        <f>"09PJN3901N"</f>
        <v>09PJN3901N</v>
      </c>
      <c r="C1955" s="26" t="str">
        <f>"WESTMINSTER SCHOOL                                                                                  "</f>
        <v xml:space="preserve">WESTMINSTER SCHOOL                                                                                  </v>
      </c>
      <c r="D1955" s="26" t="str">
        <f t="shared" si="364"/>
        <v>MATUTINO</v>
      </c>
      <c r="E1955" s="26" t="str">
        <f>"CAMINO A SANTA TERESA NO. 811                                                   "</f>
        <v xml:space="preserve">CAMINO A SANTA TERESA NO. 811                                                   </v>
      </c>
      <c r="F1955" s="26" t="str">
        <f>"TLALPAN                                                                                                                                     "</f>
        <v xml:space="preserve">TLALPAN                                                                                                                                     </v>
      </c>
      <c r="G1955" s="26" t="str">
        <f>"TLALPAN                                                                         "</f>
        <v xml:space="preserve">TLALPAN                                                                         </v>
      </c>
      <c r="H1955" s="26" t="str">
        <f>"147"</f>
        <v>147</v>
      </c>
      <c r="I1955" s="26" t="str">
        <f t="shared" si="357"/>
        <v>00</v>
      </c>
      <c r="J1955" s="26" t="str">
        <f>"35 "</f>
        <v xml:space="preserve">35 </v>
      </c>
      <c r="K1955" s="26" t="str">
        <f t="shared" si="365"/>
        <v>EP</v>
      </c>
      <c r="L1955" s="26" t="str">
        <f t="shared" si="366"/>
        <v>DGOSE</v>
      </c>
      <c r="M1955" s="26" t="str">
        <f t="shared" si="355"/>
        <v>PARTICULAR</v>
      </c>
      <c r="N1955" s="26">
        <v>21</v>
      </c>
      <c r="O1955" s="26">
        <v>12</v>
      </c>
      <c r="P1955" s="26">
        <v>9</v>
      </c>
      <c r="Q1955" s="26">
        <v>3</v>
      </c>
      <c r="R1955" s="26">
        <v>1</v>
      </c>
      <c r="S1955" s="26">
        <v>3</v>
      </c>
      <c r="T1955" s="26">
        <v>10</v>
      </c>
      <c r="U1955" s="26">
        <v>14</v>
      </c>
      <c r="V1955" s="26">
        <v>1</v>
      </c>
      <c r="W1955" s="26"/>
    </row>
    <row r="1956" spans="1:23" x14ac:dyDescent="0.25">
      <c r="A1956" s="26" t="str">
        <f t="shared" si="356"/>
        <v>PREESCOLAR</v>
      </c>
      <c r="B1956" s="26" t="str">
        <f>"09PJN3906I"</f>
        <v>09PJN3906I</v>
      </c>
      <c r="C1956" s="26" t="str">
        <f>"INSTITUTO GUTEMBERG                                                                                 "</f>
        <v xml:space="preserve">INSTITUTO GUTEMBERG                                                                                 </v>
      </c>
      <c r="D1956" s="26" t="str">
        <f t="shared" si="364"/>
        <v>MATUTINO</v>
      </c>
      <c r="E1956" s="26" t="str">
        <f>"CASTULO GARCIA NO. 32                                                           "</f>
        <v xml:space="preserve">CASTULO GARCIA NO. 32                                                           </v>
      </c>
      <c r="F1956" s="26" t="str">
        <f>"LA CONCHITA                                                                                                                                 "</f>
        <v xml:space="preserve">LA CONCHITA                                                                                                                                 </v>
      </c>
      <c r="G1956" s="26" t="str">
        <f>"TLAHUAC                                                                         "</f>
        <v xml:space="preserve">TLAHUAC                                                                         </v>
      </c>
      <c r="H1956" s="26" t="str">
        <f>"242"</f>
        <v>242</v>
      </c>
      <c r="I1956" s="26" t="str">
        <f t="shared" si="357"/>
        <v>00</v>
      </c>
      <c r="J1956" s="26" t="str">
        <f>"35 "</f>
        <v xml:space="preserve">35 </v>
      </c>
      <c r="K1956" s="26" t="str">
        <f t="shared" si="365"/>
        <v>EP</v>
      </c>
      <c r="L1956" s="26" t="str">
        <f t="shared" si="366"/>
        <v>DGOSE</v>
      </c>
      <c r="M1956" s="26" t="str">
        <f t="shared" si="355"/>
        <v>PARTICULAR</v>
      </c>
      <c r="N1956" s="26">
        <v>36</v>
      </c>
      <c r="O1956" s="26">
        <v>14</v>
      </c>
      <c r="P1956" s="26">
        <v>22</v>
      </c>
      <c r="Q1956" s="26">
        <v>3</v>
      </c>
      <c r="R1956" s="26">
        <v>1</v>
      </c>
      <c r="S1956" s="26">
        <v>3</v>
      </c>
      <c r="T1956" s="26">
        <v>6</v>
      </c>
      <c r="U1956" s="26">
        <v>10</v>
      </c>
      <c r="V1956" s="26">
        <v>1</v>
      </c>
      <c r="W1956" s="26"/>
    </row>
    <row r="1957" spans="1:23" x14ac:dyDescent="0.25">
      <c r="A1957" s="26" t="str">
        <f t="shared" si="356"/>
        <v>PREESCOLAR</v>
      </c>
      <c r="B1957" s="26" t="str">
        <f>"09PJN3912T"</f>
        <v>09PJN3912T</v>
      </c>
      <c r="C1957" s="26" t="str">
        <f>"BABY DISNEY                                                                                         "</f>
        <v xml:space="preserve">BABY DISNEY                                                                                         </v>
      </c>
      <c r="D1957" s="26" t="str">
        <f t="shared" si="364"/>
        <v>MATUTINO</v>
      </c>
      <c r="E1957" s="26" t="str">
        <f>"MIGUEL JACINTES NO. 66                                                          "</f>
        <v xml:space="preserve">MIGUEL JACINTES NO. 66                                                          </v>
      </c>
      <c r="F1957" s="26" t="str">
        <f>"MOCTEZUMA 1A SECCION                                                                                                                        "</f>
        <v xml:space="preserve">MOCTEZUMA 1A SECCION                                                                                                                        </v>
      </c>
      <c r="G1957" s="26" t="str">
        <f>"VENUSTIANO CARRANZA                                                             "</f>
        <v xml:space="preserve">VENUSTIANO CARRANZA                                                             </v>
      </c>
      <c r="H1957" s="26" t="str">
        <f>"248"</f>
        <v>248</v>
      </c>
      <c r="I1957" s="26" t="str">
        <f t="shared" si="357"/>
        <v>00</v>
      </c>
      <c r="J1957" s="26" t="str">
        <f t="shared" ref="J1957:J1962" si="367">"33 "</f>
        <v xml:space="preserve">33 </v>
      </c>
      <c r="K1957" s="26" t="str">
        <f t="shared" si="365"/>
        <v>EP</v>
      </c>
      <c r="L1957" s="26" t="str">
        <f t="shared" si="366"/>
        <v>DGOSE</v>
      </c>
      <c r="M1957" s="26" t="str">
        <f t="shared" si="355"/>
        <v>PARTICULAR</v>
      </c>
      <c r="N1957" s="26">
        <v>79</v>
      </c>
      <c r="O1957" s="26">
        <v>44</v>
      </c>
      <c r="P1957" s="26">
        <v>35</v>
      </c>
      <c r="Q1957" s="26">
        <v>4</v>
      </c>
      <c r="R1957" s="26">
        <v>1</v>
      </c>
      <c r="S1957" s="26">
        <v>4</v>
      </c>
      <c r="T1957" s="26">
        <v>8</v>
      </c>
      <c r="U1957" s="26">
        <v>13</v>
      </c>
      <c r="V1957" s="26">
        <v>1</v>
      </c>
      <c r="W1957" s="26"/>
    </row>
    <row r="1958" spans="1:23" x14ac:dyDescent="0.25">
      <c r="A1958" s="26" t="str">
        <f t="shared" si="356"/>
        <v>PREESCOLAR</v>
      </c>
      <c r="B1958" s="26" t="str">
        <f>"09PJN3913S"</f>
        <v>09PJN3913S</v>
      </c>
      <c r="C1958" s="26" t="str">
        <f>"BRITISH COLUMBIA                                                                                    "</f>
        <v xml:space="preserve">BRITISH COLUMBIA                                                                                    </v>
      </c>
      <c r="D1958" s="26" t="str">
        <f t="shared" si="364"/>
        <v>MATUTINO</v>
      </c>
      <c r="E1958" s="26" t="str">
        <f>"JOSE J. JASSO NO. 48                                                            "</f>
        <v xml:space="preserve">JOSE J. JASSO NO. 48                                                            </v>
      </c>
      <c r="F1958" s="26" t="str">
        <f>"MOCTEZUMA 1A SECCION                                                                                                                        "</f>
        <v xml:space="preserve">MOCTEZUMA 1A SECCION                                                                                                                        </v>
      </c>
      <c r="G1958" s="26" t="str">
        <f>"VENUSTIANO CARRANZA                                                             "</f>
        <v xml:space="preserve">VENUSTIANO CARRANZA                                                             </v>
      </c>
      <c r="H1958" s="26" t="str">
        <f>"248"</f>
        <v>248</v>
      </c>
      <c r="I1958" s="26" t="str">
        <f t="shared" si="357"/>
        <v>00</v>
      </c>
      <c r="J1958" s="26" t="str">
        <f t="shared" si="367"/>
        <v xml:space="preserve">33 </v>
      </c>
      <c r="K1958" s="26" t="str">
        <f t="shared" si="365"/>
        <v>EP</v>
      </c>
      <c r="L1958" s="26" t="str">
        <f t="shared" si="366"/>
        <v>DGOSE</v>
      </c>
      <c r="M1958" s="26" t="str">
        <f t="shared" si="355"/>
        <v>PARTICULAR</v>
      </c>
      <c r="N1958" s="26">
        <v>79</v>
      </c>
      <c r="O1958" s="26">
        <v>42</v>
      </c>
      <c r="P1958" s="26">
        <v>37</v>
      </c>
      <c r="Q1958" s="26">
        <v>5</v>
      </c>
      <c r="R1958" s="26">
        <v>1</v>
      </c>
      <c r="S1958" s="26">
        <v>5</v>
      </c>
      <c r="T1958" s="26">
        <v>12</v>
      </c>
      <c r="U1958" s="26">
        <v>18</v>
      </c>
      <c r="V1958" s="26">
        <v>1</v>
      </c>
      <c r="W1958" s="26"/>
    </row>
    <row r="1959" spans="1:23" x14ac:dyDescent="0.25">
      <c r="A1959" s="26" t="str">
        <f t="shared" si="356"/>
        <v>PREESCOLAR</v>
      </c>
      <c r="B1959" s="26" t="str">
        <f>"09PJN3916P"</f>
        <v>09PJN3916P</v>
      </c>
      <c r="C1959" s="26" t="str">
        <f>"COLEGIO SANTANDER CANTABRIA                                                                         "</f>
        <v xml:space="preserve">COLEGIO SANTANDER CANTABRIA                                                                         </v>
      </c>
      <c r="D1959" s="26" t="str">
        <f t="shared" si="364"/>
        <v>MATUTINO</v>
      </c>
      <c r="E1959" s="26" t="str">
        <f>"NORTE 13 NO. 58                                                                 "</f>
        <v xml:space="preserve">NORTE 13 NO. 58                                                                 </v>
      </c>
      <c r="F1959" s="26" t="str">
        <f>"MOCTEZUMA 1A SECCION                                                                                                                        "</f>
        <v xml:space="preserve">MOCTEZUMA 1A SECCION                                                                                                                        </v>
      </c>
      <c r="G1959" s="26" t="str">
        <f>"VENUSTIANO CARRANZA                                                             "</f>
        <v xml:space="preserve">VENUSTIANO CARRANZA                                                             </v>
      </c>
      <c r="H1959" s="26" t="str">
        <f>"248"</f>
        <v>248</v>
      </c>
      <c r="I1959" s="26" t="str">
        <f t="shared" si="357"/>
        <v>00</v>
      </c>
      <c r="J1959" s="26" t="str">
        <f t="shared" si="367"/>
        <v xml:space="preserve">33 </v>
      </c>
      <c r="K1959" s="26" t="str">
        <f t="shared" si="365"/>
        <v>EP</v>
      </c>
      <c r="L1959" s="26" t="str">
        <f t="shared" si="366"/>
        <v>DGOSE</v>
      </c>
      <c r="M1959" s="26" t="str">
        <f t="shared" si="355"/>
        <v>PARTICULAR</v>
      </c>
      <c r="N1959" s="26">
        <v>97</v>
      </c>
      <c r="O1959" s="26">
        <v>58</v>
      </c>
      <c r="P1959" s="26">
        <v>39</v>
      </c>
      <c r="Q1959" s="26">
        <v>5</v>
      </c>
      <c r="R1959" s="26">
        <v>1</v>
      </c>
      <c r="S1959" s="26">
        <v>5</v>
      </c>
      <c r="T1959" s="26">
        <v>6</v>
      </c>
      <c r="U1959" s="26">
        <v>12</v>
      </c>
      <c r="V1959" s="26">
        <v>1</v>
      </c>
      <c r="W1959" s="26"/>
    </row>
    <row r="1960" spans="1:23" x14ac:dyDescent="0.25">
      <c r="A1960" s="26" t="str">
        <f t="shared" si="356"/>
        <v>PREESCOLAR</v>
      </c>
      <c r="B1960" s="26" t="str">
        <f>"09PJN3918N"</f>
        <v>09PJN3918N</v>
      </c>
      <c r="C1960" s="26" t="str">
        <f>"PREESCOLAR CRUZ GÓMEZ TAGLE                                                                         "</f>
        <v xml:space="preserve">PREESCOLAR CRUZ GÓMEZ TAGLE                                                                         </v>
      </c>
      <c r="D1960" s="26" t="str">
        <f t="shared" si="364"/>
        <v>MATUTINO</v>
      </c>
      <c r="E1960" s="26" t="str">
        <f>"BRAVO NO. 30                                                                    "</f>
        <v xml:space="preserve">BRAVO NO. 30                                                                    </v>
      </c>
      <c r="F1960" s="26" t="str">
        <f>"MORELOS                                                                                                                                     "</f>
        <v xml:space="preserve">MORELOS                                                                                                                                     </v>
      </c>
      <c r="G1960" s="26" t="str">
        <f>"VENUSTIANO CARRANZA                                                             "</f>
        <v xml:space="preserve">VENUSTIANO CARRANZA                                                             </v>
      </c>
      <c r="H1960" s="26" t="str">
        <f>"025"</f>
        <v>025</v>
      </c>
      <c r="I1960" s="26" t="str">
        <f t="shared" si="357"/>
        <v>00</v>
      </c>
      <c r="J1960" s="26" t="str">
        <f t="shared" si="367"/>
        <v xml:space="preserve">33 </v>
      </c>
      <c r="K1960" s="26" t="str">
        <f t="shared" si="365"/>
        <v>EP</v>
      </c>
      <c r="L1960" s="26" t="str">
        <f t="shared" si="366"/>
        <v>DGOSE</v>
      </c>
      <c r="M1960" s="26" t="str">
        <f t="shared" si="355"/>
        <v>PARTICULAR</v>
      </c>
      <c r="N1960" s="26">
        <v>20</v>
      </c>
      <c r="O1960" s="26">
        <v>13</v>
      </c>
      <c r="P1960" s="26">
        <v>7</v>
      </c>
      <c r="Q1960" s="26">
        <v>3</v>
      </c>
      <c r="R1960" s="26">
        <v>1</v>
      </c>
      <c r="S1960" s="26">
        <v>3</v>
      </c>
      <c r="T1960" s="26">
        <v>6</v>
      </c>
      <c r="U1960" s="26">
        <v>10</v>
      </c>
      <c r="V1960" s="26">
        <v>1</v>
      </c>
      <c r="W1960" s="26"/>
    </row>
    <row r="1961" spans="1:23" x14ac:dyDescent="0.25">
      <c r="A1961" s="26" t="str">
        <f t="shared" si="356"/>
        <v>PREESCOLAR</v>
      </c>
      <c r="B1961" s="26" t="str">
        <f>"09PJN3923Z"</f>
        <v>09PJN3923Z</v>
      </c>
      <c r="C1961" s="26" t="str">
        <f>"CENTRO DE EDUCACIÓN PREESCOLAR  EL ARLEQUÍN                                                         "</f>
        <v xml:space="preserve">CENTRO DE EDUCACIÓN PREESCOLAR  EL ARLEQUÍN                                                         </v>
      </c>
      <c r="D1961" s="26" t="str">
        <f t="shared" si="364"/>
        <v>MATUTINO</v>
      </c>
      <c r="E1961" s="26" t="str">
        <f>"NORTE 33 NO.25                                                                  "</f>
        <v xml:space="preserve">NORTE 33 NO.25                                                                  </v>
      </c>
      <c r="F1961" s="26" t="str">
        <f>"MOCTEZUMA 2A SECCION                                                                                                                        "</f>
        <v xml:space="preserve">MOCTEZUMA 2A SECCION                                                                                                                        </v>
      </c>
      <c r="G1961" s="26" t="str">
        <f>"VENUSTIANO CARRANZA                                                             "</f>
        <v xml:space="preserve">VENUSTIANO CARRANZA                                                             </v>
      </c>
      <c r="H1961" s="26" t="str">
        <f>"248"</f>
        <v>248</v>
      </c>
      <c r="I1961" s="26" t="str">
        <f t="shared" si="357"/>
        <v>00</v>
      </c>
      <c r="J1961" s="26" t="str">
        <f t="shared" si="367"/>
        <v xml:space="preserve">33 </v>
      </c>
      <c r="K1961" s="26" t="str">
        <f t="shared" si="365"/>
        <v>EP</v>
      </c>
      <c r="L1961" s="26" t="str">
        <f t="shared" si="366"/>
        <v>DGOSE</v>
      </c>
      <c r="M1961" s="26" t="str">
        <f t="shared" si="355"/>
        <v>PARTICULAR</v>
      </c>
      <c r="N1961" s="26">
        <v>29</v>
      </c>
      <c r="O1961" s="26">
        <v>13</v>
      </c>
      <c r="P1961" s="26">
        <v>16</v>
      </c>
      <c r="Q1961" s="26">
        <v>3</v>
      </c>
      <c r="R1961" s="26">
        <v>1</v>
      </c>
      <c r="S1961" s="26">
        <v>3</v>
      </c>
      <c r="T1961" s="26">
        <v>1</v>
      </c>
      <c r="U1961" s="26">
        <v>5</v>
      </c>
      <c r="V1961" s="26">
        <v>1</v>
      </c>
      <c r="W1961" s="26"/>
    </row>
    <row r="1962" spans="1:23" x14ac:dyDescent="0.25">
      <c r="A1962" s="26" t="str">
        <f t="shared" si="356"/>
        <v>PREESCOLAR</v>
      </c>
      <c r="B1962" s="26" t="str">
        <f>"09PJN3925X"</f>
        <v>09PJN3925X</v>
      </c>
      <c r="C1962" s="26" t="str">
        <f>"GENGIS KAN                                                                                          "</f>
        <v xml:space="preserve">GENGIS KAN                                                                                          </v>
      </c>
      <c r="D1962" s="26" t="str">
        <f t="shared" si="364"/>
        <v>MATUTINO</v>
      </c>
      <c r="E1962" s="26" t="str">
        <f>"AV. ADOLFO LOPEZ MATEOS MZA. 36 LT. 17                                          "</f>
        <v xml:space="preserve">AV. ADOLFO LOPEZ MATEOS MZA. 36 LT. 17                                          </v>
      </c>
      <c r="F1962" s="26" t="str">
        <f>"PRESIDENTES                                                                                                                                 "</f>
        <v xml:space="preserve">PRESIDENTES                                                                                                                                 </v>
      </c>
      <c r="G1962" s="26" t="str">
        <f>"ALVARO OBREGON                                                                  "</f>
        <v xml:space="preserve">ALVARO OBREGON                                                                  </v>
      </c>
      <c r="H1962" s="26" t="str">
        <f>"165"</f>
        <v>165</v>
      </c>
      <c r="I1962" s="26" t="str">
        <f t="shared" si="357"/>
        <v>00</v>
      </c>
      <c r="J1962" s="26" t="str">
        <f t="shared" si="367"/>
        <v xml:space="preserve">33 </v>
      </c>
      <c r="K1962" s="26" t="str">
        <f t="shared" si="365"/>
        <v>EP</v>
      </c>
      <c r="L1962" s="26" t="str">
        <f t="shared" si="366"/>
        <v>DGOSE</v>
      </c>
      <c r="M1962" s="26" t="str">
        <f t="shared" si="355"/>
        <v>PARTICULAR</v>
      </c>
      <c r="N1962" s="26">
        <v>27</v>
      </c>
      <c r="O1962" s="26">
        <v>15</v>
      </c>
      <c r="P1962" s="26">
        <v>12</v>
      </c>
      <c r="Q1962" s="26">
        <v>3</v>
      </c>
      <c r="R1962" s="26">
        <v>1</v>
      </c>
      <c r="S1962" s="26">
        <v>3</v>
      </c>
      <c r="T1962" s="26">
        <v>5</v>
      </c>
      <c r="U1962" s="26">
        <v>9</v>
      </c>
      <c r="V1962" s="26">
        <v>1</v>
      </c>
      <c r="W1962" s="26"/>
    </row>
    <row r="1963" spans="1:23" x14ac:dyDescent="0.25">
      <c r="A1963" s="26" t="str">
        <f t="shared" si="356"/>
        <v>PREESCOLAR</v>
      </c>
      <c r="B1963" s="26" t="str">
        <f>"09PJN3929T"</f>
        <v>09PJN3929T</v>
      </c>
      <c r="C1963" s="26" t="str">
        <f>"LOS PATITOS                                                                                         "</f>
        <v xml:space="preserve">LOS PATITOS                                                                                         </v>
      </c>
      <c r="D1963" s="26" t="str">
        <f t="shared" si="364"/>
        <v>MATUTINO</v>
      </c>
      <c r="E1963" s="26" t="str">
        <f>"NORTE 25-A NO. 53                                                               "</f>
        <v xml:space="preserve">NORTE 25-A NO. 53                                                               </v>
      </c>
      <c r="F1963" s="26" t="str">
        <f>"NUEVA VALLEJO                                                                                                                               "</f>
        <v xml:space="preserve">NUEVA VALLEJO                                                                                                                               </v>
      </c>
      <c r="G1963" s="26" t="str">
        <f>"GUSTAVO A. MADERO                                                               "</f>
        <v xml:space="preserve">GUSTAVO A. MADERO                                                               </v>
      </c>
      <c r="H1963" s="26" t="str">
        <f>"155"</f>
        <v>155</v>
      </c>
      <c r="I1963" s="26" t="str">
        <f t="shared" si="357"/>
        <v>00</v>
      </c>
      <c r="J1963" s="26" t="str">
        <f>"32 "</f>
        <v xml:space="preserve">32 </v>
      </c>
      <c r="K1963" s="26" t="str">
        <f t="shared" si="365"/>
        <v>EP</v>
      </c>
      <c r="L1963" s="26" t="str">
        <f t="shared" si="366"/>
        <v>DGOSE</v>
      </c>
      <c r="M1963" s="26" t="str">
        <f t="shared" si="355"/>
        <v>PARTICULAR</v>
      </c>
      <c r="N1963" s="26">
        <v>23</v>
      </c>
      <c r="O1963" s="26">
        <v>12</v>
      </c>
      <c r="P1963" s="26">
        <v>11</v>
      </c>
      <c r="Q1963" s="26">
        <v>3</v>
      </c>
      <c r="R1963" s="26">
        <v>1</v>
      </c>
      <c r="S1963" s="26">
        <v>3</v>
      </c>
      <c r="T1963" s="26">
        <v>1</v>
      </c>
      <c r="U1963" s="26">
        <v>5</v>
      </c>
      <c r="V1963" s="26">
        <v>1</v>
      </c>
      <c r="W1963" s="26"/>
    </row>
    <row r="1964" spans="1:23" x14ac:dyDescent="0.25">
      <c r="A1964" s="26" t="str">
        <f t="shared" si="356"/>
        <v>PREESCOLAR</v>
      </c>
      <c r="B1964" s="26" t="str">
        <f>"09PJN3932G"</f>
        <v>09PJN3932G</v>
      </c>
      <c r="C1964" s="26" t="str">
        <f>"KINDER MIRAVALLE                                                                                    "</f>
        <v xml:space="preserve">KINDER MIRAVALLE                                                                                    </v>
      </c>
      <c r="D1964" s="26" t="str">
        <f t="shared" si="364"/>
        <v>MATUTINO</v>
      </c>
      <c r="E1964" s="26" t="str">
        <f>"LATACUNGA NO. 786                                                               "</f>
        <v xml:space="preserve">LATACUNGA NO. 786                                                               </v>
      </c>
      <c r="F1964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1964" s="26" t="str">
        <f>"GUSTAVO A. MADERO                                                               "</f>
        <v xml:space="preserve">GUSTAVO A. MADERO                                                               </v>
      </c>
      <c r="H1964" s="26" t="str">
        <f>"003"</f>
        <v>003</v>
      </c>
      <c r="I1964" s="26" t="str">
        <f t="shared" si="357"/>
        <v>00</v>
      </c>
      <c r="J1964" s="26" t="str">
        <f>"32 "</f>
        <v xml:space="preserve">32 </v>
      </c>
      <c r="K1964" s="26" t="str">
        <f t="shared" si="365"/>
        <v>EP</v>
      </c>
      <c r="L1964" s="26" t="str">
        <f t="shared" si="366"/>
        <v>DGOSE</v>
      </c>
      <c r="M1964" s="26" t="str">
        <f t="shared" si="355"/>
        <v>PARTICULAR</v>
      </c>
      <c r="N1964" s="26">
        <v>27</v>
      </c>
      <c r="O1964" s="26">
        <v>16</v>
      </c>
      <c r="P1964" s="26">
        <v>11</v>
      </c>
      <c r="Q1964" s="26">
        <v>3</v>
      </c>
      <c r="R1964" s="26">
        <v>1</v>
      </c>
      <c r="S1964" s="26">
        <v>2</v>
      </c>
      <c r="T1964" s="26">
        <v>3</v>
      </c>
      <c r="U1964" s="26">
        <v>6</v>
      </c>
      <c r="V1964" s="26">
        <v>1</v>
      </c>
      <c r="W1964" s="26"/>
    </row>
    <row r="1965" spans="1:23" x14ac:dyDescent="0.25">
      <c r="A1965" s="26" t="str">
        <f t="shared" si="356"/>
        <v>PREESCOLAR</v>
      </c>
      <c r="B1965" s="26" t="str">
        <f>"09PJN3933F"</f>
        <v>09PJN3933F</v>
      </c>
      <c r="C1965" s="26" t="str">
        <f>"JARDIN DE NIÑOS CROMARI                                                                             "</f>
        <v xml:space="preserve">JARDIN DE NIÑOS CROMARI                                                                             </v>
      </c>
      <c r="D1965" s="26" t="str">
        <f t="shared" si="364"/>
        <v>MATUTINO</v>
      </c>
      <c r="E1965" s="26" t="str">
        <f>"ORIENTE 87 NO. 2355                                                             "</f>
        <v xml:space="preserve">ORIENTE 87 NO. 2355                                                             </v>
      </c>
      <c r="F1965" s="26" t="str">
        <f>"7 DE NOVIEMBRE                                                                                                                              "</f>
        <v xml:space="preserve">7 DE NOVIEMBRE                                                                                                                              </v>
      </c>
      <c r="G1965" s="26" t="str">
        <f>"GUSTAVO A. MADERO                                                               "</f>
        <v xml:space="preserve">GUSTAVO A. MADERO                                                               </v>
      </c>
      <c r="H1965" s="26" t="str">
        <f>"198"</f>
        <v>198</v>
      </c>
      <c r="I1965" s="26" t="str">
        <f t="shared" si="357"/>
        <v>00</v>
      </c>
      <c r="J1965" s="26" t="str">
        <f>"32 "</f>
        <v xml:space="preserve">32 </v>
      </c>
      <c r="K1965" s="26" t="str">
        <f t="shared" si="365"/>
        <v>EP</v>
      </c>
      <c r="L1965" s="26" t="str">
        <f t="shared" si="366"/>
        <v>DGOSE</v>
      </c>
      <c r="M1965" s="26" t="str">
        <f t="shared" si="355"/>
        <v>PARTICULAR</v>
      </c>
      <c r="N1965" s="26">
        <v>19</v>
      </c>
      <c r="O1965" s="26">
        <v>16</v>
      </c>
      <c r="P1965" s="26">
        <v>3</v>
      </c>
      <c r="Q1965" s="26">
        <v>3</v>
      </c>
      <c r="R1965" s="26">
        <v>1</v>
      </c>
      <c r="S1965" s="26">
        <v>1</v>
      </c>
      <c r="T1965" s="26">
        <v>2</v>
      </c>
      <c r="U1965" s="26">
        <v>4</v>
      </c>
      <c r="V1965" s="26">
        <v>1</v>
      </c>
      <c r="W1965" s="26"/>
    </row>
    <row r="1966" spans="1:23" x14ac:dyDescent="0.25">
      <c r="A1966" s="26" t="str">
        <f t="shared" si="356"/>
        <v>PREESCOLAR</v>
      </c>
      <c r="B1966" s="26" t="str">
        <f>"09PJN3940P"</f>
        <v>09PJN3940P</v>
      </c>
      <c r="C1966" s="26" t="str">
        <f>"CENTRO EDUCATIVO SHALOOM                                                                            "</f>
        <v xml:space="preserve">CENTRO EDUCATIVO SHALOOM                                                                            </v>
      </c>
      <c r="D1966" s="26" t="str">
        <f t="shared" si="364"/>
        <v>MATUTINO</v>
      </c>
      <c r="E1966" s="26" t="str">
        <f>"CEDRAL MZA. 73 LOTE 18                                                          "</f>
        <v xml:space="preserve">CEDRAL MZA. 73 LOTE 18                                                          </v>
      </c>
      <c r="F1966" s="26" t="str">
        <f>"EJIDOS SAN PEDRO MARTIR                                                                                                                     "</f>
        <v xml:space="preserve">EJIDOS SAN PEDRO MARTIR                                                                                                                     </v>
      </c>
      <c r="G1966" s="26" t="str">
        <f>"TLALPAN                                                                         "</f>
        <v xml:space="preserve">TLALPAN                                                                         </v>
      </c>
      <c r="H1966" s="26" t="str">
        <f>"132"</f>
        <v>132</v>
      </c>
      <c r="I1966" s="26" t="str">
        <f t="shared" si="357"/>
        <v>00</v>
      </c>
      <c r="J1966" s="26" t="str">
        <f>"35 "</f>
        <v xml:space="preserve">35 </v>
      </c>
      <c r="K1966" s="26" t="str">
        <f t="shared" si="365"/>
        <v>EP</v>
      </c>
      <c r="L1966" s="26" t="str">
        <f t="shared" si="366"/>
        <v>DGOSE</v>
      </c>
      <c r="M1966" s="26" t="str">
        <f t="shared" si="355"/>
        <v>PARTICULAR</v>
      </c>
      <c r="N1966" s="26">
        <v>48</v>
      </c>
      <c r="O1966" s="26">
        <v>25</v>
      </c>
      <c r="P1966" s="26">
        <v>23</v>
      </c>
      <c r="Q1966" s="26">
        <v>3</v>
      </c>
      <c r="R1966" s="26">
        <v>1</v>
      </c>
      <c r="S1966" s="26">
        <v>3</v>
      </c>
      <c r="T1966" s="26">
        <v>1</v>
      </c>
      <c r="U1966" s="26">
        <v>5</v>
      </c>
      <c r="V1966" s="26">
        <v>1</v>
      </c>
      <c r="W1966" s="26"/>
    </row>
    <row r="1967" spans="1:23" x14ac:dyDescent="0.25">
      <c r="A1967" s="26" t="str">
        <f t="shared" si="356"/>
        <v>PREESCOLAR</v>
      </c>
      <c r="B1967" s="26" t="str">
        <f>"09PJN3942N"</f>
        <v>09PJN3942N</v>
      </c>
      <c r="C1967" s="26" t="str">
        <f>"COLEGIO WILLIAM JONES                                                                               "</f>
        <v xml:space="preserve">COLEGIO WILLIAM JONES                                                                               </v>
      </c>
      <c r="D1967" s="26" t="str">
        <f t="shared" si="364"/>
        <v>MATUTINO</v>
      </c>
      <c r="E1967" s="26" t="str">
        <f>"TACTUANI NO. 2                                                                  "</f>
        <v xml:space="preserve">TACTUANI NO. 2                                                                  </v>
      </c>
      <c r="F1967" s="26" t="str">
        <f>"RICARDO FLORES MAGON                                                                                                                        "</f>
        <v xml:space="preserve">RICARDO FLORES MAGON                                                                                                                        </v>
      </c>
      <c r="G1967" s="26" t="str">
        <f>"IZTAPALAPA                                                                      "</f>
        <v xml:space="preserve">IZTAPALAPA                                                                      </v>
      </c>
      <c r="H1967" s="26" t="str">
        <f>"000"</f>
        <v>000</v>
      </c>
      <c r="I1967" s="26" t="str">
        <f t="shared" si="357"/>
        <v>00</v>
      </c>
      <c r="J1967" s="26" t="str">
        <f>"61 "</f>
        <v xml:space="preserve">61 </v>
      </c>
      <c r="K1967" s="26" t="str">
        <f>"IZ"</f>
        <v>IZ</v>
      </c>
      <c r="L1967" s="26" t="str">
        <f>"DGSEI"</f>
        <v>DGSEI</v>
      </c>
      <c r="M1967" s="26" t="str">
        <f t="shared" si="355"/>
        <v>PARTICULAR</v>
      </c>
      <c r="N1967" s="26">
        <v>71</v>
      </c>
      <c r="O1967" s="26">
        <v>34</v>
      </c>
      <c r="P1967" s="26">
        <v>37</v>
      </c>
      <c r="Q1967" s="26">
        <v>3</v>
      </c>
      <c r="R1967" s="26">
        <v>1</v>
      </c>
      <c r="S1967" s="26">
        <v>3</v>
      </c>
      <c r="T1967" s="26">
        <v>3</v>
      </c>
      <c r="U1967" s="26">
        <v>7</v>
      </c>
      <c r="V1967" s="26">
        <v>1</v>
      </c>
      <c r="W1967" s="26"/>
    </row>
    <row r="1968" spans="1:23" x14ac:dyDescent="0.25">
      <c r="A1968" s="26" t="str">
        <f t="shared" si="356"/>
        <v>PREESCOLAR</v>
      </c>
      <c r="B1968" s="26" t="str">
        <f>"09PJN3951V"</f>
        <v>09PJN3951V</v>
      </c>
      <c r="C1968" s="26" t="str">
        <f>"COLEGIO LIBERTADOR SIMON BOLIVAR                                                                    "</f>
        <v xml:space="preserve">COLEGIO LIBERTADOR SIMON BOLIVAR                                                                    </v>
      </c>
      <c r="D1968" s="26" t="str">
        <f t="shared" si="364"/>
        <v>MATUTINO</v>
      </c>
      <c r="E1968" s="26" t="str">
        <f>"TINTORERA NO. 39                                                                "</f>
        <v xml:space="preserve">TINTORERA NO. 39                                                                </v>
      </c>
      <c r="F1968" s="26" t="str">
        <f>"DEL MAR                                                                                                                                     "</f>
        <v xml:space="preserve">DEL MAR                                                                                                                                     </v>
      </c>
      <c r="G1968" s="26" t="str">
        <f>"TLAHUAC                                                                         "</f>
        <v xml:space="preserve">TLAHUAC                                                                         </v>
      </c>
      <c r="H1968" s="26" t="str">
        <f>"065"</f>
        <v>065</v>
      </c>
      <c r="I1968" s="26" t="str">
        <f t="shared" si="357"/>
        <v>00</v>
      </c>
      <c r="J1968" s="26" t="str">
        <f>"35 "</f>
        <v xml:space="preserve">35 </v>
      </c>
      <c r="K1968" s="26" t="str">
        <f t="shared" ref="K1968:K1979" si="368">"EP"</f>
        <v>EP</v>
      </c>
      <c r="L1968" s="26" t="str">
        <f t="shared" ref="L1968:L1980" si="369">"DGOSE"</f>
        <v>DGOSE</v>
      </c>
      <c r="M1968" s="26" t="str">
        <f t="shared" si="355"/>
        <v>PARTICULAR</v>
      </c>
      <c r="N1968" s="26">
        <v>18</v>
      </c>
      <c r="O1968" s="26">
        <v>9</v>
      </c>
      <c r="P1968" s="26">
        <v>9</v>
      </c>
      <c r="Q1968" s="26">
        <v>3</v>
      </c>
      <c r="R1968" s="26">
        <v>1</v>
      </c>
      <c r="S1968" s="26">
        <v>3</v>
      </c>
      <c r="T1968" s="26">
        <v>3</v>
      </c>
      <c r="U1968" s="26">
        <v>7</v>
      </c>
      <c r="V1968" s="26">
        <v>1</v>
      </c>
      <c r="W1968" s="26"/>
    </row>
    <row r="1969" spans="1:23" x14ac:dyDescent="0.25">
      <c r="A1969" s="26" t="str">
        <f t="shared" si="356"/>
        <v>PREESCOLAR</v>
      </c>
      <c r="B1969" s="26" t="str">
        <f>"09PJN3952U"</f>
        <v>09PJN3952U</v>
      </c>
      <c r="C1969" s="26" t="str">
        <f>"CENTRO DE ESTUDIOS COBA                                                                             "</f>
        <v xml:space="preserve">CENTRO DE ESTUDIOS COBA                                                                             </v>
      </c>
      <c r="D1969" s="26" t="str">
        <f t="shared" si="364"/>
        <v>MATUTINO</v>
      </c>
      <c r="E1969" s="26" t="str">
        <f>"AV. SIRENA Y PINGUINO NO. 191                                                   "</f>
        <v xml:space="preserve">AV. SIRENA Y PINGUINO NO. 191                                                   </v>
      </c>
      <c r="F1969" s="26" t="str">
        <f>"DEL MAR                                                                                                                                     "</f>
        <v xml:space="preserve">DEL MAR                                                                                                                                     </v>
      </c>
      <c r="G1969" s="26" t="str">
        <f>"TLAHUAC                                                                         "</f>
        <v xml:space="preserve">TLAHUAC                                                                         </v>
      </c>
      <c r="H1969" s="26" t="str">
        <f>"124"</f>
        <v>124</v>
      </c>
      <c r="I1969" s="26" t="str">
        <f t="shared" si="357"/>
        <v>00</v>
      </c>
      <c r="J1969" s="26" t="str">
        <f>"35 "</f>
        <v xml:space="preserve">35 </v>
      </c>
      <c r="K1969" s="26" t="str">
        <f t="shared" si="368"/>
        <v>EP</v>
      </c>
      <c r="L1969" s="26" t="str">
        <f t="shared" si="369"/>
        <v>DGOSE</v>
      </c>
      <c r="M1969" s="26" t="str">
        <f t="shared" si="355"/>
        <v>PARTICULAR</v>
      </c>
      <c r="N1969" s="26">
        <v>36</v>
      </c>
      <c r="O1969" s="26">
        <v>16</v>
      </c>
      <c r="P1969" s="26">
        <v>20</v>
      </c>
      <c r="Q1969" s="26">
        <v>3</v>
      </c>
      <c r="R1969" s="26">
        <v>1</v>
      </c>
      <c r="S1969" s="26">
        <v>3</v>
      </c>
      <c r="T1969" s="26">
        <v>3</v>
      </c>
      <c r="U1969" s="26">
        <v>7</v>
      </c>
      <c r="V1969" s="26">
        <v>1</v>
      </c>
      <c r="W1969" s="26"/>
    </row>
    <row r="1970" spans="1:23" x14ac:dyDescent="0.25">
      <c r="A1970" s="26" t="str">
        <f t="shared" si="356"/>
        <v>PREESCOLAR</v>
      </c>
      <c r="B1970" s="26" t="str">
        <f>"09PJN3954S"</f>
        <v>09PJN3954S</v>
      </c>
      <c r="C1970" s="26" t="str">
        <f>"CARRUSEL                                                                                            "</f>
        <v xml:space="preserve">CARRUSEL                                                                                            </v>
      </c>
      <c r="D1970" s="26" t="str">
        <f t="shared" si="364"/>
        <v>MATUTINO</v>
      </c>
      <c r="E1970" s="26" t="str">
        <f>"MEDUSA NO. 141 MZA. 456 LT. 18                                                  "</f>
        <v xml:space="preserve">MEDUSA NO. 141 MZA. 456 LT. 18                                                  </v>
      </c>
      <c r="F1970" s="26" t="str">
        <f>"DEL MAR                                                                                                                                     "</f>
        <v xml:space="preserve">DEL MAR                                                                                                                                     </v>
      </c>
      <c r="G1970" s="26" t="str">
        <f>"TLAHUAC                                                                         "</f>
        <v xml:space="preserve">TLAHUAC                                                                         </v>
      </c>
      <c r="H1970" s="26" t="str">
        <f>"124"</f>
        <v>124</v>
      </c>
      <c r="I1970" s="26" t="str">
        <f t="shared" si="357"/>
        <v>00</v>
      </c>
      <c r="J1970" s="26" t="str">
        <f>"35 "</f>
        <v xml:space="preserve">35 </v>
      </c>
      <c r="K1970" s="26" t="str">
        <f t="shared" si="368"/>
        <v>EP</v>
      </c>
      <c r="L1970" s="26" t="str">
        <f t="shared" si="369"/>
        <v>DGOSE</v>
      </c>
      <c r="M1970" s="26" t="str">
        <f t="shared" si="355"/>
        <v>PARTICULAR</v>
      </c>
      <c r="N1970" s="26">
        <v>31</v>
      </c>
      <c r="O1970" s="26">
        <v>11</v>
      </c>
      <c r="P1970" s="26">
        <v>20</v>
      </c>
      <c r="Q1970" s="26">
        <v>3</v>
      </c>
      <c r="R1970" s="26">
        <v>1</v>
      </c>
      <c r="S1970" s="26">
        <v>3</v>
      </c>
      <c r="T1970" s="26">
        <v>1</v>
      </c>
      <c r="U1970" s="26">
        <v>5</v>
      </c>
      <c r="V1970" s="26">
        <v>1</v>
      </c>
      <c r="W1970" s="26"/>
    </row>
    <row r="1971" spans="1:23" x14ac:dyDescent="0.25">
      <c r="A1971" s="26" t="str">
        <f t="shared" si="356"/>
        <v>PREESCOLAR</v>
      </c>
      <c r="B1971" s="26" t="str">
        <f>"09PJN3959N"</f>
        <v>09PJN3959N</v>
      </c>
      <c r="C1971" s="26" t="str">
        <f>"CENTRO EDUCATIVO DE DESARROLLO ARTÍSTICO Y PEDAGÓGICO                                               "</f>
        <v xml:space="preserve">CENTRO EDUCATIVO DE DESARROLLO ARTÍSTICO Y PEDAGÓGICO                                               </v>
      </c>
      <c r="D1971" s="26" t="str">
        <f t="shared" si="364"/>
        <v>MATUTINO</v>
      </c>
      <c r="E1971" s="26" t="str">
        <f>"OSA MENOR NO. 88                                                                "</f>
        <v xml:space="preserve">OSA MENOR NO. 88                                                                </v>
      </c>
      <c r="F1971" s="26" t="str">
        <f>"PRADO CHURUBUSCO                                                                                                                            "</f>
        <v xml:space="preserve">PRADO CHURUBUSCO                                                                                                                            </v>
      </c>
      <c r="G1971" s="26" t="str">
        <f>"COYOACAN                                                                        "</f>
        <v xml:space="preserve">COYOACAN                                                                        </v>
      </c>
      <c r="H1971" s="26" t="str">
        <f>"043"</f>
        <v>043</v>
      </c>
      <c r="I1971" s="26" t="str">
        <f t="shared" si="357"/>
        <v>00</v>
      </c>
      <c r="J1971" s="26" t="str">
        <f>"35 "</f>
        <v xml:space="preserve">35 </v>
      </c>
      <c r="K1971" s="26" t="str">
        <f t="shared" si="368"/>
        <v>EP</v>
      </c>
      <c r="L1971" s="26" t="str">
        <f t="shared" si="369"/>
        <v>DGOSE</v>
      </c>
      <c r="M1971" s="26" t="str">
        <f t="shared" si="355"/>
        <v>PARTICULAR</v>
      </c>
      <c r="N1971" s="26">
        <v>22</v>
      </c>
      <c r="O1971" s="26">
        <v>11</v>
      </c>
      <c r="P1971" s="26">
        <v>11</v>
      </c>
      <c r="Q1971" s="26">
        <v>3</v>
      </c>
      <c r="R1971" s="26">
        <v>1</v>
      </c>
      <c r="S1971" s="26">
        <v>2</v>
      </c>
      <c r="T1971" s="26">
        <v>2</v>
      </c>
      <c r="U1971" s="26">
        <v>5</v>
      </c>
      <c r="V1971" s="26">
        <v>1</v>
      </c>
      <c r="W1971" s="26"/>
    </row>
    <row r="1972" spans="1:23" x14ac:dyDescent="0.25">
      <c r="A1972" s="26" t="str">
        <f t="shared" si="356"/>
        <v>PREESCOLAR</v>
      </c>
      <c r="B1972" s="26" t="str">
        <f>"09PJN3963Z"</f>
        <v>09PJN3963Z</v>
      </c>
      <c r="C1972" s="26" t="str">
        <f>"COLEGIO DE EDUCACIÓN Y DESARROLLO INFANTIL ZACATENCO                                                "</f>
        <v xml:space="preserve">COLEGIO DE EDUCACIÓN Y DESARROLLO INFANTIL ZACATENCO                                                </v>
      </c>
      <c r="D1972" s="26" t="str">
        <f t="shared" si="364"/>
        <v>MATUTINO</v>
      </c>
      <c r="E1972" s="26" t="str">
        <f>"SALAVERRY NO.1073                                                               "</f>
        <v xml:space="preserve">SALAVERRY NO.1073                                                               </v>
      </c>
      <c r="F1972" s="26" t="str">
        <f>"RESIDENCIAL ZACATENCO                                                                                                                       "</f>
        <v xml:space="preserve">RESIDENCIAL ZACATENCO                                                                                                                       </v>
      </c>
      <c r="G1972" s="26" t="str">
        <f>"GUSTAVO A. MADERO                                                               "</f>
        <v xml:space="preserve">GUSTAVO A. MADERO                                                               </v>
      </c>
      <c r="H1972" s="26" t="str">
        <f>"105"</f>
        <v>105</v>
      </c>
      <c r="I1972" s="26" t="str">
        <f t="shared" si="357"/>
        <v>00</v>
      </c>
      <c r="J1972" s="26" t="str">
        <f>"32 "</f>
        <v xml:space="preserve">32 </v>
      </c>
      <c r="K1972" s="26" t="str">
        <f t="shared" si="368"/>
        <v>EP</v>
      </c>
      <c r="L1972" s="26" t="str">
        <f t="shared" si="369"/>
        <v>DGOSE</v>
      </c>
      <c r="M1972" s="26" t="str">
        <f t="shared" si="355"/>
        <v>PARTICULAR</v>
      </c>
      <c r="N1972" s="26">
        <v>20</v>
      </c>
      <c r="O1972" s="26">
        <v>12</v>
      </c>
      <c r="P1972" s="26">
        <v>8</v>
      </c>
      <c r="Q1972" s="26">
        <v>2</v>
      </c>
      <c r="R1972" s="26">
        <v>1</v>
      </c>
      <c r="S1972" s="26">
        <v>2</v>
      </c>
      <c r="T1972" s="26">
        <v>3</v>
      </c>
      <c r="U1972" s="26">
        <v>6</v>
      </c>
      <c r="V1972" s="26">
        <v>1</v>
      </c>
      <c r="W1972" s="26"/>
    </row>
    <row r="1973" spans="1:23" x14ac:dyDescent="0.25">
      <c r="A1973" s="26" t="str">
        <f t="shared" si="356"/>
        <v>PREESCOLAR</v>
      </c>
      <c r="B1973" s="26" t="str">
        <f>"09PJN3966X"</f>
        <v>09PJN3966X</v>
      </c>
      <c r="C1973" s="26" t="str">
        <f>"LA EDAD DE ORO                                                                                      "</f>
        <v xml:space="preserve">LA EDAD DE ORO                                                                                      </v>
      </c>
      <c r="D1973" s="26" t="str">
        <f t="shared" si="364"/>
        <v>MATUTINO</v>
      </c>
      <c r="E1973" s="26" t="str">
        <f>"LUCIANO NAVARRETE NO. 198                                                       "</f>
        <v xml:space="preserve">LUCIANO NAVARRETE NO. 198                                                       </v>
      </c>
      <c r="F1973" s="26" t="str">
        <f>"SANTA CATARINA YECAHUIZOTL PUEBLO                                                                                                           "</f>
        <v xml:space="preserve">SANTA CATARINA YECAHUIZOTL PUEBLO                                                                                                           </v>
      </c>
      <c r="G1973" s="26" t="str">
        <f>"TLAHUAC                                                                         "</f>
        <v xml:space="preserve">TLAHUAC                                                                         </v>
      </c>
      <c r="H1973" s="26" t="str">
        <f>"223"</f>
        <v>223</v>
      </c>
      <c r="I1973" s="26" t="str">
        <f t="shared" si="357"/>
        <v>00</v>
      </c>
      <c r="J1973" s="26" t="str">
        <f>"35 "</f>
        <v xml:space="preserve">35 </v>
      </c>
      <c r="K1973" s="26" t="str">
        <f t="shared" si="368"/>
        <v>EP</v>
      </c>
      <c r="L1973" s="26" t="str">
        <f t="shared" si="369"/>
        <v>DGOSE</v>
      </c>
      <c r="M1973" s="26" t="str">
        <f t="shared" si="355"/>
        <v>PARTICULAR</v>
      </c>
      <c r="N1973" s="26">
        <v>9</v>
      </c>
      <c r="O1973" s="26">
        <v>6</v>
      </c>
      <c r="P1973" s="26">
        <v>3</v>
      </c>
      <c r="Q1973" s="26">
        <v>2</v>
      </c>
      <c r="R1973" s="26">
        <v>1</v>
      </c>
      <c r="S1973" s="26">
        <v>1</v>
      </c>
      <c r="T1973" s="26">
        <v>3</v>
      </c>
      <c r="U1973" s="26">
        <v>5</v>
      </c>
      <c r="V1973" s="26">
        <v>1</v>
      </c>
      <c r="W1973" s="26"/>
    </row>
    <row r="1974" spans="1:23" x14ac:dyDescent="0.25">
      <c r="A1974" s="26" t="str">
        <f t="shared" si="356"/>
        <v>PREESCOLAR</v>
      </c>
      <c r="B1974" s="26" t="str">
        <f>"09PJN3967W"</f>
        <v>09PJN3967W</v>
      </c>
      <c r="C1974" s="26" t="str">
        <f>"COLEGIO BILINGÜE WINDSOR                                                                            "</f>
        <v xml:space="preserve">COLEGIO BILINGÜE WINDSOR                                                                            </v>
      </c>
      <c r="D1974" s="26" t="str">
        <f t="shared" si="364"/>
        <v>MATUTINO</v>
      </c>
      <c r="E1974" s="26" t="str">
        <f>"AV. SANTA ANA NO. 368                                                           "</f>
        <v xml:space="preserve">AV. SANTA ANA NO. 368                                                           </v>
      </c>
      <c r="F1974" s="26" t="str">
        <f>"SAN FRANCISCO CULHUACAN                                                                                                                     "</f>
        <v xml:space="preserve">SAN FRANCISCO CULHUACAN                                                                                                                     </v>
      </c>
      <c r="G1974" s="26" t="str">
        <f>"COYOACAN                                                                        "</f>
        <v xml:space="preserve">COYOACAN                                                                        </v>
      </c>
      <c r="H1974" s="26" t="str">
        <f>"099"</f>
        <v>099</v>
      </c>
      <c r="I1974" s="26" t="str">
        <f t="shared" si="357"/>
        <v>00</v>
      </c>
      <c r="J1974" s="26" t="str">
        <f>"35 "</f>
        <v xml:space="preserve">35 </v>
      </c>
      <c r="K1974" s="26" t="str">
        <f t="shared" si="368"/>
        <v>EP</v>
      </c>
      <c r="L1974" s="26" t="str">
        <f t="shared" si="369"/>
        <v>DGOSE</v>
      </c>
      <c r="M1974" s="26" t="str">
        <f t="shared" si="355"/>
        <v>PARTICULAR</v>
      </c>
      <c r="N1974" s="26">
        <v>64</v>
      </c>
      <c r="O1974" s="26">
        <v>26</v>
      </c>
      <c r="P1974" s="26">
        <v>38</v>
      </c>
      <c r="Q1974" s="26">
        <v>3</v>
      </c>
      <c r="R1974" s="26">
        <v>1</v>
      </c>
      <c r="S1974" s="26">
        <v>3</v>
      </c>
      <c r="T1974" s="26">
        <v>6</v>
      </c>
      <c r="U1974" s="26">
        <v>10</v>
      </c>
      <c r="V1974" s="26">
        <v>1</v>
      </c>
      <c r="W1974" s="26"/>
    </row>
    <row r="1975" spans="1:23" x14ac:dyDescent="0.25">
      <c r="A1975" s="26" t="str">
        <f t="shared" si="356"/>
        <v>PREESCOLAR</v>
      </c>
      <c r="B1975" s="26" t="str">
        <f>"09PJN3968V"</f>
        <v>09PJN3968V</v>
      </c>
      <c r="C1975" s="26" t="str">
        <f>"JARDÍN DE NIÑOS KID-BEE                                                                             "</f>
        <v xml:space="preserve">JARDÍN DE NIÑOS KID-BEE                                                                             </v>
      </c>
      <c r="D1975" s="26" t="str">
        <f t="shared" si="364"/>
        <v>MATUTINO</v>
      </c>
      <c r="E1975" s="26" t="str">
        <f>"TEZONTLE NO.57                                                                  "</f>
        <v xml:space="preserve">TEZONTLE NO.57                                                                  </v>
      </c>
      <c r="F1975" s="26" t="str">
        <f>"TLAZINTLA                                                                                                                                   "</f>
        <v xml:space="preserve">TLAZINTLA                                                                                                                                   </v>
      </c>
      <c r="G1975" s="26" t="str">
        <f>"IZTACALCO                                                                       "</f>
        <v xml:space="preserve">IZTACALCO                                                                       </v>
      </c>
      <c r="H1975" s="26" t="str">
        <f>"238"</f>
        <v>238</v>
      </c>
      <c r="I1975" s="26" t="str">
        <f t="shared" si="357"/>
        <v>00</v>
      </c>
      <c r="J1975" s="26" t="str">
        <f>"33 "</f>
        <v xml:space="preserve">33 </v>
      </c>
      <c r="K1975" s="26" t="str">
        <f t="shared" si="368"/>
        <v>EP</v>
      </c>
      <c r="L1975" s="26" t="str">
        <f t="shared" si="369"/>
        <v>DGOSE</v>
      </c>
      <c r="M1975" s="26" t="str">
        <f t="shared" si="355"/>
        <v>PARTICULAR</v>
      </c>
      <c r="N1975" s="26">
        <v>7</v>
      </c>
      <c r="O1975" s="26">
        <v>3</v>
      </c>
      <c r="P1975" s="26">
        <v>4</v>
      </c>
      <c r="Q1975" s="26">
        <v>3</v>
      </c>
      <c r="R1975" s="26">
        <v>1</v>
      </c>
      <c r="S1975" s="26">
        <v>3</v>
      </c>
      <c r="T1975" s="26">
        <v>0</v>
      </c>
      <c r="U1975" s="26">
        <v>4</v>
      </c>
      <c r="V1975" s="26">
        <v>1</v>
      </c>
      <c r="W1975" s="26"/>
    </row>
    <row r="1976" spans="1:23" x14ac:dyDescent="0.25">
      <c r="A1976" s="26" t="str">
        <f t="shared" si="356"/>
        <v>PREESCOLAR</v>
      </c>
      <c r="B1976" s="26" t="str">
        <f>"09PJN3969U"</f>
        <v>09PJN3969U</v>
      </c>
      <c r="C1976" s="26" t="str">
        <f>"LIDERES JARDIN DE NIÑOS                                                                             "</f>
        <v xml:space="preserve">LIDERES JARDIN DE NIÑOS                                                                             </v>
      </c>
      <c r="D1976" s="26" t="str">
        <f t="shared" si="364"/>
        <v>MATUTINO</v>
      </c>
      <c r="E1976" s="26" t="str">
        <f>"CARRETERA FEDERAL NO. 6235 KM. 21.8                                             "</f>
        <v xml:space="preserve">CARRETERA FEDERAL NO. 6235 KM. 21.8                                             </v>
      </c>
      <c r="F1976" s="26" t="str">
        <f>"SAN ANDRES TOTOLTEPEC                                                                                                                       "</f>
        <v xml:space="preserve">SAN ANDRES TOTOLTEPEC                                                                                                                       </v>
      </c>
      <c r="G1976" s="26" t="str">
        <f>"TLALPAN                                                                         "</f>
        <v xml:space="preserve">TLALPAN                                                                         </v>
      </c>
      <c r="H1976" s="26" t="str">
        <f>"226"</f>
        <v>226</v>
      </c>
      <c r="I1976" s="26" t="str">
        <f t="shared" si="357"/>
        <v>00</v>
      </c>
      <c r="J1976" s="26" t="str">
        <f>"35 "</f>
        <v xml:space="preserve">35 </v>
      </c>
      <c r="K1976" s="26" t="str">
        <f t="shared" si="368"/>
        <v>EP</v>
      </c>
      <c r="L1976" s="26" t="str">
        <f t="shared" si="369"/>
        <v>DGOSE</v>
      </c>
      <c r="M1976" s="26" t="str">
        <f t="shared" si="355"/>
        <v>PARTICULAR</v>
      </c>
      <c r="N1976" s="26">
        <v>9</v>
      </c>
      <c r="O1976" s="26">
        <v>3</v>
      </c>
      <c r="P1976" s="26">
        <v>6</v>
      </c>
      <c r="Q1976" s="26">
        <v>3</v>
      </c>
      <c r="R1976" s="26">
        <v>1</v>
      </c>
      <c r="S1976" s="26">
        <v>3</v>
      </c>
      <c r="T1976" s="26">
        <v>7</v>
      </c>
      <c r="U1976" s="26">
        <v>11</v>
      </c>
      <c r="V1976" s="26">
        <v>1</v>
      </c>
      <c r="W1976" s="26"/>
    </row>
    <row r="1977" spans="1:23" x14ac:dyDescent="0.25">
      <c r="A1977" s="26" t="str">
        <f t="shared" si="356"/>
        <v>PREESCOLAR</v>
      </c>
      <c r="B1977" s="26" t="str">
        <f>"09PJN3979A"</f>
        <v>09PJN3979A</v>
      </c>
      <c r="C1977" s="26" t="str">
        <f>"JARDÍN DE NIÑOS ANGELES                                                                             "</f>
        <v xml:space="preserve">JARDÍN DE NIÑOS ANGELES                                                                             </v>
      </c>
      <c r="D1977" s="26" t="str">
        <f t="shared" si="364"/>
        <v>MATUTINO</v>
      </c>
      <c r="E1977" s="26" t="str">
        <f>"PIZAGUA NO. 1237 MZ. 9 LT. 263                                                  "</f>
        <v xml:space="preserve">PIZAGUA NO. 1237 MZ. 9 LT. 263                                                  </v>
      </c>
      <c r="F1977" s="26" t="str">
        <f>"SAN PEDRO ZACATENCO                                                                                                                         "</f>
        <v xml:space="preserve">SAN PEDRO ZACATENCO                                                                                                                         </v>
      </c>
      <c r="G1977" s="26" t="str">
        <f>"GUSTAVO A. MADERO                                                               "</f>
        <v xml:space="preserve">GUSTAVO A. MADERO                                                               </v>
      </c>
      <c r="H1977" s="26" t="str">
        <f>"003"</f>
        <v>003</v>
      </c>
      <c r="I1977" s="26" t="str">
        <f t="shared" si="357"/>
        <v>00</v>
      </c>
      <c r="J1977" s="26" t="str">
        <f>"32 "</f>
        <v xml:space="preserve">32 </v>
      </c>
      <c r="K1977" s="26" t="str">
        <f t="shared" si="368"/>
        <v>EP</v>
      </c>
      <c r="L1977" s="26" t="str">
        <f t="shared" si="369"/>
        <v>DGOSE</v>
      </c>
      <c r="M1977" s="26" t="str">
        <f t="shared" si="355"/>
        <v>PARTICULAR</v>
      </c>
      <c r="N1977" s="26">
        <v>46</v>
      </c>
      <c r="O1977" s="26">
        <v>25</v>
      </c>
      <c r="P1977" s="26">
        <v>21</v>
      </c>
      <c r="Q1977" s="26">
        <v>3</v>
      </c>
      <c r="R1977" s="26">
        <v>1</v>
      </c>
      <c r="S1977" s="26">
        <v>3</v>
      </c>
      <c r="T1977" s="26">
        <v>4</v>
      </c>
      <c r="U1977" s="26">
        <v>8</v>
      </c>
      <c r="V1977" s="26">
        <v>1</v>
      </c>
      <c r="W1977" s="26"/>
    </row>
    <row r="1978" spans="1:23" x14ac:dyDescent="0.25">
      <c r="A1978" s="26" t="str">
        <f t="shared" si="356"/>
        <v>PREESCOLAR</v>
      </c>
      <c r="B1978" s="26" t="str">
        <f>"09PJN3980Q"</f>
        <v>09PJN3980Q</v>
      </c>
      <c r="C1978" s="26" t="str">
        <f>"CENTRO DE MOVIMIENTO Y APRENDIZAJE MALU                                                             "</f>
        <v xml:space="preserve">CENTRO DE MOVIMIENTO Y APRENDIZAJE MALU                                                             </v>
      </c>
      <c r="D1978" s="26" t="str">
        <f t="shared" si="364"/>
        <v>MATUTINO</v>
      </c>
      <c r="E1978" s="26" t="str">
        <f>"LA ESCOLLERA NO. 15 MZA. 16 LT. 38                                              "</f>
        <v xml:space="preserve">LA ESCOLLERA NO. 15 MZA. 16 LT. 38                                              </v>
      </c>
      <c r="F1978" s="26" t="str">
        <f>"ACUEDUCTO DE GUADALUPE                                                                                                                      "</f>
        <v xml:space="preserve">ACUEDUCTO DE GUADALUPE                                                                                                                      </v>
      </c>
      <c r="G1978" s="26" t="str">
        <f>"GUSTAVO A. MADERO                                                               "</f>
        <v xml:space="preserve">GUSTAVO A. MADERO                                                               </v>
      </c>
      <c r="H1978" s="26" t="str">
        <f>"227"</f>
        <v>227</v>
      </c>
      <c r="I1978" s="26" t="str">
        <f t="shared" si="357"/>
        <v>00</v>
      </c>
      <c r="J1978" s="26" t="str">
        <f>"32 "</f>
        <v xml:space="preserve">32 </v>
      </c>
      <c r="K1978" s="26" t="str">
        <f t="shared" si="368"/>
        <v>EP</v>
      </c>
      <c r="L1978" s="26" t="str">
        <f t="shared" si="369"/>
        <v>DGOSE</v>
      </c>
      <c r="M1978" s="26" t="str">
        <f t="shared" si="355"/>
        <v>PARTICULAR</v>
      </c>
      <c r="N1978" s="26">
        <v>47</v>
      </c>
      <c r="O1978" s="26">
        <v>32</v>
      </c>
      <c r="P1978" s="26">
        <v>15</v>
      </c>
      <c r="Q1978" s="26">
        <v>3</v>
      </c>
      <c r="R1978" s="26">
        <v>1</v>
      </c>
      <c r="S1978" s="26">
        <v>3</v>
      </c>
      <c r="T1978" s="26">
        <v>5</v>
      </c>
      <c r="U1978" s="26">
        <v>9</v>
      </c>
      <c r="V1978" s="26">
        <v>1</v>
      </c>
      <c r="W1978" s="26"/>
    </row>
    <row r="1979" spans="1:23" x14ac:dyDescent="0.25">
      <c r="A1979" s="26" t="str">
        <f t="shared" si="356"/>
        <v>PREESCOLAR</v>
      </c>
      <c r="B1979" s="26" t="str">
        <f>"09PJN3981P"</f>
        <v>09PJN3981P</v>
      </c>
      <c r="C1979" s="26" t="str">
        <f>"INSTITUTO JUAN BOSCO                                                                                "</f>
        <v xml:space="preserve">INSTITUTO JUAN BOSCO                                                                                </v>
      </c>
      <c r="D1979" s="26" t="str">
        <f t="shared" si="364"/>
        <v>MATUTINO</v>
      </c>
      <c r="E1979" s="26" t="str">
        <f>"FRAY SEBASTIAN DE APARICIO NO. 31                                               "</f>
        <v xml:space="preserve">FRAY SEBASTIAN DE APARICIO NO. 31                                               </v>
      </c>
      <c r="F1979" s="26" t="str">
        <f>"ATZACOALCO                                                                                                                                  "</f>
        <v xml:space="preserve">ATZACOALCO                                                                                                                                  </v>
      </c>
      <c r="G1979" s="26" t="str">
        <f>"GUSTAVO A. MADERO                                                               "</f>
        <v xml:space="preserve">GUSTAVO A. MADERO                                                               </v>
      </c>
      <c r="H1979" s="26" t="str">
        <f>"152"</f>
        <v>152</v>
      </c>
      <c r="I1979" s="26" t="str">
        <f t="shared" si="357"/>
        <v>00</v>
      </c>
      <c r="J1979" s="26" t="str">
        <f>"32 "</f>
        <v xml:space="preserve">32 </v>
      </c>
      <c r="K1979" s="26" t="str">
        <f t="shared" si="368"/>
        <v>EP</v>
      </c>
      <c r="L1979" s="26" t="str">
        <f t="shared" si="369"/>
        <v>DGOSE</v>
      </c>
      <c r="M1979" s="26" t="str">
        <f t="shared" si="355"/>
        <v>PARTICULAR</v>
      </c>
      <c r="N1979" s="26">
        <v>29</v>
      </c>
      <c r="O1979" s="26">
        <v>10</v>
      </c>
      <c r="P1979" s="26">
        <v>19</v>
      </c>
      <c r="Q1979" s="26">
        <v>3</v>
      </c>
      <c r="R1979" s="26">
        <v>1</v>
      </c>
      <c r="S1979" s="26">
        <v>3</v>
      </c>
      <c r="T1979" s="26">
        <v>2</v>
      </c>
      <c r="U1979" s="26">
        <v>6</v>
      </c>
      <c r="V1979" s="26">
        <v>1</v>
      </c>
      <c r="W1979" s="26"/>
    </row>
    <row r="1980" spans="1:23" x14ac:dyDescent="0.25">
      <c r="A1980" s="26" t="str">
        <f t="shared" si="356"/>
        <v>PREESCOLAR</v>
      </c>
      <c r="B1980" s="26" t="str">
        <f>"09PJN3982O"</f>
        <v>09PJN3982O</v>
      </c>
      <c r="C1980" s="26" t="str">
        <f>"COLEGIO ZACATECAS                                                                                   "</f>
        <v xml:space="preserve">COLEGIO ZACATECAS                                                                                   </v>
      </c>
      <c r="D1980" s="26" t="str">
        <f t="shared" si="364"/>
        <v>MATUTINO</v>
      </c>
      <c r="E1980" s="26" t="str">
        <f>"GENERAL SANTA ANA NO. 153                                                       "</f>
        <v xml:space="preserve">GENERAL SANTA ANA NO. 153                                                       </v>
      </c>
      <c r="F1980" s="26" t="str">
        <f>"MARTIN CARRERA                                                                                                                              "</f>
        <v xml:space="preserve">MARTIN CARRERA                                                                                                                              </v>
      </c>
      <c r="G1980" s="26" t="str">
        <f>"GUSTAVO A. MADERO                                                               "</f>
        <v xml:space="preserve">GUSTAVO A. MADERO                                                               </v>
      </c>
      <c r="H1980" s="26" t="str">
        <f>"195"</f>
        <v>195</v>
      </c>
      <c r="I1980" s="26" t="str">
        <f t="shared" si="357"/>
        <v>00</v>
      </c>
      <c r="J1980" s="26" t="str">
        <f>"32 "</f>
        <v xml:space="preserve">32 </v>
      </c>
      <c r="K1980" s="26" t="str">
        <f>"NP"</f>
        <v>NP</v>
      </c>
      <c r="L1980" s="26" t="str">
        <f t="shared" si="369"/>
        <v>DGOSE</v>
      </c>
      <c r="M1980" s="26" t="str">
        <f t="shared" si="355"/>
        <v>PARTICULAR</v>
      </c>
      <c r="N1980" s="26">
        <v>54</v>
      </c>
      <c r="O1980" s="26">
        <v>27</v>
      </c>
      <c r="P1980" s="26">
        <v>27</v>
      </c>
      <c r="Q1980" s="26">
        <v>4</v>
      </c>
      <c r="R1980" s="26">
        <v>1</v>
      </c>
      <c r="S1980" s="26">
        <v>4</v>
      </c>
      <c r="T1980" s="26">
        <v>6</v>
      </c>
      <c r="U1980" s="26">
        <v>11</v>
      </c>
      <c r="V1980" s="26">
        <v>1</v>
      </c>
      <c r="W1980" s="26"/>
    </row>
    <row r="1981" spans="1:23" x14ac:dyDescent="0.25">
      <c r="A1981" s="26" t="str">
        <f t="shared" si="356"/>
        <v>PREESCOLAR</v>
      </c>
      <c r="B1981" s="26" t="str">
        <f>"09PJN3983N"</f>
        <v>09PJN3983N</v>
      </c>
      <c r="C1981" s="26" t="str">
        <f>"TEMOATZIN                                                                                           "</f>
        <v xml:space="preserve">TEMOATZIN                                                                                           </v>
      </c>
      <c r="D1981" s="26" t="str">
        <f t="shared" si="364"/>
        <v>MATUTINO</v>
      </c>
      <c r="E1981" s="26" t="str">
        <f>"JOSE ZARLINO NO. 13                                                             "</f>
        <v xml:space="preserve">JOSE ZARLINO NO. 13                                                             </v>
      </c>
      <c r="F1981" s="26" t="str">
        <f>"12 DE DICIEMBRE                                                                                                                             "</f>
        <v xml:space="preserve">12 DE DICIEMBRE                                                                                                                             </v>
      </c>
      <c r="G1981" s="26" t="str">
        <f>"IZTAPALAPA                                                                      "</f>
        <v xml:space="preserve">IZTAPALAPA                                                                      </v>
      </c>
      <c r="H1981" s="26" t="str">
        <f>"000"</f>
        <v>000</v>
      </c>
      <c r="I1981" s="26" t="str">
        <f t="shared" si="357"/>
        <v>00</v>
      </c>
      <c r="J1981" s="26" t="str">
        <f>"63 "</f>
        <v xml:space="preserve">63 </v>
      </c>
      <c r="K1981" s="26" t="str">
        <f>"IZ"</f>
        <v>IZ</v>
      </c>
      <c r="L1981" s="26" t="str">
        <f>"DGSEI"</f>
        <v>DGSEI</v>
      </c>
      <c r="M1981" s="26" t="str">
        <f t="shared" si="355"/>
        <v>PARTICULAR</v>
      </c>
      <c r="N1981" s="26">
        <v>26</v>
      </c>
      <c r="O1981" s="26">
        <v>12</v>
      </c>
      <c r="P1981" s="26">
        <v>14</v>
      </c>
      <c r="Q1981" s="26">
        <v>3</v>
      </c>
      <c r="R1981" s="26">
        <v>1</v>
      </c>
      <c r="S1981" s="26">
        <v>3</v>
      </c>
      <c r="T1981" s="26">
        <v>1</v>
      </c>
      <c r="U1981" s="26">
        <v>5</v>
      </c>
      <c r="V1981" s="26">
        <v>1</v>
      </c>
      <c r="W1981" s="26"/>
    </row>
    <row r="1982" spans="1:23" x14ac:dyDescent="0.25">
      <c r="A1982" s="26" t="str">
        <f t="shared" si="356"/>
        <v>PREESCOLAR</v>
      </c>
      <c r="B1982" s="26" t="str">
        <f>"09PJN3984M"</f>
        <v>09PJN3984M</v>
      </c>
      <c r="C1982" s="26" t="str">
        <f>"MARGARITA MAZA DE JUAREZ                                                                            "</f>
        <v xml:space="preserve">MARGARITA MAZA DE JUAREZ                                                                            </v>
      </c>
      <c r="D1982" s="26" t="str">
        <f t="shared" si="364"/>
        <v>MATUTINO</v>
      </c>
      <c r="E1982" s="26" t="str">
        <f>"ANDADOR ANDRES GONZALEZ MZ. 34 LT. 33                                           "</f>
        <v xml:space="preserve">ANDADOR ANDRES GONZALEZ MZ. 34 LT. 33                                           </v>
      </c>
      <c r="F1982" s="26" t="str">
        <f>"UNIDAD HABITACIONAL ERMITA ZARAGOZA                                                                                                         "</f>
        <v xml:space="preserve">UNIDAD HABITACIONAL ERMITA ZARAGOZA                                                                                                         </v>
      </c>
      <c r="G1982" s="26" t="str">
        <f>"IZTAPALAPA                                                                      "</f>
        <v xml:space="preserve">IZTAPALAPA                                                                      </v>
      </c>
      <c r="H1982" s="26" t="str">
        <f>"000"</f>
        <v>000</v>
      </c>
      <c r="I1982" s="26" t="str">
        <f t="shared" si="357"/>
        <v>00</v>
      </c>
      <c r="J1982" s="26" t="str">
        <f>"62 "</f>
        <v xml:space="preserve">62 </v>
      </c>
      <c r="K1982" s="26" t="str">
        <f>"IZ"</f>
        <v>IZ</v>
      </c>
      <c r="L1982" s="26" t="str">
        <f>"DGSEI"</f>
        <v>DGSEI</v>
      </c>
      <c r="M1982" s="26" t="str">
        <f t="shared" si="355"/>
        <v>PARTICULAR</v>
      </c>
      <c r="N1982" s="26">
        <v>27</v>
      </c>
      <c r="O1982" s="26">
        <v>15</v>
      </c>
      <c r="P1982" s="26">
        <v>12</v>
      </c>
      <c r="Q1982" s="26">
        <v>3</v>
      </c>
      <c r="R1982" s="26">
        <v>1</v>
      </c>
      <c r="S1982" s="26">
        <v>3</v>
      </c>
      <c r="T1982" s="26">
        <v>3</v>
      </c>
      <c r="U1982" s="26">
        <v>7</v>
      </c>
      <c r="V1982" s="26">
        <v>1</v>
      </c>
      <c r="W1982" s="26"/>
    </row>
    <row r="1983" spans="1:23" x14ac:dyDescent="0.25">
      <c r="A1983" s="26" t="str">
        <f t="shared" si="356"/>
        <v>PREESCOLAR</v>
      </c>
      <c r="B1983" s="26" t="str">
        <f>"09PJN3988I"</f>
        <v>09PJN3988I</v>
      </c>
      <c r="C1983" s="26" t="str">
        <f>"ERASMO CASTELLANOS QUINTO                                                                           "</f>
        <v xml:space="preserve">ERASMO CASTELLANOS QUINTO                                                                           </v>
      </c>
      <c r="D1983" s="26" t="str">
        <f t="shared" si="364"/>
        <v>MATUTINO</v>
      </c>
      <c r="E1983" s="26" t="str">
        <f>"CDA. TREBOL NO. 2                                                               "</f>
        <v xml:space="preserve">CDA. TREBOL NO. 2                                                               </v>
      </c>
      <c r="F1983" s="26" t="str">
        <f>"CITLALI                                                                                                                                     "</f>
        <v xml:space="preserve">CITLALI                                                                                                                                     </v>
      </c>
      <c r="G1983" s="26" t="str">
        <f>"IZTAPALAPA                                                                      "</f>
        <v xml:space="preserve">IZTAPALAPA                                                                      </v>
      </c>
      <c r="H1983" s="26" t="str">
        <f>"000"</f>
        <v>000</v>
      </c>
      <c r="I1983" s="26" t="str">
        <f t="shared" si="357"/>
        <v>00</v>
      </c>
      <c r="J1983" s="26" t="str">
        <f>"64 "</f>
        <v xml:space="preserve">64 </v>
      </c>
      <c r="K1983" s="26" t="str">
        <f>"IZ"</f>
        <v>IZ</v>
      </c>
      <c r="L1983" s="26" t="str">
        <f>"DGSEI"</f>
        <v>DGSEI</v>
      </c>
      <c r="M1983" s="26" t="str">
        <f t="shared" ref="M1983:M2046" si="370">"PARTICULAR"</f>
        <v>PARTICULAR</v>
      </c>
      <c r="N1983" s="26">
        <v>38</v>
      </c>
      <c r="O1983" s="26">
        <v>20</v>
      </c>
      <c r="P1983" s="26">
        <v>18</v>
      </c>
      <c r="Q1983" s="26">
        <v>3</v>
      </c>
      <c r="R1983" s="26">
        <v>1</v>
      </c>
      <c r="S1983" s="26">
        <v>3</v>
      </c>
      <c r="T1983" s="26">
        <v>1</v>
      </c>
      <c r="U1983" s="26">
        <v>5</v>
      </c>
      <c r="V1983" s="26">
        <v>1</v>
      </c>
      <c r="W1983" s="26"/>
    </row>
    <row r="1984" spans="1:23" x14ac:dyDescent="0.25">
      <c r="A1984" s="26" t="str">
        <f t="shared" si="356"/>
        <v>PREESCOLAR</v>
      </c>
      <c r="B1984" s="26" t="str">
        <f>"09PJN3990X"</f>
        <v>09PJN3990X</v>
      </c>
      <c r="C1984" s="26" t="str">
        <f>"CENTRO DE EDUCACION JOSE MARIA MORELOS Y PAVON                                                      "</f>
        <v xml:space="preserve">CENTRO DE EDUCACION JOSE MARIA MORELOS Y PAVON                                                      </v>
      </c>
      <c r="D1984" s="26" t="str">
        <f t="shared" si="364"/>
        <v>MATUTINO</v>
      </c>
      <c r="E1984" s="26" t="str">
        <f>"GRAL. DOMINGO ARELLANO DE RAMIREZ NO. 71                                        "</f>
        <v xml:space="preserve">GRAL. DOMINGO ARELLANO DE RAMIREZ NO. 71                                        </v>
      </c>
      <c r="F1984" s="26" t="str">
        <f>"JUAN ESCUTIA                                                                                                                                "</f>
        <v xml:space="preserve">JUAN ESCUTIA                                                                                                                                </v>
      </c>
      <c r="G1984" s="26" t="str">
        <f>"IZTAPALAPA                                                                      "</f>
        <v xml:space="preserve">IZTAPALAPA                                                                      </v>
      </c>
      <c r="H1984" s="26" t="str">
        <f>"016"</f>
        <v>016</v>
      </c>
      <c r="I1984" s="26" t="str">
        <f t="shared" si="357"/>
        <v>00</v>
      </c>
      <c r="J1984" s="26" t="str">
        <f>"62 "</f>
        <v xml:space="preserve">62 </v>
      </c>
      <c r="K1984" s="26" t="str">
        <f>"IZ"</f>
        <v>IZ</v>
      </c>
      <c r="L1984" s="26" t="str">
        <f>"DGSEI"</f>
        <v>DGSEI</v>
      </c>
      <c r="M1984" s="26" t="str">
        <f t="shared" si="370"/>
        <v>PARTICULAR</v>
      </c>
      <c r="N1984" s="26">
        <v>45</v>
      </c>
      <c r="O1984" s="26">
        <v>20</v>
      </c>
      <c r="P1984" s="26">
        <v>25</v>
      </c>
      <c r="Q1984" s="26">
        <v>3</v>
      </c>
      <c r="R1984" s="26">
        <v>1</v>
      </c>
      <c r="S1984" s="26">
        <v>2</v>
      </c>
      <c r="T1984" s="26">
        <v>3</v>
      </c>
      <c r="U1984" s="26">
        <v>6</v>
      </c>
      <c r="V1984" s="26">
        <v>1</v>
      </c>
      <c r="W1984" s="26"/>
    </row>
    <row r="1985" spans="1:23" x14ac:dyDescent="0.25">
      <c r="A1985" s="26" t="str">
        <f t="shared" si="356"/>
        <v>PREESCOLAR</v>
      </c>
      <c r="B1985" s="26" t="str">
        <f>"09PJN3993U"</f>
        <v>09PJN3993U</v>
      </c>
      <c r="C1985" s="26" t="str">
        <f>"LEON TOLSTOI                                                                                        "</f>
        <v xml:space="preserve">LEON TOLSTOI                                                                                        </v>
      </c>
      <c r="D1985" s="26" t="str">
        <f t="shared" si="364"/>
        <v>MATUTINO</v>
      </c>
      <c r="E1985" s="26" t="str">
        <f>"CDA. PLATINO MZ 15 LT 62                                                        "</f>
        <v xml:space="preserve">CDA. PLATINO MZ 15 LT 62                                                        </v>
      </c>
      <c r="F1985" s="26" t="str">
        <f>"SANTA MARIA AZTAHUACAN                                                                                                                      "</f>
        <v xml:space="preserve">SANTA MARIA AZTAHUACAN                                                                                                                      </v>
      </c>
      <c r="G1985" s="26" t="str">
        <f>"IZTAPALAPA                                                                      "</f>
        <v xml:space="preserve">IZTAPALAPA                                                                      </v>
      </c>
      <c r="H1985" s="26" t="str">
        <f>"000"</f>
        <v>000</v>
      </c>
      <c r="I1985" s="26" t="str">
        <f t="shared" si="357"/>
        <v>00</v>
      </c>
      <c r="J1985" s="26" t="str">
        <f>"64 "</f>
        <v xml:space="preserve">64 </v>
      </c>
      <c r="K1985" s="26" t="str">
        <f>"IZ"</f>
        <v>IZ</v>
      </c>
      <c r="L1985" s="26" t="str">
        <f>"DGSEI"</f>
        <v>DGSEI</v>
      </c>
      <c r="M1985" s="26" t="str">
        <f t="shared" si="370"/>
        <v>PARTICULAR</v>
      </c>
      <c r="N1985" s="26">
        <v>17</v>
      </c>
      <c r="O1985" s="26">
        <v>12</v>
      </c>
      <c r="P1985" s="26">
        <v>5</v>
      </c>
      <c r="Q1985" s="26">
        <v>2</v>
      </c>
      <c r="R1985" s="26">
        <v>1</v>
      </c>
      <c r="S1985" s="26">
        <v>2</v>
      </c>
      <c r="T1985" s="26">
        <v>0</v>
      </c>
      <c r="U1985" s="26">
        <v>3</v>
      </c>
      <c r="V1985" s="26">
        <v>1</v>
      </c>
      <c r="W1985" s="26"/>
    </row>
    <row r="1986" spans="1:23" x14ac:dyDescent="0.25">
      <c r="A1986" s="26" t="str">
        <f t="shared" ref="A1986:A2049" si="371">"PREESCOLAR"</f>
        <v>PREESCOLAR</v>
      </c>
      <c r="B1986" s="26" t="str">
        <f>"09PJN3998P"</f>
        <v>09PJN3998P</v>
      </c>
      <c r="C1986" s="26" t="str">
        <f>"COLEGIO AMERICA UNIDA EN CULTURA Y EDUCACION                                                        "</f>
        <v xml:space="preserve">COLEGIO AMERICA UNIDA EN CULTURA Y EDUCACION                                                        </v>
      </c>
      <c r="D1986" s="26" t="str">
        <f t="shared" si="364"/>
        <v>MATUTINO</v>
      </c>
      <c r="E1986" s="26" t="str">
        <f>"FCO. I MADERO NO. 24                                                            "</f>
        <v xml:space="preserve">FCO. I MADERO NO. 24                                                            </v>
      </c>
      <c r="F1986" s="26" t="str">
        <f>"SAN BARTOLOME XICOMULCO                                                                                                                     "</f>
        <v xml:space="preserve">SAN BARTOLOME XICOMULCO                                                                                                                     </v>
      </c>
      <c r="G1986" s="26" t="str">
        <f>"MILPA ALTA                                                                      "</f>
        <v xml:space="preserve">MILPA ALTA                                                                      </v>
      </c>
      <c r="H1986" s="26" t="str">
        <f>"104"</f>
        <v>104</v>
      </c>
      <c r="I1986" s="26" t="str">
        <f t="shared" ref="I1986:I2049" si="372">"00"</f>
        <v>00</v>
      </c>
      <c r="J1986" s="26" t="str">
        <f>"35 "</f>
        <v xml:space="preserve">35 </v>
      </c>
      <c r="K1986" s="26" t="str">
        <f t="shared" ref="K1986:K2002" si="373">"EP"</f>
        <v>EP</v>
      </c>
      <c r="L1986" s="26" t="str">
        <f t="shared" ref="L1986:L2002" si="374">"DGOSE"</f>
        <v>DGOSE</v>
      </c>
      <c r="M1986" s="26" t="str">
        <f t="shared" si="370"/>
        <v>PARTICULAR</v>
      </c>
      <c r="N1986" s="26">
        <v>10</v>
      </c>
      <c r="O1986" s="26">
        <v>9</v>
      </c>
      <c r="P1986" s="26">
        <v>1</v>
      </c>
      <c r="Q1986" s="26">
        <v>3</v>
      </c>
      <c r="R1986" s="26">
        <v>1</v>
      </c>
      <c r="S1986" s="26">
        <v>2</v>
      </c>
      <c r="T1986" s="26">
        <v>2</v>
      </c>
      <c r="U1986" s="26">
        <v>5</v>
      </c>
      <c r="V1986" s="26">
        <v>1</v>
      </c>
      <c r="W1986" s="26"/>
    </row>
    <row r="1987" spans="1:23" x14ac:dyDescent="0.25">
      <c r="A1987" s="26" t="str">
        <f t="shared" si="371"/>
        <v>PREESCOLAR</v>
      </c>
      <c r="B1987" s="26" t="str">
        <f>"09PJN3999O"</f>
        <v>09PJN3999O</v>
      </c>
      <c r="C1987" s="26" t="str">
        <f>"CENTRO DE DESARROLLO INFANTIL SUMMER HILLS                                                          "</f>
        <v xml:space="preserve">CENTRO DE DESARROLLO INFANTIL SUMMER HILLS                                                          </v>
      </c>
      <c r="D1987" s="26" t="str">
        <f t="shared" si="364"/>
        <v>MATUTINO</v>
      </c>
      <c r="E1987" s="26" t="str">
        <f>"YAUTEPEC NO. 74                                                                 "</f>
        <v xml:space="preserve">YAUTEPEC NO. 74                                                                 </v>
      </c>
      <c r="F1987" s="26" t="str">
        <f>"CONDESA                                                                                                                                     "</f>
        <v xml:space="preserve">CONDESA                                                                                                                                     </v>
      </c>
      <c r="G1987" s="26" t="s">
        <v>4128</v>
      </c>
      <c r="H1987" s="26" t="str">
        <f>"020"</f>
        <v>020</v>
      </c>
      <c r="I1987" s="26" t="str">
        <f t="shared" si="372"/>
        <v>00</v>
      </c>
      <c r="J1987" s="26" t="str">
        <f>"32 "</f>
        <v xml:space="preserve">32 </v>
      </c>
      <c r="K1987" s="26" t="str">
        <f t="shared" si="373"/>
        <v>EP</v>
      </c>
      <c r="L1987" s="26" t="str">
        <f t="shared" si="374"/>
        <v>DGOSE</v>
      </c>
      <c r="M1987" s="26" t="str">
        <f t="shared" si="370"/>
        <v>PARTICULAR</v>
      </c>
      <c r="N1987" s="26">
        <v>38</v>
      </c>
      <c r="O1987" s="26">
        <v>23</v>
      </c>
      <c r="P1987" s="26">
        <v>15</v>
      </c>
      <c r="Q1987" s="26">
        <v>3</v>
      </c>
      <c r="R1987" s="26">
        <v>1</v>
      </c>
      <c r="S1987" s="26">
        <v>2</v>
      </c>
      <c r="T1987" s="26">
        <v>5</v>
      </c>
      <c r="U1987" s="26">
        <v>8</v>
      </c>
      <c r="V1987" s="26">
        <v>1</v>
      </c>
      <c r="W1987" s="26"/>
    </row>
    <row r="1988" spans="1:23" x14ac:dyDescent="0.25">
      <c r="A1988" s="26" t="str">
        <f t="shared" si="371"/>
        <v>PREESCOLAR</v>
      </c>
      <c r="B1988" s="26" t="str">
        <f>"09PJN4000D"</f>
        <v>09PJN4000D</v>
      </c>
      <c r="C1988" s="26" t="str">
        <f>"CENTRO ESCOLAR LA CASITA DE LOS PEQUES                                                              "</f>
        <v xml:space="preserve">CENTRO ESCOLAR LA CASITA DE LOS PEQUES                                                              </v>
      </c>
      <c r="D1988" s="26" t="str">
        <f t="shared" si="364"/>
        <v>MATUTINO</v>
      </c>
      <c r="E1988" s="26" t="str">
        <f>"MANUEL M. PONCE NO. 313                                                         "</f>
        <v xml:space="preserve">MANUEL M. PONCE NO. 313                                                         </v>
      </c>
      <c r="F1988" s="26" t="str">
        <f>"GUADALUPE INN                                                                                                                               "</f>
        <v xml:space="preserve">GUADALUPE INN                                                                                                                               </v>
      </c>
      <c r="G1988" s="26" t="str">
        <f>"ALVARO OBREGON                                                                  "</f>
        <v xml:space="preserve">ALVARO OBREGON                                                                  </v>
      </c>
      <c r="H1988" s="26" t="str">
        <f>"087"</f>
        <v>087</v>
      </c>
      <c r="I1988" s="26" t="str">
        <f t="shared" si="372"/>
        <v>00</v>
      </c>
      <c r="J1988" s="26" t="str">
        <f>"33 "</f>
        <v xml:space="preserve">33 </v>
      </c>
      <c r="K1988" s="26" t="str">
        <f t="shared" si="373"/>
        <v>EP</v>
      </c>
      <c r="L1988" s="26" t="str">
        <f t="shared" si="374"/>
        <v>DGOSE</v>
      </c>
      <c r="M1988" s="26" t="str">
        <f t="shared" si="370"/>
        <v>PARTICULAR</v>
      </c>
      <c r="N1988" s="26">
        <v>30</v>
      </c>
      <c r="O1988" s="26">
        <v>18</v>
      </c>
      <c r="P1988" s="26">
        <v>12</v>
      </c>
      <c r="Q1988" s="26">
        <v>3</v>
      </c>
      <c r="R1988" s="26">
        <v>1</v>
      </c>
      <c r="S1988" s="26">
        <v>3</v>
      </c>
      <c r="T1988" s="26">
        <v>1</v>
      </c>
      <c r="U1988" s="26">
        <v>5</v>
      </c>
      <c r="V1988" s="26">
        <v>1</v>
      </c>
      <c r="W1988" s="26"/>
    </row>
    <row r="1989" spans="1:23" x14ac:dyDescent="0.25">
      <c r="A1989" s="26" t="str">
        <f t="shared" si="371"/>
        <v>PREESCOLAR</v>
      </c>
      <c r="B1989" s="26" t="str">
        <f>"09PJN4001C"</f>
        <v>09PJN4001C</v>
      </c>
      <c r="C1989" s="26" t="str">
        <f>"INSTITUTO EDUCATIVO OLINCA                                                                          "</f>
        <v xml:space="preserve">INSTITUTO EDUCATIVO OLINCA                                                                          </v>
      </c>
      <c r="D1989" s="26" t="str">
        <f t="shared" si="364"/>
        <v>MATUTINO</v>
      </c>
      <c r="E1989" s="26" t="str">
        <f>"PERIFERICO SUR NO. 5180                                                         "</f>
        <v xml:space="preserve">PERIFERICO SUR NO. 5180                                                         </v>
      </c>
      <c r="F1989" s="26" t="str">
        <f>"PEDREGAL DE CARRASCO                                                                                                                        "</f>
        <v xml:space="preserve">PEDREGAL DE CARRASCO                                                                                                                        </v>
      </c>
      <c r="G1989" s="26" t="str">
        <f>"COYOACAN                                                                        "</f>
        <v xml:space="preserve">COYOACAN                                                                        </v>
      </c>
      <c r="H1989" s="26" t="str">
        <f>"156"</f>
        <v>156</v>
      </c>
      <c r="I1989" s="26" t="str">
        <f t="shared" si="372"/>
        <v>00</v>
      </c>
      <c r="J1989" s="26" t="str">
        <f>"35 "</f>
        <v xml:space="preserve">35 </v>
      </c>
      <c r="K1989" s="26" t="str">
        <f t="shared" si="373"/>
        <v>EP</v>
      </c>
      <c r="L1989" s="26" t="str">
        <f t="shared" si="374"/>
        <v>DGOSE</v>
      </c>
      <c r="M1989" s="26" t="str">
        <f t="shared" si="370"/>
        <v>PARTICULAR</v>
      </c>
      <c r="N1989" s="26">
        <v>104</v>
      </c>
      <c r="O1989" s="26">
        <v>56</v>
      </c>
      <c r="P1989" s="26">
        <v>48</v>
      </c>
      <c r="Q1989" s="26">
        <v>6</v>
      </c>
      <c r="R1989" s="26">
        <v>1</v>
      </c>
      <c r="S1989" s="26">
        <v>4</v>
      </c>
      <c r="T1989" s="26">
        <v>13</v>
      </c>
      <c r="U1989" s="26">
        <v>18</v>
      </c>
      <c r="V1989" s="26">
        <v>1</v>
      </c>
      <c r="W1989" s="26"/>
    </row>
    <row r="1990" spans="1:23" x14ac:dyDescent="0.25">
      <c r="A1990" s="26" t="str">
        <f t="shared" si="371"/>
        <v>PREESCOLAR</v>
      </c>
      <c r="B1990" s="26" t="str">
        <f>"09PJN4002B"</f>
        <v>09PJN4002B</v>
      </c>
      <c r="C1990" s="26" t="str">
        <f>"SUSANA ALARDIN GONZALEZ                                                                             "</f>
        <v xml:space="preserve">SUSANA ALARDIN GONZALEZ                                                                             </v>
      </c>
      <c r="D1990" s="26" t="str">
        <f t="shared" si="364"/>
        <v>MATUTINO</v>
      </c>
      <c r="E1990" s="26" t="str">
        <f>"AV. SALOMOM NO. 357                                                             "</f>
        <v xml:space="preserve">AV. SALOMOM NO. 357                                                             </v>
      </c>
      <c r="F1990" s="26" t="str">
        <f>"SINDICATO MEXICANO DE ELECTRICISTAS                                                                                                         "</f>
        <v xml:space="preserve">SINDICATO MEXICANO DE ELECTRICISTAS                                                                                                         </v>
      </c>
      <c r="G1990" s="26" t="str">
        <f>"AZCAPOTZALCO                                                                    "</f>
        <v xml:space="preserve">AZCAPOTZALCO                                                                    </v>
      </c>
      <c r="H1990" s="26" t="str">
        <f>"152"</f>
        <v>152</v>
      </c>
      <c r="I1990" s="26" t="str">
        <f t="shared" si="372"/>
        <v>00</v>
      </c>
      <c r="J1990" s="26" t="str">
        <f>"32 "</f>
        <v xml:space="preserve">32 </v>
      </c>
      <c r="K1990" s="26" t="str">
        <f t="shared" si="373"/>
        <v>EP</v>
      </c>
      <c r="L1990" s="26" t="str">
        <f t="shared" si="374"/>
        <v>DGOSE</v>
      </c>
      <c r="M1990" s="26" t="str">
        <f t="shared" si="370"/>
        <v>PARTICULAR</v>
      </c>
      <c r="N1990" s="26">
        <v>15</v>
      </c>
      <c r="O1990" s="26">
        <v>13</v>
      </c>
      <c r="P1990" s="26">
        <v>2</v>
      </c>
      <c r="Q1990" s="26">
        <v>2</v>
      </c>
      <c r="R1990" s="26">
        <v>1</v>
      </c>
      <c r="S1990" s="26">
        <v>2</v>
      </c>
      <c r="T1990" s="26">
        <v>5</v>
      </c>
      <c r="U1990" s="26">
        <v>8</v>
      </c>
      <c r="V1990" s="26">
        <v>1</v>
      </c>
      <c r="W1990" s="26"/>
    </row>
    <row r="1991" spans="1:23" x14ac:dyDescent="0.25">
      <c r="A1991" s="26" t="str">
        <f t="shared" si="371"/>
        <v>PREESCOLAR</v>
      </c>
      <c r="B1991" s="26" t="str">
        <f>"09PJN4003A"</f>
        <v>09PJN4003A</v>
      </c>
      <c r="C1991" s="26" t="str">
        <f>"COLEGIO VON GLÜMER                                                                                  "</f>
        <v xml:space="preserve">COLEGIO VON GLÜMER                                                                                  </v>
      </c>
      <c r="D1991" s="26" t="str">
        <f t="shared" si="364"/>
        <v>MATUTINO</v>
      </c>
      <c r="E1991" s="26" t="str">
        <f>"JOSE MARIA CASTORENA NO. 412                                                    "</f>
        <v xml:space="preserve">JOSE MARIA CASTORENA NO. 412                                                    </v>
      </c>
      <c r="F1991" s="26" t="str">
        <f>"CUAJIMALPA                                                                                                                                  "</f>
        <v xml:space="preserve">CUAJIMALPA                                                                                                                                  </v>
      </c>
      <c r="G1991" s="26" t="str">
        <f>"CUAJIMALPA DE MORELOS                                                           "</f>
        <v xml:space="preserve">CUAJIMALPA DE MORELOS                                                           </v>
      </c>
      <c r="H1991" s="26" t="str">
        <f>"151"</f>
        <v>151</v>
      </c>
      <c r="I1991" s="26" t="str">
        <f t="shared" si="372"/>
        <v>00</v>
      </c>
      <c r="J1991" s="26" t="str">
        <f>"33 "</f>
        <v xml:space="preserve">33 </v>
      </c>
      <c r="K1991" s="26" t="str">
        <f t="shared" si="373"/>
        <v>EP</v>
      </c>
      <c r="L1991" s="26" t="str">
        <f t="shared" si="374"/>
        <v>DGOSE</v>
      </c>
      <c r="M1991" s="26" t="str">
        <f t="shared" si="370"/>
        <v>PARTICULAR</v>
      </c>
      <c r="N1991" s="26">
        <v>24</v>
      </c>
      <c r="O1991" s="26">
        <v>12</v>
      </c>
      <c r="P1991" s="26">
        <v>12</v>
      </c>
      <c r="Q1991" s="26">
        <v>3</v>
      </c>
      <c r="R1991" s="26">
        <v>0</v>
      </c>
      <c r="S1991" s="26">
        <v>2</v>
      </c>
      <c r="T1991" s="26">
        <v>8</v>
      </c>
      <c r="U1991" s="26">
        <v>10</v>
      </c>
      <c r="V1991" s="26">
        <v>1</v>
      </c>
      <c r="W1991" s="26"/>
    </row>
    <row r="1992" spans="1:23" x14ac:dyDescent="0.25">
      <c r="A1992" s="26" t="str">
        <f t="shared" si="371"/>
        <v>PREESCOLAR</v>
      </c>
      <c r="B1992" s="26" t="str">
        <f>"09PJN4004Z"</f>
        <v>09PJN4004Z</v>
      </c>
      <c r="C1992" s="26" t="str">
        <f>"JARDIN DE NIÑOS FEDERICO FROEBEL                                                                    "</f>
        <v xml:space="preserve">JARDIN DE NIÑOS FEDERICO FROEBEL                                                                    </v>
      </c>
      <c r="D1992" s="26" t="str">
        <f t="shared" si="364"/>
        <v>MATUTINO</v>
      </c>
      <c r="E1992" s="26" t="str">
        <f>"CERRADA DOS RIOS NO. 58                                                         "</f>
        <v xml:space="preserve">CERRADA DOS RIOS NO. 58                                                         </v>
      </c>
      <c r="F1992" s="26" t="str">
        <f>"LAS MAROMAS                                                                                                                                 "</f>
        <v xml:space="preserve">LAS MAROMAS                                                                                                                                 </v>
      </c>
      <c r="G1992" s="26" t="str">
        <f>"CUAJIMALPA DE MORELOS                                                           "</f>
        <v xml:space="preserve">CUAJIMALPA DE MORELOS                                                           </v>
      </c>
      <c r="H1992" s="26" t="str">
        <f>"279"</f>
        <v>279</v>
      </c>
      <c r="I1992" s="26" t="str">
        <f t="shared" si="372"/>
        <v>00</v>
      </c>
      <c r="J1992" s="26" t="str">
        <f>"33 "</f>
        <v xml:space="preserve">33 </v>
      </c>
      <c r="K1992" s="26" t="str">
        <f t="shared" si="373"/>
        <v>EP</v>
      </c>
      <c r="L1992" s="26" t="str">
        <f t="shared" si="374"/>
        <v>DGOSE</v>
      </c>
      <c r="M1992" s="26" t="str">
        <f t="shared" si="370"/>
        <v>PARTICULAR</v>
      </c>
      <c r="N1992" s="26">
        <v>20</v>
      </c>
      <c r="O1992" s="26">
        <v>13</v>
      </c>
      <c r="P1992" s="26">
        <v>7</v>
      </c>
      <c r="Q1992" s="26">
        <v>2</v>
      </c>
      <c r="R1992" s="26">
        <v>1</v>
      </c>
      <c r="S1992" s="26">
        <v>2</v>
      </c>
      <c r="T1992" s="26">
        <v>0</v>
      </c>
      <c r="U1992" s="26">
        <v>3</v>
      </c>
      <c r="V1992" s="26">
        <v>1</v>
      </c>
      <c r="W1992" s="26"/>
    </row>
    <row r="1993" spans="1:23" x14ac:dyDescent="0.25">
      <c r="A1993" s="26" t="str">
        <f t="shared" si="371"/>
        <v>PREESCOLAR</v>
      </c>
      <c r="B1993" s="26" t="str">
        <f>"09PJN4006Y"</f>
        <v>09PJN4006Y</v>
      </c>
      <c r="C1993" s="26" t="str">
        <f>"INSTITUTO PATRIA TERCER MILENIO                                                                     "</f>
        <v xml:space="preserve">INSTITUTO PATRIA TERCER MILENIO                                                                     </v>
      </c>
      <c r="D1993" s="26" t="str">
        <f t="shared" si="364"/>
        <v>MATUTINO</v>
      </c>
      <c r="E1993" s="26" t="str">
        <f>"CONDOR NO. 214                                                                  "</f>
        <v xml:space="preserve">CONDOR NO. 214                                                                  </v>
      </c>
      <c r="F1993" s="26" t="str">
        <f>"ALPES                                                                                                                                       "</f>
        <v xml:space="preserve">ALPES                                                                                                                                       </v>
      </c>
      <c r="G1993" s="26" t="str">
        <f>"ALVARO OBREGON                                                                  "</f>
        <v xml:space="preserve">ALVARO OBREGON                                                                  </v>
      </c>
      <c r="H1993" s="26" t="str">
        <f>"046"</f>
        <v>046</v>
      </c>
      <c r="I1993" s="26" t="str">
        <f t="shared" si="372"/>
        <v>00</v>
      </c>
      <c r="J1993" s="26" t="str">
        <f>"33 "</f>
        <v xml:space="preserve">33 </v>
      </c>
      <c r="K1993" s="26" t="str">
        <f t="shared" si="373"/>
        <v>EP</v>
      </c>
      <c r="L1993" s="26" t="str">
        <f t="shared" si="374"/>
        <v>DGOSE</v>
      </c>
      <c r="M1993" s="26" t="str">
        <f t="shared" si="370"/>
        <v>PARTICULAR</v>
      </c>
      <c r="N1993" s="26">
        <v>4</v>
      </c>
      <c r="O1993" s="26">
        <v>2</v>
      </c>
      <c r="P1993" s="26">
        <v>2</v>
      </c>
      <c r="Q1993" s="26">
        <v>2</v>
      </c>
      <c r="R1993" s="26">
        <v>1</v>
      </c>
      <c r="S1993" s="26">
        <v>1</v>
      </c>
      <c r="T1993" s="26">
        <v>4</v>
      </c>
      <c r="U1993" s="26">
        <v>6</v>
      </c>
      <c r="V1993" s="26">
        <v>1</v>
      </c>
      <c r="W1993" s="26"/>
    </row>
    <row r="1994" spans="1:23" x14ac:dyDescent="0.25">
      <c r="A1994" s="26" t="str">
        <f t="shared" si="371"/>
        <v>PREESCOLAR</v>
      </c>
      <c r="B1994" s="26" t="str">
        <f>"09PJN4007X"</f>
        <v>09PJN4007X</v>
      </c>
      <c r="C1994" s="26" t="str">
        <f>"CENTRO PEDAGOGICO EL JARDIN DEL ARCOIRIS                                                            "</f>
        <v xml:space="preserve">CENTRO PEDAGOGICO EL JARDIN DEL ARCOIRIS                                                            </v>
      </c>
      <c r="D1994" s="26" t="str">
        <f t="shared" si="364"/>
        <v>MATUTINO</v>
      </c>
      <c r="E1994" s="26" t="str">
        <f>"SAN JUAN DE DIOS NO. 402                                                        "</f>
        <v xml:space="preserve">SAN JUAN DE DIOS NO. 402                                                        </v>
      </c>
      <c r="F1994" s="26" t="str">
        <f>"VILLA LAZARO CARDENAS                                                                                                                       "</f>
        <v xml:space="preserve">VILLA LAZARO CARDENAS                                                                                                                       </v>
      </c>
      <c r="G1994" s="26" t="str">
        <f>"TLALPAN                                                                         "</f>
        <v xml:space="preserve">TLALPAN                                                                         </v>
      </c>
      <c r="H1994" s="26" t="str">
        <f>"276"</f>
        <v>276</v>
      </c>
      <c r="I1994" s="26" t="str">
        <f t="shared" si="372"/>
        <v>00</v>
      </c>
      <c r="J1994" s="26" t="str">
        <f>"35 "</f>
        <v xml:space="preserve">35 </v>
      </c>
      <c r="K1994" s="26" t="str">
        <f t="shared" si="373"/>
        <v>EP</v>
      </c>
      <c r="L1994" s="26" t="str">
        <f t="shared" si="374"/>
        <v>DGOSE</v>
      </c>
      <c r="M1994" s="26" t="str">
        <f t="shared" si="370"/>
        <v>PARTICULAR</v>
      </c>
      <c r="N1994" s="26">
        <v>10</v>
      </c>
      <c r="O1994" s="26">
        <v>7</v>
      </c>
      <c r="P1994" s="26">
        <v>3</v>
      </c>
      <c r="Q1994" s="26">
        <v>3</v>
      </c>
      <c r="R1994" s="26">
        <v>1</v>
      </c>
      <c r="S1994" s="26">
        <v>3</v>
      </c>
      <c r="T1994" s="26">
        <v>0</v>
      </c>
      <c r="U1994" s="26">
        <v>4</v>
      </c>
      <c r="V1994" s="26">
        <v>1</v>
      </c>
      <c r="W1994" s="26"/>
    </row>
    <row r="1995" spans="1:23" x14ac:dyDescent="0.25">
      <c r="A1995" s="26" t="str">
        <f t="shared" si="371"/>
        <v>PREESCOLAR</v>
      </c>
      <c r="B1995" s="26" t="str">
        <f>"09PJN4008W"</f>
        <v>09PJN4008W</v>
      </c>
      <c r="C1995" s="26" t="str">
        <f>"COLEGIO CELESTIN FREINET                                                                            "</f>
        <v xml:space="preserve">COLEGIO CELESTIN FREINET                                                                            </v>
      </c>
      <c r="D1995" s="26" t="str">
        <f t="shared" si="364"/>
        <v>MATUTINO</v>
      </c>
      <c r="E1995" s="26" t="str">
        <f>"GUADALUPE I. RAMIREZ NO.111                                                     "</f>
        <v xml:space="preserve">GUADALUPE I. RAMIREZ NO.111                                                     </v>
      </c>
      <c r="F1995" s="26" t="str">
        <f>"SAN LUCAS XOCHIMANCA                                                                                                                        "</f>
        <v xml:space="preserve">SAN LUCAS XOCHIMANCA                                                                                                                        </v>
      </c>
      <c r="G1995" s="26" t="str">
        <f>"XOCHIMILCO                                                                      "</f>
        <v xml:space="preserve">XOCHIMILCO                                                                      </v>
      </c>
      <c r="H1995" s="26" t="str">
        <f>"052"</f>
        <v>052</v>
      </c>
      <c r="I1995" s="26" t="str">
        <f t="shared" si="372"/>
        <v>00</v>
      </c>
      <c r="J1995" s="26" t="str">
        <f>"35 "</f>
        <v xml:space="preserve">35 </v>
      </c>
      <c r="K1995" s="26" t="str">
        <f t="shared" si="373"/>
        <v>EP</v>
      </c>
      <c r="L1995" s="26" t="str">
        <f t="shared" si="374"/>
        <v>DGOSE</v>
      </c>
      <c r="M1995" s="26" t="str">
        <f t="shared" si="370"/>
        <v>PARTICULAR</v>
      </c>
      <c r="N1995" s="26">
        <v>21</v>
      </c>
      <c r="O1995" s="26">
        <v>13</v>
      </c>
      <c r="P1995" s="26">
        <v>8</v>
      </c>
      <c r="Q1995" s="26">
        <v>3</v>
      </c>
      <c r="R1995" s="26">
        <v>1</v>
      </c>
      <c r="S1995" s="26">
        <v>3</v>
      </c>
      <c r="T1995" s="26">
        <v>4</v>
      </c>
      <c r="U1995" s="26">
        <v>8</v>
      </c>
      <c r="V1995" s="26">
        <v>1</v>
      </c>
      <c r="W1995" s="26"/>
    </row>
    <row r="1996" spans="1:23" x14ac:dyDescent="0.25">
      <c r="A1996" s="26" t="str">
        <f t="shared" si="371"/>
        <v>PREESCOLAR</v>
      </c>
      <c r="B1996" s="26" t="str">
        <f>"09PJN4009V"</f>
        <v>09PJN4009V</v>
      </c>
      <c r="C1996" s="26" t="str">
        <f>"WOODLAND KINDERLAND                                                                                 "</f>
        <v xml:space="preserve">WOODLAND KINDERLAND                                                                                 </v>
      </c>
      <c r="D1996" s="26" t="str">
        <f t="shared" si="364"/>
        <v>MATUTINO</v>
      </c>
      <c r="E1996" s="26" t="str">
        <f>"MORENA NO. 430                                                                  "</f>
        <v xml:space="preserve">MORENA NO. 430                                                                  </v>
      </c>
      <c r="F1996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1996" s="26" t="str">
        <f>"BENITO JUAREZ                                                                   "</f>
        <v xml:space="preserve">BENITO JUAREZ                                                                   </v>
      </c>
      <c r="H1996" s="26" t="str">
        <f>"232"</f>
        <v>232</v>
      </c>
      <c r="I1996" s="26" t="str">
        <f t="shared" si="372"/>
        <v>00</v>
      </c>
      <c r="J1996" s="26" t="str">
        <f>"33 "</f>
        <v xml:space="preserve">33 </v>
      </c>
      <c r="K1996" s="26" t="str">
        <f t="shared" si="373"/>
        <v>EP</v>
      </c>
      <c r="L1996" s="26" t="str">
        <f t="shared" si="374"/>
        <v>DGOSE</v>
      </c>
      <c r="M1996" s="26" t="str">
        <f t="shared" si="370"/>
        <v>PARTICULAR</v>
      </c>
      <c r="N1996" s="26">
        <v>164</v>
      </c>
      <c r="O1996" s="26">
        <v>89</v>
      </c>
      <c r="P1996" s="26">
        <v>75</v>
      </c>
      <c r="Q1996" s="26">
        <v>9</v>
      </c>
      <c r="R1996" s="26">
        <v>1</v>
      </c>
      <c r="S1996" s="26">
        <v>9</v>
      </c>
      <c r="T1996" s="26">
        <v>11</v>
      </c>
      <c r="U1996" s="26">
        <v>21</v>
      </c>
      <c r="V1996" s="26">
        <v>1</v>
      </c>
      <c r="W1996" s="26"/>
    </row>
    <row r="1997" spans="1:23" x14ac:dyDescent="0.25">
      <c r="A1997" s="26" t="str">
        <f t="shared" si="371"/>
        <v>PREESCOLAR</v>
      </c>
      <c r="B1997" s="26" t="str">
        <f>"09PJN4011J"</f>
        <v>09PJN4011J</v>
      </c>
      <c r="C1997" s="26" t="str">
        <f>"MONINA                                                                                              "</f>
        <v xml:space="preserve">MONINA                                                                                              </v>
      </c>
      <c r="D1997" s="26" t="str">
        <f t="shared" si="364"/>
        <v>MATUTINO</v>
      </c>
      <c r="E1997" s="26" t="str">
        <f>"LATINOS NO. 172                                                                 "</f>
        <v xml:space="preserve">LATINOS NO. 172                                                                 </v>
      </c>
      <c r="F1997" s="26" t="str">
        <f>"MODERNA                                                                                                                                     "</f>
        <v xml:space="preserve">MODERNA                                                                                                                                     </v>
      </c>
      <c r="G1997" s="26" t="str">
        <f>"BENITO JUAREZ                                                                   "</f>
        <v xml:space="preserve">BENITO JUAREZ                                                                   </v>
      </c>
      <c r="H1997" s="26" t="str">
        <f>"029"</f>
        <v>029</v>
      </c>
      <c r="I1997" s="26" t="str">
        <f t="shared" si="372"/>
        <v>00</v>
      </c>
      <c r="J1997" s="26" t="str">
        <f>"33 "</f>
        <v xml:space="preserve">33 </v>
      </c>
      <c r="K1997" s="26" t="str">
        <f t="shared" si="373"/>
        <v>EP</v>
      </c>
      <c r="L1997" s="26" t="str">
        <f t="shared" si="374"/>
        <v>DGOSE</v>
      </c>
      <c r="M1997" s="26" t="str">
        <f t="shared" si="370"/>
        <v>PARTICULAR</v>
      </c>
      <c r="N1997" s="26">
        <v>28</v>
      </c>
      <c r="O1997" s="26">
        <v>16</v>
      </c>
      <c r="P1997" s="26">
        <v>12</v>
      </c>
      <c r="Q1997" s="26">
        <v>3</v>
      </c>
      <c r="R1997" s="26">
        <v>1</v>
      </c>
      <c r="S1997" s="26">
        <v>3</v>
      </c>
      <c r="T1997" s="26">
        <v>2</v>
      </c>
      <c r="U1997" s="26">
        <v>6</v>
      </c>
      <c r="V1997" s="26">
        <v>1</v>
      </c>
      <c r="W1997" s="26"/>
    </row>
    <row r="1998" spans="1:23" x14ac:dyDescent="0.25">
      <c r="A1998" s="26" t="str">
        <f t="shared" si="371"/>
        <v>PREESCOLAR</v>
      </c>
      <c r="B1998" s="26" t="str">
        <f>"09PJN4016E"</f>
        <v>09PJN4016E</v>
      </c>
      <c r="C1998" s="26" t="str">
        <f>"INSTITUTO CULTURAL FRANCES                                                                          "</f>
        <v xml:space="preserve">INSTITUTO CULTURAL FRANCES                                                                          </v>
      </c>
      <c r="D1998" s="26" t="str">
        <f t="shared" si="364"/>
        <v>MATUTINO</v>
      </c>
      <c r="E1998" s="26" t="str">
        <f>"JOSE MARIA DEL CASTILLO VELASCO NO.49                                           "</f>
        <v xml:space="preserve">JOSE MARIA DEL CASTILLO VELASCO NO.49                                           </v>
      </c>
      <c r="F1998" s="26" t="str">
        <f>"PERIODISTA                                                                                                                                  "</f>
        <v xml:space="preserve">PERIODISTA                                                                                                                                  </v>
      </c>
      <c r="G1998" s="26" t="str">
        <f>"MIGUEL HIDALGO                                                                  "</f>
        <v xml:space="preserve">MIGUEL HIDALGO                                                                  </v>
      </c>
      <c r="H1998" s="26" t="str">
        <f>"056"</f>
        <v>056</v>
      </c>
      <c r="I1998" s="26" t="str">
        <f t="shared" si="372"/>
        <v>00</v>
      </c>
      <c r="J1998" s="26" t="str">
        <f>"32 "</f>
        <v xml:space="preserve">32 </v>
      </c>
      <c r="K1998" s="26" t="str">
        <f t="shared" si="373"/>
        <v>EP</v>
      </c>
      <c r="L1998" s="26" t="str">
        <f t="shared" si="374"/>
        <v>DGOSE</v>
      </c>
      <c r="M1998" s="26" t="str">
        <f t="shared" si="370"/>
        <v>PARTICULAR</v>
      </c>
      <c r="N1998" s="26">
        <v>22</v>
      </c>
      <c r="O1998" s="26">
        <v>14</v>
      </c>
      <c r="P1998" s="26">
        <v>8</v>
      </c>
      <c r="Q1998" s="26">
        <v>3</v>
      </c>
      <c r="R1998" s="26">
        <v>1</v>
      </c>
      <c r="S1998" s="26">
        <v>2</v>
      </c>
      <c r="T1998" s="26">
        <v>2</v>
      </c>
      <c r="U1998" s="26">
        <v>5</v>
      </c>
      <c r="V1998" s="26">
        <v>1</v>
      </c>
      <c r="W1998" s="26"/>
    </row>
    <row r="1999" spans="1:23" x14ac:dyDescent="0.25">
      <c r="A1999" s="26" t="str">
        <f t="shared" si="371"/>
        <v>PREESCOLAR</v>
      </c>
      <c r="B1999" s="26" t="str">
        <f>"09PJN4017D"</f>
        <v>09PJN4017D</v>
      </c>
      <c r="C1999" s="26" t="str">
        <f>"LICEO PREESCOLAR MEXICANO                                                                           "</f>
        <v xml:space="preserve">LICEO PREESCOLAR MEXICANO                                                                           </v>
      </c>
      <c r="D1999" s="26" t="str">
        <f t="shared" si="364"/>
        <v>MATUTINO</v>
      </c>
      <c r="E1999" s="26" t="str">
        <f>"PRESA VALSEQUILLO NO. 47 MZA. 5 LT. 239                                         "</f>
        <v xml:space="preserve">PRESA VALSEQUILLO NO. 47 MZA. 5 LT. 239                                         </v>
      </c>
      <c r="F1999" s="26" t="str">
        <f>"IRRIGACION                                                                                                                                  "</f>
        <v xml:space="preserve">IRRIGACION                                                                                                                                  </v>
      </c>
      <c r="G1999" s="26" t="str">
        <f>"MIGUEL HIDALGO                                                                  "</f>
        <v xml:space="preserve">MIGUEL HIDALGO                                                                  </v>
      </c>
      <c r="H1999" s="26" t="str">
        <f>"193"</f>
        <v>193</v>
      </c>
      <c r="I1999" s="26" t="str">
        <f t="shared" si="372"/>
        <v>00</v>
      </c>
      <c r="J1999" s="26" t="str">
        <f>"32 "</f>
        <v xml:space="preserve">32 </v>
      </c>
      <c r="K1999" s="26" t="str">
        <f t="shared" si="373"/>
        <v>EP</v>
      </c>
      <c r="L1999" s="26" t="str">
        <f t="shared" si="374"/>
        <v>DGOSE</v>
      </c>
      <c r="M1999" s="26" t="str">
        <f t="shared" si="370"/>
        <v>PARTICULAR</v>
      </c>
      <c r="N1999" s="26">
        <v>26</v>
      </c>
      <c r="O1999" s="26">
        <v>17</v>
      </c>
      <c r="P1999" s="26">
        <v>9</v>
      </c>
      <c r="Q1999" s="26">
        <v>3</v>
      </c>
      <c r="R1999" s="26">
        <v>1</v>
      </c>
      <c r="S1999" s="26">
        <v>3</v>
      </c>
      <c r="T1999" s="26">
        <v>3</v>
      </c>
      <c r="U1999" s="26">
        <v>7</v>
      </c>
      <c r="V1999" s="26">
        <v>1</v>
      </c>
      <c r="W1999" s="26"/>
    </row>
    <row r="2000" spans="1:23" x14ac:dyDescent="0.25">
      <c r="A2000" s="26" t="str">
        <f t="shared" si="371"/>
        <v>PREESCOLAR</v>
      </c>
      <c r="B2000" s="26" t="str">
        <f>"09PJN4018C"</f>
        <v>09PJN4018C</v>
      </c>
      <c r="C2000" s="26" t="str">
        <f>"MI MUNDO INFANTIL                                                                                   "</f>
        <v xml:space="preserve">MI MUNDO INFANTIL                                                                                   </v>
      </c>
      <c r="D2000" s="26" t="str">
        <f t="shared" si="364"/>
        <v>MATUTINO</v>
      </c>
      <c r="E2000" s="26" t="str">
        <f>"UXMAL NO. 223                                                                   "</f>
        <v xml:space="preserve">UXMAL NO. 223                                                                   </v>
      </c>
      <c r="F2000" s="26" t="str">
        <f>"NARVARTE                                                                                                                                    "</f>
        <v xml:space="preserve">NARVARTE                                                                                                                                    </v>
      </c>
      <c r="G2000" s="26" t="str">
        <f>"BENITO JUAREZ                                                                   "</f>
        <v xml:space="preserve">BENITO JUAREZ                                                                   </v>
      </c>
      <c r="H2000" s="26" t="str">
        <f>"029"</f>
        <v>029</v>
      </c>
      <c r="I2000" s="26" t="str">
        <f t="shared" si="372"/>
        <v>00</v>
      </c>
      <c r="J2000" s="26" t="str">
        <f>"33 "</f>
        <v xml:space="preserve">33 </v>
      </c>
      <c r="K2000" s="26" t="str">
        <f t="shared" si="373"/>
        <v>EP</v>
      </c>
      <c r="L2000" s="26" t="str">
        <f t="shared" si="374"/>
        <v>DGOSE</v>
      </c>
      <c r="M2000" s="26" t="str">
        <f t="shared" si="370"/>
        <v>PARTICULAR</v>
      </c>
      <c r="N2000" s="26">
        <v>47</v>
      </c>
      <c r="O2000" s="26">
        <v>30</v>
      </c>
      <c r="P2000" s="26">
        <v>17</v>
      </c>
      <c r="Q2000" s="26">
        <v>4</v>
      </c>
      <c r="R2000" s="26">
        <v>1</v>
      </c>
      <c r="S2000" s="26">
        <v>2</v>
      </c>
      <c r="T2000" s="26">
        <v>5</v>
      </c>
      <c r="U2000" s="26">
        <v>8</v>
      </c>
      <c r="V2000" s="26">
        <v>1</v>
      </c>
      <c r="W2000" s="26"/>
    </row>
    <row r="2001" spans="1:23" x14ac:dyDescent="0.25">
      <c r="A2001" s="26" t="str">
        <f t="shared" si="371"/>
        <v>PREESCOLAR</v>
      </c>
      <c r="B2001" s="26" t="str">
        <f>"09PJN4021Q"</f>
        <v>09PJN4021Q</v>
      </c>
      <c r="C2001" s="26" t="str">
        <f>"CENTRO EDUCATIVO TOMAS MORO                                                                         "</f>
        <v xml:space="preserve">CENTRO EDUCATIVO TOMAS MORO                                                                         </v>
      </c>
      <c r="D2001" s="26" t="str">
        <f t="shared" si="364"/>
        <v>MATUTINO</v>
      </c>
      <c r="E2001" s="26" t="str">
        <f>"MAGUEY NO. 64                                                                   "</f>
        <v xml:space="preserve">MAGUEY NO. 64                                                                   </v>
      </c>
      <c r="F2001" s="26" t="str">
        <f>"SAN JOSE DE LOS CEDROS                                                                                                                      "</f>
        <v xml:space="preserve">SAN JOSE DE LOS CEDROS                                                                                                                      </v>
      </c>
      <c r="G2001" s="26" t="str">
        <f>"CUAJIMALPA DE MORELOS                                                           "</f>
        <v xml:space="preserve">CUAJIMALPA DE MORELOS                                                           </v>
      </c>
      <c r="H2001" s="26" t="str">
        <f>"279"</f>
        <v>279</v>
      </c>
      <c r="I2001" s="26" t="str">
        <f t="shared" si="372"/>
        <v>00</v>
      </c>
      <c r="J2001" s="26" t="str">
        <f>"33 "</f>
        <v xml:space="preserve">33 </v>
      </c>
      <c r="K2001" s="26" t="str">
        <f t="shared" si="373"/>
        <v>EP</v>
      </c>
      <c r="L2001" s="26" t="str">
        <f t="shared" si="374"/>
        <v>DGOSE</v>
      </c>
      <c r="M2001" s="26" t="str">
        <f t="shared" si="370"/>
        <v>PARTICULAR</v>
      </c>
      <c r="N2001" s="26">
        <v>107</v>
      </c>
      <c r="O2001" s="26">
        <v>63</v>
      </c>
      <c r="P2001" s="26">
        <v>44</v>
      </c>
      <c r="Q2001" s="26">
        <v>5</v>
      </c>
      <c r="R2001" s="26">
        <v>1</v>
      </c>
      <c r="S2001" s="26">
        <v>5</v>
      </c>
      <c r="T2001" s="26">
        <v>9</v>
      </c>
      <c r="U2001" s="26">
        <v>15</v>
      </c>
      <c r="V2001" s="26">
        <v>1</v>
      </c>
      <c r="W2001" s="26"/>
    </row>
    <row r="2002" spans="1:23" x14ac:dyDescent="0.25">
      <c r="A2002" s="26" t="str">
        <f t="shared" si="371"/>
        <v>PREESCOLAR</v>
      </c>
      <c r="B2002" s="26" t="str">
        <f>"09PJN4029I"</f>
        <v>09PJN4029I</v>
      </c>
      <c r="C2002" s="26" t="str">
        <f>"JARDIN DE NIÑOS FROEBEL                                                                             "</f>
        <v xml:space="preserve">JARDIN DE NIÑOS FROEBEL                                                                             </v>
      </c>
      <c r="D2002" s="26" t="str">
        <f t="shared" si="364"/>
        <v>MATUTINO</v>
      </c>
      <c r="E2002" s="26" t="str">
        <f>"SASTRERIA NO. 68                                                                "</f>
        <v xml:space="preserve">SASTRERIA NO. 68                                                                </v>
      </c>
      <c r="F2002" s="26" t="str">
        <f>"MORELOS                                                                                                                                     "</f>
        <v xml:space="preserve">MORELOS                                                                                                                                     </v>
      </c>
      <c r="G2002" s="26" t="str">
        <f>"VENUSTIANO CARRANZA                                                             "</f>
        <v xml:space="preserve">VENUSTIANO CARRANZA                                                             </v>
      </c>
      <c r="H2002" s="26" t="str">
        <f>"025"</f>
        <v>025</v>
      </c>
      <c r="I2002" s="26" t="str">
        <f t="shared" si="372"/>
        <v>00</v>
      </c>
      <c r="J2002" s="26" t="str">
        <f>"33 "</f>
        <v xml:space="preserve">33 </v>
      </c>
      <c r="K2002" s="26" t="str">
        <f t="shared" si="373"/>
        <v>EP</v>
      </c>
      <c r="L2002" s="26" t="str">
        <f t="shared" si="374"/>
        <v>DGOSE</v>
      </c>
      <c r="M2002" s="26" t="str">
        <f t="shared" si="370"/>
        <v>PARTICULAR</v>
      </c>
      <c r="N2002" s="26">
        <v>42</v>
      </c>
      <c r="O2002" s="26">
        <v>19</v>
      </c>
      <c r="P2002" s="26">
        <v>23</v>
      </c>
      <c r="Q2002" s="26">
        <v>3</v>
      </c>
      <c r="R2002" s="26">
        <v>1</v>
      </c>
      <c r="S2002" s="26">
        <v>3</v>
      </c>
      <c r="T2002" s="26">
        <v>1</v>
      </c>
      <c r="U2002" s="26">
        <v>5</v>
      </c>
      <c r="V2002" s="26">
        <v>1</v>
      </c>
      <c r="W2002" s="26"/>
    </row>
    <row r="2003" spans="1:23" x14ac:dyDescent="0.25">
      <c r="A2003" s="26" t="str">
        <f t="shared" si="371"/>
        <v>PREESCOLAR</v>
      </c>
      <c r="B2003" s="26" t="str">
        <f>"09PJN4033V"</f>
        <v>09PJN4033V</v>
      </c>
      <c r="C2003" s="26" t="str">
        <f>"KOKONE                                                                                              "</f>
        <v xml:space="preserve">KOKONE                                                                                              </v>
      </c>
      <c r="D2003" s="26" t="str">
        <f t="shared" si="364"/>
        <v>MATUTINO</v>
      </c>
      <c r="E2003" s="26" t="str">
        <f>"CDA. DE INSURGENTES MZ 22B LT. 5-C                                              "</f>
        <v xml:space="preserve">CDA. DE INSURGENTES MZ 22B LT. 5-C                                              </v>
      </c>
      <c r="F2003" s="26" t="str">
        <f>"DESARROLLO URBANO QUETZALCOATL                                                                                                              "</f>
        <v xml:space="preserve">DESARROLLO URBANO QUETZALCOATL                                                                                                              </v>
      </c>
      <c r="G2003" s="26" t="str">
        <f>"IZTAPALAPA                                                                      "</f>
        <v xml:space="preserve">IZTAPALAPA                                                                      </v>
      </c>
      <c r="H2003" s="26" t="str">
        <f>"000"</f>
        <v>000</v>
      </c>
      <c r="I2003" s="26" t="str">
        <f t="shared" si="372"/>
        <v>00</v>
      </c>
      <c r="J2003" s="26" t="str">
        <f>"64 "</f>
        <v xml:space="preserve">64 </v>
      </c>
      <c r="K2003" s="26" t="str">
        <f>"IZ"</f>
        <v>IZ</v>
      </c>
      <c r="L2003" s="26" t="str">
        <f>"DGSEI"</f>
        <v>DGSEI</v>
      </c>
      <c r="M2003" s="26" t="str">
        <f t="shared" si="370"/>
        <v>PARTICULAR</v>
      </c>
      <c r="N2003" s="26">
        <v>75</v>
      </c>
      <c r="O2003" s="26">
        <v>38</v>
      </c>
      <c r="P2003" s="26">
        <v>37</v>
      </c>
      <c r="Q2003" s="26">
        <v>4</v>
      </c>
      <c r="R2003" s="26">
        <v>1</v>
      </c>
      <c r="S2003" s="26">
        <v>4</v>
      </c>
      <c r="T2003" s="26">
        <v>5</v>
      </c>
      <c r="U2003" s="26">
        <v>10</v>
      </c>
      <c r="V2003" s="26">
        <v>1</v>
      </c>
      <c r="W2003" s="26"/>
    </row>
    <row r="2004" spans="1:23" x14ac:dyDescent="0.25">
      <c r="A2004" s="26" t="str">
        <f t="shared" si="371"/>
        <v>PREESCOLAR</v>
      </c>
      <c r="B2004" s="26" t="str">
        <f>"09PJN4035T"</f>
        <v>09PJN4035T</v>
      </c>
      <c r="C2004" s="26" t="str">
        <f>"COLEGIO INGLES MICHAEL FARADAY                                                                      "</f>
        <v xml:space="preserve">COLEGIO INGLES MICHAEL FARADAY                                                                      </v>
      </c>
      <c r="D2004" s="26" t="str">
        <f t="shared" si="364"/>
        <v>MATUTINO</v>
      </c>
      <c r="E2004" s="26" t="str">
        <f>"AV. JOSE LORETO FABELA NO. 145                                                  "</f>
        <v xml:space="preserve">AV. JOSE LORETO FABELA NO. 145                                                  </v>
      </c>
      <c r="F2004" s="26" t="str">
        <f>"CASAS ALEMAN AMPLIACION                                                                                                                     "</f>
        <v xml:space="preserve">CASAS ALEMAN AMPLIACION                                                                                                                     </v>
      </c>
      <c r="G2004" s="26" t="str">
        <f>"GUSTAVO A. MADERO                                                               "</f>
        <v xml:space="preserve">GUSTAVO A. MADERO                                                               </v>
      </c>
      <c r="H2004" s="26" t="str">
        <f>"180"</f>
        <v>180</v>
      </c>
      <c r="I2004" s="26" t="str">
        <f t="shared" si="372"/>
        <v>00</v>
      </c>
      <c r="J2004" s="26" t="str">
        <f>"32 "</f>
        <v xml:space="preserve">32 </v>
      </c>
      <c r="K2004" s="26" t="str">
        <f t="shared" ref="K2004:K2016" si="375">"EP"</f>
        <v>EP</v>
      </c>
      <c r="L2004" s="26" t="str">
        <f t="shared" ref="L2004:L2016" si="376">"DGOSE"</f>
        <v>DGOSE</v>
      </c>
      <c r="M2004" s="26" t="str">
        <f t="shared" si="370"/>
        <v>PARTICULAR</v>
      </c>
      <c r="N2004" s="26">
        <v>10</v>
      </c>
      <c r="O2004" s="26">
        <v>6</v>
      </c>
      <c r="P2004" s="26">
        <v>4</v>
      </c>
      <c r="Q2004" s="26">
        <v>2</v>
      </c>
      <c r="R2004" s="26">
        <v>1</v>
      </c>
      <c r="S2004" s="26">
        <v>2</v>
      </c>
      <c r="T2004" s="26">
        <v>9</v>
      </c>
      <c r="U2004" s="26">
        <v>12</v>
      </c>
      <c r="V2004" s="26">
        <v>1</v>
      </c>
      <c r="W2004" s="26"/>
    </row>
    <row r="2005" spans="1:23" x14ac:dyDescent="0.25">
      <c r="A2005" s="26" t="str">
        <f t="shared" si="371"/>
        <v>PREESCOLAR</v>
      </c>
      <c r="B2005" s="26" t="str">
        <f>"09PJN4037R"</f>
        <v>09PJN4037R</v>
      </c>
      <c r="C2005" s="26" t="str">
        <f>"CENTRO DE ATENCION PREESCOLAR TONATZIN                                                              "</f>
        <v xml:space="preserve">CENTRO DE ATENCION PREESCOLAR TONATZIN                                                              </v>
      </c>
      <c r="D2005" s="26" t="str">
        <f t="shared" si="364"/>
        <v>MATUTINO</v>
      </c>
      <c r="E2005" s="26" t="str">
        <f>"DZITAS NO. 430                                                                  "</f>
        <v xml:space="preserve">DZITAS NO. 430                                                                  </v>
      </c>
      <c r="F2005" s="26" t="str">
        <f>"PEDREGAL DE SAN NICOLAS                                                                                                                     "</f>
        <v xml:space="preserve">PEDREGAL DE SAN NICOLAS                                                                                                                     </v>
      </c>
      <c r="G2005" s="26" t="str">
        <f>"TLALPAN                                                                         "</f>
        <v xml:space="preserve">TLALPAN                                                                         </v>
      </c>
      <c r="H2005" s="26" t="str">
        <f>"135"</f>
        <v>135</v>
      </c>
      <c r="I2005" s="26" t="str">
        <f t="shared" si="372"/>
        <v>00</v>
      </c>
      <c r="J2005" s="26" t="str">
        <f>"35 "</f>
        <v xml:space="preserve">35 </v>
      </c>
      <c r="K2005" s="26" t="str">
        <f t="shared" si="375"/>
        <v>EP</v>
      </c>
      <c r="L2005" s="26" t="str">
        <f t="shared" si="376"/>
        <v>DGOSE</v>
      </c>
      <c r="M2005" s="26" t="str">
        <f t="shared" si="370"/>
        <v>PARTICULAR</v>
      </c>
      <c r="N2005" s="26">
        <v>31</v>
      </c>
      <c r="O2005" s="26">
        <v>11</v>
      </c>
      <c r="P2005" s="26">
        <v>20</v>
      </c>
      <c r="Q2005" s="26">
        <v>3</v>
      </c>
      <c r="R2005" s="26">
        <v>1</v>
      </c>
      <c r="S2005" s="26">
        <v>3</v>
      </c>
      <c r="T2005" s="26">
        <v>1</v>
      </c>
      <c r="U2005" s="26">
        <v>5</v>
      </c>
      <c r="V2005" s="26">
        <v>1</v>
      </c>
      <c r="W2005" s="26"/>
    </row>
    <row r="2006" spans="1:23" x14ac:dyDescent="0.25">
      <c r="A2006" s="26" t="str">
        <f t="shared" si="371"/>
        <v>PREESCOLAR</v>
      </c>
      <c r="B2006" s="26" t="str">
        <f>"09PJN4040E"</f>
        <v>09PJN4040E</v>
      </c>
      <c r="C2006" s="26" t="str">
        <f>"JARDÍN DE NIÑOS EVE                                                                                 "</f>
        <v xml:space="preserve">JARDÍN DE NIÑOS EVE                                                                                 </v>
      </c>
      <c r="D2006" s="26" t="str">
        <f t="shared" si="364"/>
        <v>MATUTINO</v>
      </c>
      <c r="E2006" s="26" t="str">
        <f>"TIERRA GRIS NO. 15                                                              "</f>
        <v xml:space="preserve">TIERRA GRIS NO. 15                                                              </v>
      </c>
      <c r="F2006" s="26" t="str">
        <f>"TIERRA NUEVA                                                                                                                                "</f>
        <v xml:space="preserve">TIERRA NUEVA                                                                                                                                </v>
      </c>
      <c r="G2006" s="26" t="str">
        <f>"AZCAPOTZALCO                                                                    "</f>
        <v xml:space="preserve">AZCAPOTZALCO                                                                    </v>
      </c>
      <c r="H2006" s="26" t="str">
        <f>"177"</f>
        <v>177</v>
      </c>
      <c r="I2006" s="26" t="str">
        <f t="shared" si="372"/>
        <v>00</v>
      </c>
      <c r="J2006" s="26" t="str">
        <f t="shared" ref="J2006:J2011" si="377">"32 "</f>
        <v xml:space="preserve">32 </v>
      </c>
      <c r="K2006" s="26" t="str">
        <f t="shared" si="375"/>
        <v>EP</v>
      </c>
      <c r="L2006" s="26" t="str">
        <f t="shared" si="376"/>
        <v>DGOSE</v>
      </c>
      <c r="M2006" s="26" t="str">
        <f t="shared" si="370"/>
        <v>PARTICULAR</v>
      </c>
      <c r="N2006" s="26">
        <v>17</v>
      </c>
      <c r="O2006" s="26">
        <v>11</v>
      </c>
      <c r="P2006" s="26">
        <v>6</v>
      </c>
      <c r="Q2006" s="26">
        <v>2</v>
      </c>
      <c r="R2006" s="26">
        <v>1</v>
      </c>
      <c r="S2006" s="26">
        <v>2</v>
      </c>
      <c r="T2006" s="26">
        <v>3</v>
      </c>
      <c r="U2006" s="26">
        <v>6</v>
      </c>
      <c r="V2006" s="26">
        <v>1</v>
      </c>
      <c r="W2006" s="26"/>
    </row>
    <row r="2007" spans="1:23" x14ac:dyDescent="0.25">
      <c r="A2007" s="26" t="str">
        <f t="shared" si="371"/>
        <v>PREESCOLAR</v>
      </c>
      <c r="B2007" s="26" t="str">
        <f>"09PJN4041D"</f>
        <v>09PJN4041D</v>
      </c>
      <c r="C2007" s="26" t="str">
        <f>"COLEGIO FRANCES NUEVA SANTA MARIA                                                                   "</f>
        <v xml:space="preserve">COLEGIO FRANCES NUEVA SANTA MARIA                                                                   </v>
      </c>
      <c r="D2007" s="26" t="str">
        <f t="shared" si="364"/>
        <v>MATUTINO</v>
      </c>
      <c r="E2007" s="26" t="str">
        <f>"BEGONIAS NO. 103                                                                "</f>
        <v xml:space="preserve">BEGONIAS NO. 103                                                                </v>
      </c>
      <c r="F2007" s="26" t="str">
        <f>"NUEVA SANTA MARIA                                                                                                                           "</f>
        <v xml:space="preserve">NUEVA SANTA MARIA                                                                                                                           </v>
      </c>
      <c r="G2007" s="26" t="str">
        <f>"AZCAPOTZALCO                                                                    "</f>
        <v xml:space="preserve">AZCAPOTZALCO                                                                    </v>
      </c>
      <c r="H2007" s="26" t="str">
        <f>"189"</f>
        <v>189</v>
      </c>
      <c r="I2007" s="26" t="str">
        <f t="shared" si="372"/>
        <v>00</v>
      </c>
      <c r="J2007" s="26" t="str">
        <f t="shared" si="377"/>
        <v xml:space="preserve">32 </v>
      </c>
      <c r="K2007" s="26" t="str">
        <f t="shared" si="375"/>
        <v>EP</v>
      </c>
      <c r="L2007" s="26" t="str">
        <f t="shared" si="376"/>
        <v>DGOSE</v>
      </c>
      <c r="M2007" s="26" t="str">
        <f t="shared" si="370"/>
        <v>PARTICULAR</v>
      </c>
      <c r="N2007" s="26">
        <v>32</v>
      </c>
      <c r="O2007" s="26">
        <v>13</v>
      </c>
      <c r="P2007" s="26">
        <v>19</v>
      </c>
      <c r="Q2007" s="26">
        <v>3</v>
      </c>
      <c r="R2007" s="26">
        <v>1</v>
      </c>
      <c r="S2007" s="26">
        <v>3</v>
      </c>
      <c r="T2007" s="26">
        <v>6</v>
      </c>
      <c r="U2007" s="26">
        <v>10</v>
      </c>
      <c r="V2007" s="26">
        <v>1</v>
      </c>
      <c r="W2007" s="26"/>
    </row>
    <row r="2008" spans="1:23" x14ac:dyDescent="0.25">
      <c r="A2008" s="26" t="str">
        <f t="shared" si="371"/>
        <v>PREESCOLAR</v>
      </c>
      <c r="B2008" s="26" t="str">
        <f>"09PJN4046Z"</f>
        <v>09PJN4046Z</v>
      </c>
      <c r="C2008" s="26" t="str">
        <f>"ESTANCIA INFANTIL DULCE AMANECER                                                                    "</f>
        <v xml:space="preserve">ESTANCIA INFANTIL DULCE AMANECER                                                                    </v>
      </c>
      <c r="D2008" s="26" t="str">
        <f t="shared" si="364"/>
        <v>MATUTINO</v>
      </c>
      <c r="E2008" s="26" t="str">
        <f>"SAGITARIO NO. 312                                                               "</f>
        <v xml:space="preserve">SAGITARIO NO. 312                                                               </v>
      </c>
      <c r="F2008" s="26" t="str">
        <f>"UNIDAD INFONAVIT EL ROSARIO                                                                                                                 "</f>
        <v xml:space="preserve">UNIDAD INFONAVIT EL ROSARIO                                                                                                                 </v>
      </c>
      <c r="G2008" s="26" t="str">
        <f>"AZCAPOTZALCO                                                                    "</f>
        <v xml:space="preserve">AZCAPOTZALCO                                                                    </v>
      </c>
      <c r="H2008" s="26" t="str">
        <f>"009"</f>
        <v>009</v>
      </c>
      <c r="I2008" s="26" t="str">
        <f t="shared" si="372"/>
        <v>00</v>
      </c>
      <c r="J2008" s="26" t="str">
        <f t="shared" si="377"/>
        <v xml:space="preserve">32 </v>
      </c>
      <c r="K2008" s="26" t="str">
        <f t="shared" si="375"/>
        <v>EP</v>
      </c>
      <c r="L2008" s="26" t="str">
        <f t="shared" si="376"/>
        <v>DGOSE</v>
      </c>
      <c r="M2008" s="26" t="str">
        <f t="shared" si="370"/>
        <v>PARTICULAR</v>
      </c>
      <c r="N2008" s="26">
        <v>8</v>
      </c>
      <c r="O2008" s="26">
        <v>6</v>
      </c>
      <c r="P2008" s="26">
        <v>2</v>
      </c>
      <c r="Q2008" s="26">
        <v>2</v>
      </c>
      <c r="R2008" s="26">
        <v>1</v>
      </c>
      <c r="S2008" s="26">
        <v>2</v>
      </c>
      <c r="T2008" s="26">
        <v>0</v>
      </c>
      <c r="U2008" s="26">
        <v>3</v>
      </c>
      <c r="V2008" s="26">
        <v>1</v>
      </c>
      <c r="W2008" s="26"/>
    </row>
    <row r="2009" spans="1:23" x14ac:dyDescent="0.25">
      <c r="A2009" s="26" t="str">
        <f t="shared" si="371"/>
        <v>PREESCOLAR</v>
      </c>
      <c r="B2009" s="26" t="str">
        <f>"09PJN4047Y"</f>
        <v>09PJN4047Y</v>
      </c>
      <c r="C2009" s="26" t="str">
        <f>"COLEGIO JARDINES DE LA INFANCIA                                                                     "</f>
        <v xml:space="preserve">COLEGIO JARDINES DE LA INFANCIA                                                                     </v>
      </c>
      <c r="D2009" s="26" t="str">
        <f t="shared" si="364"/>
        <v>MATUTINO</v>
      </c>
      <c r="E2009" s="26" t="str">
        <f>"CAMPO MORALILLO NO. 69                                                          "</f>
        <v xml:space="preserve">CAMPO MORALILLO NO. 69                                                          </v>
      </c>
      <c r="F2009" s="26" t="str">
        <f>"REYNOSA TAMAULIPAS                                                                                                                          "</f>
        <v xml:space="preserve">REYNOSA TAMAULIPAS                                                                                                                          </v>
      </c>
      <c r="G2009" s="26" t="str">
        <f>"AZCAPOTZALCO                                                                    "</f>
        <v xml:space="preserve">AZCAPOTZALCO                                                                    </v>
      </c>
      <c r="H2009" s="26" t="str">
        <f>"009"</f>
        <v>009</v>
      </c>
      <c r="I2009" s="26" t="str">
        <f t="shared" si="372"/>
        <v>00</v>
      </c>
      <c r="J2009" s="26" t="str">
        <f t="shared" si="377"/>
        <v xml:space="preserve">32 </v>
      </c>
      <c r="K2009" s="26" t="str">
        <f t="shared" si="375"/>
        <v>EP</v>
      </c>
      <c r="L2009" s="26" t="str">
        <f t="shared" si="376"/>
        <v>DGOSE</v>
      </c>
      <c r="M2009" s="26" t="str">
        <f t="shared" si="370"/>
        <v>PARTICULAR</v>
      </c>
      <c r="N2009" s="26">
        <v>16</v>
      </c>
      <c r="O2009" s="26">
        <v>9</v>
      </c>
      <c r="P2009" s="26">
        <v>7</v>
      </c>
      <c r="Q2009" s="26">
        <v>2</v>
      </c>
      <c r="R2009" s="26">
        <v>1</v>
      </c>
      <c r="S2009" s="26">
        <v>2</v>
      </c>
      <c r="T2009" s="26">
        <v>0</v>
      </c>
      <c r="U2009" s="26">
        <v>3</v>
      </c>
      <c r="V2009" s="26">
        <v>1</v>
      </c>
      <c r="W2009" s="26"/>
    </row>
    <row r="2010" spans="1:23" x14ac:dyDescent="0.25">
      <c r="A2010" s="26" t="str">
        <f t="shared" si="371"/>
        <v>PREESCOLAR</v>
      </c>
      <c r="B2010" s="26" t="str">
        <f>"09PJN4049W"</f>
        <v>09PJN4049W</v>
      </c>
      <c r="C2010" s="26" t="str">
        <f>"LA CASA DEL COLIBRI                                                                                 "</f>
        <v xml:space="preserve">LA CASA DEL COLIBRI                                                                                 </v>
      </c>
      <c r="D2010" s="26" t="str">
        <f t="shared" si="364"/>
        <v>MATUTINO</v>
      </c>
      <c r="E2010" s="26" t="str">
        <f>"GOB. MANUEL REYES VERAMENDI NO. 37 Y 39                                         "</f>
        <v xml:space="preserve">GOB. MANUEL REYES VERAMENDI NO. 37 Y 39                                         </v>
      </c>
      <c r="F2010" s="26" t="str">
        <f>"SAN MIGUEL CHAPULTEPEC                                                                                                                      "</f>
        <v xml:space="preserve">SAN MIGUEL CHAPULTEPEC                                                                                                                      </v>
      </c>
      <c r="G2010" s="26" t="str">
        <f>"MIGUEL HIDALGO                                                                  "</f>
        <v xml:space="preserve">MIGUEL HIDALGO                                                                  </v>
      </c>
      <c r="H2010" s="26" t="str">
        <f>"014"</f>
        <v>014</v>
      </c>
      <c r="I2010" s="26" t="str">
        <f t="shared" si="372"/>
        <v>00</v>
      </c>
      <c r="J2010" s="26" t="str">
        <f t="shared" si="377"/>
        <v xml:space="preserve">32 </v>
      </c>
      <c r="K2010" s="26" t="str">
        <f t="shared" si="375"/>
        <v>EP</v>
      </c>
      <c r="L2010" s="26" t="str">
        <f t="shared" si="376"/>
        <v>DGOSE</v>
      </c>
      <c r="M2010" s="26" t="str">
        <f t="shared" si="370"/>
        <v>PARTICULAR</v>
      </c>
      <c r="N2010" s="26">
        <v>71</v>
      </c>
      <c r="O2010" s="26">
        <v>34</v>
      </c>
      <c r="P2010" s="26">
        <v>37</v>
      </c>
      <c r="Q2010" s="26">
        <v>4</v>
      </c>
      <c r="R2010" s="26">
        <v>1</v>
      </c>
      <c r="S2010" s="26">
        <v>3</v>
      </c>
      <c r="T2010" s="26">
        <v>8</v>
      </c>
      <c r="U2010" s="26">
        <v>12</v>
      </c>
      <c r="V2010" s="26">
        <v>1</v>
      </c>
      <c r="W2010" s="26"/>
    </row>
    <row r="2011" spans="1:23" x14ac:dyDescent="0.25">
      <c r="A2011" s="26" t="str">
        <f t="shared" si="371"/>
        <v>PREESCOLAR</v>
      </c>
      <c r="B2011" s="26" t="str">
        <f>"09PJN4050L"</f>
        <v>09PJN4050L</v>
      </c>
      <c r="C2011" s="26" t="str">
        <f>"MI PEQUEÑO MUNDO                                                                                    "</f>
        <v xml:space="preserve">MI PEQUEÑO MUNDO                                                                                    </v>
      </c>
      <c r="D2011" s="26" t="str">
        <f t="shared" ref="D2011:D2074" si="378">"MATUTINO"</f>
        <v>MATUTINO</v>
      </c>
      <c r="E2011" s="26" t="str">
        <f>"AV. CENTRAL NO. 190                                                             "</f>
        <v xml:space="preserve">AV. CENTRAL NO. 190                                                             </v>
      </c>
      <c r="F2011" s="26" t="str">
        <f>"PRO  HOGAR                                                                                                                                  "</f>
        <v xml:space="preserve">PRO  HOGAR                                                                                                                                  </v>
      </c>
      <c r="G2011" s="26" t="str">
        <f>"AZCAPOTZALCO                                                                    "</f>
        <v xml:space="preserve">AZCAPOTZALCO                                                                    </v>
      </c>
      <c r="H2011" s="26" t="str">
        <f>"190"</f>
        <v>190</v>
      </c>
      <c r="I2011" s="26" t="str">
        <f t="shared" si="372"/>
        <v>00</v>
      </c>
      <c r="J2011" s="26" t="str">
        <f t="shared" si="377"/>
        <v xml:space="preserve">32 </v>
      </c>
      <c r="K2011" s="26" t="str">
        <f t="shared" si="375"/>
        <v>EP</v>
      </c>
      <c r="L2011" s="26" t="str">
        <f t="shared" si="376"/>
        <v>DGOSE</v>
      </c>
      <c r="M2011" s="26" t="str">
        <f t="shared" si="370"/>
        <v>PARTICULAR</v>
      </c>
      <c r="N2011" s="26">
        <v>33</v>
      </c>
      <c r="O2011" s="26">
        <v>15</v>
      </c>
      <c r="P2011" s="26">
        <v>18</v>
      </c>
      <c r="Q2011" s="26">
        <v>3</v>
      </c>
      <c r="R2011" s="26">
        <v>1</v>
      </c>
      <c r="S2011" s="26">
        <v>3</v>
      </c>
      <c r="T2011" s="26">
        <v>3</v>
      </c>
      <c r="U2011" s="26">
        <v>7</v>
      </c>
      <c r="V2011" s="26">
        <v>1</v>
      </c>
      <c r="W2011" s="26"/>
    </row>
    <row r="2012" spans="1:23" x14ac:dyDescent="0.25">
      <c r="A2012" s="26" t="str">
        <f t="shared" si="371"/>
        <v>PREESCOLAR</v>
      </c>
      <c r="B2012" s="26" t="str">
        <f>"09PJN4053I"</f>
        <v>09PJN4053I</v>
      </c>
      <c r="C2012" s="26" t="str">
        <f>"COLEGIO JEAN PIAGET DE ORIENTE                                                                      "</f>
        <v xml:space="preserve">COLEGIO JEAN PIAGET DE ORIENTE                                                                      </v>
      </c>
      <c r="D2012" s="26" t="str">
        <f t="shared" si="378"/>
        <v>MATUTINO</v>
      </c>
      <c r="E2012" s="26" t="str">
        <f>"ORIENTE 102 NO. 1655                                                            "</f>
        <v xml:space="preserve">ORIENTE 102 NO. 1655                                                            </v>
      </c>
      <c r="F2012" s="26" t="str">
        <f>"GABRIEL RAMOS MILLAN AMPLIACION                                                                                                             "</f>
        <v xml:space="preserve">GABRIEL RAMOS MILLAN AMPLIACION                                                                                                             </v>
      </c>
      <c r="G2012" s="26" t="str">
        <f>"IZTACALCO                                                                       "</f>
        <v xml:space="preserve">IZTACALCO                                                                       </v>
      </c>
      <c r="H2012" s="26" t="str">
        <f>"144"</f>
        <v>144</v>
      </c>
      <c r="I2012" s="26" t="str">
        <f t="shared" si="372"/>
        <v>00</v>
      </c>
      <c r="J2012" s="26" t="str">
        <f>"33 "</f>
        <v xml:space="preserve">33 </v>
      </c>
      <c r="K2012" s="26" t="str">
        <f t="shared" si="375"/>
        <v>EP</v>
      </c>
      <c r="L2012" s="26" t="str">
        <f t="shared" si="376"/>
        <v>DGOSE</v>
      </c>
      <c r="M2012" s="26" t="str">
        <f t="shared" si="370"/>
        <v>PARTICULAR</v>
      </c>
      <c r="N2012" s="26">
        <v>80</v>
      </c>
      <c r="O2012" s="26">
        <v>42</v>
      </c>
      <c r="P2012" s="26">
        <v>38</v>
      </c>
      <c r="Q2012" s="26">
        <v>3</v>
      </c>
      <c r="R2012" s="26">
        <v>1</v>
      </c>
      <c r="S2012" s="26">
        <v>3</v>
      </c>
      <c r="T2012" s="26">
        <v>10</v>
      </c>
      <c r="U2012" s="26">
        <v>14</v>
      </c>
      <c r="V2012" s="26">
        <v>1</v>
      </c>
      <c r="W2012" s="26"/>
    </row>
    <row r="2013" spans="1:23" x14ac:dyDescent="0.25">
      <c r="A2013" s="26" t="str">
        <f t="shared" si="371"/>
        <v>PREESCOLAR</v>
      </c>
      <c r="B2013" s="26" t="str">
        <f>"09PJN4054H"</f>
        <v>09PJN4054H</v>
      </c>
      <c r="C2013" s="26" t="str">
        <f>"JARDIN DE NIÑOS MI PRIMER AVENTURA                                                                  "</f>
        <v xml:space="preserve">JARDIN DE NIÑOS MI PRIMER AVENTURA                                                                  </v>
      </c>
      <c r="D2013" s="26" t="str">
        <f t="shared" si="378"/>
        <v>MATUTINO</v>
      </c>
      <c r="E2013" s="26" t="str">
        <f>"GALEANA MZA. 90 LT. 645 B                                                       "</f>
        <v xml:space="preserve">GALEANA MZA. 90 LT. 645 B                                                       </v>
      </c>
      <c r="F2013" s="26" t="str">
        <f>"MIGUEL HIDALGO AMPLIACION                                                                                                                   "</f>
        <v xml:space="preserve">MIGUEL HIDALGO AMPLIACION                                                                                                                   </v>
      </c>
      <c r="G2013" s="26" t="str">
        <f>"TLALPAN                                                                         "</f>
        <v xml:space="preserve">TLALPAN                                                                         </v>
      </c>
      <c r="H2013" s="26" t="str">
        <f>"225"</f>
        <v>225</v>
      </c>
      <c r="I2013" s="26" t="str">
        <f t="shared" si="372"/>
        <v>00</v>
      </c>
      <c r="J2013" s="26" t="str">
        <f>"35 "</f>
        <v xml:space="preserve">35 </v>
      </c>
      <c r="K2013" s="26" t="str">
        <f t="shared" si="375"/>
        <v>EP</v>
      </c>
      <c r="L2013" s="26" t="str">
        <f t="shared" si="376"/>
        <v>DGOSE</v>
      </c>
      <c r="M2013" s="26" t="str">
        <f t="shared" si="370"/>
        <v>PARTICULAR</v>
      </c>
      <c r="N2013" s="26">
        <v>32</v>
      </c>
      <c r="O2013" s="26">
        <v>20</v>
      </c>
      <c r="P2013" s="26">
        <v>12</v>
      </c>
      <c r="Q2013" s="26">
        <v>3</v>
      </c>
      <c r="R2013" s="26">
        <v>1</v>
      </c>
      <c r="S2013" s="26">
        <v>3</v>
      </c>
      <c r="T2013" s="26">
        <v>5</v>
      </c>
      <c r="U2013" s="26">
        <v>9</v>
      </c>
      <c r="V2013" s="26">
        <v>1</v>
      </c>
      <c r="W2013" s="26"/>
    </row>
    <row r="2014" spans="1:23" x14ac:dyDescent="0.25">
      <c r="A2014" s="26" t="str">
        <f t="shared" si="371"/>
        <v>PREESCOLAR</v>
      </c>
      <c r="B2014" s="26" t="str">
        <f>"09PJN4060S"</f>
        <v>09PJN4060S</v>
      </c>
      <c r="C2014" s="26" t="s">
        <v>101</v>
      </c>
      <c r="D2014" s="26" t="str">
        <f t="shared" si="378"/>
        <v>MATUTINO</v>
      </c>
      <c r="E2014" s="26" t="str">
        <f>"JUAN SARABIA NO. 199                                                            "</f>
        <v xml:space="preserve">JUAN SARABIA NO. 199                                                            </v>
      </c>
      <c r="F2014" s="26" t="str">
        <f>"NUEVA SANTA MARIA                                                                                                                           "</f>
        <v xml:space="preserve">NUEVA SANTA MARIA                                                                                                                           </v>
      </c>
      <c r="G2014" s="26" t="str">
        <f>"AZCAPOTZALCO                                                                    "</f>
        <v xml:space="preserve">AZCAPOTZALCO                                                                    </v>
      </c>
      <c r="H2014" s="26" t="str">
        <f>"189"</f>
        <v>189</v>
      </c>
      <c r="I2014" s="26" t="str">
        <f t="shared" si="372"/>
        <v>00</v>
      </c>
      <c r="J2014" s="26" t="str">
        <f>"32 "</f>
        <v xml:space="preserve">32 </v>
      </c>
      <c r="K2014" s="26" t="str">
        <f t="shared" si="375"/>
        <v>EP</v>
      </c>
      <c r="L2014" s="26" t="str">
        <f t="shared" si="376"/>
        <v>DGOSE</v>
      </c>
      <c r="M2014" s="26" t="str">
        <f t="shared" si="370"/>
        <v>PARTICULAR</v>
      </c>
      <c r="N2014" s="26">
        <v>28</v>
      </c>
      <c r="O2014" s="26">
        <v>10</v>
      </c>
      <c r="P2014" s="26">
        <v>18</v>
      </c>
      <c r="Q2014" s="26">
        <v>3</v>
      </c>
      <c r="R2014" s="26">
        <v>1</v>
      </c>
      <c r="S2014" s="26">
        <v>3</v>
      </c>
      <c r="T2014" s="26">
        <v>1</v>
      </c>
      <c r="U2014" s="26">
        <v>5</v>
      </c>
      <c r="V2014" s="26">
        <v>1</v>
      </c>
      <c r="W2014" s="26"/>
    </row>
    <row r="2015" spans="1:23" x14ac:dyDescent="0.25">
      <c r="A2015" s="26" t="str">
        <f t="shared" si="371"/>
        <v>PREESCOLAR</v>
      </c>
      <c r="B2015" s="26" t="str">
        <f>"09PJN4065N"</f>
        <v>09PJN4065N</v>
      </c>
      <c r="C2015" s="26" t="str">
        <f>"EL MUNDO DE LOS NIÑOS                                                                               "</f>
        <v xml:space="preserve">EL MUNDO DE LOS NIÑOS                                                                               </v>
      </c>
      <c r="D2015" s="26" t="str">
        <f t="shared" si="378"/>
        <v>MATUTINO</v>
      </c>
      <c r="E2015" s="26" t="str">
        <f>"CENTENARIO NO. 55 BIS                                                           "</f>
        <v xml:space="preserve">CENTENARIO NO. 55 BIS                                                           </v>
      </c>
      <c r="F2015" s="26" t="str">
        <f>"MERCED GOMEZ                                                                                                                                "</f>
        <v xml:space="preserve">MERCED GOMEZ                                                                                                                                </v>
      </c>
      <c r="G2015" s="26" t="str">
        <f>"ALVARO OBREGON                                                                  "</f>
        <v xml:space="preserve">ALVARO OBREGON                                                                  </v>
      </c>
      <c r="H2015" s="26" t="str">
        <f>"217"</f>
        <v>217</v>
      </c>
      <c r="I2015" s="26" t="str">
        <f t="shared" si="372"/>
        <v>00</v>
      </c>
      <c r="J2015" s="26" t="str">
        <f>"33 "</f>
        <v xml:space="preserve">33 </v>
      </c>
      <c r="K2015" s="26" t="str">
        <f t="shared" si="375"/>
        <v>EP</v>
      </c>
      <c r="L2015" s="26" t="str">
        <f t="shared" si="376"/>
        <v>DGOSE</v>
      </c>
      <c r="M2015" s="26" t="str">
        <f t="shared" si="370"/>
        <v>PARTICULAR</v>
      </c>
      <c r="N2015" s="26">
        <v>22</v>
      </c>
      <c r="O2015" s="26">
        <v>13</v>
      </c>
      <c r="P2015" s="26">
        <v>9</v>
      </c>
      <c r="Q2015" s="26">
        <v>3</v>
      </c>
      <c r="R2015" s="26">
        <v>1</v>
      </c>
      <c r="S2015" s="26">
        <v>3</v>
      </c>
      <c r="T2015" s="26">
        <v>3</v>
      </c>
      <c r="U2015" s="26">
        <v>7</v>
      </c>
      <c r="V2015" s="26">
        <v>1</v>
      </c>
      <c r="W2015" s="26"/>
    </row>
    <row r="2016" spans="1:23" x14ac:dyDescent="0.25">
      <c r="A2016" s="26" t="str">
        <f t="shared" si="371"/>
        <v>PREESCOLAR</v>
      </c>
      <c r="B2016" s="26" t="str">
        <f>"09PJN4068K"</f>
        <v>09PJN4068K</v>
      </c>
      <c r="C2016" s="26" t="str">
        <f>"INSTITUTO PREESCOLAR NIÑO AZTECA                                                                    "</f>
        <v xml:space="preserve">INSTITUTO PREESCOLAR NIÑO AZTECA                                                                    </v>
      </c>
      <c r="D2016" s="26" t="str">
        <f t="shared" si="378"/>
        <v>MATUTINO</v>
      </c>
      <c r="E2016" s="26" t="str">
        <f>"CALLE 16 A NO. 34                                                               "</f>
        <v xml:space="preserve">CALLE 16 A NO. 34                                                               </v>
      </c>
      <c r="F2016" s="26" t="str">
        <f>"SANTA ROSA                                                                                                                                  "</f>
        <v xml:space="preserve">SANTA ROSA                                                                                                                                  </v>
      </c>
      <c r="G2016" s="26" t="str">
        <f>"GUSTAVO A. MADERO                                                               "</f>
        <v xml:space="preserve">GUSTAVO A. MADERO                                                               </v>
      </c>
      <c r="H2016" s="26" t="str">
        <f>"068"</f>
        <v>068</v>
      </c>
      <c r="I2016" s="26" t="str">
        <f t="shared" si="372"/>
        <v>00</v>
      </c>
      <c r="J2016" s="26" t="str">
        <f>"32 "</f>
        <v xml:space="preserve">32 </v>
      </c>
      <c r="K2016" s="26" t="str">
        <f t="shared" si="375"/>
        <v>EP</v>
      </c>
      <c r="L2016" s="26" t="str">
        <f t="shared" si="376"/>
        <v>DGOSE</v>
      </c>
      <c r="M2016" s="26" t="str">
        <f t="shared" si="370"/>
        <v>PARTICULAR</v>
      </c>
      <c r="N2016" s="26">
        <v>36</v>
      </c>
      <c r="O2016" s="26">
        <v>15</v>
      </c>
      <c r="P2016" s="26">
        <v>21</v>
      </c>
      <c r="Q2016" s="26">
        <v>3</v>
      </c>
      <c r="R2016" s="26">
        <v>1</v>
      </c>
      <c r="S2016" s="26">
        <v>2</v>
      </c>
      <c r="T2016" s="26">
        <v>2</v>
      </c>
      <c r="U2016" s="26">
        <v>5</v>
      </c>
      <c r="V2016" s="26">
        <v>1</v>
      </c>
      <c r="W2016" s="26"/>
    </row>
    <row r="2017" spans="1:23" x14ac:dyDescent="0.25">
      <c r="A2017" s="26" t="str">
        <f t="shared" si="371"/>
        <v>PREESCOLAR</v>
      </c>
      <c r="B2017" s="26" t="str">
        <f>"09PJN4069J"</f>
        <v>09PJN4069J</v>
      </c>
      <c r="C2017" s="26" t="str">
        <f>"CENTRO CULTURAL ANAHUAC                                                                             "</f>
        <v xml:space="preserve">CENTRO CULTURAL ANAHUAC                                                                             </v>
      </c>
      <c r="D2017" s="26" t="str">
        <f t="shared" si="378"/>
        <v>MATUTINO</v>
      </c>
      <c r="E2017" s="26" t="str">
        <f>"TRABAJADORES SOCIALES NO. 223                                                   "</f>
        <v xml:space="preserve">TRABAJADORES SOCIALES NO. 223                                                   </v>
      </c>
      <c r="F2017" s="26" t="str">
        <f>"EL SIFON                                                                                                                                    "</f>
        <v xml:space="preserve">EL SIFON                                                                                                                                    </v>
      </c>
      <c r="G2017" s="26" t="str">
        <f>"IZTAPALAPA                                                                      "</f>
        <v xml:space="preserve">IZTAPALAPA                                                                      </v>
      </c>
      <c r="H2017" s="26" t="str">
        <f>"000"</f>
        <v>000</v>
      </c>
      <c r="I2017" s="26" t="str">
        <f t="shared" si="372"/>
        <v>00</v>
      </c>
      <c r="J2017" s="26" t="str">
        <f>"61 "</f>
        <v xml:space="preserve">61 </v>
      </c>
      <c r="K2017" s="26" t="str">
        <f>"IZ"</f>
        <v>IZ</v>
      </c>
      <c r="L2017" s="26" t="str">
        <f>"DGSEI"</f>
        <v>DGSEI</v>
      </c>
      <c r="M2017" s="26" t="str">
        <f t="shared" si="370"/>
        <v>PARTICULAR</v>
      </c>
      <c r="N2017" s="26">
        <v>112</v>
      </c>
      <c r="O2017" s="26">
        <v>66</v>
      </c>
      <c r="P2017" s="26">
        <v>46</v>
      </c>
      <c r="Q2017" s="26">
        <v>6</v>
      </c>
      <c r="R2017" s="26">
        <v>1</v>
      </c>
      <c r="S2017" s="26">
        <v>6</v>
      </c>
      <c r="T2017" s="26">
        <v>7</v>
      </c>
      <c r="U2017" s="26">
        <v>14</v>
      </c>
      <c r="V2017" s="26">
        <v>1</v>
      </c>
      <c r="W2017" s="26"/>
    </row>
    <row r="2018" spans="1:23" x14ac:dyDescent="0.25">
      <c r="A2018" s="26" t="str">
        <f t="shared" si="371"/>
        <v>PREESCOLAR</v>
      </c>
      <c r="B2018" s="26" t="str">
        <f>"09PJN4072X"</f>
        <v>09PJN4072X</v>
      </c>
      <c r="C2018" s="26" t="str">
        <f>"JARDIN DE NIÑOS KINDER ARCOIRIS                                                                     "</f>
        <v xml:space="preserve">JARDIN DE NIÑOS KINDER ARCOIRIS                                                                     </v>
      </c>
      <c r="D2018" s="26" t="str">
        <f t="shared" si="378"/>
        <v>MATUTINO</v>
      </c>
      <c r="E2018" s="26" t="str">
        <f>"NETZAHUALCOYOTL NO. 32                                                          "</f>
        <v xml:space="preserve">NETZAHUALCOYOTL NO. 32                                                          </v>
      </c>
      <c r="F2018" s="26" t="str">
        <f>"ARAGON                                                                                                                                      "</f>
        <v xml:space="preserve">ARAGON                                                                                                                                      </v>
      </c>
      <c r="G2018" s="26" t="str">
        <f>"GUSTAVO A. MADERO                                                               "</f>
        <v xml:space="preserve">GUSTAVO A. MADERO                                                               </v>
      </c>
      <c r="H2018" s="26" t="str">
        <f>"006"</f>
        <v>006</v>
      </c>
      <c r="I2018" s="26" t="str">
        <f t="shared" si="372"/>
        <v>00</v>
      </c>
      <c r="J2018" s="26" t="str">
        <f>"32 "</f>
        <v xml:space="preserve">32 </v>
      </c>
      <c r="K2018" s="26" t="str">
        <f>"EP"</f>
        <v>EP</v>
      </c>
      <c r="L2018" s="26" t="str">
        <f>"DGOSE"</f>
        <v>DGOSE</v>
      </c>
      <c r="M2018" s="26" t="str">
        <f t="shared" si="370"/>
        <v>PARTICULAR</v>
      </c>
      <c r="N2018" s="26">
        <v>55</v>
      </c>
      <c r="O2018" s="26">
        <v>28</v>
      </c>
      <c r="P2018" s="26">
        <v>27</v>
      </c>
      <c r="Q2018" s="26">
        <v>3</v>
      </c>
      <c r="R2018" s="26">
        <v>1</v>
      </c>
      <c r="S2018" s="26">
        <v>3</v>
      </c>
      <c r="T2018" s="26">
        <v>7</v>
      </c>
      <c r="U2018" s="26">
        <v>11</v>
      </c>
      <c r="V2018" s="26">
        <v>1</v>
      </c>
      <c r="W2018" s="26"/>
    </row>
    <row r="2019" spans="1:23" x14ac:dyDescent="0.25">
      <c r="A2019" s="26" t="str">
        <f t="shared" si="371"/>
        <v>PREESCOLAR</v>
      </c>
      <c r="B2019" s="26" t="str">
        <f>"09PJN4073W"</f>
        <v>09PJN4073W</v>
      </c>
      <c r="C2019" s="26" t="str">
        <f>"INSTITUTO GARCIA                                                                                    "</f>
        <v xml:space="preserve">INSTITUTO GARCIA                                                                                    </v>
      </c>
      <c r="D2019" s="26" t="str">
        <f t="shared" si="378"/>
        <v>MATUTINO</v>
      </c>
      <c r="E2019" s="26" t="str">
        <f>"CALLE 11 MZ. 52 LT. 18                                                          "</f>
        <v xml:space="preserve">CALLE 11 MZ. 52 LT. 18                                                          </v>
      </c>
      <c r="F2019" s="26" t="str">
        <f>"JOSE LOPEZ PORTILLO                                                                                                                         "</f>
        <v xml:space="preserve">JOSE LOPEZ PORTILLO                                                                                                                         </v>
      </c>
      <c r="G2019" s="26" t="str">
        <f>"IZTAPALAPA                                                                      "</f>
        <v xml:space="preserve">IZTAPALAPA                                                                      </v>
      </c>
      <c r="H2019" s="26" t="str">
        <f>"000"</f>
        <v>000</v>
      </c>
      <c r="I2019" s="26" t="str">
        <f t="shared" si="372"/>
        <v>00</v>
      </c>
      <c r="J2019" s="26" t="str">
        <f>"63 "</f>
        <v xml:space="preserve">63 </v>
      </c>
      <c r="K2019" s="26" t="str">
        <f>"IZ"</f>
        <v>IZ</v>
      </c>
      <c r="L2019" s="26" t="str">
        <f>"DGSEI"</f>
        <v>DGSEI</v>
      </c>
      <c r="M2019" s="26" t="str">
        <f t="shared" si="370"/>
        <v>PARTICULAR</v>
      </c>
      <c r="N2019" s="26">
        <v>40</v>
      </c>
      <c r="O2019" s="26">
        <v>20</v>
      </c>
      <c r="P2019" s="26">
        <v>20</v>
      </c>
      <c r="Q2019" s="26">
        <v>3</v>
      </c>
      <c r="R2019" s="26">
        <v>1</v>
      </c>
      <c r="S2019" s="26">
        <v>3</v>
      </c>
      <c r="T2019" s="26">
        <v>0</v>
      </c>
      <c r="U2019" s="26">
        <v>4</v>
      </c>
      <c r="V2019" s="26">
        <v>1</v>
      </c>
      <c r="W2019" s="26"/>
    </row>
    <row r="2020" spans="1:23" x14ac:dyDescent="0.25">
      <c r="A2020" s="26" t="str">
        <f t="shared" si="371"/>
        <v>PREESCOLAR</v>
      </c>
      <c r="B2020" s="26" t="str">
        <f>"09PJN4083C"</f>
        <v>09PJN4083C</v>
      </c>
      <c r="C2020" s="26" t="str">
        <f>"DABREIS                                                                                             "</f>
        <v xml:space="preserve">DABREIS                                                                                             </v>
      </c>
      <c r="D2020" s="26" t="str">
        <f t="shared" si="378"/>
        <v>MATUTINO</v>
      </c>
      <c r="E2020" s="26" t="str">
        <f>"ANTONIO RIVAS M. NO. 150 (ANT.ADOLFO H.)                                        "</f>
        <v xml:space="preserve">ANTONIO RIVAS M. NO. 150 (ANT.ADOLFO H.)                                        </v>
      </c>
      <c r="F2020" s="26" t="str">
        <f>"MIGUEL HIDALGO AMPLIACION                                                                                                                   "</f>
        <v xml:space="preserve">MIGUEL HIDALGO AMPLIACION                                                                                                                   </v>
      </c>
      <c r="G2020" s="26" t="str">
        <f>"TLALPAN                                                                         "</f>
        <v xml:space="preserve">TLALPAN                                                                         </v>
      </c>
      <c r="H2020" s="26" t="str">
        <f>"225"</f>
        <v>225</v>
      </c>
      <c r="I2020" s="26" t="str">
        <f t="shared" si="372"/>
        <v>00</v>
      </c>
      <c r="J2020" s="26" t="str">
        <f>"35 "</f>
        <v xml:space="preserve">35 </v>
      </c>
      <c r="K2020" s="26" t="str">
        <f>"EP"</f>
        <v>EP</v>
      </c>
      <c r="L2020" s="26" t="str">
        <f>"DGOSE"</f>
        <v>DGOSE</v>
      </c>
      <c r="M2020" s="26" t="str">
        <f t="shared" si="370"/>
        <v>PARTICULAR</v>
      </c>
      <c r="N2020" s="26">
        <v>41</v>
      </c>
      <c r="O2020" s="26">
        <v>26</v>
      </c>
      <c r="P2020" s="26">
        <v>15</v>
      </c>
      <c r="Q2020" s="26">
        <v>3</v>
      </c>
      <c r="R2020" s="26">
        <v>1</v>
      </c>
      <c r="S2020" s="26">
        <v>2</v>
      </c>
      <c r="T2020" s="26">
        <v>5</v>
      </c>
      <c r="U2020" s="26">
        <v>8</v>
      </c>
      <c r="V2020" s="26">
        <v>1</v>
      </c>
      <c r="W2020" s="26"/>
    </row>
    <row r="2021" spans="1:23" x14ac:dyDescent="0.25">
      <c r="A2021" s="26" t="str">
        <f t="shared" si="371"/>
        <v>PREESCOLAR</v>
      </c>
      <c r="B2021" s="26" t="str">
        <f>"09PJN4087Z"</f>
        <v>09PJN4087Z</v>
      </c>
      <c r="C2021" s="26" t="str">
        <f>"DANIELI                                                                                             "</f>
        <v xml:space="preserve">DANIELI                                                                                             </v>
      </c>
      <c r="D2021" s="26" t="str">
        <f t="shared" si="378"/>
        <v>MATUTINO</v>
      </c>
      <c r="E2021" s="26" t="str">
        <f>"CALZ. IGNACIO ZARAGOZA MZ. 122 LT. 16                                           "</f>
        <v xml:space="preserve">CALZ. IGNACIO ZARAGOZA MZ. 122 LT. 16                                           </v>
      </c>
      <c r="F2021" s="26" t="str">
        <f>"SANTA MARTHA ACATITLA AMPLIACION                                                                                                            "</f>
        <v xml:space="preserve">SANTA MARTHA ACATITLA AMPLIACION                                                                                                            </v>
      </c>
      <c r="G2021" s="26" t="str">
        <f>"IZTAPALAPA                                                                      "</f>
        <v xml:space="preserve">IZTAPALAPA                                                                      </v>
      </c>
      <c r="H2021" s="26" t="str">
        <f>"000"</f>
        <v>000</v>
      </c>
      <c r="I2021" s="26" t="str">
        <f t="shared" si="372"/>
        <v>00</v>
      </c>
      <c r="J2021" s="26" t="str">
        <f>"62 "</f>
        <v xml:space="preserve">62 </v>
      </c>
      <c r="K2021" s="26" t="str">
        <f>"IZ"</f>
        <v>IZ</v>
      </c>
      <c r="L2021" s="26" t="str">
        <f>"DGSEI"</f>
        <v>DGSEI</v>
      </c>
      <c r="M2021" s="26" t="str">
        <f t="shared" si="370"/>
        <v>PARTICULAR</v>
      </c>
      <c r="N2021" s="26">
        <v>21</v>
      </c>
      <c r="O2021" s="26">
        <v>14</v>
      </c>
      <c r="P2021" s="26">
        <v>7</v>
      </c>
      <c r="Q2021" s="26">
        <v>3</v>
      </c>
      <c r="R2021" s="26">
        <v>1</v>
      </c>
      <c r="S2021" s="26">
        <v>1</v>
      </c>
      <c r="T2021" s="26">
        <v>9</v>
      </c>
      <c r="U2021" s="26">
        <v>11</v>
      </c>
      <c r="V2021" s="26">
        <v>1</v>
      </c>
      <c r="W2021" s="26"/>
    </row>
    <row r="2022" spans="1:23" x14ac:dyDescent="0.25">
      <c r="A2022" s="26" t="str">
        <f t="shared" si="371"/>
        <v>PREESCOLAR</v>
      </c>
      <c r="B2022" s="26" t="str">
        <f>"09PJN4090M"</f>
        <v>09PJN4090M</v>
      </c>
      <c r="C2022" s="26" t="str">
        <f>"INSTITUTO EDIMBURGO                                                                                 "</f>
        <v xml:space="preserve">INSTITUTO EDIMBURGO                                                                                 </v>
      </c>
      <c r="D2022" s="26" t="str">
        <f t="shared" si="378"/>
        <v>MATUTINO</v>
      </c>
      <c r="E2022" s="26" t="str">
        <f>"NORTE 81  NO.  231                                                              "</f>
        <v xml:space="preserve">NORTE 81  NO.  231                                                              </v>
      </c>
      <c r="F2022" s="26" t="str">
        <f>"CLAVERIA                                                                                                                                    "</f>
        <v xml:space="preserve">CLAVERIA                                                                                                                                    </v>
      </c>
      <c r="G2022" s="26" t="str">
        <f>"AZCAPOTZALCO                                                                    "</f>
        <v xml:space="preserve">AZCAPOTZALCO                                                                    </v>
      </c>
      <c r="H2022" s="26" t="str">
        <f>"177"</f>
        <v>177</v>
      </c>
      <c r="I2022" s="26" t="str">
        <f t="shared" si="372"/>
        <v>00</v>
      </c>
      <c r="J2022" s="26" t="str">
        <f>"32 "</f>
        <v xml:space="preserve">32 </v>
      </c>
      <c r="K2022" s="26" t="str">
        <f>"EP"</f>
        <v>EP</v>
      </c>
      <c r="L2022" s="26" t="str">
        <f>"DGOSE"</f>
        <v>DGOSE</v>
      </c>
      <c r="M2022" s="26" t="str">
        <f t="shared" si="370"/>
        <v>PARTICULAR</v>
      </c>
      <c r="N2022" s="26">
        <v>18</v>
      </c>
      <c r="O2022" s="26">
        <v>10</v>
      </c>
      <c r="P2022" s="26">
        <v>8</v>
      </c>
      <c r="Q2022" s="26">
        <v>3</v>
      </c>
      <c r="R2022" s="26">
        <v>1</v>
      </c>
      <c r="S2022" s="26">
        <v>3</v>
      </c>
      <c r="T2022" s="26">
        <v>0</v>
      </c>
      <c r="U2022" s="26">
        <v>4</v>
      </c>
      <c r="V2022" s="26">
        <v>1</v>
      </c>
      <c r="W2022" s="26"/>
    </row>
    <row r="2023" spans="1:23" x14ac:dyDescent="0.25">
      <c r="A2023" s="26" t="str">
        <f t="shared" si="371"/>
        <v>PREESCOLAR</v>
      </c>
      <c r="B2023" s="26" t="str">
        <f>"09PJN4096G"</f>
        <v>09PJN4096G</v>
      </c>
      <c r="C2023" s="26" t="str">
        <f>"KINDER BRISOL                                                                                       "</f>
        <v xml:space="preserve">KINDER BRISOL                                                                                       </v>
      </c>
      <c r="D2023" s="26" t="str">
        <f t="shared" si="378"/>
        <v>MATUTINO</v>
      </c>
      <c r="E2023" s="26" t="str">
        <f>"ISABEL LA CATOLICA NO. 799                                                      "</f>
        <v xml:space="preserve">ISABEL LA CATOLICA NO. 799                                                      </v>
      </c>
      <c r="F2023" s="26" t="str">
        <f>"ALAMOS                                                                                                                                      "</f>
        <v xml:space="preserve">ALAMOS                                                                                                                                      </v>
      </c>
      <c r="G2023" s="26" t="str">
        <f>"BENITO JUAREZ                                                                   "</f>
        <v xml:space="preserve">BENITO JUAREZ                                                                   </v>
      </c>
      <c r="H2023" s="26" t="str">
        <f>"230"</f>
        <v>230</v>
      </c>
      <c r="I2023" s="26" t="str">
        <f t="shared" si="372"/>
        <v>00</v>
      </c>
      <c r="J2023" s="26" t="str">
        <f>"33 "</f>
        <v xml:space="preserve">33 </v>
      </c>
      <c r="K2023" s="26" t="str">
        <f>"EP"</f>
        <v>EP</v>
      </c>
      <c r="L2023" s="26" t="str">
        <f>"DGOSE"</f>
        <v>DGOSE</v>
      </c>
      <c r="M2023" s="26" t="str">
        <f t="shared" si="370"/>
        <v>PARTICULAR</v>
      </c>
      <c r="N2023" s="26">
        <v>70</v>
      </c>
      <c r="O2023" s="26">
        <v>34</v>
      </c>
      <c r="P2023" s="26">
        <v>36</v>
      </c>
      <c r="Q2023" s="26">
        <v>5</v>
      </c>
      <c r="R2023" s="26">
        <v>1</v>
      </c>
      <c r="S2023" s="26">
        <v>5</v>
      </c>
      <c r="T2023" s="26">
        <v>7</v>
      </c>
      <c r="U2023" s="26">
        <v>13</v>
      </c>
      <c r="V2023" s="26">
        <v>1</v>
      </c>
      <c r="W2023" s="26"/>
    </row>
    <row r="2024" spans="1:23" x14ac:dyDescent="0.25">
      <c r="A2024" s="26" t="str">
        <f t="shared" si="371"/>
        <v>PREESCOLAR</v>
      </c>
      <c r="B2024" s="26" t="str">
        <f>"09PJN4108V"</f>
        <v>09PJN4108V</v>
      </c>
      <c r="C2024" s="26" t="str">
        <f>"EL MUNDO DEL SABER                                                                                  "</f>
        <v xml:space="preserve">EL MUNDO DEL SABER                                                                                  </v>
      </c>
      <c r="D2024" s="26" t="str">
        <f t="shared" si="378"/>
        <v>MATUTINO</v>
      </c>
      <c r="E2024" s="26" t="str">
        <f>"3A. CERRADA DE PROVIDENCIA MAZ. 8 LT.3                                          "</f>
        <v xml:space="preserve">3A. CERRADA DE PROVIDENCIA MAZ. 8 LT.3                                          </v>
      </c>
      <c r="F2024" s="26" t="str">
        <f>"LAS ARBOLEDAS                                                                                                                               "</f>
        <v xml:space="preserve">LAS ARBOLEDAS                                                                                                                               </v>
      </c>
      <c r="G2024" s="26" t="str">
        <f>"TLAHUAC                                                                         "</f>
        <v xml:space="preserve">TLAHUAC                                                                         </v>
      </c>
      <c r="H2024" s="26" t="str">
        <f>"244"</f>
        <v>244</v>
      </c>
      <c r="I2024" s="26" t="str">
        <f t="shared" si="372"/>
        <v>00</v>
      </c>
      <c r="J2024" s="26" t="str">
        <f>"35 "</f>
        <v xml:space="preserve">35 </v>
      </c>
      <c r="K2024" s="26" t="str">
        <f>"EP"</f>
        <v>EP</v>
      </c>
      <c r="L2024" s="26" t="str">
        <f>"DGOSE"</f>
        <v>DGOSE</v>
      </c>
      <c r="M2024" s="26" t="str">
        <f t="shared" si="370"/>
        <v>PARTICULAR</v>
      </c>
      <c r="N2024" s="26">
        <v>24</v>
      </c>
      <c r="O2024" s="26">
        <v>8</v>
      </c>
      <c r="P2024" s="26">
        <v>16</v>
      </c>
      <c r="Q2024" s="26">
        <v>3</v>
      </c>
      <c r="R2024" s="26">
        <v>1</v>
      </c>
      <c r="S2024" s="26">
        <v>3</v>
      </c>
      <c r="T2024" s="26">
        <v>2</v>
      </c>
      <c r="U2024" s="26">
        <v>6</v>
      </c>
      <c r="V2024" s="26">
        <v>1</v>
      </c>
      <c r="W2024" s="26"/>
    </row>
    <row r="2025" spans="1:23" x14ac:dyDescent="0.25">
      <c r="A2025" s="26" t="str">
        <f t="shared" si="371"/>
        <v>PREESCOLAR</v>
      </c>
      <c r="B2025" s="26" t="str">
        <f>"09PJN4109U"</f>
        <v>09PJN4109U</v>
      </c>
      <c r="C2025" s="26" t="str">
        <f>"EUGENIO DE MAZENOD                                                                                  "</f>
        <v xml:space="preserve">EUGENIO DE MAZENOD                                                                                  </v>
      </c>
      <c r="D2025" s="26" t="str">
        <f t="shared" si="378"/>
        <v>MATUTINO</v>
      </c>
      <c r="E2025" s="26" t="str">
        <f>"AV. TAMAULIPAS NO. 24O                                                          "</f>
        <v xml:space="preserve">AV. TAMAULIPAS NO. 24O                                                          </v>
      </c>
      <c r="F2025" s="26" t="str">
        <f>"CLUB DE GOLF PRADOS DE LA MONTAÑA                                                                                                           "</f>
        <v xml:space="preserve">CLUB DE GOLF PRADOS DE LA MONTAÑA                                                                                                           </v>
      </c>
      <c r="G2025" s="26" t="str">
        <f>"CUAJIMALPA DE MORELOS                                                           "</f>
        <v xml:space="preserve">CUAJIMALPA DE MORELOS                                                           </v>
      </c>
      <c r="H2025" s="26" t="str">
        <f>"213"</f>
        <v>213</v>
      </c>
      <c r="I2025" s="26" t="str">
        <f t="shared" si="372"/>
        <v>00</v>
      </c>
      <c r="J2025" s="26" t="str">
        <f>"33 "</f>
        <v xml:space="preserve">33 </v>
      </c>
      <c r="K2025" s="26" t="str">
        <f>"EP"</f>
        <v>EP</v>
      </c>
      <c r="L2025" s="26" t="str">
        <f>"DGOSE"</f>
        <v>DGOSE</v>
      </c>
      <c r="M2025" s="26" t="str">
        <f t="shared" si="370"/>
        <v>PARTICULAR</v>
      </c>
      <c r="N2025" s="26">
        <v>76</v>
      </c>
      <c r="O2025" s="26">
        <v>37</v>
      </c>
      <c r="P2025" s="26">
        <v>39</v>
      </c>
      <c r="Q2025" s="26">
        <v>4</v>
      </c>
      <c r="R2025" s="26">
        <v>1</v>
      </c>
      <c r="S2025" s="26">
        <v>4</v>
      </c>
      <c r="T2025" s="26">
        <v>2</v>
      </c>
      <c r="U2025" s="26">
        <v>7</v>
      </c>
      <c r="V2025" s="26">
        <v>1</v>
      </c>
      <c r="W2025" s="26"/>
    </row>
    <row r="2026" spans="1:23" x14ac:dyDescent="0.25">
      <c r="A2026" s="26" t="str">
        <f t="shared" si="371"/>
        <v>PREESCOLAR</v>
      </c>
      <c r="B2026" s="26" t="str">
        <f>"09PJN4112H"</f>
        <v>09PJN4112H</v>
      </c>
      <c r="C2026" s="26" t="str">
        <f>"HEROES DE LA INDEPENDENCIA                                                                          "</f>
        <v xml:space="preserve">HEROES DE LA INDEPENDENCIA                                                                          </v>
      </c>
      <c r="D2026" s="26" t="str">
        <f t="shared" si="378"/>
        <v>MATUTINO</v>
      </c>
      <c r="E2026" s="26" t="str">
        <f>"ILHUICAMINA MZ. 8 LT. 12                                                        "</f>
        <v xml:space="preserve">ILHUICAMINA MZ. 8 LT. 12                                                        </v>
      </c>
      <c r="F2026" s="26" t="str">
        <f>"PARAISO                                                                                                                                     "</f>
        <v xml:space="preserve">PARAISO                                                                                                                                     </v>
      </c>
      <c r="G2026" s="26" t="str">
        <f>"IZTAPALAPA                                                                      "</f>
        <v xml:space="preserve">IZTAPALAPA                                                                      </v>
      </c>
      <c r="H2026" s="26" t="str">
        <f>"000"</f>
        <v>000</v>
      </c>
      <c r="I2026" s="26" t="str">
        <f t="shared" si="372"/>
        <v>00</v>
      </c>
      <c r="J2026" s="26" t="str">
        <f>"62 "</f>
        <v xml:space="preserve">62 </v>
      </c>
      <c r="K2026" s="26" t="str">
        <f>"IZ"</f>
        <v>IZ</v>
      </c>
      <c r="L2026" s="26" t="str">
        <f>"DGSEI"</f>
        <v>DGSEI</v>
      </c>
      <c r="M2026" s="26" t="str">
        <f t="shared" si="370"/>
        <v>PARTICULAR</v>
      </c>
      <c r="N2026" s="26">
        <v>45</v>
      </c>
      <c r="O2026" s="26">
        <v>19</v>
      </c>
      <c r="P2026" s="26">
        <v>26</v>
      </c>
      <c r="Q2026" s="26">
        <v>3</v>
      </c>
      <c r="R2026" s="26">
        <v>1</v>
      </c>
      <c r="S2026" s="26">
        <v>2</v>
      </c>
      <c r="T2026" s="26">
        <v>6</v>
      </c>
      <c r="U2026" s="26">
        <v>9</v>
      </c>
      <c r="V2026" s="26">
        <v>1</v>
      </c>
      <c r="W2026" s="26"/>
    </row>
    <row r="2027" spans="1:23" x14ac:dyDescent="0.25">
      <c r="A2027" s="26" t="str">
        <f t="shared" si="371"/>
        <v>PREESCOLAR</v>
      </c>
      <c r="B2027" s="26" t="str">
        <f>"09PJN4114F"</f>
        <v>09PJN4114F</v>
      </c>
      <c r="C2027" s="26" t="str">
        <f>"CENTRO ESCOLAR NUEVA GENERACION                                                                     "</f>
        <v xml:space="preserve">CENTRO ESCOLAR NUEVA GENERACION                                                                     </v>
      </c>
      <c r="D2027" s="26" t="str">
        <f t="shared" si="378"/>
        <v>MATUTINO</v>
      </c>
      <c r="E2027" s="26" t="str">
        <f>"SANTO TOMAS NO. 215                                                             "</f>
        <v xml:space="preserve">SANTO TOMAS NO. 215                                                             </v>
      </c>
      <c r="F2027" s="26" t="str">
        <f>"SANTA URSULA COAPA                                                                                                                          "</f>
        <v xml:space="preserve">SANTA URSULA COAPA                                                                                                                          </v>
      </c>
      <c r="G2027" s="26" t="str">
        <f>"COYOACAN                                                                        "</f>
        <v xml:space="preserve">COYOACAN                                                                        </v>
      </c>
      <c r="H2027" s="26" t="str">
        <f>"077"</f>
        <v>077</v>
      </c>
      <c r="I2027" s="26" t="str">
        <f t="shared" si="372"/>
        <v>00</v>
      </c>
      <c r="J2027" s="26" t="str">
        <f>"35 "</f>
        <v xml:space="preserve">35 </v>
      </c>
      <c r="K2027" s="26" t="str">
        <f>"EP"</f>
        <v>EP</v>
      </c>
      <c r="L2027" s="26" t="str">
        <f t="shared" ref="L2027:L2040" si="379">"DGOSE"</f>
        <v>DGOSE</v>
      </c>
      <c r="M2027" s="26" t="str">
        <f t="shared" si="370"/>
        <v>PARTICULAR</v>
      </c>
      <c r="N2027" s="26">
        <v>31</v>
      </c>
      <c r="O2027" s="26">
        <v>14</v>
      </c>
      <c r="P2027" s="26">
        <v>17</v>
      </c>
      <c r="Q2027" s="26">
        <v>3</v>
      </c>
      <c r="R2027" s="26">
        <v>1</v>
      </c>
      <c r="S2027" s="26">
        <v>3</v>
      </c>
      <c r="T2027" s="26">
        <v>4</v>
      </c>
      <c r="U2027" s="26">
        <v>8</v>
      </c>
      <c r="V2027" s="26">
        <v>1</v>
      </c>
      <c r="W2027" s="26"/>
    </row>
    <row r="2028" spans="1:23" x14ac:dyDescent="0.25">
      <c r="A2028" s="26" t="str">
        <f t="shared" si="371"/>
        <v>PREESCOLAR</v>
      </c>
      <c r="B2028" s="26" t="str">
        <f>"09PJN4116D"</f>
        <v>09PJN4116D</v>
      </c>
      <c r="C2028" s="26" t="str">
        <f>"MUNDO FELIZ                                                                                         "</f>
        <v xml:space="preserve">MUNDO FELIZ                                                                                         </v>
      </c>
      <c r="D2028" s="26" t="str">
        <f t="shared" si="378"/>
        <v>MATUTINO</v>
      </c>
      <c r="E2028" s="26" t="str">
        <f>"AZTECAS NO. 623                                                                 "</f>
        <v xml:space="preserve">AZTECAS NO. 623                                                                 </v>
      </c>
      <c r="F2028" s="26" t="str">
        <f>"AJUSCO                                                                                                                                      "</f>
        <v xml:space="preserve">AJUSCO                                                                                                                                      </v>
      </c>
      <c r="G2028" s="26" t="str">
        <f>"COYOACAN                                                                        "</f>
        <v xml:space="preserve">COYOACAN                                                                        </v>
      </c>
      <c r="H2028" s="26" t="str">
        <f>"077"</f>
        <v>077</v>
      </c>
      <c r="I2028" s="26" t="str">
        <f t="shared" si="372"/>
        <v>00</v>
      </c>
      <c r="J2028" s="26" t="str">
        <f>"35 "</f>
        <v xml:space="preserve">35 </v>
      </c>
      <c r="K2028" s="26" t="str">
        <f>"NP"</f>
        <v>NP</v>
      </c>
      <c r="L2028" s="26" t="str">
        <f t="shared" si="379"/>
        <v>DGOSE</v>
      </c>
      <c r="M2028" s="26" t="str">
        <f t="shared" si="370"/>
        <v>PARTICULAR</v>
      </c>
      <c r="N2028" s="26">
        <v>52</v>
      </c>
      <c r="O2028" s="26">
        <v>27</v>
      </c>
      <c r="P2028" s="26">
        <v>25</v>
      </c>
      <c r="Q2028" s="26">
        <v>3</v>
      </c>
      <c r="R2028" s="26">
        <v>1</v>
      </c>
      <c r="S2028" s="26">
        <v>3</v>
      </c>
      <c r="T2028" s="26">
        <v>0</v>
      </c>
      <c r="U2028" s="26">
        <v>4</v>
      </c>
      <c r="V2028" s="26">
        <v>1</v>
      </c>
      <c r="W2028" s="26"/>
    </row>
    <row r="2029" spans="1:23" x14ac:dyDescent="0.25">
      <c r="A2029" s="26" t="str">
        <f t="shared" si="371"/>
        <v>PREESCOLAR</v>
      </c>
      <c r="B2029" s="26" t="str">
        <f>"09PJN4118B"</f>
        <v>09PJN4118B</v>
      </c>
      <c r="C2029" s="26" t="str">
        <f>"KINDER DISNEY WORLD                                                                                 "</f>
        <v xml:space="preserve">KINDER DISNEY WORLD                                                                                 </v>
      </c>
      <c r="D2029" s="26" t="str">
        <f t="shared" si="378"/>
        <v>MATUTINO</v>
      </c>
      <c r="E2029" s="26" t="str">
        <f>"CAMPO HORCON NO. 153                                                            "</f>
        <v xml:space="preserve">CAMPO HORCON NO. 153                                                            </v>
      </c>
      <c r="F2029" s="26" t="str">
        <f>"REYNOSA TAMAULIPAS                                                                                                                          "</f>
        <v xml:space="preserve">REYNOSA TAMAULIPAS                                                                                                                          </v>
      </c>
      <c r="G2029" s="26" t="str">
        <f>"AZCAPOTZALCO                                                                    "</f>
        <v xml:space="preserve">AZCAPOTZALCO                                                                    </v>
      </c>
      <c r="H2029" s="26" t="str">
        <f>"056"</f>
        <v>056</v>
      </c>
      <c r="I2029" s="26" t="str">
        <f t="shared" si="372"/>
        <v>00</v>
      </c>
      <c r="J2029" s="26" t="str">
        <f>"32 "</f>
        <v xml:space="preserve">32 </v>
      </c>
      <c r="K2029" s="26" t="str">
        <f t="shared" ref="K2029:K2040" si="380">"EP"</f>
        <v>EP</v>
      </c>
      <c r="L2029" s="26" t="str">
        <f t="shared" si="379"/>
        <v>DGOSE</v>
      </c>
      <c r="M2029" s="26" t="str">
        <f t="shared" si="370"/>
        <v>PARTICULAR</v>
      </c>
      <c r="N2029" s="26">
        <v>8</v>
      </c>
      <c r="O2029" s="26">
        <v>5</v>
      </c>
      <c r="P2029" s="26">
        <v>3</v>
      </c>
      <c r="Q2029" s="26">
        <v>2</v>
      </c>
      <c r="R2029" s="26">
        <v>1</v>
      </c>
      <c r="S2029" s="26">
        <v>2</v>
      </c>
      <c r="T2029" s="26">
        <v>2</v>
      </c>
      <c r="U2029" s="26">
        <v>5</v>
      </c>
      <c r="V2029" s="26">
        <v>1</v>
      </c>
      <c r="W2029" s="26"/>
    </row>
    <row r="2030" spans="1:23" x14ac:dyDescent="0.25">
      <c r="A2030" s="26" t="str">
        <f t="shared" si="371"/>
        <v>PREESCOLAR</v>
      </c>
      <c r="B2030" s="26" t="str">
        <f>"09PJN4120Q"</f>
        <v>09PJN4120Q</v>
      </c>
      <c r="C2030" s="26" t="str">
        <f>"JARDÍN DE NIÑOS BRITANIA                                                                            "</f>
        <v xml:space="preserve">JARDÍN DE NIÑOS BRITANIA                                                                            </v>
      </c>
      <c r="D2030" s="26" t="str">
        <f t="shared" si="378"/>
        <v>MATUTINO</v>
      </c>
      <c r="E2030" s="26" t="str">
        <f>"AMUSGOS #91                                                                     "</f>
        <v xml:space="preserve">AMUSGOS #91                                                                     </v>
      </c>
      <c r="F2030" s="26" t="str">
        <f>"TEZOZOMOC                                                                                                                                   "</f>
        <v xml:space="preserve">TEZOZOMOC                                                                                                                                   </v>
      </c>
      <c r="G2030" s="26" t="str">
        <f>"AZCAPOTZALCO                                                                    "</f>
        <v xml:space="preserve">AZCAPOTZALCO                                                                    </v>
      </c>
      <c r="H2030" s="26" t="str">
        <f>"056"</f>
        <v>056</v>
      </c>
      <c r="I2030" s="26" t="str">
        <f t="shared" si="372"/>
        <v>00</v>
      </c>
      <c r="J2030" s="26" t="str">
        <f>"32 "</f>
        <v xml:space="preserve">32 </v>
      </c>
      <c r="K2030" s="26" t="str">
        <f t="shared" si="380"/>
        <v>EP</v>
      </c>
      <c r="L2030" s="26" t="str">
        <f t="shared" si="379"/>
        <v>DGOSE</v>
      </c>
      <c r="M2030" s="26" t="str">
        <f t="shared" si="370"/>
        <v>PARTICULAR</v>
      </c>
      <c r="N2030" s="26">
        <v>50</v>
      </c>
      <c r="O2030" s="26">
        <v>23</v>
      </c>
      <c r="P2030" s="26">
        <v>27</v>
      </c>
      <c r="Q2030" s="26">
        <v>3</v>
      </c>
      <c r="R2030" s="26">
        <v>1</v>
      </c>
      <c r="S2030" s="26">
        <v>3</v>
      </c>
      <c r="T2030" s="26">
        <v>5</v>
      </c>
      <c r="U2030" s="26">
        <v>9</v>
      </c>
      <c r="V2030" s="26">
        <v>1</v>
      </c>
      <c r="W2030" s="26"/>
    </row>
    <row r="2031" spans="1:23" x14ac:dyDescent="0.25">
      <c r="A2031" s="26" t="str">
        <f t="shared" si="371"/>
        <v>PREESCOLAR</v>
      </c>
      <c r="B2031" s="26" t="str">
        <f>"09PJN4123N"</f>
        <v>09PJN4123N</v>
      </c>
      <c r="C2031" s="26" t="str">
        <f>"COLEGIO NUEVA ESCOCIA                                                                               "</f>
        <v xml:space="preserve">COLEGIO NUEVA ESCOCIA                                                                               </v>
      </c>
      <c r="D2031" s="26" t="str">
        <f t="shared" si="378"/>
        <v>MATUTINO</v>
      </c>
      <c r="E2031" s="26" t="str">
        <f>"MIGUEL OCARANZA NO. 121                                                         "</f>
        <v xml:space="preserve">MIGUEL OCARANZA NO. 121                                                         </v>
      </c>
      <c r="F2031" s="26" t="str">
        <f>"MERCED GOMEZ                                                                                                                                "</f>
        <v xml:space="preserve">MERCED GOMEZ                                                                                                                                </v>
      </c>
      <c r="G2031" s="26" t="str">
        <f>"ALVARO OBREGON                                                                  "</f>
        <v xml:space="preserve">ALVARO OBREGON                                                                  </v>
      </c>
      <c r="H2031" s="26" t="str">
        <f>"218"</f>
        <v>218</v>
      </c>
      <c r="I2031" s="26" t="str">
        <f t="shared" si="372"/>
        <v>00</v>
      </c>
      <c r="J2031" s="26" t="str">
        <f t="shared" ref="J2031:J2036" si="381">"33 "</f>
        <v xml:space="preserve">33 </v>
      </c>
      <c r="K2031" s="26" t="str">
        <f t="shared" si="380"/>
        <v>EP</v>
      </c>
      <c r="L2031" s="26" t="str">
        <f t="shared" si="379"/>
        <v>DGOSE</v>
      </c>
      <c r="M2031" s="26" t="str">
        <f t="shared" si="370"/>
        <v>PARTICULAR</v>
      </c>
      <c r="N2031" s="26">
        <v>37</v>
      </c>
      <c r="O2031" s="26">
        <v>19</v>
      </c>
      <c r="P2031" s="26">
        <v>18</v>
      </c>
      <c r="Q2031" s="26">
        <v>3</v>
      </c>
      <c r="R2031" s="26">
        <v>1</v>
      </c>
      <c r="S2031" s="26">
        <v>3</v>
      </c>
      <c r="T2031" s="26">
        <v>6</v>
      </c>
      <c r="U2031" s="26">
        <v>10</v>
      </c>
      <c r="V2031" s="26">
        <v>1</v>
      </c>
      <c r="W2031" s="26"/>
    </row>
    <row r="2032" spans="1:23" x14ac:dyDescent="0.25">
      <c r="A2032" s="26" t="str">
        <f t="shared" si="371"/>
        <v>PREESCOLAR</v>
      </c>
      <c r="B2032" s="26" t="str">
        <f>"09PJN4124M"</f>
        <v>09PJN4124M</v>
      </c>
      <c r="C2032" s="26" t="str">
        <f>"COLEGIO MONTEVERDE                                                                                  "</f>
        <v xml:space="preserve">COLEGIO MONTEVERDE                                                                                  </v>
      </c>
      <c r="D2032" s="26" t="str">
        <f t="shared" si="378"/>
        <v>MATUTINO</v>
      </c>
      <c r="E2032" s="26" t="str">
        <f>"AV. SANTA LUCIA NO. 260                                                         "</f>
        <v xml:space="preserve">AV. SANTA LUCIA NO. 260                                                         </v>
      </c>
      <c r="F2032" s="26" t="str">
        <f>"CLUB DE GOLF PRADOS DE LA MONTAÑA                                                                                                           "</f>
        <v xml:space="preserve">CLUB DE GOLF PRADOS DE LA MONTAÑA                                                                                                           </v>
      </c>
      <c r="G2032" s="26" t="str">
        <f>"CUAJIMALPA DE MORELOS                                                           "</f>
        <v xml:space="preserve">CUAJIMALPA DE MORELOS                                                           </v>
      </c>
      <c r="H2032" s="26" t="str">
        <f>"213"</f>
        <v>213</v>
      </c>
      <c r="I2032" s="26" t="str">
        <f t="shared" si="372"/>
        <v>00</v>
      </c>
      <c r="J2032" s="26" t="str">
        <f t="shared" si="381"/>
        <v xml:space="preserve">33 </v>
      </c>
      <c r="K2032" s="26" t="str">
        <f t="shared" si="380"/>
        <v>EP</v>
      </c>
      <c r="L2032" s="26" t="str">
        <f t="shared" si="379"/>
        <v>DGOSE</v>
      </c>
      <c r="M2032" s="26" t="str">
        <f t="shared" si="370"/>
        <v>PARTICULAR</v>
      </c>
      <c r="N2032" s="26">
        <v>207</v>
      </c>
      <c r="O2032" s="26">
        <v>92</v>
      </c>
      <c r="P2032" s="26">
        <v>115</v>
      </c>
      <c r="Q2032" s="26">
        <v>12</v>
      </c>
      <c r="R2032" s="26">
        <v>1</v>
      </c>
      <c r="S2032" s="26">
        <v>12</v>
      </c>
      <c r="T2032" s="26">
        <v>16</v>
      </c>
      <c r="U2032" s="26">
        <v>29</v>
      </c>
      <c r="V2032" s="26">
        <v>1</v>
      </c>
      <c r="W2032" s="26"/>
    </row>
    <row r="2033" spans="1:23" x14ac:dyDescent="0.25">
      <c r="A2033" s="26" t="str">
        <f t="shared" si="371"/>
        <v>PREESCOLAR</v>
      </c>
      <c r="B2033" s="26" t="str">
        <f>"09PJN4125L"</f>
        <v>09PJN4125L</v>
      </c>
      <c r="C2033" s="26" t="str">
        <f>"COLEGIO PETERSON                                                                                    "</f>
        <v xml:space="preserve">COLEGIO PETERSON                                                                                    </v>
      </c>
      <c r="D2033" s="26" t="str">
        <f t="shared" si="378"/>
        <v>MATUTINO</v>
      </c>
      <c r="E2033" s="26" t="str">
        <f>"HUIZACHITO NO. 80                                                               "</f>
        <v xml:space="preserve">HUIZACHITO NO. 80                                                               </v>
      </c>
      <c r="F2033" s="26" t="str">
        <f>"LOMAS DE VISTA HERMOSA                                                                                                                      "</f>
        <v xml:space="preserve">LOMAS DE VISTA HERMOSA                                                                                                                      </v>
      </c>
      <c r="G2033" s="26" t="str">
        <f>"CUAJIMALPA DE MORELOS                                                           "</f>
        <v xml:space="preserve">CUAJIMALPA DE MORELOS                                                           </v>
      </c>
      <c r="H2033" s="26" t="str">
        <f>"212"</f>
        <v>212</v>
      </c>
      <c r="I2033" s="26" t="str">
        <f t="shared" si="372"/>
        <v>00</v>
      </c>
      <c r="J2033" s="26" t="str">
        <f t="shared" si="381"/>
        <v xml:space="preserve">33 </v>
      </c>
      <c r="K2033" s="26" t="str">
        <f t="shared" si="380"/>
        <v>EP</v>
      </c>
      <c r="L2033" s="26" t="str">
        <f t="shared" si="379"/>
        <v>DGOSE</v>
      </c>
      <c r="M2033" s="26" t="str">
        <f t="shared" si="370"/>
        <v>PARTICULAR</v>
      </c>
      <c r="N2033" s="26">
        <v>173</v>
      </c>
      <c r="O2033" s="26">
        <v>82</v>
      </c>
      <c r="P2033" s="26">
        <v>91</v>
      </c>
      <c r="Q2033" s="26">
        <v>8</v>
      </c>
      <c r="R2033" s="26">
        <v>1</v>
      </c>
      <c r="S2033" s="26">
        <v>8</v>
      </c>
      <c r="T2033" s="26">
        <v>24</v>
      </c>
      <c r="U2033" s="26">
        <v>33</v>
      </c>
      <c r="V2033" s="26">
        <v>1</v>
      </c>
      <c r="W2033" s="26"/>
    </row>
    <row r="2034" spans="1:23" x14ac:dyDescent="0.25">
      <c r="A2034" s="26" t="str">
        <f t="shared" si="371"/>
        <v>PREESCOLAR</v>
      </c>
      <c r="B2034" s="26" t="str">
        <f>"09PJN4127J"</f>
        <v>09PJN4127J</v>
      </c>
      <c r="C2034" s="26" t="str">
        <f>"COLEGIO PATRIA DE JUAREZ                                                                            "</f>
        <v xml:space="preserve">COLEGIO PATRIA DE JUAREZ                                                                            </v>
      </c>
      <c r="D2034" s="26" t="str">
        <f t="shared" si="378"/>
        <v>MATUTINO</v>
      </c>
      <c r="E2034" s="26" t="str">
        <f>"SAN FELIPE NO. 105                                                              "</f>
        <v xml:space="preserve">SAN FELIPE NO. 105                                                              </v>
      </c>
      <c r="F2034" s="26" t="str">
        <f>"XOCO                                                                                                                                        "</f>
        <v xml:space="preserve">XOCO                                                                                                                                        </v>
      </c>
      <c r="G2034" s="26" t="str">
        <f>"BENITO JUAREZ                                                                   "</f>
        <v xml:space="preserve">BENITO JUAREZ                                                                   </v>
      </c>
      <c r="H2034" s="26" t="str">
        <f>"234"</f>
        <v>234</v>
      </c>
      <c r="I2034" s="26" t="str">
        <f t="shared" si="372"/>
        <v>00</v>
      </c>
      <c r="J2034" s="26" t="str">
        <f t="shared" si="381"/>
        <v xml:space="preserve">33 </v>
      </c>
      <c r="K2034" s="26" t="str">
        <f t="shared" si="380"/>
        <v>EP</v>
      </c>
      <c r="L2034" s="26" t="str">
        <f t="shared" si="379"/>
        <v>DGOSE</v>
      </c>
      <c r="M2034" s="26" t="str">
        <f t="shared" si="370"/>
        <v>PARTICULAR</v>
      </c>
      <c r="N2034" s="26">
        <v>18</v>
      </c>
      <c r="O2034" s="26">
        <v>9</v>
      </c>
      <c r="P2034" s="26">
        <v>9</v>
      </c>
      <c r="Q2034" s="26">
        <v>3</v>
      </c>
      <c r="R2034" s="26">
        <v>1</v>
      </c>
      <c r="S2034" s="26">
        <v>2</v>
      </c>
      <c r="T2034" s="26">
        <v>3</v>
      </c>
      <c r="U2034" s="26">
        <v>6</v>
      </c>
      <c r="V2034" s="26">
        <v>1</v>
      </c>
      <c r="W2034" s="26"/>
    </row>
    <row r="2035" spans="1:23" x14ac:dyDescent="0.25">
      <c r="A2035" s="26" t="str">
        <f t="shared" si="371"/>
        <v>PREESCOLAR</v>
      </c>
      <c r="B2035" s="26" t="str">
        <f>"09PJN4130X"</f>
        <v>09PJN4130X</v>
      </c>
      <c r="C2035" s="26" t="str">
        <f>"YOLLOITTA                                                                                           "</f>
        <v xml:space="preserve">YOLLOITTA                                                                                           </v>
      </c>
      <c r="D2035" s="26" t="str">
        <f t="shared" si="378"/>
        <v>MATUTINO</v>
      </c>
      <c r="E2035" s="26" t="str">
        <f>"RETORNO 1 DE SUR 12 ""C"" NO. 46                                                  "</f>
        <v xml:space="preserve">RETORNO 1 DE SUR 12 "C" NO. 46                                                  </v>
      </c>
      <c r="F2035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2035" s="26" t="str">
        <f>"IZTACALCO                                                                       "</f>
        <v xml:space="preserve">IZTACALCO                                                                       </v>
      </c>
      <c r="H2035" s="26" t="str">
        <f>"240"</f>
        <v>240</v>
      </c>
      <c r="I2035" s="26" t="str">
        <f t="shared" si="372"/>
        <v>00</v>
      </c>
      <c r="J2035" s="26" t="str">
        <f t="shared" si="381"/>
        <v xml:space="preserve">33 </v>
      </c>
      <c r="K2035" s="26" t="str">
        <f t="shared" si="380"/>
        <v>EP</v>
      </c>
      <c r="L2035" s="26" t="str">
        <f t="shared" si="379"/>
        <v>DGOSE</v>
      </c>
      <c r="M2035" s="26" t="str">
        <f t="shared" si="370"/>
        <v>PARTICULAR</v>
      </c>
      <c r="N2035" s="26">
        <v>66</v>
      </c>
      <c r="O2035" s="26">
        <v>29</v>
      </c>
      <c r="P2035" s="26">
        <v>37</v>
      </c>
      <c r="Q2035" s="26">
        <v>3</v>
      </c>
      <c r="R2035" s="26">
        <v>1</v>
      </c>
      <c r="S2035" s="26">
        <v>3</v>
      </c>
      <c r="T2035" s="26">
        <v>3</v>
      </c>
      <c r="U2035" s="26">
        <v>7</v>
      </c>
      <c r="V2035" s="26">
        <v>1</v>
      </c>
      <c r="W2035" s="26"/>
    </row>
    <row r="2036" spans="1:23" x14ac:dyDescent="0.25">
      <c r="A2036" s="26" t="str">
        <f t="shared" si="371"/>
        <v>PREESCOLAR</v>
      </c>
      <c r="B2036" s="26" t="str">
        <f>"09PJN4131W"</f>
        <v>09PJN4131W</v>
      </c>
      <c r="C2036" s="26" t="str">
        <f>"INSTITUTO MONTESSORI LA CASA DEI BAMBINI                                                            "</f>
        <v xml:space="preserve">INSTITUTO MONTESSORI LA CASA DEI BAMBINI                                                            </v>
      </c>
      <c r="D2036" s="26" t="str">
        <f t="shared" si="378"/>
        <v>MATUTINO</v>
      </c>
      <c r="E2036" s="26" t="str">
        <f>"ORIENTE 237 NO. 120                                                             "</f>
        <v xml:space="preserve">ORIENTE 237 NO. 120                                                             </v>
      </c>
      <c r="F2036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2036" s="26" t="str">
        <f>"IZTACALCO                                                                       "</f>
        <v xml:space="preserve">IZTACALCO                                                                       </v>
      </c>
      <c r="H2036" s="26" t="str">
        <f>"236"</f>
        <v>236</v>
      </c>
      <c r="I2036" s="26" t="str">
        <f t="shared" si="372"/>
        <v>00</v>
      </c>
      <c r="J2036" s="26" t="str">
        <f t="shared" si="381"/>
        <v xml:space="preserve">33 </v>
      </c>
      <c r="K2036" s="26" t="str">
        <f t="shared" si="380"/>
        <v>EP</v>
      </c>
      <c r="L2036" s="26" t="str">
        <f t="shared" si="379"/>
        <v>DGOSE</v>
      </c>
      <c r="M2036" s="26" t="str">
        <f t="shared" si="370"/>
        <v>PARTICULAR</v>
      </c>
      <c r="N2036" s="26">
        <v>23</v>
      </c>
      <c r="O2036" s="26">
        <v>13</v>
      </c>
      <c r="P2036" s="26">
        <v>10</v>
      </c>
      <c r="Q2036" s="26">
        <v>3</v>
      </c>
      <c r="R2036" s="26">
        <v>1</v>
      </c>
      <c r="S2036" s="26">
        <v>3</v>
      </c>
      <c r="T2036" s="26">
        <v>2</v>
      </c>
      <c r="U2036" s="26">
        <v>6</v>
      </c>
      <c r="V2036" s="26">
        <v>1</v>
      </c>
      <c r="W2036" s="26"/>
    </row>
    <row r="2037" spans="1:23" x14ac:dyDescent="0.25">
      <c r="A2037" s="26" t="str">
        <f t="shared" si="371"/>
        <v>PREESCOLAR</v>
      </c>
      <c r="B2037" s="26" t="str">
        <f>"09PJN4134T"</f>
        <v>09PJN4134T</v>
      </c>
      <c r="C2037" s="26" t="str">
        <f>"JARDIN DE NIÑOS JOSE MARIA LICEAGA                                                                  "</f>
        <v xml:space="preserve">JARDIN DE NIÑOS JOSE MARIA LICEAGA                                                                  </v>
      </c>
      <c r="D2037" s="26" t="str">
        <f t="shared" si="378"/>
        <v>MATUTINO</v>
      </c>
      <c r="E2037" s="26" t="str">
        <f>"JUAN DE DIOS ARIAS NO. 51                                                       "</f>
        <v xml:space="preserve">JUAN DE DIOS ARIAS NO. 51                                                       </v>
      </c>
      <c r="F2037" s="26" t="str">
        <f>"VISTA ALEGRE                                                                                                                                "</f>
        <v xml:space="preserve">VISTA ALEGRE                                                                                                                                </v>
      </c>
      <c r="G2037" s="26" t="s">
        <v>4128</v>
      </c>
      <c r="H2037" s="26" t="str">
        <f>"022"</f>
        <v>022</v>
      </c>
      <c r="I2037" s="26" t="str">
        <f t="shared" si="372"/>
        <v>00</v>
      </c>
      <c r="J2037" s="26" t="str">
        <f>"32 "</f>
        <v xml:space="preserve">32 </v>
      </c>
      <c r="K2037" s="26" t="str">
        <f t="shared" si="380"/>
        <v>EP</v>
      </c>
      <c r="L2037" s="26" t="str">
        <f t="shared" si="379"/>
        <v>DGOSE</v>
      </c>
      <c r="M2037" s="26" t="str">
        <f t="shared" si="370"/>
        <v>PARTICULAR</v>
      </c>
      <c r="N2037" s="26">
        <v>34</v>
      </c>
      <c r="O2037" s="26">
        <v>15</v>
      </c>
      <c r="P2037" s="26">
        <v>19</v>
      </c>
      <c r="Q2037" s="26">
        <v>2</v>
      </c>
      <c r="R2037" s="26">
        <v>1</v>
      </c>
      <c r="S2037" s="26">
        <v>2</v>
      </c>
      <c r="T2037" s="26">
        <v>4</v>
      </c>
      <c r="U2037" s="26">
        <v>7</v>
      </c>
      <c r="V2037" s="26">
        <v>1</v>
      </c>
      <c r="W2037" s="26"/>
    </row>
    <row r="2038" spans="1:23" x14ac:dyDescent="0.25">
      <c r="A2038" s="26" t="str">
        <f t="shared" si="371"/>
        <v>PREESCOLAR</v>
      </c>
      <c r="B2038" s="26" t="str">
        <f>"09PJN4135S"</f>
        <v>09PJN4135S</v>
      </c>
      <c r="C2038" s="26" t="str">
        <f>"ACATONALLI                                                                                          "</f>
        <v xml:space="preserve">ACATONALLI                                                                                          </v>
      </c>
      <c r="D2038" s="26" t="str">
        <f t="shared" si="378"/>
        <v>MATUTINO</v>
      </c>
      <c r="E2038" s="26" t="str">
        <f>"GALEANA NO. 29                                                                  "</f>
        <v xml:space="preserve">GALEANA NO. 29                                                                  </v>
      </c>
      <c r="F2038" s="26" t="str">
        <f>"XALTOCAN                                                                                                                                    "</f>
        <v xml:space="preserve">XALTOCAN                                                                                                                                    </v>
      </c>
      <c r="G2038" s="26" t="str">
        <f>"XOCHIMILCO                                                                      "</f>
        <v xml:space="preserve">XOCHIMILCO                                                                      </v>
      </c>
      <c r="H2038" s="26" t="str">
        <f>"033"</f>
        <v>033</v>
      </c>
      <c r="I2038" s="26" t="str">
        <f t="shared" si="372"/>
        <v>00</v>
      </c>
      <c r="J2038" s="26" t="str">
        <f>"35 "</f>
        <v xml:space="preserve">35 </v>
      </c>
      <c r="K2038" s="26" t="str">
        <f t="shared" si="380"/>
        <v>EP</v>
      </c>
      <c r="L2038" s="26" t="str">
        <f t="shared" si="379"/>
        <v>DGOSE</v>
      </c>
      <c r="M2038" s="26" t="str">
        <f t="shared" si="370"/>
        <v>PARTICULAR</v>
      </c>
      <c r="N2038" s="26">
        <v>10</v>
      </c>
      <c r="O2038" s="26">
        <v>6</v>
      </c>
      <c r="P2038" s="26">
        <v>4</v>
      </c>
      <c r="Q2038" s="26">
        <v>3</v>
      </c>
      <c r="R2038" s="26">
        <v>1</v>
      </c>
      <c r="S2038" s="26">
        <v>3</v>
      </c>
      <c r="T2038" s="26">
        <v>2</v>
      </c>
      <c r="U2038" s="26">
        <v>6</v>
      </c>
      <c r="V2038" s="26">
        <v>1</v>
      </c>
      <c r="W2038" s="26"/>
    </row>
    <row r="2039" spans="1:23" x14ac:dyDescent="0.25">
      <c r="A2039" s="26" t="str">
        <f t="shared" si="371"/>
        <v>PREESCOLAR</v>
      </c>
      <c r="B2039" s="26" t="str">
        <f>"09PJN4136R"</f>
        <v>09PJN4136R</v>
      </c>
      <c r="C2039" s="26" t="s">
        <v>102</v>
      </c>
      <c r="D2039" s="26" t="str">
        <f t="shared" si="378"/>
        <v>MATUTINO</v>
      </c>
      <c r="E2039" s="26" t="str">
        <f>"CALLE 4 ESQUINA 1 NO. 17                                                        "</f>
        <v xml:space="preserve">CALLE 4 ESQUINA 1 NO. 17                                                        </v>
      </c>
      <c r="F2039" s="26" t="str">
        <f>"ESPARTACO                                                                                                                                   "</f>
        <v xml:space="preserve">ESPARTACO                                                                                                                                   </v>
      </c>
      <c r="G2039" s="26" t="str">
        <f>"COYOACAN                                                                        "</f>
        <v xml:space="preserve">COYOACAN                                                                        </v>
      </c>
      <c r="H2039" s="26" t="str">
        <f>"239"</f>
        <v>239</v>
      </c>
      <c r="I2039" s="26" t="str">
        <f t="shared" si="372"/>
        <v>00</v>
      </c>
      <c r="J2039" s="26" t="str">
        <f>"35 "</f>
        <v xml:space="preserve">35 </v>
      </c>
      <c r="K2039" s="26" t="str">
        <f t="shared" si="380"/>
        <v>EP</v>
      </c>
      <c r="L2039" s="26" t="str">
        <f t="shared" si="379"/>
        <v>DGOSE</v>
      </c>
      <c r="M2039" s="26" t="str">
        <f t="shared" si="370"/>
        <v>PARTICULAR</v>
      </c>
      <c r="N2039" s="26">
        <v>22</v>
      </c>
      <c r="O2039" s="26">
        <v>10</v>
      </c>
      <c r="P2039" s="26">
        <v>12</v>
      </c>
      <c r="Q2039" s="26">
        <v>3</v>
      </c>
      <c r="R2039" s="26">
        <v>1</v>
      </c>
      <c r="S2039" s="26">
        <v>3</v>
      </c>
      <c r="T2039" s="26">
        <v>3</v>
      </c>
      <c r="U2039" s="26">
        <v>7</v>
      </c>
      <c r="V2039" s="26">
        <v>1</v>
      </c>
      <c r="W2039" s="26"/>
    </row>
    <row r="2040" spans="1:23" x14ac:dyDescent="0.25">
      <c r="A2040" s="26" t="str">
        <f t="shared" si="371"/>
        <v>PREESCOLAR</v>
      </c>
      <c r="B2040" s="26" t="str">
        <f>"09PJN4138P"</f>
        <v>09PJN4138P</v>
      </c>
      <c r="C2040" s="26" t="str">
        <f>"JARDIN DE NIÑOS OCTAVIO PAZ                                                                         "</f>
        <v xml:space="preserve">JARDIN DE NIÑOS OCTAVIO PAZ                                                                         </v>
      </c>
      <c r="D2040" s="26" t="str">
        <f t="shared" si="378"/>
        <v>MATUTINO</v>
      </c>
      <c r="E2040" s="26" t="str">
        <f>"MAESTROS ESQ.PREPARATORIAS  MZ. 84 LT.8                                         "</f>
        <v xml:space="preserve">MAESTROS ESQ.PREPARATORIAS  MZ. 84 LT.8                                         </v>
      </c>
      <c r="F2040" s="26" t="str">
        <f>"ZONA ESCOLAR                                                                                                                                "</f>
        <v xml:space="preserve">ZONA ESCOLAR                                                                                                                                </v>
      </c>
      <c r="G2040" s="26" t="str">
        <f>"GUSTAVO A. MADERO                                                               "</f>
        <v xml:space="preserve">GUSTAVO A. MADERO                                                               </v>
      </c>
      <c r="H2040" s="26" t="str">
        <f>"117"</f>
        <v>117</v>
      </c>
      <c r="I2040" s="26" t="str">
        <f t="shared" si="372"/>
        <v>00</v>
      </c>
      <c r="J2040" s="26" t="str">
        <f>"32 "</f>
        <v xml:space="preserve">32 </v>
      </c>
      <c r="K2040" s="26" t="str">
        <f t="shared" si="380"/>
        <v>EP</v>
      </c>
      <c r="L2040" s="26" t="str">
        <f t="shared" si="379"/>
        <v>DGOSE</v>
      </c>
      <c r="M2040" s="26" t="str">
        <f t="shared" si="370"/>
        <v>PARTICULAR</v>
      </c>
      <c r="N2040" s="26">
        <v>90</v>
      </c>
      <c r="O2040" s="26">
        <v>44</v>
      </c>
      <c r="P2040" s="26">
        <v>46</v>
      </c>
      <c r="Q2040" s="26">
        <v>5</v>
      </c>
      <c r="R2040" s="26">
        <v>1</v>
      </c>
      <c r="S2040" s="26">
        <v>5</v>
      </c>
      <c r="T2040" s="26">
        <v>0</v>
      </c>
      <c r="U2040" s="26">
        <v>6</v>
      </c>
      <c r="V2040" s="26">
        <v>1</v>
      </c>
      <c r="W2040" s="26"/>
    </row>
    <row r="2041" spans="1:23" x14ac:dyDescent="0.25">
      <c r="A2041" s="26" t="str">
        <f t="shared" si="371"/>
        <v>PREESCOLAR</v>
      </c>
      <c r="B2041" s="26" t="str">
        <f>"09PJN4140D"</f>
        <v>09PJN4140D</v>
      </c>
      <c r="C2041" s="26" t="str">
        <f>"PROFR. MARTIN CURIEL RAMIREZ                                                                        "</f>
        <v xml:space="preserve">PROFR. MARTIN CURIEL RAMIREZ                                                                        </v>
      </c>
      <c r="D2041" s="26" t="str">
        <f t="shared" si="378"/>
        <v>MATUTINO</v>
      </c>
      <c r="E2041" s="26" t="str">
        <f>"MIESES NO. 225                                                                  "</f>
        <v xml:space="preserve">MIESES NO. 225                                                                  </v>
      </c>
      <c r="F2041" s="26" t="str">
        <f>"VALLE DEL SUR                                                                                                                               "</f>
        <v xml:space="preserve">VALLE DEL SUR                                                                                                                               </v>
      </c>
      <c r="G2041" s="26" t="str">
        <f>"IZTAPALAPA                                                                      "</f>
        <v xml:space="preserve">IZTAPALAPA                                                                      </v>
      </c>
      <c r="H2041" s="26" t="str">
        <f>"000"</f>
        <v>000</v>
      </c>
      <c r="I2041" s="26" t="str">
        <f t="shared" si="372"/>
        <v>00</v>
      </c>
      <c r="J2041" s="26" t="str">
        <f>"61 "</f>
        <v xml:space="preserve">61 </v>
      </c>
      <c r="K2041" s="26" t="str">
        <f>"IZ"</f>
        <v>IZ</v>
      </c>
      <c r="L2041" s="26" t="str">
        <f>"DGSEI"</f>
        <v>DGSEI</v>
      </c>
      <c r="M2041" s="26" t="str">
        <f t="shared" si="370"/>
        <v>PARTICULAR</v>
      </c>
      <c r="N2041" s="26">
        <v>8</v>
      </c>
      <c r="O2041" s="26">
        <v>3</v>
      </c>
      <c r="P2041" s="26">
        <v>5</v>
      </c>
      <c r="Q2041" s="26">
        <v>3</v>
      </c>
      <c r="R2041" s="26">
        <v>1</v>
      </c>
      <c r="S2041" s="26">
        <v>1</v>
      </c>
      <c r="T2041" s="26">
        <v>2</v>
      </c>
      <c r="U2041" s="26">
        <v>4</v>
      </c>
      <c r="V2041" s="26">
        <v>1</v>
      </c>
      <c r="W2041" s="26"/>
    </row>
    <row r="2042" spans="1:23" x14ac:dyDescent="0.25">
      <c r="A2042" s="26" t="str">
        <f t="shared" si="371"/>
        <v>PREESCOLAR</v>
      </c>
      <c r="B2042" s="26" t="str">
        <f>"09PJN4142B"</f>
        <v>09PJN4142B</v>
      </c>
      <c r="C2042" s="26" t="str">
        <f>"BENEMERITO DE LAS AMERICAS                                                                          "</f>
        <v xml:space="preserve">BENEMERITO DE LAS AMERICAS                                                                          </v>
      </c>
      <c r="D2042" s="26" t="str">
        <f t="shared" si="378"/>
        <v>MATUTINO</v>
      </c>
      <c r="E2042" s="26" t="str">
        <f>"PLAYA COPACABANA MZ. 30 LT. 3                                                   "</f>
        <v xml:space="preserve">PLAYA COPACABANA MZ. 30 LT. 3                                                   </v>
      </c>
      <c r="F2042" s="26" t="str">
        <f>"LA POLVORILLA                                                                                                                               "</f>
        <v xml:space="preserve">LA POLVORILLA                                                                                                                               </v>
      </c>
      <c r="G2042" s="26" t="str">
        <f>"IZTAPALAPA                                                                      "</f>
        <v xml:space="preserve">IZTAPALAPA                                                                      </v>
      </c>
      <c r="H2042" s="26" t="str">
        <f>"000"</f>
        <v>000</v>
      </c>
      <c r="I2042" s="26" t="str">
        <f t="shared" si="372"/>
        <v>00</v>
      </c>
      <c r="J2042" s="26" t="str">
        <f>"63 "</f>
        <v xml:space="preserve">63 </v>
      </c>
      <c r="K2042" s="26" t="str">
        <f>"IZ"</f>
        <v>IZ</v>
      </c>
      <c r="L2042" s="26" t="str">
        <f>"DGSEI"</f>
        <v>DGSEI</v>
      </c>
      <c r="M2042" s="26" t="str">
        <f t="shared" si="370"/>
        <v>PARTICULAR</v>
      </c>
      <c r="N2042" s="26">
        <v>50</v>
      </c>
      <c r="O2042" s="26">
        <v>29</v>
      </c>
      <c r="P2042" s="26">
        <v>21</v>
      </c>
      <c r="Q2042" s="26">
        <v>3</v>
      </c>
      <c r="R2042" s="26">
        <v>1</v>
      </c>
      <c r="S2042" s="26">
        <v>3</v>
      </c>
      <c r="T2042" s="26">
        <v>1</v>
      </c>
      <c r="U2042" s="26">
        <v>5</v>
      </c>
      <c r="V2042" s="26">
        <v>1</v>
      </c>
      <c r="W2042" s="26"/>
    </row>
    <row r="2043" spans="1:23" x14ac:dyDescent="0.25">
      <c r="A2043" s="26" t="str">
        <f t="shared" si="371"/>
        <v>PREESCOLAR</v>
      </c>
      <c r="B2043" s="26" t="str">
        <f>"09PJN4144Z"</f>
        <v>09PJN4144Z</v>
      </c>
      <c r="C2043" s="26" t="str">
        <f>"MONTESSORI BABYS HOUSE                                                                              "</f>
        <v xml:space="preserve">MONTESSORI BABYS HOUSE                                                                              </v>
      </c>
      <c r="D2043" s="26" t="str">
        <f t="shared" si="378"/>
        <v>MATUTINO</v>
      </c>
      <c r="E2043" s="26" t="str">
        <f>"GUANABANA NO. 329 Y 331                                                         "</f>
        <v xml:space="preserve">GUANABANA NO. 329 Y 331                                                         </v>
      </c>
      <c r="F2043" s="26" t="str">
        <f>"NUEVA SANTA MARIA                                                                                                                           "</f>
        <v xml:space="preserve">NUEVA SANTA MARIA                                                                                                                           </v>
      </c>
      <c r="G2043" s="26" t="str">
        <f>"AZCAPOTZALCO                                                                    "</f>
        <v xml:space="preserve">AZCAPOTZALCO                                                                    </v>
      </c>
      <c r="H2043" s="26" t="str">
        <f>"190"</f>
        <v>190</v>
      </c>
      <c r="I2043" s="26" t="str">
        <f t="shared" si="372"/>
        <v>00</v>
      </c>
      <c r="J2043" s="26" t="str">
        <f>"32 "</f>
        <v xml:space="preserve">32 </v>
      </c>
      <c r="K2043" s="26" t="str">
        <f t="shared" ref="K2043:K2051" si="382">"EP"</f>
        <v>EP</v>
      </c>
      <c r="L2043" s="26" t="str">
        <f t="shared" ref="L2043:L2051" si="383">"DGOSE"</f>
        <v>DGOSE</v>
      </c>
      <c r="M2043" s="26" t="str">
        <f t="shared" si="370"/>
        <v>PARTICULAR</v>
      </c>
      <c r="N2043" s="26">
        <v>20</v>
      </c>
      <c r="O2043" s="26">
        <v>13</v>
      </c>
      <c r="P2043" s="26">
        <v>7</v>
      </c>
      <c r="Q2043" s="26">
        <v>3</v>
      </c>
      <c r="R2043" s="26">
        <v>1</v>
      </c>
      <c r="S2043" s="26">
        <v>3</v>
      </c>
      <c r="T2043" s="26">
        <v>2</v>
      </c>
      <c r="U2043" s="26">
        <v>6</v>
      </c>
      <c r="V2043" s="26">
        <v>1</v>
      </c>
      <c r="W2043" s="26"/>
    </row>
    <row r="2044" spans="1:23" x14ac:dyDescent="0.25">
      <c r="A2044" s="26" t="str">
        <f t="shared" si="371"/>
        <v>PREESCOLAR</v>
      </c>
      <c r="B2044" s="26" t="str">
        <f>"09PJN4145Z"</f>
        <v>09PJN4145Z</v>
      </c>
      <c r="C2044" s="26" t="str">
        <f>"KINDER KIDS HOUSE                                                                                   "</f>
        <v xml:space="preserve">KINDER KIDS HOUSE                                                                                   </v>
      </c>
      <c r="D2044" s="26" t="str">
        <f t="shared" si="378"/>
        <v>MATUTINO</v>
      </c>
      <c r="E2044" s="26" t="str">
        <f>"AV. DEL ROSAL NO. 193                                                           "</f>
        <v xml:space="preserve">AV. DEL ROSAL NO. 193                                                           </v>
      </c>
      <c r="F2044" s="26" t="str">
        <f>"MOLINO DE ROSAS                                                                                                                             "</f>
        <v xml:space="preserve">MOLINO DE ROSAS                                                                                                                             </v>
      </c>
      <c r="G2044" s="26" t="str">
        <f>"ALVARO OBREGON                                                                  "</f>
        <v xml:space="preserve">ALVARO OBREGON                                                                  </v>
      </c>
      <c r="H2044" s="26" t="str">
        <f>"217"</f>
        <v>217</v>
      </c>
      <c r="I2044" s="26" t="str">
        <f t="shared" si="372"/>
        <v>00</v>
      </c>
      <c r="J2044" s="26" t="str">
        <f>"33 "</f>
        <v xml:space="preserve">33 </v>
      </c>
      <c r="K2044" s="26" t="str">
        <f t="shared" si="382"/>
        <v>EP</v>
      </c>
      <c r="L2044" s="26" t="str">
        <f t="shared" si="383"/>
        <v>DGOSE</v>
      </c>
      <c r="M2044" s="26" t="str">
        <f t="shared" si="370"/>
        <v>PARTICULAR</v>
      </c>
      <c r="N2044" s="26">
        <v>28</v>
      </c>
      <c r="O2044" s="26">
        <v>15</v>
      </c>
      <c r="P2044" s="26">
        <v>13</v>
      </c>
      <c r="Q2044" s="26">
        <v>3</v>
      </c>
      <c r="R2044" s="26">
        <v>1</v>
      </c>
      <c r="S2044" s="26">
        <v>2</v>
      </c>
      <c r="T2044" s="26">
        <v>2</v>
      </c>
      <c r="U2044" s="26">
        <v>5</v>
      </c>
      <c r="V2044" s="26">
        <v>1</v>
      </c>
      <c r="W2044" s="26"/>
    </row>
    <row r="2045" spans="1:23" x14ac:dyDescent="0.25">
      <c r="A2045" s="26" t="str">
        <f t="shared" si="371"/>
        <v>PREESCOLAR</v>
      </c>
      <c r="B2045" s="26" t="str">
        <f>"09PJN4146Y"</f>
        <v>09PJN4146Y</v>
      </c>
      <c r="C2045" s="26" t="str">
        <f>"INSTITUTO AMADEUS                                                                                   "</f>
        <v xml:space="preserve">INSTITUTO AMADEUS                                                                                   </v>
      </c>
      <c r="D2045" s="26" t="str">
        <f t="shared" si="378"/>
        <v>MATUTINO</v>
      </c>
      <c r="E2045" s="26" t="str">
        <f>"BECAL MZA. 47 LT. 4                                                             "</f>
        <v xml:space="preserve">BECAL MZA. 47 LT. 4                                                             </v>
      </c>
      <c r="F2045" s="26" t="str">
        <f>"HEROES DE PADIERNA                                                                                                                          "</f>
        <v xml:space="preserve">HEROES DE PADIERNA                                                                                                                          </v>
      </c>
      <c r="G2045" s="26" t="str">
        <f>"TLALPAN                                                                         "</f>
        <v xml:space="preserve">TLALPAN                                                                         </v>
      </c>
      <c r="H2045" s="26" t="str">
        <f>"049"</f>
        <v>049</v>
      </c>
      <c r="I2045" s="26" t="str">
        <f t="shared" si="372"/>
        <v>00</v>
      </c>
      <c r="J2045" s="26" t="str">
        <f>"35 "</f>
        <v xml:space="preserve">35 </v>
      </c>
      <c r="K2045" s="26" t="str">
        <f t="shared" si="382"/>
        <v>EP</v>
      </c>
      <c r="L2045" s="26" t="str">
        <f t="shared" si="383"/>
        <v>DGOSE</v>
      </c>
      <c r="M2045" s="26" t="str">
        <f t="shared" si="370"/>
        <v>PARTICULAR</v>
      </c>
      <c r="N2045" s="26">
        <v>33</v>
      </c>
      <c r="O2045" s="26">
        <v>15</v>
      </c>
      <c r="P2045" s="26">
        <v>18</v>
      </c>
      <c r="Q2045" s="26">
        <v>3</v>
      </c>
      <c r="R2045" s="26">
        <v>1</v>
      </c>
      <c r="S2045" s="26">
        <v>2</v>
      </c>
      <c r="T2045" s="26">
        <v>4</v>
      </c>
      <c r="U2045" s="26">
        <v>7</v>
      </c>
      <c r="V2045" s="26">
        <v>1</v>
      </c>
      <c r="W2045" s="26"/>
    </row>
    <row r="2046" spans="1:23" x14ac:dyDescent="0.25">
      <c r="A2046" s="26" t="str">
        <f t="shared" si="371"/>
        <v>PREESCOLAR</v>
      </c>
      <c r="B2046" s="26" t="str">
        <f>"09PJN4149V"</f>
        <v>09PJN4149V</v>
      </c>
      <c r="C2046" s="26" t="str">
        <f>"JARDIN DE NIÑOS LITITOS                                                                             "</f>
        <v xml:space="preserve">JARDIN DE NIÑOS LITITOS                                                                             </v>
      </c>
      <c r="D2046" s="26" t="str">
        <f t="shared" si="378"/>
        <v>MATUTINO</v>
      </c>
      <c r="E2046" s="26" t="str">
        <f>"FILIPINAS NO. 618                                                               "</f>
        <v xml:space="preserve">FILIPINAS NO. 618                                                               </v>
      </c>
      <c r="F2046" s="26" t="str">
        <f>"PORTALES                                                                                                                                    "</f>
        <v xml:space="preserve">PORTALES                                                                                                                                    </v>
      </c>
      <c r="G2046" s="26" t="str">
        <f>"BENITO JUAREZ                                                                   "</f>
        <v xml:space="preserve">BENITO JUAREZ                                                                   </v>
      </c>
      <c r="H2046" s="26" t="str">
        <f>"037"</f>
        <v>037</v>
      </c>
      <c r="I2046" s="26" t="str">
        <f t="shared" si="372"/>
        <v>00</v>
      </c>
      <c r="J2046" s="26" t="str">
        <f>"33 "</f>
        <v xml:space="preserve">33 </v>
      </c>
      <c r="K2046" s="26" t="str">
        <f t="shared" si="382"/>
        <v>EP</v>
      </c>
      <c r="L2046" s="26" t="str">
        <f t="shared" si="383"/>
        <v>DGOSE</v>
      </c>
      <c r="M2046" s="26" t="str">
        <f t="shared" si="370"/>
        <v>PARTICULAR</v>
      </c>
      <c r="N2046" s="26">
        <v>74</v>
      </c>
      <c r="O2046" s="26">
        <v>39</v>
      </c>
      <c r="P2046" s="26">
        <v>35</v>
      </c>
      <c r="Q2046" s="26">
        <v>5</v>
      </c>
      <c r="R2046" s="26">
        <v>1</v>
      </c>
      <c r="S2046" s="26">
        <v>3</v>
      </c>
      <c r="T2046" s="26">
        <v>7</v>
      </c>
      <c r="U2046" s="26">
        <v>11</v>
      </c>
      <c r="V2046" s="26">
        <v>1</v>
      </c>
      <c r="W2046" s="26"/>
    </row>
    <row r="2047" spans="1:23" x14ac:dyDescent="0.25">
      <c r="A2047" s="26" t="str">
        <f t="shared" si="371"/>
        <v>PREESCOLAR</v>
      </c>
      <c r="B2047" s="26" t="str">
        <f>"09PJN4150K"</f>
        <v>09PJN4150K</v>
      </c>
      <c r="C2047" s="26" t="str">
        <f>"COLEGIO VALLADOLID                                                                                  "</f>
        <v xml:space="preserve">COLEGIO VALLADOLID                                                                                  </v>
      </c>
      <c r="D2047" s="26" t="str">
        <f t="shared" si="378"/>
        <v>MATUTINO</v>
      </c>
      <c r="E2047" s="26" t="str">
        <f>"IGNACIO ZARAGOZA NO. 33                                                         "</f>
        <v xml:space="preserve">IGNACIO ZARAGOZA NO. 33                                                         </v>
      </c>
      <c r="F2047" s="26" t="str">
        <f>"SANTA CRUZ ACALPIXCA                                                                                                                        "</f>
        <v xml:space="preserve">SANTA CRUZ ACALPIXCA                                                                                                                        </v>
      </c>
      <c r="G2047" s="26" t="str">
        <f>"XOCHIMILCO                                                                      "</f>
        <v xml:space="preserve">XOCHIMILCO                                                                      </v>
      </c>
      <c r="H2047" s="26" t="str">
        <f>"053"</f>
        <v>053</v>
      </c>
      <c r="I2047" s="26" t="str">
        <f t="shared" si="372"/>
        <v>00</v>
      </c>
      <c r="J2047" s="26" t="str">
        <f>"35 "</f>
        <v xml:space="preserve">35 </v>
      </c>
      <c r="K2047" s="26" t="str">
        <f t="shared" si="382"/>
        <v>EP</v>
      </c>
      <c r="L2047" s="26" t="str">
        <f t="shared" si="383"/>
        <v>DGOSE</v>
      </c>
      <c r="M2047" s="26" t="str">
        <f t="shared" ref="M2047:M2110" si="384">"PARTICULAR"</f>
        <v>PARTICULAR</v>
      </c>
      <c r="N2047" s="26">
        <v>15</v>
      </c>
      <c r="O2047" s="26">
        <v>9</v>
      </c>
      <c r="P2047" s="26">
        <v>6</v>
      </c>
      <c r="Q2047" s="26">
        <v>3</v>
      </c>
      <c r="R2047" s="26">
        <v>1</v>
      </c>
      <c r="S2047" s="26">
        <v>2</v>
      </c>
      <c r="T2047" s="26">
        <v>4</v>
      </c>
      <c r="U2047" s="26">
        <v>7</v>
      </c>
      <c r="V2047" s="26">
        <v>1</v>
      </c>
      <c r="W2047" s="26"/>
    </row>
    <row r="2048" spans="1:23" x14ac:dyDescent="0.25">
      <c r="A2048" s="26" t="str">
        <f t="shared" si="371"/>
        <v>PREESCOLAR</v>
      </c>
      <c r="B2048" s="26" t="str">
        <f>"09PJN4152I"</f>
        <v>09PJN4152I</v>
      </c>
      <c r="C2048" s="26" t="str">
        <f>"CENTRO PREESCOLAR MEXICANO                                                                          "</f>
        <v xml:space="preserve">CENTRO PREESCOLAR MEXICANO                                                                          </v>
      </c>
      <c r="D2048" s="26" t="str">
        <f t="shared" si="378"/>
        <v>MATUTINO</v>
      </c>
      <c r="E2048" s="26" t="str">
        <f>"AV. FRANCISCO VILLA NO. 171                                                     "</f>
        <v xml:space="preserve">AV. FRANCISCO VILLA NO. 171                                                     </v>
      </c>
      <c r="F2048" s="26" t="str">
        <f>"ZONA ESCOLAR                                                                                                                                "</f>
        <v xml:space="preserve">ZONA ESCOLAR                                                                                                                                </v>
      </c>
      <c r="G2048" s="26" t="str">
        <f>"GUSTAVO A. MADERO                                                               "</f>
        <v xml:space="preserve">GUSTAVO A. MADERO                                                               </v>
      </c>
      <c r="H2048" s="26" t="str">
        <f>"117"</f>
        <v>117</v>
      </c>
      <c r="I2048" s="26" t="str">
        <f t="shared" si="372"/>
        <v>00</v>
      </c>
      <c r="J2048" s="26" t="str">
        <f>"32 "</f>
        <v xml:space="preserve">32 </v>
      </c>
      <c r="K2048" s="26" t="str">
        <f t="shared" si="382"/>
        <v>EP</v>
      </c>
      <c r="L2048" s="26" t="str">
        <f t="shared" si="383"/>
        <v>DGOSE</v>
      </c>
      <c r="M2048" s="26" t="str">
        <f t="shared" si="384"/>
        <v>PARTICULAR</v>
      </c>
      <c r="N2048" s="26">
        <v>52</v>
      </c>
      <c r="O2048" s="26">
        <v>26</v>
      </c>
      <c r="P2048" s="26">
        <v>26</v>
      </c>
      <c r="Q2048" s="26">
        <v>3</v>
      </c>
      <c r="R2048" s="26">
        <v>1</v>
      </c>
      <c r="S2048" s="26">
        <v>3</v>
      </c>
      <c r="T2048" s="26">
        <v>0</v>
      </c>
      <c r="U2048" s="26">
        <v>4</v>
      </c>
      <c r="V2048" s="26">
        <v>1</v>
      </c>
      <c r="W2048" s="26"/>
    </row>
    <row r="2049" spans="1:23" x14ac:dyDescent="0.25">
      <c r="A2049" s="26" t="str">
        <f t="shared" si="371"/>
        <v>PREESCOLAR</v>
      </c>
      <c r="B2049" s="26" t="str">
        <f>"09PJN4153H"</f>
        <v>09PJN4153H</v>
      </c>
      <c r="C2049" s="26" t="str">
        <f>"GUARDERIA Y KINDER QUETZALCOATL                                                                     "</f>
        <v xml:space="preserve">GUARDERIA Y KINDER QUETZALCOATL                                                                     </v>
      </c>
      <c r="D2049" s="26" t="str">
        <f t="shared" si="378"/>
        <v>MATUTINO</v>
      </c>
      <c r="E2049" s="26" t="str">
        <f>"GABRIELA MISTRAL S/N. MZA. 24 LT. 21                                            "</f>
        <v xml:space="preserve">GABRIELA MISTRAL S/N. MZA. 24 LT. 21                                            </v>
      </c>
      <c r="F2049" s="26" t="str">
        <f>"ZONA ESCOLAR                                                                                                                                "</f>
        <v xml:space="preserve">ZONA ESCOLAR                                                                                                                                </v>
      </c>
      <c r="G2049" s="26" t="str">
        <f>"GUSTAVO A. MADERO                                                               "</f>
        <v xml:space="preserve">GUSTAVO A. MADERO                                                               </v>
      </c>
      <c r="H2049" s="26" t="str">
        <f>"105"</f>
        <v>105</v>
      </c>
      <c r="I2049" s="26" t="str">
        <f t="shared" si="372"/>
        <v>00</v>
      </c>
      <c r="J2049" s="26" t="str">
        <f>"32 "</f>
        <v xml:space="preserve">32 </v>
      </c>
      <c r="K2049" s="26" t="str">
        <f t="shared" si="382"/>
        <v>EP</v>
      </c>
      <c r="L2049" s="26" t="str">
        <f t="shared" si="383"/>
        <v>DGOSE</v>
      </c>
      <c r="M2049" s="26" t="str">
        <f t="shared" si="384"/>
        <v>PARTICULAR</v>
      </c>
      <c r="N2049" s="26">
        <v>20</v>
      </c>
      <c r="O2049" s="26">
        <v>11</v>
      </c>
      <c r="P2049" s="26">
        <v>9</v>
      </c>
      <c r="Q2049" s="26">
        <v>3</v>
      </c>
      <c r="R2049" s="26">
        <v>1</v>
      </c>
      <c r="S2049" s="26">
        <v>3</v>
      </c>
      <c r="T2049" s="26">
        <v>1</v>
      </c>
      <c r="U2049" s="26">
        <v>5</v>
      </c>
      <c r="V2049" s="26">
        <v>1</v>
      </c>
      <c r="W2049" s="26"/>
    </row>
    <row r="2050" spans="1:23" x14ac:dyDescent="0.25">
      <c r="A2050" s="26" t="str">
        <f t="shared" ref="A2050:A2113" si="385">"PREESCOLAR"</f>
        <v>PREESCOLAR</v>
      </c>
      <c r="B2050" s="26" t="str">
        <f>"09PJN4154G"</f>
        <v>09PJN4154G</v>
      </c>
      <c r="C2050" s="26" t="str">
        <f>"CENTRO DE DESARROLLO INFANTIL TLANECI                                                               "</f>
        <v xml:space="preserve">CENTRO DE DESARROLLO INFANTIL TLANECI                                                               </v>
      </c>
      <c r="D2050" s="26" t="str">
        <f t="shared" si="378"/>
        <v>MATUTINO</v>
      </c>
      <c r="E2050" s="26" t="str">
        <f>"PICHUCALCO NO. 456                                                              "</f>
        <v xml:space="preserve">PICHUCALCO NO. 456                                                              </v>
      </c>
      <c r="F2050" s="26" t="str">
        <f>"LOMAS DE PADIERNA                                                                                                                           "</f>
        <v xml:space="preserve">LOMAS DE PADIERNA                                                                                                                           </v>
      </c>
      <c r="G2050" s="26" t="str">
        <f>"TLALPAN                                                                         "</f>
        <v xml:space="preserve">TLALPAN                                                                         </v>
      </c>
      <c r="H2050" s="26" t="str">
        <f>"146"</f>
        <v>146</v>
      </c>
      <c r="I2050" s="26" t="str">
        <f t="shared" ref="I2050:I2113" si="386">"00"</f>
        <v>00</v>
      </c>
      <c r="J2050" s="26" t="str">
        <f>"35 "</f>
        <v xml:space="preserve">35 </v>
      </c>
      <c r="K2050" s="26" t="str">
        <f t="shared" si="382"/>
        <v>EP</v>
      </c>
      <c r="L2050" s="26" t="str">
        <f t="shared" si="383"/>
        <v>DGOSE</v>
      </c>
      <c r="M2050" s="26" t="str">
        <f t="shared" si="384"/>
        <v>PARTICULAR</v>
      </c>
      <c r="N2050" s="26">
        <v>29</v>
      </c>
      <c r="O2050" s="26">
        <v>13</v>
      </c>
      <c r="P2050" s="26">
        <v>16</v>
      </c>
      <c r="Q2050" s="26">
        <v>3</v>
      </c>
      <c r="R2050" s="26">
        <v>1</v>
      </c>
      <c r="S2050" s="26">
        <v>3</v>
      </c>
      <c r="T2050" s="26">
        <v>4</v>
      </c>
      <c r="U2050" s="26">
        <v>8</v>
      </c>
      <c r="V2050" s="26">
        <v>1</v>
      </c>
      <c r="W2050" s="26"/>
    </row>
    <row r="2051" spans="1:23" x14ac:dyDescent="0.25">
      <c r="A2051" s="26" t="str">
        <f t="shared" si="385"/>
        <v>PREESCOLAR</v>
      </c>
      <c r="B2051" s="26" t="str">
        <f>"09PJN4157D"</f>
        <v>09PJN4157D</v>
      </c>
      <c r="C2051" s="26" t="str">
        <f>"CENTRO PEDAGOGICO INTEGRAL                                                                          "</f>
        <v xml:space="preserve">CENTRO PEDAGOGICO INTEGRAL                                                                          </v>
      </c>
      <c r="D2051" s="26" t="str">
        <f t="shared" si="378"/>
        <v>MATUTINO</v>
      </c>
      <c r="E2051" s="26" t="str">
        <f>"CUAUHTEMOC NO. 142                                                              "</f>
        <v xml:space="preserve">CUAUHTEMOC NO. 142                                                              </v>
      </c>
      <c r="F2051" s="26" t="str">
        <f>"XALTOCAN                                                                                                                                    "</f>
        <v xml:space="preserve">XALTOCAN                                                                                                                                    </v>
      </c>
      <c r="G2051" s="26" t="str">
        <f>"XOCHIMILCO                                                                      "</f>
        <v xml:space="preserve">XOCHIMILCO                                                                      </v>
      </c>
      <c r="H2051" s="26" t="str">
        <f>"033"</f>
        <v>033</v>
      </c>
      <c r="I2051" s="26" t="str">
        <f t="shared" si="386"/>
        <v>00</v>
      </c>
      <c r="J2051" s="26" t="str">
        <f>"35 "</f>
        <v xml:space="preserve">35 </v>
      </c>
      <c r="K2051" s="26" t="str">
        <f t="shared" si="382"/>
        <v>EP</v>
      </c>
      <c r="L2051" s="26" t="str">
        <f t="shared" si="383"/>
        <v>DGOSE</v>
      </c>
      <c r="M2051" s="26" t="str">
        <f t="shared" si="384"/>
        <v>PARTICULAR</v>
      </c>
      <c r="N2051" s="26">
        <v>25</v>
      </c>
      <c r="O2051" s="26">
        <v>14</v>
      </c>
      <c r="P2051" s="26">
        <v>11</v>
      </c>
      <c r="Q2051" s="26">
        <v>3</v>
      </c>
      <c r="R2051" s="26">
        <v>1</v>
      </c>
      <c r="S2051" s="26">
        <v>3</v>
      </c>
      <c r="T2051" s="26">
        <v>1</v>
      </c>
      <c r="U2051" s="26">
        <v>5</v>
      </c>
      <c r="V2051" s="26">
        <v>1</v>
      </c>
      <c r="W2051" s="26"/>
    </row>
    <row r="2052" spans="1:23" x14ac:dyDescent="0.25">
      <c r="A2052" s="26" t="str">
        <f t="shared" si="385"/>
        <v>PREESCOLAR</v>
      </c>
      <c r="B2052" s="26" t="str">
        <f>"09PJN4161Q"</f>
        <v>09PJN4161Q</v>
      </c>
      <c r="C2052" s="26" t="s">
        <v>103</v>
      </c>
      <c r="D2052" s="26" t="str">
        <f t="shared" si="378"/>
        <v>MATUTINO</v>
      </c>
      <c r="E2052" s="26" t="str">
        <f>"LESBOS NO. 30                                                                   "</f>
        <v xml:space="preserve">LESBOS NO. 30                                                                   </v>
      </c>
      <c r="F2052" s="26" t="str">
        <f>"LOMAS ESTRELLA                                                                                                                              "</f>
        <v xml:space="preserve">LOMAS ESTRELLA                                                                                                                              </v>
      </c>
      <c r="G2052" s="26" t="str">
        <f>"IZTAPALAPA                                                                      "</f>
        <v xml:space="preserve">IZTAPALAPA                                                                      </v>
      </c>
      <c r="H2052" s="26" t="str">
        <f>"000"</f>
        <v>000</v>
      </c>
      <c r="I2052" s="26" t="str">
        <f t="shared" si="386"/>
        <v>00</v>
      </c>
      <c r="J2052" s="26" t="str">
        <f>"63 "</f>
        <v xml:space="preserve">63 </v>
      </c>
      <c r="K2052" s="26" t="str">
        <f>"IZ"</f>
        <v>IZ</v>
      </c>
      <c r="L2052" s="26" t="str">
        <f>"DGSEI"</f>
        <v>DGSEI</v>
      </c>
      <c r="M2052" s="26" t="str">
        <f t="shared" si="384"/>
        <v>PARTICULAR</v>
      </c>
      <c r="N2052" s="26">
        <v>30</v>
      </c>
      <c r="O2052" s="26">
        <v>18</v>
      </c>
      <c r="P2052" s="26">
        <v>12</v>
      </c>
      <c r="Q2052" s="26">
        <v>3</v>
      </c>
      <c r="R2052" s="26">
        <v>1</v>
      </c>
      <c r="S2052" s="26">
        <v>2</v>
      </c>
      <c r="T2052" s="26">
        <v>7</v>
      </c>
      <c r="U2052" s="26">
        <v>10</v>
      </c>
      <c r="V2052" s="26">
        <v>1</v>
      </c>
      <c r="W2052" s="26"/>
    </row>
    <row r="2053" spans="1:23" x14ac:dyDescent="0.25">
      <c r="A2053" s="26" t="str">
        <f t="shared" si="385"/>
        <v>PREESCOLAR</v>
      </c>
      <c r="B2053" s="26" t="str">
        <f>"09PJN4162P"</f>
        <v>09PJN4162P</v>
      </c>
      <c r="C2053" s="26" t="str">
        <f>"GOTITAS DE LLUVIA                                                                                   "</f>
        <v xml:space="preserve">GOTITAS DE LLUVIA                                                                                   </v>
      </c>
      <c r="D2053" s="26" t="str">
        <f t="shared" si="378"/>
        <v>MATUTINO</v>
      </c>
      <c r="E2053" s="26" t="str">
        <f>"CALLE 8 NO. 89 LT. 16                                                           "</f>
        <v xml:space="preserve">CALLE 8 NO. 89 LT. 16                                                           </v>
      </c>
      <c r="F2053" s="26" t="str">
        <f>"JOSE LOPEZ PORTILLO                                                                                                                         "</f>
        <v xml:space="preserve">JOSE LOPEZ PORTILLO                                                                                                                         </v>
      </c>
      <c r="G2053" s="26" t="str">
        <f>"IZTAPALAPA                                                                      "</f>
        <v xml:space="preserve">IZTAPALAPA                                                                      </v>
      </c>
      <c r="H2053" s="26" t="str">
        <f>"000"</f>
        <v>000</v>
      </c>
      <c r="I2053" s="26" t="str">
        <f t="shared" si="386"/>
        <v>00</v>
      </c>
      <c r="J2053" s="26" t="str">
        <f>"63 "</f>
        <v xml:space="preserve">63 </v>
      </c>
      <c r="K2053" s="26" t="str">
        <f>"IZ"</f>
        <v>IZ</v>
      </c>
      <c r="L2053" s="26" t="str">
        <f>"DGSEI"</f>
        <v>DGSEI</v>
      </c>
      <c r="M2053" s="26" t="str">
        <f t="shared" si="384"/>
        <v>PARTICULAR</v>
      </c>
      <c r="N2053" s="26">
        <v>25</v>
      </c>
      <c r="O2053" s="26">
        <v>16</v>
      </c>
      <c r="P2053" s="26">
        <v>9</v>
      </c>
      <c r="Q2053" s="26">
        <v>3</v>
      </c>
      <c r="R2053" s="26">
        <v>1</v>
      </c>
      <c r="S2053" s="26">
        <v>3</v>
      </c>
      <c r="T2053" s="26">
        <v>1</v>
      </c>
      <c r="U2053" s="26">
        <v>5</v>
      </c>
      <c r="V2053" s="26">
        <v>1</v>
      </c>
      <c r="W2053" s="26"/>
    </row>
    <row r="2054" spans="1:23" x14ac:dyDescent="0.25">
      <c r="A2054" s="26" t="str">
        <f t="shared" si="385"/>
        <v>PREESCOLAR</v>
      </c>
      <c r="B2054" s="26" t="str">
        <f>"09PJN4163O"</f>
        <v>09PJN4163O</v>
      </c>
      <c r="C2054" s="26" t="str">
        <f>"CLAUDELLI                                                                                           "</f>
        <v xml:space="preserve">CLAUDELLI                                                                                           </v>
      </c>
      <c r="D2054" s="26" t="str">
        <f t="shared" si="378"/>
        <v>MATUTINO</v>
      </c>
      <c r="E2054" s="26" t="str">
        <f>"ACAMAPIXTLI NO. 68                                                              "</f>
        <v xml:space="preserve">ACAMAPIXTLI NO. 68                                                              </v>
      </c>
      <c r="F2054" s="26" t="str">
        <f>"LOS REYES AMPLIACION                                                                                                                        "</f>
        <v xml:space="preserve">LOS REYES AMPLIACION                                                                                                                        </v>
      </c>
      <c r="G2054" s="26" t="str">
        <f>"IZTAPALAPA                                                                      "</f>
        <v xml:space="preserve">IZTAPALAPA                                                                      </v>
      </c>
      <c r="H2054" s="26" t="str">
        <f>"000"</f>
        <v>000</v>
      </c>
      <c r="I2054" s="26" t="str">
        <f t="shared" si="386"/>
        <v>00</v>
      </c>
      <c r="J2054" s="26" t="str">
        <f>"61 "</f>
        <v xml:space="preserve">61 </v>
      </c>
      <c r="K2054" s="26" t="str">
        <f>"IZ"</f>
        <v>IZ</v>
      </c>
      <c r="L2054" s="26" t="str">
        <f>"DGSEI"</f>
        <v>DGSEI</v>
      </c>
      <c r="M2054" s="26" t="str">
        <f t="shared" si="384"/>
        <v>PARTICULAR</v>
      </c>
      <c r="N2054" s="26">
        <v>18</v>
      </c>
      <c r="O2054" s="26">
        <v>7</v>
      </c>
      <c r="P2054" s="26">
        <v>11</v>
      </c>
      <c r="Q2054" s="26">
        <v>2</v>
      </c>
      <c r="R2054" s="26">
        <v>1</v>
      </c>
      <c r="S2054" s="26">
        <v>2</v>
      </c>
      <c r="T2054" s="26">
        <v>0</v>
      </c>
      <c r="U2054" s="26">
        <v>3</v>
      </c>
      <c r="V2054" s="26">
        <v>1</v>
      </c>
      <c r="W2054" s="26"/>
    </row>
    <row r="2055" spans="1:23" x14ac:dyDescent="0.25">
      <c r="A2055" s="26" t="str">
        <f t="shared" si="385"/>
        <v>PREESCOLAR</v>
      </c>
      <c r="B2055" s="26" t="str">
        <f>"09PJN4167K"</f>
        <v>09PJN4167K</v>
      </c>
      <c r="C2055" s="26" t="str">
        <f>"COLEGIO MARK TWAIN                                                                                  "</f>
        <v xml:space="preserve">COLEGIO MARK TWAIN                                                                                  </v>
      </c>
      <c r="D2055" s="26" t="str">
        <f t="shared" si="378"/>
        <v>MATUTINO</v>
      </c>
      <c r="E2055" s="26" t="str">
        <f>"OCASO MZA 9 LTE 11                                                              "</f>
        <v xml:space="preserve">OCASO MZA 9 LTE 11                                                              </v>
      </c>
      <c r="F2055" s="26" t="str">
        <f>"VALLE DE LUCES                                                                                                                              "</f>
        <v xml:space="preserve">VALLE DE LUCES                                                                                                                              </v>
      </c>
      <c r="G2055" s="26" t="str">
        <f>"IZTAPALAPA                                                                      "</f>
        <v xml:space="preserve">IZTAPALAPA                                                                      </v>
      </c>
      <c r="H2055" s="26" t="str">
        <f>"000"</f>
        <v>000</v>
      </c>
      <c r="I2055" s="26" t="str">
        <f t="shared" si="386"/>
        <v>00</v>
      </c>
      <c r="J2055" s="26" t="str">
        <f>"61 "</f>
        <v xml:space="preserve">61 </v>
      </c>
      <c r="K2055" s="26" t="str">
        <f>"IZ"</f>
        <v>IZ</v>
      </c>
      <c r="L2055" s="26" t="str">
        <f>"DGSEI"</f>
        <v>DGSEI</v>
      </c>
      <c r="M2055" s="26" t="str">
        <f t="shared" si="384"/>
        <v>PARTICULAR</v>
      </c>
      <c r="N2055" s="26">
        <v>57</v>
      </c>
      <c r="O2055" s="26">
        <v>27</v>
      </c>
      <c r="P2055" s="26">
        <v>30</v>
      </c>
      <c r="Q2055" s="26">
        <v>3</v>
      </c>
      <c r="R2055" s="26">
        <v>1</v>
      </c>
      <c r="S2055" s="26">
        <v>2</v>
      </c>
      <c r="T2055" s="26">
        <v>10</v>
      </c>
      <c r="U2055" s="26">
        <v>13</v>
      </c>
      <c r="V2055" s="26">
        <v>1</v>
      </c>
      <c r="W2055" s="26"/>
    </row>
    <row r="2056" spans="1:23" x14ac:dyDescent="0.25">
      <c r="A2056" s="26" t="str">
        <f t="shared" si="385"/>
        <v>PREESCOLAR</v>
      </c>
      <c r="B2056" s="26" t="str">
        <f>"09PJN4171X"</f>
        <v>09PJN4171X</v>
      </c>
      <c r="C2056" s="26" t="str">
        <f>"MINI ABC KIDS                                                                                       "</f>
        <v xml:space="preserve">MINI ABC KIDS                                                                                       </v>
      </c>
      <c r="D2056" s="26" t="str">
        <f t="shared" si="378"/>
        <v>MATUTINO</v>
      </c>
      <c r="E2056" s="26" t="str">
        <f>"CRATER NO. 118                                                                  "</f>
        <v xml:space="preserve">CRATER NO. 118                                                                  </v>
      </c>
      <c r="F2056" s="26" t="str">
        <f>"JARDINES DEL PEDREGAL                                                                                                                       "</f>
        <v xml:space="preserve">JARDINES DEL PEDREGAL                                                                                                                       </v>
      </c>
      <c r="G2056" s="26" t="str">
        <f>"ALVARO OBREGON                                                                  "</f>
        <v xml:space="preserve">ALVARO OBREGON                                                                  </v>
      </c>
      <c r="H2056" s="26" t="str">
        <f>"150"</f>
        <v>150</v>
      </c>
      <c r="I2056" s="26" t="str">
        <f t="shared" si="386"/>
        <v>00</v>
      </c>
      <c r="J2056" s="26" t="str">
        <f>"33 "</f>
        <v xml:space="preserve">33 </v>
      </c>
      <c r="K2056" s="26" t="str">
        <f t="shared" ref="K2056:K2095" si="387">"EP"</f>
        <v>EP</v>
      </c>
      <c r="L2056" s="26" t="str">
        <f t="shared" ref="L2056:L2095" si="388">"DGOSE"</f>
        <v>DGOSE</v>
      </c>
      <c r="M2056" s="26" t="str">
        <f t="shared" si="384"/>
        <v>PARTICULAR</v>
      </c>
      <c r="N2056" s="26">
        <v>30</v>
      </c>
      <c r="O2056" s="26">
        <v>10</v>
      </c>
      <c r="P2056" s="26">
        <v>20</v>
      </c>
      <c r="Q2056" s="26">
        <v>3</v>
      </c>
      <c r="R2056" s="26">
        <v>1</v>
      </c>
      <c r="S2056" s="26">
        <v>3</v>
      </c>
      <c r="T2056" s="26">
        <v>14</v>
      </c>
      <c r="U2056" s="26">
        <v>18</v>
      </c>
      <c r="V2056" s="26">
        <v>1</v>
      </c>
      <c r="W2056" s="26"/>
    </row>
    <row r="2057" spans="1:23" x14ac:dyDescent="0.25">
      <c r="A2057" s="26" t="str">
        <f t="shared" si="385"/>
        <v>PREESCOLAR</v>
      </c>
      <c r="B2057" s="26" t="str">
        <f>"09PJN4173V"</f>
        <v>09PJN4173V</v>
      </c>
      <c r="C2057" s="26" t="str">
        <f>"CENTRO DE DESARROLLO INFANTIL MUNDO MAGICO                                                          "</f>
        <v xml:space="preserve">CENTRO DE DESARROLLO INFANTIL MUNDO MAGICO                                                          </v>
      </c>
      <c r="D2057" s="26" t="str">
        <f t="shared" si="378"/>
        <v>MATUTINO</v>
      </c>
      <c r="E2057" s="26" t="str">
        <f>"PROLONGACION CANAL DE MIRAMONTES NO. 102                                        "</f>
        <v xml:space="preserve">PROLONGACION CANAL DE MIRAMONTES NO. 102                                        </v>
      </c>
      <c r="F2057" s="26" t="str">
        <f>"SAN BARTOLO EL CHICO                                                                                                                        "</f>
        <v xml:space="preserve">SAN BARTOLO EL CHICO                                                                                                                        </v>
      </c>
      <c r="G2057" s="26" t="str">
        <f>"TLALPAN                                                                         "</f>
        <v xml:space="preserve">TLALPAN                                                                         </v>
      </c>
      <c r="H2057" s="26" t="str">
        <f>"220"</f>
        <v>220</v>
      </c>
      <c r="I2057" s="26" t="str">
        <f t="shared" si="386"/>
        <v>00</v>
      </c>
      <c r="J2057" s="26" t="str">
        <f>"35 "</f>
        <v xml:space="preserve">35 </v>
      </c>
      <c r="K2057" s="26" t="str">
        <f t="shared" si="387"/>
        <v>EP</v>
      </c>
      <c r="L2057" s="26" t="str">
        <f t="shared" si="388"/>
        <v>DGOSE</v>
      </c>
      <c r="M2057" s="26" t="str">
        <f t="shared" si="384"/>
        <v>PARTICULAR</v>
      </c>
      <c r="N2057" s="26">
        <v>15</v>
      </c>
      <c r="O2057" s="26">
        <v>9</v>
      </c>
      <c r="P2057" s="26">
        <v>6</v>
      </c>
      <c r="Q2057" s="26">
        <v>1</v>
      </c>
      <c r="R2057" s="26">
        <v>1</v>
      </c>
      <c r="S2057" s="26">
        <v>1</v>
      </c>
      <c r="T2057" s="26">
        <v>5</v>
      </c>
      <c r="U2057" s="26">
        <v>7</v>
      </c>
      <c r="V2057" s="26">
        <v>1</v>
      </c>
      <c r="W2057" s="26"/>
    </row>
    <row r="2058" spans="1:23" x14ac:dyDescent="0.25">
      <c r="A2058" s="26" t="str">
        <f t="shared" si="385"/>
        <v>PREESCOLAR</v>
      </c>
      <c r="B2058" s="26" t="str">
        <f>"09PJN4174U"</f>
        <v>09PJN4174U</v>
      </c>
      <c r="C2058" s="26" t="str">
        <f>"INSTITUTO ANDRE LAPIERRE                                                                            "</f>
        <v xml:space="preserve">INSTITUTO ANDRE LAPIERRE                                                                            </v>
      </c>
      <c r="D2058" s="26" t="str">
        <f t="shared" si="378"/>
        <v>MATUTINO</v>
      </c>
      <c r="E2058" s="26" t="str">
        <f>"CHICOASEN MZ. 302 LT. 16                                                        "</f>
        <v xml:space="preserve">CHICOASEN MZ. 302 LT. 16                                                        </v>
      </c>
      <c r="F2058" s="26" t="str">
        <f>"TORRES DE PADIERNA                                                                                                                          "</f>
        <v xml:space="preserve">TORRES DE PADIERNA                                                                                                                          </v>
      </c>
      <c r="G2058" s="26" t="str">
        <f>"TLALPAN                                                                         "</f>
        <v xml:space="preserve">TLALPAN                                                                         </v>
      </c>
      <c r="H2058" s="26" t="str">
        <f>"135"</f>
        <v>135</v>
      </c>
      <c r="I2058" s="26" t="str">
        <f t="shared" si="386"/>
        <v>00</v>
      </c>
      <c r="J2058" s="26" t="str">
        <f>"35 "</f>
        <v xml:space="preserve">35 </v>
      </c>
      <c r="K2058" s="26" t="str">
        <f t="shared" si="387"/>
        <v>EP</v>
      </c>
      <c r="L2058" s="26" t="str">
        <f t="shared" si="388"/>
        <v>DGOSE</v>
      </c>
      <c r="M2058" s="26" t="str">
        <f t="shared" si="384"/>
        <v>PARTICULAR</v>
      </c>
      <c r="N2058" s="26">
        <v>43</v>
      </c>
      <c r="O2058" s="26">
        <v>25</v>
      </c>
      <c r="P2058" s="26">
        <v>18</v>
      </c>
      <c r="Q2058" s="26">
        <v>3</v>
      </c>
      <c r="R2058" s="26">
        <v>1</v>
      </c>
      <c r="S2058" s="26">
        <v>2</v>
      </c>
      <c r="T2058" s="26">
        <v>4</v>
      </c>
      <c r="U2058" s="26">
        <v>7</v>
      </c>
      <c r="V2058" s="26">
        <v>1</v>
      </c>
      <c r="W2058" s="26"/>
    </row>
    <row r="2059" spans="1:23" x14ac:dyDescent="0.25">
      <c r="A2059" s="26" t="str">
        <f t="shared" si="385"/>
        <v>PREESCOLAR</v>
      </c>
      <c r="B2059" s="26" t="str">
        <f>"09PJN4181D"</f>
        <v>09PJN4181D</v>
      </c>
      <c r="C2059" s="26" t="str">
        <f>"COLEGIO GREENLAND                                                                                   "</f>
        <v xml:space="preserve">COLEGIO GREENLAND                                                                                   </v>
      </c>
      <c r="D2059" s="26" t="str">
        <f t="shared" si="378"/>
        <v>MATUTINO</v>
      </c>
      <c r="E2059" s="26" t="str">
        <f>"JOSE MARIA RICO NO. 617                                                         "</f>
        <v xml:space="preserve">JOSE MARIA RICO NO. 617                                                         </v>
      </c>
      <c r="F2059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2059" s="26" t="str">
        <f>"BENITO JUAREZ                                                                   "</f>
        <v xml:space="preserve">BENITO JUAREZ                                                                   </v>
      </c>
      <c r="H2059" s="26" t="str">
        <f>"110"</f>
        <v>110</v>
      </c>
      <c r="I2059" s="26" t="str">
        <f t="shared" si="386"/>
        <v>00</v>
      </c>
      <c r="J2059" s="26" t="str">
        <f>"33 "</f>
        <v xml:space="preserve">33 </v>
      </c>
      <c r="K2059" s="26" t="str">
        <f t="shared" si="387"/>
        <v>EP</v>
      </c>
      <c r="L2059" s="26" t="str">
        <f t="shared" si="388"/>
        <v>DGOSE</v>
      </c>
      <c r="M2059" s="26" t="str">
        <f t="shared" si="384"/>
        <v>PARTICULAR</v>
      </c>
      <c r="N2059" s="26">
        <v>70</v>
      </c>
      <c r="O2059" s="26">
        <v>42</v>
      </c>
      <c r="P2059" s="26">
        <v>28</v>
      </c>
      <c r="Q2059" s="26">
        <v>4</v>
      </c>
      <c r="R2059" s="26">
        <v>1</v>
      </c>
      <c r="S2059" s="26">
        <v>2</v>
      </c>
      <c r="T2059" s="26">
        <v>10</v>
      </c>
      <c r="U2059" s="26">
        <v>13</v>
      </c>
      <c r="V2059" s="26">
        <v>1</v>
      </c>
      <c r="W2059" s="26"/>
    </row>
    <row r="2060" spans="1:23" x14ac:dyDescent="0.25">
      <c r="A2060" s="26" t="str">
        <f t="shared" si="385"/>
        <v>PREESCOLAR</v>
      </c>
      <c r="B2060" s="26" t="str">
        <f>"09PJN4185Z"</f>
        <v>09PJN4185Z</v>
      </c>
      <c r="C2060" s="26" t="str">
        <f>"JARDIN PARA NIÑOS INSTITUTO ANA MARIA ALFARO                                                        "</f>
        <v xml:space="preserve">JARDIN PARA NIÑOS INSTITUTO ANA MARIA ALFARO                                                        </v>
      </c>
      <c r="D2060" s="26" t="str">
        <f t="shared" si="378"/>
        <v>MATUTINO</v>
      </c>
      <c r="E2060" s="26" t="str">
        <f>"AV. LA GARITA NO. 135                                                           "</f>
        <v xml:space="preserve">AV. LA GARITA NO. 135                                                           </v>
      </c>
      <c r="F2060" s="26" t="str">
        <f>"RESIDENCIAL VILLA COAPA                                                                                                                     "</f>
        <v xml:space="preserve">RESIDENCIAL VILLA COAPA                                                                                                                     </v>
      </c>
      <c r="G2060" s="26" t="str">
        <f>"TLALPAN                                                                         "</f>
        <v xml:space="preserve">TLALPAN                                                                         </v>
      </c>
      <c r="H2060" s="26" t="str">
        <f>"276"</f>
        <v>276</v>
      </c>
      <c r="I2060" s="26" t="str">
        <f t="shared" si="386"/>
        <v>00</v>
      </c>
      <c r="J2060" s="26" t="str">
        <f>"35 "</f>
        <v xml:space="preserve">35 </v>
      </c>
      <c r="K2060" s="26" t="str">
        <f t="shared" si="387"/>
        <v>EP</v>
      </c>
      <c r="L2060" s="26" t="str">
        <f t="shared" si="388"/>
        <v>DGOSE</v>
      </c>
      <c r="M2060" s="26" t="str">
        <f t="shared" si="384"/>
        <v>PARTICULAR</v>
      </c>
      <c r="N2060" s="26">
        <v>29</v>
      </c>
      <c r="O2060" s="26">
        <v>16</v>
      </c>
      <c r="P2060" s="26">
        <v>13</v>
      </c>
      <c r="Q2060" s="26">
        <v>3</v>
      </c>
      <c r="R2060" s="26">
        <v>1</v>
      </c>
      <c r="S2060" s="26">
        <v>3</v>
      </c>
      <c r="T2060" s="26">
        <v>4</v>
      </c>
      <c r="U2060" s="26">
        <v>8</v>
      </c>
      <c r="V2060" s="26">
        <v>1</v>
      </c>
      <c r="W2060" s="26"/>
    </row>
    <row r="2061" spans="1:23" x14ac:dyDescent="0.25">
      <c r="A2061" s="26" t="str">
        <f t="shared" si="385"/>
        <v>PREESCOLAR</v>
      </c>
      <c r="B2061" s="26" t="str">
        <f>"09PJN4186Z"</f>
        <v>09PJN4186Z</v>
      </c>
      <c r="C2061" s="26" t="str">
        <f>"KINDERGYM                                                                                           "</f>
        <v xml:space="preserve">KINDERGYM                                                                                           </v>
      </c>
      <c r="D2061" s="26" t="str">
        <f t="shared" si="378"/>
        <v>MATUTINO</v>
      </c>
      <c r="E2061" s="26" t="str">
        <f>"SAN FRANCISCO NO. 728 Y 730                                                     "</f>
        <v xml:space="preserve">SAN FRANCISCO NO. 728 Y 730                                                     </v>
      </c>
      <c r="F2061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2061" s="26" t="str">
        <f>"BENITO JUAREZ                                                                   "</f>
        <v xml:space="preserve">BENITO JUAREZ                                                                   </v>
      </c>
      <c r="H2061" s="26" t="str">
        <f>"232"</f>
        <v>232</v>
      </c>
      <c r="I2061" s="26" t="str">
        <f t="shared" si="386"/>
        <v>00</v>
      </c>
      <c r="J2061" s="26" t="str">
        <f>"33 "</f>
        <v xml:space="preserve">33 </v>
      </c>
      <c r="K2061" s="26" t="str">
        <f t="shared" si="387"/>
        <v>EP</v>
      </c>
      <c r="L2061" s="26" t="str">
        <f t="shared" si="388"/>
        <v>DGOSE</v>
      </c>
      <c r="M2061" s="26" t="str">
        <f t="shared" si="384"/>
        <v>PARTICULAR</v>
      </c>
      <c r="N2061" s="26">
        <v>120</v>
      </c>
      <c r="O2061" s="26">
        <v>64</v>
      </c>
      <c r="P2061" s="26">
        <v>56</v>
      </c>
      <c r="Q2061" s="26">
        <v>8</v>
      </c>
      <c r="R2061" s="26">
        <v>1</v>
      </c>
      <c r="S2061" s="26">
        <v>5</v>
      </c>
      <c r="T2061" s="26">
        <v>15</v>
      </c>
      <c r="U2061" s="26">
        <v>21</v>
      </c>
      <c r="V2061" s="26">
        <v>1</v>
      </c>
      <c r="W2061" s="26"/>
    </row>
    <row r="2062" spans="1:23" x14ac:dyDescent="0.25">
      <c r="A2062" s="26" t="str">
        <f t="shared" si="385"/>
        <v>PREESCOLAR</v>
      </c>
      <c r="B2062" s="26" t="str">
        <f>"09PJN4187Y"</f>
        <v>09PJN4187Y</v>
      </c>
      <c r="C2062" s="26" t="str">
        <f>"KINDER GARDEN KRAYOLA                                                                               "</f>
        <v xml:space="preserve">KINDER GARDEN KRAYOLA                                                                               </v>
      </c>
      <c r="D2062" s="26" t="str">
        <f t="shared" si="378"/>
        <v>MATUTINO</v>
      </c>
      <c r="E2062" s="26" t="str">
        <f>"AMORES NO. 1113                                                                 "</f>
        <v xml:space="preserve">AMORES NO. 1113                                                                 </v>
      </c>
      <c r="F2062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2062" s="26" t="str">
        <f>"BENITO JUAREZ                                                                   "</f>
        <v xml:space="preserve">BENITO JUAREZ                                                                   </v>
      </c>
      <c r="H2062" s="26" t="str">
        <f>"231"</f>
        <v>231</v>
      </c>
      <c r="I2062" s="26" t="str">
        <f t="shared" si="386"/>
        <v>00</v>
      </c>
      <c r="J2062" s="26" t="str">
        <f>"33 "</f>
        <v xml:space="preserve">33 </v>
      </c>
      <c r="K2062" s="26" t="str">
        <f t="shared" si="387"/>
        <v>EP</v>
      </c>
      <c r="L2062" s="26" t="str">
        <f t="shared" si="388"/>
        <v>DGOSE</v>
      </c>
      <c r="M2062" s="26" t="str">
        <f t="shared" si="384"/>
        <v>PARTICULAR</v>
      </c>
      <c r="N2062" s="26">
        <v>44</v>
      </c>
      <c r="O2062" s="26">
        <v>21</v>
      </c>
      <c r="P2062" s="26">
        <v>23</v>
      </c>
      <c r="Q2062" s="26">
        <v>3</v>
      </c>
      <c r="R2062" s="26">
        <v>1</v>
      </c>
      <c r="S2062" s="26">
        <v>3</v>
      </c>
      <c r="T2062" s="26">
        <v>3</v>
      </c>
      <c r="U2062" s="26">
        <v>7</v>
      </c>
      <c r="V2062" s="26">
        <v>1</v>
      </c>
      <c r="W2062" s="26"/>
    </row>
    <row r="2063" spans="1:23" x14ac:dyDescent="0.25">
      <c r="A2063" s="26" t="str">
        <f t="shared" si="385"/>
        <v>PREESCOLAR</v>
      </c>
      <c r="B2063" s="26" t="str">
        <f>"09PJN4188X"</f>
        <v>09PJN4188X</v>
      </c>
      <c r="C2063" s="26" t="str">
        <f>"YAYATIA MONTESSORI                                                                                  "</f>
        <v xml:space="preserve">YAYATIA MONTESSORI                                                                                  </v>
      </c>
      <c r="D2063" s="26" t="str">
        <f t="shared" si="378"/>
        <v>MATUTINO</v>
      </c>
      <c r="E2063" s="26" t="str">
        <f>"ROBERTO GAYOL NO. 23                                                            "</f>
        <v xml:space="preserve">ROBERTO GAYOL NO. 23                                                            </v>
      </c>
      <c r="F2063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2063" s="26" t="str">
        <f>"BENITO JUAREZ                                                                   "</f>
        <v xml:space="preserve">BENITO JUAREZ                                                                   </v>
      </c>
      <c r="H2063" s="26" t="str">
        <f>"231"</f>
        <v>231</v>
      </c>
      <c r="I2063" s="26" t="str">
        <f t="shared" si="386"/>
        <v>00</v>
      </c>
      <c r="J2063" s="26" t="str">
        <f>"33 "</f>
        <v xml:space="preserve">33 </v>
      </c>
      <c r="K2063" s="26" t="str">
        <f t="shared" si="387"/>
        <v>EP</v>
      </c>
      <c r="L2063" s="26" t="str">
        <f t="shared" si="388"/>
        <v>DGOSE</v>
      </c>
      <c r="M2063" s="26" t="str">
        <f t="shared" si="384"/>
        <v>PARTICULAR</v>
      </c>
      <c r="N2063" s="26">
        <v>21</v>
      </c>
      <c r="O2063" s="26">
        <v>13</v>
      </c>
      <c r="P2063" s="26">
        <v>8</v>
      </c>
      <c r="Q2063" s="26">
        <v>3</v>
      </c>
      <c r="R2063" s="26">
        <v>1</v>
      </c>
      <c r="S2063" s="26">
        <v>2</v>
      </c>
      <c r="T2063" s="26">
        <v>4</v>
      </c>
      <c r="U2063" s="26">
        <v>7</v>
      </c>
      <c r="V2063" s="26">
        <v>1</v>
      </c>
      <c r="W2063" s="26"/>
    </row>
    <row r="2064" spans="1:23" x14ac:dyDescent="0.25">
      <c r="A2064" s="26" t="str">
        <f t="shared" si="385"/>
        <v>PREESCOLAR</v>
      </c>
      <c r="B2064" s="26" t="str">
        <f>"09PJN4189W"</f>
        <v>09PJN4189W</v>
      </c>
      <c r="C2064" s="26" t="str">
        <f>"KINDER GARDEN MUNDO MÁGICO                                                                          "</f>
        <v xml:space="preserve">KINDER GARDEN MUNDO MÁGICO                                                                          </v>
      </c>
      <c r="D2064" s="26" t="str">
        <f t="shared" si="378"/>
        <v>MATUTINO</v>
      </c>
      <c r="E2064" s="26" t="str">
        <f>"CARRACI NO. 22                                                                  "</f>
        <v xml:space="preserve">CARRACI NO. 22                                                                  </v>
      </c>
      <c r="F2064" s="26" t="str">
        <f>"MIXCOAC                                                                                                                                     "</f>
        <v xml:space="preserve">MIXCOAC                                                                                                                                     </v>
      </c>
      <c r="G2064" s="26" t="str">
        <f>"BENITO JUAREZ                                                                   "</f>
        <v xml:space="preserve">BENITO JUAREZ                                                                   </v>
      </c>
      <c r="H2064" s="26" t="str">
        <f>"110"</f>
        <v>110</v>
      </c>
      <c r="I2064" s="26" t="str">
        <f t="shared" si="386"/>
        <v>00</v>
      </c>
      <c r="J2064" s="26" t="str">
        <f>"33 "</f>
        <v xml:space="preserve">33 </v>
      </c>
      <c r="K2064" s="26" t="str">
        <f t="shared" si="387"/>
        <v>EP</v>
      </c>
      <c r="L2064" s="26" t="str">
        <f t="shared" si="388"/>
        <v>DGOSE</v>
      </c>
      <c r="M2064" s="26" t="str">
        <f t="shared" si="384"/>
        <v>PARTICULAR</v>
      </c>
      <c r="N2064" s="26">
        <v>25</v>
      </c>
      <c r="O2064" s="26">
        <v>14</v>
      </c>
      <c r="P2064" s="26">
        <v>11</v>
      </c>
      <c r="Q2064" s="26">
        <v>3</v>
      </c>
      <c r="R2064" s="26">
        <v>1</v>
      </c>
      <c r="S2064" s="26">
        <v>3</v>
      </c>
      <c r="T2064" s="26">
        <v>4</v>
      </c>
      <c r="U2064" s="26">
        <v>8</v>
      </c>
      <c r="V2064" s="26">
        <v>1</v>
      </c>
      <c r="W2064" s="26"/>
    </row>
    <row r="2065" spans="1:23" x14ac:dyDescent="0.25">
      <c r="A2065" s="26" t="str">
        <f t="shared" si="385"/>
        <v>PREESCOLAR</v>
      </c>
      <c r="B2065" s="26" t="str">
        <f>"09PJN4192J"</f>
        <v>09PJN4192J</v>
      </c>
      <c r="C2065" s="26" t="str">
        <f>"CENTRO ESCOLAR INFANTIL BILINGÜE BAMBI                                                              "</f>
        <v xml:space="preserve">CENTRO ESCOLAR INFANTIL BILINGÜE BAMBI                                                              </v>
      </c>
      <c r="D2065" s="26" t="str">
        <f t="shared" si="378"/>
        <v>MATUTINO</v>
      </c>
      <c r="E2065" s="26" t="str">
        <f>"CARBONO NO. 8                                                                   "</f>
        <v xml:space="preserve">CARBONO NO. 8                                                                   </v>
      </c>
      <c r="F2065" s="26" t="str">
        <f>"UNIDAD INFONAVIT EL ROSARIO                                                                                                                 "</f>
        <v xml:space="preserve">UNIDAD INFONAVIT EL ROSARIO                                                                                                                 </v>
      </c>
      <c r="G2065" s="26" t="str">
        <f>"AZCAPOTZALCO                                                                    "</f>
        <v xml:space="preserve">AZCAPOTZALCO                                                                    </v>
      </c>
      <c r="H2065" s="26" t="str">
        <f>"009"</f>
        <v>009</v>
      </c>
      <c r="I2065" s="26" t="str">
        <f t="shared" si="386"/>
        <v>00</v>
      </c>
      <c r="J2065" s="26" t="str">
        <f>"32 "</f>
        <v xml:space="preserve">32 </v>
      </c>
      <c r="K2065" s="26" t="str">
        <f t="shared" si="387"/>
        <v>EP</v>
      </c>
      <c r="L2065" s="26" t="str">
        <f t="shared" si="388"/>
        <v>DGOSE</v>
      </c>
      <c r="M2065" s="26" t="str">
        <f t="shared" si="384"/>
        <v>PARTICULAR</v>
      </c>
      <c r="N2065" s="26">
        <v>34</v>
      </c>
      <c r="O2065" s="26">
        <v>18</v>
      </c>
      <c r="P2065" s="26">
        <v>16</v>
      </c>
      <c r="Q2065" s="26">
        <v>3</v>
      </c>
      <c r="R2065" s="26">
        <v>1</v>
      </c>
      <c r="S2065" s="26">
        <v>3</v>
      </c>
      <c r="T2065" s="26">
        <v>1</v>
      </c>
      <c r="U2065" s="26">
        <v>5</v>
      </c>
      <c r="V2065" s="26">
        <v>1</v>
      </c>
      <c r="W2065" s="26"/>
    </row>
    <row r="2066" spans="1:23" x14ac:dyDescent="0.25">
      <c r="A2066" s="26" t="str">
        <f t="shared" si="385"/>
        <v>PREESCOLAR</v>
      </c>
      <c r="B2066" s="26" t="str">
        <f>"09PJN4193I"</f>
        <v>09PJN4193I</v>
      </c>
      <c r="C2066" s="26" t="str">
        <f>"INSTITUTO INESIANO                                                                                  "</f>
        <v xml:space="preserve">INSTITUTO INESIANO                                                                                  </v>
      </c>
      <c r="D2066" s="26" t="str">
        <f t="shared" si="378"/>
        <v>MATUTINO</v>
      </c>
      <c r="E2066" s="26" t="str">
        <f>"AMORES NO. 923                                                                  "</f>
        <v xml:space="preserve">AMORES NO. 923                                                                  </v>
      </c>
      <c r="F2066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2066" s="26" t="str">
        <f>"BENITO JUAREZ                                                                   "</f>
        <v xml:space="preserve">BENITO JUAREZ                                                                   </v>
      </c>
      <c r="H2066" s="26" t="str">
        <f>"231"</f>
        <v>231</v>
      </c>
      <c r="I2066" s="26" t="str">
        <f t="shared" si="386"/>
        <v>00</v>
      </c>
      <c r="J2066" s="26" t="str">
        <f>"33 "</f>
        <v xml:space="preserve">33 </v>
      </c>
      <c r="K2066" s="26" t="str">
        <f t="shared" si="387"/>
        <v>EP</v>
      </c>
      <c r="L2066" s="26" t="str">
        <f t="shared" si="388"/>
        <v>DGOSE</v>
      </c>
      <c r="M2066" s="26" t="str">
        <f t="shared" si="384"/>
        <v>PARTICULAR</v>
      </c>
      <c r="N2066" s="26">
        <v>14</v>
      </c>
      <c r="O2066" s="26">
        <v>9</v>
      </c>
      <c r="P2066" s="26">
        <v>5</v>
      </c>
      <c r="Q2066" s="26">
        <v>3</v>
      </c>
      <c r="R2066" s="26">
        <v>1</v>
      </c>
      <c r="S2066" s="26">
        <v>2</v>
      </c>
      <c r="T2066" s="26">
        <v>6</v>
      </c>
      <c r="U2066" s="26">
        <v>9</v>
      </c>
      <c r="V2066" s="26">
        <v>1</v>
      </c>
      <c r="W2066" s="26"/>
    </row>
    <row r="2067" spans="1:23" x14ac:dyDescent="0.25">
      <c r="A2067" s="26" t="str">
        <f t="shared" si="385"/>
        <v>PREESCOLAR</v>
      </c>
      <c r="B2067" s="26" t="str">
        <f>"09PJN4194H"</f>
        <v>09PJN4194H</v>
      </c>
      <c r="C2067" s="26" t="str">
        <f>"TOTS                                                                                                "</f>
        <v xml:space="preserve">TOTS                                                                                                </v>
      </c>
      <c r="D2067" s="26" t="str">
        <f t="shared" si="378"/>
        <v>MATUTINO</v>
      </c>
      <c r="E2067" s="26" t="str">
        <f>"NICOLAS SAN JUAN NO. 1429                                                       "</f>
        <v xml:space="preserve">NICOLAS SAN JUAN NO. 1429                                                       </v>
      </c>
      <c r="F2067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2067" s="26" t="str">
        <f>"BENITO JUAREZ                                                                   "</f>
        <v xml:space="preserve">BENITO JUAREZ                                                                   </v>
      </c>
      <c r="H2067" s="26" t="str">
        <f>"231"</f>
        <v>231</v>
      </c>
      <c r="I2067" s="26" t="str">
        <f t="shared" si="386"/>
        <v>00</v>
      </c>
      <c r="J2067" s="26" t="str">
        <f>"33 "</f>
        <v xml:space="preserve">33 </v>
      </c>
      <c r="K2067" s="26" t="str">
        <f t="shared" si="387"/>
        <v>EP</v>
      </c>
      <c r="L2067" s="26" t="str">
        <f t="shared" si="388"/>
        <v>DGOSE</v>
      </c>
      <c r="M2067" s="26" t="str">
        <f t="shared" si="384"/>
        <v>PARTICULAR</v>
      </c>
      <c r="N2067" s="26">
        <v>27</v>
      </c>
      <c r="O2067" s="26">
        <v>15</v>
      </c>
      <c r="P2067" s="26">
        <v>12</v>
      </c>
      <c r="Q2067" s="26">
        <v>3</v>
      </c>
      <c r="R2067" s="26">
        <v>1</v>
      </c>
      <c r="S2067" s="26">
        <v>3</v>
      </c>
      <c r="T2067" s="26">
        <v>4</v>
      </c>
      <c r="U2067" s="26">
        <v>8</v>
      </c>
      <c r="V2067" s="26">
        <v>1</v>
      </c>
      <c r="W2067" s="26"/>
    </row>
    <row r="2068" spans="1:23" x14ac:dyDescent="0.25">
      <c r="A2068" s="26" t="str">
        <f t="shared" si="385"/>
        <v>PREESCOLAR</v>
      </c>
      <c r="B2068" s="26" t="str">
        <f>"09PJN4196F"</f>
        <v>09PJN4196F</v>
      </c>
      <c r="C2068" s="26" t="str">
        <f>"COLEGIO MEXICO NUEVO                                                                                "</f>
        <v xml:space="preserve">COLEGIO MEXICO NUEVO                                                                                </v>
      </c>
      <c r="D2068" s="26" t="str">
        <f t="shared" si="378"/>
        <v>MATUTINO</v>
      </c>
      <c r="E2068" s="26" t="str">
        <f>"HUILOAPAN MZA. 75 LT. 9 NO. 2002                                                "</f>
        <v xml:space="preserve">HUILOAPAN MZA. 75 LT. 9 NO. 2002                                                </v>
      </c>
      <c r="F2068" s="26" t="str">
        <f>"SAN FELIPE DE JESUS                                                                                                                         "</f>
        <v xml:space="preserve">SAN FELIPE DE JESUS                                                                                                                         </v>
      </c>
      <c r="G2068" s="26" t="str">
        <f>"GUSTAVO A. MADERO                                                               "</f>
        <v xml:space="preserve">GUSTAVO A. MADERO                                                               </v>
      </c>
      <c r="H2068" s="26" t="str">
        <f>"152"</f>
        <v>152</v>
      </c>
      <c r="I2068" s="26" t="str">
        <f t="shared" si="386"/>
        <v>00</v>
      </c>
      <c r="J2068" s="26" t="str">
        <f>"32 "</f>
        <v xml:space="preserve">32 </v>
      </c>
      <c r="K2068" s="26" t="str">
        <f t="shared" si="387"/>
        <v>EP</v>
      </c>
      <c r="L2068" s="26" t="str">
        <f t="shared" si="388"/>
        <v>DGOSE</v>
      </c>
      <c r="M2068" s="26" t="str">
        <f t="shared" si="384"/>
        <v>PARTICULAR</v>
      </c>
      <c r="N2068" s="26">
        <v>40</v>
      </c>
      <c r="O2068" s="26">
        <v>25</v>
      </c>
      <c r="P2068" s="26">
        <v>15</v>
      </c>
      <c r="Q2068" s="26">
        <v>3</v>
      </c>
      <c r="R2068" s="26">
        <v>1</v>
      </c>
      <c r="S2068" s="26">
        <v>3</v>
      </c>
      <c r="T2068" s="26">
        <v>2</v>
      </c>
      <c r="U2068" s="26">
        <v>6</v>
      </c>
      <c r="V2068" s="26">
        <v>1</v>
      </c>
      <c r="W2068" s="26"/>
    </row>
    <row r="2069" spans="1:23" x14ac:dyDescent="0.25">
      <c r="A2069" s="26" t="str">
        <f t="shared" si="385"/>
        <v>PREESCOLAR</v>
      </c>
      <c r="B2069" s="26" t="str">
        <f>"09PJN4197E"</f>
        <v>09PJN4197E</v>
      </c>
      <c r="C2069" s="26" t="str">
        <f>"COLEGIO WALDEN DOS                                                                                  "</f>
        <v xml:space="preserve">COLEGIO WALDEN DOS                                                                                  </v>
      </c>
      <c r="D2069" s="26" t="str">
        <f t="shared" si="378"/>
        <v>MATUTINO</v>
      </c>
      <c r="E2069" s="26" t="str">
        <f>"SAN  FRANCISCO NO. 12-A                                                         "</f>
        <v xml:space="preserve">SAN  FRANCISCO NO. 12-A                                                         </v>
      </c>
      <c r="F2069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2069" s="26" t="str">
        <f>"BENITO JUAREZ                                                                   "</f>
        <v xml:space="preserve">BENITO JUAREZ                                                                   </v>
      </c>
      <c r="H2069" s="26" t="str">
        <f>"232"</f>
        <v>232</v>
      </c>
      <c r="I2069" s="26" t="str">
        <f t="shared" si="386"/>
        <v>00</v>
      </c>
      <c r="J2069" s="26" t="str">
        <f>"33 "</f>
        <v xml:space="preserve">33 </v>
      </c>
      <c r="K2069" s="26" t="str">
        <f t="shared" si="387"/>
        <v>EP</v>
      </c>
      <c r="L2069" s="26" t="str">
        <f t="shared" si="388"/>
        <v>DGOSE</v>
      </c>
      <c r="M2069" s="26" t="str">
        <f t="shared" si="384"/>
        <v>PARTICULAR</v>
      </c>
      <c r="N2069" s="26">
        <v>51</v>
      </c>
      <c r="O2069" s="26">
        <v>32</v>
      </c>
      <c r="P2069" s="26">
        <v>19</v>
      </c>
      <c r="Q2069" s="26">
        <v>5</v>
      </c>
      <c r="R2069" s="26">
        <v>1</v>
      </c>
      <c r="S2069" s="26">
        <v>3</v>
      </c>
      <c r="T2069" s="26">
        <v>9</v>
      </c>
      <c r="U2069" s="26">
        <v>13</v>
      </c>
      <c r="V2069" s="26">
        <v>1</v>
      </c>
      <c r="W2069" s="26"/>
    </row>
    <row r="2070" spans="1:23" x14ac:dyDescent="0.25">
      <c r="A2070" s="26" t="str">
        <f t="shared" si="385"/>
        <v>PREESCOLAR</v>
      </c>
      <c r="B2070" s="26" t="str">
        <f>"09PJN4198D"</f>
        <v>09PJN4198D</v>
      </c>
      <c r="C2070" s="26" t="str">
        <f>"BABY KINGDOM DEL VALLE                                                                              "</f>
        <v xml:space="preserve">BABY KINGDOM DEL VALLE                                                                              </v>
      </c>
      <c r="D2070" s="26" t="str">
        <f t="shared" si="378"/>
        <v>MATUTINO</v>
      </c>
      <c r="E2070" s="26" t="str">
        <f>"PITAGORAS NO. 541                                                               "</f>
        <v xml:space="preserve">PITAGORAS NO. 541                                                               </v>
      </c>
      <c r="F2070" s="26" t="str">
        <f>"NARVARTE                                                                                                                                    "</f>
        <v xml:space="preserve">NARVARTE                                                                                                                                    </v>
      </c>
      <c r="G2070" s="26" t="str">
        <f>"BENITO JUAREZ                                                                   "</f>
        <v xml:space="preserve">BENITO JUAREZ                                                                   </v>
      </c>
      <c r="H2070" s="26" t="str">
        <f>"090"</f>
        <v>090</v>
      </c>
      <c r="I2070" s="26" t="str">
        <f t="shared" si="386"/>
        <v>00</v>
      </c>
      <c r="J2070" s="26" t="str">
        <f>"33 "</f>
        <v xml:space="preserve">33 </v>
      </c>
      <c r="K2070" s="26" t="str">
        <f t="shared" si="387"/>
        <v>EP</v>
      </c>
      <c r="L2070" s="26" t="str">
        <f t="shared" si="388"/>
        <v>DGOSE</v>
      </c>
      <c r="M2070" s="26" t="str">
        <f t="shared" si="384"/>
        <v>PARTICULAR</v>
      </c>
      <c r="N2070" s="26">
        <v>54</v>
      </c>
      <c r="O2070" s="26">
        <v>33</v>
      </c>
      <c r="P2070" s="26">
        <v>21</v>
      </c>
      <c r="Q2070" s="26">
        <v>3</v>
      </c>
      <c r="R2070" s="26">
        <v>1</v>
      </c>
      <c r="S2070" s="26">
        <v>3</v>
      </c>
      <c r="T2070" s="26">
        <v>1</v>
      </c>
      <c r="U2070" s="26">
        <v>5</v>
      </c>
      <c r="V2070" s="26">
        <v>1</v>
      </c>
      <c r="W2070" s="26"/>
    </row>
    <row r="2071" spans="1:23" x14ac:dyDescent="0.25">
      <c r="A2071" s="26" t="str">
        <f t="shared" si="385"/>
        <v>PREESCOLAR</v>
      </c>
      <c r="B2071" s="26" t="str">
        <f>"09PJN4202Z"</f>
        <v>09PJN4202Z</v>
      </c>
      <c r="C2071" s="26" t="str">
        <f>"JARDIN DE NIÑOS GENESIS                                                                             "</f>
        <v xml:space="preserve">JARDIN DE NIÑOS GENESIS                                                                             </v>
      </c>
      <c r="D2071" s="26" t="str">
        <f t="shared" si="378"/>
        <v>MATUTINO</v>
      </c>
      <c r="E2071" s="26" t="str">
        <f>"FRANCISCO J. MACIN NO. 253                                                      "</f>
        <v xml:space="preserve">FRANCISCO J. MACIN NO. 253                                                      </v>
      </c>
      <c r="F2071" s="26" t="str">
        <f>"UNIDAD HABITACIONAL EL RISCO CTM                                                                                                            "</f>
        <v xml:space="preserve">UNIDAD HABITACIONAL EL RISCO CTM                                                                                                            </v>
      </c>
      <c r="G2071" s="26" t="str">
        <f>"GUSTAVO A. MADERO                                                               "</f>
        <v xml:space="preserve">GUSTAVO A. MADERO                                                               </v>
      </c>
      <c r="H2071" s="26" t="str">
        <f>"191"</f>
        <v>191</v>
      </c>
      <c r="I2071" s="26" t="str">
        <f t="shared" si="386"/>
        <v>00</v>
      </c>
      <c r="J2071" s="26" t="str">
        <f>"32 "</f>
        <v xml:space="preserve">32 </v>
      </c>
      <c r="K2071" s="26" t="str">
        <f t="shared" si="387"/>
        <v>EP</v>
      </c>
      <c r="L2071" s="26" t="str">
        <f t="shared" si="388"/>
        <v>DGOSE</v>
      </c>
      <c r="M2071" s="26" t="str">
        <f t="shared" si="384"/>
        <v>PARTICULAR</v>
      </c>
      <c r="N2071" s="26">
        <v>55</v>
      </c>
      <c r="O2071" s="26">
        <v>26</v>
      </c>
      <c r="P2071" s="26">
        <v>29</v>
      </c>
      <c r="Q2071" s="26">
        <v>4</v>
      </c>
      <c r="R2071" s="26">
        <v>1</v>
      </c>
      <c r="S2071" s="26">
        <v>4</v>
      </c>
      <c r="T2071" s="26">
        <v>4</v>
      </c>
      <c r="U2071" s="26">
        <v>9</v>
      </c>
      <c r="V2071" s="26">
        <v>1</v>
      </c>
      <c r="W2071" s="26"/>
    </row>
    <row r="2072" spans="1:23" x14ac:dyDescent="0.25">
      <c r="A2072" s="26" t="str">
        <f t="shared" si="385"/>
        <v>PREESCOLAR</v>
      </c>
      <c r="B2072" s="26" t="str">
        <f>"09PJN4204Y"</f>
        <v>09PJN4204Y</v>
      </c>
      <c r="C2072" s="26" t="str">
        <f>"JARDÍN DE NIÑOS CARRUSEL                                                                            "</f>
        <v xml:space="preserve">JARDÍN DE NIÑOS CARRUSEL                                                                            </v>
      </c>
      <c r="D2072" s="26" t="str">
        <f t="shared" si="378"/>
        <v>MATUTINO</v>
      </c>
      <c r="E2072" s="26" t="str">
        <f>"XOCHIAPAN NO. 173                                                               "</f>
        <v xml:space="preserve">XOCHIAPAN NO. 173                                                               </v>
      </c>
      <c r="F2072" s="26" t="str">
        <f>"PEDREGAL DE SANTO DOMINGO                                                                                                                   "</f>
        <v xml:space="preserve">PEDREGAL DE SANTO DOMINGO                                                                                                                   </v>
      </c>
      <c r="G2072" s="26" t="str">
        <f>"COYOACAN                                                                        "</f>
        <v xml:space="preserve">COYOACAN                                                                        </v>
      </c>
      <c r="H2072" s="26" t="str">
        <f>"137"</f>
        <v>137</v>
      </c>
      <c r="I2072" s="26" t="str">
        <f t="shared" si="386"/>
        <v>00</v>
      </c>
      <c r="J2072" s="26" t="str">
        <f>"35 "</f>
        <v xml:space="preserve">35 </v>
      </c>
      <c r="K2072" s="26" t="str">
        <f t="shared" si="387"/>
        <v>EP</v>
      </c>
      <c r="L2072" s="26" t="str">
        <f t="shared" si="388"/>
        <v>DGOSE</v>
      </c>
      <c r="M2072" s="26" t="str">
        <f t="shared" si="384"/>
        <v>PARTICULAR</v>
      </c>
      <c r="N2072" s="26">
        <v>28</v>
      </c>
      <c r="O2072" s="26">
        <v>12</v>
      </c>
      <c r="P2072" s="26">
        <v>16</v>
      </c>
      <c r="Q2072" s="26">
        <v>3</v>
      </c>
      <c r="R2072" s="26">
        <v>1</v>
      </c>
      <c r="S2072" s="26">
        <v>2</v>
      </c>
      <c r="T2072" s="26">
        <v>2</v>
      </c>
      <c r="U2072" s="26">
        <v>5</v>
      </c>
      <c r="V2072" s="26">
        <v>1</v>
      </c>
      <c r="W2072" s="26"/>
    </row>
    <row r="2073" spans="1:23" x14ac:dyDescent="0.25">
      <c r="A2073" s="26" t="str">
        <f t="shared" si="385"/>
        <v>PREESCOLAR</v>
      </c>
      <c r="B2073" s="26" t="str">
        <f>"09PJN4206W"</f>
        <v>09PJN4206W</v>
      </c>
      <c r="C2073" s="26" t="str">
        <f>"KINDER MONTESSORI YAMILETH                                                                          "</f>
        <v xml:space="preserve">KINDER MONTESSORI YAMILETH                                                                          </v>
      </c>
      <c r="D2073" s="26" t="str">
        <f t="shared" si="378"/>
        <v>MATUTINO</v>
      </c>
      <c r="E2073" s="26" t="str">
        <f>"1ER. RETORNO DE MARIQUITA SANCHEZ NO. 23                                        "</f>
        <v xml:space="preserve">1ER. RETORNO DE MARIQUITA SANCHEZ NO. 23                                        </v>
      </c>
      <c r="F2073" s="26" t="str">
        <f>"UNIDAD OBRERO HABITACIONAL CTM CULH                                                                                                         "</f>
        <v xml:space="preserve">UNIDAD OBRERO HABITACIONAL CTM CULH                                                                                                         </v>
      </c>
      <c r="G2073" s="26" t="str">
        <f>"COYOACAN                                                                        "</f>
        <v xml:space="preserve">COYOACAN                                                                        </v>
      </c>
      <c r="H2073" s="26" t="str">
        <f>"099"</f>
        <v>099</v>
      </c>
      <c r="I2073" s="26" t="str">
        <f t="shared" si="386"/>
        <v>00</v>
      </c>
      <c r="J2073" s="26" t="str">
        <f>"35 "</f>
        <v xml:space="preserve">35 </v>
      </c>
      <c r="K2073" s="26" t="str">
        <f t="shared" si="387"/>
        <v>EP</v>
      </c>
      <c r="L2073" s="26" t="str">
        <f t="shared" si="388"/>
        <v>DGOSE</v>
      </c>
      <c r="M2073" s="26" t="str">
        <f t="shared" si="384"/>
        <v>PARTICULAR</v>
      </c>
      <c r="N2073" s="26">
        <v>11</v>
      </c>
      <c r="O2073" s="26">
        <v>5</v>
      </c>
      <c r="P2073" s="26">
        <v>6</v>
      </c>
      <c r="Q2073" s="26">
        <v>3</v>
      </c>
      <c r="R2073" s="26">
        <v>1</v>
      </c>
      <c r="S2073" s="26">
        <v>1</v>
      </c>
      <c r="T2073" s="26">
        <v>0</v>
      </c>
      <c r="U2073" s="26">
        <v>2</v>
      </c>
      <c r="V2073" s="26">
        <v>1</v>
      </c>
      <c r="W2073" s="26"/>
    </row>
    <row r="2074" spans="1:23" x14ac:dyDescent="0.25">
      <c r="A2074" s="26" t="str">
        <f t="shared" si="385"/>
        <v>PREESCOLAR</v>
      </c>
      <c r="B2074" s="26" t="str">
        <f>"09PJN4207V"</f>
        <v>09PJN4207V</v>
      </c>
      <c r="C2074" s="26" t="str">
        <f>"JARDÍN DE NIÑOS ALMENDRITA                                                                          "</f>
        <v xml:space="preserve">JARDÍN DE NIÑOS ALMENDRITA                                                                          </v>
      </c>
      <c r="D2074" s="26" t="str">
        <f t="shared" si="378"/>
        <v>MATUTINO</v>
      </c>
      <c r="E2074" s="26" t="str">
        <f>"PALMAS NO. 160                                                                  "</f>
        <v xml:space="preserve">PALMAS NO. 160                                                                  </v>
      </c>
      <c r="F2074" s="26" t="str">
        <f>"EL TORO                                                                                                                                     "</f>
        <v xml:space="preserve">EL TORO                                                                                                                                     </v>
      </c>
      <c r="G2074" s="26" t="str">
        <f>"LA MAGDALENA CONTRERAS                                                          "</f>
        <v xml:space="preserve">LA MAGDALENA CONTRERAS                                                          </v>
      </c>
      <c r="H2074" s="26" t="str">
        <f>"112"</f>
        <v>112</v>
      </c>
      <c r="I2074" s="26" t="str">
        <f t="shared" si="386"/>
        <v>00</v>
      </c>
      <c r="J2074" s="26" t="str">
        <f>"35 "</f>
        <v xml:space="preserve">35 </v>
      </c>
      <c r="K2074" s="26" t="str">
        <f t="shared" si="387"/>
        <v>EP</v>
      </c>
      <c r="L2074" s="26" t="str">
        <f t="shared" si="388"/>
        <v>DGOSE</v>
      </c>
      <c r="M2074" s="26" t="str">
        <f t="shared" si="384"/>
        <v>PARTICULAR</v>
      </c>
      <c r="N2074" s="26">
        <v>29</v>
      </c>
      <c r="O2074" s="26">
        <v>14</v>
      </c>
      <c r="P2074" s="26">
        <v>15</v>
      </c>
      <c r="Q2074" s="26">
        <v>3</v>
      </c>
      <c r="R2074" s="26">
        <v>1</v>
      </c>
      <c r="S2074" s="26">
        <v>3</v>
      </c>
      <c r="T2074" s="26">
        <v>1</v>
      </c>
      <c r="U2074" s="26">
        <v>5</v>
      </c>
      <c r="V2074" s="26">
        <v>1</v>
      </c>
      <c r="W2074" s="26"/>
    </row>
    <row r="2075" spans="1:23" x14ac:dyDescent="0.25">
      <c r="A2075" s="26" t="str">
        <f t="shared" si="385"/>
        <v>PREESCOLAR</v>
      </c>
      <c r="B2075" s="26" t="str">
        <f>"09PJN4208U"</f>
        <v>09PJN4208U</v>
      </c>
      <c r="C2075" s="26" t="str">
        <f>"MONTESSORI MATATENA                                                                                 "</f>
        <v xml:space="preserve">MONTESSORI MATATENA                                                                                 </v>
      </c>
      <c r="D2075" s="26" t="str">
        <f t="shared" ref="D2075:D2120" si="389">"MATUTINO"</f>
        <v>MATUTINO</v>
      </c>
      <c r="E2075" s="26" t="str">
        <f>"AUGUSTO RODIN NO. 398                                                           "</f>
        <v xml:space="preserve">AUGUSTO RODIN NO. 398                                                           </v>
      </c>
      <c r="F2075" s="26" t="str">
        <f>"SAN JUAN                                                                                                                                    "</f>
        <v xml:space="preserve">SAN JUAN                                                                                                                                    </v>
      </c>
      <c r="G2075" s="26" t="str">
        <f>"BENITO JUAREZ                                                                   "</f>
        <v xml:space="preserve">BENITO JUAREZ                                                                   </v>
      </c>
      <c r="H2075" s="26" t="str">
        <f>"110"</f>
        <v>110</v>
      </c>
      <c r="I2075" s="26" t="str">
        <f t="shared" si="386"/>
        <v>00</v>
      </c>
      <c r="J2075" s="26" t="str">
        <f>"33 "</f>
        <v xml:space="preserve">33 </v>
      </c>
      <c r="K2075" s="26" t="str">
        <f t="shared" si="387"/>
        <v>EP</v>
      </c>
      <c r="L2075" s="26" t="str">
        <f t="shared" si="388"/>
        <v>DGOSE</v>
      </c>
      <c r="M2075" s="26" t="str">
        <f t="shared" si="384"/>
        <v>PARTICULAR</v>
      </c>
      <c r="N2075" s="26">
        <v>22</v>
      </c>
      <c r="O2075" s="26">
        <v>8</v>
      </c>
      <c r="P2075" s="26">
        <v>14</v>
      </c>
      <c r="Q2075" s="26">
        <v>3</v>
      </c>
      <c r="R2075" s="26">
        <v>1</v>
      </c>
      <c r="S2075" s="26">
        <v>1</v>
      </c>
      <c r="T2075" s="26">
        <v>2</v>
      </c>
      <c r="U2075" s="26">
        <v>4</v>
      </c>
      <c r="V2075" s="26">
        <v>1</v>
      </c>
      <c r="W2075" s="26"/>
    </row>
    <row r="2076" spans="1:23" x14ac:dyDescent="0.25">
      <c r="A2076" s="26" t="str">
        <f t="shared" si="385"/>
        <v>PREESCOLAR</v>
      </c>
      <c r="B2076" s="26" t="str">
        <f>"09PJN4210I"</f>
        <v>09PJN4210I</v>
      </c>
      <c r="C2076" s="26" t="str">
        <f>"JARDÍN DE NIÑOS CORINCA                                                                             "</f>
        <v xml:space="preserve">JARDÍN DE NIÑOS CORINCA                                                                             </v>
      </c>
      <c r="D2076" s="26" t="str">
        <f t="shared" si="389"/>
        <v>MATUTINO</v>
      </c>
      <c r="E2076" s="26" t="str">
        <f>"AVENIDA COYOACAN NO. 1704                                                       "</f>
        <v xml:space="preserve">AVENIDA COYOACAN NO. 1704                                                       </v>
      </c>
      <c r="F2076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2076" s="26" t="str">
        <f>"BENITO JUAREZ                                                                   "</f>
        <v xml:space="preserve">BENITO JUAREZ                                                                   </v>
      </c>
      <c r="H2076" s="26" t="str">
        <f>"110"</f>
        <v>110</v>
      </c>
      <c r="I2076" s="26" t="str">
        <f t="shared" si="386"/>
        <v>00</v>
      </c>
      <c r="J2076" s="26" t="str">
        <f>"33 "</f>
        <v xml:space="preserve">33 </v>
      </c>
      <c r="K2076" s="26" t="str">
        <f t="shared" si="387"/>
        <v>EP</v>
      </c>
      <c r="L2076" s="26" t="str">
        <f t="shared" si="388"/>
        <v>DGOSE</v>
      </c>
      <c r="M2076" s="26" t="str">
        <f t="shared" si="384"/>
        <v>PARTICULAR</v>
      </c>
      <c r="N2076" s="26">
        <v>60</v>
      </c>
      <c r="O2076" s="26">
        <v>36</v>
      </c>
      <c r="P2076" s="26">
        <v>24</v>
      </c>
      <c r="Q2076" s="26">
        <v>3</v>
      </c>
      <c r="R2076" s="26">
        <v>1</v>
      </c>
      <c r="S2076" s="26">
        <v>3</v>
      </c>
      <c r="T2076" s="26">
        <v>4</v>
      </c>
      <c r="U2076" s="26">
        <v>8</v>
      </c>
      <c r="V2076" s="26">
        <v>1</v>
      </c>
      <c r="W2076" s="26"/>
    </row>
    <row r="2077" spans="1:23" x14ac:dyDescent="0.25">
      <c r="A2077" s="26" t="str">
        <f t="shared" si="385"/>
        <v>PREESCOLAR</v>
      </c>
      <c r="B2077" s="26" t="str">
        <f>"09PJN4214E"</f>
        <v>09PJN4214E</v>
      </c>
      <c r="C2077" s="26" t="str">
        <f>"INSTITUTO PEDAGOGICO GISELLE                                                                        "</f>
        <v xml:space="preserve">INSTITUTO PEDAGOGICO GISELLE                                                                        </v>
      </c>
      <c r="D2077" s="26" t="str">
        <f t="shared" si="389"/>
        <v>MATUTINO</v>
      </c>
      <c r="E2077" s="26" t="str">
        <f>"AV. TLAHUAC NO. 6121                                                            "</f>
        <v xml:space="preserve">AV. TLAHUAC NO. 6121                                                            </v>
      </c>
      <c r="F2077" s="26" t="str">
        <f>"MIGUEL HIDALGO                                                                                                                              "</f>
        <v xml:space="preserve">MIGUEL HIDALGO                                                                                                                              </v>
      </c>
      <c r="G2077" s="26" t="str">
        <f>"TLAHUAC                                                                         "</f>
        <v xml:space="preserve">TLAHUAC                                                                         </v>
      </c>
      <c r="H2077" s="26" t="str">
        <f>"242"</f>
        <v>242</v>
      </c>
      <c r="I2077" s="26" t="str">
        <f t="shared" si="386"/>
        <v>00</v>
      </c>
      <c r="J2077" s="26" t="str">
        <f>"35 "</f>
        <v xml:space="preserve">35 </v>
      </c>
      <c r="K2077" s="26" t="str">
        <f t="shared" si="387"/>
        <v>EP</v>
      </c>
      <c r="L2077" s="26" t="str">
        <f t="shared" si="388"/>
        <v>DGOSE</v>
      </c>
      <c r="M2077" s="26" t="str">
        <f t="shared" si="384"/>
        <v>PARTICULAR</v>
      </c>
      <c r="N2077" s="26">
        <v>49</v>
      </c>
      <c r="O2077" s="26">
        <v>23</v>
      </c>
      <c r="P2077" s="26">
        <v>26</v>
      </c>
      <c r="Q2077" s="26">
        <v>3</v>
      </c>
      <c r="R2077" s="26">
        <v>1</v>
      </c>
      <c r="S2077" s="26">
        <v>3</v>
      </c>
      <c r="T2077" s="26">
        <v>3</v>
      </c>
      <c r="U2077" s="26">
        <v>7</v>
      </c>
      <c r="V2077" s="26">
        <v>1</v>
      </c>
      <c r="W2077" s="26"/>
    </row>
    <row r="2078" spans="1:23" x14ac:dyDescent="0.25">
      <c r="A2078" s="26" t="str">
        <f t="shared" si="385"/>
        <v>PREESCOLAR</v>
      </c>
      <c r="B2078" s="26" t="str">
        <f>"09PJN4215D"</f>
        <v>09PJN4215D</v>
      </c>
      <c r="C2078" s="26" t="str">
        <f>"SIGMUND FREUD                                                                                       "</f>
        <v xml:space="preserve">SIGMUND FREUD                                                                                       </v>
      </c>
      <c r="D2078" s="26" t="str">
        <f t="shared" si="389"/>
        <v>MATUTINO</v>
      </c>
      <c r="E2078" s="26" t="str">
        <f>"DOMINGO M. RICALDE MZ. 66 LT. 7 Y 455 A                                         "</f>
        <v xml:space="preserve">DOMINGO M. RICALDE MZ. 66 LT. 7 Y 455 A                                         </v>
      </c>
      <c r="F2078" s="26" t="str">
        <f>"SANTA CECILIA                                                                                                                               "</f>
        <v xml:space="preserve">SANTA CECILIA                                                                                                                               </v>
      </c>
      <c r="G2078" s="26" t="str">
        <f>"TLAHUAC                                                                         "</f>
        <v xml:space="preserve">TLAHUAC                                                                         </v>
      </c>
      <c r="H2078" s="26" t="str">
        <f>"142"</f>
        <v>142</v>
      </c>
      <c r="I2078" s="26" t="str">
        <f t="shared" si="386"/>
        <v>00</v>
      </c>
      <c r="J2078" s="26" t="str">
        <f>"35 "</f>
        <v xml:space="preserve">35 </v>
      </c>
      <c r="K2078" s="26" t="str">
        <f t="shared" si="387"/>
        <v>EP</v>
      </c>
      <c r="L2078" s="26" t="str">
        <f t="shared" si="388"/>
        <v>DGOSE</v>
      </c>
      <c r="M2078" s="26" t="str">
        <f t="shared" si="384"/>
        <v>PARTICULAR</v>
      </c>
      <c r="N2078" s="26">
        <v>34</v>
      </c>
      <c r="O2078" s="26">
        <v>18</v>
      </c>
      <c r="P2078" s="26">
        <v>16</v>
      </c>
      <c r="Q2078" s="26">
        <v>3</v>
      </c>
      <c r="R2078" s="26">
        <v>1</v>
      </c>
      <c r="S2078" s="26">
        <v>3</v>
      </c>
      <c r="T2078" s="26">
        <v>2</v>
      </c>
      <c r="U2078" s="26">
        <v>6</v>
      </c>
      <c r="V2078" s="26">
        <v>1</v>
      </c>
      <c r="W2078" s="26"/>
    </row>
    <row r="2079" spans="1:23" x14ac:dyDescent="0.25">
      <c r="A2079" s="26" t="str">
        <f t="shared" si="385"/>
        <v>PREESCOLAR</v>
      </c>
      <c r="B2079" s="26" t="str">
        <f>"09PJN4217B"</f>
        <v>09PJN4217B</v>
      </c>
      <c r="C2079" s="26" t="str">
        <f>"TONANCI                                                                                             "</f>
        <v xml:space="preserve">TONANCI                                                                                             </v>
      </c>
      <c r="D2079" s="26" t="str">
        <f t="shared" si="389"/>
        <v>MATUTINO</v>
      </c>
      <c r="E2079" s="26" t="str">
        <f>"MIGUEL TORRUCO S/N. MZA. 182 LT. 14                                             "</f>
        <v xml:space="preserve">MIGUEL TORRUCO S/N. MZA. 182 LT. 14                                             </v>
      </c>
      <c r="F2079" s="26" t="str">
        <f>"JORGE NEGRETE                                                                                                                               "</f>
        <v xml:space="preserve">JORGE NEGRETE                                                                                                                               </v>
      </c>
      <c r="G2079" s="26" t="str">
        <f>"GUSTAVO A. MADERO                                                               "</f>
        <v xml:space="preserve">GUSTAVO A. MADERO                                                               </v>
      </c>
      <c r="H2079" s="26" t="str">
        <f>"154"</f>
        <v>154</v>
      </c>
      <c r="I2079" s="26" t="str">
        <f t="shared" si="386"/>
        <v>00</v>
      </c>
      <c r="J2079" s="26" t="str">
        <f>"32 "</f>
        <v xml:space="preserve">32 </v>
      </c>
      <c r="K2079" s="26" t="str">
        <f t="shared" si="387"/>
        <v>EP</v>
      </c>
      <c r="L2079" s="26" t="str">
        <f t="shared" si="388"/>
        <v>DGOSE</v>
      </c>
      <c r="M2079" s="26" t="str">
        <f t="shared" si="384"/>
        <v>PARTICULAR</v>
      </c>
      <c r="N2079" s="26">
        <v>16</v>
      </c>
      <c r="O2079" s="26">
        <v>5</v>
      </c>
      <c r="P2079" s="26">
        <v>11</v>
      </c>
      <c r="Q2079" s="26">
        <v>3</v>
      </c>
      <c r="R2079" s="26">
        <v>1</v>
      </c>
      <c r="S2079" s="26">
        <v>3</v>
      </c>
      <c r="T2079" s="26">
        <v>0</v>
      </c>
      <c r="U2079" s="26">
        <v>4</v>
      </c>
      <c r="V2079" s="26">
        <v>1</v>
      </c>
      <c r="W2079" s="26"/>
    </row>
    <row r="2080" spans="1:23" x14ac:dyDescent="0.25">
      <c r="A2080" s="26" t="str">
        <f t="shared" si="385"/>
        <v>PREESCOLAR</v>
      </c>
      <c r="B2080" s="26" t="str">
        <f>"09PJN4218A"</f>
        <v>09PJN4218A</v>
      </c>
      <c r="C2080" s="26" t="str">
        <f>"COLEGIO AMERICANO MONARCA                                                                           "</f>
        <v xml:space="preserve">COLEGIO AMERICANO MONARCA                                                                           </v>
      </c>
      <c r="D2080" s="26" t="str">
        <f t="shared" si="389"/>
        <v>MATUTINO</v>
      </c>
      <c r="E2080" s="26" t="str">
        <f>"RAMON FABIE NO. 221                                                             "</f>
        <v xml:space="preserve">RAMON FABIE NO. 221                                                             </v>
      </c>
      <c r="F2080" s="26" t="str">
        <f>"ASTURIAS                                                                                                                                    "</f>
        <v xml:space="preserve">ASTURIAS                                                                                                                                    </v>
      </c>
      <c r="G2080" s="26" t="s">
        <v>4128</v>
      </c>
      <c r="H2080" s="26" t="str">
        <f>"205"</f>
        <v>205</v>
      </c>
      <c r="I2080" s="26" t="str">
        <f t="shared" si="386"/>
        <v>00</v>
      </c>
      <c r="J2080" s="26" t="str">
        <f>"32 "</f>
        <v xml:space="preserve">32 </v>
      </c>
      <c r="K2080" s="26" t="str">
        <f t="shared" si="387"/>
        <v>EP</v>
      </c>
      <c r="L2080" s="26" t="str">
        <f t="shared" si="388"/>
        <v>DGOSE</v>
      </c>
      <c r="M2080" s="26" t="str">
        <f t="shared" si="384"/>
        <v>PARTICULAR</v>
      </c>
      <c r="N2080" s="26">
        <v>37</v>
      </c>
      <c r="O2080" s="26">
        <v>16</v>
      </c>
      <c r="P2080" s="26">
        <v>21</v>
      </c>
      <c r="Q2080" s="26">
        <v>3</v>
      </c>
      <c r="R2080" s="26">
        <v>1</v>
      </c>
      <c r="S2080" s="26">
        <v>3</v>
      </c>
      <c r="T2080" s="26">
        <v>2</v>
      </c>
      <c r="U2080" s="26">
        <v>6</v>
      </c>
      <c r="V2080" s="26">
        <v>1</v>
      </c>
      <c r="W2080" s="26"/>
    </row>
    <row r="2081" spans="1:23" x14ac:dyDescent="0.25">
      <c r="A2081" s="26" t="str">
        <f t="shared" si="385"/>
        <v>PREESCOLAR</v>
      </c>
      <c r="B2081" s="26" t="str">
        <f>"09PJN4219Z"</f>
        <v>09PJN4219Z</v>
      </c>
      <c r="C2081" s="26" t="str">
        <f>"CENTRO DE EDUCACION INFANTIL PIPIOLO                                                                "</f>
        <v xml:space="preserve">CENTRO DE EDUCACION INFANTIL PIPIOLO                                                                </v>
      </c>
      <c r="D2081" s="26" t="str">
        <f t="shared" si="389"/>
        <v>MATUTINO</v>
      </c>
      <c r="E2081" s="26" t="str">
        <f>"J. GARCIA IZCAZBALCETA NO. 25                                                   "</f>
        <v xml:space="preserve">J. GARCIA IZCAZBALCETA NO. 25                                                   </v>
      </c>
      <c r="F2081" s="26" t="str">
        <f>"SAN RAFAEL                                                                                                                                  "</f>
        <v xml:space="preserve">SAN RAFAEL                                                                                                                                  </v>
      </c>
      <c r="G2081" s="26" t="s">
        <v>4128</v>
      </c>
      <c r="H2081" s="26" t="str">
        <f>"020"</f>
        <v>020</v>
      </c>
      <c r="I2081" s="26" t="str">
        <f t="shared" si="386"/>
        <v>00</v>
      </c>
      <c r="J2081" s="26" t="str">
        <f>"32 "</f>
        <v xml:space="preserve">32 </v>
      </c>
      <c r="K2081" s="26" t="str">
        <f t="shared" si="387"/>
        <v>EP</v>
      </c>
      <c r="L2081" s="26" t="str">
        <f t="shared" si="388"/>
        <v>DGOSE</v>
      </c>
      <c r="M2081" s="26" t="str">
        <f t="shared" si="384"/>
        <v>PARTICULAR</v>
      </c>
      <c r="N2081" s="26">
        <v>22</v>
      </c>
      <c r="O2081" s="26">
        <v>12</v>
      </c>
      <c r="P2081" s="26">
        <v>10</v>
      </c>
      <c r="Q2081" s="26">
        <v>3</v>
      </c>
      <c r="R2081" s="26">
        <v>1</v>
      </c>
      <c r="S2081" s="26">
        <v>3</v>
      </c>
      <c r="T2081" s="26">
        <v>1</v>
      </c>
      <c r="U2081" s="26">
        <v>5</v>
      </c>
      <c r="V2081" s="26">
        <v>1</v>
      </c>
      <c r="W2081" s="26"/>
    </row>
    <row r="2082" spans="1:23" x14ac:dyDescent="0.25">
      <c r="A2082" s="26" t="str">
        <f t="shared" si="385"/>
        <v>PREESCOLAR</v>
      </c>
      <c r="B2082" s="26" t="str">
        <f>"09PJN4221O"</f>
        <v>09PJN4221O</v>
      </c>
      <c r="C2082" s="26" t="str">
        <f>"COLEGIO WILLIAM JAMES                                                                               "</f>
        <v xml:space="preserve">COLEGIO WILLIAM JAMES                                                                               </v>
      </c>
      <c r="D2082" s="26" t="str">
        <f t="shared" si="389"/>
        <v>MATUTINO</v>
      </c>
      <c r="E2082" s="26" t="str">
        <f>"VAN DICK 110                                                                    "</f>
        <v xml:space="preserve">VAN DICK 110                                                                    </v>
      </c>
      <c r="F2082" s="26" t="str">
        <f>"SANTA MARIA NONOALCO                                                                                                                        "</f>
        <v xml:space="preserve">SANTA MARIA NONOALCO                                                                                                                        </v>
      </c>
      <c r="G2082" s="26" t="str">
        <f>"ALVARO OBREGON                                                                  "</f>
        <v xml:space="preserve">ALVARO OBREGON                                                                  </v>
      </c>
      <c r="H2082" s="26" t="str">
        <f>"165"</f>
        <v>165</v>
      </c>
      <c r="I2082" s="26" t="str">
        <f t="shared" si="386"/>
        <v>00</v>
      </c>
      <c r="J2082" s="26" t="str">
        <f>"33 "</f>
        <v xml:space="preserve">33 </v>
      </c>
      <c r="K2082" s="26" t="str">
        <f t="shared" si="387"/>
        <v>EP</v>
      </c>
      <c r="L2082" s="26" t="str">
        <f t="shared" si="388"/>
        <v>DGOSE</v>
      </c>
      <c r="M2082" s="26" t="str">
        <f t="shared" si="384"/>
        <v>PARTICULAR</v>
      </c>
      <c r="N2082" s="26">
        <v>48</v>
      </c>
      <c r="O2082" s="26">
        <v>25</v>
      </c>
      <c r="P2082" s="26">
        <v>23</v>
      </c>
      <c r="Q2082" s="26">
        <v>3</v>
      </c>
      <c r="R2082" s="26">
        <v>1</v>
      </c>
      <c r="S2082" s="26">
        <v>2</v>
      </c>
      <c r="T2082" s="26">
        <v>8</v>
      </c>
      <c r="U2082" s="26">
        <v>11</v>
      </c>
      <c r="V2082" s="26">
        <v>1</v>
      </c>
      <c r="W2082" s="26"/>
    </row>
    <row r="2083" spans="1:23" x14ac:dyDescent="0.25">
      <c r="A2083" s="26" t="str">
        <f t="shared" si="385"/>
        <v>PREESCOLAR</v>
      </c>
      <c r="B2083" s="26" t="str">
        <f>"09PJN4222N"</f>
        <v>09PJN4222N</v>
      </c>
      <c r="C2083" s="26" t="str">
        <f>"AMERICAN CHILDREN WORLD                                                                             "</f>
        <v xml:space="preserve">AMERICAN CHILDREN WORLD                                                                             </v>
      </c>
      <c r="D2083" s="26" t="str">
        <f t="shared" si="389"/>
        <v>MATUTINO</v>
      </c>
      <c r="E2083" s="26" t="str">
        <f>"AVENIDA 506 NO.87                                                               "</f>
        <v xml:space="preserve">AVENIDA 506 NO.87                                                               </v>
      </c>
      <c r="F2083" s="26" t="str">
        <f>"SAN JUAN DE ARAGON                                                                                                                          "</f>
        <v xml:space="preserve">SAN JUAN DE ARAGON                                                                                                                          </v>
      </c>
      <c r="G2083" s="26" t="str">
        <f>"GUSTAVO A. MADERO                                                               "</f>
        <v xml:space="preserve">GUSTAVO A. MADERO                                                               </v>
      </c>
      <c r="H2083" s="26" t="str">
        <f>"195"</f>
        <v>195</v>
      </c>
      <c r="I2083" s="26" t="str">
        <f t="shared" si="386"/>
        <v>00</v>
      </c>
      <c r="J2083" s="26" t="str">
        <f>"32 "</f>
        <v xml:space="preserve">32 </v>
      </c>
      <c r="K2083" s="26" t="str">
        <f t="shared" si="387"/>
        <v>EP</v>
      </c>
      <c r="L2083" s="26" t="str">
        <f t="shared" si="388"/>
        <v>DGOSE</v>
      </c>
      <c r="M2083" s="26" t="str">
        <f t="shared" si="384"/>
        <v>PARTICULAR</v>
      </c>
      <c r="N2083" s="26">
        <v>58</v>
      </c>
      <c r="O2083" s="26">
        <v>25</v>
      </c>
      <c r="P2083" s="26">
        <v>33</v>
      </c>
      <c r="Q2083" s="26">
        <v>3</v>
      </c>
      <c r="R2083" s="26">
        <v>1</v>
      </c>
      <c r="S2083" s="26">
        <v>3</v>
      </c>
      <c r="T2083" s="26">
        <v>0</v>
      </c>
      <c r="U2083" s="26">
        <v>4</v>
      </c>
      <c r="V2083" s="26">
        <v>1</v>
      </c>
      <c r="W2083" s="26"/>
    </row>
    <row r="2084" spans="1:23" x14ac:dyDescent="0.25">
      <c r="A2084" s="26" t="str">
        <f t="shared" si="385"/>
        <v>PREESCOLAR</v>
      </c>
      <c r="B2084" s="26" t="str">
        <f>"09PJN4226J"</f>
        <v>09PJN4226J</v>
      </c>
      <c r="C2084" s="26" t="str">
        <f>"INSTITUTO PEDAGOGICO SIMON BOLIVAR                                                                  "</f>
        <v xml:space="preserve">INSTITUTO PEDAGOGICO SIMON BOLIVAR                                                                  </v>
      </c>
      <c r="D2084" s="26" t="str">
        <f t="shared" si="389"/>
        <v>MATUTINO</v>
      </c>
      <c r="E2084" s="26" t="str">
        <f>"BOLIVAR NO. 1320                                                                "</f>
        <v xml:space="preserve">BOLIVAR NO. 1320                                                                </v>
      </c>
      <c r="F2084" s="26" t="str">
        <f>"SAN SIMON TICUMAC                                                                                                                           "</f>
        <v xml:space="preserve">SAN SIMON TICUMAC                                                                                                                           </v>
      </c>
      <c r="G2084" s="26" t="str">
        <f>"BENITO JUAREZ                                                                   "</f>
        <v xml:space="preserve">BENITO JUAREZ                                                                   </v>
      </c>
      <c r="H2084" s="26" t="str">
        <f>"029"</f>
        <v>029</v>
      </c>
      <c r="I2084" s="26" t="str">
        <f t="shared" si="386"/>
        <v>00</v>
      </c>
      <c r="J2084" s="26" t="str">
        <f>"33 "</f>
        <v xml:space="preserve">33 </v>
      </c>
      <c r="K2084" s="26" t="str">
        <f t="shared" si="387"/>
        <v>EP</v>
      </c>
      <c r="L2084" s="26" t="str">
        <f t="shared" si="388"/>
        <v>DGOSE</v>
      </c>
      <c r="M2084" s="26" t="str">
        <f t="shared" si="384"/>
        <v>PARTICULAR</v>
      </c>
      <c r="N2084" s="26">
        <v>42</v>
      </c>
      <c r="O2084" s="26">
        <v>29</v>
      </c>
      <c r="P2084" s="26">
        <v>13</v>
      </c>
      <c r="Q2084" s="26">
        <v>3</v>
      </c>
      <c r="R2084" s="26">
        <v>1</v>
      </c>
      <c r="S2084" s="26">
        <v>2</v>
      </c>
      <c r="T2084" s="26">
        <v>10</v>
      </c>
      <c r="U2084" s="26">
        <v>13</v>
      </c>
      <c r="V2084" s="26">
        <v>1</v>
      </c>
      <c r="W2084" s="26"/>
    </row>
    <row r="2085" spans="1:23" x14ac:dyDescent="0.25">
      <c r="A2085" s="26" t="str">
        <f t="shared" si="385"/>
        <v>PREESCOLAR</v>
      </c>
      <c r="B2085" s="26" t="str">
        <f>"09PJN4227I"</f>
        <v>09PJN4227I</v>
      </c>
      <c r="C2085" s="26" t="str">
        <f>"CENTRO EDUCATIVO YOSEDARI                                                                           "</f>
        <v xml:space="preserve">CENTRO EDUCATIVO YOSEDARI                                                                           </v>
      </c>
      <c r="D2085" s="26" t="str">
        <f t="shared" si="389"/>
        <v>MATUTINO</v>
      </c>
      <c r="E2085" s="26" t="str">
        <f>"CALZ. TENORIOS NO. 300                                                          "</f>
        <v xml:space="preserve">CALZ. TENORIOS NO. 300                                                          </v>
      </c>
      <c r="F2085" s="26" t="str">
        <f>"RESIDENCIAL EX-HACIENDA COAPA                                                                                                               "</f>
        <v xml:space="preserve">RESIDENCIAL EX-HACIENDA COAPA                                                                                                               </v>
      </c>
      <c r="G2085" s="26" t="str">
        <f>"TLALPAN                                                                         "</f>
        <v xml:space="preserve">TLALPAN                                                                         </v>
      </c>
      <c r="H2085" s="26" t="str">
        <f>"220"</f>
        <v>220</v>
      </c>
      <c r="I2085" s="26" t="str">
        <f t="shared" si="386"/>
        <v>00</v>
      </c>
      <c r="J2085" s="26" t="str">
        <f>"35 "</f>
        <v xml:space="preserve">35 </v>
      </c>
      <c r="K2085" s="26" t="str">
        <f t="shared" si="387"/>
        <v>EP</v>
      </c>
      <c r="L2085" s="26" t="str">
        <f t="shared" si="388"/>
        <v>DGOSE</v>
      </c>
      <c r="M2085" s="26" t="str">
        <f t="shared" si="384"/>
        <v>PARTICULAR</v>
      </c>
      <c r="N2085" s="26">
        <v>26</v>
      </c>
      <c r="O2085" s="26">
        <v>12</v>
      </c>
      <c r="P2085" s="26">
        <v>14</v>
      </c>
      <c r="Q2085" s="26">
        <v>3</v>
      </c>
      <c r="R2085" s="26">
        <v>1</v>
      </c>
      <c r="S2085" s="26">
        <v>2</v>
      </c>
      <c r="T2085" s="26">
        <v>2</v>
      </c>
      <c r="U2085" s="26">
        <v>5</v>
      </c>
      <c r="V2085" s="26">
        <v>1</v>
      </c>
      <c r="W2085" s="26"/>
    </row>
    <row r="2086" spans="1:23" x14ac:dyDescent="0.25">
      <c r="A2086" s="26" t="str">
        <f t="shared" si="385"/>
        <v>PREESCOLAR</v>
      </c>
      <c r="B2086" s="26" t="str">
        <f>"09PJN4228H"</f>
        <v>09PJN4228H</v>
      </c>
      <c r="C2086" s="26" t="str">
        <f>"CENTRO CULTURAL BRISTOL                                                                             "</f>
        <v xml:space="preserve">CENTRO CULTURAL BRISTOL                                                                             </v>
      </c>
      <c r="D2086" s="26" t="str">
        <f t="shared" si="389"/>
        <v>MATUTINO</v>
      </c>
      <c r="E2086" s="26" t="s">
        <v>104</v>
      </c>
      <c r="F2086" s="26" t="str">
        <f>"DEL MAR                                                                                                                                     "</f>
        <v xml:space="preserve">DEL MAR                                                                                                                                     </v>
      </c>
      <c r="G2086" s="26" t="str">
        <f>"TLAHUAC                                                                         "</f>
        <v xml:space="preserve">TLAHUAC                                                                         </v>
      </c>
      <c r="H2086" s="26" t="str">
        <f>"124"</f>
        <v>124</v>
      </c>
      <c r="I2086" s="26" t="str">
        <f t="shared" si="386"/>
        <v>00</v>
      </c>
      <c r="J2086" s="26" t="str">
        <f>"35 "</f>
        <v xml:space="preserve">35 </v>
      </c>
      <c r="K2086" s="26" t="str">
        <f t="shared" si="387"/>
        <v>EP</v>
      </c>
      <c r="L2086" s="26" t="str">
        <f t="shared" si="388"/>
        <v>DGOSE</v>
      </c>
      <c r="M2086" s="26" t="str">
        <f t="shared" si="384"/>
        <v>PARTICULAR</v>
      </c>
      <c r="N2086" s="26">
        <v>86</v>
      </c>
      <c r="O2086" s="26">
        <v>45</v>
      </c>
      <c r="P2086" s="26">
        <v>41</v>
      </c>
      <c r="Q2086" s="26">
        <v>5</v>
      </c>
      <c r="R2086" s="26">
        <v>1</v>
      </c>
      <c r="S2086" s="26">
        <v>5</v>
      </c>
      <c r="T2086" s="26">
        <v>2</v>
      </c>
      <c r="U2086" s="26">
        <v>8</v>
      </c>
      <c r="V2086" s="26">
        <v>1</v>
      </c>
      <c r="W2086" s="26"/>
    </row>
    <row r="2087" spans="1:23" x14ac:dyDescent="0.25">
      <c r="A2087" s="26" t="str">
        <f t="shared" si="385"/>
        <v>PREESCOLAR</v>
      </c>
      <c r="B2087" s="26" t="str">
        <f>"09PJN4229G"</f>
        <v>09PJN4229G</v>
      </c>
      <c r="C2087" s="26" t="str">
        <f>"COLEGIO WILLIAM JAMES / YOLLIHUE                                                                    "</f>
        <v xml:space="preserve">COLEGIO WILLIAM JAMES / YOLLIHUE                                                                    </v>
      </c>
      <c r="D2087" s="26" t="str">
        <f t="shared" si="389"/>
        <v>MATUTINO</v>
      </c>
      <c r="E2087" s="26" t="str">
        <f>"CANDELARIA NO. 152                                                              "</f>
        <v xml:space="preserve">CANDELARIA NO. 152                                                              </v>
      </c>
      <c r="F2087" s="26" t="str">
        <f>"ATLANTIDA                                                                                                                                   "</f>
        <v xml:space="preserve">ATLANTIDA                                                                                                                                   </v>
      </c>
      <c r="G2087" s="26" t="str">
        <f>"COYOACAN                                                                        "</f>
        <v xml:space="preserve">COYOACAN                                                                        </v>
      </c>
      <c r="H2087" s="26" t="str">
        <f>"043"</f>
        <v>043</v>
      </c>
      <c r="I2087" s="26" t="str">
        <f t="shared" si="386"/>
        <v>00</v>
      </c>
      <c r="J2087" s="26" t="str">
        <f>"35 "</f>
        <v xml:space="preserve">35 </v>
      </c>
      <c r="K2087" s="26" t="str">
        <f t="shared" si="387"/>
        <v>EP</v>
      </c>
      <c r="L2087" s="26" t="str">
        <f t="shared" si="388"/>
        <v>DGOSE</v>
      </c>
      <c r="M2087" s="26" t="str">
        <f t="shared" si="384"/>
        <v>PARTICULAR</v>
      </c>
      <c r="N2087" s="26">
        <v>36</v>
      </c>
      <c r="O2087" s="26">
        <v>18</v>
      </c>
      <c r="P2087" s="26">
        <v>18</v>
      </c>
      <c r="Q2087" s="26">
        <v>3</v>
      </c>
      <c r="R2087" s="26">
        <v>1</v>
      </c>
      <c r="S2087" s="26">
        <v>3</v>
      </c>
      <c r="T2087" s="26">
        <v>15</v>
      </c>
      <c r="U2087" s="26">
        <v>19</v>
      </c>
      <c r="V2087" s="26">
        <v>1</v>
      </c>
      <c r="W2087" s="26"/>
    </row>
    <row r="2088" spans="1:23" x14ac:dyDescent="0.25">
      <c r="A2088" s="26" t="str">
        <f t="shared" si="385"/>
        <v>PREESCOLAR</v>
      </c>
      <c r="B2088" s="26" t="str">
        <f>"09PJN4230W"</f>
        <v>09PJN4230W</v>
      </c>
      <c r="C2088" s="26" t="str">
        <f>"KINDER LATINO AMERICANO                                                                             "</f>
        <v xml:space="preserve">KINDER LATINO AMERICANO                                                                             </v>
      </c>
      <c r="D2088" s="26" t="str">
        <f t="shared" si="389"/>
        <v>MATUTINO</v>
      </c>
      <c r="E2088" s="26" t="str">
        <f>"2A. CDA.DE JACOBO M. R. S/N. MZA. 27 LT                                         "</f>
        <v xml:space="preserve">2A. CDA.DE JACOBO M. R. S/N. MZA. 27 LT                                         </v>
      </c>
      <c r="F2088" s="26" t="str">
        <f>"CUAUTEPEC BARRIO ALTO                                                                                                                       "</f>
        <v xml:space="preserve">CUAUTEPEC BARRIO ALTO                                                                                                                       </v>
      </c>
      <c r="G2088" s="26" t="str">
        <f>"GUSTAVO A. MADERO                                                               "</f>
        <v xml:space="preserve">GUSTAVO A. MADERO                                                               </v>
      </c>
      <c r="H2088" s="26" t="str">
        <f>"155"</f>
        <v>155</v>
      </c>
      <c r="I2088" s="26" t="str">
        <f t="shared" si="386"/>
        <v>00</v>
      </c>
      <c r="J2088" s="26" t="str">
        <f>"32 "</f>
        <v xml:space="preserve">32 </v>
      </c>
      <c r="K2088" s="26" t="str">
        <f t="shared" si="387"/>
        <v>EP</v>
      </c>
      <c r="L2088" s="26" t="str">
        <f t="shared" si="388"/>
        <v>DGOSE</v>
      </c>
      <c r="M2088" s="26" t="str">
        <f t="shared" si="384"/>
        <v>PARTICULAR</v>
      </c>
      <c r="N2088" s="26">
        <v>14</v>
      </c>
      <c r="O2088" s="26">
        <v>8</v>
      </c>
      <c r="P2088" s="26">
        <v>6</v>
      </c>
      <c r="Q2088" s="26">
        <v>2</v>
      </c>
      <c r="R2088" s="26">
        <v>1</v>
      </c>
      <c r="S2088" s="26">
        <v>2</v>
      </c>
      <c r="T2088" s="26">
        <v>0</v>
      </c>
      <c r="U2088" s="26">
        <v>3</v>
      </c>
      <c r="V2088" s="26">
        <v>1</v>
      </c>
      <c r="W2088" s="26"/>
    </row>
    <row r="2089" spans="1:23" x14ac:dyDescent="0.25">
      <c r="A2089" s="26" t="str">
        <f t="shared" si="385"/>
        <v>PREESCOLAR</v>
      </c>
      <c r="B2089" s="26" t="str">
        <f>"09PJN4234S"</f>
        <v>09PJN4234S</v>
      </c>
      <c r="C2089" s="26" t="str">
        <f>"JIREH                                                                                               "</f>
        <v xml:space="preserve">JIREH                                                                                               </v>
      </c>
      <c r="D2089" s="26" t="str">
        <f t="shared" si="389"/>
        <v>MATUTINO</v>
      </c>
      <c r="E2089" s="26" t="str">
        <f>"ARROLLO DE AHUEHUETES NO.45                                                     "</f>
        <v xml:space="preserve">ARROLLO DE AHUEHUETES NO.45                                                     </v>
      </c>
      <c r="F2089" s="26" t="str">
        <f>"LA ESCALERA                                                                                                                                 "</f>
        <v xml:space="preserve">LA ESCALERA                                                                                                                                 </v>
      </c>
      <c r="G2089" s="26" t="str">
        <f>"GUSTAVO A. MADERO                                                               "</f>
        <v xml:space="preserve">GUSTAVO A. MADERO                                                               </v>
      </c>
      <c r="H2089" s="26" t="str">
        <f>"197"</f>
        <v>197</v>
      </c>
      <c r="I2089" s="26" t="str">
        <f t="shared" si="386"/>
        <v>00</v>
      </c>
      <c r="J2089" s="26" t="str">
        <f>"32 "</f>
        <v xml:space="preserve">32 </v>
      </c>
      <c r="K2089" s="26" t="str">
        <f t="shared" si="387"/>
        <v>EP</v>
      </c>
      <c r="L2089" s="26" t="str">
        <f t="shared" si="388"/>
        <v>DGOSE</v>
      </c>
      <c r="M2089" s="26" t="str">
        <f t="shared" si="384"/>
        <v>PARTICULAR</v>
      </c>
      <c r="N2089" s="26">
        <v>33</v>
      </c>
      <c r="O2089" s="26">
        <v>16</v>
      </c>
      <c r="P2089" s="26">
        <v>17</v>
      </c>
      <c r="Q2089" s="26">
        <v>3</v>
      </c>
      <c r="R2089" s="26">
        <v>1</v>
      </c>
      <c r="S2089" s="26">
        <v>3</v>
      </c>
      <c r="T2089" s="26">
        <v>1</v>
      </c>
      <c r="U2089" s="26">
        <v>5</v>
      </c>
      <c r="V2089" s="26">
        <v>1</v>
      </c>
      <c r="W2089" s="26"/>
    </row>
    <row r="2090" spans="1:23" x14ac:dyDescent="0.25">
      <c r="A2090" s="26" t="str">
        <f t="shared" si="385"/>
        <v>PREESCOLAR</v>
      </c>
      <c r="B2090" s="26" t="str">
        <f>"09PJN4235R"</f>
        <v>09PJN4235R</v>
      </c>
      <c r="C2090" s="26" t="str">
        <f>"CENTRO EDUCATIVO MARCELINO CHAMPAGNAT                                                               "</f>
        <v xml:space="preserve">CENTRO EDUCATIVO MARCELINO CHAMPAGNAT                                                               </v>
      </c>
      <c r="D2090" s="26" t="str">
        <f t="shared" si="389"/>
        <v>MATUTINO</v>
      </c>
      <c r="E2090" s="26" t="str">
        <f>"EDUARDO GARAY NO. 25                                                            "</f>
        <v xml:space="preserve">EDUARDO GARAY NO. 25                                                            </v>
      </c>
      <c r="F2090" s="26" t="str">
        <f>"MIGUEL HIDALGO                                                                                                                              "</f>
        <v xml:space="preserve">MIGUEL HIDALGO                                                                                                                              </v>
      </c>
      <c r="G2090" s="26" t="str">
        <f>"TLALPAN                                                                         "</f>
        <v xml:space="preserve">TLALPAN                                                                         </v>
      </c>
      <c r="H2090" s="26" t="str">
        <f>"135"</f>
        <v>135</v>
      </c>
      <c r="I2090" s="26" t="str">
        <f t="shared" si="386"/>
        <v>00</v>
      </c>
      <c r="J2090" s="26" t="str">
        <f>"35 "</f>
        <v xml:space="preserve">35 </v>
      </c>
      <c r="K2090" s="26" t="str">
        <f t="shared" si="387"/>
        <v>EP</v>
      </c>
      <c r="L2090" s="26" t="str">
        <f t="shared" si="388"/>
        <v>DGOSE</v>
      </c>
      <c r="M2090" s="26" t="str">
        <f t="shared" si="384"/>
        <v>PARTICULAR</v>
      </c>
      <c r="N2090" s="26">
        <v>42</v>
      </c>
      <c r="O2090" s="26">
        <v>21</v>
      </c>
      <c r="P2090" s="26">
        <v>21</v>
      </c>
      <c r="Q2090" s="26">
        <v>4</v>
      </c>
      <c r="R2090" s="26">
        <v>1</v>
      </c>
      <c r="S2090" s="26">
        <v>2</v>
      </c>
      <c r="T2090" s="26">
        <v>13</v>
      </c>
      <c r="U2090" s="26">
        <v>16</v>
      </c>
      <c r="V2090" s="26">
        <v>1</v>
      </c>
      <c r="W2090" s="26"/>
    </row>
    <row r="2091" spans="1:23" x14ac:dyDescent="0.25">
      <c r="A2091" s="26" t="str">
        <f t="shared" si="385"/>
        <v>PREESCOLAR</v>
      </c>
      <c r="B2091" s="26" t="str">
        <f>"09PJN4239N"</f>
        <v>09PJN4239N</v>
      </c>
      <c r="C2091" s="26" t="str">
        <f>"JARDIN DE NIÑOS PIOLIN Y SILVESTRE                                                                  "</f>
        <v xml:space="preserve">JARDIN DE NIÑOS PIOLIN Y SILVESTRE                                                                  </v>
      </c>
      <c r="D2091" s="26" t="str">
        <f t="shared" si="389"/>
        <v>MATUTINO</v>
      </c>
      <c r="E2091" s="26" t="str">
        <f>"PATAMBAM NO.6011                                                                "</f>
        <v xml:space="preserve">PATAMBAM NO.6011                                                                </v>
      </c>
      <c r="F2091" s="26" t="str">
        <f>"ARAGON INGUARAN                                                                                                                             "</f>
        <v xml:space="preserve">ARAGON INGUARAN                                                                                                                             </v>
      </c>
      <c r="G2091" s="26" t="str">
        <f>"GUSTAVO A. MADERO                                                               "</f>
        <v xml:space="preserve">GUSTAVO A. MADERO                                                               </v>
      </c>
      <c r="H2091" s="26" t="str">
        <f>"198"</f>
        <v>198</v>
      </c>
      <c r="I2091" s="26" t="str">
        <f t="shared" si="386"/>
        <v>00</v>
      </c>
      <c r="J2091" s="26" t="str">
        <f>"32 "</f>
        <v xml:space="preserve">32 </v>
      </c>
      <c r="K2091" s="26" t="str">
        <f t="shared" si="387"/>
        <v>EP</v>
      </c>
      <c r="L2091" s="26" t="str">
        <f t="shared" si="388"/>
        <v>DGOSE</v>
      </c>
      <c r="M2091" s="26" t="str">
        <f t="shared" si="384"/>
        <v>PARTICULAR</v>
      </c>
      <c r="N2091" s="26">
        <v>41</v>
      </c>
      <c r="O2091" s="26">
        <v>19</v>
      </c>
      <c r="P2091" s="26">
        <v>22</v>
      </c>
      <c r="Q2091" s="26">
        <v>3</v>
      </c>
      <c r="R2091" s="26">
        <v>1</v>
      </c>
      <c r="S2091" s="26">
        <v>2</v>
      </c>
      <c r="T2091" s="26">
        <v>2</v>
      </c>
      <c r="U2091" s="26">
        <v>5</v>
      </c>
      <c r="V2091" s="26">
        <v>1</v>
      </c>
      <c r="W2091" s="26"/>
    </row>
    <row r="2092" spans="1:23" x14ac:dyDescent="0.25">
      <c r="A2092" s="26" t="str">
        <f t="shared" si="385"/>
        <v>PREESCOLAR</v>
      </c>
      <c r="B2092" s="26" t="str">
        <f>"09PJN4240C"</f>
        <v>09PJN4240C</v>
      </c>
      <c r="C2092" s="26" t="str">
        <f>"ARISTIDES QUILLET                                                                                   "</f>
        <v xml:space="preserve">ARISTIDES QUILLET                                                                                   </v>
      </c>
      <c r="D2092" s="26" t="str">
        <f t="shared" si="389"/>
        <v>MATUTINO</v>
      </c>
      <c r="E2092" s="26" t="str">
        <f>"DR. ATL NO. 14                                                                  "</f>
        <v xml:space="preserve">DR. ATL NO. 14                                                                  </v>
      </c>
      <c r="F2092" s="26" t="str">
        <f>"BELISARIO DOMINGUEZ                                                                                                                         "</f>
        <v xml:space="preserve">BELISARIO DOMINGUEZ                                                                                                                         </v>
      </c>
      <c r="G2092" s="26" t="str">
        <f>"TLALPAN                                                                         "</f>
        <v xml:space="preserve">TLALPAN                                                                         </v>
      </c>
      <c r="H2092" s="26" t="str">
        <f>"050"</f>
        <v>050</v>
      </c>
      <c r="I2092" s="26" t="str">
        <f t="shared" si="386"/>
        <v>00</v>
      </c>
      <c r="J2092" s="26" t="str">
        <f>"35 "</f>
        <v xml:space="preserve">35 </v>
      </c>
      <c r="K2092" s="26" t="str">
        <f t="shared" si="387"/>
        <v>EP</v>
      </c>
      <c r="L2092" s="26" t="str">
        <f t="shared" si="388"/>
        <v>DGOSE</v>
      </c>
      <c r="M2092" s="26" t="str">
        <f t="shared" si="384"/>
        <v>PARTICULAR</v>
      </c>
      <c r="N2092" s="26">
        <v>40</v>
      </c>
      <c r="O2092" s="26">
        <v>23</v>
      </c>
      <c r="P2092" s="26">
        <v>17</v>
      </c>
      <c r="Q2092" s="26">
        <v>3</v>
      </c>
      <c r="R2092" s="26">
        <v>1</v>
      </c>
      <c r="S2092" s="26">
        <v>2</v>
      </c>
      <c r="T2092" s="26">
        <v>4</v>
      </c>
      <c r="U2092" s="26">
        <v>7</v>
      </c>
      <c r="V2092" s="26">
        <v>1</v>
      </c>
      <c r="W2092" s="26"/>
    </row>
    <row r="2093" spans="1:23" x14ac:dyDescent="0.25">
      <c r="A2093" s="26" t="str">
        <f t="shared" si="385"/>
        <v>PREESCOLAR</v>
      </c>
      <c r="B2093" s="26" t="str">
        <f>"09PJN4245Y"</f>
        <v>09PJN4245Y</v>
      </c>
      <c r="C2093" s="26" t="str">
        <f>"INSTITUTO HANS CHRISTIAN ANDERSEN                                                                   "</f>
        <v xml:space="preserve">INSTITUTO HANS CHRISTIAN ANDERSEN                                                                   </v>
      </c>
      <c r="D2093" s="26" t="str">
        <f t="shared" si="389"/>
        <v>MATUTINO</v>
      </c>
      <c r="E2093" s="26" t="str">
        <f>"JUAREZ NO.4                                                                     "</f>
        <v xml:space="preserve">JUAREZ NO.4                                                                     </v>
      </c>
      <c r="F2093" s="26" t="str">
        <f>"SAN SALVADOR CUAUHTENCO                                                                                                                     "</f>
        <v xml:space="preserve">SAN SALVADOR CUAUHTENCO                                                                                                                     </v>
      </c>
      <c r="G2093" s="26" t="str">
        <f>"MILPA ALTA                                                                      "</f>
        <v xml:space="preserve">MILPA ALTA                                                                      </v>
      </c>
      <c r="H2093" s="26" t="str">
        <f>"281"</f>
        <v>281</v>
      </c>
      <c r="I2093" s="26" t="str">
        <f t="shared" si="386"/>
        <v>00</v>
      </c>
      <c r="J2093" s="26" t="str">
        <f>"35 "</f>
        <v xml:space="preserve">35 </v>
      </c>
      <c r="K2093" s="26" t="str">
        <f t="shared" si="387"/>
        <v>EP</v>
      </c>
      <c r="L2093" s="26" t="str">
        <f t="shared" si="388"/>
        <v>DGOSE</v>
      </c>
      <c r="M2093" s="26" t="str">
        <f t="shared" si="384"/>
        <v>PARTICULAR</v>
      </c>
      <c r="N2093" s="26">
        <v>22</v>
      </c>
      <c r="O2093" s="26">
        <v>11</v>
      </c>
      <c r="P2093" s="26">
        <v>11</v>
      </c>
      <c r="Q2093" s="26">
        <v>3</v>
      </c>
      <c r="R2093" s="26">
        <v>1</v>
      </c>
      <c r="S2093" s="26">
        <v>2</v>
      </c>
      <c r="T2093" s="26">
        <v>1</v>
      </c>
      <c r="U2093" s="26">
        <v>4</v>
      </c>
      <c r="V2093" s="26">
        <v>1</v>
      </c>
      <c r="W2093" s="26"/>
    </row>
    <row r="2094" spans="1:23" x14ac:dyDescent="0.25">
      <c r="A2094" s="26" t="str">
        <f t="shared" si="385"/>
        <v>PREESCOLAR</v>
      </c>
      <c r="B2094" s="26" t="str">
        <f>"09PJN4247W"</f>
        <v>09PJN4247W</v>
      </c>
      <c r="C2094" s="26" t="str">
        <f>"SHARON CHRISTA MC. AULIFFE                                                                          "</f>
        <v xml:space="preserve">SHARON CHRISTA MC. AULIFFE                                                                          </v>
      </c>
      <c r="D2094" s="26" t="str">
        <f t="shared" si="389"/>
        <v>MATUTINO</v>
      </c>
      <c r="E2094" s="26" t="str">
        <f>"CERRO NEGRO MZ.17 LT.16                                                         "</f>
        <v xml:space="preserve">CERRO NEGRO MZ.17 LT.16                                                         </v>
      </c>
      <c r="F2094" s="26" t="str">
        <f>"CRUZ DEL FAROL                                                                                                                              "</f>
        <v xml:space="preserve">CRUZ DEL FAROL                                                                                                                              </v>
      </c>
      <c r="G2094" s="26" t="str">
        <f>"TLALPAN                                                                         "</f>
        <v xml:space="preserve">TLALPAN                                                                         </v>
      </c>
      <c r="H2094" s="26" t="str">
        <f>"146"</f>
        <v>146</v>
      </c>
      <c r="I2094" s="26" t="str">
        <f t="shared" si="386"/>
        <v>00</v>
      </c>
      <c r="J2094" s="26" t="str">
        <f>"35 "</f>
        <v xml:space="preserve">35 </v>
      </c>
      <c r="K2094" s="26" t="str">
        <f t="shared" si="387"/>
        <v>EP</v>
      </c>
      <c r="L2094" s="26" t="str">
        <f t="shared" si="388"/>
        <v>DGOSE</v>
      </c>
      <c r="M2094" s="26" t="str">
        <f t="shared" si="384"/>
        <v>PARTICULAR</v>
      </c>
      <c r="N2094" s="26">
        <v>23</v>
      </c>
      <c r="O2094" s="26">
        <v>14</v>
      </c>
      <c r="P2094" s="26">
        <v>9</v>
      </c>
      <c r="Q2094" s="26">
        <v>3</v>
      </c>
      <c r="R2094" s="26">
        <v>1</v>
      </c>
      <c r="S2094" s="26">
        <v>2</v>
      </c>
      <c r="T2094" s="26">
        <v>8</v>
      </c>
      <c r="U2094" s="26">
        <v>11</v>
      </c>
      <c r="V2094" s="26">
        <v>1</v>
      </c>
      <c r="W2094" s="26"/>
    </row>
    <row r="2095" spans="1:23" x14ac:dyDescent="0.25">
      <c r="A2095" s="26" t="str">
        <f t="shared" si="385"/>
        <v>PREESCOLAR</v>
      </c>
      <c r="B2095" s="26" t="str">
        <f>"09PJN4250J"</f>
        <v>09PJN4250J</v>
      </c>
      <c r="C2095" s="26" t="str">
        <f>"MI PEQUEÑO MUNDO                                                                                    "</f>
        <v xml:space="preserve">MI PEQUEÑO MUNDO                                                                                    </v>
      </c>
      <c r="D2095" s="26" t="str">
        <f t="shared" si="389"/>
        <v>MATUTINO</v>
      </c>
      <c r="E2095" s="26" t="str">
        <f>"SUR 121 NO. 248                                                                 "</f>
        <v xml:space="preserve">SUR 121 NO. 248                                                                 </v>
      </c>
      <c r="F2095" s="26" t="str">
        <f>"IZTACALCO                                                                                                                                   "</f>
        <v xml:space="preserve">IZTACALCO                                                                                                                                   </v>
      </c>
      <c r="G2095" s="26" t="str">
        <f>"IZTACALCO                                                                       "</f>
        <v xml:space="preserve">IZTACALCO                                                                       </v>
      </c>
      <c r="H2095" s="26" t="str">
        <f>"241"</f>
        <v>241</v>
      </c>
      <c r="I2095" s="26" t="str">
        <f t="shared" si="386"/>
        <v>00</v>
      </c>
      <c r="J2095" s="26" t="str">
        <f>"33 "</f>
        <v xml:space="preserve">33 </v>
      </c>
      <c r="K2095" s="26" t="str">
        <f t="shared" si="387"/>
        <v>EP</v>
      </c>
      <c r="L2095" s="26" t="str">
        <f t="shared" si="388"/>
        <v>DGOSE</v>
      </c>
      <c r="M2095" s="26" t="str">
        <f t="shared" si="384"/>
        <v>PARTICULAR</v>
      </c>
      <c r="N2095" s="26">
        <v>33</v>
      </c>
      <c r="O2095" s="26">
        <v>15</v>
      </c>
      <c r="P2095" s="26">
        <v>18</v>
      </c>
      <c r="Q2095" s="26">
        <v>3</v>
      </c>
      <c r="R2095" s="26">
        <v>1</v>
      </c>
      <c r="S2095" s="26">
        <v>3</v>
      </c>
      <c r="T2095" s="26">
        <v>1</v>
      </c>
      <c r="U2095" s="26">
        <v>5</v>
      </c>
      <c r="V2095" s="26">
        <v>1</v>
      </c>
      <c r="W2095" s="26"/>
    </row>
    <row r="2096" spans="1:23" x14ac:dyDescent="0.25">
      <c r="A2096" s="26" t="str">
        <f t="shared" si="385"/>
        <v>PREESCOLAR</v>
      </c>
      <c r="B2096" s="26" t="str">
        <f>"09PJN4253G"</f>
        <v>09PJN4253G</v>
      </c>
      <c r="C2096" s="26" t="str">
        <f>"MAHETSI                                                                                             "</f>
        <v xml:space="preserve">MAHETSI                                                                                             </v>
      </c>
      <c r="D2096" s="26" t="str">
        <f t="shared" si="389"/>
        <v>MATUTINO</v>
      </c>
      <c r="E2096" s="26" t="str">
        <f>"MORELOS NO. 29                                                                  "</f>
        <v xml:space="preserve">MORELOS NO. 29                                                                  </v>
      </c>
      <c r="F2096" s="26" t="str">
        <f>"SAN ANTONIO CULHUACAN                                                                                                                       "</f>
        <v xml:space="preserve">SAN ANTONIO CULHUACAN                                                                                                                       </v>
      </c>
      <c r="G2096" s="26" t="str">
        <f>"IZTAPALAPA                                                                      "</f>
        <v xml:space="preserve">IZTAPALAPA                                                                      </v>
      </c>
      <c r="H2096" s="26" t="str">
        <f>"000"</f>
        <v>000</v>
      </c>
      <c r="I2096" s="26" t="str">
        <f t="shared" si="386"/>
        <v>00</v>
      </c>
      <c r="J2096" s="26" t="str">
        <f>"61 "</f>
        <v xml:space="preserve">61 </v>
      </c>
      <c r="K2096" s="26" t="str">
        <f>"IZ"</f>
        <v>IZ</v>
      </c>
      <c r="L2096" s="26" t="str">
        <f>"DGSEI"</f>
        <v>DGSEI</v>
      </c>
      <c r="M2096" s="26" t="str">
        <f t="shared" si="384"/>
        <v>PARTICULAR</v>
      </c>
      <c r="N2096" s="26">
        <v>46</v>
      </c>
      <c r="O2096" s="26">
        <v>27</v>
      </c>
      <c r="P2096" s="26">
        <v>19</v>
      </c>
      <c r="Q2096" s="26">
        <v>3</v>
      </c>
      <c r="R2096" s="26">
        <v>1</v>
      </c>
      <c r="S2096" s="26">
        <v>3</v>
      </c>
      <c r="T2096" s="26">
        <v>8</v>
      </c>
      <c r="U2096" s="26">
        <v>12</v>
      </c>
      <c r="V2096" s="26">
        <v>1</v>
      </c>
      <c r="W2096" s="26"/>
    </row>
    <row r="2097" spans="1:23" x14ac:dyDescent="0.25">
      <c r="A2097" s="26" t="str">
        <f t="shared" si="385"/>
        <v>PREESCOLAR</v>
      </c>
      <c r="B2097" s="26" t="str">
        <f>"09PJN4255E"</f>
        <v>09PJN4255E</v>
      </c>
      <c r="C2097" s="26" t="str">
        <f>"COLEGIO INGLES ELIZABETH BRASH                                                                      "</f>
        <v xml:space="preserve">COLEGIO INGLES ELIZABETH BRASH                                                                      </v>
      </c>
      <c r="D2097" s="26" t="str">
        <f t="shared" si="389"/>
        <v>MATUTINO</v>
      </c>
      <c r="E2097" s="26" t="str">
        <f>"PLAZA JUAREZ NO. 5                                                              "</f>
        <v xml:space="preserve">PLAZA JUAREZ NO. 5                                                              </v>
      </c>
      <c r="F2097" s="26" t="str">
        <f>"SAN ANDRES MIXQUIC                                                                                                                          "</f>
        <v xml:space="preserve">SAN ANDRES MIXQUIC                                                                                                                          </v>
      </c>
      <c r="G2097" s="26" t="str">
        <f>"TLAHUAC                                                                         "</f>
        <v xml:space="preserve">TLAHUAC                                                                         </v>
      </c>
      <c r="H2097" s="26" t="str">
        <f>"083"</f>
        <v>083</v>
      </c>
      <c r="I2097" s="26" t="str">
        <f t="shared" si="386"/>
        <v>00</v>
      </c>
      <c r="J2097" s="26" t="str">
        <f>"35 "</f>
        <v xml:space="preserve">35 </v>
      </c>
      <c r="K2097" s="26" t="str">
        <f t="shared" ref="K2097:K2119" si="390">"EP"</f>
        <v>EP</v>
      </c>
      <c r="L2097" s="26" t="str">
        <f t="shared" ref="L2097:L2119" si="391">"DGOSE"</f>
        <v>DGOSE</v>
      </c>
      <c r="M2097" s="26" t="str">
        <f t="shared" si="384"/>
        <v>PARTICULAR</v>
      </c>
      <c r="N2097" s="26">
        <v>46</v>
      </c>
      <c r="O2097" s="26">
        <v>22</v>
      </c>
      <c r="P2097" s="26">
        <v>24</v>
      </c>
      <c r="Q2097" s="26">
        <v>3</v>
      </c>
      <c r="R2097" s="26">
        <v>1</v>
      </c>
      <c r="S2097" s="26">
        <v>3</v>
      </c>
      <c r="T2097" s="26">
        <v>1</v>
      </c>
      <c r="U2097" s="26">
        <v>5</v>
      </c>
      <c r="V2097" s="26">
        <v>1</v>
      </c>
      <c r="W2097" s="26"/>
    </row>
    <row r="2098" spans="1:23" x14ac:dyDescent="0.25">
      <c r="A2098" s="26" t="str">
        <f t="shared" si="385"/>
        <v>PREESCOLAR</v>
      </c>
      <c r="B2098" s="26" t="str">
        <f>"09PJN4256D"</f>
        <v>09PJN4256D</v>
      </c>
      <c r="C2098" s="26" t="str">
        <f>"SENDA                                                                                               "</f>
        <v xml:space="preserve">SENDA                                                                                               </v>
      </c>
      <c r="D2098" s="26" t="str">
        <f t="shared" si="389"/>
        <v>MATUTINO</v>
      </c>
      <c r="E2098" s="26" t="str">
        <f>"AV. TOLUCA NO. 541-A                                                            "</f>
        <v xml:space="preserve">AV. TOLUCA NO. 541-A                                                            </v>
      </c>
      <c r="F2098" s="26" t="str">
        <f>"OLIVAR DE LOS PADRES                                                                                                                        "</f>
        <v xml:space="preserve">OLIVAR DE LOS PADRES                                                                                                                        </v>
      </c>
      <c r="G2098" s="26" t="str">
        <f>"ALVARO OBREGON                                                                  "</f>
        <v xml:space="preserve">ALVARO OBREGON                                                                  </v>
      </c>
      <c r="H2098" s="26" t="str">
        <f>"175"</f>
        <v>175</v>
      </c>
      <c r="I2098" s="26" t="str">
        <f t="shared" si="386"/>
        <v>00</v>
      </c>
      <c r="J2098" s="26" t="str">
        <f>"33 "</f>
        <v xml:space="preserve">33 </v>
      </c>
      <c r="K2098" s="26" t="str">
        <f t="shared" si="390"/>
        <v>EP</v>
      </c>
      <c r="L2098" s="26" t="str">
        <f t="shared" si="391"/>
        <v>DGOSE</v>
      </c>
      <c r="M2098" s="26" t="str">
        <f t="shared" si="384"/>
        <v>PARTICULAR</v>
      </c>
      <c r="N2098" s="26">
        <v>42</v>
      </c>
      <c r="O2098" s="26">
        <v>27</v>
      </c>
      <c r="P2098" s="26">
        <v>15</v>
      </c>
      <c r="Q2098" s="26">
        <v>3</v>
      </c>
      <c r="R2098" s="26">
        <v>1</v>
      </c>
      <c r="S2098" s="26">
        <v>2</v>
      </c>
      <c r="T2098" s="26">
        <v>7</v>
      </c>
      <c r="U2098" s="26">
        <v>10</v>
      </c>
      <c r="V2098" s="26">
        <v>1</v>
      </c>
      <c r="W2098" s="26"/>
    </row>
    <row r="2099" spans="1:23" x14ac:dyDescent="0.25">
      <c r="A2099" s="26" t="str">
        <f t="shared" si="385"/>
        <v>PREESCOLAR</v>
      </c>
      <c r="B2099" s="26" t="str">
        <f>"09PJN4257C"</f>
        <v>09PJN4257C</v>
      </c>
      <c r="C2099" s="26" t="str">
        <f>"INSTITUTO TEODOSIO MARTINEZ                                                                         "</f>
        <v xml:space="preserve">INSTITUTO TEODOSIO MARTINEZ                                                                         </v>
      </c>
      <c r="D2099" s="26" t="str">
        <f t="shared" si="389"/>
        <v>MATUTINO</v>
      </c>
      <c r="E2099" s="26" t="str">
        <f>"ALDANA NO. 27                                                                   "</f>
        <v xml:space="preserve">ALDANA NO. 27                                                                   </v>
      </c>
      <c r="F2099" s="26" t="str">
        <f>"COSMOPOLITA                                                                                                                                 "</f>
        <v xml:space="preserve">COSMOPOLITA                                                                                                                                 </v>
      </c>
      <c r="G2099" s="26" t="str">
        <f>"AZCAPOTZALCO                                                                    "</f>
        <v xml:space="preserve">AZCAPOTZALCO                                                                    </v>
      </c>
      <c r="H2099" s="26" t="str">
        <f>"190"</f>
        <v>190</v>
      </c>
      <c r="I2099" s="26" t="str">
        <f t="shared" si="386"/>
        <v>00</v>
      </c>
      <c r="J2099" s="26" t="str">
        <f>"32 "</f>
        <v xml:space="preserve">32 </v>
      </c>
      <c r="K2099" s="26" t="str">
        <f t="shared" si="390"/>
        <v>EP</v>
      </c>
      <c r="L2099" s="26" t="str">
        <f t="shared" si="391"/>
        <v>DGOSE</v>
      </c>
      <c r="M2099" s="26" t="str">
        <f t="shared" si="384"/>
        <v>PARTICULAR</v>
      </c>
      <c r="N2099" s="26">
        <v>14</v>
      </c>
      <c r="O2099" s="26">
        <v>8</v>
      </c>
      <c r="P2099" s="26">
        <v>6</v>
      </c>
      <c r="Q2099" s="26">
        <v>3</v>
      </c>
      <c r="R2099" s="26">
        <v>1</v>
      </c>
      <c r="S2099" s="26">
        <v>3</v>
      </c>
      <c r="T2099" s="26">
        <v>6</v>
      </c>
      <c r="U2099" s="26">
        <v>10</v>
      </c>
      <c r="V2099" s="26">
        <v>1</v>
      </c>
      <c r="W2099" s="26"/>
    </row>
    <row r="2100" spans="1:23" x14ac:dyDescent="0.25">
      <c r="A2100" s="26" t="str">
        <f t="shared" si="385"/>
        <v>PREESCOLAR</v>
      </c>
      <c r="B2100" s="26" t="str">
        <f>"09PJN4259A"</f>
        <v>09PJN4259A</v>
      </c>
      <c r="C2100" s="26" t="str">
        <f>"HAPPY MOUNTAIN                                                                                      "</f>
        <v xml:space="preserve">HAPPY MOUNTAIN                                                                                      </v>
      </c>
      <c r="D2100" s="26" t="str">
        <f t="shared" si="389"/>
        <v>MATUTINO</v>
      </c>
      <c r="E2100" s="26" t="str">
        <f>"CALZADA DE LAS BRUJAS NO. 253                                                   "</f>
        <v xml:space="preserve">CALZADA DE LAS BRUJAS NO. 253                                                   </v>
      </c>
      <c r="F2100" s="26" t="str">
        <f>"RINCON DE LAS HADAS                                                                                                                         "</f>
        <v xml:space="preserve">RINCON DE LAS HADAS                                                                                                                         </v>
      </c>
      <c r="G2100" s="26" t="str">
        <f>"TLALPAN                                                                         "</f>
        <v xml:space="preserve">TLALPAN                                                                         </v>
      </c>
      <c r="H2100" s="26" t="str">
        <f>"050"</f>
        <v>050</v>
      </c>
      <c r="I2100" s="26" t="str">
        <f t="shared" si="386"/>
        <v>00</v>
      </c>
      <c r="J2100" s="26" t="str">
        <f>"35 "</f>
        <v xml:space="preserve">35 </v>
      </c>
      <c r="K2100" s="26" t="str">
        <f t="shared" si="390"/>
        <v>EP</v>
      </c>
      <c r="L2100" s="26" t="str">
        <f t="shared" si="391"/>
        <v>DGOSE</v>
      </c>
      <c r="M2100" s="26" t="str">
        <f t="shared" si="384"/>
        <v>PARTICULAR</v>
      </c>
      <c r="N2100" s="26">
        <v>9</v>
      </c>
      <c r="O2100" s="26">
        <v>4</v>
      </c>
      <c r="P2100" s="26">
        <v>5</v>
      </c>
      <c r="Q2100" s="26">
        <v>2</v>
      </c>
      <c r="R2100" s="26">
        <v>1</v>
      </c>
      <c r="S2100" s="26">
        <v>1</v>
      </c>
      <c r="T2100" s="26">
        <v>1</v>
      </c>
      <c r="U2100" s="26">
        <v>3</v>
      </c>
      <c r="V2100" s="26">
        <v>1</v>
      </c>
      <c r="W2100" s="26"/>
    </row>
    <row r="2101" spans="1:23" x14ac:dyDescent="0.25">
      <c r="A2101" s="26" t="str">
        <f t="shared" si="385"/>
        <v>PREESCOLAR</v>
      </c>
      <c r="B2101" s="26" t="str">
        <f>"09PJN4263N"</f>
        <v>09PJN4263N</v>
      </c>
      <c r="C2101" s="26" t="str">
        <f>"COLEGIO SANTO DOMINGO                                                                               "</f>
        <v xml:space="preserve">COLEGIO SANTO DOMINGO                                                                               </v>
      </c>
      <c r="D2101" s="26" t="str">
        <f t="shared" si="389"/>
        <v>MATUTINO</v>
      </c>
      <c r="E2101" s="26" t="str">
        <f>"OCOXAL NO. 13                                                                   "</f>
        <v xml:space="preserve">OCOXAL NO. 13                                                                   </v>
      </c>
      <c r="F2101" s="26" t="str">
        <f>"PEDREGAL DE SANTO DOMINGO                                                                                                                   "</f>
        <v xml:space="preserve">PEDREGAL DE SANTO DOMINGO                                                                                                                   </v>
      </c>
      <c r="G2101" s="26" t="str">
        <f>"COYOACAN                                                                        "</f>
        <v xml:space="preserve">COYOACAN                                                                        </v>
      </c>
      <c r="H2101" s="26" t="str">
        <f>"077"</f>
        <v>077</v>
      </c>
      <c r="I2101" s="26" t="str">
        <f t="shared" si="386"/>
        <v>00</v>
      </c>
      <c r="J2101" s="26" t="str">
        <f>"35 "</f>
        <v xml:space="preserve">35 </v>
      </c>
      <c r="K2101" s="26" t="str">
        <f t="shared" si="390"/>
        <v>EP</v>
      </c>
      <c r="L2101" s="26" t="str">
        <f t="shared" si="391"/>
        <v>DGOSE</v>
      </c>
      <c r="M2101" s="26" t="str">
        <f t="shared" si="384"/>
        <v>PARTICULAR</v>
      </c>
      <c r="N2101" s="26">
        <v>46</v>
      </c>
      <c r="O2101" s="26">
        <v>28</v>
      </c>
      <c r="P2101" s="26">
        <v>18</v>
      </c>
      <c r="Q2101" s="26">
        <v>3</v>
      </c>
      <c r="R2101" s="26">
        <v>1</v>
      </c>
      <c r="S2101" s="26">
        <v>3</v>
      </c>
      <c r="T2101" s="26">
        <v>3</v>
      </c>
      <c r="U2101" s="26">
        <v>7</v>
      </c>
      <c r="V2101" s="26">
        <v>1</v>
      </c>
      <c r="W2101" s="26"/>
    </row>
    <row r="2102" spans="1:23" x14ac:dyDescent="0.25">
      <c r="A2102" s="26" t="str">
        <f t="shared" si="385"/>
        <v>PREESCOLAR</v>
      </c>
      <c r="B2102" s="26" t="str">
        <f>"09PJN4264M"</f>
        <v>09PJN4264M</v>
      </c>
      <c r="C2102" s="26" t="str">
        <f>"COLEGIO MARTINAK                                                                                    "</f>
        <v xml:space="preserve">COLEGIO MARTINAK                                                                                    </v>
      </c>
      <c r="D2102" s="26" t="str">
        <f t="shared" si="389"/>
        <v>MATUTINO</v>
      </c>
      <c r="E2102" s="26" t="str">
        <f>"JOSE MARIA VERTIZ NO. 936                                                       "</f>
        <v xml:space="preserve">JOSE MARIA VERTIZ NO. 936                                                       </v>
      </c>
      <c r="F2102" s="26" t="str">
        <f>"NARVARTE                                                                                                                                    "</f>
        <v xml:space="preserve">NARVARTE                                                                                                                                    </v>
      </c>
      <c r="G2102" s="26" t="str">
        <f>"BENITO JUAREZ                                                                   "</f>
        <v xml:space="preserve">BENITO JUAREZ                                                                   </v>
      </c>
      <c r="H2102" s="26" t="str">
        <f>"230"</f>
        <v>230</v>
      </c>
      <c r="I2102" s="26" t="str">
        <f t="shared" si="386"/>
        <v>00</v>
      </c>
      <c r="J2102" s="26" t="str">
        <f>"33 "</f>
        <v xml:space="preserve">33 </v>
      </c>
      <c r="K2102" s="26" t="str">
        <f t="shared" si="390"/>
        <v>EP</v>
      </c>
      <c r="L2102" s="26" t="str">
        <f t="shared" si="391"/>
        <v>DGOSE</v>
      </c>
      <c r="M2102" s="26" t="str">
        <f t="shared" si="384"/>
        <v>PARTICULAR</v>
      </c>
      <c r="N2102" s="26">
        <v>27</v>
      </c>
      <c r="O2102" s="26">
        <v>16</v>
      </c>
      <c r="P2102" s="26">
        <v>11</v>
      </c>
      <c r="Q2102" s="26">
        <v>3</v>
      </c>
      <c r="R2102" s="26">
        <v>1</v>
      </c>
      <c r="S2102" s="26">
        <v>2</v>
      </c>
      <c r="T2102" s="26">
        <v>5</v>
      </c>
      <c r="U2102" s="26">
        <v>8</v>
      </c>
      <c r="V2102" s="26">
        <v>1</v>
      </c>
      <c r="W2102" s="26"/>
    </row>
    <row r="2103" spans="1:23" x14ac:dyDescent="0.25">
      <c r="A2103" s="26" t="str">
        <f t="shared" si="385"/>
        <v>PREESCOLAR</v>
      </c>
      <c r="B2103" s="26" t="str">
        <f>"09PJN4265L"</f>
        <v>09PJN4265L</v>
      </c>
      <c r="C2103" s="26" t="str">
        <f>"JARDIN DE NIÑOS PIMPINELA                                                                           "</f>
        <v xml:space="preserve">JARDIN DE NIÑOS PIMPINELA                                                                           </v>
      </c>
      <c r="D2103" s="26" t="str">
        <f t="shared" si="389"/>
        <v>MATUTINO</v>
      </c>
      <c r="E2103" s="26" t="str">
        <f>"CORONA DEL ROSAL NO. 23                                                         "</f>
        <v xml:space="preserve">CORONA DEL ROSAL NO. 23                                                         </v>
      </c>
      <c r="F2103" s="26" t="str">
        <f>"ADOLFO LOPEZ MATEOS                                                                                                                         "</f>
        <v xml:space="preserve">ADOLFO LOPEZ MATEOS                                                                                                                         </v>
      </c>
      <c r="G2103" s="26" t="str">
        <f>"VENUSTIANO CARRANZA                                                             "</f>
        <v xml:space="preserve">VENUSTIANO CARRANZA                                                             </v>
      </c>
      <c r="H2103" s="26" t="str">
        <f>"161"</f>
        <v>161</v>
      </c>
      <c r="I2103" s="26" t="str">
        <f t="shared" si="386"/>
        <v>00</v>
      </c>
      <c r="J2103" s="26" t="str">
        <f>"33 "</f>
        <v xml:space="preserve">33 </v>
      </c>
      <c r="K2103" s="26" t="str">
        <f t="shared" si="390"/>
        <v>EP</v>
      </c>
      <c r="L2103" s="26" t="str">
        <f t="shared" si="391"/>
        <v>DGOSE</v>
      </c>
      <c r="M2103" s="26" t="str">
        <f t="shared" si="384"/>
        <v>PARTICULAR</v>
      </c>
      <c r="N2103" s="26">
        <v>26</v>
      </c>
      <c r="O2103" s="26">
        <v>12</v>
      </c>
      <c r="P2103" s="26">
        <v>14</v>
      </c>
      <c r="Q2103" s="26">
        <v>3</v>
      </c>
      <c r="R2103" s="26">
        <v>1</v>
      </c>
      <c r="S2103" s="26">
        <v>3</v>
      </c>
      <c r="T2103" s="26">
        <v>2</v>
      </c>
      <c r="U2103" s="26">
        <v>6</v>
      </c>
      <c r="V2103" s="26">
        <v>1</v>
      </c>
      <c r="W2103" s="26"/>
    </row>
    <row r="2104" spans="1:23" x14ac:dyDescent="0.25">
      <c r="A2104" s="26" t="str">
        <f t="shared" si="385"/>
        <v>PREESCOLAR</v>
      </c>
      <c r="B2104" s="26" t="str">
        <f>"09PJN4266K"</f>
        <v>09PJN4266K</v>
      </c>
      <c r="C2104" s="26" t="str">
        <f>"CENTRO INFANTIL DE DESARROLLO INTEGRAL OSPI                                                         "</f>
        <v xml:space="preserve">CENTRO INFANTIL DE DESARROLLO INTEGRAL OSPI                                                         </v>
      </c>
      <c r="D2104" s="26" t="str">
        <f t="shared" si="389"/>
        <v>MATUTINO</v>
      </c>
      <c r="E2104" s="26" t="str">
        <f>"PLAYA FLAMINGOS NO. 53                                                          "</f>
        <v xml:space="preserve">PLAYA FLAMINGOS NO. 53                                                          </v>
      </c>
      <c r="F2104" s="26" t="str">
        <f>"MILITAR MARTE                                                                                                                               "</f>
        <v xml:space="preserve">MILITAR MARTE                                                                                                                               </v>
      </c>
      <c r="G2104" s="26" t="str">
        <f>"IZTACALCO                                                                       "</f>
        <v xml:space="preserve">IZTACALCO                                                                       </v>
      </c>
      <c r="H2104" s="26" t="str">
        <f>"238"</f>
        <v>238</v>
      </c>
      <c r="I2104" s="26" t="str">
        <f t="shared" si="386"/>
        <v>00</v>
      </c>
      <c r="J2104" s="26" t="str">
        <f>"33 "</f>
        <v xml:space="preserve">33 </v>
      </c>
      <c r="K2104" s="26" t="str">
        <f t="shared" si="390"/>
        <v>EP</v>
      </c>
      <c r="L2104" s="26" t="str">
        <f t="shared" si="391"/>
        <v>DGOSE</v>
      </c>
      <c r="M2104" s="26" t="str">
        <f t="shared" si="384"/>
        <v>PARTICULAR</v>
      </c>
      <c r="N2104" s="26">
        <v>8</v>
      </c>
      <c r="O2104" s="26">
        <v>5</v>
      </c>
      <c r="P2104" s="26">
        <v>3</v>
      </c>
      <c r="Q2104" s="26">
        <v>3</v>
      </c>
      <c r="R2104" s="26">
        <v>1</v>
      </c>
      <c r="S2104" s="26">
        <v>2</v>
      </c>
      <c r="T2104" s="26">
        <v>0</v>
      </c>
      <c r="U2104" s="26">
        <v>3</v>
      </c>
      <c r="V2104" s="26">
        <v>1</v>
      </c>
      <c r="W2104" s="26"/>
    </row>
    <row r="2105" spans="1:23" x14ac:dyDescent="0.25">
      <c r="A2105" s="26" t="str">
        <f t="shared" si="385"/>
        <v>PREESCOLAR</v>
      </c>
      <c r="B2105" s="26" t="str">
        <f>"09PJN4269H"</f>
        <v>09PJN4269H</v>
      </c>
      <c r="C2105" s="26" t="str">
        <f>"JARDIN DE NIÑOS GRETY BON                                                                           "</f>
        <v xml:space="preserve">JARDIN DE NIÑOS GRETY BON                                                                           </v>
      </c>
      <c r="D2105" s="26" t="str">
        <f t="shared" si="389"/>
        <v>MATUTINO</v>
      </c>
      <c r="E2105" s="26" t="str">
        <f>"ING. EDUARDO MOLINA NO. 404-3                                                   "</f>
        <v xml:space="preserve">ING. EDUARDO MOLINA NO. 404-3                                                   </v>
      </c>
      <c r="F2105" s="26" t="str">
        <f>"MICHOACANA AMPLIACION                                                                                                                       "</f>
        <v xml:space="preserve">MICHOACANA AMPLIACION                                                                                                                       </v>
      </c>
      <c r="G2105" s="26" t="str">
        <f>"VENUSTIANO CARRANZA                                                             "</f>
        <v xml:space="preserve">VENUSTIANO CARRANZA                                                             </v>
      </c>
      <c r="H2105" s="26" t="str">
        <f>"130"</f>
        <v>130</v>
      </c>
      <c r="I2105" s="26" t="str">
        <f t="shared" si="386"/>
        <v>00</v>
      </c>
      <c r="J2105" s="26" t="str">
        <f>"33 "</f>
        <v xml:space="preserve">33 </v>
      </c>
      <c r="K2105" s="26" t="str">
        <f t="shared" si="390"/>
        <v>EP</v>
      </c>
      <c r="L2105" s="26" t="str">
        <f t="shared" si="391"/>
        <v>DGOSE</v>
      </c>
      <c r="M2105" s="26" t="str">
        <f t="shared" si="384"/>
        <v>PARTICULAR</v>
      </c>
      <c r="N2105" s="26">
        <v>17</v>
      </c>
      <c r="O2105" s="26">
        <v>9</v>
      </c>
      <c r="P2105" s="26">
        <v>8</v>
      </c>
      <c r="Q2105" s="26">
        <v>3</v>
      </c>
      <c r="R2105" s="26">
        <v>1</v>
      </c>
      <c r="S2105" s="26">
        <v>2</v>
      </c>
      <c r="T2105" s="26">
        <v>2</v>
      </c>
      <c r="U2105" s="26">
        <v>5</v>
      </c>
      <c r="V2105" s="26">
        <v>1</v>
      </c>
      <c r="W2105" s="26"/>
    </row>
    <row r="2106" spans="1:23" x14ac:dyDescent="0.25">
      <c r="A2106" s="26" t="str">
        <f t="shared" si="385"/>
        <v>PREESCOLAR</v>
      </c>
      <c r="B2106" s="26" t="str">
        <f>"09PJN4270X"</f>
        <v>09PJN4270X</v>
      </c>
      <c r="C2106" s="26" t="str">
        <f>"JARDIN DE NIÑOS TLAMATINI                                                                           "</f>
        <v xml:space="preserve">JARDIN DE NIÑOS TLAMATINI                                                                           </v>
      </c>
      <c r="D2106" s="26" t="str">
        <f t="shared" si="389"/>
        <v>MATUTINO</v>
      </c>
      <c r="E2106" s="26" t="str">
        <f>"CORREGIDORA NO. 175                                                             "</f>
        <v xml:space="preserve">CORREGIDORA NO. 175                                                             </v>
      </c>
      <c r="F2106" s="26" t="str">
        <f>"MIGUEL HIDALGO                                                                                                                              "</f>
        <v xml:space="preserve">MIGUEL HIDALGO                                                                                                                              </v>
      </c>
      <c r="G2106" s="26" t="str">
        <f>"TLALPAN                                                                         "</f>
        <v xml:space="preserve">TLALPAN                                                                         </v>
      </c>
      <c r="H2106" s="26" t="str">
        <f>"278"</f>
        <v>278</v>
      </c>
      <c r="I2106" s="26" t="str">
        <f t="shared" si="386"/>
        <v>00</v>
      </c>
      <c r="J2106" s="26" t="str">
        <f>"35 "</f>
        <v xml:space="preserve">35 </v>
      </c>
      <c r="K2106" s="26" t="str">
        <f t="shared" si="390"/>
        <v>EP</v>
      </c>
      <c r="L2106" s="26" t="str">
        <f t="shared" si="391"/>
        <v>DGOSE</v>
      </c>
      <c r="M2106" s="26" t="str">
        <f t="shared" si="384"/>
        <v>PARTICULAR</v>
      </c>
      <c r="N2106" s="26">
        <v>23</v>
      </c>
      <c r="O2106" s="26">
        <v>12</v>
      </c>
      <c r="P2106" s="26">
        <v>11</v>
      </c>
      <c r="Q2106" s="26">
        <v>3</v>
      </c>
      <c r="R2106" s="26">
        <v>1</v>
      </c>
      <c r="S2106" s="26">
        <v>3</v>
      </c>
      <c r="T2106" s="26">
        <v>2</v>
      </c>
      <c r="U2106" s="26">
        <v>6</v>
      </c>
      <c r="V2106" s="26">
        <v>1</v>
      </c>
      <c r="W2106" s="26"/>
    </row>
    <row r="2107" spans="1:23" x14ac:dyDescent="0.25">
      <c r="A2107" s="26" t="str">
        <f t="shared" si="385"/>
        <v>PREESCOLAR</v>
      </c>
      <c r="B2107" s="26" t="str">
        <f>"09PJN4272V"</f>
        <v>09PJN4272V</v>
      </c>
      <c r="C2107" s="26" t="str">
        <f>"CENTRO INFANTIL MARIA TERESA                                                                        "</f>
        <v xml:space="preserve">CENTRO INFANTIL MARIA TERESA                                                                        </v>
      </c>
      <c r="D2107" s="26" t="str">
        <f t="shared" si="389"/>
        <v>MATUTINO</v>
      </c>
      <c r="E2107" s="26" t="str">
        <f>"GUERRERO NO. 37                                                                 "</f>
        <v xml:space="preserve">GUERRERO NO. 37                                                                 </v>
      </c>
      <c r="F2107" s="26" t="str">
        <f>"CUAJIMALPA                                                                                                                                  "</f>
        <v xml:space="preserve">CUAJIMALPA                                                                                                                                  </v>
      </c>
      <c r="G2107" s="26" t="str">
        <f>"CUAJIMALPA DE MORELOS                                                           "</f>
        <v xml:space="preserve">CUAJIMALPA DE MORELOS                                                           </v>
      </c>
      <c r="H2107" s="26" t="str">
        <f>"151"</f>
        <v>151</v>
      </c>
      <c r="I2107" s="26" t="str">
        <f t="shared" si="386"/>
        <v>00</v>
      </c>
      <c r="J2107" s="26" t="str">
        <f>"33 "</f>
        <v xml:space="preserve">33 </v>
      </c>
      <c r="K2107" s="26" t="str">
        <f t="shared" si="390"/>
        <v>EP</v>
      </c>
      <c r="L2107" s="26" t="str">
        <f t="shared" si="391"/>
        <v>DGOSE</v>
      </c>
      <c r="M2107" s="26" t="str">
        <f t="shared" si="384"/>
        <v>PARTICULAR</v>
      </c>
      <c r="N2107" s="26">
        <v>41</v>
      </c>
      <c r="O2107" s="26">
        <v>27</v>
      </c>
      <c r="P2107" s="26">
        <v>14</v>
      </c>
      <c r="Q2107" s="26">
        <v>3</v>
      </c>
      <c r="R2107" s="26">
        <v>1</v>
      </c>
      <c r="S2107" s="26">
        <v>3</v>
      </c>
      <c r="T2107" s="26">
        <v>5</v>
      </c>
      <c r="U2107" s="26">
        <v>9</v>
      </c>
      <c r="V2107" s="26">
        <v>1</v>
      </c>
      <c r="W2107" s="26"/>
    </row>
    <row r="2108" spans="1:23" x14ac:dyDescent="0.25">
      <c r="A2108" s="26" t="str">
        <f t="shared" si="385"/>
        <v>PREESCOLAR</v>
      </c>
      <c r="B2108" s="26" t="str">
        <f>"09PJN4273U"</f>
        <v>09PJN4273U</v>
      </c>
      <c r="C2108" s="26" t="str">
        <f>"CENTRO EDUCATIVO TOMAS MORO LOMAS                                                                   "</f>
        <v xml:space="preserve">CENTRO EDUCATIVO TOMAS MORO LOMAS                                                                   </v>
      </c>
      <c r="D2108" s="26" t="str">
        <f t="shared" si="389"/>
        <v>MATUTINO</v>
      </c>
      <c r="E2108" s="26" t="str">
        <f>"CASTILLO DE CHAPULTEPEC NO. 110                                                 "</f>
        <v xml:space="preserve">CASTILLO DE CHAPULTEPEC NO. 110                                                 </v>
      </c>
      <c r="F2108" s="26" t="str">
        <f>"LOMAS DE CHAPULTEPEC                                                                                                                        "</f>
        <v xml:space="preserve">LOMAS DE CHAPULTEPEC                                                                                                                        </v>
      </c>
      <c r="G2108" s="26" t="str">
        <f>"MIGUEL HIDALGO                                                                  "</f>
        <v xml:space="preserve">MIGUEL HIDALGO                                                                  </v>
      </c>
      <c r="H2108" s="26" t="str">
        <f>"193"</f>
        <v>193</v>
      </c>
      <c r="I2108" s="26" t="str">
        <f t="shared" si="386"/>
        <v>00</v>
      </c>
      <c r="J2108" s="26" t="str">
        <f>"32 "</f>
        <v xml:space="preserve">32 </v>
      </c>
      <c r="K2108" s="26" t="str">
        <f t="shared" si="390"/>
        <v>EP</v>
      </c>
      <c r="L2108" s="26" t="str">
        <f t="shared" si="391"/>
        <v>DGOSE</v>
      </c>
      <c r="M2108" s="26" t="str">
        <f t="shared" si="384"/>
        <v>PARTICULAR</v>
      </c>
      <c r="N2108" s="26">
        <v>50</v>
      </c>
      <c r="O2108" s="26">
        <v>29</v>
      </c>
      <c r="P2108" s="26">
        <v>21</v>
      </c>
      <c r="Q2108" s="26">
        <v>4</v>
      </c>
      <c r="R2108" s="26">
        <v>1</v>
      </c>
      <c r="S2108" s="26">
        <v>4</v>
      </c>
      <c r="T2108" s="26">
        <v>8</v>
      </c>
      <c r="U2108" s="26">
        <v>13</v>
      </c>
      <c r="V2108" s="26">
        <v>1</v>
      </c>
      <c r="W2108" s="26"/>
    </row>
    <row r="2109" spans="1:23" x14ac:dyDescent="0.25">
      <c r="A2109" s="26" t="str">
        <f t="shared" si="385"/>
        <v>PREESCOLAR</v>
      </c>
      <c r="B2109" s="26" t="str">
        <f>"09PJN4274T"</f>
        <v>09PJN4274T</v>
      </c>
      <c r="C2109" s="26" t="str">
        <f>"EL COLE MONTESSORI                                                                                  "</f>
        <v xml:space="preserve">EL COLE MONTESSORI                                                                                  </v>
      </c>
      <c r="D2109" s="26" t="str">
        <f t="shared" si="389"/>
        <v>MATUTINO</v>
      </c>
      <c r="E2109" s="26" t="str">
        <f>"FABRICA DE ARMAS NO. 18                                                         "</f>
        <v xml:space="preserve">FABRICA DE ARMAS NO. 18                                                         </v>
      </c>
      <c r="F2109" s="26" t="str">
        <f>"LOMAS DE CHAMIZAL                                                                                                                           "</f>
        <v xml:space="preserve">LOMAS DE CHAMIZAL                                                                                                                           </v>
      </c>
      <c r="G2109" s="26" t="str">
        <f>"CUAJIMALPA DE MORELOS                                                           "</f>
        <v xml:space="preserve">CUAJIMALPA DE MORELOS                                                           </v>
      </c>
      <c r="H2109" s="26" t="str">
        <f>"089"</f>
        <v>089</v>
      </c>
      <c r="I2109" s="26" t="str">
        <f t="shared" si="386"/>
        <v>00</v>
      </c>
      <c r="J2109" s="26" t="str">
        <f>"33 "</f>
        <v xml:space="preserve">33 </v>
      </c>
      <c r="K2109" s="26" t="str">
        <f t="shared" si="390"/>
        <v>EP</v>
      </c>
      <c r="L2109" s="26" t="str">
        <f t="shared" si="391"/>
        <v>DGOSE</v>
      </c>
      <c r="M2109" s="26" t="str">
        <f t="shared" si="384"/>
        <v>PARTICULAR</v>
      </c>
      <c r="N2109" s="26">
        <v>34</v>
      </c>
      <c r="O2109" s="26">
        <v>21</v>
      </c>
      <c r="P2109" s="26">
        <v>13</v>
      </c>
      <c r="Q2109" s="26">
        <v>2</v>
      </c>
      <c r="R2109" s="26">
        <v>1</v>
      </c>
      <c r="S2109" s="26">
        <v>2</v>
      </c>
      <c r="T2109" s="26">
        <v>11</v>
      </c>
      <c r="U2109" s="26">
        <v>14</v>
      </c>
      <c r="V2109" s="26">
        <v>1</v>
      </c>
      <c r="W2109" s="26"/>
    </row>
    <row r="2110" spans="1:23" x14ac:dyDescent="0.25">
      <c r="A2110" s="26" t="str">
        <f t="shared" si="385"/>
        <v>PREESCOLAR</v>
      </c>
      <c r="B2110" s="26" t="str">
        <f>"09PJN4275S"</f>
        <v>09PJN4275S</v>
      </c>
      <c r="C2110" s="26" t="str">
        <f>"COLEGIO BOSQUES                                                                                     "</f>
        <v xml:space="preserve">COLEGIO BOSQUES                                                                                     </v>
      </c>
      <c r="D2110" s="26" t="str">
        <f t="shared" si="389"/>
        <v>MATUTINO</v>
      </c>
      <c r="E2110" s="26" t="str">
        <f>"AV. VERACRUZ NO. 112                                                            "</f>
        <v xml:space="preserve">AV. VERACRUZ NO. 112                                                            </v>
      </c>
      <c r="F2110" s="26" t="str">
        <f>"CUAJIMALPA                                                                                                                                  "</f>
        <v xml:space="preserve">CUAJIMALPA                                                                                                                                  </v>
      </c>
      <c r="G2110" s="26" t="str">
        <f>"CUAJIMALPA DE MORELOS                                                           "</f>
        <v xml:space="preserve">CUAJIMALPA DE MORELOS                                                           </v>
      </c>
      <c r="H2110" s="26" t="str">
        <f>"151"</f>
        <v>151</v>
      </c>
      <c r="I2110" s="26" t="str">
        <f t="shared" si="386"/>
        <v>00</v>
      </c>
      <c r="J2110" s="26" t="str">
        <f>"33 "</f>
        <v xml:space="preserve">33 </v>
      </c>
      <c r="K2110" s="26" t="str">
        <f t="shared" si="390"/>
        <v>EP</v>
      </c>
      <c r="L2110" s="26" t="str">
        <f t="shared" si="391"/>
        <v>DGOSE</v>
      </c>
      <c r="M2110" s="26" t="str">
        <f t="shared" si="384"/>
        <v>PARTICULAR</v>
      </c>
      <c r="N2110" s="26">
        <v>24</v>
      </c>
      <c r="O2110" s="26">
        <v>8</v>
      </c>
      <c r="P2110" s="26">
        <v>16</v>
      </c>
      <c r="Q2110" s="26">
        <v>3</v>
      </c>
      <c r="R2110" s="26">
        <v>1</v>
      </c>
      <c r="S2110" s="26">
        <v>3</v>
      </c>
      <c r="T2110" s="26">
        <v>1</v>
      </c>
      <c r="U2110" s="26">
        <v>5</v>
      </c>
      <c r="V2110" s="26">
        <v>1</v>
      </c>
      <c r="W2110" s="26"/>
    </row>
    <row r="2111" spans="1:23" x14ac:dyDescent="0.25">
      <c r="A2111" s="26" t="str">
        <f t="shared" si="385"/>
        <v>PREESCOLAR</v>
      </c>
      <c r="B2111" s="26" t="str">
        <f>"09PJN4276R"</f>
        <v>09PJN4276R</v>
      </c>
      <c r="C2111" s="26" t="str">
        <f>"COLEGIO FRESNOS                                                                                     "</f>
        <v xml:space="preserve">COLEGIO FRESNOS                                                                                     </v>
      </c>
      <c r="D2111" s="26" t="str">
        <f t="shared" si="389"/>
        <v>MATUTINO</v>
      </c>
      <c r="E2111" s="26" t="str">
        <f>"AHUATENCO NO. 40                                                                "</f>
        <v xml:space="preserve">AHUATENCO NO. 40                                                                </v>
      </c>
      <c r="F2111" s="26" t="str">
        <f>"CUAJIMALPA                                                                                                                                  "</f>
        <v xml:space="preserve">CUAJIMALPA                                                                                                                                  </v>
      </c>
      <c r="G2111" s="26" t="str">
        <f>"CUAJIMALPA DE MORELOS                                                           "</f>
        <v xml:space="preserve">CUAJIMALPA DE MORELOS                                                           </v>
      </c>
      <c r="H2111" s="26" t="str">
        <f>"279"</f>
        <v>279</v>
      </c>
      <c r="I2111" s="26" t="str">
        <f t="shared" si="386"/>
        <v>00</v>
      </c>
      <c r="J2111" s="26" t="str">
        <f>"33 "</f>
        <v xml:space="preserve">33 </v>
      </c>
      <c r="K2111" s="26" t="str">
        <f t="shared" si="390"/>
        <v>EP</v>
      </c>
      <c r="L2111" s="26" t="str">
        <f t="shared" si="391"/>
        <v>DGOSE</v>
      </c>
      <c r="M2111" s="26" t="str">
        <f t="shared" ref="M2111:M2174" si="392">"PARTICULAR"</f>
        <v>PARTICULAR</v>
      </c>
      <c r="N2111" s="26">
        <v>25</v>
      </c>
      <c r="O2111" s="26">
        <v>10</v>
      </c>
      <c r="P2111" s="26">
        <v>15</v>
      </c>
      <c r="Q2111" s="26">
        <v>3</v>
      </c>
      <c r="R2111" s="26">
        <v>1</v>
      </c>
      <c r="S2111" s="26">
        <v>2</v>
      </c>
      <c r="T2111" s="26">
        <v>5</v>
      </c>
      <c r="U2111" s="26">
        <v>8</v>
      </c>
      <c r="V2111" s="26">
        <v>1</v>
      </c>
      <c r="W2111" s="26"/>
    </row>
    <row r="2112" spans="1:23" x14ac:dyDescent="0.25">
      <c r="A2112" s="26" t="str">
        <f t="shared" si="385"/>
        <v>PREESCOLAR</v>
      </c>
      <c r="B2112" s="26" t="str">
        <f>"09PJN4277Q"</f>
        <v>09PJN4277Q</v>
      </c>
      <c r="C2112" s="26" t="str">
        <f>"COLEGIO FRANCO INGLES                                                                               "</f>
        <v xml:space="preserve">COLEGIO FRANCO INGLES                                                                               </v>
      </c>
      <c r="D2112" s="26" t="str">
        <f t="shared" si="389"/>
        <v>MATUTINO</v>
      </c>
      <c r="E2112" s="26" t="str">
        <f>"CAMINO DEL OLIVO NO. 686                                                        "</f>
        <v xml:space="preserve">CAMINO DEL OLIVO NO. 686                                                        </v>
      </c>
      <c r="F2112" s="26" t="str">
        <f>"LOMAS DE VISTA HERMOSA                                                                                                                      "</f>
        <v xml:space="preserve">LOMAS DE VISTA HERMOSA                                                                                                                      </v>
      </c>
      <c r="G2112" s="26" t="str">
        <f>"CUAJIMALPA DE MORELOS                                                           "</f>
        <v xml:space="preserve">CUAJIMALPA DE MORELOS                                                           </v>
      </c>
      <c r="H2112" s="26" t="str">
        <f>"212"</f>
        <v>212</v>
      </c>
      <c r="I2112" s="26" t="str">
        <f t="shared" si="386"/>
        <v>00</v>
      </c>
      <c r="J2112" s="26" t="str">
        <f>"33 "</f>
        <v xml:space="preserve">33 </v>
      </c>
      <c r="K2112" s="26" t="str">
        <f t="shared" si="390"/>
        <v>EP</v>
      </c>
      <c r="L2112" s="26" t="str">
        <f t="shared" si="391"/>
        <v>DGOSE</v>
      </c>
      <c r="M2112" s="26" t="str">
        <f t="shared" si="392"/>
        <v>PARTICULAR</v>
      </c>
      <c r="N2112" s="26">
        <v>69</v>
      </c>
      <c r="O2112" s="26">
        <v>36</v>
      </c>
      <c r="P2112" s="26">
        <v>33</v>
      </c>
      <c r="Q2112" s="26">
        <v>4</v>
      </c>
      <c r="R2112" s="26">
        <v>1</v>
      </c>
      <c r="S2112" s="26">
        <v>4</v>
      </c>
      <c r="T2112" s="26">
        <v>7</v>
      </c>
      <c r="U2112" s="26">
        <v>12</v>
      </c>
      <c r="V2112" s="26">
        <v>1</v>
      </c>
      <c r="W2112" s="26"/>
    </row>
    <row r="2113" spans="1:23" x14ac:dyDescent="0.25">
      <c r="A2113" s="26" t="str">
        <f t="shared" si="385"/>
        <v>PREESCOLAR</v>
      </c>
      <c r="B2113" s="26" t="str">
        <f>"09PJN4278P"</f>
        <v>09PJN4278P</v>
      </c>
      <c r="C2113" s="26" t="str">
        <f>"COLEGIO OLIVERIO CROMWELL                                                                           "</f>
        <v xml:space="preserve">COLEGIO OLIVERIO CROMWELL                                                                           </v>
      </c>
      <c r="D2113" s="26" t="str">
        <f t="shared" si="389"/>
        <v>MATUTINO</v>
      </c>
      <c r="E2113" s="26" t="str">
        <f>"TZINAL NO. 123 MZA. 141 LT. 7                                                   "</f>
        <v xml:space="preserve">TZINAL NO. 123 MZA. 141 LT. 7                                                   </v>
      </c>
      <c r="F2113" s="26" t="str">
        <f>"HEROES DE PADIERNA                                                                                                                          "</f>
        <v xml:space="preserve">HEROES DE PADIERNA                                                                                                                          </v>
      </c>
      <c r="G2113" s="26" t="str">
        <f>"TLALPAN                                                                         "</f>
        <v xml:space="preserve">TLALPAN                                                                         </v>
      </c>
      <c r="H2113" s="26" t="str">
        <f>"147"</f>
        <v>147</v>
      </c>
      <c r="I2113" s="26" t="str">
        <f t="shared" si="386"/>
        <v>00</v>
      </c>
      <c r="J2113" s="26" t="str">
        <f>"35 "</f>
        <v xml:space="preserve">35 </v>
      </c>
      <c r="K2113" s="26" t="str">
        <f t="shared" si="390"/>
        <v>EP</v>
      </c>
      <c r="L2113" s="26" t="str">
        <f t="shared" si="391"/>
        <v>DGOSE</v>
      </c>
      <c r="M2113" s="26" t="str">
        <f t="shared" si="392"/>
        <v>PARTICULAR</v>
      </c>
      <c r="N2113" s="26">
        <v>57</v>
      </c>
      <c r="O2113" s="26">
        <v>19</v>
      </c>
      <c r="P2113" s="26">
        <v>38</v>
      </c>
      <c r="Q2113" s="26">
        <v>3</v>
      </c>
      <c r="R2113" s="26">
        <v>1</v>
      </c>
      <c r="S2113" s="26">
        <v>3</v>
      </c>
      <c r="T2113" s="26">
        <v>8</v>
      </c>
      <c r="U2113" s="26">
        <v>12</v>
      </c>
      <c r="V2113" s="26">
        <v>1</v>
      </c>
      <c r="W2113" s="26"/>
    </row>
    <row r="2114" spans="1:23" x14ac:dyDescent="0.25">
      <c r="A2114" s="26" t="str">
        <f t="shared" ref="A2114:A2177" si="393">"PREESCOLAR"</f>
        <v>PREESCOLAR</v>
      </c>
      <c r="B2114" s="26" t="str">
        <f>"09PJN4279O"</f>
        <v>09PJN4279O</v>
      </c>
      <c r="C2114" s="26" t="str">
        <f>"JARDIN DE NIÑOS PSICOPEDAGOGICO ACTIVO MELANIE KLEIN                                                "</f>
        <v xml:space="preserve">JARDIN DE NIÑOS PSICOPEDAGOGICO ACTIVO MELANIE KLEIN                                                </v>
      </c>
      <c r="D2114" s="26" t="str">
        <f t="shared" si="389"/>
        <v>MATUTINO</v>
      </c>
      <c r="E2114" s="26" t="str">
        <f>"CALZADA TAXQUEÑA NO. 14                                                         "</f>
        <v xml:space="preserve">CALZADA TAXQUEÑA NO. 14                                                         </v>
      </c>
      <c r="F2114" s="26" t="str">
        <f>"SAN FRANCISCO CULHUACAN                                                                                                                     "</f>
        <v xml:space="preserve">SAN FRANCISCO CULHUACAN                                                                                                                     </v>
      </c>
      <c r="G2114" s="26" t="str">
        <f>"COYOACAN                                                                        "</f>
        <v xml:space="preserve">COYOACAN                                                                        </v>
      </c>
      <c r="H2114" s="26" t="str">
        <f>"099"</f>
        <v>099</v>
      </c>
      <c r="I2114" s="26" t="str">
        <f t="shared" ref="I2114:I2177" si="394">"00"</f>
        <v>00</v>
      </c>
      <c r="J2114" s="26" t="str">
        <f>"35 "</f>
        <v xml:space="preserve">35 </v>
      </c>
      <c r="K2114" s="26" t="str">
        <f t="shared" si="390"/>
        <v>EP</v>
      </c>
      <c r="L2114" s="26" t="str">
        <f t="shared" si="391"/>
        <v>DGOSE</v>
      </c>
      <c r="M2114" s="26" t="str">
        <f t="shared" si="392"/>
        <v>PARTICULAR</v>
      </c>
      <c r="N2114" s="26">
        <v>30</v>
      </c>
      <c r="O2114" s="26">
        <v>15</v>
      </c>
      <c r="P2114" s="26">
        <v>15</v>
      </c>
      <c r="Q2114" s="26">
        <v>3</v>
      </c>
      <c r="R2114" s="26">
        <v>1</v>
      </c>
      <c r="S2114" s="26">
        <v>3</v>
      </c>
      <c r="T2114" s="26">
        <v>1</v>
      </c>
      <c r="U2114" s="26">
        <v>5</v>
      </c>
      <c r="V2114" s="26">
        <v>1</v>
      </c>
      <c r="W2114" s="26"/>
    </row>
    <row r="2115" spans="1:23" x14ac:dyDescent="0.25">
      <c r="A2115" s="26" t="str">
        <f t="shared" si="393"/>
        <v>PREESCOLAR</v>
      </c>
      <c r="B2115" s="26" t="str">
        <f>"09PJN4282B"</f>
        <v>09PJN4282B</v>
      </c>
      <c r="C2115" s="26" t="str">
        <f>"CENTRO DE DESARROLLO INFANTIL CALVIN                                                                "</f>
        <v xml:space="preserve">CENTRO DE DESARROLLO INFANTIL CALVIN                                                                </v>
      </c>
      <c r="D2115" s="26" t="str">
        <f t="shared" si="389"/>
        <v>MATUTINO</v>
      </c>
      <c r="E2115" s="26" t="str">
        <f>"AV. 4 NO. 8                                                                     "</f>
        <v xml:space="preserve">AV. 4 NO. 8                                                                     </v>
      </c>
      <c r="F2115" s="26" t="str">
        <f>"EDUCACION                                                                                                                                   "</f>
        <v xml:space="preserve">EDUCACION                                                                                                                                   </v>
      </c>
      <c r="G2115" s="26" t="str">
        <f>"COYOACAN                                                                        "</f>
        <v xml:space="preserve">COYOACAN                                                                        </v>
      </c>
      <c r="H2115" s="26" t="str">
        <f>"239"</f>
        <v>239</v>
      </c>
      <c r="I2115" s="26" t="str">
        <f t="shared" si="394"/>
        <v>00</v>
      </c>
      <c r="J2115" s="26" t="str">
        <f>"35 "</f>
        <v xml:space="preserve">35 </v>
      </c>
      <c r="K2115" s="26" t="str">
        <f t="shared" si="390"/>
        <v>EP</v>
      </c>
      <c r="L2115" s="26" t="str">
        <f t="shared" si="391"/>
        <v>DGOSE</v>
      </c>
      <c r="M2115" s="26" t="str">
        <f t="shared" si="392"/>
        <v>PARTICULAR</v>
      </c>
      <c r="N2115" s="26">
        <v>26</v>
      </c>
      <c r="O2115" s="26">
        <v>16</v>
      </c>
      <c r="P2115" s="26">
        <v>10</v>
      </c>
      <c r="Q2115" s="26">
        <v>3</v>
      </c>
      <c r="R2115" s="26">
        <v>1</v>
      </c>
      <c r="S2115" s="26">
        <v>3</v>
      </c>
      <c r="T2115" s="26">
        <v>3</v>
      </c>
      <c r="U2115" s="26">
        <v>7</v>
      </c>
      <c r="V2115" s="26">
        <v>1</v>
      </c>
      <c r="W2115" s="26"/>
    </row>
    <row r="2116" spans="1:23" x14ac:dyDescent="0.25">
      <c r="A2116" s="26" t="str">
        <f t="shared" si="393"/>
        <v>PREESCOLAR</v>
      </c>
      <c r="B2116" s="26" t="str">
        <f>"09PJN4283A"</f>
        <v>09PJN4283A</v>
      </c>
      <c r="C2116" s="26" t="str">
        <f>"INSTITUTO SCIFI                                                                                     "</f>
        <v xml:space="preserve">INSTITUTO SCIFI                                                                                     </v>
      </c>
      <c r="D2116" s="26" t="str">
        <f t="shared" si="389"/>
        <v>MATUTINO</v>
      </c>
      <c r="E2116" s="26" t="str">
        <f>"AV. COYOACAN NO.613 Y AV.COL.VALLE N.635                                        "</f>
        <v xml:space="preserve">AV. COYOACAN NO.613 Y AV.COL.VALLE N.635                                        </v>
      </c>
      <c r="F2116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2116" s="26" t="str">
        <f>"BENITO JUAREZ                                                                   "</f>
        <v xml:space="preserve">BENITO JUAREZ                                                                   </v>
      </c>
      <c r="H2116" s="26" t="str">
        <f>"232"</f>
        <v>232</v>
      </c>
      <c r="I2116" s="26" t="str">
        <f t="shared" si="394"/>
        <v>00</v>
      </c>
      <c r="J2116" s="26" t="str">
        <f>"33 "</f>
        <v xml:space="preserve">33 </v>
      </c>
      <c r="K2116" s="26" t="str">
        <f t="shared" si="390"/>
        <v>EP</v>
      </c>
      <c r="L2116" s="26" t="str">
        <f t="shared" si="391"/>
        <v>DGOSE</v>
      </c>
      <c r="M2116" s="26" t="str">
        <f t="shared" si="392"/>
        <v>PARTICULAR</v>
      </c>
      <c r="N2116" s="26">
        <v>27</v>
      </c>
      <c r="O2116" s="26">
        <v>8</v>
      </c>
      <c r="P2116" s="26">
        <v>19</v>
      </c>
      <c r="Q2116" s="26">
        <v>3</v>
      </c>
      <c r="R2116" s="26">
        <v>1</v>
      </c>
      <c r="S2116" s="26">
        <v>3</v>
      </c>
      <c r="T2116" s="26">
        <v>6</v>
      </c>
      <c r="U2116" s="26">
        <v>10</v>
      </c>
      <c r="V2116" s="26">
        <v>1</v>
      </c>
      <c r="W2116" s="26"/>
    </row>
    <row r="2117" spans="1:23" x14ac:dyDescent="0.25">
      <c r="A2117" s="26" t="str">
        <f t="shared" si="393"/>
        <v>PREESCOLAR</v>
      </c>
      <c r="B2117" s="26" t="str">
        <f>"09PJN4285Z"</f>
        <v>09PJN4285Z</v>
      </c>
      <c r="C2117" s="26" t="str">
        <f>"JARDÍN DE NIÑOS CAMPANITA                                                                           "</f>
        <v xml:space="preserve">JARDÍN DE NIÑOS CAMPANITA                                                                           </v>
      </c>
      <c r="D2117" s="26" t="str">
        <f t="shared" si="389"/>
        <v>MATUTINO</v>
      </c>
      <c r="E2117" s="26" t="str">
        <f>"ORIENTE 87 NO. 2725                                                             "</f>
        <v xml:space="preserve">ORIENTE 87 NO. 2725                                                             </v>
      </c>
      <c r="F2117" s="26" t="str">
        <f>"EMILIANO ZAPATA                                                                                                                             "</f>
        <v xml:space="preserve">EMILIANO ZAPATA                                                                                                                             </v>
      </c>
      <c r="G2117" s="26" t="str">
        <f>"GUSTAVO A. MADERO                                                               "</f>
        <v xml:space="preserve">GUSTAVO A. MADERO                                                               </v>
      </c>
      <c r="H2117" s="26" t="str">
        <f>"198"</f>
        <v>198</v>
      </c>
      <c r="I2117" s="26" t="str">
        <f t="shared" si="394"/>
        <v>00</v>
      </c>
      <c r="J2117" s="26" t="str">
        <f>"32 "</f>
        <v xml:space="preserve">32 </v>
      </c>
      <c r="K2117" s="26" t="str">
        <f t="shared" si="390"/>
        <v>EP</v>
      </c>
      <c r="L2117" s="26" t="str">
        <f t="shared" si="391"/>
        <v>DGOSE</v>
      </c>
      <c r="M2117" s="26" t="str">
        <f t="shared" si="392"/>
        <v>PARTICULAR</v>
      </c>
      <c r="N2117" s="26">
        <v>77</v>
      </c>
      <c r="O2117" s="26">
        <v>45</v>
      </c>
      <c r="P2117" s="26">
        <v>32</v>
      </c>
      <c r="Q2117" s="26">
        <v>3</v>
      </c>
      <c r="R2117" s="26">
        <v>1</v>
      </c>
      <c r="S2117" s="26">
        <v>3</v>
      </c>
      <c r="T2117" s="26">
        <v>3</v>
      </c>
      <c r="U2117" s="26">
        <v>7</v>
      </c>
      <c r="V2117" s="26">
        <v>1</v>
      </c>
      <c r="W2117" s="26"/>
    </row>
    <row r="2118" spans="1:23" x14ac:dyDescent="0.25">
      <c r="A2118" s="26" t="str">
        <f t="shared" si="393"/>
        <v>PREESCOLAR</v>
      </c>
      <c r="B2118" s="26" t="str">
        <f>"09PJN4286Y"</f>
        <v>09PJN4286Y</v>
      </c>
      <c r="C2118" s="26" t="str">
        <f>"KINDER MARGARITA MORENO                                                                             "</f>
        <v xml:space="preserve">KINDER MARGARITA MORENO                                                                             </v>
      </c>
      <c r="D2118" s="26" t="str">
        <f t="shared" si="389"/>
        <v>MATUTINO</v>
      </c>
      <c r="E2118" s="26" t="str">
        <f>"ALVARO OBREGON NO. 20                                                           "</f>
        <v xml:space="preserve">ALVARO OBREGON NO. 20                                                           </v>
      </c>
      <c r="F2118" s="26" t="str">
        <f>"LA MALINCHE                                                                                                                                 "</f>
        <v xml:space="preserve">LA MALINCHE                                                                                                                                 </v>
      </c>
      <c r="G2118" s="26" t="str">
        <f>"LA MAGDALENA CONTRERAS                                                          "</f>
        <v xml:space="preserve">LA MAGDALENA CONTRERAS                                                          </v>
      </c>
      <c r="H2118" s="26" t="str">
        <f>"112"</f>
        <v>112</v>
      </c>
      <c r="I2118" s="26" t="str">
        <f t="shared" si="394"/>
        <v>00</v>
      </c>
      <c r="J2118" s="26" t="str">
        <f>"35 "</f>
        <v xml:space="preserve">35 </v>
      </c>
      <c r="K2118" s="26" t="str">
        <f t="shared" si="390"/>
        <v>EP</v>
      </c>
      <c r="L2118" s="26" t="str">
        <f t="shared" si="391"/>
        <v>DGOSE</v>
      </c>
      <c r="M2118" s="26" t="str">
        <f t="shared" si="392"/>
        <v>PARTICULAR</v>
      </c>
      <c r="N2118" s="26">
        <v>25</v>
      </c>
      <c r="O2118" s="26">
        <v>11</v>
      </c>
      <c r="P2118" s="26">
        <v>14</v>
      </c>
      <c r="Q2118" s="26">
        <v>3</v>
      </c>
      <c r="R2118" s="26">
        <v>1</v>
      </c>
      <c r="S2118" s="26">
        <v>3</v>
      </c>
      <c r="T2118" s="26">
        <v>6</v>
      </c>
      <c r="U2118" s="26">
        <v>10</v>
      </c>
      <c r="V2118" s="26">
        <v>1</v>
      </c>
      <c r="W2118" s="26"/>
    </row>
    <row r="2119" spans="1:23" x14ac:dyDescent="0.25">
      <c r="A2119" s="26" t="str">
        <f t="shared" si="393"/>
        <v>PREESCOLAR</v>
      </c>
      <c r="B2119" s="26" t="str">
        <f>"09PJN4288W"</f>
        <v>09PJN4288W</v>
      </c>
      <c r="C2119" s="26" t="str">
        <f>"LA CASA DE LOS NIÑOS                                                                                "</f>
        <v xml:space="preserve">LA CASA DE LOS NIÑOS                                                                                </v>
      </c>
      <c r="D2119" s="26" t="str">
        <f t="shared" si="389"/>
        <v>MATUTINO</v>
      </c>
      <c r="E2119" s="26" t="str">
        <f>"HUAPANGO NO. 42                                                                 "</f>
        <v xml:space="preserve">HUAPANGO NO. 42                                                                 </v>
      </c>
      <c r="F2119" s="26" t="str">
        <f>"COLINAS DEL SUR                                                                                                                             "</f>
        <v xml:space="preserve">COLINAS DEL SUR                                                                                                                             </v>
      </c>
      <c r="G2119" s="26" t="str">
        <f>"ALVARO OBREGON                                                                  "</f>
        <v xml:space="preserve">ALVARO OBREGON                                                                  </v>
      </c>
      <c r="H2119" s="26" t="str">
        <f>"217"</f>
        <v>217</v>
      </c>
      <c r="I2119" s="26" t="str">
        <f t="shared" si="394"/>
        <v>00</v>
      </c>
      <c r="J2119" s="26" t="str">
        <f>"33 "</f>
        <v xml:space="preserve">33 </v>
      </c>
      <c r="K2119" s="26" t="str">
        <f t="shared" si="390"/>
        <v>EP</v>
      </c>
      <c r="L2119" s="26" t="str">
        <f t="shared" si="391"/>
        <v>DGOSE</v>
      </c>
      <c r="M2119" s="26" t="str">
        <f t="shared" si="392"/>
        <v>PARTICULAR</v>
      </c>
      <c r="N2119" s="26">
        <v>18</v>
      </c>
      <c r="O2119" s="26">
        <v>14</v>
      </c>
      <c r="P2119" s="26">
        <v>4</v>
      </c>
      <c r="Q2119" s="26">
        <v>3</v>
      </c>
      <c r="R2119" s="26">
        <v>1</v>
      </c>
      <c r="S2119" s="26">
        <v>3</v>
      </c>
      <c r="T2119" s="26">
        <v>1</v>
      </c>
      <c r="U2119" s="26">
        <v>5</v>
      </c>
      <c r="V2119" s="26">
        <v>1</v>
      </c>
      <c r="W2119" s="26"/>
    </row>
    <row r="2120" spans="1:23" x14ac:dyDescent="0.25">
      <c r="A2120" s="26" t="str">
        <f t="shared" si="393"/>
        <v>PREESCOLAR</v>
      </c>
      <c r="B2120" s="26" t="str">
        <f>"09PJN4292I"</f>
        <v>09PJN4292I</v>
      </c>
      <c r="C2120" s="26" t="str">
        <f>"CENTRO DE DESARROLLO CONSTRUCTIVISTA JEAN PIAGET                                                    "</f>
        <v xml:space="preserve">CENTRO DE DESARROLLO CONSTRUCTIVISTA JEAN PIAGET                                                    </v>
      </c>
      <c r="D2120" s="26" t="str">
        <f t="shared" si="389"/>
        <v>MATUTINO</v>
      </c>
      <c r="E2120" s="26" t="str">
        <f>"DURAZNO S/N MZ. 12 LT. 61 ZONA 5                                                "</f>
        <v xml:space="preserve">DURAZNO S/N MZ. 12 LT. 61 ZONA 5                                                </v>
      </c>
      <c r="F2120" s="26" t="str">
        <f>"CITLALI                                                                                                                                     "</f>
        <v xml:space="preserve">CITLALI                                                                                                                                     </v>
      </c>
      <c r="G2120" s="26" t="str">
        <f>"IZTAPALAPA                                                                      "</f>
        <v xml:space="preserve">IZTAPALAPA                                                                      </v>
      </c>
      <c r="H2120" s="26" t="str">
        <f>"000"</f>
        <v>000</v>
      </c>
      <c r="I2120" s="26" t="str">
        <f t="shared" si="394"/>
        <v>00</v>
      </c>
      <c r="J2120" s="26" t="str">
        <f>"64 "</f>
        <v xml:space="preserve">64 </v>
      </c>
      <c r="K2120" s="26" t="str">
        <f>"IZ"</f>
        <v>IZ</v>
      </c>
      <c r="L2120" s="26" t="str">
        <f>"DGSEI"</f>
        <v>DGSEI</v>
      </c>
      <c r="M2120" s="26" t="str">
        <f t="shared" si="392"/>
        <v>PARTICULAR</v>
      </c>
      <c r="N2120" s="26">
        <v>50</v>
      </c>
      <c r="O2120" s="26">
        <v>26</v>
      </c>
      <c r="P2120" s="26">
        <v>24</v>
      </c>
      <c r="Q2120" s="26">
        <v>3</v>
      </c>
      <c r="R2120" s="26">
        <v>1</v>
      </c>
      <c r="S2120" s="26">
        <v>3</v>
      </c>
      <c r="T2120" s="26">
        <v>2</v>
      </c>
      <c r="U2120" s="26">
        <v>6</v>
      </c>
      <c r="V2120" s="26">
        <v>1</v>
      </c>
      <c r="W2120" s="26"/>
    </row>
    <row r="2121" spans="1:23" x14ac:dyDescent="0.25">
      <c r="A2121" s="26" t="str">
        <f t="shared" si="393"/>
        <v>PREESCOLAR</v>
      </c>
      <c r="B2121" s="26" t="str">
        <f>"09PJN4295F"</f>
        <v>09PJN4295F</v>
      </c>
      <c r="C2121" s="26" t="str">
        <f>"BABY BEE                                                                                            "</f>
        <v xml:space="preserve">BABY BEE                                                                                            </v>
      </c>
      <c r="D2121" s="26" t="str">
        <f>"TIEMPO COMPLETO"</f>
        <v>TIEMPO COMPLETO</v>
      </c>
      <c r="E2121" s="26" t="str">
        <f>"AV. CAMPOS ELISEOS NO. 136                                                      "</f>
        <v xml:space="preserve">AV. CAMPOS ELISEOS NO. 136                                                      </v>
      </c>
      <c r="F2121" s="26" t="str">
        <f>"BOSQUES DE CHAPULTEPEC                                                                                                                      "</f>
        <v xml:space="preserve">BOSQUES DE CHAPULTEPEC                                                                                                                      </v>
      </c>
      <c r="G2121" s="26" t="str">
        <f>"MIGUEL HIDALGO                                                                  "</f>
        <v xml:space="preserve">MIGUEL HIDALGO                                                                  </v>
      </c>
      <c r="H2121" s="26" t="str">
        <f>"196"</f>
        <v>196</v>
      </c>
      <c r="I2121" s="26" t="str">
        <f t="shared" si="394"/>
        <v>00</v>
      </c>
      <c r="J2121" s="26" t="str">
        <f>"32 "</f>
        <v xml:space="preserve">32 </v>
      </c>
      <c r="K2121" s="26" t="str">
        <f t="shared" ref="K2121:K2129" si="395">"EP"</f>
        <v>EP</v>
      </c>
      <c r="L2121" s="26" t="str">
        <f t="shared" ref="L2121:L2129" si="396">"DGOSE"</f>
        <v>DGOSE</v>
      </c>
      <c r="M2121" s="26" t="str">
        <f t="shared" si="392"/>
        <v>PARTICULAR</v>
      </c>
      <c r="N2121" s="26">
        <v>43</v>
      </c>
      <c r="O2121" s="26">
        <v>28</v>
      </c>
      <c r="P2121" s="26">
        <v>15</v>
      </c>
      <c r="Q2121" s="26">
        <v>3</v>
      </c>
      <c r="R2121" s="26">
        <v>1</v>
      </c>
      <c r="S2121" s="26">
        <v>3</v>
      </c>
      <c r="T2121" s="26">
        <v>8</v>
      </c>
      <c r="U2121" s="26">
        <v>12</v>
      </c>
      <c r="V2121" s="26">
        <v>1</v>
      </c>
      <c r="W2121" s="26"/>
    </row>
    <row r="2122" spans="1:23" x14ac:dyDescent="0.25">
      <c r="A2122" s="26" t="str">
        <f t="shared" si="393"/>
        <v>PREESCOLAR</v>
      </c>
      <c r="B2122" s="26" t="str">
        <f>"09PJN4296E"</f>
        <v>09PJN4296E</v>
      </c>
      <c r="C2122" s="26" t="str">
        <f>"JARDIN DE NIÑOS EDUCARTE                                                                            "</f>
        <v xml:space="preserve">JARDIN DE NIÑOS EDUCARTE                                                                            </v>
      </c>
      <c r="D2122" s="26" t="str">
        <f t="shared" ref="D2122:D2185" si="397">"MATUTINO"</f>
        <v>MATUTINO</v>
      </c>
      <c r="E2122" s="26" t="str">
        <f>"HACIENDA DE MAZATEPEC NO. 11 Y 17                                               "</f>
        <v xml:space="preserve">HACIENDA DE MAZATEPEC NO. 11 Y 17                                               </v>
      </c>
      <c r="F2122" s="26" t="str">
        <f>"RINCONADA COAPA 1A SECCION                                                                                                                  "</f>
        <v xml:space="preserve">RINCONADA COAPA 1A SECCION                                                                                                                  </v>
      </c>
      <c r="G2122" s="26" t="str">
        <f>"TLALPAN                                                                         "</f>
        <v xml:space="preserve">TLALPAN                                                                         </v>
      </c>
      <c r="H2122" s="26" t="str">
        <f>"276"</f>
        <v>276</v>
      </c>
      <c r="I2122" s="26" t="str">
        <f t="shared" si="394"/>
        <v>00</v>
      </c>
      <c r="J2122" s="26" t="str">
        <f>"35 "</f>
        <v xml:space="preserve">35 </v>
      </c>
      <c r="K2122" s="26" t="str">
        <f t="shared" si="395"/>
        <v>EP</v>
      </c>
      <c r="L2122" s="26" t="str">
        <f t="shared" si="396"/>
        <v>DGOSE</v>
      </c>
      <c r="M2122" s="26" t="str">
        <f t="shared" si="392"/>
        <v>PARTICULAR</v>
      </c>
      <c r="N2122" s="26">
        <v>29</v>
      </c>
      <c r="O2122" s="26">
        <v>15</v>
      </c>
      <c r="P2122" s="26">
        <v>14</v>
      </c>
      <c r="Q2122" s="26">
        <v>3</v>
      </c>
      <c r="R2122" s="26">
        <v>1</v>
      </c>
      <c r="S2122" s="26">
        <v>3</v>
      </c>
      <c r="T2122" s="26">
        <v>3</v>
      </c>
      <c r="U2122" s="26">
        <v>7</v>
      </c>
      <c r="V2122" s="26">
        <v>1</v>
      </c>
      <c r="W2122" s="26"/>
    </row>
    <row r="2123" spans="1:23" x14ac:dyDescent="0.25">
      <c r="A2123" s="26" t="str">
        <f t="shared" si="393"/>
        <v>PREESCOLAR</v>
      </c>
      <c r="B2123" s="26" t="str">
        <f>"09PJN4297D"</f>
        <v>09PJN4297D</v>
      </c>
      <c r="C2123" s="26" t="str">
        <f>"KINDER KIDS 2000                                                                                    "</f>
        <v xml:space="preserve">KINDER KIDS 2000                                                                                    </v>
      </c>
      <c r="D2123" s="26" t="str">
        <f t="shared" si="397"/>
        <v>MATUTINO</v>
      </c>
      <c r="E2123" s="26" t="str">
        <f>"NORTE 72-A NO.5221 Y NORTE 74 NO. 5222                                          "</f>
        <v xml:space="preserve">NORTE 72-A NO.5221 Y NORTE 74 NO. 5222                                          </v>
      </c>
      <c r="F2123" s="26" t="str">
        <f>"BONDOJITO                                                                                                                                   "</f>
        <v xml:space="preserve">BONDOJITO                                                                                                                                   </v>
      </c>
      <c r="G2123" s="26" t="str">
        <f>"GUSTAVO A. MADERO                                                               "</f>
        <v xml:space="preserve">GUSTAVO A. MADERO                                                               </v>
      </c>
      <c r="H2123" s="26" t="str">
        <f>"195"</f>
        <v>195</v>
      </c>
      <c r="I2123" s="26" t="str">
        <f t="shared" si="394"/>
        <v>00</v>
      </c>
      <c r="J2123" s="26" t="str">
        <f>"32 "</f>
        <v xml:space="preserve">32 </v>
      </c>
      <c r="K2123" s="26" t="str">
        <f t="shared" si="395"/>
        <v>EP</v>
      </c>
      <c r="L2123" s="26" t="str">
        <f t="shared" si="396"/>
        <v>DGOSE</v>
      </c>
      <c r="M2123" s="26" t="str">
        <f t="shared" si="392"/>
        <v>PARTICULAR</v>
      </c>
      <c r="N2123" s="26">
        <v>30</v>
      </c>
      <c r="O2123" s="26">
        <v>18</v>
      </c>
      <c r="P2123" s="26">
        <v>12</v>
      </c>
      <c r="Q2123" s="26">
        <v>3</v>
      </c>
      <c r="R2123" s="26">
        <v>1</v>
      </c>
      <c r="S2123" s="26">
        <v>3</v>
      </c>
      <c r="T2123" s="26">
        <v>2</v>
      </c>
      <c r="U2123" s="26">
        <v>6</v>
      </c>
      <c r="V2123" s="26">
        <v>1</v>
      </c>
      <c r="W2123" s="26"/>
    </row>
    <row r="2124" spans="1:23" x14ac:dyDescent="0.25">
      <c r="A2124" s="26" t="str">
        <f t="shared" si="393"/>
        <v>PREESCOLAR</v>
      </c>
      <c r="B2124" s="26" t="str">
        <f>"09PJN4298C"</f>
        <v>09PJN4298C</v>
      </c>
      <c r="C2124" s="26" t="str">
        <f>"ELODIA RAMOS CHAVEZ                                                                                 "</f>
        <v xml:space="preserve">ELODIA RAMOS CHAVEZ                                                                                 </v>
      </c>
      <c r="D2124" s="26" t="str">
        <f t="shared" si="397"/>
        <v>MATUTINO</v>
      </c>
      <c r="E2124" s="26" t="str">
        <f>"ORIENTE 253 NO. 39                                                              "</f>
        <v xml:space="preserve">ORIENTE 253 NO. 39                                                              </v>
      </c>
      <c r="F2124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2124" s="26" t="str">
        <f>"IZTACALCO                                                                       "</f>
        <v xml:space="preserve">IZTACALCO                                                                       </v>
      </c>
      <c r="H2124" s="26" t="str">
        <f>"240"</f>
        <v>240</v>
      </c>
      <c r="I2124" s="26" t="str">
        <f t="shared" si="394"/>
        <v>00</v>
      </c>
      <c r="J2124" s="26" t="str">
        <f>"33 "</f>
        <v xml:space="preserve">33 </v>
      </c>
      <c r="K2124" s="26" t="str">
        <f t="shared" si="395"/>
        <v>EP</v>
      </c>
      <c r="L2124" s="26" t="str">
        <f t="shared" si="396"/>
        <v>DGOSE</v>
      </c>
      <c r="M2124" s="26" t="str">
        <f t="shared" si="392"/>
        <v>PARTICULAR</v>
      </c>
      <c r="N2124" s="26">
        <v>33</v>
      </c>
      <c r="O2124" s="26">
        <v>14</v>
      </c>
      <c r="P2124" s="26">
        <v>19</v>
      </c>
      <c r="Q2124" s="26">
        <v>3</v>
      </c>
      <c r="R2124" s="26">
        <v>1</v>
      </c>
      <c r="S2124" s="26">
        <v>3</v>
      </c>
      <c r="T2124" s="26">
        <v>5</v>
      </c>
      <c r="U2124" s="26">
        <v>9</v>
      </c>
      <c r="V2124" s="26">
        <v>1</v>
      </c>
      <c r="W2124" s="26"/>
    </row>
    <row r="2125" spans="1:23" x14ac:dyDescent="0.25">
      <c r="A2125" s="26" t="str">
        <f t="shared" si="393"/>
        <v>PREESCOLAR</v>
      </c>
      <c r="B2125" s="26" t="str">
        <f>"09PJN4299B"</f>
        <v>09PJN4299B</v>
      </c>
      <c r="C2125" s="26" t="str">
        <f>"CENTRO ESCOLAR YAOCALLI                                                                             "</f>
        <v xml:space="preserve">CENTRO ESCOLAR YAOCALLI                                                                             </v>
      </c>
      <c r="D2125" s="26" t="str">
        <f t="shared" si="397"/>
        <v>MATUTINO</v>
      </c>
      <c r="E2125" s="26" t="str">
        <f>"CERRADA DE LEON NO. 54                                                          "</f>
        <v xml:space="preserve">CERRADA DE LEON NO. 54                                                          </v>
      </c>
      <c r="F2125" s="26" t="str">
        <f>"MIGUEL HIDALGO                                                                                                                              "</f>
        <v xml:space="preserve">MIGUEL HIDALGO                                                                                                                              </v>
      </c>
      <c r="G2125" s="26" t="str">
        <f>"TLALPAN                                                                         "</f>
        <v xml:space="preserve">TLALPAN                                                                         </v>
      </c>
      <c r="H2125" s="26" t="str">
        <f>"278"</f>
        <v>278</v>
      </c>
      <c r="I2125" s="26" t="str">
        <f t="shared" si="394"/>
        <v>00</v>
      </c>
      <c r="J2125" s="26" t="str">
        <f>"35 "</f>
        <v xml:space="preserve">35 </v>
      </c>
      <c r="K2125" s="26" t="str">
        <f t="shared" si="395"/>
        <v>EP</v>
      </c>
      <c r="L2125" s="26" t="str">
        <f t="shared" si="396"/>
        <v>DGOSE</v>
      </c>
      <c r="M2125" s="26" t="str">
        <f t="shared" si="392"/>
        <v>PARTICULAR</v>
      </c>
      <c r="N2125" s="26">
        <v>70</v>
      </c>
      <c r="O2125" s="26">
        <v>18</v>
      </c>
      <c r="P2125" s="26">
        <v>52</v>
      </c>
      <c r="Q2125" s="26">
        <v>5</v>
      </c>
      <c r="R2125" s="26">
        <v>1</v>
      </c>
      <c r="S2125" s="26">
        <v>3</v>
      </c>
      <c r="T2125" s="26">
        <v>4</v>
      </c>
      <c r="U2125" s="26">
        <v>8</v>
      </c>
      <c r="V2125" s="26">
        <v>1</v>
      </c>
      <c r="W2125" s="26"/>
    </row>
    <row r="2126" spans="1:23" x14ac:dyDescent="0.25">
      <c r="A2126" s="26" t="str">
        <f t="shared" si="393"/>
        <v>PREESCOLAR</v>
      </c>
      <c r="B2126" s="26" t="str">
        <f>"09PJN4300A"</f>
        <v>09PJN4300A</v>
      </c>
      <c r="C2126" s="26" t="str">
        <f>"WAYNE SKINNER                                                                                       "</f>
        <v xml:space="preserve">WAYNE SKINNER                                                                                       </v>
      </c>
      <c r="D2126" s="26" t="str">
        <f t="shared" si="397"/>
        <v>MATUTINO</v>
      </c>
      <c r="E2126" s="26" t="str">
        <f>"ORIENTE 176 NO. 203                                                             "</f>
        <v xml:space="preserve">ORIENTE 176 NO. 203                                                             </v>
      </c>
      <c r="F2126" s="26" t="str">
        <f>"MOCTEZUMA 2A SECCION                                                                                                                        "</f>
        <v xml:space="preserve">MOCTEZUMA 2A SECCION                                                                                                                        </v>
      </c>
      <c r="G2126" s="26" t="str">
        <f>"VENUSTIANO CARRANZA                                                             "</f>
        <v xml:space="preserve">VENUSTIANO CARRANZA                                                             </v>
      </c>
      <c r="H2126" s="26" t="str">
        <f>"248"</f>
        <v>248</v>
      </c>
      <c r="I2126" s="26" t="str">
        <f t="shared" si="394"/>
        <v>00</v>
      </c>
      <c r="J2126" s="26" t="str">
        <f>"33 "</f>
        <v xml:space="preserve">33 </v>
      </c>
      <c r="K2126" s="26" t="str">
        <f t="shared" si="395"/>
        <v>EP</v>
      </c>
      <c r="L2126" s="26" t="str">
        <f t="shared" si="396"/>
        <v>DGOSE</v>
      </c>
      <c r="M2126" s="26" t="str">
        <f t="shared" si="392"/>
        <v>PARTICULAR</v>
      </c>
      <c r="N2126" s="26">
        <v>35</v>
      </c>
      <c r="O2126" s="26">
        <v>21</v>
      </c>
      <c r="P2126" s="26">
        <v>14</v>
      </c>
      <c r="Q2126" s="26">
        <v>3</v>
      </c>
      <c r="R2126" s="26">
        <v>1</v>
      </c>
      <c r="S2126" s="26">
        <v>3</v>
      </c>
      <c r="T2126" s="26">
        <v>3</v>
      </c>
      <c r="U2126" s="26">
        <v>7</v>
      </c>
      <c r="V2126" s="26">
        <v>1</v>
      </c>
      <c r="W2126" s="26"/>
    </row>
    <row r="2127" spans="1:23" x14ac:dyDescent="0.25">
      <c r="A2127" s="26" t="str">
        <f t="shared" si="393"/>
        <v>PREESCOLAR</v>
      </c>
      <c r="B2127" s="26" t="str">
        <f>"09PJN4302Z"</f>
        <v>09PJN4302Z</v>
      </c>
      <c r="C2127" s="26" t="str">
        <f>"KINDERGYM                                                                                           "</f>
        <v xml:space="preserve">KINDERGYM                                                                                           </v>
      </c>
      <c r="D2127" s="26" t="str">
        <f t="shared" si="397"/>
        <v>MATUTINO</v>
      </c>
      <c r="E2127" s="26" t="str">
        <f>"MATANZAS NO. 760                                                                "</f>
        <v xml:space="preserve">MATANZAS NO. 760                                                                </v>
      </c>
      <c r="F2127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2127" s="26" t="str">
        <f>"GUSTAVO A. MADERO                                                               "</f>
        <v xml:space="preserve">GUSTAVO A. MADERO                                                               </v>
      </c>
      <c r="H2127" s="26" t="str">
        <f>"192"</f>
        <v>192</v>
      </c>
      <c r="I2127" s="26" t="str">
        <f t="shared" si="394"/>
        <v>00</v>
      </c>
      <c r="J2127" s="26" t="str">
        <f>"32 "</f>
        <v xml:space="preserve">32 </v>
      </c>
      <c r="K2127" s="26" t="str">
        <f t="shared" si="395"/>
        <v>EP</v>
      </c>
      <c r="L2127" s="26" t="str">
        <f t="shared" si="396"/>
        <v>DGOSE</v>
      </c>
      <c r="M2127" s="26" t="str">
        <f t="shared" si="392"/>
        <v>PARTICULAR</v>
      </c>
      <c r="N2127" s="26">
        <v>27</v>
      </c>
      <c r="O2127" s="26">
        <v>11</v>
      </c>
      <c r="P2127" s="26">
        <v>16</v>
      </c>
      <c r="Q2127" s="26">
        <v>2</v>
      </c>
      <c r="R2127" s="26">
        <v>1</v>
      </c>
      <c r="S2127" s="26">
        <v>2</v>
      </c>
      <c r="T2127" s="26">
        <v>4</v>
      </c>
      <c r="U2127" s="26">
        <v>7</v>
      </c>
      <c r="V2127" s="26">
        <v>1</v>
      </c>
      <c r="W2127" s="26"/>
    </row>
    <row r="2128" spans="1:23" x14ac:dyDescent="0.25">
      <c r="A2128" s="26" t="str">
        <f t="shared" si="393"/>
        <v>PREESCOLAR</v>
      </c>
      <c r="B2128" s="26" t="str">
        <f>"09PJN4303Y"</f>
        <v>09PJN4303Y</v>
      </c>
      <c r="C2128" s="26" t="str">
        <f>"CENTRO DE DESARROLLO INFANTIL PRINCESS                                                              "</f>
        <v xml:space="preserve">CENTRO DE DESARROLLO INFANTIL PRINCESS                                                              </v>
      </c>
      <c r="D2128" s="26" t="str">
        <f t="shared" si="397"/>
        <v>MATUTINO</v>
      </c>
      <c r="E2128" s="26" t="str">
        <f>"SUR 155 NO. 1919                                                                "</f>
        <v xml:space="preserve">SUR 155 NO. 1919                                                                </v>
      </c>
      <c r="F2128" s="26" t="str">
        <f>"GABRIEL RAMOS MILLAN                                                                                                                        "</f>
        <v xml:space="preserve">GABRIEL RAMOS MILLAN                                                                                                                        </v>
      </c>
      <c r="G2128" s="26" t="str">
        <f>"IZTACALCO                                                                       "</f>
        <v xml:space="preserve">IZTACALCO                                                                       </v>
      </c>
      <c r="H2128" s="26" t="str">
        <f>"144"</f>
        <v>144</v>
      </c>
      <c r="I2128" s="26" t="str">
        <f t="shared" si="394"/>
        <v>00</v>
      </c>
      <c r="J2128" s="26" t="str">
        <f>"33 "</f>
        <v xml:space="preserve">33 </v>
      </c>
      <c r="K2128" s="26" t="str">
        <f t="shared" si="395"/>
        <v>EP</v>
      </c>
      <c r="L2128" s="26" t="str">
        <f t="shared" si="396"/>
        <v>DGOSE</v>
      </c>
      <c r="M2128" s="26" t="str">
        <f t="shared" si="392"/>
        <v>PARTICULAR</v>
      </c>
      <c r="N2128" s="26">
        <v>39</v>
      </c>
      <c r="O2128" s="26">
        <v>18</v>
      </c>
      <c r="P2128" s="26">
        <v>21</v>
      </c>
      <c r="Q2128" s="26">
        <v>3</v>
      </c>
      <c r="R2128" s="26">
        <v>1</v>
      </c>
      <c r="S2128" s="26">
        <v>3</v>
      </c>
      <c r="T2128" s="26">
        <v>3</v>
      </c>
      <c r="U2128" s="26">
        <v>7</v>
      </c>
      <c r="V2128" s="26">
        <v>1</v>
      </c>
      <c r="W2128" s="26"/>
    </row>
    <row r="2129" spans="1:23" x14ac:dyDescent="0.25">
      <c r="A2129" s="26" t="str">
        <f t="shared" si="393"/>
        <v>PREESCOLAR</v>
      </c>
      <c r="B2129" s="26" t="str">
        <f>"09PJN4305W"</f>
        <v>09PJN4305W</v>
      </c>
      <c r="C2129" s="26" t="str">
        <f>"KINDERGYM NUEVA SANTA MARIA                                                                         "</f>
        <v xml:space="preserve">KINDERGYM NUEVA SANTA MARIA                                                                         </v>
      </c>
      <c r="D2129" s="26" t="str">
        <f t="shared" si="397"/>
        <v>MATUTINO</v>
      </c>
      <c r="E2129" s="26" t="str">
        <f>"CALZ. DE CAMARONES NO. 131                                                      "</f>
        <v xml:space="preserve">CALZ. DE CAMARONES NO. 131                                                      </v>
      </c>
      <c r="F2129" s="26" t="str">
        <f>"NUEVA SANTA MARIA                                                                                                                           "</f>
        <v xml:space="preserve">NUEVA SANTA MARIA                                                                                                                           </v>
      </c>
      <c r="G2129" s="26" t="str">
        <f>"AZCAPOTZALCO                                                                    "</f>
        <v xml:space="preserve">AZCAPOTZALCO                                                                    </v>
      </c>
      <c r="H2129" s="26" t="str">
        <f>"189"</f>
        <v>189</v>
      </c>
      <c r="I2129" s="26" t="str">
        <f t="shared" si="394"/>
        <v>00</v>
      </c>
      <c r="J2129" s="26" t="str">
        <f>"32 "</f>
        <v xml:space="preserve">32 </v>
      </c>
      <c r="K2129" s="26" t="str">
        <f t="shared" si="395"/>
        <v>EP</v>
      </c>
      <c r="L2129" s="26" t="str">
        <f t="shared" si="396"/>
        <v>DGOSE</v>
      </c>
      <c r="M2129" s="26" t="str">
        <f t="shared" si="392"/>
        <v>PARTICULAR</v>
      </c>
      <c r="N2129" s="26">
        <v>47</v>
      </c>
      <c r="O2129" s="26">
        <v>19</v>
      </c>
      <c r="P2129" s="26">
        <v>28</v>
      </c>
      <c r="Q2129" s="26">
        <v>4</v>
      </c>
      <c r="R2129" s="26">
        <v>1</v>
      </c>
      <c r="S2129" s="26">
        <v>3</v>
      </c>
      <c r="T2129" s="26">
        <v>5</v>
      </c>
      <c r="U2129" s="26">
        <v>9</v>
      </c>
      <c r="V2129" s="26">
        <v>1</v>
      </c>
      <c r="W2129" s="26"/>
    </row>
    <row r="2130" spans="1:23" x14ac:dyDescent="0.25">
      <c r="A2130" s="26" t="str">
        <f t="shared" si="393"/>
        <v>PREESCOLAR</v>
      </c>
      <c r="B2130" s="26" t="str">
        <f>"09PJN4308T"</f>
        <v>09PJN4308T</v>
      </c>
      <c r="C2130" s="26" t="str">
        <f>"CENTRO PEDAGOGICO VALLE                                                                             "</f>
        <v xml:space="preserve">CENTRO PEDAGOGICO VALLE                                                                             </v>
      </c>
      <c r="D2130" s="26" t="str">
        <f t="shared" si="397"/>
        <v>MATUTINO</v>
      </c>
      <c r="E2130" s="26" t="str">
        <f>"SUR 25 NO. 257                                                                  "</f>
        <v xml:space="preserve">SUR 25 NO. 257                                                                  </v>
      </c>
      <c r="F2130" s="26" t="str">
        <f>"LEYES DE REFORMA                                                                                                                            "</f>
        <v xml:space="preserve">LEYES DE REFORMA                                                                                                                            </v>
      </c>
      <c r="G2130" s="26" t="str">
        <f>"IZTAPALAPA                                                                      "</f>
        <v xml:space="preserve">IZTAPALAPA                                                                      </v>
      </c>
      <c r="H2130" s="26" t="str">
        <f>"000"</f>
        <v>000</v>
      </c>
      <c r="I2130" s="26" t="str">
        <f t="shared" si="394"/>
        <v>00</v>
      </c>
      <c r="J2130" s="26" t="str">
        <f>"61 "</f>
        <v xml:space="preserve">61 </v>
      </c>
      <c r="K2130" s="26" t="str">
        <f>"IZ"</f>
        <v>IZ</v>
      </c>
      <c r="L2130" s="26" t="str">
        <f>"DGSEI"</f>
        <v>DGSEI</v>
      </c>
      <c r="M2130" s="26" t="str">
        <f t="shared" si="392"/>
        <v>PARTICULAR</v>
      </c>
      <c r="N2130" s="26">
        <v>29</v>
      </c>
      <c r="O2130" s="26">
        <v>15</v>
      </c>
      <c r="P2130" s="26">
        <v>14</v>
      </c>
      <c r="Q2130" s="26">
        <v>3</v>
      </c>
      <c r="R2130" s="26">
        <v>1</v>
      </c>
      <c r="S2130" s="26">
        <v>2</v>
      </c>
      <c r="T2130" s="26">
        <v>5</v>
      </c>
      <c r="U2130" s="26">
        <v>8</v>
      </c>
      <c r="V2130" s="26">
        <v>1</v>
      </c>
      <c r="W2130" s="26"/>
    </row>
    <row r="2131" spans="1:23" x14ac:dyDescent="0.25">
      <c r="A2131" s="26" t="str">
        <f t="shared" si="393"/>
        <v>PREESCOLAR</v>
      </c>
      <c r="B2131" s="26" t="str">
        <f>"09PJN4309S"</f>
        <v>09PJN4309S</v>
      </c>
      <c r="C2131" s="26" t="str">
        <f>"COLEGIO JARDIN                                                                                      "</f>
        <v xml:space="preserve">COLEGIO JARDIN                                                                                      </v>
      </c>
      <c r="D2131" s="26" t="str">
        <f t="shared" si="397"/>
        <v>MATUTINO</v>
      </c>
      <c r="E2131" s="26" t="str">
        <f>"SIMON ALQUISIRAS MZ. 17 LT. 9                                                   "</f>
        <v xml:space="preserve">SIMON ALQUISIRAS MZ. 17 LT. 9                                                   </v>
      </c>
      <c r="F2131" s="26" t="str">
        <f>"LAS PEÑAS                                                                                                                                   "</f>
        <v xml:space="preserve">LAS PEÑAS                                                                                                                                   </v>
      </c>
      <c r="G2131" s="26" t="str">
        <f>"IZTAPALAPA                                                                      "</f>
        <v xml:space="preserve">IZTAPALAPA                                                                      </v>
      </c>
      <c r="H2131" s="26" t="str">
        <f>"000"</f>
        <v>000</v>
      </c>
      <c r="I2131" s="26" t="str">
        <f t="shared" si="394"/>
        <v>00</v>
      </c>
      <c r="J2131" s="26" t="str">
        <f>"63 "</f>
        <v xml:space="preserve">63 </v>
      </c>
      <c r="K2131" s="26" t="str">
        <f>"IZ"</f>
        <v>IZ</v>
      </c>
      <c r="L2131" s="26" t="str">
        <f>"DGSEI"</f>
        <v>DGSEI</v>
      </c>
      <c r="M2131" s="26" t="str">
        <f t="shared" si="392"/>
        <v>PARTICULAR</v>
      </c>
      <c r="N2131" s="26">
        <v>40</v>
      </c>
      <c r="O2131" s="26">
        <v>18</v>
      </c>
      <c r="P2131" s="26">
        <v>22</v>
      </c>
      <c r="Q2131" s="26">
        <v>3</v>
      </c>
      <c r="R2131" s="26">
        <v>1</v>
      </c>
      <c r="S2131" s="26">
        <v>3</v>
      </c>
      <c r="T2131" s="26">
        <v>3</v>
      </c>
      <c r="U2131" s="26">
        <v>7</v>
      </c>
      <c r="V2131" s="26">
        <v>1</v>
      </c>
      <c r="W2131" s="26"/>
    </row>
    <row r="2132" spans="1:23" x14ac:dyDescent="0.25">
      <c r="A2132" s="26" t="str">
        <f t="shared" si="393"/>
        <v>PREESCOLAR</v>
      </c>
      <c r="B2132" s="26" t="str">
        <f>"09PJN4310H"</f>
        <v>09PJN4310H</v>
      </c>
      <c r="C2132" s="26" t="str">
        <f>"ESCUELA CRISTOBAL COLON                                                                             "</f>
        <v xml:space="preserve">ESCUELA CRISTOBAL COLON                                                                             </v>
      </c>
      <c r="D2132" s="26" t="str">
        <f t="shared" si="397"/>
        <v>MATUTINO</v>
      </c>
      <c r="E2132" s="26" t="str">
        <f>"CALZADA DE LOS MISTERIOS NO. 25                                                 "</f>
        <v xml:space="preserve">CALZADA DE LOS MISTERIOS NO. 25                                                 </v>
      </c>
      <c r="F2132" s="26" t="str">
        <f>"GUSTAVO A. MADERO                                                                                                                           "</f>
        <v xml:space="preserve">GUSTAVO A. MADERO                                                                                                                           </v>
      </c>
      <c r="G2132" s="26" t="str">
        <f>"GUSTAVO A. MADERO                                                               "</f>
        <v xml:space="preserve">GUSTAVO A. MADERO                                                               </v>
      </c>
      <c r="H2132" s="26" t="str">
        <f>"006"</f>
        <v>006</v>
      </c>
      <c r="I2132" s="26" t="str">
        <f t="shared" si="394"/>
        <v>00</v>
      </c>
      <c r="J2132" s="26" t="str">
        <f>"32 "</f>
        <v xml:space="preserve">32 </v>
      </c>
      <c r="K2132" s="26" t="str">
        <f t="shared" ref="K2132:K2148" si="398">"EP"</f>
        <v>EP</v>
      </c>
      <c r="L2132" s="26" t="str">
        <f t="shared" ref="L2132:L2148" si="399">"DGOSE"</f>
        <v>DGOSE</v>
      </c>
      <c r="M2132" s="26" t="str">
        <f t="shared" si="392"/>
        <v>PARTICULAR</v>
      </c>
      <c r="N2132" s="26">
        <v>76</v>
      </c>
      <c r="O2132" s="26">
        <v>44</v>
      </c>
      <c r="P2132" s="26">
        <v>32</v>
      </c>
      <c r="Q2132" s="26">
        <v>3</v>
      </c>
      <c r="R2132" s="26">
        <v>1</v>
      </c>
      <c r="S2132" s="26">
        <v>3</v>
      </c>
      <c r="T2132" s="26">
        <v>11</v>
      </c>
      <c r="U2132" s="26">
        <v>15</v>
      </c>
      <c r="V2132" s="26">
        <v>1</v>
      </c>
      <c r="W2132" s="26"/>
    </row>
    <row r="2133" spans="1:23" x14ac:dyDescent="0.25">
      <c r="A2133" s="26" t="str">
        <f t="shared" si="393"/>
        <v>PREESCOLAR</v>
      </c>
      <c r="B2133" s="26" t="str">
        <f>"09PJN4311G"</f>
        <v>09PJN4311G</v>
      </c>
      <c r="C2133" s="26" t="str">
        <f>"COLEGIO INGENIERO ARMANDO I. SANTACRUZ                                                              "</f>
        <v xml:space="preserve">COLEGIO INGENIERO ARMANDO I. SANTACRUZ                                                              </v>
      </c>
      <c r="D2133" s="26" t="str">
        <f t="shared" si="397"/>
        <v>MATUTINO</v>
      </c>
      <c r="E2133" s="26" t="str">
        <f>"ORIENTE 174 NO. 473                                                             "</f>
        <v xml:space="preserve">ORIENTE 174 NO. 473                                                             </v>
      </c>
      <c r="F2133" s="26" t="str">
        <f>"MOCTEZUMA 2A SECCION                                                                                                                        "</f>
        <v xml:space="preserve">MOCTEZUMA 2A SECCION                                                                                                                        </v>
      </c>
      <c r="G2133" s="26" t="str">
        <f>"VENUSTIANO CARRANZA                                                             "</f>
        <v xml:space="preserve">VENUSTIANO CARRANZA                                                             </v>
      </c>
      <c r="H2133" s="26" t="str">
        <f>"248"</f>
        <v>248</v>
      </c>
      <c r="I2133" s="26" t="str">
        <f t="shared" si="394"/>
        <v>00</v>
      </c>
      <c r="J2133" s="26" t="str">
        <f>"33 "</f>
        <v xml:space="preserve">33 </v>
      </c>
      <c r="K2133" s="26" t="str">
        <f t="shared" si="398"/>
        <v>EP</v>
      </c>
      <c r="L2133" s="26" t="str">
        <f t="shared" si="399"/>
        <v>DGOSE</v>
      </c>
      <c r="M2133" s="26" t="str">
        <f t="shared" si="392"/>
        <v>PARTICULAR</v>
      </c>
      <c r="N2133" s="26">
        <v>56</v>
      </c>
      <c r="O2133" s="26">
        <v>27</v>
      </c>
      <c r="P2133" s="26">
        <v>29</v>
      </c>
      <c r="Q2133" s="26">
        <v>5</v>
      </c>
      <c r="R2133" s="26">
        <v>1</v>
      </c>
      <c r="S2133" s="26">
        <v>5</v>
      </c>
      <c r="T2133" s="26">
        <v>7</v>
      </c>
      <c r="U2133" s="26">
        <v>13</v>
      </c>
      <c r="V2133" s="26">
        <v>1</v>
      </c>
      <c r="W2133" s="26"/>
    </row>
    <row r="2134" spans="1:23" x14ac:dyDescent="0.25">
      <c r="A2134" s="26" t="str">
        <f t="shared" si="393"/>
        <v>PREESCOLAR</v>
      </c>
      <c r="B2134" s="26" t="str">
        <f>"09PJN4312F"</f>
        <v>09PJN4312F</v>
      </c>
      <c r="C2134" s="26" t="str">
        <f>"WILLIAM THOMSON                                                                                     "</f>
        <v xml:space="preserve">WILLIAM THOMSON                                                                                     </v>
      </c>
      <c r="D2134" s="26" t="str">
        <f t="shared" si="397"/>
        <v>MATUTINO</v>
      </c>
      <c r="E2134" s="26" t="str">
        <f>"OSTION NO. 83                                                                   "</f>
        <v xml:space="preserve">OSTION NO. 83                                                                   </v>
      </c>
      <c r="F2134" s="26" t="str">
        <f>"CARACOL                                                                                                                                     "</f>
        <v xml:space="preserve">CARACOL                                                                                                                                     </v>
      </c>
      <c r="G2134" s="26" t="str">
        <f>"VENUSTIANO CARRANZA                                                             "</f>
        <v xml:space="preserve">VENUSTIANO CARRANZA                                                             </v>
      </c>
      <c r="H2134" s="26" t="str">
        <f>"161"</f>
        <v>161</v>
      </c>
      <c r="I2134" s="26" t="str">
        <f t="shared" si="394"/>
        <v>00</v>
      </c>
      <c r="J2134" s="26" t="str">
        <f>"33 "</f>
        <v xml:space="preserve">33 </v>
      </c>
      <c r="K2134" s="26" t="str">
        <f t="shared" si="398"/>
        <v>EP</v>
      </c>
      <c r="L2134" s="26" t="str">
        <f t="shared" si="399"/>
        <v>DGOSE</v>
      </c>
      <c r="M2134" s="26" t="str">
        <f t="shared" si="392"/>
        <v>PARTICULAR</v>
      </c>
      <c r="N2134" s="26">
        <v>73</v>
      </c>
      <c r="O2134" s="26">
        <v>37</v>
      </c>
      <c r="P2134" s="26">
        <v>36</v>
      </c>
      <c r="Q2134" s="26">
        <v>4</v>
      </c>
      <c r="R2134" s="26">
        <v>1</v>
      </c>
      <c r="S2134" s="26">
        <v>4</v>
      </c>
      <c r="T2134" s="26">
        <v>9</v>
      </c>
      <c r="U2134" s="26">
        <v>14</v>
      </c>
      <c r="V2134" s="26">
        <v>1</v>
      </c>
      <c r="W2134" s="26"/>
    </row>
    <row r="2135" spans="1:23" x14ac:dyDescent="0.25">
      <c r="A2135" s="26" t="str">
        <f t="shared" si="393"/>
        <v>PREESCOLAR</v>
      </c>
      <c r="B2135" s="26" t="str">
        <f>"09PJN4313E"</f>
        <v>09PJN4313E</v>
      </c>
      <c r="C2135" s="26" t="str">
        <f>"KINDERGYM PEDREGAL                                                                                  "</f>
        <v xml:space="preserve">KINDERGYM PEDREGAL                                                                                  </v>
      </c>
      <c r="D2135" s="26" t="str">
        <f t="shared" si="397"/>
        <v>MATUTINO</v>
      </c>
      <c r="E2135" s="26" t="str">
        <f>"CRATER NO. 540                                                                  "</f>
        <v xml:space="preserve">CRATER NO. 540                                                                  </v>
      </c>
      <c r="F2135" s="26" t="str">
        <f>"JARDINES DEL PEDREGAL                                                                                                                       "</f>
        <v xml:space="preserve">JARDINES DEL PEDREGAL                                                                                                                       </v>
      </c>
      <c r="G2135" s="26" t="str">
        <f>"ALVARO OBREGON                                                                  "</f>
        <v xml:space="preserve">ALVARO OBREGON                                                                  </v>
      </c>
      <c r="H2135" s="26" t="str">
        <f>"150"</f>
        <v>150</v>
      </c>
      <c r="I2135" s="26" t="str">
        <f t="shared" si="394"/>
        <v>00</v>
      </c>
      <c r="J2135" s="26" t="str">
        <f>"33 "</f>
        <v xml:space="preserve">33 </v>
      </c>
      <c r="K2135" s="26" t="str">
        <f t="shared" si="398"/>
        <v>EP</v>
      </c>
      <c r="L2135" s="26" t="str">
        <f t="shared" si="399"/>
        <v>DGOSE</v>
      </c>
      <c r="M2135" s="26" t="str">
        <f t="shared" si="392"/>
        <v>PARTICULAR</v>
      </c>
      <c r="N2135" s="26">
        <v>72</v>
      </c>
      <c r="O2135" s="26">
        <v>32</v>
      </c>
      <c r="P2135" s="26">
        <v>40</v>
      </c>
      <c r="Q2135" s="26">
        <v>4</v>
      </c>
      <c r="R2135" s="26">
        <v>1</v>
      </c>
      <c r="S2135" s="26">
        <v>2</v>
      </c>
      <c r="T2135" s="26">
        <v>7</v>
      </c>
      <c r="U2135" s="26">
        <v>10</v>
      </c>
      <c r="V2135" s="26">
        <v>1</v>
      </c>
      <c r="W2135" s="26"/>
    </row>
    <row r="2136" spans="1:23" x14ac:dyDescent="0.25">
      <c r="A2136" s="26" t="str">
        <f t="shared" si="393"/>
        <v>PREESCOLAR</v>
      </c>
      <c r="B2136" s="26" t="str">
        <f>"09PJN4314D"</f>
        <v>09PJN4314D</v>
      </c>
      <c r="C2136" s="26" t="str">
        <f>"INSTITUTO VERTIN                                                                                    "</f>
        <v xml:space="preserve">INSTITUTO VERTIN                                                                                    </v>
      </c>
      <c r="D2136" s="26" t="str">
        <f t="shared" si="397"/>
        <v>MATUTINO</v>
      </c>
      <c r="E2136" s="26" t="str">
        <f>"MEDANOS NO. 49                                                                  "</f>
        <v xml:space="preserve">MEDANOS NO. 49                                                                  </v>
      </c>
      <c r="F2136" s="26" t="str">
        <f>"LAS AGUILAS                                                                                                                                 "</f>
        <v xml:space="preserve">LAS AGUILAS                                                                                                                                 </v>
      </c>
      <c r="G2136" s="26" t="str">
        <f>"ALVARO OBREGON                                                                  "</f>
        <v xml:space="preserve">ALVARO OBREGON                                                                  </v>
      </c>
      <c r="H2136" s="26" t="str">
        <f>"215"</f>
        <v>215</v>
      </c>
      <c r="I2136" s="26" t="str">
        <f t="shared" si="394"/>
        <v>00</v>
      </c>
      <c r="J2136" s="26" t="str">
        <f>"33 "</f>
        <v xml:space="preserve">33 </v>
      </c>
      <c r="K2136" s="26" t="str">
        <f t="shared" si="398"/>
        <v>EP</v>
      </c>
      <c r="L2136" s="26" t="str">
        <f t="shared" si="399"/>
        <v>DGOSE</v>
      </c>
      <c r="M2136" s="26" t="str">
        <f t="shared" si="392"/>
        <v>PARTICULAR</v>
      </c>
      <c r="N2136" s="26">
        <v>37</v>
      </c>
      <c r="O2136" s="26">
        <v>19</v>
      </c>
      <c r="P2136" s="26">
        <v>18</v>
      </c>
      <c r="Q2136" s="26">
        <v>3</v>
      </c>
      <c r="R2136" s="26">
        <v>1</v>
      </c>
      <c r="S2136" s="26">
        <v>3</v>
      </c>
      <c r="T2136" s="26">
        <v>3</v>
      </c>
      <c r="U2136" s="26">
        <v>7</v>
      </c>
      <c r="V2136" s="26">
        <v>1</v>
      </c>
      <c r="W2136" s="26"/>
    </row>
    <row r="2137" spans="1:23" x14ac:dyDescent="0.25">
      <c r="A2137" s="26" t="str">
        <f t="shared" si="393"/>
        <v>PREESCOLAR</v>
      </c>
      <c r="B2137" s="26" t="str">
        <f>"09PJN4316B"</f>
        <v>09PJN4316B</v>
      </c>
      <c r="C2137" s="26" t="str">
        <f>"KINDER SEFARADI                                                                                     "</f>
        <v xml:space="preserve">KINDER SEFARADI                                                                                     </v>
      </c>
      <c r="D2137" s="26" t="str">
        <f t="shared" si="397"/>
        <v>MATUTINO</v>
      </c>
      <c r="E2137" s="26" t="str">
        <f>"AV.  DE LOS BOSQUES NO. 292-B                                                   "</f>
        <v xml:space="preserve">AV.  DE LOS BOSQUES NO. 292-B                                                   </v>
      </c>
      <c r="F2137" s="26" t="str">
        <f>"LOMAS DE CHAMIZAL                                                                                                                           "</f>
        <v xml:space="preserve">LOMAS DE CHAMIZAL                                                                                                                           </v>
      </c>
      <c r="G2137" s="26" t="str">
        <f>"CUAJIMALPA DE MORELOS                                                           "</f>
        <v xml:space="preserve">CUAJIMALPA DE MORELOS                                                           </v>
      </c>
      <c r="H2137" s="26" t="str">
        <f>"089"</f>
        <v>089</v>
      </c>
      <c r="I2137" s="26" t="str">
        <f t="shared" si="394"/>
        <v>00</v>
      </c>
      <c r="J2137" s="26" t="str">
        <f>"33 "</f>
        <v xml:space="preserve">33 </v>
      </c>
      <c r="K2137" s="26" t="str">
        <f t="shared" si="398"/>
        <v>EP</v>
      </c>
      <c r="L2137" s="26" t="str">
        <f t="shared" si="399"/>
        <v>DGOSE</v>
      </c>
      <c r="M2137" s="26" t="str">
        <f t="shared" si="392"/>
        <v>PARTICULAR</v>
      </c>
      <c r="N2137" s="26">
        <v>111</v>
      </c>
      <c r="O2137" s="26">
        <v>50</v>
      </c>
      <c r="P2137" s="26">
        <v>61</v>
      </c>
      <c r="Q2137" s="26">
        <v>6</v>
      </c>
      <c r="R2137" s="26">
        <v>1</v>
      </c>
      <c r="S2137" s="26">
        <v>6</v>
      </c>
      <c r="T2137" s="26">
        <v>6</v>
      </c>
      <c r="U2137" s="26">
        <v>13</v>
      </c>
      <c r="V2137" s="26">
        <v>1</v>
      </c>
      <c r="W2137" s="26"/>
    </row>
    <row r="2138" spans="1:23" x14ac:dyDescent="0.25">
      <c r="A2138" s="26" t="str">
        <f t="shared" si="393"/>
        <v>PREESCOLAR</v>
      </c>
      <c r="B2138" s="26" t="str">
        <f>"09PJN4320O"</f>
        <v>09PJN4320O</v>
      </c>
      <c r="C2138" s="26" t="str">
        <f>"LORD BERTRAND RUSSELL                                                                               "</f>
        <v xml:space="preserve">LORD BERTRAND RUSSELL                                                                               </v>
      </c>
      <c r="D2138" s="26" t="str">
        <f t="shared" si="397"/>
        <v>MATUTINO</v>
      </c>
      <c r="E2138" s="26" t="str">
        <f>"CANDELARIA NO. 36                                                               "</f>
        <v xml:space="preserve">CANDELARIA NO. 36                                                               </v>
      </c>
      <c r="F2138" s="26" t="str">
        <f>"EL ROSEDAL                                                                                                                                  "</f>
        <v xml:space="preserve">EL ROSEDAL                                                                                                                                  </v>
      </c>
      <c r="G2138" s="26" t="str">
        <f>"COYOACAN                                                                        "</f>
        <v xml:space="preserve">COYOACAN                                                                        </v>
      </c>
      <c r="H2138" s="26" t="str">
        <f>"043"</f>
        <v>043</v>
      </c>
      <c r="I2138" s="26" t="str">
        <f t="shared" si="394"/>
        <v>00</v>
      </c>
      <c r="J2138" s="26" t="str">
        <f>"35 "</f>
        <v xml:space="preserve">35 </v>
      </c>
      <c r="K2138" s="26" t="str">
        <f t="shared" si="398"/>
        <v>EP</v>
      </c>
      <c r="L2138" s="26" t="str">
        <f t="shared" si="399"/>
        <v>DGOSE</v>
      </c>
      <c r="M2138" s="26" t="str">
        <f t="shared" si="392"/>
        <v>PARTICULAR</v>
      </c>
      <c r="N2138" s="26">
        <v>66</v>
      </c>
      <c r="O2138" s="26">
        <v>35</v>
      </c>
      <c r="P2138" s="26">
        <v>31</v>
      </c>
      <c r="Q2138" s="26">
        <v>3</v>
      </c>
      <c r="R2138" s="26">
        <v>1</v>
      </c>
      <c r="S2138" s="26">
        <v>2</v>
      </c>
      <c r="T2138" s="26">
        <v>9</v>
      </c>
      <c r="U2138" s="26">
        <v>12</v>
      </c>
      <c r="V2138" s="26">
        <v>1</v>
      </c>
      <c r="W2138" s="26"/>
    </row>
    <row r="2139" spans="1:23" x14ac:dyDescent="0.25">
      <c r="A2139" s="26" t="str">
        <f t="shared" si="393"/>
        <v>PREESCOLAR</v>
      </c>
      <c r="B2139" s="26" t="str">
        <f>"09PJN4321N"</f>
        <v>09PJN4321N</v>
      </c>
      <c r="C2139" s="26" t="str">
        <f>"CENTRO EDUCATIVO INTERKIDS                                                                          "</f>
        <v xml:space="preserve">CENTRO EDUCATIVO INTERKIDS                                                                          </v>
      </c>
      <c r="D2139" s="26" t="str">
        <f t="shared" si="397"/>
        <v>MATUTINO</v>
      </c>
      <c r="E2139" s="26" t="str">
        <f>"AV. ACOXPA NO. 926                                                              "</f>
        <v xml:space="preserve">AV. ACOXPA NO. 926                                                              </v>
      </c>
      <c r="F2139" s="26" t="str">
        <f>"NARCISO MENDOZA                                                                                                                             "</f>
        <v xml:space="preserve">NARCISO MENDOZA                                                                                                                             </v>
      </c>
      <c r="G2139" s="26" t="str">
        <f>"TLALPAN                                                                         "</f>
        <v xml:space="preserve">TLALPAN                                                                         </v>
      </c>
      <c r="H2139" s="26" t="str">
        <f>"220"</f>
        <v>220</v>
      </c>
      <c r="I2139" s="26" t="str">
        <f t="shared" si="394"/>
        <v>00</v>
      </c>
      <c r="J2139" s="26" t="str">
        <f>"35 "</f>
        <v xml:space="preserve">35 </v>
      </c>
      <c r="K2139" s="26" t="str">
        <f t="shared" si="398"/>
        <v>EP</v>
      </c>
      <c r="L2139" s="26" t="str">
        <f t="shared" si="399"/>
        <v>DGOSE</v>
      </c>
      <c r="M2139" s="26" t="str">
        <f t="shared" si="392"/>
        <v>PARTICULAR</v>
      </c>
      <c r="N2139" s="26">
        <v>31</v>
      </c>
      <c r="O2139" s="26">
        <v>16</v>
      </c>
      <c r="P2139" s="26">
        <v>15</v>
      </c>
      <c r="Q2139" s="26">
        <v>3</v>
      </c>
      <c r="R2139" s="26">
        <v>1</v>
      </c>
      <c r="S2139" s="26">
        <v>2</v>
      </c>
      <c r="T2139" s="26">
        <v>7</v>
      </c>
      <c r="U2139" s="26">
        <v>10</v>
      </c>
      <c r="V2139" s="26">
        <v>1</v>
      </c>
      <c r="W2139" s="26"/>
    </row>
    <row r="2140" spans="1:23" x14ac:dyDescent="0.25">
      <c r="A2140" s="26" t="str">
        <f t="shared" si="393"/>
        <v>PREESCOLAR</v>
      </c>
      <c r="B2140" s="26" t="str">
        <f>"09PJN4323L"</f>
        <v>09PJN4323L</v>
      </c>
      <c r="C2140" s="26" t="str">
        <f>"COLEGIO FRANCO ESPAÑOL DE TLALPAN                                                                   "</f>
        <v xml:space="preserve">COLEGIO FRANCO ESPAÑOL DE TLALPAN                                                                   </v>
      </c>
      <c r="D2140" s="26" t="str">
        <f t="shared" si="397"/>
        <v>MATUTINO</v>
      </c>
      <c r="E2140" s="26" t="str">
        <f>"CALZADA MEXICO XOCHIMILCO NO. 122 BIS                                           "</f>
        <v xml:space="preserve">CALZADA MEXICO XOCHIMILCO NO. 122 BIS                                           </v>
      </c>
      <c r="F2140" s="26" t="str">
        <f>"SAN LORENZO HUIPULCO                                                                                                                        "</f>
        <v xml:space="preserve">SAN LORENZO HUIPULCO                                                                                                                        </v>
      </c>
      <c r="G2140" s="26" t="str">
        <f>"TLALPAN                                                                         "</f>
        <v xml:space="preserve">TLALPAN                                                                         </v>
      </c>
      <c r="H2140" s="26" t="str">
        <f>"220"</f>
        <v>220</v>
      </c>
      <c r="I2140" s="26" t="str">
        <f t="shared" si="394"/>
        <v>00</v>
      </c>
      <c r="J2140" s="26" t="str">
        <f>"35 "</f>
        <v xml:space="preserve">35 </v>
      </c>
      <c r="K2140" s="26" t="str">
        <f t="shared" si="398"/>
        <v>EP</v>
      </c>
      <c r="L2140" s="26" t="str">
        <f t="shared" si="399"/>
        <v>DGOSE</v>
      </c>
      <c r="M2140" s="26" t="str">
        <f t="shared" si="392"/>
        <v>PARTICULAR</v>
      </c>
      <c r="N2140" s="26">
        <v>53</v>
      </c>
      <c r="O2140" s="26">
        <v>30</v>
      </c>
      <c r="P2140" s="26">
        <v>23</v>
      </c>
      <c r="Q2140" s="26">
        <v>4</v>
      </c>
      <c r="R2140" s="26">
        <v>1</v>
      </c>
      <c r="S2140" s="26">
        <v>4</v>
      </c>
      <c r="T2140" s="26">
        <v>11</v>
      </c>
      <c r="U2140" s="26">
        <v>16</v>
      </c>
      <c r="V2140" s="26">
        <v>1</v>
      </c>
      <c r="W2140" s="26"/>
    </row>
    <row r="2141" spans="1:23" x14ac:dyDescent="0.25">
      <c r="A2141" s="26" t="str">
        <f t="shared" si="393"/>
        <v>PREESCOLAR</v>
      </c>
      <c r="B2141" s="26" t="str">
        <f>"09PJN4325J"</f>
        <v>09PJN4325J</v>
      </c>
      <c r="C2141" s="26" t="str">
        <f>"MARIQUITA RUIZ                                                                                      "</f>
        <v xml:space="preserve">MARIQUITA RUIZ                                                                                      </v>
      </c>
      <c r="D2141" s="26" t="str">
        <f t="shared" si="397"/>
        <v>MATUTINO</v>
      </c>
      <c r="E2141" s="26" t="str">
        <f>"EMILIANO ZAPATA NO. 85                                                          "</f>
        <v xml:space="preserve">EMILIANO ZAPATA NO. 85                                                          </v>
      </c>
      <c r="F2141" s="26" t="str">
        <f>"SAN BERNABE OCOTEPEC                                                                                                                        "</f>
        <v xml:space="preserve">SAN BERNABE OCOTEPEC                                                                                                                        </v>
      </c>
      <c r="G2141" s="26" t="str">
        <f>"LA MAGDALENA CONTRERAS                                                          "</f>
        <v xml:space="preserve">LA MAGDALENA CONTRERAS                                                          </v>
      </c>
      <c r="H2141" s="26" t="str">
        <f>"112"</f>
        <v>112</v>
      </c>
      <c r="I2141" s="26" t="str">
        <f t="shared" si="394"/>
        <v>00</v>
      </c>
      <c r="J2141" s="26" t="str">
        <f>"35 "</f>
        <v xml:space="preserve">35 </v>
      </c>
      <c r="K2141" s="26" t="str">
        <f t="shared" si="398"/>
        <v>EP</v>
      </c>
      <c r="L2141" s="26" t="str">
        <f t="shared" si="399"/>
        <v>DGOSE</v>
      </c>
      <c r="M2141" s="26" t="str">
        <f t="shared" si="392"/>
        <v>PARTICULAR</v>
      </c>
      <c r="N2141" s="26">
        <v>11</v>
      </c>
      <c r="O2141" s="26">
        <v>6</v>
      </c>
      <c r="P2141" s="26">
        <v>5</v>
      </c>
      <c r="Q2141" s="26">
        <v>2</v>
      </c>
      <c r="R2141" s="26">
        <v>1</v>
      </c>
      <c r="S2141" s="26">
        <v>2</v>
      </c>
      <c r="T2141" s="26">
        <v>5</v>
      </c>
      <c r="U2141" s="26">
        <v>8</v>
      </c>
      <c r="V2141" s="26">
        <v>1</v>
      </c>
      <c r="W2141" s="26"/>
    </row>
    <row r="2142" spans="1:23" x14ac:dyDescent="0.25">
      <c r="A2142" s="26" t="str">
        <f t="shared" si="393"/>
        <v>PREESCOLAR</v>
      </c>
      <c r="B2142" s="26" t="str">
        <f>"09PJN4330V"</f>
        <v>09PJN4330V</v>
      </c>
      <c r="C2142" s="26" t="str">
        <f>"COLEGIO ALGARI                                                                                      "</f>
        <v xml:space="preserve">COLEGIO ALGARI                                                                                      </v>
      </c>
      <c r="D2142" s="26" t="str">
        <f t="shared" si="397"/>
        <v>MATUTINO</v>
      </c>
      <c r="E2142" s="26" t="str">
        <f>"AGUSTIN DIAZ NO. 20                                                             "</f>
        <v xml:space="preserve">AGUSTIN DIAZ NO. 20                                                             </v>
      </c>
      <c r="F2142" s="26" t="str">
        <f>"MIGUEL HIDALGO                                                                                                                              "</f>
        <v xml:space="preserve">MIGUEL HIDALGO                                                                                                                              </v>
      </c>
      <c r="G2142" s="26" t="str">
        <f>"TLALPAN                                                                         "</f>
        <v xml:space="preserve">TLALPAN                                                                         </v>
      </c>
      <c r="H2142" s="26" t="str">
        <f>"225"</f>
        <v>225</v>
      </c>
      <c r="I2142" s="26" t="str">
        <f t="shared" si="394"/>
        <v>00</v>
      </c>
      <c r="J2142" s="26" t="str">
        <f>"35 "</f>
        <v xml:space="preserve">35 </v>
      </c>
      <c r="K2142" s="26" t="str">
        <f t="shared" si="398"/>
        <v>EP</v>
      </c>
      <c r="L2142" s="26" t="str">
        <f t="shared" si="399"/>
        <v>DGOSE</v>
      </c>
      <c r="M2142" s="26" t="str">
        <f t="shared" si="392"/>
        <v>PARTICULAR</v>
      </c>
      <c r="N2142" s="26">
        <v>31</v>
      </c>
      <c r="O2142" s="26">
        <v>14</v>
      </c>
      <c r="P2142" s="26">
        <v>17</v>
      </c>
      <c r="Q2142" s="26">
        <v>3</v>
      </c>
      <c r="R2142" s="26">
        <v>1</v>
      </c>
      <c r="S2142" s="26">
        <v>3</v>
      </c>
      <c r="T2142" s="26">
        <v>6</v>
      </c>
      <c r="U2142" s="26">
        <v>10</v>
      </c>
      <c r="V2142" s="26">
        <v>1</v>
      </c>
      <c r="W2142" s="26"/>
    </row>
    <row r="2143" spans="1:23" x14ac:dyDescent="0.25">
      <c r="A2143" s="26" t="str">
        <f t="shared" si="393"/>
        <v>PREESCOLAR</v>
      </c>
      <c r="B2143" s="26" t="str">
        <f>"09PJN4334R"</f>
        <v>09PJN4334R</v>
      </c>
      <c r="C2143" s="26" t="str">
        <f>"INSTITUTO ALEXANDER DUL                                                                             "</f>
        <v xml:space="preserve">INSTITUTO ALEXANDER DUL                                                                             </v>
      </c>
      <c r="D2143" s="26" t="str">
        <f t="shared" si="397"/>
        <v>MATUTINO</v>
      </c>
      <c r="E2143" s="26" t="str">
        <f>"CENTENARIO NO. 57 BIS                                                           "</f>
        <v xml:space="preserve">CENTENARIO NO. 57 BIS                                                           </v>
      </c>
      <c r="F2143" s="26" t="str">
        <f>"MERCED GOMEZ                                                                                                                                "</f>
        <v xml:space="preserve">MERCED GOMEZ                                                                                                                                </v>
      </c>
      <c r="G2143" s="26" t="str">
        <f>"ALVARO OBREGON                                                                  "</f>
        <v xml:space="preserve">ALVARO OBREGON                                                                  </v>
      </c>
      <c r="H2143" s="26" t="str">
        <f>"218"</f>
        <v>218</v>
      </c>
      <c r="I2143" s="26" t="str">
        <f t="shared" si="394"/>
        <v>00</v>
      </c>
      <c r="J2143" s="26" t="str">
        <f>"33 "</f>
        <v xml:space="preserve">33 </v>
      </c>
      <c r="K2143" s="26" t="str">
        <f t="shared" si="398"/>
        <v>EP</v>
      </c>
      <c r="L2143" s="26" t="str">
        <f t="shared" si="399"/>
        <v>DGOSE</v>
      </c>
      <c r="M2143" s="26" t="str">
        <f t="shared" si="392"/>
        <v>PARTICULAR</v>
      </c>
      <c r="N2143" s="26">
        <v>72</v>
      </c>
      <c r="O2143" s="26">
        <v>34</v>
      </c>
      <c r="P2143" s="26">
        <v>38</v>
      </c>
      <c r="Q2143" s="26">
        <v>5</v>
      </c>
      <c r="R2143" s="26">
        <v>1</v>
      </c>
      <c r="S2143" s="26">
        <v>3</v>
      </c>
      <c r="T2143" s="26">
        <v>3</v>
      </c>
      <c r="U2143" s="26">
        <v>7</v>
      </c>
      <c r="V2143" s="26">
        <v>1</v>
      </c>
      <c r="W2143" s="26"/>
    </row>
    <row r="2144" spans="1:23" x14ac:dyDescent="0.25">
      <c r="A2144" s="26" t="str">
        <f t="shared" si="393"/>
        <v>PREESCOLAR</v>
      </c>
      <c r="B2144" s="26" t="str">
        <f>"09PJN4335Q"</f>
        <v>09PJN4335Q</v>
      </c>
      <c r="C2144" s="26" t="str">
        <f>"JARDÍN DE NIÑOS ""BABY'S GARDEN""                                                                     "</f>
        <v xml:space="preserve">JARDÍN DE NIÑOS "BABY'S GARDEN"                                                                     </v>
      </c>
      <c r="D2144" s="26" t="str">
        <f t="shared" si="397"/>
        <v>MATUTINO</v>
      </c>
      <c r="E2144" s="26" t="str">
        <f>"MIXCOAC NO.22                                                                   "</f>
        <v xml:space="preserve">MIXCOAC NO.22                                                                   </v>
      </c>
      <c r="F2144" s="26" t="str">
        <f>"MERCED GOMEZ                                                                                                                                "</f>
        <v xml:space="preserve">MERCED GOMEZ                                                                                                                                </v>
      </c>
      <c r="G2144" s="26" t="str">
        <f>"ALVARO OBREGON                                                                  "</f>
        <v xml:space="preserve">ALVARO OBREGON                                                                  </v>
      </c>
      <c r="H2144" s="26" t="str">
        <f>"217"</f>
        <v>217</v>
      </c>
      <c r="I2144" s="26" t="str">
        <f t="shared" si="394"/>
        <v>00</v>
      </c>
      <c r="J2144" s="26" t="str">
        <f>"33 "</f>
        <v xml:space="preserve">33 </v>
      </c>
      <c r="K2144" s="26" t="str">
        <f t="shared" si="398"/>
        <v>EP</v>
      </c>
      <c r="L2144" s="26" t="str">
        <f t="shared" si="399"/>
        <v>DGOSE</v>
      </c>
      <c r="M2144" s="26" t="str">
        <f t="shared" si="392"/>
        <v>PARTICULAR</v>
      </c>
      <c r="N2144" s="26">
        <v>17</v>
      </c>
      <c r="O2144" s="26">
        <v>9</v>
      </c>
      <c r="P2144" s="26">
        <v>8</v>
      </c>
      <c r="Q2144" s="26">
        <v>3</v>
      </c>
      <c r="R2144" s="26">
        <v>1</v>
      </c>
      <c r="S2144" s="26">
        <v>3</v>
      </c>
      <c r="T2144" s="26">
        <v>5</v>
      </c>
      <c r="U2144" s="26">
        <v>9</v>
      </c>
      <c r="V2144" s="26">
        <v>1</v>
      </c>
      <c r="W2144" s="26"/>
    </row>
    <row r="2145" spans="1:23" x14ac:dyDescent="0.25">
      <c r="A2145" s="26" t="str">
        <f t="shared" si="393"/>
        <v>PREESCOLAR</v>
      </c>
      <c r="B2145" s="26" t="str">
        <f>"09PJN4336P"</f>
        <v>09PJN4336P</v>
      </c>
      <c r="C2145" s="26" t="str">
        <f>"CENTRO EDUCATIVO ANDRES HENESTROSA                                                                  "</f>
        <v xml:space="preserve">CENTRO EDUCATIVO ANDRES HENESTROSA                                                                  </v>
      </c>
      <c r="D2145" s="26" t="str">
        <f t="shared" si="397"/>
        <v>MATUTINO</v>
      </c>
      <c r="E2145" s="26" t="str">
        <f>"AV. MEXICO NO. 934                                                              "</f>
        <v xml:space="preserve">AV. MEXICO NO. 934                                                              </v>
      </c>
      <c r="F2145" s="26" t="str">
        <f>"HEROES DE PADIERNA                                                                                                                          "</f>
        <v xml:space="preserve">HEROES DE PADIERNA                                                                                                                          </v>
      </c>
      <c r="G2145" s="26" t="str">
        <f>"LA MAGDALENA CONTRERAS                                                          "</f>
        <v xml:space="preserve">LA MAGDALENA CONTRERAS                                                          </v>
      </c>
      <c r="H2145" s="26" t="str">
        <f>"113"</f>
        <v>113</v>
      </c>
      <c r="I2145" s="26" t="str">
        <f t="shared" si="394"/>
        <v>00</v>
      </c>
      <c r="J2145" s="26" t="str">
        <f>"35 "</f>
        <v xml:space="preserve">35 </v>
      </c>
      <c r="K2145" s="26" t="str">
        <f t="shared" si="398"/>
        <v>EP</v>
      </c>
      <c r="L2145" s="26" t="str">
        <f t="shared" si="399"/>
        <v>DGOSE</v>
      </c>
      <c r="M2145" s="26" t="str">
        <f t="shared" si="392"/>
        <v>PARTICULAR</v>
      </c>
      <c r="N2145" s="26">
        <v>48</v>
      </c>
      <c r="O2145" s="26">
        <v>26</v>
      </c>
      <c r="P2145" s="26">
        <v>22</v>
      </c>
      <c r="Q2145" s="26">
        <v>3</v>
      </c>
      <c r="R2145" s="26">
        <v>1</v>
      </c>
      <c r="S2145" s="26">
        <v>3</v>
      </c>
      <c r="T2145" s="26">
        <v>7</v>
      </c>
      <c r="U2145" s="26">
        <v>11</v>
      </c>
      <c r="V2145" s="26">
        <v>1</v>
      </c>
      <c r="W2145" s="26"/>
    </row>
    <row r="2146" spans="1:23" x14ac:dyDescent="0.25">
      <c r="A2146" s="26" t="str">
        <f t="shared" si="393"/>
        <v>PREESCOLAR</v>
      </c>
      <c r="B2146" s="26" t="str">
        <f>"09PJN4337O"</f>
        <v>09PJN4337O</v>
      </c>
      <c r="C2146" s="26" t="str">
        <f>"INSTITUTO NURSIA                                                                                    "</f>
        <v xml:space="preserve">INSTITUTO NURSIA                                                                                    </v>
      </c>
      <c r="D2146" s="26" t="str">
        <f t="shared" si="397"/>
        <v>MATUTINO</v>
      </c>
      <c r="E2146" s="26" t="str">
        <f>"AV. SAN FRANCISCO NO. 256                                                       "</f>
        <v xml:space="preserve">AV. SAN FRANCISCO NO. 256                                                       </v>
      </c>
      <c r="F2146" s="26" t="str">
        <f>"SAN FRANCISCO                                                                                                                               "</f>
        <v xml:space="preserve">SAN FRANCISCO                                                                                                                               </v>
      </c>
      <c r="G2146" s="26" t="str">
        <f>"LA MAGDALENA CONTRERAS                                                          "</f>
        <v xml:space="preserve">LA MAGDALENA CONTRERAS                                                          </v>
      </c>
      <c r="H2146" s="26" t="str">
        <f>"113"</f>
        <v>113</v>
      </c>
      <c r="I2146" s="26" t="str">
        <f t="shared" si="394"/>
        <v>00</v>
      </c>
      <c r="J2146" s="26" t="str">
        <f>"35 "</f>
        <v xml:space="preserve">35 </v>
      </c>
      <c r="K2146" s="26" t="str">
        <f t="shared" si="398"/>
        <v>EP</v>
      </c>
      <c r="L2146" s="26" t="str">
        <f t="shared" si="399"/>
        <v>DGOSE</v>
      </c>
      <c r="M2146" s="26" t="str">
        <f t="shared" si="392"/>
        <v>PARTICULAR</v>
      </c>
      <c r="N2146" s="26">
        <v>76</v>
      </c>
      <c r="O2146" s="26">
        <v>39</v>
      </c>
      <c r="P2146" s="26">
        <v>37</v>
      </c>
      <c r="Q2146" s="26">
        <v>4</v>
      </c>
      <c r="R2146" s="26">
        <v>1</v>
      </c>
      <c r="S2146" s="26">
        <v>4</v>
      </c>
      <c r="T2146" s="26">
        <v>8</v>
      </c>
      <c r="U2146" s="26">
        <v>13</v>
      </c>
      <c r="V2146" s="26">
        <v>1</v>
      </c>
      <c r="W2146" s="26"/>
    </row>
    <row r="2147" spans="1:23" x14ac:dyDescent="0.25">
      <c r="A2147" s="26" t="str">
        <f t="shared" si="393"/>
        <v>PREESCOLAR</v>
      </c>
      <c r="B2147" s="26" t="str">
        <f>"09PJN4338N"</f>
        <v>09PJN4338N</v>
      </c>
      <c r="C2147" s="26" t="str">
        <f>"INSTITUTO MEXICANO REGINA                                                                           "</f>
        <v xml:space="preserve">INSTITUTO MEXICANO REGINA                                                                           </v>
      </c>
      <c r="D2147" s="26" t="str">
        <f t="shared" si="397"/>
        <v>MATUTINO</v>
      </c>
      <c r="E2147" s="26" t="str">
        <f>"RIVERA DE CUPIA NO.70                                                           "</f>
        <v xml:space="preserve">RIVERA DE CUPIA NO.70                                                           </v>
      </c>
      <c r="F2147" s="26" t="str">
        <f>"REAL DE LAS LOMAS                                                                                                                           "</f>
        <v xml:space="preserve">REAL DE LAS LOMAS                                                                                                                           </v>
      </c>
      <c r="G2147" s="26" t="str">
        <f>"MIGUEL HIDALGO                                                                  "</f>
        <v xml:space="preserve">MIGUEL HIDALGO                                                                  </v>
      </c>
      <c r="H2147" s="26" t="str">
        <f>"207"</f>
        <v>207</v>
      </c>
      <c r="I2147" s="26" t="str">
        <f t="shared" si="394"/>
        <v>00</v>
      </c>
      <c r="J2147" s="26" t="str">
        <f>"32 "</f>
        <v xml:space="preserve">32 </v>
      </c>
      <c r="K2147" s="26" t="str">
        <f t="shared" si="398"/>
        <v>EP</v>
      </c>
      <c r="L2147" s="26" t="str">
        <f t="shared" si="399"/>
        <v>DGOSE</v>
      </c>
      <c r="M2147" s="26" t="str">
        <f t="shared" si="392"/>
        <v>PARTICULAR</v>
      </c>
      <c r="N2147" s="26">
        <v>172</v>
      </c>
      <c r="O2147" s="26">
        <v>0</v>
      </c>
      <c r="P2147" s="26">
        <v>172</v>
      </c>
      <c r="Q2147" s="26">
        <v>9</v>
      </c>
      <c r="R2147" s="26">
        <v>1</v>
      </c>
      <c r="S2147" s="26">
        <v>9</v>
      </c>
      <c r="T2147" s="26">
        <v>10</v>
      </c>
      <c r="U2147" s="26">
        <v>20</v>
      </c>
      <c r="V2147" s="26">
        <v>1</v>
      </c>
      <c r="W2147" s="26"/>
    </row>
    <row r="2148" spans="1:23" x14ac:dyDescent="0.25">
      <c r="A2148" s="26" t="str">
        <f t="shared" si="393"/>
        <v>PREESCOLAR</v>
      </c>
      <c r="B2148" s="26" t="str">
        <f>"09PJN4339M"</f>
        <v>09PJN4339M</v>
      </c>
      <c r="C2148" s="26" t="str">
        <f>"CENTRO DE DESARROLLO INFANTIL CUICALLI COPILCO                                                      "</f>
        <v xml:space="preserve">CENTRO DE DESARROLLO INFANTIL CUICALLI COPILCO                                                      </v>
      </c>
      <c r="D2148" s="26" t="str">
        <f t="shared" si="397"/>
        <v>MATUTINO</v>
      </c>
      <c r="E2148" s="26" t="str">
        <f>"CERRO TRES ZAPOTES NO. 9 MZA. 6 LT. 5                                           "</f>
        <v xml:space="preserve">CERRO TRES ZAPOTES NO. 9 MZA. 6 LT. 5                                           </v>
      </c>
      <c r="F2148" s="26" t="str">
        <f>"COPILCO UNIVERSIDAD                                                                                                                         "</f>
        <v xml:space="preserve">COPILCO UNIVERSIDAD                                                                                                                         </v>
      </c>
      <c r="G2148" s="26" t="str">
        <f>"COYOACAN                                                                        "</f>
        <v xml:space="preserve">COYOACAN                                                                        </v>
      </c>
      <c r="H2148" s="26" t="str">
        <f>"137"</f>
        <v>137</v>
      </c>
      <c r="I2148" s="26" t="str">
        <f t="shared" si="394"/>
        <v>00</v>
      </c>
      <c r="J2148" s="26" t="str">
        <f>"35 "</f>
        <v xml:space="preserve">35 </v>
      </c>
      <c r="K2148" s="26" t="str">
        <f t="shared" si="398"/>
        <v>EP</v>
      </c>
      <c r="L2148" s="26" t="str">
        <f t="shared" si="399"/>
        <v>DGOSE</v>
      </c>
      <c r="M2148" s="26" t="str">
        <f t="shared" si="392"/>
        <v>PARTICULAR</v>
      </c>
      <c r="N2148" s="26">
        <v>17</v>
      </c>
      <c r="O2148" s="26">
        <v>6</v>
      </c>
      <c r="P2148" s="26">
        <v>11</v>
      </c>
      <c r="Q2148" s="26">
        <v>3</v>
      </c>
      <c r="R2148" s="26">
        <v>1</v>
      </c>
      <c r="S2148" s="26">
        <v>2</v>
      </c>
      <c r="T2148" s="26">
        <v>3</v>
      </c>
      <c r="U2148" s="26">
        <v>6</v>
      </c>
      <c r="V2148" s="26">
        <v>1</v>
      </c>
      <c r="W2148" s="26"/>
    </row>
    <row r="2149" spans="1:23" x14ac:dyDescent="0.25">
      <c r="A2149" s="26" t="str">
        <f t="shared" si="393"/>
        <v>PREESCOLAR</v>
      </c>
      <c r="B2149" s="26" t="str">
        <f>"09PJN4344Y"</f>
        <v>09PJN4344Y</v>
      </c>
      <c r="C2149" s="26" t="str">
        <f>"BUSTER                                                                                              "</f>
        <v xml:space="preserve">BUSTER                                                                                              </v>
      </c>
      <c r="D2149" s="26" t="str">
        <f t="shared" si="397"/>
        <v>MATUTINO</v>
      </c>
      <c r="E2149" s="26" t="str">
        <f>"VILLA FRUELA MZ. 54 A/G SEC E LT. 1                                             "</f>
        <v xml:space="preserve">VILLA FRUELA MZ. 54 A/G SEC E LT. 1                                             </v>
      </c>
      <c r="F2149" s="26" t="str">
        <f>"DESARROLLO URBANO QUETZALCOATL                                                                                                              "</f>
        <v xml:space="preserve">DESARROLLO URBANO QUETZALCOATL                                                                                                              </v>
      </c>
      <c r="G2149" s="26" t="str">
        <f>"IZTAPALAPA                                                                      "</f>
        <v xml:space="preserve">IZTAPALAPA                                                                      </v>
      </c>
      <c r="H2149" s="26" t="str">
        <f>"000"</f>
        <v>000</v>
      </c>
      <c r="I2149" s="26" t="str">
        <f t="shared" si="394"/>
        <v>00</v>
      </c>
      <c r="J2149" s="26" t="str">
        <f>"64 "</f>
        <v xml:space="preserve">64 </v>
      </c>
      <c r="K2149" s="26" t="str">
        <f>"IZ"</f>
        <v>IZ</v>
      </c>
      <c r="L2149" s="26" t="str">
        <f>"DGSEI"</f>
        <v>DGSEI</v>
      </c>
      <c r="M2149" s="26" t="str">
        <f t="shared" si="392"/>
        <v>PARTICULAR</v>
      </c>
      <c r="N2149" s="26">
        <v>5</v>
      </c>
      <c r="O2149" s="26">
        <v>3</v>
      </c>
      <c r="P2149" s="26">
        <v>2</v>
      </c>
      <c r="Q2149" s="26">
        <v>2</v>
      </c>
      <c r="R2149" s="26">
        <v>1</v>
      </c>
      <c r="S2149" s="26">
        <v>1</v>
      </c>
      <c r="T2149" s="26">
        <v>3</v>
      </c>
      <c r="U2149" s="26">
        <v>5</v>
      </c>
      <c r="V2149" s="26">
        <v>1</v>
      </c>
      <c r="W2149" s="26"/>
    </row>
    <row r="2150" spans="1:23" x14ac:dyDescent="0.25">
      <c r="A2150" s="26" t="str">
        <f t="shared" si="393"/>
        <v>PREESCOLAR</v>
      </c>
      <c r="B2150" s="26" t="str">
        <f>"09PJN4346W"</f>
        <v>09PJN4346W</v>
      </c>
      <c r="C2150" s="26" t="str">
        <f>"TZIN TZIN                                                                                           "</f>
        <v xml:space="preserve">TZIN TZIN                                                                                           </v>
      </c>
      <c r="D2150" s="26" t="str">
        <f t="shared" si="397"/>
        <v>MATUTINO</v>
      </c>
      <c r="E2150" s="26" t="str">
        <f>"MIGUEL HIDALGO S/N MZ 63 LT 2                                                   "</f>
        <v xml:space="preserve">MIGUEL HIDALGO S/N MZ 63 LT 2                                                   </v>
      </c>
      <c r="F2150" s="26" t="str">
        <f>"SANTA MARIA AZTAHUACAN                                                                                                                      "</f>
        <v xml:space="preserve">SANTA MARIA AZTAHUACAN                                                                                                                      </v>
      </c>
      <c r="G2150" s="26" t="str">
        <f>"IZTAPALAPA                                                                      "</f>
        <v xml:space="preserve">IZTAPALAPA                                                                      </v>
      </c>
      <c r="H2150" s="26" t="str">
        <f>"000"</f>
        <v>000</v>
      </c>
      <c r="I2150" s="26" t="str">
        <f t="shared" si="394"/>
        <v>00</v>
      </c>
      <c r="J2150" s="26" t="str">
        <f>"64 "</f>
        <v xml:space="preserve">64 </v>
      </c>
      <c r="K2150" s="26" t="str">
        <f>"IZ"</f>
        <v>IZ</v>
      </c>
      <c r="L2150" s="26" t="str">
        <f>"DGSEI"</f>
        <v>DGSEI</v>
      </c>
      <c r="M2150" s="26" t="str">
        <f t="shared" si="392"/>
        <v>PARTICULAR</v>
      </c>
      <c r="N2150" s="26">
        <v>26</v>
      </c>
      <c r="O2150" s="26">
        <v>13</v>
      </c>
      <c r="P2150" s="26">
        <v>13</v>
      </c>
      <c r="Q2150" s="26">
        <v>2</v>
      </c>
      <c r="R2150" s="26">
        <v>1</v>
      </c>
      <c r="S2150" s="26">
        <v>1</v>
      </c>
      <c r="T2150" s="26">
        <v>4</v>
      </c>
      <c r="U2150" s="26">
        <v>6</v>
      </c>
      <c r="V2150" s="26">
        <v>1</v>
      </c>
      <c r="W2150" s="26"/>
    </row>
    <row r="2151" spans="1:23" x14ac:dyDescent="0.25">
      <c r="A2151" s="26" t="str">
        <f t="shared" si="393"/>
        <v>PREESCOLAR</v>
      </c>
      <c r="B2151" s="26" t="str">
        <f>"09PJN4347V"</f>
        <v>09PJN4347V</v>
      </c>
      <c r="C2151" s="26" t="str">
        <f>"LICEO ALESSANDRI                                                                                    "</f>
        <v xml:space="preserve">LICEO ALESSANDRI                                                                                    </v>
      </c>
      <c r="D2151" s="26" t="str">
        <f t="shared" si="397"/>
        <v>MATUTINO</v>
      </c>
      <c r="E2151" s="26" t="str">
        <f>"RIO NILO MZ. 23 LT. 22                                                          "</f>
        <v xml:space="preserve">RIO NILO MZ. 23 LT. 22                                                          </v>
      </c>
      <c r="F2151" s="26" t="str">
        <f>"VALLE DE SAN LORENZO                                                                                                                        "</f>
        <v xml:space="preserve">VALLE DE SAN LORENZO                                                                                                                        </v>
      </c>
      <c r="G2151" s="26" t="str">
        <f>"IZTAPALAPA                                                                      "</f>
        <v xml:space="preserve">IZTAPALAPA                                                                      </v>
      </c>
      <c r="H2151" s="26" t="str">
        <f>"000"</f>
        <v>000</v>
      </c>
      <c r="I2151" s="26" t="str">
        <f t="shared" si="394"/>
        <v>00</v>
      </c>
      <c r="J2151" s="26" t="str">
        <f>"63 "</f>
        <v xml:space="preserve">63 </v>
      </c>
      <c r="K2151" s="26" t="str">
        <f>"IZ"</f>
        <v>IZ</v>
      </c>
      <c r="L2151" s="26" t="str">
        <f>"DGSEI"</f>
        <v>DGSEI</v>
      </c>
      <c r="M2151" s="26" t="str">
        <f t="shared" si="392"/>
        <v>PARTICULAR</v>
      </c>
      <c r="N2151" s="26">
        <v>48</v>
      </c>
      <c r="O2151" s="26">
        <v>24</v>
      </c>
      <c r="P2151" s="26">
        <v>24</v>
      </c>
      <c r="Q2151" s="26">
        <v>3</v>
      </c>
      <c r="R2151" s="26">
        <v>1</v>
      </c>
      <c r="S2151" s="26">
        <v>2</v>
      </c>
      <c r="T2151" s="26">
        <v>1</v>
      </c>
      <c r="U2151" s="26">
        <v>4</v>
      </c>
      <c r="V2151" s="26">
        <v>1</v>
      </c>
      <c r="W2151" s="26"/>
    </row>
    <row r="2152" spans="1:23" x14ac:dyDescent="0.25">
      <c r="A2152" s="26" t="str">
        <f t="shared" si="393"/>
        <v>PREESCOLAR</v>
      </c>
      <c r="B2152" s="26" t="str">
        <f>"09PJN4348U"</f>
        <v>09PJN4348U</v>
      </c>
      <c r="C2152" s="26" t="str">
        <f>"INSTITUTO KIEL                                                                                      "</f>
        <v xml:space="preserve">INSTITUTO KIEL                                                                                      </v>
      </c>
      <c r="D2152" s="26" t="str">
        <f t="shared" si="397"/>
        <v>MATUTINO</v>
      </c>
      <c r="E2152" s="26" t="str">
        <f>"TEJOCOTES MZ 5 LT 10                                                            "</f>
        <v xml:space="preserve">TEJOCOTES MZ 5 LT 10                                                            </v>
      </c>
      <c r="F2152" s="26" t="str">
        <f>"SAN JUAN XALPA                                                                                                                              "</f>
        <v xml:space="preserve">SAN JUAN XALPA                                                                                                                              </v>
      </c>
      <c r="G2152" s="26" t="str">
        <f>"IZTAPALAPA                                                                      "</f>
        <v xml:space="preserve">IZTAPALAPA                                                                      </v>
      </c>
      <c r="H2152" s="26" t="str">
        <f>"000"</f>
        <v>000</v>
      </c>
      <c r="I2152" s="26" t="str">
        <f t="shared" si="394"/>
        <v>00</v>
      </c>
      <c r="J2152" s="26" t="str">
        <f>"63 "</f>
        <v xml:space="preserve">63 </v>
      </c>
      <c r="K2152" s="26" t="str">
        <f>"IZ"</f>
        <v>IZ</v>
      </c>
      <c r="L2152" s="26" t="str">
        <f>"DGSEI"</f>
        <v>DGSEI</v>
      </c>
      <c r="M2152" s="26" t="str">
        <f t="shared" si="392"/>
        <v>PARTICULAR</v>
      </c>
      <c r="N2152" s="26">
        <v>43</v>
      </c>
      <c r="O2152" s="26">
        <v>19</v>
      </c>
      <c r="P2152" s="26">
        <v>24</v>
      </c>
      <c r="Q2152" s="26">
        <v>3</v>
      </c>
      <c r="R2152" s="26">
        <v>1</v>
      </c>
      <c r="S2152" s="26">
        <v>1</v>
      </c>
      <c r="T2152" s="26">
        <v>5</v>
      </c>
      <c r="U2152" s="26">
        <v>7</v>
      </c>
      <c r="V2152" s="26">
        <v>1</v>
      </c>
      <c r="W2152" s="26"/>
    </row>
    <row r="2153" spans="1:23" x14ac:dyDescent="0.25">
      <c r="A2153" s="26" t="str">
        <f t="shared" si="393"/>
        <v>PREESCOLAR</v>
      </c>
      <c r="B2153" s="26" t="str">
        <f>"09PJN4350I"</f>
        <v>09PJN4350I</v>
      </c>
      <c r="C2153" s="26" t="str">
        <f>"COLEGIO FEDERICO FROEBEL                                                                            "</f>
        <v xml:space="preserve">COLEGIO FEDERICO FROEBEL                                                                            </v>
      </c>
      <c r="D2153" s="26" t="str">
        <f t="shared" si="397"/>
        <v>MATUTINO</v>
      </c>
      <c r="E2153" s="26" t="str">
        <f>"SANTA CECILIA NO.25                                                             "</f>
        <v xml:space="preserve">SANTA CECILIA NO.25                                                             </v>
      </c>
      <c r="F2153" s="26" t="str">
        <f>"RESIDENCIAL CAFETALES                                                                                                                       "</f>
        <v xml:space="preserve">RESIDENCIAL CAFETALES                                                                                                                       </v>
      </c>
      <c r="G2153" s="26" t="str">
        <f>"COYOACAN                                                                        "</f>
        <v xml:space="preserve">COYOACAN                                                                        </v>
      </c>
      <c r="H2153" s="26" t="str">
        <f>"125"</f>
        <v>125</v>
      </c>
      <c r="I2153" s="26" t="str">
        <f t="shared" si="394"/>
        <v>00</v>
      </c>
      <c r="J2153" s="26" t="str">
        <f>"35 "</f>
        <v xml:space="preserve">35 </v>
      </c>
      <c r="K2153" s="26" t="str">
        <f t="shared" ref="K2153:K2158" si="400">"EP"</f>
        <v>EP</v>
      </c>
      <c r="L2153" s="26" t="str">
        <f t="shared" ref="L2153:L2158" si="401">"DGOSE"</f>
        <v>DGOSE</v>
      </c>
      <c r="M2153" s="26" t="str">
        <f t="shared" si="392"/>
        <v>PARTICULAR</v>
      </c>
      <c r="N2153" s="26">
        <v>7</v>
      </c>
      <c r="O2153" s="26">
        <v>4</v>
      </c>
      <c r="P2153" s="26">
        <v>3</v>
      </c>
      <c r="Q2153" s="26">
        <v>3</v>
      </c>
      <c r="R2153" s="26">
        <v>1</v>
      </c>
      <c r="S2153" s="26">
        <v>1</v>
      </c>
      <c r="T2153" s="26">
        <v>6</v>
      </c>
      <c r="U2153" s="26">
        <v>8</v>
      </c>
      <c r="V2153" s="26">
        <v>1</v>
      </c>
      <c r="W2153" s="26"/>
    </row>
    <row r="2154" spans="1:23" x14ac:dyDescent="0.25">
      <c r="A2154" s="26" t="str">
        <f t="shared" si="393"/>
        <v>PREESCOLAR</v>
      </c>
      <c r="B2154" s="26" t="str">
        <f>"09PJN4351H"</f>
        <v>09PJN4351H</v>
      </c>
      <c r="C2154" s="26" t="str">
        <f>"COLEGIO PEDAGOGICO ARCE TENOCHTITLAN                                                                "</f>
        <v xml:space="preserve">COLEGIO PEDAGOGICO ARCE TENOCHTITLAN                                                                </v>
      </c>
      <c r="D2154" s="26" t="str">
        <f t="shared" si="397"/>
        <v>MATUTINO</v>
      </c>
      <c r="E2154" s="26" t="str">
        <f>"NORTE 80-A NO.4506                                                              "</f>
        <v xml:space="preserve">NORTE 80-A NO.4506                                                              </v>
      </c>
      <c r="F2154" s="26" t="str">
        <f>"NUEVA TENOCHTITLAN                                                                                                                          "</f>
        <v xml:space="preserve">NUEVA TENOCHTITLAN                                                                                                                          </v>
      </c>
      <c r="G2154" s="26" t="str">
        <f>"GUSTAVO A. MADERO                                                               "</f>
        <v xml:space="preserve">GUSTAVO A. MADERO                                                               </v>
      </c>
      <c r="H2154" s="26" t="str">
        <f>"198"</f>
        <v>198</v>
      </c>
      <c r="I2154" s="26" t="str">
        <f t="shared" si="394"/>
        <v>00</v>
      </c>
      <c r="J2154" s="26" t="str">
        <f>"32 "</f>
        <v xml:space="preserve">32 </v>
      </c>
      <c r="K2154" s="26" t="str">
        <f t="shared" si="400"/>
        <v>EP</v>
      </c>
      <c r="L2154" s="26" t="str">
        <f t="shared" si="401"/>
        <v>DGOSE</v>
      </c>
      <c r="M2154" s="26" t="str">
        <f t="shared" si="392"/>
        <v>PARTICULAR</v>
      </c>
      <c r="N2154" s="26">
        <v>24</v>
      </c>
      <c r="O2154" s="26">
        <v>14</v>
      </c>
      <c r="P2154" s="26">
        <v>10</v>
      </c>
      <c r="Q2154" s="26">
        <v>3</v>
      </c>
      <c r="R2154" s="26">
        <v>1</v>
      </c>
      <c r="S2154" s="26">
        <v>2</v>
      </c>
      <c r="T2154" s="26">
        <v>2</v>
      </c>
      <c r="U2154" s="26">
        <v>5</v>
      </c>
      <c r="V2154" s="26">
        <v>1</v>
      </c>
      <c r="W2154" s="26"/>
    </row>
    <row r="2155" spans="1:23" x14ac:dyDescent="0.25">
      <c r="A2155" s="26" t="str">
        <f t="shared" si="393"/>
        <v>PREESCOLAR</v>
      </c>
      <c r="B2155" s="26" t="str">
        <f>"09PJN4352G"</f>
        <v>09PJN4352G</v>
      </c>
      <c r="C2155" s="26" t="str">
        <f>"CENTRO AZCAPOTZALCO DE DESARROLLO INTEGRAL                                                          "</f>
        <v xml:space="preserve">CENTRO AZCAPOTZALCO DE DESARROLLO INTEGRAL                                                          </v>
      </c>
      <c r="D2155" s="26" t="str">
        <f t="shared" si="397"/>
        <v>MATUTINO</v>
      </c>
      <c r="E2155" s="26" t="str">
        <f>"AV. AZCAPOTZALCO NO. 486                                                        "</f>
        <v xml:space="preserve">AV. AZCAPOTZALCO NO. 486                                                        </v>
      </c>
      <c r="F2155" s="26" t="str">
        <f>"NEXTENGO                                                                                                                                    "</f>
        <v xml:space="preserve">NEXTENGO                                                                                                                                    </v>
      </c>
      <c r="G2155" s="26" t="str">
        <f>"AZCAPOTZALCO                                                                    "</f>
        <v xml:space="preserve">AZCAPOTZALCO                                                                    </v>
      </c>
      <c r="H2155" s="26" t="str">
        <f>"106"</f>
        <v>106</v>
      </c>
      <c r="I2155" s="26" t="str">
        <f t="shared" si="394"/>
        <v>00</v>
      </c>
      <c r="J2155" s="26" t="str">
        <f>"32 "</f>
        <v xml:space="preserve">32 </v>
      </c>
      <c r="K2155" s="26" t="str">
        <f t="shared" si="400"/>
        <v>EP</v>
      </c>
      <c r="L2155" s="26" t="str">
        <f t="shared" si="401"/>
        <v>DGOSE</v>
      </c>
      <c r="M2155" s="26" t="str">
        <f t="shared" si="392"/>
        <v>PARTICULAR</v>
      </c>
      <c r="N2155" s="26">
        <v>44</v>
      </c>
      <c r="O2155" s="26">
        <v>21</v>
      </c>
      <c r="P2155" s="26">
        <v>23</v>
      </c>
      <c r="Q2155" s="26">
        <v>3</v>
      </c>
      <c r="R2155" s="26">
        <v>1</v>
      </c>
      <c r="S2155" s="26">
        <v>3</v>
      </c>
      <c r="T2155" s="26">
        <v>2</v>
      </c>
      <c r="U2155" s="26">
        <v>6</v>
      </c>
      <c r="V2155" s="26">
        <v>1</v>
      </c>
      <c r="W2155" s="26"/>
    </row>
    <row r="2156" spans="1:23" x14ac:dyDescent="0.25">
      <c r="A2156" s="26" t="str">
        <f t="shared" si="393"/>
        <v>PREESCOLAR</v>
      </c>
      <c r="B2156" s="26" t="str">
        <f>"09PJN4353F"</f>
        <v>09PJN4353F</v>
      </c>
      <c r="C2156" s="26" t="str">
        <f>"JARDÍN DE NIÑOS CHRISTA MCAULIFFE                                                                   "</f>
        <v xml:space="preserve">JARDÍN DE NIÑOS CHRISTA MCAULIFFE                                                                   </v>
      </c>
      <c r="D2156" s="26" t="str">
        <f t="shared" si="397"/>
        <v>MATUTINO</v>
      </c>
      <c r="E2156" s="26" t="str">
        <f>"CERRO SAN ANDRES NO. 241                                                        "</f>
        <v xml:space="preserve">CERRO SAN ANDRES NO. 241                                                        </v>
      </c>
      <c r="F2156" s="26" t="str">
        <f>"CAMPESTRE CHURUBUSCO                                                                                                                        "</f>
        <v xml:space="preserve">CAMPESTRE CHURUBUSCO                                                                                                                        </v>
      </c>
      <c r="G2156" s="26" t="str">
        <f>"COYOACAN                                                                        "</f>
        <v xml:space="preserve">COYOACAN                                                                        </v>
      </c>
      <c r="H2156" s="26" t="str">
        <f>"043"</f>
        <v>043</v>
      </c>
      <c r="I2156" s="26" t="str">
        <f t="shared" si="394"/>
        <v>00</v>
      </c>
      <c r="J2156" s="26" t="str">
        <f>"35 "</f>
        <v xml:space="preserve">35 </v>
      </c>
      <c r="K2156" s="26" t="str">
        <f t="shared" si="400"/>
        <v>EP</v>
      </c>
      <c r="L2156" s="26" t="str">
        <f t="shared" si="401"/>
        <v>DGOSE</v>
      </c>
      <c r="M2156" s="26" t="str">
        <f t="shared" si="392"/>
        <v>PARTICULAR</v>
      </c>
      <c r="N2156" s="26">
        <v>2</v>
      </c>
      <c r="O2156" s="26">
        <v>2</v>
      </c>
      <c r="P2156" s="26">
        <v>0</v>
      </c>
      <c r="Q2156" s="26">
        <v>1</v>
      </c>
      <c r="R2156" s="26">
        <v>1</v>
      </c>
      <c r="S2156" s="26">
        <v>1</v>
      </c>
      <c r="T2156" s="26">
        <v>2</v>
      </c>
      <c r="U2156" s="26">
        <v>4</v>
      </c>
      <c r="V2156" s="26">
        <v>1</v>
      </c>
      <c r="W2156" s="26"/>
    </row>
    <row r="2157" spans="1:23" x14ac:dyDescent="0.25">
      <c r="A2157" s="26" t="str">
        <f t="shared" si="393"/>
        <v>PREESCOLAR</v>
      </c>
      <c r="B2157" s="26" t="str">
        <f>"09PJN4354E"</f>
        <v>09PJN4354E</v>
      </c>
      <c r="C2157" s="26" t="str">
        <f>"COLEGIO BENAVENTE                                                                                   "</f>
        <v xml:space="preserve">COLEGIO BENAVENTE                                                                                   </v>
      </c>
      <c r="D2157" s="26" t="str">
        <f t="shared" si="397"/>
        <v>MATUTINO</v>
      </c>
      <c r="E2157" s="26" t="str">
        <f>"CAMINO ANT. A SAN PEDRO MARTIR NO. 315                                          "</f>
        <v xml:space="preserve">CAMINO ANT. A SAN PEDRO MARTIR NO. 315                                          </v>
      </c>
      <c r="F2157" s="26" t="str">
        <f>"SAN PEDRO MARTIR                                                                                                                            "</f>
        <v xml:space="preserve">SAN PEDRO MARTIR                                                                                                                            </v>
      </c>
      <c r="G2157" s="26" t="str">
        <f>"TLALPAN                                                                         "</f>
        <v xml:space="preserve">TLALPAN                                                                         </v>
      </c>
      <c r="H2157" s="26" t="str">
        <f>"132"</f>
        <v>132</v>
      </c>
      <c r="I2157" s="26" t="str">
        <f t="shared" si="394"/>
        <v>00</v>
      </c>
      <c r="J2157" s="26" t="str">
        <f>"35 "</f>
        <v xml:space="preserve">35 </v>
      </c>
      <c r="K2157" s="26" t="str">
        <f t="shared" si="400"/>
        <v>EP</v>
      </c>
      <c r="L2157" s="26" t="str">
        <f t="shared" si="401"/>
        <v>DGOSE</v>
      </c>
      <c r="M2157" s="26" t="str">
        <f t="shared" si="392"/>
        <v>PARTICULAR</v>
      </c>
      <c r="N2157" s="26">
        <v>53</v>
      </c>
      <c r="O2157" s="26">
        <v>27</v>
      </c>
      <c r="P2157" s="26">
        <v>26</v>
      </c>
      <c r="Q2157" s="26">
        <v>3</v>
      </c>
      <c r="R2157" s="26">
        <v>1</v>
      </c>
      <c r="S2157" s="26">
        <v>3</v>
      </c>
      <c r="T2157" s="26">
        <v>1</v>
      </c>
      <c r="U2157" s="26">
        <v>5</v>
      </c>
      <c r="V2157" s="26">
        <v>1</v>
      </c>
      <c r="W2157" s="26"/>
    </row>
    <row r="2158" spans="1:23" x14ac:dyDescent="0.25">
      <c r="A2158" s="26" t="str">
        <f t="shared" si="393"/>
        <v>PREESCOLAR</v>
      </c>
      <c r="B2158" s="26" t="str">
        <f>"09PJN4356C"</f>
        <v>09PJN4356C</v>
      </c>
      <c r="C2158" s="26" t="str">
        <f>"JARDÍN DE NIÑOS COUNTRY CLUB                                                                        "</f>
        <v xml:space="preserve">JARDÍN DE NIÑOS COUNTRY CLUB                                                                        </v>
      </c>
      <c r="D2158" s="26" t="str">
        <f t="shared" si="397"/>
        <v>MATUTINO</v>
      </c>
      <c r="E2158" s="26" t="str">
        <f>"AV. COUNTRY CLUB NO. 162                                                        "</f>
        <v xml:space="preserve">AV. COUNTRY CLUB NO. 162                                                        </v>
      </c>
      <c r="F2158" s="26" t="str">
        <f>"COUNTRY CLUB CHURUBUSCO                                                                                                                     "</f>
        <v xml:space="preserve">COUNTRY CLUB CHURUBUSCO                                                                                                                     </v>
      </c>
      <c r="G2158" s="26" t="str">
        <f>"COYOACAN                                                                        "</f>
        <v xml:space="preserve">COYOACAN                                                                        </v>
      </c>
      <c r="H2158" s="26" t="str">
        <f>"043"</f>
        <v>043</v>
      </c>
      <c r="I2158" s="26" t="str">
        <f t="shared" si="394"/>
        <v>00</v>
      </c>
      <c r="J2158" s="26" t="str">
        <f>"35 "</f>
        <v xml:space="preserve">35 </v>
      </c>
      <c r="K2158" s="26" t="str">
        <f t="shared" si="400"/>
        <v>EP</v>
      </c>
      <c r="L2158" s="26" t="str">
        <f t="shared" si="401"/>
        <v>DGOSE</v>
      </c>
      <c r="M2158" s="26" t="str">
        <f t="shared" si="392"/>
        <v>PARTICULAR</v>
      </c>
      <c r="N2158" s="26">
        <v>25</v>
      </c>
      <c r="O2158" s="26">
        <v>17</v>
      </c>
      <c r="P2158" s="26">
        <v>8</v>
      </c>
      <c r="Q2158" s="26">
        <v>3</v>
      </c>
      <c r="R2158" s="26">
        <v>1</v>
      </c>
      <c r="S2158" s="26">
        <v>3</v>
      </c>
      <c r="T2158" s="26">
        <v>1</v>
      </c>
      <c r="U2158" s="26">
        <v>5</v>
      </c>
      <c r="V2158" s="26">
        <v>1</v>
      </c>
      <c r="W2158" s="26"/>
    </row>
    <row r="2159" spans="1:23" x14ac:dyDescent="0.25">
      <c r="A2159" s="26" t="str">
        <f t="shared" si="393"/>
        <v>PREESCOLAR</v>
      </c>
      <c r="B2159" s="26" t="str">
        <f>"09PJN4357B"</f>
        <v>09PJN4357B</v>
      </c>
      <c r="C2159" s="26" t="str">
        <f>"CHILDREN S WORLD                                                                                    "</f>
        <v xml:space="preserve">CHILDREN S WORLD                                                                                    </v>
      </c>
      <c r="D2159" s="26" t="str">
        <f t="shared" si="397"/>
        <v>MATUTINO</v>
      </c>
      <c r="E2159" s="26" t="str">
        <f>"SUR 103-A NO. 45                                                                "</f>
        <v xml:space="preserve">SUR 103-A NO. 45                                                                </v>
      </c>
      <c r="F2159" s="26" t="str">
        <f>"SECTOR POPULAR                                                                                                                              "</f>
        <v xml:space="preserve">SECTOR POPULAR                                                                                                                              </v>
      </c>
      <c r="G2159" s="26" t="str">
        <f t="shared" ref="G2159:G2165" si="402">"IZTAPALAPA                                                                      "</f>
        <v xml:space="preserve">IZTAPALAPA                                                                      </v>
      </c>
      <c r="H2159" s="26" t="str">
        <f t="shared" ref="H2159:H2165" si="403">"000"</f>
        <v>000</v>
      </c>
      <c r="I2159" s="26" t="str">
        <f t="shared" si="394"/>
        <v>00</v>
      </c>
      <c r="J2159" s="26" t="str">
        <f>"61 "</f>
        <v xml:space="preserve">61 </v>
      </c>
      <c r="K2159" s="26" t="str">
        <f t="shared" ref="K2159:K2165" si="404">"IZ"</f>
        <v>IZ</v>
      </c>
      <c r="L2159" s="26" t="str">
        <f t="shared" ref="L2159:L2165" si="405">"DGSEI"</f>
        <v>DGSEI</v>
      </c>
      <c r="M2159" s="26" t="str">
        <f t="shared" si="392"/>
        <v>PARTICULAR</v>
      </c>
      <c r="N2159" s="26">
        <v>51</v>
      </c>
      <c r="O2159" s="26">
        <v>28</v>
      </c>
      <c r="P2159" s="26">
        <v>23</v>
      </c>
      <c r="Q2159" s="26">
        <v>3</v>
      </c>
      <c r="R2159" s="26">
        <v>1</v>
      </c>
      <c r="S2159" s="26">
        <v>3</v>
      </c>
      <c r="T2159" s="26">
        <v>2</v>
      </c>
      <c r="U2159" s="26">
        <v>6</v>
      </c>
      <c r="V2159" s="26">
        <v>1</v>
      </c>
      <c r="W2159" s="26"/>
    </row>
    <row r="2160" spans="1:23" x14ac:dyDescent="0.25">
      <c r="A2160" s="26" t="str">
        <f t="shared" si="393"/>
        <v>PREESCOLAR</v>
      </c>
      <c r="B2160" s="26" t="str">
        <f>"09PJN4358A"</f>
        <v>09PJN4358A</v>
      </c>
      <c r="C2160" s="26" t="str">
        <f>"COLEGIO ALEJANDRO DE HUMBOLDT                                                                       "</f>
        <v xml:space="preserve">COLEGIO ALEJANDRO DE HUMBOLDT                                                                       </v>
      </c>
      <c r="D2160" s="26" t="str">
        <f t="shared" si="397"/>
        <v>MATUTINO</v>
      </c>
      <c r="E2160" s="26" t="str">
        <f>"JORGE ENCISO NO. 1557                                                           "</f>
        <v xml:space="preserve">JORGE ENCISO NO. 1557                                                           </v>
      </c>
      <c r="F2160" s="26" t="str">
        <f>"HEROES DE CHURUBUSCO                                                                                                                        "</f>
        <v xml:space="preserve">HEROES DE CHURUBUSCO                                                                                                                        </v>
      </c>
      <c r="G2160" s="26" t="str">
        <f t="shared" si="402"/>
        <v xml:space="preserve">IZTAPALAPA                                                                      </v>
      </c>
      <c r="H2160" s="26" t="str">
        <f t="shared" si="403"/>
        <v>000</v>
      </c>
      <c r="I2160" s="26" t="str">
        <f t="shared" si="394"/>
        <v>00</v>
      </c>
      <c r="J2160" s="26" t="str">
        <f>"61 "</f>
        <v xml:space="preserve">61 </v>
      </c>
      <c r="K2160" s="26" t="str">
        <f t="shared" si="404"/>
        <v>IZ</v>
      </c>
      <c r="L2160" s="26" t="str">
        <f t="shared" si="405"/>
        <v>DGSEI</v>
      </c>
      <c r="M2160" s="26" t="str">
        <f t="shared" si="392"/>
        <v>PARTICULAR</v>
      </c>
      <c r="N2160" s="26">
        <v>38</v>
      </c>
      <c r="O2160" s="26">
        <v>21</v>
      </c>
      <c r="P2160" s="26">
        <v>17</v>
      </c>
      <c r="Q2160" s="26">
        <v>3</v>
      </c>
      <c r="R2160" s="26">
        <v>1</v>
      </c>
      <c r="S2160" s="26">
        <v>3</v>
      </c>
      <c r="T2160" s="26">
        <v>4</v>
      </c>
      <c r="U2160" s="26">
        <v>8</v>
      </c>
      <c r="V2160" s="26">
        <v>1</v>
      </c>
      <c r="W2160" s="26"/>
    </row>
    <row r="2161" spans="1:23" x14ac:dyDescent="0.25">
      <c r="A2161" s="26" t="str">
        <f t="shared" si="393"/>
        <v>PREESCOLAR</v>
      </c>
      <c r="B2161" s="26" t="str">
        <f>"09PJN4359Z"</f>
        <v>09PJN4359Z</v>
      </c>
      <c r="C2161" s="26" t="str">
        <f>"HUITZILOPOCHTLI                                                                                     "</f>
        <v xml:space="preserve">HUITZILOPOCHTLI                                                                                     </v>
      </c>
      <c r="D2161" s="26" t="str">
        <f t="shared" si="397"/>
        <v>MATUTINO</v>
      </c>
      <c r="E2161" s="26" t="str">
        <f>"HACIENDA DE SAN NICOLAS TOLENTINO MZ. 25 LT. 25                                 "</f>
        <v xml:space="preserve">HACIENDA DE SAN NICOLAS TOLENTINO MZ. 25 LT. 25                                 </v>
      </c>
      <c r="F2161" s="26" t="str">
        <f>"PRESIDENTES DE MEXICO                                                                                                                       "</f>
        <v xml:space="preserve">PRESIDENTES DE MEXICO                                                                                                                       </v>
      </c>
      <c r="G2161" s="26" t="str">
        <f t="shared" si="402"/>
        <v xml:space="preserve">IZTAPALAPA                                                                      </v>
      </c>
      <c r="H2161" s="26" t="str">
        <f t="shared" si="403"/>
        <v>000</v>
      </c>
      <c r="I2161" s="26" t="str">
        <f t="shared" si="394"/>
        <v>00</v>
      </c>
      <c r="J2161" s="26" t="str">
        <f>"63 "</f>
        <v xml:space="preserve">63 </v>
      </c>
      <c r="K2161" s="26" t="str">
        <f t="shared" si="404"/>
        <v>IZ</v>
      </c>
      <c r="L2161" s="26" t="str">
        <f t="shared" si="405"/>
        <v>DGSEI</v>
      </c>
      <c r="M2161" s="26" t="str">
        <f t="shared" si="392"/>
        <v>PARTICULAR</v>
      </c>
      <c r="N2161" s="26">
        <v>47</v>
      </c>
      <c r="O2161" s="26">
        <v>20</v>
      </c>
      <c r="P2161" s="26">
        <v>27</v>
      </c>
      <c r="Q2161" s="26">
        <v>3</v>
      </c>
      <c r="R2161" s="26">
        <v>1</v>
      </c>
      <c r="S2161" s="26">
        <v>3</v>
      </c>
      <c r="T2161" s="26">
        <v>6</v>
      </c>
      <c r="U2161" s="26">
        <v>10</v>
      </c>
      <c r="V2161" s="26">
        <v>1</v>
      </c>
      <c r="W2161" s="26"/>
    </row>
    <row r="2162" spans="1:23" x14ac:dyDescent="0.25">
      <c r="A2162" s="26" t="str">
        <f t="shared" si="393"/>
        <v>PREESCOLAR</v>
      </c>
      <c r="B2162" s="26" t="str">
        <f>"09PJN4360P"</f>
        <v>09PJN4360P</v>
      </c>
      <c r="C2162" s="26" t="str">
        <f>"INSTITUTO BASSOLS                                                                                   "</f>
        <v xml:space="preserve">INSTITUTO BASSOLS                                                                                   </v>
      </c>
      <c r="D2162" s="26" t="str">
        <f t="shared" si="397"/>
        <v>MATUTINO</v>
      </c>
      <c r="E2162" s="26" t="str">
        <f>"JOSEFA ORTIZ DE DOMINGUEZ NO 1633                                               "</f>
        <v xml:space="preserve">JOSEFA ORTIZ DE DOMINGUEZ NO 1633                                               </v>
      </c>
      <c r="F2162" s="26" t="str">
        <f>"SANTA MARIA AZTAHUACAN                                                                                                                      "</f>
        <v xml:space="preserve">SANTA MARIA AZTAHUACAN                                                                                                                      </v>
      </c>
      <c r="G2162" s="26" t="str">
        <f t="shared" si="402"/>
        <v xml:space="preserve">IZTAPALAPA                                                                      </v>
      </c>
      <c r="H2162" s="26" t="str">
        <f t="shared" si="403"/>
        <v>000</v>
      </c>
      <c r="I2162" s="26" t="str">
        <f t="shared" si="394"/>
        <v>00</v>
      </c>
      <c r="J2162" s="26" t="str">
        <f>"64 "</f>
        <v xml:space="preserve">64 </v>
      </c>
      <c r="K2162" s="26" t="str">
        <f t="shared" si="404"/>
        <v>IZ</v>
      </c>
      <c r="L2162" s="26" t="str">
        <f t="shared" si="405"/>
        <v>DGSEI</v>
      </c>
      <c r="M2162" s="26" t="str">
        <f t="shared" si="392"/>
        <v>PARTICULAR</v>
      </c>
      <c r="N2162" s="26">
        <v>56</v>
      </c>
      <c r="O2162" s="26">
        <v>27</v>
      </c>
      <c r="P2162" s="26">
        <v>29</v>
      </c>
      <c r="Q2162" s="26">
        <v>3</v>
      </c>
      <c r="R2162" s="26">
        <v>1</v>
      </c>
      <c r="S2162" s="26">
        <v>3</v>
      </c>
      <c r="T2162" s="26">
        <v>4</v>
      </c>
      <c r="U2162" s="26">
        <v>8</v>
      </c>
      <c r="V2162" s="26">
        <v>1</v>
      </c>
      <c r="W2162" s="26"/>
    </row>
    <row r="2163" spans="1:23" x14ac:dyDescent="0.25">
      <c r="A2163" s="26" t="str">
        <f t="shared" si="393"/>
        <v>PREESCOLAR</v>
      </c>
      <c r="B2163" s="26" t="str">
        <f>"09PJN4361O"</f>
        <v>09PJN4361O</v>
      </c>
      <c r="C2163" s="26" t="str">
        <f>"LICEO EMPERADORES AZTECAS                                                                           "</f>
        <v xml:space="preserve">LICEO EMPERADORES AZTECAS                                                                           </v>
      </c>
      <c r="D2163" s="26" t="str">
        <f t="shared" si="397"/>
        <v>MATUTINO</v>
      </c>
      <c r="E2163" s="26" t="str">
        <f>"MANUEL ACUÑA NO. 114                                                            "</f>
        <v xml:space="preserve">MANUEL ACUÑA NO. 114                                                            </v>
      </c>
      <c r="F2163" s="26" t="str">
        <f>"JACARANDAS                                                                                                                                  "</f>
        <v xml:space="preserve">JACARANDAS                                                                                                                                  </v>
      </c>
      <c r="G2163" s="26" t="str">
        <f t="shared" si="402"/>
        <v xml:space="preserve">IZTAPALAPA                                                                      </v>
      </c>
      <c r="H2163" s="26" t="str">
        <f t="shared" si="403"/>
        <v>000</v>
      </c>
      <c r="I2163" s="26" t="str">
        <f t="shared" si="394"/>
        <v>00</v>
      </c>
      <c r="J2163" s="26" t="str">
        <f>"64 "</f>
        <v xml:space="preserve">64 </v>
      </c>
      <c r="K2163" s="26" t="str">
        <f t="shared" si="404"/>
        <v>IZ</v>
      </c>
      <c r="L2163" s="26" t="str">
        <f t="shared" si="405"/>
        <v>DGSEI</v>
      </c>
      <c r="M2163" s="26" t="str">
        <f t="shared" si="392"/>
        <v>PARTICULAR</v>
      </c>
      <c r="N2163" s="26">
        <v>89</v>
      </c>
      <c r="O2163" s="26">
        <v>43</v>
      </c>
      <c r="P2163" s="26">
        <v>46</v>
      </c>
      <c r="Q2163" s="26">
        <v>4</v>
      </c>
      <c r="R2163" s="26">
        <v>1</v>
      </c>
      <c r="S2163" s="26">
        <v>2</v>
      </c>
      <c r="T2163" s="26">
        <v>11</v>
      </c>
      <c r="U2163" s="26">
        <v>14</v>
      </c>
      <c r="V2163" s="26">
        <v>1</v>
      </c>
      <c r="W2163" s="26"/>
    </row>
    <row r="2164" spans="1:23" x14ac:dyDescent="0.25">
      <c r="A2164" s="26" t="str">
        <f t="shared" si="393"/>
        <v>PREESCOLAR</v>
      </c>
      <c r="B2164" s="26" t="str">
        <f>"09PJN4362N"</f>
        <v>09PJN4362N</v>
      </c>
      <c r="C2164" s="26" t="str">
        <f>"CENTRO EDUCATIVO YOLLIHUE                                                                           "</f>
        <v xml:space="preserve">CENTRO EDUCATIVO YOLLIHUE                                                                           </v>
      </c>
      <c r="D2164" s="26" t="str">
        <f t="shared" si="397"/>
        <v>MATUTINO</v>
      </c>
      <c r="E2164" s="26" t="str">
        <f>"IGNACIO LOPEZ RAYON MZ. 21 LT. 21                                               "</f>
        <v xml:space="preserve">IGNACIO LOPEZ RAYON MZ. 21 LT. 21                                               </v>
      </c>
      <c r="F2164" s="26" t="str">
        <f>"PRESIDENTES DE MEXICO                                                                                                                       "</f>
        <v xml:space="preserve">PRESIDENTES DE MEXICO                                                                                                                       </v>
      </c>
      <c r="G2164" s="26" t="str">
        <f t="shared" si="402"/>
        <v xml:space="preserve">IZTAPALAPA                                                                      </v>
      </c>
      <c r="H2164" s="26" t="str">
        <f t="shared" si="403"/>
        <v>000</v>
      </c>
      <c r="I2164" s="26" t="str">
        <f t="shared" si="394"/>
        <v>00</v>
      </c>
      <c r="J2164" s="26" t="str">
        <f>"63 "</f>
        <v xml:space="preserve">63 </v>
      </c>
      <c r="K2164" s="26" t="str">
        <f t="shared" si="404"/>
        <v>IZ</v>
      </c>
      <c r="L2164" s="26" t="str">
        <f t="shared" si="405"/>
        <v>DGSEI</v>
      </c>
      <c r="M2164" s="26" t="str">
        <f t="shared" si="392"/>
        <v>PARTICULAR</v>
      </c>
      <c r="N2164" s="26">
        <v>37</v>
      </c>
      <c r="O2164" s="26">
        <v>18</v>
      </c>
      <c r="P2164" s="26">
        <v>19</v>
      </c>
      <c r="Q2164" s="26">
        <v>3</v>
      </c>
      <c r="R2164" s="26">
        <v>1</v>
      </c>
      <c r="S2164" s="26">
        <v>2</v>
      </c>
      <c r="T2164" s="26">
        <v>5</v>
      </c>
      <c r="U2164" s="26">
        <v>8</v>
      </c>
      <c r="V2164" s="26">
        <v>1</v>
      </c>
      <c r="W2164" s="26"/>
    </row>
    <row r="2165" spans="1:23" x14ac:dyDescent="0.25">
      <c r="A2165" s="26" t="str">
        <f t="shared" si="393"/>
        <v>PREESCOLAR</v>
      </c>
      <c r="B2165" s="26" t="str">
        <f>"09PJN4363M"</f>
        <v>09PJN4363M</v>
      </c>
      <c r="C2165" s="26" t="str">
        <f>"CENTRO EDUCATIVO DIDASCALOS                                                                         "</f>
        <v xml:space="preserve">CENTRO EDUCATIVO DIDASCALOS                                                                         </v>
      </c>
      <c r="D2165" s="26" t="str">
        <f t="shared" si="397"/>
        <v>MATUTINO</v>
      </c>
      <c r="E2165" s="26" t="str">
        <f>"BILBAO NO. 853                                                                  "</f>
        <v xml:space="preserve">BILBAO NO. 853                                                                  </v>
      </c>
      <c r="F2165" s="26" t="str">
        <f>"SAN NICOLAS TOLENTINO                                                                                                                       "</f>
        <v xml:space="preserve">SAN NICOLAS TOLENTINO                                                                                                                       </v>
      </c>
      <c r="G2165" s="26" t="str">
        <f t="shared" si="402"/>
        <v xml:space="preserve">IZTAPALAPA                                                                      </v>
      </c>
      <c r="H2165" s="26" t="str">
        <f t="shared" si="403"/>
        <v>000</v>
      </c>
      <c r="I2165" s="26" t="str">
        <f t="shared" si="394"/>
        <v>00</v>
      </c>
      <c r="J2165" s="26" t="str">
        <f>"63 "</f>
        <v xml:space="preserve">63 </v>
      </c>
      <c r="K2165" s="26" t="str">
        <f t="shared" si="404"/>
        <v>IZ</v>
      </c>
      <c r="L2165" s="26" t="str">
        <f t="shared" si="405"/>
        <v>DGSEI</v>
      </c>
      <c r="M2165" s="26" t="str">
        <f t="shared" si="392"/>
        <v>PARTICULAR</v>
      </c>
      <c r="N2165" s="26">
        <v>42</v>
      </c>
      <c r="O2165" s="26">
        <v>16</v>
      </c>
      <c r="P2165" s="26">
        <v>26</v>
      </c>
      <c r="Q2165" s="26">
        <v>3</v>
      </c>
      <c r="R2165" s="26">
        <v>1</v>
      </c>
      <c r="S2165" s="26">
        <v>2</v>
      </c>
      <c r="T2165" s="26">
        <v>4</v>
      </c>
      <c r="U2165" s="26">
        <v>7</v>
      </c>
      <c r="V2165" s="26">
        <v>1</v>
      </c>
      <c r="W2165" s="26"/>
    </row>
    <row r="2166" spans="1:23" x14ac:dyDescent="0.25">
      <c r="A2166" s="26" t="str">
        <f t="shared" si="393"/>
        <v>PREESCOLAR</v>
      </c>
      <c r="B2166" s="26" t="str">
        <f>"09PJN4364L"</f>
        <v>09PJN4364L</v>
      </c>
      <c r="C2166" s="26" t="str">
        <f>"CENTRO DE DESARROLLO ABEJITAS                                                                       "</f>
        <v xml:space="preserve">CENTRO DE DESARROLLO ABEJITAS                                                                       </v>
      </c>
      <c r="D2166" s="26" t="str">
        <f t="shared" si="397"/>
        <v>MATUTINO</v>
      </c>
      <c r="E2166" s="26" t="str">
        <f>"IZAMAL NO. 55                                                                   "</f>
        <v xml:space="preserve">IZAMAL NO. 55                                                                   </v>
      </c>
      <c r="F2166" s="26" t="str">
        <f>"LOMAS DE PADIERNA                                                                                                                           "</f>
        <v xml:space="preserve">LOMAS DE PADIERNA                                                                                                                           </v>
      </c>
      <c r="G2166" s="26" t="str">
        <f>"TLALPAN                                                                         "</f>
        <v xml:space="preserve">TLALPAN                                                                         </v>
      </c>
      <c r="H2166" s="26" t="str">
        <f>"135"</f>
        <v>135</v>
      </c>
      <c r="I2166" s="26" t="str">
        <f t="shared" si="394"/>
        <v>00</v>
      </c>
      <c r="J2166" s="26" t="str">
        <f>"35 "</f>
        <v xml:space="preserve">35 </v>
      </c>
      <c r="K2166" s="26" t="str">
        <f t="shared" ref="K2166:K2180" si="406">"EP"</f>
        <v>EP</v>
      </c>
      <c r="L2166" s="26" t="str">
        <f t="shared" ref="L2166:L2180" si="407">"DGOSE"</f>
        <v>DGOSE</v>
      </c>
      <c r="M2166" s="26" t="str">
        <f t="shared" si="392"/>
        <v>PARTICULAR</v>
      </c>
      <c r="N2166" s="26">
        <v>17</v>
      </c>
      <c r="O2166" s="26">
        <v>7</v>
      </c>
      <c r="P2166" s="26">
        <v>10</v>
      </c>
      <c r="Q2166" s="26">
        <v>3</v>
      </c>
      <c r="R2166" s="26">
        <v>1</v>
      </c>
      <c r="S2166" s="26">
        <v>2</v>
      </c>
      <c r="T2166" s="26">
        <v>3</v>
      </c>
      <c r="U2166" s="26">
        <v>6</v>
      </c>
      <c r="V2166" s="26">
        <v>1</v>
      </c>
      <c r="W2166" s="26"/>
    </row>
    <row r="2167" spans="1:23" x14ac:dyDescent="0.25">
      <c r="A2167" s="26" t="str">
        <f t="shared" si="393"/>
        <v>PREESCOLAR</v>
      </c>
      <c r="B2167" s="26" t="str">
        <f>"09PJN4367I"</f>
        <v>09PJN4367I</v>
      </c>
      <c r="C2167" s="26" t="str">
        <f>"JARDIN DE NIÑOS SOLEIL                                                                              "</f>
        <v xml:space="preserve">JARDIN DE NIÑOS SOLEIL                                                                              </v>
      </c>
      <c r="D2167" s="26" t="str">
        <f t="shared" si="397"/>
        <v>MATUTINO</v>
      </c>
      <c r="E2167" s="26" t="str">
        <f>"NORTE 15 NO. 5226                                                               "</f>
        <v xml:space="preserve">NORTE 15 NO. 5226                                                               </v>
      </c>
      <c r="F2167" s="26" t="str">
        <f>"NUEVA VALLEJO                                                                                                                               "</f>
        <v xml:space="preserve">NUEVA VALLEJO                                                                                                                               </v>
      </c>
      <c r="G2167" s="26" t="str">
        <f>"GUSTAVO A. MADERO                                                               "</f>
        <v xml:space="preserve">GUSTAVO A. MADERO                                                               </v>
      </c>
      <c r="H2167" s="26" t="str">
        <f>"197"</f>
        <v>197</v>
      </c>
      <c r="I2167" s="26" t="str">
        <f t="shared" si="394"/>
        <v>00</v>
      </c>
      <c r="J2167" s="26" t="str">
        <f>"32 "</f>
        <v xml:space="preserve">32 </v>
      </c>
      <c r="K2167" s="26" t="str">
        <f t="shared" si="406"/>
        <v>EP</v>
      </c>
      <c r="L2167" s="26" t="str">
        <f t="shared" si="407"/>
        <v>DGOSE</v>
      </c>
      <c r="M2167" s="26" t="str">
        <f t="shared" si="392"/>
        <v>PARTICULAR</v>
      </c>
      <c r="N2167" s="26">
        <v>23</v>
      </c>
      <c r="O2167" s="26">
        <v>7</v>
      </c>
      <c r="P2167" s="26">
        <v>16</v>
      </c>
      <c r="Q2167" s="26">
        <v>3</v>
      </c>
      <c r="R2167" s="26">
        <v>1</v>
      </c>
      <c r="S2167" s="26">
        <v>3</v>
      </c>
      <c r="T2167" s="26">
        <v>2</v>
      </c>
      <c r="U2167" s="26">
        <v>6</v>
      </c>
      <c r="V2167" s="26">
        <v>1</v>
      </c>
      <c r="W2167" s="26"/>
    </row>
    <row r="2168" spans="1:23" x14ac:dyDescent="0.25">
      <c r="A2168" s="26" t="str">
        <f t="shared" si="393"/>
        <v>PREESCOLAR</v>
      </c>
      <c r="B2168" s="26" t="str">
        <f>"09PJN4369G"</f>
        <v>09PJN4369G</v>
      </c>
      <c r="C2168" s="26" t="str">
        <f>"JARDÍN DE NIÑOS ALHELI                                                                              "</f>
        <v xml:space="preserve">JARDÍN DE NIÑOS ALHELI                                                                              </v>
      </c>
      <c r="D2168" s="26" t="str">
        <f t="shared" si="397"/>
        <v>MATUTINO</v>
      </c>
      <c r="E2168" s="26" t="str">
        <f>"VENUSTIANO CARRANZA NO. 59                                                      "</f>
        <v xml:space="preserve">VENUSTIANO CARRANZA NO. 59                                                      </v>
      </c>
      <c r="F2168" s="26" t="str">
        <f>"SANTA URSULA COAPA                                                                                                                          "</f>
        <v xml:space="preserve">SANTA URSULA COAPA                                                                                                                          </v>
      </c>
      <c r="G2168" s="26" t="str">
        <f>"COYOACAN                                                                        "</f>
        <v xml:space="preserve">COYOACAN                                                                        </v>
      </c>
      <c r="H2168" s="26" t="str">
        <f>"077"</f>
        <v>077</v>
      </c>
      <c r="I2168" s="26" t="str">
        <f t="shared" si="394"/>
        <v>00</v>
      </c>
      <c r="J2168" s="26" t="str">
        <f>"35 "</f>
        <v xml:space="preserve">35 </v>
      </c>
      <c r="K2168" s="26" t="str">
        <f t="shared" si="406"/>
        <v>EP</v>
      </c>
      <c r="L2168" s="26" t="str">
        <f t="shared" si="407"/>
        <v>DGOSE</v>
      </c>
      <c r="M2168" s="26" t="str">
        <f t="shared" si="392"/>
        <v>PARTICULAR</v>
      </c>
      <c r="N2168" s="26">
        <v>24</v>
      </c>
      <c r="O2168" s="26">
        <v>9</v>
      </c>
      <c r="P2168" s="26">
        <v>15</v>
      </c>
      <c r="Q2168" s="26">
        <v>3</v>
      </c>
      <c r="R2168" s="26">
        <v>1</v>
      </c>
      <c r="S2168" s="26">
        <v>2</v>
      </c>
      <c r="T2168" s="26">
        <v>1</v>
      </c>
      <c r="U2168" s="26">
        <v>4</v>
      </c>
      <c r="V2168" s="26">
        <v>1</v>
      </c>
      <c r="W2168" s="26"/>
    </row>
    <row r="2169" spans="1:23" x14ac:dyDescent="0.25">
      <c r="A2169" s="26" t="str">
        <f t="shared" si="393"/>
        <v>PREESCOLAR</v>
      </c>
      <c r="B2169" s="26" t="str">
        <f>"09PJN4371V"</f>
        <v>09PJN4371V</v>
      </c>
      <c r="C2169" s="26" t="str">
        <f>"CENTRO PSICOPEDAGOGICO RENACIMIENTO                                                                 "</f>
        <v xml:space="preserve">CENTRO PSICOPEDAGOGICO RENACIMIENTO                                                                 </v>
      </c>
      <c r="D2169" s="26" t="str">
        <f t="shared" si="397"/>
        <v>MATUTINO</v>
      </c>
      <c r="E2169" s="26" t="str">
        <f>"CEREZOS NO. 11                                                                  "</f>
        <v xml:space="preserve">CEREZOS NO. 11                                                                  </v>
      </c>
      <c r="F2169" s="26" t="str">
        <f>"SANTA CRUZ XOCHITEPEC                                                                                                                       "</f>
        <v xml:space="preserve">SANTA CRUZ XOCHITEPEC                                                                                                                       </v>
      </c>
      <c r="G2169" s="26" t="str">
        <f>"XOCHIMILCO                                                                      "</f>
        <v xml:space="preserve">XOCHIMILCO                                                                      </v>
      </c>
      <c r="H2169" s="26" t="str">
        <f>"052"</f>
        <v>052</v>
      </c>
      <c r="I2169" s="26" t="str">
        <f t="shared" si="394"/>
        <v>00</v>
      </c>
      <c r="J2169" s="26" t="str">
        <f>"35 "</f>
        <v xml:space="preserve">35 </v>
      </c>
      <c r="K2169" s="26" t="str">
        <f t="shared" si="406"/>
        <v>EP</v>
      </c>
      <c r="L2169" s="26" t="str">
        <f t="shared" si="407"/>
        <v>DGOSE</v>
      </c>
      <c r="M2169" s="26" t="str">
        <f t="shared" si="392"/>
        <v>PARTICULAR</v>
      </c>
      <c r="N2169" s="26">
        <v>18</v>
      </c>
      <c r="O2169" s="26">
        <v>14</v>
      </c>
      <c r="P2169" s="26">
        <v>4</v>
      </c>
      <c r="Q2169" s="26">
        <v>2</v>
      </c>
      <c r="R2169" s="26">
        <v>1</v>
      </c>
      <c r="S2169" s="26">
        <v>1</v>
      </c>
      <c r="T2169" s="26">
        <v>1</v>
      </c>
      <c r="U2169" s="26">
        <v>3</v>
      </c>
      <c r="V2169" s="26">
        <v>1</v>
      </c>
      <c r="W2169" s="26"/>
    </row>
    <row r="2170" spans="1:23" x14ac:dyDescent="0.25">
      <c r="A2170" s="26" t="str">
        <f t="shared" si="393"/>
        <v>PREESCOLAR</v>
      </c>
      <c r="B2170" s="26" t="str">
        <f>"09PJN4372U"</f>
        <v>09PJN4372U</v>
      </c>
      <c r="C2170" s="26" t="str">
        <f>"COLEGIO AMAUTA                                                                                      "</f>
        <v xml:space="preserve">COLEGIO AMAUTA                                                                                      </v>
      </c>
      <c r="D2170" s="26" t="str">
        <f t="shared" si="397"/>
        <v>MATUTINO</v>
      </c>
      <c r="E2170" s="26" t="s">
        <v>105</v>
      </c>
      <c r="F2170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2170" s="26" t="str">
        <f>"GUSTAVO A. MADERO                                                               "</f>
        <v xml:space="preserve">GUSTAVO A. MADERO                                                               </v>
      </c>
      <c r="H2170" s="26" t="str">
        <f>"006"</f>
        <v>006</v>
      </c>
      <c r="I2170" s="26" t="str">
        <f t="shared" si="394"/>
        <v>00</v>
      </c>
      <c r="J2170" s="26" t="str">
        <f>"32 "</f>
        <v xml:space="preserve">32 </v>
      </c>
      <c r="K2170" s="26" t="str">
        <f t="shared" si="406"/>
        <v>EP</v>
      </c>
      <c r="L2170" s="26" t="str">
        <f t="shared" si="407"/>
        <v>DGOSE</v>
      </c>
      <c r="M2170" s="26" t="str">
        <f t="shared" si="392"/>
        <v>PARTICULAR</v>
      </c>
      <c r="N2170" s="26">
        <v>72</v>
      </c>
      <c r="O2170" s="26">
        <v>37</v>
      </c>
      <c r="P2170" s="26">
        <v>35</v>
      </c>
      <c r="Q2170" s="26">
        <v>3</v>
      </c>
      <c r="R2170" s="26">
        <v>1</v>
      </c>
      <c r="S2170" s="26">
        <v>3</v>
      </c>
      <c r="T2170" s="26">
        <v>3</v>
      </c>
      <c r="U2170" s="26">
        <v>7</v>
      </c>
      <c r="V2170" s="26">
        <v>1</v>
      </c>
      <c r="W2170" s="26"/>
    </row>
    <row r="2171" spans="1:23" x14ac:dyDescent="0.25">
      <c r="A2171" s="26" t="str">
        <f t="shared" si="393"/>
        <v>PREESCOLAR</v>
      </c>
      <c r="B2171" s="26" t="str">
        <f>"09PJN4375R"</f>
        <v>09PJN4375R</v>
      </c>
      <c r="C2171" s="26" t="str">
        <f>"ESCUELA INFANTIL MI ALEGRIA                                                                         "</f>
        <v xml:space="preserve">ESCUELA INFANTIL MI ALEGRIA                                                                         </v>
      </c>
      <c r="D2171" s="26" t="str">
        <f t="shared" si="397"/>
        <v>MATUTINO</v>
      </c>
      <c r="E2171" s="26" t="str">
        <f>"PASO DEL MOLINO NO.74                                                           "</f>
        <v xml:space="preserve">PASO DEL MOLINO NO.74                                                           </v>
      </c>
      <c r="F2171" s="26" t="str">
        <f>"CAÑADA                                                                                                                                      "</f>
        <v xml:space="preserve">CAÑADA                                                                                                                                      </v>
      </c>
      <c r="G2171" s="26" t="str">
        <f>"ALVARO OBREGON                                                                  "</f>
        <v xml:space="preserve">ALVARO OBREGON                                                                  </v>
      </c>
      <c r="H2171" s="26" t="str">
        <f>"166"</f>
        <v>166</v>
      </c>
      <c r="I2171" s="26" t="str">
        <f t="shared" si="394"/>
        <v>00</v>
      </c>
      <c r="J2171" s="26" t="str">
        <f>"33 "</f>
        <v xml:space="preserve">33 </v>
      </c>
      <c r="K2171" s="26" t="str">
        <f t="shared" si="406"/>
        <v>EP</v>
      </c>
      <c r="L2171" s="26" t="str">
        <f t="shared" si="407"/>
        <v>DGOSE</v>
      </c>
      <c r="M2171" s="26" t="str">
        <f t="shared" si="392"/>
        <v>PARTICULAR</v>
      </c>
      <c r="N2171" s="26">
        <v>31</v>
      </c>
      <c r="O2171" s="26">
        <v>14</v>
      </c>
      <c r="P2171" s="26">
        <v>17</v>
      </c>
      <c r="Q2171" s="26">
        <v>2</v>
      </c>
      <c r="R2171" s="26">
        <v>1</v>
      </c>
      <c r="S2171" s="26">
        <v>2</v>
      </c>
      <c r="T2171" s="26">
        <v>2</v>
      </c>
      <c r="U2171" s="26">
        <v>5</v>
      </c>
      <c r="V2171" s="26">
        <v>1</v>
      </c>
      <c r="W2171" s="26"/>
    </row>
    <row r="2172" spans="1:23" x14ac:dyDescent="0.25">
      <c r="A2172" s="26" t="str">
        <f t="shared" si="393"/>
        <v>PREESCOLAR</v>
      </c>
      <c r="B2172" s="26" t="str">
        <f>"09PJN4376Q"</f>
        <v>09PJN4376Q</v>
      </c>
      <c r="C2172" s="26" t="str">
        <f>"COLEGIO KAROL WOJTYLA                                                                               "</f>
        <v xml:space="preserve">COLEGIO KAROL WOJTYLA                                                                               </v>
      </c>
      <c r="D2172" s="26" t="str">
        <f t="shared" si="397"/>
        <v>MATUTINO</v>
      </c>
      <c r="E2172" s="26" t="str">
        <f>"29 DE OCTUBRE MZA. 248-A LT. 55                                                 "</f>
        <v xml:space="preserve">29 DE OCTUBRE MZA. 248-A LT. 55                                                 </v>
      </c>
      <c r="F2172" s="26" t="str">
        <f>"LOMAS DE LA HERA                                                                                                                            "</f>
        <v xml:space="preserve">LOMAS DE LA HERA                                                                                                                            </v>
      </c>
      <c r="G2172" s="26" t="str">
        <f>"ALVARO OBREGON                                                                  "</f>
        <v xml:space="preserve">ALVARO OBREGON                                                                  </v>
      </c>
      <c r="H2172" s="26" t="str">
        <f>"175"</f>
        <v>175</v>
      </c>
      <c r="I2172" s="26" t="str">
        <f t="shared" si="394"/>
        <v>00</v>
      </c>
      <c r="J2172" s="26" t="str">
        <f>"33 "</f>
        <v xml:space="preserve">33 </v>
      </c>
      <c r="K2172" s="26" t="str">
        <f t="shared" si="406"/>
        <v>EP</v>
      </c>
      <c r="L2172" s="26" t="str">
        <f t="shared" si="407"/>
        <v>DGOSE</v>
      </c>
      <c r="M2172" s="26" t="str">
        <f t="shared" si="392"/>
        <v>PARTICULAR</v>
      </c>
      <c r="N2172" s="26">
        <v>34</v>
      </c>
      <c r="O2172" s="26">
        <v>19</v>
      </c>
      <c r="P2172" s="26">
        <v>15</v>
      </c>
      <c r="Q2172" s="26">
        <v>3</v>
      </c>
      <c r="R2172" s="26">
        <v>1</v>
      </c>
      <c r="S2172" s="26">
        <v>3</v>
      </c>
      <c r="T2172" s="26">
        <v>1</v>
      </c>
      <c r="U2172" s="26">
        <v>5</v>
      </c>
      <c r="V2172" s="26">
        <v>1</v>
      </c>
      <c r="W2172" s="26"/>
    </row>
    <row r="2173" spans="1:23" x14ac:dyDescent="0.25">
      <c r="A2173" s="26" t="str">
        <f t="shared" si="393"/>
        <v>PREESCOLAR</v>
      </c>
      <c r="B2173" s="26" t="str">
        <f>"09PJN4377P"</f>
        <v>09PJN4377P</v>
      </c>
      <c r="C2173" s="26" t="s">
        <v>106</v>
      </c>
      <c r="D2173" s="26" t="str">
        <f t="shared" si="397"/>
        <v>MATUTINO</v>
      </c>
      <c r="E2173" s="26" t="str">
        <f>"ARTEAGA Y SALAZAR NO. 859                                                       "</f>
        <v xml:space="preserve">ARTEAGA Y SALAZAR NO. 859                                                       </v>
      </c>
      <c r="F2173" s="26" t="str">
        <f>"CONTADERO                                                                                                                                   "</f>
        <v xml:space="preserve">CONTADERO                                                                                                                                   </v>
      </c>
      <c r="G2173" s="26" t="str">
        <f>"CUAJIMALPA DE MORELOS                                                           "</f>
        <v xml:space="preserve">CUAJIMALPA DE MORELOS                                                           </v>
      </c>
      <c r="H2173" s="26" t="str">
        <f>"151"</f>
        <v>151</v>
      </c>
      <c r="I2173" s="26" t="str">
        <f t="shared" si="394"/>
        <v>00</v>
      </c>
      <c r="J2173" s="26" t="str">
        <f>"33 "</f>
        <v xml:space="preserve">33 </v>
      </c>
      <c r="K2173" s="26" t="str">
        <f t="shared" si="406"/>
        <v>EP</v>
      </c>
      <c r="L2173" s="26" t="str">
        <f t="shared" si="407"/>
        <v>DGOSE</v>
      </c>
      <c r="M2173" s="26" t="str">
        <f t="shared" si="392"/>
        <v>PARTICULAR</v>
      </c>
      <c r="N2173" s="26">
        <v>20</v>
      </c>
      <c r="O2173" s="26">
        <v>11</v>
      </c>
      <c r="P2173" s="26">
        <v>9</v>
      </c>
      <c r="Q2173" s="26">
        <v>3</v>
      </c>
      <c r="R2173" s="26">
        <v>1</v>
      </c>
      <c r="S2173" s="26">
        <v>3</v>
      </c>
      <c r="T2173" s="26">
        <v>2</v>
      </c>
      <c r="U2173" s="26">
        <v>6</v>
      </c>
      <c r="V2173" s="26">
        <v>1</v>
      </c>
      <c r="W2173" s="26"/>
    </row>
    <row r="2174" spans="1:23" x14ac:dyDescent="0.25">
      <c r="A2174" s="26" t="str">
        <f t="shared" si="393"/>
        <v>PREESCOLAR</v>
      </c>
      <c r="B2174" s="26" t="str">
        <f>"09PJN4378O"</f>
        <v>09PJN4378O</v>
      </c>
      <c r="C2174" s="26" t="str">
        <f>"JARDÍN DE NIÑOS ALFRED BINNET                                                                       "</f>
        <v xml:space="preserve">JARDÍN DE NIÑOS ALFRED BINNET                                                                       </v>
      </c>
      <c r="D2174" s="26" t="str">
        <f t="shared" si="397"/>
        <v>MATUTINO</v>
      </c>
      <c r="E2174" s="26" t="str">
        <f>"AV. PALMAS NO. 167 Y 169                                                        "</f>
        <v xml:space="preserve">AV. PALMAS NO. 167 Y 169                                                        </v>
      </c>
      <c r="F2174" s="26" t="str">
        <f>"EL ROSAL ALTO                                                                                                                               "</f>
        <v xml:space="preserve">EL ROSAL ALTO                                                                                                                               </v>
      </c>
      <c r="G2174" s="26" t="str">
        <f>"LA MAGDALENA CONTRERAS                                                          "</f>
        <v xml:space="preserve">LA MAGDALENA CONTRERAS                                                          </v>
      </c>
      <c r="H2174" s="26" t="str">
        <f>"112"</f>
        <v>112</v>
      </c>
      <c r="I2174" s="26" t="str">
        <f t="shared" si="394"/>
        <v>00</v>
      </c>
      <c r="J2174" s="26" t="str">
        <f>"35 "</f>
        <v xml:space="preserve">35 </v>
      </c>
      <c r="K2174" s="26" t="str">
        <f t="shared" si="406"/>
        <v>EP</v>
      </c>
      <c r="L2174" s="26" t="str">
        <f t="shared" si="407"/>
        <v>DGOSE</v>
      </c>
      <c r="M2174" s="26" t="str">
        <f t="shared" si="392"/>
        <v>PARTICULAR</v>
      </c>
      <c r="N2174" s="26">
        <v>65</v>
      </c>
      <c r="O2174" s="26">
        <v>42</v>
      </c>
      <c r="P2174" s="26">
        <v>23</v>
      </c>
      <c r="Q2174" s="26">
        <v>3</v>
      </c>
      <c r="R2174" s="26">
        <v>1</v>
      </c>
      <c r="S2174" s="26">
        <v>2</v>
      </c>
      <c r="T2174" s="26">
        <v>4</v>
      </c>
      <c r="U2174" s="26">
        <v>7</v>
      </c>
      <c r="V2174" s="26">
        <v>1</v>
      </c>
      <c r="W2174" s="26"/>
    </row>
    <row r="2175" spans="1:23" x14ac:dyDescent="0.25">
      <c r="A2175" s="26" t="str">
        <f t="shared" si="393"/>
        <v>PREESCOLAR</v>
      </c>
      <c r="B2175" s="26" t="str">
        <f>"09PJN4379N"</f>
        <v>09PJN4379N</v>
      </c>
      <c r="C2175" s="26" t="str">
        <f>"IL MIO MONDO MONTESSORI                                                                             "</f>
        <v xml:space="preserve">IL MIO MONDO MONTESSORI                                                                             </v>
      </c>
      <c r="D2175" s="26" t="str">
        <f t="shared" si="397"/>
        <v>MATUTINO</v>
      </c>
      <c r="E2175" s="26" t="str">
        <f>"HERSCHEL NO. 100                                                                "</f>
        <v xml:space="preserve">HERSCHEL NO. 100                                                                </v>
      </c>
      <c r="F2175" s="26" t="str">
        <f>"ANZURES                                                                                                                                     "</f>
        <v xml:space="preserve">ANZURES                                                                                                                                     </v>
      </c>
      <c r="G2175" s="26" t="str">
        <f>"MIGUEL HIDALGO                                                                  "</f>
        <v xml:space="preserve">MIGUEL HIDALGO                                                                  </v>
      </c>
      <c r="H2175" s="26" t="str">
        <f>"075"</f>
        <v>075</v>
      </c>
      <c r="I2175" s="26" t="str">
        <f t="shared" si="394"/>
        <v>00</v>
      </c>
      <c r="J2175" s="26" t="str">
        <f>"32 "</f>
        <v xml:space="preserve">32 </v>
      </c>
      <c r="K2175" s="26" t="str">
        <f t="shared" si="406"/>
        <v>EP</v>
      </c>
      <c r="L2175" s="26" t="str">
        <f t="shared" si="407"/>
        <v>DGOSE</v>
      </c>
      <c r="M2175" s="26" t="str">
        <f t="shared" ref="M2175:M2238" si="408">"PARTICULAR"</f>
        <v>PARTICULAR</v>
      </c>
      <c r="N2175" s="26">
        <v>41</v>
      </c>
      <c r="O2175" s="26">
        <v>22</v>
      </c>
      <c r="P2175" s="26">
        <v>19</v>
      </c>
      <c r="Q2175" s="26">
        <v>3</v>
      </c>
      <c r="R2175" s="26">
        <v>1</v>
      </c>
      <c r="S2175" s="26">
        <v>2</v>
      </c>
      <c r="T2175" s="26">
        <v>4</v>
      </c>
      <c r="U2175" s="26">
        <v>7</v>
      </c>
      <c r="V2175" s="26">
        <v>1</v>
      </c>
      <c r="W2175" s="26"/>
    </row>
    <row r="2176" spans="1:23" x14ac:dyDescent="0.25">
      <c r="A2176" s="26" t="str">
        <f t="shared" si="393"/>
        <v>PREESCOLAR</v>
      </c>
      <c r="B2176" s="26" t="str">
        <f>"09PJN4381B"</f>
        <v>09PJN4381B</v>
      </c>
      <c r="C2176" s="26" t="str">
        <f>"COLEGIO WORK AND PLAY                                                                               "</f>
        <v xml:space="preserve">COLEGIO WORK AND PLAY                                                                               </v>
      </c>
      <c r="D2176" s="26" t="str">
        <f t="shared" si="397"/>
        <v>MATUTINO</v>
      </c>
      <c r="E2176" s="26" t="str">
        <f>"AGUSTIN VICENTE EGUIA NO. 58-B                                                  "</f>
        <v xml:space="preserve">AGUSTIN VICENTE EGUIA NO. 58-B                                                  </v>
      </c>
      <c r="F2176" s="26" t="str">
        <f>"SAN MIGUEL CHAPULTEPEC                                                                                                                      "</f>
        <v xml:space="preserve">SAN MIGUEL CHAPULTEPEC                                                                                                                      </v>
      </c>
      <c r="G2176" s="26" t="str">
        <f>"MIGUEL HIDALGO                                                                  "</f>
        <v xml:space="preserve">MIGUEL HIDALGO                                                                  </v>
      </c>
      <c r="H2176" s="26" t="str">
        <f>"207"</f>
        <v>207</v>
      </c>
      <c r="I2176" s="26" t="str">
        <f t="shared" si="394"/>
        <v>00</v>
      </c>
      <c r="J2176" s="26" t="str">
        <f>"32 "</f>
        <v xml:space="preserve">32 </v>
      </c>
      <c r="K2176" s="26" t="str">
        <f t="shared" si="406"/>
        <v>EP</v>
      </c>
      <c r="L2176" s="26" t="str">
        <f t="shared" si="407"/>
        <v>DGOSE</v>
      </c>
      <c r="M2176" s="26" t="str">
        <f t="shared" si="408"/>
        <v>PARTICULAR</v>
      </c>
      <c r="N2176" s="26">
        <v>30</v>
      </c>
      <c r="O2176" s="26">
        <v>15</v>
      </c>
      <c r="P2176" s="26">
        <v>15</v>
      </c>
      <c r="Q2176" s="26">
        <v>3</v>
      </c>
      <c r="R2176" s="26">
        <v>1</v>
      </c>
      <c r="S2176" s="26">
        <v>2</v>
      </c>
      <c r="T2176" s="26">
        <v>4</v>
      </c>
      <c r="U2176" s="26">
        <v>7</v>
      </c>
      <c r="V2176" s="26">
        <v>1</v>
      </c>
      <c r="W2176" s="26"/>
    </row>
    <row r="2177" spans="1:23" x14ac:dyDescent="0.25">
      <c r="A2177" s="26" t="str">
        <f t="shared" si="393"/>
        <v>PREESCOLAR</v>
      </c>
      <c r="B2177" s="26" t="str">
        <f>"09PJN4382A"</f>
        <v>09PJN4382A</v>
      </c>
      <c r="C2177" s="26" t="str">
        <f>"EL PALACIO DEL CONEJO                                                                               "</f>
        <v xml:space="preserve">EL PALACIO DEL CONEJO                                                                               </v>
      </c>
      <c r="D2177" s="26" t="str">
        <f t="shared" si="397"/>
        <v>MATUTINO</v>
      </c>
      <c r="E2177" s="26" t="str">
        <f>"PLAYA CORTES NO. 415                                                            "</f>
        <v xml:space="preserve">PLAYA CORTES NO. 415                                                            </v>
      </c>
      <c r="F2177" s="26" t="str">
        <f>"REFORMA IZTACCIHUATL                                                                                                                        "</f>
        <v xml:space="preserve">REFORMA IZTACCIHUATL                                                                                                                        </v>
      </c>
      <c r="G2177" s="26" t="str">
        <f>"IZTACALCO                                                                       "</f>
        <v xml:space="preserve">IZTACALCO                                                                       </v>
      </c>
      <c r="H2177" s="26" t="str">
        <f>"238"</f>
        <v>238</v>
      </c>
      <c r="I2177" s="26" t="str">
        <f t="shared" si="394"/>
        <v>00</v>
      </c>
      <c r="J2177" s="26" t="str">
        <f>"33 "</f>
        <v xml:space="preserve">33 </v>
      </c>
      <c r="K2177" s="26" t="str">
        <f t="shared" si="406"/>
        <v>EP</v>
      </c>
      <c r="L2177" s="26" t="str">
        <f t="shared" si="407"/>
        <v>DGOSE</v>
      </c>
      <c r="M2177" s="26" t="str">
        <f t="shared" si="408"/>
        <v>PARTICULAR</v>
      </c>
      <c r="N2177" s="26">
        <v>46</v>
      </c>
      <c r="O2177" s="26">
        <v>27</v>
      </c>
      <c r="P2177" s="26">
        <v>19</v>
      </c>
      <c r="Q2177" s="26">
        <v>3</v>
      </c>
      <c r="R2177" s="26">
        <v>1</v>
      </c>
      <c r="S2177" s="26">
        <v>3</v>
      </c>
      <c r="T2177" s="26">
        <v>3</v>
      </c>
      <c r="U2177" s="26">
        <v>7</v>
      </c>
      <c r="V2177" s="26">
        <v>1</v>
      </c>
      <c r="W2177" s="26"/>
    </row>
    <row r="2178" spans="1:23" x14ac:dyDescent="0.25">
      <c r="A2178" s="26" t="str">
        <f t="shared" ref="A2178:A2241" si="409">"PREESCOLAR"</f>
        <v>PREESCOLAR</v>
      </c>
      <c r="B2178" s="26" t="str">
        <f>"09PJN4383Z"</f>
        <v>09PJN4383Z</v>
      </c>
      <c r="C2178" s="26" t="str">
        <f>"COMUNIDAD DE DESARROLLO MONTESSORI                                                                  "</f>
        <v xml:space="preserve">COMUNIDAD DE DESARROLLO MONTESSORI                                                                  </v>
      </c>
      <c r="D2178" s="26" t="str">
        <f t="shared" si="397"/>
        <v>MATUTINO</v>
      </c>
      <c r="E2178" s="26" t="str">
        <f>"AV. SANTA CECILIA NO. 91                                                        "</f>
        <v xml:space="preserve">AV. SANTA CECILIA NO. 91                                                        </v>
      </c>
      <c r="F2178" s="26" t="str">
        <f>"RESIDENCIAL CAFETALES                                                                                                                       "</f>
        <v xml:space="preserve">RESIDENCIAL CAFETALES                                                                                                                       </v>
      </c>
      <c r="G2178" s="26" t="str">
        <f>"COYOACAN                                                                        "</f>
        <v xml:space="preserve">COYOACAN                                                                        </v>
      </c>
      <c r="H2178" s="26" t="str">
        <f>"125"</f>
        <v>125</v>
      </c>
      <c r="I2178" s="26" t="str">
        <f t="shared" ref="I2178:I2241" si="410">"00"</f>
        <v>00</v>
      </c>
      <c r="J2178" s="26" t="str">
        <f>"35 "</f>
        <v xml:space="preserve">35 </v>
      </c>
      <c r="K2178" s="26" t="str">
        <f t="shared" si="406"/>
        <v>EP</v>
      </c>
      <c r="L2178" s="26" t="str">
        <f t="shared" si="407"/>
        <v>DGOSE</v>
      </c>
      <c r="M2178" s="26" t="str">
        <f t="shared" si="408"/>
        <v>PARTICULAR</v>
      </c>
      <c r="N2178" s="26">
        <v>11</v>
      </c>
      <c r="O2178" s="26">
        <v>8</v>
      </c>
      <c r="P2178" s="26">
        <v>3</v>
      </c>
      <c r="Q2178" s="26">
        <v>3</v>
      </c>
      <c r="R2178" s="26">
        <v>1</v>
      </c>
      <c r="S2178" s="26">
        <v>2</v>
      </c>
      <c r="T2178" s="26">
        <v>1</v>
      </c>
      <c r="U2178" s="26">
        <v>4</v>
      </c>
      <c r="V2178" s="26">
        <v>1</v>
      </c>
      <c r="W2178" s="26"/>
    </row>
    <row r="2179" spans="1:23" x14ac:dyDescent="0.25">
      <c r="A2179" s="26" t="str">
        <f t="shared" si="409"/>
        <v>PREESCOLAR</v>
      </c>
      <c r="B2179" s="26" t="str">
        <f>"09PJN4384Z"</f>
        <v>09PJN4384Z</v>
      </c>
      <c r="C2179" s="26" t="str">
        <f>"JARDIN DE NIÑOS MERINO                                                                              "</f>
        <v xml:space="preserve">JARDIN DE NIÑOS MERINO                                                                              </v>
      </c>
      <c r="D2179" s="26" t="str">
        <f t="shared" si="397"/>
        <v>MATUTINO</v>
      </c>
      <c r="E2179" s="26" t="str">
        <f>"TRIPOLI NO. 112                                                                 "</f>
        <v xml:space="preserve">TRIPOLI NO. 112                                                                 </v>
      </c>
      <c r="F2179" s="26" t="str">
        <f>"PORTALES                                                                                                                                    "</f>
        <v xml:space="preserve">PORTALES                                                                                                                                    </v>
      </c>
      <c r="G2179" s="26" t="str">
        <f>"BENITO JUAREZ                                                                   "</f>
        <v xml:space="preserve">BENITO JUAREZ                                                                   </v>
      </c>
      <c r="H2179" s="26" t="str">
        <f>"037"</f>
        <v>037</v>
      </c>
      <c r="I2179" s="26" t="str">
        <f t="shared" si="410"/>
        <v>00</v>
      </c>
      <c r="J2179" s="26" t="str">
        <f>"33 "</f>
        <v xml:space="preserve">33 </v>
      </c>
      <c r="K2179" s="26" t="str">
        <f t="shared" si="406"/>
        <v>EP</v>
      </c>
      <c r="L2179" s="26" t="str">
        <f t="shared" si="407"/>
        <v>DGOSE</v>
      </c>
      <c r="M2179" s="26" t="str">
        <f t="shared" si="408"/>
        <v>PARTICULAR</v>
      </c>
      <c r="N2179" s="26">
        <v>25</v>
      </c>
      <c r="O2179" s="26">
        <v>15</v>
      </c>
      <c r="P2179" s="26">
        <v>10</v>
      </c>
      <c r="Q2179" s="26">
        <v>3</v>
      </c>
      <c r="R2179" s="26">
        <v>1</v>
      </c>
      <c r="S2179" s="26">
        <v>2</v>
      </c>
      <c r="T2179" s="26">
        <v>5</v>
      </c>
      <c r="U2179" s="26">
        <v>8</v>
      </c>
      <c r="V2179" s="26">
        <v>1</v>
      </c>
      <c r="W2179" s="26"/>
    </row>
    <row r="2180" spans="1:23" x14ac:dyDescent="0.25">
      <c r="A2180" s="26" t="str">
        <f t="shared" si="409"/>
        <v>PREESCOLAR</v>
      </c>
      <c r="B2180" s="26" t="str">
        <f>"09PJN4385Y"</f>
        <v>09PJN4385Y</v>
      </c>
      <c r="C2180" s="26" t="str">
        <f>"COLEGIO JEAN PIAGET                                                                                 "</f>
        <v xml:space="preserve">COLEGIO JEAN PIAGET                                                                                 </v>
      </c>
      <c r="D2180" s="26" t="str">
        <f t="shared" si="397"/>
        <v>MATUTINO</v>
      </c>
      <c r="E2180" s="26" t="str">
        <f>"AV. XOCHIMILCO NO. 78                                                           "</f>
        <v xml:space="preserve">AV. XOCHIMILCO NO. 78                                                           </v>
      </c>
      <c r="F2180" s="26" t="str">
        <f>"SANTA CRUZ XOCHITEPEC                                                                                                                       "</f>
        <v xml:space="preserve">SANTA CRUZ XOCHITEPEC                                                                                                                       </v>
      </c>
      <c r="G2180" s="26" t="str">
        <f>"XOCHIMILCO                                                                      "</f>
        <v xml:space="preserve">XOCHIMILCO                                                                      </v>
      </c>
      <c r="H2180" s="26" t="str">
        <f>"052"</f>
        <v>052</v>
      </c>
      <c r="I2180" s="26" t="str">
        <f t="shared" si="410"/>
        <v>00</v>
      </c>
      <c r="J2180" s="26" t="str">
        <f>"35 "</f>
        <v xml:space="preserve">35 </v>
      </c>
      <c r="K2180" s="26" t="str">
        <f t="shared" si="406"/>
        <v>EP</v>
      </c>
      <c r="L2180" s="26" t="str">
        <f t="shared" si="407"/>
        <v>DGOSE</v>
      </c>
      <c r="M2180" s="26" t="str">
        <f t="shared" si="408"/>
        <v>PARTICULAR</v>
      </c>
      <c r="N2180" s="26">
        <v>50</v>
      </c>
      <c r="O2180" s="26">
        <v>20</v>
      </c>
      <c r="P2180" s="26">
        <v>30</v>
      </c>
      <c r="Q2180" s="26">
        <v>3</v>
      </c>
      <c r="R2180" s="26">
        <v>1</v>
      </c>
      <c r="S2180" s="26">
        <v>3</v>
      </c>
      <c r="T2180" s="26">
        <v>3</v>
      </c>
      <c r="U2180" s="26">
        <v>7</v>
      </c>
      <c r="V2180" s="26">
        <v>1</v>
      </c>
      <c r="W2180" s="26"/>
    </row>
    <row r="2181" spans="1:23" x14ac:dyDescent="0.25">
      <c r="A2181" s="26" t="str">
        <f t="shared" si="409"/>
        <v>PREESCOLAR</v>
      </c>
      <c r="B2181" s="26" t="str">
        <f>"09PJN4386X"</f>
        <v>09PJN4386X</v>
      </c>
      <c r="C2181" s="26" t="str">
        <f>"DISCOVERY EDUCATIONAL CENTER                                                                        "</f>
        <v xml:space="preserve">DISCOVERY EDUCATIONAL CENTER                                                                        </v>
      </c>
      <c r="D2181" s="26" t="str">
        <f t="shared" si="397"/>
        <v>MATUTINO</v>
      </c>
      <c r="E2181" s="26" t="str">
        <f>"JUAREZ NO. 411                                                                  "</f>
        <v xml:space="preserve">JUAREZ NO. 411                                                                  </v>
      </c>
      <c r="F2181" s="26" t="str">
        <f>"LOMAS ESTRELLA                                                                                                                              "</f>
        <v xml:space="preserve">LOMAS ESTRELLA                                                                                                                              </v>
      </c>
      <c r="G2181" s="26" t="str">
        <f>"IZTAPALAPA                                                                      "</f>
        <v xml:space="preserve">IZTAPALAPA                                                                      </v>
      </c>
      <c r="H2181" s="26" t="str">
        <f>"000"</f>
        <v>000</v>
      </c>
      <c r="I2181" s="26" t="str">
        <f t="shared" si="410"/>
        <v>00</v>
      </c>
      <c r="J2181" s="26" t="str">
        <f>"63 "</f>
        <v xml:space="preserve">63 </v>
      </c>
      <c r="K2181" s="26" t="str">
        <f>"IZ"</f>
        <v>IZ</v>
      </c>
      <c r="L2181" s="26" t="str">
        <f>"DGSEI"</f>
        <v>DGSEI</v>
      </c>
      <c r="M2181" s="26" t="str">
        <f t="shared" si="408"/>
        <v>PARTICULAR</v>
      </c>
      <c r="N2181" s="26">
        <v>18</v>
      </c>
      <c r="O2181" s="26">
        <v>8</v>
      </c>
      <c r="P2181" s="26">
        <v>10</v>
      </c>
      <c r="Q2181" s="26">
        <v>3</v>
      </c>
      <c r="R2181" s="26">
        <v>1</v>
      </c>
      <c r="S2181" s="26">
        <v>1</v>
      </c>
      <c r="T2181" s="26">
        <v>2</v>
      </c>
      <c r="U2181" s="26">
        <v>4</v>
      </c>
      <c r="V2181" s="26">
        <v>1</v>
      </c>
      <c r="W2181" s="26"/>
    </row>
    <row r="2182" spans="1:23" x14ac:dyDescent="0.25">
      <c r="A2182" s="26" t="str">
        <f t="shared" si="409"/>
        <v>PREESCOLAR</v>
      </c>
      <c r="B2182" s="26" t="str">
        <f>"09PJN4387W"</f>
        <v>09PJN4387W</v>
      </c>
      <c r="C2182" s="26" t="str">
        <f>"CELESTIN FREINET                                                                                    "</f>
        <v xml:space="preserve">CELESTIN FREINET                                                                                    </v>
      </c>
      <c r="D2182" s="26" t="str">
        <f t="shared" si="397"/>
        <v>MATUTINO</v>
      </c>
      <c r="E2182" s="26" t="str">
        <f>"AV. AZCAPOTZALCO NO. 379                                                        "</f>
        <v xml:space="preserve">AV. AZCAPOTZALCO NO. 379                                                        </v>
      </c>
      <c r="F2182" s="26" t="str">
        <f>"EL RECREO                                                                                                                                   "</f>
        <v xml:space="preserve">EL RECREO                                                                                                                                   </v>
      </c>
      <c r="G2182" s="26" t="str">
        <f>"AZCAPOTZALCO                                                                    "</f>
        <v xml:space="preserve">AZCAPOTZALCO                                                                    </v>
      </c>
      <c r="H2182" s="26" t="str">
        <f>"117"</f>
        <v>117</v>
      </c>
      <c r="I2182" s="26" t="str">
        <f t="shared" si="410"/>
        <v>00</v>
      </c>
      <c r="J2182" s="26" t="str">
        <f>"32 "</f>
        <v xml:space="preserve">32 </v>
      </c>
      <c r="K2182" s="26" t="str">
        <f>"EP"</f>
        <v>EP</v>
      </c>
      <c r="L2182" s="26" t="str">
        <f>"DGOSE"</f>
        <v>DGOSE</v>
      </c>
      <c r="M2182" s="26" t="str">
        <f t="shared" si="408"/>
        <v>PARTICULAR</v>
      </c>
      <c r="N2182" s="26">
        <v>78</v>
      </c>
      <c r="O2182" s="26">
        <v>37</v>
      </c>
      <c r="P2182" s="26">
        <v>41</v>
      </c>
      <c r="Q2182" s="26">
        <v>5</v>
      </c>
      <c r="R2182" s="26">
        <v>1</v>
      </c>
      <c r="S2182" s="26">
        <v>3</v>
      </c>
      <c r="T2182" s="26">
        <v>7</v>
      </c>
      <c r="U2182" s="26">
        <v>11</v>
      </c>
      <c r="V2182" s="26">
        <v>1</v>
      </c>
      <c r="W2182" s="26"/>
    </row>
    <row r="2183" spans="1:23" x14ac:dyDescent="0.25">
      <c r="A2183" s="26" t="str">
        <f t="shared" si="409"/>
        <v>PREESCOLAR</v>
      </c>
      <c r="B2183" s="26" t="str">
        <f>"09PJN4388V"</f>
        <v>09PJN4388V</v>
      </c>
      <c r="C2183" s="26" t="str">
        <f>"PROFRA. GUILLERMINA LUTTEROTH                                                                       "</f>
        <v xml:space="preserve">PROFRA. GUILLERMINA LUTTEROTH                                                                       </v>
      </c>
      <c r="D2183" s="26" t="str">
        <f t="shared" si="397"/>
        <v>MATUTINO</v>
      </c>
      <c r="E2183" s="26" t="str">
        <f>"2A. CERRADA DE MIXTECAS NO. 4                                                   "</f>
        <v xml:space="preserve">2A. CERRADA DE MIXTECAS NO. 4                                                   </v>
      </c>
      <c r="F2183" s="26" t="str">
        <f>"TLACUITLAPA                                                                                                                                 "</f>
        <v xml:space="preserve">TLACUITLAPA                                                                                                                                 </v>
      </c>
      <c r="G2183" s="26" t="str">
        <f>"ALVARO OBREGON                                                                  "</f>
        <v xml:space="preserve">ALVARO OBREGON                                                                  </v>
      </c>
      <c r="H2183" s="26" t="str">
        <f>"046"</f>
        <v>046</v>
      </c>
      <c r="I2183" s="26" t="str">
        <f t="shared" si="410"/>
        <v>00</v>
      </c>
      <c r="J2183" s="26" t="str">
        <f>"33 "</f>
        <v xml:space="preserve">33 </v>
      </c>
      <c r="K2183" s="26" t="str">
        <f>"EP"</f>
        <v>EP</v>
      </c>
      <c r="L2183" s="26" t="str">
        <f>"DGOSE"</f>
        <v>DGOSE</v>
      </c>
      <c r="M2183" s="26" t="str">
        <f t="shared" si="408"/>
        <v>PARTICULAR</v>
      </c>
      <c r="N2183" s="26">
        <v>10</v>
      </c>
      <c r="O2183" s="26">
        <v>9</v>
      </c>
      <c r="P2183" s="26">
        <v>1</v>
      </c>
      <c r="Q2183" s="26">
        <v>2</v>
      </c>
      <c r="R2183" s="26">
        <v>1</v>
      </c>
      <c r="S2183" s="26">
        <v>2</v>
      </c>
      <c r="T2183" s="26">
        <v>0</v>
      </c>
      <c r="U2183" s="26">
        <v>3</v>
      </c>
      <c r="V2183" s="26">
        <v>1</v>
      </c>
      <c r="W2183" s="26"/>
    </row>
    <row r="2184" spans="1:23" x14ac:dyDescent="0.25">
      <c r="A2184" s="26" t="str">
        <f t="shared" si="409"/>
        <v>PREESCOLAR</v>
      </c>
      <c r="B2184" s="26" t="str">
        <f>"09PJN4389U"</f>
        <v>09PJN4389U</v>
      </c>
      <c r="C2184" s="26" t="str">
        <f>"COLEGIO ATID                                                                                        "</f>
        <v xml:space="preserve">COLEGIO ATID                                                                                        </v>
      </c>
      <c r="D2184" s="26" t="str">
        <f t="shared" si="397"/>
        <v>MATUTINO</v>
      </c>
      <c r="E2184" s="26" t="str">
        <f>"AV. CARLOS ECHANOVE NO. 224                                                     "</f>
        <v xml:space="preserve">AV. CARLOS ECHANOVE NO. 224                                                     </v>
      </c>
      <c r="F2184" s="26" t="str">
        <f>"LOMAS DE VISTA HERMOSA                                                                                                                      "</f>
        <v xml:space="preserve">LOMAS DE VISTA HERMOSA                                                                                                                      </v>
      </c>
      <c r="G2184" s="26" t="str">
        <f>"CUAJIMALPA DE MORELOS                                                           "</f>
        <v xml:space="preserve">CUAJIMALPA DE MORELOS                                                           </v>
      </c>
      <c r="H2184" s="26" t="str">
        <f>"212"</f>
        <v>212</v>
      </c>
      <c r="I2184" s="26" t="str">
        <f t="shared" si="410"/>
        <v>00</v>
      </c>
      <c r="J2184" s="26" t="str">
        <f>"33 "</f>
        <v xml:space="preserve">33 </v>
      </c>
      <c r="K2184" s="26" t="str">
        <f>"EP"</f>
        <v>EP</v>
      </c>
      <c r="L2184" s="26" t="str">
        <f>"DGOSE"</f>
        <v>DGOSE</v>
      </c>
      <c r="M2184" s="26" t="str">
        <f t="shared" si="408"/>
        <v>PARTICULAR</v>
      </c>
      <c r="N2184" s="26">
        <v>169</v>
      </c>
      <c r="O2184" s="26">
        <v>88</v>
      </c>
      <c r="P2184" s="26">
        <v>81</v>
      </c>
      <c r="Q2184" s="26">
        <v>9</v>
      </c>
      <c r="R2184" s="26">
        <v>1</v>
      </c>
      <c r="S2184" s="26">
        <v>9</v>
      </c>
      <c r="T2184" s="26">
        <v>6</v>
      </c>
      <c r="U2184" s="26">
        <v>16</v>
      </c>
      <c r="V2184" s="26">
        <v>1</v>
      </c>
      <c r="W2184" s="26"/>
    </row>
    <row r="2185" spans="1:23" x14ac:dyDescent="0.25">
      <c r="A2185" s="26" t="str">
        <f t="shared" si="409"/>
        <v>PREESCOLAR</v>
      </c>
      <c r="B2185" s="26" t="str">
        <f>"09PJN4390J"</f>
        <v>09PJN4390J</v>
      </c>
      <c r="C2185" s="26" t="str">
        <f>"LOS OSITOS                                                                                          "</f>
        <v xml:space="preserve">LOS OSITOS                                                                                          </v>
      </c>
      <c r="D2185" s="26" t="str">
        <f t="shared" si="397"/>
        <v>MATUTINO</v>
      </c>
      <c r="E2185" s="26" t="str">
        <f>"CDA. DE ORQUIDIA MZ. 16 LT. 87                                                  "</f>
        <v xml:space="preserve">CDA. DE ORQUIDIA MZ. 16 LT. 87                                                  </v>
      </c>
      <c r="F2185" s="26" t="str">
        <f>"LOMAS DE SANTA CRUZ                                                                                                                         "</f>
        <v xml:space="preserve">LOMAS DE SANTA CRUZ                                                                                                                         </v>
      </c>
      <c r="G2185" s="26" t="str">
        <f>"IZTAPALAPA                                                                      "</f>
        <v xml:space="preserve">IZTAPALAPA                                                                      </v>
      </c>
      <c r="H2185" s="26" t="str">
        <f>"000"</f>
        <v>000</v>
      </c>
      <c r="I2185" s="26" t="str">
        <f t="shared" si="410"/>
        <v>00</v>
      </c>
      <c r="J2185" s="26" t="str">
        <f>"64 "</f>
        <v xml:space="preserve">64 </v>
      </c>
      <c r="K2185" s="26" t="str">
        <f>"IZ"</f>
        <v>IZ</v>
      </c>
      <c r="L2185" s="26" t="str">
        <f>"DGSEI"</f>
        <v>DGSEI</v>
      </c>
      <c r="M2185" s="26" t="str">
        <f t="shared" si="408"/>
        <v>PARTICULAR</v>
      </c>
      <c r="N2185" s="26">
        <v>16</v>
      </c>
      <c r="O2185" s="26">
        <v>11</v>
      </c>
      <c r="P2185" s="26">
        <v>5</v>
      </c>
      <c r="Q2185" s="26">
        <v>2</v>
      </c>
      <c r="R2185" s="26">
        <v>1</v>
      </c>
      <c r="S2185" s="26">
        <v>1</v>
      </c>
      <c r="T2185" s="26">
        <v>1</v>
      </c>
      <c r="U2185" s="26">
        <v>3</v>
      </c>
      <c r="V2185" s="26">
        <v>1</v>
      </c>
      <c r="W2185" s="26"/>
    </row>
    <row r="2186" spans="1:23" x14ac:dyDescent="0.25">
      <c r="A2186" s="26" t="str">
        <f t="shared" si="409"/>
        <v>PREESCOLAR</v>
      </c>
      <c r="B2186" s="26" t="str">
        <f>"09PJN4391I"</f>
        <v>09PJN4391I</v>
      </c>
      <c r="C2186" s="26" t="str">
        <f>"HEYDI                                                                                               "</f>
        <v xml:space="preserve">HEYDI                                                                                               </v>
      </c>
      <c r="D2186" s="26" t="str">
        <f t="shared" ref="D2186:D2212" si="411">"MATUTINO"</f>
        <v>MATUTINO</v>
      </c>
      <c r="E2186" s="26" t="str">
        <f>"CALLE 8 MZ. 8 LT. 10                                                            "</f>
        <v xml:space="preserve">CALLE 8 MZ. 8 LT. 10                                                            </v>
      </c>
      <c r="F2186" s="26" t="str">
        <f>"JOSE LOPEZ PORTILLO                                                                                                                         "</f>
        <v xml:space="preserve">JOSE LOPEZ PORTILLO                                                                                                                         </v>
      </c>
      <c r="G2186" s="26" t="str">
        <f>"IZTAPALAPA                                                                      "</f>
        <v xml:space="preserve">IZTAPALAPA                                                                      </v>
      </c>
      <c r="H2186" s="26" t="str">
        <f>"000"</f>
        <v>000</v>
      </c>
      <c r="I2186" s="26" t="str">
        <f t="shared" si="410"/>
        <v>00</v>
      </c>
      <c r="J2186" s="26" t="str">
        <f>"63 "</f>
        <v xml:space="preserve">63 </v>
      </c>
      <c r="K2186" s="26" t="str">
        <f>"IZ"</f>
        <v>IZ</v>
      </c>
      <c r="L2186" s="26" t="str">
        <f>"DGSEI"</f>
        <v>DGSEI</v>
      </c>
      <c r="M2186" s="26" t="str">
        <f t="shared" si="408"/>
        <v>PARTICULAR</v>
      </c>
      <c r="N2186" s="26">
        <v>23</v>
      </c>
      <c r="O2186" s="26">
        <v>13</v>
      </c>
      <c r="P2186" s="26">
        <v>10</v>
      </c>
      <c r="Q2186" s="26">
        <v>3</v>
      </c>
      <c r="R2186" s="26">
        <v>1</v>
      </c>
      <c r="S2186" s="26">
        <v>1</v>
      </c>
      <c r="T2186" s="26">
        <v>4</v>
      </c>
      <c r="U2186" s="26">
        <v>6</v>
      </c>
      <c r="V2186" s="26">
        <v>1</v>
      </c>
      <c r="W2186" s="26"/>
    </row>
    <row r="2187" spans="1:23" x14ac:dyDescent="0.25">
      <c r="A2187" s="26" t="str">
        <f t="shared" si="409"/>
        <v>PREESCOLAR</v>
      </c>
      <c r="B2187" s="26" t="str">
        <f>"09PJN4393G"</f>
        <v>09PJN4393G</v>
      </c>
      <c r="C2187" s="26" t="str">
        <f>"COLEGIO ALJIBES PREESCOLAR                                                                          "</f>
        <v xml:space="preserve">COLEGIO ALJIBES PREESCOLAR                                                                          </v>
      </c>
      <c r="D2187" s="26" t="str">
        <f t="shared" si="411"/>
        <v>MATUTINO</v>
      </c>
      <c r="E2187" s="26" t="str">
        <f>"MAR DE LAS TEMPESTADES NO. 75 MZA.5 LT.4                                        "</f>
        <v xml:space="preserve">MAR DE LAS TEMPESTADES NO. 75 MZA.5 LT.4                                        </v>
      </c>
      <c r="F2187" s="26" t="str">
        <f>"LOS OLIVOS                                                                                                                                  "</f>
        <v xml:space="preserve">LOS OLIVOS                                                                                                                                  </v>
      </c>
      <c r="G2187" s="26" t="str">
        <f>"COYOACAN                                                                        "</f>
        <v xml:space="preserve">COYOACAN                                                                        </v>
      </c>
      <c r="H2187" s="26" t="str">
        <f>"239"</f>
        <v>239</v>
      </c>
      <c r="I2187" s="26" t="str">
        <f t="shared" si="410"/>
        <v>00</v>
      </c>
      <c r="J2187" s="26" t="str">
        <f>"35 "</f>
        <v xml:space="preserve">35 </v>
      </c>
      <c r="K2187" s="26" t="str">
        <f>"EP"</f>
        <v>EP</v>
      </c>
      <c r="L2187" s="26" t="str">
        <f>"DGOSE"</f>
        <v>DGOSE</v>
      </c>
      <c r="M2187" s="26" t="str">
        <f t="shared" si="408"/>
        <v>PARTICULAR</v>
      </c>
      <c r="N2187" s="26">
        <v>218</v>
      </c>
      <c r="O2187" s="26">
        <v>113</v>
      </c>
      <c r="P2187" s="26">
        <v>105</v>
      </c>
      <c r="Q2187" s="26">
        <v>10</v>
      </c>
      <c r="R2187" s="26">
        <v>1</v>
      </c>
      <c r="S2187" s="26">
        <v>5</v>
      </c>
      <c r="T2187" s="26">
        <v>6</v>
      </c>
      <c r="U2187" s="26">
        <v>12</v>
      </c>
      <c r="V2187" s="26">
        <v>1</v>
      </c>
      <c r="W2187" s="26"/>
    </row>
    <row r="2188" spans="1:23" x14ac:dyDescent="0.25">
      <c r="A2188" s="26" t="str">
        <f t="shared" si="409"/>
        <v>PREESCOLAR</v>
      </c>
      <c r="B2188" s="26" t="str">
        <f>"09PJN4394F"</f>
        <v>09PJN4394F</v>
      </c>
      <c r="C2188" s="26" t="str">
        <f>"AMERICAS UNIDAS                                                                                     "</f>
        <v xml:space="preserve">AMERICAS UNIDAS                                                                                     </v>
      </c>
      <c r="D2188" s="26" t="str">
        <f t="shared" si="411"/>
        <v>MATUTINO</v>
      </c>
      <c r="E2188" s="26" t="str">
        <f>"CHIHUAHUA NO. 23                                                                "</f>
        <v xml:space="preserve">CHIHUAHUA NO. 23                                                                </v>
      </c>
      <c r="F2188" s="26" t="str">
        <f>"ROMA SUR                                                                                                                                    "</f>
        <v xml:space="preserve">ROMA SUR                                                                                                                                    </v>
      </c>
      <c r="G2188" s="26" t="s">
        <v>4128</v>
      </c>
      <c r="H2188" s="26" t="str">
        <f>"202"</f>
        <v>202</v>
      </c>
      <c r="I2188" s="26" t="str">
        <f t="shared" si="410"/>
        <v>00</v>
      </c>
      <c r="J2188" s="26" t="str">
        <f>"32 "</f>
        <v xml:space="preserve">32 </v>
      </c>
      <c r="K2188" s="26" t="str">
        <f>"EP"</f>
        <v>EP</v>
      </c>
      <c r="L2188" s="26" t="str">
        <f>"DGOSE"</f>
        <v>DGOSE</v>
      </c>
      <c r="M2188" s="26" t="str">
        <f t="shared" si="408"/>
        <v>PARTICULAR</v>
      </c>
      <c r="N2188" s="26">
        <v>34</v>
      </c>
      <c r="O2188" s="26">
        <v>17</v>
      </c>
      <c r="P2188" s="26">
        <v>17</v>
      </c>
      <c r="Q2188" s="26">
        <v>3</v>
      </c>
      <c r="R2188" s="26">
        <v>1</v>
      </c>
      <c r="S2188" s="26">
        <v>3</v>
      </c>
      <c r="T2188" s="26">
        <v>2</v>
      </c>
      <c r="U2188" s="26">
        <v>6</v>
      </c>
      <c r="V2188" s="26">
        <v>1</v>
      </c>
      <c r="W2188" s="26"/>
    </row>
    <row r="2189" spans="1:23" x14ac:dyDescent="0.25">
      <c r="A2189" s="26" t="str">
        <f t="shared" si="409"/>
        <v>PREESCOLAR</v>
      </c>
      <c r="B2189" s="26" t="str">
        <f>"09PJN4395E"</f>
        <v>09PJN4395E</v>
      </c>
      <c r="C2189" s="26" t="str">
        <f>"COLEGIO ANGLO AMERICANO DE COYOACÁN                                                                 "</f>
        <v xml:space="preserve">COLEGIO ANGLO AMERICANO DE COYOACÁN                                                                 </v>
      </c>
      <c r="D2189" s="26" t="str">
        <f t="shared" si="411"/>
        <v>MATUTINO</v>
      </c>
      <c r="E2189" s="26" t="str">
        <f>"AV. RIO CHURUBUSCO NO. 409                                                      "</f>
        <v xml:space="preserve">AV. RIO CHURUBUSCO NO. 409                                                      </v>
      </c>
      <c r="F2189" s="26" t="str">
        <f>"PASEOS DE TAXQUEÑA                                                                                                                          "</f>
        <v xml:space="preserve">PASEOS DE TAXQUEÑA                                                                                                                          </v>
      </c>
      <c r="G2189" s="26" t="str">
        <f>"COYOACAN                                                                        "</f>
        <v xml:space="preserve">COYOACAN                                                                        </v>
      </c>
      <c r="H2189" s="26" t="str">
        <f>"024"</f>
        <v>024</v>
      </c>
      <c r="I2189" s="26" t="str">
        <f t="shared" si="410"/>
        <v>00</v>
      </c>
      <c r="J2189" s="26" t="str">
        <f>"35 "</f>
        <v xml:space="preserve">35 </v>
      </c>
      <c r="K2189" s="26" t="str">
        <f>"EP"</f>
        <v>EP</v>
      </c>
      <c r="L2189" s="26" t="str">
        <f>"DGOSE"</f>
        <v>DGOSE</v>
      </c>
      <c r="M2189" s="26" t="str">
        <f t="shared" si="408"/>
        <v>PARTICULAR</v>
      </c>
      <c r="N2189" s="26">
        <v>104</v>
      </c>
      <c r="O2189" s="26">
        <v>54</v>
      </c>
      <c r="P2189" s="26">
        <v>50</v>
      </c>
      <c r="Q2189" s="26">
        <v>6</v>
      </c>
      <c r="R2189" s="26">
        <v>1</v>
      </c>
      <c r="S2189" s="26">
        <v>3</v>
      </c>
      <c r="T2189" s="26">
        <v>12</v>
      </c>
      <c r="U2189" s="26">
        <v>16</v>
      </c>
      <c r="V2189" s="26">
        <v>1</v>
      </c>
      <c r="W2189" s="26"/>
    </row>
    <row r="2190" spans="1:23" x14ac:dyDescent="0.25">
      <c r="A2190" s="26" t="str">
        <f t="shared" si="409"/>
        <v>PREESCOLAR</v>
      </c>
      <c r="B2190" s="26" t="str">
        <f>"09PJN4397C"</f>
        <v>09PJN4397C</v>
      </c>
      <c r="C2190" s="26" t="str">
        <f>"ANDRE MARTINET                                                                                      "</f>
        <v xml:space="preserve">ANDRE MARTINET                                                                                      </v>
      </c>
      <c r="D2190" s="26" t="str">
        <f t="shared" si="411"/>
        <v>MATUTINO</v>
      </c>
      <c r="E2190" s="26" t="str">
        <f>"ALFREDO V. BONFIL NO. 76                                                        "</f>
        <v xml:space="preserve">ALFREDO V. BONFIL NO. 76                                                        </v>
      </c>
      <c r="F2190" s="26" t="str">
        <f>"PRESIDENTES EJIDALES                                                                                                                        "</f>
        <v xml:space="preserve">PRESIDENTES EJIDALES                                                                                                                        </v>
      </c>
      <c r="G2190" s="26" t="str">
        <f>"COYOACAN                                                                        "</f>
        <v xml:space="preserve">COYOACAN                                                                        </v>
      </c>
      <c r="H2190" s="26" t="str">
        <f>"099"</f>
        <v>099</v>
      </c>
      <c r="I2190" s="26" t="str">
        <f t="shared" si="410"/>
        <v>00</v>
      </c>
      <c r="J2190" s="26" t="str">
        <f>"35 "</f>
        <v xml:space="preserve">35 </v>
      </c>
      <c r="K2190" s="26" t="str">
        <f>"EP"</f>
        <v>EP</v>
      </c>
      <c r="L2190" s="26" t="str">
        <f>"DGOSE"</f>
        <v>DGOSE</v>
      </c>
      <c r="M2190" s="26" t="str">
        <f t="shared" si="408"/>
        <v>PARTICULAR</v>
      </c>
      <c r="N2190" s="26">
        <v>38</v>
      </c>
      <c r="O2190" s="26">
        <v>13</v>
      </c>
      <c r="P2190" s="26">
        <v>25</v>
      </c>
      <c r="Q2190" s="26">
        <v>3</v>
      </c>
      <c r="R2190" s="26">
        <v>1</v>
      </c>
      <c r="S2190" s="26">
        <v>3</v>
      </c>
      <c r="T2190" s="26">
        <v>1</v>
      </c>
      <c r="U2190" s="26">
        <v>5</v>
      </c>
      <c r="V2190" s="26">
        <v>1</v>
      </c>
      <c r="W2190" s="26"/>
    </row>
    <row r="2191" spans="1:23" x14ac:dyDescent="0.25">
      <c r="A2191" s="26" t="str">
        <f t="shared" si="409"/>
        <v>PREESCOLAR</v>
      </c>
      <c r="B2191" s="26" t="str">
        <f>"09PJN4398B"</f>
        <v>09PJN4398B</v>
      </c>
      <c r="C2191" s="26" t="str">
        <f>"MARYA CURIE                                                                                         "</f>
        <v xml:space="preserve">MARYA CURIE                                                                                         </v>
      </c>
      <c r="D2191" s="26" t="str">
        <f t="shared" si="411"/>
        <v>MATUTINO</v>
      </c>
      <c r="E2191" s="26" t="str">
        <f>"TEXCOCO NO. 22                                                                  "</f>
        <v xml:space="preserve">TEXCOCO NO. 22                                                                  </v>
      </c>
      <c r="F2191" s="26" t="str">
        <f>"IZTACALCO                                                                                                                                   "</f>
        <v xml:space="preserve">IZTACALCO                                                                                                                                   </v>
      </c>
      <c r="G2191" s="26" t="str">
        <f>"IZTACALCO                                                                       "</f>
        <v xml:space="preserve">IZTACALCO                                                                       </v>
      </c>
      <c r="H2191" s="26" t="str">
        <f>"241"</f>
        <v>241</v>
      </c>
      <c r="I2191" s="26" t="str">
        <f t="shared" si="410"/>
        <v>00</v>
      </c>
      <c r="J2191" s="26" t="str">
        <f>"33 "</f>
        <v xml:space="preserve">33 </v>
      </c>
      <c r="K2191" s="26" t="str">
        <f>"EP"</f>
        <v>EP</v>
      </c>
      <c r="L2191" s="26" t="str">
        <f>"DGOSE"</f>
        <v>DGOSE</v>
      </c>
      <c r="M2191" s="26" t="str">
        <f t="shared" si="408"/>
        <v>PARTICULAR</v>
      </c>
      <c r="N2191" s="26">
        <v>51</v>
      </c>
      <c r="O2191" s="26">
        <v>26</v>
      </c>
      <c r="P2191" s="26">
        <v>25</v>
      </c>
      <c r="Q2191" s="26">
        <v>3</v>
      </c>
      <c r="R2191" s="26">
        <v>1</v>
      </c>
      <c r="S2191" s="26">
        <v>3</v>
      </c>
      <c r="T2191" s="26">
        <v>2</v>
      </c>
      <c r="U2191" s="26">
        <v>6</v>
      </c>
      <c r="V2191" s="26">
        <v>1</v>
      </c>
      <c r="W2191" s="26"/>
    </row>
    <row r="2192" spans="1:23" x14ac:dyDescent="0.25">
      <c r="A2192" s="26" t="str">
        <f t="shared" si="409"/>
        <v>PREESCOLAR</v>
      </c>
      <c r="B2192" s="26" t="str">
        <f>"09PJN4402Y"</f>
        <v>09PJN4402Y</v>
      </c>
      <c r="C2192" s="26" t="str">
        <f>"COLEGIO PEDAGOGICO DE MEXICO                                                                        "</f>
        <v xml:space="preserve">COLEGIO PEDAGOGICO DE MEXICO                                                                        </v>
      </c>
      <c r="D2192" s="26" t="str">
        <f t="shared" si="411"/>
        <v>MATUTINO</v>
      </c>
      <c r="E2192" s="26" t="str">
        <f>"FRANCISCO I MADERO NO 6                                                         "</f>
        <v xml:space="preserve">FRANCISCO I MADERO NO 6                                                         </v>
      </c>
      <c r="F2192" s="26" t="str">
        <f>"SANTA MARTHA ACATITLA                                                                                                                       "</f>
        <v xml:space="preserve">SANTA MARTHA ACATITLA                                                                                                                       </v>
      </c>
      <c r="G2192" s="26" t="str">
        <f>"IZTAPALAPA                                                                      "</f>
        <v xml:space="preserve">IZTAPALAPA                                                                      </v>
      </c>
      <c r="H2192" s="26" t="str">
        <f>"000"</f>
        <v>000</v>
      </c>
      <c r="I2192" s="26" t="str">
        <f t="shared" si="410"/>
        <v>00</v>
      </c>
      <c r="J2192" s="26" t="str">
        <f>"62 "</f>
        <v xml:space="preserve">62 </v>
      </c>
      <c r="K2192" s="26" t="str">
        <f>"IZ"</f>
        <v>IZ</v>
      </c>
      <c r="L2192" s="26" t="str">
        <f>"DGSEI"</f>
        <v>DGSEI</v>
      </c>
      <c r="M2192" s="26" t="str">
        <f t="shared" si="408"/>
        <v>PARTICULAR</v>
      </c>
      <c r="N2192" s="26">
        <v>22</v>
      </c>
      <c r="O2192" s="26">
        <v>8</v>
      </c>
      <c r="P2192" s="26">
        <v>14</v>
      </c>
      <c r="Q2192" s="26">
        <v>2</v>
      </c>
      <c r="R2192" s="26">
        <v>1</v>
      </c>
      <c r="S2192" s="26">
        <v>1</v>
      </c>
      <c r="T2192" s="26">
        <v>4</v>
      </c>
      <c r="U2192" s="26">
        <v>6</v>
      </c>
      <c r="V2192" s="26">
        <v>1</v>
      </c>
      <c r="W2192" s="26"/>
    </row>
    <row r="2193" spans="1:23" x14ac:dyDescent="0.25">
      <c r="A2193" s="26" t="str">
        <f t="shared" si="409"/>
        <v>PREESCOLAR</v>
      </c>
      <c r="B2193" s="26" t="str">
        <f>"09PJN4403X"</f>
        <v>09PJN4403X</v>
      </c>
      <c r="C2193" s="26" t="str">
        <f>"JARDIN DE NIÑOS FRANCISCO LARROYO                                                                   "</f>
        <v xml:space="preserve">JARDIN DE NIÑOS FRANCISCO LARROYO                                                                   </v>
      </c>
      <c r="D2193" s="26" t="str">
        <f t="shared" si="411"/>
        <v>MATUTINO</v>
      </c>
      <c r="E2193" s="26" t="str">
        <f>"AV. TLAHUAC NO. 7367                                                            "</f>
        <v xml:space="preserve">AV. TLAHUAC NO. 7367                                                            </v>
      </c>
      <c r="F2193" s="26" t="str">
        <f>"SANTA CECILIA                                                                                                                               "</f>
        <v xml:space="preserve">SANTA CECILIA                                                                                                                               </v>
      </c>
      <c r="G2193" s="26" t="str">
        <f>"TLAHUAC                                                                         "</f>
        <v xml:space="preserve">TLAHUAC                                                                         </v>
      </c>
      <c r="H2193" s="26" t="str">
        <f>"083"</f>
        <v>083</v>
      </c>
      <c r="I2193" s="26" t="str">
        <f t="shared" si="410"/>
        <v>00</v>
      </c>
      <c r="J2193" s="26" t="str">
        <f>"35 "</f>
        <v xml:space="preserve">35 </v>
      </c>
      <c r="K2193" s="26" t="str">
        <f t="shared" ref="K2193:K2198" si="412">"EP"</f>
        <v>EP</v>
      </c>
      <c r="L2193" s="26" t="str">
        <f t="shared" ref="L2193:L2198" si="413">"DGOSE"</f>
        <v>DGOSE</v>
      </c>
      <c r="M2193" s="26" t="str">
        <f t="shared" si="408"/>
        <v>PARTICULAR</v>
      </c>
      <c r="N2193" s="26">
        <v>58</v>
      </c>
      <c r="O2193" s="26">
        <v>30</v>
      </c>
      <c r="P2193" s="26">
        <v>28</v>
      </c>
      <c r="Q2193" s="26">
        <v>3</v>
      </c>
      <c r="R2193" s="26">
        <v>1</v>
      </c>
      <c r="S2193" s="26">
        <v>3</v>
      </c>
      <c r="T2193" s="26">
        <v>5</v>
      </c>
      <c r="U2193" s="26">
        <v>9</v>
      </c>
      <c r="V2193" s="26">
        <v>1</v>
      </c>
      <c r="W2193" s="26"/>
    </row>
    <row r="2194" spans="1:23" x14ac:dyDescent="0.25">
      <c r="A2194" s="26" t="str">
        <f t="shared" si="409"/>
        <v>PREESCOLAR</v>
      </c>
      <c r="B2194" s="26" t="str">
        <f>"09PJN4404W"</f>
        <v>09PJN4404W</v>
      </c>
      <c r="C2194" s="26" t="str">
        <f>"JARDIN DE NIÑOS KID´S CLUB                                                                          "</f>
        <v xml:space="preserve">JARDIN DE NIÑOS KID´S CLUB                                                                          </v>
      </c>
      <c r="D2194" s="26" t="str">
        <f t="shared" si="411"/>
        <v>MATUTINO</v>
      </c>
      <c r="E2194" s="26" t="str">
        <f>"CALLE 12 NO. 95                                                                 "</f>
        <v xml:space="preserve">CALLE 12 NO. 95                                                                 </v>
      </c>
      <c r="F2194" s="26" t="str">
        <f>"ESPARTACO                                                                                                                                   "</f>
        <v xml:space="preserve">ESPARTACO                                                                                                                                   </v>
      </c>
      <c r="G2194" s="26" t="str">
        <f>"COYOACAN                                                                        "</f>
        <v xml:space="preserve">COYOACAN                                                                        </v>
      </c>
      <c r="H2194" s="26" t="str">
        <f>"239"</f>
        <v>239</v>
      </c>
      <c r="I2194" s="26" t="str">
        <f t="shared" si="410"/>
        <v>00</v>
      </c>
      <c r="J2194" s="26" t="str">
        <f>"35 "</f>
        <v xml:space="preserve">35 </v>
      </c>
      <c r="K2194" s="26" t="str">
        <f t="shared" si="412"/>
        <v>EP</v>
      </c>
      <c r="L2194" s="26" t="str">
        <f t="shared" si="413"/>
        <v>DGOSE</v>
      </c>
      <c r="M2194" s="26" t="str">
        <f t="shared" si="408"/>
        <v>PARTICULAR</v>
      </c>
      <c r="N2194" s="26">
        <v>8</v>
      </c>
      <c r="O2194" s="26">
        <v>6</v>
      </c>
      <c r="P2194" s="26">
        <v>2</v>
      </c>
      <c r="Q2194" s="26">
        <v>2</v>
      </c>
      <c r="R2194" s="26">
        <v>1</v>
      </c>
      <c r="S2194" s="26">
        <v>2</v>
      </c>
      <c r="T2194" s="26">
        <v>2</v>
      </c>
      <c r="U2194" s="26">
        <v>5</v>
      </c>
      <c r="V2194" s="26">
        <v>1</v>
      </c>
      <c r="W2194" s="26"/>
    </row>
    <row r="2195" spans="1:23" x14ac:dyDescent="0.25">
      <c r="A2195" s="26" t="str">
        <f t="shared" si="409"/>
        <v>PREESCOLAR</v>
      </c>
      <c r="B2195" s="26" t="str">
        <f>"09PJN4406U"</f>
        <v>09PJN4406U</v>
      </c>
      <c r="C2195" s="26" t="str">
        <f>"KINDER LOS CEDROS                                                                                   "</f>
        <v xml:space="preserve">KINDER LOS CEDROS                                                                                   </v>
      </c>
      <c r="D2195" s="26" t="str">
        <f t="shared" si="411"/>
        <v>MATUTINO</v>
      </c>
      <c r="E2195" s="26" t="str">
        <f>"PUERTO CADIZ NO. 91                                                             "</f>
        <v xml:space="preserve">PUERTO CADIZ NO. 91                                                             </v>
      </c>
      <c r="F2195" s="26" t="str">
        <f>"HEROES DE CHAPULTEPEC                                                                                                                       "</f>
        <v xml:space="preserve">HEROES DE CHAPULTEPEC                                                                                                                       </v>
      </c>
      <c r="G2195" s="26" t="str">
        <f>"GUSTAVO A. MADERO                                                               "</f>
        <v xml:space="preserve">GUSTAVO A. MADERO                                                               </v>
      </c>
      <c r="H2195" s="26" t="str">
        <f>"180"</f>
        <v>180</v>
      </c>
      <c r="I2195" s="26" t="str">
        <f t="shared" si="410"/>
        <v>00</v>
      </c>
      <c r="J2195" s="26" t="str">
        <f>"32 "</f>
        <v xml:space="preserve">32 </v>
      </c>
      <c r="K2195" s="26" t="str">
        <f t="shared" si="412"/>
        <v>EP</v>
      </c>
      <c r="L2195" s="26" t="str">
        <f t="shared" si="413"/>
        <v>DGOSE</v>
      </c>
      <c r="M2195" s="26" t="str">
        <f t="shared" si="408"/>
        <v>PARTICULAR</v>
      </c>
      <c r="N2195" s="26">
        <v>31</v>
      </c>
      <c r="O2195" s="26">
        <v>15</v>
      </c>
      <c r="P2195" s="26">
        <v>16</v>
      </c>
      <c r="Q2195" s="26">
        <v>3</v>
      </c>
      <c r="R2195" s="26">
        <v>1</v>
      </c>
      <c r="S2195" s="26">
        <v>2</v>
      </c>
      <c r="T2195" s="26">
        <v>3</v>
      </c>
      <c r="U2195" s="26">
        <v>6</v>
      </c>
      <c r="V2195" s="26">
        <v>1</v>
      </c>
      <c r="W2195" s="26"/>
    </row>
    <row r="2196" spans="1:23" x14ac:dyDescent="0.25">
      <c r="A2196" s="26" t="str">
        <f t="shared" si="409"/>
        <v>PREESCOLAR</v>
      </c>
      <c r="B2196" s="26" t="str">
        <f>"09PJN4407T"</f>
        <v>09PJN4407T</v>
      </c>
      <c r="C2196" s="26" t="str">
        <f>"KINGSTON SCHOOL                                                                                     "</f>
        <v xml:space="preserve">KINGSTON SCHOOL                                                                                     </v>
      </c>
      <c r="D2196" s="26" t="str">
        <f t="shared" si="411"/>
        <v>MATUTINO</v>
      </c>
      <c r="E2196" s="26" t="str">
        <f>"DURANGO NO. 94                                                                  "</f>
        <v xml:space="preserve">DURANGO NO. 94                                                                  </v>
      </c>
      <c r="F2196" s="26" t="str">
        <f>"PROGRESO                                                                                                                                    "</f>
        <v xml:space="preserve">PROGRESO                                                                                                                                    </v>
      </c>
      <c r="G2196" s="26" t="str">
        <f>"ALVARO OBREGON                                                                  "</f>
        <v xml:space="preserve">ALVARO OBREGON                                                                  </v>
      </c>
      <c r="H2196" s="26" t="str">
        <f>"214"</f>
        <v>214</v>
      </c>
      <c r="I2196" s="26" t="str">
        <f t="shared" si="410"/>
        <v>00</v>
      </c>
      <c r="J2196" s="26" t="str">
        <f>"33 "</f>
        <v xml:space="preserve">33 </v>
      </c>
      <c r="K2196" s="26" t="str">
        <f t="shared" si="412"/>
        <v>EP</v>
      </c>
      <c r="L2196" s="26" t="str">
        <f t="shared" si="413"/>
        <v>DGOSE</v>
      </c>
      <c r="M2196" s="26" t="str">
        <f t="shared" si="408"/>
        <v>PARTICULAR</v>
      </c>
      <c r="N2196" s="26">
        <v>26</v>
      </c>
      <c r="O2196" s="26">
        <v>13</v>
      </c>
      <c r="P2196" s="26">
        <v>13</v>
      </c>
      <c r="Q2196" s="26">
        <v>3</v>
      </c>
      <c r="R2196" s="26">
        <v>1</v>
      </c>
      <c r="S2196" s="26">
        <v>2</v>
      </c>
      <c r="T2196" s="26">
        <v>2</v>
      </c>
      <c r="U2196" s="26">
        <v>5</v>
      </c>
      <c r="V2196" s="26">
        <v>1</v>
      </c>
      <c r="W2196" s="26"/>
    </row>
    <row r="2197" spans="1:23" x14ac:dyDescent="0.25">
      <c r="A2197" s="26" t="str">
        <f t="shared" si="409"/>
        <v>PREESCOLAR</v>
      </c>
      <c r="B2197" s="26" t="str">
        <f>"09PJN4408S"</f>
        <v>09PJN4408S</v>
      </c>
      <c r="C2197" s="26" t="str">
        <f>"CENTRO ESCOLAR EDUCA                                                                                "</f>
        <v xml:space="preserve">CENTRO ESCOLAR EDUCA                                                                                </v>
      </c>
      <c r="D2197" s="26" t="str">
        <f t="shared" si="411"/>
        <v>MATUTINO</v>
      </c>
      <c r="E2197" s="26" t="str">
        <f>"RIVER PLATE NO. 3                                                               "</f>
        <v xml:space="preserve">RIVER PLATE NO. 3                                                               </v>
      </c>
      <c r="F2197" s="26" t="str">
        <f>"EJIDOS DE HUIPULCO                                                                                                                          "</f>
        <v xml:space="preserve">EJIDOS DE HUIPULCO                                                                                                                          </v>
      </c>
      <c r="G2197" s="26" t="str">
        <f>"TLALPAN                                                                         "</f>
        <v xml:space="preserve">TLALPAN                                                                         </v>
      </c>
      <c r="H2197" s="26" t="str">
        <f>"276"</f>
        <v>276</v>
      </c>
      <c r="I2197" s="26" t="str">
        <f t="shared" si="410"/>
        <v>00</v>
      </c>
      <c r="J2197" s="26" t="str">
        <f>"35 "</f>
        <v xml:space="preserve">35 </v>
      </c>
      <c r="K2197" s="26" t="str">
        <f t="shared" si="412"/>
        <v>EP</v>
      </c>
      <c r="L2197" s="26" t="str">
        <f t="shared" si="413"/>
        <v>DGOSE</v>
      </c>
      <c r="M2197" s="26" t="str">
        <f t="shared" si="408"/>
        <v>PARTICULAR</v>
      </c>
      <c r="N2197" s="26">
        <v>5</v>
      </c>
      <c r="O2197" s="26">
        <v>1</v>
      </c>
      <c r="P2197" s="26">
        <v>4</v>
      </c>
      <c r="Q2197" s="26">
        <v>2</v>
      </c>
      <c r="R2197" s="26">
        <v>1</v>
      </c>
      <c r="S2197" s="26">
        <v>1</v>
      </c>
      <c r="T2197" s="26">
        <v>4</v>
      </c>
      <c r="U2197" s="26">
        <v>6</v>
      </c>
      <c r="V2197" s="26">
        <v>1</v>
      </c>
      <c r="W2197" s="26"/>
    </row>
    <row r="2198" spans="1:23" x14ac:dyDescent="0.25">
      <c r="A2198" s="26" t="str">
        <f t="shared" si="409"/>
        <v>PREESCOLAR</v>
      </c>
      <c r="B2198" s="26" t="str">
        <f>"09PJN4409R"</f>
        <v>09PJN4409R</v>
      </c>
      <c r="C2198" s="26" t="str">
        <f>"FRANCES JUANA DE ARCO                                                                               "</f>
        <v xml:space="preserve">FRANCES JUANA DE ARCO                                                                               </v>
      </c>
      <c r="D2198" s="26" t="str">
        <f t="shared" si="411"/>
        <v>MATUTINO</v>
      </c>
      <c r="E2198" s="26" t="str">
        <f>"MISTERIOS NO. 47                                                                "</f>
        <v xml:space="preserve">MISTERIOS NO. 47                                                                </v>
      </c>
      <c r="F2198" s="26" t="str">
        <f>"GUSTAVO A. MADERO                                                                                                                           "</f>
        <v xml:space="preserve">GUSTAVO A. MADERO                                                                                                                           </v>
      </c>
      <c r="G2198" s="26" t="str">
        <f>"GUSTAVO A. MADERO                                                               "</f>
        <v xml:space="preserve">GUSTAVO A. MADERO                                                               </v>
      </c>
      <c r="H2198" s="26" t="str">
        <f>"006"</f>
        <v>006</v>
      </c>
      <c r="I2198" s="26" t="str">
        <f t="shared" si="410"/>
        <v>00</v>
      </c>
      <c r="J2198" s="26" t="str">
        <f>"32 "</f>
        <v xml:space="preserve">32 </v>
      </c>
      <c r="K2198" s="26" t="str">
        <f t="shared" si="412"/>
        <v>EP</v>
      </c>
      <c r="L2198" s="26" t="str">
        <f t="shared" si="413"/>
        <v>DGOSE</v>
      </c>
      <c r="M2198" s="26" t="str">
        <f t="shared" si="408"/>
        <v>PARTICULAR</v>
      </c>
      <c r="N2198" s="26">
        <v>43</v>
      </c>
      <c r="O2198" s="26">
        <v>17</v>
      </c>
      <c r="P2198" s="26">
        <v>26</v>
      </c>
      <c r="Q2198" s="26">
        <v>3</v>
      </c>
      <c r="R2198" s="26">
        <v>1</v>
      </c>
      <c r="S2198" s="26">
        <v>3</v>
      </c>
      <c r="T2198" s="26">
        <v>5</v>
      </c>
      <c r="U2198" s="26">
        <v>9</v>
      </c>
      <c r="V2198" s="26">
        <v>1</v>
      </c>
      <c r="W2198" s="26"/>
    </row>
    <row r="2199" spans="1:23" x14ac:dyDescent="0.25">
      <c r="A2199" s="26" t="str">
        <f t="shared" si="409"/>
        <v>PREESCOLAR</v>
      </c>
      <c r="B2199" s="26" t="str">
        <f>"09PJN4413D"</f>
        <v>09PJN4413D</v>
      </c>
      <c r="C2199" s="26" t="str">
        <f>"ERNESTO RUTHERFORD                                                                                  "</f>
        <v xml:space="preserve">ERNESTO RUTHERFORD                                                                                  </v>
      </c>
      <c r="D2199" s="26" t="str">
        <f t="shared" si="411"/>
        <v>MATUTINO</v>
      </c>
      <c r="E2199" s="26" t="str">
        <f>"JUSTINA NO. 89                                                                  "</f>
        <v xml:space="preserve">JUSTINA NO. 89                                                                  </v>
      </c>
      <c r="F2199" s="26" t="str">
        <f>"SAN LORENZO XICOTENCATL                                                                                                                     "</f>
        <v xml:space="preserve">SAN LORENZO XICOTENCATL                                                                                                                     </v>
      </c>
      <c r="G2199" s="26" t="str">
        <f>"IZTAPALAPA                                                                      "</f>
        <v xml:space="preserve">IZTAPALAPA                                                                      </v>
      </c>
      <c r="H2199" s="26" t="str">
        <f>"000"</f>
        <v>000</v>
      </c>
      <c r="I2199" s="26" t="str">
        <f t="shared" si="410"/>
        <v>00</v>
      </c>
      <c r="J2199" s="26" t="str">
        <f>"62 "</f>
        <v xml:space="preserve">62 </v>
      </c>
      <c r="K2199" s="26" t="str">
        <f>"IZ"</f>
        <v>IZ</v>
      </c>
      <c r="L2199" s="26" t="str">
        <f>"DGSEI"</f>
        <v>DGSEI</v>
      </c>
      <c r="M2199" s="26" t="str">
        <f t="shared" si="408"/>
        <v>PARTICULAR</v>
      </c>
      <c r="N2199" s="26">
        <v>36</v>
      </c>
      <c r="O2199" s="26">
        <v>15</v>
      </c>
      <c r="P2199" s="26">
        <v>21</v>
      </c>
      <c r="Q2199" s="26">
        <v>3</v>
      </c>
      <c r="R2199" s="26">
        <v>1</v>
      </c>
      <c r="S2199" s="26">
        <v>2</v>
      </c>
      <c r="T2199" s="26">
        <v>6</v>
      </c>
      <c r="U2199" s="26">
        <v>9</v>
      </c>
      <c r="V2199" s="26">
        <v>1</v>
      </c>
      <c r="W2199" s="26"/>
    </row>
    <row r="2200" spans="1:23" x14ac:dyDescent="0.25">
      <c r="A2200" s="26" t="str">
        <f t="shared" si="409"/>
        <v>PREESCOLAR</v>
      </c>
      <c r="B2200" s="26" t="str">
        <f>"09PJN4416A"</f>
        <v>09PJN4416A</v>
      </c>
      <c r="C2200" s="26" t="str">
        <f>"COLEGIO MARIA LAVALLE URBINA                                                                        "</f>
        <v xml:space="preserve">COLEGIO MARIA LAVALLE URBINA                                                                        </v>
      </c>
      <c r="D2200" s="26" t="str">
        <f t="shared" si="411"/>
        <v>MATUTINO</v>
      </c>
      <c r="E2200" s="26" t="str">
        <f>"URSULO GALVAN NO. 90                                                            "</f>
        <v xml:space="preserve">URSULO GALVAN NO. 90                                                            </v>
      </c>
      <c r="F2200" s="26" t="str">
        <f>"SANTA CRUZ MEYEHUALCO                                                                                                                       "</f>
        <v xml:space="preserve">SANTA CRUZ MEYEHUALCO                                                                                                                       </v>
      </c>
      <c r="G2200" s="26" t="str">
        <f>"IZTAPALAPA                                                                      "</f>
        <v xml:space="preserve">IZTAPALAPA                                                                      </v>
      </c>
      <c r="H2200" s="26" t="str">
        <f>"000"</f>
        <v>000</v>
      </c>
      <c r="I2200" s="26" t="str">
        <f t="shared" si="410"/>
        <v>00</v>
      </c>
      <c r="J2200" s="26" t="str">
        <f>"63 "</f>
        <v xml:space="preserve">63 </v>
      </c>
      <c r="K2200" s="26" t="str">
        <f>"IZ"</f>
        <v>IZ</v>
      </c>
      <c r="L2200" s="26" t="str">
        <f>"DGSEI"</f>
        <v>DGSEI</v>
      </c>
      <c r="M2200" s="26" t="str">
        <f t="shared" si="408"/>
        <v>PARTICULAR</v>
      </c>
      <c r="N2200" s="26">
        <v>65</v>
      </c>
      <c r="O2200" s="26">
        <v>36</v>
      </c>
      <c r="P2200" s="26">
        <v>29</v>
      </c>
      <c r="Q2200" s="26">
        <v>3</v>
      </c>
      <c r="R2200" s="26">
        <v>1</v>
      </c>
      <c r="S2200" s="26">
        <v>2</v>
      </c>
      <c r="T2200" s="26">
        <v>14</v>
      </c>
      <c r="U2200" s="26">
        <v>17</v>
      </c>
      <c r="V2200" s="26">
        <v>1</v>
      </c>
      <c r="W2200" s="26"/>
    </row>
    <row r="2201" spans="1:23" x14ac:dyDescent="0.25">
      <c r="A2201" s="26" t="str">
        <f t="shared" si="409"/>
        <v>PREESCOLAR</v>
      </c>
      <c r="B2201" s="26" t="str">
        <f>"09PJN4417Z"</f>
        <v>09PJN4417Z</v>
      </c>
      <c r="C2201" s="26" t="str">
        <f>"COLEGIO INGLES HELEN KELLER                                                                         "</f>
        <v xml:space="preserve">COLEGIO INGLES HELEN KELLER                                                                         </v>
      </c>
      <c r="D2201" s="26" t="str">
        <f t="shared" si="411"/>
        <v>MATUTINO</v>
      </c>
      <c r="E2201" s="26" t="str">
        <f>"ALICIA NO. 74                                                                   "</f>
        <v xml:space="preserve">ALICIA NO. 74                                                                   </v>
      </c>
      <c r="F2201" s="26" t="str">
        <f>"GUADALUPE TEPEYAC                                                                                                                           "</f>
        <v xml:space="preserve">GUADALUPE TEPEYAC                                                                                                                           </v>
      </c>
      <c r="G2201" s="26" t="str">
        <f>"GUSTAVO A. MADERO                                                               "</f>
        <v xml:space="preserve">GUSTAVO A. MADERO                                                               </v>
      </c>
      <c r="H2201" s="26" t="str">
        <f>"197"</f>
        <v>197</v>
      </c>
      <c r="I2201" s="26" t="str">
        <f t="shared" si="410"/>
        <v>00</v>
      </c>
      <c r="J2201" s="26" t="str">
        <f>"32 "</f>
        <v xml:space="preserve">32 </v>
      </c>
      <c r="K2201" s="26" t="str">
        <f>"EP"</f>
        <v>EP</v>
      </c>
      <c r="L2201" s="26" t="str">
        <f>"DGOSE"</f>
        <v>DGOSE</v>
      </c>
      <c r="M2201" s="26" t="str">
        <f t="shared" si="408"/>
        <v>PARTICULAR</v>
      </c>
      <c r="N2201" s="26">
        <v>36</v>
      </c>
      <c r="O2201" s="26">
        <v>22</v>
      </c>
      <c r="P2201" s="26">
        <v>14</v>
      </c>
      <c r="Q2201" s="26">
        <v>3</v>
      </c>
      <c r="R2201" s="26">
        <v>1</v>
      </c>
      <c r="S2201" s="26">
        <v>2</v>
      </c>
      <c r="T2201" s="26">
        <v>3</v>
      </c>
      <c r="U2201" s="26">
        <v>6</v>
      </c>
      <c r="V2201" s="26">
        <v>1</v>
      </c>
      <c r="W2201" s="26"/>
    </row>
    <row r="2202" spans="1:23" x14ac:dyDescent="0.25">
      <c r="A2202" s="26" t="str">
        <f t="shared" si="409"/>
        <v>PREESCOLAR</v>
      </c>
      <c r="B2202" s="26" t="str">
        <f>"09PJN4418Z"</f>
        <v>09PJN4418Z</v>
      </c>
      <c r="C2202" s="26" t="str">
        <f>"A FAVOR DEL NIÑO                                                                                    "</f>
        <v xml:space="preserve">A FAVOR DEL NIÑO                                                                                    </v>
      </c>
      <c r="D2202" s="26" t="str">
        <f t="shared" si="411"/>
        <v>MATUTINO</v>
      </c>
      <c r="E2202" s="26" t="str">
        <f>"AV. SAN JERONIMO NO. 860                                                        "</f>
        <v xml:space="preserve">AV. SAN JERONIMO NO. 860                                                        </v>
      </c>
      <c r="F2202" s="26" t="str">
        <f>"SAN JERONIMO LIDICE                                                                                                                         "</f>
        <v xml:space="preserve">SAN JERONIMO LIDICE                                                                                                                         </v>
      </c>
      <c r="G2202" s="26" t="str">
        <f>"LA MAGDALENA CONTRERAS                                                          "</f>
        <v xml:space="preserve">LA MAGDALENA CONTRERAS                                                          </v>
      </c>
      <c r="H2202" s="26" t="str">
        <f>"280"</f>
        <v>280</v>
      </c>
      <c r="I2202" s="26" t="str">
        <f t="shared" si="410"/>
        <v>00</v>
      </c>
      <c r="J2202" s="26" t="str">
        <f>"35 "</f>
        <v xml:space="preserve">35 </v>
      </c>
      <c r="K2202" s="26" t="str">
        <f>"EP"</f>
        <v>EP</v>
      </c>
      <c r="L2202" s="26" t="str">
        <f>"DGOSE"</f>
        <v>DGOSE</v>
      </c>
      <c r="M2202" s="26" t="str">
        <f t="shared" si="408"/>
        <v>PARTICULAR</v>
      </c>
      <c r="N2202" s="26">
        <v>71</v>
      </c>
      <c r="O2202" s="26">
        <v>37</v>
      </c>
      <c r="P2202" s="26">
        <v>34</v>
      </c>
      <c r="Q2202" s="26">
        <v>3</v>
      </c>
      <c r="R2202" s="26">
        <v>1</v>
      </c>
      <c r="S2202" s="26">
        <v>3</v>
      </c>
      <c r="T2202" s="26">
        <v>3</v>
      </c>
      <c r="U2202" s="26">
        <v>7</v>
      </c>
      <c r="V2202" s="26">
        <v>1</v>
      </c>
      <c r="W2202" s="26"/>
    </row>
    <row r="2203" spans="1:23" x14ac:dyDescent="0.25">
      <c r="A2203" s="26" t="str">
        <f t="shared" si="409"/>
        <v>PREESCOLAR</v>
      </c>
      <c r="B2203" s="26" t="str">
        <f>"09PJN4419Y"</f>
        <v>09PJN4419Y</v>
      </c>
      <c r="C2203" s="26" t="str">
        <f>"CENTRO ESCOLAR CEDROS                                                                               "</f>
        <v xml:space="preserve">CENTRO ESCOLAR CEDROS                                                                               </v>
      </c>
      <c r="D2203" s="26" t="str">
        <f t="shared" si="411"/>
        <v>MATUTINO</v>
      </c>
      <c r="E2203" s="26" t="str">
        <f>"TECOYOTITLA NO. 364                                                             "</f>
        <v xml:space="preserve">TECOYOTITLA NO. 364                                                             </v>
      </c>
      <c r="F2203" s="26" t="str">
        <f>"CHIMALISTAC                                                                                                                                 "</f>
        <v xml:space="preserve">CHIMALISTAC                                                                                                                                 </v>
      </c>
      <c r="G2203" s="26" t="str">
        <f>"ALVARO OBREGON                                                                  "</f>
        <v xml:space="preserve">ALVARO OBREGON                                                                  </v>
      </c>
      <c r="H2203" s="26" t="str">
        <f>"087"</f>
        <v>087</v>
      </c>
      <c r="I2203" s="26" t="str">
        <f t="shared" si="410"/>
        <v>00</v>
      </c>
      <c r="J2203" s="26" t="str">
        <f>"33 "</f>
        <v xml:space="preserve">33 </v>
      </c>
      <c r="K2203" s="26" t="str">
        <f>"EP"</f>
        <v>EP</v>
      </c>
      <c r="L2203" s="26" t="str">
        <f>"DGOSE"</f>
        <v>DGOSE</v>
      </c>
      <c r="M2203" s="26" t="str">
        <f t="shared" si="408"/>
        <v>PARTICULAR</v>
      </c>
      <c r="N2203" s="26">
        <v>54</v>
      </c>
      <c r="O2203" s="26">
        <v>54</v>
      </c>
      <c r="P2203" s="26">
        <v>0</v>
      </c>
      <c r="Q2203" s="26">
        <v>2</v>
      </c>
      <c r="R2203" s="26">
        <v>1</v>
      </c>
      <c r="S2203" s="26">
        <v>2</v>
      </c>
      <c r="T2203" s="26">
        <v>10</v>
      </c>
      <c r="U2203" s="26">
        <v>13</v>
      </c>
      <c r="V2203" s="26">
        <v>1</v>
      </c>
      <c r="W2203" s="26"/>
    </row>
    <row r="2204" spans="1:23" x14ac:dyDescent="0.25">
      <c r="A2204" s="26" t="str">
        <f t="shared" si="409"/>
        <v>PREESCOLAR</v>
      </c>
      <c r="B2204" s="26" t="str">
        <f>"09PJN4420N"</f>
        <v>09PJN4420N</v>
      </c>
      <c r="C2204" s="26" t="str">
        <f>"ESHDEI ESCUELA HUMANISTA DE EDUCACIÓN INTEGRAL                                                      "</f>
        <v xml:space="preserve">ESHDEI ESCUELA HUMANISTA DE EDUCACIÓN INTEGRAL                                                      </v>
      </c>
      <c r="D2204" s="26" t="str">
        <f t="shared" si="411"/>
        <v>MATUTINO</v>
      </c>
      <c r="E2204" s="26" t="str">
        <f>"EMILIANO ZAPATA NO. 63                                                          "</f>
        <v xml:space="preserve">EMILIANO ZAPATA NO. 63                                                          </v>
      </c>
      <c r="F2204" s="26" t="str">
        <f>"SAN JERONIMO ACULCO                                                                                                                         "</f>
        <v xml:space="preserve">SAN JERONIMO ACULCO                                                                                                                         </v>
      </c>
      <c r="G2204" s="26" t="str">
        <f>"LA MAGDALENA CONTRERAS                                                          "</f>
        <v xml:space="preserve">LA MAGDALENA CONTRERAS                                                          </v>
      </c>
      <c r="H2204" s="26" t="str">
        <f>"113"</f>
        <v>113</v>
      </c>
      <c r="I2204" s="26" t="str">
        <f t="shared" si="410"/>
        <v>00</v>
      </c>
      <c r="J2204" s="26" t="str">
        <f>"35 "</f>
        <v xml:space="preserve">35 </v>
      </c>
      <c r="K2204" s="26" t="str">
        <f>"EP"</f>
        <v>EP</v>
      </c>
      <c r="L2204" s="26" t="str">
        <f>"DGOSE"</f>
        <v>DGOSE</v>
      </c>
      <c r="M2204" s="26" t="str">
        <f t="shared" si="408"/>
        <v>PARTICULAR</v>
      </c>
      <c r="N2204" s="26">
        <v>13</v>
      </c>
      <c r="O2204" s="26">
        <v>3</v>
      </c>
      <c r="P2204" s="26">
        <v>10</v>
      </c>
      <c r="Q2204" s="26">
        <v>3</v>
      </c>
      <c r="R2204" s="26">
        <v>1</v>
      </c>
      <c r="S2204" s="26">
        <v>2</v>
      </c>
      <c r="T2204" s="26">
        <v>5</v>
      </c>
      <c r="U2204" s="26">
        <v>8</v>
      </c>
      <c r="V2204" s="26">
        <v>1</v>
      </c>
      <c r="W2204" s="26"/>
    </row>
    <row r="2205" spans="1:23" x14ac:dyDescent="0.25">
      <c r="A2205" s="26" t="str">
        <f t="shared" si="409"/>
        <v>PREESCOLAR</v>
      </c>
      <c r="B2205" s="26" t="str">
        <f>"09PJN4423K"</f>
        <v>09PJN4423K</v>
      </c>
      <c r="C2205" s="26" t="str">
        <f>"ALEXANDER ROMANOVICH LURIA                                                                          "</f>
        <v xml:space="preserve">ALEXANDER ROMANOVICH LURIA                                                                          </v>
      </c>
      <c r="D2205" s="26" t="str">
        <f t="shared" si="411"/>
        <v>MATUTINO</v>
      </c>
      <c r="E2205" s="26" t="str">
        <f>"VALLARTA MZ. 8 LT. 18                                                           "</f>
        <v xml:space="preserve">VALLARTA MZ. 8 LT. 18                                                           </v>
      </c>
      <c r="F2205" s="26" t="str">
        <f>"CARLOS HANK GONZALEZ                                                                                                                        "</f>
        <v xml:space="preserve">CARLOS HANK GONZALEZ                                                                                                                        </v>
      </c>
      <c r="G2205" s="26" t="str">
        <f t="shared" ref="G2205:G2217" si="414">"IZTAPALAPA                                                                      "</f>
        <v xml:space="preserve">IZTAPALAPA                                                                      </v>
      </c>
      <c r="H2205" s="26" t="str">
        <f t="shared" ref="H2205:H2217" si="415">"000"</f>
        <v>000</v>
      </c>
      <c r="I2205" s="26" t="str">
        <f t="shared" si="410"/>
        <v>00</v>
      </c>
      <c r="J2205" s="26" t="str">
        <f>"63 "</f>
        <v xml:space="preserve">63 </v>
      </c>
      <c r="K2205" s="26" t="str">
        <f t="shared" ref="K2205:K2217" si="416">"IZ"</f>
        <v>IZ</v>
      </c>
      <c r="L2205" s="26" t="str">
        <f t="shared" ref="L2205:L2217" si="417">"DGSEI"</f>
        <v>DGSEI</v>
      </c>
      <c r="M2205" s="26" t="str">
        <f t="shared" si="408"/>
        <v>PARTICULAR</v>
      </c>
      <c r="N2205" s="26">
        <v>15</v>
      </c>
      <c r="O2205" s="26">
        <v>9</v>
      </c>
      <c r="P2205" s="26">
        <v>6</v>
      </c>
      <c r="Q2205" s="26">
        <v>2</v>
      </c>
      <c r="R2205" s="26">
        <v>1</v>
      </c>
      <c r="S2205" s="26">
        <v>2</v>
      </c>
      <c r="T2205" s="26">
        <v>2</v>
      </c>
      <c r="U2205" s="26">
        <v>5</v>
      </c>
      <c r="V2205" s="26">
        <v>1</v>
      </c>
      <c r="W2205" s="26"/>
    </row>
    <row r="2206" spans="1:23" x14ac:dyDescent="0.25">
      <c r="A2206" s="26" t="str">
        <f t="shared" si="409"/>
        <v>PREESCOLAR</v>
      </c>
      <c r="B2206" s="26" t="str">
        <f>"09PJN4424J"</f>
        <v>09PJN4424J</v>
      </c>
      <c r="C2206" s="26" t="str">
        <f>"PASTORCITO DE OAXACA                                                                                "</f>
        <v xml:space="preserve">PASTORCITO DE OAXACA                                                                                </v>
      </c>
      <c r="D2206" s="26" t="str">
        <f t="shared" si="411"/>
        <v>MATUTINO</v>
      </c>
      <c r="E2206" s="26" t="str">
        <f>"SOTO Y GAMA MZ. 4 LT. 3                                                         "</f>
        <v xml:space="preserve">SOTO Y GAMA MZ. 4 LT. 3                                                         </v>
      </c>
      <c r="F2206" s="26" t="str">
        <f>"SANTA MARIA AZTAHUACAN                                                                                                                      "</f>
        <v xml:space="preserve">SANTA MARIA AZTAHUACAN                                                                                                                      </v>
      </c>
      <c r="G2206" s="26" t="str">
        <f t="shared" si="414"/>
        <v xml:space="preserve">IZTAPALAPA                                                                      </v>
      </c>
      <c r="H2206" s="26" t="str">
        <f t="shared" si="415"/>
        <v>000</v>
      </c>
      <c r="I2206" s="26" t="str">
        <f t="shared" si="410"/>
        <v>00</v>
      </c>
      <c r="J2206" s="26" t="str">
        <f>"64 "</f>
        <v xml:space="preserve">64 </v>
      </c>
      <c r="K2206" s="26" t="str">
        <f t="shared" si="416"/>
        <v>IZ</v>
      </c>
      <c r="L2206" s="26" t="str">
        <f t="shared" si="417"/>
        <v>DGSEI</v>
      </c>
      <c r="M2206" s="26" t="str">
        <f t="shared" si="408"/>
        <v>PARTICULAR</v>
      </c>
      <c r="N2206" s="26">
        <v>29</v>
      </c>
      <c r="O2206" s="26">
        <v>15</v>
      </c>
      <c r="P2206" s="26">
        <v>14</v>
      </c>
      <c r="Q2206" s="26">
        <v>3</v>
      </c>
      <c r="R2206" s="26">
        <v>1</v>
      </c>
      <c r="S2206" s="26">
        <v>2</v>
      </c>
      <c r="T2206" s="26">
        <v>4</v>
      </c>
      <c r="U2206" s="26">
        <v>7</v>
      </c>
      <c r="V2206" s="26">
        <v>1</v>
      </c>
      <c r="W2206" s="26"/>
    </row>
    <row r="2207" spans="1:23" x14ac:dyDescent="0.25">
      <c r="A2207" s="26" t="str">
        <f t="shared" si="409"/>
        <v>PREESCOLAR</v>
      </c>
      <c r="B2207" s="26" t="str">
        <f>"09PJN4425I"</f>
        <v>09PJN4425I</v>
      </c>
      <c r="C2207" s="26" t="str">
        <f>"COLEGIO LIBERTAD                                                                                    "</f>
        <v xml:space="preserve">COLEGIO LIBERTAD                                                                                    </v>
      </c>
      <c r="D2207" s="26" t="str">
        <f t="shared" si="411"/>
        <v>MATUTINO</v>
      </c>
      <c r="E2207" s="26" t="str">
        <f>"PALMAS NO. 13                                                                   "</f>
        <v xml:space="preserve">PALMAS NO. 13                                                                   </v>
      </c>
      <c r="F2207" s="26" t="str">
        <f>"SANTA MARIA AZTAHUACAN                                                                                                                      "</f>
        <v xml:space="preserve">SANTA MARIA AZTAHUACAN                                                                                                                      </v>
      </c>
      <c r="G2207" s="26" t="str">
        <f t="shared" si="414"/>
        <v xml:space="preserve">IZTAPALAPA                                                                      </v>
      </c>
      <c r="H2207" s="26" t="str">
        <f t="shared" si="415"/>
        <v>000</v>
      </c>
      <c r="I2207" s="26" t="str">
        <f t="shared" si="410"/>
        <v>00</v>
      </c>
      <c r="J2207" s="26" t="str">
        <f>"64 "</f>
        <v xml:space="preserve">64 </v>
      </c>
      <c r="K2207" s="26" t="str">
        <f t="shared" si="416"/>
        <v>IZ</v>
      </c>
      <c r="L2207" s="26" t="str">
        <f t="shared" si="417"/>
        <v>DGSEI</v>
      </c>
      <c r="M2207" s="26" t="str">
        <f t="shared" si="408"/>
        <v>PARTICULAR</v>
      </c>
      <c r="N2207" s="26">
        <v>106</v>
      </c>
      <c r="O2207" s="26">
        <v>53</v>
      </c>
      <c r="P2207" s="26">
        <v>53</v>
      </c>
      <c r="Q2207" s="26">
        <v>5</v>
      </c>
      <c r="R2207" s="26">
        <v>1</v>
      </c>
      <c r="S2207" s="26">
        <v>3</v>
      </c>
      <c r="T2207" s="26">
        <v>10</v>
      </c>
      <c r="U2207" s="26">
        <v>14</v>
      </c>
      <c r="V2207" s="26">
        <v>1</v>
      </c>
      <c r="W2207" s="26"/>
    </row>
    <row r="2208" spans="1:23" x14ac:dyDescent="0.25">
      <c r="A2208" s="26" t="str">
        <f t="shared" si="409"/>
        <v>PREESCOLAR</v>
      </c>
      <c r="B2208" s="26" t="str">
        <f>"09PJN4426H"</f>
        <v>09PJN4426H</v>
      </c>
      <c r="C2208" s="26" t="str">
        <f>"COLEGIO PEDAGOGIA FREIREANA                                                                         "</f>
        <v xml:space="preserve">COLEGIO PEDAGOGIA FREIREANA                                                                         </v>
      </c>
      <c r="D2208" s="26" t="str">
        <f t="shared" si="411"/>
        <v>MATUTINO</v>
      </c>
      <c r="E2208" s="26" t="str">
        <f>"HERMINIO  CHAVARRIA NO. 108                                                     "</f>
        <v xml:space="preserve">HERMINIO  CHAVARRIA NO. 108                                                     </v>
      </c>
      <c r="F2208" s="26" t="str">
        <f>"SANTA MARIA AZTAHUACAN                                                                                                                      "</f>
        <v xml:space="preserve">SANTA MARIA AZTAHUACAN                                                                                                                      </v>
      </c>
      <c r="G2208" s="26" t="str">
        <f t="shared" si="414"/>
        <v xml:space="preserve">IZTAPALAPA                                                                      </v>
      </c>
      <c r="H2208" s="26" t="str">
        <f t="shared" si="415"/>
        <v>000</v>
      </c>
      <c r="I2208" s="26" t="str">
        <f t="shared" si="410"/>
        <v>00</v>
      </c>
      <c r="J2208" s="26" t="str">
        <f>"64 "</f>
        <v xml:space="preserve">64 </v>
      </c>
      <c r="K2208" s="26" t="str">
        <f t="shared" si="416"/>
        <v>IZ</v>
      </c>
      <c r="L2208" s="26" t="str">
        <f t="shared" si="417"/>
        <v>DGSEI</v>
      </c>
      <c r="M2208" s="26" t="str">
        <f t="shared" si="408"/>
        <v>PARTICULAR</v>
      </c>
      <c r="N2208" s="26">
        <v>52</v>
      </c>
      <c r="O2208" s="26">
        <v>27</v>
      </c>
      <c r="P2208" s="26">
        <v>25</v>
      </c>
      <c r="Q2208" s="26">
        <v>3</v>
      </c>
      <c r="R2208" s="26">
        <v>1</v>
      </c>
      <c r="S2208" s="26">
        <v>3</v>
      </c>
      <c r="T2208" s="26">
        <v>7</v>
      </c>
      <c r="U2208" s="26">
        <v>11</v>
      </c>
      <c r="V2208" s="26">
        <v>1</v>
      </c>
      <c r="W2208" s="26"/>
    </row>
    <row r="2209" spans="1:23" x14ac:dyDescent="0.25">
      <c r="A2209" s="26" t="str">
        <f t="shared" si="409"/>
        <v>PREESCOLAR</v>
      </c>
      <c r="B2209" s="26" t="str">
        <f>"09PJN4428F"</f>
        <v>09PJN4428F</v>
      </c>
      <c r="C2209" s="26" t="str">
        <f>"COLEGIO SUEÑO DE ALICIA                                                                             "</f>
        <v xml:space="preserve">COLEGIO SUEÑO DE ALICIA                                                                             </v>
      </c>
      <c r="D2209" s="26" t="str">
        <f t="shared" si="411"/>
        <v>MATUTINO</v>
      </c>
      <c r="E2209" s="26" t="str">
        <f>"PIPILA MZ. 4 LT. 45                                                             "</f>
        <v xml:space="preserve">PIPILA MZ. 4 LT. 45                                                             </v>
      </c>
      <c r="F2209" s="26" t="str">
        <f>"GUADALUPE DEL MORAL                                                                                                                         "</f>
        <v xml:space="preserve">GUADALUPE DEL MORAL                                                                                                                         </v>
      </c>
      <c r="G2209" s="26" t="str">
        <f t="shared" si="414"/>
        <v xml:space="preserve">IZTAPALAPA                                                                      </v>
      </c>
      <c r="H2209" s="26" t="str">
        <f t="shared" si="415"/>
        <v>000</v>
      </c>
      <c r="I2209" s="26" t="str">
        <f t="shared" si="410"/>
        <v>00</v>
      </c>
      <c r="J2209" s="26" t="str">
        <f>"61 "</f>
        <v xml:space="preserve">61 </v>
      </c>
      <c r="K2209" s="26" t="str">
        <f t="shared" si="416"/>
        <v>IZ</v>
      </c>
      <c r="L2209" s="26" t="str">
        <f t="shared" si="417"/>
        <v>DGSEI</v>
      </c>
      <c r="M2209" s="26" t="str">
        <f t="shared" si="408"/>
        <v>PARTICULAR</v>
      </c>
      <c r="N2209" s="26">
        <v>15</v>
      </c>
      <c r="O2209" s="26">
        <v>10</v>
      </c>
      <c r="P2209" s="26">
        <v>5</v>
      </c>
      <c r="Q2209" s="26">
        <v>3</v>
      </c>
      <c r="R2209" s="26">
        <v>1</v>
      </c>
      <c r="S2209" s="26">
        <v>1</v>
      </c>
      <c r="T2209" s="26">
        <v>3</v>
      </c>
      <c r="U2209" s="26">
        <v>5</v>
      </c>
      <c r="V2209" s="26">
        <v>1</v>
      </c>
      <c r="W2209" s="26"/>
    </row>
    <row r="2210" spans="1:23" x14ac:dyDescent="0.25">
      <c r="A2210" s="26" t="str">
        <f t="shared" si="409"/>
        <v>PREESCOLAR</v>
      </c>
      <c r="B2210" s="26" t="str">
        <f>"09PJN4429E"</f>
        <v>09PJN4429E</v>
      </c>
      <c r="C2210" s="26" t="str">
        <f>"JOSEFA ORTIZ DE DOMINGUEZ                                                                           "</f>
        <v xml:space="preserve">JOSEFA ORTIZ DE DOMINGUEZ                                                                           </v>
      </c>
      <c r="D2210" s="26" t="str">
        <f t="shared" si="411"/>
        <v>MATUTINO</v>
      </c>
      <c r="E2210" s="26" t="str">
        <f>"JOSEFA ORTIZ DE DOMINGUEZ MZ. 84 LT. 4                                          "</f>
        <v xml:space="preserve">JOSEFA ORTIZ DE DOMINGUEZ MZ. 84 LT. 4                                          </v>
      </c>
      <c r="F2210" s="26" t="str">
        <f>"SANTA MARIA AZTAHUACAN                                                                                                                      "</f>
        <v xml:space="preserve">SANTA MARIA AZTAHUACAN                                                                                                                      </v>
      </c>
      <c r="G2210" s="26" t="str">
        <f t="shared" si="414"/>
        <v xml:space="preserve">IZTAPALAPA                                                                      </v>
      </c>
      <c r="H2210" s="26" t="str">
        <f t="shared" si="415"/>
        <v>000</v>
      </c>
      <c r="I2210" s="26" t="str">
        <f t="shared" si="410"/>
        <v>00</v>
      </c>
      <c r="J2210" s="26" t="str">
        <f>"64 "</f>
        <v xml:space="preserve">64 </v>
      </c>
      <c r="K2210" s="26" t="str">
        <f t="shared" si="416"/>
        <v>IZ</v>
      </c>
      <c r="L2210" s="26" t="str">
        <f t="shared" si="417"/>
        <v>DGSEI</v>
      </c>
      <c r="M2210" s="26" t="str">
        <f t="shared" si="408"/>
        <v>PARTICULAR</v>
      </c>
      <c r="N2210" s="26">
        <v>30</v>
      </c>
      <c r="O2210" s="26">
        <v>12</v>
      </c>
      <c r="P2210" s="26">
        <v>18</v>
      </c>
      <c r="Q2210" s="26">
        <v>3</v>
      </c>
      <c r="R2210" s="26">
        <v>0</v>
      </c>
      <c r="S2210" s="26">
        <v>1</v>
      </c>
      <c r="T2210" s="26">
        <v>1</v>
      </c>
      <c r="U2210" s="26">
        <v>2</v>
      </c>
      <c r="V2210" s="26">
        <v>1</v>
      </c>
      <c r="W2210" s="26"/>
    </row>
    <row r="2211" spans="1:23" x14ac:dyDescent="0.25">
      <c r="A2211" s="26" t="str">
        <f t="shared" si="409"/>
        <v>PREESCOLAR</v>
      </c>
      <c r="B2211" s="26" t="str">
        <f>"09PJN4432S"</f>
        <v>09PJN4432S</v>
      </c>
      <c r="C2211" s="26" t="str">
        <f>"COLEGIO PEDAGOGICO LATINOAMERICANO                                                                  "</f>
        <v xml:space="preserve">COLEGIO PEDAGOGICO LATINOAMERICANO                                                                  </v>
      </c>
      <c r="D2211" s="26" t="str">
        <f t="shared" si="411"/>
        <v>MATUTINO</v>
      </c>
      <c r="E2211" s="26" t="str">
        <f>"CORONADO NO. 22                                                                 "</f>
        <v xml:space="preserve">CORONADO NO. 22                                                                 </v>
      </c>
      <c r="F2211" s="26" t="str">
        <f>"PARAISO                                                                                                                                     "</f>
        <v xml:space="preserve">PARAISO                                                                                                                                     </v>
      </c>
      <c r="G2211" s="26" t="str">
        <f t="shared" si="414"/>
        <v xml:space="preserve">IZTAPALAPA                                                                      </v>
      </c>
      <c r="H2211" s="26" t="str">
        <f t="shared" si="415"/>
        <v>000</v>
      </c>
      <c r="I2211" s="26" t="str">
        <f t="shared" si="410"/>
        <v>00</v>
      </c>
      <c r="J2211" s="26" t="str">
        <f>"62 "</f>
        <v xml:space="preserve">62 </v>
      </c>
      <c r="K2211" s="26" t="str">
        <f t="shared" si="416"/>
        <v>IZ</v>
      </c>
      <c r="L2211" s="26" t="str">
        <f t="shared" si="417"/>
        <v>DGSEI</v>
      </c>
      <c r="M2211" s="26" t="str">
        <f t="shared" si="408"/>
        <v>PARTICULAR</v>
      </c>
      <c r="N2211" s="26">
        <v>55</v>
      </c>
      <c r="O2211" s="26">
        <v>26</v>
      </c>
      <c r="P2211" s="26">
        <v>29</v>
      </c>
      <c r="Q2211" s="26">
        <v>3</v>
      </c>
      <c r="R2211" s="26">
        <v>1</v>
      </c>
      <c r="S2211" s="26">
        <v>3</v>
      </c>
      <c r="T2211" s="26">
        <v>5</v>
      </c>
      <c r="U2211" s="26">
        <v>9</v>
      </c>
      <c r="V2211" s="26">
        <v>1</v>
      </c>
      <c r="W2211" s="26"/>
    </row>
    <row r="2212" spans="1:23" x14ac:dyDescent="0.25">
      <c r="A2212" s="26" t="str">
        <f t="shared" si="409"/>
        <v>PREESCOLAR</v>
      </c>
      <c r="B2212" s="26" t="str">
        <f>"09PJN4433R"</f>
        <v>09PJN4433R</v>
      </c>
      <c r="C2212" s="26" t="str">
        <f>"ANNA SANDER S                                                                                       "</f>
        <v xml:space="preserve">ANNA SANDER S                                                                                       </v>
      </c>
      <c r="D2212" s="26" t="str">
        <f t="shared" si="411"/>
        <v>MATUTINO</v>
      </c>
      <c r="E2212" s="26" t="str">
        <f>"CALLE 57 NO. 107                                                                "</f>
        <v xml:space="preserve">CALLE 57 NO. 107                                                                </v>
      </c>
      <c r="F2212" s="26" t="str">
        <f>"UNIDAD SANTA CRUZ MEYEHUALCO                                                                                                                "</f>
        <v xml:space="preserve">UNIDAD SANTA CRUZ MEYEHUALCO                                                                                                                </v>
      </c>
      <c r="G2212" s="26" t="str">
        <f t="shared" si="414"/>
        <v xml:space="preserve">IZTAPALAPA                                                                      </v>
      </c>
      <c r="H2212" s="26" t="str">
        <f t="shared" si="415"/>
        <v>000</v>
      </c>
      <c r="I2212" s="26" t="str">
        <f t="shared" si="410"/>
        <v>00</v>
      </c>
      <c r="J2212" s="26" t="str">
        <f>"64 "</f>
        <v xml:space="preserve">64 </v>
      </c>
      <c r="K2212" s="26" t="str">
        <f t="shared" si="416"/>
        <v>IZ</v>
      </c>
      <c r="L2212" s="26" t="str">
        <f t="shared" si="417"/>
        <v>DGSEI</v>
      </c>
      <c r="M2212" s="26" t="str">
        <f t="shared" si="408"/>
        <v>PARTICULAR</v>
      </c>
      <c r="N2212" s="26">
        <v>55</v>
      </c>
      <c r="O2212" s="26">
        <v>28</v>
      </c>
      <c r="P2212" s="26">
        <v>27</v>
      </c>
      <c r="Q2212" s="26">
        <v>3</v>
      </c>
      <c r="R2212" s="26">
        <v>1</v>
      </c>
      <c r="S2212" s="26">
        <v>3</v>
      </c>
      <c r="T2212" s="26">
        <v>1</v>
      </c>
      <c r="U2212" s="26">
        <v>5</v>
      </c>
      <c r="V2212" s="26">
        <v>1</v>
      </c>
      <c r="W2212" s="26"/>
    </row>
    <row r="2213" spans="1:23" x14ac:dyDescent="0.25">
      <c r="A2213" s="26" t="str">
        <f t="shared" si="409"/>
        <v>PREESCOLAR</v>
      </c>
      <c r="B2213" s="26" t="str">
        <f>"09PJN4434Q"</f>
        <v>09PJN4434Q</v>
      </c>
      <c r="C2213" s="26" t="str">
        <f>"ADOLPHE FERRIERE                                                                                    "</f>
        <v xml:space="preserve">ADOLPHE FERRIERE                                                                                    </v>
      </c>
      <c r="D2213" s="26" t="str">
        <f>"VESPERTINO"</f>
        <v>VESPERTINO</v>
      </c>
      <c r="E2213" s="26" t="str">
        <f>"JAZMIN MZ. 131 LT. 2                                                            "</f>
        <v xml:space="preserve">JAZMIN MZ. 131 LT. 2                                                            </v>
      </c>
      <c r="F2213" s="26" t="str">
        <f>"TENORIOS                                                                                                                                    "</f>
        <v xml:space="preserve">TENORIOS                                                                                                                                    </v>
      </c>
      <c r="G2213" s="26" t="str">
        <f t="shared" si="414"/>
        <v xml:space="preserve">IZTAPALAPA                                                                      </v>
      </c>
      <c r="H2213" s="26" t="str">
        <f t="shared" si="415"/>
        <v>000</v>
      </c>
      <c r="I2213" s="26" t="str">
        <f t="shared" si="410"/>
        <v>00</v>
      </c>
      <c r="J2213" s="26" t="str">
        <f>"64 "</f>
        <v xml:space="preserve">64 </v>
      </c>
      <c r="K2213" s="26" t="str">
        <f t="shared" si="416"/>
        <v>IZ</v>
      </c>
      <c r="L2213" s="26" t="str">
        <f t="shared" si="417"/>
        <v>DGSEI</v>
      </c>
      <c r="M2213" s="26" t="str">
        <f t="shared" si="408"/>
        <v>PARTICULAR</v>
      </c>
      <c r="N2213" s="26">
        <v>23</v>
      </c>
      <c r="O2213" s="26">
        <v>12</v>
      </c>
      <c r="P2213" s="26">
        <v>11</v>
      </c>
      <c r="Q2213" s="26">
        <v>3</v>
      </c>
      <c r="R2213" s="26">
        <v>1</v>
      </c>
      <c r="S2213" s="26">
        <v>3</v>
      </c>
      <c r="T2213" s="26">
        <v>3</v>
      </c>
      <c r="U2213" s="26">
        <v>7</v>
      </c>
      <c r="V2213" s="26">
        <v>1</v>
      </c>
      <c r="W2213" s="26"/>
    </row>
    <row r="2214" spans="1:23" x14ac:dyDescent="0.25">
      <c r="A2214" s="26" t="str">
        <f t="shared" si="409"/>
        <v>PREESCOLAR</v>
      </c>
      <c r="B2214" s="26" t="str">
        <f>"09PJN4435P"</f>
        <v>09PJN4435P</v>
      </c>
      <c r="C2214" s="26" t="str">
        <f>"GOTITAS DE AMOR                                                                                     "</f>
        <v xml:space="preserve">GOTITAS DE AMOR                                                                                     </v>
      </c>
      <c r="D2214" s="26" t="str">
        <f t="shared" ref="D2214:D2234" si="418">"MATUTINO"</f>
        <v>MATUTINO</v>
      </c>
      <c r="E2214" s="26" t="str">
        <f>"MIGUEL ALEMAN MZ. 63 LT. 15                                                     "</f>
        <v xml:space="preserve">MIGUEL ALEMAN MZ. 63 LT. 15                                                     </v>
      </c>
      <c r="F2214" s="26" t="str">
        <f>"PRESIDENTES DE MEXICO                                                                                                                       "</f>
        <v xml:space="preserve">PRESIDENTES DE MEXICO                                                                                                                       </v>
      </c>
      <c r="G2214" s="26" t="str">
        <f t="shared" si="414"/>
        <v xml:space="preserve">IZTAPALAPA                                                                      </v>
      </c>
      <c r="H2214" s="26" t="str">
        <f t="shared" si="415"/>
        <v>000</v>
      </c>
      <c r="I2214" s="26" t="str">
        <f t="shared" si="410"/>
        <v>00</v>
      </c>
      <c r="J2214" s="26" t="str">
        <f>"63 "</f>
        <v xml:space="preserve">63 </v>
      </c>
      <c r="K2214" s="26" t="str">
        <f t="shared" si="416"/>
        <v>IZ</v>
      </c>
      <c r="L2214" s="26" t="str">
        <f t="shared" si="417"/>
        <v>DGSEI</v>
      </c>
      <c r="M2214" s="26" t="str">
        <f t="shared" si="408"/>
        <v>PARTICULAR</v>
      </c>
      <c r="N2214" s="26">
        <v>28</v>
      </c>
      <c r="O2214" s="26">
        <v>12</v>
      </c>
      <c r="P2214" s="26">
        <v>16</v>
      </c>
      <c r="Q2214" s="26">
        <v>2</v>
      </c>
      <c r="R2214" s="26">
        <v>1</v>
      </c>
      <c r="S2214" s="26">
        <v>2</v>
      </c>
      <c r="T2214" s="26">
        <v>2</v>
      </c>
      <c r="U2214" s="26">
        <v>5</v>
      </c>
      <c r="V2214" s="26">
        <v>1</v>
      </c>
      <c r="W2214" s="26"/>
    </row>
    <row r="2215" spans="1:23" x14ac:dyDescent="0.25">
      <c r="A2215" s="26" t="str">
        <f t="shared" si="409"/>
        <v>PREESCOLAR</v>
      </c>
      <c r="B2215" s="26" t="str">
        <f>"09PJN4437N"</f>
        <v>09PJN4437N</v>
      </c>
      <c r="C2215" s="26" t="str">
        <f>"LAS CINCO VOCALES                                                                                   "</f>
        <v xml:space="preserve">LAS CINCO VOCALES                                                                                   </v>
      </c>
      <c r="D2215" s="26" t="str">
        <f t="shared" si="418"/>
        <v>MATUTINO</v>
      </c>
      <c r="E2215" s="26" t="str">
        <f>"5 DE MAYO MZ. 21 LT. 21                                                         "</f>
        <v xml:space="preserve">5 DE MAYO MZ. 21 LT. 21                                                         </v>
      </c>
      <c r="F2215" s="26" t="str">
        <f>"SANTA MARIA AZTAHUACAN                                                                                                                      "</f>
        <v xml:space="preserve">SANTA MARIA AZTAHUACAN                                                                                                                      </v>
      </c>
      <c r="G2215" s="26" t="str">
        <f t="shared" si="414"/>
        <v xml:space="preserve">IZTAPALAPA                                                                      </v>
      </c>
      <c r="H2215" s="26" t="str">
        <f t="shared" si="415"/>
        <v>000</v>
      </c>
      <c r="I2215" s="26" t="str">
        <f t="shared" si="410"/>
        <v>00</v>
      </c>
      <c r="J2215" s="26" t="str">
        <f>"64 "</f>
        <v xml:space="preserve">64 </v>
      </c>
      <c r="K2215" s="26" t="str">
        <f t="shared" si="416"/>
        <v>IZ</v>
      </c>
      <c r="L2215" s="26" t="str">
        <f t="shared" si="417"/>
        <v>DGSEI</v>
      </c>
      <c r="M2215" s="26" t="str">
        <f t="shared" si="408"/>
        <v>PARTICULAR</v>
      </c>
      <c r="N2215" s="26">
        <v>25</v>
      </c>
      <c r="O2215" s="26">
        <v>7</v>
      </c>
      <c r="P2215" s="26">
        <v>18</v>
      </c>
      <c r="Q2215" s="26">
        <v>2</v>
      </c>
      <c r="R2215" s="26">
        <v>1</v>
      </c>
      <c r="S2215" s="26">
        <v>2</v>
      </c>
      <c r="T2215" s="26">
        <v>0</v>
      </c>
      <c r="U2215" s="26">
        <v>3</v>
      </c>
      <c r="V2215" s="26">
        <v>1</v>
      </c>
      <c r="W2215" s="26"/>
    </row>
    <row r="2216" spans="1:23" x14ac:dyDescent="0.25">
      <c r="A2216" s="26" t="str">
        <f t="shared" si="409"/>
        <v>PREESCOLAR</v>
      </c>
      <c r="B2216" s="26" t="str">
        <f>"09PJN4438M"</f>
        <v>09PJN4438M</v>
      </c>
      <c r="C2216" s="26" t="str">
        <f>"TONATIUH                                                                                            "</f>
        <v xml:space="preserve">TONATIUH                                                                                            </v>
      </c>
      <c r="D2216" s="26" t="str">
        <f t="shared" si="418"/>
        <v>MATUTINO</v>
      </c>
      <c r="E2216" s="26" t="str">
        <f>"TOLTECAS NO. 46                                                                 "</f>
        <v xml:space="preserve">TOLTECAS NO. 46                                                                 </v>
      </c>
      <c r="F2216" s="26" t="str">
        <f>"SAN LORENZO TEZONCO                                                                                                                         "</f>
        <v xml:space="preserve">SAN LORENZO TEZONCO                                                                                                                         </v>
      </c>
      <c r="G2216" s="26" t="str">
        <f t="shared" si="414"/>
        <v xml:space="preserve">IZTAPALAPA                                                                      </v>
      </c>
      <c r="H2216" s="26" t="str">
        <f t="shared" si="415"/>
        <v>000</v>
      </c>
      <c r="I2216" s="26" t="str">
        <f t="shared" si="410"/>
        <v>00</v>
      </c>
      <c r="J2216" s="26" t="str">
        <f>"63 "</f>
        <v xml:space="preserve">63 </v>
      </c>
      <c r="K2216" s="26" t="str">
        <f t="shared" si="416"/>
        <v>IZ</v>
      </c>
      <c r="L2216" s="26" t="str">
        <f t="shared" si="417"/>
        <v>DGSEI</v>
      </c>
      <c r="M2216" s="26" t="str">
        <f t="shared" si="408"/>
        <v>PARTICULAR</v>
      </c>
      <c r="N2216" s="26">
        <v>15</v>
      </c>
      <c r="O2216" s="26">
        <v>7</v>
      </c>
      <c r="P2216" s="26">
        <v>8</v>
      </c>
      <c r="Q2216" s="26">
        <v>2</v>
      </c>
      <c r="R2216" s="26">
        <v>1</v>
      </c>
      <c r="S2216" s="26">
        <v>2</v>
      </c>
      <c r="T2216" s="26">
        <v>3</v>
      </c>
      <c r="U2216" s="26">
        <v>6</v>
      </c>
      <c r="V2216" s="26">
        <v>1</v>
      </c>
      <c r="W2216" s="26"/>
    </row>
    <row r="2217" spans="1:23" x14ac:dyDescent="0.25">
      <c r="A2217" s="26" t="str">
        <f t="shared" si="409"/>
        <v>PREESCOLAR</v>
      </c>
      <c r="B2217" s="26" t="str">
        <f>"09PJN4439L"</f>
        <v>09PJN4439L</v>
      </c>
      <c r="C2217" s="26" t="str">
        <f>"CARITA FELIZ                                                                                        "</f>
        <v xml:space="preserve">CARITA FELIZ                                                                                        </v>
      </c>
      <c r="D2217" s="26" t="str">
        <f t="shared" si="418"/>
        <v>MATUTINO</v>
      </c>
      <c r="E2217" s="26" t="str">
        <f>"AV. 5 DE MAYO NO. 15                                                            "</f>
        <v xml:space="preserve">AV. 5 DE MAYO NO. 15                                                            </v>
      </c>
      <c r="F2217" s="26" t="str">
        <f>"LA HERA                                                                                                                                     "</f>
        <v xml:space="preserve">LA HERA                                                                                                                                     </v>
      </c>
      <c r="G2217" s="26" t="str">
        <f t="shared" si="414"/>
        <v xml:space="preserve">IZTAPALAPA                                                                      </v>
      </c>
      <c r="H2217" s="26" t="str">
        <f t="shared" si="415"/>
        <v>000</v>
      </c>
      <c r="I2217" s="26" t="str">
        <f t="shared" si="410"/>
        <v>00</v>
      </c>
      <c r="J2217" s="26" t="str">
        <f>"63 "</f>
        <v xml:space="preserve">63 </v>
      </c>
      <c r="K2217" s="26" t="str">
        <f t="shared" si="416"/>
        <v>IZ</v>
      </c>
      <c r="L2217" s="26" t="str">
        <f t="shared" si="417"/>
        <v>DGSEI</v>
      </c>
      <c r="M2217" s="26" t="str">
        <f t="shared" si="408"/>
        <v>PARTICULAR</v>
      </c>
      <c r="N2217" s="26">
        <v>69</v>
      </c>
      <c r="O2217" s="26">
        <v>36</v>
      </c>
      <c r="P2217" s="26">
        <v>33</v>
      </c>
      <c r="Q2217" s="26">
        <v>4</v>
      </c>
      <c r="R2217" s="26">
        <v>1</v>
      </c>
      <c r="S2217" s="26">
        <v>4</v>
      </c>
      <c r="T2217" s="26">
        <v>6</v>
      </c>
      <c r="U2217" s="26">
        <v>11</v>
      </c>
      <c r="V2217" s="26">
        <v>1</v>
      </c>
      <c r="W2217" s="26"/>
    </row>
    <row r="2218" spans="1:23" x14ac:dyDescent="0.25">
      <c r="A2218" s="26" t="str">
        <f t="shared" si="409"/>
        <v>PREESCOLAR</v>
      </c>
      <c r="B2218" s="26" t="str">
        <f>"09PJN4440A"</f>
        <v>09PJN4440A</v>
      </c>
      <c r="C2218" s="26" t="str">
        <f>"COLEGIO KINDERLAND                                                                                  "</f>
        <v xml:space="preserve">COLEGIO KINDERLAND                                                                                  </v>
      </c>
      <c r="D2218" s="26" t="str">
        <f t="shared" si="418"/>
        <v>MATUTINO</v>
      </c>
      <c r="E2218" s="26" t="str">
        <f>"HORTICULTURA NO. 39                                                             "</f>
        <v xml:space="preserve">HORTICULTURA NO. 39                                                             </v>
      </c>
      <c r="F2218" s="26" t="str">
        <f>"20 DE NOVIEMBRE                                                                                                                             "</f>
        <v xml:space="preserve">20 DE NOVIEMBRE                                                                                                                             </v>
      </c>
      <c r="G2218" s="26" t="str">
        <f>"VENUSTIANO CARRANZA                                                             "</f>
        <v xml:space="preserve">VENUSTIANO CARRANZA                                                             </v>
      </c>
      <c r="H2218" s="26" t="str">
        <f>"025"</f>
        <v>025</v>
      </c>
      <c r="I2218" s="26" t="str">
        <f t="shared" si="410"/>
        <v>00</v>
      </c>
      <c r="J2218" s="26" t="str">
        <f>"33 "</f>
        <v xml:space="preserve">33 </v>
      </c>
      <c r="K2218" s="26" t="str">
        <f t="shared" ref="K2218:K2224" si="419">"EP"</f>
        <v>EP</v>
      </c>
      <c r="L2218" s="26" t="str">
        <f t="shared" ref="L2218:L2224" si="420">"DGOSE"</f>
        <v>DGOSE</v>
      </c>
      <c r="M2218" s="26" t="str">
        <f t="shared" si="408"/>
        <v>PARTICULAR</v>
      </c>
      <c r="N2218" s="26">
        <v>42</v>
      </c>
      <c r="O2218" s="26">
        <v>20</v>
      </c>
      <c r="P2218" s="26">
        <v>22</v>
      </c>
      <c r="Q2218" s="26">
        <v>2</v>
      </c>
      <c r="R2218" s="26">
        <v>0</v>
      </c>
      <c r="S2218" s="26">
        <v>2</v>
      </c>
      <c r="T2218" s="26">
        <v>2</v>
      </c>
      <c r="U2218" s="26">
        <v>4</v>
      </c>
      <c r="V2218" s="26">
        <v>1</v>
      </c>
      <c r="W2218" s="26"/>
    </row>
    <row r="2219" spans="1:23" x14ac:dyDescent="0.25">
      <c r="A2219" s="26" t="str">
        <f t="shared" si="409"/>
        <v>PREESCOLAR</v>
      </c>
      <c r="B2219" s="26" t="str">
        <f>"09PJN4441Z"</f>
        <v>09PJN4441Z</v>
      </c>
      <c r="C2219" s="26" t="str">
        <f>"CENTRO ESCOLAR MARTINIQUE NENES GYM                                                                 "</f>
        <v xml:space="preserve">CENTRO ESCOLAR MARTINIQUE NENES GYM                                                                 </v>
      </c>
      <c r="D2219" s="26" t="str">
        <f t="shared" si="418"/>
        <v>MATUTINO</v>
      </c>
      <c r="E2219" s="26" t="str">
        <f>"FERNANDO IGLESIAS CALDERON NO. 105                                              "</f>
        <v xml:space="preserve">FERNANDO IGLESIAS CALDERON NO. 105                                              </v>
      </c>
      <c r="F2219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2219" s="26" t="str">
        <f>"VENUSTIANO CARRANZA                                                             "</f>
        <v xml:space="preserve">VENUSTIANO CARRANZA                                                             </v>
      </c>
      <c r="H2219" s="26" t="str">
        <f>"250"</f>
        <v>250</v>
      </c>
      <c r="I2219" s="26" t="str">
        <f t="shared" si="410"/>
        <v>00</v>
      </c>
      <c r="J2219" s="26" t="str">
        <f>"33 "</f>
        <v xml:space="preserve">33 </v>
      </c>
      <c r="K2219" s="26" t="str">
        <f t="shared" si="419"/>
        <v>EP</v>
      </c>
      <c r="L2219" s="26" t="str">
        <f t="shared" si="420"/>
        <v>DGOSE</v>
      </c>
      <c r="M2219" s="26" t="str">
        <f t="shared" si="408"/>
        <v>PARTICULAR</v>
      </c>
      <c r="N2219" s="26">
        <v>51</v>
      </c>
      <c r="O2219" s="26">
        <v>28</v>
      </c>
      <c r="P2219" s="26">
        <v>23</v>
      </c>
      <c r="Q2219" s="26">
        <v>3</v>
      </c>
      <c r="R2219" s="26">
        <v>1</v>
      </c>
      <c r="S2219" s="26">
        <v>3</v>
      </c>
      <c r="T2219" s="26">
        <v>7</v>
      </c>
      <c r="U2219" s="26">
        <v>11</v>
      </c>
      <c r="V2219" s="26">
        <v>1</v>
      </c>
      <c r="W2219" s="26"/>
    </row>
    <row r="2220" spans="1:23" x14ac:dyDescent="0.25">
      <c r="A2220" s="26" t="str">
        <f t="shared" si="409"/>
        <v>PREESCOLAR</v>
      </c>
      <c r="B2220" s="26" t="str">
        <f>"09PJN4443Y"</f>
        <v>09PJN4443Y</v>
      </c>
      <c r="C2220" s="26" t="str">
        <f>"KIDS ENGLISH SCHOOL                                                                                 "</f>
        <v xml:space="preserve">KIDS ENGLISH SCHOOL                                                                                 </v>
      </c>
      <c r="D2220" s="26" t="str">
        <f t="shared" si="418"/>
        <v>MATUTINO</v>
      </c>
      <c r="E2220" s="26" t="str">
        <f>"CALLE 36 NO. 2                                                                  "</f>
        <v xml:space="preserve">CALLE 36 NO. 2                                                                  </v>
      </c>
      <c r="F2220" s="26" t="str">
        <f>"EL RODEO                                                                                                                                    "</f>
        <v xml:space="preserve">EL RODEO                                                                                                                                    </v>
      </c>
      <c r="G2220" s="26" t="str">
        <f>"IZTACALCO                                                                       "</f>
        <v xml:space="preserve">IZTACALCO                                                                       </v>
      </c>
      <c r="H2220" s="26" t="str">
        <f>"143"</f>
        <v>143</v>
      </c>
      <c r="I2220" s="26" t="str">
        <f t="shared" si="410"/>
        <v>00</v>
      </c>
      <c r="J2220" s="26" t="str">
        <f>"33 "</f>
        <v xml:space="preserve">33 </v>
      </c>
      <c r="K2220" s="26" t="str">
        <f t="shared" si="419"/>
        <v>EP</v>
      </c>
      <c r="L2220" s="26" t="str">
        <f t="shared" si="420"/>
        <v>DGOSE</v>
      </c>
      <c r="M2220" s="26" t="str">
        <f t="shared" si="408"/>
        <v>PARTICULAR</v>
      </c>
      <c r="N2220" s="26">
        <v>61</v>
      </c>
      <c r="O2220" s="26">
        <v>32</v>
      </c>
      <c r="P2220" s="26">
        <v>29</v>
      </c>
      <c r="Q2220" s="26">
        <v>3</v>
      </c>
      <c r="R2220" s="26">
        <v>1</v>
      </c>
      <c r="S2220" s="26">
        <v>3</v>
      </c>
      <c r="T2220" s="26">
        <v>5</v>
      </c>
      <c r="U2220" s="26">
        <v>9</v>
      </c>
      <c r="V2220" s="26">
        <v>1</v>
      </c>
      <c r="W2220" s="26"/>
    </row>
    <row r="2221" spans="1:23" x14ac:dyDescent="0.25">
      <c r="A2221" s="26" t="str">
        <f t="shared" si="409"/>
        <v>PREESCOLAR</v>
      </c>
      <c r="B2221" s="26" t="str">
        <f>"09PJN4445W"</f>
        <v>09PJN4445W</v>
      </c>
      <c r="C2221" s="26" t="str">
        <f>"CENTRO EDUCATIVO MABEL                                                                              "</f>
        <v xml:space="preserve">CENTRO EDUCATIVO MABEL                                                                              </v>
      </c>
      <c r="D2221" s="26" t="str">
        <f t="shared" si="418"/>
        <v>MATUTINO</v>
      </c>
      <c r="E2221" s="26" t="str">
        <f>"VOLCAN DE JORULLO NO. 93                                                        "</f>
        <v xml:space="preserve">VOLCAN DE JORULLO NO. 93                                                        </v>
      </c>
      <c r="F2221" s="26" t="str">
        <f>"LA PRADERA                                                                                                                                  "</f>
        <v xml:space="preserve">LA PRADERA                                                                                                                                  </v>
      </c>
      <c r="G2221" s="26" t="str">
        <f>"GUSTAVO A. MADERO                                                               "</f>
        <v xml:space="preserve">GUSTAVO A. MADERO                                                               </v>
      </c>
      <c r="H2221" s="26" t="str">
        <f>"180"</f>
        <v>180</v>
      </c>
      <c r="I2221" s="26" t="str">
        <f t="shared" si="410"/>
        <v>00</v>
      </c>
      <c r="J2221" s="26" t="str">
        <f>"32 "</f>
        <v xml:space="preserve">32 </v>
      </c>
      <c r="K2221" s="26" t="str">
        <f t="shared" si="419"/>
        <v>EP</v>
      </c>
      <c r="L2221" s="26" t="str">
        <f t="shared" si="420"/>
        <v>DGOSE</v>
      </c>
      <c r="M2221" s="26" t="str">
        <f t="shared" si="408"/>
        <v>PARTICULAR</v>
      </c>
      <c r="N2221" s="26">
        <v>10</v>
      </c>
      <c r="O2221" s="26">
        <v>7</v>
      </c>
      <c r="P2221" s="26">
        <v>3</v>
      </c>
      <c r="Q2221" s="26">
        <v>2</v>
      </c>
      <c r="R2221" s="26">
        <v>1</v>
      </c>
      <c r="S2221" s="26">
        <v>2</v>
      </c>
      <c r="T2221" s="26">
        <v>1</v>
      </c>
      <c r="U2221" s="26">
        <v>4</v>
      </c>
      <c r="V2221" s="26">
        <v>1</v>
      </c>
      <c r="W2221" s="26"/>
    </row>
    <row r="2222" spans="1:23" x14ac:dyDescent="0.25">
      <c r="A2222" s="26" t="str">
        <f t="shared" si="409"/>
        <v>PREESCOLAR</v>
      </c>
      <c r="B2222" s="26" t="str">
        <f>"09PJN4446V"</f>
        <v>09PJN4446V</v>
      </c>
      <c r="C2222" s="26" t="str">
        <f>"MIS PRIMEROS PASOS AL EXITO                                                                         "</f>
        <v xml:space="preserve">MIS PRIMEROS PASOS AL EXITO                                                                         </v>
      </c>
      <c r="D2222" s="26" t="str">
        <f t="shared" si="418"/>
        <v>MATUTINO</v>
      </c>
      <c r="E2222" s="26" t="str">
        <f>"ESTAMPADO NO. 234                                                               "</f>
        <v xml:space="preserve">ESTAMPADO NO. 234                                                               </v>
      </c>
      <c r="F2222" s="26" t="str">
        <f>"20 DE NOVIEMBRE                                                                                                                             "</f>
        <v xml:space="preserve">20 DE NOVIEMBRE                                                                                                                             </v>
      </c>
      <c r="G2222" s="26" t="str">
        <f>"VENUSTIANO CARRANZA                                                             "</f>
        <v xml:space="preserve">VENUSTIANO CARRANZA                                                             </v>
      </c>
      <c r="H2222" s="26" t="str">
        <f>"025"</f>
        <v>025</v>
      </c>
      <c r="I2222" s="26" t="str">
        <f t="shared" si="410"/>
        <v>00</v>
      </c>
      <c r="J2222" s="26" t="str">
        <f>"33 "</f>
        <v xml:space="preserve">33 </v>
      </c>
      <c r="K2222" s="26" t="str">
        <f t="shared" si="419"/>
        <v>EP</v>
      </c>
      <c r="L2222" s="26" t="str">
        <f t="shared" si="420"/>
        <v>DGOSE</v>
      </c>
      <c r="M2222" s="26" t="str">
        <f t="shared" si="408"/>
        <v>PARTICULAR</v>
      </c>
      <c r="N2222" s="26">
        <v>131</v>
      </c>
      <c r="O2222" s="26">
        <v>70</v>
      </c>
      <c r="P2222" s="26">
        <v>61</v>
      </c>
      <c r="Q2222" s="26">
        <v>6</v>
      </c>
      <c r="R2222" s="26">
        <v>1</v>
      </c>
      <c r="S2222" s="26">
        <v>6</v>
      </c>
      <c r="T2222" s="26">
        <v>5</v>
      </c>
      <c r="U2222" s="26">
        <v>12</v>
      </c>
      <c r="V2222" s="26">
        <v>1</v>
      </c>
      <c r="W2222" s="26"/>
    </row>
    <row r="2223" spans="1:23" x14ac:dyDescent="0.25">
      <c r="A2223" s="26" t="str">
        <f t="shared" si="409"/>
        <v>PREESCOLAR</v>
      </c>
      <c r="B2223" s="26" t="str">
        <f>"09PJN4447U"</f>
        <v>09PJN4447U</v>
      </c>
      <c r="C2223" s="26" t="str">
        <f>"TIYOLI                                                                                              "</f>
        <v xml:space="preserve">TIYOLI                                                                                              </v>
      </c>
      <c r="D2223" s="26" t="str">
        <f t="shared" si="418"/>
        <v>MATUTINO</v>
      </c>
      <c r="E2223" s="26" t="str">
        <f>"JOSE MARIA CASTORENA NO. 635                                                    "</f>
        <v xml:space="preserve">JOSE MARIA CASTORENA NO. 635                                                    </v>
      </c>
      <c r="F2223" s="26" t="str">
        <f>"EL MOLINITO                                                                                                                                 "</f>
        <v xml:space="preserve">EL MOLINITO                                                                                                                                 </v>
      </c>
      <c r="G2223" s="26" t="str">
        <f>"CUAJIMALPA DE MORELOS                                                           "</f>
        <v xml:space="preserve">CUAJIMALPA DE MORELOS                                                           </v>
      </c>
      <c r="H2223" s="26" t="str">
        <f>"279"</f>
        <v>279</v>
      </c>
      <c r="I2223" s="26" t="str">
        <f t="shared" si="410"/>
        <v>00</v>
      </c>
      <c r="J2223" s="26" t="str">
        <f>"33 "</f>
        <v xml:space="preserve">33 </v>
      </c>
      <c r="K2223" s="26" t="str">
        <f t="shared" si="419"/>
        <v>EP</v>
      </c>
      <c r="L2223" s="26" t="str">
        <f t="shared" si="420"/>
        <v>DGOSE</v>
      </c>
      <c r="M2223" s="26" t="str">
        <f t="shared" si="408"/>
        <v>PARTICULAR</v>
      </c>
      <c r="N2223" s="26">
        <v>43</v>
      </c>
      <c r="O2223" s="26">
        <v>22</v>
      </c>
      <c r="P2223" s="26">
        <v>21</v>
      </c>
      <c r="Q2223" s="26">
        <v>3</v>
      </c>
      <c r="R2223" s="26">
        <v>1</v>
      </c>
      <c r="S2223" s="26">
        <v>3</v>
      </c>
      <c r="T2223" s="26">
        <v>6</v>
      </c>
      <c r="U2223" s="26">
        <v>10</v>
      </c>
      <c r="V2223" s="26">
        <v>1</v>
      </c>
      <c r="W2223" s="26"/>
    </row>
    <row r="2224" spans="1:23" x14ac:dyDescent="0.25">
      <c r="A2224" s="26" t="str">
        <f t="shared" si="409"/>
        <v>PREESCOLAR</v>
      </c>
      <c r="B2224" s="26" t="str">
        <f>"09PJN4448T"</f>
        <v>09PJN4448T</v>
      </c>
      <c r="C2224" s="26" t="str">
        <f>"ESCUELA LEONESA                                                                                     "</f>
        <v xml:space="preserve">ESCUELA LEONESA                                                                                     </v>
      </c>
      <c r="D2224" s="26" t="str">
        <f t="shared" si="418"/>
        <v>MATUTINO</v>
      </c>
      <c r="E2224" s="26" t="str">
        <f>"MOCTEZUMA NO. 25                                                                "</f>
        <v xml:space="preserve">MOCTEZUMA NO. 25                                                                </v>
      </c>
      <c r="F2224" s="26" t="str">
        <f>"SANTA LUCIA                                                                                                                                 "</f>
        <v xml:space="preserve">SANTA LUCIA                                                                                                                                 </v>
      </c>
      <c r="G2224" s="26" t="str">
        <f>"ALVARO OBREGON                                                                  "</f>
        <v xml:space="preserve">ALVARO OBREGON                                                                  </v>
      </c>
      <c r="H2224" s="26" t="str">
        <f>"122"</f>
        <v>122</v>
      </c>
      <c r="I2224" s="26" t="str">
        <f t="shared" si="410"/>
        <v>00</v>
      </c>
      <c r="J2224" s="26" t="str">
        <f>"33 "</f>
        <v xml:space="preserve">33 </v>
      </c>
      <c r="K2224" s="26" t="str">
        <f t="shared" si="419"/>
        <v>EP</v>
      </c>
      <c r="L2224" s="26" t="str">
        <f t="shared" si="420"/>
        <v>DGOSE</v>
      </c>
      <c r="M2224" s="26" t="str">
        <f t="shared" si="408"/>
        <v>PARTICULAR</v>
      </c>
      <c r="N2224" s="26">
        <v>25</v>
      </c>
      <c r="O2224" s="26">
        <v>11</v>
      </c>
      <c r="P2224" s="26">
        <v>14</v>
      </c>
      <c r="Q2224" s="26">
        <v>3</v>
      </c>
      <c r="R2224" s="26">
        <v>1</v>
      </c>
      <c r="S2224" s="26">
        <v>3</v>
      </c>
      <c r="T2224" s="26">
        <v>8</v>
      </c>
      <c r="U2224" s="26">
        <v>12</v>
      </c>
      <c r="V2224" s="26">
        <v>1</v>
      </c>
      <c r="W2224" s="26"/>
    </row>
    <row r="2225" spans="1:23" x14ac:dyDescent="0.25">
      <c r="A2225" s="26" t="str">
        <f t="shared" si="409"/>
        <v>PREESCOLAR</v>
      </c>
      <c r="B2225" s="26" t="str">
        <f>"09PJN4450H"</f>
        <v>09PJN4450H</v>
      </c>
      <c r="C2225" s="26" t="str">
        <f>"FEDERICO FROEBEL                                                                                    "</f>
        <v xml:space="preserve">FEDERICO FROEBEL                                                                                    </v>
      </c>
      <c r="D2225" s="26" t="str">
        <f t="shared" si="418"/>
        <v>MATUTINO</v>
      </c>
      <c r="E2225" s="26" t="str">
        <f>"25 DE SEPTIEMBRE DE 1873 MZ. 171 LT. 1976-A                                     "</f>
        <v xml:space="preserve">25 DE SEPTIEMBRE DE 1873 MZ. 171 LT. 1976-A                                     </v>
      </c>
      <c r="F2225" s="26" t="str">
        <f>"LEYES DE REFORMA                                                                                                                            "</f>
        <v xml:space="preserve">LEYES DE REFORMA                                                                                                                            </v>
      </c>
      <c r="G2225" s="26" t="str">
        <f t="shared" ref="G2225:G2236" si="421">"IZTAPALAPA                                                                      "</f>
        <v xml:space="preserve">IZTAPALAPA                                                                      </v>
      </c>
      <c r="H2225" s="26" t="str">
        <f t="shared" ref="H2225:H2236" si="422">"000"</f>
        <v>000</v>
      </c>
      <c r="I2225" s="26" t="str">
        <f t="shared" si="410"/>
        <v>00</v>
      </c>
      <c r="J2225" s="26" t="str">
        <f>"61 "</f>
        <v xml:space="preserve">61 </v>
      </c>
      <c r="K2225" s="26" t="str">
        <f t="shared" ref="K2225:K2236" si="423">"IZ"</f>
        <v>IZ</v>
      </c>
      <c r="L2225" s="26" t="str">
        <f t="shared" ref="L2225:L2236" si="424">"DGSEI"</f>
        <v>DGSEI</v>
      </c>
      <c r="M2225" s="26" t="str">
        <f t="shared" si="408"/>
        <v>PARTICULAR</v>
      </c>
      <c r="N2225" s="26">
        <v>18</v>
      </c>
      <c r="O2225" s="26">
        <v>10</v>
      </c>
      <c r="P2225" s="26">
        <v>8</v>
      </c>
      <c r="Q2225" s="26">
        <v>3</v>
      </c>
      <c r="R2225" s="26">
        <v>1</v>
      </c>
      <c r="S2225" s="26">
        <v>1</v>
      </c>
      <c r="T2225" s="26">
        <v>4</v>
      </c>
      <c r="U2225" s="26">
        <v>6</v>
      </c>
      <c r="V2225" s="26">
        <v>1</v>
      </c>
      <c r="W2225" s="26"/>
    </row>
    <row r="2226" spans="1:23" x14ac:dyDescent="0.25">
      <c r="A2226" s="26" t="str">
        <f t="shared" si="409"/>
        <v>PREESCOLAR</v>
      </c>
      <c r="B2226" s="26" t="str">
        <f>"09PJN4451G"</f>
        <v>09PJN4451G</v>
      </c>
      <c r="C2226" s="26" t="str">
        <f>"ERANDI                                                                                              "</f>
        <v xml:space="preserve">ERANDI                                                                                              </v>
      </c>
      <c r="D2226" s="26" t="str">
        <f t="shared" si="418"/>
        <v>MATUTINO</v>
      </c>
      <c r="E2226" s="26" t="str">
        <f>"CDA. DE LAS ROSAS MZ. 7 LT. 8                                                   "</f>
        <v xml:space="preserve">CDA. DE LAS ROSAS MZ. 7 LT. 8                                                   </v>
      </c>
      <c r="F2226" s="26" t="str">
        <f>"BUENAVISTA                                                                                                                                  "</f>
        <v xml:space="preserve">BUENAVISTA                                                                                                                                  </v>
      </c>
      <c r="G2226" s="26" t="str">
        <f t="shared" si="421"/>
        <v xml:space="preserve">IZTAPALAPA                                                                      </v>
      </c>
      <c r="H2226" s="26" t="str">
        <f t="shared" si="422"/>
        <v>000</v>
      </c>
      <c r="I2226" s="26" t="str">
        <f t="shared" si="410"/>
        <v>00</v>
      </c>
      <c r="J2226" s="26" t="str">
        <f>"64 "</f>
        <v xml:space="preserve">64 </v>
      </c>
      <c r="K2226" s="26" t="str">
        <f t="shared" si="423"/>
        <v>IZ</v>
      </c>
      <c r="L2226" s="26" t="str">
        <f t="shared" si="424"/>
        <v>DGSEI</v>
      </c>
      <c r="M2226" s="26" t="str">
        <f t="shared" si="408"/>
        <v>PARTICULAR</v>
      </c>
      <c r="N2226" s="26">
        <v>44</v>
      </c>
      <c r="O2226" s="26">
        <v>22</v>
      </c>
      <c r="P2226" s="26">
        <v>22</v>
      </c>
      <c r="Q2226" s="26">
        <v>3</v>
      </c>
      <c r="R2226" s="26">
        <v>1</v>
      </c>
      <c r="S2226" s="26">
        <v>3</v>
      </c>
      <c r="T2226" s="26">
        <v>2</v>
      </c>
      <c r="U2226" s="26">
        <v>6</v>
      </c>
      <c r="V2226" s="26">
        <v>1</v>
      </c>
      <c r="W2226" s="26"/>
    </row>
    <row r="2227" spans="1:23" x14ac:dyDescent="0.25">
      <c r="A2227" s="26" t="str">
        <f t="shared" si="409"/>
        <v>PREESCOLAR</v>
      </c>
      <c r="B2227" s="26" t="str">
        <f>"09PJN4452F"</f>
        <v>09PJN4452F</v>
      </c>
      <c r="C2227" s="26" t="str">
        <f>"REFORMA EDUCATIVA                                                                                   "</f>
        <v xml:space="preserve">REFORMA EDUCATIVA                                                                                   </v>
      </c>
      <c r="D2227" s="26" t="str">
        <f t="shared" si="418"/>
        <v>MATUTINO</v>
      </c>
      <c r="E2227" s="26" t="str">
        <f>"JOSE PAGOLA S/N MZ. 7 LT. 1                                                     "</f>
        <v xml:space="preserve">JOSE PAGOLA S/N MZ. 7 LT. 1                                                     </v>
      </c>
      <c r="F2227" s="26" t="str">
        <f>"REFORMA EDUCATIVA                                                                                                                           "</f>
        <v xml:space="preserve">REFORMA EDUCATIVA                                                                                                                           </v>
      </c>
      <c r="G2227" s="26" t="str">
        <f t="shared" si="421"/>
        <v xml:space="preserve">IZTAPALAPA                                                                      </v>
      </c>
      <c r="H2227" s="26" t="str">
        <f t="shared" si="422"/>
        <v>000</v>
      </c>
      <c r="I2227" s="26" t="str">
        <f t="shared" si="410"/>
        <v>00</v>
      </c>
      <c r="J2227" s="26" t="str">
        <f>"62 "</f>
        <v xml:space="preserve">62 </v>
      </c>
      <c r="K2227" s="26" t="str">
        <f t="shared" si="423"/>
        <v>IZ</v>
      </c>
      <c r="L2227" s="26" t="str">
        <f t="shared" si="424"/>
        <v>DGSEI</v>
      </c>
      <c r="M2227" s="26" t="str">
        <f t="shared" si="408"/>
        <v>PARTICULAR</v>
      </c>
      <c r="N2227" s="26">
        <v>19</v>
      </c>
      <c r="O2227" s="26">
        <v>8</v>
      </c>
      <c r="P2227" s="26">
        <v>11</v>
      </c>
      <c r="Q2227" s="26">
        <v>2</v>
      </c>
      <c r="R2227" s="26">
        <v>1</v>
      </c>
      <c r="S2227" s="26">
        <v>1</v>
      </c>
      <c r="T2227" s="26">
        <v>3</v>
      </c>
      <c r="U2227" s="26">
        <v>5</v>
      </c>
      <c r="V2227" s="26">
        <v>1</v>
      </c>
      <c r="W2227" s="26"/>
    </row>
    <row r="2228" spans="1:23" x14ac:dyDescent="0.25">
      <c r="A2228" s="26" t="str">
        <f t="shared" si="409"/>
        <v>PREESCOLAR</v>
      </c>
      <c r="B2228" s="26" t="str">
        <f>"09PJN4453E"</f>
        <v>09PJN4453E</v>
      </c>
      <c r="C2228" s="26" t="str">
        <f>"INSTITUTO ANTON S. MAKARENKO                                                                        "</f>
        <v xml:space="preserve">INSTITUTO ANTON S. MAKARENKO                                                                        </v>
      </c>
      <c r="D2228" s="26" t="str">
        <f t="shared" si="418"/>
        <v>MATUTINO</v>
      </c>
      <c r="E2228" s="26" t="str">
        <f>"LUIS MANUEL ROJAS NO. 31                                                        "</f>
        <v xml:space="preserve">LUIS MANUEL ROJAS NO. 31                                                        </v>
      </c>
      <c r="F2228" s="26" t="str">
        <f>"CONSTITUCION 1917                                                                                                                           "</f>
        <v xml:space="preserve">CONSTITUCION 1917                                                                                                                           </v>
      </c>
      <c r="G2228" s="26" t="str">
        <f t="shared" si="421"/>
        <v xml:space="preserve">IZTAPALAPA                                                                      </v>
      </c>
      <c r="H2228" s="26" t="str">
        <f t="shared" si="422"/>
        <v>000</v>
      </c>
      <c r="I2228" s="26" t="str">
        <f t="shared" si="410"/>
        <v>00</v>
      </c>
      <c r="J2228" s="26" t="str">
        <f>"62 "</f>
        <v xml:space="preserve">62 </v>
      </c>
      <c r="K2228" s="26" t="str">
        <f t="shared" si="423"/>
        <v>IZ</v>
      </c>
      <c r="L2228" s="26" t="str">
        <f t="shared" si="424"/>
        <v>DGSEI</v>
      </c>
      <c r="M2228" s="26" t="str">
        <f t="shared" si="408"/>
        <v>PARTICULAR</v>
      </c>
      <c r="N2228" s="26">
        <v>24</v>
      </c>
      <c r="O2228" s="26">
        <v>9</v>
      </c>
      <c r="P2228" s="26">
        <v>15</v>
      </c>
      <c r="Q2228" s="26">
        <v>3</v>
      </c>
      <c r="R2228" s="26">
        <v>1</v>
      </c>
      <c r="S2228" s="26">
        <v>3</v>
      </c>
      <c r="T2228" s="26">
        <v>3</v>
      </c>
      <c r="U2228" s="26">
        <v>7</v>
      </c>
      <c r="V2228" s="26">
        <v>1</v>
      </c>
      <c r="W2228" s="26"/>
    </row>
    <row r="2229" spans="1:23" x14ac:dyDescent="0.25">
      <c r="A2229" s="26" t="str">
        <f t="shared" si="409"/>
        <v>PREESCOLAR</v>
      </c>
      <c r="B2229" s="26" t="str">
        <f>"09PJN4454D"</f>
        <v>09PJN4454D</v>
      </c>
      <c r="C2229" s="26" t="str">
        <f>"MANUEL GOMEZ MORIN                                                                                  "</f>
        <v xml:space="preserve">MANUEL GOMEZ MORIN                                                                                  </v>
      </c>
      <c r="D2229" s="26" t="str">
        <f t="shared" si="418"/>
        <v>MATUTINO</v>
      </c>
      <c r="E2229" s="26" t="str">
        <f>"GUANABANA MZ. 2 LT. 17                                                          "</f>
        <v xml:space="preserve">GUANABANA MZ. 2 LT. 17                                                          </v>
      </c>
      <c r="F2229" s="26" t="str">
        <f>"XALPA                                                                                                                                       "</f>
        <v xml:space="preserve">XALPA                                                                                                                                       </v>
      </c>
      <c r="G2229" s="26" t="str">
        <f t="shared" si="421"/>
        <v xml:space="preserve">IZTAPALAPA                                                                      </v>
      </c>
      <c r="H2229" s="26" t="str">
        <f t="shared" si="422"/>
        <v>000</v>
      </c>
      <c r="I2229" s="26" t="str">
        <f t="shared" si="410"/>
        <v>00</v>
      </c>
      <c r="J2229" s="26" t="str">
        <f>"64 "</f>
        <v xml:space="preserve">64 </v>
      </c>
      <c r="K2229" s="26" t="str">
        <f t="shared" si="423"/>
        <v>IZ</v>
      </c>
      <c r="L2229" s="26" t="str">
        <f t="shared" si="424"/>
        <v>DGSEI</v>
      </c>
      <c r="M2229" s="26" t="str">
        <f t="shared" si="408"/>
        <v>PARTICULAR</v>
      </c>
      <c r="N2229" s="26">
        <v>31</v>
      </c>
      <c r="O2229" s="26">
        <v>16</v>
      </c>
      <c r="P2229" s="26">
        <v>15</v>
      </c>
      <c r="Q2229" s="26">
        <v>3</v>
      </c>
      <c r="R2229" s="26">
        <v>1</v>
      </c>
      <c r="S2229" s="26">
        <v>3</v>
      </c>
      <c r="T2229" s="26">
        <v>0</v>
      </c>
      <c r="U2229" s="26">
        <v>4</v>
      </c>
      <c r="V2229" s="26">
        <v>1</v>
      </c>
      <c r="W2229" s="26"/>
    </row>
    <row r="2230" spans="1:23" x14ac:dyDescent="0.25">
      <c r="A2230" s="26" t="str">
        <f t="shared" si="409"/>
        <v>PREESCOLAR</v>
      </c>
      <c r="B2230" s="26" t="str">
        <f>"09PJN4455C"</f>
        <v>09PJN4455C</v>
      </c>
      <c r="C2230" s="26" t="str">
        <f>"ROSITA                                                                                              "</f>
        <v xml:space="preserve">ROSITA                                                                                              </v>
      </c>
      <c r="D2230" s="26" t="str">
        <f t="shared" si="418"/>
        <v>MATUTINO</v>
      </c>
      <c r="E2230" s="26" t="str">
        <f>"CALLE 15 NO. 16                                                                 "</f>
        <v xml:space="preserve">CALLE 15 NO. 16                                                                 </v>
      </c>
      <c r="F2230" s="26" t="str">
        <f>"SANTA CRUZ MEYEHUALCO                                                                                                                       "</f>
        <v xml:space="preserve">SANTA CRUZ MEYEHUALCO                                                                                                                       </v>
      </c>
      <c r="G2230" s="26" t="str">
        <f t="shared" si="421"/>
        <v xml:space="preserve">IZTAPALAPA                                                                      </v>
      </c>
      <c r="H2230" s="26" t="str">
        <f t="shared" si="422"/>
        <v>000</v>
      </c>
      <c r="I2230" s="26" t="str">
        <f t="shared" si="410"/>
        <v>00</v>
      </c>
      <c r="J2230" s="26" t="str">
        <f>"64 "</f>
        <v xml:space="preserve">64 </v>
      </c>
      <c r="K2230" s="26" t="str">
        <f t="shared" si="423"/>
        <v>IZ</v>
      </c>
      <c r="L2230" s="26" t="str">
        <f t="shared" si="424"/>
        <v>DGSEI</v>
      </c>
      <c r="M2230" s="26" t="str">
        <f t="shared" si="408"/>
        <v>PARTICULAR</v>
      </c>
      <c r="N2230" s="26">
        <v>27</v>
      </c>
      <c r="O2230" s="26">
        <v>16</v>
      </c>
      <c r="P2230" s="26">
        <v>11</v>
      </c>
      <c r="Q2230" s="26">
        <v>3</v>
      </c>
      <c r="R2230" s="26">
        <v>1</v>
      </c>
      <c r="S2230" s="26">
        <v>3</v>
      </c>
      <c r="T2230" s="26">
        <v>1</v>
      </c>
      <c r="U2230" s="26">
        <v>5</v>
      </c>
      <c r="V2230" s="26">
        <v>1</v>
      </c>
      <c r="W2230" s="26"/>
    </row>
    <row r="2231" spans="1:23" x14ac:dyDescent="0.25">
      <c r="A2231" s="26" t="str">
        <f t="shared" si="409"/>
        <v>PREESCOLAR</v>
      </c>
      <c r="B2231" s="26" t="str">
        <f>"09PJN4456B"</f>
        <v>09PJN4456B</v>
      </c>
      <c r="C2231" s="26" t="str">
        <f>"AGUSTIN MELGAR                                                                                      "</f>
        <v xml:space="preserve">AGUSTIN MELGAR                                                                                      </v>
      </c>
      <c r="D2231" s="26" t="str">
        <f t="shared" si="418"/>
        <v>MATUTINO</v>
      </c>
      <c r="E2231" s="26" t="str">
        <f>"1RA. CDA. AGUSTIN MELGAR NO. 13                                                 "</f>
        <v xml:space="preserve">1RA. CDA. AGUSTIN MELGAR NO. 13                                                 </v>
      </c>
      <c r="F2231" s="26" t="str">
        <f>"LOMAS DE ZARAGOZA                                                                                                                           "</f>
        <v xml:space="preserve">LOMAS DE ZARAGOZA                                                                                                                           </v>
      </c>
      <c r="G2231" s="26" t="str">
        <f t="shared" si="421"/>
        <v xml:space="preserve">IZTAPALAPA                                                                      </v>
      </c>
      <c r="H2231" s="26" t="str">
        <f t="shared" si="422"/>
        <v>000</v>
      </c>
      <c r="I2231" s="26" t="str">
        <f t="shared" si="410"/>
        <v>00</v>
      </c>
      <c r="J2231" s="26" t="str">
        <f>"64 "</f>
        <v xml:space="preserve">64 </v>
      </c>
      <c r="K2231" s="26" t="str">
        <f t="shared" si="423"/>
        <v>IZ</v>
      </c>
      <c r="L2231" s="26" t="str">
        <f t="shared" si="424"/>
        <v>DGSEI</v>
      </c>
      <c r="M2231" s="26" t="str">
        <f t="shared" si="408"/>
        <v>PARTICULAR</v>
      </c>
      <c r="N2231" s="26">
        <v>30</v>
      </c>
      <c r="O2231" s="26">
        <v>14</v>
      </c>
      <c r="P2231" s="26">
        <v>16</v>
      </c>
      <c r="Q2231" s="26">
        <v>3</v>
      </c>
      <c r="R2231" s="26">
        <v>1</v>
      </c>
      <c r="S2231" s="26">
        <v>2</v>
      </c>
      <c r="T2231" s="26">
        <v>2</v>
      </c>
      <c r="U2231" s="26">
        <v>5</v>
      </c>
      <c r="V2231" s="26">
        <v>1</v>
      </c>
      <c r="W2231" s="26"/>
    </row>
    <row r="2232" spans="1:23" x14ac:dyDescent="0.25">
      <c r="A2232" s="26" t="str">
        <f t="shared" si="409"/>
        <v>PREESCOLAR</v>
      </c>
      <c r="B2232" s="26" t="str">
        <f>"09PJN4457A"</f>
        <v>09PJN4457A</v>
      </c>
      <c r="C2232" s="26" t="str">
        <f>"INFANCIA FELIZ                                                                                      "</f>
        <v xml:space="preserve">INFANCIA FELIZ                                                                                      </v>
      </c>
      <c r="D2232" s="26" t="str">
        <f t="shared" si="418"/>
        <v>MATUTINO</v>
      </c>
      <c r="E2232" s="26" t="str">
        <f>"AV HIDALGO NO 651                                                               "</f>
        <v xml:space="preserve">AV HIDALGO NO 651                                                               </v>
      </c>
      <c r="F2232" s="26" t="str">
        <f>"SAN MIGUEL AMPLIACION                                                                                                                       "</f>
        <v xml:space="preserve">SAN MIGUEL AMPLIACION                                                                                                                       </v>
      </c>
      <c r="G2232" s="26" t="str">
        <f t="shared" si="421"/>
        <v xml:space="preserve">IZTAPALAPA                                                                      </v>
      </c>
      <c r="H2232" s="26" t="str">
        <f t="shared" si="422"/>
        <v>000</v>
      </c>
      <c r="I2232" s="26" t="str">
        <f t="shared" si="410"/>
        <v>00</v>
      </c>
      <c r="J2232" s="26" t="str">
        <f>"61 "</f>
        <v xml:space="preserve">61 </v>
      </c>
      <c r="K2232" s="26" t="str">
        <f t="shared" si="423"/>
        <v>IZ</v>
      </c>
      <c r="L2232" s="26" t="str">
        <f t="shared" si="424"/>
        <v>DGSEI</v>
      </c>
      <c r="M2232" s="26" t="str">
        <f t="shared" si="408"/>
        <v>PARTICULAR</v>
      </c>
      <c r="N2232" s="26">
        <v>50</v>
      </c>
      <c r="O2232" s="26">
        <v>20</v>
      </c>
      <c r="P2232" s="26">
        <v>30</v>
      </c>
      <c r="Q2232" s="26">
        <v>2</v>
      </c>
      <c r="R2232" s="26">
        <v>0</v>
      </c>
      <c r="S2232" s="26">
        <v>2</v>
      </c>
      <c r="T2232" s="26">
        <v>1</v>
      </c>
      <c r="U2232" s="26">
        <v>3</v>
      </c>
      <c r="V2232" s="26">
        <v>1</v>
      </c>
      <c r="W2232" s="26"/>
    </row>
    <row r="2233" spans="1:23" x14ac:dyDescent="0.25">
      <c r="A2233" s="26" t="str">
        <f t="shared" si="409"/>
        <v>PREESCOLAR</v>
      </c>
      <c r="B2233" s="26" t="str">
        <f>"09PJN4458Z"</f>
        <v>09PJN4458Z</v>
      </c>
      <c r="C2233" s="26" t="str">
        <f>"LAS ARDILLITAS                                                                                      "</f>
        <v xml:space="preserve">LAS ARDILLITAS                                                                                      </v>
      </c>
      <c r="D2233" s="26" t="str">
        <f t="shared" si="418"/>
        <v>MATUTINO</v>
      </c>
      <c r="E2233" s="26" t="str">
        <f>"RIO HONDO MZ. 47 LT. 21                                                         "</f>
        <v xml:space="preserve">RIO HONDO MZ. 47 LT. 21                                                         </v>
      </c>
      <c r="F2233" s="26" t="str">
        <f>"PUENTE BLANCO                                                                                                                               "</f>
        <v xml:space="preserve">PUENTE BLANCO                                                                                                                               </v>
      </c>
      <c r="G2233" s="26" t="str">
        <f t="shared" si="421"/>
        <v xml:space="preserve">IZTAPALAPA                                                                      </v>
      </c>
      <c r="H2233" s="26" t="str">
        <f t="shared" si="422"/>
        <v>000</v>
      </c>
      <c r="I2233" s="26" t="str">
        <f t="shared" si="410"/>
        <v>00</v>
      </c>
      <c r="J2233" s="26" t="str">
        <f>"63 "</f>
        <v xml:space="preserve">63 </v>
      </c>
      <c r="K2233" s="26" t="str">
        <f t="shared" si="423"/>
        <v>IZ</v>
      </c>
      <c r="L2233" s="26" t="str">
        <f t="shared" si="424"/>
        <v>DGSEI</v>
      </c>
      <c r="M2233" s="26" t="str">
        <f t="shared" si="408"/>
        <v>PARTICULAR</v>
      </c>
      <c r="N2233" s="26">
        <v>25</v>
      </c>
      <c r="O2233" s="26">
        <v>16</v>
      </c>
      <c r="P2233" s="26">
        <v>9</v>
      </c>
      <c r="Q2233" s="26">
        <v>3</v>
      </c>
      <c r="R2233" s="26">
        <v>1</v>
      </c>
      <c r="S2233" s="26">
        <v>2</v>
      </c>
      <c r="T2233" s="26">
        <v>4</v>
      </c>
      <c r="U2233" s="26">
        <v>7</v>
      </c>
      <c r="V2233" s="26">
        <v>1</v>
      </c>
      <c r="W2233" s="26"/>
    </row>
    <row r="2234" spans="1:23" x14ac:dyDescent="0.25">
      <c r="A2234" s="26" t="str">
        <f t="shared" si="409"/>
        <v>PREESCOLAR</v>
      </c>
      <c r="B2234" s="26" t="str">
        <f>"09PJN4459Z"</f>
        <v>09PJN4459Z</v>
      </c>
      <c r="C2234" s="26" t="str">
        <f>"WONDERLAND                                                                                          "</f>
        <v xml:space="preserve">WONDERLAND                                                                                          </v>
      </c>
      <c r="D2234" s="26" t="str">
        <f t="shared" si="418"/>
        <v>MATUTINO</v>
      </c>
      <c r="E2234" s="26" t="str">
        <f>"RADAMES GAXIOLA NO. 505                                                         "</f>
        <v xml:space="preserve">RADAMES GAXIOLA NO. 505                                                         </v>
      </c>
      <c r="F2234" s="26" t="str">
        <f>"ESCUADRON 201                                                                                                                               "</f>
        <v xml:space="preserve">ESCUADRON 201                                                                                                                               </v>
      </c>
      <c r="G2234" s="26" t="str">
        <f t="shared" si="421"/>
        <v xml:space="preserve">IZTAPALAPA                                                                      </v>
      </c>
      <c r="H2234" s="26" t="str">
        <f t="shared" si="422"/>
        <v>000</v>
      </c>
      <c r="I2234" s="26" t="str">
        <f t="shared" si="410"/>
        <v>00</v>
      </c>
      <c r="J2234" s="26" t="str">
        <f>"61 "</f>
        <v xml:space="preserve">61 </v>
      </c>
      <c r="K2234" s="26" t="str">
        <f t="shared" si="423"/>
        <v>IZ</v>
      </c>
      <c r="L2234" s="26" t="str">
        <f t="shared" si="424"/>
        <v>DGSEI</v>
      </c>
      <c r="M2234" s="26" t="str">
        <f t="shared" si="408"/>
        <v>PARTICULAR</v>
      </c>
      <c r="N2234" s="26">
        <v>16</v>
      </c>
      <c r="O2234" s="26">
        <v>8</v>
      </c>
      <c r="P2234" s="26">
        <v>8</v>
      </c>
      <c r="Q2234" s="26">
        <v>3</v>
      </c>
      <c r="R2234" s="26">
        <v>1</v>
      </c>
      <c r="S2234" s="26">
        <v>2</v>
      </c>
      <c r="T2234" s="26">
        <v>2</v>
      </c>
      <c r="U2234" s="26">
        <v>5</v>
      </c>
      <c r="V2234" s="26">
        <v>1</v>
      </c>
      <c r="W2234" s="26"/>
    </row>
    <row r="2235" spans="1:23" x14ac:dyDescent="0.25">
      <c r="A2235" s="26" t="str">
        <f t="shared" si="409"/>
        <v>PREESCOLAR</v>
      </c>
      <c r="B2235" s="26" t="str">
        <f>"09PJN4461N"</f>
        <v>09PJN4461N</v>
      </c>
      <c r="C2235" s="26" t="str">
        <f>"ANNA FREUD                                                                                          "</f>
        <v xml:space="preserve">ANNA FREUD                                                                                          </v>
      </c>
      <c r="D2235" s="26" t="str">
        <f>"TIEMPO COMPLETO"</f>
        <v>TIEMPO COMPLETO</v>
      </c>
      <c r="E2235" s="26" t="str">
        <f>"IGNACIO L. VALLARTA NO. 84                                                      "</f>
        <v xml:space="preserve">IGNACIO L. VALLARTA NO. 84                                                      </v>
      </c>
      <c r="F2235" s="26" t="str">
        <f>"JACARANDAS                                                                                                                                  "</f>
        <v xml:space="preserve">JACARANDAS                                                                                                                                  </v>
      </c>
      <c r="G2235" s="26" t="str">
        <f t="shared" si="421"/>
        <v xml:space="preserve">IZTAPALAPA                                                                      </v>
      </c>
      <c r="H2235" s="26" t="str">
        <f t="shared" si="422"/>
        <v>000</v>
      </c>
      <c r="I2235" s="26" t="str">
        <f t="shared" si="410"/>
        <v>00</v>
      </c>
      <c r="J2235" s="26" t="str">
        <f>"64 "</f>
        <v xml:space="preserve">64 </v>
      </c>
      <c r="K2235" s="26" t="str">
        <f t="shared" si="423"/>
        <v>IZ</v>
      </c>
      <c r="L2235" s="26" t="str">
        <f t="shared" si="424"/>
        <v>DGSEI</v>
      </c>
      <c r="M2235" s="26" t="str">
        <f t="shared" si="408"/>
        <v>PARTICULAR</v>
      </c>
      <c r="N2235" s="26">
        <v>25</v>
      </c>
      <c r="O2235" s="26">
        <v>16</v>
      </c>
      <c r="P2235" s="26">
        <v>9</v>
      </c>
      <c r="Q2235" s="26">
        <v>2</v>
      </c>
      <c r="R2235" s="26">
        <v>1</v>
      </c>
      <c r="S2235" s="26">
        <v>1</v>
      </c>
      <c r="T2235" s="26">
        <v>2</v>
      </c>
      <c r="U2235" s="26">
        <v>4</v>
      </c>
      <c r="V2235" s="26">
        <v>1</v>
      </c>
      <c r="W2235" s="26"/>
    </row>
    <row r="2236" spans="1:23" x14ac:dyDescent="0.25">
      <c r="A2236" s="26" t="str">
        <f t="shared" si="409"/>
        <v>PREESCOLAR</v>
      </c>
      <c r="B2236" s="26" t="str">
        <f>"09PJN4462M"</f>
        <v>09PJN4462M</v>
      </c>
      <c r="C2236" s="26" t="str">
        <f>"COLEGIO MEXICO LIBRE                                                                                "</f>
        <v xml:space="preserve">COLEGIO MEXICO LIBRE                                                                                </v>
      </c>
      <c r="D2236" s="26" t="str">
        <f t="shared" ref="D2236:D2273" si="425">"MATUTINO"</f>
        <v>MATUTINO</v>
      </c>
      <c r="E2236" s="26" t="str">
        <f>"CIRUJANOS NO. 36                                                                "</f>
        <v xml:space="preserve">CIRUJANOS NO. 36                                                                </v>
      </c>
      <c r="F2236" s="26" t="str">
        <f>"SIFON AMPLIACION                                                                                                                            "</f>
        <v xml:space="preserve">SIFON AMPLIACION                                                                                                                            </v>
      </c>
      <c r="G2236" s="26" t="str">
        <f t="shared" si="421"/>
        <v xml:space="preserve">IZTAPALAPA                                                                      </v>
      </c>
      <c r="H2236" s="26" t="str">
        <f t="shared" si="422"/>
        <v>000</v>
      </c>
      <c r="I2236" s="26" t="str">
        <f t="shared" si="410"/>
        <v>00</v>
      </c>
      <c r="J2236" s="26" t="str">
        <f>"61 "</f>
        <v xml:space="preserve">61 </v>
      </c>
      <c r="K2236" s="26" t="str">
        <f t="shared" si="423"/>
        <v>IZ</v>
      </c>
      <c r="L2236" s="26" t="str">
        <f t="shared" si="424"/>
        <v>DGSEI</v>
      </c>
      <c r="M2236" s="26" t="str">
        <f t="shared" si="408"/>
        <v>PARTICULAR</v>
      </c>
      <c r="N2236" s="26">
        <v>14</v>
      </c>
      <c r="O2236" s="26">
        <v>9</v>
      </c>
      <c r="P2236" s="26">
        <v>5</v>
      </c>
      <c r="Q2236" s="26">
        <v>2</v>
      </c>
      <c r="R2236" s="26">
        <v>1</v>
      </c>
      <c r="S2236" s="26">
        <v>1</v>
      </c>
      <c r="T2236" s="26">
        <v>5</v>
      </c>
      <c r="U2236" s="26">
        <v>7</v>
      </c>
      <c r="V2236" s="26">
        <v>1</v>
      </c>
      <c r="W2236" s="26"/>
    </row>
    <row r="2237" spans="1:23" x14ac:dyDescent="0.25">
      <c r="A2237" s="26" t="str">
        <f t="shared" si="409"/>
        <v>PREESCOLAR</v>
      </c>
      <c r="B2237" s="26" t="str">
        <f>"09PJN4464K"</f>
        <v>09PJN4464K</v>
      </c>
      <c r="C2237" s="26" t="str">
        <f>"JARDIN DE NIÑOS TOWI                                                                                "</f>
        <v xml:space="preserve">JARDIN DE NIÑOS TOWI                                                                                </v>
      </c>
      <c r="D2237" s="26" t="str">
        <f t="shared" si="425"/>
        <v>MATUTINO</v>
      </c>
      <c r="E2237" s="26" t="str">
        <f>"PRIVADA AJUSCO (ZACAPULAS) NO.18                                                "</f>
        <v xml:space="preserve">PRIVADA AJUSCO (ZACAPULAS) NO.18                                                </v>
      </c>
      <c r="F2237" s="26" t="str">
        <f>"SANTA URSULA XITLA                                                                                                                          "</f>
        <v xml:space="preserve">SANTA URSULA XITLA                                                                                                                          </v>
      </c>
      <c r="G2237" s="26" t="str">
        <f>"TLALPAN                                                                         "</f>
        <v xml:space="preserve">TLALPAN                                                                         </v>
      </c>
      <c r="H2237" s="26" t="str">
        <f>"222"</f>
        <v>222</v>
      </c>
      <c r="I2237" s="26" t="str">
        <f t="shared" si="410"/>
        <v>00</v>
      </c>
      <c r="J2237" s="26" t="str">
        <f>"35 "</f>
        <v xml:space="preserve">35 </v>
      </c>
      <c r="K2237" s="26" t="str">
        <f>"EP"</f>
        <v>EP</v>
      </c>
      <c r="L2237" s="26" t="str">
        <f>"DGOSE"</f>
        <v>DGOSE</v>
      </c>
      <c r="M2237" s="26" t="str">
        <f t="shared" si="408"/>
        <v>PARTICULAR</v>
      </c>
      <c r="N2237" s="26">
        <v>41</v>
      </c>
      <c r="O2237" s="26">
        <v>25</v>
      </c>
      <c r="P2237" s="26">
        <v>16</v>
      </c>
      <c r="Q2237" s="26">
        <v>3</v>
      </c>
      <c r="R2237" s="26">
        <v>1</v>
      </c>
      <c r="S2237" s="26">
        <v>3</v>
      </c>
      <c r="T2237" s="26">
        <v>0</v>
      </c>
      <c r="U2237" s="26">
        <v>4</v>
      </c>
      <c r="V2237" s="26">
        <v>1</v>
      </c>
      <c r="W2237" s="26"/>
    </row>
    <row r="2238" spans="1:23" x14ac:dyDescent="0.25">
      <c r="A2238" s="26" t="str">
        <f t="shared" si="409"/>
        <v>PREESCOLAR</v>
      </c>
      <c r="B2238" s="26" t="str">
        <f>"09PJN4466I"</f>
        <v>09PJN4466I</v>
      </c>
      <c r="C2238" s="26" t="str">
        <f>"COLEGIO YUME                                                                                        "</f>
        <v xml:space="preserve">COLEGIO YUME                                                                                        </v>
      </c>
      <c r="D2238" s="26" t="str">
        <f t="shared" si="425"/>
        <v>MATUTINO</v>
      </c>
      <c r="E2238" s="26" t="str">
        <f>"RAMON LOPEZ MZ. 60 LT. 13                                                       "</f>
        <v xml:space="preserve">RAMON LOPEZ MZ. 60 LT. 13                                                       </v>
      </c>
      <c r="F2238" s="26" t="str">
        <f>"LOS ANGELES                                                                                                                                 "</f>
        <v xml:space="preserve">LOS ANGELES                                                                                                                                 </v>
      </c>
      <c r="G2238" s="26" t="str">
        <f t="shared" ref="G2238:G2295" si="426">"IZTAPALAPA                                                                      "</f>
        <v xml:space="preserve">IZTAPALAPA                                                                      </v>
      </c>
      <c r="H2238" s="26" t="str">
        <f t="shared" ref="H2238:H2252" si="427">"000"</f>
        <v>000</v>
      </c>
      <c r="I2238" s="26" t="str">
        <f t="shared" si="410"/>
        <v>00</v>
      </c>
      <c r="J2238" s="26" t="str">
        <f>"63 "</f>
        <v xml:space="preserve">63 </v>
      </c>
      <c r="K2238" s="26" t="str">
        <f t="shared" ref="K2238:K2295" si="428">"IZ"</f>
        <v>IZ</v>
      </c>
      <c r="L2238" s="26" t="str">
        <f t="shared" ref="L2238:L2295" si="429">"DGSEI"</f>
        <v>DGSEI</v>
      </c>
      <c r="M2238" s="26" t="str">
        <f t="shared" si="408"/>
        <v>PARTICULAR</v>
      </c>
      <c r="N2238" s="26">
        <v>13</v>
      </c>
      <c r="O2238" s="26">
        <v>8</v>
      </c>
      <c r="P2238" s="26">
        <v>5</v>
      </c>
      <c r="Q2238" s="26">
        <v>3</v>
      </c>
      <c r="R2238" s="26">
        <v>1</v>
      </c>
      <c r="S2238" s="26">
        <v>1</v>
      </c>
      <c r="T2238" s="26">
        <v>4</v>
      </c>
      <c r="U2238" s="26">
        <v>6</v>
      </c>
      <c r="V2238" s="26">
        <v>1</v>
      </c>
      <c r="W2238" s="26"/>
    </row>
    <row r="2239" spans="1:23" x14ac:dyDescent="0.25">
      <c r="A2239" s="26" t="str">
        <f t="shared" si="409"/>
        <v>PREESCOLAR</v>
      </c>
      <c r="B2239" s="26" t="str">
        <f>"09PJN4468G"</f>
        <v>09PJN4468G</v>
      </c>
      <c r="C2239" s="26" t="str">
        <f>"CENTRO EDUCATIVO SALVADOR ALLENDE                                                                   "</f>
        <v xml:space="preserve">CENTRO EDUCATIVO SALVADOR ALLENDE                                                                   </v>
      </c>
      <c r="D2239" s="26" t="str">
        <f t="shared" si="425"/>
        <v>MATUTINO</v>
      </c>
      <c r="E2239" s="26" t="str">
        <f>"ASTER MZ. 505 LT. 11                                                            "</f>
        <v xml:space="preserve">ASTER MZ. 505 LT. 11                                                            </v>
      </c>
      <c r="F2239" s="26" t="str">
        <f>"SAN MIGUEL TEOTONGO                                                                                                                         "</f>
        <v xml:space="preserve">SAN MIGUEL TEOTONGO                                                                                                                         </v>
      </c>
      <c r="G2239" s="26" t="str">
        <f t="shared" si="426"/>
        <v xml:space="preserve">IZTAPALAPA                                                                      </v>
      </c>
      <c r="H2239" s="26" t="str">
        <f t="shared" si="427"/>
        <v>000</v>
      </c>
      <c r="I2239" s="26" t="str">
        <f t="shared" si="410"/>
        <v>00</v>
      </c>
      <c r="J2239" s="26" t="str">
        <f>"64 "</f>
        <v xml:space="preserve">64 </v>
      </c>
      <c r="K2239" s="26" t="str">
        <f t="shared" si="428"/>
        <v>IZ</v>
      </c>
      <c r="L2239" s="26" t="str">
        <f t="shared" si="429"/>
        <v>DGSEI</v>
      </c>
      <c r="M2239" s="26" t="str">
        <f t="shared" ref="M2239:M2302" si="430">"PARTICULAR"</f>
        <v>PARTICULAR</v>
      </c>
      <c r="N2239" s="26">
        <v>47</v>
      </c>
      <c r="O2239" s="26">
        <v>32</v>
      </c>
      <c r="P2239" s="26">
        <v>15</v>
      </c>
      <c r="Q2239" s="26">
        <v>3</v>
      </c>
      <c r="R2239" s="26">
        <v>1</v>
      </c>
      <c r="S2239" s="26">
        <v>3</v>
      </c>
      <c r="T2239" s="26">
        <v>0</v>
      </c>
      <c r="U2239" s="26">
        <v>4</v>
      </c>
      <c r="V2239" s="26">
        <v>1</v>
      </c>
      <c r="W2239" s="26"/>
    </row>
    <row r="2240" spans="1:23" x14ac:dyDescent="0.25">
      <c r="A2240" s="26" t="str">
        <f t="shared" si="409"/>
        <v>PREESCOLAR</v>
      </c>
      <c r="B2240" s="26" t="str">
        <f>"09PJN4469F"</f>
        <v>09PJN4469F</v>
      </c>
      <c r="C2240" s="26" t="str">
        <f>"CENTRO DE ATENCION PREESCOLAR PESTALOZZI                                                            "</f>
        <v xml:space="preserve">CENTRO DE ATENCION PREESCOLAR PESTALOZZI                                                            </v>
      </c>
      <c r="D2240" s="26" t="str">
        <f t="shared" si="425"/>
        <v>MATUTINO</v>
      </c>
      <c r="E2240" s="26" t="str">
        <f>"ANDADOR 1 LA ROQUETA MZ. 21 LT. 15                                              "</f>
        <v xml:space="preserve">ANDADOR 1 LA ROQUETA MZ. 21 LT. 15                                              </v>
      </c>
      <c r="F2240" s="26" t="str">
        <f>"UNIDAD HABITACIONAL ERMITA ZARAGOZA                                                                                                         "</f>
        <v xml:space="preserve">UNIDAD HABITACIONAL ERMITA ZARAGOZA                                                                                                         </v>
      </c>
      <c r="G2240" s="26" t="str">
        <f t="shared" si="426"/>
        <v xml:space="preserve">IZTAPALAPA                                                                      </v>
      </c>
      <c r="H2240" s="26" t="str">
        <f t="shared" si="427"/>
        <v>000</v>
      </c>
      <c r="I2240" s="26" t="str">
        <f t="shared" si="410"/>
        <v>00</v>
      </c>
      <c r="J2240" s="26" t="str">
        <f>"62 "</f>
        <v xml:space="preserve">62 </v>
      </c>
      <c r="K2240" s="26" t="str">
        <f t="shared" si="428"/>
        <v>IZ</v>
      </c>
      <c r="L2240" s="26" t="str">
        <f t="shared" si="429"/>
        <v>DGSEI</v>
      </c>
      <c r="M2240" s="26" t="str">
        <f t="shared" si="430"/>
        <v>PARTICULAR</v>
      </c>
      <c r="N2240" s="26">
        <v>27</v>
      </c>
      <c r="O2240" s="26">
        <v>14</v>
      </c>
      <c r="P2240" s="26">
        <v>13</v>
      </c>
      <c r="Q2240" s="26">
        <v>3</v>
      </c>
      <c r="R2240" s="26">
        <v>1</v>
      </c>
      <c r="S2240" s="26">
        <v>3</v>
      </c>
      <c r="T2240" s="26">
        <v>1</v>
      </c>
      <c r="U2240" s="26">
        <v>5</v>
      </c>
      <c r="V2240" s="26">
        <v>1</v>
      </c>
      <c r="W2240" s="26"/>
    </row>
    <row r="2241" spans="1:23" x14ac:dyDescent="0.25">
      <c r="A2241" s="26" t="str">
        <f t="shared" si="409"/>
        <v>PREESCOLAR</v>
      </c>
      <c r="B2241" s="26" t="str">
        <f>"09PJN4470V"</f>
        <v>09PJN4470V</v>
      </c>
      <c r="C2241" s="26" t="str">
        <f>"PABLO NERUDA                                                                                        "</f>
        <v xml:space="preserve">PABLO NERUDA                                                                                        </v>
      </c>
      <c r="D2241" s="26" t="str">
        <f t="shared" si="425"/>
        <v>MATUTINO</v>
      </c>
      <c r="E2241" s="26" t="str">
        <f>"GUAYACAN MZ 16 LT 16                                                            "</f>
        <v xml:space="preserve">GUAYACAN MZ 16 LT 16                                                            </v>
      </c>
      <c r="F2241" s="26" t="str">
        <f>"XALPA                                                                                                                                       "</f>
        <v xml:space="preserve">XALPA                                                                                                                                       </v>
      </c>
      <c r="G2241" s="26" t="str">
        <f t="shared" si="426"/>
        <v xml:space="preserve">IZTAPALAPA                                                                      </v>
      </c>
      <c r="H2241" s="26" t="str">
        <f t="shared" si="427"/>
        <v>000</v>
      </c>
      <c r="I2241" s="26" t="str">
        <f t="shared" si="410"/>
        <v>00</v>
      </c>
      <c r="J2241" s="26" t="str">
        <f>"64 "</f>
        <v xml:space="preserve">64 </v>
      </c>
      <c r="K2241" s="26" t="str">
        <f t="shared" si="428"/>
        <v>IZ</v>
      </c>
      <c r="L2241" s="26" t="str">
        <f t="shared" si="429"/>
        <v>DGSEI</v>
      </c>
      <c r="M2241" s="26" t="str">
        <f t="shared" si="430"/>
        <v>PARTICULAR</v>
      </c>
      <c r="N2241" s="26">
        <v>24</v>
      </c>
      <c r="O2241" s="26">
        <v>17</v>
      </c>
      <c r="P2241" s="26">
        <v>7</v>
      </c>
      <c r="Q2241" s="26">
        <v>3</v>
      </c>
      <c r="R2241" s="26">
        <v>1</v>
      </c>
      <c r="S2241" s="26">
        <v>2</v>
      </c>
      <c r="T2241" s="26">
        <v>3</v>
      </c>
      <c r="U2241" s="26">
        <v>6</v>
      </c>
      <c r="V2241" s="26">
        <v>1</v>
      </c>
      <c r="W2241" s="26"/>
    </row>
    <row r="2242" spans="1:23" x14ac:dyDescent="0.25">
      <c r="A2242" s="26" t="str">
        <f t="shared" ref="A2242:A2305" si="431">"PREESCOLAR"</f>
        <v>PREESCOLAR</v>
      </c>
      <c r="B2242" s="26" t="str">
        <f>"09PJN4471U"</f>
        <v>09PJN4471U</v>
      </c>
      <c r="C2242" s="26" t="str">
        <f>"CENTRO EDUCATIVO LUMEIT                                                                             "</f>
        <v xml:space="preserve">CENTRO EDUCATIVO LUMEIT                                                                             </v>
      </c>
      <c r="D2242" s="26" t="str">
        <f t="shared" si="425"/>
        <v>MATUTINO</v>
      </c>
      <c r="E2242" s="26" t="str">
        <f>"LAZARO CARDENAS NO. 10                                                          "</f>
        <v xml:space="preserve">LAZARO CARDENAS NO. 10                                                          </v>
      </c>
      <c r="F2242" s="26" t="str">
        <f>"PRESIDENTES DE MEXICO                                                                                                                       "</f>
        <v xml:space="preserve">PRESIDENTES DE MEXICO                                                                                                                       </v>
      </c>
      <c r="G2242" s="26" t="str">
        <f t="shared" si="426"/>
        <v xml:space="preserve">IZTAPALAPA                                                                      </v>
      </c>
      <c r="H2242" s="26" t="str">
        <f t="shared" si="427"/>
        <v>000</v>
      </c>
      <c r="I2242" s="26" t="str">
        <f t="shared" ref="I2242:I2305" si="432">"00"</f>
        <v>00</v>
      </c>
      <c r="J2242" s="26" t="str">
        <f>"63 "</f>
        <v xml:space="preserve">63 </v>
      </c>
      <c r="K2242" s="26" t="str">
        <f t="shared" si="428"/>
        <v>IZ</v>
      </c>
      <c r="L2242" s="26" t="str">
        <f t="shared" si="429"/>
        <v>DGSEI</v>
      </c>
      <c r="M2242" s="26" t="str">
        <f t="shared" si="430"/>
        <v>PARTICULAR</v>
      </c>
      <c r="N2242" s="26">
        <v>18</v>
      </c>
      <c r="O2242" s="26">
        <v>9</v>
      </c>
      <c r="P2242" s="26">
        <v>9</v>
      </c>
      <c r="Q2242" s="26">
        <v>3</v>
      </c>
      <c r="R2242" s="26">
        <v>1</v>
      </c>
      <c r="S2242" s="26">
        <v>2</v>
      </c>
      <c r="T2242" s="26">
        <v>3</v>
      </c>
      <c r="U2242" s="26">
        <v>6</v>
      </c>
      <c r="V2242" s="26">
        <v>1</v>
      </c>
      <c r="W2242" s="26"/>
    </row>
    <row r="2243" spans="1:23" x14ac:dyDescent="0.25">
      <c r="A2243" s="26" t="str">
        <f t="shared" si="431"/>
        <v>PREESCOLAR</v>
      </c>
      <c r="B2243" s="26" t="str">
        <f>"09PJN4472T"</f>
        <v>09PJN4472T</v>
      </c>
      <c r="C2243" s="26" t="str">
        <f>"MAZAHUA                                                                                             "</f>
        <v xml:space="preserve">MAZAHUA                                                                                             </v>
      </c>
      <c r="D2243" s="26" t="str">
        <f t="shared" si="425"/>
        <v>MATUTINO</v>
      </c>
      <c r="E2243" s="26" t="str">
        <f>"AV. HIDALGO NO. 141                                                             "</f>
        <v xml:space="preserve">AV. HIDALGO NO. 141                                                             </v>
      </c>
      <c r="F2243" s="26" t="str">
        <f>"BARRIO SAN PABLO                                                                                                                            "</f>
        <v xml:space="preserve">BARRIO SAN PABLO                                                                                                                            </v>
      </c>
      <c r="G2243" s="26" t="str">
        <f t="shared" si="426"/>
        <v xml:space="preserve">IZTAPALAPA                                                                      </v>
      </c>
      <c r="H2243" s="26" t="str">
        <f t="shared" si="427"/>
        <v>000</v>
      </c>
      <c r="I2243" s="26" t="str">
        <f t="shared" si="432"/>
        <v>00</v>
      </c>
      <c r="J2243" s="26" t="str">
        <f>"61 "</f>
        <v xml:space="preserve">61 </v>
      </c>
      <c r="K2243" s="26" t="str">
        <f t="shared" si="428"/>
        <v>IZ</v>
      </c>
      <c r="L2243" s="26" t="str">
        <f t="shared" si="429"/>
        <v>DGSEI</v>
      </c>
      <c r="M2243" s="26" t="str">
        <f t="shared" si="430"/>
        <v>PARTICULAR</v>
      </c>
      <c r="N2243" s="26">
        <v>40</v>
      </c>
      <c r="O2243" s="26">
        <v>19</v>
      </c>
      <c r="P2243" s="26">
        <v>21</v>
      </c>
      <c r="Q2243" s="26">
        <v>3</v>
      </c>
      <c r="R2243" s="26">
        <v>1</v>
      </c>
      <c r="S2243" s="26">
        <v>3</v>
      </c>
      <c r="T2243" s="26">
        <v>0</v>
      </c>
      <c r="U2243" s="26">
        <v>4</v>
      </c>
      <c r="V2243" s="26">
        <v>1</v>
      </c>
      <c r="W2243" s="26"/>
    </row>
    <row r="2244" spans="1:23" x14ac:dyDescent="0.25">
      <c r="A2244" s="26" t="str">
        <f t="shared" si="431"/>
        <v>PREESCOLAR</v>
      </c>
      <c r="B2244" s="26" t="str">
        <f>"09PJN4473S"</f>
        <v>09PJN4473S</v>
      </c>
      <c r="C2244" s="26" t="str">
        <f>"MONTE ALBAN                                                                                         "</f>
        <v xml:space="preserve">MONTE ALBAN                                                                                         </v>
      </c>
      <c r="D2244" s="26" t="str">
        <f t="shared" si="425"/>
        <v>MATUTINO</v>
      </c>
      <c r="E2244" s="26" t="str">
        <f>"AVENIDA 4 Mz. 8 Lt. 8                                                           "</f>
        <v xml:space="preserve">AVENIDA 4 Mz. 8 Lt. 8                                                           </v>
      </c>
      <c r="F2244" s="26" t="str">
        <f>"RENOVACION                                                                                                                                  "</f>
        <v xml:space="preserve">RENOVACION                                                                                                                                  </v>
      </c>
      <c r="G2244" s="26" t="str">
        <f t="shared" si="426"/>
        <v xml:space="preserve">IZTAPALAPA                                                                      </v>
      </c>
      <c r="H2244" s="26" t="str">
        <f t="shared" si="427"/>
        <v>000</v>
      </c>
      <c r="I2244" s="26" t="str">
        <f t="shared" si="432"/>
        <v>00</v>
      </c>
      <c r="J2244" s="26" t="str">
        <f>"62 "</f>
        <v xml:space="preserve">62 </v>
      </c>
      <c r="K2244" s="26" t="str">
        <f t="shared" si="428"/>
        <v>IZ</v>
      </c>
      <c r="L2244" s="26" t="str">
        <f t="shared" si="429"/>
        <v>DGSEI</v>
      </c>
      <c r="M2244" s="26" t="str">
        <f t="shared" si="430"/>
        <v>PARTICULAR</v>
      </c>
      <c r="N2244" s="26">
        <v>38</v>
      </c>
      <c r="O2244" s="26">
        <v>20</v>
      </c>
      <c r="P2244" s="26">
        <v>18</v>
      </c>
      <c r="Q2244" s="26">
        <v>3</v>
      </c>
      <c r="R2244" s="26">
        <v>1</v>
      </c>
      <c r="S2244" s="26">
        <v>2</v>
      </c>
      <c r="T2244" s="26">
        <v>1</v>
      </c>
      <c r="U2244" s="26">
        <v>4</v>
      </c>
      <c r="V2244" s="26">
        <v>1</v>
      </c>
      <c r="W2244" s="26"/>
    </row>
    <row r="2245" spans="1:23" x14ac:dyDescent="0.25">
      <c r="A2245" s="26" t="str">
        <f t="shared" si="431"/>
        <v>PREESCOLAR</v>
      </c>
      <c r="B2245" s="26" t="str">
        <f>"09PJN4475Q"</f>
        <v>09PJN4475Q</v>
      </c>
      <c r="C2245" s="26" t="str">
        <f>"INSTITUTO DE ENSEÑANZA PREESCOLAR TOHUI                                                             "</f>
        <v xml:space="preserve">INSTITUTO DE ENSEÑANZA PREESCOLAR TOHUI                                                             </v>
      </c>
      <c r="D2245" s="26" t="str">
        <f t="shared" si="425"/>
        <v>MATUTINO</v>
      </c>
      <c r="E2245" s="26" t="str">
        <f>"JOSE MANUEL FLORES NO. 15                                                       "</f>
        <v xml:space="preserve">JOSE MANUEL FLORES NO. 15                                                       </v>
      </c>
      <c r="F2245" s="26" t="str">
        <f>"UNIDAD HABITACIONAL VICENTE GUERRER                                                                                                         "</f>
        <v xml:space="preserve">UNIDAD HABITACIONAL VICENTE GUERRER                                                                                                         </v>
      </c>
      <c r="G2245" s="26" t="str">
        <f t="shared" si="426"/>
        <v xml:space="preserve">IZTAPALAPA                                                                      </v>
      </c>
      <c r="H2245" s="26" t="str">
        <f t="shared" si="427"/>
        <v>000</v>
      </c>
      <c r="I2245" s="26" t="str">
        <f t="shared" si="432"/>
        <v>00</v>
      </c>
      <c r="J2245" s="26" t="str">
        <f>"64 "</f>
        <v xml:space="preserve">64 </v>
      </c>
      <c r="K2245" s="26" t="str">
        <f t="shared" si="428"/>
        <v>IZ</v>
      </c>
      <c r="L2245" s="26" t="str">
        <f t="shared" si="429"/>
        <v>DGSEI</v>
      </c>
      <c r="M2245" s="26" t="str">
        <f t="shared" si="430"/>
        <v>PARTICULAR</v>
      </c>
      <c r="N2245" s="26">
        <v>53</v>
      </c>
      <c r="O2245" s="26">
        <v>26</v>
      </c>
      <c r="P2245" s="26">
        <v>27</v>
      </c>
      <c r="Q2245" s="26">
        <v>4</v>
      </c>
      <c r="R2245" s="26">
        <v>1</v>
      </c>
      <c r="S2245" s="26">
        <v>3</v>
      </c>
      <c r="T2245" s="26">
        <v>5</v>
      </c>
      <c r="U2245" s="26">
        <v>9</v>
      </c>
      <c r="V2245" s="26">
        <v>1</v>
      </c>
      <c r="W2245" s="26"/>
    </row>
    <row r="2246" spans="1:23" x14ac:dyDescent="0.25">
      <c r="A2246" s="26" t="str">
        <f t="shared" si="431"/>
        <v>PREESCOLAR</v>
      </c>
      <c r="B2246" s="26" t="str">
        <f>"09PJN4476P"</f>
        <v>09PJN4476P</v>
      </c>
      <c r="C2246" s="26" t="str">
        <f>"JUAN ESCUTIA                                                                                        "</f>
        <v xml:space="preserve">JUAN ESCUTIA                                                                                        </v>
      </c>
      <c r="D2246" s="26" t="str">
        <f t="shared" si="425"/>
        <v>MATUTINO</v>
      </c>
      <c r="E2246" s="26" t="str">
        <f>"PEDRO MORENO LT. 12 MZ. 21                                                      "</f>
        <v xml:space="preserve">PEDRO MORENO LT. 12 MZ. 21                                                      </v>
      </c>
      <c r="F2246" s="26" t="str">
        <f>"LA HERA                                                                                                                                     "</f>
        <v xml:space="preserve">LA HERA                                                                                                                                     </v>
      </c>
      <c r="G2246" s="26" t="str">
        <f t="shared" si="426"/>
        <v xml:space="preserve">IZTAPALAPA                                                                      </v>
      </c>
      <c r="H2246" s="26" t="str">
        <f t="shared" si="427"/>
        <v>000</v>
      </c>
      <c r="I2246" s="26" t="str">
        <f t="shared" si="432"/>
        <v>00</v>
      </c>
      <c r="J2246" s="26" t="str">
        <f>"63 "</f>
        <v xml:space="preserve">63 </v>
      </c>
      <c r="K2246" s="26" t="str">
        <f t="shared" si="428"/>
        <v>IZ</v>
      </c>
      <c r="L2246" s="26" t="str">
        <f t="shared" si="429"/>
        <v>DGSEI</v>
      </c>
      <c r="M2246" s="26" t="str">
        <f t="shared" si="430"/>
        <v>PARTICULAR</v>
      </c>
      <c r="N2246" s="26">
        <v>14</v>
      </c>
      <c r="O2246" s="26">
        <v>6</v>
      </c>
      <c r="P2246" s="26">
        <v>8</v>
      </c>
      <c r="Q2246" s="26">
        <v>3</v>
      </c>
      <c r="R2246" s="26">
        <v>1</v>
      </c>
      <c r="S2246" s="26">
        <v>2</v>
      </c>
      <c r="T2246" s="26">
        <v>4</v>
      </c>
      <c r="U2246" s="26">
        <v>7</v>
      </c>
      <c r="V2246" s="26">
        <v>1</v>
      </c>
      <c r="W2246" s="26"/>
    </row>
    <row r="2247" spans="1:23" x14ac:dyDescent="0.25">
      <c r="A2247" s="26" t="str">
        <f t="shared" si="431"/>
        <v>PREESCOLAR</v>
      </c>
      <c r="B2247" s="26" t="str">
        <f>"09PJN4477O"</f>
        <v>09PJN4477O</v>
      </c>
      <c r="C2247" s="26" t="str">
        <f>"EL MUNDO DEL SABER                                                                                  "</f>
        <v xml:space="preserve">EL MUNDO DEL SABER                                                                                  </v>
      </c>
      <c r="D2247" s="26" t="str">
        <f t="shared" si="425"/>
        <v>MATUTINO</v>
      </c>
      <c r="E2247" s="26" t="str">
        <f>"PRIVADA DE TRABAJADORAS SOCIALES NO. 25                                         "</f>
        <v xml:space="preserve">PRIVADA DE TRABAJADORAS SOCIALES NO. 25                                         </v>
      </c>
      <c r="F2247" s="26" t="str">
        <f>"SAN JOSE ACULCO                                                                                                                             "</f>
        <v xml:space="preserve">SAN JOSE ACULCO                                                                                                                             </v>
      </c>
      <c r="G2247" s="26" t="str">
        <f t="shared" si="426"/>
        <v xml:space="preserve">IZTAPALAPA                                                                      </v>
      </c>
      <c r="H2247" s="26" t="str">
        <f t="shared" si="427"/>
        <v>000</v>
      </c>
      <c r="I2247" s="26" t="str">
        <f t="shared" si="432"/>
        <v>00</v>
      </c>
      <c r="J2247" s="26" t="str">
        <f>"61 "</f>
        <v xml:space="preserve">61 </v>
      </c>
      <c r="K2247" s="26" t="str">
        <f t="shared" si="428"/>
        <v>IZ</v>
      </c>
      <c r="L2247" s="26" t="str">
        <f t="shared" si="429"/>
        <v>DGSEI</v>
      </c>
      <c r="M2247" s="26" t="str">
        <f t="shared" si="430"/>
        <v>PARTICULAR</v>
      </c>
      <c r="N2247" s="26">
        <v>36</v>
      </c>
      <c r="O2247" s="26">
        <v>16</v>
      </c>
      <c r="P2247" s="26">
        <v>20</v>
      </c>
      <c r="Q2247" s="26">
        <v>3</v>
      </c>
      <c r="R2247" s="26">
        <v>1</v>
      </c>
      <c r="S2247" s="26">
        <v>2</v>
      </c>
      <c r="T2247" s="26">
        <v>2</v>
      </c>
      <c r="U2247" s="26">
        <v>5</v>
      </c>
      <c r="V2247" s="26">
        <v>1</v>
      </c>
      <c r="W2247" s="26"/>
    </row>
    <row r="2248" spans="1:23" x14ac:dyDescent="0.25">
      <c r="A2248" s="26" t="str">
        <f t="shared" si="431"/>
        <v>PREESCOLAR</v>
      </c>
      <c r="B2248" s="26" t="str">
        <f>"09PJN4479M"</f>
        <v>09PJN4479M</v>
      </c>
      <c r="C2248" s="26" t="str">
        <f>"CHARLY BROWN                                                                                        "</f>
        <v xml:space="preserve">CHARLY BROWN                                                                                        </v>
      </c>
      <c r="D2248" s="26" t="str">
        <f t="shared" si="425"/>
        <v>MATUTINO</v>
      </c>
      <c r="E2248" s="26" t="str">
        <f>"RIO GRANDE MZ. 52 LT. 4                                                         "</f>
        <v xml:space="preserve">RIO GRANDE MZ. 52 LT. 4                                                         </v>
      </c>
      <c r="F2248" s="26" t="str">
        <f>"FRANCISCO VILLA                                                                                                                             "</f>
        <v xml:space="preserve">FRANCISCO VILLA                                                                                                                             </v>
      </c>
      <c r="G2248" s="26" t="str">
        <f t="shared" si="426"/>
        <v xml:space="preserve">IZTAPALAPA                                                                      </v>
      </c>
      <c r="H2248" s="26" t="str">
        <f t="shared" si="427"/>
        <v>000</v>
      </c>
      <c r="I2248" s="26" t="str">
        <f t="shared" si="432"/>
        <v>00</v>
      </c>
      <c r="J2248" s="26" t="str">
        <f>"63 "</f>
        <v xml:space="preserve">63 </v>
      </c>
      <c r="K2248" s="26" t="str">
        <f t="shared" si="428"/>
        <v>IZ</v>
      </c>
      <c r="L2248" s="26" t="str">
        <f t="shared" si="429"/>
        <v>DGSEI</v>
      </c>
      <c r="M2248" s="26" t="str">
        <f t="shared" si="430"/>
        <v>PARTICULAR</v>
      </c>
      <c r="N2248" s="26">
        <v>11</v>
      </c>
      <c r="O2248" s="26">
        <v>7</v>
      </c>
      <c r="P2248" s="26">
        <v>4</v>
      </c>
      <c r="Q2248" s="26">
        <v>3</v>
      </c>
      <c r="R2248" s="26">
        <v>1</v>
      </c>
      <c r="S2248" s="26">
        <v>3</v>
      </c>
      <c r="T2248" s="26">
        <v>1</v>
      </c>
      <c r="U2248" s="26">
        <v>5</v>
      </c>
      <c r="V2248" s="26">
        <v>1</v>
      </c>
      <c r="W2248" s="26"/>
    </row>
    <row r="2249" spans="1:23" x14ac:dyDescent="0.25">
      <c r="A2249" s="26" t="str">
        <f t="shared" si="431"/>
        <v>PREESCOLAR</v>
      </c>
      <c r="B2249" s="26" t="str">
        <f>"09PJN4480B"</f>
        <v>09PJN4480B</v>
      </c>
      <c r="C2249" s="26" t="str">
        <f>"INSTITUTO HISPANOAMERICANO                                                                          "</f>
        <v xml:space="preserve">INSTITUTO HISPANOAMERICANO                                                                          </v>
      </c>
      <c r="D2249" s="26" t="str">
        <f t="shared" si="425"/>
        <v>MATUTINO</v>
      </c>
      <c r="E2249" s="26" t="str">
        <f>"LA ROSA MZ. 95 LT. 9                                                            "</f>
        <v xml:space="preserve">LA ROSA MZ. 95 LT. 9                                                            </v>
      </c>
      <c r="F2249" s="26" t="str">
        <f>"SAN MIGUEL TEOTONGO                                                                                                                         "</f>
        <v xml:space="preserve">SAN MIGUEL TEOTONGO                                                                                                                         </v>
      </c>
      <c r="G2249" s="26" t="str">
        <f t="shared" si="426"/>
        <v xml:space="preserve">IZTAPALAPA                                                                      </v>
      </c>
      <c r="H2249" s="26" t="str">
        <f t="shared" si="427"/>
        <v>000</v>
      </c>
      <c r="I2249" s="26" t="str">
        <f t="shared" si="432"/>
        <v>00</v>
      </c>
      <c r="J2249" s="26" t="str">
        <f>"64 "</f>
        <v xml:space="preserve">64 </v>
      </c>
      <c r="K2249" s="26" t="str">
        <f t="shared" si="428"/>
        <v>IZ</v>
      </c>
      <c r="L2249" s="26" t="str">
        <f t="shared" si="429"/>
        <v>DGSEI</v>
      </c>
      <c r="M2249" s="26" t="str">
        <f t="shared" si="430"/>
        <v>PARTICULAR</v>
      </c>
      <c r="N2249" s="26">
        <v>49</v>
      </c>
      <c r="O2249" s="26">
        <v>21</v>
      </c>
      <c r="P2249" s="26">
        <v>28</v>
      </c>
      <c r="Q2249" s="26">
        <v>3</v>
      </c>
      <c r="R2249" s="26">
        <v>1</v>
      </c>
      <c r="S2249" s="26">
        <v>3</v>
      </c>
      <c r="T2249" s="26">
        <v>0</v>
      </c>
      <c r="U2249" s="26">
        <v>4</v>
      </c>
      <c r="V2249" s="26">
        <v>1</v>
      </c>
      <c r="W2249" s="26"/>
    </row>
    <row r="2250" spans="1:23" x14ac:dyDescent="0.25">
      <c r="A2250" s="26" t="str">
        <f t="shared" si="431"/>
        <v>PREESCOLAR</v>
      </c>
      <c r="B2250" s="26" t="str">
        <f>"09PJN4481A"</f>
        <v>09PJN4481A</v>
      </c>
      <c r="C2250" s="26" t="str">
        <f>"INSTITUTO PEDAGOGICO IBEROAMERICANO                                                                 "</f>
        <v xml:space="preserve">INSTITUTO PEDAGOGICO IBEROAMERICANO                                                                 </v>
      </c>
      <c r="D2250" s="26" t="str">
        <f t="shared" si="425"/>
        <v>MATUTINO</v>
      </c>
      <c r="E2250" s="26" t="str">
        <f>"CAMPESINOS NO. 134                                                              "</f>
        <v xml:space="preserve">CAMPESINOS NO. 134                                                              </v>
      </c>
      <c r="F2250" s="26" t="str">
        <f>"GRANJAS ESMERALDA                                                                                                                           "</f>
        <v xml:space="preserve">GRANJAS ESMERALDA                                                                                                                           </v>
      </c>
      <c r="G2250" s="26" t="str">
        <f t="shared" si="426"/>
        <v xml:space="preserve">IZTAPALAPA                                                                      </v>
      </c>
      <c r="H2250" s="26" t="str">
        <f t="shared" si="427"/>
        <v>000</v>
      </c>
      <c r="I2250" s="26" t="str">
        <f t="shared" si="432"/>
        <v>00</v>
      </c>
      <c r="J2250" s="26" t="str">
        <f>"61 "</f>
        <v xml:space="preserve">61 </v>
      </c>
      <c r="K2250" s="26" t="str">
        <f t="shared" si="428"/>
        <v>IZ</v>
      </c>
      <c r="L2250" s="26" t="str">
        <f t="shared" si="429"/>
        <v>DGSEI</v>
      </c>
      <c r="M2250" s="26" t="str">
        <f t="shared" si="430"/>
        <v>PARTICULAR</v>
      </c>
      <c r="N2250" s="26">
        <v>61</v>
      </c>
      <c r="O2250" s="26">
        <v>33</v>
      </c>
      <c r="P2250" s="26">
        <v>28</v>
      </c>
      <c r="Q2250" s="26">
        <v>3</v>
      </c>
      <c r="R2250" s="26">
        <v>1</v>
      </c>
      <c r="S2250" s="26">
        <v>3</v>
      </c>
      <c r="T2250" s="26">
        <v>9</v>
      </c>
      <c r="U2250" s="26">
        <v>13</v>
      </c>
      <c r="V2250" s="26">
        <v>1</v>
      </c>
      <c r="W2250" s="26"/>
    </row>
    <row r="2251" spans="1:23" x14ac:dyDescent="0.25">
      <c r="A2251" s="26" t="str">
        <f t="shared" si="431"/>
        <v>PREESCOLAR</v>
      </c>
      <c r="B2251" s="26" t="str">
        <f>"09PJN4483Z"</f>
        <v>09PJN4483Z</v>
      </c>
      <c r="C2251" s="26" t="str">
        <f>"ESBEYDY                                                                                             "</f>
        <v xml:space="preserve">ESBEYDY                                                                                             </v>
      </c>
      <c r="D2251" s="26" t="str">
        <f t="shared" si="425"/>
        <v>MATUTINO</v>
      </c>
      <c r="E2251" s="26" t="str">
        <f>"PRIMAVERA NO. 11                                                                "</f>
        <v xml:space="preserve">PRIMAVERA NO. 11                                                                </v>
      </c>
      <c r="F2251" s="26" t="str">
        <f>"SANTA MARIA AZTAHUACAN AMPLIACION                                                                                                           "</f>
        <v xml:space="preserve">SANTA MARIA AZTAHUACAN AMPLIACION                                                                                                           </v>
      </c>
      <c r="G2251" s="26" t="str">
        <f t="shared" si="426"/>
        <v xml:space="preserve">IZTAPALAPA                                                                      </v>
      </c>
      <c r="H2251" s="26" t="str">
        <f t="shared" si="427"/>
        <v>000</v>
      </c>
      <c r="I2251" s="26" t="str">
        <f t="shared" si="432"/>
        <v>00</v>
      </c>
      <c r="J2251" s="26" t="str">
        <f>"64 "</f>
        <v xml:space="preserve">64 </v>
      </c>
      <c r="K2251" s="26" t="str">
        <f t="shared" si="428"/>
        <v>IZ</v>
      </c>
      <c r="L2251" s="26" t="str">
        <f t="shared" si="429"/>
        <v>DGSEI</v>
      </c>
      <c r="M2251" s="26" t="str">
        <f t="shared" si="430"/>
        <v>PARTICULAR</v>
      </c>
      <c r="N2251" s="26">
        <v>16</v>
      </c>
      <c r="O2251" s="26">
        <v>7</v>
      </c>
      <c r="P2251" s="26">
        <v>9</v>
      </c>
      <c r="Q2251" s="26">
        <v>2</v>
      </c>
      <c r="R2251" s="26">
        <v>1</v>
      </c>
      <c r="S2251" s="26">
        <v>2</v>
      </c>
      <c r="T2251" s="26">
        <v>0</v>
      </c>
      <c r="U2251" s="26">
        <v>3</v>
      </c>
      <c r="V2251" s="26">
        <v>1</v>
      </c>
      <c r="W2251" s="26"/>
    </row>
    <row r="2252" spans="1:23" x14ac:dyDescent="0.25">
      <c r="A2252" s="26" t="str">
        <f t="shared" si="431"/>
        <v>PREESCOLAR</v>
      </c>
      <c r="B2252" s="26" t="str">
        <f>"09PJN4484Y"</f>
        <v>09PJN4484Y</v>
      </c>
      <c r="C2252" s="26" t="str">
        <f>"CENTRO CULTURAL LAFAYETTE                                                                           "</f>
        <v xml:space="preserve">CENTRO CULTURAL LAFAYETTE                                                                           </v>
      </c>
      <c r="D2252" s="26" t="str">
        <f t="shared" si="425"/>
        <v>MATUTINO</v>
      </c>
      <c r="E2252" s="26" t="str">
        <f>"GUERRERO MZ. 501 LT. 11                                                         "</f>
        <v xml:space="preserve">GUERRERO MZ. 501 LT. 11                                                         </v>
      </c>
      <c r="F2252" s="26" t="str">
        <f>"IXTLAHUACAN                                                                                                                                 "</f>
        <v xml:space="preserve">IXTLAHUACAN                                                                                                                                 </v>
      </c>
      <c r="G2252" s="26" t="str">
        <f t="shared" si="426"/>
        <v xml:space="preserve">IZTAPALAPA                                                                      </v>
      </c>
      <c r="H2252" s="26" t="str">
        <f t="shared" si="427"/>
        <v>000</v>
      </c>
      <c r="I2252" s="26" t="str">
        <f t="shared" si="432"/>
        <v>00</v>
      </c>
      <c r="J2252" s="26" t="str">
        <f>"64 "</f>
        <v xml:space="preserve">64 </v>
      </c>
      <c r="K2252" s="26" t="str">
        <f t="shared" si="428"/>
        <v>IZ</v>
      </c>
      <c r="L2252" s="26" t="str">
        <f t="shared" si="429"/>
        <v>DGSEI</v>
      </c>
      <c r="M2252" s="26" t="str">
        <f t="shared" si="430"/>
        <v>PARTICULAR</v>
      </c>
      <c r="N2252" s="26">
        <v>43</v>
      </c>
      <c r="O2252" s="26">
        <v>28</v>
      </c>
      <c r="P2252" s="26">
        <v>15</v>
      </c>
      <c r="Q2252" s="26">
        <v>3</v>
      </c>
      <c r="R2252" s="26">
        <v>1</v>
      </c>
      <c r="S2252" s="26">
        <v>3</v>
      </c>
      <c r="T2252" s="26">
        <v>0</v>
      </c>
      <c r="U2252" s="26">
        <v>4</v>
      </c>
      <c r="V2252" s="26">
        <v>1</v>
      </c>
      <c r="W2252" s="26"/>
    </row>
    <row r="2253" spans="1:23" x14ac:dyDescent="0.25">
      <c r="A2253" s="26" t="str">
        <f t="shared" si="431"/>
        <v>PREESCOLAR</v>
      </c>
      <c r="B2253" s="26" t="str">
        <f>"09PJN4485X"</f>
        <v>09PJN4485X</v>
      </c>
      <c r="C2253" s="26" t="str">
        <f>"CENTRO PEDAGOGICO INFANTIL FREIRE                                                                   "</f>
        <v xml:space="preserve">CENTRO PEDAGOGICO INFANTIL FREIRE                                                                   </v>
      </c>
      <c r="D2253" s="26" t="str">
        <f t="shared" si="425"/>
        <v>MATUTINO</v>
      </c>
      <c r="E2253" s="26" t="str">
        <f>"RIO ATOYAC MZ. 1 LT. 15                                                         "</f>
        <v xml:space="preserve">RIO ATOYAC MZ. 1 LT. 15                                                         </v>
      </c>
      <c r="F2253" s="26" t="str">
        <f>"CONSEJO AGRARISTA MEXICANO                                                                                                                  "</f>
        <v xml:space="preserve">CONSEJO AGRARISTA MEXICANO                                                                                                                  </v>
      </c>
      <c r="G2253" s="26" t="str">
        <f t="shared" si="426"/>
        <v xml:space="preserve">IZTAPALAPA                                                                      </v>
      </c>
      <c r="H2253" s="26" t="str">
        <f>"022"</f>
        <v>022</v>
      </c>
      <c r="I2253" s="26" t="str">
        <f t="shared" si="432"/>
        <v>00</v>
      </c>
      <c r="J2253" s="26" t="str">
        <f>"63 "</f>
        <v xml:space="preserve">63 </v>
      </c>
      <c r="K2253" s="26" t="str">
        <f t="shared" si="428"/>
        <v>IZ</v>
      </c>
      <c r="L2253" s="26" t="str">
        <f t="shared" si="429"/>
        <v>DGSEI</v>
      </c>
      <c r="M2253" s="26" t="str">
        <f t="shared" si="430"/>
        <v>PARTICULAR</v>
      </c>
      <c r="N2253" s="26">
        <v>72</v>
      </c>
      <c r="O2253" s="26">
        <v>35</v>
      </c>
      <c r="P2253" s="26">
        <v>37</v>
      </c>
      <c r="Q2253" s="26">
        <v>5</v>
      </c>
      <c r="R2253" s="26">
        <v>1</v>
      </c>
      <c r="S2253" s="26">
        <v>4</v>
      </c>
      <c r="T2253" s="26">
        <v>1</v>
      </c>
      <c r="U2253" s="26">
        <v>6</v>
      </c>
      <c r="V2253" s="26">
        <v>1</v>
      </c>
      <c r="W2253" s="26"/>
    </row>
    <row r="2254" spans="1:23" x14ac:dyDescent="0.25">
      <c r="A2254" s="26" t="str">
        <f t="shared" si="431"/>
        <v>PREESCOLAR</v>
      </c>
      <c r="B2254" s="26" t="str">
        <f>"09PJN4486W"</f>
        <v>09PJN4486W</v>
      </c>
      <c r="C2254" s="26" t="str">
        <f>"JAIME SABINES                                                                                       "</f>
        <v xml:space="preserve">JAIME SABINES                                                                                       </v>
      </c>
      <c r="D2254" s="26" t="str">
        <f t="shared" si="425"/>
        <v>MATUTINO</v>
      </c>
      <c r="E2254" s="26" t="str">
        <f>"RUAN NO. 1                                                                      "</f>
        <v xml:space="preserve">RUAN NO. 1                                                                      </v>
      </c>
      <c r="F2254" s="26" t="str">
        <f>"LOMAS ESTRELLA                                                                                                                              "</f>
        <v xml:space="preserve">LOMAS ESTRELLA                                                                                                                              </v>
      </c>
      <c r="G2254" s="26" t="str">
        <f t="shared" si="426"/>
        <v xml:space="preserve">IZTAPALAPA                                                                      </v>
      </c>
      <c r="H2254" s="26" t="str">
        <f t="shared" ref="H2254:H2276" si="433">"000"</f>
        <v>000</v>
      </c>
      <c r="I2254" s="26" t="str">
        <f t="shared" si="432"/>
        <v>00</v>
      </c>
      <c r="J2254" s="26" t="str">
        <f>"63 "</f>
        <v xml:space="preserve">63 </v>
      </c>
      <c r="K2254" s="26" t="str">
        <f t="shared" si="428"/>
        <v>IZ</v>
      </c>
      <c r="L2254" s="26" t="str">
        <f t="shared" si="429"/>
        <v>DGSEI</v>
      </c>
      <c r="M2254" s="26" t="str">
        <f t="shared" si="430"/>
        <v>PARTICULAR</v>
      </c>
      <c r="N2254" s="26">
        <v>34</v>
      </c>
      <c r="O2254" s="26">
        <v>22</v>
      </c>
      <c r="P2254" s="26">
        <v>12</v>
      </c>
      <c r="Q2254" s="26">
        <v>3</v>
      </c>
      <c r="R2254" s="26">
        <v>1</v>
      </c>
      <c r="S2254" s="26">
        <v>3</v>
      </c>
      <c r="T2254" s="26">
        <v>4</v>
      </c>
      <c r="U2254" s="26">
        <v>8</v>
      </c>
      <c r="V2254" s="26">
        <v>1</v>
      </c>
      <c r="W2254" s="26"/>
    </row>
    <row r="2255" spans="1:23" x14ac:dyDescent="0.25">
      <c r="A2255" s="26" t="str">
        <f t="shared" si="431"/>
        <v>PREESCOLAR</v>
      </c>
      <c r="B2255" s="26" t="str">
        <f>"09PJN4487V"</f>
        <v>09PJN4487V</v>
      </c>
      <c r="C2255" s="26" t="str">
        <f>"COLEGIO FILADELFIA                                                                                  "</f>
        <v xml:space="preserve">COLEGIO FILADELFIA                                                                                  </v>
      </c>
      <c r="D2255" s="26" t="str">
        <f t="shared" si="425"/>
        <v>MATUTINO</v>
      </c>
      <c r="E2255" s="26" t="str">
        <f>"PRESIDENTE BENITO JUAREZ MZ. 2 LT. 55                                           "</f>
        <v xml:space="preserve">PRESIDENTE BENITO JUAREZ MZ. 2 LT. 55                                           </v>
      </c>
      <c r="F2255" s="26" t="str">
        <f>"PROGRESISTA                                                                                                                                 "</f>
        <v xml:space="preserve">PROGRESISTA                                                                                                                                 </v>
      </c>
      <c r="G2255" s="26" t="str">
        <f t="shared" si="426"/>
        <v xml:space="preserve">IZTAPALAPA                                                                      </v>
      </c>
      <c r="H2255" s="26" t="str">
        <f t="shared" si="433"/>
        <v>000</v>
      </c>
      <c r="I2255" s="26" t="str">
        <f t="shared" si="432"/>
        <v>00</v>
      </c>
      <c r="J2255" s="26" t="str">
        <f>"62 "</f>
        <v xml:space="preserve">62 </v>
      </c>
      <c r="K2255" s="26" t="str">
        <f t="shared" si="428"/>
        <v>IZ</v>
      </c>
      <c r="L2255" s="26" t="str">
        <f t="shared" si="429"/>
        <v>DGSEI</v>
      </c>
      <c r="M2255" s="26" t="str">
        <f t="shared" si="430"/>
        <v>PARTICULAR</v>
      </c>
      <c r="N2255" s="26">
        <v>34</v>
      </c>
      <c r="O2255" s="26">
        <v>12</v>
      </c>
      <c r="P2255" s="26">
        <v>22</v>
      </c>
      <c r="Q2255" s="26">
        <v>3</v>
      </c>
      <c r="R2255" s="26">
        <v>1</v>
      </c>
      <c r="S2255" s="26">
        <v>3</v>
      </c>
      <c r="T2255" s="26">
        <v>0</v>
      </c>
      <c r="U2255" s="26">
        <v>4</v>
      </c>
      <c r="V2255" s="26">
        <v>1</v>
      </c>
      <c r="W2255" s="26"/>
    </row>
    <row r="2256" spans="1:23" x14ac:dyDescent="0.25">
      <c r="A2256" s="26" t="str">
        <f t="shared" si="431"/>
        <v>PREESCOLAR</v>
      </c>
      <c r="B2256" s="26" t="str">
        <f>"09PJN4489T"</f>
        <v>09PJN4489T</v>
      </c>
      <c r="C2256" s="26" t="str">
        <f>"EVA SAMANO                                                                                          "</f>
        <v xml:space="preserve">EVA SAMANO                                                                                          </v>
      </c>
      <c r="D2256" s="26" t="str">
        <f t="shared" si="425"/>
        <v>MATUTINO</v>
      </c>
      <c r="E2256" s="26" t="str">
        <f>"ALCANFOR MZ. 47 LT. 5                                                           "</f>
        <v xml:space="preserve">ALCANFOR MZ. 47 LT. 5                                                           </v>
      </c>
      <c r="F2256" s="26" t="str">
        <f>"EL MOLINO  IZTAPALAPA                                                                                                                       "</f>
        <v xml:space="preserve">EL MOLINO  IZTAPALAPA                                                                                                                       </v>
      </c>
      <c r="G2256" s="26" t="str">
        <f t="shared" si="426"/>
        <v xml:space="preserve">IZTAPALAPA                                                                      </v>
      </c>
      <c r="H2256" s="26" t="str">
        <f t="shared" si="433"/>
        <v>000</v>
      </c>
      <c r="I2256" s="26" t="str">
        <f t="shared" si="432"/>
        <v>00</v>
      </c>
      <c r="J2256" s="26" t="str">
        <f>"63 "</f>
        <v xml:space="preserve">63 </v>
      </c>
      <c r="K2256" s="26" t="str">
        <f t="shared" si="428"/>
        <v>IZ</v>
      </c>
      <c r="L2256" s="26" t="str">
        <f t="shared" si="429"/>
        <v>DGSEI</v>
      </c>
      <c r="M2256" s="26" t="str">
        <f t="shared" si="430"/>
        <v>PARTICULAR</v>
      </c>
      <c r="N2256" s="26">
        <v>17</v>
      </c>
      <c r="O2256" s="26">
        <v>6</v>
      </c>
      <c r="P2256" s="26">
        <v>11</v>
      </c>
      <c r="Q2256" s="26">
        <v>3</v>
      </c>
      <c r="R2256" s="26">
        <v>1</v>
      </c>
      <c r="S2256" s="26">
        <v>2</v>
      </c>
      <c r="T2256" s="26">
        <v>0</v>
      </c>
      <c r="U2256" s="26">
        <v>3</v>
      </c>
      <c r="V2256" s="26">
        <v>1</v>
      </c>
      <c r="W2256" s="26"/>
    </row>
    <row r="2257" spans="1:23" x14ac:dyDescent="0.25">
      <c r="A2257" s="26" t="str">
        <f t="shared" si="431"/>
        <v>PREESCOLAR</v>
      </c>
      <c r="B2257" s="26" t="str">
        <f>"09PJN4491H"</f>
        <v>09PJN4491H</v>
      </c>
      <c r="C2257" s="26" t="str">
        <f>"BENITO JUAREZ                                                                                       "</f>
        <v xml:space="preserve">BENITO JUAREZ                                                                                       </v>
      </c>
      <c r="D2257" s="26" t="str">
        <f t="shared" si="425"/>
        <v>MATUTINO</v>
      </c>
      <c r="E2257" s="26" t="str">
        <f>"EDO. DE PUEBLA MZ. 30-B LT. 58                                                  "</f>
        <v xml:space="preserve">EDO. DE PUEBLA MZ. 30-B LT. 58                                                  </v>
      </c>
      <c r="F2257" s="26" t="str">
        <f>"BUENAVISTA                                                                                                                                  "</f>
        <v xml:space="preserve">BUENAVISTA                                                                                                                                  </v>
      </c>
      <c r="G2257" s="26" t="str">
        <f t="shared" si="426"/>
        <v xml:space="preserve">IZTAPALAPA                                                                      </v>
      </c>
      <c r="H2257" s="26" t="str">
        <f t="shared" si="433"/>
        <v>000</v>
      </c>
      <c r="I2257" s="26" t="str">
        <f t="shared" si="432"/>
        <v>00</v>
      </c>
      <c r="J2257" s="26" t="str">
        <f>"64 "</f>
        <v xml:space="preserve">64 </v>
      </c>
      <c r="K2257" s="26" t="str">
        <f t="shared" si="428"/>
        <v>IZ</v>
      </c>
      <c r="L2257" s="26" t="str">
        <f t="shared" si="429"/>
        <v>DGSEI</v>
      </c>
      <c r="M2257" s="26" t="str">
        <f t="shared" si="430"/>
        <v>PARTICULAR</v>
      </c>
      <c r="N2257" s="26">
        <v>46</v>
      </c>
      <c r="O2257" s="26">
        <v>21</v>
      </c>
      <c r="P2257" s="26">
        <v>25</v>
      </c>
      <c r="Q2257" s="26">
        <v>2</v>
      </c>
      <c r="R2257" s="26">
        <v>1</v>
      </c>
      <c r="S2257" s="26">
        <v>1</v>
      </c>
      <c r="T2257" s="26">
        <v>1</v>
      </c>
      <c r="U2257" s="26">
        <v>3</v>
      </c>
      <c r="V2257" s="26">
        <v>1</v>
      </c>
      <c r="W2257" s="26"/>
    </row>
    <row r="2258" spans="1:23" x14ac:dyDescent="0.25">
      <c r="A2258" s="26" t="str">
        <f t="shared" si="431"/>
        <v>PREESCOLAR</v>
      </c>
      <c r="B2258" s="26" t="str">
        <f>"09PJN4492G"</f>
        <v>09PJN4492G</v>
      </c>
      <c r="C2258" s="26" t="str">
        <f>"MAELLA IZTAPALAPA                                                                                   "</f>
        <v xml:space="preserve">MAELLA IZTAPALAPA                                                                                   </v>
      </c>
      <c r="D2258" s="26" t="str">
        <f t="shared" si="425"/>
        <v>MATUTINO</v>
      </c>
      <c r="E2258" s="26" t="str">
        <f>"ESTRELLA NO. 1                                                                  "</f>
        <v xml:space="preserve">ESTRELLA NO. 1                                                                  </v>
      </c>
      <c r="F2258" s="26" t="str">
        <f>"SAN JUAN XALPA                                                                                                                              "</f>
        <v xml:space="preserve">SAN JUAN XALPA                                                                                                                              </v>
      </c>
      <c r="G2258" s="26" t="str">
        <f t="shared" si="426"/>
        <v xml:space="preserve">IZTAPALAPA                                                                      </v>
      </c>
      <c r="H2258" s="26" t="str">
        <f t="shared" si="433"/>
        <v>000</v>
      </c>
      <c r="I2258" s="26" t="str">
        <f t="shared" si="432"/>
        <v>00</v>
      </c>
      <c r="J2258" s="26" t="str">
        <f>"63 "</f>
        <v xml:space="preserve">63 </v>
      </c>
      <c r="K2258" s="26" t="str">
        <f t="shared" si="428"/>
        <v>IZ</v>
      </c>
      <c r="L2258" s="26" t="str">
        <f t="shared" si="429"/>
        <v>DGSEI</v>
      </c>
      <c r="M2258" s="26" t="str">
        <f t="shared" si="430"/>
        <v>PARTICULAR</v>
      </c>
      <c r="N2258" s="26">
        <v>153</v>
      </c>
      <c r="O2258" s="26">
        <v>86</v>
      </c>
      <c r="P2258" s="26">
        <v>67</v>
      </c>
      <c r="Q2258" s="26">
        <v>7</v>
      </c>
      <c r="R2258" s="26">
        <v>1</v>
      </c>
      <c r="S2258" s="26">
        <v>7</v>
      </c>
      <c r="T2258" s="26">
        <v>8</v>
      </c>
      <c r="U2258" s="26">
        <v>16</v>
      </c>
      <c r="V2258" s="26">
        <v>1</v>
      </c>
      <c r="W2258" s="26"/>
    </row>
    <row r="2259" spans="1:23" x14ac:dyDescent="0.25">
      <c r="A2259" s="26" t="str">
        <f t="shared" si="431"/>
        <v>PREESCOLAR</v>
      </c>
      <c r="B2259" s="26" t="str">
        <f>"09PJN4494E"</f>
        <v>09PJN4494E</v>
      </c>
      <c r="C2259" s="26" t="str">
        <f>"ANA MARIA MACHADO                                                                                   "</f>
        <v xml:space="preserve">ANA MARIA MACHADO                                                                                   </v>
      </c>
      <c r="D2259" s="26" t="str">
        <f t="shared" si="425"/>
        <v>MATUTINO</v>
      </c>
      <c r="E2259" s="26" t="str">
        <f>"IGNACIO ELIAS MZ. 4 LT. 5                                                       "</f>
        <v xml:space="preserve">IGNACIO ELIAS MZ. 4 LT. 5                                                       </v>
      </c>
      <c r="F2259" s="26" t="str">
        <f>"PARAJE SAN JUAN                                                                                                                             "</f>
        <v xml:space="preserve">PARAJE SAN JUAN                                                                                                                             </v>
      </c>
      <c r="G2259" s="26" t="str">
        <f t="shared" si="426"/>
        <v xml:space="preserve">IZTAPALAPA                                                                      </v>
      </c>
      <c r="H2259" s="26" t="str">
        <f t="shared" si="433"/>
        <v>000</v>
      </c>
      <c r="I2259" s="26" t="str">
        <f t="shared" si="432"/>
        <v>00</v>
      </c>
      <c r="J2259" s="26" t="str">
        <f>"63 "</f>
        <v xml:space="preserve">63 </v>
      </c>
      <c r="K2259" s="26" t="str">
        <f t="shared" si="428"/>
        <v>IZ</v>
      </c>
      <c r="L2259" s="26" t="str">
        <f t="shared" si="429"/>
        <v>DGSEI</v>
      </c>
      <c r="M2259" s="26" t="str">
        <f t="shared" si="430"/>
        <v>PARTICULAR</v>
      </c>
      <c r="N2259" s="26">
        <v>26</v>
      </c>
      <c r="O2259" s="26">
        <v>13</v>
      </c>
      <c r="P2259" s="26">
        <v>13</v>
      </c>
      <c r="Q2259" s="26">
        <v>3</v>
      </c>
      <c r="R2259" s="26">
        <v>1</v>
      </c>
      <c r="S2259" s="26">
        <v>3</v>
      </c>
      <c r="T2259" s="26">
        <v>0</v>
      </c>
      <c r="U2259" s="26">
        <v>4</v>
      </c>
      <c r="V2259" s="26">
        <v>1</v>
      </c>
      <c r="W2259" s="26"/>
    </row>
    <row r="2260" spans="1:23" x14ac:dyDescent="0.25">
      <c r="A2260" s="26" t="str">
        <f t="shared" si="431"/>
        <v>PREESCOLAR</v>
      </c>
      <c r="B2260" s="26" t="str">
        <f>"09PJN4495D"</f>
        <v>09PJN4495D</v>
      </c>
      <c r="C2260" s="26" t="str">
        <f>"INDIRA GANDHI                                                                                       "</f>
        <v xml:space="preserve">INDIRA GANDHI                                                                                       </v>
      </c>
      <c r="D2260" s="26" t="str">
        <f t="shared" si="425"/>
        <v>MATUTINO</v>
      </c>
      <c r="E2260" s="26" t="str">
        <f>"JAVIER MINA NO. 83                                                              "</f>
        <v xml:space="preserve">JAVIER MINA NO. 83                                                              </v>
      </c>
      <c r="F2260" s="26" t="str">
        <f>"SAN MIGUEL DE LAS SALERAS                                                                                                                   "</f>
        <v xml:space="preserve">SAN MIGUEL DE LAS SALERAS                                                                                                                   </v>
      </c>
      <c r="G2260" s="26" t="str">
        <f t="shared" si="426"/>
        <v xml:space="preserve">IZTAPALAPA                                                                      </v>
      </c>
      <c r="H2260" s="26" t="str">
        <f t="shared" si="433"/>
        <v>000</v>
      </c>
      <c r="I2260" s="26" t="str">
        <f t="shared" si="432"/>
        <v>00</v>
      </c>
      <c r="J2260" s="26" t="str">
        <f>"61 "</f>
        <v xml:space="preserve">61 </v>
      </c>
      <c r="K2260" s="26" t="str">
        <f t="shared" si="428"/>
        <v>IZ</v>
      </c>
      <c r="L2260" s="26" t="str">
        <f t="shared" si="429"/>
        <v>DGSEI</v>
      </c>
      <c r="M2260" s="26" t="str">
        <f t="shared" si="430"/>
        <v>PARTICULAR</v>
      </c>
      <c r="N2260" s="26">
        <v>31</v>
      </c>
      <c r="O2260" s="26">
        <v>14</v>
      </c>
      <c r="P2260" s="26">
        <v>17</v>
      </c>
      <c r="Q2260" s="26">
        <v>3</v>
      </c>
      <c r="R2260" s="26">
        <v>1</v>
      </c>
      <c r="S2260" s="26">
        <v>1</v>
      </c>
      <c r="T2260" s="26">
        <v>1</v>
      </c>
      <c r="U2260" s="26">
        <v>3</v>
      </c>
      <c r="V2260" s="26">
        <v>1</v>
      </c>
      <c r="W2260" s="26"/>
    </row>
    <row r="2261" spans="1:23" x14ac:dyDescent="0.25">
      <c r="A2261" s="26" t="str">
        <f t="shared" si="431"/>
        <v>PREESCOLAR</v>
      </c>
      <c r="B2261" s="26" t="str">
        <f>"09PJN4496C"</f>
        <v>09PJN4496C</v>
      </c>
      <c r="C2261" s="26" t="str">
        <f>"MOLIERE KINDER GARDEN                                                                               "</f>
        <v xml:space="preserve">MOLIERE KINDER GARDEN                                                                               </v>
      </c>
      <c r="D2261" s="26" t="str">
        <f t="shared" si="425"/>
        <v>MATUTINO</v>
      </c>
      <c r="E2261" s="26" t="str">
        <f>"GENARO ESTRADA NO. 171                                                          "</f>
        <v xml:space="preserve">GENARO ESTRADA NO. 171                                                          </v>
      </c>
      <c r="F2261" s="26" t="str">
        <f>"JACARANDAS                                                                                                                                  "</f>
        <v xml:space="preserve">JACARANDAS                                                                                                                                  </v>
      </c>
      <c r="G2261" s="26" t="str">
        <f t="shared" si="426"/>
        <v xml:space="preserve">IZTAPALAPA                                                                      </v>
      </c>
      <c r="H2261" s="26" t="str">
        <f t="shared" si="433"/>
        <v>000</v>
      </c>
      <c r="I2261" s="26" t="str">
        <f t="shared" si="432"/>
        <v>00</v>
      </c>
      <c r="J2261" s="26" t="str">
        <f>"64 "</f>
        <v xml:space="preserve">64 </v>
      </c>
      <c r="K2261" s="26" t="str">
        <f t="shared" si="428"/>
        <v>IZ</v>
      </c>
      <c r="L2261" s="26" t="str">
        <f t="shared" si="429"/>
        <v>DGSEI</v>
      </c>
      <c r="M2261" s="26" t="str">
        <f t="shared" si="430"/>
        <v>PARTICULAR</v>
      </c>
      <c r="N2261" s="26">
        <v>31</v>
      </c>
      <c r="O2261" s="26">
        <v>17</v>
      </c>
      <c r="P2261" s="26">
        <v>14</v>
      </c>
      <c r="Q2261" s="26">
        <v>3</v>
      </c>
      <c r="R2261" s="26">
        <v>1</v>
      </c>
      <c r="S2261" s="26">
        <v>2</v>
      </c>
      <c r="T2261" s="26">
        <v>3</v>
      </c>
      <c r="U2261" s="26">
        <v>6</v>
      </c>
      <c r="V2261" s="26">
        <v>1</v>
      </c>
      <c r="W2261" s="26"/>
    </row>
    <row r="2262" spans="1:23" x14ac:dyDescent="0.25">
      <c r="A2262" s="26" t="str">
        <f t="shared" si="431"/>
        <v>PREESCOLAR</v>
      </c>
      <c r="B2262" s="26" t="str">
        <f>"09PJN4497B"</f>
        <v>09PJN4497B</v>
      </c>
      <c r="C2262" s="26" t="str">
        <f>"EL CASTILLO DEL MAGO MERLIN                                                                         "</f>
        <v xml:space="preserve">EL CASTILLO DEL MAGO MERLIN                                                                         </v>
      </c>
      <c r="D2262" s="26" t="str">
        <f t="shared" si="425"/>
        <v>MATUTINO</v>
      </c>
      <c r="E2262" s="26" t="str">
        <f>"MANUEL CAÑAS NO. 80                                                             "</f>
        <v xml:space="preserve">MANUEL CAÑAS NO. 80                                                             </v>
      </c>
      <c r="F2262" s="26" t="str">
        <f>"SANTA CRUZ MEYEHUALCO                                                                                                                       "</f>
        <v xml:space="preserve">SANTA CRUZ MEYEHUALCO                                                                                                                       </v>
      </c>
      <c r="G2262" s="26" t="str">
        <f t="shared" si="426"/>
        <v xml:space="preserve">IZTAPALAPA                                                                      </v>
      </c>
      <c r="H2262" s="26" t="str">
        <f t="shared" si="433"/>
        <v>000</v>
      </c>
      <c r="I2262" s="26" t="str">
        <f t="shared" si="432"/>
        <v>00</v>
      </c>
      <c r="J2262" s="26" t="str">
        <f>"64 "</f>
        <v xml:space="preserve">64 </v>
      </c>
      <c r="K2262" s="26" t="str">
        <f t="shared" si="428"/>
        <v>IZ</v>
      </c>
      <c r="L2262" s="26" t="str">
        <f t="shared" si="429"/>
        <v>DGSEI</v>
      </c>
      <c r="M2262" s="26" t="str">
        <f t="shared" si="430"/>
        <v>PARTICULAR</v>
      </c>
      <c r="N2262" s="26">
        <v>103</v>
      </c>
      <c r="O2262" s="26">
        <v>48</v>
      </c>
      <c r="P2262" s="26">
        <v>55</v>
      </c>
      <c r="Q2262" s="26">
        <v>5</v>
      </c>
      <c r="R2262" s="26">
        <v>1</v>
      </c>
      <c r="S2262" s="26">
        <v>4</v>
      </c>
      <c r="T2262" s="26">
        <v>6</v>
      </c>
      <c r="U2262" s="26">
        <v>11</v>
      </c>
      <c r="V2262" s="26">
        <v>1</v>
      </c>
      <c r="W2262" s="26"/>
    </row>
    <row r="2263" spans="1:23" x14ac:dyDescent="0.25">
      <c r="A2263" s="26" t="str">
        <f t="shared" si="431"/>
        <v>PREESCOLAR</v>
      </c>
      <c r="B2263" s="26" t="str">
        <f>"09PJN4499Z"</f>
        <v>09PJN4499Z</v>
      </c>
      <c r="C2263" s="26" t="str">
        <f>"INSTITUTO PEDAGOGICO JOSE VASCONCELOS                                                               "</f>
        <v xml:space="preserve">INSTITUTO PEDAGOGICO JOSE VASCONCELOS                                                               </v>
      </c>
      <c r="D2263" s="26" t="str">
        <f t="shared" si="425"/>
        <v>MATUTINO</v>
      </c>
      <c r="E2263" s="26" t="str">
        <f>"ESTRELLA NO.  19                                                                "</f>
        <v xml:space="preserve">ESTRELLA NO.  19                                                                </v>
      </c>
      <c r="F2263" s="26" t="str">
        <f>"BARRIO SAN PABLO                                                                                                                            "</f>
        <v xml:space="preserve">BARRIO SAN PABLO                                                                                                                            </v>
      </c>
      <c r="G2263" s="26" t="str">
        <f t="shared" si="426"/>
        <v xml:space="preserve">IZTAPALAPA                                                                      </v>
      </c>
      <c r="H2263" s="26" t="str">
        <f t="shared" si="433"/>
        <v>000</v>
      </c>
      <c r="I2263" s="26" t="str">
        <f t="shared" si="432"/>
        <v>00</v>
      </c>
      <c r="J2263" s="26" t="str">
        <f>"61 "</f>
        <v xml:space="preserve">61 </v>
      </c>
      <c r="K2263" s="26" t="str">
        <f t="shared" si="428"/>
        <v>IZ</v>
      </c>
      <c r="L2263" s="26" t="str">
        <f t="shared" si="429"/>
        <v>DGSEI</v>
      </c>
      <c r="M2263" s="26" t="str">
        <f t="shared" si="430"/>
        <v>PARTICULAR</v>
      </c>
      <c r="N2263" s="26">
        <v>30</v>
      </c>
      <c r="O2263" s="26">
        <v>13</v>
      </c>
      <c r="P2263" s="26">
        <v>17</v>
      </c>
      <c r="Q2263" s="26">
        <v>3</v>
      </c>
      <c r="R2263" s="26">
        <v>1</v>
      </c>
      <c r="S2263" s="26">
        <v>3</v>
      </c>
      <c r="T2263" s="26">
        <v>1</v>
      </c>
      <c r="U2263" s="26">
        <v>5</v>
      </c>
      <c r="V2263" s="26">
        <v>1</v>
      </c>
      <c r="W2263" s="26"/>
    </row>
    <row r="2264" spans="1:23" x14ac:dyDescent="0.25">
      <c r="A2264" s="26" t="str">
        <f t="shared" si="431"/>
        <v>PREESCOLAR</v>
      </c>
      <c r="B2264" s="26" t="str">
        <f>"09PJN4500Z"</f>
        <v>09PJN4500Z</v>
      </c>
      <c r="C2264" s="26" t="str">
        <f>"CERVANTES                                                                                           "</f>
        <v xml:space="preserve">CERVANTES                                                                                           </v>
      </c>
      <c r="D2264" s="26" t="str">
        <f t="shared" si="425"/>
        <v>MATUTINO</v>
      </c>
      <c r="E2264" s="26" t="str">
        <f>"AV. TLAHUAC NO. 3431                                                            "</f>
        <v xml:space="preserve">AV. TLAHUAC NO. 3431                                                            </v>
      </c>
      <c r="F2264" s="26" t="str">
        <f>"LOS REYES                                                                                                                                   "</f>
        <v xml:space="preserve">LOS REYES                                                                                                                                   </v>
      </c>
      <c r="G2264" s="26" t="str">
        <f t="shared" si="426"/>
        <v xml:space="preserve">IZTAPALAPA                                                                      </v>
      </c>
      <c r="H2264" s="26" t="str">
        <f t="shared" si="433"/>
        <v>000</v>
      </c>
      <c r="I2264" s="26" t="str">
        <f t="shared" si="432"/>
        <v>00</v>
      </c>
      <c r="J2264" s="26" t="str">
        <f>"61 "</f>
        <v xml:space="preserve">61 </v>
      </c>
      <c r="K2264" s="26" t="str">
        <f t="shared" si="428"/>
        <v>IZ</v>
      </c>
      <c r="L2264" s="26" t="str">
        <f t="shared" si="429"/>
        <v>DGSEI</v>
      </c>
      <c r="M2264" s="26" t="str">
        <f t="shared" si="430"/>
        <v>PARTICULAR</v>
      </c>
      <c r="N2264" s="26">
        <v>36</v>
      </c>
      <c r="O2264" s="26">
        <v>15</v>
      </c>
      <c r="P2264" s="26">
        <v>21</v>
      </c>
      <c r="Q2264" s="26">
        <v>3</v>
      </c>
      <c r="R2264" s="26">
        <v>1</v>
      </c>
      <c r="S2264" s="26">
        <v>3</v>
      </c>
      <c r="T2264" s="26">
        <v>7</v>
      </c>
      <c r="U2264" s="26">
        <v>11</v>
      </c>
      <c r="V2264" s="26">
        <v>1</v>
      </c>
      <c r="W2264" s="26"/>
    </row>
    <row r="2265" spans="1:23" x14ac:dyDescent="0.25">
      <c r="A2265" s="26" t="str">
        <f t="shared" si="431"/>
        <v>PREESCOLAR</v>
      </c>
      <c r="B2265" s="26" t="str">
        <f>"09PJN4502X"</f>
        <v>09PJN4502X</v>
      </c>
      <c r="C2265" s="26" t="str">
        <f>"GUSANITO                                                                                            "</f>
        <v xml:space="preserve">GUSANITO                                                                                            </v>
      </c>
      <c r="D2265" s="26" t="str">
        <f t="shared" si="425"/>
        <v>MATUTINO</v>
      </c>
      <c r="E2265" s="26" t="str">
        <f>"SAN JOSE NO. 8                                                                  "</f>
        <v xml:space="preserve">SAN JOSE NO. 8                                                                  </v>
      </c>
      <c r="F2265" s="26" t="str">
        <f>"SAN JOSE                                                                                                                                    "</f>
        <v xml:space="preserve">SAN JOSE                                                                                                                                    </v>
      </c>
      <c r="G2265" s="26" t="str">
        <f t="shared" si="426"/>
        <v xml:space="preserve">IZTAPALAPA                                                                      </v>
      </c>
      <c r="H2265" s="26" t="str">
        <f t="shared" si="433"/>
        <v>000</v>
      </c>
      <c r="I2265" s="26" t="str">
        <f t="shared" si="432"/>
        <v>00</v>
      </c>
      <c r="J2265" s="26" t="str">
        <f>"61 "</f>
        <v xml:space="preserve">61 </v>
      </c>
      <c r="K2265" s="26" t="str">
        <f t="shared" si="428"/>
        <v>IZ</v>
      </c>
      <c r="L2265" s="26" t="str">
        <f t="shared" si="429"/>
        <v>DGSEI</v>
      </c>
      <c r="M2265" s="26" t="str">
        <f t="shared" si="430"/>
        <v>PARTICULAR</v>
      </c>
      <c r="N2265" s="26">
        <v>26</v>
      </c>
      <c r="O2265" s="26">
        <v>12</v>
      </c>
      <c r="P2265" s="26">
        <v>14</v>
      </c>
      <c r="Q2265" s="26">
        <v>3</v>
      </c>
      <c r="R2265" s="26">
        <v>1</v>
      </c>
      <c r="S2265" s="26">
        <v>3</v>
      </c>
      <c r="T2265" s="26">
        <v>1</v>
      </c>
      <c r="U2265" s="26">
        <v>5</v>
      </c>
      <c r="V2265" s="26">
        <v>1</v>
      </c>
      <c r="W2265" s="26"/>
    </row>
    <row r="2266" spans="1:23" x14ac:dyDescent="0.25">
      <c r="A2266" s="26" t="str">
        <f t="shared" si="431"/>
        <v>PREESCOLAR</v>
      </c>
      <c r="B2266" s="26" t="str">
        <f>"09PJN4503W"</f>
        <v>09PJN4503W</v>
      </c>
      <c r="C2266" s="26" t="str">
        <f>"CASTILLO DEL SABER                                                                                  "</f>
        <v xml:space="preserve">CASTILLO DEL SABER                                                                                  </v>
      </c>
      <c r="D2266" s="26" t="str">
        <f t="shared" si="425"/>
        <v>MATUTINO</v>
      </c>
      <c r="E2266" s="26" t="str">
        <f>"AV. 4 PTE. MZ. 51 LT. 15 Y 16                                                   "</f>
        <v xml:space="preserve">AV. 4 PTE. MZ. 51 LT. 15 Y 16                                                   </v>
      </c>
      <c r="F2266" s="26" t="str">
        <f>"RENOVACION                                                                                                                                  "</f>
        <v xml:space="preserve">RENOVACION                                                                                                                                  </v>
      </c>
      <c r="G2266" s="26" t="str">
        <f t="shared" si="426"/>
        <v xml:space="preserve">IZTAPALAPA                                                                      </v>
      </c>
      <c r="H2266" s="26" t="str">
        <f t="shared" si="433"/>
        <v>000</v>
      </c>
      <c r="I2266" s="26" t="str">
        <f t="shared" si="432"/>
        <v>00</v>
      </c>
      <c r="J2266" s="26" t="str">
        <f>"62 "</f>
        <v xml:space="preserve">62 </v>
      </c>
      <c r="K2266" s="26" t="str">
        <f t="shared" si="428"/>
        <v>IZ</v>
      </c>
      <c r="L2266" s="26" t="str">
        <f t="shared" si="429"/>
        <v>DGSEI</v>
      </c>
      <c r="M2266" s="26" t="str">
        <f t="shared" si="430"/>
        <v>PARTICULAR</v>
      </c>
      <c r="N2266" s="26">
        <v>55</v>
      </c>
      <c r="O2266" s="26">
        <v>35</v>
      </c>
      <c r="P2266" s="26">
        <v>20</v>
      </c>
      <c r="Q2266" s="26">
        <v>3</v>
      </c>
      <c r="R2266" s="26">
        <v>1</v>
      </c>
      <c r="S2266" s="26">
        <v>3</v>
      </c>
      <c r="T2266" s="26">
        <v>0</v>
      </c>
      <c r="U2266" s="26">
        <v>4</v>
      </c>
      <c r="V2266" s="26">
        <v>1</v>
      </c>
      <c r="W2266" s="26"/>
    </row>
    <row r="2267" spans="1:23" x14ac:dyDescent="0.25">
      <c r="A2267" s="26" t="str">
        <f t="shared" si="431"/>
        <v>PREESCOLAR</v>
      </c>
      <c r="B2267" s="26" t="str">
        <f>"09PJN4504V"</f>
        <v>09PJN4504V</v>
      </c>
      <c r="C2267" s="26" t="str">
        <f>"CENTRO EDUCATIVO ITZA                                                                               "</f>
        <v xml:space="preserve">CENTRO EDUCATIVO ITZA                                                                               </v>
      </c>
      <c r="D2267" s="26" t="str">
        <f t="shared" si="425"/>
        <v>MATUTINO</v>
      </c>
      <c r="E2267" s="26" t="str">
        <f>"CAMINO A SANTA CRUZ NO. 30                                                      "</f>
        <v xml:space="preserve">CAMINO A SANTA CRUZ NO. 30                                                      </v>
      </c>
      <c r="F2267" s="26" t="str">
        <f>"LOMAS SAN LORENZO                                                                                                                           "</f>
        <v xml:space="preserve">LOMAS SAN LORENZO                                                                                                                           </v>
      </c>
      <c r="G2267" s="26" t="str">
        <f t="shared" si="426"/>
        <v xml:space="preserve">IZTAPALAPA                                                                      </v>
      </c>
      <c r="H2267" s="26" t="str">
        <f t="shared" si="433"/>
        <v>000</v>
      </c>
      <c r="I2267" s="26" t="str">
        <f t="shared" si="432"/>
        <v>00</v>
      </c>
      <c r="J2267" s="26" t="str">
        <f>"63 "</f>
        <v xml:space="preserve">63 </v>
      </c>
      <c r="K2267" s="26" t="str">
        <f t="shared" si="428"/>
        <v>IZ</v>
      </c>
      <c r="L2267" s="26" t="str">
        <f t="shared" si="429"/>
        <v>DGSEI</v>
      </c>
      <c r="M2267" s="26" t="str">
        <f t="shared" si="430"/>
        <v>PARTICULAR</v>
      </c>
      <c r="N2267" s="26">
        <v>36</v>
      </c>
      <c r="O2267" s="26">
        <v>19</v>
      </c>
      <c r="P2267" s="26">
        <v>17</v>
      </c>
      <c r="Q2267" s="26">
        <v>3</v>
      </c>
      <c r="R2267" s="26">
        <v>1</v>
      </c>
      <c r="S2267" s="26">
        <v>3</v>
      </c>
      <c r="T2267" s="26">
        <v>7</v>
      </c>
      <c r="U2267" s="26">
        <v>11</v>
      </c>
      <c r="V2267" s="26">
        <v>1</v>
      </c>
      <c r="W2267" s="26"/>
    </row>
    <row r="2268" spans="1:23" x14ac:dyDescent="0.25">
      <c r="A2268" s="26" t="str">
        <f t="shared" si="431"/>
        <v>PREESCOLAR</v>
      </c>
      <c r="B2268" s="26" t="str">
        <f>"09PJN4506T"</f>
        <v>09PJN4506T</v>
      </c>
      <c r="C2268" s="26" t="str">
        <f>"LOS CAPULLOS                                                                                        "</f>
        <v xml:space="preserve">LOS CAPULLOS                                                                                        </v>
      </c>
      <c r="D2268" s="26" t="str">
        <f t="shared" si="425"/>
        <v>MATUTINO</v>
      </c>
      <c r="E2268" s="26" t="str">
        <f>"PROVIDENCIA No. 17                                                              "</f>
        <v xml:space="preserve">PROVIDENCIA No. 17                                                              </v>
      </c>
      <c r="F2268" s="26" t="str">
        <f>"SANTA MARTHA ACATITLA                                                                                                                       "</f>
        <v xml:space="preserve">SANTA MARTHA ACATITLA                                                                                                                       </v>
      </c>
      <c r="G2268" s="26" t="str">
        <f t="shared" si="426"/>
        <v xml:space="preserve">IZTAPALAPA                                                                      </v>
      </c>
      <c r="H2268" s="26" t="str">
        <f t="shared" si="433"/>
        <v>000</v>
      </c>
      <c r="I2268" s="26" t="str">
        <f t="shared" si="432"/>
        <v>00</v>
      </c>
      <c r="J2268" s="26" t="str">
        <f>"62 "</f>
        <v xml:space="preserve">62 </v>
      </c>
      <c r="K2268" s="26" t="str">
        <f t="shared" si="428"/>
        <v>IZ</v>
      </c>
      <c r="L2268" s="26" t="str">
        <f t="shared" si="429"/>
        <v>DGSEI</v>
      </c>
      <c r="M2268" s="26" t="str">
        <f t="shared" si="430"/>
        <v>PARTICULAR</v>
      </c>
      <c r="N2268" s="26">
        <v>61</v>
      </c>
      <c r="O2268" s="26">
        <v>35</v>
      </c>
      <c r="P2268" s="26">
        <v>26</v>
      </c>
      <c r="Q2268" s="26">
        <v>3</v>
      </c>
      <c r="R2268" s="26">
        <v>1</v>
      </c>
      <c r="S2268" s="26">
        <v>3</v>
      </c>
      <c r="T2268" s="26">
        <v>2</v>
      </c>
      <c r="U2268" s="26">
        <v>6</v>
      </c>
      <c r="V2268" s="26">
        <v>1</v>
      </c>
      <c r="W2268" s="26"/>
    </row>
    <row r="2269" spans="1:23" x14ac:dyDescent="0.25">
      <c r="A2269" s="26" t="str">
        <f t="shared" si="431"/>
        <v>PREESCOLAR</v>
      </c>
      <c r="B2269" s="26" t="str">
        <f>"09PJN4508R"</f>
        <v>09PJN4508R</v>
      </c>
      <c r="C2269" s="26" t="str">
        <f>"FUENTE DEL SABER                                                                                    "</f>
        <v xml:space="preserve">FUENTE DEL SABER                                                                                    </v>
      </c>
      <c r="D2269" s="26" t="str">
        <f t="shared" si="425"/>
        <v>MATUTINO</v>
      </c>
      <c r="E2269" s="26" t="str">
        <f>"YUCATAN No. 18                                                                  "</f>
        <v xml:space="preserve">YUCATAN No. 18                                                                  </v>
      </c>
      <c r="F2269" s="26" t="str">
        <f>"SAN LORENZO TEZONCO                                                                                                                         "</f>
        <v xml:space="preserve">SAN LORENZO TEZONCO                                                                                                                         </v>
      </c>
      <c r="G2269" s="26" t="str">
        <f t="shared" si="426"/>
        <v xml:space="preserve">IZTAPALAPA                                                                      </v>
      </c>
      <c r="H2269" s="26" t="str">
        <f t="shared" si="433"/>
        <v>000</v>
      </c>
      <c r="I2269" s="26" t="str">
        <f t="shared" si="432"/>
        <v>00</v>
      </c>
      <c r="J2269" s="26" t="str">
        <f>"63 "</f>
        <v xml:space="preserve">63 </v>
      </c>
      <c r="K2269" s="26" t="str">
        <f t="shared" si="428"/>
        <v>IZ</v>
      </c>
      <c r="L2269" s="26" t="str">
        <f t="shared" si="429"/>
        <v>DGSEI</v>
      </c>
      <c r="M2269" s="26" t="str">
        <f t="shared" si="430"/>
        <v>PARTICULAR</v>
      </c>
      <c r="N2269" s="26">
        <v>59</v>
      </c>
      <c r="O2269" s="26">
        <v>28</v>
      </c>
      <c r="P2269" s="26">
        <v>31</v>
      </c>
      <c r="Q2269" s="26">
        <v>2</v>
      </c>
      <c r="R2269" s="26">
        <v>1</v>
      </c>
      <c r="S2269" s="26">
        <v>1</v>
      </c>
      <c r="T2269" s="26">
        <v>3</v>
      </c>
      <c r="U2269" s="26">
        <v>5</v>
      </c>
      <c r="V2269" s="26">
        <v>1</v>
      </c>
      <c r="W2269" s="26"/>
    </row>
    <row r="2270" spans="1:23" x14ac:dyDescent="0.25">
      <c r="A2270" s="26" t="str">
        <f t="shared" si="431"/>
        <v>PREESCOLAR</v>
      </c>
      <c r="B2270" s="26" t="str">
        <f>"09PJN4509Q"</f>
        <v>09PJN4509Q</v>
      </c>
      <c r="C2270" s="26" t="str">
        <f>"HERMANOS GRIMM                                                                                      "</f>
        <v xml:space="preserve">HERMANOS GRIMM                                                                                      </v>
      </c>
      <c r="D2270" s="26" t="str">
        <f t="shared" si="425"/>
        <v>MATUTINO</v>
      </c>
      <c r="E2270" s="26" t="str">
        <f>"CIRILO ARENAS MZ. 182 LT. 21                                                    "</f>
        <v xml:space="preserve">CIRILO ARENAS MZ. 182 LT. 21                                                    </v>
      </c>
      <c r="F2270" s="26" t="str">
        <f>"SANTA MARTHA ACATITLA                                                                                                                       "</f>
        <v xml:space="preserve">SANTA MARTHA ACATITLA                                                                                                                       </v>
      </c>
      <c r="G2270" s="26" t="str">
        <f t="shared" si="426"/>
        <v xml:space="preserve">IZTAPALAPA                                                                      </v>
      </c>
      <c r="H2270" s="26" t="str">
        <f t="shared" si="433"/>
        <v>000</v>
      </c>
      <c r="I2270" s="26" t="str">
        <f t="shared" si="432"/>
        <v>00</v>
      </c>
      <c r="J2270" s="26" t="str">
        <f>"62 "</f>
        <v xml:space="preserve">62 </v>
      </c>
      <c r="K2270" s="26" t="str">
        <f t="shared" si="428"/>
        <v>IZ</v>
      </c>
      <c r="L2270" s="26" t="str">
        <f t="shared" si="429"/>
        <v>DGSEI</v>
      </c>
      <c r="M2270" s="26" t="str">
        <f t="shared" si="430"/>
        <v>PARTICULAR</v>
      </c>
      <c r="N2270" s="26">
        <v>40</v>
      </c>
      <c r="O2270" s="26">
        <v>18</v>
      </c>
      <c r="P2270" s="26">
        <v>22</v>
      </c>
      <c r="Q2270" s="26">
        <v>3</v>
      </c>
      <c r="R2270" s="26">
        <v>1</v>
      </c>
      <c r="S2270" s="26">
        <v>3</v>
      </c>
      <c r="T2270" s="26">
        <v>0</v>
      </c>
      <c r="U2270" s="26">
        <v>4</v>
      </c>
      <c r="V2270" s="26">
        <v>1</v>
      </c>
      <c r="W2270" s="26"/>
    </row>
    <row r="2271" spans="1:23" x14ac:dyDescent="0.25">
      <c r="A2271" s="26" t="str">
        <f t="shared" si="431"/>
        <v>PREESCOLAR</v>
      </c>
      <c r="B2271" s="26" t="str">
        <f>"09PJN4510F"</f>
        <v>09PJN4510F</v>
      </c>
      <c r="C2271" s="26" t="str">
        <f>"ENRIQUE REBSAMEN                                                                                    "</f>
        <v xml:space="preserve">ENRIQUE REBSAMEN                                                                                    </v>
      </c>
      <c r="D2271" s="26" t="str">
        <f t="shared" si="425"/>
        <v>MATUTINO</v>
      </c>
      <c r="E2271" s="26" t="str">
        <f>"JOSE J. REINOSO NO. 135                                                         "</f>
        <v xml:space="preserve">JOSE J. REINOSO NO. 135                                                         </v>
      </c>
      <c r="F2271" s="26" t="str">
        <f>"CONSTITUCION 1917                                                                                                                           "</f>
        <v xml:space="preserve">CONSTITUCION 1917                                                                                                                           </v>
      </c>
      <c r="G2271" s="26" t="str">
        <f t="shared" si="426"/>
        <v xml:space="preserve">IZTAPALAPA                                                                      </v>
      </c>
      <c r="H2271" s="26" t="str">
        <f t="shared" si="433"/>
        <v>000</v>
      </c>
      <c r="I2271" s="26" t="str">
        <f t="shared" si="432"/>
        <v>00</v>
      </c>
      <c r="J2271" s="26" t="str">
        <f>"62 "</f>
        <v xml:space="preserve">62 </v>
      </c>
      <c r="K2271" s="26" t="str">
        <f t="shared" si="428"/>
        <v>IZ</v>
      </c>
      <c r="L2271" s="26" t="str">
        <f t="shared" si="429"/>
        <v>DGSEI</v>
      </c>
      <c r="M2271" s="26" t="str">
        <f t="shared" si="430"/>
        <v>PARTICULAR</v>
      </c>
      <c r="N2271" s="26">
        <v>18</v>
      </c>
      <c r="O2271" s="26">
        <v>14</v>
      </c>
      <c r="P2271" s="26">
        <v>4</v>
      </c>
      <c r="Q2271" s="26">
        <v>3</v>
      </c>
      <c r="R2271" s="26">
        <v>1</v>
      </c>
      <c r="S2271" s="26">
        <v>2</v>
      </c>
      <c r="T2271" s="26">
        <v>5</v>
      </c>
      <c r="U2271" s="26">
        <v>8</v>
      </c>
      <c r="V2271" s="26">
        <v>1</v>
      </c>
      <c r="W2271" s="26"/>
    </row>
    <row r="2272" spans="1:23" x14ac:dyDescent="0.25">
      <c r="A2272" s="26" t="str">
        <f t="shared" si="431"/>
        <v>PREESCOLAR</v>
      </c>
      <c r="B2272" s="26" t="str">
        <f>"09PJN4511E"</f>
        <v>09PJN4511E</v>
      </c>
      <c r="C2272" s="26" t="str">
        <f>"ARNOLD GESELL                                                                                       "</f>
        <v xml:space="preserve">ARNOLD GESELL                                                                                       </v>
      </c>
      <c r="D2272" s="26" t="str">
        <f t="shared" si="425"/>
        <v>MATUTINO</v>
      </c>
      <c r="E2272" s="26" t="str">
        <f>"CDA. MEXICO MZ. 51 LT. 10                                                       "</f>
        <v xml:space="preserve">CDA. MEXICO MZ. 51 LT. 10                                                       </v>
      </c>
      <c r="F2272" s="26" t="str">
        <f>"SANTA MARIA AZTAHUACAN                                                                                                                      "</f>
        <v xml:space="preserve">SANTA MARIA AZTAHUACAN                                                                                                                      </v>
      </c>
      <c r="G2272" s="26" t="str">
        <f t="shared" si="426"/>
        <v xml:space="preserve">IZTAPALAPA                                                                      </v>
      </c>
      <c r="H2272" s="26" t="str">
        <f t="shared" si="433"/>
        <v>000</v>
      </c>
      <c r="I2272" s="26" t="str">
        <f t="shared" si="432"/>
        <v>00</v>
      </c>
      <c r="J2272" s="26" t="str">
        <f>"64 "</f>
        <v xml:space="preserve">64 </v>
      </c>
      <c r="K2272" s="26" t="str">
        <f t="shared" si="428"/>
        <v>IZ</v>
      </c>
      <c r="L2272" s="26" t="str">
        <f t="shared" si="429"/>
        <v>DGSEI</v>
      </c>
      <c r="M2272" s="26" t="str">
        <f t="shared" si="430"/>
        <v>PARTICULAR</v>
      </c>
      <c r="N2272" s="26">
        <v>34</v>
      </c>
      <c r="O2272" s="26">
        <v>18</v>
      </c>
      <c r="P2272" s="26">
        <v>16</v>
      </c>
      <c r="Q2272" s="26">
        <v>2</v>
      </c>
      <c r="R2272" s="26">
        <v>1</v>
      </c>
      <c r="S2272" s="26">
        <v>2</v>
      </c>
      <c r="T2272" s="26">
        <v>1</v>
      </c>
      <c r="U2272" s="26">
        <v>4</v>
      </c>
      <c r="V2272" s="26">
        <v>1</v>
      </c>
      <c r="W2272" s="26"/>
    </row>
    <row r="2273" spans="1:23" x14ac:dyDescent="0.25">
      <c r="A2273" s="26" t="str">
        <f t="shared" si="431"/>
        <v>PREESCOLAR</v>
      </c>
      <c r="B2273" s="26" t="str">
        <f>"09PJN4512D"</f>
        <v>09PJN4512D</v>
      </c>
      <c r="C2273" s="26" t="str">
        <f>"COLEGIO WATSON Y CRICK                                                                              "</f>
        <v xml:space="preserve">COLEGIO WATSON Y CRICK                                                                              </v>
      </c>
      <c r="D2273" s="26" t="str">
        <f t="shared" si="425"/>
        <v>MATUTINO</v>
      </c>
      <c r="E2273" s="26" t="str">
        <f>"SUR 25 No. 551                                                                  "</f>
        <v xml:space="preserve">SUR 25 No. 551                                                                  </v>
      </c>
      <c r="F2273" s="26" t="str">
        <f>"LEYES DE REFORMA                                                                                                                            "</f>
        <v xml:space="preserve">LEYES DE REFORMA                                                                                                                            </v>
      </c>
      <c r="G2273" s="26" t="str">
        <f t="shared" si="426"/>
        <v xml:space="preserve">IZTAPALAPA                                                                      </v>
      </c>
      <c r="H2273" s="26" t="str">
        <f t="shared" si="433"/>
        <v>000</v>
      </c>
      <c r="I2273" s="26" t="str">
        <f t="shared" si="432"/>
        <v>00</v>
      </c>
      <c r="J2273" s="26" t="str">
        <f>"61 "</f>
        <v xml:space="preserve">61 </v>
      </c>
      <c r="K2273" s="26" t="str">
        <f t="shared" si="428"/>
        <v>IZ</v>
      </c>
      <c r="L2273" s="26" t="str">
        <f t="shared" si="429"/>
        <v>DGSEI</v>
      </c>
      <c r="M2273" s="26" t="str">
        <f t="shared" si="430"/>
        <v>PARTICULAR</v>
      </c>
      <c r="N2273" s="26">
        <v>41</v>
      </c>
      <c r="O2273" s="26">
        <v>24</v>
      </c>
      <c r="P2273" s="26">
        <v>17</v>
      </c>
      <c r="Q2273" s="26">
        <v>2</v>
      </c>
      <c r="R2273" s="26">
        <v>1</v>
      </c>
      <c r="S2273" s="26">
        <v>1</v>
      </c>
      <c r="T2273" s="26">
        <v>5</v>
      </c>
      <c r="U2273" s="26">
        <v>7</v>
      </c>
      <c r="V2273" s="26">
        <v>1</v>
      </c>
      <c r="W2273" s="26"/>
    </row>
    <row r="2274" spans="1:23" x14ac:dyDescent="0.25">
      <c r="A2274" s="26" t="str">
        <f t="shared" si="431"/>
        <v>PREESCOLAR</v>
      </c>
      <c r="B2274" s="26" t="str">
        <f>"09PJN4513C"</f>
        <v>09PJN4513C</v>
      </c>
      <c r="C2274" s="26" t="str">
        <f>"MONARCA                                                                                             "</f>
        <v xml:space="preserve">MONARCA                                                                                             </v>
      </c>
      <c r="D2274" s="26" t="str">
        <f>"TIEMPO COMPLETO"</f>
        <v>TIEMPO COMPLETO</v>
      </c>
      <c r="E2274" s="26" t="str">
        <f>"INSURGENTE EUGENIO GIRON MZ. 34 LT. 4                                           "</f>
        <v xml:space="preserve">INSURGENTE EUGENIO GIRON MZ. 34 LT. 4                                           </v>
      </c>
      <c r="F2274" s="26" t="str">
        <f>"PARAJE SAN JUAN                                                                                                                             "</f>
        <v xml:space="preserve">PARAJE SAN JUAN                                                                                                                             </v>
      </c>
      <c r="G2274" s="26" t="str">
        <f t="shared" si="426"/>
        <v xml:space="preserve">IZTAPALAPA                                                                      </v>
      </c>
      <c r="H2274" s="26" t="str">
        <f t="shared" si="433"/>
        <v>000</v>
      </c>
      <c r="I2274" s="26" t="str">
        <f t="shared" si="432"/>
        <v>00</v>
      </c>
      <c r="J2274" s="26" t="str">
        <f>"63 "</f>
        <v xml:space="preserve">63 </v>
      </c>
      <c r="K2274" s="26" t="str">
        <f t="shared" si="428"/>
        <v>IZ</v>
      </c>
      <c r="L2274" s="26" t="str">
        <f t="shared" si="429"/>
        <v>DGSEI</v>
      </c>
      <c r="M2274" s="26" t="str">
        <f t="shared" si="430"/>
        <v>PARTICULAR</v>
      </c>
      <c r="N2274" s="26">
        <v>26</v>
      </c>
      <c r="O2274" s="26">
        <v>10</v>
      </c>
      <c r="P2274" s="26">
        <v>16</v>
      </c>
      <c r="Q2274" s="26">
        <v>2</v>
      </c>
      <c r="R2274" s="26">
        <v>1</v>
      </c>
      <c r="S2274" s="26">
        <v>2</v>
      </c>
      <c r="T2274" s="26">
        <v>2</v>
      </c>
      <c r="U2274" s="26">
        <v>5</v>
      </c>
      <c r="V2274" s="26">
        <v>1</v>
      </c>
      <c r="W2274" s="26"/>
    </row>
    <row r="2275" spans="1:23" x14ac:dyDescent="0.25">
      <c r="A2275" s="26" t="str">
        <f t="shared" si="431"/>
        <v>PREESCOLAR</v>
      </c>
      <c r="B2275" s="26" t="str">
        <f>"09PJN4514B"</f>
        <v>09PJN4514B</v>
      </c>
      <c r="C2275" s="26" t="str">
        <f>"LA BURBUJA                                                                                          "</f>
        <v xml:space="preserve">LA BURBUJA                                                                                          </v>
      </c>
      <c r="D2275" s="26" t="str">
        <f t="shared" ref="D2275:D2319" si="434">"MATUTINO"</f>
        <v>MATUTINO</v>
      </c>
      <c r="E2275" s="26" t="str">
        <f>"EMILIO BERLINER MZ. 41 LT. 14                                                   "</f>
        <v xml:space="preserve">EMILIO BERLINER MZ. 41 LT. 14                                                   </v>
      </c>
      <c r="F2275" s="26" t="str">
        <f>"FUEGO NUEVO                                                                                                                                 "</f>
        <v xml:space="preserve">FUEGO NUEVO                                                                                                                                 </v>
      </c>
      <c r="G2275" s="26" t="str">
        <f t="shared" si="426"/>
        <v xml:space="preserve">IZTAPALAPA                                                                      </v>
      </c>
      <c r="H2275" s="26" t="str">
        <f t="shared" si="433"/>
        <v>000</v>
      </c>
      <c r="I2275" s="26" t="str">
        <f t="shared" si="432"/>
        <v>00</v>
      </c>
      <c r="J2275" s="26" t="str">
        <f>"63 "</f>
        <v xml:space="preserve">63 </v>
      </c>
      <c r="K2275" s="26" t="str">
        <f t="shared" si="428"/>
        <v>IZ</v>
      </c>
      <c r="L2275" s="26" t="str">
        <f t="shared" si="429"/>
        <v>DGSEI</v>
      </c>
      <c r="M2275" s="26" t="str">
        <f t="shared" si="430"/>
        <v>PARTICULAR</v>
      </c>
      <c r="N2275" s="26">
        <v>52</v>
      </c>
      <c r="O2275" s="26">
        <v>25</v>
      </c>
      <c r="P2275" s="26">
        <v>27</v>
      </c>
      <c r="Q2275" s="26">
        <v>3</v>
      </c>
      <c r="R2275" s="26">
        <v>1</v>
      </c>
      <c r="S2275" s="26">
        <v>2</v>
      </c>
      <c r="T2275" s="26">
        <v>2</v>
      </c>
      <c r="U2275" s="26">
        <v>5</v>
      </c>
      <c r="V2275" s="26">
        <v>1</v>
      </c>
      <c r="W2275" s="26"/>
    </row>
    <row r="2276" spans="1:23" x14ac:dyDescent="0.25">
      <c r="A2276" s="26" t="str">
        <f t="shared" si="431"/>
        <v>PREESCOLAR</v>
      </c>
      <c r="B2276" s="26" t="str">
        <f>"09PJN4515A"</f>
        <v>09PJN4515A</v>
      </c>
      <c r="C2276" s="26" t="str">
        <f>"UN NUEVO AMANECER                                                                                   "</f>
        <v xml:space="preserve">UN NUEVO AMANECER                                                                                   </v>
      </c>
      <c r="D2276" s="26" t="str">
        <f t="shared" si="434"/>
        <v>MATUTINO</v>
      </c>
      <c r="E2276" s="26" t="str">
        <f>"MIGUEL HIDALGO No. 132                                                          "</f>
        <v xml:space="preserve">MIGUEL HIDALGO No. 132                                                          </v>
      </c>
      <c r="F2276" s="26" t="str">
        <f>"SANTA CRUZ MEYEHUALCO                                                                                                                       "</f>
        <v xml:space="preserve">SANTA CRUZ MEYEHUALCO                                                                                                                       </v>
      </c>
      <c r="G2276" s="26" t="str">
        <f t="shared" si="426"/>
        <v xml:space="preserve">IZTAPALAPA                                                                      </v>
      </c>
      <c r="H2276" s="26" t="str">
        <f t="shared" si="433"/>
        <v>000</v>
      </c>
      <c r="I2276" s="26" t="str">
        <f t="shared" si="432"/>
        <v>00</v>
      </c>
      <c r="J2276" s="26" t="str">
        <f>"63 "</f>
        <v xml:space="preserve">63 </v>
      </c>
      <c r="K2276" s="26" t="str">
        <f t="shared" si="428"/>
        <v>IZ</v>
      </c>
      <c r="L2276" s="26" t="str">
        <f t="shared" si="429"/>
        <v>DGSEI</v>
      </c>
      <c r="M2276" s="26" t="str">
        <f t="shared" si="430"/>
        <v>PARTICULAR</v>
      </c>
      <c r="N2276" s="26">
        <v>48</v>
      </c>
      <c r="O2276" s="26">
        <v>30</v>
      </c>
      <c r="P2276" s="26">
        <v>18</v>
      </c>
      <c r="Q2276" s="26">
        <v>3</v>
      </c>
      <c r="R2276" s="26">
        <v>1</v>
      </c>
      <c r="S2276" s="26">
        <v>3</v>
      </c>
      <c r="T2276" s="26">
        <v>9</v>
      </c>
      <c r="U2276" s="26">
        <v>13</v>
      </c>
      <c r="V2276" s="26">
        <v>1</v>
      </c>
      <c r="W2276" s="26"/>
    </row>
    <row r="2277" spans="1:23" x14ac:dyDescent="0.25">
      <c r="A2277" s="26" t="str">
        <f t="shared" si="431"/>
        <v>PREESCOLAR</v>
      </c>
      <c r="B2277" s="26" t="str">
        <f>"09PJN4516Z"</f>
        <v>09PJN4516Z</v>
      </c>
      <c r="C2277" s="26" t="str">
        <f>"NIÑOS HEROES                                                                                        "</f>
        <v xml:space="preserve">NIÑOS HEROES                                                                                        </v>
      </c>
      <c r="D2277" s="26" t="str">
        <f t="shared" si="434"/>
        <v>MATUTINO</v>
      </c>
      <c r="E2277" s="26" t="str">
        <f>"COMETA MZ. 37 LT. 17                                                            "</f>
        <v xml:space="preserve">COMETA MZ. 37 LT. 17                                                            </v>
      </c>
      <c r="F2277" s="26" t="str">
        <f>"LOMAS DE LA ESTANCIA                                                                                                                        "</f>
        <v xml:space="preserve">LOMAS DE LA ESTANCIA                                                                                                                        </v>
      </c>
      <c r="G2277" s="26" t="str">
        <f t="shared" si="426"/>
        <v xml:space="preserve">IZTAPALAPA                                                                      </v>
      </c>
      <c r="H2277" s="26" t="str">
        <f>"   "</f>
        <v xml:space="preserve">   </v>
      </c>
      <c r="I2277" s="26" t="str">
        <f t="shared" si="432"/>
        <v>00</v>
      </c>
      <c r="J2277" s="26" t="str">
        <f>"64 "</f>
        <v xml:space="preserve">64 </v>
      </c>
      <c r="K2277" s="26" t="str">
        <f t="shared" si="428"/>
        <v>IZ</v>
      </c>
      <c r="L2277" s="26" t="str">
        <f t="shared" si="429"/>
        <v>DGSEI</v>
      </c>
      <c r="M2277" s="26" t="str">
        <f t="shared" si="430"/>
        <v>PARTICULAR</v>
      </c>
      <c r="N2277" s="26">
        <v>24</v>
      </c>
      <c r="O2277" s="26">
        <v>9</v>
      </c>
      <c r="P2277" s="26">
        <v>15</v>
      </c>
      <c r="Q2277" s="26">
        <v>3</v>
      </c>
      <c r="R2277" s="26">
        <v>1</v>
      </c>
      <c r="S2277" s="26">
        <v>2</v>
      </c>
      <c r="T2277" s="26">
        <v>3</v>
      </c>
      <c r="U2277" s="26">
        <v>6</v>
      </c>
      <c r="V2277" s="26">
        <v>1</v>
      </c>
      <c r="W2277" s="26"/>
    </row>
    <row r="2278" spans="1:23" x14ac:dyDescent="0.25">
      <c r="A2278" s="26" t="str">
        <f t="shared" si="431"/>
        <v>PREESCOLAR</v>
      </c>
      <c r="B2278" s="26" t="str">
        <f>"09PJN4517Z"</f>
        <v>09PJN4517Z</v>
      </c>
      <c r="C2278" s="26" t="str">
        <f>"EL MUNDO DE LA FANTASIA                                                                             "</f>
        <v xml:space="preserve">EL MUNDO DE LA FANTASIA                                                                             </v>
      </c>
      <c r="D2278" s="26" t="str">
        <f t="shared" si="434"/>
        <v>MATUTINO</v>
      </c>
      <c r="E2278" s="26" t="str">
        <f>"QUINTANA ROO MZ. 74 LT. 20                                                      "</f>
        <v xml:space="preserve">QUINTANA ROO MZ. 74 LT. 20                                                      </v>
      </c>
      <c r="F2278" s="26" t="str">
        <f>"LOMAS DE ZARAGOZA                                                                                                                           "</f>
        <v xml:space="preserve">LOMAS DE ZARAGOZA                                                                                                                           </v>
      </c>
      <c r="G2278" s="26" t="str">
        <f t="shared" si="426"/>
        <v xml:space="preserve">IZTAPALAPA                                                                      </v>
      </c>
      <c r="H2278" s="26" t="str">
        <f t="shared" ref="H2278:H2295" si="435">"000"</f>
        <v>000</v>
      </c>
      <c r="I2278" s="26" t="str">
        <f t="shared" si="432"/>
        <v>00</v>
      </c>
      <c r="J2278" s="26" t="str">
        <f>"64 "</f>
        <v xml:space="preserve">64 </v>
      </c>
      <c r="K2278" s="26" t="str">
        <f t="shared" si="428"/>
        <v>IZ</v>
      </c>
      <c r="L2278" s="26" t="str">
        <f t="shared" si="429"/>
        <v>DGSEI</v>
      </c>
      <c r="M2278" s="26" t="str">
        <f t="shared" si="430"/>
        <v>PARTICULAR</v>
      </c>
      <c r="N2278" s="26">
        <v>32</v>
      </c>
      <c r="O2278" s="26">
        <v>16</v>
      </c>
      <c r="P2278" s="26">
        <v>16</v>
      </c>
      <c r="Q2278" s="26">
        <v>2</v>
      </c>
      <c r="R2278" s="26">
        <v>1</v>
      </c>
      <c r="S2278" s="26">
        <v>2</v>
      </c>
      <c r="T2278" s="26">
        <v>2</v>
      </c>
      <c r="U2278" s="26">
        <v>5</v>
      </c>
      <c r="V2278" s="26">
        <v>1</v>
      </c>
      <c r="W2278" s="26"/>
    </row>
    <row r="2279" spans="1:23" x14ac:dyDescent="0.25">
      <c r="A2279" s="26" t="str">
        <f t="shared" si="431"/>
        <v>PREESCOLAR</v>
      </c>
      <c r="B2279" s="26" t="str">
        <f>"09PJN4518Y"</f>
        <v>09PJN4518Y</v>
      </c>
      <c r="C2279" s="26" t="str">
        <f>"EL PRINCIPIO DEL SABER                                                                              "</f>
        <v xml:space="preserve">EL PRINCIPIO DEL SABER                                                                              </v>
      </c>
      <c r="D2279" s="26" t="str">
        <f t="shared" si="434"/>
        <v>MATUTINO</v>
      </c>
      <c r="E2279" s="26" t="str">
        <f>"OCTAVIO SENTIES MZ 42 LT 35                                                     "</f>
        <v xml:space="preserve">OCTAVIO SENTIES MZ 42 LT 35                                                     </v>
      </c>
      <c r="F2279" s="26" t="str">
        <f>"CONSEJO AGRARISTA MEXICANO                                                                                                                  "</f>
        <v xml:space="preserve">CONSEJO AGRARISTA MEXICANO                                                                                                                  </v>
      </c>
      <c r="G2279" s="26" t="str">
        <f t="shared" si="426"/>
        <v xml:space="preserve">IZTAPALAPA                                                                      </v>
      </c>
      <c r="H2279" s="26" t="str">
        <f t="shared" si="435"/>
        <v>000</v>
      </c>
      <c r="I2279" s="26" t="str">
        <f t="shared" si="432"/>
        <v>00</v>
      </c>
      <c r="J2279" s="26" t="str">
        <f>"63 "</f>
        <v xml:space="preserve">63 </v>
      </c>
      <c r="K2279" s="26" t="str">
        <f t="shared" si="428"/>
        <v>IZ</v>
      </c>
      <c r="L2279" s="26" t="str">
        <f t="shared" si="429"/>
        <v>DGSEI</v>
      </c>
      <c r="M2279" s="26" t="str">
        <f t="shared" si="430"/>
        <v>PARTICULAR</v>
      </c>
      <c r="N2279" s="26">
        <v>16</v>
      </c>
      <c r="O2279" s="26">
        <v>9</v>
      </c>
      <c r="P2279" s="26">
        <v>7</v>
      </c>
      <c r="Q2279" s="26">
        <v>2</v>
      </c>
      <c r="R2279" s="26">
        <v>1</v>
      </c>
      <c r="S2279" s="26">
        <v>2</v>
      </c>
      <c r="T2279" s="26">
        <v>0</v>
      </c>
      <c r="U2279" s="26">
        <v>3</v>
      </c>
      <c r="V2279" s="26">
        <v>1</v>
      </c>
      <c r="W2279" s="26"/>
    </row>
    <row r="2280" spans="1:23" x14ac:dyDescent="0.25">
      <c r="A2280" s="26" t="str">
        <f t="shared" si="431"/>
        <v>PREESCOLAR</v>
      </c>
      <c r="B2280" s="26" t="str">
        <f>"09PJN4519X"</f>
        <v>09PJN4519X</v>
      </c>
      <c r="C2280" s="26" t="str">
        <f>"PASCUAL ORTIZ RUBIO                                                                                 "</f>
        <v xml:space="preserve">PASCUAL ORTIZ RUBIO                                                                                 </v>
      </c>
      <c r="D2280" s="26" t="str">
        <f t="shared" si="434"/>
        <v>MATUTINO</v>
      </c>
      <c r="E2280" s="26" t="str">
        <f>"INDEPENDENCIA NO 31                                                             "</f>
        <v xml:space="preserve">INDEPENDENCIA NO 31                                                             </v>
      </c>
      <c r="F2280" s="26" t="str">
        <f>"APATLACO                                                                                                                                    "</f>
        <v xml:space="preserve">APATLACO                                                                                                                                    </v>
      </c>
      <c r="G2280" s="26" t="str">
        <f t="shared" si="426"/>
        <v xml:space="preserve">IZTAPALAPA                                                                      </v>
      </c>
      <c r="H2280" s="26" t="str">
        <f t="shared" si="435"/>
        <v>000</v>
      </c>
      <c r="I2280" s="26" t="str">
        <f t="shared" si="432"/>
        <v>00</v>
      </c>
      <c r="J2280" s="26" t="str">
        <f>"61 "</f>
        <v xml:space="preserve">61 </v>
      </c>
      <c r="K2280" s="26" t="str">
        <f t="shared" si="428"/>
        <v>IZ</v>
      </c>
      <c r="L2280" s="26" t="str">
        <f t="shared" si="429"/>
        <v>DGSEI</v>
      </c>
      <c r="M2280" s="26" t="str">
        <f t="shared" si="430"/>
        <v>PARTICULAR</v>
      </c>
      <c r="N2280" s="26">
        <v>21</v>
      </c>
      <c r="O2280" s="26">
        <v>10</v>
      </c>
      <c r="P2280" s="26">
        <v>11</v>
      </c>
      <c r="Q2280" s="26">
        <v>2</v>
      </c>
      <c r="R2280" s="26">
        <v>1</v>
      </c>
      <c r="S2280" s="26">
        <v>1</v>
      </c>
      <c r="T2280" s="26">
        <v>1</v>
      </c>
      <c r="U2280" s="26">
        <v>3</v>
      </c>
      <c r="V2280" s="26">
        <v>1</v>
      </c>
      <c r="W2280" s="26"/>
    </row>
    <row r="2281" spans="1:23" x14ac:dyDescent="0.25">
      <c r="A2281" s="26" t="str">
        <f t="shared" si="431"/>
        <v>PREESCOLAR</v>
      </c>
      <c r="B2281" s="26" t="str">
        <f>"09PJN4522K"</f>
        <v>09PJN4522K</v>
      </c>
      <c r="C2281" s="26" t="str">
        <f>"EL MAGO DE OZ                                                                                       "</f>
        <v xml:space="preserve">EL MAGO DE OZ                                                                                       </v>
      </c>
      <c r="D2281" s="26" t="str">
        <f t="shared" si="434"/>
        <v>MATUTINO</v>
      </c>
      <c r="E2281" s="26" t="str">
        <f>"10 DE ABRIL DE 1859 MZ. 99 LT. 1038-C                                           "</f>
        <v xml:space="preserve">10 DE ABRIL DE 1859 MZ. 99 LT. 1038-C                                           </v>
      </c>
      <c r="F2281" s="26" t="str">
        <f>"LEYES DE REFORMA                                                                                                                            "</f>
        <v xml:space="preserve">LEYES DE REFORMA                                                                                                                            </v>
      </c>
      <c r="G2281" s="26" t="str">
        <f t="shared" si="426"/>
        <v xml:space="preserve">IZTAPALAPA                                                                      </v>
      </c>
      <c r="H2281" s="26" t="str">
        <f t="shared" si="435"/>
        <v>000</v>
      </c>
      <c r="I2281" s="26" t="str">
        <f t="shared" si="432"/>
        <v>00</v>
      </c>
      <c r="J2281" s="26" t="str">
        <f>"61 "</f>
        <v xml:space="preserve">61 </v>
      </c>
      <c r="K2281" s="26" t="str">
        <f t="shared" si="428"/>
        <v>IZ</v>
      </c>
      <c r="L2281" s="26" t="str">
        <f t="shared" si="429"/>
        <v>DGSEI</v>
      </c>
      <c r="M2281" s="26" t="str">
        <f t="shared" si="430"/>
        <v>PARTICULAR</v>
      </c>
      <c r="N2281" s="26">
        <v>28</v>
      </c>
      <c r="O2281" s="26">
        <v>18</v>
      </c>
      <c r="P2281" s="26">
        <v>10</v>
      </c>
      <c r="Q2281" s="26">
        <v>3</v>
      </c>
      <c r="R2281" s="26">
        <v>1</v>
      </c>
      <c r="S2281" s="26">
        <v>2</v>
      </c>
      <c r="T2281" s="26">
        <v>1</v>
      </c>
      <c r="U2281" s="26">
        <v>4</v>
      </c>
      <c r="V2281" s="26">
        <v>1</v>
      </c>
      <c r="W2281" s="26"/>
    </row>
    <row r="2282" spans="1:23" x14ac:dyDescent="0.25">
      <c r="A2282" s="26" t="str">
        <f t="shared" si="431"/>
        <v>PREESCOLAR</v>
      </c>
      <c r="B2282" s="26" t="str">
        <f>"09PJN4523J"</f>
        <v>09PJN4523J</v>
      </c>
      <c r="C2282" s="26" t="str">
        <f>"LA MAGIA DE LAS LETRAS                                                                              "</f>
        <v xml:space="preserve">LA MAGIA DE LAS LETRAS                                                                              </v>
      </c>
      <c r="D2282" s="26" t="str">
        <f t="shared" si="434"/>
        <v>MATUTINO</v>
      </c>
      <c r="E2282" s="26" t="str">
        <f>"FUERTE DE LORETO NO. 2 EDIF. 195 DEPTO. 110                                     "</f>
        <v xml:space="preserve">FUERTE DE LORETO NO. 2 EDIF. 195 DEPTO. 110                                     </v>
      </c>
      <c r="F2282" s="26" t="str">
        <f>"UNIDAD HABITACIONAL EJERCITO DE ORI                                                                                                         "</f>
        <v xml:space="preserve">UNIDAD HABITACIONAL EJERCITO DE ORI                                                                                                         </v>
      </c>
      <c r="G2282" s="26" t="str">
        <f t="shared" si="426"/>
        <v xml:space="preserve">IZTAPALAPA                                                                      </v>
      </c>
      <c r="H2282" s="26" t="str">
        <f t="shared" si="435"/>
        <v>000</v>
      </c>
      <c r="I2282" s="26" t="str">
        <f t="shared" si="432"/>
        <v>00</v>
      </c>
      <c r="J2282" s="26" t="str">
        <f>"62 "</f>
        <v xml:space="preserve">62 </v>
      </c>
      <c r="K2282" s="26" t="str">
        <f t="shared" si="428"/>
        <v>IZ</v>
      </c>
      <c r="L2282" s="26" t="str">
        <f t="shared" si="429"/>
        <v>DGSEI</v>
      </c>
      <c r="M2282" s="26" t="str">
        <f t="shared" si="430"/>
        <v>PARTICULAR</v>
      </c>
      <c r="N2282" s="26">
        <v>15</v>
      </c>
      <c r="O2282" s="26">
        <v>9</v>
      </c>
      <c r="P2282" s="26">
        <v>6</v>
      </c>
      <c r="Q2282" s="26">
        <v>2</v>
      </c>
      <c r="R2282" s="26">
        <v>1</v>
      </c>
      <c r="S2282" s="26">
        <v>2</v>
      </c>
      <c r="T2282" s="26">
        <v>0</v>
      </c>
      <c r="U2282" s="26">
        <v>3</v>
      </c>
      <c r="V2282" s="26">
        <v>1</v>
      </c>
      <c r="W2282" s="26"/>
    </row>
    <row r="2283" spans="1:23" x14ac:dyDescent="0.25">
      <c r="A2283" s="26" t="str">
        <f t="shared" si="431"/>
        <v>PREESCOLAR</v>
      </c>
      <c r="B2283" s="26" t="str">
        <f>"09PJN4524I"</f>
        <v>09PJN4524I</v>
      </c>
      <c r="C2283" s="26" t="str">
        <f>"HORMIGUITAS                                                                                         "</f>
        <v xml:space="preserve">HORMIGUITAS                                                                                         </v>
      </c>
      <c r="D2283" s="26" t="str">
        <f t="shared" si="434"/>
        <v>MATUTINO</v>
      </c>
      <c r="E2283" s="26" t="str">
        <f>"LIBERTAD No. 126                                                                "</f>
        <v xml:space="preserve">LIBERTAD No. 126                                                                </v>
      </c>
      <c r="F2283" s="26" t="str">
        <f>"SAN LUCAS                                                                                                                                   "</f>
        <v xml:space="preserve">SAN LUCAS                                                                                                                                   </v>
      </c>
      <c r="G2283" s="26" t="str">
        <f t="shared" si="426"/>
        <v xml:space="preserve">IZTAPALAPA                                                                      </v>
      </c>
      <c r="H2283" s="26" t="str">
        <f t="shared" si="435"/>
        <v>000</v>
      </c>
      <c r="I2283" s="26" t="str">
        <f t="shared" si="432"/>
        <v>00</v>
      </c>
      <c r="J2283" s="26" t="str">
        <f>"61 "</f>
        <v xml:space="preserve">61 </v>
      </c>
      <c r="K2283" s="26" t="str">
        <f t="shared" si="428"/>
        <v>IZ</v>
      </c>
      <c r="L2283" s="26" t="str">
        <f t="shared" si="429"/>
        <v>DGSEI</v>
      </c>
      <c r="M2283" s="26" t="str">
        <f t="shared" si="430"/>
        <v>PARTICULAR</v>
      </c>
      <c r="N2283" s="26">
        <v>47</v>
      </c>
      <c r="O2283" s="26">
        <v>24</v>
      </c>
      <c r="P2283" s="26">
        <v>23</v>
      </c>
      <c r="Q2283" s="26">
        <v>3</v>
      </c>
      <c r="R2283" s="26">
        <v>1</v>
      </c>
      <c r="S2283" s="26">
        <v>2</v>
      </c>
      <c r="T2283" s="26">
        <v>2</v>
      </c>
      <c r="U2283" s="26">
        <v>5</v>
      </c>
      <c r="V2283" s="26">
        <v>1</v>
      </c>
      <c r="W2283" s="26"/>
    </row>
    <row r="2284" spans="1:23" x14ac:dyDescent="0.25">
      <c r="A2284" s="26" t="str">
        <f t="shared" si="431"/>
        <v>PREESCOLAR</v>
      </c>
      <c r="B2284" s="26" t="str">
        <f>"09PJN4526G"</f>
        <v>09PJN4526G</v>
      </c>
      <c r="C2284" s="26" t="str">
        <f>"FANTASIA ANGELICAL                                                                                  "</f>
        <v xml:space="preserve">FANTASIA ANGELICAL                                                                                  </v>
      </c>
      <c r="D2284" s="26" t="str">
        <f t="shared" si="434"/>
        <v>MATUTINO</v>
      </c>
      <c r="E2284" s="26" t="str">
        <f>"HIDALGO MZ 27 LT 9                                                              "</f>
        <v xml:space="preserve">HIDALGO MZ 27 LT 9                                                              </v>
      </c>
      <c r="F2284" s="26" t="str">
        <f>"CAMPESTRE EL POTRERO                                                                                                                        "</f>
        <v xml:space="preserve">CAMPESTRE EL POTRERO                                                                                                                        </v>
      </c>
      <c r="G2284" s="26" t="str">
        <f t="shared" si="426"/>
        <v xml:space="preserve">IZTAPALAPA                                                                      </v>
      </c>
      <c r="H2284" s="26" t="str">
        <f t="shared" si="435"/>
        <v>000</v>
      </c>
      <c r="I2284" s="26" t="str">
        <f t="shared" si="432"/>
        <v>00</v>
      </c>
      <c r="J2284" s="26" t="str">
        <f>"64 "</f>
        <v xml:space="preserve">64 </v>
      </c>
      <c r="K2284" s="26" t="str">
        <f t="shared" si="428"/>
        <v>IZ</v>
      </c>
      <c r="L2284" s="26" t="str">
        <f t="shared" si="429"/>
        <v>DGSEI</v>
      </c>
      <c r="M2284" s="26" t="str">
        <f t="shared" si="430"/>
        <v>PARTICULAR</v>
      </c>
      <c r="N2284" s="26">
        <v>61</v>
      </c>
      <c r="O2284" s="26">
        <v>33</v>
      </c>
      <c r="P2284" s="26">
        <v>28</v>
      </c>
      <c r="Q2284" s="26">
        <v>3</v>
      </c>
      <c r="R2284" s="26">
        <v>1</v>
      </c>
      <c r="S2284" s="26">
        <v>2</v>
      </c>
      <c r="T2284" s="26">
        <v>6</v>
      </c>
      <c r="U2284" s="26">
        <v>9</v>
      </c>
      <c r="V2284" s="26">
        <v>1</v>
      </c>
      <c r="W2284" s="26"/>
    </row>
    <row r="2285" spans="1:23" x14ac:dyDescent="0.25">
      <c r="A2285" s="26" t="str">
        <f t="shared" si="431"/>
        <v>PREESCOLAR</v>
      </c>
      <c r="B2285" s="26" t="str">
        <f>"09PJN4527F"</f>
        <v>09PJN4527F</v>
      </c>
      <c r="C2285" s="26" t="str">
        <f>"INSTITUTO INFANTIL TIKAL TEOCALLI                                                                   "</f>
        <v xml:space="preserve">INSTITUTO INFANTIL TIKAL TEOCALLI                                                                   </v>
      </c>
      <c r="D2285" s="26" t="str">
        <f t="shared" si="434"/>
        <v>MATUTINO</v>
      </c>
      <c r="E2285" s="26" t="str">
        <f>"SAGU NO. 129                                                                    "</f>
        <v xml:space="preserve">SAGU NO. 129                                                                    </v>
      </c>
      <c r="F2285" s="26" t="str">
        <f>"GRANJAS ESMERALDA                                                                                                                           "</f>
        <v xml:space="preserve">GRANJAS ESMERALDA                                                                                                                           </v>
      </c>
      <c r="G2285" s="26" t="str">
        <f t="shared" si="426"/>
        <v xml:space="preserve">IZTAPALAPA                                                                      </v>
      </c>
      <c r="H2285" s="26" t="str">
        <f t="shared" si="435"/>
        <v>000</v>
      </c>
      <c r="I2285" s="26" t="str">
        <f t="shared" si="432"/>
        <v>00</v>
      </c>
      <c r="J2285" s="26" t="str">
        <f>"61 "</f>
        <v xml:space="preserve">61 </v>
      </c>
      <c r="K2285" s="26" t="str">
        <f t="shared" si="428"/>
        <v>IZ</v>
      </c>
      <c r="L2285" s="26" t="str">
        <f t="shared" si="429"/>
        <v>DGSEI</v>
      </c>
      <c r="M2285" s="26" t="str">
        <f t="shared" si="430"/>
        <v>PARTICULAR</v>
      </c>
      <c r="N2285" s="26">
        <v>16</v>
      </c>
      <c r="O2285" s="26">
        <v>6</v>
      </c>
      <c r="P2285" s="26">
        <v>10</v>
      </c>
      <c r="Q2285" s="26">
        <v>3</v>
      </c>
      <c r="R2285" s="26">
        <v>1</v>
      </c>
      <c r="S2285" s="26">
        <v>1</v>
      </c>
      <c r="T2285" s="26">
        <v>2</v>
      </c>
      <c r="U2285" s="26">
        <v>4</v>
      </c>
      <c r="V2285" s="26">
        <v>1</v>
      </c>
      <c r="W2285" s="26"/>
    </row>
    <row r="2286" spans="1:23" x14ac:dyDescent="0.25">
      <c r="A2286" s="26" t="str">
        <f t="shared" si="431"/>
        <v>PREESCOLAR</v>
      </c>
      <c r="B2286" s="26" t="str">
        <f>"09PJN4528E"</f>
        <v>09PJN4528E</v>
      </c>
      <c r="C2286" s="26" t="str">
        <f>"LOS CONSTITUYENTES                                                                                  "</f>
        <v xml:space="preserve">LOS CONSTITUYENTES                                                                                  </v>
      </c>
      <c r="D2286" s="26" t="str">
        <f t="shared" si="434"/>
        <v>MATUTINO</v>
      </c>
      <c r="E2286" s="26" t="str">
        <f>"SAUCE MZ. 9 LT. 15                                                              "</f>
        <v xml:space="preserve">SAUCE MZ. 9 LT. 15                                                              </v>
      </c>
      <c r="F2286" s="26" t="str">
        <f>"SANTIAGO ACAHUALTEPEC 2A AMPLIACION                                                                                                         "</f>
        <v xml:space="preserve">SANTIAGO ACAHUALTEPEC 2A AMPLIACION                                                                                                         </v>
      </c>
      <c r="G2286" s="26" t="str">
        <f t="shared" si="426"/>
        <v xml:space="preserve">IZTAPALAPA                                                                      </v>
      </c>
      <c r="H2286" s="26" t="str">
        <f t="shared" si="435"/>
        <v>000</v>
      </c>
      <c r="I2286" s="26" t="str">
        <f t="shared" si="432"/>
        <v>00</v>
      </c>
      <c r="J2286" s="26" t="str">
        <f>"64 "</f>
        <v xml:space="preserve">64 </v>
      </c>
      <c r="K2286" s="26" t="str">
        <f t="shared" si="428"/>
        <v>IZ</v>
      </c>
      <c r="L2286" s="26" t="str">
        <f t="shared" si="429"/>
        <v>DGSEI</v>
      </c>
      <c r="M2286" s="26" t="str">
        <f t="shared" si="430"/>
        <v>PARTICULAR</v>
      </c>
      <c r="N2286" s="26">
        <v>42</v>
      </c>
      <c r="O2286" s="26">
        <v>20</v>
      </c>
      <c r="P2286" s="26">
        <v>22</v>
      </c>
      <c r="Q2286" s="26">
        <v>3</v>
      </c>
      <c r="R2286" s="26">
        <v>1</v>
      </c>
      <c r="S2286" s="26">
        <v>2</v>
      </c>
      <c r="T2286" s="26">
        <v>2</v>
      </c>
      <c r="U2286" s="26">
        <v>5</v>
      </c>
      <c r="V2286" s="26">
        <v>1</v>
      </c>
      <c r="W2286" s="26"/>
    </row>
    <row r="2287" spans="1:23" x14ac:dyDescent="0.25">
      <c r="A2287" s="26" t="str">
        <f t="shared" si="431"/>
        <v>PREESCOLAR</v>
      </c>
      <c r="B2287" s="26" t="str">
        <f>"09PJN4530T"</f>
        <v>09PJN4530T</v>
      </c>
      <c r="C2287" s="26" t="str">
        <f>"CHIAPAS                                                                                             "</f>
        <v xml:space="preserve">CHIAPAS                                                                                             </v>
      </c>
      <c r="D2287" s="26" t="str">
        <f t="shared" si="434"/>
        <v>MATUTINO</v>
      </c>
      <c r="E2287" s="26" t="str">
        <f>"ALVARO OBREGON NO. 120                                                          "</f>
        <v xml:space="preserve">ALVARO OBREGON NO. 120                                                          </v>
      </c>
      <c r="F2287" s="26" t="str">
        <f>"PROGRESISTA                                                                                                                                 "</f>
        <v xml:space="preserve">PROGRESISTA                                                                                                                                 </v>
      </c>
      <c r="G2287" s="26" t="str">
        <f t="shared" si="426"/>
        <v xml:space="preserve">IZTAPALAPA                                                                      </v>
      </c>
      <c r="H2287" s="26" t="str">
        <f t="shared" si="435"/>
        <v>000</v>
      </c>
      <c r="I2287" s="26" t="str">
        <f t="shared" si="432"/>
        <v>00</v>
      </c>
      <c r="J2287" s="26" t="str">
        <f>"62 "</f>
        <v xml:space="preserve">62 </v>
      </c>
      <c r="K2287" s="26" t="str">
        <f t="shared" si="428"/>
        <v>IZ</v>
      </c>
      <c r="L2287" s="26" t="str">
        <f t="shared" si="429"/>
        <v>DGSEI</v>
      </c>
      <c r="M2287" s="26" t="str">
        <f t="shared" si="430"/>
        <v>PARTICULAR</v>
      </c>
      <c r="N2287" s="26">
        <v>21</v>
      </c>
      <c r="O2287" s="26">
        <v>9</v>
      </c>
      <c r="P2287" s="26">
        <v>12</v>
      </c>
      <c r="Q2287" s="26">
        <v>3</v>
      </c>
      <c r="R2287" s="26">
        <v>1</v>
      </c>
      <c r="S2287" s="26">
        <v>3</v>
      </c>
      <c r="T2287" s="26">
        <v>0</v>
      </c>
      <c r="U2287" s="26">
        <v>4</v>
      </c>
      <c r="V2287" s="26">
        <v>1</v>
      </c>
      <c r="W2287" s="26"/>
    </row>
    <row r="2288" spans="1:23" x14ac:dyDescent="0.25">
      <c r="A2288" s="26" t="str">
        <f t="shared" si="431"/>
        <v>PREESCOLAR</v>
      </c>
      <c r="B2288" s="26" t="str">
        <f>"09PJN4531S"</f>
        <v>09PJN4531S</v>
      </c>
      <c r="C2288" s="26" t="str">
        <f>"INSTITUTO GLUMER                                                                                    "</f>
        <v xml:space="preserve">INSTITUTO GLUMER                                                                                    </v>
      </c>
      <c r="D2288" s="26" t="str">
        <f t="shared" si="434"/>
        <v>MATUTINO</v>
      </c>
      <c r="E2288" s="26" t="str">
        <f>"ALCANFORES NO. 49                                                               "</f>
        <v xml:space="preserve">ALCANFORES NO. 49                                                               </v>
      </c>
      <c r="F2288" s="26" t="str">
        <f>"VALLE DEL SUR                                                                                                                               "</f>
        <v xml:space="preserve">VALLE DEL SUR                                                                                                                               </v>
      </c>
      <c r="G2288" s="26" t="str">
        <f t="shared" si="426"/>
        <v xml:space="preserve">IZTAPALAPA                                                                      </v>
      </c>
      <c r="H2288" s="26" t="str">
        <f t="shared" si="435"/>
        <v>000</v>
      </c>
      <c r="I2288" s="26" t="str">
        <f t="shared" si="432"/>
        <v>00</v>
      </c>
      <c r="J2288" s="26" t="str">
        <f>"61 "</f>
        <v xml:space="preserve">61 </v>
      </c>
      <c r="K2288" s="26" t="str">
        <f t="shared" si="428"/>
        <v>IZ</v>
      </c>
      <c r="L2288" s="26" t="str">
        <f t="shared" si="429"/>
        <v>DGSEI</v>
      </c>
      <c r="M2288" s="26" t="str">
        <f t="shared" si="430"/>
        <v>PARTICULAR</v>
      </c>
      <c r="N2288" s="26">
        <v>9</v>
      </c>
      <c r="O2288" s="26">
        <v>5</v>
      </c>
      <c r="P2288" s="26">
        <v>4</v>
      </c>
      <c r="Q2288" s="26">
        <v>3</v>
      </c>
      <c r="R2288" s="26">
        <v>1</v>
      </c>
      <c r="S2288" s="26">
        <v>1</v>
      </c>
      <c r="T2288" s="26">
        <v>0</v>
      </c>
      <c r="U2288" s="26">
        <v>2</v>
      </c>
      <c r="V2288" s="26">
        <v>1</v>
      </c>
      <c r="W2288" s="26"/>
    </row>
    <row r="2289" spans="1:23" x14ac:dyDescent="0.25">
      <c r="A2289" s="26" t="str">
        <f t="shared" si="431"/>
        <v>PREESCOLAR</v>
      </c>
      <c r="B2289" s="26" t="str">
        <f>"09PJN4532R"</f>
        <v>09PJN4532R</v>
      </c>
      <c r="C2289" s="26" t="str">
        <f>"ALFONSO CRAVIOTO                                                                                    "</f>
        <v xml:space="preserve">ALFONSO CRAVIOTO                                                                                    </v>
      </c>
      <c r="D2289" s="26" t="str">
        <f t="shared" si="434"/>
        <v>MATUTINO</v>
      </c>
      <c r="E2289" s="26" t="str">
        <f>"PORFIRIO SOSA NO. 147                                                           "</f>
        <v xml:space="preserve">PORFIRIO SOSA NO. 147                                                           </v>
      </c>
      <c r="F2289" s="26" t="str">
        <f>"COLONIAL IZTAPALAPA                                                                                                                         "</f>
        <v xml:space="preserve">COLONIAL IZTAPALAPA                                                                                                                         </v>
      </c>
      <c r="G2289" s="26" t="str">
        <f t="shared" si="426"/>
        <v xml:space="preserve">IZTAPALAPA                                                                      </v>
      </c>
      <c r="H2289" s="26" t="str">
        <f t="shared" si="435"/>
        <v>000</v>
      </c>
      <c r="I2289" s="26" t="str">
        <f t="shared" si="432"/>
        <v>00</v>
      </c>
      <c r="J2289" s="26" t="str">
        <f>"64 "</f>
        <v xml:space="preserve">64 </v>
      </c>
      <c r="K2289" s="26" t="str">
        <f t="shared" si="428"/>
        <v>IZ</v>
      </c>
      <c r="L2289" s="26" t="str">
        <f t="shared" si="429"/>
        <v>DGSEI</v>
      </c>
      <c r="M2289" s="26" t="str">
        <f t="shared" si="430"/>
        <v>PARTICULAR</v>
      </c>
      <c r="N2289" s="26">
        <v>79</v>
      </c>
      <c r="O2289" s="26">
        <v>44</v>
      </c>
      <c r="P2289" s="26">
        <v>35</v>
      </c>
      <c r="Q2289" s="26">
        <v>3</v>
      </c>
      <c r="R2289" s="26">
        <v>1</v>
      </c>
      <c r="S2289" s="26">
        <v>2</v>
      </c>
      <c r="T2289" s="26">
        <v>5</v>
      </c>
      <c r="U2289" s="26">
        <v>8</v>
      </c>
      <c r="V2289" s="26">
        <v>1</v>
      </c>
      <c r="W2289" s="26"/>
    </row>
    <row r="2290" spans="1:23" x14ac:dyDescent="0.25">
      <c r="A2290" s="26" t="str">
        <f t="shared" si="431"/>
        <v>PREESCOLAR</v>
      </c>
      <c r="B2290" s="26" t="str">
        <f>"09PJN4533Q"</f>
        <v>09PJN4533Q</v>
      </c>
      <c r="C2290" s="26" t="str">
        <f>"CENTRO DE DESARROLLO DE LA TEMPRANA ENSEÑANZA                                                       "</f>
        <v xml:space="preserve">CENTRO DE DESARROLLO DE LA TEMPRANA ENSEÑANZA                                                       </v>
      </c>
      <c r="D2290" s="26" t="str">
        <f t="shared" si="434"/>
        <v>MATUTINO</v>
      </c>
      <c r="E2290" s="26" t="str">
        <f>"5 DE MAYO MZ. 13 LT. 8-D                                                        "</f>
        <v xml:space="preserve">5 DE MAYO MZ. 13 LT. 8-D                                                        </v>
      </c>
      <c r="F2290" s="26" t="str">
        <f>"LOS ANGELES APANOAYA                                                                                                                        "</f>
        <v xml:space="preserve">LOS ANGELES APANOAYA                                                                                                                        </v>
      </c>
      <c r="G2290" s="26" t="str">
        <f t="shared" si="426"/>
        <v xml:space="preserve">IZTAPALAPA                                                                      </v>
      </c>
      <c r="H2290" s="26" t="str">
        <f t="shared" si="435"/>
        <v>000</v>
      </c>
      <c r="I2290" s="26" t="str">
        <f t="shared" si="432"/>
        <v>00</v>
      </c>
      <c r="J2290" s="26" t="str">
        <f>"63 "</f>
        <v xml:space="preserve">63 </v>
      </c>
      <c r="K2290" s="26" t="str">
        <f t="shared" si="428"/>
        <v>IZ</v>
      </c>
      <c r="L2290" s="26" t="str">
        <f t="shared" si="429"/>
        <v>DGSEI</v>
      </c>
      <c r="M2290" s="26" t="str">
        <f t="shared" si="430"/>
        <v>PARTICULAR</v>
      </c>
      <c r="N2290" s="26">
        <v>52</v>
      </c>
      <c r="O2290" s="26">
        <v>32</v>
      </c>
      <c r="P2290" s="26">
        <v>20</v>
      </c>
      <c r="Q2290" s="26">
        <v>3</v>
      </c>
      <c r="R2290" s="26">
        <v>1</v>
      </c>
      <c r="S2290" s="26">
        <v>2</v>
      </c>
      <c r="T2290" s="26">
        <v>2</v>
      </c>
      <c r="U2290" s="26">
        <v>5</v>
      </c>
      <c r="V2290" s="26">
        <v>1</v>
      </c>
      <c r="W2290" s="26"/>
    </row>
    <row r="2291" spans="1:23" x14ac:dyDescent="0.25">
      <c r="A2291" s="26" t="str">
        <f t="shared" si="431"/>
        <v>PREESCOLAR</v>
      </c>
      <c r="B2291" s="26" t="str">
        <f>"09PJN4534P"</f>
        <v>09PJN4534P</v>
      </c>
      <c r="C2291" s="26" t="str">
        <f>"COLEGIO ABRAHAM CASTELLANOS                                                                         "</f>
        <v xml:space="preserve">COLEGIO ABRAHAM CASTELLANOS                                                                         </v>
      </c>
      <c r="D2291" s="26" t="str">
        <f t="shared" si="434"/>
        <v>MATUTINO</v>
      </c>
      <c r="E2291" s="26" t="str">
        <f>"PROLONGACION PACHICALCO NO. 48                                                  "</f>
        <v xml:space="preserve">PROLONGACION PACHICALCO NO. 48                                                  </v>
      </c>
      <c r="F2291" s="26" t="str">
        <f>"SAN LUCAS                                                                                                                                   "</f>
        <v xml:space="preserve">SAN LUCAS                                                                                                                                   </v>
      </c>
      <c r="G2291" s="26" t="str">
        <f t="shared" si="426"/>
        <v xml:space="preserve">IZTAPALAPA                                                                      </v>
      </c>
      <c r="H2291" s="26" t="str">
        <f t="shared" si="435"/>
        <v>000</v>
      </c>
      <c r="I2291" s="26" t="str">
        <f t="shared" si="432"/>
        <v>00</v>
      </c>
      <c r="J2291" s="26" t="str">
        <f>"61 "</f>
        <v xml:space="preserve">61 </v>
      </c>
      <c r="K2291" s="26" t="str">
        <f t="shared" si="428"/>
        <v>IZ</v>
      </c>
      <c r="L2291" s="26" t="str">
        <f t="shared" si="429"/>
        <v>DGSEI</v>
      </c>
      <c r="M2291" s="26" t="str">
        <f t="shared" si="430"/>
        <v>PARTICULAR</v>
      </c>
      <c r="N2291" s="26">
        <v>37</v>
      </c>
      <c r="O2291" s="26">
        <v>19</v>
      </c>
      <c r="P2291" s="26">
        <v>18</v>
      </c>
      <c r="Q2291" s="26">
        <v>3</v>
      </c>
      <c r="R2291" s="26">
        <v>1</v>
      </c>
      <c r="S2291" s="26">
        <v>3</v>
      </c>
      <c r="T2291" s="26">
        <v>3</v>
      </c>
      <c r="U2291" s="26">
        <v>7</v>
      </c>
      <c r="V2291" s="26">
        <v>1</v>
      </c>
      <c r="W2291" s="26"/>
    </row>
    <row r="2292" spans="1:23" x14ac:dyDescent="0.25">
      <c r="A2292" s="26" t="str">
        <f t="shared" si="431"/>
        <v>PREESCOLAR</v>
      </c>
      <c r="B2292" s="26" t="str">
        <f>"09PJN4535O"</f>
        <v>09PJN4535O</v>
      </c>
      <c r="C2292" s="26" t="str">
        <f>"INSTITUTO PSICOPEDAGOGICO LOS CIPRESES                                                              "</f>
        <v xml:space="preserve">INSTITUTO PSICOPEDAGOGICO LOS CIPRESES                                                              </v>
      </c>
      <c r="D2292" s="26" t="str">
        <f t="shared" si="434"/>
        <v>MATUTINO</v>
      </c>
      <c r="E2292" s="26" t="str">
        <f>"PLAN DE AYALA NO 388                                                            "</f>
        <v xml:space="preserve">PLAN DE AYALA NO 388                                                            </v>
      </c>
      <c r="F2292" s="26" t="str">
        <f>"SANTA MARIA AZTAHUACAN                                                                                                                      "</f>
        <v xml:space="preserve">SANTA MARIA AZTAHUACAN                                                                                                                      </v>
      </c>
      <c r="G2292" s="26" t="str">
        <f t="shared" si="426"/>
        <v xml:space="preserve">IZTAPALAPA                                                                      </v>
      </c>
      <c r="H2292" s="26" t="str">
        <f t="shared" si="435"/>
        <v>000</v>
      </c>
      <c r="I2292" s="26" t="str">
        <f t="shared" si="432"/>
        <v>00</v>
      </c>
      <c r="J2292" s="26" t="str">
        <f>"64 "</f>
        <v xml:space="preserve">64 </v>
      </c>
      <c r="K2292" s="26" t="str">
        <f t="shared" si="428"/>
        <v>IZ</v>
      </c>
      <c r="L2292" s="26" t="str">
        <f t="shared" si="429"/>
        <v>DGSEI</v>
      </c>
      <c r="M2292" s="26" t="str">
        <f t="shared" si="430"/>
        <v>PARTICULAR</v>
      </c>
      <c r="N2292" s="26">
        <v>28</v>
      </c>
      <c r="O2292" s="26">
        <v>12</v>
      </c>
      <c r="P2292" s="26">
        <v>16</v>
      </c>
      <c r="Q2292" s="26">
        <v>3</v>
      </c>
      <c r="R2292" s="26">
        <v>1</v>
      </c>
      <c r="S2292" s="26">
        <v>1</v>
      </c>
      <c r="T2292" s="26">
        <v>6</v>
      </c>
      <c r="U2292" s="26">
        <v>8</v>
      </c>
      <c r="V2292" s="26">
        <v>1</v>
      </c>
      <c r="W2292" s="26"/>
    </row>
    <row r="2293" spans="1:23" x14ac:dyDescent="0.25">
      <c r="A2293" s="26" t="str">
        <f t="shared" si="431"/>
        <v>PREESCOLAR</v>
      </c>
      <c r="B2293" s="26" t="str">
        <f>"09PJN4536N"</f>
        <v>09PJN4536N</v>
      </c>
      <c r="C2293" s="26" t="str">
        <f>"MADHUVANI                                                                                           "</f>
        <v xml:space="preserve">MADHUVANI                                                                                           </v>
      </c>
      <c r="D2293" s="26" t="str">
        <f t="shared" si="434"/>
        <v>MATUTINO</v>
      </c>
      <c r="E2293" s="26" t="str">
        <f>"AQUITANIA NO. 29                                                                "</f>
        <v xml:space="preserve">AQUITANIA NO. 29                                                                </v>
      </c>
      <c r="F2293" s="26" t="str">
        <f>"LOMAS ESTRELLA 2A SECCION                                                                                                                   "</f>
        <v xml:space="preserve">LOMAS ESTRELLA 2A SECCION                                                                                                                   </v>
      </c>
      <c r="G2293" s="26" t="str">
        <f t="shared" si="426"/>
        <v xml:space="preserve">IZTAPALAPA                                                                      </v>
      </c>
      <c r="H2293" s="26" t="str">
        <f t="shared" si="435"/>
        <v>000</v>
      </c>
      <c r="I2293" s="26" t="str">
        <f t="shared" si="432"/>
        <v>00</v>
      </c>
      <c r="J2293" s="26" t="str">
        <f>"63 "</f>
        <v xml:space="preserve">63 </v>
      </c>
      <c r="K2293" s="26" t="str">
        <f t="shared" si="428"/>
        <v>IZ</v>
      </c>
      <c r="L2293" s="26" t="str">
        <f t="shared" si="429"/>
        <v>DGSEI</v>
      </c>
      <c r="M2293" s="26" t="str">
        <f t="shared" si="430"/>
        <v>PARTICULAR</v>
      </c>
      <c r="N2293" s="26">
        <v>27</v>
      </c>
      <c r="O2293" s="26">
        <v>15</v>
      </c>
      <c r="P2293" s="26">
        <v>12</v>
      </c>
      <c r="Q2293" s="26">
        <v>3</v>
      </c>
      <c r="R2293" s="26">
        <v>1</v>
      </c>
      <c r="S2293" s="26">
        <v>2</v>
      </c>
      <c r="T2293" s="26">
        <v>2</v>
      </c>
      <c r="U2293" s="26">
        <v>5</v>
      </c>
      <c r="V2293" s="26">
        <v>1</v>
      </c>
      <c r="W2293" s="26"/>
    </row>
    <row r="2294" spans="1:23" x14ac:dyDescent="0.25">
      <c r="A2294" s="26" t="str">
        <f t="shared" si="431"/>
        <v>PREESCOLAR</v>
      </c>
      <c r="B2294" s="26" t="str">
        <f>"09PJN4538L"</f>
        <v>09PJN4538L</v>
      </c>
      <c r="C2294" s="26" t="str">
        <f>"BIK´IT                                                                                              "</f>
        <v xml:space="preserve">BIK´IT                                                                                              </v>
      </c>
      <c r="D2294" s="26" t="str">
        <f t="shared" si="434"/>
        <v>MATUTINO</v>
      </c>
      <c r="E2294" s="26" t="str">
        <f>"AV. RIO SOTO LA MARINA NO. 60                                                   "</f>
        <v xml:space="preserve">AV. RIO SOTO LA MARINA NO. 60                                                   </v>
      </c>
      <c r="F2294" s="26" t="str">
        <f>"PASEOS DE CHURUBUSCO                                                                                                                        "</f>
        <v xml:space="preserve">PASEOS DE CHURUBUSCO                                                                                                                        </v>
      </c>
      <c r="G2294" s="26" t="str">
        <f t="shared" si="426"/>
        <v xml:space="preserve">IZTAPALAPA                                                                      </v>
      </c>
      <c r="H2294" s="26" t="str">
        <f t="shared" si="435"/>
        <v>000</v>
      </c>
      <c r="I2294" s="26" t="str">
        <f t="shared" si="432"/>
        <v>00</v>
      </c>
      <c r="J2294" s="26" t="str">
        <f>"61 "</f>
        <v xml:space="preserve">61 </v>
      </c>
      <c r="K2294" s="26" t="str">
        <f t="shared" si="428"/>
        <v>IZ</v>
      </c>
      <c r="L2294" s="26" t="str">
        <f t="shared" si="429"/>
        <v>DGSEI</v>
      </c>
      <c r="M2294" s="26" t="str">
        <f t="shared" si="430"/>
        <v>PARTICULAR</v>
      </c>
      <c r="N2294" s="26">
        <v>60</v>
      </c>
      <c r="O2294" s="26">
        <v>19</v>
      </c>
      <c r="P2294" s="26">
        <v>41</v>
      </c>
      <c r="Q2294" s="26">
        <v>3</v>
      </c>
      <c r="R2294" s="26">
        <v>1</v>
      </c>
      <c r="S2294" s="26">
        <v>3</v>
      </c>
      <c r="T2294" s="26">
        <v>7</v>
      </c>
      <c r="U2294" s="26">
        <v>11</v>
      </c>
      <c r="V2294" s="26">
        <v>1</v>
      </c>
      <c r="W2294" s="26"/>
    </row>
    <row r="2295" spans="1:23" x14ac:dyDescent="0.25">
      <c r="A2295" s="26" t="str">
        <f t="shared" si="431"/>
        <v>PREESCOLAR</v>
      </c>
      <c r="B2295" s="26" t="str">
        <f>"09PJN4539K"</f>
        <v>09PJN4539K</v>
      </c>
      <c r="C2295" s="26" t="str">
        <f>"ARTURO ROSENBLUETH                                                                                  "</f>
        <v xml:space="preserve">ARTURO ROSENBLUETH                                                                                  </v>
      </c>
      <c r="D2295" s="26" t="str">
        <f t="shared" si="434"/>
        <v>MATUTINO</v>
      </c>
      <c r="E2295" s="26" t="str">
        <f>"PROLONGACION DE LOS OLIVOS MZ. 1 LT. 3                                          "</f>
        <v xml:space="preserve">PROLONGACION DE LOS OLIVOS MZ. 1 LT. 3                                          </v>
      </c>
      <c r="F2295" s="26" t="str">
        <f>"GRANJAS ESTRELLA                                                                                                                            "</f>
        <v xml:space="preserve">GRANJAS ESTRELLA                                                                                                                            </v>
      </c>
      <c r="G2295" s="26" t="str">
        <f t="shared" si="426"/>
        <v xml:space="preserve">IZTAPALAPA                                                                      </v>
      </c>
      <c r="H2295" s="26" t="str">
        <f t="shared" si="435"/>
        <v>000</v>
      </c>
      <c r="I2295" s="26" t="str">
        <f t="shared" si="432"/>
        <v>00</v>
      </c>
      <c r="J2295" s="26" t="str">
        <f>"63 "</f>
        <v xml:space="preserve">63 </v>
      </c>
      <c r="K2295" s="26" t="str">
        <f t="shared" si="428"/>
        <v>IZ</v>
      </c>
      <c r="L2295" s="26" t="str">
        <f t="shared" si="429"/>
        <v>DGSEI</v>
      </c>
      <c r="M2295" s="26" t="str">
        <f t="shared" si="430"/>
        <v>PARTICULAR</v>
      </c>
      <c r="N2295" s="26">
        <v>10</v>
      </c>
      <c r="O2295" s="26">
        <v>5</v>
      </c>
      <c r="P2295" s="26">
        <v>5</v>
      </c>
      <c r="Q2295" s="26">
        <v>3</v>
      </c>
      <c r="R2295" s="26">
        <v>1</v>
      </c>
      <c r="S2295" s="26">
        <v>2</v>
      </c>
      <c r="T2295" s="26">
        <v>5</v>
      </c>
      <c r="U2295" s="26">
        <v>8</v>
      </c>
      <c r="V2295" s="26">
        <v>1</v>
      </c>
      <c r="W2295" s="26"/>
    </row>
    <row r="2296" spans="1:23" x14ac:dyDescent="0.25">
      <c r="A2296" s="26" t="str">
        <f t="shared" si="431"/>
        <v>PREESCOLAR</v>
      </c>
      <c r="B2296" s="26" t="str">
        <f>"09PJN4542Y"</f>
        <v>09PJN4542Y</v>
      </c>
      <c r="C2296" s="26" t="str">
        <f>"JARDIN DE NIÑOS SUMMERHILL                                                                          "</f>
        <v xml:space="preserve">JARDIN DE NIÑOS SUMMERHILL                                                                          </v>
      </c>
      <c r="D2296" s="26" t="str">
        <f t="shared" si="434"/>
        <v>MATUTINO</v>
      </c>
      <c r="E2296" s="26" t="str">
        <f>"NORTE 79-A NO. 386 BIS                                                          "</f>
        <v xml:space="preserve">NORTE 79-A NO. 386 BIS                                                          </v>
      </c>
      <c r="F2296" s="26" t="str">
        <f>"UN HOGAR PARA CADA TRABAJADOR                                                                                                               "</f>
        <v xml:space="preserve">UN HOGAR PARA CADA TRABAJADOR                                                                                                               </v>
      </c>
      <c r="G2296" s="26" t="str">
        <f>"AZCAPOTZALCO                                                                    "</f>
        <v xml:space="preserve">AZCAPOTZALCO                                                                    </v>
      </c>
      <c r="H2296" s="26" t="str">
        <f>"190"</f>
        <v>190</v>
      </c>
      <c r="I2296" s="26" t="str">
        <f t="shared" si="432"/>
        <v>00</v>
      </c>
      <c r="J2296" s="26" t="str">
        <f>"32 "</f>
        <v xml:space="preserve">32 </v>
      </c>
      <c r="K2296" s="26" t="str">
        <f>"NP"</f>
        <v>NP</v>
      </c>
      <c r="L2296" s="26" t="str">
        <f>"DGOSE"</f>
        <v>DGOSE</v>
      </c>
      <c r="M2296" s="26" t="str">
        <f t="shared" si="430"/>
        <v>PARTICULAR</v>
      </c>
      <c r="N2296" s="26">
        <v>18</v>
      </c>
      <c r="O2296" s="26">
        <v>8</v>
      </c>
      <c r="P2296" s="26">
        <v>10</v>
      </c>
      <c r="Q2296" s="26">
        <v>2</v>
      </c>
      <c r="R2296" s="26">
        <v>1</v>
      </c>
      <c r="S2296" s="26">
        <v>1</v>
      </c>
      <c r="T2296" s="26">
        <v>2</v>
      </c>
      <c r="U2296" s="26">
        <v>4</v>
      </c>
      <c r="V2296" s="26">
        <v>1</v>
      </c>
      <c r="W2296" s="26"/>
    </row>
    <row r="2297" spans="1:23" x14ac:dyDescent="0.25">
      <c r="A2297" s="26" t="str">
        <f t="shared" si="431"/>
        <v>PREESCOLAR</v>
      </c>
      <c r="B2297" s="26" t="str">
        <f>"09PJN4544W"</f>
        <v>09PJN4544W</v>
      </c>
      <c r="C2297" s="26" t="str">
        <f>"VALLARTA                                                                                            "</f>
        <v xml:space="preserve">VALLARTA                                                                                            </v>
      </c>
      <c r="D2297" s="26" t="str">
        <f t="shared" si="434"/>
        <v>MATUTINO</v>
      </c>
      <c r="E2297" s="26" t="str">
        <f>"CDA. ENCINO NO. 15                                                              "</f>
        <v xml:space="preserve">CDA. ENCINO NO. 15                                                              </v>
      </c>
      <c r="F2297" s="26" t="str">
        <f>"SAN JUAN XALPA                                                                                                                              "</f>
        <v xml:space="preserve">SAN JUAN XALPA                                                                                                                              </v>
      </c>
      <c r="G2297" s="26" t="str">
        <f t="shared" ref="G2297:G2302" si="436">"IZTAPALAPA                                                                      "</f>
        <v xml:space="preserve">IZTAPALAPA                                                                      </v>
      </c>
      <c r="H2297" s="26" t="str">
        <f>"000"</f>
        <v>000</v>
      </c>
      <c r="I2297" s="26" t="str">
        <f t="shared" si="432"/>
        <v>00</v>
      </c>
      <c r="J2297" s="26" t="str">
        <f>"63 "</f>
        <v xml:space="preserve">63 </v>
      </c>
      <c r="K2297" s="26" t="str">
        <f t="shared" ref="K2297:K2302" si="437">"IZ"</f>
        <v>IZ</v>
      </c>
      <c r="L2297" s="26" t="str">
        <f t="shared" ref="L2297:L2302" si="438">"DGSEI"</f>
        <v>DGSEI</v>
      </c>
      <c r="M2297" s="26" t="str">
        <f t="shared" si="430"/>
        <v>PARTICULAR</v>
      </c>
      <c r="N2297" s="26">
        <v>35</v>
      </c>
      <c r="O2297" s="26">
        <v>13</v>
      </c>
      <c r="P2297" s="26">
        <v>22</v>
      </c>
      <c r="Q2297" s="26">
        <v>3</v>
      </c>
      <c r="R2297" s="26">
        <v>1</v>
      </c>
      <c r="S2297" s="26">
        <v>3</v>
      </c>
      <c r="T2297" s="26">
        <v>5</v>
      </c>
      <c r="U2297" s="26">
        <v>9</v>
      </c>
      <c r="V2297" s="26">
        <v>1</v>
      </c>
      <c r="W2297" s="26"/>
    </row>
    <row r="2298" spans="1:23" x14ac:dyDescent="0.25">
      <c r="A2298" s="26" t="str">
        <f t="shared" si="431"/>
        <v>PREESCOLAR</v>
      </c>
      <c r="B2298" s="26" t="str">
        <f>"09PJN4546U"</f>
        <v>09PJN4546U</v>
      </c>
      <c r="C2298" s="26" t="str">
        <f>"LA CASITA                                                                                           "</f>
        <v xml:space="preserve">LA CASITA                                                                                           </v>
      </c>
      <c r="D2298" s="26" t="str">
        <f t="shared" si="434"/>
        <v>MATUTINO</v>
      </c>
      <c r="E2298" s="26" t="str">
        <f>"BOULEVARD CAPRI NO 63                                                           "</f>
        <v xml:space="preserve">BOULEVARD CAPRI NO 63                                                           </v>
      </c>
      <c r="F2298" s="26" t="str">
        <f>"LOMAS ESTRELLA                                                                                                                              "</f>
        <v xml:space="preserve">LOMAS ESTRELLA                                                                                                                              </v>
      </c>
      <c r="G2298" s="26" t="str">
        <f t="shared" si="436"/>
        <v xml:space="preserve">IZTAPALAPA                                                                      </v>
      </c>
      <c r="H2298" s="26" t="str">
        <f>"000"</f>
        <v>000</v>
      </c>
      <c r="I2298" s="26" t="str">
        <f t="shared" si="432"/>
        <v>00</v>
      </c>
      <c r="J2298" s="26" t="str">
        <f>"63 "</f>
        <v xml:space="preserve">63 </v>
      </c>
      <c r="K2298" s="26" t="str">
        <f t="shared" si="437"/>
        <v>IZ</v>
      </c>
      <c r="L2298" s="26" t="str">
        <f t="shared" si="438"/>
        <v>DGSEI</v>
      </c>
      <c r="M2298" s="26" t="str">
        <f t="shared" si="430"/>
        <v>PARTICULAR</v>
      </c>
      <c r="N2298" s="26">
        <v>18</v>
      </c>
      <c r="O2298" s="26">
        <v>14</v>
      </c>
      <c r="P2298" s="26">
        <v>4</v>
      </c>
      <c r="Q2298" s="26">
        <v>3</v>
      </c>
      <c r="R2298" s="26">
        <v>1</v>
      </c>
      <c r="S2298" s="26">
        <v>1</v>
      </c>
      <c r="T2298" s="26">
        <v>3</v>
      </c>
      <c r="U2298" s="26">
        <v>5</v>
      </c>
      <c r="V2298" s="26">
        <v>1</v>
      </c>
      <c r="W2298" s="26"/>
    </row>
    <row r="2299" spans="1:23" x14ac:dyDescent="0.25">
      <c r="A2299" s="26" t="str">
        <f t="shared" si="431"/>
        <v>PREESCOLAR</v>
      </c>
      <c r="B2299" s="26" t="str">
        <f>"09PJN4548S"</f>
        <v>09PJN4548S</v>
      </c>
      <c r="C2299" s="26" t="str">
        <f>"ESTANCIA INFANTIL AHIRAM                                                                            "</f>
        <v xml:space="preserve">ESTANCIA INFANTIL AHIRAM                                                                            </v>
      </c>
      <c r="D2299" s="26" t="str">
        <f t="shared" si="434"/>
        <v>MATUTINO</v>
      </c>
      <c r="E2299" s="26" t="str">
        <f>"SOLON ARGUELLO SIN MZ. 47 LT. 22                                                "</f>
        <v xml:space="preserve">SOLON ARGUELLO SIN MZ. 47 LT. 22                                                </v>
      </c>
      <c r="F2299" s="26" t="str">
        <f>"SANTA MARTHA ACATITLA                                                                                                                       "</f>
        <v xml:space="preserve">SANTA MARTHA ACATITLA                                                                                                                       </v>
      </c>
      <c r="G2299" s="26" t="str">
        <f t="shared" si="436"/>
        <v xml:space="preserve">IZTAPALAPA                                                                      </v>
      </c>
      <c r="H2299" s="26" t="str">
        <f>"023"</f>
        <v>023</v>
      </c>
      <c r="I2299" s="26" t="str">
        <f t="shared" si="432"/>
        <v>00</v>
      </c>
      <c r="J2299" s="26" t="str">
        <f>"62 "</f>
        <v xml:space="preserve">62 </v>
      </c>
      <c r="K2299" s="26" t="str">
        <f t="shared" si="437"/>
        <v>IZ</v>
      </c>
      <c r="L2299" s="26" t="str">
        <f t="shared" si="438"/>
        <v>DGSEI</v>
      </c>
      <c r="M2299" s="26" t="str">
        <f t="shared" si="430"/>
        <v>PARTICULAR</v>
      </c>
      <c r="N2299" s="26">
        <v>29</v>
      </c>
      <c r="O2299" s="26">
        <v>17</v>
      </c>
      <c r="P2299" s="26">
        <v>12</v>
      </c>
      <c r="Q2299" s="26">
        <v>3</v>
      </c>
      <c r="R2299" s="26">
        <v>1</v>
      </c>
      <c r="S2299" s="26">
        <v>2</v>
      </c>
      <c r="T2299" s="26">
        <v>1</v>
      </c>
      <c r="U2299" s="26">
        <v>4</v>
      </c>
      <c r="V2299" s="26">
        <v>1</v>
      </c>
      <c r="W2299" s="26"/>
    </row>
    <row r="2300" spans="1:23" x14ac:dyDescent="0.25">
      <c r="A2300" s="26" t="str">
        <f t="shared" si="431"/>
        <v>PREESCOLAR</v>
      </c>
      <c r="B2300" s="26" t="str">
        <f>"09PJN4549R"</f>
        <v>09PJN4549R</v>
      </c>
      <c r="C2300" s="26" t="str">
        <f>"NEW CENTURY SCHOLL                                                                                  "</f>
        <v xml:space="preserve">NEW CENTURY SCHOLL                                                                                  </v>
      </c>
      <c r="D2300" s="26" t="str">
        <f t="shared" si="434"/>
        <v>MATUTINO</v>
      </c>
      <c r="E2300" s="26" t="str">
        <f>"16 DE SEPTIEMBRE NO. 13                                                         "</f>
        <v xml:space="preserve">16 DE SEPTIEMBRE NO. 13                                                         </v>
      </c>
      <c r="F2300" s="26" t="str">
        <f>"CULHUACAN                                                                                                                                   "</f>
        <v xml:space="preserve">CULHUACAN                                                                                                                                   </v>
      </c>
      <c r="G2300" s="26" t="str">
        <f t="shared" si="436"/>
        <v xml:space="preserve">IZTAPALAPA                                                                      </v>
      </c>
      <c r="H2300" s="26" t="str">
        <f>"000"</f>
        <v>000</v>
      </c>
      <c r="I2300" s="26" t="str">
        <f t="shared" si="432"/>
        <v>00</v>
      </c>
      <c r="J2300" s="26" t="str">
        <f>"63 "</f>
        <v xml:space="preserve">63 </v>
      </c>
      <c r="K2300" s="26" t="str">
        <f t="shared" si="437"/>
        <v>IZ</v>
      </c>
      <c r="L2300" s="26" t="str">
        <f t="shared" si="438"/>
        <v>DGSEI</v>
      </c>
      <c r="M2300" s="26" t="str">
        <f t="shared" si="430"/>
        <v>PARTICULAR</v>
      </c>
      <c r="N2300" s="26">
        <v>39</v>
      </c>
      <c r="O2300" s="26">
        <v>22</v>
      </c>
      <c r="P2300" s="26">
        <v>17</v>
      </c>
      <c r="Q2300" s="26">
        <v>3</v>
      </c>
      <c r="R2300" s="26">
        <v>1</v>
      </c>
      <c r="S2300" s="26">
        <v>2</v>
      </c>
      <c r="T2300" s="26">
        <v>4</v>
      </c>
      <c r="U2300" s="26">
        <v>7</v>
      </c>
      <c r="V2300" s="26">
        <v>1</v>
      </c>
      <c r="W2300" s="26"/>
    </row>
    <row r="2301" spans="1:23" x14ac:dyDescent="0.25">
      <c r="A2301" s="26" t="str">
        <f t="shared" si="431"/>
        <v>PREESCOLAR</v>
      </c>
      <c r="B2301" s="26" t="str">
        <f>"09PJN4552E"</f>
        <v>09PJN4552E</v>
      </c>
      <c r="C2301" s="26" t="str">
        <f>"KINDERLAND                                                                                          "</f>
        <v xml:space="preserve">KINDERLAND                                                                                          </v>
      </c>
      <c r="D2301" s="26" t="str">
        <f t="shared" si="434"/>
        <v>MATUTINO</v>
      </c>
      <c r="E2301" s="26" t="str">
        <f>"SAMUEL GOMPERS NO. 15                                                           "</f>
        <v xml:space="preserve">SAMUEL GOMPERS NO. 15                                                           </v>
      </c>
      <c r="F2301" s="26" t="str">
        <f>"JACARANDAS                                                                                                                                  "</f>
        <v xml:space="preserve">JACARANDAS                                                                                                                                  </v>
      </c>
      <c r="G2301" s="26" t="str">
        <f t="shared" si="436"/>
        <v xml:space="preserve">IZTAPALAPA                                                                      </v>
      </c>
      <c r="H2301" s="26" t="str">
        <f>"000"</f>
        <v>000</v>
      </c>
      <c r="I2301" s="26" t="str">
        <f t="shared" si="432"/>
        <v>00</v>
      </c>
      <c r="J2301" s="26" t="str">
        <f>"64 "</f>
        <v xml:space="preserve">64 </v>
      </c>
      <c r="K2301" s="26" t="str">
        <f t="shared" si="437"/>
        <v>IZ</v>
      </c>
      <c r="L2301" s="26" t="str">
        <f t="shared" si="438"/>
        <v>DGSEI</v>
      </c>
      <c r="M2301" s="26" t="str">
        <f t="shared" si="430"/>
        <v>PARTICULAR</v>
      </c>
      <c r="N2301" s="26">
        <v>14</v>
      </c>
      <c r="O2301" s="26">
        <v>10</v>
      </c>
      <c r="P2301" s="26">
        <v>4</v>
      </c>
      <c r="Q2301" s="26">
        <v>2</v>
      </c>
      <c r="R2301" s="26">
        <v>1</v>
      </c>
      <c r="S2301" s="26">
        <v>2</v>
      </c>
      <c r="T2301" s="26">
        <v>0</v>
      </c>
      <c r="U2301" s="26">
        <v>3</v>
      </c>
      <c r="V2301" s="26">
        <v>1</v>
      </c>
      <c r="W2301" s="26"/>
    </row>
    <row r="2302" spans="1:23" x14ac:dyDescent="0.25">
      <c r="A2302" s="26" t="str">
        <f t="shared" si="431"/>
        <v>PREESCOLAR</v>
      </c>
      <c r="B2302" s="26" t="str">
        <f>"09PJN4555B"</f>
        <v>09PJN4555B</v>
      </c>
      <c r="C2302" s="26" t="str">
        <f>"MI PEQUEÑO MUNDO                                                                                    "</f>
        <v xml:space="preserve">MI PEQUEÑO MUNDO                                                                                    </v>
      </c>
      <c r="D2302" s="26" t="str">
        <f t="shared" si="434"/>
        <v>MATUTINO</v>
      </c>
      <c r="E2302" s="26" t="str">
        <f>"REFORMA CONSTITUCIONALISTA MZ. 29 LT. 9                                         "</f>
        <v xml:space="preserve">REFORMA CONSTITUCIONALISTA MZ. 29 LT. 9                                         </v>
      </c>
      <c r="F2302" s="26" t="str">
        <f>"REFORMA POLITICA                                                                                                                            "</f>
        <v xml:space="preserve">REFORMA POLITICA                                                                                                                            </v>
      </c>
      <c r="G2302" s="26" t="str">
        <f t="shared" si="436"/>
        <v xml:space="preserve">IZTAPALAPA                                                                      </v>
      </c>
      <c r="H2302" s="26" t="str">
        <f>"000"</f>
        <v>000</v>
      </c>
      <c r="I2302" s="26" t="str">
        <f t="shared" si="432"/>
        <v>00</v>
      </c>
      <c r="J2302" s="26" t="str">
        <f>"64 "</f>
        <v xml:space="preserve">64 </v>
      </c>
      <c r="K2302" s="26" t="str">
        <f t="shared" si="437"/>
        <v>IZ</v>
      </c>
      <c r="L2302" s="26" t="str">
        <f t="shared" si="438"/>
        <v>DGSEI</v>
      </c>
      <c r="M2302" s="26" t="str">
        <f t="shared" si="430"/>
        <v>PARTICULAR</v>
      </c>
      <c r="N2302" s="26">
        <v>6</v>
      </c>
      <c r="O2302" s="26">
        <v>1</v>
      </c>
      <c r="P2302" s="26">
        <v>5</v>
      </c>
      <c r="Q2302" s="26">
        <v>1</v>
      </c>
      <c r="R2302" s="26">
        <v>1</v>
      </c>
      <c r="S2302" s="26">
        <v>1</v>
      </c>
      <c r="T2302" s="26">
        <v>1</v>
      </c>
      <c r="U2302" s="26">
        <v>3</v>
      </c>
      <c r="V2302" s="26">
        <v>1</v>
      </c>
      <c r="W2302" s="26"/>
    </row>
    <row r="2303" spans="1:23" x14ac:dyDescent="0.25">
      <c r="A2303" s="26" t="str">
        <f t="shared" si="431"/>
        <v>PREESCOLAR</v>
      </c>
      <c r="B2303" s="26" t="str">
        <f>"09PJN4556A"</f>
        <v>09PJN4556A</v>
      </c>
      <c r="C2303" s="26" t="str">
        <f>"COLEGIO WOLDMAN DE MEXICO                                                                           "</f>
        <v xml:space="preserve">COLEGIO WOLDMAN DE MEXICO                                                                           </v>
      </c>
      <c r="D2303" s="26" t="str">
        <f t="shared" si="434"/>
        <v>MATUTINO</v>
      </c>
      <c r="E2303" s="26" t="str">
        <f>"CAFETALES NO. 78                                                                "</f>
        <v xml:space="preserve">CAFETALES NO. 78                                                                </v>
      </c>
      <c r="F2303" s="26" t="str">
        <f>"GRANJAS COAPA                                                                                                                               "</f>
        <v xml:space="preserve">GRANJAS COAPA                                                                                                                               </v>
      </c>
      <c r="G2303" s="26" t="str">
        <f>"TLALPAN                                                                         "</f>
        <v xml:space="preserve">TLALPAN                                                                         </v>
      </c>
      <c r="H2303" s="26" t="str">
        <f>"220"</f>
        <v>220</v>
      </c>
      <c r="I2303" s="26" t="str">
        <f t="shared" si="432"/>
        <v>00</v>
      </c>
      <c r="J2303" s="26" t="str">
        <f>"35 "</f>
        <v xml:space="preserve">35 </v>
      </c>
      <c r="K2303" s="26" t="str">
        <f>"EP"</f>
        <v>EP</v>
      </c>
      <c r="L2303" s="26" t="str">
        <f>"DGOSE"</f>
        <v>DGOSE</v>
      </c>
      <c r="M2303" s="26" t="str">
        <f t="shared" ref="M2303:M2366" si="439">"PARTICULAR"</f>
        <v>PARTICULAR</v>
      </c>
      <c r="N2303" s="26">
        <v>36</v>
      </c>
      <c r="O2303" s="26">
        <v>17</v>
      </c>
      <c r="P2303" s="26">
        <v>19</v>
      </c>
      <c r="Q2303" s="26">
        <v>3</v>
      </c>
      <c r="R2303" s="26">
        <v>1</v>
      </c>
      <c r="S2303" s="26">
        <v>2</v>
      </c>
      <c r="T2303" s="26">
        <v>2</v>
      </c>
      <c r="U2303" s="26">
        <v>5</v>
      </c>
      <c r="V2303" s="26">
        <v>1</v>
      </c>
      <c r="W2303" s="26"/>
    </row>
    <row r="2304" spans="1:23" x14ac:dyDescent="0.25">
      <c r="A2304" s="26" t="str">
        <f t="shared" si="431"/>
        <v>PREESCOLAR</v>
      </c>
      <c r="B2304" s="26" t="str">
        <f>"09PJN4557Z"</f>
        <v>09PJN4557Z</v>
      </c>
      <c r="C2304" s="26" t="str">
        <f>"CENTRO DE DESARROLLO PREESCOLAR XOCHIPILLI                                                          "</f>
        <v xml:space="preserve">CENTRO DE DESARROLLO PREESCOLAR XOCHIPILLI                                                          </v>
      </c>
      <c r="D2304" s="26" t="str">
        <f t="shared" si="434"/>
        <v>MATUTINO</v>
      </c>
      <c r="E2304" s="26" t="str">
        <f>"PLAN DE SAN LUIS No 21                                                          "</f>
        <v xml:space="preserve">PLAN DE SAN LUIS No 21                                                          </v>
      </c>
      <c r="F2304" s="26" t="str">
        <f>"FUEGO NUEVO                                                                                                                                 "</f>
        <v xml:space="preserve">FUEGO NUEVO                                                                                                                                 </v>
      </c>
      <c r="G2304" s="26" t="str">
        <f t="shared" ref="G2304:G2334" si="440">"IZTAPALAPA                                                                      "</f>
        <v xml:space="preserve">IZTAPALAPA                                                                      </v>
      </c>
      <c r="H2304" s="26" t="str">
        <f t="shared" ref="H2304:H2334" si="441">"000"</f>
        <v>000</v>
      </c>
      <c r="I2304" s="26" t="str">
        <f t="shared" si="432"/>
        <v>00</v>
      </c>
      <c r="J2304" s="26" t="str">
        <f>"63 "</f>
        <v xml:space="preserve">63 </v>
      </c>
      <c r="K2304" s="26" t="str">
        <f t="shared" ref="K2304:K2334" si="442">"IZ"</f>
        <v>IZ</v>
      </c>
      <c r="L2304" s="26" t="str">
        <f t="shared" ref="L2304:L2334" si="443">"DGSEI"</f>
        <v>DGSEI</v>
      </c>
      <c r="M2304" s="26" t="str">
        <f t="shared" si="439"/>
        <v>PARTICULAR</v>
      </c>
      <c r="N2304" s="26">
        <v>19</v>
      </c>
      <c r="O2304" s="26">
        <v>13</v>
      </c>
      <c r="P2304" s="26">
        <v>6</v>
      </c>
      <c r="Q2304" s="26">
        <v>3</v>
      </c>
      <c r="R2304" s="26">
        <v>1</v>
      </c>
      <c r="S2304" s="26">
        <v>2</v>
      </c>
      <c r="T2304" s="26">
        <v>3</v>
      </c>
      <c r="U2304" s="26">
        <v>6</v>
      </c>
      <c r="V2304" s="26">
        <v>1</v>
      </c>
      <c r="W2304" s="26"/>
    </row>
    <row r="2305" spans="1:23" x14ac:dyDescent="0.25">
      <c r="A2305" s="26" t="str">
        <f t="shared" si="431"/>
        <v>PREESCOLAR</v>
      </c>
      <c r="B2305" s="26" t="str">
        <f>"09PJN4558Z"</f>
        <v>09PJN4558Z</v>
      </c>
      <c r="C2305" s="26" t="str">
        <f>"CHARLES DICKENS                                                                                     "</f>
        <v xml:space="preserve">CHARLES DICKENS                                                                                     </v>
      </c>
      <c r="D2305" s="26" t="str">
        <f t="shared" si="434"/>
        <v>MATUTINO</v>
      </c>
      <c r="E2305" s="26" t="str">
        <f>"TRINIDAD GUERRERO MZ. 32 LT. 19                                                 "</f>
        <v xml:space="preserve">TRINIDAD GUERRERO MZ. 32 LT. 19                                                 </v>
      </c>
      <c r="F2305" s="26" t="str">
        <f>"PARAJE SAN JUAN                                                                                                                             "</f>
        <v xml:space="preserve">PARAJE SAN JUAN                                                                                                                             </v>
      </c>
      <c r="G2305" s="26" t="str">
        <f t="shared" si="440"/>
        <v xml:space="preserve">IZTAPALAPA                                                                      </v>
      </c>
      <c r="H2305" s="26" t="str">
        <f t="shared" si="441"/>
        <v>000</v>
      </c>
      <c r="I2305" s="26" t="str">
        <f t="shared" si="432"/>
        <v>00</v>
      </c>
      <c r="J2305" s="26" t="str">
        <f>"63 "</f>
        <v xml:space="preserve">63 </v>
      </c>
      <c r="K2305" s="26" t="str">
        <f t="shared" si="442"/>
        <v>IZ</v>
      </c>
      <c r="L2305" s="26" t="str">
        <f t="shared" si="443"/>
        <v>DGSEI</v>
      </c>
      <c r="M2305" s="26" t="str">
        <f t="shared" si="439"/>
        <v>PARTICULAR</v>
      </c>
      <c r="N2305" s="26">
        <v>32</v>
      </c>
      <c r="O2305" s="26">
        <v>13</v>
      </c>
      <c r="P2305" s="26">
        <v>19</v>
      </c>
      <c r="Q2305" s="26">
        <v>3</v>
      </c>
      <c r="R2305" s="26">
        <v>1</v>
      </c>
      <c r="S2305" s="26">
        <v>2</v>
      </c>
      <c r="T2305" s="26">
        <v>6</v>
      </c>
      <c r="U2305" s="26">
        <v>9</v>
      </c>
      <c r="V2305" s="26">
        <v>1</v>
      </c>
      <c r="W2305" s="26"/>
    </row>
    <row r="2306" spans="1:23" x14ac:dyDescent="0.25">
      <c r="A2306" s="26" t="str">
        <f t="shared" ref="A2306:A2369" si="444">"PREESCOLAR"</f>
        <v>PREESCOLAR</v>
      </c>
      <c r="B2306" s="26" t="str">
        <f>"09PJN4559Y"</f>
        <v>09PJN4559Y</v>
      </c>
      <c r="C2306" s="26" t="str">
        <f>"MUNDO DEL PEQUE                                                                                     "</f>
        <v xml:space="preserve">MUNDO DEL PEQUE                                                                                     </v>
      </c>
      <c r="D2306" s="26" t="str">
        <f t="shared" si="434"/>
        <v>MATUTINO</v>
      </c>
      <c r="E2306" s="26" t="str">
        <f>"VILLA ELOISA MZ. 1 LT. 16                                                       "</f>
        <v xml:space="preserve">VILLA ELOISA MZ. 1 LT. 16                                                       </v>
      </c>
      <c r="F2306" s="26" t="str">
        <f>"DESARROLLO URBANO QUETZALCOATL                                                                                                              "</f>
        <v xml:space="preserve">DESARROLLO URBANO QUETZALCOATL                                                                                                              </v>
      </c>
      <c r="G2306" s="26" t="str">
        <f t="shared" si="440"/>
        <v xml:space="preserve">IZTAPALAPA                                                                      </v>
      </c>
      <c r="H2306" s="26" t="str">
        <f t="shared" si="441"/>
        <v>000</v>
      </c>
      <c r="I2306" s="26" t="str">
        <f t="shared" ref="I2306:I2369" si="445">"00"</f>
        <v>00</v>
      </c>
      <c r="J2306" s="26" t="str">
        <f>"63 "</f>
        <v xml:space="preserve">63 </v>
      </c>
      <c r="K2306" s="26" t="str">
        <f t="shared" si="442"/>
        <v>IZ</v>
      </c>
      <c r="L2306" s="26" t="str">
        <f t="shared" si="443"/>
        <v>DGSEI</v>
      </c>
      <c r="M2306" s="26" t="str">
        <f t="shared" si="439"/>
        <v>PARTICULAR</v>
      </c>
      <c r="N2306" s="26">
        <v>22</v>
      </c>
      <c r="O2306" s="26">
        <v>13</v>
      </c>
      <c r="P2306" s="26">
        <v>9</v>
      </c>
      <c r="Q2306" s="26">
        <v>3</v>
      </c>
      <c r="R2306" s="26">
        <v>1</v>
      </c>
      <c r="S2306" s="26">
        <v>3</v>
      </c>
      <c r="T2306" s="26">
        <v>3</v>
      </c>
      <c r="U2306" s="26">
        <v>7</v>
      </c>
      <c r="V2306" s="26">
        <v>1</v>
      </c>
      <c r="W2306" s="26"/>
    </row>
    <row r="2307" spans="1:23" x14ac:dyDescent="0.25">
      <c r="A2307" s="26" t="str">
        <f t="shared" si="444"/>
        <v>PREESCOLAR</v>
      </c>
      <c r="B2307" s="26" t="str">
        <f>"09PJN4562L"</f>
        <v>09PJN4562L</v>
      </c>
      <c r="C2307" s="26" t="str">
        <f>"JUSTO SIERRA                                                                                        "</f>
        <v xml:space="preserve">JUSTO SIERRA                                                                                        </v>
      </c>
      <c r="D2307" s="26" t="str">
        <f t="shared" si="434"/>
        <v>MATUTINO</v>
      </c>
      <c r="E2307" s="26" t="str">
        <f>"HORTENSIA MZ. 53 LT 6                                                           "</f>
        <v xml:space="preserve">HORTENSIA MZ. 53 LT 6                                                           </v>
      </c>
      <c r="F2307" s="26" t="str">
        <f>"SAN MIGUEL TEOTONGO                                                                                                                         "</f>
        <v xml:space="preserve">SAN MIGUEL TEOTONGO                                                                                                                         </v>
      </c>
      <c r="G2307" s="26" t="str">
        <f t="shared" si="440"/>
        <v xml:space="preserve">IZTAPALAPA                                                                      </v>
      </c>
      <c r="H2307" s="26" t="str">
        <f t="shared" si="441"/>
        <v>000</v>
      </c>
      <c r="I2307" s="26" t="str">
        <f t="shared" si="445"/>
        <v>00</v>
      </c>
      <c r="J2307" s="26" t="str">
        <f>"64 "</f>
        <v xml:space="preserve">64 </v>
      </c>
      <c r="K2307" s="26" t="str">
        <f t="shared" si="442"/>
        <v>IZ</v>
      </c>
      <c r="L2307" s="26" t="str">
        <f t="shared" si="443"/>
        <v>DGSEI</v>
      </c>
      <c r="M2307" s="26" t="str">
        <f t="shared" si="439"/>
        <v>PARTICULAR</v>
      </c>
      <c r="N2307" s="26">
        <v>19</v>
      </c>
      <c r="O2307" s="26">
        <v>10</v>
      </c>
      <c r="P2307" s="26">
        <v>9</v>
      </c>
      <c r="Q2307" s="26">
        <v>3</v>
      </c>
      <c r="R2307" s="26">
        <v>1</v>
      </c>
      <c r="S2307" s="26">
        <v>3</v>
      </c>
      <c r="T2307" s="26">
        <v>2</v>
      </c>
      <c r="U2307" s="26">
        <v>6</v>
      </c>
      <c r="V2307" s="26">
        <v>1</v>
      </c>
      <c r="W2307" s="26"/>
    </row>
    <row r="2308" spans="1:23" x14ac:dyDescent="0.25">
      <c r="A2308" s="26" t="str">
        <f t="shared" si="444"/>
        <v>PREESCOLAR</v>
      </c>
      <c r="B2308" s="26" t="str">
        <f>"09PJN4565I"</f>
        <v>09PJN4565I</v>
      </c>
      <c r="C2308" s="26" t="str">
        <f>"SULIM                                                                                               "</f>
        <v xml:space="preserve">SULIM                                                                                               </v>
      </c>
      <c r="D2308" s="26" t="str">
        <f t="shared" si="434"/>
        <v>MATUTINO</v>
      </c>
      <c r="E2308" s="26" t="str">
        <f>"ESTADO DE BAJA CALIFORNIA MZ. 24 LT. 2                                          "</f>
        <v xml:space="preserve">ESTADO DE BAJA CALIFORNIA MZ. 24 LT. 2                                          </v>
      </c>
      <c r="F2308" s="26" t="str">
        <f>"BUENAVISTA                                                                                                                                  "</f>
        <v xml:space="preserve">BUENAVISTA                                                                                                                                  </v>
      </c>
      <c r="G2308" s="26" t="str">
        <f t="shared" si="440"/>
        <v xml:space="preserve">IZTAPALAPA                                                                      </v>
      </c>
      <c r="H2308" s="26" t="str">
        <f t="shared" si="441"/>
        <v>000</v>
      </c>
      <c r="I2308" s="26" t="str">
        <f t="shared" si="445"/>
        <v>00</v>
      </c>
      <c r="J2308" s="26" t="str">
        <f>"64 "</f>
        <v xml:space="preserve">64 </v>
      </c>
      <c r="K2308" s="26" t="str">
        <f t="shared" si="442"/>
        <v>IZ</v>
      </c>
      <c r="L2308" s="26" t="str">
        <f t="shared" si="443"/>
        <v>DGSEI</v>
      </c>
      <c r="M2308" s="26" t="str">
        <f t="shared" si="439"/>
        <v>PARTICULAR</v>
      </c>
      <c r="N2308" s="26">
        <v>13</v>
      </c>
      <c r="O2308" s="26">
        <v>8</v>
      </c>
      <c r="P2308" s="26">
        <v>5</v>
      </c>
      <c r="Q2308" s="26">
        <v>2</v>
      </c>
      <c r="R2308" s="26">
        <v>1</v>
      </c>
      <c r="S2308" s="26">
        <v>1</v>
      </c>
      <c r="T2308" s="26">
        <v>1</v>
      </c>
      <c r="U2308" s="26">
        <v>3</v>
      </c>
      <c r="V2308" s="26">
        <v>1</v>
      </c>
      <c r="W2308" s="26"/>
    </row>
    <row r="2309" spans="1:23" x14ac:dyDescent="0.25">
      <c r="A2309" s="26" t="str">
        <f t="shared" si="444"/>
        <v>PREESCOLAR</v>
      </c>
      <c r="B2309" s="26" t="str">
        <f>"09PJN4567G"</f>
        <v>09PJN4567G</v>
      </c>
      <c r="C2309" s="26" t="str">
        <f>"LAS VOCALES EN ARMONIA                                                                              "</f>
        <v xml:space="preserve">LAS VOCALES EN ARMONIA                                                                              </v>
      </c>
      <c r="D2309" s="26" t="str">
        <f t="shared" si="434"/>
        <v>MATUTINO</v>
      </c>
      <c r="E2309" s="26" t="str">
        <f>"CHABACANO MZ. 132 LT. 27                                                        "</f>
        <v xml:space="preserve">CHABACANO MZ. 132 LT. 27                                                        </v>
      </c>
      <c r="F2309" s="26" t="str">
        <f>"SAN MIGUEL TEOTONGO                                                                                                                         "</f>
        <v xml:space="preserve">SAN MIGUEL TEOTONGO                                                                                                                         </v>
      </c>
      <c r="G2309" s="26" t="str">
        <f t="shared" si="440"/>
        <v xml:space="preserve">IZTAPALAPA                                                                      </v>
      </c>
      <c r="H2309" s="26" t="str">
        <f t="shared" si="441"/>
        <v>000</v>
      </c>
      <c r="I2309" s="26" t="str">
        <f t="shared" si="445"/>
        <v>00</v>
      </c>
      <c r="J2309" s="26" t="str">
        <f>"64 "</f>
        <v xml:space="preserve">64 </v>
      </c>
      <c r="K2309" s="26" t="str">
        <f t="shared" si="442"/>
        <v>IZ</v>
      </c>
      <c r="L2309" s="26" t="str">
        <f t="shared" si="443"/>
        <v>DGSEI</v>
      </c>
      <c r="M2309" s="26" t="str">
        <f t="shared" si="439"/>
        <v>PARTICULAR</v>
      </c>
      <c r="N2309" s="26">
        <v>6</v>
      </c>
      <c r="O2309" s="26">
        <v>4</v>
      </c>
      <c r="P2309" s="26">
        <v>2</v>
      </c>
      <c r="Q2309" s="26">
        <v>3</v>
      </c>
      <c r="R2309" s="26">
        <v>1</v>
      </c>
      <c r="S2309" s="26">
        <v>2</v>
      </c>
      <c r="T2309" s="26">
        <v>0</v>
      </c>
      <c r="U2309" s="26">
        <v>3</v>
      </c>
      <c r="V2309" s="26">
        <v>1</v>
      </c>
      <c r="W2309" s="26"/>
    </row>
    <row r="2310" spans="1:23" x14ac:dyDescent="0.25">
      <c r="A2310" s="26" t="str">
        <f t="shared" si="444"/>
        <v>PREESCOLAR</v>
      </c>
      <c r="B2310" s="26" t="str">
        <f>"09PJN4568F"</f>
        <v>09PJN4568F</v>
      </c>
      <c r="C2310" s="26" t="str">
        <f>"CENTRO EDUCATIVO J PIAGET                                                                           "</f>
        <v xml:space="preserve">CENTRO EDUCATIVO J PIAGET                                                                           </v>
      </c>
      <c r="D2310" s="26" t="str">
        <f t="shared" si="434"/>
        <v>MATUTINO</v>
      </c>
      <c r="E2310" s="26" t="str">
        <f>"HERMENEGILDO GALEANA MZ. 7 LT. 45                                               "</f>
        <v xml:space="preserve">HERMENEGILDO GALEANA MZ. 7 LT. 45                                               </v>
      </c>
      <c r="F2310" s="26" t="str">
        <f>"DESARROLLO URBANO QUETZALCOATL                                                                                                              "</f>
        <v xml:space="preserve">DESARROLLO URBANO QUETZALCOATL                                                                                                              </v>
      </c>
      <c r="G2310" s="26" t="str">
        <f t="shared" si="440"/>
        <v xml:space="preserve">IZTAPALAPA                                                                      </v>
      </c>
      <c r="H2310" s="26" t="str">
        <f t="shared" si="441"/>
        <v>000</v>
      </c>
      <c r="I2310" s="26" t="str">
        <f t="shared" si="445"/>
        <v>00</v>
      </c>
      <c r="J2310" s="26" t="str">
        <f>"64 "</f>
        <v xml:space="preserve">64 </v>
      </c>
      <c r="K2310" s="26" t="str">
        <f t="shared" si="442"/>
        <v>IZ</v>
      </c>
      <c r="L2310" s="26" t="str">
        <f t="shared" si="443"/>
        <v>DGSEI</v>
      </c>
      <c r="M2310" s="26" t="str">
        <f t="shared" si="439"/>
        <v>PARTICULAR</v>
      </c>
      <c r="N2310" s="26">
        <v>57</v>
      </c>
      <c r="O2310" s="26">
        <v>24</v>
      </c>
      <c r="P2310" s="26">
        <v>33</v>
      </c>
      <c r="Q2310" s="26">
        <v>5</v>
      </c>
      <c r="R2310" s="26">
        <v>1</v>
      </c>
      <c r="S2310" s="26">
        <v>4</v>
      </c>
      <c r="T2310" s="26">
        <v>4</v>
      </c>
      <c r="U2310" s="26">
        <v>9</v>
      </c>
      <c r="V2310" s="26">
        <v>1</v>
      </c>
      <c r="W2310" s="26"/>
    </row>
    <row r="2311" spans="1:23" x14ac:dyDescent="0.25">
      <c r="A2311" s="26" t="str">
        <f t="shared" si="444"/>
        <v>PREESCOLAR</v>
      </c>
      <c r="B2311" s="26" t="str">
        <f>"09PJN4569E"</f>
        <v>09PJN4569E</v>
      </c>
      <c r="C2311" s="26" t="str">
        <f>"MUNDO MAGICO                                                                                        "</f>
        <v xml:space="preserve">MUNDO MAGICO                                                                                        </v>
      </c>
      <c r="D2311" s="26" t="str">
        <f t="shared" si="434"/>
        <v>MATUTINO</v>
      </c>
      <c r="E2311" s="26" t="str">
        <f>"TORRE LATINOAMERICANA MZ 28 LT 37                                               "</f>
        <v xml:space="preserve">TORRE LATINOAMERICANA MZ 28 LT 37                                               </v>
      </c>
      <c r="F2311" s="26" t="str">
        <f>"BUENAVISTA                                                                                                                                  "</f>
        <v xml:space="preserve">BUENAVISTA                                                                                                                                  </v>
      </c>
      <c r="G2311" s="26" t="str">
        <f t="shared" si="440"/>
        <v xml:space="preserve">IZTAPALAPA                                                                      </v>
      </c>
      <c r="H2311" s="26" t="str">
        <f t="shared" si="441"/>
        <v>000</v>
      </c>
      <c r="I2311" s="26" t="str">
        <f t="shared" si="445"/>
        <v>00</v>
      </c>
      <c r="J2311" s="26" t="str">
        <f>"64 "</f>
        <v xml:space="preserve">64 </v>
      </c>
      <c r="K2311" s="26" t="str">
        <f t="shared" si="442"/>
        <v>IZ</v>
      </c>
      <c r="L2311" s="26" t="str">
        <f t="shared" si="443"/>
        <v>DGSEI</v>
      </c>
      <c r="M2311" s="26" t="str">
        <f t="shared" si="439"/>
        <v>PARTICULAR</v>
      </c>
      <c r="N2311" s="26">
        <v>30</v>
      </c>
      <c r="O2311" s="26">
        <v>17</v>
      </c>
      <c r="P2311" s="26">
        <v>13</v>
      </c>
      <c r="Q2311" s="26">
        <v>2</v>
      </c>
      <c r="R2311" s="26">
        <v>1</v>
      </c>
      <c r="S2311" s="26">
        <v>1</v>
      </c>
      <c r="T2311" s="26">
        <v>4</v>
      </c>
      <c r="U2311" s="26">
        <v>6</v>
      </c>
      <c r="V2311" s="26">
        <v>1</v>
      </c>
      <c r="W2311" s="26"/>
    </row>
    <row r="2312" spans="1:23" x14ac:dyDescent="0.25">
      <c r="A2312" s="26" t="str">
        <f t="shared" si="444"/>
        <v>PREESCOLAR</v>
      </c>
      <c r="B2312" s="26" t="str">
        <f>"09PJN4570U"</f>
        <v>09PJN4570U</v>
      </c>
      <c r="C2312" s="26" t="str">
        <f>"HEROICO CUERPO DE BOMBEROS                                                                          "</f>
        <v xml:space="preserve">HEROICO CUERPO DE BOMBEROS                                                                          </v>
      </c>
      <c r="D2312" s="26" t="str">
        <f t="shared" si="434"/>
        <v>MATUTINO</v>
      </c>
      <c r="E2312" s="26" t="str">
        <f>"JAVIER ESPINOZA NO. 42                                                          "</f>
        <v xml:space="preserve">JAVIER ESPINOZA NO. 42                                                          </v>
      </c>
      <c r="F2312" s="26" t="str">
        <f>"SANTA MARTHA ACATITLA                                                                                                                       "</f>
        <v xml:space="preserve">SANTA MARTHA ACATITLA                                                                                                                       </v>
      </c>
      <c r="G2312" s="26" t="str">
        <f t="shared" si="440"/>
        <v xml:space="preserve">IZTAPALAPA                                                                      </v>
      </c>
      <c r="H2312" s="26" t="str">
        <f t="shared" si="441"/>
        <v>000</v>
      </c>
      <c r="I2312" s="26" t="str">
        <f t="shared" si="445"/>
        <v>00</v>
      </c>
      <c r="J2312" s="26" t="str">
        <f>"62 "</f>
        <v xml:space="preserve">62 </v>
      </c>
      <c r="K2312" s="26" t="str">
        <f t="shared" si="442"/>
        <v>IZ</v>
      </c>
      <c r="L2312" s="26" t="str">
        <f t="shared" si="443"/>
        <v>DGSEI</v>
      </c>
      <c r="M2312" s="26" t="str">
        <f t="shared" si="439"/>
        <v>PARTICULAR</v>
      </c>
      <c r="N2312" s="26">
        <v>61</v>
      </c>
      <c r="O2312" s="26">
        <v>29</v>
      </c>
      <c r="P2312" s="26">
        <v>32</v>
      </c>
      <c r="Q2312" s="26">
        <v>5</v>
      </c>
      <c r="R2312" s="26">
        <v>0</v>
      </c>
      <c r="S2312" s="26">
        <v>5</v>
      </c>
      <c r="T2312" s="26">
        <v>2</v>
      </c>
      <c r="U2312" s="26">
        <v>7</v>
      </c>
      <c r="V2312" s="26">
        <v>1</v>
      </c>
      <c r="W2312" s="26"/>
    </row>
    <row r="2313" spans="1:23" x14ac:dyDescent="0.25">
      <c r="A2313" s="26" t="str">
        <f t="shared" si="444"/>
        <v>PREESCOLAR</v>
      </c>
      <c r="B2313" s="26" t="str">
        <f>"09PJN4571T"</f>
        <v>09PJN4571T</v>
      </c>
      <c r="C2313" s="26" t="str">
        <f>"CENTRO DE ESTIMULACION TEMPRANA Y EDUCACION INFANTIL                                                "</f>
        <v xml:space="preserve">CENTRO DE ESTIMULACION TEMPRANA Y EDUCACION INFANTIL                                                </v>
      </c>
      <c r="D2313" s="26" t="str">
        <f t="shared" si="434"/>
        <v>MATUTINO</v>
      </c>
      <c r="E2313" s="26" t="str">
        <f>"RIO CHURUBUSCO NO. 198                                                          "</f>
        <v xml:space="preserve">RIO CHURUBUSCO NO. 198                                                          </v>
      </c>
      <c r="F2313" s="26" t="str">
        <f>"PRADO CHURUBUSCO                                                                                                                            "</f>
        <v xml:space="preserve">PRADO CHURUBUSCO                                                                                                                            </v>
      </c>
      <c r="G2313" s="26" t="str">
        <f t="shared" si="440"/>
        <v xml:space="preserve">IZTAPALAPA                                                                      </v>
      </c>
      <c r="H2313" s="26" t="str">
        <f t="shared" si="441"/>
        <v>000</v>
      </c>
      <c r="I2313" s="26" t="str">
        <f t="shared" si="445"/>
        <v>00</v>
      </c>
      <c r="J2313" s="26" t="str">
        <f>"61 "</f>
        <v xml:space="preserve">61 </v>
      </c>
      <c r="K2313" s="26" t="str">
        <f t="shared" si="442"/>
        <v>IZ</v>
      </c>
      <c r="L2313" s="26" t="str">
        <f t="shared" si="443"/>
        <v>DGSEI</v>
      </c>
      <c r="M2313" s="26" t="str">
        <f t="shared" si="439"/>
        <v>PARTICULAR</v>
      </c>
      <c r="N2313" s="26">
        <v>42</v>
      </c>
      <c r="O2313" s="26">
        <v>16</v>
      </c>
      <c r="P2313" s="26">
        <v>26</v>
      </c>
      <c r="Q2313" s="26">
        <v>3</v>
      </c>
      <c r="R2313" s="26">
        <v>1</v>
      </c>
      <c r="S2313" s="26">
        <v>2</v>
      </c>
      <c r="T2313" s="26">
        <v>4</v>
      </c>
      <c r="U2313" s="26">
        <v>7</v>
      </c>
      <c r="V2313" s="26">
        <v>1</v>
      </c>
      <c r="W2313" s="26"/>
    </row>
    <row r="2314" spans="1:23" x14ac:dyDescent="0.25">
      <c r="A2314" s="26" t="str">
        <f t="shared" si="444"/>
        <v>PREESCOLAR</v>
      </c>
      <c r="B2314" s="26" t="str">
        <f>"09PJN4574Q"</f>
        <v>09PJN4574Q</v>
      </c>
      <c r="C2314" s="26" t="str">
        <f>"JUAN DE LA BARRERA                                                                                  "</f>
        <v xml:space="preserve">JUAN DE LA BARRERA                                                                                  </v>
      </c>
      <c r="D2314" s="26" t="str">
        <f t="shared" si="434"/>
        <v>MATUTINO</v>
      </c>
      <c r="E2314" s="26" t="str">
        <f>"MUSGO ANTES PINO MZ 528 LT 7                                                    "</f>
        <v xml:space="preserve">MUSGO ANTES PINO MZ 528 LT 7                                                    </v>
      </c>
      <c r="F2314" s="26" t="str">
        <f>"SAN MIGUEL TEOTONGO                                                                                                                         "</f>
        <v xml:space="preserve">SAN MIGUEL TEOTONGO                                                                                                                         </v>
      </c>
      <c r="G2314" s="26" t="str">
        <f t="shared" si="440"/>
        <v xml:space="preserve">IZTAPALAPA                                                                      </v>
      </c>
      <c r="H2314" s="26" t="str">
        <f t="shared" si="441"/>
        <v>000</v>
      </c>
      <c r="I2314" s="26" t="str">
        <f t="shared" si="445"/>
        <v>00</v>
      </c>
      <c r="J2314" s="26" t="str">
        <f>"64 "</f>
        <v xml:space="preserve">64 </v>
      </c>
      <c r="K2314" s="26" t="str">
        <f t="shared" si="442"/>
        <v>IZ</v>
      </c>
      <c r="L2314" s="26" t="str">
        <f t="shared" si="443"/>
        <v>DGSEI</v>
      </c>
      <c r="M2314" s="26" t="str">
        <f t="shared" si="439"/>
        <v>PARTICULAR</v>
      </c>
      <c r="N2314" s="26">
        <v>28</v>
      </c>
      <c r="O2314" s="26">
        <v>15</v>
      </c>
      <c r="P2314" s="26">
        <v>13</v>
      </c>
      <c r="Q2314" s="26">
        <v>2</v>
      </c>
      <c r="R2314" s="26">
        <v>1</v>
      </c>
      <c r="S2314" s="26">
        <v>2</v>
      </c>
      <c r="T2314" s="26">
        <v>2</v>
      </c>
      <c r="U2314" s="26">
        <v>5</v>
      </c>
      <c r="V2314" s="26">
        <v>1</v>
      </c>
      <c r="W2314" s="26"/>
    </row>
    <row r="2315" spans="1:23" x14ac:dyDescent="0.25">
      <c r="A2315" s="26" t="str">
        <f t="shared" si="444"/>
        <v>PREESCOLAR</v>
      </c>
      <c r="B2315" s="26" t="str">
        <f>"09PJN4575P"</f>
        <v>09PJN4575P</v>
      </c>
      <c r="C2315" s="26" t="str">
        <f>"ALBERT EINSTEIN                                                                                     "</f>
        <v xml:space="preserve">ALBERT EINSTEIN                                                                                     </v>
      </c>
      <c r="D2315" s="26" t="str">
        <f t="shared" si="434"/>
        <v>MATUTINO</v>
      </c>
      <c r="E2315" s="26" t="str">
        <f>"CDA PINO  MZ. 136 ZONA 3 LT. 38                                                 "</f>
        <v xml:space="preserve">CDA PINO  MZ. 136 ZONA 3 LT. 38                                                 </v>
      </c>
      <c r="F2315" s="26" t="str">
        <f>"IXTLAHUACAN                                                                                                                                 "</f>
        <v xml:space="preserve">IXTLAHUACAN                                                                                                                                 </v>
      </c>
      <c r="G2315" s="26" t="str">
        <f t="shared" si="440"/>
        <v xml:space="preserve">IZTAPALAPA                                                                      </v>
      </c>
      <c r="H2315" s="26" t="str">
        <f t="shared" si="441"/>
        <v>000</v>
      </c>
      <c r="I2315" s="26" t="str">
        <f t="shared" si="445"/>
        <v>00</v>
      </c>
      <c r="J2315" s="26" t="str">
        <f>"64 "</f>
        <v xml:space="preserve">64 </v>
      </c>
      <c r="K2315" s="26" t="str">
        <f t="shared" si="442"/>
        <v>IZ</v>
      </c>
      <c r="L2315" s="26" t="str">
        <f t="shared" si="443"/>
        <v>DGSEI</v>
      </c>
      <c r="M2315" s="26" t="str">
        <f t="shared" si="439"/>
        <v>PARTICULAR</v>
      </c>
      <c r="N2315" s="26">
        <v>17</v>
      </c>
      <c r="O2315" s="26">
        <v>8</v>
      </c>
      <c r="P2315" s="26">
        <v>9</v>
      </c>
      <c r="Q2315" s="26">
        <v>2</v>
      </c>
      <c r="R2315" s="26">
        <v>1</v>
      </c>
      <c r="S2315" s="26">
        <v>2</v>
      </c>
      <c r="T2315" s="26">
        <v>1</v>
      </c>
      <c r="U2315" s="26">
        <v>4</v>
      </c>
      <c r="V2315" s="26">
        <v>1</v>
      </c>
      <c r="W2315" s="26"/>
    </row>
    <row r="2316" spans="1:23" x14ac:dyDescent="0.25">
      <c r="A2316" s="26" t="str">
        <f t="shared" si="444"/>
        <v>PREESCOLAR</v>
      </c>
      <c r="B2316" s="26" t="str">
        <f>"09PJN4576O"</f>
        <v>09PJN4576O</v>
      </c>
      <c r="C2316" s="26" t="str">
        <f>"INSTITUTO GENERAL LAZARO CARDENAS DEL RIO                                                           "</f>
        <v xml:space="preserve">INSTITUTO GENERAL LAZARO CARDENAS DEL RIO                                                           </v>
      </c>
      <c r="D2316" s="26" t="str">
        <f t="shared" si="434"/>
        <v>MATUTINO</v>
      </c>
      <c r="E2316" s="26" t="str">
        <f>"AV. BENITO JUAREZ NO. 88                                                        "</f>
        <v xml:space="preserve">AV. BENITO JUAREZ NO. 88                                                        </v>
      </c>
      <c r="F2316" s="26" t="str">
        <f>"EL ROSARIO                                                                                                                                  "</f>
        <v xml:space="preserve">EL ROSARIO                                                                                                                                  </v>
      </c>
      <c r="G2316" s="26" t="str">
        <f t="shared" si="440"/>
        <v xml:space="preserve">IZTAPALAPA                                                                      </v>
      </c>
      <c r="H2316" s="26" t="str">
        <f t="shared" si="441"/>
        <v>000</v>
      </c>
      <c r="I2316" s="26" t="str">
        <f t="shared" si="445"/>
        <v>00</v>
      </c>
      <c r="J2316" s="26" t="str">
        <f>"63 "</f>
        <v xml:space="preserve">63 </v>
      </c>
      <c r="K2316" s="26" t="str">
        <f t="shared" si="442"/>
        <v>IZ</v>
      </c>
      <c r="L2316" s="26" t="str">
        <f t="shared" si="443"/>
        <v>DGSEI</v>
      </c>
      <c r="M2316" s="26" t="str">
        <f t="shared" si="439"/>
        <v>PARTICULAR</v>
      </c>
      <c r="N2316" s="26">
        <v>25</v>
      </c>
      <c r="O2316" s="26">
        <v>15</v>
      </c>
      <c r="P2316" s="26">
        <v>10</v>
      </c>
      <c r="Q2316" s="26">
        <v>3</v>
      </c>
      <c r="R2316" s="26">
        <v>1</v>
      </c>
      <c r="S2316" s="26">
        <v>1</v>
      </c>
      <c r="T2316" s="26">
        <v>5</v>
      </c>
      <c r="U2316" s="26">
        <v>7</v>
      </c>
      <c r="V2316" s="26">
        <v>1</v>
      </c>
      <c r="W2316" s="26"/>
    </row>
    <row r="2317" spans="1:23" x14ac:dyDescent="0.25">
      <c r="A2317" s="26" t="str">
        <f t="shared" si="444"/>
        <v>PREESCOLAR</v>
      </c>
      <c r="B2317" s="26" t="str">
        <f>"09PJN4577N"</f>
        <v>09PJN4577N</v>
      </c>
      <c r="C2317" s="26" t="str">
        <f>"QUETZALLI                                                                                           "</f>
        <v xml:space="preserve">QUETZALLI                                                                                           </v>
      </c>
      <c r="D2317" s="26" t="str">
        <f t="shared" si="434"/>
        <v>MATUTINO</v>
      </c>
      <c r="E2317" s="26" t="str">
        <f>"ESTEBAN ALDANA NO 15                                                            "</f>
        <v xml:space="preserve">ESTEBAN ALDANA NO 15                                                            </v>
      </c>
      <c r="F2317" s="26" t="str">
        <f>"LAS PEÑAS                                                                                                                                   "</f>
        <v xml:space="preserve">LAS PEÑAS                                                                                                                                   </v>
      </c>
      <c r="G2317" s="26" t="str">
        <f t="shared" si="440"/>
        <v xml:space="preserve">IZTAPALAPA                                                                      </v>
      </c>
      <c r="H2317" s="26" t="str">
        <f t="shared" si="441"/>
        <v>000</v>
      </c>
      <c r="I2317" s="26" t="str">
        <f t="shared" si="445"/>
        <v>00</v>
      </c>
      <c r="J2317" s="26" t="str">
        <f>"63 "</f>
        <v xml:space="preserve">63 </v>
      </c>
      <c r="K2317" s="26" t="str">
        <f t="shared" si="442"/>
        <v>IZ</v>
      </c>
      <c r="L2317" s="26" t="str">
        <f t="shared" si="443"/>
        <v>DGSEI</v>
      </c>
      <c r="M2317" s="26" t="str">
        <f t="shared" si="439"/>
        <v>PARTICULAR</v>
      </c>
      <c r="N2317" s="26">
        <v>57</v>
      </c>
      <c r="O2317" s="26">
        <v>26</v>
      </c>
      <c r="P2317" s="26">
        <v>31</v>
      </c>
      <c r="Q2317" s="26">
        <v>3</v>
      </c>
      <c r="R2317" s="26">
        <v>1</v>
      </c>
      <c r="S2317" s="26">
        <v>3</v>
      </c>
      <c r="T2317" s="26">
        <v>4</v>
      </c>
      <c r="U2317" s="26">
        <v>8</v>
      </c>
      <c r="V2317" s="26">
        <v>1</v>
      </c>
      <c r="W2317" s="26"/>
    </row>
    <row r="2318" spans="1:23" x14ac:dyDescent="0.25">
      <c r="A2318" s="26" t="str">
        <f t="shared" si="444"/>
        <v>PREESCOLAR</v>
      </c>
      <c r="B2318" s="26" t="str">
        <f>"09PJN4579L"</f>
        <v>09PJN4579L</v>
      </c>
      <c r="C2318" s="26" t="str">
        <f>"MELVIN CALVIN                                                                                       "</f>
        <v xml:space="preserve">MELVIN CALVIN                                                                                       </v>
      </c>
      <c r="D2318" s="26" t="str">
        <f t="shared" si="434"/>
        <v>MATUTINO</v>
      </c>
      <c r="E2318" s="26" t="str">
        <f>"CDA. CALANDRIA MZ. 169 LT. 13                                                   "</f>
        <v xml:space="preserve">CDA. CALANDRIA MZ. 169 LT. 13                                                   </v>
      </c>
      <c r="F2318" s="26" t="str">
        <f>"TENORIOS                                                                                                                                    "</f>
        <v xml:space="preserve">TENORIOS                                                                                                                                    </v>
      </c>
      <c r="G2318" s="26" t="str">
        <f t="shared" si="440"/>
        <v xml:space="preserve">IZTAPALAPA                                                                      </v>
      </c>
      <c r="H2318" s="26" t="str">
        <f t="shared" si="441"/>
        <v>000</v>
      </c>
      <c r="I2318" s="26" t="str">
        <f t="shared" si="445"/>
        <v>00</v>
      </c>
      <c r="J2318" s="26" t="str">
        <f>"64 "</f>
        <v xml:space="preserve">64 </v>
      </c>
      <c r="K2318" s="26" t="str">
        <f t="shared" si="442"/>
        <v>IZ</v>
      </c>
      <c r="L2318" s="26" t="str">
        <f t="shared" si="443"/>
        <v>DGSEI</v>
      </c>
      <c r="M2318" s="26" t="str">
        <f t="shared" si="439"/>
        <v>PARTICULAR</v>
      </c>
      <c r="N2318" s="26">
        <v>35</v>
      </c>
      <c r="O2318" s="26">
        <v>14</v>
      </c>
      <c r="P2318" s="26">
        <v>21</v>
      </c>
      <c r="Q2318" s="26">
        <v>2</v>
      </c>
      <c r="R2318" s="26">
        <v>1</v>
      </c>
      <c r="S2318" s="26">
        <v>2</v>
      </c>
      <c r="T2318" s="26">
        <v>1</v>
      </c>
      <c r="U2318" s="26">
        <v>4</v>
      </c>
      <c r="V2318" s="26">
        <v>1</v>
      </c>
      <c r="W2318" s="26"/>
    </row>
    <row r="2319" spans="1:23" x14ac:dyDescent="0.25">
      <c r="A2319" s="26" t="str">
        <f t="shared" si="444"/>
        <v>PREESCOLAR</v>
      </c>
      <c r="B2319" s="26" t="str">
        <f>"09PJN4582Z"</f>
        <v>09PJN4582Z</v>
      </c>
      <c r="C2319" s="26" t="str">
        <f>"CALMECAC                                                                                            "</f>
        <v xml:space="preserve">CALMECAC                                                                                            </v>
      </c>
      <c r="D2319" s="26" t="str">
        <f t="shared" si="434"/>
        <v>MATUTINO</v>
      </c>
      <c r="E2319" s="26" t="str">
        <f>"SAN MARCOS NO. 29                                                               "</f>
        <v xml:space="preserve">SAN MARCOS NO. 29                                                               </v>
      </c>
      <c r="F2319" s="26" t="str">
        <f>"SANTA MARIA DEL MONTE                                                                                                                       "</f>
        <v xml:space="preserve">SANTA MARIA DEL MONTE                                                                                                                       </v>
      </c>
      <c r="G2319" s="26" t="str">
        <f t="shared" si="440"/>
        <v xml:space="preserve">IZTAPALAPA                                                                      </v>
      </c>
      <c r="H2319" s="26" t="str">
        <f t="shared" si="441"/>
        <v>000</v>
      </c>
      <c r="I2319" s="26" t="str">
        <f t="shared" si="445"/>
        <v>00</v>
      </c>
      <c r="J2319" s="26" t="str">
        <f>"61 "</f>
        <v xml:space="preserve">61 </v>
      </c>
      <c r="K2319" s="26" t="str">
        <f t="shared" si="442"/>
        <v>IZ</v>
      </c>
      <c r="L2319" s="26" t="str">
        <f t="shared" si="443"/>
        <v>DGSEI</v>
      </c>
      <c r="M2319" s="26" t="str">
        <f t="shared" si="439"/>
        <v>PARTICULAR</v>
      </c>
      <c r="N2319" s="26">
        <v>30</v>
      </c>
      <c r="O2319" s="26">
        <v>16</v>
      </c>
      <c r="P2319" s="26">
        <v>14</v>
      </c>
      <c r="Q2319" s="26">
        <v>3</v>
      </c>
      <c r="R2319" s="26">
        <v>1</v>
      </c>
      <c r="S2319" s="26">
        <v>2</v>
      </c>
      <c r="T2319" s="26">
        <v>2</v>
      </c>
      <c r="U2319" s="26">
        <v>5</v>
      </c>
      <c r="V2319" s="26">
        <v>1</v>
      </c>
      <c r="W2319" s="26"/>
    </row>
    <row r="2320" spans="1:23" x14ac:dyDescent="0.25">
      <c r="A2320" s="26" t="str">
        <f t="shared" si="444"/>
        <v>PREESCOLAR</v>
      </c>
      <c r="B2320" s="26" t="str">
        <f>"09PJN4583Y"</f>
        <v>09PJN4583Y</v>
      </c>
      <c r="C2320" s="26" t="str">
        <f>"LUZ DEL SABER                                                                                       "</f>
        <v xml:space="preserve">LUZ DEL SABER                                                                                       </v>
      </c>
      <c r="D2320" s="26" t="str">
        <f>"VESPERTINO"</f>
        <v>VESPERTINO</v>
      </c>
      <c r="E2320" s="26" t="str">
        <f>"MADROÑO MZ. 2 LT. 2                                                             "</f>
        <v xml:space="preserve">MADROÑO MZ. 2 LT. 2                                                             </v>
      </c>
      <c r="F2320" s="26" t="str">
        <f>"CONSEJO AGRARISTA MEXICANO                                                                                                                  "</f>
        <v xml:space="preserve">CONSEJO AGRARISTA MEXICANO                                                                                                                  </v>
      </c>
      <c r="G2320" s="26" t="str">
        <f t="shared" si="440"/>
        <v xml:space="preserve">IZTAPALAPA                                                                      </v>
      </c>
      <c r="H2320" s="26" t="str">
        <f t="shared" si="441"/>
        <v>000</v>
      </c>
      <c r="I2320" s="26" t="str">
        <f t="shared" si="445"/>
        <v>00</v>
      </c>
      <c r="J2320" s="26" t="str">
        <f>"63 "</f>
        <v xml:space="preserve">63 </v>
      </c>
      <c r="K2320" s="26" t="str">
        <f t="shared" si="442"/>
        <v>IZ</v>
      </c>
      <c r="L2320" s="26" t="str">
        <f t="shared" si="443"/>
        <v>DGSEI</v>
      </c>
      <c r="M2320" s="26" t="str">
        <f t="shared" si="439"/>
        <v>PARTICULAR</v>
      </c>
      <c r="N2320" s="26">
        <v>20</v>
      </c>
      <c r="O2320" s="26">
        <v>8</v>
      </c>
      <c r="P2320" s="26">
        <v>12</v>
      </c>
      <c r="Q2320" s="26">
        <v>2</v>
      </c>
      <c r="R2320" s="26">
        <v>1</v>
      </c>
      <c r="S2320" s="26">
        <v>2</v>
      </c>
      <c r="T2320" s="26">
        <v>1</v>
      </c>
      <c r="U2320" s="26">
        <v>4</v>
      </c>
      <c r="V2320" s="26">
        <v>1</v>
      </c>
      <c r="W2320" s="26"/>
    </row>
    <row r="2321" spans="1:23" x14ac:dyDescent="0.25">
      <c r="A2321" s="26" t="str">
        <f t="shared" si="444"/>
        <v>PREESCOLAR</v>
      </c>
      <c r="B2321" s="26" t="str">
        <f>"09PJN4587U"</f>
        <v>09PJN4587U</v>
      </c>
      <c r="C2321" s="26" t="str">
        <f>"ESPERANZA DE LA NIÑEZ                                                                               "</f>
        <v xml:space="preserve">ESPERANZA DE LA NIÑEZ                                                                               </v>
      </c>
      <c r="D2321" s="26" t="str">
        <f>"MATUTINO"</f>
        <v>MATUTINO</v>
      </c>
      <c r="E2321" s="26" t="str">
        <f>"MARIANO MATAMOROS MZ. 22 LT. 39                                                 "</f>
        <v xml:space="preserve">MARIANO MATAMOROS MZ. 22 LT. 39                                                 </v>
      </c>
      <c r="F2321" s="26" t="str">
        <f>"SAN MIGUEL VIII                                                                                                                             "</f>
        <v xml:space="preserve">SAN MIGUEL VIII                                                                                                                             </v>
      </c>
      <c r="G2321" s="26" t="str">
        <f t="shared" si="440"/>
        <v xml:space="preserve">IZTAPALAPA                                                                      </v>
      </c>
      <c r="H2321" s="26" t="str">
        <f t="shared" si="441"/>
        <v>000</v>
      </c>
      <c r="I2321" s="26" t="str">
        <f t="shared" si="445"/>
        <v>00</v>
      </c>
      <c r="J2321" s="26" t="str">
        <f>"61 "</f>
        <v xml:space="preserve">61 </v>
      </c>
      <c r="K2321" s="26" t="str">
        <f t="shared" si="442"/>
        <v>IZ</v>
      </c>
      <c r="L2321" s="26" t="str">
        <f t="shared" si="443"/>
        <v>DGSEI</v>
      </c>
      <c r="M2321" s="26" t="str">
        <f t="shared" si="439"/>
        <v>PARTICULAR</v>
      </c>
      <c r="N2321" s="26">
        <v>26</v>
      </c>
      <c r="O2321" s="26">
        <v>11</v>
      </c>
      <c r="P2321" s="26">
        <v>15</v>
      </c>
      <c r="Q2321" s="26">
        <v>3</v>
      </c>
      <c r="R2321" s="26">
        <v>1</v>
      </c>
      <c r="S2321" s="26">
        <v>3</v>
      </c>
      <c r="T2321" s="26">
        <v>1</v>
      </c>
      <c r="U2321" s="26">
        <v>5</v>
      </c>
      <c r="V2321" s="26">
        <v>1</v>
      </c>
      <c r="W2321" s="26"/>
    </row>
    <row r="2322" spans="1:23" x14ac:dyDescent="0.25">
      <c r="A2322" s="26" t="str">
        <f t="shared" si="444"/>
        <v>PREESCOLAR</v>
      </c>
      <c r="B2322" s="26" t="str">
        <f>"09PJN4588T"</f>
        <v>09PJN4588T</v>
      </c>
      <c r="C2322" s="26" t="str">
        <f>"EL FUTURO DE MEXICO                                                                                 "</f>
        <v xml:space="preserve">EL FUTURO DE MEXICO                                                                                 </v>
      </c>
      <c r="D2322" s="26" t="str">
        <f>"MATUTINO"</f>
        <v>MATUTINO</v>
      </c>
      <c r="E2322" s="26" t="str">
        <f>"FRESNO NO 5                                                                     "</f>
        <v xml:space="preserve">FRESNO NO 5                                                                     </v>
      </c>
      <c r="F2322" s="26" t="str">
        <f>"EL MANTO                                                                                                                                    "</f>
        <v xml:space="preserve">EL MANTO                                                                                                                                    </v>
      </c>
      <c r="G2322" s="26" t="str">
        <f t="shared" si="440"/>
        <v xml:space="preserve">IZTAPALAPA                                                                      </v>
      </c>
      <c r="H2322" s="26" t="str">
        <f t="shared" si="441"/>
        <v>000</v>
      </c>
      <c r="I2322" s="26" t="str">
        <f t="shared" si="445"/>
        <v>00</v>
      </c>
      <c r="J2322" s="26" t="str">
        <f>"61 "</f>
        <v xml:space="preserve">61 </v>
      </c>
      <c r="K2322" s="26" t="str">
        <f t="shared" si="442"/>
        <v>IZ</v>
      </c>
      <c r="L2322" s="26" t="str">
        <f t="shared" si="443"/>
        <v>DGSEI</v>
      </c>
      <c r="M2322" s="26" t="str">
        <f t="shared" si="439"/>
        <v>PARTICULAR</v>
      </c>
      <c r="N2322" s="26">
        <v>25</v>
      </c>
      <c r="O2322" s="26">
        <v>10</v>
      </c>
      <c r="P2322" s="26">
        <v>15</v>
      </c>
      <c r="Q2322" s="26">
        <v>3</v>
      </c>
      <c r="R2322" s="26">
        <v>1</v>
      </c>
      <c r="S2322" s="26">
        <v>1</v>
      </c>
      <c r="T2322" s="26">
        <v>1</v>
      </c>
      <c r="U2322" s="26">
        <v>3</v>
      </c>
      <c r="V2322" s="26">
        <v>1</v>
      </c>
      <c r="W2322" s="26"/>
    </row>
    <row r="2323" spans="1:23" x14ac:dyDescent="0.25">
      <c r="A2323" s="26" t="str">
        <f t="shared" si="444"/>
        <v>PREESCOLAR</v>
      </c>
      <c r="B2323" s="26" t="str">
        <f>"09PJN4589S"</f>
        <v>09PJN4589S</v>
      </c>
      <c r="C2323" s="26" t="str">
        <f>"GUATZAPICH                                                                                          "</f>
        <v xml:space="preserve">GUATZAPICH                                                                                          </v>
      </c>
      <c r="D2323" s="26" t="str">
        <f>"MATUTINO"</f>
        <v>MATUTINO</v>
      </c>
      <c r="E2323" s="26" t="str">
        <f>"CANAL CELEDONIO NO. 21                                                          "</f>
        <v xml:space="preserve">CANAL CELEDONIO NO. 21                                                          </v>
      </c>
      <c r="F2323" s="26" t="str">
        <f>"INSURGENTES                                                                                                                                 "</f>
        <v xml:space="preserve">INSURGENTES                                                                                                                                 </v>
      </c>
      <c r="G2323" s="26" t="str">
        <f t="shared" si="440"/>
        <v xml:space="preserve">IZTAPALAPA                                                                      </v>
      </c>
      <c r="H2323" s="26" t="str">
        <f t="shared" si="441"/>
        <v>000</v>
      </c>
      <c r="I2323" s="26" t="str">
        <f t="shared" si="445"/>
        <v>00</v>
      </c>
      <c r="J2323" s="26" t="str">
        <f>"63 "</f>
        <v xml:space="preserve">63 </v>
      </c>
      <c r="K2323" s="26" t="str">
        <f t="shared" si="442"/>
        <v>IZ</v>
      </c>
      <c r="L2323" s="26" t="str">
        <f t="shared" si="443"/>
        <v>DGSEI</v>
      </c>
      <c r="M2323" s="26" t="str">
        <f t="shared" si="439"/>
        <v>PARTICULAR</v>
      </c>
      <c r="N2323" s="26">
        <v>50</v>
      </c>
      <c r="O2323" s="26">
        <v>28</v>
      </c>
      <c r="P2323" s="26">
        <v>22</v>
      </c>
      <c r="Q2323" s="26">
        <v>3</v>
      </c>
      <c r="R2323" s="26">
        <v>1</v>
      </c>
      <c r="S2323" s="26">
        <v>3</v>
      </c>
      <c r="T2323" s="26">
        <v>3</v>
      </c>
      <c r="U2323" s="26">
        <v>7</v>
      </c>
      <c r="V2323" s="26">
        <v>1</v>
      </c>
      <c r="W2323" s="26"/>
    </row>
    <row r="2324" spans="1:23" x14ac:dyDescent="0.25">
      <c r="A2324" s="26" t="str">
        <f t="shared" si="444"/>
        <v>PREESCOLAR</v>
      </c>
      <c r="B2324" s="26" t="str">
        <f>"09PJN4590H"</f>
        <v>09PJN4590H</v>
      </c>
      <c r="C2324" s="26" t="str">
        <f>"PROFR. ISIDRO FABELA                                                                                "</f>
        <v xml:space="preserve">PROFR. ISIDRO FABELA                                                                                </v>
      </c>
      <c r="D2324" s="26" t="str">
        <f>"VESPERTINO"</f>
        <v>VESPERTINO</v>
      </c>
      <c r="E2324" s="26" t="str">
        <f>"ANDRES QUINTANA ROO MZ 97 LT 21                                                 "</f>
        <v xml:space="preserve">ANDRES QUINTANA ROO MZ 97 LT 21                                                 </v>
      </c>
      <c r="F2324" s="26" t="str">
        <f>"LOMAS DE ZARAGOZA                                                                                                                           "</f>
        <v xml:space="preserve">LOMAS DE ZARAGOZA                                                                                                                           </v>
      </c>
      <c r="G2324" s="26" t="str">
        <f t="shared" si="440"/>
        <v xml:space="preserve">IZTAPALAPA                                                                      </v>
      </c>
      <c r="H2324" s="26" t="str">
        <f t="shared" si="441"/>
        <v>000</v>
      </c>
      <c r="I2324" s="26" t="str">
        <f t="shared" si="445"/>
        <v>00</v>
      </c>
      <c r="J2324" s="26" t="str">
        <f>"64 "</f>
        <v xml:space="preserve">64 </v>
      </c>
      <c r="K2324" s="26" t="str">
        <f t="shared" si="442"/>
        <v>IZ</v>
      </c>
      <c r="L2324" s="26" t="str">
        <f t="shared" si="443"/>
        <v>DGSEI</v>
      </c>
      <c r="M2324" s="26" t="str">
        <f t="shared" si="439"/>
        <v>PARTICULAR</v>
      </c>
      <c r="N2324" s="26">
        <v>6</v>
      </c>
      <c r="O2324" s="26">
        <v>1</v>
      </c>
      <c r="P2324" s="26">
        <v>5</v>
      </c>
      <c r="Q2324" s="26">
        <v>2</v>
      </c>
      <c r="R2324" s="26">
        <v>1</v>
      </c>
      <c r="S2324" s="26">
        <v>1</v>
      </c>
      <c r="T2324" s="26">
        <v>4</v>
      </c>
      <c r="U2324" s="26">
        <v>6</v>
      </c>
      <c r="V2324" s="26">
        <v>1</v>
      </c>
      <c r="W2324" s="26"/>
    </row>
    <row r="2325" spans="1:23" x14ac:dyDescent="0.25">
      <c r="A2325" s="26" t="str">
        <f t="shared" si="444"/>
        <v>PREESCOLAR</v>
      </c>
      <c r="B2325" s="26" t="str">
        <f>"09PJN4592F"</f>
        <v>09PJN4592F</v>
      </c>
      <c r="C2325" s="26" t="str">
        <f>"ESTEFANIA CASTAÑEDA                                                                                 "</f>
        <v xml:space="preserve">ESTEFANIA CASTAÑEDA                                                                                 </v>
      </c>
      <c r="D2325" s="26" t="str">
        <f>"MATUTINO"</f>
        <v>MATUTINO</v>
      </c>
      <c r="E2325" s="26" t="str">
        <f>"JUAN DE OCHOA MZ. 47 LT. 6                                                      "</f>
        <v xml:space="preserve">JUAN DE OCHOA MZ. 47 LT. 6                                                      </v>
      </c>
      <c r="F2325" s="26" t="str">
        <f>"FUEGO NUEVO                                                                                                                                 "</f>
        <v xml:space="preserve">FUEGO NUEVO                                                                                                                                 </v>
      </c>
      <c r="G2325" s="26" t="str">
        <f t="shared" si="440"/>
        <v xml:space="preserve">IZTAPALAPA                                                                      </v>
      </c>
      <c r="H2325" s="26" t="str">
        <f t="shared" si="441"/>
        <v>000</v>
      </c>
      <c r="I2325" s="26" t="str">
        <f t="shared" si="445"/>
        <v>00</v>
      </c>
      <c r="J2325" s="26" t="str">
        <f>"63 "</f>
        <v xml:space="preserve">63 </v>
      </c>
      <c r="K2325" s="26" t="str">
        <f t="shared" si="442"/>
        <v>IZ</v>
      </c>
      <c r="L2325" s="26" t="str">
        <f t="shared" si="443"/>
        <v>DGSEI</v>
      </c>
      <c r="M2325" s="26" t="str">
        <f t="shared" si="439"/>
        <v>PARTICULAR</v>
      </c>
      <c r="N2325" s="26">
        <v>46</v>
      </c>
      <c r="O2325" s="26">
        <v>23</v>
      </c>
      <c r="P2325" s="26">
        <v>23</v>
      </c>
      <c r="Q2325" s="26">
        <v>3</v>
      </c>
      <c r="R2325" s="26">
        <v>1</v>
      </c>
      <c r="S2325" s="26">
        <v>3</v>
      </c>
      <c r="T2325" s="26">
        <v>1</v>
      </c>
      <c r="U2325" s="26">
        <v>5</v>
      </c>
      <c r="V2325" s="26">
        <v>1</v>
      </c>
      <c r="W2325" s="26"/>
    </row>
    <row r="2326" spans="1:23" x14ac:dyDescent="0.25">
      <c r="A2326" s="26" t="str">
        <f t="shared" si="444"/>
        <v>PREESCOLAR</v>
      </c>
      <c r="B2326" s="26" t="str">
        <f>"09PJN4593E"</f>
        <v>09PJN4593E</v>
      </c>
      <c r="C2326" s="26" t="str">
        <f>"LAS ABEJITAS                                                                                        "</f>
        <v xml:space="preserve">LAS ABEJITAS                                                                                        </v>
      </c>
      <c r="D2326" s="26" t="str">
        <f>"VESPERTINO"</f>
        <v>VESPERTINO</v>
      </c>
      <c r="E2326" s="26" t="str">
        <f>"PRIV. STA CRUZ NO.1 MZ. 63 LT. 29-A                                             "</f>
        <v xml:space="preserve">PRIV. STA CRUZ NO.1 MZ. 63 LT. 29-A                                             </v>
      </c>
      <c r="F2326" s="26" t="str">
        <f>"LOMAS SAN LORENZO                                                                                                                           "</f>
        <v xml:space="preserve">LOMAS SAN LORENZO                                                                                                                           </v>
      </c>
      <c r="G2326" s="26" t="str">
        <f t="shared" si="440"/>
        <v xml:space="preserve">IZTAPALAPA                                                                      </v>
      </c>
      <c r="H2326" s="26" t="str">
        <f t="shared" si="441"/>
        <v>000</v>
      </c>
      <c r="I2326" s="26" t="str">
        <f t="shared" si="445"/>
        <v>00</v>
      </c>
      <c r="J2326" s="26" t="str">
        <f>"63 "</f>
        <v xml:space="preserve">63 </v>
      </c>
      <c r="K2326" s="26" t="str">
        <f t="shared" si="442"/>
        <v>IZ</v>
      </c>
      <c r="L2326" s="26" t="str">
        <f t="shared" si="443"/>
        <v>DGSEI</v>
      </c>
      <c r="M2326" s="26" t="str">
        <f t="shared" si="439"/>
        <v>PARTICULAR</v>
      </c>
      <c r="N2326" s="26">
        <v>22</v>
      </c>
      <c r="O2326" s="26">
        <v>8</v>
      </c>
      <c r="P2326" s="26">
        <v>14</v>
      </c>
      <c r="Q2326" s="26">
        <v>2</v>
      </c>
      <c r="R2326" s="26">
        <v>1</v>
      </c>
      <c r="S2326" s="26">
        <v>2</v>
      </c>
      <c r="T2326" s="26">
        <v>2</v>
      </c>
      <c r="U2326" s="26">
        <v>5</v>
      </c>
      <c r="V2326" s="26">
        <v>1</v>
      </c>
      <c r="W2326" s="26"/>
    </row>
    <row r="2327" spans="1:23" x14ac:dyDescent="0.25">
      <c r="A2327" s="26" t="str">
        <f t="shared" si="444"/>
        <v>PREESCOLAR</v>
      </c>
      <c r="B2327" s="26" t="str">
        <f>"09PJN4594D"</f>
        <v>09PJN4594D</v>
      </c>
      <c r="C2327" s="26" t="str">
        <f>"INSTITUTO GARCIA                                                                                    "</f>
        <v xml:space="preserve">INSTITUTO GARCIA                                                                                    </v>
      </c>
      <c r="D2327" s="26" t="str">
        <f>"VESPERTINO"</f>
        <v>VESPERTINO</v>
      </c>
      <c r="E2327" s="26" t="str">
        <f>"CALLE 11 Mz 52 Lt 18                                                            "</f>
        <v xml:space="preserve">CALLE 11 Mz 52 Lt 18                                                            </v>
      </c>
      <c r="F2327" s="26" t="str">
        <f>"JOSE LOPEZ PORTILLO                                                                                                                         "</f>
        <v xml:space="preserve">JOSE LOPEZ PORTILLO                                                                                                                         </v>
      </c>
      <c r="G2327" s="26" t="str">
        <f t="shared" si="440"/>
        <v xml:space="preserve">IZTAPALAPA                                                                      </v>
      </c>
      <c r="H2327" s="26" t="str">
        <f t="shared" si="441"/>
        <v>000</v>
      </c>
      <c r="I2327" s="26" t="str">
        <f t="shared" si="445"/>
        <v>00</v>
      </c>
      <c r="J2327" s="26" t="str">
        <f>"63 "</f>
        <v xml:space="preserve">63 </v>
      </c>
      <c r="K2327" s="26" t="str">
        <f t="shared" si="442"/>
        <v>IZ</v>
      </c>
      <c r="L2327" s="26" t="str">
        <f t="shared" si="443"/>
        <v>DGSEI</v>
      </c>
      <c r="M2327" s="26" t="str">
        <f t="shared" si="439"/>
        <v>PARTICULAR</v>
      </c>
      <c r="N2327" s="26">
        <v>41</v>
      </c>
      <c r="O2327" s="26">
        <v>17</v>
      </c>
      <c r="P2327" s="26">
        <v>24</v>
      </c>
      <c r="Q2327" s="26">
        <v>3</v>
      </c>
      <c r="R2327" s="26">
        <v>1</v>
      </c>
      <c r="S2327" s="26">
        <v>3</v>
      </c>
      <c r="T2327" s="26">
        <v>0</v>
      </c>
      <c r="U2327" s="26">
        <v>4</v>
      </c>
      <c r="V2327" s="26">
        <v>1</v>
      </c>
      <c r="W2327" s="26"/>
    </row>
    <row r="2328" spans="1:23" x14ac:dyDescent="0.25">
      <c r="A2328" s="26" t="str">
        <f t="shared" si="444"/>
        <v>PREESCOLAR</v>
      </c>
      <c r="B2328" s="26" t="str">
        <f>"09PJN4595C"</f>
        <v>09PJN4595C</v>
      </c>
      <c r="C2328" s="26" t="str">
        <f>"MAQUINITA DEL SABER                                                                                 "</f>
        <v xml:space="preserve">MAQUINITA DEL SABER                                                                                 </v>
      </c>
      <c r="D2328" s="26" t="str">
        <f t="shared" ref="D2328:D2369" si="446">"MATUTINO"</f>
        <v>MATUTINO</v>
      </c>
      <c r="E2328" s="26" t="str">
        <f>"GERANIO MZ. 18 LT. 153                                                          "</f>
        <v xml:space="preserve">GERANIO MZ. 18 LT. 153                                                          </v>
      </c>
      <c r="F2328" s="26" t="str">
        <f>"CAMPESTRE EL POTRERO                                                                                                                        "</f>
        <v xml:space="preserve">CAMPESTRE EL POTRERO                                                                                                                        </v>
      </c>
      <c r="G2328" s="26" t="str">
        <f t="shared" si="440"/>
        <v xml:space="preserve">IZTAPALAPA                                                                      </v>
      </c>
      <c r="H2328" s="26" t="str">
        <f t="shared" si="441"/>
        <v>000</v>
      </c>
      <c r="I2328" s="26" t="str">
        <f t="shared" si="445"/>
        <v>00</v>
      </c>
      <c r="J2328" s="26" t="str">
        <f>"64 "</f>
        <v xml:space="preserve">64 </v>
      </c>
      <c r="K2328" s="26" t="str">
        <f t="shared" si="442"/>
        <v>IZ</v>
      </c>
      <c r="L2328" s="26" t="str">
        <f t="shared" si="443"/>
        <v>DGSEI</v>
      </c>
      <c r="M2328" s="26" t="str">
        <f t="shared" si="439"/>
        <v>PARTICULAR</v>
      </c>
      <c r="N2328" s="26">
        <v>47</v>
      </c>
      <c r="O2328" s="26">
        <v>24</v>
      </c>
      <c r="P2328" s="26">
        <v>23</v>
      </c>
      <c r="Q2328" s="26">
        <v>3</v>
      </c>
      <c r="R2328" s="26">
        <v>1</v>
      </c>
      <c r="S2328" s="26">
        <v>2</v>
      </c>
      <c r="T2328" s="26">
        <v>1</v>
      </c>
      <c r="U2328" s="26">
        <v>4</v>
      </c>
      <c r="V2328" s="26">
        <v>1</v>
      </c>
      <c r="W2328" s="26"/>
    </row>
    <row r="2329" spans="1:23" x14ac:dyDescent="0.25">
      <c r="A2329" s="26" t="str">
        <f t="shared" si="444"/>
        <v>PREESCOLAR</v>
      </c>
      <c r="B2329" s="26" t="str">
        <f>"09PJN4596B"</f>
        <v>09PJN4596B</v>
      </c>
      <c r="C2329" s="26" t="str">
        <f>"EL SOLECITO                                                                                         "</f>
        <v xml:space="preserve">EL SOLECITO                                                                                         </v>
      </c>
      <c r="D2329" s="26" t="str">
        <f t="shared" si="446"/>
        <v>MATUTINO</v>
      </c>
      <c r="E2329" s="26" t="str">
        <f>"CRETA NO. 20                                                                    "</f>
        <v xml:space="preserve">CRETA NO. 20                                                                    </v>
      </c>
      <c r="F2329" s="26" t="str">
        <f>"LOMAS ESTRELLA                                                                                                                              "</f>
        <v xml:space="preserve">LOMAS ESTRELLA                                                                                                                              </v>
      </c>
      <c r="G2329" s="26" t="str">
        <f t="shared" si="440"/>
        <v xml:space="preserve">IZTAPALAPA                                                                      </v>
      </c>
      <c r="H2329" s="26" t="str">
        <f t="shared" si="441"/>
        <v>000</v>
      </c>
      <c r="I2329" s="26" t="str">
        <f t="shared" si="445"/>
        <v>00</v>
      </c>
      <c r="J2329" s="26" t="str">
        <f>"63 "</f>
        <v xml:space="preserve">63 </v>
      </c>
      <c r="K2329" s="26" t="str">
        <f t="shared" si="442"/>
        <v>IZ</v>
      </c>
      <c r="L2329" s="26" t="str">
        <f t="shared" si="443"/>
        <v>DGSEI</v>
      </c>
      <c r="M2329" s="26" t="str">
        <f t="shared" si="439"/>
        <v>PARTICULAR</v>
      </c>
      <c r="N2329" s="26">
        <v>32</v>
      </c>
      <c r="O2329" s="26">
        <v>18</v>
      </c>
      <c r="P2329" s="26">
        <v>14</v>
      </c>
      <c r="Q2329" s="26">
        <v>3</v>
      </c>
      <c r="R2329" s="26">
        <v>1</v>
      </c>
      <c r="S2329" s="26">
        <v>2</v>
      </c>
      <c r="T2329" s="26">
        <v>2</v>
      </c>
      <c r="U2329" s="26">
        <v>5</v>
      </c>
      <c r="V2329" s="26">
        <v>1</v>
      </c>
      <c r="W2329" s="26"/>
    </row>
    <row r="2330" spans="1:23" x14ac:dyDescent="0.25">
      <c r="A2330" s="26" t="str">
        <f t="shared" si="444"/>
        <v>PREESCOLAR</v>
      </c>
      <c r="B2330" s="26" t="str">
        <f>"09PJN4597A"</f>
        <v>09PJN4597A</v>
      </c>
      <c r="C2330" s="26" t="str">
        <f>"INSTITUTO PEDAGOGICO JEROEN BOSCO                                                                   "</f>
        <v xml:space="preserve">INSTITUTO PEDAGOGICO JEROEN BOSCO                                                                   </v>
      </c>
      <c r="D2330" s="26" t="str">
        <f t="shared" si="446"/>
        <v>MATUTINO</v>
      </c>
      <c r="E2330" s="26" t="str">
        <f>"ROSA NO. 102                                                                    "</f>
        <v xml:space="preserve">ROSA NO. 102                                                                    </v>
      </c>
      <c r="F2330" s="26" t="str">
        <f>"SAN LORENZO XICOTENCATL                                                                                                                     "</f>
        <v xml:space="preserve">SAN LORENZO XICOTENCATL                                                                                                                     </v>
      </c>
      <c r="G2330" s="26" t="str">
        <f t="shared" si="440"/>
        <v xml:space="preserve">IZTAPALAPA                                                                      </v>
      </c>
      <c r="H2330" s="26" t="str">
        <f t="shared" si="441"/>
        <v>000</v>
      </c>
      <c r="I2330" s="26" t="str">
        <f t="shared" si="445"/>
        <v>00</v>
      </c>
      <c r="J2330" s="26" t="str">
        <f>"62 "</f>
        <v xml:space="preserve">62 </v>
      </c>
      <c r="K2330" s="26" t="str">
        <f t="shared" si="442"/>
        <v>IZ</v>
      </c>
      <c r="L2330" s="26" t="str">
        <f t="shared" si="443"/>
        <v>DGSEI</v>
      </c>
      <c r="M2330" s="26" t="str">
        <f t="shared" si="439"/>
        <v>PARTICULAR</v>
      </c>
      <c r="N2330" s="26">
        <v>14</v>
      </c>
      <c r="O2330" s="26">
        <v>7</v>
      </c>
      <c r="P2330" s="26">
        <v>7</v>
      </c>
      <c r="Q2330" s="26">
        <v>3</v>
      </c>
      <c r="R2330" s="26">
        <v>1</v>
      </c>
      <c r="S2330" s="26">
        <v>3</v>
      </c>
      <c r="T2330" s="26">
        <v>1</v>
      </c>
      <c r="U2330" s="26">
        <v>5</v>
      </c>
      <c r="V2330" s="26">
        <v>1</v>
      </c>
      <c r="W2330" s="26"/>
    </row>
    <row r="2331" spans="1:23" x14ac:dyDescent="0.25">
      <c r="A2331" s="26" t="str">
        <f t="shared" si="444"/>
        <v>PREESCOLAR</v>
      </c>
      <c r="B2331" s="26" t="str">
        <f>"09PJN4598Z"</f>
        <v>09PJN4598Z</v>
      </c>
      <c r="C2331" s="26" t="str">
        <f>"BATALLON ACTIVO DE SAN BLAS                                                                         "</f>
        <v xml:space="preserve">BATALLON ACTIVO DE SAN BLAS                                                                         </v>
      </c>
      <c r="D2331" s="26" t="str">
        <f t="shared" si="446"/>
        <v>MATUTINO</v>
      </c>
      <c r="E2331" s="26" t="str">
        <f>"ALVARO OBREGON NO. 131 MZ. 5                                                    "</f>
        <v xml:space="preserve">ALVARO OBREGON NO. 131 MZ. 5                                                    </v>
      </c>
      <c r="F2331" s="26" t="str">
        <f>"PROGRESISTA                                                                                                                                 "</f>
        <v xml:space="preserve">PROGRESISTA                                                                                                                                 </v>
      </c>
      <c r="G2331" s="26" t="str">
        <f t="shared" si="440"/>
        <v xml:space="preserve">IZTAPALAPA                                                                      </v>
      </c>
      <c r="H2331" s="26" t="str">
        <f t="shared" si="441"/>
        <v>000</v>
      </c>
      <c r="I2331" s="26" t="str">
        <f t="shared" si="445"/>
        <v>00</v>
      </c>
      <c r="J2331" s="26" t="str">
        <f>"62 "</f>
        <v xml:space="preserve">62 </v>
      </c>
      <c r="K2331" s="26" t="str">
        <f t="shared" si="442"/>
        <v>IZ</v>
      </c>
      <c r="L2331" s="26" t="str">
        <f t="shared" si="443"/>
        <v>DGSEI</v>
      </c>
      <c r="M2331" s="26" t="str">
        <f t="shared" si="439"/>
        <v>PARTICULAR</v>
      </c>
      <c r="N2331" s="26">
        <v>9</v>
      </c>
      <c r="O2331" s="26">
        <v>5</v>
      </c>
      <c r="P2331" s="26">
        <v>4</v>
      </c>
      <c r="Q2331" s="26">
        <v>3</v>
      </c>
      <c r="R2331" s="26">
        <v>1</v>
      </c>
      <c r="S2331" s="26">
        <v>1</v>
      </c>
      <c r="T2331" s="26">
        <v>1</v>
      </c>
      <c r="U2331" s="26">
        <v>3</v>
      </c>
      <c r="V2331" s="26">
        <v>1</v>
      </c>
      <c r="W2331" s="26"/>
    </row>
    <row r="2332" spans="1:23" x14ac:dyDescent="0.25">
      <c r="A2332" s="26" t="str">
        <f t="shared" si="444"/>
        <v>PREESCOLAR</v>
      </c>
      <c r="B2332" s="26" t="str">
        <f>"09PJN4599Z"</f>
        <v>09PJN4599Z</v>
      </c>
      <c r="C2332" s="26" t="str">
        <f>"INSTITUTO JACK LONDON                                                                               "</f>
        <v xml:space="preserve">INSTITUTO JACK LONDON                                                                               </v>
      </c>
      <c r="D2332" s="26" t="str">
        <f t="shared" si="446"/>
        <v>MATUTINO</v>
      </c>
      <c r="E2332" s="26" t="str">
        <f>"TORDESILLAS MZ. 44 LT. 2                                                        "</f>
        <v xml:space="preserve">TORDESILLAS MZ. 44 LT. 2                                                        </v>
      </c>
      <c r="F2332" s="26" t="str">
        <f>"SAN JUAN XALPA                                                                                                                              "</f>
        <v xml:space="preserve">SAN JUAN XALPA                                                                                                                              </v>
      </c>
      <c r="G2332" s="26" t="str">
        <f t="shared" si="440"/>
        <v xml:space="preserve">IZTAPALAPA                                                                      </v>
      </c>
      <c r="H2332" s="26" t="str">
        <f t="shared" si="441"/>
        <v>000</v>
      </c>
      <c r="I2332" s="26" t="str">
        <f t="shared" si="445"/>
        <v>00</v>
      </c>
      <c r="J2332" s="26" t="str">
        <f>"63 "</f>
        <v xml:space="preserve">63 </v>
      </c>
      <c r="K2332" s="26" t="str">
        <f t="shared" si="442"/>
        <v>IZ</v>
      </c>
      <c r="L2332" s="26" t="str">
        <f t="shared" si="443"/>
        <v>DGSEI</v>
      </c>
      <c r="M2332" s="26" t="str">
        <f t="shared" si="439"/>
        <v>PARTICULAR</v>
      </c>
      <c r="N2332" s="26">
        <v>43</v>
      </c>
      <c r="O2332" s="26">
        <v>22</v>
      </c>
      <c r="P2332" s="26">
        <v>21</v>
      </c>
      <c r="Q2332" s="26">
        <v>3</v>
      </c>
      <c r="R2332" s="26">
        <v>1</v>
      </c>
      <c r="S2332" s="26">
        <v>2</v>
      </c>
      <c r="T2332" s="26">
        <v>5</v>
      </c>
      <c r="U2332" s="26">
        <v>8</v>
      </c>
      <c r="V2332" s="26">
        <v>1</v>
      </c>
      <c r="W2332" s="26"/>
    </row>
    <row r="2333" spans="1:23" x14ac:dyDescent="0.25">
      <c r="A2333" s="26" t="str">
        <f t="shared" si="444"/>
        <v>PREESCOLAR</v>
      </c>
      <c r="B2333" s="26" t="str">
        <f>"09PJN4602W"</f>
        <v>09PJN4602W</v>
      </c>
      <c r="C2333" s="26" t="str">
        <f>"COLEGIO ACHTLI                                                                                      "</f>
        <v xml:space="preserve">COLEGIO ACHTLI                                                                                      </v>
      </c>
      <c r="D2333" s="26" t="str">
        <f t="shared" si="446"/>
        <v>MATUTINO</v>
      </c>
      <c r="E2333" s="26" t="str">
        <f>"CANAL DE RIO CHURUBUSCO NO. 1715 ESQUINA RIO SOTO LA MARINA                     "</f>
        <v xml:space="preserve">CANAL DE RIO CHURUBUSCO NO. 1715 ESQUINA RIO SOTO LA MARINA                     </v>
      </c>
      <c r="F2333" s="26" t="str">
        <f>"PASEOS DE CHURUBUSCO                                                                                                                        "</f>
        <v xml:space="preserve">PASEOS DE CHURUBUSCO                                                                                                                        </v>
      </c>
      <c r="G2333" s="26" t="str">
        <f t="shared" si="440"/>
        <v xml:space="preserve">IZTAPALAPA                                                                      </v>
      </c>
      <c r="H2333" s="26" t="str">
        <f t="shared" si="441"/>
        <v>000</v>
      </c>
      <c r="I2333" s="26" t="str">
        <f t="shared" si="445"/>
        <v>00</v>
      </c>
      <c r="J2333" s="26" t="str">
        <f>"61 "</f>
        <v xml:space="preserve">61 </v>
      </c>
      <c r="K2333" s="26" t="str">
        <f t="shared" si="442"/>
        <v>IZ</v>
      </c>
      <c r="L2333" s="26" t="str">
        <f t="shared" si="443"/>
        <v>DGSEI</v>
      </c>
      <c r="M2333" s="26" t="str">
        <f t="shared" si="439"/>
        <v>PARTICULAR</v>
      </c>
      <c r="N2333" s="26">
        <v>49</v>
      </c>
      <c r="O2333" s="26">
        <v>24</v>
      </c>
      <c r="P2333" s="26">
        <v>25</v>
      </c>
      <c r="Q2333" s="26">
        <v>3</v>
      </c>
      <c r="R2333" s="26">
        <v>1</v>
      </c>
      <c r="S2333" s="26">
        <v>2</v>
      </c>
      <c r="T2333" s="26">
        <v>4</v>
      </c>
      <c r="U2333" s="26">
        <v>7</v>
      </c>
      <c r="V2333" s="26">
        <v>1</v>
      </c>
      <c r="W2333" s="26"/>
    </row>
    <row r="2334" spans="1:23" x14ac:dyDescent="0.25">
      <c r="A2334" s="26" t="str">
        <f t="shared" si="444"/>
        <v>PREESCOLAR</v>
      </c>
      <c r="B2334" s="26" t="str">
        <f>"09PJN4603V"</f>
        <v>09PJN4603V</v>
      </c>
      <c r="C2334" s="26" t="str">
        <f>"BABIES GYM                                                                                          "</f>
        <v xml:space="preserve">BABIES GYM                                                                                          </v>
      </c>
      <c r="D2334" s="26" t="str">
        <f t="shared" si="446"/>
        <v>MATUTINO</v>
      </c>
      <c r="E2334" s="26" t="str">
        <f>"AV. RIO MAYO NO. 95                                                             "</f>
        <v xml:space="preserve">AV. RIO MAYO NO. 95                                                             </v>
      </c>
      <c r="F2334" s="26" t="str">
        <f>"PASEOS DE CHURUBUSCO                                                                                                                        "</f>
        <v xml:space="preserve">PASEOS DE CHURUBUSCO                                                                                                                        </v>
      </c>
      <c r="G2334" s="26" t="str">
        <f t="shared" si="440"/>
        <v xml:space="preserve">IZTAPALAPA                                                                      </v>
      </c>
      <c r="H2334" s="26" t="str">
        <f t="shared" si="441"/>
        <v>000</v>
      </c>
      <c r="I2334" s="26" t="str">
        <f t="shared" si="445"/>
        <v>00</v>
      </c>
      <c r="J2334" s="26" t="str">
        <f>"61 "</f>
        <v xml:space="preserve">61 </v>
      </c>
      <c r="K2334" s="26" t="str">
        <f t="shared" si="442"/>
        <v>IZ</v>
      </c>
      <c r="L2334" s="26" t="str">
        <f t="shared" si="443"/>
        <v>DGSEI</v>
      </c>
      <c r="M2334" s="26" t="str">
        <f t="shared" si="439"/>
        <v>PARTICULAR</v>
      </c>
      <c r="N2334" s="26">
        <v>33</v>
      </c>
      <c r="O2334" s="26">
        <v>16</v>
      </c>
      <c r="P2334" s="26">
        <v>17</v>
      </c>
      <c r="Q2334" s="26">
        <v>3</v>
      </c>
      <c r="R2334" s="26">
        <v>1</v>
      </c>
      <c r="S2334" s="26">
        <v>1</v>
      </c>
      <c r="T2334" s="26">
        <v>7</v>
      </c>
      <c r="U2334" s="26">
        <v>9</v>
      </c>
      <c r="V2334" s="26">
        <v>1</v>
      </c>
      <c r="W2334" s="26"/>
    </row>
    <row r="2335" spans="1:23" x14ac:dyDescent="0.25">
      <c r="A2335" s="26" t="str">
        <f t="shared" si="444"/>
        <v>PREESCOLAR</v>
      </c>
      <c r="B2335" s="26" t="str">
        <f>"09PJN4604U"</f>
        <v>09PJN4604U</v>
      </c>
      <c r="C2335" s="26" t="str">
        <f>"JARDIN DE NIÑOS NUEVO MILENIO                                                                       "</f>
        <v xml:space="preserve">JARDIN DE NIÑOS NUEVO MILENIO                                                                       </v>
      </c>
      <c r="D2335" s="26" t="str">
        <f t="shared" si="446"/>
        <v>MATUTINO</v>
      </c>
      <c r="E2335" s="26" t="str">
        <f>"AND. 2 DARIO FERNANDEZ Z.6 MZ.27 LT.33-B                                        "</f>
        <v xml:space="preserve">AND. 2 DARIO FERNANDEZ Z.6 MZ.27 LT.33-B                                        </v>
      </c>
      <c r="F2335" s="26" t="str">
        <f>"CUAUTEPEC BARRIO ALTO                                                                                                                       "</f>
        <v xml:space="preserve">CUAUTEPEC BARRIO ALTO                                                                                                                       </v>
      </c>
      <c r="G2335" s="26" t="str">
        <f>"GUSTAVO A. MADERO                                                               "</f>
        <v xml:space="preserve">GUSTAVO A. MADERO                                                               </v>
      </c>
      <c r="H2335" s="26" t="str">
        <f>"227"</f>
        <v>227</v>
      </c>
      <c r="I2335" s="26" t="str">
        <f t="shared" si="445"/>
        <v>00</v>
      </c>
      <c r="J2335" s="26" t="str">
        <f>"32 "</f>
        <v xml:space="preserve">32 </v>
      </c>
      <c r="K2335" s="26" t="str">
        <f t="shared" ref="K2335:K2355" si="447">"EP"</f>
        <v>EP</v>
      </c>
      <c r="L2335" s="26" t="str">
        <f t="shared" ref="L2335:L2355" si="448">"DGOSE"</f>
        <v>DGOSE</v>
      </c>
      <c r="M2335" s="26" t="str">
        <f t="shared" si="439"/>
        <v>PARTICULAR</v>
      </c>
      <c r="N2335" s="26">
        <v>20</v>
      </c>
      <c r="O2335" s="26">
        <v>14</v>
      </c>
      <c r="P2335" s="26">
        <v>6</v>
      </c>
      <c r="Q2335" s="26">
        <v>2</v>
      </c>
      <c r="R2335" s="26">
        <v>1</v>
      </c>
      <c r="S2335" s="26">
        <v>2</v>
      </c>
      <c r="T2335" s="26">
        <v>5</v>
      </c>
      <c r="U2335" s="26">
        <v>8</v>
      </c>
      <c r="V2335" s="26">
        <v>1</v>
      </c>
      <c r="W2335" s="26"/>
    </row>
    <row r="2336" spans="1:23" x14ac:dyDescent="0.25">
      <c r="A2336" s="26" t="str">
        <f t="shared" si="444"/>
        <v>PREESCOLAR</v>
      </c>
      <c r="B2336" s="26" t="str">
        <f>"09PJN4605T"</f>
        <v>09PJN4605T</v>
      </c>
      <c r="C2336" s="26" t="str">
        <f>"GUARDERIA INFANTIL ING. G. HUGO BECKMAN                                                             "</f>
        <v xml:space="preserve">GUARDERIA INFANTIL ING. G. HUGO BECKMAN                                                             </v>
      </c>
      <c r="D2336" s="26" t="str">
        <f t="shared" si="446"/>
        <v>MATUTINO</v>
      </c>
      <c r="E2336" s="26" t="str">
        <f>"FRANCISCO PIMENTEL NO. 92                                                       "</f>
        <v xml:space="preserve">FRANCISCO PIMENTEL NO. 92                                                       </v>
      </c>
      <c r="F2336" s="26" t="str">
        <f>"SAN RAFAEL                                                                                                                                  "</f>
        <v xml:space="preserve">SAN RAFAEL                                                                                                                                  </v>
      </c>
      <c r="G2336" s="26" t="s">
        <v>4128</v>
      </c>
      <c r="H2336" s="26" t="str">
        <f>"057"</f>
        <v>057</v>
      </c>
      <c r="I2336" s="26" t="str">
        <f t="shared" si="445"/>
        <v>00</v>
      </c>
      <c r="J2336" s="26" t="str">
        <f>"32 "</f>
        <v xml:space="preserve">32 </v>
      </c>
      <c r="K2336" s="26" t="str">
        <f t="shared" si="447"/>
        <v>EP</v>
      </c>
      <c r="L2336" s="26" t="str">
        <f t="shared" si="448"/>
        <v>DGOSE</v>
      </c>
      <c r="M2336" s="26" t="str">
        <f t="shared" si="439"/>
        <v>PARTICULAR</v>
      </c>
      <c r="N2336" s="26">
        <v>90</v>
      </c>
      <c r="O2336" s="26">
        <v>46</v>
      </c>
      <c r="P2336" s="26">
        <v>44</v>
      </c>
      <c r="Q2336" s="26">
        <v>5</v>
      </c>
      <c r="R2336" s="26">
        <v>1</v>
      </c>
      <c r="S2336" s="26">
        <v>5</v>
      </c>
      <c r="T2336" s="26">
        <v>1</v>
      </c>
      <c r="U2336" s="26">
        <v>7</v>
      </c>
      <c r="V2336" s="26">
        <v>1</v>
      </c>
      <c r="W2336" s="26"/>
    </row>
    <row r="2337" spans="1:23" x14ac:dyDescent="0.25">
      <c r="A2337" s="26" t="str">
        <f t="shared" si="444"/>
        <v>PREESCOLAR</v>
      </c>
      <c r="B2337" s="26" t="str">
        <f>"09PJN4606S"</f>
        <v>09PJN4606S</v>
      </c>
      <c r="C2337" s="26" t="str">
        <f>"COLEGIO CARLOS PELLICER                                                                             "</f>
        <v xml:space="preserve">COLEGIO CARLOS PELLICER                                                                             </v>
      </c>
      <c r="D2337" s="26" t="str">
        <f t="shared" si="446"/>
        <v>MATUTINO</v>
      </c>
      <c r="E2337" s="26" t="str">
        <f>"AQUILES SERDAN NO. 421                                                          "</f>
        <v xml:space="preserve">AQUILES SERDAN NO. 421                                                          </v>
      </c>
      <c r="F2337" s="26" t="str">
        <f>"QUIRINO MENDOZA                                                                                                                             "</f>
        <v xml:space="preserve">QUIRINO MENDOZA                                                                                                                             </v>
      </c>
      <c r="G2337" s="26" t="str">
        <f>"XOCHIMILCO                                                                      "</f>
        <v xml:space="preserve">XOCHIMILCO                                                                      </v>
      </c>
      <c r="H2337" s="26" t="str">
        <f>"104"</f>
        <v>104</v>
      </c>
      <c r="I2337" s="26" t="str">
        <f t="shared" si="445"/>
        <v>00</v>
      </c>
      <c r="J2337" s="26" t="str">
        <f>"35 "</f>
        <v xml:space="preserve">35 </v>
      </c>
      <c r="K2337" s="26" t="str">
        <f t="shared" si="447"/>
        <v>EP</v>
      </c>
      <c r="L2337" s="26" t="str">
        <f t="shared" si="448"/>
        <v>DGOSE</v>
      </c>
      <c r="M2337" s="26" t="str">
        <f t="shared" si="439"/>
        <v>PARTICULAR</v>
      </c>
      <c r="N2337" s="26">
        <v>13</v>
      </c>
      <c r="O2337" s="26">
        <v>7</v>
      </c>
      <c r="P2337" s="26">
        <v>6</v>
      </c>
      <c r="Q2337" s="26">
        <v>3</v>
      </c>
      <c r="R2337" s="26">
        <v>1</v>
      </c>
      <c r="S2337" s="26">
        <v>3</v>
      </c>
      <c r="T2337" s="26">
        <v>3</v>
      </c>
      <c r="U2337" s="26">
        <v>7</v>
      </c>
      <c r="V2337" s="26">
        <v>1</v>
      </c>
      <c r="W2337" s="26"/>
    </row>
    <row r="2338" spans="1:23" x14ac:dyDescent="0.25">
      <c r="A2338" s="26" t="str">
        <f t="shared" si="444"/>
        <v>PREESCOLAR</v>
      </c>
      <c r="B2338" s="26" t="str">
        <f>"09PJN4607R"</f>
        <v>09PJN4607R</v>
      </c>
      <c r="C2338" s="26" t="str">
        <f>"ENGLISH LAND SCHOOL                                                                                 "</f>
        <v xml:space="preserve">ENGLISH LAND SCHOOL                                                                                 </v>
      </c>
      <c r="D2338" s="26" t="str">
        <f t="shared" si="446"/>
        <v>MATUTINO</v>
      </c>
      <c r="E2338" s="26" t="str">
        <f>"OSA MENOR NO. 77                                                                "</f>
        <v xml:space="preserve">OSA MENOR NO. 77                                                                </v>
      </c>
      <c r="F2338" s="26" t="str">
        <f>"PRADO CHURUBUSCO                                                                                                                            "</f>
        <v xml:space="preserve">PRADO CHURUBUSCO                                                                                                                            </v>
      </c>
      <c r="G2338" s="26" t="str">
        <f>"COYOACAN                                                                        "</f>
        <v xml:space="preserve">COYOACAN                                                                        </v>
      </c>
      <c r="H2338" s="26" t="str">
        <f>"043"</f>
        <v>043</v>
      </c>
      <c r="I2338" s="26" t="str">
        <f t="shared" si="445"/>
        <v>00</v>
      </c>
      <c r="J2338" s="26" t="str">
        <f>"35 "</f>
        <v xml:space="preserve">35 </v>
      </c>
      <c r="K2338" s="26" t="str">
        <f t="shared" si="447"/>
        <v>EP</v>
      </c>
      <c r="L2338" s="26" t="str">
        <f t="shared" si="448"/>
        <v>DGOSE</v>
      </c>
      <c r="M2338" s="26" t="str">
        <f t="shared" si="439"/>
        <v>PARTICULAR</v>
      </c>
      <c r="N2338" s="26">
        <v>12</v>
      </c>
      <c r="O2338" s="26">
        <v>7</v>
      </c>
      <c r="P2338" s="26">
        <v>5</v>
      </c>
      <c r="Q2338" s="26">
        <v>2</v>
      </c>
      <c r="R2338" s="26">
        <v>1</v>
      </c>
      <c r="S2338" s="26">
        <v>1</v>
      </c>
      <c r="T2338" s="26">
        <v>3</v>
      </c>
      <c r="U2338" s="26">
        <v>5</v>
      </c>
      <c r="V2338" s="26">
        <v>1</v>
      </c>
      <c r="W2338" s="26"/>
    </row>
    <row r="2339" spans="1:23" x14ac:dyDescent="0.25">
      <c r="A2339" s="26" t="str">
        <f t="shared" si="444"/>
        <v>PREESCOLAR</v>
      </c>
      <c r="B2339" s="26" t="str">
        <f>"09PJN4608Q"</f>
        <v>09PJN4608Q</v>
      </c>
      <c r="C2339" s="26" t="str">
        <f>"PREESCOLAR BOSCO                                                                                    "</f>
        <v xml:space="preserve">PREESCOLAR BOSCO                                                                                    </v>
      </c>
      <c r="D2339" s="26" t="str">
        <f t="shared" si="446"/>
        <v>MATUTINO</v>
      </c>
      <c r="E2339" s="26" t="str">
        <f>"MALITZIN NO. 23                                                                 "</f>
        <v xml:space="preserve">MALITZIN NO. 23                                                                 </v>
      </c>
      <c r="F2339" s="26" t="str">
        <f>"PORTALES                                                                                                                                    "</f>
        <v xml:space="preserve">PORTALES                                                                                                                                    </v>
      </c>
      <c r="G2339" s="26" t="str">
        <f>"BENITO JUAREZ                                                                   "</f>
        <v xml:space="preserve">BENITO JUAREZ                                                                   </v>
      </c>
      <c r="H2339" s="26" t="str">
        <f>"090"</f>
        <v>090</v>
      </c>
      <c r="I2339" s="26" t="str">
        <f t="shared" si="445"/>
        <v>00</v>
      </c>
      <c r="J2339" s="26" t="str">
        <f>"33 "</f>
        <v xml:space="preserve">33 </v>
      </c>
      <c r="K2339" s="26" t="str">
        <f t="shared" si="447"/>
        <v>EP</v>
      </c>
      <c r="L2339" s="26" t="str">
        <f t="shared" si="448"/>
        <v>DGOSE</v>
      </c>
      <c r="M2339" s="26" t="str">
        <f t="shared" si="439"/>
        <v>PARTICULAR</v>
      </c>
      <c r="N2339" s="26">
        <v>17</v>
      </c>
      <c r="O2339" s="26">
        <v>12</v>
      </c>
      <c r="P2339" s="26">
        <v>5</v>
      </c>
      <c r="Q2339" s="26">
        <v>3</v>
      </c>
      <c r="R2339" s="26">
        <v>1</v>
      </c>
      <c r="S2339" s="26">
        <v>2</v>
      </c>
      <c r="T2339" s="26">
        <v>2</v>
      </c>
      <c r="U2339" s="26">
        <v>5</v>
      </c>
      <c r="V2339" s="26">
        <v>1</v>
      </c>
      <c r="W2339" s="26"/>
    </row>
    <row r="2340" spans="1:23" x14ac:dyDescent="0.25">
      <c r="A2340" s="26" t="str">
        <f t="shared" si="444"/>
        <v>PREESCOLAR</v>
      </c>
      <c r="B2340" s="26" t="str">
        <f>"09PJN4611D"</f>
        <v>09PJN4611D</v>
      </c>
      <c r="C2340" s="26" t="str">
        <f>"JARDIN DE NIÑOS PALLARES                                                                            "</f>
        <v xml:space="preserve">JARDIN DE NIÑOS PALLARES                                                                            </v>
      </c>
      <c r="D2340" s="26" t="str">
        <f t="shared" si="446"/>
        <v>MATUTINO</v>
      </c>
      <c r="E2340" s="26" t="str">
        <f>"ANENECUILCO NO. 3608                                                            "</f>
        <v xml:space="preserve">ANENECUILCO NO. 3608                                                            </v>
      </c>
      <c r="F2340" s="26" t="str">
        <f>"SAN FELIPE DE JESUS                                                                                                                         "</f>
        <v xml:space="preserve">SAN FELIPE DE JESUS                                                                                                                         </v>
      </c>
      <c r="G2340" s="26" t="str">
        <f>"GUSTAVO A. MADERO                                                               "</f>
        <v xml:space="preserve">GUSTAVO A. MADERO                                                               </v>
      </c>
      <c r="H2340" s="26" t="str">
        <f>"191"</f>
        <v>191</v>
      </c>
      <c r="I2340" s="26" t="str">
        <f t="shared" si="445"/>
        <v>00</v>
      </c>
      <c r="J2340" s="26" t="str">
        <f>"32 "</f>
        <v xml:space="preserve">32 </v>
      </c>
      <c r="K2340" s="26" t="str">
        <f t="shared" si="447"/>
        <v>EP</v>
      </c>
      <c r="L2340" s="26" t="str">
        <f t="shared" si="448"/>
        <v>DGOSE</v>
      </c>
      <c r="M2340" s="26" t="str">
        <f t="shared" si="439"/>
        <v>PARTICULAR</v>
      </c>
      <c r="N2340" s="26">
        <v>12</v>
      </c>
      <c r="O2340" s="26">
        <v>7</v>
      </c>
      <c r="P2340" s="26">
        <v>5</v>
      </c>
      <c r="Q2340" s="26">
        <v>3</v>
      </c>
      <c r="R2340" s="26">
        <v>1</v>
      </c>
      <c r="S2340" s="26">
        <v>2</v>
      </c>
      <c r="T2340" s="26">
        <v>1</v>
      </c>
      <c r="U2340" s="26">
        <v>4</v>
      </c>
      <c r="V2340" s="26">
        <v>1</v>
      </c>
      <c r="W2340" s="26"/>
    </row>
    <row r="2341" spans="1:23" x14ac:dyDescent="0.25">
      <c r="A2341" s="26" t="str">
        <f t="shared" si="444"/>
        <v>PREESCOLAR</v>
      </c>
      <c r="B2341" s="26" t="str">
        <f>"09PJN4612C"</f>
        <v>09PJN4612C</v>
      </c>
      <c r="C2341" s="26" t="str">
        <f>"JOSE ANTONIO PLANCARTE                                                                              "</f>
        <v xml:space="preserve">JOSE ANTONIO PLANCARTE                                                                              </v>
      </c>
      <c r="D2341" s="26" t="str">
        <f t="shared" si="446"/>
        <v>MATUTINO</v>
      </c>
      <c r="E2341" s="26" t="str">
        <f>"AV. TALARA NO. 187                                                              "</f>
        <v xml:space="preserve">AV. TALARA NO. 187                                                              </v>
      </c>
      <c r="F2341" s="26" t="str">
        <f>"TEPEYAC INSURGENTES                                                                                                                         "</f>
        <v xml:space="preserve">TEPEYAC INSURGENTES                                                                                                                         </v>
      </c>
      <c r="G2341" s="26" t="str">
        <f>"GUSTAVO A. MADERO                                                               "</f>
        <v xml:space="preserve">GUSTAVO A. MADERO                                                               </v>
      </c>
      <c r="H2341" s="26" t="str">
        <f>"227"</f>
        <v>227</v>
      </c>
      <c r="I2341" s="26" t="str">
        <f t="shared" si="445"/>
        <v>00</v>
      </c>
      <c r="J2341" s="26" t="str">
        <f>"32 "</f>
        <v xml:space="preserve">32 </v>
      </c>
      <c r="K2341" s="26" t="str">
        <f t="shared" si="447"/>
        <v>EP</v>
      </c>
      <c r="L2341" s="26" t="str">
        <f t="shared" si="448"/>
        <v>DGOSE</v>
      </c>
      <c r="M2341" s="26" t="str">
        <f t="shared" si="439"/>
        <v>PARTICULAR</v>
      </c>
      <c r="N2341" s="26">
        <v>20</v>
      </c>
      <c r="O2341" s="26">
        <v>6</v>
      </c>
      <c r="P2341" s="26">
        <v>14</v>
      </c>
      <c r="Q2341" s="26">
        <v>3</v>
      </c>
      <c r="R2341" s="26">
        <v>1</v>
      </c>
      <c r="S2341" s="26">
        <v>3</v>
      </c>
      <c r="T2341" s="26">
        <v>0</v>
      </c>
      <c r="U2341" s="26">
        <v>4</v>
      </c>
      <c r="V2341" s="26">
        <v>1</v>
      </c>
      <c r="W2341" s="26"/>
    </row>
    <row r="2342" spans="1:23" x14ac:dyDescent="0.25">
      <c r="A2342" s="26" t="str">
        <f t="shared" si="444"/>
        <v>PREESCOLAR</v>
      </c>
      <c r="B2342" s="26" t="str">
        <f>"09PJN4613B"</f>
        <v>09PJN4613B</v>
      </c>
      <c r="C2342" s="26" t="str">
        <f>"INSTITUTO ARISTIDES QUILLET                                                                         "</f>
        <v xml:space="preserve">INSTITUTO ARISTIDES QUILLET                                                                         </v>
      </c>
      <c r="D2342" s="26" t="str">
        <f t="shared" si="446"/>
        <v>MATUTINO</v>
      </c>
      <c r="E2342" s="26" t="str">
        <f>"CALZADA SANTA ANITA NO. 279                                                     "</f>
        <v xml:space="preserve">CALZADA SANTA ANITA NO. 279                                                     </v>
      </c>
      <c r="F2342" s="26" t="str">
        <f>"VIADUCTO PIEDAD                                                                                                                             "</f>
        <v xml:space="preserve">VIADUCTO PIEDAD                                                                                                                             </v>
      </c>
      <c r="G2342" s="26" t="str">
        <f>"IZTACALCO                                                                       "</f>
        <v xml:space="preserve">IZTACALCO                                                                       </v>
      </c>
      <c r="H2342" s="26" t="str">
        <f>"027"</f>
        <v>027</v>
      </c>
      <c r="I2342" s="26" t="str">
        <f t="shared" si="445"/>
        <v>00</v>
      </c>
      <c r="J2342" s="26" t="str">
        <f>"33 "</f>
        <v xml:space="preserve">33 </v>
      </c>
      <c r="K2342" s="26" t="str">
        <f t="shared" si="447"/>
        <v>EP</v>
      </c>
      <c r="L2342" s="26" t="str">
        <f t="shared" si="448"/>
        <v>DGOSE</v>
      </c>
      <c r="M2342" s="26" t="str">
        <f t="shared" si="439"/>
        <v>PARTICULAR</v>
      </c>
      <c r="N2342" s="26">
        <v>46</v>
      </c>
      <c r="O2342" s="26">
        <v>30</v>
      </c>
      <c r="P2342" s="26">
        <v>16</v>
      </c>
      <c r="Q2342" s="26">
        <v>3</v>
      </c>
      <c r="R2342" s="26">
        <v>1</v>
      </c>
      <c r="S2342" s="26">
        <v>3</v>
      </c>
      <c r="T2342" s="26">
        <v>2</v>
      </c>
      <c r="U2342" s="26">
        <v>6</v>
      </c>
      <c r="V2342" s="26">
        <v>1</v>
      </c>
      <c r="W2342" s="26"/>
    </row>
    <row r="2343" spans="1:23" x14ac:dyDescent="0.25">
      <c r="A2343" s="26" t="str">
        <f t="shared" si="444"/>
        <v>PREESCOLAR</v>
      </c>
      <c r="B2343" s="26" t="str">
        <f>"09PJN4614A"</f>
        <v>09PJN4614A</v>
      </c>
      <c r="C2343" s="26" t="str">
        <f>"JARDIN DE NIÑOS HISPANO AMERICANO                                                                   "</f>
        <v xml:space="preserve">JARDIN DE NIÑOS HISPANO AMERICANO                                                                   </v>
      </c>
      <c r="D2343" s="26" t="str">
        <f t="shared" si="446"/>
        <v>MATUTINO</v>
      </c>
      <c r="E2343" s="26" t="str">
        <f>"JAIME TORRES BODET NO. 94                                                       "</f>
        <v xml:space="preserve">JAIME TORRES BODET NO. 94                                                       </v>
      </c>
      <c r="F2343" s="26" t="str">
        <f>"SANTA MARIA LA RIBERA                                                                                                                       "</f>
        <v xml:space="preserve">SANTA MARIA LA RIBERA                                                                                                                       </v>
      </c>
      <c r="G2343" s="26" t="s">
        <v>4128</v>
      </c>
      <c r="H2343" s="26" t="str">
        <f>"205"</f>
        <v>205</v>
      </c>
      <c r="I2343" s="26" t="str">
        <f t="shared" si="445"/>
        <v>00</v>
      </c>
      <c r="J2343" s="26" t="str">
        <f>"32 "</f>
        <v xml:space="preserve">32 </v>
      </c>
      <c r="K2343" s="26" t="str">
        <f t="shared" si="447"/>
        <v>EP</v>
      </c>
      <c r="L2343" s="26" t="str">
        <f t="shared" si="448"/>
        <v>DGOSE</v>
      </c>
      <c r="M2343" s="26" t="str">
        <f t="shared" si="439"/>
        <v>PARTICULAR</v>
      </c>
      <c r="N2343" s="26">
        <v>87</v>
      </c>
      <c r="O2343" s="26">
        <v>38</v>
      </c>
      <c r="P2343" s="26">
        <v>49</v>
      </c>
      <c r="Q2343" s="26">
        <v>3</v>
      </c>
      <c r="R2343" s="26">
        <v>1</v>
      </c>
      <c r="S2343" s="26">
        <v>3</v>
      </c>
      <c r="T2343" s="26">
        <v>10</v>
      </c>
      <c r="U2343" s="26">
        <v>14</v>
      </c>
      <c r="V2343" s="26">
        <v>1</v>
      </c>
      <c r="W2343" s="26"/>
    </row>
    <row r="2344" spans="1:23" x14ac:dyDescent="0.25">
      <c r="A2344" s="26" t="str">
        <f t="shared" si="444"/>
        <v>PREESCOLAR</v>
      </c>
      <c r="B2344" s="26" t="str">
        <f>"09PJN4615Z"</f>
        <v>09PJN4615Z</v>
      </c>
      <c r="C2344" s="26" t="str">
        <f>"COLEGIO PEDAGOGICO ABC                                                                              "</f>
        <v xml:space="preserve">COLEGIO PEDAGOGICO ABC                                                                              </v>
      </c>
      <c r="D2344" s="26" t="str">
        <f t="shared" si="446"/>
        <v>MATUTINO</v>
      </c>
      <c r="E2344" s="26" t="str">
        <f>"PRIVADA INDEPENDENCIA  NO. 19                                                   "</f>
        <v xml:space="preserve">PRIVADA INDEPENDENCIA  NO. 19                                                   </v>
      </c>
      <c r="F2344" s="26" t="str">
        <f>"SAN NICOLAS TOTOLAPAN                                                                                                                       "</f>
        <v xml:space="preserve">SAN NICOLAS TOTOLAPAN                                                                                                                       </v>
      </c>
      <c r="G2344" s="26" t="str">
        <f>"LA MAGDALENA CONTRERAS                                                          "</f>
        <v xml:space="preserve">LA MAGDALENA CONTRERAS                                                          </v>
      </c>
      <c r="H2344" s="26" t="str">
        <f>"113"</f>
        <v>113</v>
      </c>
      <c r="I2344" s="26" t="str">
        <f t="shared" si="445"/>
        <v>00</v>
      </c>
      <c r="J2344" s="26" t="str">
        <f t="shared" ref="J2344:J2349" si="449">"35 "</f>
        <v xml:space="preserve">35 </v>
      </c>
      <c r="K2344" s="26" t="str">
        <f t="shared" si="447"/>
        <v>EP</v>
      </c>
      <c r="L2344" s="26" t="str">
        <f t="shared" si="448"/>
        <v>DGOSE</v>
      </c>
      <c r="M2344" s="26" t="str">
        <f t="shared" si="439"/>
        <v>PARTICULAR</v>
      </c>
      <c r="N2344" s="26">
        <v>22</v>
      </c>
      <c r="O2344" s="26">
        <v>11</v>
      </c>
      <c r="P2344" s="26">
        <v>11</v>
      </c>
      <c r="Q2344" s="26">
        <v>3</v>
      </c>
      <c r="R2344" s="26">
        <v>1</v>
      </c>
      <c r="S2344" s="26">
        <v>3</v>
      </c>
      <c r="T2344" s="26">
        <v>3</v>
      </c>
      <c r="U2344" s="26">
        <v>7</v>
      </c>
      <c r="V2344" s="26">
        <v>1</v>
      </c>
      <c r="W2344" s="26"/>
    </row>
    <row r="2345" spans="1:23" x14ac:dyDescent="0.25">
      <c r="A2345" s="26" t="str">
        <f t="shared" si="444"/>
        <v>PREESCOLAR</v>
      </c>
      <c r="B2345" s="26" t="str">
        <f>"09PJN4617Y"</f>
        <v>09PJN4617Y</v>
      </c>
      <c r="C2345" s="26" t="str">
        <f>"INSTITUTO FIRLEFANZ                                                                                 "</f>
        <v xml:space="preserve">INSTITUTO FIRLEFANZ                                                                                 </v>
      </c>
      <c r="D2345" s="26" t="str">
        <f t="shared" si="446"/>
        <v>MATUTINO</v>
      </c>
      <c r="E2345" s="26" t="str">
        <f>"ESTRELLA CEFEIDA NO. 101                                                        "</f>
        <v xml:space="preserve">ESTRELLA CEFEIDA NO. 101                                                        </v>
      </c>
      <c r="F2345" s="26" t="str">
        <f>"ESPARTACO                                                                                                                                   "</f>
        <v xml:space="preserve">ESPARTACO                                                                                                                                   </v>
      </c>
      <c r="G2345" s="26" t="str">
        <f>"COYOACAN                                                                        "</f>
        <v xml:space="preserve">COYOACAN                                                                        </v>
      </c>
      <c r="H2345" s="26" t="str">
        <f>"239"</f>
        <v>239</v>
      </c>
      <c r="I2345" s="26" t="str">
        <f t="shared" si="445"/>
        <v>00</v>
      </c>
      <c r="J2345" s="26" t="str">
        <f t="shared" si="449"/>
        <v xml:space="preserve">35 </v>
      </c>
      <c r="K2345" s="26" t="str">
        <f t="shared" si="447"/>
        <v>EP</v>
      </c>
      <c r="L2345" s="26" t="str">
        <f t="shared" si="448"/>
        <v>DGOSE</v>
      </c>
      <c r="M2345" s="26" t="str">
        <f t="shared" si="439"/>
        <v>PARTICULAR</v>
      </c>
      <c r="N2345" s="26">
        <v>15</v>
      </c>
      <c r="O2345" s="26">
        <v>6</v>
      </c>
      <c r="P2345" s="26">
        <v>9</v>
      </c>
      <c r="Q2345" s="26">
        <v>2</v>
      </c>
      <c r="R2345" s="26">
        <v>1</v>
      </c>
      <c r="S2345" s="26">
        <v>2</v>
      </c>
      <c r="T2345" s="26">
        <v>5</v>
      </c>
      <c r="U2345" s="26">
        <v>8</v>
      </c>
      <c r="V2345" s="26">
        <v>1</v>
      </c>
      <c r="W2345" s="26"/>
    </row>
    <row r="2346" spans="1:23" x14ac:dyDescent="0.25">
      <c r="A2346" s="26" t="str">
        <f t="shared" si="444"/>
        <v>PREESCOLAR</v>
      </c>
      <c r="B2346" s="26" t="str">
        <f>"09PJN4618X"</f>
        <v>09PJN4618X</v>
      </c>
      <c r="C2346" s="26" t="str">
        <f>"COLEGIO ALEJANDRO GUILLOT                                                                           "</f>
        <v xml:space="preserve">COLEGIO ALEJANDRO GUILLOT                                                                           </v>
      </c>
      <c r="D2346" s="26" t="str">
        <f t="shared" si="446"/>
        <v>MATUTINO</v>
      </c>
      <c r="E2346" s="26" t="str">
        <f>"SIENA NO. 115                                                                   "</f>
        <v xml:space="preserve">SIENA NO. 115                                                                   </v>
      </c>
      <c r="F2346" s="26" t="str">
        <f>"RESIDENCIAL ACOXPA FRACCIONAMIENTO                                                                                                          "</f>
        <v xml:space="preserve">RESIDENCIAL ACOXPA FRACCIONAMIENTO                                                                                                          </v>
      </c>
      <c r="G2346" s="26" t="str">
        <f>"TLALPAN                                                                         "</f>
        <v xml:space="preserve">TLALPAN                                                                         </v>
      </c>
      <c r="H2346" s="26" t="str">
        <f>"220"</f>
        <v>220</v>
      </c>
      <c r="I2346" s="26" t="str">
        <f t="shared" si="445"/>
        <v>00</v>
      </c>
      <c r="J2346" s="26" t="str">
        <f t="shared" si="449"/>
        <v xml:space="preserve">35 </v>
      </c>
      <c r="K2346" s="26" t="str">
        <f t="shared" si="447"/>
        <v>EP</v>
      </c>
      <c r="L2346" s="26" t="str">
        <f t="shared" si="448"/>
        <v>DGOSE</v>
      </c>
      <c r="M2346" s="26" t="str">
        <f t="shared" si="439"/>
        <v>PARTICULAR</v>
      </c>
      <c r="N2346" s="26">
        <v>49</v>
      </c>
      <c r="O2346" s="26">
        <v>26</v>
      </c>
      <c r="P2346" s="26">
        <v>23</v>
      </c>
      <c r="Q2346" s="26">
        <v>6</v>
      </c>
      <c r="R2346" s="26">
        <v>1</v>
      </c>
      <c r="S2346" s="26">
        <v>3</v>
      </c>
      <c r="T2346" s="26">
        <v>14</v>
      </c>
      <c r="U2346" s="26">
        <v>18</v>
      </c>
      <c r="V2346" s="26">
        <v>1</v>
      </c>
      <c r="W2346" s="26"/>
    </row>
    <row r="2347" spans="1:23" x14ac:dyDescent="0.25">
      <c r="A2347" s="26" t="str">
        <f t="shared" si="444"/>
        <v>PREESCOLAR</v>
      </c>
      <c r="B2347" s="26" t="str">
        <f>"09PJN4619W"</f>
        <v>09PJN4619W</v>
      </c>
      <c r="C2347" s="26" t="str">
        <f>"MUNDO DE LOS NIÑOS                                                                                  "</f>
        <v xml:space="preserve">MUNDO DE LOS NIÑOS                                                                                  </v>
      </c>
      <c r="D2347" s="26" t="str">
        <f t="shared" si="446"/>
        <v>MATUTINO</v>
      </c>
      <c r="E2347" s="26" t="str">
        <f>"CLUB DEPORTIVO AMERICA NO. 58                                                   "</f>
        <v xml:space="preserve">CLUB DEPORTIVO AMERICA NO. 58                                                   </v>
      </c>
      <c r="F2347" s="26" t="str">
        <f>"VILLA LAZARO CARDENAS                                                                                                                       "</f>
        <v xml:space="preserve">VILLA LAZARO CARDENAS                                                                                                                       </v>
      </c>
      <c r="G2347" s="26" t="str">
        <f>"TLALPAN                                                                         "</f>
        <v xml:space="preserve">TLALPAN                                                                         </v>
      </c>
      <c r="H2347" s="26" t="str">
        <f>"276"</f>
        <v>276</v>
      </c>
      <c r="I2347" s="26" t="str">
        <f t="shared" si="445"/>
        <v>00</v>
      </c>
      <c r="J2347" s="26" t="str">
        <f t="shared" si="449"/>
        <v xml:space="preserve">35 </v>
      </c>
      <c r="K2347" s="26" t="str">
        <f t="shared" si="447"/>
        <v>EP</v>
      </c>
      <c r="L2347" s="26" t="str">
        <f t="shared" si="448"/>
        <v>DGOSE</v>
      </c>
      <c r="M2347" s="26" t="str">
        <f t="shared" si="439"/>
        <v>PARTICULAR</v>
      </c>
      <c r="N2347" s="26">
        <v>17</v>
      </c>
      <c r="O2347" s="26">
        <v>8</v>
      </c>
      <c r="P2347" s="26">
        <v>9</v>
      </c>
      <c r="Q2347" s="26">
        <v>3</v>
      </c>
      <c r="R2347" s="26">
        <v>1</v>
      </c>
      <c r="S2347" s="26">
        <v>2</v>
      </c>
      <c r="T2347" s="26">
        <v>2</v>
      </c>
      <c r="U2347" s="26">
        <v>5</v>
      </c>
      <c r="V2347" s="26">
        <v>1</v>
      </c>
      <c r="W2347" s="26"/>
    </row>
    <row r="2348" spans="1:23" x14ac:dyDescent="0.25">
      <c r="A2348" s="26" t="str">
        <f t="shared" si="444"/>
        <v>PREESCOLAR</v>
      </c>
      <c r="B2348" s="26" t="str">
        <f>"09PJN4620L"</f>
        <v>09PJN4620L</v>
      </c>
      <c r="C2348" s="26" t="str">
        <f>"KINDERGYM TEPEPAN                                                                                   "</f>
        <v xml:space="preserve">KINDERGYM TEPEPAN                                                                                   </v>
      </c>
      <c r="D2348" s="26" t="str">
        <f t="shared" si="446"/>
        <v>MATUTINO</v>
      </c>
      <c r="E2348" s="26" t="str">
        <f>"LA JOYA NO. 213                                                                 "</f>
        <v xml:space="preserve">LA JOYA NO. 213                                                                 </v>
      </c>
      <c r="F2348" s="26" t="str">
        <f>"VALLE ESCONDIDO                                                                                                                             "</f>
        <v xml:space="preserve">VALLE ESCONDIDO                                                                                                                             </v>
      </c>
      <c r="G2348" s="26" t="str">
        <f>"TLALPAN                                                                         "</f>
        <v xml:space="preserve">TLALPAN                                                                         </v>
      </c>
      <c r="H2348" s="26" t="str">
        <f>"220"</f>
        <v>220</v>
      </c>
      <c r="I2348" s="26" t="str">
        <f t="shared" si="445"/>
        <v>00</v>
      </c>
      <c r="J2348" s="26" t="str">
        <f t="shared" si="449"/>
        <v xml:space="preserve">35 </v>
      </c>
      <c r="K2348" s="26" t="str">
        <f t="shared" si="447"/>
        <v>EP</v>
      </c>
      <c r="L2348" s="26" t="str">
        <f t="shared" si="448"/>
        <v>DGOSE</v>
      </c>
      <c r="M2348" s="26" t="str">
        <f t="shared" si="439"/>
        <v>PARTICULAR</v>
      </c>
      <c r="N2348" s="26">
        <v>42</v>
      </c>
      <c r="O2348" s="26">
        <v>18</v>
      </c>
      <c r="P2348" s="26">
        <v>24</v>
      </c>
      <c r="Q2348" s="26">
        <v>3</v>
      </c>
      <c r="R2348" s="26">
        <v>1</v>
      </c>
      <c r="S2348" s="26">
        <v>2</v>
      </c>
      <c r="T2348" s="26">
        <v>8</v>
      </c>
      <c r="U2348" s="26">
        <v>11</v>
      </c>
      <c r="V2348" s="26">
        <v>1</v>
      </c>
      <c r="W2348" s="26"/>
    </row>
    <row r="2349" spans="1:23" x14ac:dyDescent="0.25">
      <c r="A2349" s="26" t="str">
        <f t="shared" si="444"/>
        <v>PREESCOLAR</v>
      </c>
      <c r="B2349" s="26" t="str">
        <f>"09PJN4621K"</f>
        <v>09PJN4621K</v>
      </c>
      <c r="C2349" s="26" t="str">
        <f>"JARDIN DE NIÑOS MONTES DE OCA                                                                       "</f>
        <v xml:space="preserve">JARDIN DE NIÑOS MONTES DE OCA                                                                       </v>
      </c>
      <c r="D2349" s="26" t="str">
        <f t="shared" si="446"/>
        <v>MATUTINO</v>
      </c>
      <c r="E2349" s="26" t="str">
        <f>"SAUZALES NO. 133                                                                "</f>
        <v xml:space="preserve">SAUZALES NO. 133                                                                </v>
      </c>
      <c r="F2349" s="26" t="str">
        <f>"VILLA COAPA                                                                                                                                 "</f>
        <v xml:space="preserve">VILLA COAPA                                                                                                                                 </v>
      </c>
      <c r="G2349" s="26" t="str">
        <f>"TLALPAN                                                                         "</f>
        <v xml:space="preserve">TLALPAN                                                                         </v>
      </c>
      <c r="H2349" s="26" t="str">
        <f>"050"</f>
        <v>050</v>
      </c>
      <c r="I2349" s="26" t="str">
        <f t="shared" si="445"/>
        <v>00</v>
      </c>
      <c r="J2349" s="26" t="str">
        <f t="shared" si="449"/>
        <v xml:space="preserve">35 </v>
      </c>
      <c r="K2349" s="26" t="str">
        <f t="shared" si="447"/>
        <v>EP</v>
      </c>
      <c r="L2349" s="26" t="str">
        <f t="shared" si="448"/>
        <v>DGOSE</v>
      </c>
      <c r="M2349" s="26" t="str">
        <f t="shared" si="439"/>
        <v>PARTICULAR</v>
      </c>
      <c r="N2349" s="26">
        <v>11</v>
      </c>
      <c r="O2349" s="26">
        <v>5</v>
      </c>
      <c r="P2349" s="26">
        <v>6</v>
      </c>
      <c r="Q2349" s="26">
        <v>3</v>
      </c>
      <c r="R2349" s="26">
        <v>1</v>
      </c>
      <c r="S2349" s="26">
        <v>3</v>
      </c>
      <c r="T2349" s="26">
        <v>0</v>
      </c>
      <c r="U2349" s="26">
        <v>4</v>
      </c>
      <c r="V2349" s="26">
        <v>1</v>
      </c>
      <c r="W2349" s="26"/>
    </row>
    <row r="2350" spans="1:23" x14ac:dyDescent="0.25">
      <c r="A2350" s="26" t="str">
        <f t="shared" si="444"/>
        <v>PREESCOLAR</v>
      </c>
      <c r="B2350" s="26" t="str">
        <f>"09PJN4622J"</f>
        <v>09PJN4622J</v>
      </c>
      <c r="C2350" s="26" t="str">
        <f>"D´ALEMBERT KINDERGARTEN                                                                             "</f>
        <v xml:space="preserve">D´ALEMBERT KINDERGARTEN                                                                             </v>
      </c>
      <c r="D2350" s="26" t="str">
        <f t="shared" si="446"/>
        <v>MATUTINO</v>
      </c>
      <c r="E2350" s="26" t="str">
        <f>"PIRINEOS NO. 103                                                                "</f>
        <v xml:space="preserve">PIRINEOS NO. 103                                                                </v>
      </c>
      <c r="F2350" s="26" t="str">
        <f>"PORTALES                                                                                                                                    "</f>
        <v xml:space="preserve">PORTALES                                                                                                                                    </v>
      </c>
      <c r="G2350" s="26" t="str">
        <f>"BENITO JUAREZ                                                                   "</f>
        <v xml:space="preserve">BENITO JUAREZ                                                                   </v>
      </c>
      <c r="H2350" s="26" t="str">
        <f>"037"</f>
        <v>037</v>
      </c>
      <c r="I2350" s="26" t="str">
        <f t="shared" si="445"/>
        <v>00</v>
      </c>
      <c r="J2350" s="26" t="str">
        <f>"33 "</f>
        <v xml:space="preserve">33 </v>
      </c>
      <c r="K2350" s="26" t="str">
        <f t="shared" si="447"/>
        <v>EP</v>
      </c>
      <c r="L2350" s="26" t="str">
        <f t="shared" si="448"/>
        <v>DGOSE</v>
      </c>
      <c r="M2350" s="26" t="str">
        <f t="shared" si="439"/>
        <v>PARTICULAR</v>
      </c>
      <c r="N2350" s="26">
        <v>31</v>
      </c>
      <c r="O2350" s="26">
        <v>14</v>
      </c>
      <c r="P2350" s="26">
        <v>17</v>
      </c>
      <c r="Q2350" s="26">
        <v>2</v>
      </c>
      <c r="R2350" s="26">
        <v>1</v>
      </c>
      <c r="S2350" s="26">
        <v>2</v>
      </c>
      <c r="T2350" s="26">
        <v>1</v>
      </c>
      <c r="U2350" s="26">
        <v>4</v>
      </c>
      <c r="V2350" s="26">
        <v>1</v>
      </c>
      <c r="W2350" s="26"/>
    </row>
    <row r="2351" spans="1:23" x14ac:dyDescent="0.25">
      <c r="A2351" s="26" t="str">
        <f t="shared" si="444"/>
        <v>PREESCOLAR</v>
      </c>
      <c r="B2351" s="26" t="str">
        <f>"09PJN4623I"</f>
        <v>09PJN4623I</v>
      </c>
      <c r="C2351" s="26" t="str">
        <f>"COLEGIO HAMPTON                                                                                     "</f>
        <v xml:space="preserve">COLEGIO HAMPTON                                                                                     </v>
      </c>
      <c r="D2351" s="26" t="str">
        <f t="shared" si="446"/>
        <v>MATUTINO</v>
      </c>
      <c r="E2351" s="26" t="str">
        <f>"AGIABAMPO NO. 43                                                                "</f>
        <v xml:space="preserve">AGIABAMPO NO. 43                                                                </v>
      </c>
      <c r="F2351" s="26" t="str">
        <f>"MAGDALENA MIXHUCA                                                                                                                           "</f>
        <v xml:space="preserve">MAGDALENA MIXHUCA                                                                                                                           </v>
      </c>
      <c r="G2351" s="26" t="str">
        <f>"VENUSTIANO CARRANZA                                                             "</f>
        <v xml:space="preserve">VENUSTIANO CARRANZA                                                             </v>
      </c>
      <c r="H2351" s="26" t="str">
        <f>"096"</f>
        <v>096</v>
      </c>
      <c r="I2351" s="26" t="str">
        <f t="shared" si="445"/>
        <v>00</v>
      </c>
      <c r="J2351" s="26" t="str">
        <f>"33 "</f>
        <v xml:space="preserve">33 </v>
      </c>
      <c r="K2351" s="26" t="str">
        <f t="shared" si="447"/>
        <v>EP</v>
      </c>
      <c r="L2351" s="26" t="str">
        <f t="shared" si="448"/>
        <v>DGOSE</v>
      </c>
      <c r="M2351" s="26" t="str">
        <f t="shared" si="439"/>
        <v>PARTICULAR</v>
      </c>
      <c r="N2351" s="26">
        <v>60</v>
      </c>
      <c r="O2351" s="26">
        <v>31</v>
      </c>
      <c r="P2351" s="26">
        <v>29</v>
      </c>
      <c r="Q2351" s="26">
        <v>5</v>
      </c>
      <c r="R2351" s="26">
        <v>1</v>
      </c>
      <c r="S2351" s="26">
        <v>3</v>
      </c>
      <c r="T2351" s="26">
        <v>10</v>
      </c>
      <c r="U2351" s="26">
        <v>14</v>
      </c>
      <c r="V2351" s="26">
        <v>1</v>
      </c>
      <c r="W2351" s="26"/>
    </row>
    <row r="2352" spans="1:23" x14ac:dyDescent="0.25">
      <c r="A2352" s="26" t="str">
        <f t="shared" si="444"/>
        <v>PREESCOLAR</v>
      </c>
      <c r="B2352" s="26" t="str">
        <f>"09PJN4624H"</f>
        <v>09PJN4624H</v>
      </c>
      <c r="C2352" s="26" t="str">
        <f>"INSTITUTO COYOACÁN DEL SUR                                                                          "</f>
        <v xml:space="preserve">INSTITUTO COYOACÁN DEL SUR                                                                          </v>
      </c>
      <c r="D2352" s="26" t="str">
        <f t="shared" si="446"/>
        <v>MATUTINO</v>
      </c>
      <c r="E2352" s="26" t="str">
        <f>"CERRO GORDO NO. 1                                                               "</f>
        <v xml:space="preserve">CERRO GORDO NO. 1                                                               </v>
      </c>
      <c r="F2352" s="26" t="str">
        <f>"CAMPESTRE CHURUBUSCO                                                                                                                        "</f>
        <v xml:space="preserve">CAMPESTRE CHURUBUSCO                                                                                                                        </v>
      </c>
      <c r="G2352" s="26" t="str">
        <f>"COYOACAN                                                                        "</f>
        <v xml:space="preserve">COYOACAN                                                                        </v>
      </c>
      <c r="H2352" s="26" t="str">
        <f>"111"</f>
        <v>111</v>
      </c>
      <c r="I2352" s="26" t="str">
        <f t="shared" si="445"/>
        <v>00</v>
      </c>
      <c r="J2352" s="26" t="str">
        <f>"35 "</f>
        <v xml:space="preserve">35 </v>
      </c>
      <c r="K2352" s="26" t="str">
        <f t="shared" si="447"/>
        <v>EP</v>
      </c>
      <c r="L2352" s="26" t="str">
        <f t="shared" si="448"/>
        <v>DGOSE</v>
      </c>
      <c r="M2352" s="26" t="str">
        <f t="shared" si="439"/>
        <v>PARTICULAR</v>
      </c>
      <c r="N2352" s="26">
        <v>11</v>
      </c>
      <c r="O2352" s="26">
        <v>3</v>
      </c>
      <c r="P2352" s="26">
        <v>8</v>
      </c>
      <c r="Q2352" s="26">
        <v>3</v>
      </c>
      <c r="R2352" s="26">
        <v>1</v>
      </c>
      <c r="S2352" s="26">
        <v>2</v>
      </c>
      <c r="T2352" s="26">
        <v>2</v>
      </c>
      <c r="U2352" s="26">
        <v>5</v>
      </c>
      <c r="V2352" s="26">
        <v>1</v>
      </c>
      <c r="W2352" s="26"/>
    </row>
    <row r="2353" spans="1:23" x14ac:dyDescent="0.25">
      <c r="A2353" s="26" t="str">
        <f t="shared" si="444"/>
        <v>PREESCOLAR</v>
      </c>
      <c r="B2353" s="26" t="str">
        <f>"09PJN4625G"</f>
        <v>09PJN4625G</v>
      </c>
      <c r="C2353" s="26" t="str">
        <f>"INSTITUTO PSICOPEDAGOGICO SKINNER PLANTEL II                                                        "</f>
        <v xml:space="preserve">INSTITUTO PSICOPEDAGOGICO SKINNER PLANTEL II                                                        </v>
      </c>
      <c r="D2353" s="26" t="str">
        <f t="shared" si="446"/>
        <v>MATUTINO</v>
      </c>
      <c r="E2353" s="26" t="str">
        <f>"MARGARITO H. SALAMANCA NO. 5                                                    "</f>
        <v xml:space="preserve">MARGARITO H. SALAMANCA NO. 5                                                    </v>
      </c>
      <c r="F2353" s="26" t="str">
        <f>"PRESIDENTES EJIDALES                                                                                                                        "</f>
        <v xml:space="preserve">PRESIDENTES EJIDALES                                                                                                                        </v>
      </c>
      <c r="G2353" s="26" t="str">
        <f>"COYOACAN                                                                        "</f>
        <v xml:space="preserve">COYOACAN                                                                        </v>
      </c>
      <c r="H2353" s="26" t="str">
        <f>"024"</f>
        <v>024</v>
      </c>
      <c r="I2353" s="26" t="str">
        <f t="shared" si="445"/>
        <v>00</v>
      </c>
      <c r="J2353" s="26" t="str">
        <f>"35 "</f>
        <v xml:space="preserve">35 </v>
      </c>
      <c r="K2353" s="26" t="str">
        <f t="shared" si="447"/>
        <v>EP</v>
      </c>
      <c r="L2353" s="26" t="str">
        <f t="shared" si="448"/>
        <v>DGOSE</v>
      </c>
      <c r="M2353" s="26" t="str">
        <f t="shared" si="439"/>
        <v>PARTICULAR</v>
      </c>
      <c r="N2353" s="26">
        <v>15</v>
      </c>
      <c r="O2353" s="26">
        <v>10</v>
      </c>
      <c r="P2353" s="26">
        <v>5</v>
      </c>
      <c r="Q2353" s="26">
        <v>3</v>
      </c>
      <c r="R2353" s="26">
        <v>1</v>
      </c>
      <c r="S2353" s="26">
        <v>3</v>
      </c>
      <c r="T2353" s="26">
        <v>8</v>
      </c>
      <c r="U2353" s="26">
        <v>12</v>
      </c>
      <c r="V2353" s="26">
        <v>1</v>
      </c>
      <c r="W2353" s="26"/>
    </row>
    <row r="2354" spans="1:23" x14ac:dyDescent="0.25">
      <c r="A2354" s="26" t="str">
        <f t="shared" si="444"/>
        <v>PREESCOLAR</v>
      </c>
      <c r="B2354" s="26" t="str">
        <f>"09PJN4626F"</f>
        <v>09PJN4626F</v>
      </c>
      <c r="C2354" s="26" t="str">
        <f>"COLEGIO MONTE HOREB                                                                                 "</f>
        <v xml:space="preserve">COLEGIO MONTE HOREB                                                                                 </v>
      </c>
      <c r="D2354" s="26" t="str">
        <f t="shared" si="446"/>
        <v>MATUTINO</v>
      </c>
      <c r="E2354" s="26" t="str">
        <f>"CALZADA DE LAS BOMBAS MZA. 20 LT. 4                                             "</f>
        <v xml:space="preserve">CALZADA DE LAS BOMBAS MZA. 20 LT. 4                                             </v>
      </c>
      <c r="F2354" s="26" t="str">
        <f>"RESIDENCIAL CAFETALES                                                                                                                       "</f>
        <v xml:space="preserve">RESIDENCIAL CAFETALES                                                                                                                       </v>
      </c>
      <c r="G2354" s="26" t="str">
        <f>"COYOACAN                                                                        "</f>
        <v xml:space="preserve">COYOACAN                                                                        </v>
      </c>
      <c r="H2354" s="26" t="str">
        <f>"125"</f>
        <v>125</v>
      </c>
      <c r="I2354" s="26" t="str">
        <f t="shared" si="445"/>
        <v>00</v>
      </c>
      <c r="J2354" s="26" t="str">
        <f>"35 "</f>
        <v xml:space="preserve">35 </v>
      </c>
      <c r="K2354" s="26" t="str">
        <f t="shared" si="447"/>
        <v>EP</v>
      </c>
      <c r="L2354" s="26" t="str">
        <f t="shared" si="448"/>
        <v>DGOSE</v>
      </c>
      <c r="M2354" s="26" t="str">
        <f t="shared" si="439"/>
        <v>PARTICULAR</v>
      </c>
      <c r="N2354" s="26">
        <v>47</v>
      </c>
      <c r="O2354" s="26">
        <v>22</v>
      </c>
      <c r="P2354" s="26">
        <v>25</v>
      </c>
      <c r="Q2354" s="26">
        <v>3</v>
      </c>
      <c r="R2354" s="26">
        <v>1</v>
      </c>
      <c r="S2354" s="26">
        <v>3</v>
      </c>
      <c r="T2354" s="26">
        <v>2</v>
      </c>
      <c r="U2354" s="26">
        <v>6</v>
      </c>
      <c r="V2354" s="26">
        <v>1</v>
      </c>
      <c r="W2354" s="26"/>
    </row>
    <row r="2355" spans="1:23" x14ac:dyDescent="0.25">
      <c r="A2355" s="26" t="str">
        <f t="shared" si="444"/>
        <v>PREESCOLAR</v>
      </c>
      <c r="B2355" s="26" t="str">
        <f>"09PJN4627E"</f>
        <v>09PJN4627E</v>
      </c>
      <c r="C2355" s="26" t="str">
        <f>"INSTITUTO BEDWELL JARDIN DE NIÑOS                                                                   "</f>
        <v xml:space="preserve">INSTITUTO BEDWELL JARDIN DE NIÑOS                                                                   </v>
      </c>
      <c r="D2355" s="26" t="str">
        <f t="shared" si="446"/>
        <v>MATUTINO</v>
      </c>
      <c r="E2355" s="26" t="str">
        <f>"PROLONGACION GRANATE NO. 28                                                     "</f>
        <v xml:space="preserve">PROLONGACION GRANATE NO. 28                                                     </v>
      </c>
      <c r="F2355" s="26" t="str">
        <f>"ESTRELLA                                                                                                                                    "</f>
        <v xml:space="preserve">ESTRELLA                                                                                                                                    </v>
      </c>
      <c r="G2355" s="26" t="str">
        <f>"GUSTAVO A. MADERO                                                               "</f>
        <v xml:space="preserve">GUSTAVO A. MADERO                                                               </v>
      </c>
      <c r="H2355" s="26" t="str">
        <f>"177"</f>
        <v>177</v>
      </c>
      <c r="I2355" s="26" t="str">
        <f t="shared" si="445"/>
        <v>00</v>
      </c>
      <c r="J2355" s="26" t="str">
        <f>"32 "</f>
        <v xml:space="preserve">32 </v>
      </c>
      <c r="K2355" s="26" t="str">
        <f t="shared" si="447"/>
        <v>EP</v>
      </c>
      <c r="L2355" s="26" t="str">
        <f t="shared" si="448"/>
        <v>DGOSE</v>
      </c>
      <c r="M2355" s="26" t="str">
        <f t="shared" si="439"/>
        <v>PARTICULAR</v>
      </c>
      <c r="N2355" s="26">
        <v>54</v>
      </c>
      <c r="O2355" s="26">
        <v>32</v>
      </c>
      <c r="P2355" s="26">
        <v>22</v>
      </c>
      <c r="Q2355" s="26">
        <v>3</v>
      </c>
      <c r="R2355" s="26">
        <v>1</v>
      </c>
      <c r="S2355" s="26">
        <v>3</v>
      </c>
      <c r="T2355" s="26">
        <v>5</v>
      </c>
      <c r="U2355" s="26">
        <v>9</v>
      </c>
      <c r="V2355" s="26">
        <v>1</v>
      </c>
      <c r="W2355" s="26"/>
    </row>
    <row r="2356" spans="1:23" x14ac:dyDescent="0.25">
      <c r="A2356" s="26" t="str">
        <f t="shared" si="444"/>
        <v>PREESCOLAR</v>
      </c>
      <c r="B2356" s="26" t="str">
        <f>"09PJN4632Q"</f>
        <v>09PJN4632Q</v>
      </c>
      <c r="C2356" s="26" t="str">
        <f>"CENTRO INTEGRAL DE DESARROLLO INFANTIL TOFI                                                         "</f>
        <v xml:space="preserve">CENTRO INTEGRAL DE DESARROLLO INFANTIL TOFI                                                         </v>
      </c>
      <c r="D2356" s="26" t="str">
        <f t="shared" si="446"/>
        <v>MATUTINO</v>
      </c>
      <c r="E2356" s="26" t="str">
        <f>"PASEO DE ANTIOQUIA NO 49                                                        "</f>
        <v xml:space="preserve">PASEO DE ANTIOQUIA NO 49                                                        </v>
      </c>
      <c r="F2356" s="26" t="str">
        <f>"LOMAS ESTRELLA                                                                                                                              "</f>
        <v xml:space="preserve">LOMAS ESTRELLA                                                                                                                              </v>
      </c>
      <c r="G2356" s="26" t="str">
        <f t="shared" ref="G2356:G2398" si="450">"IZTAPALAPA                                                                      "</f>
        <v xml:space="preserve">IZTAPALAPA                                                                      </v>
      </c>
      <c r="H2356" s="26" t="str">
        <f t="shared" ref="H2356:H2398" si="451">"000"</f>
        <v>000</v>
      </c>
      <c r="I2356" s="26" t="str">
        <f t="shared" si="445"/>
        <v>00</v>
      </c>
      <c r="J2356" s="26" t="str">
        <f>"63 "</f>
        <v xml:space="preserve">63 </v>
      </c>
      <c r="K2356" s="26" t="str">
        <f t="shared" ref="K2356:K2398" si="452">"IZ"</f>
        <v>IZ</v>
      </c>
      <c r="L2356" s="26" t="str">
        <f t="shared" ref="L2356:L2398" si="453">"DGSEI"</f>
        <v>DGSEI</v>
      </c>
      <c r="M2356" s="26" t="str">
        <f t="shared" si="439"/>
        <v>PARTICULAR</v>
      </c>
      <c r="N2356" s="26">
        <v>54</v>
      </c>
      <c r="O2356" s="26">
        <v>32</v>
      </c>
      <c r="P2356" s="26">
        <v>22</v>
      </c>
      <c r="Q2356" s="26">
        <v>3</v>
      </c>
      <c r="R2356" s="26">
        <v>1</v>
      </c>
      <c r="S2356" s="26">
        <v>3</v>
      </c>
      <c r="T2356" s="26">
        <v>4</v>
      </c>
      <c r="U2356" s="26">
        <v>8</v>
      </c>
      <c r="V2356" s="26">
        <v>1</v>
      </c>
      <c r="W2356" s="26"/>
    </row>
    <row r="2357" spans="1:23" x14ac:dyDescent="0.25">
      <c r="A2357" s="26" t="str">
        <f t="shared" si="444"/>
        <v>PREESCOLAR</v>
      </c>
      <c r="B2357" s="26" t="str">
        <f>"09PJN4633P"</f>
        <v>09PJN4633P</v>
      </c>
      <c r="C2357" s="26" t="str">
        <f>"PILLI                                                                                               "</f>
        <v xml:space="preserve">PILLI                                                                                               </v>
      </c>
      <c r="D2357" s="26" t="str">
        <f t="shared" si="446"/>
        <v>MATUTINO</v>
      </c>
      <c r="E2357" s="26" t="str">
        <f>"MARCOS N MENDEZ MZ 56 LT 23                                                     "</f>
        <v xml:space="preserve">MARCOS N MENDEZ MZ 56 LT 23                                                     </v>
      </c>
      <c r="F2357" s="26" t="str">
        <f>"SANTA MARTHA ACATITLA                                                                                                                       "</f>
        <v xml:space="preserve">SANTA MARTHA ACATITLA                                                                                                                       </v>
      </c>
      <c r="G2357" s="26" t="str">
        <f t="shared" si="450"/>
        <v xml:space="preserve">IZTAPALAPA                                                                      </v>
      </c>
      <c r="H2357" s="26" t="str">
        <f t="shared" si="451"/>
        <v>000</v>
      </c>
      <c r="I2357" s="26" t="str">
        <f t="shared" si="445"/>
        <v>00</v>
      </c>
      <c r="J2357" s="26" t="str">
        <f>"62 "</f>
        <v xml:space="preserve">62 </v>
      </c>
      <c r="K2357" s="26" t="str">
        <f t="shared" si="452"/>
        <v>IZ</v>
      </c>
      <c r="L2357" s="26" t="str">
        <f t="shared" si="453"/>
        <v>DGSEI</v>
      </c>
      <c r="M2357" s="26" t="str">
        <f t="shared" si="439"/>
        <v>PARTICULAR</v>
      </c>
      <c r="N2357" s="26">
        <v>34</v>
      </c>
      <c r="O2357" s="26">
        <v>11</v>
      </c>
      <c r="P2357" s="26">
        <v>23</v>
      </c>
      <c r="Q2357" s="26">
        <v>3</v>
      </c>
      <c r="R2357" s="26">
        <v>1</v>
      </c>
      <c r="S2357" s="26">
        <v>2</v>
      </c>
      <c r="T2357" s="26">
        <v>1</v>
      </c>
      <c r="U2357" s="26">
        <v>4</v>
      </c>
      <c r="V2357" s="26">
        <v>1</v>
      </c>
      <c r="W2357" s="26"/>
    </row>
    <row r="2358" spans="1:23" x14ac:dyDescent="0.25">
      <c r="A2358" s="26" t="str">
        <f t="shared" si="444"/>
        <v>PREESCOLAR</v>
      </c>
      <c r="B2358" s="26" t="str">
        <f>"09PJN4634O"</f>
        <v>09PJN4634O</v>
      </c>
      <c r="C2358" s="26" t="str">
        <f>"KUHTLI                                                                                              "</f>
        <v xml:space="preserve">KUHTLI                                                                                              </v>
      </c>
      <c r="D2358" s="26" t="str">
        <f t="shared" si="446"/>
        <v>MATUTINO</v>
      </c>
      <c r="E2358" s="26" t="str">
        <f>"JOSE NAVA MZ. 13 LT. 12                                                         "</f>
        <v xml:space="preserve">JOSE NAVA MZ. 13 LT. 12                                                         </v>
      </c>
      <c r="F2358" s="26" t="str">
        <f>"CONSEJO AGRARISTA MEXICANO                                                                                                                  "</f>
        <v xml:space="preserve">CONSEJO AGRARISTA MEXICANO                                                                                                                  </v>
      </c>
      <c r="G2358" s="26" t="str">
        <f t="shared" si="450"/>
        <v xml:space="preserve">IZTAPALAPA                                                                      </v>
      </c>
      <c r="H2358" s="26" t="str">
        <f t="shared" si="451"/>
        <v>000</v>
      </c>
      <c r="I2358" s="26" t="str">
        <f t="shared" si="445"/>
        <v>00</v>
      </c>
      <c r="J2358" s="26" t="str">
        <f>"63 "</f>
        <v xml:space="preserve">63 </v>
      </c>
      <c r="K2358" s="26" t="str">
        <f t="shared" si="452"/>
        <v>IZ</v>
      </c>
      <c r="L2358" s="26" t="str">
        <f t="shared" si="453"/>
        <v>DGSEI</v>
      </c>
      <c r="M2358" s="26" t="str">
        <f t="shared" si="439"/>
        <v>PARTICULAR</v>
      </c>
      <c r="N2358" s="26">
        <v>31</v>
      </c>
      <c r="O2358" s="26">
        <v>16</v>
      </c>
      <c r="P2358" s="26">
        <v>15</v>
      </c>
      <c r="Q2358" s="26">
        <v>5</v>
      </c>
      <c r="R2358" s="26">
        <v>1</v>
      </c>
      <c r="S2358" s="26">
        <v>2</v>
      </c>
      <c r="T2358" s="26">
        <v>2</v>
      </c>
      <c r="U2358" s="26">
        <v>5</v>
      </c>
      <c r="V2358" s="26">
        <v>1</v>
      </c>
      <c r="W2358" s="26"/>
    </row>
    <row r="2359" spans="1:23" x14ac:dyDescent="0.25">
      <c r="A2359" s="26" t="str">
        <f t="shared" si="444"/>
        <v>PREESCOLAR</v>
      </c>
      <c r="B2359" s="26" t="str">
        <f>"09PJN4635N"</f>
        <v>09PJN4635N</v>
      </c>
      <c r="C2359" s="26" t="str">
        <f>"GARABATOS                                                                                           "</f>
        <v xml:space="preserve">GARABATOS                                                                                           </v>
      </c>
      <c r="D2359" s="26" t="str">
        <f t="shared" si="446"/>
        <v>MATUTINO</v>
      </c>
      <c r="E2359" s="26" t="str">
        <f>"RETORNO PIRULES NO. 8                                                           "</f>
        <v xml:space="preserve">RETORNO PIRULES NO. 8                                                           </v>
      </c>
      <c r="F2359" s="26" t="str">
        <f>"EL MANTO                                                                                                                                    "</f>
        <v xml:space="preserve">EL MANTO                                                                                                                                    </v>
      </c>
      <c r="G2359" s="26" t="str">
        <f t="shared" si="450"/>
        <v xml:space="preserve">IZTAPALAPA                                                                      </v>
      </c>
      <c r="H2359" s="26" t="str">
        <f t="shared" si="451"/>
        <v>000</v>
      </c>
      <c r="I2359" s="26" t="str">
        <f t="shared" si="445"/>
        <v>00</v>
      </c>
      <c r="J2359" s="26" t="str">
        <f>"61 "</f>
        <v xml:space="preserve">61 </v>
      </c>
      <c r="K2359" s="26" t="str">
        <f t="shared" si="452"/>
        <v>IZ</v>
      </c>
      <c r="L2359" s="26" t="str">
        <f t="shared" si="453"/>
        <v>DGSEI</v>
      </c>
      <c r="M2359" s="26" t="str">
        <f t="shared" si="439"/>
        <v>PARTICULAR</v>
      </c>
      <c r="N2359" s="26">
        <v>41</v>
      </c>
      <c r="O2359" s="26">
        <v>21</v>
      </c>
      <c r="P2359" s="26">
        <v>20</v>
      </c>
      <c r="Q2359" s="26">
        <v>3</v>
      </c>
      <c r="R2359" s="26">
        <v>1</v>
      </c>
      <c r="S2359" s="26">
        <v>2</v>
      </c>
      <c r="T2359" s="26">
        <v>3</v>
      </c>
      <c r="U2359" s="26">
        <v>6</v>
      </c>
      <c r="V2359" s="26">
        <v>1</v>
      </c>
      <c r="W2359" s="26"/>
    </row>
    <row r="2360" spans="1:23" x14ac:dyDescent="0.25">
      <c r="A2360" s="26" t="str">
        <f t="shared" si="444"/>
        <v>PREESCOLAR</v>
      </c>
      <c r="B2360" s="26" t="str">
        <f>"09PJN4638K"</f>
        <v>09PJN4638K</v>
      </c>
      <c r="C2360" s="26" t="str">
        <f>"CYPRESS GARDEN                                                                                      "</f>
        <v xml:space="preserve">CYPRESS GARDEN                                                                                      </v>
      </c>
      <c r="D2360" s="26" t="str">
        <f t="shared" si="446"/>
        <v>MATUTINO</v>
      </c>
      <c r="E2360" s="26" t="str">
        <f>"AZTECAS NO. 16                                                                  "</f>
        <v xml:space="preserve">AZTECAS NO. 16                                                                  </v>
      </c>
      <c r="F2360" s="26" t="str">
        <f>"EL MOLINO  IZTAPALAPA                                                                                                                       "</f>
        <v xml:space="preserve">EL MOLINO  IZTAPALAPA                                                                                                                       </v>
      </c>
      <c r="G2360" s="26" t="str">
        <f t="shared" si="450"/>
        <v xml:space="preserve">IZTAPALAPA                                                                      </v>
      </c>
      <c r="H2360" s="26" t="str">
        <f t="shared" si="451"/>
        <v>000</v>
      </c>
      <c r="I2360" s="26" t="str">
        <f t="shared" si="445"/>
        <v>00</v>
      </c>
      <c r="J2360" s="26" t="str">
        <f>"63 "</f>
        <v xml:space="preserve">63 </v>
      </c>
      <c r="K2360" s="26" t="str">
        <f t="shared" si="452"/>
        <v>IZ</v>
      </c>
      <c r="L2360" s="26" t="str">
        <f t="shared" si="453"/>
        <v>DGSEI</v>
      </c>
      <c r="M2360" s="26" t="str">
        <f t="shared" si="439"/>
        <v>PARTICULAR</v>
      </c>
      <c r="N2360" s="26">
        <v>69</v>
      </c>
      <c r="O2360" s="26">
        <v>35</v>
      </c>
      <c r="P2360" s="26">
        <v>34</v>
      </c>
      <c r="Q2360" s="26">
        <v>4</v>
      </c>
      <c r="R2360" s="26">
        <v>1</v>
      </c>
      <c r="S2360" s="26">
        <v>3</v>
      </c>
      <c r="T2360" s="26">
        <v>7</v>
      </c>
      <c r="U2360" s="26">
        <v>11</v>
      </c>
      <c r="V2360" s="26">
        <v>1</v>
      </c>
      <c r="W2360" s="26"/>
    </row>
    <row r="2361" spans="1:23" x14ac:dyDescent="0.25">
      <c r="A2361" s="26" t="str">
        <f t="shared" si="444"/>
        <v>PREESCOLAR</v>
      </c>
      <c r="B2361" s="26" t="str">
        <f>"09PJN4640Z"</f>
        <v>09PJN4640Z</v>
      </c>
      <c r="C2361" s="26" t="str">
        <f>"WENDY                                                                                               "</f>
        <v xml:space="preserve">WENDY                                                                                               </v>
      </c>
      <c r="D2361" s="26" t="str">
        <f t="shared" si="446"/>
        <v>MATUTINO</v>
      </c>
      <c r="E2361" s="26" t="str">
        <f>"AV. INSURGENTES MZ. 10 LT. 55-E                                                 "</f>
        <v xml:space="preserve">AV. INSURGENTES MZ. 10 LT. 55-E                                                 </v>
      </c>
      <c r="F2361" s="26" t="str">
        <f>"REFORMA POLITICA                                                                                                                            "</f>
        <v xml:space="preserve">REFORMA POLITICA                                                                                                                            </v>
      </c>
      <c r="G2361" s="26" t="str">
        <f t="shared" si="450"/>
        <v xml:space="preserve">IZTAPALAPA                                                                      </v>
      </c>
      <c r="H2361" s="26" t="str">
        <f t="shared" si="451"/>
        <v>000</v>
      </c>
      <c r="I2361" s="26" t="str">
        <f t="shared" si="445"/>
        <v>00</v>
      </c>
      <c r="J2361" s="26" t="str">
        <f>"64 "</f>
        <v xml:space="preserve">64 </v>
      </c>
      <c r="K2361" s="26" t="str">
        <f t="shared" si="452"/>
        <v>IZ</v>
      </c>
      <c r="L2361" s="26" t="str">
        <f t="shared" si="453"/>
        <v>DGSEI</v>
      </c>
      <c r="M2361" s="26" t="str">
        <f t="shared" si="439"/>
        <v>PARTICULAR</v>
      </c>
      <c r="N2361" s="26">
        <v>14</v>
      </c>
      <c r="O2361" s="26">
        <v>7</v>
      </c>
      <c r="P2361" s="26">
        <v>7</v>
      </c>
      <c r="Q2361" s="26">
        <v>2</v>
      </c>
      <c r="R2361" s="26">
        <v>1</v>
      </c>
      <c r="S2361" s="26">
        <v>1</v>
      </c>
      <c r="T2361" s="26">
        <v>1</v>
      </c>
      <c r="U2361" s="26">
        <v>3</v>
      </c>
      <c r="V2361" s="26">
        <v>1</v>
      </c>
      <c r="W2361" s="26"/>
    </row>
    <row r="2362" spans="1:23" x14ac:dyDescent="0.25">
      <c r="A2362" s="26" t="str">
        <f t="shared" si="444"/>
        <v>PREESCOLAR</v>
      </c>
      <c r="B2362" s="26" t="str">
        <f>"09PJN4642X"</f>
        <v>09PJN4642X</v>
      </c>
      <c r="C2362" s="26" t="str">
        <f>"A-B-C                                                                                               "</f>
        <v xml:space="preserve">A-B-C                                                                                               </v>
      </c>
      <c r="D2362" s="26" t="str">
        <f t="shared" si="446"/>
        <v>MATUTINO</v>
      </c>
      <c r="E2362" s="26" t="str">
        <f>"LUCIO BLANCO NO. 25                                                             "</f>
        <v xml:space="preserve">LUCIO BLANCO NO. 25                                                             </v>
      </c>
      <c r="F2362" s="26" t="str">
        <f>"SANTA CRUZ MEYEHUALCO                                                                                                                       "</f>
        <v xml:space="preserve">SANTA CRUZ MEYEHUALCO                                                                                                                       </v>
      </c>
      <c r="G2362" s="26" t="str">
        <f t="shared" si="450"/>
        <v xml:space="preserve">IZTAPALAPA                                                                      </v>
      </c>
      <c r="H2362" s="26" t="str">
        <f t="shared" si="451"/>
        <v>000</v>
      </c>
      <c r="I2362" s="26" t="str">
        <f t="shared" si="445"/>
        <v>00</v>
      </c>
      <c r="J2362" s="26" t="str">
        <f>"64 "</f>
        <v xml:space="preserve">64 </v>
      </c>
      <c r="K2362" s="26" t="str">
        <f t="shared" si="452"/>
        <v>IZ</v>
      </c>
      <c r="L2362" s="26" t="str">
        <f t="shared" si="453"/>
        <v>DGSEI</v>
      </c>
      <c r="M2362" s="26" t="str">
        <f t="shared" si="439"/>
        <v>PARTICULAR</v>
      </c>
      <c r="N2362" s="26">
        <v>24</v>
      </c>
      <c r="O2362" s="26">
        <v>12</v>
      </c>
      <c r="P2362" s="26">
        <v>12</v>
      </c>
      <c r="Q2362" s="26">
        <v>3</v>
      </c>
      <c r="R2362" s="26">
        <v>1</v>
      </c>
      <c r="S2362" s="26">
        <v>3</v>
      </c>
      <c r="T2362" s="26">
        <v>2</v>
      </c>
      <c r="U2362" s="26">
        <v>6</v>
      </c>
      <c r="V2362" s="26">
        <v>1</v>
      </c>
      <c r="W2362" s="26"/>
    </row>
    <row r="2363" spans="1:23" x14ac:dyDescent="0.25">
      <c r="A2363" s="26" t="str">
        <f t="shared" si="444"/>
        <v>PREESCOLAR</v>
      </c>
      <c r="B2363" s="26" t="str">
        <f>"09PJN4643W"</f>
        <v>09PJN4643W</v>
      </c>
      <c r="C2363" s="26" t="str">
        <f>"CENTRO ESCOLAR INFANTIL ZARAGOZA                                                                    "</f>
        <v xml:space="preserve">CENTRO ESCOLAR INFANTIL ZARAGOZA                                                                    </v>
      </c>
      <c r="D2363" s="26" t="str">
        <f t="shared" si="446"/>
        <v>MATUTINO</v>
      </c>
      <c r="E2363" s="26" t="str">
        <f>"ANDADOR ANTONIO JOSE MOCTEZUMA MZ. 6 LT. 17                                     "</f>
        <v xml:space="preserve">ANDADOR ANTONIO JOSE MOCTEZUMA MZ. 6 LT. 17                                     </v>
      </c>
      <c r="F2363" s="26" t="str">
        <f>"UNIDAD HABITACIONAL ERMITA ZARAGOZA                                                                                                         "</f>
        <v xml:space="preserve">UNIDAD HABITACIONAL ERMITA ZARAGOZA                                                                                                         </v>
      </c>
      <c r="G2363" s="26" t="str">
        <f t="shared" si="450"/>
        <v xml:space="preserve">IZTAPALAPA                                                                      </v>
      </c>
      <c r="H2363" s="26" t="str">
        <f t="shared" si="451"/>
        <v>000</v>
      </c>
      <c r="I2363" s="26" t="str">
        <f t="shared" si="445"/>
        <v>00</v>
      </c>
      <c r="J2363" s="26" t="str">
        <f>"62 "</f>
        <v xml:space="preserve">62 </v>
      </c>
      <c r="K2363" s="26" t="str">
        <f t="shared" si="452"/>
        <v>IZ</v>
      </c>
      <c r="L2363" s="26" t="str">
        <f t="shared" si="453"/>
        <v>DGSEI</v>
      </c>
      <c r="M2363" s="26" t="str">
        <f t="shared" si="439"/>
        <v>PARTICULAR</v>
      </c>
      <c r="N2363" s="26">
        <v>10</v>
      </c>
      <c r="O2363" s="26">
        <v>4</v>
      </c>
      <c r="P2363" s="26">
        <v>6</v>
      </c>
      <c r="Q2363" s="26">
        <v>2</v>
      </c>
      <c r="R2363" s="26">
        <v>1</v>
      </c>
      <c r="S2363" s="26">
        <v>1</v>
      </c>
      <c r="T2363" s="26">
        <v>1</v>
      </c>
      <c r="U2363" s="26">
        <v>3</v>
      </c>
      <c r="V2363" s="26">
        <v>1</v>
      </c>
      <c r="W2363" s="26"/>
    </row>
    <row r="2364" spans="1:23" x14ac:dyDescent="0.25">
      <c r="A2364" s="26" t="str">
        <f t="shared" si="444"/>
        <v>PREESCOLAR</v>
      </c>
      <c r="B2364" s="26" t="str">
        <f>"09PJN4644V"</f>
        <v>09PJN4644V</v>
      </c>
      <c r="C2364" s="26" t="str">
        <f>"VYGOTSKY                                                                                            "</f>
        <v xml:space="preserve">VYGOTSKY                                                                                            </v>
      </c>
      <c r="D2364" s="26" t="str">
        <f t="shared" si="446"/>
        <v>MATUTINO</v>
      </c>
      <c r="E2364" s="26" t="str">
        <f>"MIGUEL HIDALGO NO. 79                                                           "</f>
        <v xml:space="preserve">MIGUEL HIDALGO NO. 79                                                           </v>
      </c>
      <c r="F2364" s="26" t="str">
        <f>"SANTA CRUZ MEYEHUALCO                                                                                                                       "</f>
        <v xml:space="preserve">SANTA CRUZ MEYEHUALCO                                                                                                                       </v>
      </c>
      <c r="G2364" s="26" t="str">
        <f t="shared" si="450"/>
        <v xml:space="preserve">IZTAPALAPA                                                                      </v>
      </c>
      <c r="H2364" s="26" t="str">
        <f t="shared" si="451"/>
        <v>000</v>
      </c>
      <c r="I2364" s="26" t="str">
        <f t="shared" si="445"/>
        <v>00</v>
      </c>
      <c r="J2364" s="26" t="str">
        <f>"64 "</f>
        <v xml:space="preserve">64 </v>
      </c>
      <c r="K2364" s="26" t="str">
        <f t="shared" si="452"/>
        <v>IZ</v>
      </c>
      <c r="L2364" s="26" t="str">
        <f t="shared" si="453"/>
        <v>DGSEI</v>
      </c>
      <c r="M2364" s="26" t="str">
        <f t="shared" si="439"/>
        <v>PARTICULAR</v>
      </c>
      <c r="N2364" s="26">
        <v>50</v>
      </c>
      <c r="O2364" s="26">
        <v>31</v>
      </c>
      <c r="P2364" s="26">
        <v>19</v>
      </c>
      <c r="Q2364" s="26">
        <v>3</v>
      </c>
      <c r="R2364" s="26">
        <v>1</v>
      </c>
      <c r="S2364" s="26">
        <v>3</v>
      </c>
      <c r="T2364" s="26">
        <v>2</v>
      </c>
      <c r="U2364" s="26">
        <v>6</v>
      </c>
      <c r="V2364" s="26">
        <v>1</v>
      </c>
      <c r="W2364" s="26"/>
    </row>
    <row r="2365" spans="1:23" x14ac:dyDescent="0.25">
      <c r="A2365" s="26" t="str">
        <f t="shared" si="444"/>
        <v>PREESCOLAR</v>
      </c>
      <c r="B2365" s="26" t="str">
        <f>"09PJN4645U"</f>
        <v>09PJN4645U</v>
      </c>
      <c r="C2365" s="26" t="str">
        <f>"FUERTE DE LORETO                                                                                    "</f>
        <v xml:space="preserve">FUERTE DE LORETO                                                                                    </v>
      </c>
      <c r="D2365" s="26" t="str">
        <f t="shared" si="446"/>
        <v>MATUTINO</v>
      </c>
      <c r="E2365" s="26" t="str">
        <f>"CIRCUITO RAFAEL SALDAÑA MZ. 34 LT. 20                                           "</f>
        <v xml:space="preserve">CIRCUITO RAFAEL SALDAÑA MZ. 34 LT. 20                                           </v>
      </c>
      <c r="F2365" s="26" t="str">
        <f>"UNIDAD HABITACIONAL EJERCITO DE ORI                                                                                                         "</f>
        <v xml:space="preserve">UNIDAD HABITACIONAL EJERCITO DE ORI                                                                                                         </v>
      </c>
      <c r="G2365" s="26" t="str">
        <f t="shared" si="450"/>
        <v xml:space="preserve">IZTAPALAPA                                                                      </v>
      </c>
      <c r="H2365" s="26" t="str">
        <f t="shared" si="451"/>
        <v>000</v>
      </c>
      <c r="I2365" s="26" t="str">
        <f t="shared" si="445"/>
        <v>00</v>
      </c>
      <c r="J2365" s="26" t="str">
        <f>"62 "</f>
        <v xml:space="preserve">62 </v>
      </c>
      <c r="K2365" s="26" t="str">
        <f t="shared" si="452"/>
        <v>IZ</v>
      </c>
      <c r="L2365" s="26" t="str">
        <f t="shared" si="453"/>
        <v>DGSEI</v>
      </c>
      <c r="M2365" s="26" t="str">
        <f t="shared" si="439"/>
        <v>PARTICULAR</v>
      </c>
      <c r="N2365" s="26">
        <v>20</v>
      </c>
      <c r="O2365" s="26">
        <v>13</v>
      </c>
      <c r="P2365" s="26">
        <v>7</v>
      </c>
      <c r="Q2365" s="26">
        <v>3</v>
      </c>
      <c r="R2365" s="26">
        <v>1</v>
      </c>
      <c r="S2365" s="26">
        <v>2</v>
      </c>
      <c r="T2365" s="26">
        <v>2</v>
      </c>
      <c r="U2365" s="26">
        <v>5</v>
      </c>
      <c r="V2365" s="26">
        <v>1</v>
      </c>
      <c r="W2365" s="26"/>
    </row>
    <row r="2366" spans="1:23" x14ac:dyDescent="0.25">
      <c r="A2366" s="26" t="str">
        <f t="shared" si="444"/>
        <v>PREESCOLAR</v>
      </c>
      <c r="B2366" s="26" t="str">
        <f>"09PJN4646T"</f>
        <v>09PJN4646T</v>
      </c>
      <c r="C2366" s="26" t="str">
        <f>"COLEGIO IMCA                                                                                        "</f>
        <v xml:space="preserve">COLEGIO IMCA                                                                                        </v>
      </c>
      <c r="D2366" s="26" t="str">
        <f t="shared" si="446"/>
        <v>MATUTINO</v>
      </c>
      <c r="E2366" s="26" t="str">
        <f>"AZTECAS NO. 16                                                                  "</f>
        <v xml:space="preserve">AZTECAS NO. 16                                                                  </v>
      </c>
      <c r="F2366" s="26" t="str">
        <f>"LA ASUNCION                                                                                                                                 "</f>
        <v xml:space="preserve">LA ASUNCION                                                                                                                                 </v>
      </c>
      <c r="G2366" s="26" t="str">
        <f t="shared" si="450"/>
        <v xml:space="preserve">IZTAPALAPA                                                                      </v>
      </c>
      <c r="H2366" s="26" t="str">
        <f t="shared" si="451"/>
        <v>000</v>
      </c>
      <c r="I2366" s="26" t="str">
        <f t="shared" si="445"/>
        <v>00</v>
      </c>
      <c r="J2366" s="26" t="str">
        <f>"61 "</f>
        <v xml:space="preserve">61 </v>
      </c>
      <c r="K2366" s="26" t="str">
        <f t="shared" si="452"/>
        <v>IZ</v>
      </c>
      <c r="L2366" s="26" t="str">
        <f t="shared" si="453"/>
        <v>DGSEI</v>
      </c>
      <c r="M2366" s="26" t="str">
        <f t="shared" si="439"/>
        <v>PARTICULAR</v>
      </c>
      <c r="N2366" s="26">
        <v>28</v>
      </c>
      <c r="O2366" s="26">
        <v>13</v>
      </c>
      <c r="P2366" s="26">
        <v>15</v>
      </c>
      <c r="Q2366" s="26">
        <v>3</v>
      </c>
      <c r="R2366" s="26">
        <v>1</v>
      </c>
      <c r="S2366" s="26">
        <v>1</v>
      </c>
      <c r="T2366" s="26">
        <v>4</v>
      </c>
      <c r="U2366" s="26">
        <v>6</v>
      </c>
      <c r="V2366" s="26">
        <v>1</v>
      </c>
      <c r="W2366" s="26"/>
    </row>
    <row r="2367" spans="1:23" x14ac:dyDescent="0.25">
      <c r="A2367" s="26" t="str">
        <f t="shared" si="444"/>
        <v>PREESCOLAR</v>
      </c>
      <c r="B2367" s="26" t="str">
        <f>"09PJN4647S"</f>
        <v>09PJN4647S</v>
      </c>
      <c r="C2367" s="26" t="str">
        <f>"COLEGIO MI PATRIA                                                                                   "</f>
        <v xml:space="preserve">COLEGIO MI PATRIA                                                                                   </v>
      </c>
      <c r="D2367" s="26" t="str">
        <f t="shared" si="446"/>
        <v>MATUTINO</v>
      </c>
      <c r="E2367" s="26" t="str">
        <f>"JOSE MARIA MORELOS Y PAVON MZ. 12 LT. 32                                        "</f>
        <v xml:space="preserve">JOSE MARIA MORELOS Y PAVON MZ. 12 LT. 32                                        </v>
      </c>
      <c r="F2367" s="26" t="str">
        <f>"JOSE MARIA MORELOS Y PAVON                                                                                                                  "</f>
        <v xml:space="preserve">JOSE MARIA MORELOS Y PAVON                                                                                                                  </v>
      </c>
      <c r="G2367" s="26" t="str">
        <f t="shared" si="450"/>
        <v xml:space="preserve">IZTAPALAPA                                                                      </v>
      </c>
      <c r="H2367" s="26" t="str">
        <f t="shared" si="451"/>
        <v>000</v>
      </c>
      <c r="I2367" s="26" t="str">
        <f t="shared" si="445"/>
        <v>00</v>
      </c>
      <c r="J2367" s="26" t="str">
        <f>"62 "</f>
        <v xml:space="preserve">62 </v>
      </c>
      <c r="K2367" s="26" t="str">
        <f t="shared" si="452"/>
        <v>IZ</v>
      </c>
      <c r="L2367" s="26" t="str">
        <f t="shared" si="453"/>
        <v>DGSEI</v>
      </c>
      <c r="M2367" s="26" t="str">
        <f t="shared" ref="M2367:M2430" si="454">"PARTICULAR"</f>
        <v>PARTICULAR</v>
      </c>
      <c r="N2367" s="26">
        <v>7</v>
      </c>
      <c r="O2367" s="26">
        <v>5</v>
      </c>
      <c r="P2367" s="26">
        <v>2</v>
      </c>
      <c r="Q2367" s="26">
        <v>2</v>
      </c>
      <c r="R2367" s="26">
        <v>1</v>
      </c>
      <c r="S2367" s="26">
        <v>1</v>
      </c>
      <c r="T2367" s="26">
        <v>0</v>
      </c>
      <c r="U2367" s="26">
        <v>2</v>
      </c>
      <c r="V2367" s="26">
        <v>1</v>
      </c>
      <c r="W2367" s="26"/>
    </row>
    <row r="2368" spans="1:23" x14ac:dyDescent="0.25">
      <c r="A2368" s="26" t="str">
        <f t="shared" si="444"/>
        <v>PREESCOLAR</v>
      </c>
      <c r="B2368" s="26" t="str">
        <f>"09PJN4648R"</f>
        <v>09PJN4648R</v>
      </c>
      <c r="C2368" s="26" t="str">
        <f>"COLEGIO MEXSUR                                                                                      "</f>
        <v xml:space="preserve">COLEGIO MEXSUR                                                                                      </v>
      </c>
      <c r="D2368" s="26" t="str">
        <f t="shared" si="446"/>
        <v>MATUTINO</v>
      </c>
      <c r="E2368" s="26" t="str">
        <f>"SUR 69-A NO 252                                                                 "</f>
        <v xml:space="preserve">SUR 69-A NO 252                                                                 </v>
      </c>
      <c r="F2368" s="26" t="str">
        <f>"BANJIDAL                                                                                                                                    "</f>
        <v xml:space="preserve">BANJIDAL                                                                                                                                    </v>
      </c>
      <c r="G2368" s="26" t="str">
        <f t="shared" si="450"/>
        <v xml:space="preserve">IZTAPALAPA                                                                      </v>
      </c>
      <c r="H2368" s="26" t="str">
        <f t="shared" si="451"/>
        <v>000</v>
      </c>
      <c r="I2368" s="26" t="str">
        <f t="shared" si="445"/>
        <v>00</v>
      </c>
      <c r="J2368" s="26" t="str">
        <f>"61 "</f>
        <v xml:space="preserve">61 </v>
      </c>
      <c r="K2368" s="26" t="str">
        <f t="shared" si="452"/>
        <v>IZ</v>
      </c>
      <c r="L2368" s="26" t="str">
        <f t="shared" si="453"/>
        <v>DGSEI</v>
      </c>
      <c r="M2368" s="26" t="str">
        <f t="shared" si="454"/>
        <v>PARTICULAR</v>
      </c>
      <c r="N2368" s="26">
        <v>16</v>
      </c>
      <c r="O2368" s="26">
        <v>8</v>
      </c>
      <c r="P2368" s="26">
        <v>8</v>
      </c>
      <c r="Q2368" s="26">
        <v>3</v>
      </c>
      <c r="R2368" s="26">
        <v>1</v>
      </c>
      <c r="S2368" s="26">
        <v>2</v>
      </c>
      <c r="T2368" s="26">
        <v>2</v>
      </c>
      <c r="U2368" s="26">
        <v>5</v>
      </c>
      <c r="V2368" s="26">
        <v>1</v>
      </c>
      <c r="W2368" s="26"/>
    </row>
    <row r="2369" spans="1:23" x14ac:dyDescent="0.25">
      <c r="A2369" s="26" t="str">
        <f t="shared" si="444"/>
        <v>PREESCOLAR</v>
      </c>
      <c r="B2369" s="26" t="str">
        <f>"09PJN4653C"</f>
        <v>09PJN4653C</v>
      </c>
      <c r="C2369" s="26" t="str">
        <f>"COLEGIO ANTARES                                                                                     "</f>
        <v xml:space="preserve">COLEGIO ANTARES                                                                                     </v>
      </c>
      <c r="D2369" s="26" t="str">
        <f t="shared" si="446"/>
        <v>MATUTINO</v>
      </c>
      <c r="E2369" s="26" t="str">
        <f>"PROLONGACION ANILLO PERIFERICO NO. 49                                           "</f>
        <v xml:space="preserve">PROLONGACION ANILLO PERIFERICO NO. 49                                           </v>
      </c>
      <c r="F2369" s="26" t="str">
        <f>"CONSTITUCION 1917                                                                                                                           "</f>
        <v xml:space="preserve">CONSTITUCION 1917                                                                                                                           </v>
      </c>
      <c r="G2369" s="26" t="str">
        <f t="shared" si="450"/>
        <v xml:space="preserve">IZTAPALAPA                                                                      </v>
      </c>
      <c r="H2369" s="26" t="str">
        <f t="shared" si="451"/>
        <v>000</v>
      </c>
      <c r="I2369" s="26" t="str">
        <f t="shared" si="445"/>
        <v>00</v>
      </c>
      <c r="J2369" s="26" t="str">
        <f>"64 "</f>
        <v xml:space="preserve">64 </v>
      </c>
      <c r="K2369" s="26" t="str">
        <f t="shared" si="452"/>
        <v>IZ</v>
      </c>
      <c r="L2369" s="26" t="str">
        <f t="shared" si="453"/>
        <v>DGSEI</v>
      </c>
      <c r="M2369" s="26" t="str">
        <f t="shared" si="454"/>
        <v>PARTICULAR</v>
      </c>
      <c r="N2369" s="26">
        <v>11</v>
      </c>
      <c r="O2369" s="26">
        <v>5</v>
      </c>
      <c r="P2369" s="26">
        <v>6</v>
      </c>
      <c r="Q2369" s="26">
        <v>3</v>
      </c>
      <c r="R2369" s="26">
        <v>1</v>
      </c>
      <c r="S2369" s="26">
        <v>3</v>
      </c>
      <c r="T2369" s="26">
        <v>1</v>
      </c>
      <c r="U2369" s="26">
        <v>5</v>
      </c>
      <c r="V2369" s="26">
        <v>1</v>
      </c>
      <c r="W2369" s="26"/>
    </row>
    <row r="2370" spans="1:23" x14ac:dyDescent="0.25">
      <c r="A2370" s="26" t="str">
        <f t="shared" ref="A2370:A2433" si="455">"PREESCOLAR"</f>
        <v>PREESCOLAR</v>
      </c>
      <c r="B2370" s="26" t="str">
        <f>"09PJN4655A"</f>
        <v>09PJN4655A</v>
      </c>
      <c r="C2370" s="26" t="str">
        <f>"CENTRO CULTURAL LAFAYETTE                                                                           "</f>
        <v xml:space="preserve">CENTRO CULTURAL LAFAYETTE                                                                           </v>
      </c>
      <c r="D2370" s="26" t="str">
        <f>"VESPERTINO"</f>
        <v>VESPERTINO</v>
      </c>
      <c r="E2370" s="26" t="str">
        <f>"GUERRERO MZ. 501 LT. 11                                                         "</f>
        <v xml:space="preserve">GUERRERO MZ. 501 LT. 11                                                         </v>
      </c>
      <c r="F2370" s="26" t="str">
        <f>"IXTLAHUACAN                                                                                                                                 "</f>
        <v xml:space="preserve">IXTLAHUACAN                                                                                                                                 </v>
      </c>
      <c r="G2370" s="26" t="str">
        <f t="shared" si="450"/>
        <v xml:space="preserve">IZTAPALAPA                                                                      </v>
      </c>
      <c r="H2370" s="26" t="str">
        <f t="shared" si="451"/>
        <v>000</v>
      </c>
      <c r="I2370" s="26" t="str">
        <f t="shared" ref="I2370:I2433" si="456">"00"</f>
        <v>00</v>
      </c>
      <c r="J2370" s="26" t="str">
        <f>"64 "</f>
        <v xml:space="preserve">64 </v>
      </c>
      <c r="K2370" s="26" t="str">
        <f t="shared" si="452"/>
        <v>IZ</v>
      </c>
      <c r="L2370" s="26" t="str">
        <f t="shared" si="453"/>
        <v>DGSEI</v>
      </c>
      <c r="M2370" s="26" t="str">
        <f t="shared" si="454"/>
        <v>PARTICULAR</v>
      </c>
      <c r="N2370" s="26">
        <v>5</v>
      </c>
      <c r="O2370" s="26">
        <v>1</v>
      </c>
      <c r="P2370" s="26">
        <v>4</v>
      </c>
      <c r="Q2370" s="26">
        <v>1</v>
      </c>
      <c r="R2370" s="26">
        <v>1</v>
      </c>
      <c r="S2370" s="26">
        <v>1</v>
      </c>
      <c r="T2370" s="26">
        <v>0</v>
      </c>
      <c r="U2370" s="26">
        <v>2</v>
      </c>
      <c r="V2370" s="26">
        <v>1</v>
      </c>
      <c r="W2370" s="26"/>
    </row>
    <row r="2371" spans="1:23" x14ac:dyDescent="0.25">
      <c r="A2371" s="26" t="str">
        <f t="shared" si="455"/>
        <v>PREESCOLAR</v>
      </c>
      <c r="B2371" s="26" t="str">
        <f>"09PJN4656Z"</f>
        <v>09PJN4656Z</v>
      </c>
      <c r="C2371" s="26" t="str">
        <f>"INSTITUTO PEDAGOGICO CRISTOBAL COLON                                                                "</f>
        <v xml:space="preserve">INSTITUTO PEDAGOGICO CRISTOBAL COLON                                                                </v>
      </c>
      <c r="D2371" s="26" t="str">
        <f t="shared" ref="D2371:D2434" si="457">"MATUTINO"</f>
        <v>MATUTINO</v>
      </c>
      <c r="E2371" s="26" t="str">
        <f>"VERIN No. 73                                                                    "</f>
        <v xml:space="preserve">VERIN No. 73                                                                    </v>
      </c>
      <c r="F2371" s="26" t="str">
        <f>"CERRO DE LA ESTRELLA                                                                                                                        "</f>
        <v xml:space="preserve">CERRO DE LA ESTRELLA                                                                                                                        </v>
      </c>
      <c r="G2371" s="26" t="str">
        <f t="shared" si="450"/>
        <v xml:space="preserve">IZTAPALAPA                                                                      </v>
      </c>
      <c r="H2371" s="26" t="str">
        <f t="shared" si="451"/>
        <v>000</v>
      </c>
      <c r="I2371" s="26" t="str">
        <f t="shared" si="456"/>
        <v>00</v>
      </c>
      <c r="J2371" s="26" t="str">
        <f>"63 "</f>
        <v xml:space="preserve">63 </v>
      </c>
      <c r="K2371" s="26" t="str">
        <f t="shared" si="452"/>
        <v>IZ</v>
      </c>
      <c r="L2371" s="26" t="str">
        <f t="shared" si="453"/>
        <v>DGSEI</v>
      </c>
      <c r="M2371" s="26" t="str">
        <f t="shared" si="454"/>
        <v>PARTICULAR</v>
      </c>
      <c r="N2371" s="26">
        <v>8</v>
      </c>
      <c r="O2371" s="26">
        <v>3</v>
      </c>
      <c r="P2371" s="26">
        <v>5</v>
      </c>
      <c r="Q2371" s="26">
        <v>3</v>
      </c>
      <c r="R2371" s="26">
        <v>1</v>
      </c>
      <c r="S2371" s="26">
        <v>1</v>
      </c>
      <c r="T2371" s="26">
        <v>1</v>
      </c>
      <c r="U2371" s="26">
        <v>3</v>
      </c>
      <c r="V2371" s="26">
        <v>1</v>
      </c>
      <c r="W2371" s="26"/>
    </row>
    <row r="2372" spans="1:23" x14ac:dyDescent="0.25">
      <c r="A2372" s="26" t="str">
        <f t="shared" si="455"/>
        <v>PREESCOLAR</v>
      </c>
      <c r="B2372" s="26" t="str">
        <f>"09PJN4659X"</f>
        <v>09PJN4659X</v>
      </c>
      <c r="C2372" s="26" t="str">
        <f>"MUNDO DE SUEÑOS                                                                                     "</f>
        <v xml:space="preserve">MUNDO DE SUEÑOS                                                                                     </v>
      </c>
      <c r="D2372" s="26" t="str">
        <f t="shared" si="457"/>
        <v>MATUTINO</v>
      </c>
      <c r="E2372" s="26" t="str">
        <f>"MANUEL PEREZ ROMERO NO. 42                                                      "</f>
        <v xml:space="preserve">MANUEL PEREZ ROMERO NO. 42                                                      </v>
      </c>
      <c r="F2372" s="26" t="str">
        <f>"SANTA MARTHA ACATITLA AMPLIACION                                                                                                            "</f>
        <v xml:space="preserve">SANTA MARTHA ACATITLA AMPLIACION                                                                                                            </v>
      </c>
      <c r="G2372" s="26" t="str">
        <f t="shared" si="450"/>
        <v xml:space="preserve">IZTAPALAPA                                                                      </v>
      </c>
      <c r="H2372" s="26" t="str">
        <f t="shared" si="451"/>
        <v>000</v>
      </c>
      <c r="I2372" s="26" t="str">
        <f t="shared" si="456"/>
        <v>00</v>
      </c>
      <c r="J2372" s="26" t="str">
        <f>"62 "</f>
        <v xml:space="preserve">62 </v>
      </c>
      <c r="K2372" s="26" t="str">
        <f t="shared" si="452"/>
        <v>IZ</v>
      </c>
      <c r="L2372" s="26" t="str">
        <f t="shared" si="453"/>
        <v>DGSEI</v>
      </c>
      <c r="M2372" s="26" t="str">
        <f t="shared" si="454"/>
        <v>PARTICULAR</v>
      </c>
      <c r="N2372" s="26">
        <v>50</v>
      </c>
      <c r="O2372" s="26">
        <v>28</v>
      </c>
      <c r="P2372" s="26">
        <v>22</v>
      </c>
      <c r="Q2372" s="26">
        <v>3</v>
      </c>
      <c r="R2372" s="26">
        <v>1</v>
      </c>
      <c r="S2372" s="26">
        <v>2</v>
      </c>
      <c r="T2372" s="26">
        <v>3</v>
      </c>
      <c r="U2372" s="26">
        <v>6</v>
      </c>
      <c r="V2372" s="26">
        <v>1</v>
      </c>
      <c r="W2372" s="26"/>
    </row>
    <row r="2373" spans="1:23" x14ac:dyDescent="0.25">
      <c r="A2373" s="26" t="str">
        <f t="shared" si="455"/>
        <v>PREESCOLAR</v>
      </c>
      <c r="B2373" s="26" t="str">
        <f>"09PJN4660M"</f>
        <v>09PJN4660M</v>
      </c>
      <c r="C2373" s="26" t="str">
        <f>"COLEGIO DE ORIENTE                                                                                  "</f>
        <v xml:space="preserve">COLEGIO DE ORIENTE                                                                                  </v>
      </c>
      <c r="D2373" s="26" t="str">
        <f t="shared" si="457"/>
        <v>MATUTINO</v>
      </c>
      <c r="E2373" s="26" t="str">
        <f>"11 DE AGOSTO DE 1859 No. 1579                                                   "</f>
        <v xml:space="preserve">11 DE AGOSTO DE 1859 No. 1579                                                   </v>
      </c>
      <c r="F2373" s="26" t="str">
        <f>"LEYES DE REFORMA                                                                                                                            "</f>
        <v xml:space="preserve">LEYES DE REFORMA                                                                                                                            </v>
      </c>
      <c r="G2373" s="26" t="str">
        <f t="shared" si="450"/>
        <v xml:space="preserve">IZTAPALAPA                                                                      </v>
      </c>
      <c r="H2373" s="26" t="str">
        <f t="shared" si="451"/>
        <v>000</v>
      </c>
      <c r="I2373" s="26" t="str">
        <f t="shared" si="456"/>
        <v>00</v>
      </c>
      <c r="J2373" s="26" t="str">
        <f>"61 "</f>
        <v xml:space="preserve">61 </v>
      </c>
      <c r="K2373" s="26" t="str">
        <f t="shared" si="452"/>
        <v>IZ</v>
      </c>
      <c r="L2373" s="26" t="str">
        <f t="shared" si="453"/>
        <v>DGSEI</v>
      </c>
      <c r="M2373" s="26" t="str">
        <f t="shared" si="454"/>
        <v>PARTICULAR</v>
      </c>
      <c r="N2373" s="26">
        <v>52</v>
      </c>
      <c r="O2373" s="26">
        <v>23</v>
      </c>
      <c r="P2373" s="26">
        <v>29</v>
      </c>
      <c r="Q2373" s="26">
        <v>3</v>
      </c>
      <c r="R2373" s="26">
        <v>1</v>
      </c>
      <c r="S2373" s="26">
        <v>3</v>
      </c>
      <c r="T2373" s="26">
        <v>15</v>
      </c>
      <c r="U2373" s="26">
        <v>19</v>
      </c>
      <c r="V2373" s="26">
        <v>1</v>
      </c>
      <c r="W2373" s="26"/>
    </row>
    <row r="2374" spans="1:23" x14ac:dyDescent="0.25">
      <c r="A2374" s="26" t="str">
        <f t="shared" si="455"/>
        <v>PREESCOLAR</v>
      </c>
      <c r="B2374" s="26" t="str">
        <f>"09PJN4663J"</f>
        <v>09PJN4663J</v>
      </c>
      <c r="C2374" s="26" t="str">
        <f>"COLEGIO HEIDELBERG                                                                                  "</f>
        <v xml:space="preserve">COLEGIO HEIDELBERG                                                                                  </v>
      </c>
      <c r="D2374" s="26" t="str">
        <f t="shared" si="457"/>
        <v>MATUTINO</v>
      </c>
      <c r="E2374" s="26" t="str">
        <f>"SINATEL No. 2                                                                   "</f>
        <v xml:space="preserve">SINATEL No. 2                                                                   </v>
      </c>
      <c r="F2374" s="26" t="str">
        <f>"SINATEL AMPLIACION                                                                                                                          "</f>
        <v xml:space="preserve">SINATEL AMPLIACION                                                                                                                          </v>
      </c>
      <c r="G2374" s="26" t="str">
        <f t="shared" si="450"/>
        <v xml:space="preserve">IZTAPALAPA                                                                      </v>
      </c>
      <c r="H2374" s="26" t="str">
        <f t="shared" si="451"/>
        <v>000</v>
      </c>
      <c r="I2374" s="26" t="str">
        <f t="shared" si="456"/>
        <v>00</v>
      </c>
      <c r="J2374" s="26" t="str">
        <f>"61 "</f>
        <v xml:space="preserve">61 </v>
      </c>
      <c r="K2374" s="26" t="str">
        <f t="shared" si="452"/>
        <v>IZ</v>
      </c>
      <c r="L2374" s="26" t="str">
        <f t="shared" si="453"/>
        <v>DGSEI</v>
      </c>
      <c r="M2374" s="26" t="str">
        <f t="shared" si="454"/>
        <v>PARTICULAR</v>
      </c>
      <c r="N2374" s="26">
        <v>26</v>
      </c>
      <c r="O2374" s="26">
        <v>11</v>
      </c>
      <c r="P2374" s="26">
        <v>15</v>
      </c>
      <c r="Q2374" s="26">
        <v>3</v>
      </c>
      <c r="R2374" s="26">
        <v>1</v>
      </c>
      <c r="S2374" s="26">
        <v>2</v>
      </c>
      <c r="T2374" s="26">
        <v>3</v>
      </c>
      <c r="U2374" s="26">
        <v>6</v>
      </c>
      <c r="V2374" s="26">
        <v>1</v>
      </c>
      <c r="W2374" s="26"/>
    </row>
    <row r="2375" spans="1:23" x14ac:dyDescent="0.25">
      <c r="A2375" s="26" t="str">
        <f t="shared" si="455"/>
        <v>PREESCOLAR</v>
      </c>
      <c r="B2375" s="26" t="str">
        <f>"09PJN4668E"</f>
        <v>09PJN4668E</v>
      </c>
      <c r="C2375" s="26" t="str">
        <f>"EL CASTILLO ENCANTADO                                                                               "</f>
        <v xml:space="preserve">EL CASTILLO ENCANTADO                                                                               </v>
      </c>
      <c r="D2375" s="26" t="str">
        <f t="shared" si="457"/>
        <v>MATUTINO</v>
      </c>
      <c r="E2375" s="26" t="str">
        <f>"2DO. CALLEJON DE SAN IGNACIO S/N MZ. 4 LT. 7-A                                  "</f>
        <v xml:space="preserve">2DO. CALLEJON DE SAN IGNACIO S/N MZ. 4 LT. 7-A                                  </v>
      </c>
      <c r="F2375" s="26" t="str">
        <f>"SAN IGNACIO                                                                                                                                 "</f>
        <v xml:space="preserve">SAN IGNACIO                                                                                                                                 </v>
      </c>
      <c r="G2375" s="26" t="str">
        <f t="shared" si="450"/>
        <v xml:space="preserve">IZTAPALAPA                                                                      </v>
      </c>
      <c r="H2375" s="26" t="str">
        <f t="shared" si="451"/>
        <v>000</v>
      </c>
      <c r="I2375" s="26" t="str">
        <f t="shared" si="456"/>
        <v>00</v>
      </c>
      <c r="J2375" s="26" t="str">
        <f>"61 "</f>
        <v xml:space="preserve">61 </v>
      </c>
      <c r="K2375" s="26" t="str">
        <f t="shared" si="452"/>
        <v>IZ</v>
      </c>
      <c r="L2375" s="26" t="str">
        <f t="shared" si="453"/>
        <v>DGSEI</v>
      </c>
      <c r="M2375" s="26" t="str">
        <f t="shared" si="454"/>
        <v>PARTICULAR</v>
      </c>
      <c r="N2375" s="26">
        <v>24</v>
      </c>
      <c r="O2375" s="26">
        <v>10</v>
      </c>
      <c r="P2375" s="26">
        <v>14</v>
      </c>
      <c r="Q2375" s="26">
        <v>2</v>
      </c>
      <c r="R2375" s="26">
        <v>1</v>
      </c>
      <c r="S2375" s="26">
        <v>1</v>
      </c>
      <c r="T2375" s="26">
        <v>2</v>
      </c>
      <c r="U2375" s="26">
        <v>4</v>
      </c>
      <c r="V2375" s="26">
        <v>1</v>
      </c>
      <c r="W2375" s="26"/>
    </row>
    <row r="2376" spans="1:23" x14ac:dyDescent="0.25">
      <c r="A2376" s="26" t="str">
        <f t="shared" si="455"/>
        <v>PREESCOLAR</v>
      </c>
      <c r="B2376" s="26" t="str">
        <f>"09PJN4670T"</f>
        <v>09PJN4670T</v>
      </c>
      <c r="C2376" s="26" t="str">
        <f>"DANTE ALIGHIERI                                                                                     "</f>
        <v xml:space="preserve">DANTE ALIGHIERI                                                                                     </v>
      </c>
      <c r="D2376" s="26" t="str">
        <f t="shared" si="457"/>
        <v>MATUTINO</v>
      </c>
      <c r="E2376" s="26" t="str">
        <f>"NETZAHUALCOYOTL MZ. 35 LT. 60                                                   "</f>
        <v xml:space="preserve">NETZAHUALCOYOTL MZ. 35 LT. 60                                                   </v>
      </c>
      <c r="F2376" s="26" t="str">
        <f>"ESTRELLAS DEL SUR                                                                                                                           "</f>
        <v xml:space="preserve">ESTRELLAS DEL SUR                                                                                                                           </v>
      </c>
      <c r="G2376" s="26" t="str">
        <f t="shared" si="450"/>
        <v xml:space="preserve">IZTAPALAPA                                                                      </v>
      </c>
      <c r="H2376" s="26" t="str">
        <f t="shared" si="451"/>
        <v>000</v>
      </c>
      <c r="I2376" s="26" t="str">
        <f t="shared" si="456"/>
        <v>00</v>
      </c>
      <c r="J2376" s="26" t="str">
        <f>"61 "</f>
        <v xml:space="preserve">61 </v>
      </c>
      <c r="K2376" s="26" t="str">
        <f t="shared" si="452"/>
        <v>IZ</v>
      </c>
      <c r="L2376" s="26" t="str">
        <f t="shared" si="453"/>
        <v>DGSEI</v>
      </c>
      <c r="M2376" s="26" t="str">
        <f t="shared" si="454"/>
        <v>PARTICULAR</v>
      </c>
      <c r="N2376" s="26">
        <v>74</v>
      </c>
      <c r="O2376" s="26">
        <v>40</v>
      </c>
      <c r="P2376" s="26">
        <v>34</v>
      </c>
      <c r="Q2376" s="26">
        <v>3</v>
      </c>
      <c r="R2376" s="26">
        <v>1</v>
      </c>
      <c r="S2376" s="26">
        <v>3</v>
      </c>
      <c r="T2376" s="26">
        <v>0</v>
      </c>
      <c r="U2376" s="26">
        <v>4</v>
      </c>
      <c r="V2376" s="26">
        <v>1</v>
      </c>
      <c r="W2376" s="26"/>
    </row>
    <row r="2377" spans="1:23" x14ac:dyDescent="0.25">
      <c r="A2377" s="26" t="str">
        <f t="shared" si="455"/>
        <v>PREESCOLAR</v>
      </c>
      <c r="B2377" s="26" t="str">
        <f>"09PJN4671S"</f>
        <v>09PJN4671S</v>
      </c>
      <c r="C2377" s="26" t="str">
        <f>"MARTHAJARY                                                                                          "</f>
        <v xml:space="preserve">MARTHAJARY                                                                                          </v>
      </c>
      <c r="D2377" s="26" t="str">
        <f t="shared" si="457"/>
        <v>MATUTINO</v>
      </c>
      <c r="E2377" s="26" t="str">
        <f>"LAUREL Mz. 3 Lt. 3                                                              "</f>
        <v xml:space="preserve">LAUREL Mz. 3 Lt. 3                                                              </v>
      </c>
      <c r="F2377" s="26" t="str">
        <f>"EL MANTO                                                                                                                                    "</f>
        <v xml:space="preserve">EL MANTO                                                                                                                                    </v>
      </c>
      <c r="G2377" s="26" t="str">
        <f t="shared" si="450"/>
        <v xml:space="preserve">IZTAPALAPA                                                                      </v>
      </c>
      <c r="H2377" s="26" t="str">
        <f t="shared" si="451"/>
        <v>000</v>
      </c>
      <c r="I2377" s="26" t="str">
        <f t="shared" si="456"/>
        <v>00</v>
      </c>
      <c r="J2377" s="26" t="str">
        <f>"61 "</f>
        <v xml:space="preserve">61 </v>
      </c>
      <c r="K2377" s="26" t="str">
        <f t="shared" si="452"/>
        <v>IZ</v>
      </c>
      <c r="L2377" s="26" t="str">
        <f t="shared" si="453"/>
        <v>DGSEI</v>
      </c>
      <c r="M2377" s="26" t="str">
        <f t="shared" si="454"/>
        <v>PARTICULAR</v>
      </c>
      <c r="N2377" s="26">
        <v>18</v>
      </c>
      <c r="O2377" s="26">
        <v>7</v>
      </c>
      <c r="P2377" s="26">
        <v>11</v>
      </c>
      <c r="Q2377" s="26">
        <v>3</v>
      </c>
      <c r="R2377" s="26">
        <v>1</v>
      </c>
      <c r="S2377" s="26">
        <v>2</v>
      </c>
      <c r="T2377" s="26">
        <v>2</v>
      </c>
      <c r="U2377" s="26">
        <v>5</v>
      </c>
      <c r="V2377" s="26">
        <v>1</v>
      </c>
      <c r="W2377" s="26"/>
    </row>
    <row r="2378" spans="1:23" x14ac:dyDescent="0.25">
      <c r="A2378" s="26" t="str">
        <f t="shared" si="455"/>
        <v>PREESCOLAR</v>
      </c>
      <c r="B2378" s="26" t="str">
        <f>"09PJN4672R"</f>
        <v>09PJN4672R</v>
      </c>
      <c r="C2378" s="26" t="str">
        <f>"EMMANUEL KANT                                                                                       "</f>
        <v xml:space="preserve">EMMANUEL KANT                                                                                       </v>
      </c>
      <c r="D2378" s="26" t="str">
        <f t="shared" si="457"/>
        <v>MATUTINO</v>
      </c>
      <c r="E2378" s="26" t="str">
        <f>"VENUSTIANO CARRANZA S/N                                                         "</f>
        <v xml:space="preserve">VENUSTIANO CARRANZA S/N                                                         </v>
      </c>
      <c r="F2378" s="26" t="str">
        <f>"SANTA MARTHA ACATITLA AMPLIACION                                                                                                            "</f>
        <v xml:space="preserve">SANTA MARTHA ACATITLA AMPLIACION                                                                                                            </v>
      </c>
      <c r="G2378" s="26" t="str">
        <f t="shared" si="450"/>
        <v xml:space="preserve">IZTAPALAPA                                                                      </v>
      </c>
      <c r="H2378" s="26" t="str">
        <f t="shared" si="451"/>
        <v>000</v>
      </c>
      <c r="I2378" s="26" t="str">
        <f t="shared" si="456"/>
        <v>00</v>
      </c>
      <c r="J2378" s="26" t="str">
        <f>"62 "</f>
        <v xml:space="preserve">62 </v>
      </c>
      <c r="K2378" s="26" t="str">
        <f t="shared" si="452"/>
        <v>IZ</v>
      </c>
      <c r="L2378" s="26" t="str">
        <f t="shared" si="453"/>
        <v>DGSEI</v>
      </c>
      <c r="M2378" s="26" t="str">
        <f t="shared" si="454"/>
        <v>PARTICULAR</v>
      </c>
      <c r="N2378" s="26">
        <v>21</v>
      </c>
      <c r="O2378" s="26">
        <v>8</v>
      </c>
      <c r="P2378" s="26">
        <v>13</v>
      </c>
      <c r="Q2378" s="26">
        <v>3</v>
      </c>
      <c r="R2378" s="26">
        <v>1</v>
      </c>
      <c r="S2378" s="26">
        <v>2</v>
      </c>
      <c r="T2378" s="26">
        <v>5</v>
      </c>
      <c r="U2378" s="26">
        <v>8</v>
      </c>
      <c r="V2378" s="26">
        <v>1</v>
      </c>
      <c r="W2378" s="26"/>
    </row>
    <row r="2379" spans="1:23" x14ac:dyDescent="0.25">
      <c r="A2379" s="26" t="str">
        <f t="shared" si="455"/>
        <v>PREESCOLAR</v>
      </c>
      <c r="B2379" s="26" t="str">
        <f>"09PJN4673Q"</f>
        <v>09PJN4673Q</v>
      </c>
      <c r="C2379" s="26" t="str">
        <f>"CESAR COLL                                                                                          "</f>
        <v xml:space="preserve">CESAR COLL                                                                                          </v>
      </c>
      <c r="D2379" s="26" t="str">
        <f t="shared" si="457"/>
        <v>MATUTINO</v>
      </c>
      <c r="E2379" s="26" t="str">
        <f>"MURALLA DE CAMPECHE Mz. 33 Lt. 7                                                "</f>
        <v xml:space="preserve">MURALLA DE CAMPECHE Mz. 33 Lt. 7                                                </v>
      </c>
      <c r="F2379" s="26" t="str">
        <f>"BUENAVISTA                                                                                                                                  "</f>
        <v xml:space="preserve">BUENAVISTA                                                                                                                                  </v>
      </c>
      <c r="G2379" s="26" t="str">
        <f t="shared" si="450"/>
        <v xml:space="preserve">IZTAPALAPA                                                                      </v>
      </c>
      <c r="H2379" s="26" t="str">
        <f t="shared" si="451"/>
        <v>000</v>
      </c>
      <c r="I2379" s="26" t="str">
        <f t="shared" si="456"/>
        <v>00</v>
      </c>
      <c r="J2379" s="26" t="str">
        <f>"64 "</f>
        <v xml:space="preserve">64 </v>
      </c>
      <c r="K2379" s="26" t="str">
        <f t="shared" si="452"/>
        <v>IZ</v>
      </c>
      <c r="L2379" s="26" t="str">
        <f t="shared" si="453"/>
        <v>DGSEI</v>
      </c>
      <c r="M2379" s="26" t="str">
        <f t="shared" si="454"/>
        <v>PARTICULAR</v>
      </c>
      <c r="N2379" s="26">
        <v>27</v>
      </c>
      <c r="O2379" s="26">
        <v>12</v>
      </c>
      <c r="P2379" s="26">
        <v>15</v>
      </c>
      <c r="Q2379" s="26">
        <v>2</v>
      </c>
      <c r="R2379" s="26">
        <v>1</v>
      </c>
      <c r="S2379" s="26">
        <v>2</v>
      </c>
      <c r="T2379" s="26">
        <v>0</v>
      </c>
      <c r="U2379" s="26">
        <v>3</v>
      </c>
      <c r="V2379" s="26">
        <v>1</v>
      </c>
      <c r="W2379" s="26"/>
    </row>
    <row r="2380" spans="1:23" x14ac:dyDescent="0.25">
      <c r="A2380" s="26" t="str">
        <f t="shared" si="455"/>
        <v>PREESCOLAR</v>
      </c>
      <c r="B2380" s="26" t="str">
        <f>"09PJN4674P"</f>
        <v>09PJN4674P</v>
      </c>
      <c r="C2380" s="26" t="str">
        <f>"ESTRELLITA FELIZ                                                                                    "</f>
        <v xml:space="preserve">ESTRELLITA FELIZ                                                                                    </v>
      </c>
      <c r="D2380" s="26" t="str">
        <f t="shared" si="457"/>
        <v>MATUTINO</v>
      </c>
      <c r="E2380" s="26" t="str">
        <f>"OCASO Mz. 1 Lt. 12                                                              "</f>
        <v xml:space="preserve">OCASO Mz. 1 Lt. 12                                                              </v>
      </c>
      <c r="F2380" s="26" t="str">
        <f>"VALLE DE LUCES                                                                                                                              "</f>
        <v xml:space="preserve">VALLE DE LUCES                                                                                                                              </v>
      </c>
      <c r="G2380" s="26" t="str">
        <f t="shared" si="450"/>
        <v xml:space="preserve">IZTAPALAPA                                                                      </v>
      </c>
      <c r="H2380" s="26" t="str">
        <f t="shared" si="451"/>
        <v>000</v>
      </c>
      <c r="I2380" s="26" t="str">
        <f t="shared" si="456"/>
        <v>00</v>
      </c>
      <c r="J2380" s="26" t="str">
        <f>"61 "</f>
        <v xml:space="preserve">61 </v>
      </c>
      <c r="K2380" s="26" t="str">
        <f t="shared" si="452"/>
        <v>IZ</v>
      </c>
      <c r="L2380" s="26" t="str">
        <f t="shared" si="453"/>
        <v>DGSEI</v>
      </c>
      <c r="M2380" s="26" t="str">
        <f t="shared" si="454"/>
        <v>PARTICULAR</v>
      </c>
      <c r="N2380" s="26">
        <v>45</v>
      </c>
      <c r="O2380" s="26">
        <v>15</v>
      </c>
      <c r="P2380" s="26">
        <v>30</v>
      </c>
      <c r="Q2380" s="26">
        <v>3</v>
      </c>
      <c r="R2380" s="26">
        <v>1</v>
      </c>
      <c r="S2380" s="26">
        <v>3</v>
      </c>
      <c r="T2380" s="26">
        <v>5</v>
      </c>
      <c r="U2380" s="26">
        <v>9</v>
      </c>
      <c r="V2380" s="26">
        <v>1</v>
      </c>
      <c r="W2380" s="26"/>
    </row>
    <row r="2381" spans="1:23" x14ac:dyDescent="0.25">
      <c r="A2381" s="26" t="str">
        <f t="shared" si="455"/>
        <v>PREESCOLAR</v>
      </c>
      <c r="B2381" s="26" t="str">
        <f>"09PJN4675O"</f>
        <v>09PJN4675O</v>
      </c>
      <c r="C2381" s="26" t="str">
        <f>"CHARLES BELL                                                                                        "</f>
        <v xml:space="preserve">CHARLES BELL                                                                                        </v>
      </c>
      <c r="D2381" s="26" t="str">
        <f t="shared" si="457"/>
        <v>MATUTINO</v>
      </c>
      <c r="E2381" s="26" t="str">
        <f>"RETORNO TUYEHUALCO No. 5                                                        "</f>
        <v xml:space="preserve">RETORNO TUYEHUALCO No. 5                                                        </v>
      </c>
      <c r="F2381" s="26" t="str">
        <f>"LOMAS ESTRELLA                                                                                                                              "</f>
        <v xml:space="preserve">LOMAS ESTRELLA                                                                                                                              </v>
      </c>
      <c r="G2381" s="26" t="str">
        <f t="shared" si="450"/>
        <v xml:space="preserve">IZTAPALAPA                                                                      </v>
      </c>
      <c r="H2381" s="26" t="str">
        <f t="shared" si="451"/>
        <v>000</v>
      </c>
      <c r="I2381" s="26" t="str">
        <f t="shared" si="456"/>
        <v>00</v>
      </c>
      <c r="J2381" s="26" t="str">
        <f>"63 "</f>
        <v xml:space="preserve">63 </v>
      </c>
      <c r="K2381" s="26" t="str">
        <f t="shared" si="452"/>
        <v>IZ</v>
      </c>
      <c r="L2381" s="26" t="str">
        <f t="shared" si="453"/>
        <v>DGSEI</v>
      </c>
      <c r="M2381" s="26" t="str">
        <f t="shared" si="454"/>
        <v>PARTICULAR</v>
      </c>
      <c r="N2381" s="26">
        <v>28</v>
      </c>
      <c r="O2381" s="26">
        <v>18</v>
      </c>
      <c r="P2381" s="26">
        <v>10</v>
      </c>
      <c r="Q2381" s="26">
        <v>2</v>
      </c>
      <c r="R2381" s="26">
        <v>1</v>
      </c>
      <c r="S2381" s="26">
        <v>2</v>
      </c>
      <c r="T2381" s="26">
        <v>3</v>
      </c>
      <c r="U2381" s="26">
        <v>6</v>
      </c>
      <c r="V2381" s="26">
        <v>1</v>
      </c>
      <c r="W2381" s="26"/>
    </row>
    <row r="2382" spans="1:23" x14ac:dyDescent="0.25">
      <c r="A2382" s="26" t="str">
        <f t="shared" si="455"/>
        <v>PREESCOLAR</v>
      </c>
      <c r="B2382" s="26" t="str">
        <f>"09PJN4676N"</f>
        <v>09PJN4676N</v>
      </c>
      <c r="C2382" s="26" t="str">
        <f>"INSTITUTO PEDAGOGICO ERASE UNA VEZ                                                                  "</f>
        <v xml:space="preserve">INSTITUTO PEDAGOGICO ERASE UNA VEZ                                                                  </v>
      </c>
      <c r="D2382" s="26" t="str">
        <f t="shared" si="457"/>
        <v>MATUTINO</v>
      </c>
      <c r="E2382" s="26" t="str">
        <f>"OSUNA NO. 90                                                                    "</f>
        <v xml:space="preserve">OSUNA NO. 90                                                                    </v>
      </c>
      <c r="F2382" s="26" t="str">
        <f>"CERRO DE LA ESTRELLA                                                                                                                        "</f>
        <v xml:space="preserve">CERRO DE LA ESTRELLA                                                                                                                        </v>
      </c>
      <c r="G2382" s="26" t="str">
        <f t="shared" si="450"/>
        <v xml:space="preserve">IZTAPALAPA                                                                      </v>
      </c>
      <c r="H2382" s="26" t="str">
        <f t="shared" si="451"/>
        <v>000</v>
      </c>
      <c r="I2382" s="26" t="str">
        <f t="shared" si="456"/>
        <v>00</v>
      </c>
      <c r="J2382" s="26" t="str">
        <f>"63 "</f>
        <v xml:space="preserve">63 </v>
      </c>
      <c r="K2382" s="26" t="str">
        <f t="shared" si="452"/>
        <v>IZ</v>
      </c>
      <c r="L2382" s="26" t="str">
        <f t="shared" si="453"/>
        <v>DGSEI</v>
      </c>
      <c r="M2382" s="26" t="str">
        <f t="shared" si="454"/>
        <v>PARTICULAR</v>
      </c>
      <c r="N2382" s="26">
        <v>37</v>
      </c>
      <c r="O2382" s="26">
        <v>16</v>
      </c>
      <c r="P2382" s="26">
        <v>21</v>
      </c>
      <c r="Q2382" s="26">
        <v>3</v>
      </c>
      <c r="R2382" s="26">
        <v>1</v>
      </c>
      <c r="S2382" s="26">
        <v>3</v>
      </c>
      <c r="T2382" s="26">
        <v>1</v>
      </c>
      <c r="U2382" s="26">
        <v>5</v>
      </c>
      <c r="V2382" s="26">
        <v>1</v>
      </c>
      <c r="W2382" s="26"/>
    </row>
    <row r="2383" spans="1:23" x14ac:dyDescent="0.25">
      <c r="A2383" s="26" t="str">
        <f t="shared" si="455"/>
        <v>PREESCOLAR</v>
      </c>
      <c r="B2383" s="26" t="str">
        <f>"09PJN4677M"</f>
        <v>09PJN4677M</v>
      </c>
      <c r="C2383" s="26" t="str">
        <f>"PAIDOS                                                                                              "</f>
        <v xml:space="preserve">PAIDOS                                                                                              </v>
      </c>
      <c r="D2383" s="26" t="str">
        <f t="shared" si="457"/>
        <v>MATUTINO</v>
      </c>
      <c r="E2383" s="26" t="str">
        <f>"9NA. CDA. DE CAÑADA MZ. 18 LT. 18                                               "</f>
        <v xml:space="preserve">9NA. CDA. DE CAÑADA MZ. 18 LT. 18                                               </v>
      </c>
      <c r="F2383" s="26" t="str">
        <f>"SAN PABLO                                                                                                                                   "</f>
        <v xml:space="preserve">SAN PABLO                                                                                                                                   </v>
      </c>
      <c r="G2383" s="26" t="str">
        <f t="shared" si="450"/>
        <v xml:space="preserve">IZTAPALAPA                                                                      </v>
      </c>
      <c r="H2383" s="26" t="str">
        <f t="shared" si="451"/>
        <v>000</v>
      </c>
      <c r="I2383" s="26" t="str">
        <f t="shared" si="456"/>
        <v>00</v>
      </c>
      <c r="J2383" s="26" t="str">
        <f>"64 "</f>
        <v xml:space="preserve">64 </v>
      </c>
      <c r="K2383" s="26" t="str">
        <f t="shared" si="452"/>
        <v>IZ</v>
      </c>
      <c r="L2383" s="26" t="str">
        <f t="shared" si="453"/>
        <v>DGSEI</v>
      </c>
      <c r="M2383" s="26" t="str">
        <f t="shared" si="454"/>
        <v>PARTICULAR</v>
      </c>
      <c r="N2383" s="26">
        <v>38</v>
      </c>
      <c r="O2383" s="26">
        <v>23</v>
      </c>
      <c r="P2383" s="26">
        <v>15</v>
      </c>
      <c r="Q2383" s="26">
        <v>3</v>
      </c>
      <c r="R2383" s="26">
        <v>1</v>
      </c>
      <c r="S2383" s="26">
        <v>3</v>
      </c>
      <c r="T2383" s="26">
        <v>2</v>
      </c>
      <c r="U2383" s="26">
        <v>6</v>
      </c>
      <c r="V2383" s="26">
        <v>1</v>
      </c>
      <c r="W2383" s="26"/>
    </row>
    <row r="2384" spans="1:23" x14ac:dyDescent="0.25">
      <c r="A2384" s="26" t="str">
        <f t="shared" si="455"/>
        <v>PREESCOLAR</v>
      </c>
      <c r="B2384" s="26" t="str">
        <f>"09PJN4679K"</f>
        <v>09PJN4679K</v>
      </c>
      <c r="C2384" s="26" t="str">
        <f>"SALVADOR DALI                                                                                       "</f>
        <v xml:space="preserve">SALVADOR DALI                                                                                       </v>
      </c>
      <c r="D2384" s="26" t="str">
        <f t="shared" si="457"/>
        <v>MATUTINO</v>
      </c>
      <c r="E2384" s="26" t="str">
        <f>"TLACATECUITLI MZ. 47 LT. 4                                                      "</f>
        <v xml:space="preserve">TLACATECUITLI MZ. 47 LT. 4                                                      </v>
      </c>
      <c r="F2384" s="26" t="str">
        <f>"LOS REYES AMPLIACION                                                                                                                        "</f>
        <v xml:space="preserve">LOS REYES AMPLIACION                                                                                                                        </v>
      </c>
      <c r="G2384" s="26" t="str">
        <f t="shared" si="450"/>
        <v xml:space="preserve">IZTAPALAPA                                                                      </v>
      </c>
      <c r="H2384" s="26" t="str">
        <f t="shared" si="451"/>
        <v>000</v>
      </c>
      <c r="I2384" s="26" t="str">
        <f t="shared" si="456"/>
        <v>00</v>
      </c>
      <c r="J2384" s="26" t="str">
        <f>"61 "</f>
        <v xml:space="preserve">61 </v>
      </c>
      <c r="K2384" s="26" t="str">
        <f t="shared" si="452"/>
        <v>IZ</v>
      </c>
      <c r="L2384" s="26" t="str">
        <f t="shared" si="453"/>
        <v>DGSEI</v>
      </c>
      <c r="M2384" s="26" t="str">
        <f t="shared" si="454"/>
        <v>PARTICULAR</v>
      </c>
      <c r="N2384" s="26">
        <v>38</v>
      </c>
      <c r="O2384" s="26">
        <v>16</v>
      </c>
      <c r="P2384" s="26">
        <v>22</v>
      </c>
      <c r="Q2384" s="26">
        <v>3</v>
      </c>
      <c r="R2384" s="26">
        <v>1</v>
      </c>
      <c r="S2384" s="26">
        <v>3</v>
      </c>
      <c r="T2384" s="26">
        <v>1</v>
      </c>
      <c r="U2384" s="26">
        <v>5</v>
      </c>
      <c r="V2384" s="26">
        <v>1</v>
      </c>
      <c r="W2384" s="26"/>
    </row>
    <row r="2385" spans="1:23" x14ac:dyDescent="0.25">
      <c r="A2385" s="26" t="str">
        <f t="shared" si="455"/>
        <v>PREESCOLAR</v>
      </c>
      <c r="B2385" s="26" t="str">
        <f>"09PJN4680Z"</f>
        <v>09PJN4680Z</v>
      </c>
      <c r="C2385" s="26" t="str">
        <f>"CENTRO DE DESARROLLO INFANTIL FROBEL                                                                "</f>
        <v xml:space="preserve">CENTRO DE DESARROLLO INFANTIL FROBEL                                                                </v>
      </c>
      <c r="D2385" s="26" t="str">
        <f t="shared" si="457"/>
        <v>MATUTINO</v>
      </c>
      <c r="E2385" s="26" t="str">
        <f>"CARLOS DUPLAN MALDONADO No. 123                                                 "</f>
        <v xml:space="preserve">CARLOS DUPLAN MALDONADO No. 123                                                 </v>
      </c>
      <c r="F2385" s="26" t="str">
        <f>"COLONIAL IZTAPALAPA                                                                                                                         "</f>
        <v xml:space="preserve">COLONIAL IZTAPALAPA                                                                                                                         </v>
      </c>
      <c r="G2385" s="26" t="str">
        <f t="shared" si="450"/>
        <v xml:space="preserve">IZTAPALAPA                                                                      </v>
      </c>
      <c r="H2385" s="26" t="str">
        <f t="shared" si="451"/>
        <v>000</v>
      </c>
      <c r="I2385" s="26" t="str">
        <f t="shared" si="456"/>
        <v>00</v>
      </c>
      <c r="J2385" s="26" t="str">
        <f>"64 "</f>
        <v xml:space="preserve">64 </v>
      </c>
      <c r="K2385" s="26" t="str">
        <f t="shared" si="452"/>
        <v>IZ</v>
      </c>
      <c r="L2385" s="26" t="str">
        <f t="shared" si="453"/>
        <v>DGSEI</v>
      </c>
      <c r="M2385" s="26" t="str">
        <f t="shared" si="454"/>
        <v>PARTICULAR</v>
      </c>
      <c r="N2385" s="26">
        <v>14</v>
      </c>
      <c r="O2385" s="26">
        <v>5</v>
      </c>
      <c r="P2385" s="26">
        <v>9</v>
      </c>
      <c r="Q2385" s="26">
        <v>2</v>
      </c>
      <c r="R2385" s="26">
        <v>1</v>
      </c>
      <c r="S2385" s="26">
        <v>1</v>
      </c>
      <c r="T2385" s="26">
        <v>3</v>
      </c>
      <c r="U2385" s="26">
        <v>5</v>
      </c>
      <c r="V2385" s="26">
        <v>1</v>
      </c>
      <c r="W2385" s="26"/>
    </row>
    <row r="2386" spans="1:23" x14ac:dyDescent="0.25">
      <c r="A2386" s="26" t="str">
        <f t="shared" si="455"/>
        <v>PREESCOLAR</v>
      </c>
      <c r="B2386" s="26" t="str">
        <f>"09PJN4681Z"</f>
        <v>09PJN4681Z</v>
      </c>
      <c r="C2386" s="26" t="str">
        <f>"SIMBA                                                                                               "</f>
        <v xml:space="preserve">SIMBA                                                                                               </v>
      </c>
      <c r="D2386" s="26" t="str">
        <f t="shared" si="457"/>
        <v>MATUTINO</v>
      </c>
      <c r="E2386" s="26" t="str">
        <f>"POPOCATEPELT MZ. 111 LT. 18                                                     "</f>
        <v xml:space="preserve">POPOCATEPELT MZ. 111 LT. 18                                                     </v>
      </c>
      <c r="F2386" s="26" t="str">
        <f>"SAN MIGUEL TEOTONGO                                                                                                                         "</f>
        <v xml:space="preserve">SAN MIGUEL TEOTONGO                                                                                                                         </v>
      </c>
      <c r="G2386" s="26" t="str">
        <f t="shared" si="450"/>
        <v xml:space="preserve">IZTAPALAPA                                                                      </v>
      </c>
      <c r="H2386" s="26" t="str">
        <f t="shared" si="451"/>
        <v>000</v>
      </c>
      <c r="I2386" s="26" t="str">
        <f t="shared" si="456"/>
        <v>00</v>
      </c>
      <c r="J2386" s="26" t="str">
        <f>"64 "</f>
        <v xml:space="preserve">64 </v>
      </c>
      <c r="K2386" s="26" t="str">
        <f t="shared" si="452"/>
        <v>IZ</v>
      </c>
      <c r="L2386" s="26" t="str">
        <f t="shared" si="453"/>
        <v>DGSEI</v>
      </c>
      <c r="M2386" s="26" t="str">
        <f t="shared" si="454"/>
        <v>PARTICULAR</v>
      </c>
      <c r="N2386" s="26">
        <v>30</v>
      </c>
      <c r="O2386" s="26">
        <v>22</v>
      </c>
      <c r="P2386" s="26">
        <v>8</v>
      </c>
      <c r="Q2386" s="26">
        <v>3</v>
      </c>
      <c r="R2386" s="26">
        <v>1</v>
      </c>
      <c r="S2386" s="26">
        <v>1</v>
      </c>
      <c r="T2386" s="26">
        <v>5</v>
      </c>
      <c r="U2386" s="26">
        <v>7</v>
      </c>
      <c r="V2386" s="26">
        <v>1</v>
      </c>
      <c r="W2386" s="26"/>
    </row>
    <row r="2387" spans="1:23" x14ac:dyDescent="0.25">
      <c r="A2387" s="26" t="str">
        <f t="shared" si="455"/>
        <v>PREESCOLAR</v>
      </c>
      <c r="B2387" s="26" t="str">
        <f>"09PJN4683X"</f>
        <v>09PJN4683X</v>
      </c>
      <c r="C2387" s="26" t="str">
        <f>"MICKYLANDIA                                                                                         "</f>
        <v xml:space="preserve">MICKYLANDIA                                                                                         </v>
      </c>
      <c r="D2387" s="26" t="str">
        <f t="shared" si="457"/>
        <v>MATUTINO</v>
      </c>
      <c r="E2387" s="26" t="str">
        <f>"JESUS MARIA MZ 43 LT 37                                                         "</f>
        <v xml:space="preserve">JESUS MARIA MZ 43 LT 37                                                         </v>
      </c>
      <c r="F2387" s="26" t="str">
        <f>"CARLOS HANK GONZALEZ                                                                                                                        "</f>
        <v xml:space="preserve">CARLOS HANK GONZALEZ                                                                                                                        </v>
      </c>
      <c r="G2387" s="26" t="str">
        <f t="shared" si="450"/>
        <v xml:space="preserve">IZTAPALAPA                                                                      </v>
      </c>
      <c r="H2387" s="26" t="str">
        <f t="shared" si="451"/>
        <v>000</v>
      </c>
      <c r="I2387" s="26" t="str">
        <f t="shared" si="456"/>
        <v>00</v>
      </c>
      <c r="J2387" s="26" t="str">
        <f>"63 "</f>
        <v xml:space="preserve">63 </v>
      </c>
      <c r="K2387" s="26" t="str">
        <f t="shared" si="452"/>
        <v>IZ</v>
      </c>
      <c r="L2387" s="26" t="str">
        <f t="shared" si="453"/>
        <v>DGSEI</v>
      </c>
      <c r="M2387" s="26" t="str">
        <f t="shared" si="454"/>
        <v>PARTICULAR</v>
      </c>
      <c r="N2387" s="26">
        <v>39</v>
      </c>
      <c r="O2387" s="26">
        <v>21</v>
      </c>
      <c r="P2387" s="26">
        <v>18</v>
      </c>
      <c r="Q2387" s="26">
        <v>3</v>
      </c>
      <c r="R2387" s="26">
        <v>1</v>
      </c>
      <c r="S2387" s="26">
        <v>2</v>
      </c>
      <c r="T2387" s="26">
        <v>5</v>
      </c>
      <c r="U2387" s="26">
        <v>8</v>
      </c>
      <c r="V2387" s="26">
        <v>1</v>
      </c>
      <c r="W2387" s="26"/>
    </row>
    <row r="2388" spans="1:23" x14ac:dyDescent="0.25">
      <c r="A2388" s="26" t="str">
        <f t="shared" si="455"/>
        <v>PREESCOLAR</v>
      </c>
      <c r="B2388" s="26" t="str">
        <f>"09PJN4685V"</f>
        <v>09PJN4685V</v>
      </c>
      <c r="C2388" s="26" t="str">
        <f>"TOPILTZIN                                                                                           "</f>
        <v xml:space="preserve">TOPILTZIN                                                                                           </v>
      </c>
      <c r="D2388" s="26" t="str">
        <f t="shared" si="457"/>
        <v>MATUTINO</v>
      </c>
      <c r="E2388" s="26" t="str">
        <f>"ERNESTO AGUIRRE COLORADO No. 3                                                  "</f>
        <v xml:space="preserve">ERNESTO AGUIRRE COLORADO No. 3                                                  </v>
      </c>
      <c r="F2388" s="26" t="str">
        <f>"SAN LORENZO XICOTENCATL                                                                                                                     "</f>
        <v xml:space="preserve">SAN LORENZO XICOTENCATL                                                                                                                     </v>
      </c>
      <c r="G2388" s="26" t="str">
        <f t="shared" si="450"/>
        <v xml:space="preserve">IZTAPALAPA                                                                      </v>
      </c>
      <c r="H2388" s="26" t="str">
        <f t="shared" si="451"/>
        <v>000</v>
      </c>
      <c r="I2388" s="26" t="str">
        <f t="shared" si="456"/>
        <v>00</v>
      </c>
      <c r="J2388" s="26" t="str">
        <f>"62 "</f>
        <v xml:space="preserve">62 </v>
      </c>
      <c r="K2388" s="26" t="str">
        <f t="shared" si="452"/>
        <v>IZ</v>
      </c>
      <c r="L2388" s="26" t="str">
        <f t="shared" si="453"/>
        <v>DGSEI</v>
      </c>
      <c r="M2388" s="26" t="str">
        <f t="shared" si="454"/>
        <v>PARTICULAR</v>
      </c>
      <c r="N2388" s="26">
        <v>41</v>
      </c>
      <c r="O2388" s="26">
        <v>22</v>
      </c>
      <c r="P2388" s="26">
        <v>19</v>
      </c>
      <c r="Q2388" s="26">
        <v>3</v>
      </c>
      <c r="R2388" s="26">
        <v>1</v>
      </c>
      <c r="S2388" s="26">
        <v>3</v>
      </c>
      <c r="T2388" s="26">
        <v>4</v>
      </c>
      <c r="U2388" s="26">
        <v>8</v>
      </c>
      <c r="V2388" s="26">
        <v>1</v>
      </c>
      <c r="W2388" s="26"/>
    </row>
    <row r="2389" spans="1:23" x14ac:dyDescent="0.25">
      <c r="A2389" s="26" t="str">
        <f t="shared" si="455"/>
        <v>PREESCOLAR</v>
      </c>
      <c r="B2389" s="26" t="str">
        <f>"09PJN4687T"</f>
        <v>09PJN4687T</v>
      </c>
      <c r="C2389" s="26" t="str">
        <f>"HENRY WALLON                                                                                        "</f>
        <v xml:space="preserve">HENRY WALLON                                                                                        </v>
      </c>
      <c r="D2389" s="26" t="str">
        <f t="shared" si="457"/>
        <v>MATUTINO</v>
      </c>
      <c r="E2389" s="26" t="str">
        <f>"OLIVO MZ. 2 LT. 22                                                              "</f>
        <v xml:space="preserve">OLIVO MZ. 2 LT. 22                                                              </v>
      </c>
      <c r="F2389" s="26" t="str">
        <f>"CONSEJO AGRARISTA MEXICANO                                                                                                                  "</f>
        <v xml:space="preserve">CONSEJO AGRARISTA MEXICANO                                                                                                                  </v>
      </c>
      <c r="G2389" s="26" t="str">
        <f t="shared" si="450"/>
        <v xml:space="preserve">IZTAPALAPA                                                                      </v>
      </c>
      <c r="H2389" s="26" t="str">
        <f t="shared" si="451"/>
        <v>000</v>
      </c>
      <c r="I2389" s="26" t="str">
        <f t="shared" si="456"/>
        <v>00</v>
      </c>
      <c r="J2389" s="26" t="str">
        <f>"63 "</f>
        <v xml:space="preserve">63 </v>
      </c>
      <c r="K2389" s="26" t="str">
        <f t="shared" si="452"/>
        <v>IZ</v>
      </c>
      <c r="L2389" s="26" t="str">
        <f t="shared" si="453"/>
        <v>DGSEI</v>
      </c>
      <c r="M2389" s="26" t="str">
        <f t="shared" si="454"/>
        <v>PARTICULAR</v>
      </c>
      <c r="N2389" s="26">
        <v>31</v>
      </c>
      <c r="O2389" s="26">
        <v>24</v>
      </c>
      <c r="P2389" s="26">
        <v>7</v>
      </c>
      <c r="Q2389" s="26">
        <v>3</v>
      </c>
      <c r="R2389" s="26">
        <v>1</v>
      </c>
      <c r="S2389" s="26">
        <v>3</v>
      </c>
      <c r="T2389" s="26">
        <v>1</v>
      </c>
      <c r="U2389" s="26">
        <v>5</v>
      </c>
      <c r="V2389" s="26">
        <v>1</v>
      </c>
      <c r="W2389" s="26"/>
    </row>
    <row r="2390" spans="1:23" x14ac:dyDescent="0.25">
      <c r="A2390" s="26" t="str">
        <f t="shared" si="455"/>
        <v>PREESCOLAR</v>
      </c>
      <c r="B2390" s="26" t="str">
        <f>"09PJN4688S"</f>
        <v>09PJN4688S</v>
      </c>
      <c r="C2390" s="26" t="str">
        <f>"LITTLE EINSTEINS                                                                                    "</f>
        <v xml:space="preserve">LITTLE EINSTEINS                                                                                    </v>
      </c>
      <c r="D2390" s="26" t="str">
        <f t="shared" si="457"/>
        <v>MATUTINO</v>
      </c>
      <c r="E2390" s="26" t="str">
        <f>"DR. MANUEL MARTINEZ SOLORZANO NO. 31                                            "</f>
        <v xml:space="preserve">DR. MANUEL MARTINEZ SOLORZANO NO. 31                                            </v>
      </c>
      <c r="F2390" s="26" t="str">
        <f>"CONSTITUCION 1917                                                                                                                           "</f>
        <v xml:space="preserve">CONSTITUCION 1917                                                                                                                           </v>
      </c>
      <c r="G2390" s="26" t="str">
        <f t="shared" si="450"/>
        <v xml:space="preserve">IZTAPALAPA                                                                      </v>
      </c>
      <c r="H2390" s="26" t="str">
        <f t="shared" si="451"/>
        <v>000</v>
      </c>
      <c r="I2390" s="26" t="str">
        <f t="shared" si="456"/>
        <v>00</v>
      </c>
      <c r="J2390" s="26" t="str">
        <f>"62 "</f>
        <v xml:space="preserve">62 </v>
      </c>
      <c r="K2390" s="26" t="str">
        <f t="shared" si="452"/>
        <v>IZ</v>
      </c>
      <c r="L2390" s="26" t="str">
        <f t="shared" si="453"/>
        <v>DGSEI</v>
      </c>
      <c r="M2390" s="26" t="str">
        <f t="shared" si="454"/>
        <v>PARTICULAR</v>
      </c>
      <c r="N2390" s="26">
        <v>13</v>
      </c>
      <c r="O2390" s="26">
        <v>3</v>
      </c>
      <c r="P2390" s="26">
        <v>10</v>
      </c>
      <c r="Q2390" s="26">
        <v>3</v>
      </c>
      <c r="R2390" s="26">
        <v>1</v>
      </c>
      <c r="S2390" s="26">
        <v>2</v>
      </c>
      <c r="T2390" s="26">
        <v>3</v>
      </c>
      <c r="U2390" s="26">
        <v>6</v>
      </c>
      <c r="V2390" s="26">
        <v>1</v>
      </c>
      <c r="W2390" s="26"/>
    </row>
    <row r="2391" spans="1:23" x14ac:dyDescent="0.25">
      <c r="A2391" s="26" t="str">
        <f t="shared" si="455"/>
        <v>PREESCOLAR</v>
      </c>
      <c r="B2391" s="26" t="str">
        <f>"09PJN4693D"</f>
        <v>09PJN4693D</v>
      </c>
      <c r="C2391" s="26" t="str">
        <f>"PEQUEÑOS GIRASOLES                                                                                  "</f>
        <v xml:space="preserve">PEQUEÑOS GIRASOLES                                                                                  </v>
      </c>
      <c r="D2391" s="26" t="str">
        <f t="shared" si="457"/>
        <v>MATUTINO</v>
      </c>
      <c r="E2391" s="26" t="str">
        <f>"AV. TLAHUAC 3841                                                                "</f>
        <v xml:space="preserve">AV. TLAHUAC 3841                                                                </v>
      </c>
      <c r="F2391" s="26" t="str">
        <f>"SAN ANDRES TOMATLAN                                                                                                                         "</f>
        <v xml:space="preserve">SAN ANDRES TOMATLAN                                                                                                                         </v>
      </c>
      <c r="G2391" s="26" t="str">
        <f t="shared" si="450"/>
        <v xml:space="preserve">IZTAPALAPA                                                                      </v>
      </c>
      <c r="H2391" s="26" t="str">
        <f t="shared" si="451"/>
        <v>000</v>
      </c>
      <c r="I2391" s="26" t="str">
        <f t="shared" si="456"/>
        <v>00</v>
      </c>
      <c r="J2391" s="26" t="str">
        <f>"63 "</f>
        <v xml:space="preserve">63 </v>
      </c>
      <c r="K2391" s="26" t="str">
        <f t="shared" si="452"/>
        <v>IZ</v>
      </c>
      <c r="L2391" s="26" t="str">
        <f t="shared" si="453"/>
        <v>DGSEI</v>
      </c>
      <c r="M2391" s="26" t="str">
        <f t="shared" si="454"/>
        <v>PARTICULAR</v>
      </c>
      <c r="N2391" s="26">
        <v>18</v>
      </c>
      <c r="O2391" s="26">
        <v>8</v>
      </c>
      <c r="P2391" s="26">
        <v>10</v>
      </c>
      <c r="Q2391" s="26">
        <v>2</v>
      </c>
      <c r="R2391" s="26">
        <v>1</v>
      </c>
      <c r="S2391" s="26">
        <v>1</v>
      </c>
      <c r="T2391" s="26">
        <v>1</v>
      </c>
      <c r="U2391" s="26">
        <v>3</v>
      </c>
      <c r="V2391" s="26">
        <v>1</v>
      </c>
      <c r="W2391" s="26"/>
    </row>
    <row r="2392" spans="1:23" x14ac:dyDescent="0.25">
      <c r="A2392" s="26" t="str">
        <f t="shared" si="455"/>
        <v>PREESCOLAR</v>
      </c>
      <c r="B2392" s="26" t="str">
        <f>"09PJN4694C"</f>
        <v>09PJN4694C</v>
      </c>
      <c r="C2392" s="26" t="str">
        <f>"MUNDO GEA                                                                                           "</f>
        <v xml:space="preserve">MUNDO GEA                                                                                           </v>
      </c>
      <c r="D2392" s="26" t="str">
        <f t="shared" si="457"/>
        <v>MATUTINO</v>
      </c>
      <c r="E2392" s="26" t="str">
        <f>"CDA. RAFAEL SIERRA MZ. 58 LT. 1                                                 "</f>
        <v xml:space="preserve">CDA. RAFAEL SIERRA MZ. 58 LT. 1                                                 </v>
      </c>
      <c r="F2392" s="26" t="str">
        <f>"PARAJE SAN JUAN                                                                                                                             "</f>
        <v xml:space="preserve">PARAJE SAN JUAN                                                                                                                             </v>
      </c>
      <c r="G2392" s="26" t="str">
        <f t="shared" si="450"/>
        <v xml:space="preserve">IZTAPALAPA                                                                      </v>
      </c>
      <c r="H2392" s="26" t="str">
        <f t="shared" si="451"/>
        <v>000</v>
      </c>
      <c r="I2392" s="26" t="str">
        <f t="shared" si="456"/>
        <v>00</v>
      </c>
      <c r="J2392" s="26" t="str">
        <f>"63 "</f>
        <v xml:space="preserve">63 </v>
      </c>
      <c r="K2392" s="26" t="str">
        <f t="shared" si="452"/>
        <v>IZ</v>
      </c>
      <c r="L2392" s="26" t="str">
        <f t="shared" si="453"/>
        <v>DGSEI</v>
      </c>
      <c r="M2392" s="26" t="str">
        <f t="shared" si="454"/>
        <v>PARTICULAR</v>
      </c>
      <c r="N2392" s="26">
        <v>8</v>
      </c>
      <c r="O2392" s="26">
        <v>5</v>
      </c>
      <c r="P2392" s="26">
        <v>3</v>
      </c>
      <c r="Q2392" s="26">
        <v>2</v>
      </c>
      <c r="R2392" s="26">
        <v>1</v>
      </c>
      <c r="S2392" s="26">
        <v>1</v>
      </c>
      <c r="T2392" s="26">
        <v>2</v>
      </c>
      <c r="U2392" s="26">
        <v>4</v>
      </c>
      <c r="V2392" s="26">
        <v>1</v>
      </c>
      <c r="W2392" s="26"/>
    </row>
    <row r="2393" spans="1:23" x14ac:dyDescent="0.25">
      <c r="A2393" s="26" t="str">
        <f t="shared" si="455"/>
        <v>PREESCOLAR</v>
      </c>
      <c r="B2393" s="26" t="str">
        <f>"09PJN4695B"</f>
        <v>09PJN4695B</v>
      </c>
      <c r="C2393" s="26" t="str">
        <f>"FRANCOISE DOLTO                                                                                     "</f>
        <v xml:space="preserve">FRANCOISE DOLTO                                                                                     </v>
      </c>
      <c r="D2393" s="26" t="str">
        <f t="shared" si="457"/>
        <v>MATUTINO</v>
      </c>
      <c r="E2393" s="26" t="str">
        <f>"RIO ATOYAC No. 79                                                               "</f>
        <v xml:space="preserve">RIO ATOYAC No. 79                                                               </v>
      </c>
      <c r="F2393" s="26" t="str">
        <f>"LOMAS SAN LORENZO                                                                                                                           "</f>
        <v xml:space="preserve">LOMAS SAN LORENZO                                                                                                                           </v>
      </c>
      <c r="G2393" s="26" t="str">
        <f t="shared" si="450"/>
        <v xml:space="preserve">IZTAPALAPA                                                                      </v>
      </c>
      <c r="H2393" s="26" t="str">
        <f t="shared" si="451"/>
        <v>000</v>
      </c>
      <c r="I2393" s="26" t="str">
        <f t="shared" si="456"/>
        <v>00</v>
      </c>
      <c r="J2393" s="26" t="str">
        <f>"63 "</f>
        <v xml:space="preserve">63 </v>
      </c>
      <c r="K2393" s="26" t="str">
        <f t="shared" si="452"/>
        <v>IZ</v>
      </c>
      <c r="L2393" s="26" t="str">
        <f t="shared" si="453"/>
        <v>DGSEI</v>
      </c>
      <c r="M2393" s="26" t="str">
        <f t="shared" si="454"/>
        <v>PARTICULAR</v>
      </c>
      <c r="N2393" s="26">
        <v>31</v>
      </c>
      <c r="O2393" s="26">
        <v>19</v>
      </c>
      <c r="P2393" s="26">
        <v>12</v>
      </c>
      <c r="Q2393" s="26">
        <v>2</v>
      </c>
      <c r="R2393" s="26">
        <v>1</v>
      </c>
      <c r="S2393" s="26">
        <v>2</v>
      </c>
      <c r="T2393" s="26">
        <v>2</v>
      </c>
      <c r="U2393" s="26">
        <v>5</v>
      </c>
      <c r="V2393" s="26">
        <v>1</v>
      </c>
      <c r="W2393" s="26"/>
    </row>
    <row r="2394" spans="1:23" x14ac:dyDescent="0.25">
      <c r="A2394" s="26" t="str">
        <f t="shared" si="455"/>
        <v>PREESCOLAR</v>
      </c>
      <c r="B2394" s="26" t="str">
        <f>"09PJN4696A"</f>
        <v>09PJN4696A</v>
      </c>
      <c r="C2394" s="26" t="str">
        <f>"COLEGIO VASCO DE QUIROGA                                                                            "</f>
        <v xml:space="preserve">COLEGIO VASCO DE QUIROGA                                                                            </v>
      </c>
      <c r="D2394" s="26" t="str">
        <f t="shared" si="457"/>
        <v>MATUTINO</v>
      </c>
      <c r="E2394" s="26" t="str">
        <f>"MADRID No. 64                                                                   "</f>
        <v xml:space="preserve">MADRID No. 64                                                                   </v>
      </c>
      <c r="F2394" s="26" t="str">
        <f>"CERRO DE LA ESTRELLA                                                                                                                        "</f>
        <v xml:space="preserve">CERRO DE LA ESTRELLA                                                                                                                        </v>
      </c>
      <c r="G2394" s="26" t="str">
        <f t="shared" si="450"/>
        <v xml:space="preserve">IZTAPALAPA                                                                      </v>
      </c>
      <c r="H2394" s="26" t="str">
        <f t="shared" si="451"/>
        <v>000</v>
      </c>
      <c r="I2394" s="26" t="str">
        <f t="shared" si="456"/>
        <v>00</v>
      </c>
      <c r="J2394" s="26" t="str">
        <f>"63 "</f>
        <v xml:space="preserve">63 </v>
      </c>
      <c r="K2394" s="26" t="str">
        <f t="shared" si="452"/>
        <v>IZ</v>
      </c>
      <c r="L2394" s="26" t="str">
        <f t="shared" si="453"/>
        <v>DGSEI</v>
      </c>
      <c r="M2394" s="26" t="str">
        <f t="shared" si="454"/>
        <v>PARTICULAR</v>
      </c>
      <c r="N2394" s="26">
        <v>44</v>
      </c>
      <c r="O2394" s="26">
        <v>18</v>
      </c>
      <c r="P2394" s="26">
        <v>26</v>
      </c>
      <c r="Q2394" s="26">
        <v>3</v>
      </c>
      <c r="R2394" s="26">
        <v>1</v>
      </c>
      <c r="S2394" s="26">
        <v>3</v>
      </c>
      <c r="T2394" s="26">
        <v>5</v>
      </c>
      <c r="U2394" s="26">
        <v>9</v>
      </c>
      <c r="V2394" s="26">
        <v>1</v>
      </c>
      <c r="W2394" s="26"/>
    </row>
    <row r="2395" spans="1:23" x14ac:dyDescent="0.25">
      <c r="A2395" s="26" t="str">
        <f t="shared" si="455"/>
        <v>PREESCOLAR</v>
      </c>
      <c r="B2395" s="26" t="str">
        <f>"09PJN4697Z"</f>
        <v>09PJN4697Z</v>
      </c>
      <c r="C2395" s="26" t="str">
        <f>"COLEGIO PLAY AND DO                                                                                 "</f>
        <v xml:space="preserve">COLEGIO PLAY AND DO                                                                                 </v>
      </c>
      <c r="D2395" s="26" t="str">
        <f t="shared" si="457"/>
        <v>MATUTINO</v>
      </c>
      <c r="E2395" s="26" t="str">
        <f>"CALLE 8 MZ. 14 LT. 133 D                                                        "</f>
        <v xml:space="preserve">CALLE 8 MZ. 14 LT. 133 D                                                        </v>
      </c>
      <c r="F2395" s="26" t="str">
        <f>"LEYES DE REFORMA                                                                                                                            "</f>
        <v xml:space="preserve">LEYES DE REFORMA                                                                                                                            </v>
      </c>
      <c r="G2395" s="26" t="str">
        <f t="shared" si="450"/>
        <v xml:space="preserve">IZTAPALAPA                                                                      </v>
      </c>
      <c r="H2395" s="26" t="str">
        <f t="shared" si="451"/>
        <v>000</v>
      </c>
      <c r="I2395" s="26" t="str">
        <f t="shared" si="456"/>
        <v>00</v>
      </c>
      <c r="J2395" s="26" t="str">
        <f>"61 "</f>
        <v xml:space="preserve">61 </v>
      </c>
      <c r="K2395" s="26" t="str">
        <f t="shared" si="452"/>
        <v>IZ</v>
      </c>
      <c r="L2395" s="26" t="str">
        <f t="shared" si="453"/>
        <v>DGSEI</v>
      </c>
      <c r="M2395" s="26" t="str">
        <f t="shared" si="454"/>
        <v>PARTICULAR</v>
      </c>
      <c r="N2395" s="26">
        <v>14</v>
      </c>
      <c r="O2395" s="26">
        <v>6</v>
      </c>
      <c r="P2395" s="26">
        <v>8</v>
      </c>
      <c r="Q2395" s="26">
        <v>3</v>
      </c>
      <c r="R2395" s="26">
        <v>1</v>
      </c>
      <c r="S2395" s="26">
        <v>1</v>
      </c>
      <c r="T2395" s="26">
        <v>3</v>
      </c>
      <c r="U2395" s="26">
        <v>5</v>
      </c>
      <c r="V2395" s="26">
        <v>1</v>
      </c>
      <c r="W2395" s="26"/>
    </row>
    <row r="2396" spans="1:23" x14ac:dyDescent="0.25">
      <c r="A2396" s="26" t="str">
        <f t="shared" si="455"/>
        <v>PREESCOLAR</v>
      </c>
      <c r="B2396" s="26" t="str">
        <f>"09PJN4698Z"</f>
        <v>09PJN4698Z</v>
      </c>
      <c r="C2396" s="26" t="str">
        <f>"COLEGIO RODOLFO USIGLI PLANTEL IZTAPALAPA                                                           "</f>
        <v xml:space="preserve">COLEGIO RODOLFO USIGLI PLANTEL IZTAPALAPA                                                           </v>
      </c>
      <c r="D2396" s="26" t="str">
        <f t="shared" si="457"/>
        <v>MATUTINO</v>
      </c>
      <c r="E2396" s="26" t="str">
        <f>"GERMANIO NO. 34                                                                 "</f>
        <v xml:space="preserve">GERMANIO NO. 34                                                                 </v>
      </c>
      <c r="F2396" s="26" t="str">
        <f>"IZTAPALAPA CENTRO                                                                                                                           "</f>
        <v xml:space="preserve">IZTAPALAPA CENTRO                                                                                                                           </v>
      </c>
      <c r="G2396" s="26" t="str">
        <f t="shared" si="450"/>
        <v xml:space="preserve">IZTAPALAPA                                                                      </v>
      </c>
      <c r="H2396" s="26" t="str">
        <f t="shared" si="451"/>
        <v>000</v>
      </c>
      <c r="I2396" s="26" t="str">
        <f t="shared" si="456"/>
        <v>00</v>
      </c>
      <c r="J2396" s="26" t="str">
        <f>"63 "</f>
        <v xml:space="preserve">63 </v>
      </c>
      <c r="K2396" s="26" t="str">
        <f t="shared" si="452"/>
        <v>IZ</v>
      </c>
      <c r="L2396" s="26" t="str">
        <f t="shared" si="453"/>
        <v>DGSEI</v>
      </c>
      <c r="M2396" s="26" t="str">
        <f t="shared" si="454"/>
        <v>PARTICULAR</v>
      </c>
      <c r="N2396" s="26">
        <v>44</v>
      </c>
      <c r="O2396" s="26">
        <v>16</v>
      </c>
      <c r="P2396" s="26">
        <v>28</v>
      </c>
      <c r="Q2396" s="26">
        <v>3</v>
      </c>
      <c r="R2396" s="26">
        <v>2</v>
      </c>
      <c r="S2396" s="26">
        <v>2</v>
      </c>
      <c r="T2396" s="26">
        <v>4</v>
      </c>
      <c r="U2396" s="26">
        <v>8</v>
      </c>
      <c r="V2396" s="26">
        <v>1</v>
      </c>
      <c r="W2396" s="26"/>
    </row>
    <row r="2397" spans="1:23" x14ac:dyDescent="0.25">
      <c r="A2397" s="26" t="str">
        <f t="shared" si="455"/>
        <v>PREESCOLAR</v>
      </c>
      <c r="B2397" s="26" t="str">
        <f>"09PJN4699Y"</f>
        <v>09PJN4699Y</v>
      </c>
      <c r="C2397" s="26" t="str">
        <f>"COLEGIO HUMANISTA MARTIN LUTHER KING                                                                "</f>
        <v xml:space="preserve">COLEGIO HUMANISTA MARTIN LUTHER KING                                                                </v>
      </c>
      <c r="D2397" s="26" t="str">
        <f t="shared" si="457"/>
        <v>MATUTINO</v>
      </c>
      <c r="E2397" s="26" t="str">
        <f>"EL ROSARIO MZ. 8 LT. 12                                                         "</f>
        <v xml:space="preserve">EL ROSARIO MZ. 8 LT. 12                                                         </v>
      </c>
      <c r="F2397" s="26" t="str">
        <f>"EL ROSARIO                                                                                                                                  "</f>
        <v xml:space="preserve">EL ROSARIO                                                                                                                                  </v>
      </c>
      <c r="G2397" s="26" t="str">
        <f t="shared" si="450"/>
        <v xml:space="preserve">IZTAPALAPA                                                                      </v>
      </c>
      <c r="H2397" s="26" t="str">
        <f t="shared" si="451"/>
        <v>000</v>
      </c>
      <c r="I2397" s="26" t="str">
        <f t="shared" si="456"/>
        <v>00</v>
      </c>
      <c r="J2397" s="26" t="str">
        <f>"63 "</f>
        <v xml:space="preserve">63 </v>
      </c>
      <c r="K2397" s="26" t="str">
        <f t="shared" si="452"/>
        <v>IZ</v>
      </c>
      <c r="L2397" s="26" t="str">
        <f t="shared" si="453"/>
        <v>DGSEI</v>
      </c>
      <c r="M2397" s="26" t="str">
        <f t="shared" si="454"/>
        <v>PARTICULAR</v>
      </c>
      <c r="N2397" s="26">
        <v>45</v>
      </c>
      <c r="O2397" s="26">
        <v>21</v>
      </c>
      <c r="P2397" s="26">
        <v>24</v>
      </c>
      <c r="Q2397" s="26">
        <v>3</v>
      </c>
      <c r="R2397" s="26">
        <v>1</v>
      </c>
      <c r="S2397" s="26">
        <v>2</v>
      </c>
      <c r="T2397" s="26">
        <v>5</v>
      </c>
      <c r="U2397" s="26">
        <v>8</v>
      </c>
      <c r="V2397" s="26">
        <v>1</v>
      </c>
      <c r="W2397" s="26"/>
    </row>
    <row r="2398" spans="1:23" x14ac:dyDescent="0.25">
      <c r="A2398" s="26" t="str">
        <f t="shared" si="455"/>
        <v>PREESCOLAR</v>
      </c>
      <c r="B2398" s="26" t="str">
        <f>"09PJN4700X"</f>
        <v>09PJN4700X</v>
      </c>
      <c r="C2398" s="26" t="str">
        <f>"PEQUEÑOS ESTUDIANTES                                                                                "</f>
        <v xml:space="preserve">PEQUEÑOS ESTUDIANTES                                                                                </v>
      </c>
      <c r="D2398" s="26" t="str">
        <f t="shared" si="457"/>
        <v>MATUTINO</v>
      </c>
      <c r="E2398" s="26" t="str">
        <f>"ADOLFO BONILLA DORANTES MZ. 1  LT. 22                                           "</f>
        <v xml:space="preserve">ADOLFO BONILLA DORANTES MZ. 1  LT. 22                                           </v>
      </c>
      <c r="F2398" s="26" t="str">
        <f>"EJERCITO DE AGUA PRIETA                                                                                                                     "</f>
        <v xml:space="preserve">EJERCITO DE AGUA PRIETA                                                                                                                     </v>
      </c>
      <c r="G2398" s="26" t="str">
        <f t="shared" si="450"/>
        <v xml:space="preserve">IZTAPALAPA                                                                      </v>
      </c>
      <c r="H2398" s="26" t="str">
        <f t="shared" si="451"/>
        <v>000</v>
      </c>
      <c r="I2398" s="26" t="str">
        <f t="shared" si="456"/>
        <v>00</v>
      </c>
      <c r="J2398" s="26" t="str">
        <f>"62 "</f>
        <v xml:space="preserve">62 </v>
      </c>
      <c r="K2398" s="26" t="str">
        <f t="shared" si="452"/>
        <v>IZ</v>
      </c>
      <c r="L2398" s="26" t="str">
        <f t="shared" si="453"/>
        <v>DGSEI</v>
      </c>
      <c r="M2398" s="26" t="str">
        <f t="shared" si="454"/>
        <v>PARTICULAR</v>
      </c>
      <c r="N2398" s="26">
        <v>14</v>
      </c>
      <c r="O2398" s="26">
        <v>8</v>
      </c>
      <c r="P2398" s="26">
        <v>6</v>
      </c>
      <c r="Q2398" s="26">
        <v>3</v>
      </c>
      <c r="R2398" s="26">
        <v>1</v>
      </c>
      <c r="S2398" s="26">
        <v>2</v>
      </c>
      <c r="T2398" s="26">
        <v>0</v>
      </c>
      <c r="U2398" s="26">
        <v>3</v>
      </c>
      <c r="V2398" s="26">
        <v>1</v>
      </c>
      <c r="W2398" s="26"/>
    </row>
    <row r="2399" spans="1:23" x14ac:dyDescent="0.25">
      <c r="A2399" s="26" t="str">
        <f t="shared" si="455"/>
        <v>PREESCOLAR</v>
      </c>
      <c r="B2399" s="26" t="str">
        <f>"09PJN4703U"</f>
        <v>09PJN4703U</v>
      </c>
      <c r="C2399" s="26" t="str">
        <f>"JARDIN DE NIÑOS GARABATOS                                                                           "</f>
        <v xml:space="preserve">JARDIN DE NIÑOS GARABATOS                                                                           </v>
      </c>
      <c r="D2399" s="26" t="str">
        <f t="shared" si="457"/>
        <v>MATUTINO</v>
      </c>
      <c r="E2399" s="26" t="str">
        <f>"NAHUATLECAS NO. 512 MZA. 43 LT. 2                                               "</f>
        <v xml:space="preserve">NAHUATLECAS NO. 512 MZA. 43 LT. 2                                               </v>
      </c>
      <c r="F2399" s="26" t="str">
        <f>"AJUSCO                                                                                                                                      "</f>
        <v xml:space="preserve">AJUSCO                                                                                                                                      </v>
      </c>
      <c r="G2399" s="26" t="str">
        <f>"COYOACAN                                                                        "</f>
        <v xml:space="preserve">COYOACAN                                                                        </v>
      </c>
      <c r="H2399" s="26" t="str">
        <f>"211"</f>
        <v>211</v>
      </c>
      <c r="I2399" s="26" t="str">
        <f t="shared" si="456"/>
        <v>00</v>
      </c>
      <c r="J2399" s="26" t="str">
        <f>"35 "</f>
        <v xml:space="preserve">35 </v>
      </c>
      <c r="K2399" s="26" t="str">
        <f t="shared" ref="K2399:K2408" si="458">"EP"</f>
        <v>EP</v>
      </c>
      <c r="L2399" s="26" t="str">
        <f t="shared" ref="L2399:L2408" si="459">"DGOSE"</f>
        <v>DGOSE</v>
      </c>
      <c r="M2399" s="26" t="str">
        <f t="shared" si="454"/>
        <v>PARTICULAR</v>
      </c>
      <c r="N2399" s="26">
        <v>79</v>
      </c>
      <c r="O2399" s="26">
        <v>49</v>
      </c>
      <c r="P2399" s="26">
        <v>30</v>
      </c>
      <c r="Q2399" s="26">
        <v>3</v>
      </c>
      <c r="R2399" s="26">
        <v>1</v>
      </c>
      <c r="S2399" s="26">
        <v>3</v>
      </c>
      <c r="T2399" s="26">
        <v>8</v>
      </c>
      <c r="U2399" s="26">
        <v>12</v>
      </c>
      <c r="V2399" s="26">
        <v>1</v>
      </c>
      <c r="W2399" s="26"/>
    </row>
    <row r="2400" spans="1:23" x14ac:dyDescent="0.25">
      <c r="A2400" s="26" t="str">
        <f t="shared" si="455"/>
        <v>PREESCOLAR</v>
      </c>
      <c r="B2400" s="26" t="str">
        <f>"09PJN4705S"</f>
        <v>09PJN4705S</v>
      </c>
      <c r="C2400" s="26" t="str">
        <f>"KINDER GARDEN EVER-BEST                                                                             "</f>
        <v xml:space="preserve">KINDER GARDEN EVER-BEST                                                                             </v>
      </c>
      <c r="D2400" s="26" t="str">
        <f t="shared" si="457"/>
        <v>MATUTINO</v>
      </c>
      <c r="E2400" s="26" t="str">
        <f>"CALLE 27 NO. 91                                                                 "</f>
        <v xml:space="preserve">CALLE 27 NO. 91                                                                 </v>
      </c>
      <c r="F2400" s="26" t="str">
        <f>"SAN PEDRO DE LOS PINOS                                                                                                                      "</f>
        <v xml:space="preserve">SAN PEDRO DE LOS PINOS                                                                                                                      </v>
      </c>
      <c r="G2400" s="26" t="str">
        <f>"BENITO JUAREZ                                                                   "</f>
        <v xml:space="preserve">BENITO JUAREZ                                                                   </v>
      </c>
      <c r="H2400" s="26" t="str">
        <f>"032"</f>
        <v>032</v>
      </c>
      <c r="I2400" s="26" t="str">
        <f t="shared" si="456"/>
        <v>00</v>
      </c>
      <c r="J2400" s="26" t="str">
        <f>"33 "</f>
        <v xml:space="preserve">33 </v>
      </c>
      <c r="K2400" s="26" t="str">
        <f t="shared" si="458"/>
        <v>EP</v>
      </c>
      <c r="L2400" s="26" t="str">
        <f t="shared" si="459"/>
        <v>DGOSE</v>
      </c>
      <c r="M2400" s="26" t="str">
        <f t="shared" si="454"/>
        <v>PARTICULAR</v>
      </c>
      <c r="N2400" s="26">
        <v>29</v>
      </c>
      <c r="O2400" s="26">
        <v>14</v>
      </c>
      <c r="P2400" s="26">
        <v>15</v>
      </c>
      <c r="Q2400" s="26">
        <v>3</v>
      </c>
      <c r="R2400" s="26">
        <v>1</v>
      </c>
      <c r="S2400" s="26">
        <v>3</v>
      </c>
      <c r="T2400" s="26">
        <v>2</v>
      </c>
      <c r="U2400" s="26">
        <v>6</v>
      </c>
      <c r="V2400" s="26">
        <v>1</v>
      </c>
      <c r="W2400" s="26"/>
    </row>
    <row r="2401" spans="1:23" x14ac:dyDescent="0.25">
      <c r="A2401" s="26" t="str">
        <f t="shared" si="455"/>
        <v>PREESCOLAR</v>
      </c>
      <c r="B2401" s="26" t="str">
        <f>"09PJN4706R"</f>
        <v>09PJN4706R</v>
      </c>
      <c r="C2401" s="26" t="str">
        <f>"INSTITUTO DE DESARROLLO INFANTIL SHERVID                                                            "</f>
        <v xml:space="preserve">INSTITUTO DE DESARROLLO INFANTIL SHERVID                                                            </v>
      </c>
      <c r="D2401" s="26" t="str">
        <f t="shared" si="457"/>
        <v>MATUTINO</v>
      </c>
      <c r="E2401" s="26" t="str">
        <f>"PASEO DE LA HACIENDA NO.20                                                      "</f>
        <v xml:space="preserve">PASEO DE LA HACIENDA NO.20                                                      </v>
      </c>
      <c r="F2401" s="26" t="str">
        <f>"PASEOS DE TAXQUEÑA                                                                                                                          "</f>
        <v xml:space="preserve">PASEOS DE TAXQUEÑA                                                                                                                          </v>
      </c>
      <c r="G2401" s="26" t="str">
        <f>"COYOACAN                                                                        "</f>
        <v xml:space="preserve">COYOACAN                                                                        </v>
      </c>
      <c r="H2401" s="26" t="str">
        <f>"024"</f>
        <v>024</v>
      </c>
      <c r="I2401" s="26" t="str">
        <f t="shared" si="456"/>
        <v>00</v>
      </c>
      <c r="J2401" s="26" t="str">
        <f>"35 "</f>
        <v xml:space="preserve">35 </v>
      </c>
      <c r="K2401" s="26" t="str">
        <f t="shared" si="458"/>
        <v>EP</v>
      </c>
      <c r="L2401" s="26" t="str">
        <f t="shared" si="459"/>
        <v>DGOSE</v>
      </c>
      <c r="M2401" s="26" t="str">
        <f t="shared" si="454"/>
        <v>PARTICULAR</v>
      </c>
      <c r="N2401" s="26">
        <v>16</v>
      </c>
      <c r="O2401" s="26">
        <v>8</v>
      </c>
      <c r="P2401" s="26">
        <v>8</v>
      </c>
      <c r="Q2401" s="26">
        <v>3</v>
      </c>
      <c r="R2401" s="26">
        <v>1</v>
      </c>
      <c r="S2401" s="26">
        <v>2</v>
      </c>
      <c r="T2401" s="26">
        <v>3</v>
      </c>
      <c r="U2401" s="26">
        <v>6</v>
      </c>
      <c r="V2401" s="26">
        <v>1</v>
      </c>
      <c r="W2401" s="26"/>
    </row>
    <row r="2402" spans="1:23" x14ac:dyDescent="0.25">
      <c r="A2402" s="26" t="str">
        <f t="shared" si="455"/>
        <v>PREESCOLAR</v>
      </c>
      <c r="B2402" s="26" t="str">
        <f>"09PJN4707Q"</f>
        <v>09PJN4707Q</v>
      </c>
      <c r="C2402" s="26" t="str">
        <f>"DOCENTES ESPECIALIZADOS EN DESARROLLO INTEGRAL                                                      "</f>
        <v xml:space="preserve">DOCENTES ESPECIALIZADOS EN DESARROLLO INTEGRAL                                                      </v>
      </c>
      <c r="D2402" s="26" t="str">
        <f t="shared" si="457"/>
        <v>MATUTINO</v>
      </c>
      <c r="E2402" s="26" t="str">
        <f>"ISABEL LA CATOLICA NO. 695                                                      "</f>
        <v xml:space="preserve">ISABEL LA CATOLICA NO. 695                                                      </v>
      </c>
      <c r="F2402" s="26" t="str">
        <f>"ALAMOS                                                                                                                                      "</f>
        <v xml:space="preserve">ALAMOS                                                                                                                                      </v>
      </c>
      <c r="G2402" s="26" t="str">
        <f>"BENITO JUAREZ                                                                   "</f>
        <v xml:space="preserve">BENITO JUAREZ                                                                   </v>
      </c>
      <c r="H2402" s="26" t="str">
        <f>"230"</f>
        <v>230</v>
      </c>
      <c r="I2402" s="26" t="str">
        <f t="shared" si="456"/>
        <v>00</v>
      </c>
      <c r="J2402" s="26" t="str">
        <f>"33 "</f>
        <v xml:space="preserve">33 </v>
      </c>
      <c r="K2402" s="26" t="str">
        <f t="shared" si="458"/>
        <v>EP</v>
      </c>
      <c r="L2402" s="26" t="str">
        <f t="shared" si="459"/>
        <v>DGOSE</v>
      </c>
      <c r="M2402" s="26" t="str">
        <f t="shared" si="454"/>
        <v>PARTICULAR</v>
      </c>
      <c r="N2402" s="26">
        <v>29</v>
      </c>
      <c r="O2402" s="26">
        <v>12</v>
      </c>
      <c r="P2402" s="26">
        <v>17</v>
      </c>
      <c r="Q2402" s="26">
        <v>3</v>
      </c>
      <c r="R2402" s="26">
        <v>1</v>
      </c>
      <c r="S2402" s="26">
        <v>3</v>
      </c>
      <c r="T2402" s="26">
        <v>1</v>
      </c>
      <c r="U2402" s="26">
        <v>5</v>
      </c>
      <c r="V2402" s="26">
        <v>1</v>
      </c>
      <c r="W2402" s="26"/>
    </row>
    <row r="2403" spans="1:23" x14ac:dyDescent="0.25">
      <c r="A2403" s="26" t="str">
        <f t="shared" si="455"/>
        <v>PREESCOLAR</v>
      </c>
      <c r="B2403" s="26" t="str">
        <f>"09PJN4711C"</f>
        <v>09PJN4711C</v>
      </c>
      <c r="C2403" s="26" t="str">
        <f>"COLEGIO BRIGHTON PEDREGAL                                                                           "</f>
        <v xml:space="preserve">COLEGIO BRIGHTON PEDREGAL                                                                           </v>
      </c>
      <c r="D2403" s="26" t="str">
        <f t="shared" si="457"/>
        <v>MATUTINO</v>
      </c>
      <c r="E2403" s="26" t="str">
        <f>"FUENTES DEL PEDREGAL NO. 320                                                    "</f>
        <v xml:space="preserve">FUENTES DEL PEDREGAL NO. 320                                                    </v>
      </c>
      <c r="F2403" s="26" t="str">
        <f>"FUENTES DEL PEDREGAL                                                                                                                        "</f>
        <v xml:space="preserve">FUENTES DEL PEDREGAL                                                                                                                        </v>
      </c>
      <c r="G2403" s="26" t="str">
        <f>"TLALPAN                                                                         "</f>
        <v xml:space="preserve">TLALPAN                                                                         </v>
      </c>
      <c r="H2403" s="26" t="str">
        <f>"049"</f>
        <v>049</v>
      </c>
      <c r="I2403" s="26" t="str">
        <f t="shared" si="456"/>
        <v>00</v>
      </c>
      <c r="J2403" s="26" t="str">
        <f>"35 "</f>
        <v xml:space="preserve">35 </v>
      </c>
      <c r="K2403" s="26" t="str">
        <f t="shared" si="458"/>
        <v>EP</v>
      </c>
      <c r="L2403" s="26" t="str">
        <f t="shared" si="459"/>
        <v>DGOSE</v>
      </c>
      <c r="M2403" s="26" t="str">
        <f t="shared" si="454"/>
        <v>PARTICULAR</v>
      </c>
      <c r="N2403" s="26">
        <v>18</v>
      </c>
      <c r="O2403" s="26">
        <v>12</v>
      </c>
      <c r="P2403" s="26">
        <v>6</v>
      </c>
      <c r="Q2403" s="26">
        <v>3</v>
      </c>
      <c r="R2403" s="26">
        <v>1</v>
      </c>
      <c r="S2403" s="26">
        <v>2</v>
      </c>
      <c r="T2403" s="26">
        <v>5</v>
      </c>
      <c r="U2403" s="26">
        <v>8</v>
      </c>
      <c r="V2403" s="26">
        <v>1</v>
      </c>
      <c r="W2403" s="26"/>
    </row>
    <row r="2404" spans="1:23" x14ac:dyDescent="0.25">
      <c r="A2404" s="26" t="str">
        <f t="shared" si="455"/>
        <v>PREESCOLAR</v>
      </c>
      <c r="B2404" s="26" t="str">
        <f>"09PJN4713A"</f>
        <v>09PJN4713A</v>
      </c>
      <c r="C2404" s="26" t="str">
        <f>"JARDIN DE NIÑOS TZIT TZIN                                                                           "</f>
        <v xml:space="preserve">JARDIN DE NIÑOS TZIT TZIN                                                                           </v>
      </c>
      <c r="D2404" s="26" t="str">
        <f t="shared" si="457"/>
        <v>MATUTINO</v>
      </c>
      <c r="E2404" s="26" t="str">
        <f>"ABASOLO NO. 209                                                                 "</f>
        <v xml:space="preserve">ABASOLO NO. 209                                                                 </v>
      </c>
      <c r="F2404" s="26" t="str">
        <f>"DEL CARMEN                                                                                                                                  "</f>
        <v xml:space="preserve">DEL CARMEN                                                                                                                                  </v>
      </c>
      <c r="G2404" s="26" t="str">
        <f>"COYOACAN                                                                        "</f>
        <v xml:space="preserve">COYOACAN                                                                        </v>
      </c>
      <c r="H2404" s="26" t="str">
        <f>"111"</f>
        <v>111</v>
      </c>
      <c r="I2404" s="26" t="str">
        <f t="shared" si="456"/>
        <v>00</v>
      </c>
      <c r="J2404" s="26" t="str">
        <f>"35 "</f>
        <v xml:space="preserve">35 </v>
      </c>
      <c r="K2404" s="26" t="str">
        <f t="shared" si="458"/>
        <v>EP</v>
      </c>
      <c r="L2404" s="26" t="str">
        <f t="shared" si="459"/>
        <v>DGOSE</v>
      </c>
      <c r="M2404" s="26" t="str">
        <f t="shared" si="454"/>
        <v>PARTICULAR</v>
      </c>
      <c r="N2404" s="26">
        <v>8</v>
      </c>
      <c r="O2404" s="26">
        <v>4</v>
      </c>
      <c r="P2404" s="26">
        <v>4</v>
      </c>
      <c r="Q2404" s="26">
        <v>1</v>
      </c>
      <c r="R2404" s="26">
        <v>1</v>
      </c>
      <c r="S2404" s="26">
        <v>1</v>
      </c>
      <c r="T2404" s="26">
        <v>2</v>
      </c>
      <c r="U2404" s="26">
        <v>4</v>
      </c>
      <c r="V2404" s="26">
        <v>1</v>
      </c>
      <c r="W2404" s="26"/>
    </row>
    <row r="2405" spans="1:23" x14ac:dyDescent="0.25">
      <c r="A2405" s="26" t="str">
        <f t="shared" si="455"/>
        <v>PREESCOLAR</v>
      </c>
      <c r="B2405" s="26" t="str">
        <f>"09PJN4714Z"</f>
        <v>09PJN4714Z</v>
      </c>
      <c r="C2405" s="26" t="str">
        <f>"COLEGIO BRIGHTON                                                                                    "</f>
        <v xml:space="preserve">COLEGIO BRIGHTON                                                                                    </v>
      </c>
      <c r="D2405" s="26" t="str">
        <f t="shared" si="457"/>
        <v>MATUTINO</v>
      </c>
      <c r="E2405" s="26" t="str">
        <f>"AV. CANTERA NO. 253                                                             "</f>
        <v xml:space="preserve">AV. CANTERA NO. 253                                                             </v>
      </c>
      <c r="F2405" s="26" t="str">
        <f>"SANTA URSULA XITLA                                                                                                                          "</f>
        <v xml:space="preserve">SANTA URSULA XITLA                                                                                                                          </v>
      </c>
      <c r="G2405" s="26" t="str">
        <f>"TLALPAN                                                                         "</f>
        <v xml:space="preserve">TLALPAN                                                                         </v>
      </c>
      <c r="H2405" s="26" t="str">
        <f>"135"</f>
        <v>135</v>
      </c>
      <c r="I2405" s="26" t="str">
        <f t="shared" si="456"/>
        <v>00</v>
      </c>
      <c r="J2405" s="26" t="str">
        <f>"35 "</f>
        <v xml:space="preserve">35 </v>
      </c>
      <c r="K2405" s="26" t="str">
        <f t="shared" si="458"/>
        <v>EP</v>
      </c>
      <c r="L2405" s="26" t="str">
        <f t="shared" si="459"/>
        <v>DGOSE</v>
      </c>
      <c r="M2405" s="26" t="str">
        <f t="shared" si="454"/>
        <v>PARTICULAR</v>
      </c>
      <c r="N2405" s="26">
        <v>10</v>
      </c>
      <c r="O2405" s="26">
        <v>5</v>
      </c>
      <c r="P2405" s="26">
        <v>5</v>
      </c>
      <c r="Q2405" s="26">
        <v>1</v>
      </c>
      <c r="R2405" s="26">
        <v>1</v>
      </c>
      <c r="S2405" s="26">
        <v>1</v>
      </c>
      <c r="T2405" s="26">
        <v>4</v>
      </c>
      <c r="U2405" s="26">
        <v>6</v>
      </c>
      <c r="V2405" s="26">
        <v>1</v>
      </c>
      <c r="W2405" s="26"/>
    </row>
    <row r="2406" spans="1:23" x14ac:dyDescent="0.25">
      <c r="A2406" s="26" t="str">
        <f t="shared" si="455"/>
        <v>PREESCOLAR</v>
      </c>
      <c r="B2406" s="26" t="str">
        <f>"09PJN4715Z"</f>
        <v>09PJN4715Z</v>
      </c>
      <c r="C2406" s="26" t="str">
        <f>"CENTRO DE DESARROLLO INTEGRAL BILINGÜE                                                              "</f>
        <v xml:space="preserve">CENTRO DE DESARROLLO INTEGRAL BILINGÜE                                                              </v>
      </c>
      <c r="D2406" s="26" t="str">
        <f t="shared" si="457"/>
        <v>MATUTINO</v>
      </c>
      <c r="E2406" s="26" t="str">
        <f>"CALZADA TENORIOS NO. 51                                                         "</f>
        <v xml:space="preserve">CALZADA TENORIOS NO. 51                                                         </v>
      </c>
      <c r="F2406" s="26" t="str">
        <f>"RESIDENCIAL ACOXPA FRACCIONAMIENTO                                                                                                          "</f>
        <v xml:space="preserve">RESIDENCIAL ACOXPA FRACCIONAMIENTO                                                                                                          </v>
      </c>
      <c r="G2406" s="26" t="str">
        <f>"TLALPAN                                                                         "</f>
        <v xml:space="preserve">TLALPAN                                                                         </v>
      </c>
      <c r="H2406" s="26" t="str">
        <f>"276"</f>
        <v>276</v>
      </c>
      <c r="I2406" s="26" t="str">
        <f t="shared" si="456"/>
        <v>00</v>
      </c>
      <c r="J2406" s="26" t="str">
        <f>"35 "</f>
        <v xml:space="preserve">35 </v>
      </c>
      <c r="K2406" s="26" t="str">
        <f t="shared" si="458"/>
        <v>EP</v>
      </c>
      <c r="L2406" s="26" t="str">
        <f t="shared" si="459"/>
        <v>DGOSE</v>
      </c>
      <c r="M2406" s="26" t="str">
        <f t="shared" si="454"/>
        <v>PARTICULAR</v>
      </c>
      <c r="N2406" s="26">
        <v>39</v>
      </c>
      <c r="O2406" s="26">
        <v>20</v>
      </c>
      <c r="P2406" s="26">
        <v>19</v>
      </c>
      <c r="Q2406" s="26">
        <v>3</v>
      </c>
      <c r="R2406" s="26">
        <v>1</v>
      </c>
      <c r="S2406" s="26">
        <v>3</v>
      </c>
      <c r="T2406" s="26">
        <v>5</v>
      </c>
      <c r="U2406" s="26">
        <v>9</v>
      </c>
      <c r="V2406" s="26">
        <v>1</v>
      </c>
      <c r="W2406" s="26"/>
    </row>
    <row r="2407" spans="1:23" x14ac:dyDescent="0.25">
      <c r="A2407" s="26" t="str">
        <f t="shared" si="455"/>
        <v>PREESCOLAR</v>
      </c>
      <c r="B2407" s="26" t="str">
        <f>"09PJN4716Y"</f>
        <v>09PJN4716Y</v>
      </c>
      <c r="C2407" s="26" t="str">
        <f>"MONTESSORI DOMANI                                                                                   "</f>
        <v xml:space="preserve">MONTESSORI DOMANI                                                                                   </v>
      </c>
      <c r="D2407" s="26" t="str">
        <f t="shared" si="457"/>
        <v>MATUTINO</v>
      </c>
      <c r="E2407" s="26" t="str">
        <f>"SAN LORENZO NO. 174                                                             "</f>
        <v xml:space="preserve">SAN LORENZO NO. 174                                                             </v>
      </c>
      <c r="F2407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2407" s="26" t="str">
        <f>"BENITO JUAREZ                                                                   "</f>
        <v xml:space="preserve">BENITO JUAREZ                                                                   </v>
      </c>
      <c r="H2407" s="26" t="str">
        <f>"032"</f>
        <v>032</v>
      </c>
      <c r="I2407" s="26" t="str">
        <f t="shared" si="456"/>
        <v>00</v>
      </c>
      <c r="J2407" s="26" t="str">
        <f>"33 "</f>
        <v xml:space="preserve">33 </v>
      </c>
      <c r="K2407" s="26" t="str">
        <f t="shared" si="458"/>
        <v>EP</v>
      </c>
      <c r="L2407" s="26" t="str">
        <f t="shared" si="459"/>
        <v>DGOSE</v>
      </c>
      <c r="M2407" s="26" t="str">
        <f t="shared" si="454"/>
        <v>PARTICULAR</v>
      </c>
      <c r="N2407" s="26">
        <v>33</v>
      </c>
      <c r="O2407" s="26">
        <v>17</v>
      </c>
      <c r="P2407" s="26">
        <v>16</v>
      </c>
      <c r="Q2407" s="26">
        <v>3</v>
      </c>
      <c r="R2407" s="26">
        <v>1</v>
      </c>
      <c r="S2407" s="26">
        <v>2</v>
      </c>
      <c r="T2407" s="26">
        <v>1</v>
      </c>
      <c r="U2407" s="26">
        <v>4</v>
      </c>
      <c r="V2407" s="26">
        <v>1</v>
      </c>
      <c r="W2407" s="26"/>
    </row>
    <row r="2408" spans="1:23" x14ac:dyDescent="0.25">
      <c r="A2408" s="26" t="str">
        <f t="shared" si="455"/>
        <v>PREESCOLAR</v>
      </c>
      <c r="B2408" s="26" t="str">
        <f>"09PJN4720K"</f>
        <v>09PJN4720K</v>
      </c>
      <c r="C2408" s="26" t="str">
        <f>"CENTRO PEDAGOGICO ALDY                                                                              "</f>
        <v xml:space="preserve">CENTRO PEDAGOGICO ALDY                                                                              </v>
      </c>
      <c r="D2408" s="26" t="str">
        <f t="shared" si="457"/>
        <v>MATUTINO</v>
      </c>
      <c r="E2408" s="26" t="str">
        <f>"AV. DE LAS TORRES NO. 158                                                       "</f>
        <v xml:space="preserve">AV. DE LAS TORRES NO. 158                                                       </v>
      </c>
      <c r="F2408" s="26" t="str">
        <f>"TLALPAN                                                                                                                                     "</f>
        <v xml:space="preserve">TLALPAN                                                                                                                                     </v>
      </c>
      <c r="G2408" s="26" t="str">
        <f>"TLALPAN                                                                         "</f>
        <v xml:space="preserve">TLALPAN                                                                         </v>
      </c>
      <c r="H2408" s="26" t="str">
        <f>"220"</f>
        <v>220</v>
      </c>
      <c r="I2408" s="26" t="str">
        <f t="shared" si="456"/>
        <v>00</v>
      </c>
      <c r="J2408" s="26" t="str">
        <f>"35 "</f>
        <v xml:space="preserve">35 </v>
      </c>
      <c r="K2408" s="26" t="str">
        <f t="shared" si="458"/>
        <v>EP</v>
      </c>
      <c r="L2408" s="26" t="str">
        <f t="shared" si="459"/>
        <v>DGOSE</v>
      </c>
      <c r="M2408" s="26" t="str">
        <f t="shared" si="454"/>
        <v>PARTICULAR</v>
      </c>
      <c r="N2408" s="26">
        <v>29</v>
      </c>
      <c r="O2408" s="26">
        <v>16</v>
      </c>
      <c r="P2408" s="26">
        <v>13</v>
      </c>
      <c r="Q2408" s="26">
        <v>3</v>
      </c>
      <c r="R2408" s="26">
        <v>1</v>
      </c>
      <c r="S2408" s="26">
        <v>2</v>
      </c>
      <c r="T2408" s="26">
        <v>4</v>
      </c>
      <c r="U2408" s="26">
        <v>7</v>
      </c>
      <c r="V2408" s="26">
        <v>1</v>
      </c>
      <c r="W2408" s="26"/>
    </row>
    <row r="2409" spans="1:23" x14ac:dyDescent="0.25">
      <c r="A2409" s="26" t="str">
        <f t="shared" si="455"/>
        <v>PREESCOLAR</v>
      </c>
      <c r="B2409" s="26" t="str">
        <f>"09PJN4721J"</f>
        <v>09PJN4721J</v>
      </c>
      <c r="C2409" s="26" t="str">
        <f>"OLIMPO                                                                                              "</f>
        <v xml:space="preserve">OLIMPO                                                                                              </v>
      </c>
      <c r="D2409" s="26" t="str">
        <f t="shared" si="457"/>
        <v>MATUTINO</v>
      </c>
      <c r="E2409" s="26" t="str">
        <f>"SUPERMANZANA 1 EDIFICIO C ALTOS                                                 "</f>
        <v xml:space="preserve">SUPERMANZANA 1 EDIFICIO C ALTOS                                                 </v>
      </c>
      <c r="F2409" s="26" t="str">
        <f>"UNIDAD HABITACIONAL VICENTE GUERRER                                                                                                         "</f>
        <v xml:space="preserve">UNIDAD HABITACIONAL VICENTE GUERRER                                                                                                         </v>
      </c>
      <c r="G2409" s="26" t="str">
        <f t="shared" ref="G2409:G2438" si="460">"IZTAPALAPA                                                                      "</f>
        <v xml:space="preserve">IZTAPALAPA                                                                      </v>
      </c>
      <c r="H2409" s="26" t="str">
        <f t="shared" ref="H2409:H2418" si="461">"000"</f>
        <v>000</v>
      </c>
      <c r="I2409" s="26" t="str">
        <f t="shared" si="456"/>
        <v>00</v>
      </c>
      <c r="J2409" s="26" t="str">
        <f>"62 "</f>
        <v xml:space="preserve">62 </v>
      </c>
      <c r="K2409" s="26" t="str">
        <f t="shared" ref="K2409:K2438" si="462">"IZ"</f>
        <v>IZ</v>
      </c>
      <c r="L2409" s="26" t="str">
        <f t="shared" ref="L2409:L2438" si="463">"DGSEI"</f>
        <v>DGSEI</v>
      </c>
      <c r="M2409" s="26" t="str">
        <f t="shared" si="454"/>
        <v>PARTICULAR</v>
      </c>
      <c r="N2409" s="26">
        <v>10</v>
      </c>
      <c r="O2409" s="26">
        <v>2</v>
      </c>
      <c r="P2409" s="26">
        <v>8</v>
      </c>
      <c r="Q2409" s="26">
        <v>3</v>
      </c>
      <c r="R2409" s="26">
        <v>1</v>
      </c>
      <c r="S2409" s="26">
        <v>1</v>
      </c>
      <c r="T2409" s="26">
        <v>2</v>
      </c>
      <c r="U2409" s="26">
        <v>4</v>
      </c>
      <c r="V2409" s="26">
        <v>1</v>
      </c>
      <c r="W2409" s="26"/>
    </row>
    <row r="2410" spans="1:23" x14ac:dyDescent="0.25">
      <c r="A2410" s="26" t="str">
        <f t="shared" si="455"/>
        <v>PREESCOLAR</v>
      </c>
      <c r="B2410" s="26" t="str">
        <f>"09PJN4722I"</f>
        <v>09PJN4722I</v>
      </c>
      <c r="C2410" s="26" t="str">
        <f>"INSTITUTO HERMANOS GALEANA                                                                          "</f>
        <v xml:space="preserve">INSTITUTO HERMANOS GALEANA                                                                          </v>
      </c>
      <c r="D2410" s="26" t="str">
        <f t="shared" si="457"/>
        <v>MATUTINO</v>
      </c>
      <c r="E2410" s="26" t="str">
        <f>"VILLA CASTIN MZ 10 A LT 2                                                       "</f>
        <v xml:space="preserve">VILLA CASTIN MZ 10 A LT 2                                                       </v>
      </c>
      <c r="F2410" s="26" t="str">
        <f>"DESARROLLO URBANO QUETZALCOATL                                                                                                              "</f>
        <v xml:space="preserve">DESARROLLO URBANO QUETZALCOATL                                                                                                              </v>
      </c>
      <c r="G2410" s="26" t="str">
        <f t="shared" si="460"/>
        <v xml:space="preserve">IZTAPALAPA                                                                      </v>
      </c>
      <c r="H2410" s="26" t="str">
        <f t="shared" si="461"/>
        <v>000</v>
      </c>
      <c r="I2410" s="26" t="str">
        <f t="shared" si="456"/>
        <v>00</v>
      </c>
      <c r="J2410" s="26" t="str">
        <f>"63 "</f>
        <v xml:space="preserve">63 </v>
      </c>
      <c r="K2410" s="26" t="str">
        <f t="shared" si="462"/>
        <v>IZ</v>
      </c>
      <c r="L2410" s="26" t="str">
        <f t="shared" si="463"/>
        <v>DGSEI</v>
      </c>
      <c r="M2410" s="26" t="str">
        <f t="shared" si="454"/>
        <v>PARTICULAR</v>
      </c>
      <c r="N2410" s="26">
        <v>68</v>
      </c>
      <c r="O2410" s="26">
        <v>36</v>
      </c>
      <c r="P2410" s="26">
        <v>32</v>
      </c>
      <c r="Q2410" s="26">
        <v>3</v>
      </c>
      <c r="R2410" s="26">
        <v>1</v>
      </c>
      <c r="S2410" s="26">
        <v>2</v>
      </c>
      <c r="T2410" s="26">
        <v>4</v>
      </c>
      <c r="U2410" s="26">
        <v>7</v>
      </c>
      <c r="V2410" s="26">
        <v>1</v>
      </c>
      <c r="W2410" s="26"/>
    </row>
    <row r="2411" spans="1:23" x14ac:dyDescent="0.25">
      <c r="A2411" s="26" t="str">
        <f t="shared" si="455"/>
        <v>PREESCOLAR</v>
      </c>
      <c r="B2411" s="26" t="str">
        <f>"09PJN4723H"</f>
        <v>09PJN4723H</v>
      </c>
      <c r="C2411" s="26" t="str">
        <f>"COLEGIO GANDHI                                                                                      "</f>
        <v xml:space="preserve">COLEGIO GANDHI                                                                                      </v>
      </c>
      <c r="D2411" s="26" t="str">
        <f t="shared" si="457"/>
        <v>MATUTINO</v>
      </c>
      <c r="E2411" s="26" t="str">
        <f>"TUNAL MZ. 48 LT. 4                                                              "</f>
        <v xml:space="preserve">TUNAL MZ. 48 LT. 4                                                              </v>
      </c>
      <c r="F2411" s="26" t="str">
        <f>"BUENAVISTA                                                                                                                                  "</f>
        <v xml:space="preserve">BUENAVISTA                                                                                                                                  </v>
      </c>
      <c r="G2411" s="26" t="str">
        <f t="shared" si="460"/>
        <v xml:space="preserve">IZTAPALAPA                                                                      </v>
      </c>
      <c r="H2411" s="26" t="str">
        <f t="shared" si="461"/>
        <v>000</v>
      </c>
      <c r="I2411" s="26" t="str">
        <f t="shared" si="456"/>
        <v>00</v>
      </c>
      <c r="J2411" s="26" t="str">
        <f>"64 "</f>
        <v xml:space="preserve">64 </v>
      </c>
      <c r="K2411" s="26" t="str">
        <f t="shared" si="462"/>
        <v>IZ</v>
      </c>
      <c r="L2411" s="26" t="str">
        <f t="shared" si="463"/>
        <v>DGSEI</v>
      </c>
      <c r="M2411" s="26" t="str">
        <f t="shared" si="454"/>
        <v>PARTICULAR</v>
      </c>
      <c r="N2411" s="26">
        <v>30</v>
      </c>
      <c r="O2411" s="26">
        <v>15</v>
      </c>
      <c r="P2411" s="26">
        <v>15</v>
      </c>
      <c r="Q2411" s="26">
        <v>2</v>
      </c>
      <c r="R2411" s="26">
        <v>1</v>
      </c>
      <c r="S2411" s="26">
        <v>1</v>
      </c>
      <c r="T2411" s="26">
        <v>3</v>
      </c>
      <c r="U2411" s="26">
        <v>5</v>
      </c>
      <c r="V2411" s="26">
        <v>1</v>
      </c>
      <c r="W2411" s="26"/>
    </row>
    <row r="2412" spans="1:23" x14ac:dyDescent="0.25">
      <c r="A2412" s="26" t="str">
        <f t="shared" si="455"/>
        <v>PREESCOLAR</v>
      </c>
      <c r="B2412" s="26" t="str">
        <f>"09PJN4726E"</f>
        <v>09PJN4726E</v>
      </c>
      <c r="C2412" s="26" t="str">
        <f>"CENTRO MONTESSORI TONALI                                                                            "</f>
        <v xml:space="preserve">CENTRO MONTESSORI TONALI                                                                            </v>
      </c>
      <c r="D2412" s="26" t="str">
        <f t="shared" si="457"/>
        <v>MATUTINO</v>
      </c>
      <c r="E2412" s="26" t="str">
        <f>"LABORATORISTAS No. 9                                                            "</f>
        <v xml:space="preserve">LABORATORISTAS No. 9                                                            </v>
      </c>
      <c r="F2412" s="26" t="str">
        <f>"EL SIFON                                                                                                                                    "</f>
        <v xml:space="preserve">EL SIFON                                                                                                                                    </v>
      </c>
      <c r="G2412" s="26" t="str">
        <f t="shared" si="460"/>
        <v xml:space="preserve">IZTAPALAPA                                                                      </v>
      </c>
      <c r="H2412" s="26" t="str">
        <f t="shared" si="461"/>
        <v>000</v>
      </c>
      <c r="I2412" s="26" t="str">
        <f t="shared" si="456"/>
        <v>00</v>
      </c>
      <c r="J2412" s="26" t="str">
        <f>"61 "</f>
        <v xml:space="preserve">61 </v>
      </c>
      <c r="K2412" s="26" t="str">
        <f t="shared" si="462"/>
        <v>IZ</v>
      </c>
      <c r="L2412" s="26" t="str">
        <f t="shared" si="463"/>
        <v>DGSEI</v>
      </c>
      <c r="M2412" s="26" t="str">
        <f t="shared" si="454"/>
        <v>PARTICULAR</v>
      </c>
      <c r="N2412" s="26">
        <v>20</v>
      </c>
      <c r="O2412" s="26">
        <v>11</v>
      </c>
      <c r="P2412" s="26">
        <v>9</v>
      </c>
      <c r="Q2412" s="26">
        <v>3</v>
      </c>
      <c r="R2412" s="26">
        <v>1</v>
      </c>
      <c r="S2412" s="26">
        <v>2</v>
      </c>
      <c r="T2412" s="26">
        <v>2</v>
      </c>
      <c r="U2412" s="26">
        <v>5</v>
      </c>
      <c r="V2412" s="26">
        <v>1</v>
      </c>
      <c r="W2412" s="26"/>
    </row>
    <row r="2413" spans="1:23" x14ac:dyDescent="0.25">
      <c r="A2413" s="26" t="str">
        <f t="shared" si="455"/>
        <v>PREESCOLAR</v>
      </c>
      <c r="B2413" s="26" t="str">
        <f>"09PJN4730R"</f>
        <v>09PJN4730R</v>
      </c>
      <c r="C2413" s="26" t="str">
        <f>"MANITAS MAGICAS                                                                                     "</f>
        <v xml:space="preserve">MANITAS MAGICAS                                                                                     </v>
      </c>
      <c r="D2413" s="26" t="str">
        <f t="shared" si="457"/>
        <v>MATUTINO</v>
      </c>
      <c r="E2413" s="26" t="str">
        <f>"FLOR DE MAYUKI MZ. 25 LT. 19                                                    "</f>
        <v xml:space="preserve">FLOR DE MAYUKI MZ. 25 LT. 19                                                    </v>
      </c>
      <c r="F2413" s="26" t="str">
        <f>"SAN LORENZO TEZONCO                                                                                                                         "</f>
        <v xml:space="preserve">SAN LORENZO TEZONCO                                                                                                                         </v>
      </c>
      <c r="G2413" s="26" t="str">
        <f t="shared" si="460"/>
        <v xml:space="preserve">IZTAPALAPA                                                                      </v>
      </c>
      <c r="H2413" s="26" t="str">
        <f t="shared" si="461"/>
        <v>000</v>
      </c>
      <c r="I2413" s="26" t="str">
        <f t="shared" si="456"/>
        <v>00</v>
      </c>
      <c r="J2413" s="26" t="str">
        <f>"63 "</f>
        <v xml:space="preserve">63 </v>
      </c>
      <c r="K2413" s="26" t="str">
        <f t="shared" si="462"/>
        <v>IZ</v>
      </c>
      <c r="L2413" s="26" t="str">
        <f t="shared" si="463"/>
        <v>DGSEI</v>
      </c>
      <c r="M2413" s="26" t="str">
        <f t="shared" si="454"/>
        <v>PARTICULAR</v>
      </c>
      <c r="N2413" s="26">
        <v>50</v>
      </c>
      <c r="O2413" s="26">
        <v>26</v>
      </c>
      <c r="P2413" s="26">
        <v>24</v>
      </c>
      <c r="Q2413" s="26">
        <v>4</v>
      </c>
      <c r="R2413" s="26">
        <v>1</v>
      </c>
      <c r="S2413" s="26">
        <v>4</v>
      </c>
      <c r="T2413" s="26">
        <v>0</v>
      </c>
      <c r="U2413" s="26">
        <v>5</v>
      </c>
      <c r="V2413" s="26">
        <v>1</v>
      </c>
      <c r="W2413" s="26"/>
    </row>
    <row r="2414" spans="1:23" x14ac:dyDescent="0.25">
      <c r="A2414" s="26" t="str">
        <f t="shared" si="455"/>
        <v>PREESCOLAR</v>
      </c>
      <c r="B2414" s="26" t="str">
        <f>"09PJN4732P"</f>
        <v>09PJN4732P</v>
      </c>
      <c r="C2414" s="26" t="str">
        <f>"CANDAS AMERICANO                                                                                    "</f>
        <v xml:space="preserve">CANDAS AMERICANO                                                                                    </v>
      </c>
      <c r="D2414" s="26" t="str">
        <f t="shared" si="457"/>
        <v>MATUTINO</v>
      </c>
      <c r="E2414" s="26" t="str">
        <f>"JOSAFAT F. MARQUEZ NO. 116                                                      "</f>
        <v xml:space="preserve">JOSAFAT F. MARQUEZ NO. 116                                                      </v>
      </c>
      <c r="F2414" s="26" t="str">
        <f>"COLONIAL IZTAPALAPA                                                                                                                         "</f>
        <v xml:space="preserve">COLONIAL IZTAPALAPA                                                                                                                         </v>
      </c>
      <c r="G2414" s="26" t="str">
        <f t="shared" si="460"/>
        <v xml:space="preserve">IZTAPALAPA                                                                      </v>
      </c>
      <c r="H2414" s="26" t="str">
        <f t="shared" si="461"/>
        <v>000</v>
      </c>
      <c r="I2414" s="26" t="str">
        <f t="shared" si="456"/>
        <v>00</v>
      </c>
      <c r="J2414" s="26" t="str">
        <f>"64 "</f>
        <v xml:space="preserve">64 </v>
      </c>
      <c r="K2414" s="26" t="str">
        <f t="shared" si="462"/>
        <v>IZ</v>
      </c>
      <c r="L2414" s="26" t="str">
        <f t="shared" si="463"/>
        <v>DGSEI</v>
      </c>
      <c r="M2414" s="26" t="str">
        <f t="shared" si="454"/>
        <v>PARTICULAR</v>
      </c>
      <c r="N2414" s="26">
        <v>18</v>
      </c>
      <c r="O2414" s="26">
        <v>14</v>
      </c>
      <c r="P2414" s="26">
        <v>4</v>
      </c>
      <c r="Q2414" s="26">
        <v>3</v>
      </c>
      <c r="R2414" s="26">
        <v>1</v>
      </c>
      <c r="S2414" s="26">
        <v>3</v>
      </c>
      <c r="T2414" s="26">
        <v>2</v>
      </c>
      <c r="U2414" s="26">
        <v>6</v>
      </c>
      <c r="V2414" s="26">
        <v>1</v>
      </c>
      <c r="W2414" s="26"/>
    </row>
    <row r="2415" spans="1:23" x14ac:dyDescent="0.25">
      <c r="A2415" s="26" t="str">
        <f t="shared" si="455"/>
        <v>PREESCOLAR</v>
      </c>
      <c r="B2415" s="26" t="str">
        <f>"09PJN4734N"</f>
        <v>09PJN4734N</v>
      </c>
      <c r="C2415" s="26" t="str">
        <f>"ALEGRIA DE APRENDER                                                                                 "</f>
        <v xml:space="preserve">ALEGRIA DE APRENDER                                                                                 </v>
      </c>
      <c r="D2415" s="26" t="str">
        <f t="shared" si="457"/>
        <v>MATUTINO</v>
      </c>
      <c r="E2415" s="26" t="str">
        <f>"INDEPENDENCIA MZ. 22 LT. 13 NO. 24                                              "</f>
        <v xml:space="preserve">INDEPENDENCIA MZ. 22 LT. 13 NO. 24                                              </v>
      </c>
      <c r="F2415" s="26" t="str">
        <f>"SAN LORENZO TEZONCO                                                                                                                         "</f>
        <v xml:space="preserve">SAN LORENZO TEZONCO                                                                                                                         </v>
      </c>
      <c r="G2415" s="26" t="str">
        <f t="shared" si="460"/>
        <v xml:space="preserve">IZTAPALAPA                                                                      </v>
      </c>
      <c r="H2415" s="26" t="str">
        <f t="shared" si="461"/>
        <v>000</v>
      </c>
      <c r="I2415" s="26" t="str">
        <f t="shared" si="456"/>
        <v>00</v>
      </c>
      <c r="J2415" s="26" t="str">
        <f>"63 "</f>
        <v xml:space="preserve">63 </v>
      </c>
      <c r="K2415" s="26" t="str">
        <f t="shared" si="462"/>
        <v>IZ</v>
      </c>
      <c r="L2415" s="26" t="str">
        <f t="shared" si="463"/>
        <v>DGSEI</v>
      </c>
      <c r="M2415" s="26" t="str">
        <f t="shared" si="454"/>
        <v>PARTICULAR</v>
      </c>
      <c r="N2415" s="26">
        <v>45</v>
      </c>
      <c r="O2415" s="26">
        <v>22</v>
      </c>
      <c r="P2415" s="26">
        <v>23</v>
      </c>
      <c r="Q2415" s="26">
        <v>2</v>
      </c>
      <c r="R2415" s="26">
        <v>1</v>
      </c>
      <c r="S2415" s="26">
        <v>2</v>
      </c>
      <c r="T2415" s="26">
        <v>1</v>
      </c>
      <c r="U2415" s="26">
        <v>4</v>
      </c>
      <c r="V2415" s="26">
        <v>1</v>
      </c>
      <c r="W2415" s="26"/>
    </row>
    <row r="2416" spans="1:23" x14ac:dyDescent="0.25">
      <c r="A2416" s="26" t="str">
        <f t="shared" si="455"/>
        <v>PREESCOLAR</v>
      </c>
      <c r="B2416" s="26" t="str">
        <f>"09PJN4737K"</f>
        <v>09PJN4737K</v>
      </c>
      <c r="C2416" s="26" t="str">
        <f>"INSTITUTO CULTURAL Y EDUCATIVO MEXICANO CANADIENSE                                                  "</f>
        <v xml:space="preserve">INSTITUTO CULTURAL Y EDUCATIVO MEXICANO CANADIENSE                                                  </v>
      </c>
      <c r="D2416" s="26" t="str">
        <f t="shared" si="457"/>
        <v>MATUTINO</v>
      </c>
      <c r="E2416" s="26" t="str">
        <f>"CALZADA DE LA VIGA No. 1661                                                     "</f>
        <v xml:space="preserve">CALZADA DE LA VIGA No. 1661                                                     </v>
      </c>
      <c r="F2416" s="26" t="str">
        <f>"UNIDAD MODELO                                                                                                                               "</f>
        <v xml:space="preserve">UNIDAD MODELO                                                                                                                               </v>
      </c>
      <c r="G2416" s="26" t="str">
        <f t="shared" si="460"/>
        <v xml:space="preserve">IZTAPALAPA                                                                      </v>
      </c>
      <c r="H2416" s="26" t="str">
        <f t="shared" si="461"/>
        <v>000</v>
      </c>
      <c r="I2416" s="26" t="str">
        <f t="shared" si="456"/>
        <v>00</v>
      </c>
      <c r="J2416" s="26" t="str">
        <f>"61 "</f>
        <v xml:space="preserve">61 </v>
      </c>
      <c r="K2416" s="26" t="str">
        <f t="shared" si="462"/>
        <v>IZ</v>
      </c>
      <c r="L2416" s="26" t="str">
        <f t="shared" si="463"/>
        <v>DGSEI</v>
      </c>
      <c r="M2416" s="26" t="str">
        <f t="shared" si="454"/>
        <v>PARTICULAR</v>
      </c>
      <c r="N2416" s="26">
        <v>13</v>
      </c>
      <c r="O2416" s="26">
        <v>5</v>
      </c>
      <c r="P2416" s="26">
        <v>8</v>
      </c>
      <c r="Q2416" s="26">
        <v>3</v>
      </c>
      <c r="R2416" s="26">
        <v>1</v>
      </c>
      <c r="S2416" s="26">
        <v>2</v>
      </c>
      <c r="T2416" s="26">
        <v>5</v>
      </c>
      <c r="U2416" s="26">
        <v>8</v>
      </c>
      <c r="V2416" s="26">
        <v>1</v>
      </c>
      <c r="W2416" s="26"/>
    </row>
    <row r="2417" spans="1:23" x14ac:dyDescent="0.25">
      <c r="A2417" s="26" t="str">
        <f t="shared" si="455"/>
        <v>PREESCOLAR</v>
      </c>
      <c r="B2417" s="26" t="str">
        <f>"09PJN4738J"</f>
        <v>09PJN4738J</v>
      </c>
      <c r="C2417" s="26" t="str">
        <f>"KATY                                                                                                "</f>
        <v xml:space="preserve">KATY                                                                                                </v>
      </c>
      <c r="D2417" s="26" t="str">
        <f t="shared" si="457"/>
        <v>MATUTINO</v>
      </c>
      <c r="E2417" s="26" t="str">
        <f>"CALLEJON SAN IGNACIO NO. 6 MZ.4 LT. 2                                           "</f>
        <v xml:space="preserve">CALLEJON SAN IGNACIO NO. 6 MZ.4 LT. 2                                           </v>
      </c>
      <c r="F2417" s="26" t="str">
        <f>"SAN IGNACIO                                                                                                                                 "</f>
        <v xml:space="preserve">SAN IGNACIO                                                                                                                                 </v>
      </c>
      <c r="G2417" s="26" t="str">
        <f t="shared" si="460"/>
        <v xml:space="preserve">IZTAPALAPA                                                                      </v>
      </c>
      <c r="H2417" s="26" t="str">
        <f t="shared" si="461"/>
        <v>000</v>
      </c>
      <c r="I2417" s="26" t="str">
        <f t="shared" si="456"/>
        <v>00</v>
      </c>
      <c r="J2417" s="26" t="str">
        <f>"61 "</f>
        <v xml:space="preserve">61 </v>
      </c>
      <c r="K2417" s="26" t="str">
        <f t="shared" si="462"/>
        <v>IZ</v>
      </c>
      <c r="L2417" s="26" t="str">
        <f t="shared" si="463"/>
        <v>DGSEI</v>
      </c>
      <c r="M2417" s="26" t="str">
        <f t="shared" si="454"/>
        <v>PARTICULAR</v>
      </c>
      <c r="N2417" s="26">
        <v>20</v>
      </c>
      <c r="O2417" s="26">
        <v>11</v>
      </c>
      <c r="P2417" s="26">
        <v>9</v>
      </c>
      <c r="Q2417" s="26">
        <v>2</v>
      </c>
      <c r="R2417" s="26">
        <v>1</v>
      </c>
      <c r="S2417" s="26">
        <v>2</v>
      </c>
      <c r="T2417" s="26">
        <v>0</v>
      </c>
      <c r="U2417" s="26">
        <v>3</v>
      </c>
      <c r="V2417" s="26">
        <v>1</v>
      </c>
      <c r="W2417" s="26"/>
    </row>
    <row r="2418" spans="1:23" x14ac:dyDescent="0.25">
      <c r="A2418" s="26" t="str">
        <f t="shared" si="455"/>
        <v>PREESCOLAR</v>
      </c>
      <c r="B2418" s="26" t="str">
        <f>"09PJN4739I"</f>
        <v>09PJN4739I</v>
      </c>
      <c r="C2418" s="26" t="str">
        <f>"EMILIANO ZAPATA                                                                                     "</f>
        <v xml:space="preserve">EMILIANO ZAPATA                                                                                     </v>
      </c>
      <c r="D2418" s="26" t="str">
        <f t="shared" si="457"/>
        <v>MATUTINO</v>
      </c>
      <c r="E2418" s="26" t="str">
        <f>"EJE 6 Mz. 1 Lt. 8                                                               "</f>
        <v xml:space="preserve">EJE 6 Mz. 1 Lt. 8                                                               </v>
      </c>
      <c r="F2418" s="26" t="str">
        <f>"SAN JOSE                                                                                                                                    "</f>
        <v xml:space="preserve">SAN JOSE                                                                                                                                    </v>
      </c>
      <c r="G2418" s="26" t="str">
        <f t="shared" si="460"/>
        <v xml:space="preserve">IZTAPALAPA                                                                      </v>
      </c>
      <c r="H2418" s="26" t="str">
        <f t="shared" si="461"/>
        <v>000</v>
      </c>
      <c r="I2418" s="26" t="str">
        <f t="shared" si="456"/>
        <v>00</v>
      </c>
      <c r="J2418" s="26" t="str">
        <f>"61 "</f>
        <v xml:space="preserve">61 </v>
      </c>
      <c r="K2418" s="26" t="str">
        <f t="shared" si="462"/>
        <v>IZ</v>
      </c>
      <c r="L2418" s="26" t="str">
        <f t="shared" si="463"/>
        <v>DGSEI</v>
      </c>
      <c r="M2418" s="26" t="str">
        <f t="shared" si="454"/>
        <v>PARTICULAR</v>
      </c>
      <c r="N2418" s="26">
        <v>5</v>
      </c>
      <c r="O2418" s="26">
        <v>2</v>
      </c>
      <c r="P2418" s="26">
        <v>3</v>
      </c>
      <c r="Q2418" s="26">
        <v>2</v>
      </c>
      <c r="R2418" s="26">
        <v>1</v>
      </c>
      <c r="S2418" s="26">
        <v>2</v>
      </c>
      <c r="T2418" s="26">
        <v>0</v>
      </c>
      <c r="U2418" s="26">
        <v>3</v>
      </c>
      <c r="V2418" s="26">
        <v>1</v>
      </c>
      <c r="W2418" s="26"/>
    </row>
    <row r="2419" spans="1:23" x14ac:dyDescent="0.25">
      <c r="A2419" s="26" t="str">
        <f t="shared" si="455"/>
        <v>PREESCOLAR</v>
      </c>
      <c r="B2419" s="26" t="str">
        <f>"09PJN4742W"</f>
        <v>09PJN4742W</v>
      </c>
      <c r="C2419" s="26" t="str">
        <f>"LIBERTADORES DE MEXICO                                                                              "</f>
        <v xml:space="preserve">LIBERTADORES DE MEXICO                                                                              </v>
      </c>
      <c r="D2419" s="26" t="str">
        <f t="shared" si="457"/>
        <v>MATUTINO</v>
      </c>
      <c r="E2419" s="26" t="str">
        <f>"ALACIA  ZONA 2 MZ. 279 LT. 34                                                   "</f>
        <v xml:space="preserve">ALACIA  ZONA 2 MZ. 279 LT. 34                                                   </v>
      </c>
      <c r="F2419" s="26" t="str">
        <f>"SANTIAGO ACAHUALTEPEC                                                                                                                       "</f>
        <v xml:space="preserve">SANTIAGO ACAHUALTEPEC                                                                                                                       </v>
      </c>
      <c r="G2419" s="26" t="str">
        <f t="shared" si="460"/>
        <v xml:space="preserve">IZTAPALAPA                                                                      </v>
      </c>
      <c r="H2419" s="26" t="str">
        <f>"051"</f>
        <v>051</v>
      </c>
      <c r="I2419" s="26" t="str">
        <f t="shared" si="456"/>
        <v>00</v>
      </c>
      <c r="J2419" s="26" t="str">
        <f>"64 "</f>
        <v xml:space="preserve">64 </v>
      </c>
      <c r="K2419" s="26" t="str">
        <f t="shared" si="462"/>
        <v>IZ</v>
      </c>
      <c r="L2419" s="26" t="str">
        <f t="shared" si="463"/>
        <v>DGSEI</v>
      </c>
      <c r="M2419" s="26" t="str">
        <f t="shared" si="454"/>
        <v>PARTICULAR</v>
      </c>
      <c r="N2419" s="26">
        <v>11</v>
      </c>
      <c r="O2419" s="26">
        <v>8</v>
      </c>
      <c r="P2419" s="26">
        <v>3</v>
      </c>
      <c r="Q2419" s="26">
        <v>2</v>
      </c>
      <c r="R2419" s="26">
        <v>0</v>
      </c>
      <c r="S2419" s="26">
        <v>1</v>
      </c>
      <c r="T2419" s="26">
        <v>1</v>
      </c>
      <c r="U2419" s="26">
        <v>2</v>
      </c>
      <c r="V2419" s="26">
        <v>1</v>
      </c>
      <c r="W2419" s="26"/>
    </row>
    <row r="2420" spans="1:23" x14ac:dyDescent="0.25">
      <c r="A2420" s="26" t="str">
        <f t="shared" si="455"/>
        <v>PREESCOLAR</v>
      </c>
      <c r="B2420" s="26" t="str">
        <f>"09PJN4743V"</f>
        <v>09PJN4743V</v>
      </c>
      <c r="C2420" s="26" t="str">
        <f>"JEAN PEAGET                                                                                         "</f>
        <v xml:space="preserve">JEAN PEAGET                                                                                         </v>
      </c>
      <c r="D2420" s="26" t="str">
        <f t="shared" si="457"/>
        <v>MATUTINO</v>
      </c>
      <c r="E2420" s="26" t="str">
        <f>"LUIS CABRERA NO. 101                                                            "</f>
        <v xml:space="preserve">LUIS CABRERA NO. 101                                                            </v>
      </c>
      <c r="F2420" s="26" t="str">
        <f>"JACARANDAS                                                                                                                                  "</f>
        <v xml:space="preserve">JACARANDAS                                                                                                                                  </v>
      </c>
      <c r="G2420" s="26" t="str">
        <f t="shared" si="460"/>
        <v xml:space="preserve">IZTAPALAPA                                                                      </v>
      </c>
      <c r="H2420" s="26" t="str">
        <f t="shared" ref="H2420:H2438" si="464">"000"</f>
        <v>000</v>
      </c>
      <c r="I2420" s="26" t="str">
        <f t="shared" si="456"/>
        <v>00</v>
      </c>
      <c r="J2420" s="26" t="str">
        <f>"64 "</f>
        <v xml:space="preserve">64 </v>
      </c>
      <c r="K2420" s="26" t="str">
        <f t="shared" si="462"/>
        <v>IZ</v>
      </c>
      <c r="L2420" s="26" t="str">
        <f t="shared" si="463"/>
        <v>DGSEI</v>
      </c>
      <c r="M2420" s="26" t="str">
        <f t="shared" si="454"/>
        <v>PARTICULAR</v>
      </c>
      <c r="N2420" s="26">
        <v>15</v>
      </c>
      <c r="O2420" s="26">
        <v>4</v>
      </c>
      <c r="P2420" s="26">
        <v>11</v>
      </c>
      <c r="Q2420" s="26">
        <v>3</v>
      </c>
      <c r="R2420" s="26">
        <v>1</v>
      </c>
      <c r="S2420" s="26">
        <v>2</v>
      </c>
      <c r="T2420" s="26">
        <v>0</v>
      </c>
      <c r="U2420" s="26">
        <v>3</v>
      </c>
      <c r="V2420" s="26">
        <v>1</v>
      </c>
      <c r="W2420" s="26"/>
    </row>
    <row r="2421" spans="1:23" x14ac:dyDescent="0.25">
      <c r="A2421" s="26" t="str">
        <f t="shared" si="455"/>
        <v>PREESCOLAR</v>
      </c>
      <c r="B2421" s="26" t="str">
        <f>"09PJN4746S"</f>
        <v>09PJN4746S</v>
      </c>
      <c r="C2421" s="26" t="str">
        <f>"MUNDO DE JUGUETE                                                                                    "</f>
        <v xml:space="preserve">MUNDO DE JUGUETE                                                                                    </v>
      </c>
      <c r="D2421" s="26" t="str">
        <f t="shared" si="457"/>
        <v>MATUTINO</v>
      </c>
      <c r="E2421" s="26" t="str">
        <f>"FRANCISCO VILLA MZ. 29 LT. 22                                                   "</f>
        <v xml:space="preserve">FRANCISCO VILLA MZ. 29 LT. 22                                                   </v>
      </c>
      <c r="F2421" s="26" t="str">
        <f>"PALMITAS                                                                                                                                    "</f>
        <v xml:space="preserve">PALMITAS                                                                                                                                    </v>
      </c>
      <c r="G2421" s="26" t="str">
        <f t="shared" si="460"/>
        <v xml:space="preserve">IZTAPALAPA                                                                      </v>
      </c>
      <c r="H2421" s="26" t="str">
        <f t="shared" si="464"/>
        <v>000</v>
      </c>
      <c r="I2421" s="26" t="str">
        <f t="shared" si="456"/>
        <v>00</v>
      </c>
      <c r="J2421" s="26" t="str">
        <f>"64 "</f>
        <v xml:space="preserve">64 </v>
      </c>
      <c r="K2421" s="26" t="str">
        <f t="shared" si="462"/>
        <v>IZ</v>
      </c>
      <c r="L2421" s="26" t="str">
        <f t="shared" si="463"/>
        <v>DGSEI</v>
      </c>
      <c r="M2421" s="26" t="str">
        <f t="shared" si="454"/>
        <v>PARTICULAR</v>
      </c>
      <c r="N2421" s="26">
        <v>27</v>
      </c>
      <c r="O2421" s="26">
        <v>21</v>
      </c>
      <c r="P2421" s="26">
        <v>6</v>
      </c>
      <c r="Q2421" s="26">
        <v>2</v>
      </c>
      <c r="R2421" s="26">
        <v>1</v>
      </c>
      <c r="S2421" s="26">
        <v>2</v>
      </c>
      <c r="T2421" s="26">
        <v>0</v>
      </c>
      <c r="U2421" s="26">
        <v>3</v>
      </c>
      <c r="V2421" s="26">
        <v>1</v>
      </c>
      <c r="W2421" s="26"/>
    </row>
    <row r="2422" spans="1:23" x14ac:dyDescent="0.25">
      <c r="A2422" s="26" t="str">
        <f t="shared" si="455"/>
        <v>PREESCOLAR</v>
      </c>
      <c r="B2422" s="26" t="str">
        <f>"09PJN4747R"</f>
        <v>09PJN4747R</v>
      </c>
      <c r="C2422" s="26" t="str">
        <f>"INSTITUTO INTERNACIONAL BRITANIA LIGTHART S.C.                                                      "</f>
        <v xml:space="preserve">INSTITUTO INTERNACIONAL BRITANIA LIGTHART S.C.                                                      </v>
      </c>
      <c r="D2422" s="26" t="str">
        <f t="shared" si="457"/>
        <v>MATUTINO</v>
      </c>
      <c r="E2422" s="26" t="str">
        <f>"20 DE NOVIEMBRE S/N Z.01 MZ. 78 LT. 08                                          "</f>
        <v xml:space="preserve">20 DE NOVIEMBRE S/N Z.01 MZ. 78 LT. 08                                          </v>
      </c>
      <c r="F2422" s="26" t="str">
        <f>"SANTA MARIA AZTAHUACAN                                                                                                                      "</f>
        <v xml:space="preserve">SANTA MARIA AZTAHUACAN                                                                                                                      </v>
      </c>
      <c r="G2422" s="26" t="str">
        <f t="shared" si="460"/>
        <v xml:space="preserve">IZTAPALAPA                                                                      </v>
      </c>
      <c r="H2422" s="26" t="str">
        <f t="shared" si="464"/>
        <v>000</v>
      </c>
      <c r="I2422" s="26" t="str">
        <f t="shared" si="456"/>
        <v>00</v>
      </c>
      <c r="J2422" s="26" t="str">
        <f>"64 "</f>
        <v xml:space="preserve">64 </v>
      </c>
      <c r="K2422" s="26" t="str">
        <f t="shared" si="462"/>
        <v>IZ</v>
      </c>
      <c r="L2422" s="26" t="str">
        <f t="shared" si="463"/>
        <v>DGSEI</v>
      </c>
      <c r="M2422" s="26" t="str">
        <f t="shared" si="454"/>
        <v>PARTICULAR</v>
      </c>
      <c r="N2422" s="26">
        <v>62</v>
      </c>
      <c r="O2422" s="26">
        <v>26</v>
      </c>
      <c r="P2422" s="26">
        <v>36</v>
      </c>
      <c r="Q2422" s="26">
        <v>3</v>
      </c>
      <c r="R2422" s="26">
        <v>1</v>
      </c>
      <c r="S2422" s="26">
        <v>3</v>
      </c>
      <c r="T2422" s="26">
        <v>2</v>
      </c>
      <c r="U2422" s="26">
        <v>6</v>
      </c>
      <c r="V2422" s="26">
        <v>1</v>
      </c>
      <c r="W2422" s="26"/>
    </row>
    <row r="2423" spans="1:23" x14ac:dyDescent="0.25">
      <c r="A2423" s="26" t="str">
        <f t="shared" si="455"/>
        <v>PREESCOLAR</v>
      </c>
      <c r="B2423" s="26" t="str">
        <f>"09PJN4749P"</f>
        <v>09PJN4749P</v>
      </c>
      <c r="C2423" s="26" t="str">
        <f>"ANIBAL PONCE                                                                                        "</f>
        <v xml:space="preserve">ANIBAL PONCE                                                                                        </v>
      </c>
      <c r="D2423" s="26" t="str">
        <f t="shared" si="457"/>
        <v>MATUTINO</v>
      </c>
      <c r="E2423" s="26" t="str">
        <f>"3 DE MAYO NO. 44                                                                "</f>
        <v xml:space="preserve">3 DE MAYO NO. 44                                                                </v>
      </c>
      <c r="F2423" s="26" t="str">
        <f>"SAN JUAN XALPA                                                                                                                              "</f>
        <v xml:space="preserve">SAN JUAN XALPA                                                                                                                              </v>
      </c>
      <c r="G2423" s="26" t="str">
        <f t="shared" si="460"/>
        <v xml:space="preserve">IZTAPALAPA                                                                      </v>
      </c>
      <c r="H2423" s="26" t="str">
        <f t="shared" si="464"/>
        <v>000</v>
      </c>
      <c r="I2423" s="26" t="str">
        <f t="shared" si="456"/>
        <v>00</v>
      </c>
      <c r="J2423" s="26" t="str">
        <f>"63 "</f>
        <v xml:space="preserve">63 </v>
      </c>
      <c r="K2423" s="26" t="str">
        <f t="shared" si="462"/>
        <v>IZ</v>
      </c>
      <c r="L2423" s="26" t="str">
        <f t="shared" si="463"/>
        <v>DGSEI</v>
      </c>
      <c r="M2423" s="26" t="str">
        <f t="shared" si="454"/>
        <v>PARTICULAR</v>
      </c>
      <c r="N2423" s="26">
        <v>42</v>
      </c>
      <c r="O2423" s="26">
        <v>17</v>
      </c>
      <c r="P2423" s="26">
        <v>25</v>
      </c>
      <c r="Q2423" s="26">
        <v>3</v>
      </c>
      <c r="R2423" s="26">
        <v>1</v>
      </c>
      <c r="S2423" s="26">
        <v>3</v>
      </c>
      <c r="T2423" s="26">
        <v>11</v>
      </c>
      <c r="U2423" s="26">
        <v>15</v>
      </c>
      <c r="V2423" s="26">
        <v>1</v>
      </c>
      <c r="W2423" s="26"/>
    </row>
    <row r="2424" spans="1:23" x14ac:dyDescent="0.25">
      <c r="A2424" s="26" t="str">
        <f t="shared" si="455"/>
        <v>PREESCOLAR</v>
      </c>
      <c r="B2424" s="26" t="str">
        <f>"09PJN4755Z"</f>
        <v>09PJN4755Z</v>
      </c>
      <c r="C2424" s="26" t="str">
        <f>"FUNDACION LA CASA DE LOS NIÑOS                                                                      "</f>
        <v xml:space="preserve">FUNDACION LA CASA DE LOS NIÑOS                                                                      </v>
      </c>
      <c r="D2424" s="26" t="str">
        <f t="shared" si="457"/>
        <v>MATUTINO</v>
      </c>
      <c r="E2424" s="26" t="str">
        <f>"JUSTINIANO GARCIA CALLE 1 S/N MZ. 12 SUP. MZ. 1 LT. 14                          "</f>
        <v xml:space="preserve">JUSTINIANO GARCIA CALLE 1 S/N MZ. 12 SUP. MZ. 1 LT. 14                          </v>
      </c>
      <c r="F2424" s="26" t="str">
        <f>"UNIDAD HABITACIONAL VICENTE GUERRER                                                                                                         "</f>
        <v xml:space="preserve">UNIDAD HABITACIONAL VICENTE GUERRER                                                                                                         </v>
      </c>
      <c r="G2424" s="26" t="str">
        <f t="shared" si="460"/>
        <v xml:space="preserve">IZTAPALAPA                                                                      </v>
      </c>
      <c r="H2424" s="26" t="str">
        <f t="shared" si="464"/>
        <v>000</v>
      </c>
      <c r="I2424" s="26" t="str">
        <f t="shared" si="456"/>
        <v>00</v>
      </c>
      <c r="J2424" s="26" t="str">
        <f>"62 "</f>
        <v xml:space="preserve">62 </v>
      </c>
      <c r="K2424" s="26" t="str">
        <f t="shared" si="462"/>
        <v>IZ</v>
      </c>
      <c r="L2424" s="26" t="str">
        <f t="shared" si="463"/>
        <v>DGSEI</v>
      </c>
      <c r="M2424" s="26" t="str">
        <f t="shared" si="454"/>
        <v>PARTICULAR</v>
      </c>
      <c r="N2424" s="26">
        <v>24</v>
      </c>
      <c r="O2424" s="26">
        <v>9</v>
      </c>
      <c r="P2424" s="26">
        <v>15</v>
      </c>
      <c r="Q2424" s="26">
        <v>2</v>
      </c>
      <c r="R2424" s="26">
        <v>1</v>
      </c>
      <c r="S2424" s="26">
        <v>2</v>
      </c>
      <c r="T2424" s="26">
        <v>0</v>
      </c>
      <c r="U2424" s="26">
        <v>3</v>
      </c>
      <c r="V2424" s="26">
        <v>1</v>
      </c>
      <c r="W2424" s="26"/>
    </row>
    <row r="2425" spans="1:23" x14ac:dyDescent="0.25">
      <c r="A2425" s="26" t="str">
        <f t="shared" si="455"/>
        <v>PREESCOLAR</v>
      </c>
      <c r="B2425" s="26" t="str">
        <f>"09PJN4759W"</f>
        <v>09PJN4759W</v>
      </c>
      <c r="C2425" s="26" t="str">
        <f>"YELLOW STONE                                                                                        "</f>
        <v xml:space="preserve">YELLOW STONE                                                                                        </v>
      </c>
      <c r="D2425" s="26" t="str">
        <f t="shared" si="457"/>
        <v>MATUTINO</v>
      </c>
      <c r="E2425" s="26" t="str">
        <f>"CALLE 10 NO. 166                                                                "</f>
        <v xml:space="preserve">CALLE 10 NO. 166                                                                </v>
      </c>
      <c r="F2425" s="26" t="str">
        <f>"GRANJAS SAN ANTONIO                                                                                                                         "</f>
        <v xml:space="preserve">GRANJAS SAN ANTONIO                                                                                                                         </v>
      </c>
      <c r="G2425" s="26" t="str">
        <f t="shared" si="460"/>
        <v xml:space="preserve">IZTAPALAPA                                                                      </v>
      </c>
      <c r="H2425" s="26" t="str">
        <f t="shared" si="464"/>
        <v>000</v>
      </c>
      <c r="I2425" s="26" t="str">
        <f t="shared" si="456"/>
        <v>00</v>
      </c>
      <c r="J2425" s="26" t="str">
        <f>"61 "</f>
        <v xml:space="preserve">61 </v>
      </c>
      <c r="K2425" s="26" t="str">
        <f t="shared" si="462"/>
        <v>IZ</v>
      </c>
      <c r="L2425" s="26" t="str">
        <f t="shared" si="463"/>
        <v>DGSEI</v>
      </c>
      <c r="M2425" s="26" t="str">
        <f t="shared" si="454"/>
        <v>PARTICULAR</v>
      </c>
      <c r="N2425" s="26">
        <v>42</v>
      </c>
      <c r="O2425" s="26">
        <v>20</v>
      </c>
      <c r="P2425" s="26">
        <v>22</v>
      </c>
      <c r="Q2425" s="26">
        <v>3</v>
      </c>
      <c r="R2425" s="26">
        <v>1</v>
      </c>
      <c r="S2425" s="26">
        <v>1</v>
      </c>
      <c r="T2425" s="26">
        <v>2</v>
      </c>
      <c r="U2425" s="26">
        <v>4</v>
      </c>
      <c r="V2425" s="26">
        <v>1</v>
      </c>
      <c r="W2425" s="26"/>
    </row>
    <row r="2426" spans="1:23" x14ac:dyDescent="0.25">
      <c r="A2426" s="26" t="str">
        <f t="shared" si="455"/>
        <v>PREESCOLAR</v>
      </c>
      <c r="B2426" s="26" t="str">
        <f>"09PJN4763I"</f>
        <v>09PJN4763I</v>
      </c>
      <c r="C2426" s="26" t="str">
        <f>"EL GRILLITO                                                                                         "</f>
        <v xml:space="preserve">EL GRILLITO                                                                                         </v>
      </c>
      <c r="D2426" s="26" t="str">
        <f t="shared" si="457"/>
        <v>MATUTINO</v>
      </c>
      <c r="E2426" s="26" t="str">
        <f>"QUETZALCOATL NO. 10 MZ. 171-A                                                   "</f>
        <v xml:space="preserve">QUETZALCOATL NO. 10 MZ. 171-A                                                   </v>
      </c>
      <c r="F2426" s="26" t="str">
        <f>"TENORIOS                                                                                                                                    "</f>
        <v xml:space="preserve">TENORIOS                                                                                                                                    </v>
      </c>
      <c r="G2426" s="26" t="str">
        <f t="shared" si="460"/>
        <v xml:space="preserve">IZTAPALAPA                                                                      </v>
      </c>
      <c r="H2426" s="26" t="str">
        <f t="shared" si="464"/>
        <v>000</v>
      </c>
      <c r="I2426" s="26" t="str">
        <f t="shared" si="456"/>
        <v>00</v>
      </c>
      <c r="J2426" s="26" t="str">
        <f>"64 "</f>
        <v xml:space="preserve">64 </v>
      </c>
      <c r="K2426" s="26" t="str">
        <f t="shared" si="462"/>
        <v>IZ</v>
      </c>
      <c r="L2426" s="26" t="str">
        <f t="shared" si="463"/>
        <v>DGSEI</v>
      </c>
      <c r="M2426" s="26" t="str">
        <f t="shared" si="454"/>
        <v>PARTICULAR</v>
      </c>
      <c r="N2426" s="26">
        <v>24</v>
      </c>
      <c r="O2426" s="26">
        <v>11</v>
      </c>
      <c r="P2426" s="26">
        <v>13</v>
      </c>
      <c r="Q2426" s="26">
        <v>2</v>
      </c>
      <c r="R2426" s="26">
        <v>1</v>
      </c>
      <c r="S2426" s="26">
        <v>2</v>
      </c>
      <c r="T2426" s="26">
        <v>2</v>
      </c>
      <c r="U2426" s="26">
        <v>5</v>
      </c>
      <c r="V2426" s="26">
        <v>1</v>
      </c>
      <c r="W2426" s="26"/>
    </row>
    <row r="2427" spans="1:23" x14ac:dyDescent="0.25">
      <c r="A2427" s="26" t="str">
        <f t="shared" si="455"/>
        <v>PREESCOLAR</v>
      </c>
      <c r="B2427" s="26" t="str">
        <f>"09PJN4764H"</f>
        <v>09PJN4764H</v>
      </c>
      <c r="C2427" s="26" t="str">
        <f>"COLEGIO NIÑOS DE MEXICO                                                                             "</f>
        <v xml:space="preserve">COLEGIO NIÑOS DE MEXICO                                                                             </v>
      </c>
      <c r="D2427" s="26" t="str">
        <f t="shared" si="457"/>
        <v>MATUTINO</v>
      </c>
      <c r="E2427" s="26" t="str">
        <f>"EBANO S/N LT. 27                                                                "</f>
        <v xml:space="preserve">EBANO S/N LT. 27                                                                </v>
      </c>
      <c r="F2427" s="26" t="str">
        <f>"EL MANTO                                                                                                                                    "</f>
        <v xml:space="preserve">EL MANTO                                                                                                                                    </v>
      </c>
      <c r="G2427" s="26" t="str">
        <f t="shared" si="460"/>
        <v xml:space="preserve">IZTAPALAPA                                                                      </v>
      </c>
      <c r="H2427" s="26" t="str">
        <f t="shared" si="464"/>
        <v>000</v>
      </c>
      <c r="I2427" s="26" t="str">
        <f t="shared" si="456"/>
        <v>00</v>
      </c>
      <c r="J2427" s="26" t="str">
        <f>"61 "</f>
        <v xml:space="preserve">61 </v>
      </c>
      <c r="K2427" s="26" t="str">
        <f t="shared" si="462"/>
        <v>IZ</v>
      </c>
      <c r="L2427" s="26" t="str">
        <f t="shared" si="463"/>
        <v>DGSEI</v>
      </c>
      <c r="M2427" s="26" t="str">
        <f t="shared" si="454"/>
        <v>PARTICULAR</v>
      </c>
      <c r="N2427" s="26">
        <v>11</v>
      </c>
      <c r="O2427" s="26">
        <v>6</v>
      </c>
      <c r="P2427" s="26">
        <v>5</v>
      </c>
      <c r="Q2427" s="26">
        <v>3</v>
      </c>
      <c r="R2427" s="26">
        <v>1</v>
      </c>
      <c r="S2427" s="26">
        <v>3</v>
      </c>
      <c r="T2427" s="26">
        <v>0</v>
      </c>
      <c r="U2427" s="26">
        <v>4</v>
      </c>
      <c r="V2427" s="26">
        <v>1</v>
      </c>
      <c r="W2427" s="26"/>
    </row>
    <row r="2428" spans="1:23" x14ac:dyDescent="0.25">
      <c r="A2428" s="26" t="str">
        <f t="shared" si="455"/>
        <v>PREESCOLAR</v>
      </c>
      <c r="B2428" s="26" t="str">
        <f>"09PJN4766F"</f>
        <v>09PJN4766F</v>
      </c>
      <c r="C2428" s="26" t="str">
        <f>"EL REY LEON                                                                                         "</f>
        <v xml:space="preserve">EL REY LEON                                                                                         </v>
      </c>
      <c r="D2428" s="26" t="str">
        <f t="shared" si="457"/>
        <v>MATUTINO</v>
      </c>
      <c r="E2428" s="26" t="str">
        <f>"NOGALES MZ. 162 LT. 9                                                           "</f>
        <v xml:space="preserve">NOGALES MZ. 162 LT. 9                                                           </v>
      </c>
      <c r="F2428" s="26" t="str">
        <f>"TENORIOS                                                                                                                                    "</f>
        <v xml:space="preserve">TENORIOS                                                                                                                                    </v>
      </c>
      <c r="G2428" s="26" t="str">
        <f t="shared" si="460"/>
        <v xml:space="preserve">IZTAPALAPA                                                                      </v>
      </c>
      <c r="H2428" s="26" t="str">
        <f t="shared" si="464"/>
        <v>000</v>
      </c>
      <c r="I2428" s="26" t="str">
        <f t="shared" si="456"/>
        <v>00</v>
      </c>
      <c r="J2428" s="26" t="str">
        <f>"64 "</f>
        <v xml:space="preserve">64 </v>
      </c>
      <c r="K2428" s="26" t="str">
        <f t="shared" si="462"/>
        <v>IZ</v>
      </c>
      <c r="L2428" s="26" t="str">
        <f t="shared" si="463"/>
        <v>DGSEI</v>
      </c>
      <c r="M2428" s="26" t="str">
        <f t="shared" si="454"/>
        <v>PARTICULAR</v>
      </c>
      <c r="N2428" s="26">
        <v>28</v>
      </c>
      <c r="O2428" s="26">
        <v>17</v>
      </c>
      <c r="P2428" s="26">
        <v>11</v>
      </c>
      <c r="Q2428" s="26">
        <v>4</v>
      </c>
      <c r="R2428" s="26">
        <v>1</v>
      </c>
      <c r="S2428" s="26">
        <v>3</v>
      </c>
      <c r="T2428" s="26">
        <v>0</v>
      </c>
      <c r="U2428" s="26">
        <v>4</v>
      </c>
      <c r="V2428" s="26">
        <v>1</v>
      </c>
      <c r="W2428" s="26"/>
    </row>
    <row r="2429" spans="1:23" x14ac:dyDescent="0.25">
      <c r="A2429" s="26" t="str">
        <f t="shared" si="455"/>
        <v>PREESCOLAR</v>
      </c>
      <c r="B2429" s="26" t="str">
        <f>"09PJN4767E"</f>
        <v>09PJN4767E</v>
      </c>
      <c r="C2429" s="26" t="str">
        <f>"CENTRO EDUCATIVO IXCHEL                                                                             "</f>
        <v xml:space="preserve">CENTRO EDUCATIVO IXCHEL                                                                             </v>
      </c>
      <c r="D2429" s="26" t="str">
        <f t="shared" si="457"/>
        <v>MATUTINO</v>
      </c>
      <c r="E2429" s="26" t="str">
        <f>"SUR 25 MZ. 7 LT. 69                                                             "</f>
        <v xml:space="preserve">SUR 25 MZ. 7 LT. 69                                                             </v>
      </c>
      <c r="F2429" s="26" t="str">
        <f>"LEYES DE REFORMA                                                                                                                            "</f>
        <v xml:space="preserve">LEYES DE REFORMA                                                                                                                            </v>
      </c>
      <c r="G2429" s="26" t="str">
        <f t="shared" si="460"/>
        <v xml:space="preserve">IZTAPALAPA                                                                      </v>
      </c>
      <c r="H2429" s="26" t="str">
        <f t="shared" si="464"/>
        <v>000</v>
      </c>
      <c r="I2429" s="26" t="str">
        <f t="shared" si="456"/>
        <v>00</v>
      </c>
      <c r="J2429" s="26" t="str">
        <f>"62 "</f>
        <v xml:space="preserve">62 </v>
      </c>
      <c r="K2429" s="26" t="str">
        <f t="shared" si="462"/>
        <v>IZ</v>
      </c>
      <c r="L2429" s="26" t="str">
        <f t="shared" si="463"/>
        <v>DGSEI</v>
      </c>
      <c r="M2429" s="26" t="str">
        <f t="shared" si="454"/>
        <v>PARTICULAR</v>
      </c>
      <c r="N2429" s="26">
        <v>28</v>
      </c>
      <c r="O2429" s="26">
        <v>10</v>
      </c>
      <c r="P2429" s="26">
        <v>18</v>
      </c>
      <c r="Q2429" s="26">
        <v>2</v>
      </c>
      <c r="R2429" s="26">
        <v>1</v>
      </c>
      <c r="S2429" s="26">
        <v>1</v>
      </c>
      <c r="T2429" s="26">
        <v>3</v>
      </c>
      <c r="U2429" s="26">
        <v>5</v>
      </c>
      <c r="V2429" s="26">
        <v>1</v>
      </c>
      <c r="W2429" s="26"/>
    </row>
    <row r="2430" spans="1:23" x14ac:dyDescent="0.25">
      <c r="A2430" s="26" t="str">
        <f t="shared" si="455"/>
        <v>PREESCOLAR</v>
      </c>
      <c r="B2430" s="26" t="str">
        <f>"09PJN4768D"</f>
        <v>09PJN4768D</v>
      </c>
      <c r="C2430" s="26" t="str">
        <f>"POPOCATEPETL                                                                                        "</f>
        <v xml:space="preserve">POPOCATEPETL                                                                                        </v>
      </c>
      <c r="D2430" s="26" t="str">
        <f t="shared" si="457"/>
        <v>MATUTINO</v>
      </c>
      <c r="E2430" s="26" t="str">
        <f>"ELOY CAVAZOS MZ. 29 LT. 3                                                       "</f>
        <v xml:space="preserve">ELOY CAVAZOS MZ. 29 LT. 3                                                       </v>
      </c>
      <c r="F2430" s="26" t="str">
        <f>"SAN MIGUEL TEOTONGO                                                                                                                         "</f>
        <v xml:space="preserve">SAN MIGUEL TEOTONGO                                                                                                                         </v>
      </c>
      <c r="G2430" s="26" t="str">
        <f t="shared" si="460"/>
        <v xml:space="preserve">IZTAPALAPA                                                                      </v>
      </c>
      <c r="H2430" s="26" t="str">
        <f t="shared" si="464"/>
        <v>000</v>
      </c>
      <c r="I2430" s="26" t="str">
        <f t="shared" si="456"/>
        <v>00</v>
      </c>
      <c r="J2430" s="26" t="str">
        <f>"64 "</f>
        <v xml:space="preserve">64 </v>
      </c>
      <c r="K2430" s="26" t="str">
        <f t="shared" si="462"/>
        <v>IZ</v>
      </c>
      <c r="L2430" s="26" t="str">
        <f t="shared" si="463"/>
        <v>DGSEI</v>
      </c>
      <c r="M2430" s="26" t="str">
        <f t="shared" si="454"/>
        <v>PARTICULAR</v>
      </c>
      <c r="N2430" s="26">
        <v>21</v>
      </c>
      <c r="O2430" s="26">
        <v>8</v>
      </c>
      <c r="P2430" s="26">
        <v>13</v>
      </c>
      <c r="Q2430" s="26">
        <v>3</v>
      </c>
      <c r="R2430" s="26">
        <v>1</v>
      </c>
      <c r="S2430" s="26">
        <v>3</v>
      </c>
      <c r="T2430" s="26">
        <v>0</v>
      </c>
      <c r="U2430" s="26">
        <v>4</v>
      </c>
      <c r="V2430" s="26">
        <v>1</v>
      </c>
      <c r="W2430" s="26"/>
    </row>
    <row r="2431" spans="1:23" x14ac:dyDescent="0.25">
      <c r="A2431" s="26" t="str">
        <f t="shared" si="455"/>
        <v>PREESCOLAR</v>
      </c>
      <c r="B2431" s="26" t="str">
        <f>"09PJN4769C"</f>
        <v>09PJN4769C</v>
      </c>
      <c r="C2431" s="26" t="str">
        <f>"NEW FRIENDS                                                                                         "</f>
        <v xml:space="preserve">NEW FRIENDS                                                                                         </v>
      </c>
      <c r="D2431" s="26" t="str">
        <f t="shared" si="457"/>
        <v>MATUTINO</v>
      </c>
      <c r="E2431" s="26" t="str">
        <f>"TICOMAC NO. 80                                                                  "</f>
        <v xml:space="preserve">TICOMAC NO. 80                                                                  </v>
      </c>
      <c r="F2431" s="26" t="str">
        <f>"SAN IGNACIO                                                                                                                                 "</f>
        <v xml:space="preserve">SAN IGNACIO                                                                                                                                 </v>
      </c>
      <c r="G2431" s="26" t="str">
        <f t="shared" si="460"/>
        <v xml:space="preserve">IZTAPALAPA                                                                      </v>
      </c>
      <c r="H2431" s="26" t="str">
        <f t="shared" si="464"/>
        <v>000</v>
      </c>
      <c r="I2431" s="26" t="str">
        <f t="shared" si="456"/>
        <v>00</v>
      </c>
      <c r="J2431" s="26" t="str">
        <f>"61 "</f>
        <v xml:space="preserve">61 </v>
      </c>
      <c r="K2431" s="26" t="str">
        <f t="shared" si="462"/>
        <v>IZ</v>
      </c>
      <c r="L2431" s="26" t="str">
        <f t="shared" si="463"/>
        <v>DGSEI</v>
      </c>
      <c r="M2431" s="26" t="str">
        <f t="shared" ref="M2431:M2494" si="465">"PARTICULAR"</f>
        <v>PARTICULAR</v>
      </c>
      <c r="N2431" s="26">
        <v>32</v>
      </c>
      <c r="O2431" s="26">
        <v>19</v>
      </c>
      <c r="P2431" s="26">
        <v>13</v>
      </c>
      <c r="Q2431" s="26">
        <v>3</v>
      </c>
      <c r="R2431" s="26">
        <v>1</v>
      </c>
      <c r="S2431" s="26">
        <v>2</v>
      </c>
      <c r="T2431" s="26">
        <v>1</v>
      </c>
      <c r="U2431" s="26">
        <v>4</v>
      </c>
      <c r="V2431" s="26">
        <v>1</v>
      </c>
      <c r="W2431" s="26"/>
    </row>
    <row r="2432" spans="1:23" x14ac:dyDescent="0.25">
      <c r="A2432" s="26" t="str">
        <f t="shared" si="455"/>
        <v>PREESCOLAR</v>
      </c>
      <c r="B2432" s="26" t="str">
        <f>"09PJN4771R"</f>
        <v>09PJN4771R</v>
      </c>
      <c r="C2432" s="26" t="str">
        <f>"INSTITUTO GRAN BRETAÑA                                                                              "</f>
        <v xml:space="preserve">INSTITUTO GRAN BRETAÑA                                                                              </v>
      </c>
      <c r="D2432" s="26" t="str">
        <f t="shared" si="457"/>
        <v>MATUTINO</v>
      </c>
      <c r="E2432" s="26" t="str">
        <f>"IGNACIO RAMOS PRASLOW NO. 9                                                     "</f>
        <v xml:space="preserve">IGNACIO RAMOS PRASLOW NO. 9                                                     </v>
      </c>
      <c r="F2432" s="26" t="str">
        <f>"CONSTITUCION 1917                                                                                                                           "</f>
        <v xml:space="preserve">CONSTITUCION 1917                                                                                                                           </v>
      </c>
      <c r="G2432" s="26" t="str">
        <f t="shared" si="460"/>
        <v xml:space="preserve">IZTAPALAPA                                                                      </v>
      </c>
      <c r="H2432" s="26" t="str">
        <f t="shared" si="464"/>
        <v>000</v>
      </c>
      <c r="I2432" s="26" t="str">
        <f t="shared" si="456"/>
        <v>00</v>
      </c>
      <c r="J2432" s="26" t="str">
        <f>"62 "</f>
        <v xml:space="preserve">62 </v>
      </c>
      <c r="K2432" s="26" t="str">
        <f t="shared" si="462"/>
        <v>IZ</v>
      </c>
      <c r="L2432" s="26" t="str">
        <f t="shared" si="463"/>
        <v>DGSEI</v>
      </c>
      <c r="M2432" s="26" t="str">
        <f t="shared" si="465"/>
        <v>PARTICULAR</v>
      </c>
      <c r="N2432" s="26">
        <v>32</v>
      </c>
      <c r="O2432" s="26">
        <v>15</v>
      </c>
      <c r="P2432" s="26">
        <v>17</v>
      </c>
      <c r="Q2432" s="26">
        <v>3</v>
      </c>
      <c r="R2432" s="26">
        <v>1</v>
      </c>
      <c r="S2432" s="26">
        <v>3</v>
      </c>
      <c r="T2432" s="26">
        <v>6</v>
      </c>
      <c r="U2432" s="26">
        <v>10</v>
      </c>
      <c r="V2432" s="26">
        <v>1</v>
      </c>
      <c r="W2432" s="26"/>
    </row>
    <row r="2433" spans="1:23" x14ac:dyDescent="0.25">
      <c r="A2433" s="26" t="str">
        <f t="shared" si="455"/>
        <v>PREESCOLAR</v>
      </c>
      <c r="B2433" s="26" t="str">
        <f>"09PJN4772Q"</f>
        <v>09PJN4772Q</v>
      </c>
      <c r="C2433" s="26" t="str">
        <f>"PROFR. BASILIO BADILLO                                                                              "</f>
        <v xml:space="preserve">PROFR. BASILIO BADILLO                                                                              </v>
      </c>
      <c r="D2433" s="26" t="str">
        <f t="shared" si="457"/>
        <v>MATUTINO</v>
      </c>
      <c r="E2433" s="26" t="str">
        <f>"HIDALGO NO. 161                                                                 "</f>
        <v xml:space="preserve">HIDALGO NO. 161                                                                 </v>
      </c>
      <c r="F2433" s="26" t="str">
        <f>"SAN PABLO                                                                                                                                   "</f>
        <v xml:space="preserve">SAN PABLO                                                                                                                                   </v>
      </c>
      <c r="G2433" s="26" t="str">
        <f t="shared" si="460"/>
        <v xml:space="preserve">IZTAPALAPA                                                                      </v>
      </c>
      <c r="H2433" s="26" t="str">
        <f t="shared" si="464"/>
        <v>000</v>
      </c>
      <c r="I2433" s="26" t="str">
        <f t="shared" si="456"/>
        <v>00</v>
      </c>
      <c r="J2433" s="26" t="str">
        <f>"61 "</f>
        <v xml:space="preserve">61 </v>
      </c>
      <c r="K2433" s="26" t="str">
        <f t="shared" si="462"/>
        <v>IZ</v>
      </c>
      <c r="L2433" s="26" t="str">
        <f t="shared" si="463"/>
        <v>DGSEI</v>
      </c>
      <c r="M2433" s="26" t="str">
        <f t="shared" si="465"/>
        <v>PARTICULAR</v>
      </c>
      <c r="N2433" s="26">
        <v>50</v>
      </c>
      <c r="O2433" s="26">
        <v>24</v>
      </c>
      <c r="P2433" s="26">
        <v>26</v>
      </c>
      <c r="Q2433" s="26">
        <v>3</v>
      </c>
      <c r="R2433" s="26">
        <v>1</v>
      </c>
      <c r="S2433" s="26">
        <v>2</v>
      </c>
      <c r="T2433" s="26">
        <v>3</v>
      </c>
      <c r="U2433" s="26">
        <v>6</v>
      </c>
      <c r="V2433" s="26">
        <v>1</v>
      </c>
      <c r="W2433" s="26"/>
    </row>
    <row r="2434" spans="1:23" x14ac:dyDescent="0.25">
      <c r="A2434" s="26" t="str">
        <f t="shared" ref="A2434:A2497" si="466">"PREESCOLAR"</f>
        <v>PREESCOLAR</v>
      </c>
      <c r="B2434" s="26" t="str">
        <f>"09PJN4773P"</f>
        <v>09PJN4773P</v>
      </c>
      <c r="C2434" s="26" t="str">
        <f>"COLEGIO OLIMPIA                                                                                     "</f>
        <v xml:space="preserve">COLEGIO OLIMPIA                                                                                     </v>
      </c>
      <c r="D2434" s="26" t="str">
        <f t="shared" si="457"/>
        <v>MATUTINO</v>
      </c>
      <c r="E2434" s="26" t="str">
        <f>"JOSE MARIA DE JOARISTA MZ. 5 LT. 4                                              "</f>
        <v xml:space="preserve">JOSE MARIA DE JOARISTA MZ. 5 LT. 4                                              </v>
      </c>
      <c r="F2434" s="26" t="str">
        <f>"PARAJE SAN JUAN                                                                                                                             "</f>
        <v xml:space="preserve">PARAJE SAN JUAN                                                                                                                             </v>
      </c>
      <c r="G2434" s="26" t="str">
        <f t="shared" si="460"/>
        <v xml:space="preserve">IZTAPALAPA                                                                      </v>
      </c>
      <c r="H2434" s="26" t="str">
        <f t="shared" si="464"/>
        <v>000</v>
      </c>
      <c r="I2434" s="26" t="str">
        <f t="shared" ref="I2434:I2497" si="467">"00"</f>
        <v>00</v>
      </c>
      <c r="J2434" s="26" t="str">
        <f>"63 "</f>
        <v xml:space="preserve">63 </v>
      </c>
      <c r="K2434" s="26" t="str">
        <f t="shared" si="462"/>
        <v>IZ</v>
      </c>
      <c r="L2434" s="26" t="str">
        <f t="shared" si="463"/>
        <v>DGSEI</v>
      </c>
      <c r="M2434" s="26" t="str">
        <f t="shared" si="465"/>
        <v>PARTICULAR</v>
      </c>
      <c r="N2434" s="26">
        <v>23</v>
      </c>
      <c r="O2434" s="26">
        <v>10</v>
      </c>
      <c r="P2434" s="26">
        <v>13</v>
      </c>
      <c r="Q2434" s="26">
        <v>3</v>
      </c>
      <c r="R2434" s="26">
        <v>1</v>
      </c>
      <c r="S2434" s="26">
        <v>3</v>
      </c>
      <c r="T2434" s="26">
        <v>1</v>
      </c>
      <c r="U2434" s="26">
        <v>5</v>
      </c>
      <c r="V2434" s="26">
        <v>1</v>
      </c>
      <c r="W2434" s="26"/>
    </row>
    <row r="2435" spans="1:23" x14ac:dyDescent="0.25">
      <c r="A2435" s="26" t="str">
        <f t="shared" si="466"/>
        <v>PREESCOLAR</v>
      </c>
      <c r="B2435" s="26" t="str">
        <f>"09PJN4775N"</f>
        <v>09PJN4775N</v>
      </c>
      <c r="C2435" s="26" t="str">
        <f>"ANA SULLIVAN                                                                                        "</f>
        <v xml:space="preserve">ANA SULLIVAN                                                                                        </v>
      </c>
      <c r="D2435" s="26" t="str">
        <f t="shared" ref="D2435" si="468">"MATUTINO"</f>
        <v>MATUTINO</v>
      </c>
      <c r="E2435" s="26" t="str">
        <f>"RETORNO DE VILLA FRANQUEZA S No 20                                              "</f>
        <v xml:space="preserve">RETORNO DE VILLA FRANQUEZA S No 20                                              </v>
      </c>
      <c r="F2435" s="26" t="str">
        <f>"DESARROLLO URBANO QUETZALCOATL                                                                                                              "</f>
        <v xml:space="preserve">DESARROLLO URBANO QUETZALCOATL                                                                                                              </v>
      </c>
      <c r="G2435" s="26" t="str">
        <f t="shared" si="460"/>
        <v xml:space="preserve">IZTAPALAPA                                                                      </v>
      </c>
      <c r="H2435" s="26" t="str">
        <f t="shared" si="464"/>
        <v>000</v>
      </c>
      <c r="I2435" s="26" t="str">
        <f t="shared" si="467"/>
        <v>00</v>
      </c>
      <c r="J2435" s="26" t="str">
        <f>"64 "</f>
        <v xml:space="preserve">64 </v>
      </c>
      <c r="K2435" s="26" t="str">
        <f t="shared" si="462"/>
        <v>IZ</v>
      </c>
      <c r="L2435" s="26" t="str">
        <f t="shared" si="463"/>
        <v>DGSEI</v>
      </c>
      <c r="M2435" s="26" t="str">
        <f t="shared" si="465"/>
        <v>PARTICULAR</v>
      </c>
      <c r="N2435" s="26">
        <v>45</v>
      </c>
      <c r="O2435" s="26">
        <v>21</v>
      </c>
      <c r="P2435" s="26">
        <v>24</v>
      </c>
      <c r="Q2435" s="26">
        <v>2</v>
      </c>
      <c r="R2435" s="26">
        <v>1</v>
      </c>
      <c r="S2435" s="26">
        <v>1</v>
      </c>
      <c r="T2435" s="26">
        <v>3</v>
      </c>
      <c r="U2435" s="26">
        <v>5</v>
      </c>
      <c r="V2435" s="26">
        <v>1</v>
      </c>
      <c r="W2435" s="26"/>
    </row>
    <row r="2436" spans="1:23" x14ac:dyDescent="0.25">
      <c r="A2436" s="26" t="str">
        <f t="shared" si="466"/>
        <v>PREESCOLAR</v>
      </c>
      <c r="B2436" s="26" t="str">
        <f>"09PJN4783W"</f>
        <v>09PJN4783W</v>
      </c>
      <c r="C2436" s="26" t="str">
        <f>"FANTASIA ANGELICAL                                                                                  "</f>
        <v xml:space="preserve">FANTASIA ANGELICAL                                                                                  </v>
      </c>
      <c r="D2436" s="26" t="str">
        <f>"VESPERTINO"</f>
        <v>VESPERTINO</v>
      </c>
      <c r="E2436" s="26" t="str">
        <f>"HIDALGO MZ 27 LT 9                                                              "</f>
        <v xml:space="preserve">HIDALGO MZ 27 LT 9                                                              </v>
      </c>
      <c r="F2436" s="26" t="str">
        <f>"CAMPESTRE EL POTRERO                                                                                                                        "</f>
        <v xml:space="preserve">CAMPESTRE EL POTRERO                                                                                                                        </v>
      </c>
      <c r="G2436" s="26" t="str">
        <f t="shared" si="460"/>
        <v xml:space="preserve">IZTAPALAPA                                                                      </v>
      </c>
      <c r="H2436" s="26" t="str">
        <f t="shared" si="464"/>
        <v>000</v>
      </c>
      <c r="I2436" s="26" t="str">
        <f t="shared" si="467"/>
        <v>00</v>
      </c>
      <c r="J2436" s="26" t="str">
        <f>"64 "</f>
        <v xml:space="preserve">64 </v>
      </c>
      <c r="K2436" s="26" t="str">
        <f t="shared" si="462"/>
        <v>IZ</v>
      </c>
      <c r="L2436" s="26" t="str">
        <f t="shared" si="463"/>
        <v>DGSEI</v>
      </c>
      <c r="M2436" s="26" t="str">
        <f t="shared" si="465"/>
        <v>PARTICULAR</v>
      </c>
      <c r="N2436" s="26">
        <v>36</v>
      </c>
      <c r="O2436" s="26">
        <v>16</v>
      </c>
      <c r="P2436" s="26">
        <v>20</v>
      </c>
      <c r="Q2436" s="26">
        <v>3</v>
      </c>
      <c r="R2436" s="26">
        <v>1</v>
      </c>
      <c r="S2436" s="26">
        <v>2</v>
      </c>
      <c r="T2436" s="26">
        <v>3</v>
      </c>
      <c r="U2436" s="26">
        <v>6</v>
      </c>
      <c r="V2436" s="26">
        <v>1</v>
      </c>
      <c r="W2436" s="26"/>
    </row>
    <row r="2437" spans="1:23" x14ac:dyDescent="0.25">
      <c r="A2437" s="26" t="str">
        <f t="shared" si="466"/>
        <v>PREESCOLAR</v>
      </c>
      <c r="B2437" s="26" t="str">
        <f>"09PJN4784V"</f>
        <v>09PJN4784V</v>
      </c>
      <c r="C2437" s="26" t="str">
        <f>"QUETZALCOATL                                                                                        "</f>
        <v xml:space="preserve">QUETZALCOATL                                                                                        </v>
      </c>
      <c r="D2437" s="26" t="str">
        <f t="shared" ref="D2437:D2471" si="469">"MATUTINO"</f>
        <v>MATUTINO</v>
      </c>
      <c r="E2437" s="26" t="str">
        <f>"INSURGENTES MZ. 22-B LT. 3-A                                                    "</f>
        <v xml:space="preserve">INSURGENTES MZ. 22-B LT. 3-A                                                    </v>
      </c>
      <c r="F2437" s="26" t="str">
        <f>"DESARROLLO URBANO QUETZALCOATL                                                                                                              "</f>
        <v xml:space="preserve">DESARROLLO URBANO QUETZALCOATL                                                                                                              </v>
      </c>
      <c r="G2437" s="26" t="str">
        <f t="shared" si="460"/>
        <v xml:space="preserve">IZTAPALAPA                                                                      </v>
      </c>
      <c r="H2437" s="26" t="str">
        <f t="shared" si="464"/>
        <v>000</v>
      </c>
      <c r="I2437" s="26" t="str">
        <f t="shared" si="467"/>
        <v>00</v>
      </c>
      <c r="J2437" s="26" t="str">
        <f>"63 "</f>
        <v xml:space="preserve">63 </v>
      </c>
      <c r="K2437" s="26" t="str">
        <f t="shared" si="462"/>
        <v>IZ</v>
      </c>
      <c r="L2437" s="26" t="str">
        <f t="shared" si="463"/>
        <v>DGSEI</v>
      </c>
      <c r="M2437" s="26" t="str">
        <f t="shared" si="465"/>
        <v>PARTICULAR</v>
      </c>
      <c r="N2437" s="26">
        <v>43</v>
      </c>
      <c r="O2437" s="26">
        <v>15</v>
      </c>
      <c r="P2437" s="26">
        <v>28</v>
      </c>
      <c r="Q2437" s="26">
        <v>3</v>
      </c>
      <c r="R2437" s="26">
        <v>1</v>
      </c>
      <c r="S2437" s="26">
        <v>3</v>
      </c>
      <c r="T2437" s="26">
        <v>1</v>
      </c>
      <c r="U2437" s="26">
        <v>5</v>
      </c>
      <c r="V2437" s="26">
        <v>1</v>
      </c>
      <c r="W2437" s="26"/>
    </row>
    <row r="2438" spans="1:23" x14ac:dyDescent="0.25">
      <c r="A2438" s="26" t="str">
        <f t="shared" si="466"/>
        <v>PREESCOLAR</v>
      </c>
      <c r="B2438" s="26" t="str">
        <f>"09PJN4786T"</f>
        <v>09PJN4786T</v>
      </c>
      <c r="C2438" s="26" t="str">
        <f>"EL CAMINITO ROJO                                                                                    "</f>
        <v xml:space="preserve">EL CAMINITO ROJO                                                                                    </v>
      </c>
      <c r="D2438" s="26" t="str">
        <f t="shared" si="469"/>
        <v>MATUTINO</v>
      </c>
      <c r="E2438" s="26" t="str">
        <f>"AV. MINAS MZ. 4 LT. 37                                                          "</f>
        <v xml:space="preserve">AV. MINAS MZ. 4 LT. 37                                                          </v>
      </c>
      <c r="F2438" s="26" t="str">
        <f>"BUENAVISTA                                                                                                                                  "</f>
        <v xml:space="preserve">BUENAVISTA                                                                                                                                  </v>
      </c>
      <c r="G2438" s="26" t="str">
        <f t="shared" si="460"/>
        <v xml:space="preserve">IZTAPALAPA                                                                      </v>
      </c>
      <c r="H2438" s="26" t="str">
        <f t="shared" si="464"/>
        <v>000</v>
      </c>
      <c r="I2438" s="26" t="str">
        <f t="shared" si="467"/>
        <v>00</v>
      </c>
      <c r="J2438" s="26" t="str">
        <f>"64 "</f>
        <v xml:space="preserve">64 </v>
      </c>
      <c r="K2438" s="26" t="str">
        <f t="shared" si="462"/>
        <v>IZ</v>
      </c>
      <c r="L2438" s="26" t="str">
        <f t="shared" si="463"/>
        <v>DGSEI</v>
      </c>
      <c r="M2438" s="26" t="str">
        <f t="shared" si="465"/>
        <v>PARTICULAR</v>
      </c>
      <c r="N2438" s="26">
        <v>23</v>
      </c>
      <c r="O2438" s="26">
        <v>7</v>
      </c>
      <c r="P2438" s="26">
        <v>16</v>
      </c>
      <c r="Q2438" s="26">
        <v>2</v>
      </c>
      <c r="R2438" s="26">
        <v>1</v>
      </c>
      <c r="S2438" s="26">
        <v>2</v>
      </c>
      <c r="T2438" s="26">
        <v>0</v>
      </c>
      <c r="U2438" s="26">
        <v>3</v>
      </c>
      <c r="V2438" s="26">
        <v>1</v>
      </c>
      <c r="W2438" s="26"/>
    </row>
    <row r="2439" spans="1:23" x14ac:dyDescent="0.25">
      <c r="A2439" s="26" t="str">
        <f t="shared" si="466"/>
        <v>PREESCOLAR</v>
      </c>
      <c r="B2439" s="26" t="str">
        <f>"09PJN4789Q"</f>
        <v>09PJN4789Q</v>
      </c>
      <c r="C2439" s="26" t="str">
        <f>"THE CHURCHILL SCHOOL                                                                                "</f>
        <v xml:space="preserve">THE CHURCHILL SCHOOL                                                                                </v>
      </c>
      <c r="D2439" s="26" t="str">
        <f t="shared" si="469"/>
        <v>MATUTINO</v>
      </c>
      <c r="E2439" s="26" t="str">
        <f>"FELIPE VILLANUEVA NO. 34 Y 36                                                   "</f>
        <v xml:space="preserve">FELIPE VILLANUEVA NO. 34 Y 36                                                   </v>
      </c>
      <c r="F2439" s="26" t="str">
        <f>"GUADALUPE INN                                                                                                                               "</f>
        <v xml:space="preserve">GUADALUPE INN                                                                                                                               </v>
      </c>
      <c r="G2439" s="26" t="str">
        <f>"ALVARO OBREGON                                                                  "</f>
        <v xml:space="preserve">ALVARO OBREGON                                                                  </v>
      </c>
      <c r="H2439" s="26" t="str">
        <f>"218"</f>
        <v>218</v>
      </c>
      <c r="I2439" s="26" t="str">
        <f t="shared" si="467"/>
        <v>00</v>
      </c>
      <c r="J2439" s="26" t="str">
        <f>"33 "</f>
        <v xml:space="preserve">33 </v>
      </c>
      <c r="K2439" s="26" t="str">
        <f t="shared" ref="K2439:K2448" si="470">"EP"</f>
        <v>EP</v>
      </c>
      <c r="L2439" s="26" t="str">
        <f t="shared" ref="L2439:L2448" si="471">"DGOSE"</f>
        <v>DGOSE</v>
      </c>
      <c r="M2439" s="26" t="str">
        <f t="shared" si="465"/>
        <v>PARTICULAR</v>
      </c>
      <c r="N2439" s="26">
        <v>236</v>
      </c>
      <c r="O2439" s="26">
        <v>118</v>
      </c>
      <c r="P2439" s="26">
        <v>118</v>
      </c>
      <c r="Q2439" s="26">
        <v>9</v>
      </c>
      <c r="R2439" s="26">
        <v>1</v>
      </c>
      <c r="S2439" s="26">
        <v>9</v>
      </c>
      <c r="T2439" s="26">
        <v>5</v>
      </c>
      <c r="U2439" s="26">
        <v>15</v>
      </c>
      <c r="V2439" s="26">
        <v>1</v>
      </c>
      <c r="W2439" s="26"/>
    </row>
    <row r="2440" spans="1:23" x14ac:dyDescent="0.25">
      <c r="A2440" s="26" t="str">
        <f t="shared" si="466"/>
        <v>PREESCOLAR</v>
      </c>
      <c r="B2440" s="26" t="str">
        <f>"09PJN4791E"</f>
        <v>09PJN4791E</v>
      </c>
      <c r="C2440" s="26" t="str">
        <f>"MONTESSORI CHILDREN´S SCHOOL                                                                        "</f>
        <v xml:space="preserve">MONTESSORI CHILDREN´S SCHOOL                                                                        </v>
      </c>
      <c r="D2440" s="26" t="str">
        <f t="shared" si="469"/>
        <v>MATUTINO</v>
      </c>
      <c r="E2440" s="26" t="str">
        <f>"MARAVATIO NO. 242                                                               "</f>
        <v xml:space="preserve">MARAVATIO NO. 242                                                               </v>
      </c>
      <c r="F2440" s="26" t="str">
        <f>"CLAVERIA                                                                                                                                    "</f>
        <v xml:space="preserve">CLAVERIA                                                                                                                                    </v>
      </c>
      <c r="G2440" s="26" t="str">
        <f>"AZCAPOTZALCO                                                                    "</f>
        <v xml:space="preserve">AZCAPOTZALCO                                                                    </v>
      </c>
      <c r="H2440" s="26" t="str">
        <f>"059"</f>
        <v>059</v>
      </c>
      <c r="I2440" s="26" t="str">
        <f t="shared" si="467"/>
        <v>00</v>
      </c>
      <c r="J2440" s="26" t="str">
        <f>"32 "</f>
        <v xml:space="preserve">32 </v>
      </c>
      <c r="K2440" s="26" t="str">
        <f t="shared" si="470"/>
        <v>EP</v>
      </c>
      <c r="L2440" s="26" t="str">
        <f t="shared" si="471"/>
        <v>DGOSE</v>
      </c>
      <c r="M2440" s="26" t="str">
        <f t="shared" si="465"/>
        <v>PARTICULAR</v>
      </c>
      <c r="N2440" s="26">
        <v>26</v>
      </c>
      <c r="O2440" s="26">
        <v>15</v>
      </c>
      <c r="P2440" s="26">
        <v>11</v>
      </c>
      <c r="Q2440" s="26">
        <v>3</v>
      </c>
      <c r="R2440" s="26">
        <v>1</v>
      </c>
      <c r="S2440" s="26">
        <v>2</v>
      </c>
      <c r="T2440" s="26">
        <v>2</v>
      </c>
      <c r="U2440" s="26">
        <v>5</v>
      </c>
      <c r="V2440" s="26">
        <v>1</v>
      </c>
      <c r="W2440" s="26"/>
    </row>
    <row r="2441" spans="1:23" x14ac:dyDescent="0.25">
      <c r="A2441" s="26" t="str">
        <f t="shared" si="466"/>
        <v>PREESCOLAR</v>
      </c>
      <c r="B2441" s="26" t="str">
        <f>"09PJN4792D"</f>
        <v>09PJN4792D</v>
      </c>
      <c r="C2441" s="26" t="str">
        <f>"CENTRO DE APRENDIZAJE Y DESARROLLO INTEGRAL ENGELS                                                  "</f>
        <v xml:space="preserve">CENTRO DE APRENDIZAJE Y DESARROLLO INTEGRAL ENGELS                                                  </v>
      </c>
      <c r="D2441" s="26" t="str">
        <f t="shared" si="469"/>
        <v>MATUTINO</v>
      </c>
      <c r="E2441" s="26" t="str">
        <f>"CERRO DE JESUS NO. 226                                                          "</f>
        <v xml:space="preserve">CERRO DE JESUS NO. 226                                                          </v>
      </c>
      <c r="F2441" s="26" t="str">
        <f>"CAMPESTRE CHURUBUSCO                                                                                                                        "</f>
        <v xml:space="preserve">CAMPESTRE CHURUBUSCO                                                                                                                        </v>
      </c>
      <c r="G2441" s="26" t="str">
        <f>"COYOACAN                                                                        "</f>
        <v xml:space="preserve">COYOACAN                                                                        </v>
      </c>
      <c r="H2441" s="26" t="str">
        <f>"024"</f>
        <v>024</v>
      </c>
      <c r="I2441" s="26" t="str">
        <f t="shared" si="467"/>
        <v>00</v>
      </c>
      <c r="J2441" s="26" t="str">
        <f>"35 "</f>
        <v xml:space="preserve">35 </v>
      </c>
      <c r="K2441" s="26" t="str">
        <f t="shared" si="470"/>
        <v>EP</v>
      </c>
      <c r="L2441" s="26" t="str">
        <f t="shared" si="471"/>
        <v>DGOSE</v>
      </c>
      <c r="M2441" s="26" t="str">
        <f t="shared" si="465"/>
        <v>PARTICULAR</v>
      </c>
      <c r="N2441" s="26">
        <v>15</v>
      </c>
      <c r="O2441" s="26">
        <v>4</v>
      </c>
      <c r="P2441" s="26">
        <v>11</v>
      </c>
      <c r="Q2441" s="26">
        <v>3</v>
      </c>
      <c r="R2441" s="26">
        <v>1</v>
      </c>
      <c r="S2441" s="26">
        <v>2</v>
      </c>
      <c r="T2441" s="26">
        <v>1</v>
      </c>
      <c r="U2441" s="26">
        <v>4</v>
      </c>
      <c r="V2441" s="26">
        <v>1</v>
      </c>
      <c r="W2441" s="26"/>
    </row>
    <row r="2442" spans="1:23" x14ac:dyDescent="0.25">
      <c r="A2442" s="26" t="str">
        <f t="shared" si="466"/>
        <v>PREESCOLAR</v>
      </c>
      <c r="B2442" s="26" t="str">
        <f>"09PJN4793C"</f>
        <v>09PJN4793C</v>
      </c>
      <c r="C2442" s="26" t="str">
        <f>"MAESTRO OSCAR ARCE VELASCO (MAO)                                                                    "</f>
        <v xml:space="preserve">MAESTRO OSCAR ARCE VELASCO (MAO)                                                                    </v>
      </c>
      <c r="D2442" s="26" t="str">
        <f t="shared" si="469"/>
        <v>MATUTINO</v>
      </c>
      <c r="E2442" s="26" t="str">
        <f>"AV. ACOXPA NO. 902                                                              "</f>
        <v xml:space="preserve">AV. ACOXPA NO. 902                                                              </v>
      </c>
      <c r="F2442" s="26" t="str">
        <f>"VILLA COAPA                                                                                                                                 "</f>
        <v xml:space="preserve">VILLA COAPA                                                                                                                                 </v>
      </c>
      <c r="G2442" s="26" t="str">
        <f>"TLALPAN                                                                         "</f>
        <v xml:space="preserve">TLALPAN                                                                         </v>
      </c>
      <c r="H2442" s="26" t="str">
        <f>"050"</f>
        <v>050</v>
      </c>
      <c r="I2442" s="26" t="str">
        <f t="shared" si="467"/>
        <v>00</v>
      </c>
      <c r="J2442" s="26" t="str">
        <f>"35 "</f>
        <v xml:space="preserve">35 </v>
      </c>
      <c r="K2442" s="26" t="str">
        <f t="shared" si="470"/>
        <v>EP</v>
      </c>
      <c r="L2442" s="26" t="str">
        <f t="shared" si="471"/>
        <v>DGOSE</v>
      </c>
      <c r="M2442" s="26" t="str">
        <f t="shared" si="465"/>
        <v>PARTICULAR</v>
      </c>
      <c r="N2442" s="26">
        <v>5</v>
      </c>
      <c r="O2442" s="26">
        <v>3</v>
      </c>
      <c r="P2442" s="26">
        <v>2</v>
      </c>
      <c r="Q2442" s="26">
        <v>2</v>
      </c>
      <c r="R2442" s="26">
        <v>1</v>
      </c>
      <c r="S2442" s="26">
        <v>1</v>
      </c>
      <c r="T2442" s="26">
        <v>2</v>
      </c>
      <c r="U2442" s="26">
        <v>4</v>
      </c>
      <c r="V2442" s="26">
        <v>1</v>
      </c>
      <c r="W2442" s="26"/>
    </row>
    <row r="2443" spans="1:23" x14ac:dyDescent="0.25">
      <c r="A2443" s="26" t="str">
        <f t="shared" si="466"/>
        <v>PREESCOLAR</v>
      </c>
      <c r="B2443" s="26" t="str">
        <f>"09PJN4794B"</f>
        <v>09PJN4794B</v>
      </c>
      <c r="C2443" s="26" t="str">
        <f>"COLEGIO HEBREO TARBUT                                                                               "</f>
        <v xml:space="preserve">COLEGIO HEBREO TARBUT                                                                               </v>
      </c>
      <c r="D2443" s="26" t="str">
        <f t="shared" si="469"/>
        <v>MATUTINO</v>
      </c>
      <c r="E2443" s="26" t="str">
        <f>"LOMA DEL PARQUE NO. 216                                                         "</f>
        <v xml:space="preserve">LOMA DEL PARQUE NO. 216                                                         </v>
      </c>
      <c r="F2443" s="26" t="str">
        <f>"LOMAS DE VISTA HERMOSA                                                                                                                      "</f>
        <v xml:space="preserve">LOMAS DE VISTA HERMOSA                                                                                                                      </v>
      </c>
      <c r="G2443" s="26" t="str">
        <f>"CUAJIMALPA DE MORELOS                                                           "</f>
        <v xml:space="preserve">CUAJIMALPA DE MORELOS                                                           </v>
      </c>
      <c r="H2443" s="26" t="str">
        <f>"212"</f>
        <v>212</v>
      </c>
      <c r="I2443" s="26" t="str">
        <f t="shared" si="467"/>
        <v>00</v>
      </c>
      <c r="J2443" s="26" t="str">
        <f>"33 "</f>
        <v xml:space="preserve">33 </v>
      </c>
      <c r="K2443" s="26" t="str">
        <f t="shared" si="470"/>
        <v>EP</v>
      </c>
      <c r="L2443" s="26" t="str">
        <f t="shared" si="471"/>
        <v>DGOSE</v>
      </c>
      <c r="M2443" s="26" t="str">
        <f t="shared" si="465"/>
        <v>PARTICULAR</v>
      </c>
      <c r="N2443" s="26">
        <v>90</v>
      </c>
      <c r="O2443" s="26">
        <v>46</v>
      </c>
      <c r="P2443" s="26">
        <v>44</v>
      </c>
      <c r="Q2443" s="26">
        <v>6</v>
      </c>
      <c r="R2443" s="26">
        <v>1</v>
      </c>
      <c r="S2443" s="26">
        <v>6</v>
      </c>
      <c r="T2443" s="26">
        <v>3</v>
      </c>
      <c r="U2443" s="26">
        <v>10</v>
      </c>
      <c r="V2443" s="26">
        <v>1</v>
      </c>
      <c r="W2443" s="26"/>
    </row>
    <row r="2444" spans="1:23" x14ac:dyDescent="0.25">
      <c r="A2444" s="26" t="str">
        <f t="shared" si="466"/>
        <v>PREESCOLAR</v>
      </c>
      <c r="B2444" s="26" t="str">
        <f>"09PJN4796Z"</f>
        <v>09PJN4796Z</v>
      </c>
      <c r="C2444" s="26" t="str">
        <f>"JUAN ENRIQUE PESTALOZZI                                                                             "</f>
        <v xml:space="preserve">JUAN ENRIQUE PESTALOZZI                                                                             </v>
      </c>
      <c r="D2444" s="26" t="str">
        <f t="shared" si="469"/>
        <v>MATUTINO</v>
      </c>
      <c r="E2444" s="26" t="str">
        <f>"CALZADA DE LAS BOMBAS NO. 282                                                   "</f>
        <v xml:space="preserve">CALZADA DE LAS BOMBAS NO. 282                                                   </v>
      </c>
      <c r="F2444" s="26" t="str">
        <f>"LOS CEDROS                                                                                                                                  "</f>
        <v xml:space="preserve">LOS CEDROS                                                                                                                                  </v>
      </c>
      <c r="G2444" s="26" t="str">
        <f>"COYOACAN                                                                        "</f>
        <v xml:space="preserve">COYOACAN                                                                        </v>
      </c>
      <c r="H2444" s="26" t="str">
        <f>"239"</f>
        <v>239</v>
      </c>
      <c r="I2444" s="26" t="str">
        <f t="shared" si="467"/>
        <v>00</v>
      </c>
      <c r="J2444" s="26" t="str">
        <f>"35 "</f>
        <v xml:space="preserve">35 </v>
      </c>
      <c r="K2444" s="26" t="str">
        <f t="shared" si="470"/>
        <v>EP</v>
      </c>
      <c r="L2444" s="26" t="str">
        <f t="shared" si="471"/>
        <v>DGOSE</v>
      </c>
      <c r="M2444" s="26" t="str">
        <f t="shared" si="465"/>
        <v>PARTICULAR</v>
      </c>
      <c r="N2444" s="26">
        <v>21</v>
      </c>
      <c r="O2444" s="26">
        <v>8</v>
      </c>
      <c r="P2444" s="26">
        <v>13</v>
      </c>
      <c r="Q2444" s="26">
        <v>2</v>
      </c>
      <c r="R2444" s="26">
        <v>1</v>
      </c>
      <c r="S2444" s="26">
        <v>1</v>
      </c>
      <c r="T2444" s="26">
        <v>4</v>
      </c>
      <c r="U2444" s="26">
        <v>6</v>
      </c>
      <c r="V2444" s="26">
        <v>1</v>
      </c>
      <c r="W2444" s="26"/>
    </row>
    <row r="2445" spans="1:23" x14ac:dyDescent="0.25">
      <c r="A2445" s="26" t="str">
        <f t="shared" si="466"/>
        <v>PREESCOLAR</v>
      </c>
      <c r="B2445" s="26" t="str">
        <f>"09PJN4797Z"</f>
        <v>09PJN4797Z</v>
      </c>
      <c r="C2445" s="26" t="str">
        <f>"NENE'S GYM                                                                                          "</f>
        <v xml:space="preserve">NENE'S GYM                                                                                          </v>
      </c>
      <c r="D2445" s="26" t="str">
        <f t="shared" si="469"/>
        <v>MATUTINO</v>
      </c>
      <c r="E2445" s="26" t="str">
        <f>"PASEO DE LAS HIGUERAS NO. 76                                                    "</f>
        <v xml:space="preserve">PASEO DE LAS HIGUERAS NO. 76                                                    </v>
      </c>
      <c r="F2445" s="26" t="str">
        <f>"PASEOS DE TAXQUEÑA                                                                                                                          "</f>
        <v xml:space="preserve">PASEOS DE TAXQUEÑA                                                                                                                          </v>
      </c>
      <c r="G2445" s="26" t="str">
        <f>"COYOACAN                                                                        "</f>
        <v xml:space="preserve">COYOACAN                                                                        </v>
      </c>
      <c r="H2445" s="26" t="str">
        <f>"024"</f>
        <v>024</v>
      </c>
      <c r="I2445" s="26" t="str">
        <f t="shared" si="467"/>
        <v>00</v>
      </c>
      <c r="J2445" s="26" t="str">
        <f>"35 "</f>
        <v xml:space="preserve">35 </v>
      </c>
      <c r="K2445" s="26" t="str">
        <f t="shared" si="470"/>
        <v>EP</v>
      </c>
      <c r="L2445" s="26" t="str">
        <f t="shared" si="471"/>
        <v>DGOSE</v>
      </c>
      <c r="M2445" s="26" t="str">
        <f t="shared" si="465"/>
        <v>PARTICULAR</v>
      </c>
      <c r="N2445" s="26">
        <v>18</v>
      </c>
      <c r="O2445" s="26">
        <v>13</v>
      </c>
      <c r="P2445" s="26">
        <v>5</v>
      </c>
      <c r="Q2445" s="26">
        <v>3</v>
      </c>
      <c r="R2445" s="26">
        <v>1</v>
      </c>
      <c r="S2445" s="26">
        <v>3</v>
      </c>
      <c r="T2445" s="26">
        <v>2</v>
      </c>
      <c r="U2445" s="26">
        <v>6</v>
      </c>
      <c r="V2445" s="26">
        <v>1</v>
      </c>
      <c r="W2445" s="26"/>
    </row>
    <row r="2446" spans="1:23" x14ac:dyDescent="0.25">
      <c r="A2446" s="26" t="str">
        <f t="shared" si="466"/>
        <v>PREESCOLAR</v>
      </c>
      <c r="B2446" s="26" t="str">
        <f>"09PJN4798Y"</f>
        <v>09PJN4798Y</v>
      </c>
      <c r="C2446" s="26" t="str">
        <f>"THE APPLE TREE KINDERGARDEN                                                                         "</f>
        <v xml:space="preserve">THE APPLE TREE KINDERGARDEN                                                                         </v>
      </c>
      <c r="D2446" s="26" t="str">
        <f t="shared" si="469"/>
        <v>MATUTINO</v>
      </c>
      <c r="E2446" s="26" t="str">
        <f>"PORFIRIO DIAZ NO. 94                                                            "</f>
        <v xml:space="preserve">PORFIRIO DIAZ NO. 94                                                            </v>
      </c>
      <c r="F2446" s="26" t="str">
        <f>"NOCHE BUENA                                                                                                                                 "</f>
        <v xml:space="preserve">NOCHE BUENA                                                                                                                                 </v>
      </c>
      <c r="G2446" s="26" t="str">
        <f>"BENITO JUAREZ                                                                   "</f>
        <v xml:space="preserve">BENITO JUAREZ                                                                   </v>
      </c>
      <c r="H2446" s="26" t="str">
        <f>"032"</f>
        <v>032</v>
      </c>
      <c r="I2446" s="26" t="str">
        <f t="shared" si="467"/>
        <v>00</v>
      </c>
      <c r="J2446" s="26" t="str">
        <f>"33 "</f>
        <v xml:space="preserve">33 </v>
      </c>
      <c r="K2446" s="26" t="str">
        <f t="shared" si="470"/>
        <v>EP</v>
      </c>
      <c r="L2446" s="26" t="str">
        <f t="shared" si="471"/>
        <v>DGOSE</v>
      </c>
      <c r="M2446" s="26" t="str">
        <f t="shared" si="465"/>
        <v>PARTICULAR</v>
      </c>
      <c r="N2446" s="26">
        <v>40</v>
      </c>
      <c r="O2446" s="26">
        <v>20</v>
      </c>
      <c r="P2446" s="26">
        <v>20</v>
      </c>
      <c r="Q2446" s="26">
        <v>3</v>
      </c>
      <c r="R2446" s="26">
        <v>1</v>
      </c>
      <c r="S2446" s="26">
        <v>3</v>
      </c>
      <c r="T2446" s="26">
        <v>3</v>
      </c>
      <c r="U2446" s="26">
        <v>7</v>
      </c>
      <c r="V2446" s="26">
        <v>1</v>
      </c>
      <c r="W2446" s="26"/>
    </row>
    <row r="2447" spans="1:23" x14ac:dyDescent="0.25">
      <c r="A2447" s="26" t="str">
        <f t="shared" si="466"/>
        <v>PREESCOLAR</v>
      </c>
      <c r="B2447" s="26" t="str">
        <f>"09PJN4799X"</f>
        <v>09PJN4799X</v>
      </c>
      <c r="C2447" s="26" t="str">
        <f>"JARDÍN DE NIÑOS MÁGICO MUNDO                                                                        "</f>
        <v xml:space="preserve">JARDÍN DE NIÑOS MÁGICO MUNDO                                                                        </v>
      </c>
      <c r="D2447" s="26" t="str">
        <f t="shared" si="469"/>
        <v>MATUTINO</v>
      </c>
      <c r="E2447" s="26" t="str">
        <f>"AV. RIO CHURUBUSCO NO. 2007                                                     "</f>
        <v xml:space="preserve">AV. RIO CHURUBUSCO NO. 2007                                                     </v>
      </c>
      <c r="F2447" s="26" t="str">
        <f>"EL RODEO                                                                                                                                    "</f>
        <v xml:space="preserve">EL RODEO                                                                                                                                    </v>
      </c>
      <c r="G2447" s="26" t="str">
        <f>"IZTACALCO                                                                       "</f>
        <v xml:space="preserve">IZTACALCO                                                                       </v>
      </c>
      <c r="H2447" s="26" t="str">
        <f>"240"</f>
        <v>240</v>
      </c>
      <c r="I2447" s="26" t="str">
        <f t="shared" si="467"/>
        <v>00</v>
      </c>
      <c r="J2447" s="26" t="str">
        <f>"33 "</f>
        <v xml:space="preserve">33 </v>
      </c>
      <c r="K2447" s="26" t="str">
        <f t="shared" si="470"/>
        <v>EP</v>
      </c>
      <c r="L2447" s="26" t="str">
        <f t="shared" si="471"/>
        <v>DGOSE</v>
      </c>
      <c r="M2447" s="26" t="str">
        <f t="shared" si="465"/>
        <v>PARTICULAR</v>
      </c>
      <c r="N2447" s="26">
        <v>25</v>
      </c>
      <c r="O2447" s="26">
        <v>12</v>
      </c>
      <c r="P2447" s="26">
        <v>13</v>
      </c>
      <c r="Q2447" s="26">
        <v>3</v>
      </c>
      <c r="R2447" s="26">
        <v>1</v>
      </c>
      <c r="S2447" s="26">
        <v>3</v>
      </c>
      <c r="T2447" s="26">
        <v>0</v>
      </c>
      <c r="U2447" s="26">
        <v>4</v>
      </c>
      <c r="V2447" s="26">
        <v>1</v>
      </c>
      <c r="W2447" s="26"/>
    </row>
    <row r="2448" spans="1:23" x14ac:dyDescent="0.25">
      <c r="A2448" s="26" t="str">
        <f t="shared" si="466"/>
        <v>PREESCOLAR</v>
      </c>
      <c r="B2448" s="26" t="str">
        <f>"09PJN4800W"</f>
        <v>09PJN4800W</v>
      </c>
      <c r="C2448" s="26" t="str">
        <f>"CENTRO ESCOLAR MORELOS                                                                              "</f>
        <v xml:space="preserve">CENTRO ESCOLAR MORELOS                                                                              </v>
      </c>
      <c r="D2448" s="26" t="str">
        <f t="shared" si="469"/>
        <v>MATUTINO</v>
      </c>
      <c r="E2448" s="26" t="str">
        <f>"AV. MORELOS NO. 679/F1                                                          "</f>
        <v xml:space="preserve">AV. MORELOS NO. 679/F1                                                          </v>
      </c>
      <c r="F2448" s="26" t="str">
        <f>"MAGDALENA MIXHUCA                                                                                                                           "</f>
        <v xml:space="preserve">MAGDALENA MIXHUCA                                                                                                                           </v>
      </c>
      <c r="G2448" s="26" t="str">
        <f>"VENUSTIANO CARRANZA                                                             "</f>
        <v xml:space="preserve">VENUSTIANO CARRANZA                                                             </v>
      </c>
      <c r="H2448" s="26" t="str">
        <f>"096"</f>
        <v>096</v>
      </c>
      <c r="I2448" s="26" t="str">
        <f t="shared" si="467"/>
        <v>00</v>
      </c>
      <c r="J2448" s="26" t="str">
        <f>"33 "</f>
        <v xml:space="preserve">33 </v>
      </c>
      <c r="K2448" s="26" t="str">
        <f t="shared" si="470"/>
        <v>EP</v>
      </c>
      <c r="L2448" s="26" t="str">
        <f t="shared" si="471"/>
        <v>DGOSE</v>
      </c>
      <c r="M2448" s="26" t="str">
        <f t="shared" si="465"/>
        <v>PARTICULAR</v>
      </c>
      <c r="N2448" s="26">
        <v>78</v>
      </c>
      <c r="O2448" s="26">
        <v>43</v>
      </c>
      <c r="P2448" s="26">
        <v>35</v>
      </c>
      <c r="Q2448" s="26">
        <v>3</v>
      </c>
      <c r="R2448" s="26">
        <v>1</v>
      </c>
      <c r="S2448" s="26">
        <v>3</v>
      </c>
      <c r="T2448" s="26">
        <v>10</v>
      </c>
      <c r="U2448" s="26">
        <v>14</v>
      </c>
      <c r="V2448" s="26">
        <v>1</v>
      </c>
      <c r="W2448" s="26"/>
    </row>
    <row r="2449" spans="1:23" x14ac:dyDescent="0.25">
      <c r="A2449" s="26" t="str">
        <f t="shared" si="466"/>
        <v>PREESCOLAR</v>
      </c>
      <c r="B2449" s="26" t="str">
        <f>"09PJN4805R"</f>
        <v>09PJN4805R</v>
      </c>
      <c r="C2449" s="26" t="str">
        <f>"EL PRINCIPITO                                                                                       "</f>
        <v xml:space="preserve">EL PRINCIPITO                                                                                       </v>
      </c>
      <c r="D2449" s="26" t="str">
        <f t="shared" si="469"/>
        <v>MATUTINO</v>
      </c>
      <c r="E2449" s="26" t="str">
        <f>"CARRIL MZ. 8 LT. 4                                                              "</f>
        <v xml:space="preserve">CARRIL MZ. 8 LT. 4                                                              </v>
      </c>
      <c r="F2449" s="26" t="str">
        <f>"SAN MIGUEL TEOTONGO                                                                                                                         "</f>
        <v xml:space="preserve">SAN MIGUEL TEOTONGO                                                                                                                         </v>
      </c>
      <c r="G2449" s="26" t="str">
        <f t="shared" ref="G2449:G2459" si="472">"IZTAPALAPA                                                                      "</f>
        <v xml:space="preserve">IZTAPALAPA                                                                      </v>
      </c>
      <c r="H2449" s="26" t="str">
        <f t="shared" ref="H2449:H2459" si="473">"000"</f>
        <v>000</v>
      </c>
      <c r="I2449" s="26" t="str">
        <f t="shared" si="467"/>
        <v>00</v>
      </c>
      <c r="J2449" s="26" t="str">
        <f>"64 "</f>
        <v xml:space="preserve">64 </v>
      </c>
      <c r="K2449" s="26" t="str">
        <f t="shared" ref="K2449:K2459" si="474">"IZ"</f>
        <v>IZ</v>
      </c>
      <c r="L2449" s="26" t="str">
        <f t="shared" ref="L2449:L2459" si="475">"DGSEI"</f>
        <v>DGSEI</v>
      </c>
      <c r="M2449" s="26" t="str">
        <f t="shared" si="465"/>
        <v>PARTICULAR</v>
      </c>
      <c r="N2449" s="26">
        <v>18</v>
      </c>
      <c r="O2449" s="26">
        <v>9</v>
      </c>
      <c r="P2449" s="26">
        <v>9</v>
      </c>
      <c r="Q2449" s="26">
        <v>3</v>
      </c>
      <c r="R2449" s="26">
        <v>1</v>
      </c>
      <c r="S2449" s="26">
        <v>2</v>
      </c>
      <c r="T2449" s="26">
        <v>1</v>
      </c>
      <c r="U2449" s="26">
        <v>4</v>
      </c>
      <c r="V2449" s="26">
        <v>1</v>
      </c>
      <c r="W2449" s="26"/>
    </row>
    <row r="2450" spans="1:23" x14ac:dyDescent="0.25">
      <c r="A2450" s="26" t="str">
        <f t="shared" si="466"/>
        <v>PREESCOLAR</v>
      </c>
      <c r="B2450" s="26" t="str">
        <f>"09PJN4806Q"</f>
        <v>09PJN4806Q</v>
      </c>
      <c r="C2450" s="26" t="str">
        <f>"COLEGIO GALLARDIN                                                                                   "</f>
        <v xml:space="preserve">COLEGIO GALLARDIN                                                                                   </v>
      </c>
      <c r="D2450" s="26" t="str">
        <f t="shared" si="469"/>
        <v>MATUTINO</v>
      </c>
      <c r="E2450" s="26" t="str">
        <f>"GALLARDIN NO. 39                                                                "</f>
        <v xml:space="preserve">GALLARDIN NO. 39                                                                </v>
      </c>
      <c r="F2450" s="26" t="str">
        <f>"LOS ANGELES APANOAYA                                                                                                                        "</f>
        <v xml:space="preserve">LOS ANGELES APANOAYA                                                                                                                        </v>
      </c>
      <c r="G2450" s="26" t="str">
        <f t="shared" si="472"/>
        <v xml:space="preserve">IZTAPALAPA                                                                      </v>
      </c>
      <c r="H2450" s="26" t="str">
        <f t="shared" si="473"/>
        <v>000</v>
      </c>
      <c r="I2450" s="26" t="str">
        <f t="shared" si="467"/>
        <v>00</v>
      </c>
      <c r="J2450" s="26" t="str">
        <f>"63 "</f>
        <v xml:space="preserve">63 </v>
      </c>
      <c r="K2450" s="26" t="str">
        <f t="shared" si="474"/>
        <v>IZ</v>
      </c>
      <c r="L2450" s="26" t="str">
        <f t="shared" si="475"/>
        <v>DGSEI</v>
      </c>
      <c r="M2450" s="26" t="str">
        <f t="shared" si="465"/>
        <v>PARTICULAR</v>
      </c>
      <c r="N2450" s="26">
        <v>16</v>
      </c>
      <c r="O2450" s="26">
        <v>10</v>
      </c>
      <c r="P2450" s="26">
        <v>6</v>
      </c>
      <c r="Q2450" s="26">
        <v>4</v>
      </c>
      <c r="R2450" s="26">
        <v>1</v>
      </c>
      <c r="S2450" s="26">
        <v>1</v>
      </c>
      <c r="T2450" s="26">
        <v>0</v>
      </c>
      <c r="U2450" s="26">
        <v>2</v>
      </c>
      <c r="V2450" s="26">
        <v>1</v>
      </c>
      <c r="W2450" s="26"/>
    </row>
    <row r="2451" spans="1:23" x14ac:dyDescent="0.25">
      <c r="A2451" s="26" t="str">
        <f t="shared" si="466"/>
        <v>PREESCOLAR</v>
      </c>
      <c r="B2451" s="26" t="str">
        <f>"09PJN4807P"</f>
        <v>09PJN4807P</v>
      </c>
      <c r="C2451" s="26" t="str">
        <f>"OHANA                                                                                               "</f>
        <v xml:space="preserve">OHANA                                                                                               </v>
      </c>
      <c r="D2451" s="26" t="str">
        <f t="shared" si="469"/>
        <v>MATUTINO</v>
      </c>
      <c r="E2451" s="26" t="str">
        <f>"LUCIO BLANCO NO. 5                                                              "</f>
        <v xml:space="preserve">LUCIO BLANCO NO. 5                                                              </v>
      </c>
      <c r="F2451" s="26" t="str">
        <f>"SANTA CRUZ MEYEHUALCO                                                                                                                       "</f>
        <v xml:space="preserve">SANTA CRUZ MEYEHUALCO                                                                                                                       </v>
      </c>
      <c r="G2451" s="26" t="str">
        <f t="shared" si="472"/>
        <v xml:space="preserve">IZTAPALAPA                                                                      </v>
      </c>
      <c r="H2451" s="26" t="str">
        <f t="shared" si="473"/>
        <v>000</v>
      </c>
      <c r="I2451" s="26" t="str">
        <f t="shared" si="467"/>
        <v>00</v>
      </c>
      <c r="J2451" s="26" t="str">
        <f>"64 "</f>
        <v xml:space="preserve">64 </v>
      </c>
      <c r="K2451" s="26" t="str">
        <f t="shared" si="474"/>
        <v>IZ</v>
      </c>
      <c r="L2451" s="26" t="str">
        <f t="shared" si="475"/>
        <v>DGSEI</v>
      </c>
      <c r="M2451" s="26" t="str">
        <f t="shared" si="465"/>
        <v>PARTICULAR</v>
      </c>
      <c r="N2451" s="26">
        <v>13</v>
      </c>
      <c r="O2451" s="26">
        <v>8</v>
      </c>
      <c r="P2451" s="26">
        <v>5</v>
      </c>
      <c r="Q2451" s="26">
        <v>2</v>
      </c>
      <c r="R2451" s="26">
        <v>1</v>
      </c>
      <c r="S2451" s="26">
        <v>2</v>
      </c>
      <c r="T2451" s="26">
        <v>0</v>
      </c>
      <c r="U2451" s="26">
        <v>3</v>
      </c>
      <c r="V2451" s="26">
        <v>1</v>
      </c>
      <c r="W2451" s="26"/>
    </row>
    <row r="2452" spans="1:23" x14ac:dyDescent="0.25">
      <c r="A2452" s="26" t="str">
        <f t="shared" si="466"/>
        <v>PREESCOLAR</v>
      </c>
      <c r="B2452" s="26" t="str">
        <f>"09PJN4808O"</f>
        <v>09PJN4808O</v>
      </c>
      <c r="C2452" s="26" t="str">
        <f>"TLALOC                                                                                              "</f>
        <v xml:space="preserve">TLALOC                                                                                              </v>
      </c>
      <c r="D2452" s="26" t="str">
        <f t="shared" si="469"/>
        <v>MATUTINO</v>
      </c>
      <c r="E2452" s="26" t="str">
        <f>"JACARANDAS MZ. 20 LT. 5                                                         "</f>
        <v xml:space="preserve">JACARANDAS MZ. 20 LT. 5                                                         </v>
      </c>
      <c r="F2452" s="26" t="str">
        <f>"SAN MIGUEL TEOTONGO                                                                                                                         "</f>
        <v xml:space="preserve">SAN MIGUEL TEOTONGO                                                                                                                         </v>
      </c>
      <c r="G2452" s="26" t="str">
        <f t="shared" si="472"/>
        <v xml:space="preserve">IZTAPALAPA                                                                      </v>
      </c>
      <c r="H2452" s="26" t="str">
        <f t="shared" si="473"/>
        <v>000</v>
      </c>
      <c r="I2452" s="26" t="str">
        <f t="shared" si="467"/>
        <v>00</v>
      </c>
      <c r="J2452" s="26" t="str">
        <f>"64 "</f>
        <v xml:space="preserve">64 </v>
      </c>
      <c r="K2452" s="26" t="str">
        <f t="shared" si="474"/>
        <v>IZ</v>
      </c>
      <c r="L2452" s="26" t="str">
        <f t="shared" si="475"/>
        <v>DGSEI</v>
      </c>
      <c r="M2452" s="26" t="str">
        <f t="shared" si="465"/>
        <v>PARTICULAR</v>
      </c>
      <c r="N2452" s="26">
        <v>34</v>
      </c>
      <c r="O2452" s="26">
        <v>19</v>
      </c>
      <c r="P2452" s="26">
        <v>15</v>
      </c>
      <c r="Q2452" s="26">
        <v>3</v>
      </c>
      <c r="R2452" s="26">
        <v>1</v>
      </c>
      <c r="S2452" s="26">
        <v>3</v>
      </c>
      <c r="T2452" s="26">
        <v>0</v>
      </c>
      <c r="U2452" s="26">
        <v>4</v>
      </c>
      <c r="V2452" s="26">
        <v>1</v>
      </c>
      <c r="W2452" s="26"/>
    </row>
    <row r="2453" spans="1:23" x14ac:dyDescent="0.25">
      <c r="A2453" s="26" t="str">
        <f t="shared" si="466"/>
        <v>PREESCOLAR</v>
      </c>
      <c r="B2453" s="26" t="str">
        <f>"09PJN4810C"</f>
        <v>09PJN4810C</v>
      </c>
      <c r="C2453" s="26" t="str">
        <f>"SEMILLITAS DE FRATERNIDAD                                                                           "</f>
        <v xml:space="preserve">SEMILLITAS DE FRATERNIDAD                                                                           </v>
      </c>
      <c r="D2453" s="26" t="str">
        <f t="shared" si="469"/>
        <v>MATUTINO</v>
      </c>
      <c r="E2453" s="26" t="s">
        <v>107</v>
      </c>
      <c r="F2453" s="26" t="str">
        <f>"EJERCITO DE AGUA PRIETA                                                                                                                     "</f>
        <v xml:space="preserve">EJERCITO DE AGUA PRIETA                                                                                                                     </v>
      </c>
      <c r="G2453" s="26" t="str">
        <f t="shared" si="472"/>
        <v xml:space="preserve">IZTAPALAPA                                                                      </v>
      </c>
      <c r="H2453" s="26" t="str">
        <f t="shared" si="473"/>
        <v>000</v>
      </c>
      <c r="I2453" s="26" t="str">
        <f t="shared" si="467"/>
        <v>00</v>
      </c>
      <c r="J2453" s="26" t="str">
        <f>"62 "</f>
        <v xml:space="preserve">62 </v>
      </c>
      <c r="K2453" s="26" t="str">
        <f t="shared" si="474"/>
        <v>IZ</v>
      </c>
      <c r="L2453" s="26" t="str">
        <f t="shared" si="475"/>
        <v>DGSEI</v>
      </c>
      <c r="M2453" s="26" t="str">
        <f t="shared" si="465"/>
        <v>PARTICULAR</v>
      </c>
      <c r="N2453" s="26">
        <v>24</v>
      </c>
      <c r="O2453" s="26">
        <v>14</v>
      </c>
      <c r="P2453" s="26">
        <v>10</v>
      </c>
      <c r="Q2453" s="26">
        <v>3</v>
      </c>
      <c r="R2453" s="26">
        <v>1</v>
      </c>
      <c r="S2453" s="26">
        <v>2</v>
      </c>
      <c r="T2453" s="26">
        <v>1</v>
      </c>
      <c r="U2453" s="26">
        <v>4</v>
      </c>
      <c r="V2453" s="26">
        <v>1</v>
      </c>
      <c r="W2453" s="26"/>
    </row>
    <row r="2454" spans="1:23" x14ac:dyDescent="0.25">
      <c r="A2454" s="26" t="str">
        <f t="shared" si="466"/>
        <v>PREESCOLAR</v>
      </c>
      <c r="B2454" s="26" t="str">
        <f>"09PJN4811B"</f>
        <v>09PJN4811B</v>
      </c>
      <c r="C2454" s="26" t="str">
        <f>"CENTRO ESCOLAR MEXICO IZTAPALAPA                                                                    "</f>
        <v xml:space="preserve">CENTRO ESCOLAR MEXICO IZTAPALAPA                                                                    </v>
      </c>
      <c r="D2454" s="26" t="str">
        <f t="shared" si="469"/>
        <v>MATUTINO</v>
      </c>
      <c r="E2454" s="26" t="str">
        <f>"15 DE MAYO MZ. 142 LT. 3                                                        "</f>
        <v xml:space="preserve">15 DE MAYO MZ. 142 LT. 3                                                        </v>
      </c>
      <c r="F2454" s="26" t="str">
        <f>"IXTLAHUACAN                                                                                                                                 "</f>
        <v xml:space="preserve">IXTLAHUACAN                                                                                                                                 </v>
      </c>
      <c r="G2454" s="26" t="str">
        <f t="shared" si="472"/>
        <v xml:space="preserve">IZTAPALAPA                                                                      </v>
      </c>
      <c r="H2454" s="26" t="str">
        <f t="shared" si="473"/>
        <v>000</v>
      </c>
      <c r="I2454" s="26" t="str">
        <f t="shared" si="467"/>
        <v>00</v>
      </c>
      <c r="J2454" s="26" t="str">
        <f>"64 "</f>
        <v xml:space="preserve">64 </v>
      </c>
      <c r="K2454" s="26" t="str">
        <f t="shared" si="474"/>
        <v>IZ</v>
      </c>
      <c r="L2454" s="26" t="str">
        <f t="shared" si="475"/>
        <v>DGSEI</v>
      </c>
      <c r="M2454" s="26" t="str">
        <f t="shared" si="465"/>
        <v>PARTICULAR</v>
      </c>
      <c r="N2454" s="26">
        <v>31</v>
      </c>
      <c r="O2454" s="26">
        <v>15</v>
      </c>
      <c r="P2454" s="26">
        <v>16</v>
      </c>
      <c r="Q2454" s="26">
        <v>3</v>
      </c>
      <c r="R2454" s="26">
        <v>1</v>
      </c>
      <c r="S2454" s="26">
        <v>3</v>
      </c>
      <c r="T2454" s="26">
        <v>0</v>
      </c>
      <c r="U2454" s="26">
        <v>4</v>
      </c>
      <c r="V2454" s="26">
        <v>1</v>
      </c>
      <c r="W2454" s="26"/>
    </row>
    <row r="2455" spans="1:23" x14ac:dyDescent="0.25">
      <c r="A2455" s="26" t="str">
        <f t="shared" si="466"/>
        <v>PREESCOLAR</v>
      </c>
      <c r="B2455" s="26" t="str">
        <f>"09PJN4814Z"</f>
        <v>09PJN4814Z</v>
      </c>
      <c r="C2455" s="26" t="str">
        <f>"EL PEQUEÑO MOZART                                                                                   "</f>
        <v xml:space="preserve">EL PEQUEÑO MOZART                                                                                   </v>
      </c>
      <c r="D2455" s="26" t="str">
        <f t="shared" si="469"/>
        <v>MATUTINO</v>
      </c>
      <c r="E2455" s="26" t="str">
        <f>"CANAL ELBA TRAVE NO. 10 MZ. 30                                                  "</f>
        <v xml:space="preserve">CANAL ELBA TRAVE NO. 10 MZ. 30                                                  </v>
      </c>
      <c r="F2455" s="26" t="str">
        <f>"INSURGENTES                                                                                                                                 "</f>
        <v xml:space="preserve">INSURGENTES                                                                                                                                 </v>
      </c>
      <c r="G2455" s="26" t="str">
        <f t="shared" si="472"/>
        <v xml:space="preserve">IZTAPALAPA                                                                      </v>
      </c>
      <c r="H2455" s="26" t="str">
        <f t="shared" si="473"/>
        <v>000</v>
      </c>
      <c r="I2455" s="26" t="str">
        <f t="shared" si="467"/>
        <v>00</v>
      </c>
      <c r="J2455" s="26" t="str">
        <f>"63 "</f>
        <v xml:space="preserve">63 </v>
      </c>
      <c r="K2455" s="26" t="str">
        <f t="shared" si="474"/>
        <v>IZ</v>
      </c>
      <c r="L2455" s="26" t="str">
        <f t="shared" si="475"/>
        <v>DGSEI</v>
      </c>
      <c r="M2455" s="26" t="str">
        <f t="shared" si="465"/>
        <v>PARTICULAR</v>
      </c>
      <c r="N2455" s="26">
        <v>6</v>
      </c>
      <c r="O2455" s="26">
        <v>3</v>
      </c>
      <c r="P2455" s="26">
        <v>3</v>
      </c>
      <c r="Q2455" s="26">
        <v>3</v>
      </c>
      <c r="R2455" s="26">
        <v>1</v>
      </c>
      <c r="S2455" s="26">
        <v>3</v>
      </c>
      <c r="T2455" s="26">
        <v>1</v>
      </c>
      <c r="U2455" s="26">
        <v>5</v>
      </c>
      <c r="V2455" s="26">
        <v>1</v>
      </c>
      <c r="W2455" s="26"/>
    </row>
    <row r="2456" spans="1:23" x14ac:dyDescent="0.25">
      <c r="A2456" s="26" t="str">
        <f t="shared" si="466"/>
        <v>PREESCOLAR</v>
      </c>
      <c r="B2456" s="26" t="str">
        <f>"09PJN4817W"</f>
        <v>09PJN4817W</v>
      </c>
      <c r="C2456" s="26" t="str">
        <f>"COLEGIO IZTAPALAPA                                                                                  "</f>
        <v xml:space="preserve">COLEGIO IZTAPALAPA                                                                                  </v>
      </c>
      <c r="D2456" s="26" t="str">
        <f t="shared" si="469"/>
        <v>MATUTINO</v>
      </c>
      <c r="E2456" s="26" t="str">
        <f>"SUR 95-B NO. 620                                                                "</f>
        <v xml:space="preserve">SUR 95-B NO. 620                                                                </v>
      </c>
      <c r="F2456" s="26" t="str">
        <f>"SECTOR POPULAR                                                                                                                              "</f>
        <v xml:space="preserve">SECTOR POPULAR                                                                                                                              </v>
      </c>
      <c r="G2456" s="26" t="str">
        <f t="shared" si="472"/>
        <v xml:space="preserve">IZTAPALAPA                                                                      </v>
      </c>
      <c r="H2456" s="26" t="str">
        <f t="shared" si="473"/>
        <v>000</v>
      </c>
      <c r="I2456" s="26" t="str">
        <f t="shared" si="467"/>
        <v>00</v>
      </c>
      <c r="J2456" s="26" t="str">
        <f>"61 "</f>
        <v xml:space="preserve">61 </v>
      </c>
      <c r="K2456" s="26" t="str">
        <f t="shared" si="474"/>
        <v>IZ</v>
      </c>
      <c r="L2456" s="26" t="str">
        <f t="shared" si="475"/>
        <v>DGSEI</v>
      </c>
      <c r="M2456" s="26" t="str">
        <f t="shared" si="465"/>
        <v>PARTICULAR</v>
      </c>
      <c r="N2456" s="26">
        <v>23</v>
      </c>
      <c r="O2456" s="26">
        <v>9</v>
      </c>
      <c r="P2456" s="26">
        <v>14</v>
      </c>
      <c r="Q2456" s="26">
        <v>3</v>
      </c>
      <c r="R2456" s="26">
        <v>1</v>
      </c>
      <c r="S2456" s="26">
        <v>3</v>
      </c>
      <c r="T2456" s="26">
        <v>4</v>
      </c>
      <c r="U2456" s="26">
        <v>8</v>
      </c>
      <c r="V2456" s="26">
        <v>1</v>
      </c>
      <c r="W2456" s="26"/>
    </row>
    <row r="2457" spans="1:23" x14ac:dyDescent="0.25">
      <c r="A2457" s="26" t="str">
        <f t="shared" si="466"/>
        <v>PREESCOLAR</v>
      </c>
      <c r="B2457" s="26" t="str">
        <f>"09PJN4818V"</f>
        <v>09PJN4818V</v>
      </c>
      <c r="C2457" s="26" t="str">
        <f>"INSTITUTO ERNEST HEMINGWAY                                                                          "</f>
        <v xml:space="preserve">INSTITUTO ERNEST HEMINGWAY                                                                          </v>
      </c>
      <c r="D2457" s="26" t="str">
        <f t="shared" si="469"/>
        <v>MATUTINO</v>
      </c>
      <c r="E2457" s="26" t="str">
        <f>" ZULUAGA NO. 5 ESQ. ERMITA IZTAPALAPA                                           "</f>
        <v xml:space="preserve"> ZULUAGA NO. 5 ESQ. ERMITA IZTAPALAPA                                           </v>
      </c>
      <c r="F2457" s="26" t="str">
        <f>"SAN MIGUEL DE LAS SALERAS                                                                                                                   "</f>
        <v xml:space="preserve">SAN MIGUEL DE LAS SALERAS                                                                                                                   </v>
      </c>
      <c r="G2457" s="26" t="str">
        <f t="shared" si="472"/>
        <v xml:space="preserve">IZTAPALAPA                                                                      </v>
      </c>
      <c r="H2457" s="26" t="str">
        <f t="shared" si="473"/>
        <v>000</v>
      </c>
      <c r="I2457" s="26" t="str">
        <f t="shared" si="467"/>
        <v>00</v>
      </c>
      <c r="J2457" s="26" t="str">
        <f>"61 "</f>
        <v xml:space="preserve">61 </v>
      </c>
      <c r="K2457" s="26" t="str">
        <f t="shared" si="474"/>
        <v>IZ</v>
      </c>
      <c r="L2457" s="26" t="str">
        <f t="shared" si="475"/>
        <v>DGSEI</v>
      </c>
      <c r="M2457" s="26" t="str">
        <f t="shared" si="465"/>
        <v>PARTICULAR</v>
      </c>
      <c r="N2457" s="26">
        <v>42</v>
      </c>
      <c r="O2457" s="26">
        <v>21</v>
      </c>
      <c r="P2457" s="26">
        <v>21</v>
      </c>
      <c r="Q2457" s="26">
        <v>3</v>
      </c>
      <c r="R2457" s="26">
        <v>1</v>
      </c>
      <c r="S2457" s="26">
        <v>3</v>
      </c>
      <c r="T2457" s="26">
        <v>6</v>
      </c>
      <c r="U2457" s="26">
        <v>10</v>
      </c>
      <c r="V2457" s="26">
        <v>1</v>
      </c>
      <c r="W2457" s="26"/>
    </row>
    <row r="2458" spans="1:23" x14ac:dyDescent="0.25">
      <c r="A2458" s="26" t="str">
        <f t="shared" si="466"/>
        <v>PREESCOLAR</v>
      </c>
      <c r="B2458" s="26" t="str">
        <f>"09PJN4820J"</f>
        <v>09PJN4820J</v>
      </c>
      <c r="C2458" s="26" t="str">
        <f>"LAS ESTRELLITAS                                                                                     "</f>
        <v xml:space="preserve">LAS ESTRELLITAS                                                                                     </v>
      </c>
      <c r="D2458" s="26" t="str">
        <f t="shared" si="469"/>
        <v>MATUTINO</v>
      </c>
      <c r="E2458" s="26" t="str">
        <f>"3RA. PRIV. DE MOCTEZUMA NO. 14                                                  "</f>
        <v xml:space="preserve">3RA. PRIV. DE MOCTEZUMA NO. 14                                                  </v>
      </c>
      <c r="F2458" s="26" t="str">
        <f>"SAN MIGUEL DE LAS SALERAS                                                                                                                   "</f>
        <v xml:space="preserve">SAN MIGUEL DE LAS SALERAS                                                                                                                   </v>
      </c>
      <c r="G2458" s="26" t="str">
        <f t="shared" si="472"/>
        <v xml:space="preserve">IZTAPALAPA                                                                      </v>
      </c>
      <c r="H2458" s="26" t="str">
        <f t="shared" si="473"/>
        <v>000</v>
      </c>
      <c r="I2458" s="26" t="str">
        <f t="shared" si="467"/>
        <v>00</v>
      </c>
      <c r="J2458" s="26" t="str">
        <f>"61 "</f>
        <v xml:space="preserve">61 </v>
      </c>
      <c r="K2458" s="26" t="str">
        <f t="shared" si="474"/>
        <v>IZ</v>
      </c>
      <c r="L2458" s="26" t="str">
        <f t="shared" si="475"/>
        <v>DGSEI</v>
      </c>
      <c r="M2458" s="26" t="str">
        <f t="shared" si="465"/>
        <v>PARTICULAR</v>
      </c>
      <c r="N2458" s="26">
        <v>15</v>
      </c>
      <c r="O2458" s="26">
        <v>8</v>
      </c>
      <c r="P2458" s="26">
        <v>7</v>
      </c>
      <c r="Q2458" s="26">
        <v>3</v>
      </c>
      <c r="R2458" s="26">
        <v>1</v>
      </c>
      <c r="S2458" s="26">
        <v>1</v>
      </c>
      <c r="T2458" s="26">
        <v>2</v>
      </c>
      <c r="U2458" s="26">
        <v>4</v>
      </c>
      <c r="V2458" s="26">
        <v>1</v>
      </c>
      <c r="W2458" s="26"/>
    </row>
    <row r="2459" spans="1:23" x14ac:dyDescent="0.25">
      <c r="A2459" s="26" t="str">
        <f t="shared" si="466"/>
        <v>PREESCOLAR</v>
      </c>
      <c r="B2459" s="26" t="str">
        <f>"09PJN4824F"</f>
        <v>09PJN4824F</v>
      </c>
      <c r="C2459" s="26" t="str">
        <f>"CENTRO DE EDUCACION PREESCOLAR AILEC                                                                "</f>
        <v xml:space="preserve">CENTRO DE EDUCACION PREESCOLAR AILEC                                                                </v>
      </c>
      <c r="D2459" s="26" t="str">
        <f t="shared" si="469"/>
        <v>MATUTINO</v>
      </c>
      <c r="E2459" s="26" t="str">
        <f>"JOSE MARIA PARRAS NO. 301                                                       "</f>
        <v xml:space="preserve">JOSE MARIA PARRAS NO. 301                                                       </v>
      </c>
      <c r="F2459" s="26" t="str">
        <f>"JUAN ESCUTIA                                                                                                                                "</f>
        <v xml:space="preserve">JUAN ESCUTIA                                                                                                                                </v>
      </c>
      <c r="G2459" s="26" t="str">
        <f t="shared" si="472"/>
        <v xml:space="preserve">IZTAPALAPA                                                                      </v>
      </c>
      <c r="H2459" s="26" t="str">
        <f t="shared" si="473"/>
        <v>000</v>
      </c>
      <c r="I2459" s="26" t="str">
        <f t="shared" si="467"/>
        <v>00</v>
      </c>
      <c r="J2459" s="26" t="str">
        <f>"62 "</f>
        <v xml:space="preserve">62 </v>
      </c>
      <c r="K2459" s="26" t="str">
        <f t="shared" si="474"/>
        <v>IZ</v>
      </c>
      <c r="L2459" s="26" t="str">
        <f t="shared" si="475"/>
        <v>DGSEI</v>
      </c>
      <c r="M2459" s="26" t="str">
        <f t="shared" si="465"/>
        <v>PARTICULAR</v>
      </c>
      <c r="N2459" s="26">
        <v>35</v>
      </c>
      <c r="O2459" s="26">
        <v>17</v>
      </c>
      <c r="P2459" s="26">
        <v>18</v>
      </c>
      <c r="Q2459" s="26">
        <v>3</v>
      </c>
      <c r="R2459" s="26">
        <v>1</v>
      </c>
      <c r="S2459" s="26">
        <v>3</v>
      </c>
      <c r="T2459" s="26">
        <v>4</v>
      </c>
      <c r="U2459" s="26">
        <v>8</v>
      </c>
      <c r="V2459" s="26">
        <v>1</v>
      </c>
      <c r="W2459" s="26"/>
    </row>
    <row r="2460" spans="1:23" x14ac:dyDescent="0.25">
      <c r="A2460" s="26" t="str">
        <f t="shared" si="466"/>
        <v>PREESCOLAR</v>
      </c>
      <c r="B2460" s="26" t="str">
        <f>"09PJN4830Q"</f>
        <v>09PJN4830Q</v>
      </c>
      <c r="C2460" s="26" t="str">
        <f>"INSTITUTO CHARLESWORTH                                                                              "</f>
        <v xml:space="preserve">INSTITUTO CHARLESWORTH                                                                              </v>
      </c>
      <c r="D2460" s="26" t="str">
        <f t="shared" si="469"/>
        <v>MATUTINO</v>
      </c>
      <c r="E2460" s="26" t="str">
        <f>"ESTOCOLMO 1912 NO. 27                                                           "</f>
        <v xml:space="preserve">ESTOCOLMO 1912 NO. 27                                                           </v>
      </c>
      <c r="F2460" s="26" t="str">
        <f>"UNIDAD HABITACIONAL OLIMPICA                                                                                                                "</f>
        <v xml:space="preserve">UNIDAD HABITACIONAL OLIMPICA                                                                                                                </v>
      </c>
      <c r="G2460" s="26" t="str">
        <f>"COYOACAN                                                                        "</f>
        <v xml:space="preserve">COYOACAN                                                                        </v>
      </c>
      <c r="H2460" s="26" t="str">
        <f>"239"</f>
        <v>239</v>
      </c>
      <c r="I2460" s="26" t="str">
        <f t="shared" si="467"/>
        <v>00</v>
      </c>
      <c r="J2460" s="26" t="str">
        <f>"35 "</f>
        <v xml:space="preserve">35 </v>
      </c>
      <c r="K2460" s="26" t="str">
        <f t="shared" ref="K2460:K2477" si="476">"EP"</f>
        <v>EP</v>
      </c>
      <c r="L2460" s="26" t="str">
        <f t="shared" ref="L2460:L2477" si="477">"DGOSE"</f>
        <v>DGOSE</v>
      </c>
      <c r="M2460" s="26" t="str">
        <f t="shared" si="465"/>
        <v>PARTICULAR</v>
      </c>
      <c r="N2460" s="26">
        <v>25</v>
      </c>
      <c r="O2460" s="26">
        <v>11</v>
      </c>
      <c r="P2460" s="26">
        <v>14</v>
      </c>
      <c r="Q2460" s="26">
        <v>3</v>
      </c>
      <c r="R2460" s="26">
        <v>1</v>
      </c>
      <c r="S2460" s="26">
        <v>2</v>
      </c>
      <c r="T2460" s="26">
        <v>3</v>
      </c>
      <c r="U2460" s="26">
        <v>6</v>
      </c>
      <c r="V2460" s="26">
        <v>1</v>
      </c>
      <c r="W2460" s="26"/>
    </row>
    <row r="2461" spans="1:23" x14ac:dyDescent="0.25">
      <c r="A2461" s="26" t="str">
        <f t="shared" si="466"/>
        <v>PREESCOLAR</v>
      </c>
      <c r="B2461" s="26" t="str">
        <f>"09PJN4833N"</f>
        <v>09PJN4833N</v>
      </c>
      <c r="C2461" s="26" t="str">
        <f>"COLEGIO KID'S PLANET                                                                                "</f>
        <v xml:space="preserve">COLEGIO KID'S PLANET                                                                                </v>
      </c>
      <c r="D2461" s="26" t="str">
        <f t="shared" si="469"/>
        <v>MATUTINO</v>
      </c>
      <c r="E2461" s="26" t="str">
        <f>"PANABA NO.63                                                                    "</f>
        <v xml:space="preserve">PANABA NO.63                                                                    </v>
      </c>
      <c r="F2461" s="26" t="str">
        <f>"PEDREGAL DE SAN NICOLAS                                                                                                                     "</f>
        <v xml:space="preserve">PEDREGAL DE SAN NICOLAS                                                                                                                     </v>
      </c>
      <c r="G2461" s="26" t="str">
        <f>"TLALPAN                                                                         "</f>
        <v xml:space="preserve">TLALPAN                                                                         </v>
      </c>
      <c r="H2461" s="26" t="str">
        <f>"146"</f>
        <v>146</v>
      </c>
      <c r="I2461" s="26" t="str">
        <f t="shared" si="467"/>
        <v>00</v>
      </c>
      <c r="J2461" s="26" t="str">
        <f>"35 "</f>
        <v xml:space="preserve">35 </v>
      </c>
      <c r="K2461" s="26" t="str">
        <f t="shared" si="476"/>
        <v>EP</v>
      </c>
      <c r="L2461" s="26" t="str">
        <f t="shared" si="477"/>
        <v>DGOSE</v>
      </c>
      <c r="M2461" s="26" t="str">
        <f t="shared" si="465"/>
        <v>PARTICULAR</v>
      </c>
      <c r="N2461" s="26">
        <v>40</v>
      </c>
      <c r="O2461" s="26">
        <v>16</v>
      </c>
      <c r="P2461" s="26">
        <v>24</v>
      </c>
      <c r="Q2461" s="26">
        <v>3</v>
      </c>
      <c r="R2461" s="26">
        <v>1</v>
      </c>
      <c r="S2461" s="26">
        <v>3</v>
      </c>
      <c r="T2461" s="26">
        <v>2</v>
      </c>
      <c r="U2461" s="26">
        <v>6</v>
      </c>
      <c r="V2461" s="26">
        <v>1</v>
      </c>
      <c r="W2461" s="26"/>
    </row>
    <row r="2462" spans="1:23" x14ac:dyDescent="0.25">
      <c r="A2462" s="26" t="str">
        <f t="shared" si="466"/>
        <v>PREESCOLAR</v>
      </c>
      <c r="B2462" s="26" t="str">
        <f>"09PJN4834M"</f>
        <v>09PJN4834M</v>
      </c>
      <c r="C2462" s="26" t="str">
        <f>"LIC. JUSTO SIERRA MÉNDEZ                                                                            "</f>
        <v xml:space="preserve">LIC. JUSTO SIERRA MÉNDEZ                                                                            </v>
      </c>
      <c r="D2462" s="26" t="str">
        <f t="shared" si="469"/>
        <v>MATUTINO</v>
      </c>
      <c r="E2462" s="26" t="str">
        <f>"CALLEJON GENERAL ANAYA NO. 38                                                   "</f>
        <v xml:space="preserve">CALLEJON GENERAL ANAYA NO. 38                                                   </v>
      </c>
      <c r="F2462" s="26" t="str">
        <f>"CHURUBUSCO                                                                                                                                  "</f>
        <v xml:space="preserve">CHURUBUSCO                                                                                                                                  </v>
      </c>
      <c r="G2462" s="26" t="str">
        <f>"COYOACAN                                                                        "</f>
        <v xml:space="preserve">COYOACAN                                                                        </v>
      </c>
      <c r="H2462" s="26" t="str">
        <f>"111"</f>
        <v>111</v>
      </c>
      <c r="I2462" s="26" t="str">
        <f t="shared" si="467"/>
        <v>00</v>
      </c>
      <c r="J2462" s="26" t="str">
        <f>"35 "</f>
        <v xml:space="preserve">35 </v>
      </c>
      <c r="K2462" s="26" t="str">
        <f t="shared" si="476"/>
        <v>EP</v>
      </c>
      <c r="L2462" s="26" t="str">
        <f t="shared" si="477"/>
        <v>DGOSE</v>
      </c>
      <c r="M2462" s="26" t="str">
        <f t="shared" si="465"/>
        <v>PARTICULAR</v>
      </c>
      <c r="N2462" s="26">
        <v>26</v>
      </c>
      <c r="O2462" s="26">
        <v>13</v>
      </c>
      <c r="P2462" s="26">
        <v>13</v>
      </c>
      <c r="Q2462" s="26">
        <v>3</v>
      </c>
      <c r="R2462" s="26">
        <v>1</v>
      </c>
      <c r="S2462" s="26">
        <v>2</v>
      </c>
      <c r="T2462" s="26">
        <v>5</v>
      </c>
      <c r="U2462" s="26">
        <v>8</v>
      </c>
      <c r="V2462" s="26">
        <v>1</v>
      </c>
      <c r="W2462" s="26"/>
    </row>
    <row r="2463" spans="1:23" x14ac:dyDescent="0.25">
      <c r="A2463" s="26" t="str">
        <f t="shared" si="466"/>
        <v>PREESCOLAR</v>
      </c>
      <c r="B2463" s="26" t="str">
        <f>"09PJN4835L"</f>
        <v>09PJN4835L</v>
      </c>
      <c r="C2463" s="26" t="str">
        <f>"BUCKINGHAM                                                                                          "</f>
        <v xml:space="preserve">BUCKINGHAM                                                                                          </v>
      </c>
      <c r="D2463" s="26" t="str">
        <f t="shared" si="469"/>
        <v>MATUTINO</v>
      </c>
      <c r="E2463" s="26" t="str">
        <f>"HUEXOTITLA NO. 30                                                               "</f>
        <v xml:space="preserve">HUEXOTITLA NO. 30                                                               </v>
      </c>
      <c r="F2463" s="26" t="str">
        <f>"SAN PEDRO MARTIR                                                                                                                            "</f>
        <v xml:space="preserve">SAN PEDRO MARTIR                                                                                                                            </v>
      </c>
      <c r="G2463" s="26" t="str">
        <f>"TLALPAN                                                                         "</f>
        <v xml:space="preserve">TLALPAN                                                                         </v>
      </c>
      <c r="H2463" s="26" t="str">
        <f>"132"</f>
        <v>132</v>
      </c>
      <c r="I2463" s="26" t="str">
        <f t="shared" si="467"/>
        <v>00</v>
      </c>
      <c r="J2463" s="26" t="str">
        <f>"35 "</f>
        <v xml:space="preserve">35 </v>
      </c>
      <c r="K2463" s="26" t="str">
        <f t="shared" si="476"/>
        <v>EP</v>
      </c>
      <c r="L2463" s="26" t="str">
        <f t="shared" si="477"/>
        <v>DGOSE</v>
      </c>
      <c r="M2463" s="26" t="str">
        <f t="shared" si="465"/>
        <v>PARTICULAR</v>
      </c>
      <c r="N2463" s="26">
        <v>54</v>
      </c>
      <c r="O2463" s="26">
        <v>27</v>
      </c>
      <c r="P2463" s="26">
        <v>27</v>
      </c>
      <c r="Q2463" s="26">
        <v>3</v>
      </c>
      <c r="R2463" s="26">
        <v>1</v>
      </c>
      <c r="S2463" s="26">
        <v>3</v>
      </c>
      <c r="T2463" s="26">
        <v>4</v>
      </c>
      <c r="U2463" s="26">
        <v>8</v>
      </c>
      <c r="V2463" s="26">
        <v>1</v>
      </c>
      <c r="W2463" s="26"/>
    </row>
    <row r="2464" spans="1:23" x14ac:dyDescent="0.25">
      <c r="A2464" s="26" t="str">
        <f t="shared" si="466"/>
        <v>PREESCOLAR</v>
      </c>
      <c r="B2464" s="26" t="str">
        <f>"09PJN4836K"</f>
        <v>09PJN4836K</v>
      </c>
      <c r="C2464" s="26" t="str">
        <f>"JARDÍN DE NIÑOS D'ANGELO                                                                            "</f>
        <v xml:space="preserve">JARDÍN DE NIÑOS D'ANGELO                                                                            </v>
      </c>
      <c r="D2464" s="26" t="str">
        <f t="shared" si="469"/>
        <v>MATUTINO</v>
      </c>
      <c r="E2464" s="26" t="str">
        <f>"HERREROS NO. 125                                                                "</f>
        <v xml:space="preserve">HERREROS NO. 125                                                                </v>
      </c>
      <c r="F2464" s="26" t="str">
        <f>"20 DE NOVIEMBRE                                                                                                                             "</f>
        <v xml:space="preserve">20 DE NOVIEMBRE                                                                                                                             </v>
      </c>
      <c r="G2464" s="26" t="str">
        <f>"VENUSTIANO CARRANZA                                                             "</f>
        <v xml:space="preserve">VENUSTIANO CARRANZA                                                             </v>
      </c>
      <c r="H2464" s="26" t="str">
        <f>"025"</f>
        <v>025</v>
      </c>
      <c r="I2464" s="26" t="str">
        <f t="shared" si="467"/>
        <v>00</v>
      </c>
      <c r="J2464" s="26" t="str">
        <f t="shared" ref="J2464:J2469" si="478">"33 "</f>
        <v xml:space="preserve">33 </v>
      </c>
      <c r="K2464" s="26" t="str">
        <f t="shared" si="476"/>
        <v>EP</v>
      </c>
      <c r="L2464" s="26" t="str">
        <f t="shared" si="477"/>
        <v>DGOSE</v>
      </c>
      <c r="M2464" s="26" t="str">
        <f t="shared" si="465"/>
        <v>PARTICULAR</v>
      </c>
      <c r="N2464" s="26">
        <v>48</v>
      </c>
      <c r="O2464" s="26">
        <v>24</v>
      </c>
      <c r="P2464" s="26">
        <v>24</v>
      </c>
      <c r="Q2464" s="26">
        <v>2</v>
      </c>
      <c r="R2464" s="26">
        <v>1</v>
      </c>
      <c r="S2464" s="26">
        <v>1</v>
      </c>
      <c r="T2464" s="26">
        <v>3</v>
      </c>
      <c r="U2464" s="26">
        <v>5</v>
      </c>
      <c r="V2464" s="26">
        <v>1</v>
      </c>
      <c r="W2464" s="26"/>
    </row>
    <row r="2465" spans="1:23" x14ac:dyDescent="0.25">
      <c r="A2465" s="26" t="str">
        <f t="shared" si="466"/>
        <v>PREESCOLAR</v>
      </c>
      <c r="B2465" s="26" t="str">
        <f>"09PJN4837J"</f>
        <v>09PJN4837J</v>
      </c>
      <c r="C2465" s="26" t="str">
        <f>"AXDREL SCHOOL                                                                                       "</f>
        <v xml:space="preserve">AXDREL SCHOOL                                                                                       </v>
      </c>
      <c r="D2465" s="26" t="str">
        <f t="shared" si="469"/>
        <v>MATUTINO</v>
      </c>
      <c r="E2465" s="26" t="str">
        <f>"CARRILLO PUERTO NO. 344                                                         "</f>
        <v xml:space="preserve">CARRILLO PUERTO NO. 344                                                         </v>
      </c>
      <c r="F2465" s="26" t="str">
        <f>"GENERAL PEDRO MARIA ANAYA                                                                                                                   "</f>
        <v xml:space="preserve">GENERAL PEDRO MARIA ANAYA                                                                                                                   </v>
      </c>
      <c r="G2465" s="26" t="str">
        <f>"BENITO JUAREZ                                                                   "</f>
        <v xml:space="preserve">BENITO JUAREZ                                                                   </v>
      </c>
      <c r="H2465" s="26" t="str">
        <f>"234"</f>
        <v>234</v>
      </c>
      <c r="I2465" s="26" t="str">
        <f t="shared" si="467"/>
        <v>00</v>
      </c>
      <c r="J2465" s="26" t="str">
        <f t="shared" si="478"/>
        <v xml:space="preserve">33 </v>
      </c>
      <c r="K2465" s="26" t="str">
        <f t="shared" si="476"/>
        <v>EP</v>
      </c>
      <c r="L2465" s="26" t="str">
        <f t="shared" si="477"/>
        <v>DGOSE</v>
      </c>
      <c r="M2465" s="26" t="str">
        <f t="shared" si="465"/>
        <v>PARTICULAR</v>
      </c>
      <c r="N2465" s="26">
        <v>5</v>
      </c>
      <c r="O2465" s="26">
        <v>4</v>
      </c>
      <c r="P2465" s="26">
        <v>1</v>
      </c>
      <c r="Q2465" s="26">
        <v>2</v>
      </c>
      <c r="R2465" s="26">
        <v>1</v>
      </c>
      <c r="S2465" s="26">
        <v>1</v>
      </c>
      <c r="T2465" s="26">
        <v>3</v>
      </c>
      <c r="U2465" s="26">
        <v>5</v>
      </c>
      <c r="V2465" s="26">
        <v>1</v>
      </c>
      <c r="W2465" s="26"/>
    </row>
    <row r="2466" spans="1:23" x14ac:dyDescent="0.25">
      <c r="A2466" s="26" t="str">
        <f t="shared" si="466"/>
        <v>PREESCOLAR</v>
      </c>
      <c r="B2466" s="26" t="str">
        <f>"09PJN4838I"</f>
        <v>09PJN4838I</v>
      </c>
      <c r="C2466" s="26" t="str">
        <f>"COLEGIO BERTALANFFY                                                                                 "</f>
        <v xml:space="preserve">COLEGIO BERTALANFFY                                                                                 </v>
      </c>
      <c r="D2466" s="26" t="str">
        <f t="shared" si="469"/>
        <v>MATUTINO</v>
      </c>
      <c r="E2466" s="26" t="str">
        <f>"LORENZO BARCELATA NO. 21                                                        "</f>
        <v xml:space="preserve">LORENZO BARCELATA NO. 21                                                        </v>
      </c>
      <c r="F2466" s="26" t="str">
        <f>"GUADALUPE INN                                                                                                                               "</f>
        <v xml:space="preserve">GUADALUPE INN                                                                                                                               </v>
      </c>
      <c r="G2466" s="26" t="str">
        <f>"ALVARO OBREGON                                                                  "</f>
        <v xml:space="preserve">ALVARO OBREGON                                                                  </v>
      </c>
      <c r="H2466" s="26" t="str">
        <f>"087"</f>
        <v>087</v>
      </c>
      <c r="I2466" s="26" t="str">
        <f t="shared" si="467"/>
        <v>00</v>
      </c>
      <c r="J2466" s="26" t="str">
        <f t="shared" si="478"/>
        <v xml:space="preserve">33 </v>
      </c>
      <c r="K2466" s="26" t="str">
        <f t="shared" si="476"/>
        <v>EP</v>
      </c>
      <c r="L2466" s="26" t="str">
        <f t="shared" si="477"/>
        <v>DGOSE</v>
      </c>
      <c r="M2466" s="26" t="str">
        <f t="shared" si="465"/>
        <v>PARTICULAR</v>
      </c>
      <c r="N2466" s="26">
        <v>31</v>
      </c>
      <c r="O2466" s="26">
        <v>20</v>
      </c>
      <c r="P2466" s="26">
        <v>11</v>
      </c>
      <c r="Q2466" s="26">
        <v>3</v>
      </c>
      <c r="R2466" s="26">
        <v>1</v>
      </c>
      <c r="S2466" s="26">
        <v>3</v>
      </c>
      <c r="T2466" s="26">
        <v>9</v>
      </c>
      <c r="U2466" s="26">
        <v>13</v>
      </c>
      <c r="V2466" s="26">
        <v>1</v>
      </c>
      <c r="W2466" s="26"/>
    </row>
    <row r="2467" spans="1:23" x14ac:dyDescent="0.25">
      <c r="A2467" s="26" t="str">
        <f t="shared" si="466"/>
        <v>PREESCOLAR</v>
      </c>
      <c r="B2467" s="26" t="str">
        <f>"09PJN4839H"</f>
        <v>09PJN4839H</v>
      </c>
      <c r="C2467" s="26" t="str">
        <f>"COLEGIO BONAVENTURE                                                                                 "</f>
        <v xml:space="preserve">COLEGIO BONAVENTURE                                                                                 </v>
      </c>
      <c r="D2467" s="26" t="str">
        <f t="shared" si="469"/>
        <v>MATUTINO</v>
      </c>
      <c r="E2467" s="26" t="str">
        <f>"EMILIANO CARRANZA NO. 62                                                        "</f>
        <v xml:space="preserve">EMILIANO CARRANZA NO. 62                                                        </v>
      </c>
      <c r="F2467" s="26" t="str">
        <f>"ZACAHUITZCO                                                                                                                                 "</f>
        <v xml:space="preserve">ZACAHUITZCO                                                                                                                                 </v>
      </c>
      <c r="G2467" s="26" t="str">
        <f>"BENITO JUAREZ                                                                   "</f>
        <v xml:space="preserve">BENITO JUAREZ                                                                   </v>
      </c>
      <c r="H2467" s="26" t="str">
        <f>"037"</f>
        <v>037</v>
      </c>
      <c r="I2467" s="26" t="str">
        <f t="shared" si="467"/>
        <v>00</v>
      </c>
      <c r="J2467" s="26" t="str">
        <f t="shared" si="478"/>
        <v xml:space="preserve">33 </v>
      </c>
      <c r="K2467" s="26" t="str">
        <f t="shared" si="476"/>
        <v>EP</v>
      </c>
      <c r="L2467" s="26" t="str">
        <f t="shared" si="477"/>
        <v>DGOSE</v>
      </c>
      <c r="M2467" s="26" t="str">
        <f t="shared" si="465"/>
        <v>PARTICULAR</v>
      </c>
      <c r="N2467" s="26">
        <v>25</v>
      </c>
      <c r="O2467" s="26">
        <v>11</v>
      </c>
      <c r="P2467" s="26">
        <v>14</v>
      </c>
      <c r="Q2467" s="26">
        <v>3</v>
      </c>
      <c r="R2467" s="26">
        <v>1</v>
      </c>
      <c r="S2467" s="26">
        <v>2</v>
      </c>
      <c r="T2467" s="26">
        <v>3</v>
      </c>
      <c r="U2467" s="26">
        <v>6</v>
      </c>
      <c r="V2467" s="26">
        <v>1</v>
      </c>
      <c r="W2467" s="26"/>
    </row>
    <row r="2468" spans="1:23" x14ac:dyDescent="0.25">
      <c r="A2468" s="26" t="str">
        <f t="shared" si="466"/>
        <v>PREESCOLAR</v>
      </c>
      <c r="B2468" s="26" t="str">
        <f>"09PJN4840X"</f>
        <v>09PJN4840X</v>
      </c>
      <c r="C2468" s="26" t="str">
        <f>"COLEGIO BOSQUES                                                                                     "</f>
        <v xml:space="preserve">COLEGIO BOSQUES                                                                                     </v>
      </c>
      <c r="D2468" s="26" t="str">
        <f t="shared" si="469"/>
        <v>MATUTINO</v>
      </c>
      <c r="E2468" s="26" t="str">
        <f>"AV. PROLONGACION CENTENARIO NO. 1859                                            "</f>
        <v xml:space="preserve">AV. PROLONGACION CENTENARIO NO. 1859                                            </v>
      </c>
      <c r="F2468" s="26" t="str">
        <f>"BOSQUES DE TARANGO                                                                                                                          "</f>
        <v xml:space="preserve">BOSQUES DE TARANGO                                                                                                                          </v>
      </c>
      <c r="G2468" s="26" t="str">
        <f>"ALVARO OBREGON                                                                  "</f>
        <v xml:space="preserve">ALVARO OBREGON                                                                  </v>
      </c>
      <c r="H2468" s="26" t="str">
        <f>"046"</f>
        <v>046</v>
      </c>
      <c r="I2468" s="26" t="str">
        <f t="shared" si="467"/>
        <v>00</v>
      </c>
      <c r="J2468" s="26" t="str">
        <f t="shared" si="478"/>
        <v xml:space="preserve">33 </v>
      </c>
      <c r="K2468" s="26" t="str">
        <f t="shared" si="476"/>
        <v>EP</v>
      </c>
      <c r="L2468" s="26" t="str">
        <f t="shared" si="477"/>
        <v>DGOSE</v>
      </c>
      <c r="M2468" s="26" t="str">
        <f t="shared" si="465"/>
        <v>PARTICULAR</v>
      </c>
      <c r="N2468" s="26">
        <v>21</v>
      </c>
      <c r="O2468" s="26">
        <v>13</v>
      </c>
      <c r="P2468" s="26">
        <v>8</v>
      </c>
      <c r="Q2468" s="26">
        <v>3</v>
      </c>
      <c r="R2468" s="26">
        <v>1</v>
      </c>
      <c r="S2468" s="26">
        <v>3</v>
      </c>
      <c r="T2468" s="26">
        <v>1</v>
      </c>
      <c r="U2468" s="26">
        <v>5</v>
      </c>
      <c r="V2468" s="26">
        <v>1</v>
      </c>
      <c r="W2468" s="26"/>
    </row>
    <row r="2469" spans="1:23" x14ac:dyDescent="0.25">
      <c r="A2469" s="26" t="str">
        <f t="shared" si="466"/>
        <v>PREESCOLAR</v>
      </c>
      <c r="B2469" s="26" t="str">
        <f>"09PJN4841W"</f>
        <v>09PJN4841W</v>
      </c>
      <c r="C2469" s="26" t="str">
        <f>"MONTESSORI DEL OLIVAR                                                                               "</f>
        <v xml:space="preserve">MONTESSORI DEL OLIVAR                                                                               </v>
      </c>
      <c r="D2469" s="26" t="str">
        <f t="shared" si="469"/>
        <v>MATUTINO</v>
      </c>
      <c r="E2469" s="26" t="str">
        <f>"OLIVAR DE LOS PADRES NO. 746                                                    "</f>
        <v xml:space="preserve">OLIVAR DE LOS PADRES NO. 746                                                    </v>
      </c>
      <c r="F2469" s="26" t="str">
        <f>"OLIVAR DE LOS PADRES                                                                                                                        "</f>
        <v xml:space="preserve">OLIVAR DE LOS PADRES                                                                                                                        </v>
      </c>
      <c r="G2469" s="26" t="str">
        <f>"ALVARO OBREGON                                                                  "</f>
        <v xml:space="preserve">ALVARO OBREGON                                                                  </v>
      </c>
      <c r="H2469" s="26" t="str">
        <f>"175"</f>
        <v>175</v>
      </c>
      <c r="I2469" s="26" t="str">
        <f t="shared" si="467"/>
        <v>00</v>
      </c>
      <c r="J2469" s="26" t="str">
        <f t="shared" si="478"/>
        <v xml:space="preserve">33 </v>
      </c>
      <c r="K2469" s="26" t="str">
        <f t="shared" si="476"/>
        <v>EP</v>
      </c>
      <c r="L2469" s="26" t="str">
        <f t="shared" si="477"/>
        <v>DGOSE</v>
      </c>
      <c r="M2469" s="26" t="str">
        <f t="shared" si="465"/>
        <v>PARTICULAR</v>
      </c>
      <c r="N2469" s="26">
        <v>13</v>
      </c>
      <c r="O2469" s="26">
        <v>9</v>
      </c>
      <c r="P2469" s="26">
        <v>4</v>
      </c>
      <c r="Q2469" s="26">
        <v>3</v>
      </c>
      <c r="R2469" s="26">
        <v>1</v>
      </c>
      <c r="S2469" s="26">
        <v>3</v>
      </c>
      <c r="T2469" s="26">
        <v>3</v>
      </c>
      <c r="U2469" s="26">
        <v>7</v>
      </c>
      <c r="V2469" s="26">
        <v>1</v>
      </c>
      <c r="W2469" s="26"/>
    </row>
    <row r="2470" spans="1:23" x14ac:dyDescent="0.25">
      <c r="A2470" s="26" t="str">
        <f t="shared" si="466"/>
        <v>PREESCOLAR</v>
      </c>
      <c r="B2470" s="26" t="str">
        <f>"09PJN4843U"</f>
        <v>09PJN4843U</v>
      </c>
      <c r="C2470" s="26" t="str">
        <f>"COLEGIO BILINGÜE EL MUNDO DE LOS NIÑOS                                                              "</f>
        <v xml:space="preserve">COLEGIO BILINGÜE EL MUNDO DE LOS NIÑOS                                                              </v>
      </c>
      <c r="D2470" s="26" t="str">
        <f t="shared" si="469"/>
        <v>MATUTINO</v>
      </c>
      <c r="E2470" s="26" t="str">
        <f>"RICARDO CASTRO NO. 5                                                            "</f>
        <v xml:space="preserve">RICARDO CASTRO NO. 5                                                            </v>
      </c>
      <c r="F2470" s="26" t="str">
        <f>"PERALVILLO                                                                                                                                  "</f>
        <v xml:space="preserve">PERALVILLO                                                                                                                                  </v>
      </c>
      <c r="G2470" s="26" t="s">
        <v>4128</v>
      </c>
      <c r="H2470" s="26" t="str">
        <f>"057"</f>
        <v>057</v>
      </c>
      <c r="I2470" s="26" t="str">
        <f t="shared" si="467"/>
        <v>00</v>
      </c>
      <c r="J2470" s="26" t="str">
        <f>"32 "</f>
        <v xml:space="preserve">32 </v>
      </c>
      <c r="K2470" s="26" t="str">
        <f t="shared" si="476"/>
        <v>EP</v>
      </c>
      <c r="L2470" s="26" t="str">
        <f t="shared" si="477"/>
        <v>DGOSE</v>
      </c>
      <c r="M2470" s="26" t="str">
        <f t="shared" si="465"/>
        <v>PARTICULAR</v>
      </c>
      <c r="N2470" s="26">
        <v>40</v>
      </c>
      <c r="O2470" s="26">
        <v>21</v>
      </c>
      <c r="P2470" s="26">
        <v>19</v>
      </c>
      <c r="Q2470" s="26">
        <v>3</v>
      </c>
      <c r="R2470" s="26">
        <v>1</v>
      </c>
      <c r="S2470" s="26">
        <v>3</v>
      </c>
      <c r="T2470" s="26">
        <v>5</v>
      </c>
      <c r="U2470" s="26">
        <v>9</v>
      </c>
      <c r="V2470" s="26">
        <v>1</v>
      </c>
      <c r="W2470" s="26"/>
    </row>
    <row r="2471" spans="1:23" x14ac:dyDescent="0.25">
      <c r="A2471" s="26" t="str">
        <f t="shared" si="466"/>
        <v>PREESCOLAR</v>
      </c>
      <c r="B2471" s="26" t="str">
        <f>"09PJN4844T"</f>
        <v>09PJN4844T</v>
      </c>
      <c r="C2471" s="26" t="str">
        <f>"JARDIN LA SALLE SIMON BOLIVAR                                                                       "</f>
        <v xml:space="preserve">JARDIN LA SALLE SIMON BOLIVAR                                                                       </v>
      </c>
      <c r="D2471" s="26" t="str">
        <f t="shared" si="469"/>
        <v>MATUTINO</v>
      </c>
      <c r="E2471" s="26" t="str">
        <f>"ASTURIAS NO. 28                                                                 "</f>
        <v xml:space="preserve">ASTURIAS NO. 28                                                                 </v>
      </c>
      <c r="F2471" s="26" t="str">
        <f>"INSURGENTES MIXCOAC                                                                                                                         "</f>
        <v xml:space="preserve">INSURGENTES MIXCOAC                                                                                                                         </v>
      </c>
      <c r="G2471" s="26" t="str">
        <f>"BENITO JUAREZ                                                                   "</f>
        <v xml:space="preserve">BENITO JUAREZ                                                                   </v>
      </c>
      <c r="H2471" s="26" t="str">
        <f>"110"</f>
        <v>110</v>
      </c>
      <c r="I2471" s="26" t="str">
        <f t="shared" si="467"/>
        <v>00</v>
      </c>
      <c r="J2471" s="26" t="str">
        <f>"33 "</f>
        <v xml:space="preserve">33 </v>
      </c>
      <c r="K2471" s="26" t="str">
        <f t="shared" si="476"/>
        <v>EP</v>
      </c>
      <c r="L2471" s="26" t="str">
        <f t="shared" si="477"/>
        <v>DGOSE</v>
      </c>
      <c r="M2471" s="26" t="str">
        <f t="shared" si="465"/>
        <v>PARTICULAR</v>
      </c>
      <c r="N2471" s="26">
        <v>152</v>
      </c>
      <c r="O2471" s="26">
        <v>85</v>
      </c>
      <c r="P2471" s="26">
        <v>67</v>
      </c>
      <c r="Q2471" s="26">
        <v>7</v>
      </c>
      <c r="R2471" s="26">
        <v>1</v>
      </c>
      <c r="S2471" s="26">
        <v>7</v>
      </c>
      <c r="T2471" s="26">
        <v>10</v>
      </c>
      <c r="U2471" s="26">
        <v>18</v>
      </c>
      <c r="V2471" s="26">
        <v>1</v>
      </c>
      <c r="W2471" s="26"/>
    </row>
    <row r="2472" spans="1:23" x14ac:dyDescent="0.25">
      <c r="A2472" s="26" t="str">
        <f t="shared" si="466"/>
        <v>PREESCOLAR</v>
      </c>
      <c r="B2472" s="26" t="str">
        <f>"09PJN4845S"</f>
        <v>09PJN4845S</v>
      </c>
      <c r="C2472" s="26" t="str">
        <f>"JARDIN LA SALLE SIMON BOLIVAR                                                                       "</f>
        <v xml:space="preserve">JARDIN LA SALLE SIMON BOLIVAR                                                                       </v>
      </c>
      <c r="D2472" s="26" t="str">
        <f>"VESPERTINO"</f>
        <v>VESPERTINO</v>
      </c>
      <c r="E2472" s="26" t="str">
        <f>"ASTURIAS NO. 28                                                                 "</f>
        <v xml:space="preserve">ASTURIAS NO. 28                                                                 </v>
      </c>
      <c r="F2472" s="26" t="str">
        <f>"INSURGENTES MIXCOAC                                                                                                                         "</f>
        <v xml:space="preserve">INSURGENTES MIXCOAC                                                                                                                         </v>
      </c>
      <c r="G2472" s="26" t="str">
        <f>"BENITO JUAREZ                                                                   "</f>
        <v xml:space="preserve">BENITO JUAREZ                                                                   </v>
      </c>
      <c r="H2472" s="26" t="str">
        <f>"110"</f>
        <v>110</v>
      </c>
      <c r="I2472" s="26" t="str">
        <f t="shared" si="467"/>
        <v>00</v>
      </c>
      <c r="J2472" s="26" t="str">
        <f>"33 "</f>
        <v xml:space="preserve">33 </v>
      </c>
      <c r="K2472" s="26" t="str">
        <f t="shared" si="476"/>
        <v>EP</v>
      </c>
      <c r="L2472" s="26" t="str">
        <f t="shared" si="477"/>
        <v>DGOSE</v>
      </c>
      <c r="M2472" s="26" t="str">
        <f t="shared" si="465"/>
        <v>PARTICULAR</v>
      </c>
      <c r="N2472" s="26">
        <v>138</v>
      </c>
      <c r="O2472" s="26">
        <v>79</v>
      </c>
      <c r="P2472" s="26">
        <v>59</v>
      </c>
      <c r="Q2472" s="26">
        <v>7</v>
      </c>
      <c r="R2472" s="26">
        <v>1</v>
      </c>
      <c r="S2472" s="26">
        <v>7</v>
      </c>
      <c r="T2472" s="26">
        <v>7</v>
      </c>
      <c r="U2472" s="26">
        <v>15</v>
      </c>
      <c r="V2472" s="26">
        <v>1</v>
      </c>
      <c r="W2472" s="26"/>
    </row>
    <row r="2473" spans="1:23" x14ac:dyDescent="0.25">
      <c r="A2473" s="26" t="str">
        <f t="shared" si="466"/>
        <v>PREESCOLAR</v>
      </c>
      <c r="B2473" s="26" t="str">
        <f>"09PJN4846R"</f>
        <v>09PJN4846R</v>
      </c>
      <c r="C2473" s="26" t="str">
        <f>"MY FIRST HIGH SCHOOL                                                                                "</f>
        <v xml:space="preserve">MY FIRST HIGH SCHOOL                                                                                </v>
      </c>
      <c r="D2473" s="26" t="str">
        <f t="shared" ref="D2473:D2536" si="479">"MATUTINO"</f>
        <v>MATUTINO</v>
      </c>
      <c r="E2473" s="26" t="str">
        <f>"EUZKARO NO. 20                                                                  "</f>
        <v xml:space="preserve">EUZKARO NO. 20                                                                  </v>
      </c>
      <c r="F2473" s="26" t="str">
        <f>"INDUSTRIAL                                                                                                                                  "</f>
        <v xml:space="preserve">INDUSTRIAL                                                                                                                                  </v>
      </c>
      <c r="G2473" s="26" t="str">
        <f>"GUSTAVO A. MADERO                                                               "</f>
        <v xml:space="preserve">GUSTAVO A. MADERO                                                               </v>
      </c>
      <c r="H2473" s="26" t="str">
        <f>"193"</f>
        <v>193</v>
      </c>
      <c r="I2473" s="26" t="str">
        <f t="shared" si="467"/>
        <v>00</v>
      </c>
      <c r="J2473" s="26" t="str">
        <f>"32 "</f>
        <v xml:space="preserve">32 </v>
      </c>
      <c r="K2473" s="26" t="str">
        <f t="shared" si="476"/>
        <v>EP</v>
      </c>
      <c r="L2473" s="26" t="str">
        <f t="shared" si="477"/>
        <v>DGOSE</v>
      </c>
      <c r="M2473" s="26" t="str">
        <f t="shared" si="465"/>
        <v>PARTICULAR</v>
      </c>
      <c r="N2473" s="26">
        <v>14</v>
      </c>
      <c r="O2473" s="26">
        <v>8</v>
      </c>
      <c r="P2473" s="26">
        <v>6</v>
      </c>
      <c r="Q2473" s="26">
        <v>3</v>
      </c>
      <c r="R2473" s="26">
        <v>1</v>
      </c>
      <c r="S2473" s="26">
        <v>3</v>
      </c>
      <c r="T2473" s="26">
        <v>1</v>
      </c>
      <c r="U2473" s="26">
        <v>5</v>
      </c>
      <c r="V2473" s="26">
        <v>1</v>
      </c>
      <c r="W2473" s="26"/>
    </row>
    <row r="2474" spans="1:23" x14ac:dyDescent="0.25">
      <c r="A2474" s="26" t="str">
        <f t="shared" si="466"/>
        <v>PREESCOLAR</v>
      </c>
      <c r="B2474" s="26" t="str">
        <f>"09PJN4847Q"</f>
        <v>09PJN4847Q</v>
      </c>
      <c r="C2474" s="26" t="str">
        <f>"TLAHUI CENTRO PREESCOLAR                                                                            "</f>
        <v xml:space="preserve">TLAHUI CENTRO PREESCOLAR                                                                            </v>
      </c>
      <c r="D2474" s="26" t="str">
        <f t="shared" si="479"/>
        <v>MATUTINO</v>
      </c>
      <c r="E2474" s="26" t="str">
        <f>"FORTIN LT. 11                                                                   "</f>
        <v xml:space="preserve">FORTIN LT. 11                                                                   </v>
      </c>
      <c r="F2474" s="26" t="str">
        <f>"SAN JERONIMO LIDICE                                                                                                                         "</f>
        <v xml:space="preserve">SAN JERONIMO LIDICE                                                                                                                         </v>
      </c>
      <c r="G2474" s="26" t="str">
        <f>"LA MAGDALENA CONTRERAS                                                          "</f>
        <v xml:space="preserve">LA MAGDALENA CONTRERAS                                                          </v>
      </c>
      <c r="H2474" s="26" t="str">
        <f>"112"</f>
        <v>112</v>
      </c>
      <c r="I2474" s="26" t="str">
        <f t="shared" si="467"/>
        <v>00</v>
      </c>
      <c r="J2474" s="26" t="str">
        <f>"35 "</f>
        <v xml:space="preserve">35 </v>
      </c>
      <c r="K2474" s="26" t="str">
        <f t="shared" si="476"/>
        <v>EP</v>
      </c>
      <c r="L2474" s="26" t="str">
        <f t="shared" si="477"/>
        <v>DGOSE</v>
      </c>
      <c r="M2474" s="26" t="str">
        <f t="shared" si="465"/>
        <v>PARTICULAR</v>
      </c>
      <c r="N2474" s="26">
        <v>15</v>
      </c>
      <c r="O2474" s="26">
        <v>9</v>
      </c>
      <c r="P2474" s="26">
        <v>6</v>
      </c>
      <c r="Q2474" s="26">
        <v>3</v>
      </c>
      <c r="R2474" s="26">
        <v>1</v>
      </c>
      <c r="S2474" s="26">
        <v>2</v>
      </c>
      <c r="T2474" s="26">
        <v>3</v>
      </c>
      <c r="U2474" s="26">
        <v>6</v>
      </c>
      <c r="V2474" s="26">
        <v>1</v>
      </c>
      <c r="W2474" s="26"/>
    </row>
    <row r="2475" spans="1:23" x14ac:dyDescent="0.25">
      <c r="A2475" s="26" t="str">
        <f t="shared" si="466"/>
        <v>PREESCOLAR</v>
      </c>
      <c r="B2475" s="26" t="str">
        <f>"09PJN4848P"</f>
        <v>09PJN4848P</v>
      </c>
      <c r="C2475" s="26" t="str">
        <f>"JARDIN DE NIÑOS GREEN VALLEY                                                                        "</f>
        <v xml:space="preserve">JARDIN DE NIÑOS GREEN VALLEY                                                                        </v>
      </c>
      <c r="D2475" s="26" t="str">
        <f t="shared" si="479"/>
        <v>MATUTINO</v>
      </c>
      <c r="E2475" s="26" t="str">
        <f>"RANCHO EL VERGEL NO. 14                                                         "</f>
        <v xml:space="preserve">RANCHO EL VERGEL NO. 14                                                         </v>
      </c>
      <c r="F2475" s="26" t="str">
        <f>"PRADO COAPA                                                                                                                                 "</f>
        <v xml:space="preserve">PRADO COAPA                                                                                                                                 </v>
      </c>
      <c r="G2475" s="26" t="str">
        <f>"TLALPAN                                                                         "</f>
        <v xml:space="preserve">TLALPAN                                                                         </v>
      </c>
      <c r="H2475" s="26" t="str">
        <f>"050"</f>
        <v>050</v>
      </c>
      <c r="I2475" s="26" t="str">
        <f t="shared" si="467"/>
        <v>00</v>
      </c>
      <c r="J2475" s="26" t="str">
        <f>"35 "</f>
        <v xml:space="preserve">35 </v>
      </c>
      <c r="K2475" s="26" t="str">
        <f t="shared" si="476"/>
        <v>EP</v>
      </c>
      <c r="L2475" s="26" t="str">
        <f t="shared" si="477"/>
        <v>DGOSE</v>
      </c>
      <c r="M2475" s="26" t="str">
        <f t="shared" si="465"/>
        <v>PARTICULAR</v>
      </c>
      <c r="N2475" s="26">
        <v>37</v>
      </c>
      <c r="O2475" s="26">
        <v>25</v>
      </c>
      <c r="P2475" s="26">
        <v>12</v>
      </c>
      <c r="Q2475" s="26">
        <v>3</v>
      </c>
      <c r="R2475" s="26">
        <v>1</v>
      </c>
      <c r="S2475" s="26">
        <v>2</v>
      </c>
      <c r="T2475" s="26">
        <v>4</v>
      </c>
      <c r="U2475" s="26">
        <v>7</v>
      </c>
      <c r="V2475" s="26">
        <v>1</v>
      </c>
      <c r="W2475" s="26"/>
    </row>
    <row r="2476" spans="1:23" x14ac:dyDescent="0.25">
      <c r="A2476" s="26" t="str">
        <f t="shared" si="466"/>
        <v>PREESCOLAR</v>
      </c>
      <c r="B2476" s="26" t="str">
        <f>"09PJN4849O"</f>
        <v>09PJN4849O</v>
      </c>
      <c r="C2476" s="26" t="str">
        <f>"TUMBII                                                                                              "</f>
        <v xml:space="preserve">TUMBII                                                                                              </v>
      </c>
      <c r="D2476" s="26" t="str">
        <f t="shared" si="479"/>
        <v>MATUTINO</v>
      </c>
      <c r="E2476" s="26" t="str">
        <f>"CARRETERA FEDERAL A CUERNAVACA NO. 5818                                         "</f>
        <v xml:space="preserve">CARRETERA FEDERAL A CUERNAVACA NO. 5818                                         </v>
      </c>
      <c r="F2476" s="26" t="str">
        <f>"SAN PEDRO MARTIR                                                                                                                            "</f>
        <v xml:space="preserve">SAN PEDRO MARTIR                                                                                                                            </v>
      </c>
      <c r="G2476" s="26" t="str">
        <f>"TLALPAN                                                                         "</f>
        <v xml:space="preserve">TLALPAN                                                                         </v>
      </c>
      <c r="H2476" s="26" t="str">
        <f>"226"</f>
        <v>226</v>
      </c>
      <c r="I2476" s="26" t="str">
        <f t="shared" si="467"/>
        <v>00</v>
      </c>
      <c r="J2476" s="26" t="str">
        <f>"35 "</f>
        <v xml:space="preserve">35 </v>
      </c>
      <c r="K2476" s="26" t="str">
        <f t="shared" si="476"/>
        <v>EP</v>
      </c>
      <c r="L2476" s="26" t="str">
        <f t="shared" si="477"/>
        <v>DGOSE</v>
      </c>
      <c r="M2476" s="26" t="str">
        <f t="shared" si="465"/>
        <v>PARTICULAR</v>
      </c>
      <c r="N2476" s="26">
        <v>30</v>
      </c>
      <c r="O2476" s="26">
        <v>16</v>
      </c>
      <c r="P2476" s="26">
        <v>14</v>
      </c>
      <c r="Q2476" s="26">
        <v>3</v>
      </c>
      <c r="R2476" s="26">
        <v>1</v>
      </c>
      <c r="S2476" s="26">
        <v>3</v>
      </c>
      <c r="T2476" s="26">
        <v>6</v>
      </c>
      <c r="U2476" s="26">
        <v>10</v>
      </c>
      <c r="V2476" s="26">
        <v>1</v>
      </c>
      <c r="W2476" s="26"/>
    </row>
    <row r="2477" spans="1:23" x14ac:dyDescent="0.25">
      <c r="A2477" s="26" t="str">
        <f t="shared" si="466"/>
        <v>PREESCOLAR</v>
      </c>
      <c r="B2477" s="26" t="str">
        <f>"09PJN4850D"</f>
        <v>09PJN4850D</v>
      </c>
      <c r="C2477" s="26" t="str">
        <f>"KINDER COLEGIO DEL VALLE                                                                            "</f>
        <v xml:space="preserve">KINDER COLEGIO DEL VALLE                                                                            </v>
      </c>
      <c r="D2477" s="26" t="str">
        <f t="shared" si="479"/>
        <v>MATUTINO</v>
      </c>
      <c r="E2477" s="26" t="str">
        <f>"MIER Y PESADO NO. 213                                                           "</f>
        <v xml:space="preserve">MIER Y PESADO NO. 213                                                           </v>
      </c>
      <c r="F2477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2477" s="26" t="str">
        <f>"BENITO JUAREZ                                                                   "</f>
        <v xml:space="preserve">BENITO JUAREZ                                                                   </v>
      </c>
      <c r="H2477" s="26" t="str">
        <f>"232"</f>
        <v>232</v>
      </c>
      <c r="I2477" s="26" t="str">
        <f t="shared" si="467"/>
        <v>00</v>
      </c>
      <c r="J2477" s="26" t="str">
        <f>"33 "</f>
        <v xml:space="preserve">33 </v>
      </c>
      <c r="K2477" s="26" t="str">
        <f t="shared" si="476"/>
        <v>EP</v>
      </c>
      <c r="L2477" s="26" t="str">
        <f t="shared" si="477"/>
        <v>DGOSE</v>
      </c>
      <c r="M2477" s="26" t="str">
        <f t="shared" si="465"/>
        <v>PARTICULAR</v>
      </c>
      <c r="N2477" s="26">
        <v>220</v>
      </c>
      <c r="O2477" s="26">
        <v>113</v>
      </c>
      <c r="P2477" s="26">
        <v>107</v>
      </c>
      <c r="Q2477" s="26">
        <v>10</v>
      </c>
      <c r="R2477" s="26">
        <v>1</v>
      </c>
      <c r="S2477" s="26">
        <v>10</v>
      </c>
      <c r="T2477" s="26">
        <v>16</v>
      </c>
      <c r="U2477" s="26">
        <v>27</v>
      </c>
      <c r="V2477" s="26">
        <v>1</v>
      </c>
      <c r="W2477" s="26"/>
    </row>
    <row r="2478" spans="1:23" x14ac:dyDescent="0.25">
      <c r="A2478" s="26" t="str">
        <f t="shared" si="466"/>
        <v>PREESCOLAR</v>
      </c>
      <c r="B2478" s="26" t="str">
        <f>"09PJN4853A"</f>
        <v>09PJN4853A</v>
      </c>
      <c r="C2478" s="26" t="str">
        <f>"TZOLKIN                                                                                             "</f>
        <v xml:space="preserve">TZOLKIN                                                                                             </v>
      </c>
      <c r="D2478" s="26" t="str">
        <f t="shared" si="479"/>
        <v>MATUTINO</v>
      </c>
      <c r="E2478" s="26" t="str">
        <f>"CDA. DE JOSUE NO. 5 MZ. 10                                                      "</f>
        <v xml:space="preserve">CDA. DE JOSUE NO. 5 MZ. 10                                                      </v>
      </c>
      <c r="F2478" s="26" t="str">
        <f>"DESARROLLO URBANO QUETZALCOATL                                                                                                              "</f>
        <v xml:space="preserve">DESARROLLO URBANO QUETZALCOATL                                                                                                              </v>
      </c>
      <c r="G2478" s="26" t="str">
        <f>"IZTAPALAPA                                                                      "</f>
        <v xml:space="preserve">IZTAPALAPA                                                                      </v>
      </c>
      <c r="H2478" s="26" t="str">
        <f>"000"</f>
        <v>000</v>
      </c>
      <c r="I2478" s="26" t="str">
        <f t="shared" si="467"/>
        <v>00</v>
      </c>
      <c r="J2478" s="26" t="str">
        <f>"64 "</f>
        <v xml:space="preserve">64 </v>
      </c>
      <c r="K2478" s="26" t="str">
        <f>"IZ"</f>
        <v>IZ</v>
      </c>
      <c r="L2478" s="26" t="str">
        <f>"DGSEI"</f>
        <v>DGSEI</v>
      </c>
      <c r="M2478" s="26" t="str">
        <f t="shared" si="465"/>
        <v>PARTICULAR</v>
      </c>
      <c r="N2478" s="26">
        <v>26</v>
      </c>
      <c r="O2478" s="26">
        <v>12</v>
      </c>
      <c r="P2478" s="26">
        <v>14</v>
      </c>
      <c r="Q2478" s="26">
        <v>3</v>
      </c>
      <c r="R2478" s="26">
        <v>1</v>
      </c>
      <c r="S2478" s="26">
        <v>3</v>
      </c>
      <c r="T2478" s="26">
        <v>2</v>
      </c>
      <c r="U2478" s="26">
        <v>6</v>
      </c>
      <c r="V2478" s="26">
        <v>1</v>
      </c>
      <c r="W2478" s="26"/>
    </row>
    <row r="2479" spans="1:23" x14ac:dyDescent="0.25">
      <c r="A2479" s="26" t="str">
        <f t="shared" si="466"/>
        <v>PREESCOLAR</v>
      </c>
      <c r="B2479" s="26" t="str">
        <f>"09PJN4856Y"</f>
        <v>09PJN4856Y</v>
      </c>
      <c r="C2479" s="26" t="str">
        <f>"IXTLAMACHILIZTLI                                                                                    "</f>
        <v xml:space="preserve">IXTLAMACHILIZTLI                                                                                    </v>
      </c>
      <c r="D2479" s="26" t="str">
        <f t="shared" si="479"/>
        <v>MATUTINO</v>
      </c>
      <c r="E2479" s="26" t="str">
        <f>"ANGEL TRIAS NO. 250                                                             "</f>
        <v xml:space="preserve">ANGEL TRIAS NO. 250                                                             </v>
      </c>
      <c r="F2479" s="26" t="str">
        <f>"JUAN ESCUTIA                                                                                                                                "</f>
        <v xml:space="preserve">JUAN ESCUTIA                                                                                                                                </v>
      </c>
      <c r="G2479" s="26" t="str">
        <f>"IZTAPALAPA                                                                      "</f>
        <v xml:space="preserve">IZTAPALAPA                                                                      </v>
      </c>
      <c r="H2479" s="26" t="str">
        <f>"000"</f>
        <v>000</v>
      </c>
      <c r="I2479" s="26" t="str">
        <f t="shared" si="467"/>
        <v>00</v>
      </c>
      <c r="J2479" s="26" t="str">
        <f>"62 "</f>
        <v xml:space="preserve">62 </v>
      </c>
      <c r="K2479" s="26" t="str">
        <f>"IZ"</f>
        <v>IZ</v>
      </c>
      <c r="L2479" s="26" t="str">
        <f>"DGSEI"</f>
        <v>DGSEI</v>
      </c>
      <c r="M2479" s="26" t="str">
        <f t="shared" si="465"/>
        <v>PARTICULAR</v>
      </c>
      <c r="N2479" s="26">
        <v>44</v>
      </c>
      <c r="O2479" s="26">
        <v>26</v>
      </c>
      <c r="P2479" s="26">
        <v>18</v>
      </c>
      <c r="Q2479" s="26">
        <v>3</v>
      </c>
      <c r="R2479" s="26">
        <v>1</v>
      </c>
      <c r="S2479" s="26">
        <v>3</v>
      </c>
      <c r="T2479" s="26">
        <v>6</v>
      </c>
      <c r="U2479" s="26">
        <v>10</v>
      </c>
      <c r="V2479" s="26">
        <v>1</v>
      </c>
      <c r="W2479" s="26"/>
    </row>
    <row r="2480" spans="1:23" x14ac:dyDescent="0.25">
      <c r="A2480" s="26" t="str">
        <f t="shared" si="466"/>
        <v>PREESCOLAR</v>
      </c>
      <c r="B2480" s="26" t="str">
        <f>"09PJN4858W"</f>
        <v>09PJN4858W</v>
      </c>
      <c r="C2480" s="26" t="str">
        <f>"CUENTOS DE HADAS                                                                                    "</f>
        <v xml:space="preserve">CUENTOS DE HADAS                                                                                    </v>
      </c>
      <c r="D2480" s="26" t="str">
        <f t="shared" si="479"/>
        <v>MATUTINO</v>
      </c>
      <c r="E2480" s="26" t="str">
        <f>"SOLON ARGUELLO NO. 80                                                           "</f>
        <v xml:space="preserve">SOLON ARGUELLO NO. 80                                                           </v>
      </c>
      <c r="F2480" s="26" t="str">
        <f>"SANTA MARTHA ACATITLA                                                                                                                       "</f>
        <v xml:space="preserve">SANTA MARTHA ACATITLA                                                                                                                       </v>
      </c>
      <c r="G2480" s="26" t="str">
        <f>"IZTAPALAPA                                                                      "</f>
        <v xml:space="preserve">IZTAPALAPA                                                                      </v>
      </c>
      <c r="H2480" s="26" t="str">
        <f>"000"</f>
        <v>000</v>
      </c>
      <c r="I2480" s="26" t="str">
        <f t="shared" si="467"/>
        <v>00</v>
      </c>
      <c r="J2480" s="26" t="str">
        <f>"62 "</f>
        <v xml:space="preserve">62 </v>
      </c>
      <c r="K2480" s="26" t="str">
        <f>"IZ"</f>
        <v>IZ</v>
      </c>
      <c r="L2480" s="26" t="str">
        <f>"DGSEI"</f>
        <v>DGSEI</v>
      </c>
      <c r="M2480" s="26" t="str">
        <f t="shared" si="465"/>
        <v>PARTICULAR</v>
      </c>
      <c r="N2480" s="26">
        <v>45</v>
      </c>
      <c r="O2480" s="26">
        <v>23</v>
      </c>
      <c r="P2480" s="26">
        <v>22</v>
      </c>
      <c r="Q2480" s="26">
        <v>3</v>
      </c>
      <c r="R2480" s="26">
        <v>1</v>
      </c>
      <c r="S2480" s="26">
        <v>3</v>
      </c>
      <c r="T2480" s="26">
        <v>1</v>
      </c>
      <c r="U2480" s="26">
        <v>5</v>
      </c>
      <c r="V2480" s="26">
        <v>1</v>
      </c>
      <c r="W2480" s="26"/>
    </row>
    <row r="2481" spans="1:23" x14ac:dyDescent="0.25">
      <c r="A2481" s="26" t="str">
        <f t="shared" si="466"/>
        <v>PREESCOLAR</v>
      </c>
      <c r="B2481" s="26" t="str">
        <f>"09PJN4860K"</f>
        <v>09PJN4860K</v>
      </c>
      <c r="C2481" s="26" t="str">
        <f>"ADONAI                                                                                              "</f>
        <v xml:space="preserve">ADONAI                                                                                              </v>
      </c>
      <c r="D2481" s="26" t="str">
        <f t="shared" si="479"/>
        <v>MATUTINO</v>
      </c>
      <c r="E2481" s="26" t="str">
        <f>"JOSE MA. IGLESIAS Mz. 8 Lt.2                                                    "</f>
        <v xml:space="preserve">JOSE MA. IGLESIAS Mz. 8 Lt.2                                                    </v>
      </c>
      <c r="F2481" s="26" t="str">
        <f>"LAS PEÑAS                                                                                                                                   "</f>
        <v xml:space="preserve">LAS PEÑAS                                                                                                                                   </v>
      </c>
      <c r="G2481" s="26" t="str">
        <f>"IZTAPALAPA                                                                      "</f>
        <v xml:space="preserve">IZTAPALAPA                                                                      </v>
      </c>
      <c r="H2481" s="26" t="str">
        <f>"000"</f>
        <v>000</v>
      </c>
      <c r="I2481" s="26" t="str">
        <f t="shared" si="467"/>
        <v>00</v>
      </c>
      <c r="J2481" s="26" t="str">
        <f>"63 "</f>
        <v xml:space="preserve">63 </v>
      </c>
      <c r="K2481" s="26" t="str">
        <f>"IZ"</f>
        <v>IZ</v>
      </c>
      <c r="L2481" s="26" t="str">
        <f>"DGSEI"</f>
        <v>DGSEI</v>
      </c>
      <c r="M2481" s="26" t="str">
        <f t="shared" si="465"/>
        <v>PARTICULAR</v>
      </c>
      <c r="N2481" s="26">
        <v>19</v>
      </c>
      <c r="O2481" s="26">
        <v>12</v>
      </c>
      <c r="P2481" s="26">
        <v>7</v>
      </c>
      <c r="Q2481" s="26">
        <v>2</v>
      </c>
      <c r="R2481" s="26">
        <v>1</v>
      </c>
      <c r="S2481" s="26">
        <v>2</v>
      </c>
      <c r="T2481" s="26">
        <v>0</v>
      </c>
      <c r="U2481" s="26">
        <v>3</v>
      </c>
      <c r="V2481" s="26">
        <v>1</v>
      </c>
      <c r="W2481" s="26"/>
    </row>
    <row r="2482" spans="1:23" x14ac:dyDescent="0.25">
      <c r="A2482" s="26" t="str">
        <f t="shared" si="466"/>
        <v>PREESCOLAR</v>
      </c>
      <c r="B2482" s="26" t="str">
        <f>"09PJN4862I"</f>
        <v>09PJN4862I</v>
      </c>
      <c r="C2482" s="26" t="str">
        <f>"COLEGIO MARIA REGINA                                                                                "</f>
        <v xml:space="preserve">COLEGIO MARIA REGINA                                                                                </v>
      </c>
      <c r="D2482" s="26" t="str">
        <f t="shared" si="479"/>
        <v>MATUTINO</v>
      </c>
      <c r="E2482" s="26" t="str">
        <f>"AV. ENCARNACION ORTIZ NO. 1842                                                  "</f>
        <v xml:space="preserve">AV. ENCARNACION ORTIZ NO. 1842                                                  </v>
      </c>
      <c r="F2482" s="26" t="str">
        <f>"COSMOPOLITA AMPLIACION                                                                                                                      "</f>
        <v xml:space="preserve">COSMOPOLITA AMPLIACION                                                                                                                      </v>
      </c>
      <c r="G2482" s="26" t="str">
        <f>"AZCAPOTZALCO                                                                    "</f>
        <v xml:space="preserve">AZCAPOTZALCO                                                                    </v>
      </c>
      <c r="H2482" s="26" t="str">
        <f>"190"</f>
        <v>190</v>
      </c>
      <c r="I2482" s="26" t="str">
        <f t="shared" si="467"/>
        <v>00</v>
      </c>
      <c r="J2482" s="26" t="str">
        <f>"32 "</f>
        <v xml:space="preserve">32 </v>
      </c>
      <c r="K2482" s="26" t="str">
        <f t="shared" ref="K2482:K2490" si="480">"EP"</f>
        <v>EP</v>
      </c>
      <c r="L2482" s="26" t="str">
        <f t="shared" ref="L2482:L2490" si="481">"DGOSE"</f>
        <v>DGOSE</v>
      </c>
      <c r="M2482" s="26" t="str">
        <f t="shared" si="465"/>
        <v>PARTICULAR</v>
      </c>
      <c r="N2482" s="26">
        <v>39</v>
      </c>
      <c r="O2482" s="26">
        <v>13</v>
      </c>
      <c r="P2482" s="26">
        <v>26</v>
      </c>
      <c r="Q2482" s="26">
        <v>3</v>
      </c>
      <c r="R2482" s="26">
        <v>1</v>
      </c>
      <c r="S2482" s="26">
        <v>3</v>
      </c>
      <c r="T2482" s="26">
        <v>6</v>
      </c>
      <c r="U2482" s="26">
        <v>10</v>
      </c>
      <c r="V2482" s="26">
        <v>1</v>
      </c>
      <c r="W2482" s="26"/>
    </row>
    <row r="2483" spans="1:23" x14ac:dyDescent="0.25">
      <c r="A2483" s="26" t="str">
        <f t="shared" si="466"/>
        <v>PREESCOLAR</v>
      </c>
      <c r="B2483" s="26" t="str">
        <f>"09PJN4863H"</f>
        <v>09PJN4863H</v>
      </c>
      <c r="C2483" s="26" t="str">
        <f>"LUIS VIVES                                                                                          "</f>
        <v xml:space="preserve">LUIS VIVES                                                                                          </v>
      </c>
      <c r="D2483" s="26" t="str">
        <f t="shared" si="479"/>
        <v>MATUTINO</v>
      </c>
      <c r="E2483" s="26" t="str">
        <f>"CARLOS B. ZETINA NO. 45                                                         "</f>
        <v xml:space="preserve">CARLOS B. ZETINA NO. 45                                                         </v>
      </c>
      <c r="F2483" s="26" t="str">
        <f>"ESCANDON                                                                                                                                    "</f>
        <v xml:space="preserve">ESCANDON                                                                                                                                    </v>
      </c>
      <c r="G2483" s="26" t="str">
        <f>"MIGUEL HIDALGO                                                                  "</f>
        <v xml:space="preserve">MIGUEL HIDALGO                                                                  </v>
      </c>
      <c r="H2483" s="26" t="str">
        <f>"014"</f>
        <v>014</v>
      </c>
      <c r="I2483" s="26" t="str">
        <f t="shared" si="467"/>
        <v>00</v>
      </c>
      <c r="J2483" s="26" t="str">
        <f>"32 "</f>
        <v xml:space="preserve">32 </v>
      </c>
      <c r="K2483" s="26" t="str">
        <f t="shared" si="480"/>
        <v>EP</v>
      </c>
      <c r="L2483" s="26" t="str">
        <f t="shared" si="481"/>
        <v>DGOSE</v>
      </c>
      <c r="M2483" s="26" t="str">
        <f t="shared" si="465"/>
        <v>PARTICULAR</v>
      </c>
      <c r="N2483" s="26">
        <v>11</v>
      </c>
      <c r="O2483" s="26">
        <v>6</v>
      </c>
      <c r="P2483" s="26">
        <v>5</v>
      </c>
      <c r="Q2483" s="26">
        <v>2</v>
      </c>
      <c r="R2483" s="26">
        <v>1</v>
      </c>
      <c r="S2483" s="26">
        <v>2</v>
      </c>
      <c r="T2483" s="26">
        <v>8</v>
      </c>
      <c r="U2483" s="26">
        <v>11</v>
      </c>
      <c r="V2483" s="26">
        <v>1</v>
      </c>
      <c r="W2483" s="26"/>
    </row>
    <row r="2484" spans="1:23" x14ac:dyDescent="0.25">
      <c r="A2484" s="26" t="str">
        <f t="shared" si="466"/>
        <v>PREESCOLAR</v>
      </c>
      <c r="B2484" s="26" t="str">
        <f>"09PJN4865F"</f>
        <v>09PJN4865F</v>
      </c>
      <c r="C2484" s="26" t="str">
        <f>"NUEVA ERA SAN RAFAEL                                                                                "</f>
        <v xml:space="preserve">NUEVA ERA SAN RAFAEL                                                                                </v>
      </c>
      <c r="D2484" s="26" t="str">
        <f t="shared" si="479"/>
        <v>MATUTINO</v>
      </c>
      <c r="E2484" s="26" t="str">
        <f>"FRANCISCO PIMENTEL NO. 37                                                       "</f>
        <v xml:space="preserve">FRANCISCO PIMENTEL NO. 37                                                       </v>
      </c>
      <c r="F2484" s="26" t="str">
        <f>"SAN RAFAEL                                                                                                                                  "</f>
        <v xml:space="preserve">SAN RAFAEL                                                                                                                                  </v>
      </c>
      <c r="G2484" s="26" t="s">
        <v>4128</v>
      </c>
      <c r="H2484" s="26" t="str">
        <f>"203"</f>
        <v>203</v>
      </c>
      <c r="I2484" s="26" t="str">
        <f t="shared" si="467"/>
        <v>00</v>
      </c>
      <c r="J2484" s="26" t="str">
        <f>"32 "</f>
        <v xml:space="preserve">32 </v>
      </c>
      <c r="K2484" s="26" t="str">
        <f t="shared" si="480"/>
        <v>EP</v>
      </c>
      <c r="L2484" s="26" t="str">
        <f t="shared" si="481"/>
        <v>DGOSE</v>
      </c>
      <c r="M2484" s="26" t="str">
        <f t="shared" si="465"/>
        <v>PARTICULAR</v>
      </c>
      <c r="N2484" s="26">
        <v>36</v>
      </c>
      <c r="O2484" s="26">
        <v>19</v>
      </c>
      <c r="P2484" s="26">
        <v>17</v>
      </c>
      <c r="Q2484" s="26">
        <v>3</v>
      </c>
      <c r="R2484" s="26">
        <v>1</v>
      </c>
      <c r="S2484" s="26">
        <v>3</v>
      </c>
      <c r="T2484" s="26">
        <v>0</v>
      </c>
      <c r="U2484" s="26">
        <v>4</v>
      </c>
      <c r="V2484" s="26">
        <v>1</v>
      </c>
      <c r="W2484" s="26"/>
    </row>
    <row r="2485" spans="1:23" x14ac:dyDescent="0.25">
      <c r="A2485" s="26" t="str">
        <f t="shared" si="466"/>
        <v>PREESCOLAR</v>
      </c>
      <c r="B2485" s="26" t="str">
        <f>"09PJN4866E"</f>
        <v>09PJN4866E</v>
      </c>
      <c r="C2485" s="26" t="str">
        <f>"CEIDHI                                                                                              "</f>
        <v xml:space="preserve">CEIDHI                                                                                              </v>
      </c>
      <c r="D2485" s="26" t="str">
        <f t="shared" si="479"/>
        <v>MATUTINO</v>
      </c>
      <c r="E2485" s="26" t="str">
        <f>"ORIENTE 91 NO. 2353                                                             "</f>
        <v xml:space="preserve">ORIENTE 91 NO. 2353                                                             </v>
      </c>
      <c r="F2485" s="26" t="str">
        <f>"EMILIANO ZAPATA                                                                                                                             "</f>
        <v xml:space="preserve">EMILIANO ZAPATA                                                                                                                             </v>
      </c>
      <c r="G2485" s="26" t="str">
        <f>"GUSTAVO A. MADERO                                                               "</f>
        <v xml:space="preserve">GUSTAVO A. MADERO                                                               </v>
      </c>
      <c r="H2485" s="26" t="str">
        <f>"198"</f>
        <v>198</v>
      </c>
      <c r="I2485" s="26" t="str">
        <f t="shared" si="467"/>
        <v>00</v>
      </c>
      <c r="J2485" s="26" t="str">
        <f>"32 "</f>
        <v xml:space="preserve">32 </v>
      </c>
      <c r="K2485" s="26" t="str">
        <f t="shared" si="480"/>
        <v>EP</v>
      </c>
      <c r="L2485" s="26" t="str">
        <f t="shared" si="481"/>
        <v>DGOSE</v>
      </c>
      <c r="M2485" s="26" t="str">
        <f t="shared" si="465"/>
        <v>PARTICULAR</v>
      </c>
      <c r="N2485" s="26">
        <v>45</v>
      </c>
      <c r="O2485" s="26">
        <v>14</v>
      </c>
      <c r="P2485" s="26">
        <v>31</v>
      </c>
      <c r="Q2485" s="26">
        <v>3</v>
      </c>
      <c r="R2485" s="26">
        <v>1</v>
      </c>
      <c r="S2485" s="26">
        <v>3</v>
      </c>
      <c r="T2485" s="26">
        <v>3</v>
      </c>
      <c r="U2485" s="26">
        <v>7</v>
      </c>
      <c r="V2485" s="26">
        <v>1</v>
      </c>
      <c r="W2485" s="26"/>
    </row>
    <row r="2486" spans="1:23" x14ac:dyDescent="0.25">
      <c r="A2486" s="26" t="str">
        <f t="shared" si="466"/>
        <v>PREESCOLAR</v>
      </c>
      <c r="B2486" s="26" t="str">
        <f>"09PJN4867D"</f>
        <v>09PJN4867D</v>
      </c>
      <c r="C2486" s="26" t="str">
        <f>"ESCUELA MONTESSORI MERCEDES BENET                                                                   "</f>
        <v xml:space="preserve">ESCUELA MONTESSORI MERCEDES BENET                                                                   </v>
      </c>
      <c r="D2486" s="26" t="str">
        <f t="shared" si="479"/>
        <v>MATUTINO</v>
      </c>
      <c r="E2486" s="26" t="str">
        <f>"EJERCITO NACIONAL NO. 1137                                                      "</f>
        <v xml:space="preserve">EJERCITO NACIONAL NO. 1137                                                      </v>
      </c>
      <c r="F2486" s="26" t="str">
        <f>"IRRIGACION                                                                                                                                  "</f>
        <v xml:space="preserve">IRRIGACION                                                                                                                                  </v>
      </c>
      <c r="G2486" s="26" t="str">
        <f>"MIGUEL HIDALGO                                                                  "</f>
        <v xml:space="preserve">MIGUEL HIDALGO                                                                  </v>
      </c>
      <c r="H2486" s="26" t="str">
        <f>"014"</f>
        <v>014</v>
      </c>
      <c r="I2486" s="26" t="str">
        <f t="shared" si="467"/>
        <v>00</v>
      </c>
      <c r="J2486" s="26" t="str">
        <f>"32 "</f>
        <v xml:space="preserve">32 </v>
      </c>
      <c r="K2486" s="26" t="str">
        <f t="shared" si="480"/>
        <v>EP</v>
      </c>
      <c r="L2486" s="26" t="str">
        <f t="shared" si="481"/>
        <v>DGOSE</v>
      </c>
      <c r="M2486" s="26" t="str">
        <f t="shared" si="465"/>
        <v>PARTICULAR</v>
      </c>
      <c r="N2486" s="26">
        <v>9</v>
      </c>
      <c r="O2486" s="26">
        <v>3</v>
      </c>
      <c r="P2486" s="26">
        <v>6</v>
      </c>
      <c r="Q2486" s="26">
        <v>3</v>
      </c>
      <c r="R2486" s="26">
        <v>1</v>
      </c>
      <c r="S2486" s="26">
        <v>1</v>
      </c>
      <c r="T2486" s="26">
        <v>2</v>
      </c>
      <c r="U2486" s="26">
        <v>4</v>
      </c>
      <c r="V2486" s="26">
        <v>1</v>
      </c>
      <c r="W2486" s="26"/>
    </row>
    <row r="2487" spans="1:23" x14ac:dyDescent="0.25">
      <c r="A2487" s="26" t="str">
        <f t="shared" si="466"/>
        <v>PREESCOLAR</v>
      </c>
      <c r="B2487" s="26" t="str">
        <f>"09PJN4870R"</f>
        <v>09PJN4870R</v>
      </c>
      <c r="C2487" s="26" t="str">
        <f>"KINDERGYM                                                                                           "</f>
        <v xml:space="preserve">KINDERGYM                                                                                           </v>
      </c>
      <c r="D2487" s="26" t="str">
        <f t="shared" si="479"/>
        <v>MATUTINO</v>
      </c>
      <c r="E2487" s="26" t="str">
        <f>"AFRICA NO. 18                                                                   "</f>
        <v xml:space="preserve">AFRICA NO. 18                                                                   </v>
      </c>
      <c r="F2487" s="26" t="str">
        <f>"CONCEPCION                                                                                                                                  "</f>
        <v xml:space="preserve">CONCEPCION                                                                                                                                  </v>
      </c>
      <c r="G2487" s="26" t="str">
        <f>"COYOACAN                                                                        "</f>
        <v xml:space="preserve">COYOACAN                                                                        </v>
      </c>
      <c r="H2487" s="26" t="str">
        <f>"237"</f>
        <v>237</v>
      </c>
      <c r="I2487" s="26" t="str">
        <f t="shared" si="467"/>
        <v>00</v>
      </c>
      <c r="J2487" s="26" t="str">
        <f>"35 "</f>
        <v xml:space="preserve">35 </v>
      </c>
      <c r="K2487" s="26" t="str">
        <f t="shared" si="480"/>
        <v>EP</v>
      </c>
      <c r="L2487" s="26" t="str">
        <f t="shared" si="481"/>
        <v>DGOSE</v>
      </c>
      <c r="M2487" s="26" t="str">
        <f t="shared" si="465"/>
        <v>PARTICULAR</v>
      </c>
      <c r="N2487" s="26">
        <v>55</v>
      </c>
      <c r="O2487" s="26">
        <v>31</v>
      </c>
      <c r="P2487" s="26">
        <v>24</v>
      </c>
      <c r="Q2487" s="26">
        <v>4</v>
      </c>
      <c r="R2487" s="26">
        <v>1</v>
      </c>
      <c r="S2487" s="26">
        <v>2</v>
      </c>
      <c r="T2487" s="26">
        <v>9</v>
      </c>
      <c r="U2487" s="26">
        <v>12</v>
      </c>
      <c r="V2487" s="26">
        <v>1</v>
      </c>
      <c r="W2487" s="26"/>
    </row>
    <row r="2488" spans="1:23" x14ac:dyDescent="0.25">
      <c r="A2488" s="26" t="str">
        <f t="shared" si="466"/>
        <v>PREESCOLAR</v>
      </c>
      <c r="B2488" s="26" t="str">
        <f>"09PJN4871Q"</f>
        <v>09PJN4871Q</v>
      </c>
      <c r="C2488" s="26" t="str">
        <f>"INSTITUTO NOTTINGHAM                                                                                "</f>
        <v xml:space="preserve">INSTITUTO NOTTINGHAM                                                                                </v>
      </c>
      <c r="D2488" s="26" t="str">
        <f t="shared" si="479"/>
        <v>MATUTINO</v>
      </c>
      <c r="E2488" s="26" t="str">
        <f>"AV. 553 NO. 75                                                                  "</f>
        <v xml:space="preserve">AV. 553 NO. 75                                                                  </v>
      </c>
      <c r="F2488" s="26" t="str">
        <f>"SAN JUAN DE ARAGON                                                                                                                          "</f>
        <v xml:space="preserve">SAN JUAN DE ARAGON                                                                                                                          </v>
      </c>
      <c r="G2488" s="26" t="str">
        <f>"GUSTAVO A. MADERO                                                               "</f>
        <v xml:space="preserve">GUSTAVO A. MADERO                                                               </v>
      </c>
      <c r="H2488" s="26" t="str">
        <f>"180"</f>
        <v>180</v>
      </c>
      <c r="I2488" s="26" t="str">
        <f t="shared" si="467"/>
        <v>00</v>
      </c>
      <c r="J2488" s="26" t="str">
        <f>"32 "</f>
        <v xml:space="preserve">32 </v>
      </c>
      <c r="K2488" s="26" t="str">
        <f t="shared" si="480"/>
        <v>EP</v>
      </c>
      <c r="L2488" s="26" t="str">
        <f t="shared" si="481"/>
        <v>DGOSE</v>
      </c>
      <c r="M2488" s="26" t="str">
        <f t="shared" si="465"/>
        <v>PARTICULAR</v>
      </c>
      <c r="N2488" s="26">
        <v>22</v>
      </c>
      <c r="O2488" s="26">
        <v>6</v>
      </c>
      <c r="P2488" s="26">
        <v>16</v>
      </c>
      <c r="Q2488" s="26">
        <v>3</v>
      </c>
      <c r="R2488" s="26">
        <v>1</v>
      </c>
      <c r="S2488" s="26">
        <v>3</v>
      </c>
      <c r="T2488" s="26">
        <v>1</v>
      </c>
      <c r="U2488" s="26">
        <v>5</v>
      </c>
      <c r="V2488" s="26">
        <v>1</v>
      </c>
      <c r="W2488" s="26"/>
    </row>
    <row r="2489" spans="1:23" x14ac:dyDescent="0.25">
      <c r="A2489" s="26" t="str">
        <f t="shared" si="466"/>
        <v>PREESCOLAR</v>
      </c>
      <c r="B2489" s="26" t="str">
        <f>"09PJN4872P"</f>
        <v>09PJN4872P</v>
      </c>
      <c r="C2489" s="26" t="str">
        <f>"REDLANS SCHOOL THE AMERICAN MEXICAN PROJECT                                                         "</f>
        <v xml:space="preserve">REDLANS SCHOOL THE AMERICAN MEXICAN PROJECT                                                         </v>
      </c>
      <c r="D2489" s="26" t="str">
        <f t="shared" si="479"/>
        <v>MATUTINO</v>
      </c>
      <c r="E2489" s="26" t="str">
        <f>"CARRIL NO. 40                                                                   "</f>
        <v xml:space="preserve">CARRIL NO. 40                                                                   </v>
      </c>
      <c r="F2489" s="26" t="str">
        <f>"SANTA URSULA XITLA                                                                                                                          "</f>
        <v xml:space="preserve">SANTA URSULA XITLA                                                                                                                          </v>
      </c>
      <c r="G2489" s="26" t="str">
        <f>"TLALPAN                                                                         "</f>
        <v xml:space="preserve">TLALPAN                                                                         </v>
      </c>
      <c r="H2489" s="26" t="str">
        <f>"147"</f>
        <v>147</v>
      </c>
      <c r="I2489" s="26" t="str">
        <f t="shared" si="467"/>
        <v>00</v>
      </c>
      <c r="J2489" s="26" t="str">
        <f>"35 "</f>
        <v xml:space="preserve">35 </v>
      </c>
      <c r="K2489" s="26" t="str">
        <f t="shared" si="480"/>
        <v>EP</v>
      </c>
      <c r="L2489" s="26" t="str">
        <f t="shared" si="481"/>
        <v>DGOSE</v>
      </c>
      <c r="M2489" s="26" t="str">
        <f t="shared" si="465"/>
        <v>PARTICULAR</v>
      </c>
      <c r="N2489" s="26">
        <v>20</v>
      </c>
      <c r="O2489" s="26">
        <v>11</v>
      </c>
      <c r="P2489" s="26">
        <v>9</v>
      </c>
      <c r="Q2489" s="26">
        <v>3</v>
      </c>
      <c r="R2489" s="26">
        <v>1</v>
      </c>
      <c r="S2489" s="26">
        <v>3</v>
      </c>
      <c r="T2489" s="26">
        <v>3</v>
      </c>
      <c r="U2489" s="26">
        <v>7</v>
      </c>
      <c r="V2489" s="26">
        <v>1</v>
      </c>
      <c r="W2489" s="26"/>
    </row>
    <row r="2490" spans="1:23" x14ac:dyDescent="0.25">
      <c r="A2490" s="26" t="str">
        <f t="shared" si="466"/>
        <v>PREESCOLAR</v>
      </c>
      <c r="B2490" s="26" t="str">
        <f>"09PJN4873O"</f>
        <v>09PJN4873O</v>
      </c>
      <c r="C2490" s="26" t="str">
        <f>"CENTRO EDUCATIVO MONTESSORI UNION                                                                   "</f>
        <v xml:space="preserve">CENTRO EDUCATIVO MONTESSORI UNION                                                                   </v>
      </c>
      <c r="D2490" s="26" t="str">
        <f t="shared" si="479"/>
        <v>MATUTINO</v>
      </c>
      <c r="E2490" s="26" t="str">
        <f>"AV. INSURGENTES SUR NO. 4115                                                    "</f>
        <v xml:space="preserve">AV. INSURGENTES SUR NO. 4115                                                    </v>
      </c>
      <c r="F2490" s="26" t="str">
        <f>"SANTA URSULA XITLA                                                                                                                          "</f>
        <v xml:space="preserve">SANTA URSULA XITLA                                                                                                                          </v>
      </c>
      <c r="G2490" s="26" t="str">
        <f>"TLALPAN                                                                         "</f>
        <v xml:space="preserve">TLALPAN                                                                         </v>
      </c>
      <c r="H2490" s="26" t="str">
        <f>"051"</f>
        <v>051</v>
      </c>
      <c r="I2490" s="26" t="str">
        <f t="shared" si="467"/>
        <v>00</v>
      </c>
      <c r="J2490" s="26" t="str">
        <f>"35 "</f>
        <v xml:space="preserve">35 </v>
      </c>
      <c r="K2490" s="26" t="str">
        <f t="shared" si="480"/>
        <v>EP</v>
      </c>
      <c r="L2490" s="26" t="str">
        <f t="shared" si="481"/>
        <v>DGOSE</v>
      </c>
      <c r="M2490" s="26" t="str">
        <f t="shared" si="465"/>
        <v>PARTICULAR</v>
      </c>
      <c r="N2490" s="26">
        <v>16</v>
      </c>
      <c r="O2490" s="26">
        <v>7</v>
      </c>
      <c r="P2490" s="26">
        <v>9</v>
      </c>
      <c r="Q2490" s="26">
        <v>3</v>
      </c>
      <c r="R2490" s="26">
        <v>1</v>
      </c>
      <c r="S2490" s="26">
        <v>2</v>
      </c>
      <c r="T2490" s="26">
        <v>2</v>
      </c>
      <c r="U2490" s="26">
        <v>5</v>
      </c>
      <c r="V2490" s="26">
        <v>1</v>
      </c>
      <c r="W2490" s="26"/>
    </row>
    <row r="2491" spans="1:23" x14ac:dyDescent="0.25">
      <c r="A2491" s="26" t="str">
        <f t="shared" si="466"/>
        <v>PREESCOLAR</v>
      </c>
      <c r="B2491" s="26" t="str">
        <f>"09PJN4875M"</f>
        <v>09PJN4875M</v>
      </c>
      <c r="C2491" s="26" t="str">
        <f>"PEQUEÑIN                                                                                            "</f>
        <v xml:space="preserve">PEQUEÑIN                                                                                            </v>
      </c>
      <c r="D2491" s="26" t="str">
        <f t="shared" si="479"/>
        <v>MATUTINO</v>
      </c>
      <c r="E2491" s="26" t="str">
        <f>"AV. CONGRESO DE CHILPANCINGO MZ. 44 LT. 15                                      "</f>
        <v xml:space="preserve">AV. CONGRESO DE CHILPANCINGO MZ. 44 LT. 15                                      </v>
      </c>
      <c r="F2491" s="26" t="str">
        <f>"UNIDAD HABITACIONAL ERMITA ZARAGOZA                                                                                                         "</f>
        <v xml:space="preserve">UNIDAD HABITACIONAL ERMITA ZARAGOZA                                                                                                         </v>
      </c>
      <c r="G2491" s="26" t="str">
        <f t="shared" ref="G2491:G2498" si="482">"IZTAPALAPA                                                                      "</f>
        <v xml:space="preserve">IZTAPALAPA                                                                      </v>
      </c>
      <c r="H2491" s="26" t="str">
        <f t="shared" ref="H2491:H2498" si="483">"000"</f>
        <v>000</v>
      </c>
      <c r="I2491" s="26" t="str">
        <f t="shared" si="467"/>
        <v>00</v>
      </c>
      <c r="J2491" s="26" t="str">
        <f>"62 "</f>
        <v xml:space="preserve">62 </v>
      </c>
      <c r="K2491" s="26" t="str">
        <f t="shared" ref="K2491:K2498" si="484">"IZ"</f>
        <v>IZ</v>
      </c>
      <c r="L2491" s="26" t="str">
        <f t="shared" ref="L2491:L2498" si="485">"DGSEI"</f>
        <v>DGSEI</v>
      </c>
      <c r="M2491" s="26" t="str">
        <f t="shared" si="465"/>
        <v>PARTICULAR</v>
      </c>
      <c r="N2491" s="26">
        <v>56</v>
      </c>
      <c r="O2491" s="26">
        <v>29</v>
      </c>
      <c r="P2491" s="26">
        <v>27</v>
      </c>
      <c r="Q2491" s="26">
        <v>3</v>
      </c>
      <c r="R2491" s="26">
        <v>1</v>
      </c>
      <c r="S2491" s="26">
        <v>3</v>
      </c>
      <c r="T2491" s="26">
        <v>6</v>
      </c>
      <c r="U2491" s="26">
        <v>10</v>
      </c>
      <c r="V2491" s="26">
        <v>1</v>
      </c>
      <c r="W2491" s="26"/>
    </row>
    <row r="2492" spans="1:23" x14ac:dyDescent="0.25">
      <c r="A2492" s="26" t="str">
        <f t="shared" si="466"/>
        <v>PREESCOLAR</v>
      </c>
      <c r="B2492" s="26" t="str">
        <f>"09PJN4881X"</f>
        <v>09PJN4881X</v>
      </c>
      <c r="C2492" s="26" t="str">
        <f>"MI UNIVERSO                                                                                         "</f>
        <v xml:space="preserve">MI UNIVERSO                                                                                         </v>
      </c>
      <c r="D2492" s="26" t="str">
        <f t="shared" si="479"/>
        <v>MATUTINO</v>
      </c>
      <c r="E2492" s="26" t="str">
        <f>"JOSE MARIA MORELOS MZ. 78 LT. 40                                                "</f>
        <v xml:space="preserve">JOSE MARIA MORELOS MZ. 78 LT. 40                                                </v>
      </c>
      <c r="F2492" s="26" t="str">
        <f>"LOMAS DE ZARAGOZA                                                                                                                           "</f>
        <v xml:space="preserve">LOMAS DE ZARAGOZA                                                                                                                           </v>
      </c>
      <c r="G2492" s="26" t="str">
        <f t="shared" si="482"/>
        <v xml:space="preserve">IZTAPALAPA                                                                      </v>
      </c>
      <c r="H2492" s="26" t="str">
        <f t="shared" si="483"/>
        <v>000</v>
      </c>
      <c r="I2492" s="26" t="str">
        <f t="shared" si="467"/>
        <v>00</v>
      </c>
      <c r="J2492" s="26" t="str">
        <f>"64 "</f>
        <v xml:space="preserve">64 </v>
      </c>
      <c r="K2492" s="26" t="str">
        <f t="shared" si="484"/>
        <v>IZ</v>
      </c>
      <c r="L2492" s="26" t="str">
        <f t="shared" si="485"/>
        <v>DGSEI</v>
      </c>
      <c r="M2492" s="26" t="str">
        <f t="shared" si="465"/>
        <v>PARTICULAR</v>
      </c>
      <c r="N2492" s="26">
        <v>21</v>
      </c>
      <c r="O2492" s="26">
        <v>7</v>
      </c>
      <c r="P2492" s="26">
        <v>14</v>
      </c>
      <c r="Q2492" s="26">
        <v>2</v>
      </c>
      <c r="R2492" s="26">
        <v>1</v>
      </c>
      <c r="S2492" s="26">
        <v>2</v>
      </c>
      <c r="T2492" s="26">
        <v>0</v>
      </c>
      <c r="U2492" s="26">
        <v>3</v>
      </c>
      <c r="V2492" s="26">
        <v>1</v>
      </c>
      <c r="W2492" s="26"/>
    </row>
    <row r="2493" spans="1:23" x14ac:dyDescent="0.25">
      <c r="A2493" s="26" t="str">
        <f t="shared" si="466"/>
        <v>PREESCOLAR</v>
      </c>
      <c r="B2493" s="26" t="str">
        <f>"09PJN4884U"</f>
        <v>09PJN4884U</v>
      </c>
      <c r="C2493" s="26" t="str">
        <f>"GOTITAS MAGICAS                                                                                     "</f>
        <v xml:space="preserve">GOTITAS MAGICAS                                                                                     </v>
      </c>
      <c r="D2493" s="26" t="str">
        <f t="shared" si="479"/>
        <v>MATUTINO</v>
      </c>
      <c r="E2493" s="26" t="str">
        <f>"RIO COATZACOALCOS MZA 46 LT 1                                                   "</f>
        <v xml:space="preserve">RIO COATZACOALCOS MZA 46 LT 1                                                   </v>
      </c>
      <c r="F2493" s="26" t="str">
        <f>"VALLE DE SAN LORENZO                                                                                                                        "</f>
        <v xml:space="preserve">VALLE DE SAN LORENZO                                                                                                                        </v>
      </c>
      <c r="G2493" s="26" t="str">
        <f t="shared" si="482"/>
        <v xml:space="preserve">IZTAPALAPA                                                                      </v>
      </c>
      <c r="H2493" s="26" t="str">
        <f t="shared" si="483"/>
        <v>000</v>
      </c>
      <c r="I2493" s="26" t="str">
        <f t="shared" si="467"/>
        <v>00</v>
      </c>
      <c r="J2493" s="26" t="str">
        <f>"63 "</f>
        <v xml:space="preserve">63 </v>
      </c>
      <c r="K2493" s="26" t="str">
        <f t="shared" si="484"/>
        <v>IZ</v>
      </c>
      <c r="L2493" s="26" t="str">
        <f t="shared" si="485"/>
        <v>DGSEI</v>
      </c>
      <c r="M2493" s="26" t="str">
        <f t="shared" si="465"/>
        <v>PARTICULAR</v>
      </c>
      <c r="N2493" s="26">
        <v>38</v>
      </c>
      <c r="O2493" s="26">
        <v>20</v>
      </c>
      <c r="P2493" s="26">
        <v>18</v>
      </c>
      <c r="Q2493" s="26">
        <v>3</v>
      </c>
      <c r="R2493" s="26">
        <v>1</v>
      </c>
      <c r="S2493" s="26">
        <v>2</v>
      </c>
      <c r="T2493" s="26">
        <v>0</v>
      </c>
      <c r="U2493" s="26">
        <v>3</v>
      </c>
      <c r="V2493" s="26">
        <v>1</v>
      </c>
      <c r="W2493" s="26"/>
    </row>
    <row r="2494" spans="1:23" x14ac:dyDescent="0.25">
      <c r="A2494" s="26" t="str">
        <f t="shared" si="466"/>
        <v>PREESCOLAR</v>
      </c>
      <c r="B2494" s="26" t="str">
        <f>"09PJN4887R"</f>
        <v>09PJN4887R</v>
      </c>
      <c r="C2494" s="26" t="str">
        <f>"ALVARO OBREGON                                                                                      "</f>
        <v xml:space="preserve">ALVARO OBREGON                                                                                      </v>
      </c>
      <c r="D2494" s="26" t="str">
        <f t="shared" si="479"/>
        <v>MATUTINO</v>
      </c>
      <c r="E2494" s="26" t="str">
        <f>"BATALLA DE CELAYA MZ. 9 LT. 5 SECC. SUR                                         "</f>
        <v xml:space="preserve">BATALLA DE CELAYA MZ. 9 LT. 5 SECC. SUR                                         </v>
      </c>
      <c r="F2494" s="26" t="str">
        <f>"POPULAR ALVARO OBREGON                                                                                                                      "</f>
        <v xml:space="preserve">POPULAR ALVARO OBREGON                                                                                                                      </v>
      </c>
      <c r="G2494" s="26" t="str">
        <f t="shared" si="482"/>
        <v xml:space="preserve">IZTAPALAPA                                                                      </v>
      </c>
      <c r="H2494" s="26" t="str">
        <f t="shared" si="483"/>
        <v>000</v>
      </c>
      <c r="I2494" s="26" t="str">
        <f t="shared" si="467"/>
        <v>00</v>
      </c>
      <c r="J2494" s="26" t="str">
        <f>"62 "</f>
        <v xml:space="preserve">62 </v>
      </c>
      <c r="K2494" s="26" t="str">
        <f t="shared" si="484"/>
        <v>IZ</v>
      </c>
      <c r="L2494" s="26" t="str">
        <f t="shared" si="485"/>
        <v>DGSEI</v>
      </c>
      <c r="M2494" s="26" t="str">
        <f t="shared" si="465"/>
        <v>PARTICULAR</v>
      </c>
      <c r="N2494" s="26">
        <v>34</v>
      </c>
      <c r="O2494" s="26">
        <v>13</v>
      </c>
      <c r="P2494" s="26">
        <v>21</v>
      </c>
      <c r="Q2494" s="26">
        <v>3</v>
      </c>
      <c r="R2494" s="26">
        <v>1</v>
      </c>
      <c r="S2494" s="26">
        <v>2</v>
      </c>
      <c r="T2494" s="26">
        <v>3</v>
      </c>
      <c r="U2494" s="26">
        <v>6</v>
      </c>
      <c r="V2494" s="26">
        <v>1</v>
      </c>
      <c r="W2494" s="26"/>
    </row>
    <row r="2495" spans="1:23" x14ac:dyDescent="0.25">
      <c r="A2495" s="26" t="str">
        <f t="shared" si="466"/>
        <v>PREESCOLAR</v>
      </c>
      <c r="B2495" s="26" t="str">
        <f>"09PJN4889P"</f>
        <v>09PJN4889P</v>
      </c>
      <c r="C2495" s="26" t="str">
        <f>"GRAL GRACILIANO ALPUCHE PINZON                                                                      "</f>
        <v xml:space="preserve">GRAL GRACILIANO ALPUCHE PINZON                                                                      </v>
      </c>
      <c r="D2495" s="26" t="str">
        <f t="shared" si="479"/>
        <v>MATUTINO</v>
      </c>
      <c r="E2495" s="26" t="str">
        <f>"CALLE SEIS NO 178                                                               "</f>
        <v xml:space="preserve">CALLE SEIS NO 178                                                               </v>
      </c>
      <c r="F2495" s="26" t="str">
        <f>"GRANJAS SAN ANTONIO                                                                                                                         "</f>
        <v xml:space="preserve">GRANJAS SAN ANTONIO                                                                                                                         </v>
      </c>
      <c r="G2495" s="26" t="str">
        <f t="shared" si="482"/>
        <v xml:space="preserve">IZTAPALAPA                                                                      </v>
      </c>
      <c r="H2495" s="26" t="str">
        <f t="shared" si="483"/>
        <v>000</v>
      </c>
      <c r="I2495" s="26" t="str">
        <f t="shared" si="467"/>
        <v>00</v>
      </c>
      <c r="J2495" s="26" t="str">
        <f>"61 "</f>
        <v xml:space="preserve">61 </v>
      </c>
      <c r="K2495" s="26" t="str">
        <f t="shared" si="484"/>
        <v>IZ</v>
      </c>
      <c r="L2495" s="26" t="str">
        <f t="shared" si="485"/>
        <v>DGSEI</v>
      </c>
      <c r="M2495" s="26" t="str">
        <f t="shared" ref="M2495:M2558" si="486">"PARTICULAR"</f>
        <v>PARTICULAR</v>
      </c>
      <c r="N2495" s="26">
        <v>27</v>
      </c>
      <c r="O2495" s="26">
        <v>15</v>
      </c>
      <c r="P2495" s="26">
        <v>12</v>
      </c>
      <c r="Q2495" s="26">
        <v>3</v>
      </c>
      <c r="R2495" s="26">
        <v>1</v>
      </c>
      <c r="S2495" s="26">
        <v>2</v>
      </c>
      <c r="T2495" s="26">
        <v>7</v>
      </c>
      <c r="U2495" s="26">
        <v>10</v>
      </c>
      <c r="V2495" s="26">
        <v>1</v>
      </c>
      <c r="W2495" s="26"/>
    </row>
    <row r="2496" spans="1:23" x14ac:dyDescent="0.25">
      <c r="A2496" s="26" t="str">
        <f t="shared" si="466"/>
        <v>PREESCOLAR</v>
      </c>
      <c r="B2496" s="26" t="str">
        <f>"09PJN4892C"</f>
        <v>09PJN4892C</v>
      </c>
      <c r="C2496" s="26" t="str">
        <f>"DONATELLO                                                                                           "</f>
        <v xml:space="preserve">DONATELLO                                                                                           </v>
      </c>
      <c r="D2496" s="26" t="str">
        <f t="shared" si="479"/>
        <v>MATUTINO</v>
      </c>
      <c r="E2496" s="26" t="str">
        <f>"CEREZO MZ 46 LT 1                                                               "</f>
        <v xml:space="preserve">CEREZO MZ 46 LT 1                                                               </v>
      </c>
      <c r="F2496" s="26" t="str">
        <f>"SAN JUAN XALPA                                                                                                                              "</f>
        <v xml:space="preserve">SAN JUAN XALPA                                                                                                                              </v>
      </c>
      <c r="G2496" s="26" t="str">
        <f t="shared" si="482"/>
        <v xml:space="preserve">IZTAPALAPA                                                                      </v>
      </c>
      <c r="H2496" s="26" t="str">
        <f t="shared" si="483"/>
        <v>000</v>
      </c>
      <c r="I2496" s="26" t="str">
        <f t="shared" si="467"/>
        <v>00</v>
      </c>
      <c r="J2496" s="26" t="str">
        <f>"63 "</f>
        <v xml:space="preserve">63 </v>
      </c>
      <c r="K2496" s="26" t="str">
        <f t="shared" si="484"/>
        <v>IZ</v>
      </c>
      <c r="L2496" s="26" t="str">
        <f t="shared" si="485"/>
        <v>DGSEI</v>
      </c>
      <c r="M2496" s="26" t="str">
        <f t="shared" si="486"/>
        <v>PARTICULAR</v>
      </c>
      <c r="N2496" s="26">
        <v>10</v>
      </c>
      <c r="O2496" s="26">
        <v>7</v>
      </c>
      <c r="P2496" s="26">
        <v>3</v>
      </c>
      <c r="Q2496" s="26">
        <v>3</v>
      </c>
      <c r="R2496" s="26">
        <v>1</v>
      </c>
      <c r="S2496" s="26">
        <v>1</v>
      </c>
      <c r="T2496" s="26">
        <v>5</v>
      </c>
      <c r="U2496" s="26">
        <v>7</v>
      </c>
      <c r="V2496" s="26">
        <v>1</v>
      </c>
      <c r="W2496" s="26"/>
    </row>
    <row r="2497" spans="1:23" x14ac:dyDescent="0.25">
      <c r="A2497" s="26" t="str">
        <f t="shared" si="466"/>
        <v>PREESCOLAR</v>
      </c>
      <c r="B2497" s="26" t="str">
        <f>"09PJN4894A"</f>
        <v>09PJN4894A</v>
      </c>
      <c r="C2497" s="26" t="str">
        <f>"HEROES MEXICANOS                                                                                    "</f>
        <v xml:space="preserve">HEROES MEXICANOS                                                                                    </v>
      </c>
      <c r="D2497" s="26" t="str">
        <f t="shared" si="479"/>
        <v>MATUTINO</v>
      </c>
      <c r="E2497" s="26" t="s">
        <v>108</v>
      </c>
      <c r="F2497" s="26" t="str">
        <f>"CONSTITUCION 1917                                                                                                                           "</f>
        <v xml:space="preserve">CONSTITUCION 1917                                                                                                                           </v>
      </c>
      <c r="G2497" s="26" t="str">
        <f t="shared" si="482"/>
        <v xml:space="preserve">IZTAPALAPA                                                                      </v>
      </c>
      <c r="H2497" s="26" t="str">
        <f t="shared" si="483"/>
        <v>000</v>
      </c>
      <c r="I2497" s="26" t="str">
        <f t="shared" si="467"/>
        <v>00</v>
      </c>
      <c r="J2497" s="26" t="str">
        <f>"64 "</f>
        <v xml:space="preserve">64 </v>
      </c>
      <c r="K2497" s="26" t="str">
        <f t="shared" si="484"/>
        <v>IZ</v>
      </c>
      <c r="L2497" s="26" t="str">
        <f t="shared" si="485"/>
        <v>DGSEI</v>
      </c>
      <c r="M2497" s="26" t="str">
        <f t="shared" si="486"/>
        <v>PARTICULAR</v>
      </c>
      <c r="N2497" s="26">
        <v>9</v>
      </c>
      <c r="O2497" s="26">
        <v>6</v>
      </c>
      <c r="P2497" s="26">
        <v>3</v>
      </c>
      <c r="Q2497" s="26">
        <v>1</v>
      </c>
      <c r="R2497" s="26">
        <v>0</v>
      </c>
      <c r="S2497" s="26">
        <v>1</v>
      </c>
      <c r="T2497" s="26">
        <v>0</v>
      </c>
      <c r="U2497" s="26">
        <v>1</v>
      </c>
      <c r="V2497" s="26">
        <v>1</v>
      </c>
      <c r="W2497" s="26"/>
    </row>
    <row r="2498" spans="1:23" x14ac:dyDescent="0.25">
      <c r="A2498" s="26" t="str">
        <f t="shared" ref="A2498:A2561" si="487">"PREESCOLAR"</f>
        <v>PREESCOLAR</v>
      </c>
      <c r="B2498" s="26" t="str">
        <f>"09PJN4896Z"</f>
        <v>09PJN4896Z</v>
      </c>
      <c r="C2498" s="26" t="str">
        <f>"ISAAC OCHOTERENA                                                                                    "</f>
        <v xml:space="preserve">ISAAC OCHOTERENA                                                                                    </v>
      </c>
      <c r="D2498" s="26" t="str">
        <f t="shared" si="479"/>
        <v>MATUTINO</v>
      </c>
      <c r="E2498" s="26" t="str">
        <f>"MARIANO ESCOBEDO MZ. 36 LT. 4 Y 5                                               "</f>
        <v xml:space="preserve">MARIANO ESCOBEDO MZ. 36 LT. 4 Y 5                                               </v>
      </c>
      <c r="F2498" s="26" t="str">
        <f>"SAN MIGUEL TEOTONGO                                                                                                                         "</f>
        <v xml:space="preserve">SAN MIGUEL TEOTONGO                                                                                                                         </v>
      </c>
      <c r="G2498" s="26" t="str">
        <f t="shared" si="482"/>
        <v xml:space="preserve">IZTAPALAPA                                                                      </v>
      </c>
      <c r="H2498" s="26" t="str">
        <f t="shared" si="483"/>
        <v>000</v>
      </c>
      <c r="I2498" s="26" t="str">
        <f t="shared" ref="I2498:I2561" si="488">"00"</f>
        <v>00</v>
      </c>
      <c r="J2498" s="26" t="str">
        <f>"64 "</f>
        <v xml:space="preserve">64 </v>
      </c>
      <c r="K2498" s="26" t="str">
        <f t="shared" si="484"/>
        <v>IZ</v>
      </c>
      <c r="L2498" s="26" t="str">
        <f t="shared" si="485"/>
        <v>DGSEI</v>
      </c>
      <c r="M2498" s="26" t="str">
        <f t="shared" si="486"/>
        <v>PARTICULAR</v>
      </c>
      <c r="N2498" s="26">
        <v>33</v>
      </c>
      <c r="O2498" s="26">
        <v>19</v>
      </c>
      <c r="P2498" s="26">
        <v>14</v>
      </c>
      <c r="Q2498" s="26">
        <v>3</v>
      </c>
      <c r="R2498" s="26">
        <v>1</v>
      </c>
      <c r="S2498" s="26">
        <v>3</v>
      </c>
      <c r="T2498" s="26">
        <v>3</v>
      </c>
      <c r="U2498" s="26">
        <v>7</v>
      </c>
      <c r="V2498" s="26">
        <v>1</v>
      </c>
      <c r="W2498" s="26"/>
    </row>
    <row r="2499" spans="1:23" x14ac:dyDescent="0.25">
      <c r="A2499" s="26" t="str">
        <f t="shared" si="487"/>
        <v>PREESCOLAR</v>
      </c>
      <c r="B2499" s="26" t="str">
        <f>"09PJN4898X"</f>
        <v>09PJN4898X</v>
      </c>
      <c r="C2499" s="26" t="str">
        <f>"LICEO ECOLOGICO MEXICANO                                                                            "</f>
        <v xml:space="preserve">LICEO ECOLOGICO MEXICANO                                                                            </v>
      </c>
      <c r="D2499" s="26" t="str">
        <f t="shared" si="479"/>
        <v>MATUTINO</v>
      </c>
      <c r="E2499" s="26" t="str">
        <f>"1RA. PVA. ROSA ZARAGOZA MZA.B Z-9 NO.104                                        "</f>
        <v xml:space="preserve">1RA. PVA. ROSA ZARAGOZA MZA.B Z-9 NO.104                                        </v>
      </c>
      <c r="F2499" s="26" t="str">
        <f>"UNIDAD HABITACIONAL CTM SEIS                                                                                                                "</f>
        <v xml:space="preserve">UNIDAD HABITACIONAL CTM SEIS                                                                                                                </v>
      </c>
      <c r="G2499" s="26" t="str">
        <f>"COYOACAN                                                                        "</f>
        <v xml:space="preserve">COYOACAN                                                                        </v>
      </c>
      <c r="H2499" s="26" t="str">
        <f>"024"</f>
        <v>024</v>
      </c>
      <c r="I2499" s="26" t="str">
        <f t="shared" si="488"/>
        <v>00</v>
      </c>
      <c r="J2499" s="26" t="str">
        <f>"35 "</f>
        <v xml:space="preserve">35 </v>
      </c>
      <c r="K2499" s="26" t="str">
        <f t="shared" ref="K2499:K2508" si="489">"EP"</f>
        <v>EP</v>
      </c>
      <c r="L2499" s="26" t="str">
        <f t="shared" ref="L2499:L2508" si="490">"DGOSE"</f>
        <v>DGOSE</v>
      </c>
      <c r="M2499" s="26" t="str">
        <f t="shared" si="486"/>
        <v>PARTICULAR</v>
      </c>
      <c r="N2499" s="26">
        <v>18</v>
      </c>
      <c r="O2499" s="26">
        <v>9</v>
      </c>
      <c r="P2499" s="26">
        <v>9</v>
      </c>
      <c r="Q2499" s="26">
        <v>3</v>
      </c>
      <c r="R2499" s="26">
        <v>1</v>
      </c>
      <c r="S2499" s="26">
        <v>3</v>
      </c>
      <c r="T2499" s="26">
        <v>2</v>
      </c>
      <c r="U2499" s="26">
        <v>6</v>
      </c>
      <c r="V2499" s="26">
        <v>1</v>
      </c>
      <c r="W2499" s="26"/>
    </row>
    <row r="2500" spans="1:23" x14ac:dyDescent="0.25">
      <c r="A2500" s="26" t="str">
        <f t="shared" si="487"/>
        <v>PREESCOLAR</v>
      </c>
      <c r="B2500" s="26" t="str">
        <f>"09PJN4899W"</f>
        <v>09PJN4899W</v>
      </c>
      <c r="C2500" s="26" t="str">
        <f>"JARDIN DE NIÑOS OLOF PALME                                                                          "</f>
        <v xml:space="preserve">JARDIN DE NIÑOS OLOF PALME                                                                          </v>
      </c>
      <c r="D2500" s="26" t="str">
        <f t="shared" si="479"/>
        <v>MATUTINO</v>
      </c>
      <c r="E2500" s="26" t="str">
        <f>"UNIDAD NO. 35 (ANTES 29)                                                        "</f>
        <v xml:space="preserve">UNIDAD NO. 35 (ANTES 29)                                                        </v>
      </c>
      <c r="F2500" s="26" t="str">
        <f>"HUIPULCO                                                                                                                                    "</f>
        <v xml:space="preserve">HUIPULCO                                                                                                                                    </v>
      </c>
      <c r="G2500" s="26" t="str">
        <f>"TLALPAN                                                                         "</f>
        <v xml:space="preserve">TLALPAN                                                                         </v>
      </c>
      <c r="H2500" s="26" t="str">
        <f>"222"</f>
        <v>222</v>
      </c>
      <c r="I2500" s="26" t="str">
        <f t="shared" si="488"/>
        <v>00</v>
      </c>
      <c r="J2500" s="26" t="str">
        <f>"35 "</f>
        <v xml:space="preserve">35 </v>
      </c>
      <c r="K2500" s="26" t="str">
        <f t="shared" si="489"/>
        <v>EP</v>
      </c>
      <c r="L2500" s="26" t="str">
        <f t="shared" si="490"/>
        <v>DGOSE</v>
      </c>
      <c r="M2500" s="26" t="str">
        <f t="shared" si="486"/>
        <v>PARTICULAR</v>
      </c>
      <c r="N2500" s="26">
        <v>19</v>
      </c>
      <c r="O2500" s="26">
        <v>10</v>
      </c>
      <c r="P2500" s="26">
        <v>9</v>
      </c>
      <c r="Q2500" s="26">
        <v>3</v>
      </c>
      <c r="R2500" s="26">
        <v>1</v>
      </c>
      <c r="S2500" s="26">
        <v>3</v>
      </c>
      <c r="T2500" s="26">
        <v>4</v>
      </c>
      <c r="U2500" s="26">
        <v>8</v>
      </c>
      <c r="V2500" s="26">
        <v>1</v>
      </c>
      <c r="W2500" s="26"/>
    </row>
    <row r="2501" spans="1:23" x14ac:dyDescent="0.25">
      <c r="A2501" s="26" t="str">
        <f t="shared" si="487"/>
        <v>PREESCOLAR</v>
      </c>
      <c r="B2501" s="26" t="str">
        <f>"09PJN4900V"</f>
        <v>09PJN4900V</v>
      </c>
      <c r="C2501" s="26" t="str">
        <f>"CENTRO EDUCATIVO PAIDEIA                                                                            "</f>
        <v xml:space="preserve">CENTRO EDUCATIVO PAIDEIA                                                                            </v>
      </c>
      <c r="D2501" s="26" t="str">
        <f t="shared" si="479"/>
        <v>MATUTINO</v>
      </c>
      <c r="E2501" s="26" t="str">
        <f>"MALINTZIN NO. 173                                                               "</f>
        <v xml:space="preserve">MALINTZIN NO. 173                                                               </v>
      </c>
      <c r="F2501" s="26" t="str">
        <f>"DEL CARMEN                                                                                                                                  "</f>
        <v xml:space="preserve">DEL CARMEN                                                                                                                                  </v>
      </c>
      <c r="G2501" s="26" t="str">
        <f>"COYOACAN                                                                        "</f>
        <v xml:space="preserve">COYOACAN                                                                        </v>
      </c>
      <c r="H2501" s="26" t="str">
        <f>"111"</f>
        <v>111</v>
      </c>
      <c r="I2501" s="26" t="str">
        <f t="shared" si="488"/>
        <v>00</v>
      </c>
      <c r="J2501" s="26" t="str">
        <f>"35 "</f>
        <v xml:space="preserve">35 </v>
      </c>
      <c r="K2501" s="26" t="str">
        <f t="shared" si="489"/>
        <v>EP</v>
      </c>
      <c r="L2501" s="26" t="str">
        <f t="shared" si="490"/>
        <v>DGOSE</v>
      </c>
      <c r="M2501" s="26" t="str">
        <f t="shared" si="486"/>
        <v>PARTICULAR</v>
      </c>
      <c r="N2501" s="26">
        <v>43</v>
      </c>
      <c r="O2501" s="26">
        <v>19</v>
      </c>
      <c r="P2501" s="26">
        <v>24</v>
      </c>
      <c r="Q2501" s="26">
        <v>3</v>
      </c>
      <c r="R2501" s="26">
        <v>1</v>
      </c>
      <c r="S2501" s="26">
        <v>2</v>
      </c>
      <c r="T2501" s="26">
        <v>7</v>
      </c>
      <c r="U2501" s="26">
        <v>10</v>
      </c>
      <c r="V2501" s="26">
        <v>1</v>
      </c>
      <c r="W2501" s="26"/>
    </row>
    <row r="2502" spans="1:23" x14ac:dyDescent="0.25">
      <c r="A2502" s="26" t="str">
        <f t="shared" si="487"/>
        <v>PREESCOLAR</v>
      </c>
      <c r="B2502" s="26" t="str">
        <f>"09PJN4901U"</f>
        <v>09PJN4901U</v>
      </c>
      <c r="C2502" s="26" t="str">
        <f>"CENTRO EDUCATIVO NEMI                                                                               "</f>
        <v xml:space="preserve">CENTRO EDUCATIVO NEMI                                                                               </v>
      </c>
      <c r="D2502" s="26" t="str">
        <f t="shared" si="479"/>
        <v>MATUTINO</v>
      </c>
      <c r="E2502" s="26" t="str">
        <f>"GABRIEL MANCERA NO. 733                                                         "</f>
        <v xml:space="preserve">GABRIEL MANCERA NO. 733                                                         </v>
      </c>
      <c r="F2502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2502" s="26" t="str">
        <f>"BENITO JUAREZ                                                                   "</f>
        <v xml:space="preserve">BENITO JUAREZ                                                                   </v>
      </c>
      <c r="H2502" s="26" t="str">
        <f>"232"</f>
        <v>232</v>
      </c>
      <c r="I2502" s="26" t="str">
        <f t="shared" si="488"/>
        <v>00</v>
      </c>
      <c r="J2502" s="26" t="str">
        <f>"33 "</f>
        <v xml:space="preserve">33 </v>
      </c>
      <c r="K2502" s="26" t="str">
        <f t="shared" si="489"/>
        <v>EP</v>
      </c>
      <c r="L2502" s="26" t="str">
        <f t="shared" si="490"/>
        <v>DGOSE</v>
      </c>
      <c r="M2502" s="26" t="str">
        <f t="shared" si="486"/>
        <v>PARTICULAR</v>
      </c>
      <c r="N2502" s="26">
        <v>28</v>
      </c>
      <c r="O2502" s="26">
        <v>14</v>
      </c>
      <c r="P2502" s="26">
        <v>14</v>
      </c>
      <c r="Q2502" s="26">
        <v>2</v>
      </c>
      <c r="R2502" s="26">
        <v>1</v>
      </c>
      <c r="S2502" s="26">
        <v>2</v>
      </c>
      <c r="T2502" s="26">
        <v>3</v>
      </c>
      <c r="U2502" s="26">
        <v>6</v>
      </c>
      <c r="V2502" s="26">
        <v>1</v>
      </c>
      <c r="W2502" s="26"/>
    </row>
    <row r="2503" spans="1:23" x14ac:dyDescent="0.25">
      <c r="A2503" s="26" t="str">
        <f t="shared" si="487"/>
        <v>PREESCOLAR</v>
      </c>
      <c r="B2503" s="26" t="str">
        <f>"09PJN4902T"</f>
        <v>09PJN4902T</v>
      </c>
      <c r="C2503" s="26" t="str">
        <f>"LICEO INFANTIL PAIDOS                                                                               "</f>
        <v xml:space="preserve">LICEO INFANTIL PAIDOS                                                                               </v>
      </c>
      <c r="D2503" s="26" t="str">
        <f t="shared" si="479"/>
        <v>MATUTINO</v>
      </c>
      <c r="E2503" s="26" t="str">
        <f>"JOSE SOTERO CASTAÑEDA NO. 661                                                   "</f>
        <v xml:space="preserve">JOSE SOTERO CASTAÑEDA NO. 661                                                   </v>
      </c>
      <c r="F2503" s="26" t="str">
        <f>"ASTURIAS AMPLIACION                                                                                                                         "</f>
        <v xml:space="preserve">ASTURIAS AMPLIACION                                                                                                                         </v>
      </c>
      <c r="G2503" s="26" t="s">
        <v>4128</v>
      </c>
      <c r="H2503" s="26" t="str">
        <f>"204"</f>
        <v>204</v>
      </c>
      <c r="I2503" s="26" t="str">
        <f t="shared" si="488"/>
        <v>00</v>
      </c>
      <c r="J2503" s="26" t="str">
        <f>"32 "</f>
        <v xml:space="preserve">32 </v>
      </c>
      <c r="K2503" s="26" t="str">
        <f t="shared" si="489"/>
        <v>EP</v>
      </c>
      <c r="L2503" s="26" t="str">
        <f t="shared" si="490"/>
        <v>DGOSE</v>
      </c>
      <c r="M2503" s="26" t="str">
        <f t="shared" si="486"/>
        <v>PARTICULAR</v>
      </c>
      <c r="N2503" s="26">
        <v>59</v>
      </c>
      <c r="O2503" s="26">
        <v>28</v>
      </c>
      <c r="P2503" s="26">
        <v>31</v>
      </c>
      <c r="Q2503" s="26">
        <v>3</v>
      </c>
      <c r="R2503" s="26">
        <v>1</v>
      </c>
      <c r="S2503" s="26">
        <v>3</v>
      </c>
      <c r="T2503" s="26">
        <v>2</v>
      </c>
      <c r="U2503" s="26">
        <v>6</v>
      </c>
      <c r="V2503" s="26">
        <v>1</v>
      </c>
      <c r="W2503" s="26"/>
    </row>
    <row r="2504" spans="1:23" x14ac:dyDescent="0.25">
      <c r="A2504" s="26" t="str">
        <f t="shared" si="487"/>
        <v>PREESCOLAR</v>
      </c>
      <c r="B2504" s="26" t="str">
        <f>"09PJN4903S"</f>
        <v>09PJN4903S</v>
      </c>
      <c r="C2504" s="26" t="str">
        <f>"INSTITUTO LUDI MAGISTER                                                                             "</f>
        <v xml:space="preserve">INSTITUTO LUDI MAGISTER                                                                             </v>
      </c>
      <c r="D2504" s="26" t="str">
        <f t="shared" si="479"/>
        <v>MATUTINO</v>
      </c>
      <c r="E2504" s="26" t="str">
        <f>"PLAYA REGATAS NO. 391                                                           "</f>
        <v xml:space="preserve">PLAYA REGATAS NO. 391                                                           </v>
      </c>
      <c r="F2504" s="26" t="str">
        <f>"REFORMA IZTACCIHUATL                                                                                                                        "</f>
        <v xml:space="preserve">REFORMA IZTACCIHUATL                                                                                                                        </v>
      </c>
      <c r="G2504" s="26" t="str">
        <f>"IZTACALCO                                                                       "</f>
        <v xml:space="preserve">IZTACALCO                                                                       </v>
      </c>
      <c r="H2504" s="26" t="str">
        <f>"027"</f>
        <v>027</v>
      </c>
      <c r="I2504" s="26" t="str">
        <f t="shared" si="488"/>
        <v>00</v>
      </c>
      <c r="J2504" s="26" t="str">
        <f>"33 "</f>
        <v xml:space="preserve">33 </v>
      </c>
      <c r="K2504" s="26" t="str">
        <f t="shared" si="489"/>
        <v>EP</v>
      </c>
      <c r="L2504" s="26" t="str">
        <f t="shared" si="490"/>
        <v>DGOSE</v>
      </c>
      <c r="M2504" s="26" t="str">
        <f t="shared" si="486"/>
        <v>PARTICULAR</v>
      </c>
      <c r="N2504" s="26">
        <v>10</v>
      </c>
      <c r="O2504" s="26">
        <v>6</v>
      </c>
      <c r="P2504" s="26">
        <v>4</v>
      </c>
      <c r="Q2504" s="26">
        <v>3</v>
      </c>
      <c r="R2504" s="26">
        <v>1</v>
      </c>
      <c r="S2504" s="26">
        <v>3</v>
      </c>
      <c r="T2504" s="26">
        <v>1</v>
      </c>
      <c r="U2504" s="26">
        <v>5</v>
      </c>
      <c r="V2504" s="26">
        <v>1</v>
      </c>
      <c r="W2504" s="26"/>
    </row>
    <row r="2505" spans="1:23" x14ac:dyDescent="0.25">
      <c r="A2505" s="26" t="str">
        <f t="shared" si="487"/>
        <v>PREESCOLAR</v>
      </c>
      <c r="B2505" s="26" t="str">
        <f>"09PJN4906P"</f>
        <v>09PJN4906P</v>
      </c>
      <c r="C2505" s="26" t="str">
        <f>"JARDIN DE NIÑOS FRAY JUAN DE ZUMARRAGA                                                              "</f>
        <v xml:space="preserve">JARDIN DE NIÑOS FRAY JUAN DE ZUMARRAGA                                                              </v>
      </c>
      <c r="D2505" s="26" t="str">
        <f t="shared" si="479"/>
        <v>MATUTINO</v>
      </c>
      <c r="E2505" s="26" t="str">
        <f>"PROVIDENCIA NO. 122                                                             "</f>
        <v xml:space="preserve">PROVIDENCIA NO. 122                                                             </v>
      </c>
      <c r="F2505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2505" s="26" t="str">
        <f>"BENITO JUAREZ                                                                   "</f>
        <v xml:space="preserve">BENITO JUAREZ                                                                   </v>
      </c>
      <c r="H2505" s="26" t="str">
        <f>"232"</f>
        <v>232</v>
      </c>
      <c r="I2505" s="26" t="str">
        <f t="shared" si="488"/>
        <v>00</v>
      </c>
      <c r="J2505" s="26" t="str">
        <f>"33 "</f>
        <v xml:space="preserve">33 </v>
      </c>
      <c r="K2505" s="26" t="str">
        <f t="shared" si="489"/>
        <v>EP</v>
      </c>
      <c r="L2505" s="26" t="str">
        <f t="shared" si="490"/>
        <v>DGOSE</v>
      </c>
      <c r="M2505" s="26" t="str">
        <f t="shared" si="486"/>
        <v>PARTICULAR</v>
      </c>
      <c r="N2505" s="26">
        <v>17</v>
      </c>
      <c r="O2505" s="26">
        <v>10</v>
      </c>
      <c r="P2505" s="26">
        <v>7</v>
      </c>
      <c r="Q2505" s="26">
        <v>3</v>
      </c>
      <c r="R2505" s="26">
        <v>1</v>
      </c>
      <c r="S2505" s="26">
        <v>2</v>
      </c>
      <c r="T2505" s="26">
        <v>6</v>
      </c>
      <c r="U2505" s="26">
        <v>9</v>
      </c>
      <c r="V2505" s="26">
        <v>1</v>
      </c>
      <c r="W2505" s="26"/>
    </row>
    <row r="2506" spans="1:23" x14ac:dyDescent="0.25">
      <c r="A2506" s="26" t="str">
        <f t="shared" si="487"/>
        <v>PREESCOLAR</v>
      </c>
      <c r="B2506" s="26" t="str">
        <f>"09PJN4907O"</f>
        <v>09PJN4907O</v>
      </c>
      <c r="C2506" s="26" t="str">
        <f>"KINDERGYM PASEOS DE TAXQUEÑA                                                                        "</f>
        <v xml:space="preserve">KINDERGYM PASEOS DE TAXQUEÑA                                                                        </v>
      </c>
      <c r="D2506" s="26" t="str">
        <f t="shared" si="479"/>
        <v>MATUTINO</v>
      </c>
      <c r="E2506" s="26" t="str">
        <f>"PASEO DE LOS ABETOS NO. 59                                                      "</f>
        <v xml:space="preserve">PASEO DE LOS ABETOS NO. 59                                                      </v>
      </c>
      <c r="F2506" s="26" t="str">
        <f>"PASEOS DE TAXQUEÑA                                                                                                                          "</f>
        <v xml:space="preserve">PASEOS DE TAXQUEÑA                                                                                                                          </v>
      </c>
      <c r="G2506" s="26" t="str">
        <f>"COYOACAN                                                                        "</f>
        <v xml:space="preserve">COYOACAN                                                                        </v>
      </c>
      <c r="H2506" s="26" t="str">
        <f>"024"</f>
        <v>024</v>
      </c>
      <c r="I2506" s="26" t="str">
        <f t="shared" si="488"/>
        <v>00</v>
      </c>
      <c r="J2506" s="26" t="str">
        <f>"35 "</f>
        <v xml:space="preserve">35 </v>
      </c>
      <c r="K2506" s="26" t="str">
        <f t="shared" si="489"/>
        <v>EP</v>
      </c>
      <c r="L2506" s="26" t="str">
        <f t="shared" si="490"/>
        <v>DGOSE</v>
      </c>
      <c r="M2506" s="26" t="str">
        <f t="shared" si="486"/>
        <v>PARTICULAR</v>
      </c>
      <c r="N2506" s="26">
        <v>59</v>
      </c>
      <c r="O2506" s="26">
        <v>32</v>
      </c>
      <c r="P2506" s="26">
        <v>27</v>
      </c>
      <c r="Q2506" s="26">
        <v>4</v>
      </c>
      <c r="R2506" s="26">
        <v>1</v>
      </c>
      <c r="S2506" s="26">
        <v>2</v>
      </c>
      <c r="T2506" s="26">
        <v>4</v>
      </c>
      <c r="U2506" s="26">
        <v>7</v>
      </c>
      <c r="V2506" s="26">
        <v>1</v>
      </c>
      <c r="W2506" s="26"/>
    </row>
    <row r="2507" spans="1:23" x14ac:dyDescent="0.25">
      <c r="A2507" s="26" t="str">
        <f t="shared" si="487"/>
        <v>PREESCOLAR</v>
      </c>
      <c r="B2507" s="26" t="str">
        <f>"09PJN4908N"</f>
        <v>09PJN4908N</v>
      </c>
      <c r="C2507" s="26" t="str">
        <f>"CENTRO PEDAGOGICO VISTA HERMOSA                                                                     "</f>
        <v xml:space="preserve">CENTRO PEDAGOGICO VISTA HERMOSA                                                                     </v>
      </c>
      <c r="D2507" s="26" t="str">
        <f t="shared" si="479"/>
        <v>MATUTINO</v>
      </c>
      <c r="E2507" s="26" t="str">
        <f>"RANCHO VISTA HERMOSA NO. 156                                                    "</f>
        <v xml:space="preserve">RANCHO VISTA HERMOSA NO. 156                                                    </v>
      </c>
      <c r="F2507" s="26" t="str">
        <f>"CAMPESTRE COYOACAN                                                                                                                          "</f>
        <v xml:space="preserve">CAMPESTRE COYOACAN                                                                                                                          </v>
      </c>
      <c r="G2507" s="26" t="str">
        <f>"COYOACAN                                                                        "</f>
        <v xml:space="preserve">COYOACAN                                                                        </v>
      </c>
      <c r="H2507" s="26" t="str">
        <f>"125"</f>
        <v>125</v>
      </c>
      <c r="I2507" s="26" t="str">
        <f t="shared" si="488"/>
        <v>00</v>
      </c>
      <c r="J2507" s="26" t="str">
        <f>"35 "</f>
        <v xml:space="preserve">35 </v>
      </c>
      <c r="K2507" s="26" t="str">
        <f t="shared" si="489"/>
        <v>EP</v>
      </c>
      <c r="L2507" s="26" t="str">
        <f t="shared" si="490"/>
        <v>DGOSE</v>
      </c>
      <c r="M2507" s="26" t="str">
        <f t="shared" si="486"/>
        <v>PARTICULAR</v>
      </c>
      <c r="N2507" s="26">
        <v>46</v>
      </c>
      <c r="O2507" s="26">
        <v>21</v>
      </c>
      <c r="P2507" s="26">
        <v>25</v>
      </c>
      <c r="Q2507" s="26">
        <v>3</v>
      </c>
      <c r="R2507" s="26">
        <v>1</v>
      </c>
      <c r="S2507" s="26">
        <v>3</v>
      </c>
      <c r="T2507" s="26">
        <v>8</v>
      </c>
      <c r="U2507" s="26">
        <v>12</v>
      </c>
      <c r="V2507" s="26">
        <v>1</v>
      </c>
      <c r="W2507" s="26"/>
    </row>
    <row r="2508" spans="1:23" x14ac:dyDescent="0.25">
      <c r="A2508" s="26" t="str">
        <f t="shared" si="487"/>
        <v>PREESCOLAR</v>
      </c>
      <c r="B2508" s="26" t="str">
        <f>"09PJN4909M"</f>
        <v>09PJN4909M</v>
      </c>
      <c r="C2508" s="26" t="str">
        <f>"GUARDERIA LINDAVISTA                                                                                "</f>
        <v xml:space="preserve">GUARDERIA LINDAVISTA                                                                                </v>
      </c>
      <c r="D2508" s="26" t="str">
        <f t="shared" si="479"/>
        <v>MATUTINO</v>
      </c>
      <c r="E2508" s="26" t="str">
        <f>"AV. WILFRIDO MASSIEU NO. 251                                                    "</f>
        <v xml:space="preserve">AV. WILFRIDO MASSIEU NO. 251                                                    </v>
      </c>
      <c r="F2508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2508" s="26" t="str">
        <f>"GUSTAVO A. MADERO                                                               "</f>
        <v xml:space="preserve">GUSTAVO A. MADERO                                                               </v>
      </c>
      <c r="H2508" s="26" t="str">
        <f>"068"</f>
        <v>068</v>
      </c>
      <c r="I2508" s="26" t="str">
        <f t="shared" si="488"/>
        <v>00</v>
      </c>
      <c r="J2508" s="26" t="str">
        <f>"32 "</f>
        <v xml:space="preserve">32 </v>
      </c>
      <c r="K2508" s="26" t="str">
        <f t="shared" si="489"/>
        <v>EP</v>
      </c>
      <c r="L2508" s="26" t="str">
        <f t="shared" si="490"/>
        <v>DGOSE</v>
      </c>
      <c r="M2508" s="26" t="str">
        <f t="shared" si="486"/>
        <v>PARTICULAR</v>
      </c>
      <c r="N2508" s="26">
        <v>56</v>
      </c>
      <c r="O2508" s="26">
        <v>27</v>
      </c>
      <c r="P2508" s="26">
        <v>29</v>
      </c>
      <c r="Q2508" s="26">
        <v>5</v>
      </c>
      <c r="R2508" s="26">
        <v>1</v>
      </c>
      <c r="S2508" s="26">
        <v>5</v>
      </c>
      <c r="T2508" s="26">
        <v>13</v>
      </c>
      <c r="U2508" s="26">
        <v>19</v>
      </c>
      <c r="V2508" s="26">
        <v>1</v>
      </c>
      <c r="W2508" s="26"/>
    </row>
    <row r="2509" spans="1:23" x14ac:dyDescent="0.25">
      <c r="A2509" s="26" t="str">
        <f t="shared" si="487"/>
        <v>PREESCOLAR</v>
      </c>
      <c r="B2509" s="26" t="str">
        <f>"09PJN4910B"</f>
        <v>09PJN4910B</v>
      </c>
      <c r="C2509" s="26" t="str">
        <f>"AZTECA                                                                                              "</f>
        <v xml:space="preserve">AZTECA                                                                                              </v>
      </c>
      <c r="D2509" s="26" t="str">
        <f t="shared" si="479"/>
        <v>MATUTINO</v>
      </c>
      <c r="E2509" s="26" t="str">
        <f>"GRAL. ANTONIO DE LEON LOYOLA MZ. 28 LT.19                                       "</f>
        <v xml:space="preserve">GRAL. ANTONIO DE LEON LOYOLA MZ. 28 LT.19                                       </v>
      </c>
      <c r="F2509" s="26" t="str">
        <f>"TEPALCATES                                                                                                                                  "</f>
        <v xml:space="preserve">TEPALCATES                                                                                                                                  </v>
      </c>
      <c r="G2509" s="26" t="str">
        <f t="shared" ref="G2509:G2520" si="491">"IZTAPALAPA                                                                      "</f>
        <v xml:space="preserve">IZTAPALAPA                                                                      </v>
      </c>
      <c r="H2509" s="26" t="str">
        <f t="shared" ref="H2509:H2520" si="492">"000"</f>
        <v>000</v>
      </c>
      <c r="I2509" s="26" t="str">
        <f t="shared" si="488"/>
        <v>00</v>
      </c>
      <c r="J2509" s="26" t="str">
        <f>"62 "</f>
        <v xml:space="preserve">62 </v>
      </c>
      <c r="K2509" s="26" t="str">
        <f t="shared" ref="K2509:K2520" si="493">"IZ"</f>
        <v>IZ</v>
      </c>
      <c r="L2509" s="26" t="str">
        <f t="shared" ref="L2509:L2520" si="494">"DGSEI"</f>
        <v>DGSEI</v>
      </c>
      <c r="M2509" s="26" t="str">
        <f t="shared" si="486"/>
        <v>PARTICULAR</v>
      </c>
      <c r="N2509" s="26">
        <v>35</v>
      </c>
      <c r="O2509" s="26">
        <v>19</v>
      </c>
      <c r="P2509" s="26">
        <v>16</v>
      </c>
      <c r="Q2509" s="26">
        <v>3</v>
      </c>
      <c r="R2509" s="26">
        <v>1</v>
      </c>
      <c r="S2509" s="26">
        <v>1</v>
      </c>
      <c r="T2509" s="26">
        <v>2</v>
      </c>
      <c r="U2509" s="26">
        <v>4</v>
      </c>
      <c r="V2509" s="26">
        <v>1</v>
      </c>
      <c r="W2509" s="26"/>
    </row>
    <row r="2510" spans="1:23" x14ac:dyDescent="0.25">
      <c r="A2510" s="26" t="str">
        <f t="shared" si="487"/>
        <v>PREESCOLAR</v>
      </c>
      <c r="B2510" s="26" t="str">
        <f>"09PJN4911A"</f>
        <v>09PJN4911A</v>
      </c>
      <c r="C2510" s="26" t="str">
        <f>"LUIS CABRERA                                                                                        "</f>
        <v xml:space="preserve">LUIS CABRERA                                                                                        </v>
      </c>
      <c r="D2510" s="26" t="str">
        <f t="shared" si="479"/>
        <v>MATUTINO</v>
      </c>
      <c r="E2510" s="26" t="str">
        <f>"CORONA NO. 23                                                                   "</f>
        <v xml:space="preserve">CORONA NO. 23                                                                   </v>
      </c>
      <c r="F2510" s="26" t="str">
        <f>"SANTIAGO ACAHUALTEPEC                                                                                                                       "</f>
        <v xml:space="preserve">SANTIAGO ACAHUALTEPEC                                                                                                                       </v>
      </c>
      <c r="G2510" s="26" t="str">
        <f t="shared" si="491"/>
        <v xml:space="preserve">IZTAPALAPA                                                                      </v>
      </c>
      <c r="H2510" s="26" t="str">
        <f t="shared" si="492"/>
        <v>000</v>
      </c>
      <c r="I2510" s="26" t="str">
        <f t="shared" si="488"/>
        <v>00</v>
      </c>
      <c r="J2510" s="26" t="str">
        <f>"64 "</f>
        <v xml:space="preserve">64 </v>
      </c>
      <c r="K2510" s="26" t="str">
        <f t="shared" si="493"/>
        <v>IZ</v>
      </c>
      <c r="L2510" s="26" t="str">
        <f t="shared" si="494"/>
        <v>DGSEI</v>
      </c>
      <c r="M2510" s="26" t="str">
        <f t="shared" si="486"/>
        <v>PARTICULAR</v>
      </c>
      <c r="N2510" s="26">
        <v>37</v>
      </c>
      <c r="O2510" s="26">
        <v>19</v>
      </c>
      <c r="P2510" s="26">
        <v>18</v>
      </c>
      <c r="Q2510" s="26">
        <v>3</v>
      </c>
      <c r="R2510" s="26">
        <v>1</v>
      </c>
      <c r="S2510" s="26">
        <v>3</v>
      </c>
      <c r="T2510" s="26">
        <v>0</v>
      </c>
      <c r="U2510" s="26">
        <v>4</v>
      </c>
      <c r="V2510" s="26">
        <v>1</v>
      </c>
      <c r="W2510" s="26"/>
    </row>
    <row r="2511" spans="1:23" x14ac:dyDescent="0.25">
      <c r="A2511" s="26" t="str">
        <f t="shared" si="487"/>
        <v>PREESCOLAR</v>
      </c>
      <c r="B2511" s="26" t="str">
        <f>"09PJN4912Z"</f>
        <v>09PJN4912Z</v>
      </c>
      <c r="C2511" s="26" t="str">
        <f>"KRISTAL                                                                                             "</f>
        <v xml:space="preserve">KRISTAL                                                                                             </v>
      </c>
      <c r="D2511" s="26" t="str">
        <f t="shared" si="479"/>
        <v>MATUTINO</v>
      </c>
      <c r="E2511" s="26" t="s">
        <v>109</v>
      </c>
      <c r="F2511" s="26" t="str">
        <f>"SANTIAGO ACAHUALTEPEC AMPLIACION                                                                                                            "</f>
        <v xml:space="preserve">SANTIAGO ACAHUALTEPEC AMPLIACION                                                                                                            </v>
      </c>
      <c r="G2511" s="26" t="str">
        <f t="shared" si="491"/>
        <v xml:space="preserve">IZTAPALAPA                                                                      </v>
      </c>
      <c r="H2511" s="26" t="str">
        <f t="shared" si="492"/>
        <v>000</v>
      </c>
      <c r="I2511" s="26" t="str">
        <f t="shared" si="488"/>
        <v>00</v>
      </c>
      <c r="J2511" s="26" t="str">
        <f>"64 "</f>
        <v xml:space="preserve">64 </v>
      </c>
      <c r="K2511" s="26" t="str">
        <f t="shared" si="493"/>
        <v>IZ</v>
      </c>
      <c r="L2511" s="26" t="str">
        <f t="shared" si="494"/>
        <v>DGSEI</v>
      </c>
      <c r="M2511" s="26" t="str">
        <f t="shared" si="486"/>
        <v>PARTICULAR</v>
      </c>
      <c r="N2511" s="26">
        <v>31</v>
      </c>
      <c r="O2511" s="26">
        <v>10</v>
      </c>
      <c r="P2511" s="26">
        <v>21</v>
      </c>
      <c r="Q2511" s="26">
        <v>3</v>
      </c>
      <c r="R2511" s="26">
        <v>1</v>
      </c>
      <c r="S2511" s="26">
        <v>3</v>
      </c>
      <c r="T2511" s="26">
        <v>0</v>
      </c>
      <c r="U2511" s="26">
        <v>4</v>
      </c>
      <c r="V2511" s="26">
        <v>1</v>
      </c>
      <c r="W2511" s="26"/>
    </row>
    <row r="2512" spans="1:23" x14ac:dyDescent="0.25">
      <c r="A2512" s="26" t="str">
        <f t="shared" si="487"/>
        <v>PREESCOLAR</v>
      </c>
      <c r="B2512" s="26" t="str">
        <f>"09PJN4913Z"</f>
        <v>09PJN4913Z</v>
      </c>
      <c r="C2512" s="26" t="str">
        <f>"KINDER BONSAI                                                                                       "</f>
        <v xml:space="preserve">KINDER BONSAI                                                                                       </v>
      </c>
      <c r="D2512" s="26" t="str">
        <f t="shared" si="479"/>
        <v>MATUTINO</v>
      </c>
      <c r="E2512" s="26" t="str">
        <f>"SUR 29 NO. 266-A                                                                "</f>
        <v xml:space="preserve">SUR 29 NO. 266-A                                                                </v>
      </c>
      <c r="F2512" s="26" t="str">
        <f>"LEYES DE REFORMA                                                                                                                            "</f>
        <v xml:space="preserve">LEYES DE REFORMA                                                                                                                            </v>
      </c>
      <c r="G2512" s="26" t="str">
        <f t="shared" si="491"/>
        <v xml:space="preserve">IZTAPALAPA                                                                      </v>
      </c>
      <c r="H2512" s="26" t="str">
        <f t="shared" si="492"/>
        <v>000</v>
      </c>
      <c r="I2512" s="26" t="str">
        <f t="shared" si="488"/>
        <v>00</v>
      </c>
      <c r="J2512" s="26" t="str">
        <f>"61 "</f>
        <v xml:space="preserve">61 </v>
      </c>
      <c r="K2512" s="26" t="str">
        <f t="shared" si="493"/>
        <v>IZ</v>
      </c>
      <c r="L2512" s="26" t="str">
        <f t="shared" si="494"/>
        <v>DGSEI</v>
      </c>
      <c r="M2512" s="26" t="str">
        <f t="shared" si="486"/>
        <v>PARTICULAR</v>
      </c>
      <c r="N2512" s="26">
        <v>9</v>
      </c>
      <c r="O2512" s="26">
        <v>5</v>
      </c>
      <c r="P2512" s="26">
        <v>4</v>
      </c>
      <c r="Q2512" s="26">
        <v>3</v>
      </c>
      <c r="R2512" s="26">
        <v>1</v>
      </c>
      <c r="S2512" s="26">
        <v>1</v>
      </c>
      <c r="T2512" s="26">
        <v>1</v>
      </c>
      <c r="U2512" s="26">
        <v>3</v>
      </c>
      <c r="V2512" s="26">
        <v>1</v>
      </c>
      <c r="W2512" s="26"/>
    </row>
    <row r="2513" spans="1:23" x14ac:dyDescent="0.25">
      <c r="A2513" s="26" t="str">
        <f t="shared" si="487"/>
        <v>PREESCOLAR</v>
      </c>
      <c r="B2513" s="26" t="str">
        <f>"09PJN4915X"</f>
        <v>09PJN4915X</v>
      </c>
      <c r="C2513" s="26" t="str">
        <f>" J.M.E                                                                                              "</f>
        <v xml:space="preserve"> J.M.E                                                                                              </v>
      </c>
      <c r="D2513" s="26" t="str">
        <f t="shared" si="479"/>
        <v>MATUTINO</v>
      </c>
      <c r="E2513" s="26" t="str">
        <f>"CALLE DEL LLANO MZ. 112 LT. 15                                                  "</f>
        <v xml:space="preserve">CALLE DEL LLANO MZ. 112 LT. 15                                                  </v>
      </c>
      <c r="F2513" s="26" t="str">
        <f>"SANTA MARIA AZTAHUACAN                                                                                                                      "</f>
        <v xml:space="preserve">SANTA MARIA AZTAHUACAN                                                                                                                      </v>
      </c>
      <c r="G2513" s="26" t="str">
        <f t="shared" si="491"/>
        <v xml:space="preserve">IZTAPALAPA                                                                      </v>
      </c>
      <c r="H2513" s="26" t="str">
        <f t="shared" si="492"/>
        <v>000</v>
      </c>
      <c r="I2513" s="26" t="str">
        <f t="shared" si="488"/>
        <v>00</v>
      </c>
      <c r="J2513" s="26" t="str">
        <f>"64 "</f>
        <v xml:space="preserve">64 </v>
      </c>
      <c r="K2513" s="26" t="str">
        <f t="shared" si="493"/>
        <v>IZ</v>
      </c>
      <c r="L2513" s="26" t="str">
        <f t="shared" si="494"/>
        <v>DGSEI</v>
      </c>
      <c r="M2513" s="26" t="str">
        <f t="shared" si="486"/>
        <v>PARTICULAR</v>
      </c>
      <c r="N2513" s="26">
        <v>15</v>
      </c>
      <c r="O2513" s="26">
        <v>10</v>
      </c>
      <c r="P2513" s="26">
        <v>5</v>
      </c>
      <c r="Q2513" s="26">
        <v>3</v>
      </c>
      <c r="R2513" s="26">
        <v>1</v>
      </c>
      <c r="S2513" s="26">
        <v>2</v>
      </c>
      <c r="T2513" s="26">
        <v>0</v>
      </c>
      <c r="U2513" s="26">
        <v>3</v>
      </c>
      <c r="V2513" s="26">
        <v>1</v>
      </c>
      <c r="W2513" s="26"/>
    </row>
    <row r="2514" spans="1:23" x14ac:dyDescent="0.25">
      <c r="A2514" s="26" t="str">
        <f t="shared" si="487"/>
        <v>PREESCOLAR</v>
      </c>
      <c r="B2514" s="26" t="str">
        <f>"09PJN4916W"</f>
        <v>09PJN4916W</v>
      </c>
      <c r="C2514" s="26" t="str">
        <f>"COLEGIO MARCELINO JOSE DE CHAMPAGNAT                                                                "</f>
        <v xml:space="preserve">COLEGIO MARCELINO JOSE DE CHAMPAGNAT                                                                </v>
      </c>
      <c r="D2514" s="26" t="str">
        <f t="shared" si="479"/>
        <v>MATUTINO</v>
      </c>
      <c r="E2514" s="26" t="str">
        <f>"SUR 105 NO. 155                                                                 "</f>
        <v xml:space="preserve">SUR 105 NO. 155                                                                 </v>
      </c>
      <c r="F2514" s="26" t="str">
        <f>"MEXICALTZINGO                                                                                                                               "</f>
        <v xml:space="preserve">MEXICALTZINGO                                                                                                                               </v>
      </c>
      <c r="G2514" s="26" t="str">
        <f t="shared" si="491"/>
        <v xml:space="preserve">IZTAPALAPA                                                                      </v>
      </c>
      <c r="H2514" s="26" t="str">
        <f t="shared" si="492"/>
        <v>000</v>
      </c>
      <c r="I2514" s="26" t="str">
        <f t="shared" si="488"/>
        <v>00</v>
      </c>
      <c r="J2514" s="26" t="str">
        <f>"61 "</f>
        <v xml:space="preserve">61 </v>
      </c>
      <c r="K2514" s="26" t="str">
        <f t="shared" si="493"/>
        <v>IZ</v>
      </c>
      <c r="L2514" s="26" t="str">
        <f t="shared" si="494"/>
        <v>DGSEI</v>
      </c>
      <c r="M2514" s="26" t="str">
        <f t="shared" si="486"/>
        <v>PARTICULAR</v>
      </c>
      <c r="N2514" s="26">
        <v>15</v>
      </c>
      <c r="O2514" s="26">
        <v>6</v>
      </c>
      <c r="P2514" s="26">
        <v>9</v>
      </c>
      <c r="Q2514" s="26">
        <v>3</v>
      </c>
      <c r="R2514" s="26">
        <v>1</v>
      </c>
      <c r="S2514" s="26">
        <v>1</v>
      </c>
      <c r="T2514" s="26">
        <v>2</v>
      </c>
      <c r="U2514" s="26">
        <v>4</v>
      </c>
      <c r="V2514" s="26">
        <v>1</v>
      </c>
      <c r="W2514" s="26"/>
    </row>
    <row r="2515" spans="1:23" x14ac:dyDescent="0.25">
      <c r="A2515" s="26" t="str">
        <f t="shared" si="487"/>
        <v>PREESCOLAR</v>
      </c>
      <c r="B2515" s="26" t="str">
        <f>"09PJN4917V"</f>
        <v>09PJN4917V</v>
      </c>
      <c r="C2515" s="26" t="str">
        <f>"COLEGIO CULTURA PREHISPANICA                                                                        "</f>
        <v xml:space="preserve">COLEGIO CULTURA PREHISPANICA                                                                        </v>
      </c>
      <c r="D2515" s="26" t="str">
        <f t="shared" si="479"/>
        <v>MATUTINO</v>
      </c>
      <c r="E2515" s="26" t="str">
        <f>"CULTURAS PREHISPANICAS NO. 137                                                  "</f>
        <v xml:space="preserve">CULTURAS PREHISPANICAS NO. 137                                                  </v>
      </c>
      <c r="F2515" s="26" t="str">
        <f>"GRANJAS SAN ANTONIO                                                                                                                         "</f>
        <v xml:space="preserve">GRANJAS SAN ANTONIO                                                                                                                         </v>
      </c>
      <c r="G2515" s="26" t="str">
        <f t="shared" si="491"/>
        <v xml:space="preserve">IZTAPALAPA                                                                      </v>
      </c>
      <c r="H2515" s="26" t="str">
        <f t="shared" si="492"/>
        <v>000</v>
      </c>
      <c r="I2515" s="26" t="str">
        <f t="shared" si="488"/>
        <v>00</v>
      </c>
      <c r="J2515" s="26" t="str">
        <f>"61 "</f>
        <v xml:space="preserve">61 </v>
      </c>
      <c r="K2515" s="26" t="str">
        <f t="shared" si="493"/>
        <v>IZ</v>
      </c>
      <c r="L2515" s="26" t="str">
        <f t="shared" si="494"/>
        <v>DGSEI</v>
      </c>
      <c r="M2515" s="26" t="str">
        <f t="shared" si="486"/>
        <v>PARTICULAR</v>
      </c>
      <c r="N2515" s="26">
        <v>31</v>
      </c>
      <c r="O2515" s="26">
        <v>18</v>
      </c>
      <c r="P2515" s="26">
        <v>13</v>
      </c>
      <c r="Q2515" s="26">
        <v>3</v>
      </c>
      <c r="R2515" s="26">
        <v>1</v>
      </c>
      <c r="S2515" s="26">
        <v>2</v>
      </c>
      <c r="T2515" s="26">
        <v>8</v>
      </c>
      <c r="U2515" s="26">
        <v>11</v>
      </c>
      <c r="V2515" s="26">
        <v>1</v>
      </c>
      <c r="W2515" s="26"/>
    </row>
    <row r="2516" spans="1:23" x14ac:dyDescent="0.25">
      <c r="A2516" s="26" t="str">
        <f t="shared" si="487"/>
        <v>PREESCOLAR</v>
      </c>
      <c r="B2516" s="26" t="str">
        <f>"09PJN4918U"</f>
        <v>09PJN4918U</v>
      </c>
      <c r="C2516" s="26" t="str">
        <f>"LIBRO MAGICO                                                                                        "</f>
        <v xml:space="preserve">LIBRO MAGICO                                                                                        </v>
      </c>
      <c r="D2516" s="26" t="str">
        <f t="shared" si="479"/>
        <v>MATUTINO</v>
      </c>
      <c r="E2516" s="26" t="str">
        <f>"TICOMAC MZ.3 LT. 6-E                                                            "</f>
        <v xml:space="preserve">TICOMAC MZ.3 LT. 6-E                                                            </v>
      </c>
      <c r="F2516" s="26" t="str">
        <f>"SANTA BARBARA BARRIO                                                                                                                        "</f>
        <v xml:space="preserve">SANTA BARBARA BARRIO                                                                                                                        </v>
      </c>
      <c r="G2516" s="26" t="str">
        <f t="shared" si="491"/>
        <v xml:space="preserve">IZTAPALAPA                                                                      </v>
      </c>
      <c r="H2516" s="26" t="str">
        <f t="shared" si="492"/>
        <v>000</v>
      </c>
      <c r="I2516" s="26" t="str">
        <f t="shared" si="488"/>
        <v>00</v>
      </c>
      <c r="J2516" s="26" t="str">
        <f>"61 "</f>
        <v xml:space="preserve">61 </v>
      </c>
      <c r="K2516" s="26" t="str">
        <f t="shared" si="493"/>
        <v>IZ</v>
      </c>
      <c r="L2516" s="26" t="str">
        <f t="shared" si="494"/>
        <v>DGSEI</v>
      </c>
      <c r="M2516" s="26" t="str">
        <f t="shared" si="486"/>
        <v>PARTICULAR</v>
      </c>
      <c r="N2516" s="26">
        <v>20</v>
      </c>
      <c r="O2516" s="26">
        <v>10</v>
      </c>
      <c r="P2516" s="26">
        <v>10</v>
      </c>
      <c r="Q2516" s="26">
        <v>2</v>
      </c>
      <c r="R2516" s="26">
        <v>1</v>
      </c>
      <c r="S2516" s="26">
        <v>2</v>
      </c>
      <c r="T2516" s="26">
        <v>0</v>
      </c>
      <c r="U2516" s="26">
        <v>3</v>
      </c>
      <c r="V2516" s="26">
        <v>1</v>
      </c>
      <c r="W2516" s="26"/>
    </row>
    <row r="2517" spans="1:23" x14ac:dyDescent="0.25">
      <c r="A2517" s="26" t="str">
        <f t="shared" si="487"/>
        <v>PREESCOLAR</v>
      </c>
      <c r="B2517" s="26" t="str">
        <f>"09PJN4922G"</f>
        <v>09PJN4922G</v>
      </c>
      <c r="C2517" s="26" t="str">
        <f>"JOSE MARIA LAFRAGUA                                                                                 "</f>
        <v xml:space="preserve">JOSE MARIA LAFRAGUA                                                                                 </v>
      </c>
      <c r="D2517" s="26" t="str">
        <f t="shared" si="479"/>
        <v>MATUTINO</v>
      </c>
      <c r="E2517" s="26" t="str">
        <f>"IGNACIO L. VALLARTA NO. 155                                                     "</f>
        <v xml:space="preserve">IGNACIO L. VALLARTA NO. 155                                                     </v>
      </c>
      <c r="F2517" s="26" t="str">
        <f>"JACARANDAS                                                                                                                                  "</f>
        <v xml:space="preserve">JACARANDAS                                                                                                                                  </v>
      </c>
      <c r="G2517" s="26" t="str">
        <f t="shared" si="491"/>
        <v xml:space="preserve">IZTAPALAPA                                                                      </v>
      </c>
      <c r="H2517" s="26" t="str">
        <f t="shared" si="492"/>
        <v>000</v>
      </c>
      <c r="I2517" s="26" t="str">
        <f t="shared" si="488"/>
        <v>00</v>
      </c>
      <c r="J2517" s="26" t="str">
        <f>"64 "</f>
        <v xml:space="preserve">64 </v>
      </c>
      <c r="K2517" s="26" t="str">
        <f t="shared" si="493"/>
        <v>IZ</v>
      </c>
      <c r="L2517" s="26" t="str">
        <f t="shared" si="494"/>
        <v>DGSEI</v>
      </c>
      <c r="M2517" s="26" t="str">
        <f t="shared" si="486"/>
        <v>PARTICULAR</v>
      </c>
      <c r="N2517" s="26">
        <v>42</v>
      </c>
      <c r="O2517" s="26">
        <v>23</v>
      </c>
      <c r="P2517" s="26">
        <v>19</v>
      </c>
      <c r="Q2517" s="26">
        <v>3</v>
      </c>
      <c r="R2517" s="26">
        <v>1</v>
      </c>
      <c r="S2517" s="26">
        <v>2</v>
      </c>
      <c r="T2517" s="26">
        <v>5</v>
      </c>
      <c r="U2517" s="26">
        <v>8</v>
      </c>
      <c r="V2517" s="26">
        <v>1</v>
      </c>
      <c r="W2517" s="26"/>
    </row>
    <row r="2518" spans="1:23" x14ac:dyDescent="0.25">
      <c r="A2518" s="26" t="str">
        <f t="shared" si="487"/>
        <v>PREESCOLAR</v>
      </c>
      <c r="B2518" s="26" t="str">
        <f>"09PJN4923F"</f>
        <v>09PJN4923F</v>
      </c>
      <c r="C2518" s="26" t="str">
        <f>"GAUSS JORDAN                                                                                        "</f>
        <v xml:space="preserve">GAUSS JORDAN                                                                                        </v>
      </c>
      <c r="D2518" s="26" t="str">
        <f t="shared" si="479"/>
        <v>MATUTINO</v>
      </c>
      <c r="E2518" s="26" t="str">
        <f>"GUADALUPE VICTORIA MZ. 83 LT. 7                                                 "</f>
        <v xml:space="preserve">GUADALUPE VICTORIA MZ. 83 LT. 7                                                 </v>
      </c>
      <c r="F2518" s="26" t="str">
        <f>"SANTA MARIA AZTAHUACAN                                                                                                                      "</f>
        <v xml:space="preserve">SANTA MARIA AZTAHUACAN                                                                                                                      </v>
      </c>
      <c r="G2518" s="26" t="str">
        <f t="shared" si="491"/>
        <v xml:space="preserve">IZTAPALAPA                                                                      </v>
      </c>
      <c r="H2518" s="26" t="str">
        <f t="shared" si="492"/>
        <v>000</v>
      </c>
      <c r="I2518" s="26" t="str">
        <f t="shared" si="488"/>
        <v>00</v>
      </c>
      <c r="J2518" s="26" t="str">
        <f>"64 "</f>
        <v xml:space="preserve">64 </v>
      </c>
      <c r="K2518" s="26" t="str">
        <f t="shared" si="493"/>
        <v>IZ</v>
      </c>
      <c r="L2518" s="26" t="str">
        <f t="shared" si="494"/>
        <v>DGSEI</v>
      </c>
      <c r="M2518" s="26" t="str">
        <f t="shared" si="486"/>
        <v>PARTICULAR</v>
      </c>
      <c r="N2518" s="26">
        <v>56</v>
      </c>
      <c r="O2518" s="26">
        <v>27</v>
      </c>
      <c r="P2518" s="26">
        <v>29</v>
      </c>
      <c r="Q2518" s="26">
        <v>3</v>
      </c>
      <c r="R2518" s="26">
        <v>1</v>
      </c>
      <c r="S2518" s="26">
        <v>3</v>
      </c>
      <c r="T2518" s="26">
        <v>2</v>
      </c>
      <c r="U2518" s="26">
        <v>6</v>
      </c>
      <c r="V2518" s="26">
        <v>1</v>
      </c>
      <c r="W2518" s="26"/>
    </row>
    <row r="2519" spans="1:23" x14ac:dyDescent="0.25">
      <c r="A2519" s="26" t="str">
        <f t="shared" si="487"/>
        <v>PREESCOLAR</v>
      </c>
      <c r="B2519" s="26" t="str">
        <f>"09PJN4924E"</f>
        <v>09PJN4924E</v>
      </c>
      <c r="C2519" s="26" t="str">
        <f>"MARIANNE FROSTING                                                                                   "</f>
        <v xml:space="preserve">MARIANNE FROSTING                                                                                   </v>
      </c>
      <c r="D2519" s="26" t="str">
        <f t="shared" si="479"/>
        <v>MATUTINO</v>
      </c>
      <c r="E2519" s="26" t="str">
        <f>"1A. PRIV. DE SANTA MARIA NO 6 LT. 2                                             "</f>
        <v xml:space="preserve">1A. PRIV. DE SANTA MARIA NO 6 LT. 2                                             </v>
      </c>
      <c r="F2519" s="26" t="str">
        <f>"MAGDALENA ATLAZOLPA                                                                                                                         "</f>
        <v xml:space="preserve">MAGDALENA ATLAZOLPA                                                                                                                         </v>
      </c>
      <c r="G2519" s="26" t="str">
        <f t="shared" si="491"/>
        <v xml:space="preserve">IZTAPALAPA                                                                      </v>
      </c>
      <c r="H2519" s="26" t="str">
        <f t="shared" si="492"/>
        <v>000</v>
      </c>
      <c r="I2519" s="26" t="str">
        <f t="shared" si="488"/>
        <v>00</v>
      </c>
      <c r="J2519" s="26" t="str">
        <f>"61 "</f>
        <v xml:space="preserve">61 </v>
      </c>
      <c r="K2519" s="26" t="str">
        <f t="shared" si="493"/>
        <v>IZ</v>
      </c>
      <c r="L2519" s="26" t="str">
        <f t="shared" si="494"/>
        <v>DGSEI</v>
      </c>
      <c r="M2519" s="26" t="str">
        <f t="shared" si="486"/>
        <v>PARTICULAR</v>
      </c>
      <c r="N2519" s="26">
        <v>14</v>
      </c>
      <c r="O2519" s="26">
        <v>10</v>
      </c>
      <c r="P2519" s="26">
        <v>4</v>
      </c>
      <c r="Q2519" s="26">
        <v>3</v>
      </c>
      <c r="R2519" s="26">
        <v>1</v>
      </c>
      <c r="S2519" s="26">
        <v>1</v>
      </c>
      <c r="T2519" s="26">
        <v>2</v>
      </c>
      <c r="U2519" s="26">
        <v>4</v>
      </c>
      <c r="V2519" s="26">
        <v>1</v>
      </c>
      <c r="W2519" s="26"/>
    </row>
    <row r="2520" spans="1:23" x14ac:dyDescent="0.25">
      <c r="A2520" s="26" t="str">
        <f t="shared" si="487"/>
        <v>PREESCOLAR</v>
      </c>
      <c r="B2520" s="26" t="str">
        <f>"09PJN4930P"</f>
        <v>09PJN4930P</v>
      </c>
      <c r="C2520" s="26" t="str">
        <f>"CENTRO EDUCATIVO VALLE DE ANAHUAC                                                                   "</f>
        <v xml:space="preserve">CENTRO EDUCATIVO VALLE DE ANAHUAC                                                                   </v>
      </c>
      <c r="D2520" s="26" t="str">
        <f t="shared" si="479"/>
        <v>MATUTINO</v>
      </c>
      <c r="E2520" s="26" t="str">
        <f>"ROSALITA 403 A                                                                  "</f>
        <v xml:space="preserve">ROSALITA 403 A                                                                  </v>
      </c>
      <c r="F2520" s="26" t="str">
        <f>"EL MOLINO  IZTAPALAPA                                                                                                                       "</f>
        <v xml:space="preserve">EL MOLINO  IZTAPALAPA                                                                                                                       </v>
      </c>
      <c r="G2520" s="26" t="str">
        <f t="shared" si="491"/>
        <v xml:space="preserve">IZTAPALAPA                                                                      </v>
      </c>
      <c r="H2520" s="26" t="str">
        <f t="shared" si="492"/>
        <v>000</v>
      </c>
      <c r="I2520" s="26" t="str">
        <f t="shared" si="488"/>
        <v>00</v>
      </c>
      <c r="J2520" s="26" t="str">
        <f>"63 "</f>
        <v xml:space="preserve">63 </v>
      </c>
      <c r="K2520" s="26" t="str">
        <f t="shared" si="493"/>
        <v>IZ</v>
      </c>
      <c r="L2520" s="26" t="str">
        <f t="shared" si="494"/>
        <v>DGSEI</v>
      </c>
      <c r="M2520" s="26" t="str">
        <f t="shared" si="486"/>
        <v>PARTICULAR</v>
      </c>
      <c r="N2520" s="26">
        <v>13</v>
      </c>
      <c r="O2520" s="26">
        <v>8</v>
      </c>
      <c r="P2520" s="26">
        <v>5</v>
      </c>
      <c r="Q2520" s="26">
        <v>3</v>
      </c>
      <c r="R2520" s="26">
        <v>1</v>
      </c>
      <c r="S2520" s="26">
        <v>1</v>
      </c>
      <c r="T2520" s="26">
        <v>3</v>
      </c>
      <c r="U2520" s="26">
        <v>5</v>
      </c>
      <c r="V2520" s="26">
        <v>1</v>
      </c>
      <c r="W2520" s="26"/>
    </row>
    <row r="2521" spans="1:23" x14ac:dyDescent="0.25">
      <c r="A2521" s="26" t="str">
        <f t="shared" si="487"/>
        <v>PREESCOLAR</v>
      </c>
      <c r="B2521" s="26" t="str">
        <f>"09PJN4931O"</f>
        <v>09PJN4931O</v>
      </c>
      <c r="C2521" s="26" t="str">
        <f>"COLEGIO REIMS                                                                                       "</f>
        <v xml:space="preserve">COLEGIO REIMS                                                                                       </v>
      </c>
      <c r="D2521" s="26" t="str">
        <f t="shared" si="479"/>
        <v>MATUTINO</v>
      </c>
      <c r="E2521" s="26" t="str">
        <f>"CAFETALES NO. 239                                                               "</f>
        <v xml:space="preserve">CAFETALES NO. 239                                                               </v>
      </c>
      <c r="F2521" s="26" t="str">
        <f>"RINCONADA COAPA 1A SECCION                                                                                                                  "</f>
        <v xml:space="preserve">RINCONADA COAPA 1A SECCION                                                                                                                  </v>
      </c>
      <c r="G2521" s="26" t="str">
        <f>"TLALPAN                                                                         "</f>
        <v xml:space="preserve">TLALPAN                                                                         </v>
      </c>
      <c r="H2521" s="26" t="str">
        <f>"276"</f>
        <v>276</v>
      </c>
      <c r="I2521" s="26" t="str">
        <f t="shared" si="488"/>
        <v>00</v>
      </c>
      <c r="J2521" s="26" t="str">
        <f>"35 "</f>
        <v xml:space="preserve">35 </v>
      </c>
      <c r="K2521" s="26" t="str">
        <f t="shared" ref="K2521:K2529" si="495">"EP"</f>
        <v>EP</v>
      </c>
      <c r="L2521" s="26" t="str">
        <f t="shared" ref="L2521:L2529" si="496">"DGOSE"</f>
        <v>DGOSE</v>
      </c>
      <c r="M2521" s="26" t="str">
        <f t="shared" si="486"/>
        <v>PARTICULAR</v>
      </c>
      <c r="N2521" s="26">
        <v>77</v>
      </c>
      <c r="O2521" s="26">
        <v>43</v>
      </c>
      <c r="P2521" s="26">
        <v>34</v>
      </c>
      <c r="Q2521" s="26">
        <v>5</v>
      </c>
      <c r="R2521" s="26">
        <v>1</v>
      </c>
      <c r="S2521" s="26">
        <v>5</v>
      </c>
      <c r="T2521" s="26">
        <v>9</v>
      </c>
      <c r="U2521" s="26">
        <v>15</v>
      </c>
      <c r="V2521" s="26">
        <v>1</v>
      </c>
      <c r="W2521" s="26"/>
    </row>
    <row r="2522" spans="1:23" x14ac:dyDescent="0.25">
      <c r="A2522" s="26" t="str">
        <f t="shared" si="487"/>
        <v>PREESCOLAR</v>
      </c>
      <c r="B2522" s="26" t="str">
        <f>"09PJN4933M"</f>
        <v>09PJN4933M</v>
      </c>
      <c r="C2522" s="26" t="str">
        <f>"GAN MONTESSORI                                                                                      "</f>
        <v xml:space="preserve">GAN MONTESSORI                                                                                      </v>
      </c>
      <c r="D2522" s="26" t="str">
        <f t="shared" si="479"/>
        <v>MATUTINO</v>
      </c>
      <c r="E2522" s="26" t="str">
        <f>"ARMADA DE MEXICO NO. 51                                                         "</f>
        <v xml:space="preserve">ARMADA DE MEXICO NO. 51                                                         </v>
      </c>
      <c r="F2522" s="26" t="str">
        <f>"LOMAS DE CHAMIZAL                                                                                                                           "</f>
        <v xml:space="preserve">LOMAS DE CHAMIZAL                                                                                                                           </v>
      </c>
      <c r="G2522" s="26" t="str">
        <f>"CUAJIMALPA DE MORELOS                                                           "</f>
        <v xml:space="preserve">CUAJIMALPA DE MORELOS                                                           </v>
      </c>
      <c r="H2522" s="26" t="str">
        <f>"089"</f>
        <v>089</v>
      </c>
      <c r="I2522" s="26" t="str">
        <f t="shared" si="488"/>
        <v>00</v>
      </c>
      <c r="J2522" s="26" t="str">
        <f>"33 "</f>
        <v xml:space="preserve">33 </v>
      </c>
      <c r="K2522" s="26" t="str">
        <f t="shared" si="495"/>
        <v>EP</v>
      </c>
      <c r="L2522" s="26" t="str">
        <f t="shared" si="496"/>
        <v>DGOSE</v>
      </c>
      <c r="M2522" s="26" t="str">
        <f t="shared" si="486"/>
        <v>PARTICULAR</v>
      </c>
      <c r="N2522" s="26">
        <v>72</v>
      </c>
      <c r="O2522" s="26">
        <v>28</v>
      </c>
      <c r="P2522" s="26">
        <v>44</v>
      </c>
      <c r="Q2522" s="26">
        <v>3</v>
      </c>
      <c r="R2522" s="26">
        <v>1</v>
      </c>
      <c r="S2522" s="26">
        <v>3</v>
      </c>
      <c r="T2522" s="26">
        <v>6</v>
      </c>
      <c r="U2522" s="26">
        <v>10</v>
      </c>
      <c r="V2522" s="26">
        <v>1</v>
      </c>
      <c r="W2522" s="26"/>
    </row>
    <row r="2523" spans="1:23" x14ac:dyDescent="0.25">
      <c r="A2523" s="26" t="str">
        <f t="shared" si="487"/>
        <v>PREESCOLAR</v>
      </c>
      <c r="B2523" s="26" t="str">
        <f>"09PJN4934L"</f>
        <v>09PJN4934L</v>
      </c>
      <c r="C2523" s="26" t="str">
        <f>"INSTITUTO INFANTIL AILYN                                                                            "</f>
        <v xml:space="preserve">INSTITUTO INFANTIL AILYN                                                                            </v>
      </c>
      <c r="D2523" s="26" t="str">
        <f t="shared" si="479"/>
        <v>MATUTINO</v>
      </c>
      <c r="E2523" s="26" t="str">
        <f>"JILGUEROS S/N MZA. 121 LT. 11                                                   "</f>
        <v xml:space="preserve">JILGUEROS S/N MZA. 121 LT. 11                                                   </v>
      </c>
      <c r="F2523" s="26" t="str">
        <f>"LOS PADRES                                                                                                                                  "</f>
        <v xml:space="preserve">LOS PADRES                                                                                                                                  </v>
      </c>
      <c r="G2523" s="26" t="str">
        <f>"LA MAGDALENA CONTRERAS                                                          "</f>
        <v xml:space="preserve">LA MAGDALENA CONTRERAS                                                          </v>
      </c>
      <c r="H2523" s="26" t="str">
        <f>"112"</f>
        <v>112</v>
      </c>
      <c r="I2523" s="26" t="str">
        <f t="shared" si="488"/>
        <v>00</v>
      </c>
      <c r="J2523" s="26" t="str">
        <f>"35 "</f>
        <v xml:space="preserve">35 </v>
      </c>
      <c r="K2523" s="26" t="str">
        <f t="shared" si="495"/>
        <v>EP</v>
      </c>
      <c r="L2523" s="26" t="str">
        <f t="shared" si="496"/>
        <v>DGOSE</v>
      </c>
      <c r="M2523" s="26" t="str">
        <f t="shared" si="486"/>
        <v>PARTICULAR</v>
      </c>
      <c r="N2523" s="26">
        <v>32</v>
      </c>
      <c r="O2523" s="26">
        <v>18</v>
      </c>
      <c r="P2523" s="26">
        <v>14</v>
      </c>
      <c r="Q2523" s="26">
        <v>2</v>
      </c>
      <c r="R2523" s="26">
        <v>1</v>
      </c>
      <c r="S2523" s="26">
        <v>2</v>
      </c>
      <c r="T2523" s="26">
        <v>0</v>
      </c>
      <c r="U2523" s="26">
        <v>3</v>
      </c>
      <c r="V2523" s="26">
        <v>1</v>
      </c>
      <c r="W2523" s="26"/>
    </row>
    <row r="2524" spans="1:23" x14ac:dyDescent="0.25">
      <c r="A2524" s="26" t="str">
        <f t="shared" si="487"/>
        <v>PREESCOLAR</v>
      </c>
      <c r="B2524" s="26" t="str">
        <f>"09PJN4935K"</f>
        <v>09PJN4935K</v>
      </c>
      <c r="C2524" s="26" t="str">
        <f>"RICHMOND SCHOOL                                                                                     "</f>
        <v xml:space="preserve">RICHMOND SCHOOL                                                                                     </v>
      </c>
      <c r="D2524" s="26" t="str">
        <f t="shared" si="479"/>
        <v>MATUTINO</v>
      </c>
      <c r="E2524" s="26" t="str">
        <f>"CRATER NO. 159                                                                  "</f>
        <v xml:space="preserve">CRATER NO. 159                                                                  </v>
      </c>
      <c r="F2524" s="26" t="str">
        <f>"JARDINES DEL PEDREGAL                                                                                                                       "</f>
        <v xml:space="preserve">JARDINES DEL PEDREGAL                                                                                                                       </v>
      </c>
      <c r="G2524" s="26" t="str">
        <f>"ALVARO OBREGON                                                                  "</f>
        <v xml:space="preserve">ALVARO OBREGON                                                                  </v>
      </c>
      <c r="H2524" s="26" t="str">
        <f>"150"</f>
        <v>150</v>
      </c>
      <c r="I2524" s="26" t="str">
        <f t="shared" si="488"/>
        <v>00</v>
      </c>
      <c r="J2524" s="26" t="str">
        <f>"33 "</f>
        <v xml:space="preserve">33 </v>
      </c>
      <c r="K2524" s="26" t="str">
        <f t="shared" si="495"/>
        <v>EP</v>
      </c>
      <c r="L2524" s="26" t="str">
        <f t="shared" si="496"/>
        <v>DGOSE</v>
      </c>
      <c r="M2524" s="26" t="str">
        <f t="shared" si="486"/>
        <v>PARTICULAR</v>
      </c>
      <c r="N2524" s="26">
        <v>11</v>
      </c>
      <c r="O2524" s="26">
        <v>6</v>
      </c>
      <c r="P2524" s="26">
        <v>5</v>
      </c>
      <c r="Q2524" s="26">
        <v>3</v>
      </c>
      <c r="R2524" s="26">
        <v>1</v>
      </c>
      <c r="S2524" s="26">
        <v>2</v>
      </c>
      <c r="T2524" s="26">
        <v>4</v>
      </c>
      <c r="U2524" s="26">
        <v>7</v>
      </c>
      <c r="V2524" s="26">
        <v>1</v>
      </c>
      <c r="W2524" s="26"/>
    </row>
    <row r="2525" spans="1:23" x14ac:dyDescent="0.25">
      <c r="A2525" s="26" t="str">
        <f t="shared" si="487"/>
        <v>PREESCOLAR</v>
      </c>
      <c r="B2525" s="26" t="str">
        <f>"09PJN4936J"</f>
        <v>09PJN4936J</v>
      </c>
      <c r="C2525" s="26" t="str">
        <f>"JARDIN DE NIÑOS FLOR INFANTIL                                                                       "</f>
        <v xml:space="preserve">JARDIN DE NIÑOS FLOR INFANTIL                                                                       </v>
      </c>
      <c r="D2525" s="26" t="str">
        <f t="shared" si="479"/>
        <v>MATUTINO</v>
      </c>
      <c r="E2525" s="26" t="str">
        <f>"CAMINO REAL A TOLUCA NO. 60                                                     "</f>
        <v xml:space="preserve">CAMINO REAL A TOLUCA NO. 60                                                     </v>
      </c>
      <c r="F2525" s="26" t="str">
        <f>"BELLA VISTA                                                                                                                                 "</f>
        <v xml:space="preserve">BELLA VISTA                                                                                                                                 </v>
      </c>
      <c r="G2525" s="26" t="str">
        <f>"ALVARO OBREGON                                                                  "</f>
        <v xml:space="preserve">ALVARO OBREGON                                                                  </v>
      </c>
      <c r="H2525" s="26" t="str">
        <f>"219"</f>
        <v>219</v>
      </c>
      <c r="I2525" s="26" t="str">
        <f t="shared" si="488"/>
        <v>00</v>
      </c>
      <c r="J2525" s="26" t="str">
        <f>"33 "</f>
        <v xml:space="preserve">33 </v>
      </c>
      <c r="K2525" s="26" t="str">
        <f t="shared" si="495"/>
        <v>EP</v>
      </c>
      <c r="L2525" s="26" t="str">
        <f t="shared" si="496"/>
        <v>DGOSE</v>
      </c>
      <c r="M2525" s="26" t="str">
        <f t="shared" si="486"/>
        <v>PARTICULAR</v>
      </c>
      <c r="N2525" s="26">
        <v>83</v>
      </c>
      <c r="O2525" s="26">
        <v>43</v>
      </c>
      <c r="P2525" s="26">
        <v>40</v>
      </c>
      <c r="Q2525" s="26">
        <v>4</v>
      </c>
      <c r="R2525" s="26">
        <v>1</v>
      </c>
      <c r="S2525" s="26">
        <v>4</v>
      </c>
      <c r="T2525" s="26">
        <v>6</v>
      </c>
      <c r="U2525" s="26">
        <v>11</v>
      </c>
      <c r="V2525" s="26">
        <v>1</v>
      </c>
      <c r="W2525" s="26"/>
    </row>
    <row r="2526" spans="1:23" x14ac:dyDescent="0.25">
      <c r="A2526" s="26" t="str">
        <f t="shared" si="487"/>
        <v>PREESCOLAR</v>
      </c>
      <c r="B2526" s="26" t="str">
        <f>"09PJN4937I"</f>
        <v>09PJN4937I</v>
      </c>
      <c r="C2526" s="26" t="str">
        <f>"NEILL ALEXANDER SUTHERLAND                                                                          "</f>
        <v xml:space="preserve">NEILL ALEXANDER SUTHERLAND                                                                          </v>
      </c>
      <c r="D2526" s="26" t="str">
        <f t="shared" si="479"/>
        <v>MATUTINO</v>
      </c>
      <c r="E2526" s="26" t="str">
        <f>"PUERTO DE TOPOLOBAMPO NO. 22                                                    "</f>
        <v xml:space="preserve">PUERTO DE TOPOLOBAMPO NO. 22                                                    </v>
      </c>
      <c r="F2526" s="26" t="str">
        <f>"EL OLIVO                                                                                                                                    "</f>
        <v xml:space="preserve">EL OLIVO                                                                                                                                    </v>
      </c>
      <c r="G2526" s="26" t="str">
        <f>"GUSTAVO A. MADERO                                                               "</f>
        <v xml:space="preserve">GUSTAVO A. MADERO                                                               </v>
      </c>
      <c r="H2526" s="26" t="str">
        <f>"199"</f>
        <v>199</v>
      </c>
      <c r="I2526" s="26" t="str">
        <f t="shared" si="488"/>
        <v>00</v>
      </c>
      <c r="J2526" s="26" t="str">
        <f>"32 "</f>
        <v xml:space="preserve">32 </v>
      </c>
      <c r="K2526" s="26" t="str">
        <f t="shared" si="495"/>
        <v>EP</v>
      </c>
      <c r="L2526" s="26" t="str">
        <f t="shared" si="496"/>
        <v>DGOSE</v>
      </c>
      <c r="M2526" s="26" t="str">
        <f t="shared" si="486"/>
        <v>PARTICULAR</v>
      </c>
      <c r="N2526" s="26">
        <v>36</v>
      </c>
      <c r="O2526" s="26">
        <v>22</v>
      </c>
      <c r="P2526" s="26">
        <v>14</v>
      </c>
      <c r="Q2526" s="26">
        <v>3</v>
      </c>
      <c r="R2526" s="26">
        <v>1</v>
      </c>
      <c r="S2526" s="26">
        <v>2</v>
      </c>
      <c r="T2526" s="26">
        <v>2</v>
      </c>
      <c r="U2526" s="26">
        <v>5</v>
      </c>
      <c r="V2526" s="26">
        <v>1</v>
      </c>
      <c r="W2526" s="26"/>
    </row>
    <row r="2527" spans="1:23" x14ac:dyDescent="0.25">
      <c r="A2527" s="26" t="str">
        <f t="shared" si="487"/>
        <v>PREESCOLAR</v>
      </c>
      <c r="B2527" s="26" t="str">
        <f>"09PJN4938H"</f>
        <v>09PJN4938H</v>
      </c>
      <c r="C2527" s="26" t="str">
        <f>"INSTITUTO EDUCATIVO DEREJ EMES                                                                      "</f>
        <v xml:space="preserve">INSTITUTO EDUCATIVO DEREJ EMES                                                                      </v>
      </c>
      <c r="D2527" s="26" t="str">
        <f t="shared" si="479"/>
        <v>MATUTINO</v>
      </c>
      <c r="E2527" s="26" t="str">
        <f>"FERNANDEZ LIZARDI NO. 16                                                        "</f>
        <v xml:space="preserve">FERNANDEZ LIZARDI NO. 16                                                        </v>
      </c>
      <c r="F2527" s="26" t="str">
        <f>"PERIODISTA                                                                                                                                  "</f>
        <v xml:space="preserve">PERIODISTA                                                                                                                                  </v>
      </c>
      <c r="G2527" s="26" t="str">
        <f>"MIGUEL HIDALGO                                                                  "</f>
        <v xml:space="preserve">MIGUEL HIDALGO                                                                  </v>
      </c>
      <c r="H2527" s="26" t="str">
        <f>"207"</f>
        <v>207</v>
      </c>
      <c r="I2527" s="26" t="str">
        <f t="shared" si="488"/>
        <v>00</v>
      </c>
      <c r="J2527" s="26" t="str">
        <f>"32 "</f>
        <v xml:space="preserve">32 </v>
      </c>
      <c r="K2527" s="26" t="str">
        <f t="shared" si="495"/>
        <v>EP</v>
      </c>
      <c r="L2527" s="26" t="str">
        <f t="shared" si="496"/>
        <v>DGOSE</v>
      </c>
      <c r="M2527" s="26" t="str">
        <f t="shared" si="486"/>
        <v>PARTICULAR</v>
      </c>
      <c r="N2527" s="26">
        <v>44</v>
      </c>
      <c r="O2527" s="26">
        <v>29</v>
      </c>
      <c r="P2527" s="26">
        <v>15</v>
      </c>
      <c r="Q2527" s="26">
        <v>3</v>
      </c>
      <c r="R2527" s="26">
        <v>1</v>
      </c>
      <c r="S2527" s="26">
        <v>3</v>
      </c>
      <c r="T2527" s="26">
        <v>1</v>
      </c>
      <c r="U2527" s="26">
        <v>5</v>
      </c>
      <c r="V2527" s="26">
        <v>1</v>
      </c>
      <c r="W2527" s="26"/>
    </row>
    <row r="2528" spans="1:23" x14ac:dyDescent="0.25">
      <c r="A2528" s="26" t="str">
        <f t="shared" si="487"/>
        <v>PREESCOLAR</v>
      </c>
      <c r="B2528" s="26" t="str">
        <f>"09PJN4939G"</f>
        <v>09PJN4939G</v>
      </c>
      <c r="C2528" s="26" t="str">
        <f>"BENITO JUÁREZ                                                                                       "</f>
        <v xml:space="preserve">BENITO JUÁREZ                                                                                       </v>
      </c>
      <c r="D2528" s="26" t="str">
        <f t="shared" si="479"/>
        <v>MATUTINO</v>
      </c>
      <c r="E2528" s="26" t="str">
        <f>"PEKIN NO. 130                                                                   "</f>
        <v xml:space="preserve">PEKIN NO. 130                                                                   </v>
      </c>
      <c r="F2528" s="26" t="str">
        <f>"AQUILES SERDAN                                                                                                                              "</f>
        <v xml:space="preserve">AQUILES SERDAN                                                                                                                              </v>
      </c>
      <c r="G2528" s="26" t="str">
        <f>"VENUSTIANO CARRANZA                                                             "</f>
        <v xml:space="preserve">VENUSTIANO CARRANZA                                                             </v>
      </c>
      <c r="H2528" s="26" t="str">
        <f>"130"</f>
        <v>130</v>
      </c>
      <c r="I2528" s="26" t="str">
        <f t="shared" si="488"/>
        <v>00</v>
      </c>
      <c r="J2528" s="26" t="str">
        <f>"33 "</f>
        <v xml:space="preserve">33 </v>
      </c>
      <c r="K2528" s="26" t="str">
        <f t="shared" si="495"/>
        <v>EP</v>
      </c>
      <c r="L2528" s="26" t="str">
        <f t="shared" si="496"/>
        <v>DGOSE</v>
      </c>
      <c r="M2528" s="26" t="str">
        <f t="shared" si="486"/>
        <v>PARTICULAR</v>
      </c>
      <c r="N2528" s="26">
        <v>57</v>
      </c>
      <c r="O2528" s="26">
        <v>30</v>
      </c>
      <c r="P2528" s="26">
        <v>27</v>
      </c>
      <c r="Q2528" s="26">
        <v>3</v>
      </c>
      <c r="R2528" s="26">
        <v>1</v>
      </c>
      <c r="S2528" s="26">
        <v>3</v>
      </c>
      <c r="T2528" s="26">
        <v>0</v>
      </c>
      <c r="U2528" s="26">
        <v>4</v>
      </c>
      <c r="V2528" s="26">
        <v>1</v>
      </c>
      <c r="W2528" s="26"/>
    </row>
    <row r="2529" spans="1:23" x14ac:dyDescent="0.25">
      <c r="A2529" s="26" t="str">
        <f t="shared" si="487"/>
        <v>PREESCOLAR</v>
      </c>
      <c r="B2529" s="26" t="str">
        <f>"09PJN4940W"</f>
        <v>09PJN4940W</v>
      </c>
      <c r="C2529" s="26" t="str">
        <f>"CENTRO EDUCATIVO SAREPTA                                                                            "</f>
        <v xml:space="preserve">CENTRO EDUCATIVO SAREPTA                                                                            </v>
      </c>
      <c r="D2529" s="26" t="str">
        <f t="shared" si="479"/>
        <v>MATUTINO</v>
      </c>
      <c r="E2529" s="26" t="str">
        <f>"FLORICULTOR NO. 61                                                              "</f>
        <v xml:space="preserve">FLORICULTOR NO. 61                                                              </v>
      </c>
      <c r="F2529" s="26" t="str">
        <f>"LA GUADALUPITA                                                                                                                              "</f>
        <v xml:space="preserve">LA GUADALUPITA                                                                                                                              </v>
      </c>
      <c r="G2529" s="26" t="str">
        <f>"XOCHIMILCO                                                                      "</f>
        <v xml:space="preserve">XOCHIMILCO                                                                      </v>
      </c>
      <c r="H2529" s="26" t="str">
        <f>"281"</f>
        <v>281</v>
      </c>
      <c r="I2529" s="26" t="str">
        <f t="shared" si="488"/>
        <v>00</v>
      </c>
      <c r="J2529" s="26" t="str">
        <f>"35 "</f>
        <v xml:space="preserve">35 </v>
      </c>
      <c r="K2529" s="26" t="str">
        <f t="shared" si="495"/>
        <v>EP</v>
      </c>
      <c r="L2529" s="26" t="str">
        <f t="shared" si="496"/>
        <v>DGOSE</v>
      </c>
      <c r="M2529" s="26" t="str">
        <f t="shared" si="486"/>
        <v>PARTICULAR</v>
      </c>
      <c r="N2529" s="26">
        <v>8</v>
      </c>
      <c r="O2529" s="26">
        <v>3</v>
      </c>
      <c r="P2529" s="26">
        <v>5</v>
      </c>
      <c r="Q2529" s="26">
        <v>2</v>
      </c>
      <c r="R2529" s="26">
        <v>1</v>
      </c>
      <c r="S2529" s="26">
        <v>2</v>
      </c>
      <c r="T2529" s="26">
        <v>1</v>
      </c>
      <c r="U2529" s="26">
        <v>4</v>
      </c>
      <c r="V2529" s="26">
        <v>1</v>
      </c>
      <c r="W2529" s="26"/>
    </row>
    <row r="2530" spans="1:23" x14ac:dyDescent="0.25">
      <c r="A2530" s="26" t="str">
        <f t="shared" si="487"/>
        <v>PREESCOLAR</v>
      </c>
      <c r="B2530" s="26" t="str">
        <f>"09PJN4942U"</f>
        <v>09PJN4942U</v>
      </c>
      <c r="C2530" s="26" t="str">
        <f>"AGUSTIN BERNAL GOMEZ                                                                                "</f>
        <v xml:space="preserve">AGUSTIN BERNAL GOMEZ                                                                                </v>
      </c>
      <c r="D2530" s="26" t="str">
        <f t="shared" si="479"/>
        <v>MATUTINO</v>
      </c>
      <c r="E2530" s="26" t="str">
        <f>"SATELITE NO. 82 MZ. 4 LT. 17                                                    "</f>
        <v xml:space="preserve">SATELITE NO. 82 MZ. 4 LT. 17                                                    </v>
      </c>
      <c r="F2530" s="26" t="str">
        <f>"CASA BLANCA                                                                                                                                 "</f>
        <v xml:space="preserve">CASA BLANCA                                                                                                                                 </v>
      </c>
      <c r="G2530" s="26" t="str">
        <f t="shared" ref="G2530:G2535" si="497">"IZTAPALAPA                                                                      "</f>
        <v xml:space="preserve">IZTAPALAPA                                                                      </v>
      </c>
      <c r="H2530" s="26" t="str">
        <f t="shared" ref="H2530:H2535" si="498">"000"</f>
        <v>000</v>
      </c>
      <c r="I2530" s="26" t="str">
        <f t="shared" si="488"/>
        <v>00</v>
      </c>
      <c r="J2530" s="26" t="str">
        <f>"63 "</f>
        <v xml:space="preserve">63 </v>
      </c>
      <c r="K2530" s="26" t="str">
        <f t="shared" ref="K2530:K2535" si="499">"IZ"</f>
        <v>IZ</v>
      </c>
      <c r="L2530" s="26" t="str">
        <f t="shared" ref="L2530:L2535" si="500">"DGSEI"</f>
        <v>DGSEI</v>
      </c>
      <c r="M2530" s="26" t="str">
        <f t="shared" si="486"/>
        <v>PARTICULAR</v>
      </c>
      <c r="N2530" s="26">
        <v>15</v>
      </c>
      <c r="O2530" s="26">
        <v>10</v>
      </c>
      <c r="P2530" s="26">
        <v>5</v>
      </c>
      <c r="Q2530" s="26">
        <v>3</v>
      </c>
      <c r="R2530" s="26">
        <v>1</v>
      </c>
      <c r="S2530" s="26">
        <v>3</v>
      </c>
      <c r="T2530" s="26">
        <v>2</v>
      </c>
      <c r="U2530" s="26">
        <v>6</v>
      </c>
      <c r="V2530" s="26">
        <v>1</v>
      </c>
      <c r="W2530" s="26"/>
    </row>
    <row r="2531" spans="1:23" x14ac:dyDescent="0.25">
      <c r="A2531" s="26" t="str">
        <f t="shared" si="487"/>
        <v>PREESCOLAR</v>
      </c>
      <c r="B2531" s="26" t="str">
        <f>"09PJN4943T"</f>
        <v>09PJN4943T</v>
      </c>
      <c r="C2531" s="26" t="str">
        <f>"VICENTE SUAREZ                                                                                      "</f>
        <v xml:space="preserve">VICENTE SUAREZ                                                                                      </v>
      </c>
      <c r="D2531" s="26" t="str">
        <f t="shared" si="479"/>
        <v>MATUTINO</v>
      </c>
      <c r="E2531" s="26" t="str">
        <f>"COPACABANA MZ. 42 LT. 22                                                        "</f>
        <v xml:space="preserve">COPACABANA MZ. 42 LT. 22                                                        </v>
      </c>
      <c r="F2531" s="26" t="str">
        <f>"LA POLVORILLA                                                                                                                               "</f>
        <v xml:space="preserve">LA POLVORILLA                                                                                                                               </v>
      </c>
      <c r="G2531" s="26" t="str">
        <f t="shared" si="497"/>
        <v xml:space="preserve">IZTAPALAPA                                                                      </v>
      </c>
      <c r="H2531" s="26" t="str">
        <f t="shared" si="498"/>
        <v>000</v>
      </c>
      <c r="I2531" s="26" t="str">
        <f t="shared" si="488"/>
        <v>00</v>
      </c>
      <c r="J2531" s="26" t="str">
        <f>"63 "</f>
        <v xml:space="preserve">63 </v>
      </c>
      <c r="K2531" s="26" t="str">
        <f t="shared" si="499"/>
        <v>IZ</v>
      </c>
      <c r="L2531" s="26" t="str">
        <f t="shared" si="500"/>
        <v>DGSEI</v>
      </c>
      <c r="M2531" s="26" t="str">
        <f t="shared" si="486"/>
        <v>PARTICULAR</v>
      </c>
      <c r="N2531" s="26">
        <v>36</v>
      </c>
      <c r="O2531" s="26">
        <v>21</v>
      </c>
      <c r="P2531" s="26">
        <v>15</v>
      </c>
      <c r="Q2531" s="26">
        <v>2</v>
      </c>
      <c r="R2531" s="26">
        <v>1</v>
      </c>
      <c r="S2531" s="26">
        <v>2</v>
      </c>
      <c r="T2531" s="26">
        <v>0</v>
      </c>
      <c r="U2531" s="26">
        <v>3</v>
      </c>
      <c r="V2531" s="26">
        <v>1</v>
      </c>
      <c r="W2531" s="26"/>
    </row>
    <row r="2532" spans="1:23" x14ac:dyDescent="0.25">
      <c r="A2532" s="26" t="str">
        <f t="shared" si="487"/>
        <v>PREESCOLAR</v>
      </c>
      <c r="B2532" s="26" t="str">
        <f>"09PJN4946Q"</f>
        <v>09PJN4946Q</v>
      </c>
      <c r="C2532" s="26" t="str">
        <f>"ZAMARI                                                                                              "</f>
        <v xml:space="preserve">ZAMARI                                                                                              </v>
      </c>
      <c r="D2532" s="26" t="str">
        <f t="shared" si="479"/>
        <v>MATUTINO</v>
      </c>
      <c r="E2532" s="26" t="str">
        <f>"LOS REYES NO. 108                                                               "</f>
        <v xml:space="preserve">LOS REYES NO. 108                                                               </v>
      </c>
      <c r="F2532" s="26" t="str">
        <f>"SANTA BARBARA BARRIO                                                                                                                        "</f>
        <v xml:space="preserve">SANTA BARBARA BARRIO                                                                                                                        </v>
      </c>
      <c r="G2532" s="26" t="str">
        <f t="shared" si="497"/>
        <v xml:space="preserve">IZTAPALAPA                                                                      </v>
      </c>
      <c r="H2532" s="26" t="str">
        <f t="shared" si="498"/>
        <v>000</v>
      </c>
      <c r="I2532" s="26" t="str">
        <f t="shared" si="488"/>
        <v>00</v>
      </c>
      <c r="J2532" s="26" t="str">
        <f>"61 "</f>
        <v xml:space="preserve">61 </v>
      </c>
      <c r="K2532" s="26" t="str">
        <f t="shared" si="499"/>
        <v>IZ</v>
      </c>
      <c r="L2532" s="26" t="str">
        <f t="shared" si="500"/>
        <v>DGSEI</v>
      </c>
      <c r="M2532" s="26" t="str">
        <f t="shared" si="486"/>
        <v>PARTICULAR</v>
      </c>
      <c r="N2532" s="26">
        <v>17</v>
      </c>
      <c r="O2532" s="26">
        <v>7</v>
      </c>
      <c r="P2532" s="26">
        <v>10</v>
      </c>
      <c r="Q2532" s="26">
        <v>3</v>
      </c>
      <c r="R2532" s="26">
        <v>1</v>
      </c>
      <c r="S2532" s="26">
        <v>1</v>
      </c>
      <c r="T2532" s="26">
        <v>4</v>
      </c>
      <c r="U2532" s="26">
        <v>6</v>
      </c>
      <c r="V2532" s="26">
        <v>1</v>
      </c>
      <c r="W2532" s="26"/>
    </row>
    <row r="2533" spans="1:23" x14ac:dyDescent="0.25">
      <c r="A2533" s="26" t="str">
        <f t="shared" si="487"/>
        <v>PREESCOLAR</v>
      </c>
      <c r="B2533" s="26" t="str">
        <f>"09PJN4947P"</f>
        <v>09PJN4947P</v>
      </c>
      <c r="C2533" s="26" t="str">
        <f>"INSTITUTO SIGMON FREUD                                                                              "</f>
        <v xml:space="preserve">INSTITUTO SIGMON FREUD                                                                              </v>
      </c>
      <c r="D2533" s="26" t="str">
        <f t="shared" si="479"/>
        <v>MATUTINO</v>
      </c>
      <c r="E2533" s="26" t="str">
        <f>"SANTA LAURA MZ 9 LT 5                                                           "</f>
        <v xml:space="preserve">SANTA LAURA MZ 9 LT 5                                                           </v>
      </c>
      <c r="F2533" s="26" t="str">
        <f>"CARLOS HANK GONZALEZ                                                                                                                        "</f>
        <v xml:space="preserve">CARLOS HANK GONZALEZ                                                                                                                        </v>
      </c>
      <c r="G2533" s="26" t="str">
        <f t="shared" si="497"/>
        <v xml:space="preserve">IZTAPALAPA                                                                      </v>
      </c>
      <c r="H2533" s="26" t="str">
        <f t="shared" si="498"/>
        <v>000</v>
      </c>
      <c r="I2533" s="26" t="str">
        <f t="shared" si="488"/>
        <v>00</v>
      </c>
      <c r="J2533" s="26" t="str">
        <f>"63 "</f>
        <v xml:space="preserve">63 </v>
      </c>
      <c r="K2533" s="26" t="str">
        <f t="shared" si="499"/>
        <v>IZ</v>
      </c>
      <c r="L2533" s="26" t="str">
        <f t="shared" si="500"/>
        <v>DGSEI</v>
      </c>
      <c r="M2533" s="26" t="str">
        <f t="shared" si="486"/>
        <v>PARTICULAR</v>
      </c>
      <c r="N2533" s="26">
        <v>10</v>
      </c>
      <c r="O2533" s="26">
        <v>4</v>
      </c>
      <c r="P2533" s="26">
        <v>6</v>
      </c>
      <c r="Q2533" s="26">
        <v>2</v>
      </c>
      <c r="R2533" s="26">
        <v>1</v>
      </c>
      <c r="S2533" s="26">
        <v>2</v>
      </c>
      <c r="T2533" s="26">
        <v>0</v>
      </c>
      <c r="U2533" s="26">
        <v>3</v>
      </c>
      <c r="V2533" s="26">
        <v>1</v>
      </c>
      <c r="W2533" s="26"/>
    </row>
    <row r="2534" spans="1:23" x14ac:dyDescent="0.25">
      <c r="A2534" s="26" t="str">
        <f t="shared" si="487"/>
        <v>PREESCOLAR</v>
      </c>
      <c r="B2534" s="26" t="str">
        <f>"09PJN4958V"</f>
        <v>09PJN4958V</v>
      </c>
      <c r="C2534" s="26" t="str">
        <f>"NIÑOS DE HOY HOMBRES DEL FUTURO                                                                     "</f>
        <v xml:space="preserve">NIÑOS DE HOY HOMBRES DEL FUTURO                                                                     </v>
      </c>
      <c r="D2534" s="26" t="str">
        <f t="shared" si="479"/>
        <v>MATUTINO</v>
      </c>
      <c r="E2534" s="26" t="str">
        <f>"AV. SANTIAGO S/N MZ. 41 LT. 17                                                  "</f>
        <v xml:space="preserve">AV. SANTIAGO S/N MZ. 41 LT. 17                                                  </v>
      </c>
      <c r="F2534" s="26" t="str">
        <f>"SANTA MARTHA ACATITLA  PUEBLO                                                                                                               "</f>
        <v xml:space="preserve">SANTA MARTHA ACATITLA  PUEBLO                                                                                                               </v>
      </c>
      <c r="G2534" s="26" t="str">
        <f t="shared" si="497"/>
        <v xml:space="preserve">IZTAPALAPA                                                                      </v>
      </c>
      <c r="H2534" s="26" t="str">
        <f t="shared" si="498"/>
        <v>000</v>
      </c>
      <c r="I2534" s="26" t="str">
        <f t="shared" si="488"/>
        <v>00</v>
      </c>
      <c r="J2534" s="26" t="str">
        <f>"64 "</f>
        <v xml:space="preserve">64 </v>
      </c>
      <c r="K2534" s="26" t="str">
        <f t="shared" si="499"/>
        <v>IZ</v>
      </c>
      <c r="L2534" s="26" t="str">
        <f t="shared" si="500"/>
        <v>DGSEI</v>
      </c>
      <c r="M2534" s="26" t="str">
        <f t="shared" si="486"/>
        <v>PARTICULAR</v>
      </c>
      <c r="N2534" s="26">
        <v>35</v>
      </c>
      <c r="O2534" s="26">
        <v>17</v>
      </c>
      <c r="P2534" s="26">
        <v>18</v>
      </c>
      <c r="Q2534" s="26">
        <v>3</v>
      </c>
      <c r="R2534" s="26">
        <v>1</v>
      </c>
      <c r="S2534" s="26">
        <v>3</v>
      </c>
      <c r="T2534" s="26">
        <v>0</v>
      </c>
      <c r="U2534" s="26">
        <v>4</v>
      </c>
      <c r="V2534" s="26">
        <v>1</v>
      </c>
      <c r="W2534" s="26"/>
    </row>
    <row r="2535" spans="1:23" x14ac:dyDescent="0.25">
      <c r="A2535" s="26" t="str">
        <f t="shared" si="487"/>
        <v>PREESCOLAR</v>
      </c>
      <c r="B2535" s="26" t="str">
        <f>"09PJN4963G"</f>
        <v>09PJN4963G</v>
      </c>
      <c r="C2535" s="26" t="str">
        <f>"COLEGIO BILINGUE DEL ANGEL                                                                          "</f>
        <v xml:space="preserve">COLEGIO BILINGUE DEL ANGEL                                                                          </v>
      </c>
      <c r="D2535" s="26" t="str">
        <f t="shared" si="479"/>
        <v>MATUTINO</v>
      </c>
      <c r="E2535" s="26" t="str">
        <f>"CARLOS DAVID ANDERSON NO.5                                                      "</f>
        <v xml:space="preserve">CARLOS DAVID ANDERSON NO.5                                                      </v>
      </c>
      <c r="F2535" s="26" t="str">
        <f>"SAN SIMON CULHUACAN                                                                                                                         "</f>
        <v xml:space="preserve">SAN SIMON CULHUACAN                                                                                                                         </v>
      </c>
      <c r="G2535" s="26" t="str">
        <f t="shared" si="497"/>
        <v xml:space="preserve">IZTAPALAPA                                                                      </v>
      </c>
      <c r="H2535" s="26" t="str">
        <f t="shared" si="498"/>
        <v>000</v>
      </c>
      <c r="I2535" s="26" t="str">
        <f t="shared" si="488"/>
        <v>00</v>
      </c>
      <c r="J2535" s="26" t="str">
        <f>"63 "</f>
        <v xml:space="preserve">63 </v>
      </c>
      <c r="K2535" s="26" t="str">
        <f t="shared" si="499"/>
        <v>IZ</v>
      </c>
      <c r="L2535" s="26" t="str">
        <f t="shared" si="500"/>
        <v>DGSEI</v>
      </c>
      <c r="M2535" s="26" t="str">
        <f t="shared" si="486"/>
        <v>PARTICULAR</v>
      </c>
      <c r="N2535" s="26">
        <v>19</v>
      </c>
      <c r="O2535" s="26">
        <v>13</v>
      </c>
      <c r="P2535" s="26">
        <v>6</v>
      </c>
      <c r="Q2535" s="26">
        <v>3</v>
      </c>
      <c r="R2535" s="26">
        <v>1</v>
      </c>
      <c r="S2535" s="26">
        <v>3</v>
      </c>
      <c r="T2535" s="26">
        <v>2</v>
      </c>
      <c r="U2535" s="26">
        <v>6</v>
      </c>
      <c r="V2535" s="26">
        <v>1</v>
      </c>
      <c r="W2535" s="26"/>
    </row>
    <row r="2536" spans="1:23" x14ac:dyDescent="0.25">
      <c r="A2536" s="26" t="str">
        <f t="shared" si="487"/>
        <v>PREESCOLAR</v>
      </c>
      <c r="B2536" s="26" t="str">
        <f>"09PJN4965E"</f>
        <v>09PJN4965E</v>
      </c>
      <c r="C2536" s="26" t="str">
        <f>"CENTRO DE ENSEÑANZA MIS PRIMERAS LETRAS                                                             "</f>
        <v xml:space="preserve">CENTRO DE ENSEÑANZA MIS PRIMERAS LETRAS                                                             </v>
      </c>
      <c r="D2536" s="26" t="str">
        <f t="shared" si="479"/>
        <v>MATUTINO</v>
      </c>
      <c r="E2536" s="26" t="str">
        <f>"CERRADA DE FRESNO S/N MZA. 27 LT. 29                                            "</f>
        <v xml:space="preserve">CERRADA DE FRESNO S/N MZA. 27 LT. 29                                            </v>
      </c>
      <c r="F2536" s="26" t="str">
        <f>"LOS OLIVOS 1A SECCION AMPLIACION                                                                                                            "</f>
        <v xml:space="preserve">LOS OLIVOS 1A SECCION AMPLIACION                                                                                                            </v>
      </c>
      <c r="G2536" s="26" t="str">
        <f>"TLAHUAC                                                                         "</f>
        <v xml:space="preserve">TLAHUAC                                                                         </v>
      </c>
      <c r="H2536" s="26" t="str">
        <f>"065"</f>
        <v>065</v>
      </c>
      <c r="I2536" s="26" t="str">
        <f t="shared" si="488"/>
        <v>00</v>
      </c>
      <c r="J2536" s="26" t="str">
        <f>"35 "</f>
        <v xml:space="preserve">35 </v>
      </c>
      <c r="K2536" s="26" t="str">
        <f t="shared" ref="K2536:K2550" si="501">"EP"</f>
        <v>EP</v>
      </c>
      <c r="L2536" s="26" t="str">
        <f t="shared" ref="L2536:L2550" si="502">"DGOSE"</f>
        <v>DGOSE</v>
      </c>
      <c r="M2536" s="26" t="str">
        <f t="shared" si="486"/>
        <v>PARTICULAR</v>
      </c>
      <c r="N2536" s="26">
        <v>31</v>
      </c>
      <c r="O2536" s="26">
        <v>13</v>
      </c>
      <c r="P2536" s="26">
        <v>18</v>
      </c>
      <c r="Q2536" s="26">
        <v>2</v>
      </c>
      <c r="R2536" s="26">
        <v>1</v>
      </c>
      <c r="S2536" s="26">
        <v>2</v>
      </c>
      <c r="T2536" s="26">
        <v>0</v>
      </c>
      <c r="U2536" s="26">
        <v>3</v>
      </c>
      <c r="V2536" s="26">
        <v>1</v>
      </c>
      <c r="W2536" s="26"/>
    </row>
    <row r="2537" spans="1:23" x14ac:dyDescent="0.25">
      <c r="A2537" s="26" t="str">
        <f t="shared" si="487"/>
        <v>PREESCOLAR</v>
      </c>
      <c r="B2537" s="26" t="str">
        <f>"09PJN4966D"</f>
        <v>09PJN4966D</v>
      </c>
      <c r="C2537" s="26" t="str">
        <f>"CENTRO EDUCATIVO ACTY GYM                                                                           "</f>
        <v xml:space="preserve">CENTRO EDUCATIVO ACTY GYM                                                                           </v>
      </c>
      <c r="D2537" s="26" t="str">
        <f t="shared" ref="D2537:D2556" si="503">"MATUTINO"</f>
        <v>MATUTINO</v>
      </c>
      <c r="E2537" s="26" t="str">
        <f>"BARTOLOCHE NO. 1849                                                             "</f>
        <v xml:space="preserve">BARTOLOCHE NO. 1849                                                             </v>
      </c>
      <c r="F2537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2537" s="26" t="str">
        <f>"BENITO JUAREZ                                                                   "</f>
        <v xml:space="preserve">BENITO JUAREZ                                                                   </v>
      </c>
      <c r="H2537" s="26" t="str">
        <f>"231"</f>
        <v>231</v>
      </c>
      <c r="I2537" s="26" t="str">
        <f t="shared" si="488"/>
        <v>00</v>
      </c>
      <c r="J2537" s="26" t="str">
        <f>"33 "</f>
        <v xml:space="preserve">33 </v>
      </c>
      <c r="K2537" s="26" t="str">
        <f t="shared" si="501"/>
        <v>EP</v>
      </c>
      <c r="L2537" s="26" t="str">
        <f t="shared" si="502"/>
        <v>DGOSE</v>
      </c>
      <c r="M2537" s="26" t="str">
        <f t="shared" si="486"/>
        <v>PARTICULAR</v>
      </c>
      <c r="N2537" s="26">
        <v>93</v>
      </c>
      <c r="O2537" s="26">
        <v>47</v>
      </c>
      <c r="P2537" s="26">
        <v>46</v>
      </c>
      <c r="Q2537" s="26">
        <v>7</v>
      </c>
      <c r="R2537" s="26">
        <v>1</v>
      </c>
      <c r="S2537" s="26">
        <v>5</v>
      </c>
      <c r="T2537" s="26">
        <v>11</v>
      </c>
      <c r="U2537" s="26">
        <v>17</v>
      </c>
      <c r="V2537" s="26">
        <v>1</v>
      </c>
      <c r="W2537" s="26"/>
    </row>
    <row r="2538" spans="1:23" x14ac:dyDescent="0.25">
      <c r="A2538" s="26" t="str">
        <f t="shared" si="487"/>
        <v>PREESCOLAR</v>
      </c>
      <c r="B2538" s="26" t="str">
        <f>"09PJN4967C"</f>
        <v>09PJN4967C</v>
      </c>
      <c r="C2538" s="26" t="str">
        <f>"COLEGIO AZTLAN                                                                                      "</f>
        <v xml:space="preserve">COLEGIO AZTLAN                                                                                      </v>
      </c>
      <c r="D2538" s="26" t="str">
        <f t="shared" si="503"/>
        <v>MATUTINO</v>
      </c>
      <c r="E2538" s="26" t="str">
        <f>"PROLONGACION DIVISION DEL NORTE NO. 4366                                        "</f>
        <v xml:space="preserve">PROLONGACION DIVISION DEL NORTE NO. 4366                                        </v>
      </c>
      <c r="F2538" s="26" t="str">
        <f>"RESIDENCIAL EX-HACIENDA COAPA                                                                                                               "</f>
        <v xml:space="preserve">RESIDENCIAL EX-HACIENDA COAPA                                                                                                               </v>
      </c>
      <c r="G2538" s="26" t="str">
        <f>"TLALPAN                                                                         "</f>
        <v xml:space="preserve">TLALPAN                                                                         </v>
      </c>
      <c r="H2538" s="26" t="str">
        <f>"276"</f>
        <v>276</v>
      </c>
      <c r="I2538" s="26" t="str">
        <f t="shared" si="488"/>
        <v>00</v>
      </c>
      <c r="J2538" s="26" t="str">
        <f>"35 "</f>
        <v xml:space="preserve">35 </v>
      </c>
      <c r="K2538" s="26" t="str">
        <f t="shared" si="501"/>
        <v>EP</v>
      </c>
      <c r="L2538" s="26" t="str">
        <f t="shared" si="502"/>
        <v>DGOSE</v>
      </c>
      <c r="M2538" s="26" t="str">
        <f t="shared" si="486"/>
        <v>PARTICULAR</v>
      </c>
      <c r="N2538" s="26">
        <v>17</v>
      </c>
      <c r="O2538" s="26">
        <v>7</v>
      </c>
      <c r="P2538" s="26">
        <v>10</v>
      </c>
      <c r="Q2538" s="26">
        <v>2</v>
      </c>
      <c r="R2538" s="26">
        <v>1</v>
      </c>
      <c r="S2538" s="26">
        <v>1</v>
      </c>
      <c r="T2538" s="26">
        <v>6</v>
      </c>
      <c r="U2538" s="26">
        <v>8</v>
      </c>
      <c r="V2538" s="26">
        <v>1</v>
      </c>
      <c r="W2538" s="26"/>
    </row>
    <row r="2539" spans="1:23" x14ac:dyDescent="0.25">
      <c r="A2539" s="26" t="str">
        <f t="shared" si="487"/>
        <v>PREESCOLAR</v>
      </c>
      <c r="B2539" s="26" t="str">
        <f>"09PJN4968B"</f>
        <v>09PJN4968B</v>
      </c>
      <c r="C2539" s="26" t="str">
        <f>"CENTRO ESCOLAR INFANTIL MI ESCUELITA                                                                "</f>
        <v xml:space="preserve">CENTRO ESCOLAR INFANTIL MI ESCUELITA                                                                </v>
      </c>
      <c r="D2539" s="26" t="str">
        <f t="shared" si="503"/>
        <v>MATUTINO</v>
      </c>
      <c r="E2539" s="26" t="str">
        <f>"CERRADA DE CHICHIHUALTITLA                                                      "</f>
        <v xml:space="preserve">CERRADA DE CHICHIHUALTITLA                                                      </v>
      </c>
      <c r="F2539" s="26" t="str">
        <f>"CANTERA PUENTE DE PIEDRA                                                                                                                    "</f>
        <v xml:space="preserve">CANTERA PUENTE DE PIEDRA                                                                                                                    </v>
      </c>
      <c r="G2539" s="26" t="str">
        <f>"TLALPAN                                                                         "</f>
        <v xml:space="preserve">TLALPAN                                                                         </v>
      </c>
      <c r="H2539" s="26" t="str">
        <f>"222"</f>
        <v>222</v>
      </c>
      <c r="I2539" s="26" t="str">
        <f t="shared" si="488"/>
        <v>00</v>
      </c>
      <c r="J2539" s="26" t="str">
        <f>"35 "</f>
        <v xml:space="preserve">35 </v>
      </c>
      <c r="K2539" s="26" t="str">
        <f t="shared" si="501"/>
        <v>EP</v>
      </c>
      <c r="L2539" s="26" t="str">
        <f t="shared" si="502"/>
        <v>DGOSE</v>
      </c>
      <c r="M2539" s="26" t="str">
        <f t="shared" si="486"/>
        <v>PARTICULAR</v>
      </c>
      <c r="N2539" s="26">
        <v>21</v>
      </c>
      <c r="O2539" s="26">
        <v>13</v>
      </c>
      <c r="P2539" s="26">
        <v>8</v>
      </c>
      <c r="Q2539" s="26">
        <v>3</v>
      </c>
      <c r="R2539" s="26">
        <v>1</v>
      </c>
      <c r="S2539" s="26">
        <v>3</v>
      </c>
      <c r="T2539" s="26">
        <v>2</v>
      </c>
      <c r="U2539" s="26">
        <v>6</v>
      </c>
      <c r="V2539" s="26">
        <v>1</v>
      </c>
      <c r="W2539" s="26"/>
    </row>
    <row r="2540" spans="1:23" x14ac:dyDescent="0.25">
      <c r="A2540" s="26" t="str">
        <f t="shared" si="487"/>
        <v>PREESCOLAR</v>
      </c>
      <c r="B2540" s="26" t="str">
        <f>"09PJN4969A"</f>
        <v>09PJN4969A</v>
      </c>
      <c r="C2540" s="26" t="str">
        <f>"JARDIN DE NIÑOS LOS PEQUES                                                                          "</f>
        <v xml:space="preserve">JARDIN DE NIÑOS LOS PEQUES                                                                          </v>
      </c>
      <c r="D2540" s="26" t="str">
        <f t="shared" si="503"/>
        <v>MATUTINO</v>
      </c>
      <c r="E2540" s="26" t="str">
        <f>"ORIENTE 95 NO. 4203                                                             "</f>
        <v xml:space="preserve">ORIENTE 95 NO. 4203                                                             </v>
      </c>
      <c r="F2540" s="26" t="str">
        <f>"MALINCHE                                                                                                                                    "</f>
        <v xml:space="preserve">MALINCHE                                                                                                                                    </v>
      </c>
      <c r="G2540" s="26" t="str">
        <f>"GUSTAVO A. MADERO                                                               "</f>
        <v xml:space="preserve">GUSTAVO A. MADERO                                                               </v>
      </c>
      <c r="H2540" s="26" t="str">
        <f>"195"</f>
        <v>195</v>
      </c>
      <c r="I2540" s="26" t="str">
        <f t="shared" si="488"/>
        <v>00</v>
      </c>
      <c r="J2540" s="26" t="str">
        <f>"32 "</f>
        <v xml:space="preserve">32 </v>
      </c>
      <c r="K2540" s="26" t="str">
        <f t="shared" si="501"/>
        <v>EP</v>
      </c>
      <c r="L2540" s="26" t="str">
        <f t="shared" si="502"/>
        <v>DGOSE</v>
      </c>
      <c r="M2540" s="26" t="str">
        <f t="shared" si="486"/>
        <v>PARTICULAR</v>
      </c>
      <c r="N2540" s="26">
        <v>80</v>
      </c>
      <c r="O2540" s="26">
        <v>42</v>
      </c>
      <c r="P2540" s="26">
        <v>38</v>
      </c>
      <c r="Q2540" s="26">
        <v>3</v>
      </c>
      <c r="R2540" s="26">
        <v>1</v>
      </c>
      <c r="S2540" s="26">
        <v>3</v>
      </c>
      <c r="T2540" s="26">
        <v>3</v>
      </c>
      <c r="U2540" s="26">
        <v>7</v>
      </c>
      <c r="V2540" s="26">
        <v>1</v>
      </c>
      <c r="W2540" s="26"/>
    </row>
    <row r="2541" spans="1:23" x14ac:dyDescent="0.25">
      <c r="A2541" s="26" t="str">
        <f t="shared" si="487"/>
        <v>PREESCOLAR</v>
      </c>
      <c r="B2541" s="26" t="str">
        <f>"09PJN4970Q"</f>
        <v>09PJN4970Q</v>
      </c>
      <c r="C2541" s="26" t="str">
        <f>"KIDDIELAND PRESCHOOL                                                                                "</f>
        <v xml:space="preserve">KIDDIELAND PRESCHOOL                                                                                </v>
      </c>
      <c r="D2541" s="26" t="str">
        <f t="shared" si="503"/>
        <v>MATUTINO</v>
      </c>
      <c r="E2541" s="26" t="str">
        <f>"ANTONIO DE LA PEÑA Y REYES NO. 22                                               "</f>
        <v xml:space="preserve">ANTONIO DE LA PEÑA Y REYES NO. 22                                               </v>
      </c>
      <c r="F2541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2541" s="26" t="str">
        <f>"VENUSTIANO CARRANZA                                                             "</f>
        <v xml:space="preserve">VENUSTIANO CARRANZA                                                             </v>
      </c>
      <c r="H2541" s="26" t="str">
        <f>"250"</f>
        <v>250</v>
      </c>
      <c r="I2541" s="26" t="str">
        <f t="shared" si="488"/>
        <v>00</v>
      </c>
      <c r="J2541" s="26" t="str">
        <f>"33 "</f>
        <v xml:space="preserve">33 </v>
      </c>
      <c r="K2541" s="26" t="str">
        <f t="shared" si="501"/>
        <v>EP</v>
      </c>
      <c r="L2541" s="26" t="str">
        <f t="shared" si="502"/>
        <v>DGOSE</v>
      </c>
      <c r="M2541" s="26" t="str">
        <f t="shared" si="486"/>
        <v>PARTICULAR</v>
      </c>
      <c r="N2541" s="26">
        <v>43</v>
      </c>
      <c r="O2541" s="26">
        <v>17</v>
      </c>
      <c r="P2541" s="26">
        <v>26</v>
      </c>
      <c r="Q2541" s="26">
        <v>3</v>
      </c>
      <c r="R2541" s="26">
        <v>1</v>
      </c>
      <c r="S2541" s="26">
        <v>3</v>
      </c>
      <c r="T2541" s="26">
        <v>2</v>
      </c>
      <c r="U2541" s="26">
        <v>6</v>
      </c>
      <c r="V2541" s="26">
        <v>1</v>
      </c>
      <c r="W2541" s="26"/>
    </row>
    <row r="2542" spans="1:23" x14ac:dyDescent="0.25">
      <c r="A2542" s="26" t="str">
        <f t="shared" si="487"/>
        <v>PREESCOLAR</v>
      </c>
      <c r="B2542" s="26" t="str">
        <f>"09PJN4973N"</f>
        <v>09PJN4973N</v>
      </c>
      <c r="C2542" s="26" t="str">
        <f>"WILFRIDO MASSIEU                                                                                    "</f>
        <v xml:space="preserve">WILFRIDO MASSIEU                                                                                    </v>
      </c>
      <c r="D2542" s="26" t="str">
        <f t="shared" si="503"/>
        <v>MATUTINO</v>
      </c>
      <c r="E2542" s="26" t="str">
        <f>"MANAGUA NO. 741                                                                 "</f>
        <v xml:space="preserve">MANAGUA NO. 741                                                                 </v>
      </c>
      <c r="F2542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2542" s="26" t="str">
        <f>"GUSTAVO A. MADERO                                                               "</f>
        <v xml:space="preserve">GUSTAVO A. MADERO                                                               </v>
      </c>
      <c r="H2542" s="26" t="str">
        <f>"068"</f>
        <v>068</v>
      </c>
      <c r="I2542" s="26" t="str">
        <f t="shared" si="488"/>
        <v>00</v>
      </c>
      <c r="J2542" s="26" t="str">
        <f>"32 "</f>
        <v xml:space="preserve">32 </v>
      </c>
      <c r="K2542" s="26" t="str">
        <f t="shared" si="501"/>
        <v>EP</v>
      </c>
      <c r="L2542" s="26" t="str">
        <f t="shared" si="502"/>
        <v>DGOSE</v>
      </c>
      <c r="M2542" s="26" t="str">
        <f t="shared" si="486"/>
        <v>PARTICULAR</v>
      </c>
      <c r="N2542" s="26">
        <v>46</v>
      </c>
      <c r="O2542" s="26">
        <v>22</v>
      </c>
      <c r="P2542" s="26">
        <v>24</v>
      </c>
      <c r="Q2542" s="26">
        <v>3</v>
      </c>
      <c r="R2542" s="26">
        <v>1</v>
      </c>
      <c r="S2542" s="26">
        <v>3</v>
      </c>
      <c r="T2542" s="26">
        <v>6</v>
      </c>
      <c r="U2542" s="26">
        <v>10</v>
      </c>
      <c r="V2542" s="26">
        <v>1</v>
      </c>
      <c r="W2542" s="26"/>
    </row>
    <row r="2543" spans="1:23" x14ac:dyDescent="0.25">
      <c r="A2543" s="26" t="str">
        <f t="shared" si="487"/>
        <v>PREESCOLAR</v>
      </c>
      <c r="B2543" s="26" t="str">
        <f>"09PJN4975L"</f>
        <v>09PJN4975L</v>
      </c>
      <c r="C2543" s="26" t="str">
        <f>"CENTRO PEDAGOGICO CINTRON                                                                           "</f>
        <v xml:space="preserve">CENTRO PEDAGOGICO CINTRON                                                                           </v>
      </c>
      <c r="D2543" s="26" t="str">
        <f t="shared" si="503"/>
        <v>MATUTINO</v>
      </c>
      <c r="E2543" s="26" t="str">
        <f>"PARIS 1900 NO. 32                                                               "</f>
        <v xml:space="preserve">PARIS 1900 NO. 32                                                               </v>
      </c>
      <c r="F2543" s="26" t="str">
        <f>"UNIDAD HABITACIONAL OLIMPICA                                                                                                                "</f>
        <v xml:space="preserve">UNIDAD HABITACIONAL OLIMPICA                                                                                                                </v>
      </c>
      <c r="G2543" s="26" t="str">
        <f>"COYOACAN                                                                        "</f>
        <v xml:space="preserve">COYOACAN                                                                        </v>
      </c>
      <c r="H2543" s="26" t="str">
        <f>"156"</f>
        <v>156</v>
      </c>
      <c r="I2543" s="26" t="str">
        <f t="shared" si="488"/>
        <v>00</v>
      </c>
      <c r="J2543" s="26" t="str">
        <f t="shared" ref="J2543:J2549" si="504">"35 "</f>
        <v xml:space="preserve">35 </v>
      </c>
      <c r="K2543" s="26" t="str">
        <f t="shared" si="501"/>
        <v>EP</v>
      </c>
      <c r="L2543" s="26" t="str">
        <f t="shared" si="502"/>
        <v>DGOSE</v>
      </c>
      <c r="M2543" s="26" t="str">
        <f t="shared" si="486"/>
        <v>PARTICULAR</v>
      </c>
      <c r="N2543" s="26">
        <v>54</v>
      </c>
      <c r="O2543" s="26">
        <v>23</v>
      </c>
      <c r="P2543" s="26">
        <v>31</v>
      </c>
      <c r="Q2543" s="26">
        <v>3</v>
      </c>
      <c r="R2543" s="26">
        <v>1</v>
      </c>
      <c r="S2543" s="26">
        <v>3</v>
      </c>
      <c r="T2543" s="26">
        <v>2</v>
      </c>
      <c r="U2543" s="26">
        <v>6</v>
      </c>
      <c r="V2543" s="26">
        <v>1</v>
      </c>
      <c r="W2543" s="26"/>
    </row>
    <row r="2544" spans="1:23" x14ac:dyDescent="0.25">
      <c r="A2544" s="26" t="str">
        <f t="shared" si="487"/>
        <v>PREESCOLAR</v>
      </c>
      <c r="B2544" s="26" t="str">
        <f>"09PJN4979H"</f>
        <v>09PJN4979H</v>
      </c>
      <c r="C2544" s="26" t="str">
        <f>"COLEGIO PETERSON TLALPAN                                                                            "</f>
        <v xml:space="preserve">COLEGIO PETERSON TLALPAN                                                                            </v>
      </c>
      <c r="D2544" s="26" t="str">
        <f t="shared" si="503"/>
        <v>MATUTINO</v>
      </c>
      <c r="E2544" s="26" t="str">
        <f>"CARRETERA FEDERAL A CUERNAVACA NO. 6871                                         "</f>
        <v xml:space="preserve">CARRETERA FEDERAL A CUERNAVACA NO. 6871                                         </v>
      </c>
      <c r="F2544" s="26" t="str">
        <f>"SAN ANDRES TOTOLTEPEC                                                                                                                       "</f>
        <v xml:space="preserve">SAN ANDRES TOTOLTEPEC                                                                                                                       </v>
      </c>
      <c r="G2544" s="26" t="str">
        <f>"TLALPAN                                                                         "</f>
        <v xml:space="preserve">TLALPAN                                                                         </v>
      </c>
      <c r="H2544" s="26" t="str">
        <f>"226"</f>
        <v>226</v>
      </c>
      <c r="I2544" s="26" t="str">
        <f t="shared" si="488"/>
        <v>00</v>
      </c>
      <c r="J2544" s="26" t="str">
        <f t="shared" si="504"/>
        <v xml:space="preserve">35 </v>
      </c>
      <c r="K2544" s="26" t="str">
        <f t="shared" si="501"/>
        <v>EP</v>
      </c>
      <c r="L2544" s="26" t="str">
        <f t="shared" si="502"/>
        <v>DGOSE</v>
      </c>
      <c r="M2544" s="26" t="str">
        <f t="shared" si="486"/>
        <v>PARTICULAR</v>
      </c>
      <c r="N2544" s="26">
        <v>51</v>
      </c>
      <c r="O2544" s="26">
        <v>19</v>
      </c>
      <c r="P2544" s="26">
        <v>32</v>
      </c>
      <c r="Q2544" s="26">
        <v>3</v>
      </c>
      <c r="R2544" s="26">
        <v>1</v>
      </c>
      <c r="S2544" s="26">
        <v>3</v>
      </c>
      <c r="T2544" s="26">
        <v>13</v>
      </c>
      <c r="U2544" s="26">
        <v>17</v>
      </c>
      <c r="V2544" s="26">
        <v>1</v>
      </c>
      <c r="W2544" s="26"/>
    </row>
    <row r="2545" spans="1:23" x14ac:dyDescent="0.25">
      <c r="A2545" s="26" t="str">
        <f t="shared" si="487"/>
        <v>PREESCOLAR</v>
      </c>
      <c r="B2545" s="26" t="str">
        <f>"09PJN4982Y"</f>
        <v>09PJN4982Y</v>
      </c>
      <c r="C2545" s="26" t="str">
        <f>"PINGOS                                                                                              "</f>
        <v xml:space="preserve">PINGOS                                                                                              </v>
      </c>
      <c r="D2545" s="26" t="str">
        <f t="shared" si="503"/>
        <v>MATUTINO</v>
      </c>
      <c r="E2545" s="26" t="str">
        <f>"AV. CASTELLANOS QUINTO NO. 250                                                  "</f>
        <v xml:space="preserve">AV. CASTELLANOS QUINTO NO. 250                                                  </v>
      </c>
      <c r="F2545" s="26" t="str">
        <f>"EDUCACION                                                                                                                                   "</f>
        <v xml:space="preserve">EDUCACION                                                                                                                                   </v>
      </c>
      <c r="G2545" s="26" t="str">
        <f>"COYOACAN                                                                        "</f>
        <v xml:space="preserve">COYOACAN                                                                        </v>
      </c>
      <c r="H2545" s="26" t="str">
        <f>"239"</f>
        <v>239</v>
      </c>
      <c r="I2545" s="26" t="str">
        <f t="shared" si="488"/>
        <v>00</v>
      </c>
      <c r="J2545" s="26" t="str">
        <f t="shared" si="504"/>
        <v xml:space="preserve">35 </v>
      </c>
      <c r="K2545" s="26" t="str">
        <f t="shared" si="501"/>
        <v>EP</v>
      </c>
      <c r="L2545" s="26" t="str">
        <f t="shared" si="502"/>
        <v>DGOSE</v>
      </c>
      <c r="M2545" s="26" t="str">
        <f t="shared" si="486"/>
        <v>PARTICULAR</v>
      </c>
      <c r="N2545" s="26">
        <v>4</v>
      </c>
      <c r="O2545" s="26">
        <v>3</v>
      </c>
      <c r="P2545" s="26">
        <v>1</v>
      </c>
      <c r="Q2545" s="26">
        <v>2</v>
      </c>
      <c r="R2545" s="26">
        <v>1</v>
      </c>
      <c r="S2545" s="26">
        <v>1</v>
      </c>
      <c r="T2545" s="26">
        <v>2</v>
      </c>
      <c r="U2545" s="26">
        <v>4</v>
      </c>
      <c r="V2545" s="26">
        <v>1</v>
      </c>
      <c r="W2545" s="26"/>
    </row>
    <row r="2546" spans="1:23" x14ac:dyDescent="0.25">
      <c r="A2546" s="26" t="str">
        <f t="shared" si="487"/>
        <v>PREESCOLAR</v>
      </c>
      <c r="B2546" s="26" t="str">
        <f>"09PJN4983U"</f>
        <v>09PJN4983U</v>
      </c>
      <c r="C2546" s="26" t="str">
        <f>"COLEGIO CHIARAVALLE MONTESSORI                                                                      "</f>
        <v xml:space="preserve">COLEGIO CHIARAVALLE MONTESSORI                                                                      </v>
      </c>
      <c r="D2546" s="26" t="str">
        <f t="shared" si="503"/>
        <v>MATUTINO</v>
      </c>
      <c r="E2546" s="26" t="str">
        <f>"CERRO DE SAN FRANCISCO NO. 295                                                  "</f>
        <v xml:space="preserve">CERRO DE SAN FRANCISCO NO. 295                                                  </v>
      </c>
      <c r="F2546" s="26" t="str">
        <f>"CAMPESTRE CHURUBUSCO                                                                                                                        "</f>
        <v xml:space="preserve">CAMPESTRE CHURUBUSCO                                                                                                                        </v>
      </c>
      <c r="G2546" s="26" t="str">
        <f>"COYOACAN                                                                        "</f>
        <v xml:space="preserve">COYOACAN                                                                        </v>
      </c>
      <c r="H2546" s="26" t="str">
        <f>"024"</f>
        <v>024</v>
      </c>
      <c r="I2546" s="26" t="str">
        <f t="shared" si="488"/>
        <v>00</v>
      </c>
      <c r="J2546" s="26" t="str">
        <f t="shared" si="504"/>
        <v xml:space="preserve">35 </v>
      </c>
      <c r="K2546" s="26" t="str">
        <f t="shared" si="501"/>
        <v>EP</v>
      </c>
      <c r="L2546" s="26" t="str">
        <f t="shared" si="502"/>
        <v>DGOSE</v>
      </c>
      <c r="M2546" s="26" t="str">
        <f t="shared" si="486"/>
        <v>PARTICULAR</v>
      </c>
      <c r="N2546" s="26">
        <v>13</v>
      </c>
      <c r="O2546" s="26">
        <v>5</v>
      </c>
      <c r="P2546" s="26">
        <v>8</v>
      </c>
      <c r="Q2546" s="26">
        <v>3</v>
      </c>
      <c r="R2546" s="26">
        <v>1</v>
      </c>
      <c r="S2546" s="26">
        <v>1</v>
      </c>
      <c r="T2546" s="26">
        <v>4</v>
      </c>
      <c r="U2546" s="26">
        <v>6</v>
      </c>
      <c r="V2546" s="26">
        <v>1</v>
      </c>
      <c r="W2546" s="26"/>
    </row>
    <row r="2547" spans="1:23" x14ac:dyDescent="0.25">
      <c r="A2547" s="26" t="str">
        <f t="shared" si="487"/>
        <v>PREESCOLAR</v>
      </c>
      <c r="B2547" s="26" t="str">
        <f>"09PJN4984T"</f>
        <v>09PJN4984T</v>
      </c>
      <c r="C2547" s="26" t="str">
        <f>"CENTRO GESELL                                                                                       "</f>
        <v xml:space="preserve">CENTRO GESELL                                                                                       </v>
      </c>
      <c r="D2547" s="26" t="str">
        <f t="shared" si="503"/>
        <v>MATUTINO</v>
      </c>
      <c r="E2547" s="26" t="str">
        <f>"CERRO DEL AGUA NO. 94                                                           "</f>
        <v xml:space="preserve">CERRO DEL AGUA NO. 94                                                           </v>
      </c>
      <c r="F2547" s="26" t="str">
        <f>"ROMERO DE TERREROS FRACCIONAMIENTO                                                                                                          "</f>
        <v xml:space="preserve">ROMERO DE TERREROS FRACCIONAMIENTO                                                                                                          </v>
      </c>
      <c r="G2547" s="26" t="str">
        <f>"COYOACAN                                                                        "</f>
        <v xml:space="preserve">COYOACAN                                                                        </v>
      </c>
      <c r="H2547" s="26" t="str">
        <f>"237"</f>
        <v>237</v>
      </c>
      <c r="I2547" s="26" t="str">
        <f t="shared" si="488"/>
        <v>00</v>
      </c>
      <c r="J2547" s="26" t="str">
        <f t="shared" si="504"/>
        <v xml:space="preserve">35 </v>
      </c>
      <c r="K2547" s="26" t="str">
        <f t="shared" si="501"/>
        <v>EP</v>
      </c>
      <c r="L2547" s="26" t="str">
        <f t="shared" si="502"/>
        <v>DGOSE</v>
      </c>
      <c r="M2547" s="26" t="str">
        <f t="shared" si="486"/>
        <v>PARTICULAR</v>
      </c>
      <c r="N2547" s="26">
        <v>28</v>
      </c>
      <c r="O2547" s="26">
        <v>15</v>
      </c>
      <c r="P2547" s="26">
        <v>13</v>
      </c>
      <c r="Q2547" s="26">
        <v>3</v>
      </c>
      <c r="R2547" s="26">
        <v>1</v>
      </c>
      <c r="S2547" s="26">
        <v>1</v>
      </c>
      <c r="T2547" s="26">
        <v>5</v>
      </c>
      <c r="U2547" s="26">
        <v>7</v>
      </c>
      <c r="V2547" s="26">
        <v>1</v>
      </c>
      <c r="W2547" s="26"/>
    </row>
    <row r="2548" spans="1:23" x14ac:dyDescent="0.25">
      <c r="A2548" s="26" t="str">
        <f t="shared" si="487"/>
        <v>PREESCOLAR</v>
      </c>
      <c r="B2548" s="26" t="str">
        <f>"09PJN4986R"</f>
        <v>09PJN4986R</v>
      </c>
      <c r="C2548" s="26" t="str">
        <f>"BABY TIME                                                                                           "</f>
        <v xml:space="preserve">BABY TIME                                                                                           </v>
      </c>
      <c r="D2548" s="26" t="str">
        <f t="shared" si="503"/>
        <v>MATUTINO</v>
      </c>
      <c r="E2548" s="26" t="str">
        <f>"RETORNO 27 NO.2                                                                 "</f>
        <v xml:space="preserve">RETORNO 27 NO.2                                                                 </v>
      </c>
      <c r="F2548" s="26" t="str">
        <f>"AVANTE                                                                                                                                      "</f>
        <v xml:space="preserve">AVANTE                                                                                                                                      </v>
      </c>
      <c r="G2548" s="26" t="str">
        <f>"COYOACAN                                                                        "</f>
        <v xml:space="preserve">COYOACAN                                                                        </v>
      </c>
      <c r="H2548" s="26" t="str">
        <f>"024"</f>
        <v>024</v>
      </c>
      <c r="I2548" s="26" t="str">
        <f t="shared" si="488"/>
        <v>00</v>
      </c>
      <c r="J2548" s="26" t="str">
        <f t="shared" si="504"/>
        <v xml:space="preserve">35 </v>
      </c>
      <c r="K2548" s="26" t="str">
        <f t="shared" si="501"/>
        <v>EP</v>
      </c>
      <c r="L2548" s="26" t="str">
        <f t="shared" si="502"/>
        <v>DGOSE</v>
      </c>
      <c r="M2548" s="26" t="str">
        <f t="shared" si="486"/>
        <v>PARTICULAR</v>
      </c>
      <c r="N2548" s="26">
        <v>19</v>
      </c>
      <c r="O2548" s="26">
        <v>9</v>
      </c>
      <c r="P2548" s="26">
        <v>10</v>
      </c>
      <c r="Q2548" s="26">
        <v>3</v>
      </c>
      <c r="R2548" s="26">
        <v>1</v>
      </c>
      <c r="S2548" s="26">
        <v>2</v>
      </c>
      <c r="T2548" s="26">
        <v>2</v>
      </c>
      <c r="U2548" s="26">
        <v>5</v>
      </c>
      <c r="V2548" s="26">
        <v>1</v>
      </c>
      <c r="W2548" s="26"/>
    </row>
    <row r="2549" spans="1:23" x14ac:dyDescent="0.25">
      <c r="A2549" s="26" t="str">
        <f t="shared" si="487"/>
        <v>PREESCOLAR</v>
      </c>
      <c r="B2549" s="26" t="str">
        <f>"09PJN4990D"</f>
        <v>09PJN4990D</v>
      </c>
      <c r="C2549" s="26" t="str">
        <f>"INSTITUTO JUAREZ                                                                                    "</f>
        <v xml:space="preserve">INSTITUTO JUAREZ                                                                                    </v>
      </c>
      <c r="D2549" s="26" t="str">
        <f t="shared" si="503"/>
        <v>MATUTINO</v>
      </c>
      <c r="E2549" s="26" t="str">
        <f>"CUAUHTEMOC NO. 99                                                               "</f>
        <v xml:space="preserve">CUAUHTEMOC NO. 99                                                               </v>
      </c>
      <c r="F2549" s="26" t="str">
        <f>"DEL CARMEN                                                                                                                                  "</f>
        <v xml:space="preserve">DEL CARMEN                                                                                                                                  </v>
      </c>
      <c r="G2549" s="26" t="str">
        <f>"COYOACAN                                                                        "</f>
        <v xml:space="preserve">COYOACAN                                                                        </v>
      </c>
      <c r="H2549" s="26" t="str">
        <f>"237"</f>
        <v>237</v>
      </c>
      <c r="I2549" s="26" t="str">
        <f t="shared" si="488"/>
        <v>00</v>
      </c>
      <c r="J2549" s="26" t="str">
        <f t="shared" si="504"/>
        <v xml:space="preserve">35 </v>
      </c>
      <c r="K2549" s="26" t="str">
        <f t="shared" si="501"/>
        <v>EP</v>
      </c>
      <c r="L2549" s="26" t="str">
        <f t="shared" si="502"/>
        <v>DGOSE</v>
      </c>
      <c r="M2549" s="26" t="str">
        <f t="shared" si="486"/>
        <v>PARTICULAR</v>
      </c>
      <c r="N2549" s="26">
        <v>62</v>
      </c>
      <c r="O2549" s="26">
        <v>28</v>
      </c>
      <c r="P2549" s="26">
        <v>34</v>
      </c>
      <c r="Q2549" s="26">
        <v>4</v>
      </c>
      <c r="R2549" s="26">
        <v>1</v>
      </c>
      <c r="S2549" s="26">
        <v>4</v>
      </c>
      <c r="T2549" s="26">
        <v>7</v>
      </c>
      <c r="U2549" s="26">
        <v>12</v>
      </c>
      <c r="V2549" s="26">
        <v>1</v>
      </c>
      <c r="W2549" s="26"/>
    </row>
    <row r="2550" spans="1:23" x14ac:dyDescent="0.25">
      <c r="A2550" s="26" t="str">
        <f t="shared" si="487"/>
        <v>PREESCOLAR</v>
      </c>
      <c r="B2550" s="26" t="str">
        <f>"09PJN4992B"</f>
        <v>09PJN4992B</v>
      </c>
      <c r="C2550" s="26" t="str">
        <f>"CENTRO EDUCATIVO PREESCOLAR PLAZAMIGOS                                                              "</f>
        <v xml:space="preserve">CENTRO EDUCATIVO PREESCOLAR PLAZAMIGOS                                                              </v>
      </c>
      <c r="D2550" s="26" t="str">
        <f t="shared" si="503"/>
        <v>MATUTINO</v>
      </c>
      <c r="E2550" s="26" t="str">
        <f>"CALZADA DE TLALPAN NO. 793                                                      "</f>
        <v xml:space="preserve">CALZADA DE TLALPAN NO. 793                                                      </v>
      </c>
      <c r="F2550" s="26" t="str">
        <f>"POSTAL                                                                                                                                      "</f>
        <v xml:space="preserve">POSTAL                                                                                                                                      </v>
      </c>
      <c r="G2550" s="26" t="str">
        <f>"BENITO JUAREZ                                                                   "</f>
        <v xml:space="preserve">BENITO JUAREZ                                                                   </v>
      </c>
      <c r="H2550" s="26" t="str">
        <f>"230"</f>
        <v>230</v>
      </c>
      <c r="I2550" s="26" t="str">
        <f t="shared" si="488"/>
        <v>00</v>
      </c>
      <c r="J2550" s="26" t="str">
        <f>"33 "</f>
        <v xml:space="preserve">33 </v>
      </c>
      <c r="K2550" s="26" t="str">
        <f t="shared" si="501"/>
        <v>EP</v>
      </c>
      <c r="L2550" s="26" t="str">
        <f t="shared" si="502"/>
        <v>DGOSE</v>
      </c>
      <c r="M2550" s="26" t="str">
        <f t="shared" si="486"/>
        <v>PARTICULAR</v>
      </c>
      <c r="N2550" s="26">
        <v>25</v>
      </c>
      <c r="O2550" s="26">
        <v>15</v>
      </c>
      <c r="P2550" s="26">
        <v>10</v>
      </c>
      <c r="Q2550" s="26">
        <v>3</v>
      </c>
      <c r="R2550" s="26">
        <v>1</v>
      </c>
      <c r="S2550" s="26">
        <v>3</v>
      </c>
      <c r="T2550" s="26">
        <v>5</v>
      </c>
      <c r="U2550" s="26">
        <v>9</v>
      </c>
      <c r="V2550" s="26">
        <v>1</v>
      </c>
      <c r="W2550" s="26"/>
    </row>
    <row r="2551" spans="1:23" x14ac:dyDescent="0.25">
      <c r="A2551" s="26" t="str">
        <f t="shared" si="487"/>
        <v>PREESCOLAR</v>
      </c>
      <c r="B2551" s="26" t="str">
        <f>"09PJN4996Y"</f>
        <v>09PJN4996Y</v>
      </c>
      <c r="C2551" s="26" t="str">
        <f>"RABINDRANATH TAGORE                                                                                 "</f>
        <v xml:space="preserve">RABINDRANATH TAGORE                                                                                 </v>
      </c>
      <c r="D2551" s="26" t="str">
        <f t="shared" si="503"/>
        <v>MATUTINO</v>
      </c>
      <c r="E2551" s="26" t="str">
        <f>"CEDRO MZ. 165 LT. 13 ZONA 5                                                     "</f>
        <v xml:space="preserve">CEDRO MZ. 165 LT. 13 ZONA 5                                                     </v>
      </c>
      <c r="F2551" s="26" t="str">
        <f>"TENORIOS                                                                                                                                    "</f>
        <v xml:space="preserve">TENORIOS                                                                                                                                    </v>
      </c>
      <c r="G2551" s="26" t="str">
        <f t="shared" ref="G2551:G2562" si="505">"IZTAPALAPA                                                                      "</f>
        <v xml:space="preserve">IZTAPALAPA                                                                      </v>
      </c>
      <c r="H2551" s="26" t="str">
        <f t="shared" ref="H2551:H2562" si="506">"000"</f>
        <v>000</v>
      </c>
      <c r="I2551" s="26" t="str">
        <f t="shared" si="488"/>
        <v>00</v>
      </c>
      <c r="J2551" s="26" t="str">
        <f>"64 "</f>
        <v xml:space="preserve">64 </v>
      </c>
      <c r="K2551" s="26" t="str">
        <f t="shared" ref="K2551:K2562" si="507">"IZ"</f>
        <v>IZ</v>
      </c>
      <c r="L2551" s="26" t="str">
        <f t="shared" ref="L2551:L2562" si="508">"DGSEI"</f>
        <v>DGSEI</v>
      </c>
      <c r="M2551" s="26" t="str">
        <f t="shared" si="486"/>
        <v>PARTICULAR</v>
      </c>
      <c r="N2551" s="26">
        <v>37</v>
      </c>
      <c r="O2551" s="26">
        <v>19</v>
      </c>
      <c r="P2551" s="26">
        <v>18</v>
      </c>
      <c r="Q2551" s="26">
        <v>3</v>
      </c>
      <c r="R2551" s="26">
        <v>1</v>
      </c>
      <c r="S2551" s="26">
        <v>3</v>
      </c>
      <c r="T2551" s="26">
        <v>1</v>
      </c>
      <c r="U2551" s="26">
        <v>5</v>
      </c>
      <c r="V2551" s="26">
        <v>1</v>
      </c>
      <c r="W2551" s="26"/>
    </row>
    <row r="2552" spans="1:23" x14ac:dyDescent="0.25">
      <c r="A2552" s="26" t="str">
        <f t="shared" si="487"/>
        <v>PREESCOLAR</v>
      </c>
      <c r="B2552" s="26" t="str">
        <f>"09PJN4997X"</f>
        <v>09PJN4997X</v>
      </c>
      <c r="C2552" s="26" t="str">
        <f>"JUAN RUIZ DE ALARCON                                                                                "</f>
        <v xml:space="preserve">JUAN RUIZ DE ALARCON                                                                                </v>
      </c>
      <c r="D2552" s="26" t="str">
        <f t="shared" si="503"/>
        <v>MATUTINO</v>
      </c>
      <c r="E2552" s="26" t="str">
        <f>"HORTENSIA NO. 16                                                                "</f>
        <v xml:space="preserve">HORTENSIA NO. 16                                                                </v>
      </c>
      <c r="F2552" s="26" t="str">
        <f>"LOS ANGELES APANOAYA                                                                                                                        "</f>
        <v xml:space="preserve">LOS ANGELES APANOAYA                                                                                                                        </v>
      </c>
      <c r="G2552" s="26" t="str">
        <f t="shared" si="505"/>
        <v xml:space="preserve">IZTAPALAPA                                                                      </v>
      </c>
      <c r="H2552" s="26" t="str">
        <f t="shared" si="506"/>
        <v>000</v>
      </c>
      <c r="I2552" s="26" t="str">
        <f t="shared" si="488"/>
        <v>00</v>
      </c>
      <c r="J2552" s="26" t="str">
        <f>"63 "</f>
        <v xml:space="preserve">63 </v>
      </c>
      <c r="K2552" s="26" t="str">
        <f t="shared" si="507"/>
        <v>IZ</v>
      </c>
      <c r="L2552" s="26" t="str">
        <f t="shared" si="508"/>
        <v>DGSEI</v>
      </c>
      <c r="M2552" s="26" t="str">
        <f t="shared" si="486"/>
        <v>PARTICULAR</v>
      </c>
      <c r="N2552" s="26">
        <v>30</v>
      </c>
      <c r="O2552" s="26">
        <v>16</v>
      </c>
      <c r="P2552" s="26">
        <v>14</v>
      </c>
      <c r="Q2552" s="26">
        <v>3</v>
      </c>
      <c r="R2552" s="26">
        <v>1</v>
      </c>
      <c r="S2552" s="26">
        <v>2</v>
      </c>
      <c r="T2552" s="26">
        <v>3</v>
      </c>
      <c r="U2552" s="26">
        <v>6</v>
      </c>
      <c r="V2552" s="26">
        <v>1</v>
      </c>
      <c r="W2552" s="26"/>
    </row>
    <row r="2553" spans="1:23" x14ac:dyDescent="0.25">
      <c r="A2553" s="26" t="str">
        <f t="shared" si="487"/>
        <v>PREESCOLAR</v>
      </c>
      <c r="B2553" s="26" t="str">
        <f>"09PJN4998W"</f>
        <v>09PJN4998W</v>
      </c>
      <c r="C2553" s="26" t="str">
        <f>"COLEGIO SUMMER HILL                                                                                 "</f>
        <v xml:space="preserve">COLEGIO SUMMER HILL                                                                                 </v>
      </c>
      <c r="D2553" s="26" t="str">
        <f t="shared" si="503"/>
        <v>MATUTINO</v>
      </c>
      <c r="E2553" s="26" t="str">
        <f>"RIO CARRIZAL NO. 17                                                             "</f>
        <v xml:space="preserve">RIO CARRIZAL NO. 17                                                             </v>
      </c>
      <c r="F2553" s="26" t="str">
        <f>"REAL DEL MORAL                                                                                                                              "</f>
        <v xml:space="preserve">REAL DEL MORAL                                                                                                                              </v>
      </c>
      <c r="G2553" s="26" t="str">
        <f t="shared" si="505"/>
        <v xml:space="preserve">IZTAPALAPA                                                                      </v>
      </c>
      <c r="H2553" s="26" t="str">
        <f t="shared" si="506"/>
        <v>000</v>
      </c>
      <c r="I2553" s="26" t="str">
        <f t="shared" si="488"/>
        <v>00</v>
      </c>
      <c r="J2553" s="26" t="str">
        <f>"61 "</f>
        <v xml:space="preserve">61 </v>
      </c>
      <c r="K2553" s="26" t="str">
        <f t="shared" si="507"/>
        <v>IZ</v>
      </c>
      <c r="L2553" s="26" t="str">
        <f t="shared" si="508"/>
        <v>DGSEI</v>
      </c>
      <c r="M2553" s="26" t="str">
        <f t="shared" si="486"/>
        <v>PARTICULAR</v>
      </c>
      <c r="N2553" s="26">
        <v>26</v>
      </c>
      <c r="O2553" s="26">
        <v>15</v>
      </c>
      <c r="P2553" s="26">
        <v>11</v>
      </c>
      <c r="Q2553" s="26">
        <v>3</v>
      </c>
      <c r="R2553" s="26">
        <v>1</v>
      </c>
      <c r="S2553" s="26">
        <v>3</v>
      </c>
      <c r="T2553" s="26">
        <v>3</v>
      </c>
      <c r="U2553" s="26">
        <v>7</v>
      </c>
      <c r="V2553" s="26">
        <v>1</v>
      </c>
      <c r="W2553" s="26"/>
    </row>
    <row r="2554" spans="1:23" x14ac:dyDescent="0.25">
      <c r="A2554" s="26" t="str">
        <f t="shared" si="487"/>
        <v>PREESCOLAR</v>
      </c>
      <c r="B2554" s="26" t="str">
        <f>"09PJN4999V"</f>
        <v>09PJN4999V</v>
      </c>
      <c r="C2554" s="26" t="str">
        <f>"HANS CHRISTIAN ANDERSEN                                                                             "</f>
        <v xml:space="preserve">HANS CHRISTIAN ANDERSEN                                                                             </v>
      </c>
      <c r="D2554" s="26" t="str">
        <f t="shared" si="503"/>
        <v>MATUTINO</v>
      </c>
      <c r="E2554" s="26" t="str">
        <f>"VALENTIN GOMEZ FARIAS MZ. 81 LT. 42                                             "</f>
        <v xml:space="preserve">VALENTIN GOMEZ FARIAS MZ. 81 LT. 42                                             </v>
      </c>
      <c r="F2554" s="26" t="str">
        <f>"TENORIOS                                                                                                                                    "</f>
        <v xml:space="preserve">TENORIOS                                                                                                                                    </v>
      </c>
      <c r="G2554" s="26" t="str">
        <f t="shared" si="505"/>
        <v xml:space="preserve">IZTAPALAPA                                                                      </v>
      </c>
      <c r="H2554" s="26" t="str">
        <f t="shared" si="506"/>
        <v>000</v>
      </c>
      <c r="I2554" s="26" t="str">
        <f t="shared" si="488"/>
        <v>00</v>
      </c>
      <c r="J2554" s="26" t="str">
        <f>"64 "</f>
        <v xml:space="preserve">64 </v>
      </c>
      <c r="K2554" s="26" t="str">
        <f t="shared" si="507"/>
        <v>IZ</v>
      </c>
      <c r="L2554" s="26" t="str">
        <f t="shared" si="508"/>
        <v>DGSEI</v>
      </c>
      <c r="M2554" s="26" t="str">
        <f t="shared" si="486"/>
        <v>PARTICULAR</v>
      </c>
      <c r="N2554" s="26">
        <v>35</v>
      </c>
      <c r="O2554" s="26">
        <v>20</v>
      </c>
      <c r="P2554" s="26">
        <v>15</v>
      </c>
      <c r="Q2554" s="26">
        <v>3</v>
      </c>
      <c r="R2554" s="26">
        <v>1</v>
      </c>
      <c r="S2554" s="26">
        <v>3</v>
      </c>
      <c r="T2554" s="26">
        <v>2</v>
      </c>
      <c r="U2554" s="26">
        <v>6</v>
      </c>
      <c r="V2554" s="26">
        <v>1</v>
      </c>
      <c r="W2554" s="26"/>
    </row>
    <row r="2555" spans="1:23" x14ac:dyDescent="0.25">
      <c r="A2555" s="26" t="str">
        <f t="shared" si="487"/>
        <v>PREESCOLAR</v>
      </c>
      <c r="B2555" s="26" t="str">
        <f>"09PJN5000K"</f>
        <v>09PJN5000K</v>
      </c>
      <c r="C2555" s="26" t="str">
        <f>"ELISA ACUÑA Y ROSSETTI                                                                              "</f>
        <v xml:space="preserve">ELISA ACUÑA Y ROSSETTI                                                                              </v>
      </c>
      <c r="D2555" s="26" t="str">
        <f t="shared" si="503"/>
        <v>MATUTINO</v>
      </c>
      <c r="E2555" s="26" t="str">
        <f>"CDA. DE PAROTAS MZ. 124 LT. 60                                                  "</f>
        <v xml:space="preserve">CDA. DE PAROTAS MZ. 124 LT. 60                                                  </v>
      </c>
      <c r="F2555" s="26" t="str">
        <f>"SANTIAGO ACAHUALTEPEC AMPLIACION                                                                                                            "</f>
        <v xml:space="preserve">SANTIAGO ACAHUALTEPEC AMPLIACION                                                                                                            </v>
      </c>
      <c r="G2555" s="26" t="str">
        <f t="shared" si="505"/>
        <v xml:space="preserve">IZTAPALAPA                                                                      </v>
      </c>
      <c r="H2555" s="26" t="str">
        <f t="shared" si="506"/>
        <v>000</v>
      </c>
      <c r="I2555" s="26" t="str">
        <f t="shared" si="488"/>
        <v>00</v>
      </c>
      <c r="J2555" s="26" t="str">
        <f>"64 "</f>
        <v xml:space="preserve">64 </v>
      </c>
      <c r="K2555" s="26" t="str">
        <f t="shared" si="507"/>
        <v>IZ</v>
      </c>
      <c r="L2555" s="26" t="str">
        <f t="shared" si="508"/>
        <v>DGSEI</v>
      </c>
      <c r="M2555" s="26" t="str">
        <f t="shared" si="486"/>
        <v>PARTICULAR</v>
      </c>
      <c r="N2555" s="26">
        <v>22</v>
      </c>
      <c r="O2555" s="26">
        <v>12</v>
      </c>
      <c r="P2555" s="26">
        <v>10</v>
      </c>
      <c r="Q2555" s="26">
        <v>2</v>
      </c>
      <c r="R2555" s="26">
        <v>1</v>
      </c>
      <c r="S2555" s="26">
        <v>2</v>
      </c>
      <c r="T2555" s="26">
        <v>0</v>
      </c>
      <c r="U2555" s="26">
        <v>3</v>
      </c>
      <c r="V2555" s="26">
        <v>1</v>
      </c>
      <c r="W2555" s="26"/>
    </row>
    <row r="2556" spans="1:23" x14ac:dyDescent="0.25">
      <c r="A2556" s="26" t="str">
        <f t="shared" si="487"/>
        <v>PREESCOLAR</v>
      </c>
      <c r="B2556" s="26" t="str">
        <f>"09PJN5001J"</f>
        <v>09PJN5001J</v>
      </c>
      <c r="C2556" s="26" t="str">
        <f>"JUGANDO CON A B C                                                                                   "</f>
        <v xml:space="preserve">JUGANDO CON A B C                                                                                   </v>
      </c>
      <c r="D2556" s="26" t="str">
        <f t="shared" si="503"/>
        <v>MATUTINO</v>
      </c>
      <c r="E2556" s="26" t="str">
        <f>"BOSQUES DE ABEDULES MZ. 329 LT. 7                                               "</f>
        <v xml:space="preserve">BOSQUES DE ABEDULES MZ. 329 LT. 7                                               </v>
      </c>
      <c r="F2556" s="26" t="str">
        <f>"MIGUEL DE LA MADRID HURTADO                                                                                                                 "</f>
        <v xml:space="preserve">MIGUEL DE LA MADRID HURTADO                                                                                                                 </v>
      </c>
      <c r="G2556" s="26" t="str">
        <f t="shared" si="505"/>
        <v xml:space="preserve">IZTAPALAPA                                                                      </v>
      </c>
      <c r="H2556" s="26" t="str">
        <f t="shared" si="506"/>
        <v>000</v>
      </c>
      <c r="I2556" s="26" t="str">
        <f t="shared" si="488"/>
        <v>00</v>
      </c>
      <c r="J2556" s="26" t="str">
        <f>"64 "</f>
        <v xml:space="preserve">64 </v>
      </c>
      <c r="K2556" s="26" t="str">
        <f t="shared" si="507"/>
        <v>IZ</v>
      </c>
      <c r="L2556" s="26" t="str">
        <f t="shared" si="508"/>
        <v>DGSEI</v>
      </c>
      <c r="M2556" s="26" t="str">
        <f t="shared" si="486"/>
        <v>PARTICULAR</v>
      </c>
      <c r="N2556" s="26">
        <v>52</v>
      </c>
      <c r="O2556" s="26">
        <v>20</v>
      </c>
      <c r="P2556" s="26">
        <v>32</v>
      </c>
      <c r="Q2556" s="26">
        <v>3</v>
      </c>
      <c r="R2556" s="26">
        <v>1</v>
      </c>
      <c r="S2556" s="26">
        <v>3</v>
      </c>
      <c r="T2556" s="26">
        <v>0</v>
      </c>
      <c r="U2556" s="26">
        <v>4</v>
      </c>
      <c r="V2556" s="26">
        <v>1</v>
      </c>
      <c r="W2556" s="26"/>
    </row>
    <row r="2557" spans="1:23" x14ac:dyDescent="0.25">
      <c r="A2557" s="26" t="str">
        <f t="shared" si="487"/>
        <v>PREESCOLAR</v>
      </c>
      <c r="B2557" s="26" t="str">
        <f>"09PJN5002I"</f>
        <v>09PJN5002I</v>
      </c>
      <c r="C2557" s="26" t="str">
        <f>"JUGANDO CON A B C                                                                                   "</f>
        <v xml:space="preserve">JUGANDO CON A B C                                                                                   </v>
      </c>
      <c r="D2557" s="26" t="str">
        <f>"VESPERTINO"</f>
        <v>VESPERTINO</v>
      </c>
      <c r="E2557" s="26" t="str">
        <f>"BOSQUES DE ABEDULES MZ. 329 LT. 7                                               "</f>
        <v xml:space="preserve">BOSQUES DE ABEDULES MZ. 329 LT. 7                                               </v>
      </c>
      <c r="F2557" s="26" t="str">
        <f>"MIGUEL DE LA MADRID HURTADO                                                                                                                 "</f>
        <v xml:space="preserve">MIGUEL DE LA MADRID HURTADO                                                                                                                 </v>
      </c>
      <c r="G2557" s="26" t="str">
        <f t="shared" si="505"/>
        <v xml:space="preserve">IZTAPALAPA                                                                      </v>
      </c>
      <c r="H2557" s="26" t="str">
        <f t="shared" si="506"/>
        <v>000</v>
      </c>
      <c r="I2557" s="26" t="str">
        <f t="shared" si="488"/>
        <v>00</v>
      </c>
      <c r="J2557" s="26" t="str">
        <f>"64 "</f>
        <v xml:space="preserve">64 </v>
      </c>
      <c r="K2557" s="26" t="str">
        <f t="shared" si="507"/>
        <v>IZ</v>
      </c>
      <c r="L2557" s="26" t="str">
        <f t="shared" si="508"/>
        <v>DGSEI</v>
      </c>
      <c r="M2557" s="26" t="str">
        <f t="shared" si="486"/>
        <v>PARTICULAR</v>
      </c>
      <c r="N2557" s="26">
        <v>34</v>
      </c>
      <c r="O2557" s="26">
        <v>12</v>
      </c>
      <c r="P2557" s="26">
        <v>22</v>
      </c>
      <c r="Q2557" s="26">
        <v>2</v>
      </c>
      <c r="R2557" s="26">
        <v>1</v>
      </c>
      <c r="S2557" s="26">
        <v>2</v>
      </c>
      <c r="T2557" s="26">
        <v>1</v>
      </c>
      <c r="U2557" s="26">
        <v>4</v>
      </c>
      <c r="V2557" s="26">
        <v>1</v>
      </c>
      <c r="W2557" s="26"/>
    </row>
    <row r="2558" spans="1:23" x14ac:dyDescent="0.25">
      <c r="A2558" s="26" t="str">
        <f t="shared" si="487"/>
        <v>PREESCOLAR</v>
      </c>
      <c r="B2558" s="26" t="str">
        <f>"09PJN5004G"</f>
        <v>09PJN5004G</v>
      </c>
      <c r="C2558" s="26" t="str">
        <f>"ERNESTO ALCONEDO                                                                                    "</f>
        <v xml:space="preserve">ERNESTO ALCONEDO                                                                                    </v>
      </c>
      <c r="D2558" s="26" t="str">
        <f t="shared" ref="D2558:D2576" si="509">"MATUTINO"</f>
        <v>MATUTINO</v>
      </c>
      <c r="E2558" s="26" t="str">
        <f>"CALLE 63 NO. 50                                                                 "</f>
        <v xml:space="preserve">CALLE 63 NO. 50                                                                 </v>
      </c>
      <c r="F2558" s="26" t="str">
        <f>"SANTA CRUZ MEYEHUALCO                                                                                                                       "</f>
        <v xml:space="preserve">SANTA CRUZ MEYEHUALCO                                                                                                                       </v>
      </c>
      <c r="G2558" s="26" t="str">
        <f t="shared" si="505"/>
        <v xml:space="preserve">IZTAPALAPA                                                                      </v>
      </c>
      <c r="H2558" s="26" t="str">
        <f t="shared" si="506"/>
        <v>000</v>
      </c>
      <c r="I2558" s="26" t="str">
        <f t="shared" si="488"/>
        <v>00</v>
      </c>
      <c r="J2558" s="26" t="str">
        <f>"64 "</f>
        <v xml:space="preserve">64 </v>
      </c>
      <c r="K2558" s="26" t="str">
        <f t="shared" si="507"/>
        <v>IZ</v>
      </c>
      <c r="L2558" s="26" t="str">
        <f t="shared" si="508"/>
        <v>DGSEI</v>
      </c>
      <c r="M2558" s="26" t="str">
        <f t="shared" si="486"/>
        <v>PARTICULAR</v>
      </c>
      <c r="N2558" s="26">
        <v>52</v>
      </c>
      <c r="O2558" s="26">
        <v>36</v>
      </c>
      <c r="P2558" s="26">
        <v>16</v>
      </c>
      <c r="Q2558" s="26">
        <v>3</v>
      </c>
      <c r="R2558" s="26">
        <v>1</v>
      </c>
      <c r="S2558" s="26">
        <v>3</v>
      </c>
      <c r="T2558" s="26">
        <v>3</v>
      </c>
      <c r="U2558" s="26">
        <v>7</v>
      </c>
      <c r="V2558" s="26">
        <v>1</v>
      </c>
      <c r="W2558" s="26"/>
    </row>
    <row r="2559" spans="1:23" x14ac:dyDescent="0.25">
      <c r="A2559" s="26" t="str">
        <f t="shared" si="487"/>
        <v>PREESCOLAR</v>
      </c>
      <c r="B2559" s="26" t="str">
        <f>"09PJN5005F"</f>
        <v>09PJN5005F</v>
      </c>
      <c r="C2559" s="26" t="str">
        <f>"COLEGIO LAS AMERICAS                                                                                "</f>
        <v xml:space="preserve">COLEGIO LAS AMERICAS                                                                                </v>
      </c>
      <c r="D2559" s="26" t="str">
        <f t="shared" si="509"/>
        <v>MATUTINO</v>
      </c>
      <c r="E2559" s="26" t="str">
        <f>"LEGUMINOSAS S/N MZ. 29 LT. 2                                                    "</f>
        <v xml:space="preserve">LEGUMINOSAS S/N MZ. 29 LT. 2                                                    </v>
      </c>
      <c r="F2559" s="26" t="str">
        <f>"VALLE DEL SUR                                                                                                                               "</f>
        <v xml:space="preserve">VALLE DEL SUR                                                                                                                               </v>
      </c>
      <c r="G2559" s="26" t="str">
        <f t="shared" si="505"/>
        <v xml:space="preserve">IZTAPALAPA                                                                      </v>
      </c>
      <c r="H2559" s="26" t="str">
        <f t="shared" si="506"/>
        <v>000</v>
      </c>
      <c r="I2559" s="26" t="str">
        <f t="shared" si="488"/>
        <v>00</v>
      </c>
      <c r="J2559" s="26" t="str">
        <f>"61 "</f>
        <v xml:space="preserve">61 </v>
      </c>
      <c r="K2559" s="26" t="str">
        <f t="shared" si="507"/>
        <v>IZ</v>
      </c>
      <c r="L2559" s="26" t="str">
        <f t="shared" si="508"/>
        <v>DGSEI</v>
      </c>
      <c r="M2559" s="26" t="str">
        <f t="shared" ref="M2559:M2622" si="510">"PARTICULAR"</f>
        <v>PARTICULAR</v>
      </c>
      <c r="N2559" s="26">
        <v>89</v>
      </c>
      <c r="O2559" s="26">
        <v>53</v>
      </c>
      <c r="P2559" s="26">
        <v>36</v>
      </c>
      <c r="Q2559" s="26">
        <v>5</v>
      </c>
      <c r="R2559" s="26">
        <v>1</v>
      </c>
      <c r="S2559" s="26">
        <v>3</v>
      </c>
      <c r="T2559" s="26">
        <v>9</v>
      </c>
      <c r="U2559" s="26">
        <v>13</v>
      </c>
      <c r="V2559" s="26">
        <v>1</v>
      </c>
      <c r="W2559" s="26"/>
    </row>
    <row r="2560" spans="1:23" x14ac:dyDescent="0.25">
      <c r="A2560" s="26" t="str">
        <f t="shared" si="487"/>
        <v>PREESCOLAR</v>
      </c>
      <c r="B2560" s="26" t="str">
        <f>"09PJN5009B"</f>
        <v>09PJN5009B</v>
      </c>
      <c r="C2560" s="26" t="str">
        <f>"DINO                                                                                                "</f>
        <v xml:space="preserve">DINO                                                                                                </v>
      </c>
      <c r="D2560" s="26" t="str">
        <f t="shared" si="509"/>
        <v>MATUTINO</v>
      </c>
      <c r="E2560" s="26" t="str">
        <f>"JACARANDAS MANZANA 46 LOTE 29                                                   "</f>
        <v xml:space="preserve">JACARANDAS MANZANA 46 LOTE 29                                                   </v>
      </c>
      <c r="F2560" s="26" t="str">
        <f>"SAN MIGUEL TEOTONGO                                                                                                                         "</f>
        <v xml:space="preserve">SAN MIGUEL TEOTONGO                                                                                                                         </v>
      </c>
      <c r="G2560" s="26" t="str">
        <f t="shared" si="505"/>
        <v xml:space="preserve">IZTAPALAPA                                                                      </v>
      </c>
      <c r="H2560" s="26" t="str">
        <f t="shared" si="506"/>
        <v>000</v>
      </c>
      <c r="I2560" s="26" t="str">
        <f t="shared" si="488"/>
        <v>00</v>
      </c>
      <c r="J2560" s="26" t="str">
        <f>"64 "</f>
        <v xml:space="preserve">64 </v>
      </c>
      <c r="K2560" s="26" t="str">
        <f t="shared" si="507"/>
        <v>IZ</v>
      </c>
      <c r="L2560" s="26" t="str">
        <f t="shared" si="508"/>
        <v>DGSEI</v>
      </c>
      <c r="M2560" s="26" t="str">
        <f t="shared" si="510"/>
        <v>PARTICULAR</v>
      </c>
      <c r="N2560" s="26">
        <v>29</v>
      </c>
      <c r="O2560" s="26">
        <v>19</v>
      </c>
      <c r="P2560" s="26">
        <v>10</v>
      </c>
      <c r="Q2560" s="26">
        <v>3</v>
      </c>
      <c r="R2560" s="26">
        <v>1</v>
      </c>
      <c r="S2560" s="26">
        <v>3</v>
      </c>
      <c r="T2560" s="26">
        <v>0</v>
      </c>
      <c r="U2560" s="26">
        <v>4</v>
      </c>
      <c r="V2560" s="26">
        <v>1</v>
      </c>
      <c r="W2560" s="26"/>
    </row>
    <row r="2561" spans="1:23" x14ac:dyDescent="0.25">
      <c r="A2561" s="26" t="str">
        <f t="shared" si="487"/>
        <v>PREESCOLAR</v>
      </c>
      <c r="B2561" s="26" t="str">
        <f>"09PJN5011Q"</f>
        <v>09PJN5011Q</v>
      </c>
      <c r="C2561" s="26" t="str">
        <f>"INSTITUTO STEFAN ZWEIG                                                                              "</f>
        <v xml:space="preserve">INSTITUTO STEFAN ZWEIG                                                                              </v>
      </c>
      <c r="D2561" s="26" t="str">
        <f t="shared" si="509"/>
        <v>MATUTINO</v>
      </c>
      <c r="E2561" s="26" t="str">
        <f>"20 DE NOVIEMBRE MZ. 49 LT. 537                                                  "</f>
        <v xml:space="preserve">20 DE NOVIEMBRE MZ. 49 LT. 537                                                  </v>
      </c>
      <c r="F2561" s="26" t="str">
        <f>"SANTA MARIA AZTAHUACAN                                                                                                                      "</f>
        <v xml:space="preserve">SANTA MARIA AZTAHUACAN                                                                                                                      </v>
      </c>
      <c r="G2561" s="26" t="str">
        <f t="shared" si="505"/>
        <v xml:space="preserve">IZTAPALAPA                                                                      </v>
      </c>
      <c r="H2561" s="26" t="str">
        <f t="shared" si="506"/>
        <v>000</v>
      </c>
      <c r="I2561" s="26" t="str">
        <f t="shared" si="488"/>
        <v>00</v>
      </c>
      <c r="J2561" s="26" t="str">
        <f>"64 "</f>
        <v xml:space="preserve">64 </v>
      </c>
      <c r="K2561" s="26" t="str">
        <f t="shared" si="507"/>
        <v>IZ</v>
      </c>
      <c r="L2561" s="26" t="str">
        <f t="shared" si="508"/>
        <v>DGSEI</v>
      </c>
      <c r="M2561" s="26" t="str">
        <f t="shared" si="510"/>
        <v>PARTICULAR</v>
      </c>
      <c r="N2561" s="26">
        <v>72</v>
      </c>
      <c r="O2561" s="26">
        <v>34</v>
      </c>
      <c r="P2561" s="26">
        <v>38</v>
      </c>
      <c r="Q2561" s="26">
        <v>3</v>
      </c>
      <c r="R2561" s="26">
        <v>1</v>
      </c>
      <c r="S2561" s="26">
        <v>3</v>
      </c>
      <c r="T2561" s="26">
        <v>4</v>
      </c>
      <c r="U2561" s="26">
        <v>8</v>
      </c>
      <c r="V2561" s="26">
        <v>1</v>
      </c>
      <c r="W2561" s="26"/>
    </row>
    <row r="2562" spans="1:23" x14ac:dyDescent="0.25">
      <c r="A2562" s="26" t="str">
        <f t="shared" ref="A2562:A2625" si="511">"PREESCOLAR"</f>
        <v>PREESCOLAR</v>
      </c>
      <c r="B2562" s="26" t="str">
        <f>"09PJN5013O"</f>
        <v>09PJN5013O</v>
      </c>
      <c r="C2562" s="26" t="str">
        <f>"PIERRE JANET                                                                                        "</f>
        <v xml:space="preserve">PIERRE JANET                                                                                        </v>
      </c>
      <c r="D2562" s="26" t="str">
        <f t="shared" si="509"/>
        <v>MATUTINO</v>
      </c>
      <c r="E2562" s="26" t="str">
        <f>"AGUSTIN MELGAR NO 37 MZ 7 LT 18                                                 "</f>
        <v xml:space="preserve">AGUSTIN MELGAR NO 37 MZ 7 LT 18                                                 </v>
      </c>
      <c r="F2562" s="26" t="str">
        <f>"GUADALUPE DEL MORAL                                                                                                                         "</f>
        <v xml:space="preserve">GUADALUPE DEL MORAL                                                                                                                         </v>
      </c>
      <c r="G2562" s="26" t="str">
        <f t="shared" si="505"/>
        <v xml:space="preserve">IZTAPALAPA                                                                      </v>
      </c>
      <c r="H2562" s="26" t="str">
        <f t="shared" si="506"/>
        <v>000</v>
      </c>
      <c r="I2562" s="26" t="str">
        <f t="shared" ref="I2562:I2625" si="512">"00"</f>
        <v>00</v>
      </c>
      <c r="J2562" s="26" t="str">
        <f>"61 "</f>
        <v xml:space="preserve">61 </v>
      </c>
      <c r="K2562" s="26" t="str">
        <f t="shared" si="507"/>
        <v>IZ</v>
      </c>
      <c r="L2562" s="26" t="str">
        <f t="shared" si="508"/>
        <v>DGSEI</v>
      </c>
      <c r="M2562" s="26" t="str">
        <f t="shared" si="510"/>
        <v>PARTICULAR</v>
      </c>
      <c r="N2562" s="26">
        <v>44</v>
      </c>
      <c r="O2562" s="26">
        <v>22</v>
      </c>
      <c r="P2562" s="26">
        <v>22</v>
      </c>
      <c r="Q2562" s="26">
        <v>3</v>
      </c>
      <c r="R2562" s="26">
        <v>1</v>
      </c>
      <c r="S2562" s="26">
        <v>3</v>
      </c>
      <c r="T2562" s="26">
        <v>0</v>
      </c>
      <c r="U2562" s="26">
        <v>4</v>
      </c>
      <c r="V2562" s="26">
        <v>1</v>
      </c>
      <c r="W2562" s="26"/>
    </row>
    <row r="2563" spans="1:23" x14ac:dyDescent="0.25">
      <c r="A2563" s="26" t="str">
        <f t="shared" si="511"/>
        <v>PREESCOLAR</v>
      </c>
      <c r="B2563" s="26" t="str">
        <f>"09PJN5016L"</f>
        <v>09PJN5016L</v>
      </c>
      <c r="C2563" s="26" t="str">
        <f>"COLEGIO MEXICO BRITÁNICO DE FORMACIÓN INTEGRAL HUMANA                                               "</f>
        <v xml:space="preserve">COLEGIO MEXICO BRITÁNICO DE FORMACIÓN INTEGRAL HUMANA                                               </v>
      </c>
      <c r="D2563" s="26" t="str">
        <f t="shared" si="509"/>
        <v>MATUTINO</v>
      </c>
      <c r="E2563" s="26" t="s">
        <v>110</v>
      </c>
      <c r="F2563" s="26" t="str">
        <f>"SAN FRANCISCO TLALTENCO                                                                                                                     "</f>
        <v xml:space="preserve">SAN FRANCISCO TLALTENCO                                                                                                                     </v>
      </c>
      <c r="G2563" s="26" t="str">
        <f>"TLAHUAC                                                                         "</f>
        <v xml:space="preserve">TLAHUAC                                                                         </v>
      </c>
      <c r="H2563" s="26" t="str">
        <f>"223"</f>
        <v>223</v>
      </c>
      <c r="I2563" s="26" t="str">
        <f t="shared" si="512"/>
        <v>00</v>
      </c>
      <c r="J2563" s="26" t="str">
        <f>"35 "</f>
        <v xml:space="preserve">35 </v>
      </c>
      <c r="K2563" s="26" t="str">
        <f t="shared" ref="K2563:K2568" si="513">"EP"</f>
        <v>EP</v>
      </c>
      <c r="L2563" s="26" t="str">
        <f t="shared" ref="L2563:L2568" si="514">"DGOSE"</f>
        <v>DGOSE</v>
      </c>
      <c r="M2563" s="26" t="str">
        <f t="shared" si="510"/>
        <v>PARTICULAR</v>
      </c>
      <c r="N2563" s="26">
        <v>34</v>
      </c>
      <c r="O2563" s="26">
        <v>15</v>
      </c>
      <c r="P2563" s="26">
        <v>19</v>
      </c>
      <c r="Q2563" s="26">
        <v>3</v>
      </c>
      <c r="R2563" s="26">
        <v>1</v>
      </c>
      <c r="S2563" s="26">
        <v>3</v>
      </c>
      <c r="T2563" s="26">
        <v>8</v>
      </c>
      <c r="U2563" s="26">
        <v>12</v>
      </c>
      <c r="V2563" s="26">
        <v>1</v>
      </c>
      <c r="W2563" s="26"/>
    </row>
    <row r="2564" spans="1:23" x14ac:dyDescent="0.25">
      <c r="A2564" s="26" t="str">
        <f t="shared" si="511"/>
        <v>PREESCOLAR</v>
      </c>
      <c r="B2564" s="26" t="str">
        <f>"09PJN5017K"</f>
        <v>09PJN5017K</v>
      </c>
      <c r="C2564" s="26" t="str">
        <f>"LICEO ANGLO PEDAGOGICO SAN FRANCISCO                                                                "</f>
        <v xml:space="preserve">LICEO ANGLO PEDAGOGICO SAN FRANCISCO                                                                </v>
      </c>
      <c r="D2564" s="26" t="str">
        <f t="shared" si="509"/>
        <v>MATUTINO</v>
      </c>
      <c r="E2564" s="26" t="s">
        <v>111</v>
      </c>
      <c r="F2564" s="26" t="str">
        <f>"SELENE                                                                                                                                      "</f>
        <v xml:space="preserve">SELENE                                                                                                                                      </v>
      </c>
      <c r="G2564" s="26" t="str">
        <f>"TLAHUAC                                                                         "</f>
        <v xml:space="preserve">TLAHUAC                                                                         </v>
      </c>
      <c r="H2564" s="26" t="str">
        <f>"223"</f>
        <v>223</v>
      </c>
      <c r="I2564" s="26" t="str">
        <f t="shared" si="512"/>
        <v>00</v>
      </c>
      <c r="J2564" s="26" t="str">
        <f>"35 "</f>
        <v xml:space="preserve">35 </v>
      </c>
      <c r="K2564" s="26" t="str">
        <f t="shared" si="513"/>
        <v>EP</v>
      </c>
      <c r="L2564" s="26" t="str">
        <f t="shared" si="514"/>
        <v>DGOSE</v>
      </c>
      <c r="M2564" s="26" t="str">
        <f t="shared" si="510"/>
        <v>PARTICULAR</v>
      </c>
      <c r="N2564" s="26">
        <v>32</v>
      </c>
      <c r="O2564" s="26">
        <v>14</v>
      </c>
      <c r="P2564" s="26">
        <v>18</v>
      </c>
      <c r="Q2564" s="26">
        <v>3</v>
      </c>
      <c r="R2564" s="26">
        <v>1</v>
      </c>
      <c r="S2564" s="26">
        <v>3</v>
      </c>
      <c r="T2564" s="26">
        <v>7</v>
      </c>
      <c r="U2564" s="26">
        <v>11</v>
      </c>
      <c r="V2564" s="26">
        <v>1</v>
      </c>
      <c r="W2564" s="26"/>
    </row>
    <row r="2565" spans="1:23" x14ac:dyDescent="0.25">
      <c r="A2565" s="26" t="str">
        <f t="shared" si="511"/>
        <v>PREESCOLAR</v>
      </c>
      <c r="B2565" s="26" t="str">
        <f>"09PJN5019I"</f>
        <v>09PJN5019I</v>
      </c>
      <c r="C2565" s="26" t="str">
        <f>"NUEVO COLEGIO CONTINENTAL AMERICANO                                                                 "</f>
        <v xml:space="preserve">NUEVO COLEGIO CONTINENTAL AMERICANO                                                                 </v>
      </c>
      <c r="D2565" s="26" t="str">
        <f t="shared" si="509"/>
        <v>MATUTINO</v>
      </c>
      <c r="E2565" s="26" t="str">
        <f>"CERRADA POPOCATEPETL NO. 50                                                     "</f>
        <v xml:space="preserve">CERRADA POPOCATEPETL NO. 50                                                     </v>
      </c>
      <c r="F2565" s="26" t="str">
        <f>"GENERAL PEDRO MARIA ANAYA                                                                                                                   "</f>
        <v xml:space="preserve">GENERAL PEDRO MARIA ANAYA                                                                                                                   </v>
      </c>
      <c r="G2565" s="26" t="str">
        <f>"BENITO JUAREZ                                                                   "</f>
        <v xml:space="preserve">BENITO JUAREZ                                                                   </v>
      </c>
      <c r="H2565" s="26" t="str">
        <f>"234"</f>
        <v>234</v>
      </c>
      <c r="I2565" s="26" t="str">
        <f t="shared" si="512"/>
        <v>00</v>
      </c>
      <c r="J2565" s="26" t="str">
        <f>"33 "</f>
        <v xml:space="preserve">33 </v>
      </c>
      <c r="K2565" s="26" t="str">
        <f t="shared" si="513"/>
        <v>EP</v>
      </c>
      <c r="L2565" s="26" t="str">
        <f t="shared" si="514"/>
        <v>DGOSE</v>
      </c>
      <c r="M2565" s="26" t="str">
        <f t="shared" si="510"/>
        <v>PARTICULAR</v>
      </c>
      <c r="N2565" s="26">
        <v>17</v>
      </c>
      <c r="O2565" s="26">
        <v>9</v>
      </c>
      <c r="P2565" s="26">
        <v>8</v>
      </c>
      <c r="Q2565" s="26">
        <v>3</v>
      </c>
      <c r="R2565" s="26">
        <v>1</v>
      </c>
      <c r="S2565" s="26">
        <v>3</v>
      </c>
      <c r="T2565" s="26">
        <v>6</v>
      </c>
      <c r="U2565" s="26">
        <v>10</v>
      </c>
      <c r="V2565" s="26">
        <v>1</v>
      </c>
      <c r="W2565" s="26"/>
    </row>
    <row r="2566" spans="1:23" x14ac:dyDescent="0.25">
      <c r="A2566" s="26" t="str">
        <f t="shared" si="511"/>
        <v>PREESCOLAR</v>
      </c>
      <c r="B2566" s="26" t="str">
        <f>"09PJN5020Y"</f>
        <v>09PJN5020Y</v>
      </c>
      <c r="C2566" s="26" t="str">
        <f>"EL RINCON INFANTIL MONTESSORI                                                                       "</f>
        <v xml:space="preserve">EL RINCON INFANTIL MONTESSORI                                                                       </v>
      </c>
      <c r="D2566" s="26" t="str">
        <f t="shared" si="509"/>
        <v>MATUTINO</v>
      </c>
      <c r="E2566" s="26" t="str">
        <f>"CARRETERACO NO. 102                                                             "</f>
        <v xml:space="preserve">CARRETERACO NO. 102                                                             </v>
      </c>
      <c r="F2566" s="26" t="str">
        <f>"SAN LUCAS                                                                                                                                   "</f>
        <v xml:space="preserve">SAN LUCAS                                                                                                                                   </v>
      </c>
      <c r="G2566" s="26" t="str">
        <f>"COYOACAN                                                                        "</f>
        <v xml:space="preserve">COYOACAN                                                                        </v>
      </c>
      <c r="H2566" s="26" t="str">
        <f>"111"</f>
        <v>111</v>
      </c>
      <c r="I2566" s="26" t="str">
        <f t="shared" si="512"/>
        <v>00</v>
      </c>
      <c r="J2566" s="26" t="str">
        <f>"35 "</f>
        <v xml:space="preserve">35 </v>
      </c>
      <c r="K2566" s="26" t="str">
        <f t="shared" si="513"/>
        <v>EP</v>
      </c>
      <c r="L2566" s="26" t="str">
        <f t="shared" si="514"/>
        <v>DGOSE</v>
      </c>
      <c r="M2566" s="26" t="str">
        <f t="shared" si="510"/>
        <v>PARTICULAR</v>
      </c>
      <c r="N2566" s="26">
        <v>29</v>
      </c>
      <c r="O2566" s="26">
        <v>17</v>
      </c>
      <c r="P2566" s="26">
        <v>12</v>
      </c>
      <c r="Q2566" s="26">
        <v>3</v>
      </c>
      <c r="R2566" s="26">
        <v>1</v>
      </c>
      <c r="S2566" s="26">
        <v>3</v>
      </c>
      <c r="T2566" s="26">
        <v>1</v>
      </c>
      <c r="U2566" s="26">
        <v>5</v>
      </c>
      <c r="V2566" s="26">
        <v>1</v>
      </c>
      <c r="W2566" s="26"/>
    </row>
    <row r="2567" spans="1:23" x14ac:dyDescent="0.25">
      <c r="A2567" s="26" t="str">
        <f t="shared" si="511"/>
        <v>PREESCOLAR</v>
      </c>
      <c r="B2567" s="26" t="str">
        <f>"09PJN5021X"</f>
        <v>09PJN5021X</v>
      </c>
      <c r="C2567" s="26" t="str">
        <f>"KID'S CENTER PRESIDENTES                                                                            "</f>
        <v xml:space="preserve">KID'S CENTER PRESIDENTES                                                                            </v>
      </c>
      <c r="D2567" s="26" t="str">
        <f t="shared" si="509"/>
        <v>MATUTINO</v>
      </c>
      <c r="E2567" s="26" t="str">
        <f>"EUSEBIO ROSAS DE LA ROSA NO. 102                                                "</f>
        <v xml:space="preserve">EUSEBIO ROSAS DE LA ROSA NO. 102                                                </v>
      </c>
      <c r="F2567" s="26" t="str">
        <f>"PRESIDENTES EJIDALES                                                                                                                        "</f>
        <v xml:space="preserve">PRESIDENTES EJIDALES                                                                                                                        </v>
      </c>
      <c r="G2567" s="26" t="str">
        <f>"COYOACAN                                                                        "</f>
        <v xml:space="preserve">COYOACAN                                                                        </v>
      </c>
      <c r="H2567" s="26" t="str">
        <f>"156"</f>
        <v>156</v>
      </c>
      <c r="I2567" s="26" t="str">
        <f t="shared" si="512"/>
        <v>00</v>
      </c>
      <c r="J2567" s="26" t="str">
        <f>"35 "</f>
        <v xml:space="preserve">35 </v>
      </c>
      <c r="K2567" s="26" t="str">
        <f t="shared" si="513"/>
        <v>EP</v>
      </c>
      <c r="L2567" s="26" t="str">
        <f t="shared" si="514"/>
        <v>DGOSE</v>
      </c>
      <c r="M2567" s="26" t="str">
        <f t="shared" si="510"/>
        <v>PARTICULAR</v>
      </c>
      <c r="N2567" s="26">
        <v>15</v>
      </c>
      <c r="O2567" s="26">
        <v>11</v>
      </c>
      <c r="P2567" s="26">
        <v>4</v>
      </c>
      <c r="Q2567" s="26">
        <v>3</v>
      </c>
      <c r="R2567" s="26">
        <v>1</v>
      </c>
      <c r="S2567" s="26">
        <v>2</v>
      </c>
      <c r="T2567" s="26">
        <v>2</v>
      </c>
      <c r="U2567" s="26">
        <v>5</v>
      </c>
      <c r="V2567" s="26">
        <v>1</v>
      </c>
      <c r="W2567" s="26"/>
    </row>
    <row r="2568" spans="1:23" x14ac:dyDescent="0.25">
      <c r="A2568" s="26" t="str">
        <f t="shared" si="511"/>
        <v>PREESCOLAR</v>
      </c>
      <c r="B2568" s="26" t="str">
        <f>"09PJN5022W"</f>
        <v>09PJN5022W</v>
      </c>
      <c r="C2568" s="26" t="str">
        <f>"KINDER HAPPY KIDS                                                                                   "</f>
        <v xml:space="preserve">KINDER HAPPY KIDS                                                                                   </v>
      </c>
      <c r="D2568" s="26" t="str">
        <f t="shared" si="509"/>
        <v>MATUTINO</v>
      </c>
      <c r="E2568" s="26" t="str">
        <f>"KIMBILA (ACT.HUHUETAN) S/N. MZA.171 LT.5                                        "</f>
        <v xml:space="preserve">KIMBILA (ACT.HUHUETAN) S/N. MZA.171 LT.5                                        </v>
      </c>
      <c r="F2568" s="26" t="str">
        <f>"HEROES DE PADIERNA                                                                                                                          "</f>
        <v xml:space="preserve">HEROES DE PADIERNA                                                                                                                          </v>
      </c>
      <c r="G2568" s="26" t="str">
        <f>"TLALPAN                                                                         "</f>
        <v xml:space="preserve">TLALPAN                                                                         </v>
      </c>
      <c r="H2568" s="26" t="str">
        <f>"147"</f>
        <v>147</v>
      </c>
      <c r="I2568" s="26" t="str">
        <f t="shared" si="512"/>
        <v>00</v>
      </c>
      <c r="J2568" s="26" t="str">
        <f>"35 "</f>
        <v xml:space="preserve">35 </v>
      </c>
      <c r="K2568" s="26" t="str">
        <f t="shared" si="513"/>
        <v>EP</v>
      </c>
      <c r="L2568" s="26" t="str">
        <f t="shared" si="514"/>
        <v>DGOSE</v>
      </c>
      <c r="M2568" s="26" t="str">
        <f t="shared" si="510"/>
        <v>PARTICULAR</v>
      </c>
      <c r="N2568" s="26">
        <v>43</v>
      </c>
      <c r="O2568" s="26">
        <v>24</v>
      </c>
      <c r="P2568" s="26">
        <v>19</v>
      </c>
      <c r="Q2568" s="26">
        <v>3</v>
      </c>
      <c r="R2568" s="26">
        <v>1</v>
      </c>
      <c r="S2568" s="26">
        <v>2</v>
      </c>
      <c r="T2568" s="26">
        <v>5</v>
      </c>
      <c r="U2568" s="26">
        <v>8</v>
      </c>
      <c r="V2568" s="26">
        <v>1</v>
      </c>
      <c r="W2568" s="26"/>
    </row>
    <row r="2569" spans="1:23" x14ac:dyDescent="0.25">
      <c r="A2569" s="26" t="str">
        <f t="shared" si="511"/>
        <v>PREESCOLAR</v>
      </c>
      <c r="B2569" s="26" t="str">
        <f>"09PJN5024U"</f>
        <v>09PJN5024U</v>
      </c>
      <c r="C2569" s="26" t="str">
        <f>"GUADALUPE VICTORIA                                                                                  "</f>
        <v xml:space="preserve">GUADALUPE VICTORIA                                                                                  </v>
      </c>
      <c r="D2569" s="26" t="str">
        <f t="shared" si="509"/>
        <v>MATUTINO</v>
      </c>
      <c r="E2569" s="26" t="str">
        <f>"FLOR DE CAPOMO MZ. 3 LT. 8                                                      "</f>
        <v xml:space="preserve">FLOR DE CAPOMO MZ. 3 LT. 8                                                      </v>
      </c>
      <c r="F2569" s="26" t="str">
        <f>"SANTIAGO ACAHUALTEPEC 2A AMPLIACION                                                                                                         "</f>
        <v xml:space="preserve">SANTIAGO ACAHUALTEPEC 2A AMPLIACION                                                                                                         </v>
      </c>
      <c r="G2569" s="26" t="str">
        <f>"IZTAPALAPA                                                                      "</f>
        <v xml:space="preserve">IZTAPALAPA                                                                      </v>
      </c>
      <c r="H2569" s="26" t="str">
        <f>"000"</f>
        <v>000</v>
      </c>
      <c r="I2569" s="26" t="str">
        <f t="shared" si="512"/>
        <v>00</v>
      </c>
      <c r="J2569" s="26" t="str">
        <f>"64 "</f>
        <v xml:space="preserve">64 </v>
      </c>
      <c r="K2569" s="26" t="str">
        <f>"IZ"</f>
        <v>IZ</v>
      </c>
      <c r="L2569" s="26" t="str">
        <f>"DGSEI"</f>
        <v>DGSEI</v>
      </c>
      <c r="M2569" s="26" t="str">
        <f t="shared" si="510"/>
        <v>PARTICULAR</v>
      </c>
      <c r="N2569" s="26">
        <v>28</v>
      </c>
      <c r="O2569" s="26">
        <v>13</v>
      </c>
      <c r="P2569" s="26">
        <v>15</v>
      </c>
      <c r="Q2569" s="26">
        <v>3</v>
      </c>
      <c r="R2569" s="26">
        <v>0</v>
      </c>
      <c r="S2569" s="26">
        <v>1</v>
      </c>
      <c r="T2569" s="26">
        <v>5</v>
      </c>
      <c r="U2569" s="26">
        <v>6</v>
      </c>
      <c r="V2569" s="26">
        <v>1</v>
      </c>
      <c r="W2569" s="26"/>
    </row>
    <row r="2570" spans="1:23" x14ac:dyDescent="0.25">
      <c r="A2570" s="26" t="str">
        <f t="shared" si="511"/>
        <v>PREESCOLAR</v>
      </c>
      <c r="B2570" s="26" t="str">
        <f>"09PJN5026S"</f>
        <v>09PJN5026S</v>
      </c>
      <c r="C2570" s="26" t="str">
        <f>"JARDIN DE NIÑOS LAS ROSAS DEL TEPEYAC                                                               "</f>
        <v xml:space="preserve">JARDIN DE NIÑOS LAS ROSAS DEL TEPEYAC                                                               </v>
      </c>
      <c r="D2570" s="26" t="str">
        <f t="shared" si="509"/>
        <v>MATUTINO</v>
      </c>
      <c r="E2570" s="26" t="str">
        <f>"JAIME TORRES BODET NO. 230                                                      "</f>
        <v xml:space="preserve">JAIME TORRES BODET NO. 230                                                      </v>
      </c>
      <c r="F2570" s="26" t="str">
        <f>"SANTA MARIA LA RIBERA                                                                                                                       "</f>
        <v xml:space="preserve">SANTA MARIA LA RIBERA                                                                                                                       </v>
      </c>
      <c r="G2570" s="26" t="s">
        <v>4128</v>
      </c>
      <c r="H2570" s="26" t="str">
        <f>"203"</f>
        <v>203</v>
      </c>
      <c r="I2570" s="26" t="str">
        <f t="shared" si="512"/>
        <v>00</v>
      </c>
      <c r="J2570" s="26" t="str">
        <f>"32 "</f>
        <v xml:space="preserve">32 </v>
      </c>
      <c r="K2570" s="26" t="str">
        <f t="shared" ref="K2570:K2585" si="515">"EP"</f>
        <v>EP</v>
      </c>
      <c r="L2570" s="26" t="str">
        <f t="shared" ref="L2570:L2585" si="516">"DGOSE"</f>
        <v>DGOSE</v>
      </c>
      <c r="M2570" s="26" t="str">
        <f t="shared" si="510"/>
        <v>PARTICULAR</v>
      </c>
      <c r="N2570" s="26">
        <v>22</v>
      </c>
      <c r="O2570" s="26">
        <v>6</v>
      </c>
      <c r="P2570" s="26">
        <v>16</v>
      </c>
      <c r="Q2570" s="26">
        <v>3</v>
      </c>
      <c r="R2570" s="26">
        <v>1</v>
      </c>
      <c r="S2570" s="26">
        <v>3</v>
      </c>
      <c r="T2570" s="26">
        <v>4</v>
      </c>
      <c r="U2570" s="26">
        <v>8</v>
      </c>
      <c r="V2570" s="26">
        <v>1</v>
      </c>
      <c r="W2570" s="26"/>
    </row>
    <row r="2571" spans="1:23" x14ac:dyDescent="0.25">
      <c r="A2571" s="26" t="str">
        <f t="shared" si="511"/>
        <v>PREESCOLAR</v>
      </c>
      <c r="B2571" s="26" t="str">
        <f>"09PJN5027R"</f>
        <v>09PJN5027R</v>
      </c>
      <c r="C2571" s="26" t="str">
        <f>"BALOO                                                                                               "</f>
        <v xml:space="preserve">BALOO                                                                                               </v>
      </c>
      <c r="D2571" s="26" t="str">
        <f t="shared" si="509"/>
        <v>MATUTINO</v>
      </c>
      <c r="E2571" s="26" t="str">
        <f>"LAGO ERIE NO. 44                                                                "</f>
        <v xml:space="preserve">LAGO ERIE NO. 44                                                                </v>
      </c>
      <c r="F2571" s="26" t="str">
        <f>"TACUBA                                                                                                                                      "</f>
        <v xml:space="preserve">TACUBA                                                                                                                                      </v>
      </c>
      <c r="G2571" s="26" t="str">
        <f>"MIGUEL HIDALGO                                                                  "</f>
        <v xml:space="preserve">MIGUEL HIDALGO                                                                  </v>
      </c>
      <c r="H2571" s="26" t="str">
        <f>"196"</f>
        <v>196</v>
      </c>
      <c r="I2571" s="26" t="str">
        <f t="shared" si="512"/>
        <v>00</v>
      </c>
      <c r="J2571" s="26" t="str">
        <f>"32 "</f>
        <v xml:space="preserve">32 </v>
      </c>
      <c r="K2571" s="26" t="str">
        <f t="shared" si="515"/>
        <v>EP</v>
      </c>
      <c r="L2571" s="26" t="str">
        <f t="shared" si="516"/>
        <v>DGOSE</v>
      </c>
      <c r="M2571" s="26" t="str">
        <f t="shared" si="510"/>
        <v>PARTICULAR</v>
      </c>
      <c r="N2571" s="26">
        <v>67</v>
      </c>
      <c r="O2571" s="26">
        <v>39</v>
      </c>
      <c r="P2571" s="26">
        <v>28</v>
      </c>
      <c r="Q2571" s="26">
        <v>3</v>
      </c>
      <c r="R2571" s="26">
        <v>1</v>
      </c>
      <c r="S2571" s="26">
        <v>3</v>
      </c>
      <c r="T2571" s="26">
        <v>2</v>
      </c>
      <c r="U2571" s="26">
        <v>6</v>
      </c>
      <c r="V2571" s="26">
        <v>1</v>
      </c>
      <c r="W2571" s="26"/>
    </row>
    <row r="2572" spans="1:23" x14ac:dyDescent="0.25">
      <c r="A2572" s="26" t="str">
        <f t="shared" si="511"/>
        <v>PREESCOLAR</v>
      </c>
      <c r="B2572" s="26" t="str">
        <f>"09PJN5029P"</f>
        <v>09PJN5029P</v>
      </c>
      <c r="C2572" s="26" t="str">
        <f>"COLEGIO ALEMAN ALEXANDER VON HUMBOLDT                                                               "</f>
        <v xml:space="preserve">COLEGIO ALEMAN ALEXANDER VON HUMBOLDT                                                               </v>
      </c>
      <c r="D2572" s="26" t="str">
        <f t="shared" si="509"/>
        <v>MATUTINO</v>
      </c>
      <c r="E2572" s="26" t="str">
        <f>"PRADO NORTE NO. 559                                                             "</f>
        <v xml:space="preserve">PRADO NORTE NO. 559                                                             </v>
      </c>
      <c r="F2572" s="26" t="str">
        <f>"LOMAS DE CHAPULTEPEC                                                                                                                        "</f>
        <v xml:space="preserve">LOMAS DE CHAPULTEPEC                                                                                                                        </v>
      </c>
      <c r="G2572" s="26" t="str">
        <f>"MIGUEL HIDALGO                                                                  "</f>
        <v xml:space="preserve">MIGUEL HIDALGO                                                                  </v>
      </c>
      <c r="H2572" s="26" t="str">
        <f>"131"</f>
        <v>131</v>
      </c>
      <c r="I2572" s="26" t="str">
        <f t="shared" si="512"/>
        <v>00</v>
      </c>
      <c r="J2572" s="26" t="str">
        <f>"32 "</f>
        <v xml:space="preserve">32 </v>
      </c>
      <c r="K2572" s="26" t="str">
        <f t="shared" si="515"/>
        <v>EP</v>
      </c>
      <c r="L2572" s="26" t="str">
        <f t="shared" si="516"/>
        <v>DGOSE</v>
      </c>
      <c r="M2572" s="26" t="str">
        <f t="shared" si="510"/>
        <v>PARTICULAR</v>
      </c>
      <c r="N2572" s="26">
        <v>100</v>
      </c>
      <c r="O2572" s="26">
        <v>38</v>
      </c>
      <c r="P2572" s="26">
        <v>62</v>
      </c>
      <c r="Q2572" s="26">
        <v>6</v>
      </c>
      <c r="R2572" s="26">
        <v>1</v>
      </c>
      <c r="S2572" s="26">
        <v>6</v>
      </c>
      <c r="T2572" s="26">
        <v>12</v>
      </c>
      <c r="U2572" s="26">
        <v>19</v>
      </c>
      <c r="V2572" s="26">
        <v>1</v>
      </c>
      <c r="W2572" s="26"/>
    </row>
    <row r="2573" spans="1:23" x14ac:dyDescent="0.25">
      <c r="A2573" s="26" t="str">
        <f t="shared" si="511"/>
        <v>PREESCOLAR</v>
      </c>
      <c r="B2573" s="26" t="str">
        <f>"09PJN5031D"</f>
        <v>09PJN5031D</v>
      </c>
      <c r="C2573" s="26" t="str">
        <f>"DAYALTA                                                                                             "</f>
        <v xml:space="preserve">DAYALTA                                                                                             </v>
      </c>
      <c r="D2573" s="26" t="str">
        <f t="shared" si="509"/>
        <v>MATUTINO</v>
      </c>
      <c r="E2573" s="26" t="str">
        <f>"SALVADOR DIAZ MIRON NO. 178-2                                                   "</f>
        <v xml:space="preserve">SALVADOR DIAZ MIRON NO. 178-2                                                   </v>
      </c>
      <c r="F2573" s="26" t="str">
        <f>"SANTA MARIA LA RIBERA                                                                                                                       "</f>
        <v xml:space="preserve">SANTA MARIA LA RIBERA                                                                                                                       </v>
      </c>
      <c r="G2573" s="26" t="s">
        <v>4128</v>
      </c>
      <c r="H2573" s="26" t="str">
        <f>"057"</f>
        <v>057</v>
      </c>
      <c r="I2573" s="26" t="str">
        <f t="shared" si="512"/>
        <v>00</v>
      </c>
      <c r="J2573" s="26" t="str">
        <f>"32 "</f>
        <v xml:space="preserve">32 </v>
      </c>
      <c r="K2573" s="26" t="str">
        <f t="shared" si="515"/>
        <v>EP</v>
      </c>
      <c r="L2573" s="26" t="str">
        <f t="shared" si="516"/>
        <v>DGOSE</v>
      </c>
      <c r="M2573" s="26" t="str">
        <f t="shared" si="510"/>
        <v>PARTICULAR</v>
      </c>
      <c r="N2573" s="26">
        <v>57</v>
      </c>
      <c r="O2573" s="26">
        <v>32</v>
      </c>
      <c r="P2573" s="26">
        <v>25</v>
      </c>
      <c r="Q2573" s="26">
        <v>3</v>
      </c>
      <c r="R2573" s="26">
        <v>1</v>
      </c>
      <c r="S2573" s="26">
        <v>3</v>
      </c>
      <c r="T2573" s="26">
        <v>8</v>
      </c>
      <c r="U2573" s="26">
        <v>12</v>
      </c>
      <c r="V2573" s="26">
        <v>1</v>
      </c>
      <c r="W2573" s="26"/>
    </row>
    <row r="2574" spans="1:23" x14ac:dyDescent="0.25">
      <c r="A2574" s="26" t="str">
        <f t="shared" si="511"/>
        <v>PREESCOLAR</v>
      </c>
      <c r="B2574" s="26" t="str">
        <f>"09PJN5032C"</f>
        <v>09PJN5032C</v>
      </c>
      <c r="C2574" s="26" t="str">
        <f>"MONTESSORI LAUREL                                                                                   "</f>
        <v xml:space="preserve">MONTESSORI LAUREL                                                                                   </v>
      </c>
      <c r="D2574" s="26" t="str">
        <f t="shared" si="509"/>
        <v>MATUTINO</v>
      </c>
      <c r="E2574" s="26" t="str">
        <f>"AV. CINCO NO. 73                                                                "</f>
        <v xml:space="preserve">AV. CINCO NO. 73                                                                </v>
      </c>
      <c r="F2574" s="26" t="str">
        <f>"EDUCACION                                                                                                                                   "</f>
        <v xml:space="preserve">EDUCACION                                                                                                                                   </v>
      </c>
      <c r="G2574" s="26" t="str">
        <f>"COYOACAN                                                                        "</f>
        <v xml:space="preserve">COYOACAN                                                                        </v>
      </c>
      <c r="H2574" s="26" t="str">
        <f>"024"</f>
        <v>024</v>
      </c>
      <c r="I2574" s="26" t="str">
        <f t="shared" si="512"/>
        <v>00</v>
      </c>
      <c r="J2574" s="26" t="str">
        <f>"35 "</f>
        <v xml:space="preserve">35 </v>
      </c>
      <c r="K2574" s="26" t="str">
        <f t="shared" si="515"/>
        <v>EP</v>
      </c>
      <c r="L2574" s="26" t="str">
        <f t="shared" si="516"/>
        <v>DGOSE</v>
      </c>
      <c r="M2574" s="26" t="str">
        <f t="shared" si="510"/>
        <v>PARTICULAR</v>
      </c>
      <c r="N2574" s="26">
        <v>18</v>
      </c>
      <c r="O2574" s="26">
        <v>12</v>
      </c>
      <c r="P2574" s="26">
        <v>6</v>
      </c>
      <c r="Q2574" s="26">
        <v>3</v>
      </c>
      <c r="R2574" s="26">
        <v>1</v>
      </c>
      <c r="S2574" s="26">
        <v>1</v>
      </c>
      <c r="T2574" s="26">
        <v>3</v>
      </c>
      <c r="U2574" s="26">
        <v>5</v>
      </c>
      <c r="V2574" s="26">
        <v>1</v>
      </c>
      <c r="W2574" s="26"/>
    </row>
    <row r="2575" spans="1:23" x14ac:dyDescent="0.25">
      <c r="A2575" s="26" t="str">
        <f t="shared" si="511"/>
        <v>PREESCOLAR</v>
      </c>
      <c r="B2575" s="26" t="str">
        <f>"09PJN5033B"</f>
        <v>09PJN5033B</v>
      </c>
      <c r="C2575" s="26" t="str">
        <f>"JARDIN DE NIÑOS VASCO DE QUIROGA                                                                    "</f>
        <v xml:space="preserve">JARDIN DE NIÑOS VASCO DE QUIROGA                                                                    </v>
      </c>
      <c r="D2575" s="26" t="str">
        <f t="shared" si="509"/>
        <v>MATUTINO</v>
      </c>
      <c r="E2575" s="26" t="str">
        <f>"CAMINO REAL A TOLUCA NO. 394                                                    "</f>
        <v xml:space="preserve">CAMINO REAL A TOLUCA NO. 394                                                    </v>
      </c>
      <c r="F2575" s="26" t="str">
        <f>"BOSQUES DE TARANGO                                                                                                                          "</f>
        <v xml:space="preserve">BOSQUES DE TARANGO                                                                                                                          </v>
      </c>
      <c r="G2575" s="26" t="str">
        <f>"ALVARO OBREGON                                                                  "</f>
        <v xml:space="preserve">ALVARO OBREGON                                                                  </v>
      </c>
      <c r="H2575" s="26" t="str">
        <f>"219"</f>
        <v>219</v>
      </c>
      <c r="I2575" s="26" t="str">
        <f t="shared" si="512"/>
        <v>00</v>
      </c>
      <c r="J2575" s="26" t="str">
        <f>"33 "</f>
        <v xml:space="preserve">33 </v>
      </c>
      <c r="K2575" s="26" t="str">
        <f t="shared" si="515"/>
        <v>EP</v>
      </c>
      <c r="L2575" s="26" t="str">
        <f t="shared" si="516"/>
        <v>DGOSE</v>
      </c>
      <c r="M2575" s="26" t="str">
        <f t="shared" si="510"/>
        <v>PARTICULAR</v>
      </c>
      <c r="N2575" s="26">
        <v>34</v>
      </c>
      <c r="O2575" s="26">
        <v>17</v>
      </c>
      <c r="P2575" s="26">
        <v>17</v>
      </c>
      <c r="Q2575" s="26">
        <v>3</v>
      </c>
      <c r="R2575" s="26">
        <v>1</v>
      </c>
      <c r="S2575" s="26">
        <v>2</v>
      </c>
      <c r="T2575" s="26">
        <v>2</v>
      </c>
      <c r="U2575" s="26">
        <v>5</v>
      </c>
      <c r="V2575" s="26">
        <v>1</v>
      </c>
      <c r="W2575" s="26"/>
    </row>
    <row r="2576" spans="1:23" x14ac:dyDescent="0.25">
      <c r="A2576" s="26" t="str">
        <f t="shared" si="511"/>
        <v>PREESCOLAR</v>
      </c>
      <c r="B2576" s="26" t="str">
        <f>"09PJN5034A"</f>
        <v>09PJN5034A</v>
      </c>
      <c r="C2576" s="26" t="str">
        <f>"MIGUEL DE CERVANTES SAAVEDRA                                                                        "</f>
        <v xml:space="preserve">MIGUEL DE CERVANTES SAAVEDRA                                                                        </v>
      </c>
      <c r="D2576" s="26" t="str">
        <f t="shared" si="509"/>
        <v>MATUTINO</v>
      </c>
      <c r="E2576" s="26" t="str">
        <f>"CAMINO DEL EXITO NO. 68                                                         "</f>
        <v xml:space="preserve">CAMINO DEL EXITO NO. 68                                                         </v>
      </c>
      <c r="F2576" s="26" t="str">
        <f>"CAMPESTRE ARAGON                                                                                                                            "</f>
        <v xml:space="preserve">CAMPESTRE ARAGON                                                                                                                            </v>
      </c>
      <c r="G2576" s="26" t="str">
        <f>"GUSTAVO A. MADERO                                                               "</f>
        <v xml:space="preserve">GUSTAVO A. MADERO                                                               </v>
      </c>
      <c r="H2576" s="26" t="str">
        <f>"199"</f>
        <v>199</v>
      </c>
      <c r="I2576" s="26" t="str">
        <f t="shared" si="512"/>
        <v>00</v>
      </c>
      <c r="J2576" s="26" t="str">
        <f>"32 "</f>
        <v xml:space="preserve">32 </v>
      </c>
      <c r="K2576" s="26" t="str">
        <f t="shared" si="515"/>
        <v>EP</v>
      </c>
      <c r="L2576" s="26" t="str">
        <f t="shared" si="516"/>
        <v>DGOSE</v>
      </c>
      <c r="M2576" s="26" t="str">
        <f t="shared" si="510"/>
        <v>PARTICULAR</v>
      </c>
      <c r="N2576" s="26">
        <v>22</v>
      </c>
      <c r="O2576" s="26">
        <v>10</v>
      </c>
      <c r="P2576" s="26">
        <v>12</v>
      </c>
      <c r="Q2576" s="26">
        <v>3</v>
      </c>
      <c r="R2576" s="26">
        <v>2</v>
      </c>
      <c r="S2576" s="26">
        <v>3</v>
      </c>
      <c r="T2576" s="26">
        <v>8</v>
      </c>
      <c r="U2576" s="26">
        <v>13</v>
      </c>
      <c r="V2576" s="26">
        <v>1</v>
      </c>
      <c r="W2576" s="26"/>
    </row>
    <row r="2577" spans="1:23" x14ac:dyDescent="0.25">
      <c r="A2577" s="26" t="str">
        <f t="shared" si="511"/>
        <v>PREESCOLAR</v>
      </c>
      <c r="B2577" s="26" t="str">
        <f>"09PJN5037Y"</f>
        <v>09PJN5037Y</v>
      </c>
      <c r="C2577" s="26" t="str">
        <f>"THINKER'S FRANCE S.C. ESCUELAS PARA PENSAR                                                          "</f>
        <v xml:space="preserve">THINKER'S FRANCE S.C. ESCUELAS PARA PENSAR                                                          </v>
      </c>
      <c r="D2577" s="26" t="str">
        <f>"TIEMPO COMPLETO"</f>
        <v>TIEMPO COMPLETO</v>
      </c>
      <c r="E2577" s="26" t="str">
        <f>"ANATOLE FRANCE NO. 221                                                          "</f>
        <v xml:space="preserve">ANATOLE FRANCE NO. 221                                                          </v>
      </c>
      <c r="F2577" s="26" t="str">
        <f>"POLANCO CHAPULTEPEC                                                                                                                         "</f>
        <v xml:space="preserve">POLANCO CHAPULTEPEC                                                                                                                         </v>
      </c>
      <c r="G2577" s="26" t="str">
        <f>"MIGUEL HIDALGO                                                                  "</f>
        <v xml:space="preserve">MIGUEL HIDALGO                                                                  </v>
      </c>
      <c r="H2577" s="26" t="str">
        <f>"014"</f>
        <v>014</v>
      </c>
      <c r="I2577" s="26" t="str">
        <f t="shared" si="512"/>
        <v>00</v>
      </c>
      <c r="J2577" s="26" t="str">
        <f>"32 "</f>
        <v xml:space="preserve">32 </v>
      </c>
      <c r="K2577" s="26" t="str">
        <f t="shared" si="515"/>
        <v>EP</v>
      </c>
      <c r="L2577" s="26" t="str">
        <f t="shared" si="516"/>
        <v>DGOSE</v>
      </c>
      <c r="M2577" s="26" t="str">
        <f t="shared" si="510"/>
        <v>PARTICULAR</v>
      </c>
      <c r="N2577" s="26">
        <v>35</v>
      </c>
      <c r="O2577" s="26">
        <v>17</v>
      </c>
      <c r="P2577" s="26">
        <v>18</v>
      </c>
      <c r="Q2577" s="26">
        <v>3</v>
      </c>
      <c r="R2577" s="26">
        <v>1</v>
      </c>
      <c r="S2577" s="26">
        <v>3</v>
      </c>
      <c r="T2577" s="26">
        <v>13</v>
      </c>
      <c r="U2577" s="26">
        <v>17</v>
      </c>
      <c r="V2577" s="26">
        <v>1</v>
      </c>
      <c r="W2577" s="26"/>
    </row>
    <row r="2578" spans="1:23" x14ac:dyDescent="0.25">
      <c r="A2578" s="26" t="str">
        <f t="shared" si="511"/>
        <v>PREESCOLAR</v>
      </c>
      <c r="B2578" s="26" t="str">
        <f>"09PJN5038X"</f>
        <v>09PJN5038X</v>
      </c>
      <c r="C2578" s="26" t="str">
        <f>"CENTRO EDUCATIVO MONTEVERDE                                                                         "</f>
        <v xml:space="preserve">CENTRO EDUCATIVO MONTEVERDE                                                                         </v>
      </c>
      <c r="D2578" s="26" t="str">
        <f t="shared" ref="D2578:D2588" si="517">"MATUTINO"</f>
        <v>MATUTINO</v>
      </c>
      <c r="E2578" s="26" t="str">
        <f>"DARIO FERNANDEZ NO. 28 Y CORNELIO LALRIOS SALAS NO. 9                           "</f>
        <v xml:space="preserve">DARIO FERNANDEZ NO. 28 Y CORNELIO LALRIOS SALAS NO. 9                           </v>
      </c>
      <c r="F2578" s="26" t="str">
        <f>"PALMATITLA                                                                                                                                  "</f>
        <v xml:space="preserve">PALMATITLA                                                                                                                                  </v>
      </c>
      <c r="G2578" s="26" t="str">
        <f>"GUSTAVO A. MADERO                                                               "</f>
        <v xml:space="preserve">GUSTAVO A. MADERO                                                               </v>
      </c>
      <c r="H2578" s="26" t="str">
        <f>"227"</f>
        <v>227</v>
      </c>
      <c r="I2578" s="26" t="str">
        <f t="shared" si="512"/>
        <v>00</v>
      </c>
      <c r="J2578" s="26" t="str">
        <f>"32 "</f>
        <v xml:space="preserve">32 </v>
      </c>
      <c r="K2578" s="26" t="str">
        <f t="shared" si="515"/>
        <v>EP</v>
      </c>
      <c r="L2578" s="26" t="str">
        <f t="shared" si="516"/>
        <v>DGOSE</v>
      </c>
      <c r="M2578" s="26" t="str">
        <f t="shared" si="510"/>
        <v>PARTICULAR</v>
      </c>
      <c r="N2578" s="26">
        <v>48</v>
      </c>
      <c r="O2578" s="26">
        <v>26</v>
      </c>
      <c r="P2578" s="26">
        <v>22</v>
      </c>
      <c r="Q2578" s="26">
        <v>3</v>
      </c>
      <c r="R2578" s="26">
        <v>1</v>
      </c>
      <c r="S2578" s="26">
        <v>2</v>
      </c>
      <c r="T2578" s="26">
        <v>6</v>
      </c>
      <c r="U2578" s="26">
        <v>9</v>
      </c>
      <c r="V2578" s="26">
        <v>1</v>
      </c>
      <c r="W2578" s="26"/>
    </row>
    <row r="2579" spans="1:23" x14ac:dyDescent="0.25">
      <c r="A2579" s="26" t="str">
        <f t="shared" si="511"/>
        <v>PREESCOLAR</v>
      </c>
      <c r="B2579" s="26" t="str">
        <f>"09PJN5039W"</f>
        <v>09PJN5039W</v>
      </c>
      <c r="C2579" s="26" t="str">
        <f>"INVERNESS COLLEGE                                                                                   "</f>
        <v xml:space="preserve">INVERNESS COLLEGE                                                                                   </v>
      </c>
      <c r="D2579" s="26" t="str">
        <f t="shared" si="517"/>
        <v>MATUTINO</v>
      </c>
      <c r="E2579" s="26" t="str">
        <f>"SAN FRANCISCO NO. 418                                                           "</f>
        <v xml:space="preserve">SAN FRANCISCO NO. 418                                                           </v>
      </c>
      <c r="F2579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2579" s="26" t="str">
        <f>"BENITO JUAREZ                                                                   "</f>
        <v xml:space="preserve">BENITO JUAREZ                                                                   </v>
      </c>
      <c r="H2579" s="26" t="str">
        <f>"232"</f>
        <v>232</v>
      </c>
      <c r="I2579" s="26" t="str">
        <f t="shared" si="512"/>
        <v>00</v>
      </c>
      <c r="J2579" s="26" t="str">
        <f>"33 "</f>
        <v xml:space="preserve">33 </v>
      </c>
      <c r="K2579" s="26" t="str">
        <f t="shared" si="515"/>
        <v>EP</v>
      </c>
      <c r="L2579" s="26" t="str">
        <f t="shared" si="516"/>
        <v>DGOSE</v>
      </c>
      <c r="M2579" s="26" t="str">
        <f t="shared" si="510"/>
        <v>PARTICULAR</v>
      </c>
      <c r="N2579" s="26">
        <v>76</v>
      </c>
      <c r="O2579" s="26">
        <v>32</v>
      </c>
      <c r="P2579" s="26">
        <v>44</v>
      </c>
      <c r="Q2579" s="26">
        <v>3</v>
      </c>
      <c r="R2579" s="26">
        <v>1</v>
      </c>
      <c r="S2579" s="26">
        <v>3</v>
      </c>
      <c r="T2579" s="26">
        <v>3</v>
      </c>
      <c r="U2579" s="26">
        <v>7</v>
      </c>
      <c r="V2579" s="26">
        <v>1</v>
      </c>
      <c r="W2579" s="26"/>
    </row>
    <row r="2580" spans="1:23" x14ac:dyDescent="0.25">
      <c r="A2580" s="26" t="str">
        <f t="shared" si="511"/>
        <v>PREESCOLAR</v>
      </c>
      <c r="B2580" s="26" t="str">
        <f>"09PJN5040L"</f>
        <v>09PJN5040L</v>
      </c>
      <c r="C2580" s="26" t="str">
        <f>"CENTRO EDUCATIVO MOZART                                                                             "</f>
        <v xml:space="preserve">CENTRO EDUCATIVO MOZART                                                                             </v>
      </c>
      <c r="D2580" s="26" t="str">
        <f t="shared" si="517"/>
        <v>MATUTINO</v>
      </c>
      <c r="E2580" s="26" t="str">
        <f>"ZOTITLA NO. 55                                                                  "</f>
        <v xml:space="preserve">ZOTITLA NO. 55                                                                  </v>
      </c>
      <c r="F2580" s="26" t="str">
        <f>"ABDIAS GARCIA SOTO                                                                                                                          "</f>
        <v xml:space="preserve">ABDIAS GARCIA SOTO                                                                                                                          </v>
      </c>
      <c r="G2580" s="26" t="str">
        <f>"CUAJIMALPA DE MORELOS                                                           "</f>
        <v xml:space="preserve">CUAJIMALPA DE MORELOS                                                           </v>
      </c>
      <c r="H2580" s="26" t="str">
        <f>"279"</f>
        <v>279</v>
      </c>
      <c r="I2580" s="26" t="str">
        <f t="shared" si="512"/>
        <v>00</v>
      </c>
      <c r="J2580" s="26" t="str">
        <f>"33 "</f>
        <v xml:space="preserve">33 </v>
      </c>
      <c r="K2580" s="26" t="str">
        <f t="shared" si="515"/>
        <v>EP</v>
      </c>
      <c r="L2580" s="26" t="str">
        <f t="shared" si="516"/>
        <v>DGOSE</v>
      </c>
      <c r="M2580" s="26" t="str">
        <f t="shared" si="510"/>
        <v>PARTICULAR</v>
      </c>
      <c r="N2580" s="26">
        <v>44</v>
      </c>
      <c r="O2580" s="26">
        <v>17</v>
      </c>
      <c r="P2580" s="26">
        <v>27</v>
      </c>
      <c r="Q2580" s="26">
        <v>3</v>
      </c>
      <c r="R2580" s="26">
        <v>1</v>
      </c>
      <c r="S2580" s="26">
        <v>3</v>
      </c>
      <c r="T2580" s="26">
        <v>3</v>
      </c>
      <c r="U2580" s="26">
        <v>7</v>
      </c>
      <c r="V2580" s="26">
        <v>1</v>
      </c>
      <c r="W2580" s="26"/>
    </row>
    <row r="2581" spans="1:23" x14ac:dyDescent="0.25">
      <c r="A2581" s="26" t="str">
        <f t="shared" si="511"/>
        <v>PREESCOLAR</v>
      </c>
      <c r="B2581" s="26" t="str">
        <f>"09PJN5042J"</f>
        <v>09PJN5042J</v>
      </c>
      <c r="C2581" s="26" t="str">
        <f>"GREENIES KINDER                                                                                     "</f>
        <v xml:space="preserve">GREENIES KINDER                                                                                     </v>
      </c>
      <c r="D2581" s="26" t="str">
        <f t="shared" si="517"/>
        <v>MATUTINO</v>
      </c>
      <c r="E2581" s="26" t="str">
        <f>"CALLE 3 NO. 155 (ANTES MZA. 15 LT. 7)                                           "</f>
        <v xml:space="preserve">CALLE 3 NO. 155 (ANTES MZA. 15 LT. 7)                                           </v>
      </c>
      <c r="F2581" s="26" t="str">
        <f>"LOMAS DE LOS ANGELES DE TETELPAN                                                                                                            "</f>
        <v xml:space="preserve">LOMAS DE LOS ANGELES DE TETELPAN                                                                                                            </v>
      </c>
      <c r="G2581" s="26" t="str">
        <f>"ALVARO OBREGON                                                                  "</f>
        <v xml:space="preserve">ALVARO OBREGON                                                                  </v>
      </c>
      <c r="H2581" s="26" t="str">
        <f>"214"</f>
        <v>214</v>
      </c>
      <c r="I2581" s="26" t="str">
        <f t="shared" si="512"/>
        <v>00</v>
      </c>
      <c r="J2581" s="26" t="str">
        <f>"33 "</f>
        <v xml:space="preserve">33 </v>
      </c>
      <c r="K2581" s="26" t="str">
        <f t="shared" si="515"/>
        <v>EP</v>
      </c>
      <c r="L2581" s="26" t="str">
        <f t="shared" si="516"/>
        <v>DGOSE</v>
      </c>
      <c r="M2581" s="26" t="str">
        <f t="shared" si="510"/>
        <v>PARTICULAR</v>
      </c>
      <c r="N2581" s="26">
        <v>15</v>
      </c>
      <c r="O2581" s="26">
        <v>8</v>
      </c>
      <c r="P2581" s="26">
        <v>7</v>
      </c>
      <c r="Q2581" s="26">
        <v>2</v>
      </c>
      <c r="R2581" s="26">
        <v>1</v>
      </c>
      <c r="S2581" s="26">
        <v>2</v>
      </c>
      <c r="T2581" s="26">
        <v>1</v>
      </c>
      <c r="U2581" s="26">
        <v>4</v>
      </c>
      <c r="V2581" s="26">
        <v>1</v>
      </c>
      <c r="W2581" s="26"/>
    </row>
    <row r="2582" spans="1:23" x14ac:dyDescent="0.25">
      <c r="A2582" s="26" t="str">
        <f t="shared" si="511"/>
        <v>PREESCOLAR</v>
      </c>
      <c r="B2582" s="26" t="str">
        <f>"09PJN5043I"</f>
        <v>09PJN5043I</v>
      </c>
      <c r="C2582" s="26" t="str">
        <f>"PLAY SCHOOL                                                                                         "</f>
        <v xml:space="preserve">PLAY SCHOOL                                                                                         </v>
      </c>
      <c r="D2582" s="26" t="str">
        <f t="shared" si="517"/>
        <v>MATUTINO</v>
      </c>
      <c r="E2582" s="26" t="str">
        <f>"AV. SAN BERNABE NO. 920                                                         "</f>
        <v xml:space="preserve">AV. SAN BERNABE NO. 920                                                         </v>
      </c>
      <c r="F2582" s="26" t="str">
        <f>"SAN JERONIMO LIDICE                                                                                                                         "</f>
        <v xml:space="preserve">SAN JERONIMO LIDICE                                                                                                                         </v>
      </c>
      <c r="G2582" s="26" t="str">
        <f>"LA MAGDALENA CONTRERAS                                                          "</f>
        <v xml:space="preserve">LA MAGDALENA CONTRERAS                                                          </v>
      </c>
      <c r="H2582" s="26" t="str">
        <f>"113"</f>
        <v>113</v>
      </c>
      <c r="I2582" s="26" t="str">
        <f t="shared" si="512"/>
        <v>00</v>
      </c>
      <c r="J2582" s="26" t="str">
        <f>"35 "</f>
        <v xml:space="preserve">35 </v>
      </c>
      <c r="K2582" s="26" t="str">
        <f t="shared" si="515"/>
        <v>EP</v>
      </c>
      <c r="L2582" s="26" t="str">
        <f t="shared" si="516"/>
        <v>DGOSE</v>
      </c>
      <c r="M2582" s="26" t="str">
        <f t="shared" si="510"/>
        <v>PARTICULAR</v>
      </c>
      <c r="N2582" s="26">
        <v>34</v>
      </c>
      <c r="O2582" s="26">
        <v>12</v>
      </c>
      <c r="P2582" s="26">
        <v>22</v>
      </c>
      <c r="Q2582" s="26">
        <v>3</v>
      </c>
      <c r="R2582" s="26">
        <v>1</v>
      </c>
      <c r="S2582" s="26">
        <v>3</v>
      </c>
      <c r="T2582" s="26">
        <v>4</v>
      </c>
      <c r="U2582" s="26">
        <v>8</v>
      </c>
      <c r="V2582" s="26">
        <v>1</v>
      </c>
      <c r="W2582" s="26"/>
    </row>
    <row r="2583" spans="1:23" x14ac:dyDescent="0.25">
      <c r="A2583" s="26" t="str">
        <f t="shared" si="511"/>
        <v>PREESCOLAR</v>
      </c>
      <c r="B2583" s="26" t="str">
        <f>"09PJN5044H"</f>
        <v>09PJN5044H</v>
      </c>
      <c r="C2583" s="26" t="str">
        <f>"WESTHILL INSTITUTE                                                                                  "</f>
        <v xml:space="preserve">WESTHILL INSTITUTE                                                                                  </v>
      </c>
      <c r="D2583" s="26" t="str">
        <f t="shared" si="517"/>
        <v>MATUTINO</v>
      </c>
      <c r="E2583" s="26" t="str">
        <f>"DOMINGO GARCIA RAMOS NO. 47                                                     "</f>
        <v xml:space="preserve">DOMINGO GARCIA RAMOS NO. 47                                                     </v>
      </c>
      <c r="F2583" s="26" t="str">
        <f>"CLUB DE GOLF PRADOS DE LA MONTAÑA                                                                                                           "</f>
        <v xml:space="preserve">CLUB DE GOLF PRADOS DE LA MONTAÑA                                                                                                           </v>
      </c>
      <c r="G2583" s="26" t="str">
        <f>"CUAJIMALPA DE MORELOS                                                           "</f>
        <v xml:space="preserve">CUAJIMALPA DE MORELOS                                                           </v>
      </c>
      <c r="H2583" s="26" t="str">
        <f>"213"</f>
        <v>213</v>
      </c>
      <c r="I2583" s="26" t="str">
        <f t="shared" si="512"/>
        <v>00</v>
      </c>
      <c r="J2583" s="26" t="str">
        <f>"33 "</f>
        <v xml:space="preserve">33 </v>
      </c>
      <c r="K2583" s="26" t="str">
        <f t="shared" si="515"/>
        <v>EP</v>
      </c>
      <c r="L2583" s="26" t="str">
        <f t="shared" si="516"/>
        <v>DGOSE</v>
      </c>
      <c r="M2583" s="26" t="str">
        <f t="shared" si="510"/>
        <v>PARTICULAR</v>
      </c>
      <c r="N2583" s="26">
        <v>52</v>
      </c>
      <c r="O2583" s="26">
        <v>28</v>
      </c>
      <c r="P2583" s="26">
        <v>24</v>
      </c>
      <c r="Q2583" s="26">
        <v>4</v>
      </c>
      <c r="R2583" s="26">
        <v>1</v>
      </c>
      <c r="S2583" s="26">
        <v>4</v>
      </c>
      <c r="T2583" s="26">
        <v>6</v>
      </c>
      <c r="U2583" s="26">
        <v>11</v>
      </c>
      <c r="V2583" s="26">
        <v>1</v>
      </c>
      <c r="W2583" s="26"/>
    </row>
    <row r="2584" spans="1:23" x14ac:dyDescent="0.25">
      <c r="A2584" s="26" t="str">
        <f t="shared" si="511"/>
        <v>PREESCOLAR</v>
      </c>
      <c r="B2584" s="26" t="str">
        <f>"09PJN5045G"</f>
        <v>09PJN5045G</v>
      </c>
      <c r="C2584" s="26" t="str">
        <f>"ALLEGRO MONTESSORI                                                                                  "</f>
        <v xml:space="preserve">ALLEGRO MONTESSORI                                                                                  </v>
      </c>
      <c r="D2584" s="26" t="str">
        <f t="shared" si="517"/>
        <v>MATUTINO</v>
      </c>
      <c r="E2584" s="26" t="str">
        <f>"NAVIO NO. 7                                                                     "</f>
        <v xml:space="preserve">NAVIO NO. 7                                                                     </v>
      </c>
      <c r="F2584" s="26" t="str">
        <f>"LOMAS DE CHAMIZAL                                                                                                                           "</f>
        <v xml:space="preserve">LOMAS DE CHAMIZAL                                                                                                                           </v>
      </c>
      <c r="G2584" s="26" t="str">
        <f>"CUAJIMALPA DE MORELOS                                                           "</f>
        <v xml:space="preserve">CUAJIMALPA DE MORELOS                                                           </v>
      </c>
      <c r="H2584" s="26" t="str">
        <f>"089"</f>
        <v>089</v>
      </c>
      <c r="I2584" s="26" t="str">
        <f t="shared" si="512"/>
        <v>00</v>
      </c>
      <c r="J2584" s="26" t="str">
        <f>"33 "</f>
        <v xml:space="preserve">33 </v>
      </c>
      <c r="K2584" s="26" t="str">
        <f t="shared" si="515"/>
        <v>EP</v>
      </c>
      <c r="L2584" s="26" t="str">
        <f t="shared" si="516"/>
        <v>DGOSE</v>
      </c>
      <c r="M2584" s="26" t="str">
        <f t="shared" si="510"/>
        <v>PARTICULAR</v>
      </c>
      <c r="N2584" s="26">
        <v>33</v>
      </c>
      <c r="O2584" s="26">
        <v>24</v>
      </c>
      <c r="P2584" s="26">
        <v>9</v>
      </c>
      <c r="Q2584" s="26">
        <v>2</v>
      </c>
      <c r="R2584" s="26">
        <v>1</v>
      </c>
      <c r="S2584" s="26">
        <v>2</v>
      </c>
      <c r="T2584" s="26">
        <v>2</v>
      </c>
      <c r="U2584" s="26">
        <v>5</v>
      </c>
      <c r="V2584" s="26">
        <v>1</v>
      </c>
      <c r="W2584" s="26"/>
    </row>
    <row r="2585" spans="1:23" x14ac:dyDescent="0.25">
      <c r="A2585" s="26" t="str">
        <f t="shared" si="511"/>
        <v>PREESCOLAR</v>
      </c>
      <c r="B2585" s="26" t="str">
        <f>"09PJN5046F"</f>
        <v>09PJN5046F</v>
      </c>
      <c r="C2585" s="26" t="str">
        <f>"MONTESSORI AIVY                                                                                     "</f>
        <v xml:space="preserve">MONTESSORI AIVY                                                                                     </v>
      </c>
      <c r="D2585" s="26" t="str">
        <f t="shared" si="517"/>
        <v>MATUTINO</v>
      </c>
      <c r="E2585" s="26" t="str">
        <f>"SUR 114 NO. 106                                                                 "</f>
        <v xml:space="preserve">SUR 114 NO. 106                                                                 </v>
      </c>
      <c r="F2585" s="26" t="str">
        <f>"COVE                                                                                                                                        "</f>
        <v xml:space="preserve">COVE                                                                                                                                        </v>
      </c>
      <c r="G2585" s="26" t="str">
        <f>"ALVARO OBREGON                                                                  "</f>
        <v xml:space="preserve">ALVARO OBREGON                                                                  </v>
      </c>
      <c r="H2585" s="26" t="str">
        <f>"219"</f>
        <v>219</v>
      </c>
      <c r="I2585" s="26" t="str">
        <f t="shared" si="512"/>
        <v>00</v>
      </c>
      <c r="J2585" s="26" t="str">
        <f>"33 "</f>
        <v xml:space="preserve">33 </v>
      </c>
      <c r="K2585" s="26" t="str">
        <f t="shared" si="515"/>
        <v>EP</v>
      </c>
      <c r="L2585" s="26" t="str">
        <f t="shared" si="516"/>
        <v>DGOSE</v>
      </c>
      <c r="M2585" s="26" t="str">
        <f t="shared" si="510"/>
        <v>PARTICULAR</v>
      </c>
      <c r="N2585" s="26">
        <v>14</v>
      </c>
      <c r="O2585" s="26">
        <v>9</v>
      </c>
      <c r="P2585" s="26">
        <v>5</v>
      </c>
      <c r="Q2585" s="26">
        <v>3</v>
      </c>
      <c r="R2585" s="26">
        <v>1</v>
      </c>
      <c r="S2585" s="26">
        <v>3</v>
      </c>
      <c r="T2585" s="26">
        <v>0</v>
      </c>
      <c r="U2585" s="26">
        <v>4</v>
      </c>
      <c r="V2585" s="26">
        <v>1</v>
      </c>
      <c r="W2585" s="26"/>
    </row>
    <row r="2586" spans="1:23" x14ac:dyDescent="0.25">
      <c r="A2586" s="26" t="str">
        <f t="shared" si="511"/>
        <v>PREESCOLAR</v>
      </c>
      <c r="B2586" s="26" t="str">
        <f>"09PJN5048D"</f>
        <v>09PJN5048D</v>
      </c>
      <c r="C2586" s="26" t="str">
        <f>"EL CASTILLO DE JAN COMENSKY                                                                         "</f>
        <v xml:space="preserve">EL CASTILLO DE JAN COMENSKY                                                                         </v>
      </c>
      <c r="D2586" s="26" t="str">
        <f t="shared" si="517"/>
        <v>MATUTINO</v>
      </c>
      <c r="E2586" s="26" t="str">
        <f>"AV. SANTIAGO MZ. 3 LT. 19                                                       "</f>
        <v xml:space="preserve">AV. SANTIAGO MZ. 3 LT. 19                                                       </v>
      </c>
      <c r="F2586" s="26" t="str">
        <f>"SANTIAGO ACAHUALTEPEC                                                                                                                       "</f>
        <v xml:space="preserve">SANTIAGO ACAHUALTEPEC                                                                                                                       </v>
      </c>
      <c r="G2586" s="26" t="str">
        <f>"IZTAPALAPA                                                                      "</f>
        <v xml:space="preserve">IZTAPALAPA                                                                      </v>
      </c>
      <c r="H2586" s="26" t="str">
        <f>"000"</f>
        <v>000</v>
      </c>
      <c r="I2586" s="26" t="str">
        <f t="shared" si="512"/>
        <v>00</v>
      </c>
      <c r="J2586" s="26" t="str">
        <f>"64 "</f>
        <v xml:space="preserve">64 </v>
      </c>
      <c r="K2586" s="26" t="str">
        <f>"IZ"</f>
        <v>IZ</v>
      </c>
      <c r="L2586" s="26" t="str">
        <f>"DGSEI"</f>
        <v>DGSEI</v>
      </c>
      <c r="M2586" s="26" t="str">
        <f t="shared" si="510"/>
        <v>PARTICULAR</v>
      </c>
      <c r="N2586" s="26">
        <v>38</v>
      </c>
      <c r="O2586" s="26">
        <v>20</v>
      </c>
      <c r="P2586" s="26">
        <v>18</v>
      </c>
      <c r="Q2586" s="26">
        <v>3</v>
      </c>
      <c r="R2586" s="26">
        <v>1</v>
      </c>
      <c r="S2586" s="26">
        <v>2</v>
      </c>
      <c r="T2586" s="26">
        <v>2</v>
      </c>
      <c r="U2586" s="26">
        <v>5</v>
      </c>
      <c r="V2586" s="26">
        <v>1</v>
      </c>
      <c r="W2586" s="26"/>
    </row>
    <row r="2587" spans="1:23" x14ac:dyDescent="0.25">
      <c r="A2587" s="26" t="str">
        <f t="shared" si="511"/>
        <v>PREESCOLAR</v>
      </c>
      <c r="B2587" s="26" t="str">
        <f>"09PJN5052Q"</f>
        <v>09PJN5052Q</v>
      </c>
      <c r="C2587" s="26" t="str">
        <f>"COLEGIO RODOLFO USIGLI PLANTEL AZTAHUACAN                                                           "</f>
        <v xml:space="preserve">COLEGIO RODOLFO USIGLI PLANTEL AZTAHUACAN                                                           </v>
      </c>
      <c r="D2587" s="26" t="str">
        <f t="shared" si="517"/>
        <v>MATUTINO</v>
      </c>
      <c r="E2587" s="26" t="str">
        <f>"AQUILES SERDAN MZ. 55 LT 18 Z 1                                                 "</f>
        <v xml:space="preserve">AQUILES SERDAN MZ. 55 LT 18 Z 1                                                 </v>
      </c>
      <c r="F2587" s="26" t="str">
        <f>"SANTA MARIA AZTAHUACAN                                                                                                                      "</f>
        <v xml:space="preserve">SANTA MARIA AZTAHUACAN                                                                                                                      </v>
      </c>
      <c r="G2587" s="26" t="str">
        <f>"IZTAPALAPA                                                                      "</f>
        <v xml:space="preserve">IZTAPALAPA                                                                      </v>
      </c>
      <c r="H2587" s="26" t="str">
        <f>"000"</f>
        <v>000</v>
      </c>
      <c r="I2587" s="26" t="str">
        <f t="shared" si="512"/>
        <v>00</v>
      </c>
      <c r="J2587" s="26" t="str">
        <f>"64 "</f>
        <v xml:space="preserve">64 </v>
      </c>
      <c r="K2587" s="26" t="str">
        <f>"IZ"</f>
        <v>IZ</v>
      </c>
      <c r="L2587" s="26" t="str">
        <f>"DGSEI"</f>
        <v>DGSEI</v>
      </c>
      <c r="M2587" s="26" t="str">
        <f t="shared" si="510"/>
        <v>PARTICULAR</v>
      </c>
      <c r="N2587" s="26">
        <v>23</v>
      </c>
      <c r="O2587" s="26">
        <v>10</v>
      </c>
      <c r="P2587" s="26">
        <v>13</v>
      </c>
      <c r="Q2587" s="26">
        <v>3</v>
      </c>
      <c r="R2587" s="26">
        <v>1</v>
      </c>
      <c r="S2587" s="26">
        <v>2</v>
      </c>
      <c r="T2587" s="26">
        <v>1</v>
      </c>
      <c r="U2587" s="26">
        <v>4</v>
      </c>
      <c r="V2587" s="26">
        <v>1</v>
      </c>
      <c r="W2587" s="26"/>
    </row>
    <row r="2588" spans="1:23" x14ac:dyDescent="0.25">
      <c r="A2588" s="26" t="str">
        <f t="shared" si="511"/>
        <v>PREESCOLAR</v>
      </c>
      <c r="B2588" s="26" t="str">
        <f>"09PJN5055N"</f>
        <v>09PJN5055N</v>
      </c>
      <c r="C2588" s="26" t="str">
        <f>"GABINO BARREDA                                                                                      "</f>
        <v xml:space="preserve">GABINO BARREDA                                                                                      </v>
      </c>
      <c r="D2588" s="26" t="str">
        <f t="shared" si="517"/>
        <v>MATUTINO</v>
      </c>
      <c r="E2588" s="26" t="s">
        <v>112</v>
      </c>
      <c r="F2588" s="26" t="str">
        <f>"UNIDAD HABITACIONAL ERMITA ZARAGOZA                                                                                                         "</f>
        <v xml:space="preserve">UNIDAD HABITACIONAL ERMITA ZARAGOZA                                                                                                         </v>
      </c>
      <c r="G2588" s="26" t="str">
        <f>"IZTAPALAPA                                                                      "</f>
        <v xml:space="preserve">IZTAPALAPA                                                                      </v>
      </c>
      <c r="H2588" s="26" t="str">
        <f>"000"</f>
        <v>000</v>
      </c>
      <c r="I2588" s="26" t="str">
        <f t="shared" si="512"/>
        <v>00</v>
      </c>
      <c r="J2588" s="26" t="str">
        <f>"62 "</f>
        <v xml:space="preserve">62 </v>
      </c>
      <c r="K2588" s="26" t="str">
        <f>"IZ"</f>
        <v>IZ</v>
      </c>
      <c r="L2588" s="26" t="str">
        <f>"DGSEI"</f>
        <v>DGSEI</v>
      </c>
      <c r="M2588" s="26" t="str">
        <f t="shared" si="510"/>
        <v>PARTICULAR</v>
      </c>
      <c r="N2588" s="26">
        <v>11</v>
      </c>
      <c r="O2588" s="26">
        <v>8</v>
      </c>
      <c r="P2588" s="26">
        <v>3</v>
      </c>
      <c r="Q2588" s="26">
        <v>2</v>
      </c>
      <c r="R2588" s="26">
        <v>1</v>
      </c>
      <c r="S2588" s="26">
        <v>1</v>
      </c>
      <c r="T2588" s="26">
        <v>4</v>
      </c>
      <c r="U2588" s="26">
        <v>6</v>
      </c>
      <c r="V2588" s="26">
        <v>1</v>
      </c>
      <c r="W2588" s="26"/>
    </row>
    <row r="2589" spans="1:23" x14ac:dyDescent="0.25">
      <c r="A2589" s="26" t="str">
        <f t="shared" si="511"/>
        <v>PREESCOLAR</v>
      </c>
      <c r="B2589" s="26" t="str">
        <f>"09PJN5057L"</f>
        <v>09PJN5057L</v>
      </c>
      <c r="C2589" s="26" t="str">
        <f>"PABLO NERUDA                                                                                        "</f>
        <v xml:space="preserve">PABLO NERUDA                                                                                        </v>
      </c>
      <c r="D2589" s="26" t="str">
        <f>"VESPERTINO"</f>
        <v>VESPERTINO</v>
      </c>
      <c r="E2589" s="26" t="str">
        <f>"GUAYACAN MZ. 16 LT. 16                                                          "</f>
        <v xml:space="preserve">GUAYACAN MZ. 16 LT. 16                                                          </v>
      </c>
      <c r="F2589" s="26" t="str">
        <f>"XALPA                                                                                                                                       "</f>
        <v xml:space="preserve">XALPA                                                                                                                                       </v>
      </c>
      <c r="G2589" s="26" t="str">
        <f>"IZTAPALAPA                                                                      "</f>
        <v xml:space="preserve">IZTAPALAPA                                                                      </v>
      </c>
      <c r="H2589" s="26" t="str">
        <f>"000"</f>
        <v>000</v>
      </c>
      <c r="I2589" s="26" t="str">
        <f t="shared" si="512"/>
        <v>00</v>
      </c>
      <c r="J2589" s="26" t="str">
        <f>"64 "</f>
        <v xml:space="preserve">64 </v>
      </c>
      <c r="K2589" s="26" t="str">
        <f>"IZ"</f>
        <v>IZ</v>
      </c>
      <c r="L2589" s="26" t="str">
        <f>"DGSEI"</f>
        <v>DGSEI</v>
      </c>
      <c r="M2589" s="26" t="str">
        <f t="shared" si="510"/>
        <v>PARTICULAR</v>
      </c>
      <c r="N2589" s="26">
        <v>23</v>
      </c>
      <c r="O2589" s="26">
        <v>15</v>
      </c>
      <c r="P2589" s="26">
        <v>8</v>
      </c>
      <c r="Q2589" s="26">
        <v>3</v>
      </c>
      <c r="R2589" s="26">
        <v>1</v>
      </c>
      <c r="S2589" s="26">
        <v>2</v>
      </c>
      <c r="T2589" s="26">
        <v>3</v>
      </c>
      <c r="U2589" s="26">
        <v>6</v>
      </c>
      <c r="V2589" s="26">
        <v>1</v>
      </c>
      <c r="W2589" s="26"/>
    </row>
    <row r="2590" spans="1:23" x14ac:dyDescent="0.25">
      <c r="A2590" s="26" t="str">
        <f t="shared" si="511"/>
        <v>PREESCOLAR</v>
      </c>
      <c r="B2590" s="26" t="str">
        <f>"09PJN5058K"</f>
        <v>09PJN5058K</v>
      </c>
      <c r="C2590" s="26" t="str">
        <f>"LICEO CULTURAL MODERNO                                                                              "</f>
        <v xml:space="preserve">LICEO CULTURAL MODERNO                                                                              </v>
      </c>
      <c r="D2590" s="26" t="str">
        <f t="shared" ref="D2590:D2601" si="518">"MATUTINO"</f>
        <v>MATUTINO</v>
      </c>
      <c r="E2590" s="26" t="str">
        <f>"PALACIO NO. 71                                                                  "</f>
        <v xml:space="preserve">PALACIO NO. 71                                                                  </v>
      </c>
      <c r="F2590" s="26" t="str">
        <f>"LA ASUNCION                                                                                                                                 "</f>
        <v xml:space="preserve">LA ASUNCION                                                                                                                                 </v>
      </c>
      <c r="G2590" s="26" t="str">
        <f>"IZTAPALAPA                                                                      "</f>
        <v xml:space="preserve">IZTAPALAPA                                                                      </v>
      </c>
      <c r="H2590" s="26" t="str">
        <f>"000"</f>
        <v>000</v>
      </c>
      <c r="I2590" s="26" t="str">
        <f t="shared" si="512"/>
        <v>00</v>
      </c>
      <c r="J2590" s="26" t="str">
        <f>"61 "</f>
        <v xml:space="preserve">61 </v>
      </c>
      <c r="K2590" s="26" t="str">
        <f>"IZ"</f>
        <v>IZ</v>
      </c>
      <c r="L2590" s="26" t="str">
        <f>"DGSEI"</f>
        <v>DGSEI</v>
      </c>
      <c r="M2590" s="26" t="str">
        <f t="shared" si="510"/>
        <v>PARTICULAR</v>
      </c>
      <c r="N2590" s="26">
        <v>52</v>
      </c>
      <c r="O2590" s="26">
        <v>22</v>
      </c>
      <c r="P2590" s="26">
        <v>30</v>
      </c>
      <c r="Q2590" s="26">
        <v>3</v>
      </c>
      <c r="R2590" s="26">
        <v>1</v>
      </c>
      <c r="S2590" s="26">
        <v>3</v>
      </c>
      <c r="T2590" s="26">
        <v>5</v>
      </c>
      <c r="U2590" s="26">
        <v>9</v>
      </c>
      <c r="V2590" s="26">
        <v>1</v>
      </c>
      <c r="W2590" s="26"/>
    </row>
    <row r="2591" spans="1:23" x14ac:dyDescent="0.25">
      <c r="A2591" s="26" t="str">
        <f t="shared" si="511"/>
        <v>PREESCOLAR</v>
      </c>
      <c r="B2591" s="26" t="str">
        <f>"09PJN5061Y"</f>
        <v>09PJN5061Y</v>
      </c>
      <c r="C2591" s="26" t="str">
        <f>"CENTRO PEDAGOGICO INFANTIL GUADALUPE                                                                "</f>
        <v xml:space="preserve">CENTRO PEDAGOGICO INFANTIL GUADALUPE                                                                </v>
      </c>
      <c r="D2591" s="26" t="str">
        <f t="shared" si="518"/>
        <v>MATUTINO</v>
      </c>
      <c r="E2591" s="26" t="str">
        <f>"COREA NO. 75                                                                    "</f>
        <v xml:space="preserve">COREA NO. 75                                                                    </v>
      </c>
      <c r="F2591" s="26" t="str">
        <f>"ROMERO RUBIO                                                                                                                                "</f>
        <v xml:space="preserve">ROMERO RUBIO                                                                                                                                </v>
      </c>
      <c r="G2591" s="26" t="str">
        <f>"VENUSTIANO CARRANZA                                                             "</f>
        <v xml:space="preserve">VENUSTIANO CARRANZA                                                             </v>
      </c>
      <c r="H2591" s="26" t="str">
        <f>"025"</f>
        <v>025</v>
      </c>
      <c r="I2591" s="26" t="str">
        <f t="shared" si="512"/>
        <v>00</v>
      </c>
      <c r="J2591" s="26" t="str">
        <f>"33 "</f>
        <v xml:space="preserve">33 </v>
      </c>
      <c r="K2591" s="26" t="str">
        <f>"EP"</f>
        <v>EP</v>
      </c>
      <c r="L2591" s="26" t="str">
        <f>"DGOSE"</f>
        <v>DGOSE</v>
      </c>
      <c r="M2591" s="26" t="str">
        <f t="shared" si="510"/>
        <v>PARTICULAR</v>
      </c>
      <c r="N2591" s="26">
        <v>28</v>
      </c>
      <c r="O2591" s="26">
        <v>12</v>
      </c>
      <c r="P2591" s="26">
        <v>16</v>
      </c>
      <c r="Q2591" s="26">
        <v>3</v>
      </c>
      <c r="R2591" s="26">
        <v>1</v>
      </c>
      <c r="S2591" s="26">
        <v>3</v>
      </c>
      <c r="T2591" s="26">
        <v>4</v>
      </c>
      <c r="U2591" s="26">
        <v>8</v>
      </c>
      <c r="V2591" s="26">
        <v>1</v>
      </c>
      <c r="W2591" s="26"/>
    </row>
    <row r="2592" spans="1:23" x14ac:dyDescent="0.25">
      <c r="A2592" s="26" t="str">
        <f t="shared" si="511"/>
        <v>PREESCOLAR</v>
      </c>
      <c r="B2592" s="26" t="str">
        <f>"09PJN5063W"</f>
        <v>09PJN5063W</v>
      </c>
      <c r="C2592" s="26" t="str">
        <f>"JARDÍN DE NIÑOS CONEYOTL-PILTZINTLI                                                                 "</f>
        <v xml:space="preserve">JARDÍN DE NIÑOS CONEYOTL-PILTZINTLI                                                                 </v>
      </c>
      <c r="D2592" s="26" t="str">
        <f t="shared" si="518"/>
        <v>MATUTINO</v>
      </c>
      <c r="E2592" s="26" t="str">
        <f>"INDEPENDENCIA Y CUITLAHUAC NO. 3                                                "</f>
        <v xml:space="preserve">INDEPENDENCIA Y CUITLAHUAC NO. 3                                                </v>
      </c>
      <c r="F2592" s="26" t="str">
        <f>"SAN PEDRO ATOCPAN SECCION 3                                                                                                                 "</f>
        <v xml:space="preserve">SAN PEDRO ATOCPAN SECCION 3                                                                                                                 </v>
      </c>
      <c r="G2592" s="26" t="str">
        <f>"MILPA ALTA                                                                      "</f>
        <v xml:space="preserve">MILPA ALTA                                                                      </v>
      </c>
      <c r="H2592" s="26" t="str">
        <f>"104"</f>
        <v>104</v>
      </c>
      <c r="I2592" s="26" t="str">
        <f t="shared" si="512"/>
        <v>00</v>
      </c>
      <c r="J2592" s="26" t="str">
        <f>"35 "</f>
        <v xml:space="preserve">35 </v>
      </c>
      <c r="K2592" s="26" t="str">
        <f>"EP"</f>
        <v>EP</v>
      </c>
      <c r="L2592" s="26" t="str">
        <f>"DGOSE"</f>
        <v>DGOSE</v>
      </c>
      <c r="M2592" s="26" t="str">
        <f t="shared" si="510"/>
        <v>PARTICULAR</v>
      </c>
      <c r="N2592" s="26">
        <v>35</v>
      </c>
      <c r="O2592" s="26">
        <v>17</v>
      </c>
      <c r="P2592" s="26">
        <v>18</v>
      </c>
      <c r="Q2592" s="26">
        <v>3</v>
      </c>
      <c r="R2592" s="26">
        <v>1</v>
      </c>
      <c r="S2592" s="26">
        <v>3</v>
      </c>
      <c r="T2592" s="26">
        <v>2</v>
      </c>
      <c r="U2592" s="26">
        <v>6</v>
      </c>
      <c r="V2592" s="26">
        <v>1</v>
      </c>
      <c r="W2592" s="26"/>
    </row>
    <row r="2593" spans="1:23" x14ac:dyDescent="0.25">
      <c r="A2593" s="26" t="str">
        <f t="shared" si="511"/>
        <v>PREESCOLAR</v>
      </c>
      <c r="B2593" s="26" t="str">
        <f>"09PJN5065U"</f>
        <v>09PJN5065U</v>
      </c>
      <c r="C2593" s="26" t="s">
        <v>113</v>
      </c>
      <c r="D2593" s="26" t="str">
        <f t="shared" si="518"/>
        <v>MATUTINO</v>
      </c>
      <c r="E2593" s="26" t="str">
        <f>"MONTE EVEREST NO. 725                                                           "</f>
        <v xml:space="preserve">MONTE EVEREST NO. 725                                                           </v>
      </c>
      <c r="F2593" s="26" t="str">
        <f>"LOMAS DE CHAPULTEPEC                                                                                                                        "</f>
        <v xml:space="preserve">LOMAS DE CHAPULTEPEC                                                                                                                        </v>
      </c>
      <c r="G2593" s="26" t="str">
        <f>"MIGUEL HIDALGO                                                                  "</f>
        <v xml:space="preserve">MIGUEL HIDALGO                                                                  </v>
      </c>
      <c r="H2593" s="26" t="str">
        <f>"056"</f>
        <v>056</v>
      </c>
      <c r="I2593" s="26" t="str">
        <f t="shared" si="512"/>
        <v>00</v>
      </c>
      <c r="J2593" s="26" t="str">
        <f>"32 "</f>
        <v xml:space="preserve">32 </v>
      </c>
      <c r="K2593" s="26" t="str">
        <f>"EP"</f>
        <v>EP</v>
      </c>
      <c r="L2593" s="26" t="str">
        <f>"DGOSE"</f>
        <v>DGOSE</v>
      </c>
      <c r="M2593" s="26" t="str">
        <f t="shared" si="510"/>
        <v>PARTICULAR</v>
      </c>
      <c r="N2593" s="26">
        <v>42</v>
      </c>
      <c r="O2593" s="26">
        <v>18</v>
      </c>
      <c r="P2593" s="26">
        <v>24</v>
      </c>
      <c r="Q2593" s="26">
        <v>3</v>
      </c>
      <c r="R2593" s="26">
        <v>1</v>
      </c>
      <c r="S2593" s="26">
        <v>3</v>
      </c>
      <c r="T2593" s="26">
        <v>7</v>
      </c>
      <c r="U2593" s="26">
        <v>11</v>
      </c>
      <c r="V2593" s="26">
        <v>1</v>
      </c>
      <c r="W2593" s="26"/>
    </row>
    <row r="2594" spans="1:23" x14ac:dyDescent="0.25">
      <c r="A2594" s="26" t="str">
        <f t="shared" si="511"/>
        <v>PREESCOLAR</v>
      </c>
      <c r="B2594" s="26" t="str">
        <f>"09PJN5066T"</f>
        <v>09PJN5066T</v>
      </c>
      <c r="C2594" s="26" t="str">
        <f>"COLEGIO ST.MICHEL                                                                                   "</f>
        <v xml:space="preserve">COLEGIO ST.MICHEL                                                                                   </v>
      </c>
      <c r="D2594" s="26" t="str">
        <f t="shared" si="518"/>
        <v>MATUTINO</v>
      </c>
      <c r="E2594" s="26" t="str">
        <f>"CARRETERA XOCHIMILCO SAN PABLO NO.6396-E                                        "</f>
        <v xml:space="preserve">CARRETERA XOCHIMILCO SAN PABLO NO.6396-E                                        </v>
      </c>
      <c r="F2594" s="26" t="str">
        <f>"SANTIAGO TEPALCATLAPAN                                                                                                                      "</f>
        <v xml:space="preserve">SANTIAGO TEPALCATLAPAN                                                                                                                      </v>
      </c>
      <c r="G2594" s="26" t="str">
        <f>"XOCHIMILCO                                                                      "</f>
        <v xml:space="preserve">XOCHIMILCO                                                                      </v>
      </c>
      <c r="H2594" s="26" t="str">
        <f>"052"</f>
        <v>052</v>
      </c>
      <c r="I2594" s="26" t="str">
        <f t="shared" si="512"/>
        <v>00</v>
      </c>
      <c r="J2594" s="26" t="str">
        <f>"35 "</f>
        <v xml:space="preserve">35 </v>
      </c>
      <c r="K2594" s="26" t="str">
        <f>"EP"</f>
        <v>EP</v>
      </c>
      <c r="L2594" s="26" t="str">
        <f>"DGOSE"</f>
        <v>DGOSE</v>
      </c>
      <c r="M2594" s="26" t="str">
        <f t="shared" si="510"/>
        <v>PARTICULAR</v>
      </c>
      <c r="N2594" s="26">
        <v>39</v>
      </c>
      <c r="O2594" s="26">
        <v>17</v>
      </c>
      <c r="P2594" s="26">
        <v>22</v>
      </c>
      <c r="Q2594" s="26">
        <v>3</v>
      </c>
      <c r="R2594" s="26">
        <v>1</v>
      </c>
      <c r="S2594" s="26">
        <v>2</v>
      </c>
      <c r="T2594" s="26">
        <v>5</v>
      </c>
      <c r="U2594" s="26">
        <v>8</v>
      </c>
      <c r="V2594" s="26">
        <v>1</v>
      </c>
      <c r="W2594" s="26"/>
    </row>
    <row r="2595" spans="1:23" x14ac:dyDescent="0.25">
      <c r="A2595" s="26" t="str">
        <f t="shared" si="511"/>
        <v>PREESCOLAR</v>
      </c>
      <c r="B2595" s="26" t="str">
        <f>"09PJN5067S"</f>
        <v>09PJN5067S</v>
      </c>
      <c r="C2595" s="26" t="str">
        <f>"INSTITUTO NOBEL                                                                                     "</f>
        <v xml:space="preserve">INSTITUTO NOBEL                                                                                     </v>
      </c>
      <c r="D2595" s="26" t="str">
        <f t="shared" si="518"/>
        <v>MATUTINO</v>
      </c>
      <c r="E2595" s="26" t="str">
        <f>"DOLORES DEL RIO MZ. 129 LT. 11                                                  "</f>
        <v xml:space="preserve">DOLORES DEL RIO MZ. 129 LT. 11                                                  </v>
      </c>
      <c r="F2595" s="26" t="str">
        <f>"EMILIANO ZAPATA AMPLIACION                                                                                                                  "</f>
        <v xml:space="preserve">EMILIANO ZAPATA AMPLIACION                                                                                                                  </v>
      </c>
      <c r="G2595" s="26" t="str">
        <f>"IZTAPALAPA                                                                      "</f>
        <v xml:space="preserve">IZTAPALAPA                                                                      </v>
      </c>
      <c r="H2595" s="26" t="str">
        <f>"000"</f>
        <v>000</v>
      </c>
      <c r="I2595" s="26" t="str">
        <f t="shared" si="512"/>
        <v>00</v>
      </c>
      <c r="J2595" s="26" t="str">
        <f>"64 "</f>
        <v xml:space="preserve">64 </v>
      </c>
      <c r="K2595" s="26" t="str">
        <f>"IZ"</f>
        <v>IZ</v>
      </c>
      <c r="L2595" s="26" t="str">
        <f>"DGSEI"</f>
        <v>DGSEI</v>
      </c>
      <c r="M2595" s="26" t="str">
        <f t="shared" si="510"/>
        <v>PARTICULAR</v>
      </c>
      <c r="N2595" s="26">
        <v>11</v>
      </c>
      <c r="O2595" s="26">
        <v>6</v>
      </c>
      <c r="P2595" s="26">
        <v>5</v>
      </c>
      <c r="Q2595" s="26">
        <v>1</v>
      </c>
      <c r="R2595" s="26">
        <v>1</v>
      </c>
      <c r="S2595" s="26">
        <v>1</v>
      </c>
      <c r="T2595" s="26">
        <v>1</v>
      </c>
      <c r="U2595" s="26">
        <v>3</v>
      </c>
      <c r="V2595" s="26">
        <v>1</v>
      </c>
      <c r="W2595" s="26"/>
    </row>
    <row r="2596" spans="1:23" x14ac:dyDescent="0.25">
      <c r="A2596" s="26" t="str">
        <f t="shared" si="511"/>
        <v>PREESCOLAR</v>
      </c>
      <c r="B2596" s="26" t="str">
        <f>"09PJN5069Q"</f>
        <v>09PJN5069Q</v>
      </c>
      <c r="C2596" s="26" t="str">
        <f>"KANIC                                                                                               "</f>
        <v xml:space="preserve">KANIC                                                                                               </v>
      </c>
      <c r="D2596" s="26" t="str">
        <f t="shared" si="518"/>
        <v>MATUTINO</v>
      </c>
      <c r="E2596" s="26" t="str">
        <f>"AV. TLAHUAC NO. 4420                                                            "</f>
        <v xml:space="preserve">AV. TLAHUAC NO. 4420                                                            </v>
      </c>
      <c r="F2596" s="26" t="str">
        <f>"GRANJAS ESTRELLA                                                                                                                            "</f>
        <v xml:space="preserve">GRANJAS ESTRELLA                                                                                                                            </v>
      </c>
      <c r="G2596" s="26" t="str">
        <f>"IZTAPALAPA                                                                      "</f>
        <v xml:space="preserve">IZTAPALAPA                                                                      </v>
      </c>
      <c r="H2596" s="26" t="str">
        <f>"000"</f>
        <v>000</v>
      </c>
      <c r="I2596" s="26" t="str">
        <f t="shared" si="512"/>
        <v>00</v>
      </c>
      <c r="J2596" s="26" t="str">
        <f>"63 "</f>
        <v xml:space="preserve">63 </v>
      </c>
      <c r="K2596" s="26" t="str">
        <f>"IZ"</f>
        <v>IZ</v>
      </c>
      <c r="L2596" s="26" t="str">
        <f>"DGSEI"</f>
        <v>DGSEI</v>
      </c>
      <c r="M2596" s="26" t="str">
        <f t="shared" si="510"/>
        <v>PARTICULAR</v>
      </c>
      <c r="N2596" s="26">
        <v>50</v>
      </c>
      <c r="O2596" s="26">
        <v>25</v>
      </c>
      <c r="P2596" s="26">
        <v>25</v>
      </c>
      <c r="Q2596" s="26">
        <v>3</v>
      </c>
      <c r="R2596" s="26">
        <v>1</v>
      </c>
      <c r="S2596" s="26">
        <v>3</v>
      </c>
      <c r="T2596" s="26">
        <v>1</v>
      </c>
      <c r="U2596" s="26">
        <v>5</v>
      </c>
      <c r="V2596" s="26">
        <v>1</v>
      </c>
      <c r="W2596" s="26"/>
    </row>
    <row r="2597" spans="1:23" x14ac:dyDescent="0.25">
      <c r="A2597" s="26" t="str">
        <f t="shared" si="511"/>
        <v>PREESCOLAR</v>
      </c>
      <c r="B2597" s="26" t="str">
        <f>"09PJN5072D"</f>
        <v>09PJN5072D</v>
      </c>
      <c r="C2597" s="26" t="s">
        <v>114</v>
      </c>
      <c r="D2597" s="26" t="str">
        <f t="shared" si="518"/>
        <v>MATUTINO</v>
      </c>
      <c r="E2597" s="26" t="str">
        <f>"FRANCISCO M. OLAGUIBEL NO. 153-A                                                "</f>
        <v xml:space="preserve">FRANCISCO M. OLAGUIBEL NO. 153-A                                                </v>
      </c>
      <c r="F2597" s="26" t="str">
        <f>"OBRERA                                                                                                                                      "</f>
        <v xml:space="preserve">OBRERA                                                                                                                                      </v>
      </c>
      <c r="G2597" s="26" t="s">
        <v>4128</v>
      </c>
      <c r="H2597" s="26" t="str">
        <f>"204"</f>
        <v>204</v>
      </c>
      <c r="I2597" s="26" t="str">
        <f t="shared" si="512"/>
        <v>00</v>
      </c>
      <c r="J2597" s="26" t="str">
        <f>"32 "</f>
        <v xml:space="preserve">32 </v>
      </c>
      <c r="K2597" s="26" t="str">
        <f>"EP"</f>
        <v>EP</v>
      </c>
      <c r="L2597" s="26" t="str">
        <f>"DGOSE"</f>
        <v>DGOSE</v>
      </c>
      <c r="M2597" s="26" t="str">
        <f t="shared" si="510"/>
        <v>PARTICULAR</v>
      </c>
      <c r="N2597" s="26">
        <v>19</v>
      </c>
      <c r="O2597" s="26">
        <v>8</v>
      </c>
      <c r="P2597" s="26">
        <v>11</v>
      </c>
      <c r="Q2597" s="26">
        <v>3</v>
      </c>
      <c r="R2597" s="26">
        <v>1</v>
      </c>
      <c r="S2597" s="26">
        <v>3</v>
      </c>
      <c r="T2597" s="26">
        <v>3</v>
      </c>
      <c r="U2597" s="26">
        <v>7</v>
      </c>
      <c r="V2597" s="26">
        <v>1</v>
      </c>
      <c r="W2597" s="26"/>
    </row>
    <row r="2598" spans="1:23" x14ac:dyDescent="0.25">
      <c r="A2598" s="26" t="str">
        <f t="shared" si="511"/>
        <v>PREESCOLAR</v>
      </c>
      <c r="B2598" s="26" t="str">
        <f>"09PJN5074B"</f>
        <v>09PJN5074B</v>
      </c>
      <c r="C2598" s="26" t="str">
        <f>"CENTRO DE EDUCACION INTEGRAL SCHULENBURG                                                            "</f>
        <v xml:space="preserve">CENTRO DE EDUCACION INTEGRAL SCHULENBURG                                                            </v>
      </c>
      <c r="D2598" s="26" t="str">
        <f t="shared" si="518"/>
        <v>MATUTINO</v>
      </c>
      <c r="E2598" s="26" t="str">
        <f>"FERNANDO IGLESIAS CALDERON NO. 133                                              "</f>
        <v xml:space="preserve">FERNANDO IGLESIAS CALDERON NO. 133                                              </v>
      </c>
      <c r="F2598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2598" s="26" t="str">
        <f>"VENUSTIANO CARRANZA                                                             "</f>
        <v xml:space="preserve">VENUSTIANO CARRANZA                                                             </v>
      </c>
      <c r="H2598" s="26" t="str">
        <f>"096"</f>
        <v>096</v>
      </c>
      <c r="I2598" s="26" t="str">
        <f t="shared" si="512"/>
        <v>00</v>
      </c>
      <c r="J2598" s="26" t="str">
        <f>"33 "</f>
        <v xml:space="preserve">33 </v>
      </c>
      <c r="K2598" s="26" t="str">
        <f>"EP"</f>
        <v>EP</v>
      </c>
      <c r="L2598" s="26" t="str">
        <f>"DGOSE"</f>
        <v>DGOSE</v>
      </c>
      <c r="M2598" s="26" t="str">
        <f t="shared" si="510"/>
        <v>PARTICULAR</v>
      </c>
      <c r="N2598" s="26">
        <v>32</v>
      </c>
      <c r="O2598" s="26">
        <v>20</v>
      </c>
      <c r="P2598" s="26">
        <v>12</v>
      </c>
      <c r="Q2598" s="26">
        <v>3</v>
      </c>
      <c r="R2598" s="26">
        <v>1</v>
      </c>
      <c r="S2598" s="26">
        <v>2</v>
      </c>
      <c r="T2598" s="26">
        <v>3</v>
      </c>
      <c r="U2598" s="26">
        <v>6</v>
      </c>
      <c r="V2598" s="26">
        <v>1</v>
      </c>
      <c r="W2598" s="26"/>
    </row>
    <row r="2599" spans="1:23" x14ac:dyDescent="0.25">
      <c r="A2599" s="26" t="str">
        <f t="shared" si="511"/>
        <v>PREESCOLAR</v>
      </c>
      <c r="B2599" s="26" t="str">
        <f>"09PJN5077Z"</f>
        <v>09PJN5077Z</v>
      </c>
      <c r="C2599" s="26" t="str">
        <f>"LICEO EMBAJADORES DEL REY                                                                           "</f>
        <v xml:space="preserve">LICEO EMBAJADORES DEL REY                                                                           </v>
      </c>
      <c r="D2599" s="26" t="str">
        <f t="shared" si="518"/>
        <v>MATUTINO</v>
      </c>
      <c r="E2599" s="26" t="str">
        <f>"AV. NUEVO LEON NO. 673                                                          "</f>
        <v xml:space="preserve">AV. NUEVO LEON NO. 673                                                          </v>
      </c>
      <c r="F2599" s="26" t="str">
        <f>"CALTONGO                                                                                                                                    "</f>
        <v xml:space="preserve">CALTONGO                                                                                                                                    </v>
      </c>
      <c r="G2599" s="26" t="str">
        <f>"XOCHIMILCO                                                                      "</f>
        <v xml:space="preserve">XOCHIMILCO                                                                      </v>
      </c>
      <c r="H2599" s="26" t="str">
        <f>"103"</f>
        <v>103</v>
      </c>
      <c r="I2599" s="26" t="str">
        <f t="shared" si="512"/>
        <v>00</v>
      </c>
      <c r="J2599" s="26" t="str">
        <f>"35 "</f>
        <v xml:space="preserve">35 </v>
      </c>
      <c r="K2599" s="26" t="str">
        <f>"EP"</f>
        <v>EP</v>
      </c>
      <c r="L2599" s="26" t="str">
        <f>"DGOSE"</f>
        <v>DGOSE</v>
      </c>
      <c r="M2599" s="26" t="str">
        <f t="shared" si="510"/>
        <v>PARTICULAR</v>
      </c>
      <c r="N2599" s="26">
        <v>17</v>
      </c>
      <c r="O2599" s="26">
        <v>8</v>
      </c>
      <c r="P2599" s="26">
        <v>9</v>
      </c>
      <c r="Q2599" s="26">
        <v>3</v>
      </c>
      <c r="R2599" s="26">
        <v>1</v>
      </c>
      <c r="S2599" s="26">
        <v>3</v>
      </c>
      <c r="T2599" s="26">
        <v>3</v>
      </c>
      <c r="U2599" s="26">
        <v>7</v>
      </c>
      <c r="V2599" s="26">
        <v>1</v>
      </c>
      <c r="W2599" s="26"/>
    </row>
    <row r="2600" spans="1:23" x14ac:dyDescent="0.25">
      <c r="A2600" s="26" t="str">
        <f t="shared" si="511"/>
        <v>PREESCOLAR</v>
      </c>
      <c r="B2600" s="26" t="str">
        <f>"09PJN5078Y"</f>
        <v>09PJN5078Y</v>
      </c>
      <c r="C2600" s="26" t="str">
        <f>"CENTRO EDUCATIVO INFANTIL KARPETI                                                                   "</f>
        <v xml:space="preserve">CENTRO EDUCATIVO INFANTIL KARPETI                                                                   </v>
      </c>
      <c r="D2600" s="26" t="str">
        <f t="shared" si="518"/>
        <v>MATUTINO</v>
      </c>
      <c r="E2600" s="26" t="str">
        <f>"ANAHUAC NO. 75                                                                  "</f>
        <v xml:space="preserve">ANAHUAC NO. 75                                                                  </v>
      </c>
      <c r="F2600" s="26" t="str">
        <f>"ROMA SUR                                                                                                                                    "</f>
        <v xml:space="preserve">ROMA SUR                                                                                                                                    </v>
      </c>
      <c r="G2600" s="26" t="s">
        <v>4128</v>
      </c>
      <c r="H2600" s="26" t="str">
        <f>"202"</f>
        <v>202</v>
      </c>
      <c r="I2600" s="26" t="str">
        <f t="shared" si="512"/>
        <v>00</v>
      </c>
      <c r="J2600" s="26" t="str">
        <f>"32 "</f>
        <v xml:space="preserve">32 </v>
      </c>
      <c r="K2600" s="26" t="str">
        <f>"EP"</f>
        <v>EP</v>
      </c>
      <c r="L2600" s="26" t="str">
        <f>"DGOSE"</f>
        <v>DGOSE</v>
      </c>
      <c r="M2600" s="26" t="str">
        <f t="shared" si="510"/>
        <v>PARTICULAR</v>
      </c>
      <c r="N2600" s="26">
        <v>33</v>
      </c>
      <c r="O2600" s="26">
        <v>16</v>
      </c>
      <c r="P2600" s="26">
        <v>17</v>
      </c>
      <c r="Q2600" s="26">
        <v>3</v>
      </c>
      <c r="R2600" s="26">
        <v>1</v>
      </c>
      <c r="S2600" s="26">
        <v>3</v>
      </c>
      <c r="T2600" s="26">
        <v>8</v>
      </c>
      <c r="U2600" s="26">
        <v>12</v>
      </c>
      <c r="V2600" s="26">
        <v>1</v>
      </c>
      <c r="W2600" s="26"/>
    </row>
    <row r="2601" spans="1:23" x14ac:dyDescent="0.25">
      <c r="A2601" s="26" t="str">
        <f t="shared" si="511"/>
        <v>PREESCOLAR</v>
      </c>
      <c r="B2601" s="26" t="str">
        <f>"09PJN5082K"</f>
        <v>09PJN5082K</v>
      </c>
      <c r="C2601" s="26" t="str">
        <f>"JARDIN DE NIÑOS DEL COLEGIO BENAVENTE                                                               "</f>
        <v xml:space="preserve">JARDIN DE NIÑOS DEL COLEGIO BENAVENTE                                                               </v>
      </c>
      <c r="D2601" s="26" t="str">
        <f t="shared" si="518"/>
        <v>MATUTINO</v>
      </c>
      <c r="E2601" s="26" t="str">
        <f>"CALLE 321 NO. 915                                                               "</f>
        <v xml:space="preserve">CALLE 321 NO. 915                                                               </v>
      </c>
      <c r="F2601" s="26" t="str">
        <f>"NUEVA ATZACOALCO                                                                                                                            "</f>
        <v xml:space="preserve">NUEVA ATZACOALCO                                                                                                                            </v>
      </c>
      <c r="G2601" s="26" t="str">
        <f>"GUSTAVO A. MADERO                                                               "</f>
        <v xml:space="preserve">GUSTAVO A. MADERO                                                               </v>
      </c>
      <c r="H2601" s="26" t="str">
        <f>"152"</f>
        <v>152</v>
      </c>
      <c r="I2601" s="26" t="str">
        <f t="shared" si="512"/>
        <v>00</v>
      </c>
      <c r="J2601" s="26" t="str">
        <f>"32 "</f>
        <v xml:space="preserve">32 </v>
      </c>
      <c r="K2601" s="26" t="str">
        <f>"EP"</f>
        <v>EP</v>
      </c>
      <c r="L2601" s="26" t="str">
        <f>"DGOSE"</f>
        <v>DGOSE</v>
      </c>
      <c r="M2601" s="26" t="str">
        <f t="shared" si="510"/>
        <v>PARTICULAR</v>
      </c>
      <c r="N2601" s="26">
        <v>54</v>
      </c>
      <c r="O2601" s="26">
        <v>31</v>
      </c>
      <c r="P2601" s="26">
        <v>23</v>
      </c>
      <c r="Q2601" s="26">
        <v>3</v>
      </c>
      <c r="R2601" s="26">
        <v>1</v>
      </c>
      <c r="S2601" s="26">
        <v>3</v>
      </c>
      <c r="T2601" s="26">
        <v>2</v>
      </c>
      <c r="U2601" s="26">
        <v>6</v>
      </c>
      <c r="V2601" s="26">
        <v>1</v>
      </c>
      <c r="W2601" s="26"/>
    </row>
    <row r="2602" spans="1:23" x14ac:dyDescent="0.25">
      <c r="A2602" s="26" t="str">
        <f t="shared" si="511"/>
        <v>PREESCOLAR</v>
      </c>
      <c r="B2602" s="26" t="str">
        <f>"09PJN5084I"</f>
        <v>09PJN5084I</v>
      </c>
      <c r="C2602" s="26" t="str">
        <f>"JUSTO SIERRA                                                                                        "</f>
        <v xml:space="preserve">JUSTO SIERRA                                                                                        </v>
      </c>
      <c r="D2602" s="26" t="str">
        <f>"VESPERTINO"</f>
        <v>VESPERTINO</v>
      </c>
      <c r="E2602" s="26" t="str">
        <f>"HORTENSIA MZ. 53 LT. 6                                                          "</f>
        <v xml:space="preserve">HORTENSIA MZ. 53 LT. 6                                                          </v>
      </c>
      <c r="F2602" s="26" t="str">
        <f>"SAN MIGUEL TEOTONGO                                                                                                                         "</f>
        <v xml:space="preserve">SAN MIGUEL TEOTONGO                                                                                                                         </v>
      </c>
      <c r="G2602" s="26" t="str">
        <f t="shared" ref="G2602:G2608" si="519">"IZTAPALAPA                                                                      "</f>
        <v xml:space="preserve">IZTAPALAPA                                                                      </v>
      </c>
      <c r="H2602" s="26" t="str">
        <f t="shared" ref="H2602:H2608" si="520">"000"</f>
        <v>000</v>
      </c>
      <c r="I2602" s="26" t="str">
        <f t="shared" si="512"/>
        <v>00</v>
      </c>
      <c r="J2602" s="26" t="str">
        <f>"64 "</f>
        <v xml:space="preserve">64 </v>
      </c>
      <c r="K2602" s="26" t="str">
        <f t="shared" ref="K2602:K2608" si="521">"IZ"</f>
        <v>IZ</v>
      </c>
      <c r="L2602" s="26" t="str">
        <f t="shared" ref="L2602:L2608" si="522">"DGSEI"</f>
        <v>DGSEI</v>
      </c>
      <c r="M2602" s="26" t="str">
        <f t="shared" si="510"/>
        <v>PARTICULAR</v>
      </c>
      <c r="N2602" s="26">
        <v>15</v>
      </c>
      <c r="O2602" s="26">
        <v>6</v>
      </c>
      <c r="P2602" s="26">
        <v>9</v>
      </c>
      <c r="Q2602" s="26">
        <v>3</v>
      </c>
      <c r="R2602" s="26">
        <v>1</v>
      </c>
      <c r="S2602" s="26">
        <v>2</v>
      </c>
      <c r="T2602" s="26">
        <v>2</v>
      </c>
      <c r="U2602" s="26">
        <v>5</v>
      </c>
      <c r="V2602" s="26">
        <v>1</v>
      </c>
      <c r="W2602" s="26"/>
    </row>
    <row r="2603" spans="1:23" x14ac:dyDescent="0.25">
      <c r="A2603" s="26" t="str">
        <f t="shared" si="511"/>
        <v>PREESCOLAR</v>
      </c>
      <c r="B2603" s="26" t="str">
        <f>"09PJN5085H"</f>
        <v>09PJN5085H</v>
      </c>
      <c r="C2603" s="26" t="str">
        <f>"COLEGIO ANDY                                                                                        "</f>
        <v xml:space="preserve">COLEGIO ANDY                                                                                        </v>
      </c>
      <c r="D2603" s="26" t="str">
        <f>"MATUTINO"</f>
        <v>MATUTINO</v>
      </c>
      <c r="E2603" s="26" t="str">
        <f>"PRIV. DEL CALVARIO MZ. 2 LT. 10                                                 "</f>
        <v xml:space="preserve">PRIV. DEL CALVARIO MZ. 2 LT. 10                                                 </v>
      </c>
      <c r="F2603" s="26" t="str">
        <f>"EL SANTUARIO                                                                                                                                "</f>
        <v xml:space="preserve">EL SANTUARIO                                                                                                                                </v>
      </c>
      <c r="G2603" s="26" t="str">
        <f t="shared" si="519"/>
        <v xml:space="preserve">IZTAPALAPA                                                                      </v>
      </c>
      <c r="H2603" s="26" t="str">
        <f t="shared" si="520"/>
        <v>000</v>
      </c>
      <c r="I2603" s="26" t="str">
        <f t="shared" si="512"/>
        <v>00</v>
      </c>
      <c r="J2603" s="26" t="str">
        <f>"61 "</f>
        <v xml:space="preserve">61 </v>
      </c>
      <c r="K2603" s="26" t="str">
        <f t="shared" si="521"/>
        <v>IZ</v>
      </c>
      <c r="L2603" s="26" t="str">
        <f t="shared" si="522"/>
        <v>DGSEI</v>
      </c>
      <c r="M2603" s="26" t="str">
        <f t="shared" si="510"/>
        <v>PARTICULAR</v>
      </c>
      <c r="N2603" s="26">
        <v>36</v>
      </c>
      <c r="O2603" s="26">
        <v>20</v>
      </c>
      <c r="P2603" s="26">
        <v>16</v>
      </c>
      <c r="Q2603" s="26">
        <v>3</v>
      </c>
      <c r="R2603" s="26">
        <v>1</v>
      </c>
      <c r="S2603" s="26">
        <v>3</v>
      </c>
      <c r="T2603" s="26">
        <v>1</v>
      </c>
      <c r="U2603" s="26">
        <v>5</v>
      </c>
      <c r="V2603" s="26">
        <v>1</v>
      </c>
      <c r="W2603" s="26"/>
    </row>
    <row r="2604" spans="1:23" x14ac:dyDescent="0.25">
      <c r="A2604" s="26" t="str">
        <f t="shared" si="511"/>
        <v>PREESCOLAR</v>
      </c>
      <c r="B2604" s="26" t="str">
        <f>"09PJN5086G"</f>
        <v>09PJN5086G</v>
      </c>
      <c r="C2604" s="26" t="str">
        <f>"COLEGIO ANDY                                                                                        "</f>
        <v xml:space="preserve">COLEGIO ANDY                                                                                        </v>
      </c>
      <c r="D2604" s="26" t="str">
        <f>"VESPERTINO"</f>
        <v>VESPERTINO</v>
      </c>
      <c r="E2604" s="26" t="str">
        <f>"PRIV. DEL CALVARIO MZ. 2 LT. 10                                                 "</f>
        <v xml:space="preserve">PRIV. DEL CALVARIO MZ. 2 LT. 10                                                 </v>
      </c>
      <c r="F2604" s="26" t="str">
        <f>"EL SANTUARIO                                                                                                                                "</f>
        <v xml:space="preserve">EL SANTUARIO                                                                                                                                </v>
      </c>
      <c r="G2604" s="26" t="str">
        <f t="shared" si="519"/>
        <v xml:space="preserve">IZTAPALAPA                                                                      </v>
      </c>
      <c r="H2604" s="26" t="str">
        <f t="shared" si="520"/>
        <v>000</v>
      </c>
      <c r="I2604" s="26" t="str">
        <f t="shared" si="512"/>
        <v>00</v>
      </c>
      <c r="J2604" s="26" t="str">
        <f>"61 "</f>
        <v xml:space="preserve">61 </v>
      </c>
      <c r="K2604" s="26" t="str">
        <f t="shared" si="521"/>
        <v>IZ</v>
      </c>
      <c r="L2604" s="26" t="str">
        <f t="shared" si="522"/>
        <v>DGSEI</v>
      </c>
      <c r="M2604" s="26" t="str">
        <f t="shared" si="510"/>
        <v>PARTICULAR</v>
      </c>
      <c r="N2604" s="26">
        <v>24</v>
      </c>
      <c r="O2604" s="26">
        <v>7</v>
      </c>
      <c r="P2604" s="26">
        <v>17</v>
      </c>
      <c r="Q2604" s="26">
        <v>3</v>
      </c>
      <c r="R2604" s="26">
        <v>1</v>
      </c>
      <c r="S2604" s="26">
        <v>3</v>
      </c>
      <c r="T2604" s="26">
        <v>1</v>
      </c>
      <c r="U2604" s="26">
        <v>5</v>
      </c>
      <c r="V2604" s="26">
        <v>1</v>
      </c>
      <c r="W2604" s="26"/>
    </row>
    <row r="2605" spans="1:23" x14ac:dyDescent="0.25">
      <c r="A2605" s="26" t="str">
        <f t="shared" si="511"/>
        <v>PREESCOLAR</v>
      </c>
      <c r="B2605" s="26" t="str">
        <f>"09PJN5087F"</f>
        <v>09PJN5087F</v>
      </c>
      <c r="C2605" s="26" t="str">
        <f>"EL MUNDO DE LA FANTASIA                                                                             "</f>
        <v xml:space="preserve">EL MUNDO DE LA FANTASIA                                                                             </v>
      </c>
      <c r="D2605" s="26" t="str">
        <f>"VESPERTINO"</f>
        <v>VESPERTINO</v>
      </c>
      <c r="E2605" s="26" t="str">
        <f>"QUINTANA ROO MZ. 74 LT. 20                                                      "</f>
        <v xml:space="preserve">QUINTANA ROO MZ. 74 LT. 20                                                      </v>
      </c>
      <c r="F2605" s="26" t="str">
        <f>"LOMAS DE ZARAGOZA                                                                                                                           "</f>
        <v xml:space="preserve">LOMAS DE ZARAGOZA                                                                                                                           </v>
      </c>
      <c r="G2605" s="26" t="str">
        <f t="shared" si="519"/>
        <v xml:space="preserve">IZTAPALAPA                                                                      </v>
      </c>
      <c r="H2605" s="26" t="str">
        <f t="shared" si="520"/>
        <v>000</v>
      </c>
      <c r="I2605" s="26" t="str">
        <f t="shared" si="512"/>
        <v>00</v>
      </c>
      <c r="J2605" s="26" t="str">
        <f>"64 "</f>
        <v xml:space="preserve">64 </v>
      </c>
      <c r="K2605" s="26" t="str">
        <f t="shared" si="521"/>
        <v>IZ</v>
      </c>
      <c r="L2605" s="26" t="str">
        <f t="shared" si="522"/>
        <v>DGSEI</v>
      </c>
      <c r="M2605" s="26" t="str">
        <f t="shared" si="510"/>
        <v>PARTICULAR</v>
      </c>
      <c r="N2605" s="26">
        <v>32</v>
      </c>
      <c r="O2605" s="26">
        <v>17</v>
      </c>
      <c r="P2605" s="26">
        <v>15</v>
      </c>
      <c r="Q2605" s="26">
        <v>2</v>
      </c>
      <c r="R2605" s="26">
        <v>1</v>
      </c>
      <c r="S2605" s="26">
        <v>2</v>
      </c>
      <c r="T2605" s="26">
        <v>2</v>
      </c>
      <c r="U2605" s="26">
        <v>5</v>
      </c>
      <c r="V2605" s="26">
        <v>1</v>
      </c>
      <c r="W2605" s="26"/>
    </row>
    <row r="2606" spans="1:23" x14ac:dyDescent="0.25">
      <c r="A2606" s="26" t="str">
        <f t="shared" si="511"/>
        <v>PREESCOLAR</v>
      </c>
      <c r="B2606" s="26" t="str">
        <f>"09PJN5088E"</f>
        <v>09PJN5088E</v>
      </c>
      <c r="C2606" s="26" t="str">
        <f>"BRUNER                                                                                              "</f>
        <v xml:space="preserve">BRUNER                                                                                              </v>
      </c>
      <c r="D2606" s="26" t="str">
        <f t="shared" ref="D2606:D2669" si="523">"MATUTINO"</f>
        <v>MATUTINO</v>
      </c>
      <c r="E2606" s="26" t="str">
        <f>"RIO MISSISIPPI MZ. 540 LT. 13                                                   "</f>
        <v xml:space="preserve">RIO MISSISIPPI MZ. 540 LT. 13                                                   </v>
      </c>
      <c r="F2606" s="26" t="str">
        <f>"PUENTE BLANCO                                                                                                                               "</f>
        <v xml:space="preserve">PUENTE BLANCO                                                                                                                               </v>
      </c>
      <c r="G2606" s="26" t="str">
        <f t="shared" si="519"/>
        <v xml:space="preserve">IZTAPALAPA                                                                      </v>
      </c>
      <c r="H2606" s="26" t="str">
        <f t="shared" si="520"/>
        <v>000</v>
      </c>
      <c r="I2606" s="26" t="str">
        <f t="shared" si="512"/>
        <v>00</v>
      </c>
      <c r="J2606" s="26" t="str">
        <f>"63 "</f>
        <v xml:space="preserve">63 </v>
      </c>
      <c r="K2606" s="26" t="str">
        <f t="shared" si="521"/>
        <v>IZ</v>
      </c>
      <c r="L2606" s="26" t="str">
        <f t="shared" si="522"/>
        <v>DGSEI</v>
      </c>
      <c r="M2606" s="26" t="str">
        <f t="shared" si="510"/>
        <v>PARTICULAR</v>
      </c>
      <c r="N2606" s="26">
        <v>42</v>
      </c>
      <c r="O2606" s="26">
        <v>19</v>
      </c>
      <c r="P2606" s="26">
        <v>23</v>
      </c>
      <c r="Q2606" s="26">
        <v>3</v>
      </c>
      <c r="R2606" s="26">
        <v>1</v>
      </c>
      <c r="S2606" s="26">
        <v>3</v>
      </c>
      <c r="T2606" s="26">
        <v>5</v>
      </c>
      <c r="U2606" s="26">
        <v>9</v>
      </c>
      <c r="V2606" s="26">
        <v>1</v>
      </c>
      <c r="W2606" s="26"/>
    </row>
    <row r="2607" spans="1:23" x14ac:dyDescent="0.25">
      <c r="A2607" s="26" t="str">
        <f t="shared" si="511"/>
        <v>PREESCOLAR</v>
      </c>
      <c r="B2607" s="26" t="str">
        <f>"09PJN5090T"</f>
        <v>09PJN5090T</v>
      </c>
      <c r="C2607" s="26" t="str">
        <f>"INSTITUTO INFANTIL DANER                                                                            "</f>
        <v xml:space="preserve">INSTITUTO INFANTIL DANER                                                                            </v>
      </c>
      <c r="D2607" s="26" t="str">
        <f t="shared" si="523"/>
        <v>MATUTINO</v>
      </c>
      <c r="E2607" s="26" t="str">
        <f>"RELOJEROS NO. 2                                                                 "</f>
        <v xml:space="preserve">RELOJEROS NO. 2                                                                 </v>
      </c>
      <c r="F2607" s="26" t="str">
        <f>"EL RETOÑO                                                                                                                                   "</f>
        <v xml:space="preserve">EL RETOÑO                                                                                                                                   </v>
      </c>
      <c r="G2607" s="26" t="str">
        <f t="shared" si="519"/>
        <v xml:space="preserve">IZTAPALAPA                                                                      </v>
      </c>
      <c r="H2607" s="26" t="str">
        <f t="shared" si="520"/>
        <v>000</v>
      </c>
      <c r="I2607" s="26" t="str">
        <f t="shared" si="512"/>
        <v>00</v>
      </c>
      <c r="J2607" s="26" t="str">
        <f>"61 "</f>
        <v xml:space="preserve">61 </v>
      </c>
      <c r="K2607" s="26" t="str">
        <f t="shared" si="521"/>
        <v>IZ</v>
      </c>
      <c r="L2607" s="26" t="str">
        <f t="shared" si="522"/>
        <v>DGSEI</v>
      </c>
      <c r="M2607" s="26" t="str">
        <f t="shared" si="510"/>
        <v>PARTICULAR</v>
      </c>
      <c r="N2607" s="26">
        <v>23</v>
      </c>
      <c r="O2607" s="26">
        <v>12</v>
      </c>
      <c r="P2607" s="26">
        <v>11</v>
      </c>
      <c r="Q2607" s="26">
        <v>3</v>
      </c>
      <c r="R2607" s="26">
        <v>1</v>
      </c>
      <c r="S2607" s="26">
        <v>2</v>
      </c>
      <c r="T2607" s="26">
        <v>3</v>
      </c>
      <c r="U2607" s="26">
        <v>6</v>
      </c>
      <c r="V2607" s="26">
        <v>1</v>
      </c>
      <c r="W2607" s="26"/>
    </row>
    <row r="2608" spans="1:23" x14ac:dyDescent="0.25">
      <c r="A2608" s="26" t="str">
        <f t="shared" si="511"/>
        <v>PREESCOLAR</v>
      </c>
      <c r="B2608" s="26" t="str">
        <f>"09PJN5091S"</f>
        <v>09PJN5091S</v>
      </c>
      <c r="C2608" s="26" t="str">
        <f>"HEROES DE LA NAVAL                                                                                  "</f>
        <v xml:space="preserve">HEROES DE LA NAVAL                                                                                  </v>
      </c>
      <c r="D2608" s="26" t="str">
        <f t="shared" si="523"/>
        <v>MATUTINO</v>
      </c>
      <c r="E2608" s="26" t="str">
        <f>"PRIMERA CERRADA DE VILLA FRANQUEZA MZ. 18 LT. 20                                "</f>
        <v xml:space="preserve">PRIMERA CERRADA DE VILLA FRANQUEZA MZ. 18 LT. 20                                </v>
      </c>
      <c r="F2608" s="26" t="str">
        <f>"DESARROLLO URBANO QUETZALCOATL                                                                                                              "</f>
        <v xml:space="preserve">DESARROLLO URBANO QUETZALCOATL                                                                                                              </v>
      </c>
      <c r="G2608" s="26" t="str">
        <f t="shared" si="519"/>
        <v xml:space="preserve">IZTAPALAPA                                                                      </v>
      </c>
      <c r="H2608" s="26" t="str">
        <f t="shared" si="520"/>
        <v>000</v>
      </c>
      <c r="I2608" s="26" t="str">
        <f t="shared" si="512"/>
        <v>00</v>
      </c>
      <c r="J2608" s="26" t="str">
        <f>"64 "</f>
        <v xml:space="preserve">64 </v>
      </c>
      <c r="K2608" s="26" t="str">
        <f t="shared" si="521"/>
        <v>IZ</v>
      </c>
      <c r="L2608" s="26" t="str">
        <f t="shared" si="522"/>
        <v>DGSEI</v>
      </c>
      <c r="M2608" s="26" t="str">
        <f t="shared" si="510"/>
        <v>PARTICULAR</v>
      </c>
      <c r="N2608" s="26">
        <v>41</v>
      </c>
      <c r="O2608" s="26">
        <v>23</v>
      </c>
      <c r="P2608" s="26">
        <v>18</v>
      </c>
      <c r="Q2608" s="26">
        <v>3</v>
      </c>
      <c r="R2608" s="26">
        <v>1</v>
      </c>
      <c r="S2608" s="26">
        <v>3</v>
      </c>
      <c r="T2608" s="26">
        <v>3</v>
      </c>
      <c r="U2608" s="26">
        <v>7</v>
      </c>
      <c r="V2608" s="26">
        <v>1</v>
      </c>
      <c r="W2608" s="26"/>
    </row>
    <row r="2609" spans="1:23" x14ac:dyDescent="0.25">
      <c r="A2609" s="26" t="str">
        <f t="shared" si="511"/>
        <v>PREESCOLAR</v>
      </c>
      <c r="B2609" s="26" t="str">
        <f>"09PJN5092R"</f>
        <v>09PJN5092R</v>
      </c>
      <c r="C2609" s="26" t="str">
        <f>"PICCOLO GIARDINO                                                                                    "</f>
        <v xml:space="preserve">PICCOLO GIARDINO                                                                                    </v>
      </c>
      <c r="D2609" s="26" t="str">
        <f t="shared" si="523"/>
        <v>MATUTINO</v>
      </c>
      <c r="E2609" s="26" t="str">
        <f>"CERRADA SAN JERONIMO NO. 144                                                    "</f>
        <v xml:space="preserve">CERRADA SAN JERONIMO NO. 144                                                    </v>
      </c>
      <c r="F2609" s="26" t="str">
        <f>"SAN JERONIMO LIDICE                                                                                                                         "</f>
        <v xml:space="preserve">SAN JERONIMO LIDICE                                                                                                                         </v>
      </c>
      <c r="G2609" s="26" t="str">
        <f>"LA MAGDALENA CONTRERAS                                                          "</f>
        <v xml:space="preserve">LA MAGDALENA CONTRERAS                                                          </v>
      </c>
      <c r="H2609" s="26" t="str">
        <f>"113"</f>
        <v>113</v>
      </c>
      <c r="I2609" s="26" t="str">
        <f t="shared" si="512"/>
        <v>00</v>
      </c>
      <c r="J2609" s="26" t="str">
        <f>"35 "</f>
        <v xml:space="preserve">35 </v>
      </c>
      <c r="K2609" s="26" t="str">
        <f t="shared" ref="K2609:K2623" si="524">"EP"</f>
        <v>EP</v>
      </c>
      <c r="L2609" s="26" t="str">
        <f t="shared" ref="L2609:L2623" si="525">"DGOSE"</f>
        <v>DGOSE</v>
      </c>
      <c r="M2609" s="26" t="str">
        <f t="shared" si="510"/>
        <v>PARTICULAR</v>
      </c>
      <c r="N2609" s="26">
        <v>36</v>
      </c>
      <c r="O2609" s="26">
        <v>17</v>
      </c>
      <c r="P2609" s="26">
        <v>19</v>
      </c>
      <c r="Q2609" s="26">
        <v>3</v>
      </c>
      <c r="R2609" s="26">
        <v>1</v>
      </c>
      <c r="S2609" s="26">
        <v>1</v>
      </c>
      <c r="T2609" s="26">
        <v>7</v>
      </c>
      <c r="U2609" s="26">
        <v>9</v>
      </c>
      <c r="V2609" s="26">
        <v>1</v>
      </c>
      <c r="W2609" s="26"/>
    </row>
    <row r="2610" spans="1:23" x14ac:dyDescent="0.25">
      <c r="A2610" s="26" t="str">
        <f t="shared" si="511"/>
        <v>PREESCOLAR</v>
      </c>
      <c r="B2610" s="26" t="str">
        <f>"09PJN5093Q"</f>
        <v>09PJN5093Q</v>
      </c>
      <c r="C2610" s="26" t="str">
        <f>"JARDÍN DE NIÑOS CEDROS                                                                              "</f>
        <v xml:space="preserve">JARDÍN DE NIÑOS CEDROS                                                                              </v>
      </c>
      <c r="D2610" s="26" t="str">
        <f t="shared" si="523"/>
        <v>MATUTINO</v>
      </c>
      <c r="E2610" s="26" t="str">
        <f>"AV. MINERVA NO. 253                                                             "</f>
        <v xml:space="preserve">AV. MINERVA NO. 253                                                             </v>
      </c>
      <c r="F2610" s="26" t="str">
        <f>"FLORIDA                                                                                                                                     "</f>
        <v xml:space="preserve">FLORIDA                                                                                                                                     </v>
      </c>
      <c r="G2610" s="26" t="str">
        <f>"ALVARO OBREGON                                                                  "</f>
        <v xml:space="preserve">ALVARO OBREGON                                                                  </v>
      </c>
      <c r="H2610" s="26" t="str">
        <f>"087"</f>
        <v>087</v>
      </c>
      <c r="I2610" s="26" t="str">
        <f t="shared" si="512"/>
        <v>00</v>
      </c>
      <c r="J2610" s="26" t="str">
        <f>"33 "</f>
        <v xml:space="preserve">33 </v>
      </c>
      <c r="K2610" s="26" t="str">
        <f t="shared" si="524"/>
        <v>EP</v>
      </c>
      <c r="L2610" s="26" t="str">
        <f t="shared" si="525"/>
        <v>DGOSE</v>
      </c>
      <c r="M2610" s="26" t="str">
        <f t="shared" si="510"/>
        <v>PARTICULAR</v>
      </c>
      <c r="N2610" s="26">
        <v>105</v>
      </c>
      <c r="O2610" s="26">
        <v>75</v>
      </c>
      <c r="P2610" s="26">
        <v>30</v>
      </c>
      <c r="Q2610" s="26">
        <v>6</v>
      </c>
      <c r="R2610" s="26">
        <v>1</v>
      </c>
      <c r="S2610" s="26">
        <v>4</v>
      </c>
      <c r="T2610" s="26">
        <v>20</v>
      </c>
      <c r="U2610" s="26">
        <v>25</v>
      </c>
      <c r="V2610" s="26">
        <v>1</v>
      </c>
      <c r="W2610" s="26"/>
    </row>
    <row r="2611" spans="1:23" x14ac:dyDescent="0.25">
      <c r="A2611" s="26" t="str">
        <f t="shared" si="511"/>
        <v>PREESCOLAR</v>
      </c>
      <c r="B2611" s="26" t="str">
        <f>"09PJN5096N"</f>
        <v>09PJN5096N</v>
      </c>
      <c r="C2611" s="26" t="str">
        <f>"COLEGIO BUCKINGHAM DE COYOACÁN                                                                      "</f>
        <v xml:space="preserve">COLEGIO BUCKINGHAM DE COYOACÁN                                                                      </v>
      </c>
      <c r="D2611" s="26" t="str">
        <f t="shared" si="523"/>
        <v>MATUTINO</v>
      </c>
      <c r="E2611" s="26" t="str">
        <f>"SAN FELIPE NO. 63                                                               "</f>
        <v xml:space="preserve">SAN FELIPE NO. 63                                                               </v>
      </c>
      <c r="F2611" s="26" t="str">
        <f>"XOCO                                                                                                                                        "</f>
        <v xml:space="preserve">XOCO                                                                                                                                        </v>
      </c>
      <c r="G2611" s="26" t="str">
        <f>"BENITO JUAREZ                                                                   "</f>
        <v xml:space="preserve">BENITO JUAREZ                                                                   </v>
      </c>
      <c r="H2611" s="26" t="str">
        <f>"230"</f>
        <v>230</v>
      </c>
      <c r="I2611" s="26" t="str">
        <f t="shared" si="512"/>
        <v>00</v>
      </c>
      <c r="J2611" s="26" t="str">
        <f>"33 "</f>
        <v xml:space="preserve">33 </v>
      </c>
      <c r="K2611" s="26" t="str">
        <f t="shared" si="524"/>
        <v>EP</v>
      </c>
      <c r="L2611" s="26" t="str">
        <f t="shared" si="525"/>
        <v>DGOSE</v>
      </c>
      <c r="M2611" s="26" t="str">
        <f t="shared" si="510"/>
        <v>PARTICULAR</v>
      </c>
      <c r="N2611" s="26">
        <v>49</v>
      </c>
      <c r="O2611" s="26">
        <v>23</v>
      </c>
      <c r="P2611" s="26">
        <v>26</v>
      </c>
      <c r="Q2611" s="26">
        <v>3</v>
      </c>
      <c r="R2611" s="26">
        <v>1</v>
      </c>
      <c r="S2611" s="26">
        <v>2</v>
      </c>
      <c r="T2611" s="26">
        <v>7</v>
      </c>
      <c r="U2611" s="26">
        <v>10</v>
      </c>
      <c r="V2611" s="26">
        <v>1</v>
      </c>
      <c r="W2611" s="26"/>
    </row>
    <row r="2612" spans="1:23" x14ac:dyDescent="0.25">
      <c r="A2612" s="26" t="str">
        <f t="shared" si="511"/>
        <v>PREESCOLAR</v>
      </c>
      <c r="B2612" s="26" t="str">
        <f>"09PJN5097M"</f>
        <v>09PJN5097M</v>
      </c>
      <c r="C2612" s="26" t="str">
        <f>"LA RUEDA: APRENDIZAJE ACTIVO                                                                        "</f>
        <v xml:space="preserve">LA RUEDA: APRENDIZAJE ACTIVO                                                                        </v>
      </c>
      <c r="D2612" s="26" t="str">
        <f t="shared" si="523"/>
        <v>MATUTINO</v>
      </c>
      <c r="E2612" s="26" t="str">
        <f>"CERRO DE LA ESCONDIDA NO. 61                                                    "</f>
        <v xml:space="preserve">CERRO DE LA ESCONDIDA NO. 61                                                    </v>
      </c>
      <c r="F2612" s="26" t="str">
        <f>"PEDREGAL DE SAN FRANCISCO                                                                                                                   "</f>
        <v xml:space="preserve">PEDREGAL DE SAN FRANCISCO                                                                                                                   </v>
      </c>
      <c r="G2612" s="26" t="str">
        <f>"COYOACAN                                                                        "</f>
        <v xml:space="preserve">COYOACAN                                                                        </v>
      </c>
      <c r="H2612" s="26" t="str">
        <f>"237"</f>
        <v>237</v>
      </c>
      <c r="I2612" s="26" t="str">
        <f t="shared" si="512"/>
        <v>00</v>
      </c>
      <c r="J2612" s="26" t="str">
        <f>"35 "</f>
        <v xml:space="preserve">35 </v>
      </c>
      <c r="K2612" s="26" t="str">
        <f t="shared" si="524"/>
        <v>EP</v>
      </c>
      <c r="L2612" s="26" t="str">
        <f t="shared" si="525"/>
        <v>DGOSE</v>
      </c>
      <c r="M2612" s="26" t="str">
        <f t="shared" si="510"/>
        <v>PARTICULAR</v>
      </c>
      <c r="N2612" s="26">
        <v>11</v>
      </c>
      <c r="O2612" s="26">
        <v>7</v>
      </c>
      <c r="P2612" s="26">
        <v>4</v>
      </c>
      <c r="Q2612" s="26">
        <v>3</v>
      </c>
      <c r="R2612" s="26">
        <v>1</v>
      </c>
      <c r="S2612" s="26">
        <v>2</v>
      </c>
      <c r="T2612" s="26">
        <v>4</v>
      </c>
      <c r="U2612" s="26">
        <v>7</v>
      </c>
      <c r="V2612" s="26">
        <v>1</v>
      </c>
      <c r="W2612" s="26"/>
    </row>
    <row r="2613" spans="1:23" x14ac:dyDescent="0.25">
      <c r="A2613" s="26" t="str">
        <f t="shared" si="511"/>
        <v>PREESCOLAR</v>
      </c>
      <c r="B2613" s="26" t="str">
        <f>"09PJN5098L"</f>
        <v>09PJN5098L</v>
      </c>
      <c r="C2613" s="26" t="str">
        <f>"JARDIN DE NIÑOS TEYOCOYANI                                                                          "</f>
        <v xml:space="preserve">JARDIN DE NIÑOS TEYOCOYANI                                                                          </v>
      </c>
      <c r="D2613" s="26" t="str">
        <f t="shared" si="523"/>
        <v>MATUTINO</v>
      </c>
      <c r="E2613" s="26" t="str">
        <f>"BUTACARIS S/N. MZA. 12 LT. 30                                                   "</f>
        <v xml:space="preserve">BUTACARIS S/N. MZA. 12 LT. 30                                                   </v>
      </c>
      <c r="F2613" s="26" t="str">
        <f>"EL CARACOL                                                                                                                                  "</f>
        <v xml:space="preserve">EL CARACOL                                                                                                                                  </v>
      </c>
      <c r="G2613" s="26" t="str">
        <f>"COYOACAN                                                                        "</f>
        <v xml:space="preserve">COYOACAN                                                                        </v>
      </c>
      <c r="H2613" s="26" t="str">
        <f>"156"</f>
        <v>156</v>
      </c>
      <c r="I2613" s="26" t="str">
        <f t="shared" si="512"/>
        <v>00</v>
      </c>
      <c r="J2613" s="26" t="str">
        <f>"35 "</f>
        <v xml:space="preserve">35 </v>
      </c>
      <c r="K2613" s="26" t="str">
        <f t="shared" si="524"/>
        <v>EP</v>
      </c>
      <c r="L2613" s="26" t="str">
        <f t="shared" si="525"/>
        <v>DGOSE</v>
      </c>
      <c r="M2613" s="26" t="str">
        <f t="shared" si="510"/>
        <v>PARTICULAR</v>
      </c>
      <c r="N2613" s="26">
        <v>24</v>
      </c>
      <c r="O2613" s="26">
        <v>8</v>
      </c>
      <c r="P2613" s="26">
        <v>16</v>
      </c>
      <c r="Q2613" s="26">
        <v>3</v>
      </c>
      <c r="R2613" s="26">
        <v>1</v>
      </c>
      <c r="S2613" s="26">
        <v>3</v>
      </c>
      <c r="T2613" s="26">
        <v>7</v>
      </c>
      <c r="U2613" s="26">
        <v>11</v>
      </c>
      <c r="V2613" s="26">
        <v>1</v>
      </c>
      <c r="W2613" s="26"/>
    </row>
    <row r="2614" spans="1:23" x14ac:dyDescent="0.25">
      <c r="A2614" s="26" t="str">
        <f t="shared" si="511"/>
        <v>PREESCOLAR</v>
      </c>
      <c r="B2614" s="26" t="str">
        <f>"09PJN5099K"</f>
        <v>09PJN5099K</v>
      </c>
      <c r="C2614" s="26" t="str">
        <f>"ALI JARDIN DE NIÑOS                                                                                 "</f>
        <v xml:space="preserve">ALI JARDIN DE NIÑOS                                                                                 </v>
      </c>
      <c r="D2614" s="26" t="str">
        <f t="shared" si="523"/>
        <v>MATUTINO</v>
      </c>
      <c r="E2614" s="26" t="str">
        <f>"AJUSCO NO. 90                                                                   "</f>
        <v xml:space="preserve">AJUSCO NO. 90                                                                   </v>
      </c>
      <c r="F2614" s="26" t="str">
        <f>"TORIELLO GUERRA                                                                                                                             "</f>
        <v xml:space="preserve">TORIELLO GUERRA                                                                                                                             </v>
      </c>
      <c r="G2614" s="26" t="str">
        <f>"TLALPAN                                                                         "</f>
        <v xml:space="preserve">TLALPAN                                                                         </v>
      </c>
      <c r="H2614" s="26" t="str">
        <f>"222"</f>
        <v>222</v>
      </c>
      <c r="I2614" s="26" t="str">
        <f t="shared" si="512"/>
        <v>00</v>
      </c>
      <c r="J2614" s="26" t="str">
        <f>"35 "</f>
        <v xml:space="preserve">35 </v>
      </c>
      <c r="K2614" s="26" t="str">
        <f t="shared" si="524"/>
        <v>EP</v>
      </c>
      <c r="L2614" s="26" t="str">
        <f t="shared" si="525"/>
        <v>DGOSE</v>
      </c>
      <c r="M2614" s="26" t="str">
        <f t="shared" si="510"/>
        <v>PARTICULAR</v>
      </c>
      <c r="N2614" s="26">
        <v>23</v>
      </c>
      <c r="O2614" s="26">
        <v>15</v>
      </c>
      <c r="P2614" s="26">
        <v>8</v>
      </c>
      <c r="Q2614" s="26">
        <v>1</v>
      </c>
      <c r="R2614" s="26">
        <v>1</v>
      </c>
      <c r="S2614" s="26">
        <v>1</v>
      </c>
      <c r="T2614" s="26">
        <v>4</v>
      </c>
      <c r="U2614" s="26">
        <v>6</v>
      </c>
      <c r="V2614" s="26">
        <v>1</v>
      </c>
      <c r="W2614" s="26"/>
    </row>
    <row r="2615" spans="1:23" x14ac:dyDescent="0.25">
      <c r="A2615" s="26" t="str">
        <f t="shared" si="511"/>
        <v>PREESCOLAR</v>
      </c>
      <c r="B2615" s="26" t="str">
        <f>"09PJN5100J"</f>
        <v>09PJN5100J</v>
      </c>
      <c r="C2615" s="26" t="str">
        <f>"CENTRO DE PRENDIZAJE Y DESARROLLO INTEGRAL NUEVA GENERACION                                         "</f>
        <v xml:space="preserve">CENTRO DE PRENDIZAJE Y DESARROLLO INTEGRAL NUEVA GENERACION                                         </v>
      </c>
      <c r="D2615" s="26" t="str">
        <f t="shared" si="523"/>
        <v>MATUTINO</v>
      </c>
      <c r="E2615" s="26" t="str">
        <f>"AV. RICARDO FLORES MAGON NO. 14                                                 "</f>
        <v xml:space="preserve">AV. RICARDO FLORES MAGON NO. 14                                                 </v>
      </c>
      <c r="F2615" s="26" t="str">
        <f>"GUERRERO                                                                                                                                    "</f>
        <v xml:space="preserve">GUERRERO                                                                                                                                    </v>
      </c>
      <c r="G2615" s="26" t="s">
        <v>4128</v>
      </c>
      <c r="H2615" s="26" t="str">
        <f>"203"</f>
        <v>203</v>
      </c>
      <c r="I2615" s="26" t="str">
        <f t="shared" si="512"/>
        <v>00</v>
      </c>
      <c r="J2615" s="26" t="str">
        <f>"32 "</f>
        <v xml:space="preserve">32 </v>
      </c>
      <c r="K2615" s="26" t="str">
        <f t="shared" si="524"/>
        <v>EP</v>
      </c>
      <c r="L2615" s="26" t="str">
        <f t="shared" si="525"/>
        <v>DGOSE</v>
      </c>
      <c r="M2615" s="26" t="str">
        <f t="shared" si="510"/>
        <v>PARTICULAR</v>
      </c>
      <c r="N2615" s="26">
        <v>24</v>
      </c>
      <c r="O2615" s="26">
        <v>14</v>
      </c>
      <c r="P2615" s="26">
        <v>10</v>
      </c>
      <c r="Q2615" s="26">
        <v>3</v>
      </c>
      <c r="R2615" s="26">
        <v>1</v>
      </c>
      <c r="S2615" s="26">
        <v>3</v>
      </c>
      <c r="T2615" s="26">
        <v>4</v>
      </c>
      <c r="U2615" s="26">
        <v>8</v>
      </c>
      <c r="V2615" s="26">
        <v>1</v>
      </c>
      <c r="W2615" s="26"/>
    </row>
    <row r="2616" spans="1:23" x14ac:dyDescent="0.25">
      <c r="A2616" s="26" t="str">
        <f t="shared" si="511"/>
        <v>PREESCOLAR</v>
      </c>
      <c r="B2616" s="26" t="str">
        <f>"09PJN5101I"</f>
        <v>09PJN5101I</v>
      </c>
      <c r="C2616" s="26" t="str">
        <f>"JARDIN DE NIÑOS KINDERWELT                                                                          "</f>
        <v xml:space="preserve">JARDIN DE NIÑOS KINDERWELT                                                                          </v>
      </c>
      <c r="D2616" s="26" t="str">
        <f t="shared" si="523"/>
        <v>MATUTINO</v>
      </c>
      <c r="E2616" s="26" t="str">
        <f>"RIO BLANCO NO. 14                                                               "</f>
        <v xml:space="preserve">RIO BLANCO NO. 14                                                               </v>
      </c>
      <c r="F2616" s="26" t="str">
        <f>"SAN JERONIMO ACULCO                                                                                                                         "</f>
        <v xml:space="preserve">SAN JERONIMO ACULCO                                                                                                                         </v>
      </c>
      <c r="G2616" s="26" t="str">
        <f>"LA MAGDALENA CONTRERAS                                                          "</f>
        <v xml:space="preserve">LA MAGDALENA CONTRERAS                                                          </v>
      </c>
      <c r="H2616" s="26" t="str">
        <f>"113"</f>
        <v>113</v>
      </c>
      <c r="I2616" s="26" t="str">
        <f t="shared" si="512"/>
        <v>00</v>
      </c>
      <c r="J2616" s="26" t="str">
        <f>"35 "</f>
        <v xml:space="preserve">35 </v>
      </c>
      <c r="K2616" s="26" t="str">
        <f t="shared" si="524"/>
        <v>EP</v>
      </c>
      <c r="L2616" s="26" t="str">
        <f t="shared" si="525"/>
        <v>DGOSE</v>
      </c>
      <c r="M2616" s="26" t="str">
        <f t="shared" si="510"/>
        <v>PARTICULAR</v>
      </c>
      <c r="N2616" s="26">
        <v>45</v>
      </c>
      <c r="O2616" s="26">
        <v>25</v>
      </c>
      <c r="P2616" s="26">
        <v>20</v>
      </c>
      <c r="Q2616" s="26">
        <v>3</v>
      </c>
      <c r="R2616" s="26">
        <v>1</v>
      </c>
      <c r="S2616" s="26">
        <v>2</v>
      </c>
      <c r="T2616" s="26">
        <v>3</v>
      </c>
      <c r="U2616" s="26">
        <v>6</v>
      </c>
      <c r="V2616" s="26">
        <v>1</v>
      </c>
      <c r="W2616" s="26"/>
    </row>
    <row r="2617" spans="1:23" x14ac:dyDescent="0.25">
      <c r="A2617" s="26" t="str">
        <f t="shared" si="511"/>
        <v>PREESCOLAR</v>
      </c>
      <c r="B2617" s="26" t="str">
        <f>"09PJN5102H"</f>
        <v>09PJN5102H</v>
      </c>
      <c r="C2617" s="26" t="str">
        <f>"PEDREGAL DEL BOSQUE                                                                                 "</f>
        <v xml:space="preserve">PEDREGAL DEL BOSQUE                                                                                 </v>
      </c>
      <c r="D2617" s="26" t="str">
        <f t="shared" si="523"/>
        <v>MATUTINO</v>
      </c>
      <c r="E2617" s="26" t="str">
        <f>"NUBES NO. 373                                                                   "</f>
        <v xml:space="preserve">NUBES NO. 373                                                                   </v>
      </c>
      <c r="F2617" s="26" t="str">
        <f>"JARDINES DEL PEDREGAL                                                                                                                       "</f>
        <v xml:space="preserve">JARDINES DEL PEDREGAL                                                                                                                       </v>
      </c>
      <c r="G2617" s="26" t="str">
        <f>"ALVARO OBREGON                                                                  "</f>
        <v xml:space="preserve">ALVARO OBREGON                                                                  </v>
      </c>
      <c r="H2617" s="26" t="str">
        <f>"150"</f>
        <v>150</v>
      </c>
      <c r="I2617" s="26" t="str">
        <f t="shared" si="512"/>
        <v>00</v>
      </c>
      <c r="J2617" s="26" t="str">
        <f>"33 "</f>
        <v xml:space="preserve">33 </v>
      </c>
      <c r="K2617" s="26" t="str">
        <f t="shared" si="524"/>
        <v>EP</v>
      </c>
      <c r="L2617" s="26" t="str">
        <f t="shared" si="525"/>
        <v>DGOSE</v>
      </c>
      <c r="M2617" s="26" t="str">
        <f t="shared" si="510"/>
        <v>PARTICULAR</v>
      </c>
      <c r="N2617" s="26">
        <v>88</v>
      </c>
      <c r="O2617" s="26">
        <v>51</v>
      </c>
      <c r="P2617" s="26">
        <v>37</v>
      </c>
      <c r="Q2617" s="26">
        <v>4</v>
      </c>
      <c r="R2617" s="26">
        <v>1</v>
      </c>
      <c r="S2617" s="26">
        <v>4</v>
      </c>
      <c r="T2617" s="26">
        <v>11</v>
      </c>
      <c r="U2617" s="26">
        <v>16</v>
      </c>
      <c r="V2617" s="26">
        <v>1</v>
      </c>
      <c r="W2617" s="26"/>
    </row>
    <row r="2618" spans="1:23" x14ac:dyDescent="0.25">
      <c r="A2618" s="26" t="str">
        <f t="shared" si="511"/>
        <v>PREESCOLAR</v>
      </c>
      <c r="B2618" s="26" t="str">
        <f>"09PJN5103G"</f>
        <v>09PJN5103G</v>
      </c>
      <c r="C2618" s="26" t="str">
        <f>"MUSIC CASTLE KINDER                                                                                 "</f>
        <v xml:space="preserve">MUSIC CASTLE KINDER                                                                                 </v>
      </c>
      <c r="D2618" s="26" t="str">
        <f t="shared" si="523"/>
        <v>MATUTINO</v>
      </c>
      <c r="E2618" s="26" t="str">
        <f>"AQUILES NO. 124                                                                 "</f>
        <v xml:space="preserve">AQUILES NO. 124                                                                 </v>
      </c>
      <c r="F2618" s="26" t="str">
        <f>"LOMAS DE AXOMIATLA                                                                                                                          "</f>
        <v xml:space="preserve">LOMAS DE AXOMIATLA                                                                                                                          </v>
      </c>
      <c r="G2618" s="26" t="str">
        <f>"ALVARO OBREGON                                                                  "</f>
        <v xml:space="preserve">ALVARO OBREGON                                                                  </v>
      </c>
      <c r="H2618" s="26" t="str">
        <f>"215"</f>
        <v>215</v>
      </c>
      <c r="I2618" s="26" t="str">
        <f t="shared" si="512"/>
        <v>00</v>
      </c>
      <c r="J2618" s="26" t="str">
        <f>"33 "</f>
        <v xml:space="preserve">33 </v>
      </c>
      <c r="K2618" s="26" t="str">
        <f t="shared" si="524"/>
        <v>EP</v>
      </c>
      <c r="L2618" s="26" t="str">
        <f t="shared" si="525"/>
        <v>DGOSE</v>
      </c>
      <c r="M2618" s="26" t="str">
        <f t="shared" si="510"/>
        <v>PARTICULAR</v>
      </c>
      <c r="N2618" s="26">
        <v>7</v>
      </c>
      <c r="O2618" s="26">
        <v>5</v>
      </c>
      <c r="P2618" s="26">
        <v>2</v>
      </c>
      <c r="Q2618" s="26">
        <v>2</v>
      </c>
      <c r="R2618" s="26">
        <v>1</v>
      </c>
      <c r="S2618" s="26">
        <v>2</v>
      </c>
      <c r="T2618" s="26">
        <v>1</v>
      </c>
      <c r="U2618" s="26">
        <v>4</v>
      </c>
      <c r="V2618" s="26">
        <v>1</v>
      </c>
      <c r="W2618" s="26"/>
    </row>
    <row r="2619" spans="1:23" x14ac:dyDescent="0.25">
      <c r="A2619" s="26" t="str">
        <f t="shared" si="511"/>
        <v>PREESCOLAR</v>
      </c>
      <c r="B2619" s="26" t="str">
        <f>"09PJN5104F"</f>
        <v>09PJN5104F</v>
      </c>
      <c r="C2619" s="26" t="str">
        <f>"JARDIN DE NIÑOS SAN ANGEL                                                                           "</f>
        <v xml:space="preserve">JARDIN DE NIÑOS SAN ANGEL                                                                           </v>
      </c>
      <c r="D2619" s="26" t="str">
        <f t="shared" si="523"/>
        <v>MATUTINO</v>
      </c>
      <c r="E2619" s="26" t="str">
        <f>"ALPINA NO. 22                                                                   "</f>
        <v xml:space="preserve">ALPINA NO. 22                                                                   </v>
      </c>
      <c r="F2619" s="26" t="str">
        <f>"TIZAPAN                                                                                                                                     "</f>
        <v xml:space="preserve">TIZAPAN                                                                                                                                     </v>
      </c>
      <c r="G2619" s="26" t="str">
        <f>"ALVARO OBREGON                                                                  "</f>
        <v xml:space="preserve">ALVARO OBREGON                                                                  </v>
      </c>
      <c r="H2619" s="26" t="str">
        <f>"214"</f>
        <v>214</v>
      </c>
      <c r="I2619" s="26" t="str">
        <f t="shared" si="512"/>
        <v>00</v>
      </c>
      <c r="J2619" s="26" t="str">
        <f>"33 "</f>
        <v xml:space="preserve">33 </v>
      </c>
      <c r="K2619" s="26" t="str">
        <f t="shared" si="524"/>
        <v>EP</v>
      </c>
      <c r="L2619" s="26" t="str">
        <f t="shared" si="525"/>
        <v>DGOSE</v>
      </c>
      <c r="M2619" s="26" t="str">
        <f t="shared" si="510"/>
        <v>PARTICULAR</v>
      </c>
      <c r="N2619" s="26">
        <v>21</v>
      </c>
      <c r="O2619" s="26">
        <v>13</v>
      </c>
      <c r="P2619" s="26">
        <v>8</v>
      </c>
      <c r="Q2619" s="26">
        <v>3</v>
      </c>
      <c r="R2619" s="26">
        <v>1</v>
      </c>
      <c r="S2619" s="26">
        <v>2</v>
      </c>
      <c r="T2619" s="26">
        <v>3</v>
      </c>
      <c r="U2619" s="26">
        <v>6</v>
      </c>
      <c r="V2619" s="26">
        <v>1</v>
      </c>
      <c r="W2619" s="26"/>
    </row>
    <row r="2620" spans="1:23" x14ac:dyDescent="0.25">
      <c r="A2620" s="26" t="str">
        <f t="shared" si="511"/>
        <v>PREESCOLAR</v>
      </c>
      <c r="B2620" s="26" t="str">
        <f>"09PJN5105E"</f>
        <v>09PJN5105E</v>
      </c>
      <c r="C2620" s="26" t="str">
        <f>"GIORDANO BRUNO                                                                                      "</f>
        <v xml:space="preserve">GIORDANO BRUNO                                                                                      </v>
      </c>
      <c r="D2620" s="26" t="str">
        <f t="shared" si="523"/>
        <v>MATUTINO</v>
      </c>
      <c r="E2620" s="26" t="str">
        <f>"PALMAS NO. 164                                                                  "</f>
        <v xml:space="preserve">PALMAS NO. 164                                                                  </v>
      </c>
      <c r="F2620" s="26" t="str">
        <f>"EL TORO                                                                                                                                     "</f>
        <v xml:space="preserve">EL TORO                                                                                                                                     </v>
      </c>
      <c r="G2620" s="26" t="str">
        <f>"LA MAGDALENA CONTRERAS                                                          "</f>
        <v xml:space="preserve">LA MAGDALENA CONTRERAS                                                          </v>
      </c>
      <c r="H2620" s="26" t="str">
        <f>"112"</f>
        <v>112</v>
      </c>
      <c r="I2620" s="26" t="str">
        <f t="shared" si="512"/>
        <v>00</v>
      </c>
      <c r="J2620" s="26" t="str">
        <f>"35 "</f>
        <v xml:space="preserve">35 </v>
      </c>
      <c r="K2620" s="26" t="str">
        <f t="shared" si="524"/>
        <v>EP</v>
      </c>
      <c r="L2620" s="26" t="str">
        <f t="shared" si="525"/>
        <v>DGOSE</v>
      </c>
      <c r="M2620" s="26" t="str">
        <f t="shared" si="510"/>
        <v>PARTICULAR</v>
      </c>
      <c r="N2620" s="26">
        <v>26</v>
      </c>
      <c r="O2620" s="26">
        <v>13</v>
      </c>
      <c r="P2620" s="26">
        <v>13</v>
      </c>
      <c r="Q2620" s="26">
        <v>3</v>
      </c>
      <c r="R2620" s="26">
        <v>1</v>
      </c>
      <c r="S2620" s="26">
        <v>3</v>
      </c>
      <c r="T2620" s="26">
        <v>4</v>
      </c>
      <c r="U2620" s="26">
        <v>8</v>
      </c>
      <c r="V2620" s="26">
        <v>1</v>
      </c>
      <c r="W2620" s="26"/>
    </row>
    <row r="2621" spans="1:23" x14ac:dyDescent="0.25">
      <c r="A2621" s="26" t="str">
        <f t="shared" si="511"/>
        <v>PREESCOLAR</v>
      </c>
      <c r="B2621" s="26" t="str">
        <f>"09PJN5107C"</f>
        <v>09PJN5107C</v>
      </c>
      <c r="C2621" s="26" t="str">
        <f>"EUREKA                                                                                              "</f>
        <v xml:space="preserve">EUREKA                                                                                              </v>
      </c>
      <c r="D2621" s="26" t="str">
        <f t="shared" si="523"/>
        <v>MATUTINO</v>
      </c>
      <c r="E2621" s="26" t="str">
        <f>"PLAZUELA DE LOS REYES NO. 51                                                    "</f>
        <v xml:space="preserve">PLAZUELA DE LOS REYES NO. 51                                                    </v>
      </c>
      <c r="F2621" s="26" t="str">
        <f>"LOS REYES                                                                                                                                   "</f>
        <v xml:space="preserve">LOS REYES                                                                                                                                   </v>
      </c>
      <c r="G2621" s="26" t="str">
        <f>"COYOACAN                                                                        "</f>
        <v xml:space="preserve">COYOACAN                                                                        </v>
      </c>
      <c r="H2621" s="26" t="str">
        <f>"237"</f>
        <v>237</v>
      </c>
      <c r="I2621" s="26" t="str">
        <f t="shared" si="512"/>
        <v>00</v>
      </c>
      <c r="J2621" s="26" t="str">
        <f>"35 "</f>
        <v xml:space="preserve">35 </v>
      </c>
      <c r="K2621" s="26" t="str">
        <f t="shared" si="524"/>
        <v>EP</v>
      </c>
      <c r="L2621" s="26" t="str">
        <f t="shared" si="525"/>
        <v>DGOSE</v>
      </c>
      <c r="M2621" s="26" t="str">
        <f t="shared" si="510"/>
        <v>PARTICULAR</v>
      </c>
      <c r="N2621" s="26">
        <v>30</v>
      </c>
      <c r="O2621" s="26">
        <v>10</v>
      </c>
      <c r="P2621" s="26">
        <v>20</v>
      </c>
      <c r="Q2621" s="26">
        <v>3</v>
      </c>
      <c r="R2621" s="26">
        <v>1</v>
      </c>
      <c r="S2621" s="26">
        <v>3</v>
      </c>
      <c r="T2621" s="26">
        <v>2</v>
      </c>
      <c r="U2621" s="26">
        <v>6</v>
      </c>
      <c r="V2621" s="26">
        <v>1</v>
      </c>
      <c r="W2621" s="26"/>
    </row>
    <row r="2622" spans="1:23" x14ac:dyDescent="0.25">
      <c r="A2622" s="26" t="str">
        <f t="shared" si="511"/>
        <v>PREESCOLAR</v>
      </c>
      <c r="B2622" s="26" t="str">
        <f>"09PJN5109A"</f>
        <v>09PJN5109A</v>
      </c>
      <c r="C2622" s="26" t="str">
        <f>"PLAY AND LEARN                                                                                      "</f>
        <v xml:space="preserve">PLAY AND LEARN                                                                                      </v>
      </c>
      <c r="D2622" s="26" t="str">
        <f t="shared" si="523"/>
        <v>MATUTINO</v>
      </c>
      <c r="E2622" s="26" t="str">
        <f>"AV. SAN JERONIMO NO. 601                                                        "</f>
        <v xml:space="preserve">AV. SAN JERONIMO NO. 601                                                        </v>
      </c>
      <c r="F2622" s="26" t="str">
        <f>"LOMAS QUEBRADAS                                                                                                                             "</f>
        <v xml:space="preserve">LOMAS QUEBRADAS                                                                                                                             </v>
      </c>
      <c r="G2622" s="26" t="str">
        <f>"LA MAGDALENA CONTRERAS                                                          "</f>
        <v xml:space="preserve">LA MAGDALENA CONTRERAS                                                          </v>
      </c>
      <c r="H2622" s="26" t="str">
        <f>"112"</f>
        <v>112</v>
      </c>
      <c r="I2622" s="26" t="str">
        <f t="shared" si="512"/>
        <v>00</v>
      </c>
      <c r="J2622" s="26" t="str">
        <f>"35 "</f>
        <v xml:space="preserve">35 </v>
      </c>
      <c r="K2622" s="26" t="str">
        <f t="shared" si="524"/>
        <v>EP</v>
      </c>
      <c r="L2622" s="26" t="str">
        <f t="shared" si="525"/>
        <v>DGOSE</v>
      </c>
      <c r="M2622" s="26" t="str">
        <f t="shared" si="510"/>
        <v>PARTICULAR</v>
      </c>
      <c r="N2622" s="26">
        <v>21</v>
      </c>
      <c r="O2622" s="26">
        <v>13</v>
      </c>
      <c r="P2622" s="26">
        <v>8</v>
      </c>
      <c r="Q2622" s="26">
        <v>3</v>
      </c>
      <c r="R2622" s="26">
        <v>1</v>
      </c>
      <c r="S2622" s="26">
        <v>3</v>
      </c>
      <c r="T2622" s="26">
        <v>5</v>
      </c>
      <c r="U2622" s="26">
        <v>9</v>
      </c>
      <c r="V2622" s="26">
        <v>1</v>
      </c>
      <c r="W2622" s="26"/>
    </row>
    <row r="2623" spans="1:23" x14ac:dyDescent="0.25">
      <c r="A2623" s="26" t="str">
        <f t="shared" si="511"/>
        <v>PREESCOLAR</v>
      </c>
      <c r="B2623" s="26" t="str">
        <f>"09PJN5110Q"</f>
        <v>09PJN5110Q</v>
      </c>
      <c r="C2623" s="26" t="str">
        <f>"CADI KIDS                                                                                           "</f>
        <v xml:space="preserve">CADI KIDS                                                                                           </v>
      </c>
      <c r="D2623" s="26" t="str">
        <f t="shared" si="523"/>
        <v>MATUTINO</v>
      </c>
      <c r="E2623" s="26" t="str">
        <f>"ARISTOTELES NO. 98                                                              "</f>
        <v xml:space="preserve">ARISTOTELES NO. 98                                                              </v>
      </c>
      <c r="F2623" s="26" t="str">
        <f>"POLANCO CHAPULTEPEC                                                                                                                         "</f>
        <v xml:space="preserve">POLANCO CHAPULTEPEC                                                                                                                         </v>
      </c>
      <c r="G2623" s="26" t="str">
        <f>"MIGUEL HIDALGO                                                                  "</f>
        <v xml:space="preserve">MIGUEL HIDALGO                                                                  </v>
      </c>
      <c r="H2623" s="26" t="str">
        <f>"190"</f>
        <v>190</v>
      </c>
      <c r="I2623" s="26" t="str">
        <f t="shared" si="512"/>
        <v>00</v>
      </c>
      <c r="J2623" s="26" t="str">
        <f>"32 "</f>
        <v xml:space="preserve">32 </v>
      </c>
      <c r="K2623" s="26" t="str">
        <f t="shared" si="524"/>
        <v>EP</v>
      </c>
      <c r="L2623" s="26" t="str">
        <f t="shared" si="525"/>
        <v>DGOSE</v>
      </c>
      <c r="M2623" s="26" t="str">
        <f t="shared" ref="M2623:M2686" si="526">"PARTICULAR"</f>
        <v>PARTICULAR</v>
      </c>
      <c r="N2623" s="26">
        <v>45</v>
      </c>
      <c r="O2623" s="26">
        <v>24</v>
      </c>
      <c r="P2623" s="26">
        <v>21</v>
      </c>
      <c r="Q2623" s="26">
        <v>3</v>
      </c>
      <c r="R2623" s="26">
        <v>1</v>
      </c>
      <c r="S2623" s="26">
        <v>2</v>
      </c>
      <c r="T2623" s="26">
        <v>7</v>
      </c>
      <c r="U2623" s="26">
        <v>10</v>
      </c>
      <c r="V2623" s="26">
        <v>1</v>
      </c>
      <c r="W2623" s="26"/>
    </row>
    <row r="2624" spans="1:23" x14ac:dyDescent="0.25">
      <c r="A2624" s="26" t="str">
        <f t="shared" si="511"/>
        <v>PREESCOLAR</v>
      </c>
      <c r="B2624" s="26" t="str">
        <f>"09PJN5111P"</f>
        <v>09PJN5111P</v>
      </c>
      <c r="C2624" s="26" t="str">
        <f>"COLEGIO PEDAGOGICO FRANCISCO DE MONTEJO                                                             "</f>
        <v xml:space="preserve">COLEGIO PEDAGOGICO FRANCISCO DE MONTEJO                                                             </v>
      </c>
      <c r="D2624" s="26" t="str">
        <f t="shared" si="523"/>
        <v>MATUTINO</v>
      </c>
      <c r="E2624" s="26" t="str">
        <f>"EULOGIO PARRA NO. 35                                                            "</f>
        <v xml:space="preserve">EULOGIO PARRA NO. 35                                                            </v>
      </c>
      <c r="F2624" s="26" t="str">
        <f>"JUAN ESCUTIA                                                                                                                                "</f>
        <v xml:space="preserve">JUAN ESCUTIA                                                                                                                                </v>
      </c>
      <c r="G2624" s="26" t="str">
        <f>"IZTAPALAPA                                                                      "</f>
        <v xml:space="preserve">IZTAPALAPA                                                                      </v>
      </c>
      <c r="H2624" s="26" t="str">
        <f>"000"</f>
        <v>000</v>
      </c>
      <c r="I2624" s="26" t="str">
        <f t="shared" si="512"/>
        <v>00</v>
      </c>
      <c r="J2624" s="26" t="str">
        <f>"62 "</f>
        <v xml:space="preserve">62 </v>
      </c>
      <c r="K2624" s="26" t="str">
        <f>"IZ"</f>
        <v>IZ</v>
      </c>
      <c r="L2624" s="26" t="str">
        <f>"DGSEI"</f>
        <v>DGSEI</v>
      </c>
      <c r="M2624" s="26" t="str">
        <f t="shared" si="526"/>
        <v>PARTICULAR</v>
      </c>
      <c r="N2624" s="26">
        <v>22</v>
      </c>
      <c r="O2624" s="26">
        <v>6</v>
      </c>
      <c r="P2624" s="26">
        <v>16</v>
      </c>
      <c r="Q2624" s="26">
        <v>3</v>
      </c>
      <c r="R2624" s="26">
        <v>1</v>
      </c>
      <c r="S2624" s="26">
        <v>2</v>
      </c>
      <c r="T2624" s="26">
        <v>8</v>
      </c>
      <c r="U2624" s="26">
        <v>11</v>
      </c>
      <c r="V2624" s="26">
        <v>1</v>
      </c>
      <c r="W2624" s="26"/>
    </row>
    <row r="2625" spans="1:23" x14ac:dyDescent="0.25">
      <c r="A2625" s="26" t="str">
        <f t="shared" si="511"/>
        <v>PREESCOLAR</v>
      </c>
      <c r="B2625" s="26" t="str">
        <f>"09PJN5112O"</f>
        <v>09PJN5112O</v>
      </c>
      <c r="C2625" s="26" t="str">
        <f>"RABBIT                                                                                              "</f>
        <v xml:space="preserve">RABBIT                                                                                              </v>
      </c>
      <c r="D2625" s="26" t="str">
        <f t="shared" si="523"/>
        <v>MATUTINO</v>
      </c>
      <c r="E2625" s="26" t="str">
        <f>"INDEPENDENCIA MZ. 2 LT. 2                                                       "</f>
        <v xml:space="preserve">INDEPENDENCIA MZ. 2 LT. 2                                                       </v>
      </c>
      <c r="F2625" s="26" t="str">
        <f>"SANTA MARTHA ACATITLA                                                                                                                       "</f>
        <v xml:space="preserve">SANTA MARTHA ACATITLA                                                                                                                       </v>
      </c>
      <c r="G2625" s="26" t="str">
        <f>"IZTAPALAPA                                                                      "</f>
        <v xml:space="preserve">IZTAPALAPA                                                                      </v>
      </c>
      <c r="H2625" s="26" t="str">
        <f>"000"</f>
        <v>000</v>
      </c>
      <c r="I2625" s="26" t="str">
        <f t="shared" si="512"/>
        <v>00</v>
      </c>
      <c r="J2625" s="26" t="str">
        <f>"62 "</f>
        <v xml:space="preserve">62 </v>
      </c>
      <c r="K2625" s="26" t="str">
        <f>"IZ"</f>
        <v>IZ</v>
      </c>
      <c r="L2625" s="26" t="str">
        <f>"DGSEI"</f>
        <v>DGSEI</v>
      </c>
      <c r="M2625" s="26" t="str">
        <f t="shared" si="526"/>
        <v>PARTICULAR</v>
      </c>
      <c r="N2625" s="26">
        <v>58</v>
      </c>
      <c r="O2625" s="26">
        <v>23</v>
      </c>
      <c r="P2625" s="26">
        <v>35</v>
      </c>
      <c r="Q2625" s="26">
        <v>3</v>
      </c>
      <c r="R2625" s="26">
        <v>1</v>
      </c>
      <c r="S2625" s="26">
        <v>2</v>
      </c>
      <c r="T2625" s="26">
        <v>1</v>
      </c>
      <c r="U2625" s="26">
        <v>4</v>
      </c>
      <c r="V2625" s="26">
        <v>1</v>
      </c>
      <c r="W2625" s="26"/>
    </row>
    <row r="2626" spans="1:23" x14ac:dyDescent="0.25">
      <c r="A2626" s="26" t="str">
        <f t="shared" ref="A2626:A2689" si="527">"PREESCOLAR"</f>
        <v>PREESCOLAR</v>
      </c>
      <c r="B2626" s="26" t="str">
        <f>"09PJN5113N"</f>
        <v>09PJN5113N</v>
      </c>
      <c r="C2626" s="26" t="str">
        <f>"LOS ANGELITOS                                                                                       "</f>
        <v xml:space="preserve">LOS ANGELITOS                                                                                       </v>
      </c>
      <c r="D2626" s="26" t="str">
        <f t="shared" si="523"/>
        <v>MATUTINO</v>
      </c>
      <c r="E2626" s="26" t="str">
        <f>"PURISIMA NO. 10-BIS                                                             "</f>
        <v xml:space="preserve">PURISIMA NO. 10-BIS                                                             </v>
      </c>
      <c r="F2626" s="26" t="str">
        <f>"SANTA MARIA TOMATLAN                                                                                                                        "</f>
        <v xml:space="preserve">SANTA MARIA TOMATLAN                                                                                                                        </v>
      </c>
      <c r="G2626" s="26" t="str">
        <f>"IZTAPALAPA                                                                      "</f>
        <v xml:space="preserve">IZTAPALAPA                                                                      </v>
      </c>
      <c r="H2626" s="26" t="str">
        <f>"000"</f>
        <v>000</v>
      </c>
      <c r="I2626" s="26" t="str">
        <f t="shared" ref="I2626:I2689" si="528">"00"</f>
        <v>00</v>
      </c>
      <c r="J2626" s="26" t="str">
        <f>"63 "</f>
        <v xml:space="preserve">63 </v>
      </c>
      <c r="K2626" s="26" t="str">
        <f>"IZ"</f>
        <v>IZ</v>
      </c>
      <c r="L2626" s="26" t="str">
        <f>"DGSEI"</f>
        <v>DGSEI</v>
      </c>
      <c r="M2626" s="26" t="str">
        <f t="shared" si="526"/>
        <v>PARTICULAR</v>
      </c>
      <c r="N2626" s="26">
        <v>20</v>
      </c>
      <c r="O2626" s="26">
        <v>5</v>
      </c>
      <c r="P2626" s="26">
        <v>15</v>
      </c>
      <c r="Q2626" s="26">
        <v>3</v>
      </c>
      <c r="R2626" s="26">
        <v>1</v>
      </c>
      <c r="S2626" s="26">
        <v>1</v>
      </c>
      <c r="T2626" s="26">
        <v>5</v>
      </c>
      <c r="U2626" s="26">
        <v>7</v>
      </c>
      <c r="V2626" s="26">
        <v>1</v>
      </c>
      <c r="W2626" s="26"/>
    </row>
    <row r="2627" spans="1:23" x14ac:dyDescent="0.25">
      <c r="A2627" s="26" t="str">
        <f t="shared" si="527"/>
        <v>PREESCOLAR</v>
      </c>
      <c r="B2627" s="26" t="str">
        <f>"09PJN5114M"</f>
        <v>09PJN5114M</v>
      </c>
      <c r="C2627" s="26" t="str">
        <f>"EL CRISOL DE LOS NIÑOS                                                                              "</f>
        <v xml:space="preserve">EL CRISOL DE LOS NIÑOS                                                                              </v>
      </c>
      <c r="D2627" s="26" t="str">
        <f t="shared" si="523"/>
        <v>MATUTINO</v>
      </c>
      <c r="E2627" s="26" t="str">
        <f>"ANTROPOLOGOS NO. 84 MZ. 5 LT. 42                                                "</f>
        <v xml:space="preserve">ANTROPOLOGOS NO. 84 MZ. 5 LT. 42                                                </v>
      </c>
      <c r="F2627" s="26" t="str">
        <f>"EL TRIUNFO                                                                                                                                  "</f>
        <v xml:space="preserve">EL TRIUNFO                                                                                                                                  </v>
      </c>
      <c r="G2627" s="26" t="str">
        <f>"IZTAPALAPA                                                                      "</f>
        <v xml:space="preserve">IZTAPALAPA                                                                      </v>
      </c>
      <c r="H2627" s="26" t="str">
        <f>"000"</f>
        <v>000</v>
      </c>
      <c r="I2627" s="26" t="str">
        <f t="shared" si="528"/>
        <v>00</v>
      </c>
      <c r="J2627" s="26" t="str">
        <f>"61 "</f>
        <v xml:space="preserve">61 </v>
      </c>
      <c r="K2627" s="26" t="str">
        <f>"IZ"</f>
        <v>IZ</v>
      </c>
      <c r="L2627" s="26" t="str">
        <f>"DGSEI"</f>
        <v>DGSEI</v>
      </c>
      <c r="M2627" s="26" t="str">
        <f t="shared" si="526"/>
        <v>PARTICULAR</v>
      </c>
      <c r="N2627" s="26">
        <v>26</v>
      </c>
      <c r="O2627" s="26">
        <v>14</v>
      </c>
      <c r="P2627" s="26">
        <v>12</v>
      </c>
      <c r="Q2627" s="26">
        <v>3</v>
      </c>
      <c r="R2627" s="26">
        <v>1</v>
      </c>
      <c r="S2627" s="26">
        <v>1</v>
      </c>
      <c r="T2627" s="26">
        <v>6</v>
      </c>
      <c r="U2627" s="26">
        <v>8</v>
      </c>
      <c r="V2627" s="26">
        <v>1</v>
      </c>
      <c r="W2627" s="26"/>
    </row>
    <row r="2628" spans="1:23" x14ac:dyDescent="0.25">
      <c r="A2628" s="26" t="str">
        <f t="shared" si="527"/>
        <v>PREESCOLAR</v>
      </c>
      <c r="B2628" s="26" t="str">
        <f>"09PJN5116K"</f>
        <v>09PJN5116K</v>
      </c>
      <c r="C2628" s="26" t="str">
        <f>"COLEGIO INFANTIL AÑO 2000                                                                           "</f>
        <v xml:space="preserve">COLEGIO INFANTIL AÑO 2000                                                                           </v>
      </c>
      <c r="D2628" s="26" t="str">
        <f t="shared" si="523"/>
        <v>MATUTINO</v>
      </c>
      <c r="E2628" s="26" t="str">
        <f>"AGUASCALIENTES NO. 18                                                           "</f>
        <v xml:space="preserve">AGUASCALIENTES NO. 18                                                           </v>
      </c>
      <c r="F2628" s="26" t="str">
        <f>"SAN MATEO BARRIO                                                                                                                            "</f>
        <v xml:space="preserve">SAN MATEO BARRIO                                                                                                                            </v>
      </c>
      <c r="G2628" s="26" t="str">
        <f>"MILPA ALTA                                                                      "</f>
        <v xml:space="preserve">MILPA ALTA                                                                      </v>
      </c>
      <c r="H2628" s="26" t="str">
        <f>"281"</f>
        <v>281</v>
      </c>
      <c r="I2628" s="26" t="str">
        <f t="shared" si="528"/>
        <v>00</v>
      </c>
      <c r="J2628" s="26" t="str">
        <f>"35 "</f>
        <v xml:space="preserve">35 </v>
      </c>
      <c r="K2628" s="26" t="str">
        <f t="shared" ref="K2628:K2691" si="529">"EP"</f>
        <v>EP</v>
      </c>
      <c r="L2628" s="26" t="str">
        <f t="shared" ref="L2628:L2691" si="530">"DGOSE"</f>
        <v>DGOSE</v>
      </c>
      <c r="M2628" s="26" t="str">
        <f t="shared" si="526"/>
        <v>PARTICULAR</v>
      </c>
      <c r="N2628" s="26">
        <v>22</v>
      </c>
      <c r="O2628" s="26">
        <v>16</v>
      </c>
      <c r="P2628" s="26">
        <v>6</v>
      </c>
      <c r="Q2628" s="26">
        <v>3</v>
      </c>
      <c r="R2628" s="26">
        <v>1</v>
      </c>
      <c r="S2628" s="26">
        <v>3</v>
      </c>
      <c r="T2628" s="26">
        <v>1</v>
      </c>
      <c r="U2628" s="26">
        <v>5</v>
      </c>
      <c r="V2628" s="26">
        <v>1</v>
      </c>
      <c r="W2628" s="26"/>
    </row>
    <row r="2629" spans="1:23" x14ac:dyDescent="0.25">
      <c r="A2629" s="26" t="str">
        <f t="shared" si="527"/>
        <v>PREESCOLAR</v>
      </c>
      <c r="B2629" s="26" t="str">
        <f>"09PJN5117J"</f>
        <v>09PJN5117J</v>
      </c>
      <c r="C2629" s="26" t="str">
        <f>"COLEGIO SIGLO XXI                                                                                   "</f>
        <v xml:space="preserve">COLEGIO SIGLO XXI                                                                                   </v>
      </c>
      <c r="D2629" s="26" t="str">
        <f t="shared" si="523"/>
        <v>MATUTINO</v>
      </c>
      <c r="E2629" s="26" t="str">
        <f>"PRIVADA CURIO NO. 79                                                            "</f>
        <v xml:space="preserve">PRIVADA CURIO NO. 79                                                            </v>
      </c>
      <c r="F2629" s="26" t="str">
        <f>"CUCHILLA PANTITLAN                                                                                                                          "</f>
        <v xml:space="preserve">CUCHILLA PANTITLAN                                                                                                                          </v>
      </c>
      <c r="G2629" s="26" t="str">
        <f>"VENUSTIANO CARRANZA                                                             "</f>
        <v xml:space="preserve">VENUSTIANO CARRANZA                                                             </v>
      </c>
      <c r="H2629" s="26" t="str">
        <f>"161"</f>
        <v>161</v>
      </c>
      <c r="I2629" s="26" t="str">
        <f t="shared" si="528"/>
        <v>00</v>
      </c>
      <c r="J2629" s="26" t="str">
        <f>"33 "</f>
        <v xml:space="preserve">33 </v>
      </c>
      <c r="K2629" s="26" t="str">
        <f t="shared" si="529"/>
        <v>EP</v>
      </c>
      <c r="L2629" s="26" t="str">
        <f t="shared" si="530"/>
        <v>DGOSE</v>
      </c>
      <c r="M2629" s="26" t="str">
        <f t="shared" si="526"/>
        <v>PARTICULAR</v>
      </c>
      <c r="N2629" s="26">
        <v>7</v>
      </c>
      <c r="O2629" s="26">
        <v>5</v>
      </c>
      <c r="P2629" s="26">
        <v>2</v>
      </c>
      <c r="Q2629" s="26">
        <v>2</v>
      </c>
      <c r="R2629" s="26">
        <v>1</v>
      </c>
      <c r="S2629" s="26">
        <v>2</v>
      </c>
      <c r="T2629" s="26">
        <v>4</v>
      </c>
      <c r="U2629" s="26">
        <v>7</v>
      </c>
      <c r="V2629" s="26">
        <v>1</v>
      </c>
      <c r="W2629" s="26"/>
    </row>
    <row r="2630" spans="1:23" x14ac:dyDescent="0.25">
      <c r="A2630" s="26" t="str">
        <f t="shared" si="527"/>
        <v>PREESCOLAR</v>
      </c>
      <c r="B2630" s="26" t="str">
        <f>"09PJN5118I"</f>
        <v>09PJN5118I</v>
      </c>
      <c r="C2630" s="26" t="str">
        <f>"CEDIELI CENTRO DE EDUCACIÓN Y DESARROLLO INTEGRAL ELI                                               "</f>
        <v xml:space="preserve">CEDIELI CENTRO DE EDUCACIÓN Y DESARROLLO INTEGRAL ELI                                               </v>
      </c>
      <c r="D2630" s="26" t="str">
        <f t="shared" si="523"/>
        <v>MATUTINO</v>
      </c>
      <c r="E2630" s="26" t="str">
        <f>"ACATEMPAN NO. 15                                                                "</f>
        <v xml:space="preserve">ACATEMPAN NO. 15                                                                </v>
      </c>
      <c r="F2630" s="26" t="str">
        <f>"SAN LORENZO LA CEBADA                                                                                                                       "</f>
        <v xml:space="preserve">SAN LORENZO LA CEBADA                                                                                                                       </v>
      </c>
      <c r="G2630" s="26" t="str">
        <f>"XOCHIMILCO                                                                      "</f>
        <v xml:space="preserve">XOCHIMILCO                                                                      </v>
      </c>
      <c r="H2630" s="26" t="str">
        <f>"084"</f>
        <v>084</v>
      </c>
      <c r="I2630" s="26" t="str">
        <f t="shared" si="528"/>
        <v>00</v>
      </c>
      <c r="J2630" s="26" t="str">
        <f>"35 "</f>
        <v xml:space="preserve">35 </v>
      </c>
      <c r="K2630" s="26" t="str">
        <f t="shared" si="529"/>
        <v>EP</v>
      </c>
      <c r="L2630" s="26" t="str">
        <f t="shared" si="530"/>
        <v>DGOSE</v>
      </c>
      <c r="M2630" s="26" t="str">
        <f t="shared" si="526"/>
        <v>PARTICULAR</v>
      </c>
      <c r="N2630" s="26">
        <v>32</v>
      </c>
      <c r="O2630" s="26">
        <v>14</v>
      </c>
      <c r="P2630" s="26">
        <v>18</v>
      </c>
      <c r="Q2630" s="26">
        <v>3</v>
      </c>
      <c r="R2630" s="26">
        <v>1</v>
      </c>
      <c r="S2630" s="26">
        <v>3</v>
      </c>
      <c r="T2630" s="26">
        <v>5</v>
      </c>
      <c r="U2630" s="26">
        <v>9</v>
      </c>
      <c r="V2630" s="26">
        <v>1</v>
      </c>
      <c r="W2630" s="26"/>
    </row>
    <row r="2631" spans="1:23" x14ac:dyDescent="0.25">
      <c r="A2631" s="26" t="str">
        <f t="shared" si="527"/>
        <v>PREESCOLAR</v>
      </c>
      <c r="B2631" s="26" t="str">
        <f>"09PJN5120X"</f>
        <v>09PJN5120X</v>
      </c>
      <c r="C2631" s="26" t="str">
        <f>"CENTRO EDUCATIVO MONTESSORI                                                                         "</f>
        <v xml:space="preserve">CENTRO EDUCATIVO MONTESSORI                                                                         </v>
      </c>
      <c r="D2631" s="26" t="str">
        <f t="shared" si="523"/>
        <v>MATUTINO</v>
      </c>
      <c r="E2631" s="26" t="str">
        <f>"PROL. MORELOS O XOCHIQUETZAL NO. 165 BIS                                        "</f>
        <v xml:space="preserve">PROL. MORELOS O XOCHIQUETZAL NO. 165 BIS                                        </v>
      </c>
      <c r="F2631" s="26" t="str">
        <f>"SANTA ISABEL TOLA                                                                                                                           "</f>
        <v xml:space="preserve">SANTA ISABEL TOLA                                                                                                                           </v>
      </c>
      <c r="G2631" s="26" t="str">
        <f>"GUSTAVO A. MADERO                                                               "</f>
        <v xml:space="preserve">GUSTAVO A. MADERO                                                               </v>
      </c>
      <c r="H2631" s="26" t="str">
        <f>"105"</f>
        <v>105</v>
      </c>
      <c r="I2631" s="26" t="str">
        <f t="shared" si="528"/>
        <v>00</v>
      </c>
      <c r="J2631" s="26" t="str">
        <f>"32 "</f>
        <v xml:space="preserve">32 </v>
      </c>
      <c r="K2631" s="26" t="str">
        <f t="shared" si="529"/>
        <v>EP</v>
      </c>
      <c r="L2631" s="26" t="str">
        <f t="shared" si="530"/>
        <v>DGOSE</v>
      </c>
      <c r="M2631" s="26" t="str">
        <f t="shared" si="526"/>
        <v>PARTICULAR</v>
      </c>
      <c r="N2631" s="26">
        <v>17</v>
      </c>
      <c r="O2631" s="26">
        <v>13</v>
      </c>
      <c r="P2631" s="26">
        <v>4</v>
      </c>
      <c r="Q2631" s="26">
        <v>3</v>
      </c>
      <c r="R2631" s="26">
        <v>1</v>
      </c>
      <c r="S2631" s="26">
        <v>2</v>
      </c>
      <c r="T2631" s="26">
        <v>1</v>
      </c>
      <c r="U2631" s="26">
        <v>4</v>
      </c>
      <c r="V2631" s="26">
        <v>1</v>
      </c>
      <c r="W2631" s="26"/>
    </row>
    <row r="2632" spans="1:23" x14ac:dyDescent="0.25">
      <c r="A2632" s="26" t="str">
        <f t="shared" si="527"/>
        <v>PREESCOLAR</v>
      </c>
      <c r="B2632" s="26" t="str">
        <f>"09PJN5121W"</f>
        <v>09PJN5121W</v>
      </c>
      <c r="C2632" s="26" t="str">
        <f>"COLEGIO BILBAO                                                                                      "</f>
        <v xml:space="preserve">COLEGIO BILBAO                                                                                      </v>
      </c>
      <c r="D2632" s="26" t="str">
        <f t="shared" si="523"/>
        <v>MATUTINO</v>
      </c>
      <c r="E2632" s="26" t="str">
        <f>"NORTE 27 NO. 46                                                                 "</f>
        <v xml:space="preserve">NORTE 27 NO. 46                                                                 </v>
      </c>
      <c r="F2632" s="26" t="str">
        <f>"NUEVA VALLEJO                                                                                                                               "</f>
        <v xml:space="preserve">NUEVA VALLEJO                                                                                                                               </v>
      </c>
      <c r="G2632" s="26" t="str">
        <f>"GUSTAVO A. MADERO                                                               "</f>
        <v xml:space="preserve">GUSTAVO A. MADERO                                                               </v>
      </c>
      <c r="H2632" s="26" t="str">
        <f>"197"</f>
        <v>197</v>
      </c>
      <c r="I2632" s="26" t="str">
        <f t="shared" si="528"/>
        <v>00</v>
      </c>
      <c r="J2632" s="26" t="str">
        <f>"32 "</f>
        <v xml:space="preserve">32 </v>
      </c>
      <c r="K2632" s="26" t="str">
        <f t="shared" si="529"/>
        <v>EP</v>
      </c>
      <c r="L2632" s="26" t="str">
        <f t="shared" si="530"/>
        <v>DGOSE</v>
      </c>
      <c r="M2632" s="26" t="str">
        <f t="shared" si="526"/>
        <v>PARTICULAR</v>
      </c>
      <c r="N2632" s="26">
        <v>23</v>
      </c>
      <c r="O2632" s="26">
        <v>8</v>
      </c>
      <c r="P2632" s="26">
        <v>15</v>
      </c>
      <c r="Q2632" s="26">
        <v>3</v>
      </c>
      <c r="R2632" s="26">
        <v>1</v>
      </c>
      <c r="S2632" s="26">
        <v>3</v>
      </c>
      <c r="T2632" s="26">
        <v>3</v>
      </c>
      <c r="U2632" s="26">
        <v>7</v>
      </c>
      <c r="V2632" s="26">
        <v>1</v>
      </c>
      <c r="W2632" s="26"/>
    </row>
    <row r="2633" spans="1:23" x14ac:dyDescent="0.25">
      <c r="A2633" s="26" t="str">
        <f t="shared" si="527"/>
        <v>PREESCOLAR</v>
      </c>
      <c r="B2633" s="26" t="str">
        <f>"09PJN5122V"</f>
        <v>09PJN5122V</v>
      </c>
      <c r="C2633" s="26" t="str">
        <f>"LA UNIDAD                                                                                           "</f>
        <v xml:space="preserve">LA UNIDAD                                                                                           </v>
      </c>
      <c r="D2633" s="26" t="str">
        <f t="shared" si="523"/>
        <v>MATUTINO</v>
      </c>
      <c r="E2633" s="26" t="str">
        <f>"PUERTO COZUMEL NO. 20                                                           "</f>
        <v xml:space="preserve">PUERTO COZUMEL NO. 20                                                           </v>
      </c>
      <c r="F2633" s="26" t="str">
        <f>"CASAS ALEMAN AMPLIACION                                                                                                                     "</f>
        <v xml:space="preserve">CASAS ALEMAN AMPLIACION                                                                                                                     </v>
      </c>
      <c r="G2633" s="26" t="str">
        <f>"GUSTAVO A. MADERO                                                               "</f>
        <v xml:space="preserve">GUSTAVO A. MADERO                                                               </v>
      </c>
      <c r="H2633" s="26" t="str">
        <f>"199"</f>
        <v>199</v>
      </c>
      <c r="I2633" s="26" t="str">
        <f t="shared" si="528"/>
        <v>00</v>
      </c>
      <c r="J2633" s="26" t="str">
        <f>"32 "</f>
        <v xml:space="preserve">32 </v>
      </c>
      <c r="K2633" s="26" t="str">
        <f t="shared" si="529"/>
        <v>EP</v>
      </c>
      <c r="L2633" s="26" t="str">
        <f t="shared" si="530"/>
        <v>DGOSE</v>
      </c>
      <c r="M2633" s="26" t="str">
        <f t="shared" si="526"/>
        <v>PARTICULAR</v>
      </c>
      <c r="N2633" s="26">
        <v>41</v>
      </c>
      <c r="O2633" s="26">
        <v>17</v>
      </c>
      <c r="P2633" s="26">
        <v>24</v>
      </c>
      <c r="Q2633" s="26">
        <v>3</v>
      </c>
      <c r="R2633" s="26">
        <v>1</v>
      </c>
      <c r="S2633" s="26">
        <v>3</v>
      </c>
      <c r="T2633" s="26">
        <v>1</v>
      </c>
      <c r="U2633" s="26">
        <v>5</v>
      </c>
      <c r="V2633" s="26">
        <v>1</v>
      </c>
      <c r="W2633" s="26"/>
    </row>
    <row r="2634" spans="1:23" x14ac:dyDescent="0.25">
      <c r="A2634" s="26" t="str">
        <f t="shared" si="527"/>
        <v>PREESCOLAR</v>
      </c>
      <c r="B2634" s="26" t="str">
        <f>"09PJN5124T"</f>
        <v>09PJN5124T</v>
      </c>
      <c r="C2634" s="26" t="str">
        <f>"KINDER ACUATICO AMERICANO                                                                           "</f>
        <v xml:space="preserve">KINDER ACUATICO AMERICANO                                                                           </v>
      </c>
      <c r="D2634" s="26" t="str">
        <f t="shared" si="523"/>
        <v>MATUTINO</v>
      </c>
      <c r="E2634" s="26" t="str">
        <f>"PASEO DEL BOSQUE NO. 181                                                        "</f>
        <v xml:space="preserve">PASEO DEL BOSQUE NO. 181                                                        </v>
      </c>
      <c r="F2634" s="26" t="str">
        <f>"PASEOS DE TAXQUEÑA                                                                                                                          "</f>
        <v xml:space="preserve">PASEOS DE TAXQUEÑA                                                                                                                          </v>
      </c>
      <c r="G2634" s="26" t="str">
        <f>"COYOACAN                                                                        "</f>
        <v xml:space="preserve">COYOACAN                                                                        </v>
      </c>
      <c r="H2634" s="26" t="str">
        <f>"024"</f>
        <v>024</v>
      </c>
      <c r="I2634" s="26" t="str">
        <f t="shared" si="528"/>
        <v>00</v>
      </c>
      <c r="J2634" s="26" t="str">
        <f>"35 "</f>
        <v xml:space="preserve">35 </v>
      </c>
      <c r="K2634" s="26" t="str">
        <f t="shared" si="529"/>
        <v>EP</v>
      </c>
      <c r="L2634" s="26" t="str">
        <f t="shared" si="530"/>
        <v>DGOSE</v>
      </c>
      <c r="M2634" s="26" t="str">
        <f t="shared" si="526"/>
        <v>PARTICULAR</v>
      </c>
      <c r="N2634" s="26">
        <v>46</v>
      </c>
      <c r="O2634" s="26">
        <v>24</v>
      </c>
      <c r="P2634" s="26">
        <v>22</v>
      </c>
      <c r="Q2634" s="26">
        <v>3</v>
      </c>
      <c r="R2634" s="26">
        <v>1</v>
      </c>
      <c r="S2634" s="26">
        <v>2</v>
      </c>
      <c r="T2634" s="26">
        <v>3</v>
      </c>
      <c r="U2634" s="26">
        <v>6</v>
      </c>
      <c r="V2634" s="26">
        <v>1</v>
      </c>
      <c r="W2634" s="26"/>
    </row>
    <row r="2635" spans="1:23" x14ac:dyDescent="0.25">
      <c r="A2635" s="26" t="str">
        <f t="shared" si="527"/>
        <v>PREESCOLAR</v>
      </c>
      <c r="B2635" s="26" t="str">
        <f>"09PJN5126R"</f>
        <v>09PJN5126R</v>
      </c>
      <c r="C2635" s="26" t="str">
        <f>"KINDER LIGHTHOUSE                                                                                   "</f>
        <v xml:space="preserve">KINDER LIGHTHOUSE                                                                                   </v>
      </c>
      <c r="D2635" s="26" t="str">
        <f t="shared" si="523"/>
        <v>MATUTINO</v>
      </c>
      <c r="E2635" s="26" t="str">
        <f>"GALILEO NO. 82                                                                  "</f>
        <v xml:space="preserve">GALILEO NO. 82                                                                  </v>
      </c>
      <c r="F2635" s="26" t="str">
        <f>"POLANCO REFORMA                                                                                                                             "</f>
        <v xml:space="preserve">POLANCO REFORMA                                                                                                                             </v>
      </c>
      <c r="G2635" s="26" t="str">
        <f>"MIGUEL HIDALGO                                                                  "</f>
        <v xml:space="preserve">MIGUEL HIDALGO                                                                  </v>
      </c>
      <c r="H2635" s="26" t="str">
        <f>"075"</f>
        <v>075</v>
      </c>
      <c r="I2635" s="26" t="str">
        <f t="shared" si="528"/>
        <v>00</v>
      </c>
      <c r="J2635" s="26" t="str">
        <f>"32 "</f>
        <v xml:space="preserve">32 </v>
      </c>
      <c r="K2635" s="26" t="str">
        <f t="shared" si="529"/>
        <v>EP</v>
      </c>
      <c r="L2635" s="26" t="str">
        <f t="shared" si="530"/>
        <v>DGOSE</v>
      </c>
      <c r="M2635" s="26" t="str">
        <f t="shared" si="526"/>
        <v>PARTICULAR</v>
      </c>
      <c r="N2635" s="26">
        <v>67</v>
      </c>
      <c r="O2635" s="26">
        <v>28</v>
      </c>
      <c r="P2635" s="26">
        <v>39</v>
      </c>
      <c r="Q2635" s="26">
        <v>3</v>
      </c>
      <c r="R2635" s="26">
        <v>1</v>
      </c>
      <c r="S2635" s="26">
        <v>3</v>
      </c>
      <c r="T2635" s="26">
        <v>3</v>
      </c>
      <c r="U2635" s="26">
        <v>7</v>
      </c>
      <c r="V2635" s="26">
        <v>1</v>
      </c>
      <c r="W2635" s="26"/>
    </row>
    <row r="2636" spans="1:23" x14ac:dyDescent="0.25">
      <c r="A2636" s="26" t="str">
        <f t="shared" si="527"/>
        <v>PREESCOLAR</v>
      </c>
      <c r="B2636" s="26" t="str">
        <f>"09PJN5127Q"</f>
        <v>09PJN5127Q</v>
      </c>
      <c r="C2636" s="26" t="str">
        <f>"INSTITUTO CULTURAL CALLI                                                                            "</f>
        <v xml:space="preserve">INSTITUTO CULTURAL CALLI                                                                            </v>
      </c>
      <c r="D2636" s="26" t="str">
        <f t="shared" si="523"/>
        <v>MATUTINO</v>
      </c>
      <c r="E2636" s="26" t="str">
        <f>"ORIENTE 243-A NO. 64                                                            "</f>
        <v xml:space="preserve">ORIENTE 243-A NO. 64                                                            </v>
      </c>
      <c r="F2636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2636" s="26" t="str">
        <f>"IZTACALCO                                                                       "</f>
        <v xml:space="preserve">IZTACALCO                                                                       </v>
      </c>
      <c r="H2636" s="26" t="str">
        <f>"236"</f>
        <v>236</v>
      </c>
      <c r="I2636" s="26" t="str">
        <f t="shared" si="528"/>
        <v>00</v>
      </c>
      <c r="J2636" s="26" t="str">
        <f>"33 "</f>
        <v xml:space="preserve">33 </v>
      </c>
      <c r="K2636" s="26" t="str">
        <f t="shared" si="529"/>
        <v>EP</v>
      </c>
      <c r="L2636" s="26" t="str">
        <f t="shared" si="530"/>
        <v>DGOSE</v>
      </c>
      <c r="M2636" s="26" t="str">
        <f t="shared" si="526"/>
        <v>PARTICULAR</v>
      </c>
      <c r="N2636" s="26">
        <v>57</v>
      </c>
      <c r="O2636" s="26">
        <v>27</v>
      </c>
      <c r="P2636" s="26">
        <v>30</v>
      </c>
      <c r="Q2636" s="26">
        <v>4</v>
      </c>
      <c r="R2636" s="26">
        <v>1</v>
      </c>
      <c r="S2636" s="26">
        <v>2</v>
      </c>
      <c r="T2636" s="26">
        <v>4</v>
      </c>
      <c r="U2636" s="26">
        <v>7</v>
      </c>
      <c r="V2636" s="26">
        <v>1</v>
      </c>
      <c r="W2636" s="26"/>
    </row>
    <row r="2637" spans="1:23" x14ac:dyDescent="0.25">
      <c r="A2637" s="26" t="str">
        <f t="shared" si="527"/>
        <v>PREESCOLAR</v>
      </c>
      <c r="B2637" s="26" t="str">
        <f>"09PJN5128P"</f>
        <v>09PJN5128P</v>
      </c>
      <c r="C2637" s="26" t="str">
        <f>"JUAN JACOBO ROUSSEAU                                                                                "</f>
        <v xml:space="preserve">JUAN JACOBO ROUSSEAU                                                                                </v>
      </c>
      <c r="D2637" s="26" t="str">
        <f t="shared" si="523"/>
        <v>MATUTINO</v>
      </c>
      <c r="E2637" s="26" t="str">
        <f>"ORIENTE 245-A NO. 108                                                           "</f>
        <v xml:space="preserve">ORIENTE 245-A NO. 108                                                           </v>
      </c>
      <c r="F2637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2637" s="26" t="str">
        <f>"IZTACALCO                                                                       "</f>
        <v xml:space="preserve">IZTACALCO                                                                       </v>
      </c>
      <c r="H2637" s="26" t="str">
        <f>"236"</f>
        <v>236</v>
      </c>
      <c r="I2637" s="26" t="str">
        <f t="shared" si="528"/>
        <v>00</v>
      </c>
      <c r="J2637" s="26" t="str">
        <f>"33 "</f>
        <v xml:space="preserve">33 </v>
      </c>
      <c r="K2637" s="26" t="str">
        <f t="shared" si="529"/>
        <v>EP</v>
      </c>
      <c r="L2637" s="26" t="str">
        <f t="shared" si="530"/>
        <v>DGOSE</v>
      </c>
      <c r="M2637" s="26" t="str">
        <f t="shared" si="526"/>
        <v>PARTICULAR</v>
      </c>
      <c r="N2637" s="26">
        <v>36</v>
      </c>
      <c r="O2637" s="26">
        <v>21</v>
      </c>
      <c r="P2637" s="26">
        <v>15</v>
      </c>
      <c r="Q2637" s="26">
        <v>3</v>
      </c>
      <c r="R2637" s="26">
        <v>1</v>
      </c>
      <c r="S2637" s="26">
        <v>3</v>
      </c>
      <c r="T2637" s="26">
        <v>4</v>
      </c>
      <c r="U2637" s="26">
        <v>8</v>
      </c>
      <c r="V2637" s="26">
        <v>1</v>
      </c>
      <c r="W2637" s="26"/>
    </row>
    <row r="2638" spans="1:23" x14ac:dyDescent="0.25">
      <c r="A2638" s="26" t="str">
        <f t="shared" si="527"/>
        <v>PREESCOLAR</v>
      </c>
      <c r="B2638" s="26" t="str">
        <f>"09PJN5130D"</f>
        <v>09PJN5130D</v>
      </c>
      <c r="C2638" s="26" t="str">
        <f>"COLEGIO JEAN PIAGET EDUCACION PREESCOLAR                                                            "</f>
        <v xml:space="preserve">COLEGIO JEAN PIAGET EDUCACION PREESCOLAR                                                            </v>
      </c>
      <c r="D2638" s="26" t="str">
        <f t="shared" si="523"/>
        <v>MATUTINO</v>
      </c>
      <c r="E2638" s="26" t="str">
        <f>"CAMINO SAN JUANICO MZA.8 LT.6                                                   "</f>
        <v xml:space="preserve">CAMINO SAN JUANICO MZA.8 LT.6                                                   </v>
      </c>
      <c r="F2638" s="26" t="str">
        <f>"GABRIEL HERNANDEZ AMPLIACION                                                                                                                "</f>
        <v xml:space="preserve">GABRIEL HERNANDEZ AMPLIACION                                                                                                                </v>
      </c>
      <c r="G2638" s="26" t="str">
        <f>"GUSTAVO A. MADERO                                                               "</f>
        <v xml:space="preserve">GUSTAVO A. MADERO                                                               </v>
      </c>
      <c r="H2638" s="26" t="str">
        <f>"152"</f>
        <v>152</v>
      </c>
      <c r="I2638" s="26" t="str">
        <f t="shared" si="528"/>
        <v>00</v>
      </c>
      <c r="J2638" s="26" t="str">
        <f>"32 "</f>
        <v xml:space="preserve">32 </v>
      </c>
      <c r="K2638" s="26" t="str">
        <f t="shared" si="529"/>
        <v>EP</v>
      </c>
      <c r="L2638" s="26" t="str">
        <f t="shared" si="530"/>
        <v>DGOSE</v>
      </c>
      <c r="M2638" s="26" t="str">
        <f t="shared" si="526"/>
        <v>PARTICULAR</v>
      </c>
      <c r="N2638" s="26">
        <v>15</v>
      </c>
      <c r="O2638" s="26">
        <v>7</v>
      </c>
      <c r="P2638" s="26">
        <v>8</v>
      </c>
      <c r="Q2638" s="26">
        <v>3</v>
      </c>
      <c r="R2638" s="26">
        <v>1</v>
      </c>
      <c r="S2638" s="26">
        <v>3</v>
      </c>
      <c r="T2638" s="26">
        <v>1</v>
      </c>
      <c r="U2638" s="26">
        <v>5</v>
      </c>
      <c r="V2638" s="26">
        <v>1</v>
      </c>
      <c r="W2638" s="26"/>
    </row>
    <row r="2639" spans="1:23" x14ac:dyDescent="0.25">
      <c r="A2639" s="26" t="str">
        <f t="shared" si="527"/>
        <v>PREESCOLAR</v>
      </c>
      <c r="B2639" s="26" t="str">
        <f>"09PJN5132B"</f>
        <v>09PJN5132B</v>
      </c>
      <c r="C2639" s="26" t="str">
        <f>"JARDIN DE NIÑOS TREBOLITO                                                                           "</f>
        <v xml:space="preserve">JARDIN DE NIÑOS TREBOLITO                                                                           </v>
      </c>
      <c r="D2639" s="26" t="str">
        <f t="shared" si="523"/>
        <v>MATUTINO</v>
      </c>
      <c r="E2639" s="26" t="str">
        <f>"AV. PEDRO GALAN NO. 514                                                         "</f>
        <v xml:space="preserve">AV. PEDRO GALAN NO. 514                                                         </v>
      </c>
      <c r="F2639" s="26" t="str">
        <f>"UNIDAD HABITACIONAL EL RISCO CTM                                                                                                            "</f>
        <v xml:space="preserve">UNIDAD HABITACIONAL EL RISCO CTM                                                                                                            </v>
      </c>
      <c r="G2639" s="26" t="str">
        <f>"GUSTAVO A. MADERO                                                               "</f>
        <v xml:space="preserve">GUSTAVO A. MADERO                                                               </v>
      </c>
      <c r="H2639" s="26" t="str">
        <f>"191"</f>
        <v>191</v>
      </c>
      <c r="I2639" s="26" t="str">
        <f t="shared" si="528"/>
        <v>00</v>
      </c>
      <c r="J2639" s="26" t="str">
        <f>"32 "</f>
        <v xml:space="preserve">32 </v>
      </c>
      <c r="K2639" s="26" t="str">
        <f t="shared" si="529"/>
        <v>EP</v>
      </c>
      <c r="L2639" s="26" t="str">
        <f t="shared" si="530"/>
        <v>DGOSE</v>
      </c>
      <c r="M2639" s="26" t="str">
        <f t="shared" si="526"/>
        <v>PARTICULAR</v>
      </c>
      <c r="N2639" s="26">
        <v>18</v>
      </c>
      <c r="O2639" s="26">
        <v>13</v>
      </c>
      <c r="P2639" s="26">
        <v>5</v>
      </c>
      <c r="Q2639" s="26">
        <v>2</v>
      </c>
      <c r="R2639" s="26">
        <v>1</v>
      </c>
      <c r="S2639" s="26">
        <v>2</v>
      </c>
      <c r="T2639" s="26">
        <v>0</v>
      </c>
      <c r="U2639" s="26">
        <v>3</v>
      </c>
      <c r="V2639" s="26">
        <v>1</v>
      </c>
      <c r="W2639" s="26"/>
    </row>
    <row r="2640" spans="1:23" x14ac:dyDescent="0.25">
      <c r="A2640" s="26" t="str">
        <f t="shared" si="527"/>
        <v>PREESCOLAR</v>
      </c>
      <c r="B2640" s="26" t="str">
        <f>"09PJN5133A"</f>
        <v>09PJN5133A</v>
      </c>
      <c r="C2640" s="26" t="str">
        <f>"JARDÍN DE NIÑOS COHELI                                                                              "</f>
        <v xml:space="preserve">JARDÍN DE NIÑOS COHELI                                                                              </v>
      </c>
      <c r="D2640" s="26" t="str">
        <f t="shared" si="523"/>
        <v>MATUTINO</v>
      </c>
      <c r="E2640" s="26" t="str">
        <f>"NORTE 23-A NO. 14                                                               "</f>
        <v xml:space="preserve">NORTE 23-A NO. 14                                                               </v>
      </c>
      <c r="F2640" s="26" t="str">
        <f>"LINDAVISTA VALLEJO                                                                                                                          "</f>
        <v xml:space="preserve">LINDAVISTA VALLEJO                                                                                                                          </v>
      </c>
      <c r="G2640" s="26" t="str">
        <f>"GUSTAVO A. MADERO                                                               "</f>
        <v xml:space="preserve">GUSTAVO A. MADERO                                                               </v>
      </c>
      <c r="H2640" s="26" t="str">
        <f>"003"</f>
        <v>003</v>
      </c>
      <c r="I2640" s="26" t="str">
        <f t="shared" si="528"/>
        <v>00</v>
      </c>
      <c r="J2640" s="26" t="str">
        <f>"32 "</f>
        <v xml:space="preserve">32 </v>
      </c>
      <c r="K2640" s="26" t="str">
        <f t="shared" si="529"/>
        <v>EP</v>
      </c>
      <c r="L2640" s="26" t="str">
        <f t="shared" si="530"/>
        <v>DGOSE</v>
      </c>
      <c r="M2640" s="26" t="str">
        <f t="shared" si="526"/>
        <v>PARTICULAR</v>
      </c>
      <c r="N2640" s="26">
        <v>17</v>
      </c>
      <c r="O2640" s="26">
        <v>9</v>
      </c>
      <c r="P2640" s="26">
        <v>8</v>
      </c>
      <c r="Q2640" s="26">
        <v>3</v>
      </c>
      <c r="R2640" s="26">
        <v>1</v>
      </c>
      <c r="S2640" s="26">
        <v>3</v>
      </c>
      <c r="T2640" s="26">
        <v>3</v>
      </c>
      <c r="U2640" s="26">
        <v>7</v>
      </c>
      <c r="V2640" s="26">
        <v>1</v>
      </c>
      <c r="W2640" s="26"/>
    </row>
    <row r="2641" spans="1:23" x14ac:dyDescent="0.25">
      <c r="A2641" s="26" t="str">
        <f t="shared" si="527"/>
        <v>PREESCOLAR</v>
      </c>
      <c r="B2641" s="26" t="str">
        <f>"09PJN5135Z"</f>
        <v>09PJN5135Z</v>
      </c>
      <c r="C2641" s="26" t="str">
        <f>"KINDERGYM                                                                                           "</f>
        <v xml:space="preserve">KINDERGYM                                                                                           </v>
      </c>
      <c r="D2641" s="26" t="str">
        <f t="shared" si="523"/>
        <v>MATUTINO</v>
      </c>
      <c r="E2641" s="26" t="str">
        <f>"CERRADA DE LAS BRUJAS NO.2                                                      "</f>
        <v xml:space="preserve">CERRADA DE LAS BRUJAS NO.2                                                      </v>
      </c>
      <c r="F2641" s="26" t="str">
        <f>"RESIDENCIAL EX-HACIENDA COAPA                                                                                                               "</f>
        <v xml:space="preserve">RESIDENCIAL EX-HACIENDA COAPA                                                                                                               </v>
      </c>
      <c r="G2641" s="26" t="str">
        <f>"TLALPAN                                                                         "</f>
        <v xml:space="preserve">TLALPAN                                                                         </v>
      </c>
      <c r="H2641" s="26" t="str">
        <f>"220"</f>
        <v>220</v>
      </c>
      <c r="I2641" s="26" t="str">
        <f t="shared" si="528"/>
        <v>00</v>
      </c>
      <c r="J2641" s="26" t="str">
        <f>"35 "</f>
        <v xml:space="preserve">35 </v>
      </c>
      <c r="K2641" s="26" t="str">
        <f t="shared" si="529"/>
        <v>EP</v>
      </c>
      <c r="L2641" s="26" t="str">
        <f t="shared" si="530"/>
        <v>DGOSE</v>
      </c>
      <c r="M2641" s="26" t="str">
        <f t="shared" si="526"/>
        <v>PARTICULAR</v>
      </c>
      <c r="N2641" s="26">
        <v>84</v>
      </c>
      <c r="O2641" s="26">
        <v>43</v>
      </c>
      <c r="P2641" s="26">
        <v>41</v>
      </c>
      <c r="Q2641" s="26">
        <v>4</v>
      </c>
      <c r="R2641" s="26">
        <v>1</v>
      </c>
      <c r="S2641" s="26">
        <v>4</v>
      </c>
      <c r="T2641" s="26">
        <v>10</v>
      </c>
      <c r="U2641" s="26">
        <v>15</v>
      </c>
      <c r="V2641" s="26">
        <v>1</v>
      </c>
      <c r="W2641" s="26"/>
    </row>
    <row r="2642" spans="1:23" x14ac:dyDescent="0.25">
      <c r="A2642" s="26" t="str">
        <f t="shared" si="527"/>
        <v>PREESCOLAR</v>
      </c>
      <c r="B2642" s="26" t="str">
        <f>"09PJN5136Y"</f>
        <v>09PJN5136Y</v>
      </c>
      <c r="C2642" s="26" t="str">
        <f>"CENTRO DE DESARROLLO INFANTIL MAYEN                                                                 "</f>
        <v xml:space="preserve">CENTRO DE DESARROLLO INFANTIL MAYEN                                                                 </v>
      </c>
      <c r="D2642" s="26" t="str">
        <f t="shared" si="523"/>
        <v>MATUTINO</v>
      </c>
      <c r="E2642" s="26" t="str">
        <f>"COYAMEL NO. 210                                                                 "</f>
        <v xml:space="preserve">COYAMEL NO. 210                                                                 </v>
      </c>
      <c r="F2642" s="26" t="str">
        <f>"PEDREGAL DE SANTO DOMINGO                                                                                                                   "</f>
        <v xml:space="preserve">PEDREGAL DE SANTO DOMINGO                                                                                                                   </v>
      </c>
      <c r="G2642" s="26" t="str">
        <f>"COYOACAN                                                                        "</f>
        <v xml:space="preserve">COYOACAN                                                                        </v>
      </c>
      <c r="H2642" s="26" t="str">
        <f>"237"</f>
        <v>237</v>
      </c>
      <c r="I2642" s="26" t="str">
        <f t="shared" si="528"/>
        <v>00</v>
      </c>
      <c r="J2642" s="26" t="str">
        <f>"35 "</f>
        <v xml:space="preserve">35 </v>
      </c>
      <c r="K2642" s="26" t="str">
        <f t="shared" si="529"/>
        <v>EP</v>
      </c>
      <c r="L2642" s="26" t="str">
        <f t="shared" si="530"/>
        <v>DGOSE</v>
      </c>
      <c r="M2642" s="26" t="str">
        <f t="shared" si="526"/>
        <v>PARTICULAR</v>
      </c>
      <c r="N2642" s="26">
        <v>17</v>
      </c>
      <c r="O2642" s="26">
        <v>7</v>
      </c>
      <c r="P2642" s="26">
        <v>10</v>
      </c>
      <c r="Q2642" s="26">
        <v>2</v>
      </c>
      <c r="R2642" s="26">
        <v>1</v>
      </c>
      <c r="S2642" s="26">
        <v>2</v>
      </c>
      <c r="T2642" s="26">
        <v>2</v>
      </c>
      <c r="U2642" s="26">
        <v>5</v>
      </c>
      <c r="V2642" s="26">
        <v>1</v>
      </c>
      <c r="W2642" s="26"/>
    </row>
    <row r="2643" spans="1:23" x14ac:dyDescent="0.25">
      <c r="A2643" s="26" t="str">
        <f t="shared" si="527"/>
        <v>PREESCOLAR</v>
      </c>
      <c r="B2643" s="26" t="str">
        <f>"09PJN5137X"</f>
        <v>09PJN5137X</v>
      </c>
      <c r="C2643" s="26" t="str">
        <f>"COLEGIO SUN KING                                                                                    "</f>
        <v xml:space="preserve">COLEGIO SUN KING                                                                                    </v>
      </c>
      <c r="D2643" s="26" t="str">
        <f t="shared" si="523"/>
        <v>MATUTINO</v>
      </c>
      <c r="E2643" s="26" t="str">
        <f>"CERRADA DE LA HUERTA NO. 26                                                     "</f>
        <v xml:space="preserve">CERRADA DE LA HUERTA NO. 26                                                     </v>
      </c>
      <c r="F2643" s="26" t="str">
        <f>"RESIDENCIAL VILLA COAPA                                                                                                                     "</f>
        <v xml:space="preserve">RESIDENCIAL VILLA COAPA                                                                                                                     </v>
      </c>
      <c r="G2643" s="26" t="str">
        <f>"TLALPAN                                                                         "</f>
        <v xml:space="preserve">TLALPAN                                                                         </v>
      </c>
      <c r="H2643" s="26" t="str">
        <f>"220"</f>
        <v>220</v>
      </c>
      <c r="I2643" s="26" t="str">
        <f t="shared" si="528"/>
        <v>00</v>
      </c>
      <c r="J2643" s="26" t="str">
        <f>"35 "</f>
        <v xml:space="preserve">35 </v>
      </c>
      <c r="K2643" s="26" t="str">
        <f t="shared" si="529"/>
        <v>EP</v>
      </c>
      <c r="L2643" s="26" t="str">
        <f t="shared" si="530"/>
        <v>DGOSE</v>
      </c>
      <c r="M2643" s="26" t="str">
        <f t="shared" si="526"/>
        <v>PARTICULAR</v>
      </c>
      <c r="N2643" s="26">
        <v>21</v>
      </c>
      <c r="O2643" s="26">
        <v>14</v>
      </c>
      <c r="P2643" s="26">
        <v>7</v>
      </c>
      <c r="Q2643" s="26">
        <v>3</v>
      </c>
      <c r="R2643" s="26">
        <v>1</v>
      </c>
      <c r="S2643" s="26">
        <v>3</v>
      </c>
      <c r="T2643" s="26">
        <v>1</v>
      </c>
      <c r="U2643" s="26">
        <v>5</v>
      </c>
      <c r="V2643" s="26">
        <v>1</v>
      </c>
      <c r="W2643" s="26"/>
    </row>
    <row r="2644" spans="1:23" x14ac:dyDescent="0.25">
      <c r="A2644" s="26" t="str">
        <f t="shared" si="527"/>
        <v>PREESCOLAR</v>
      </c>
      <c r="B2644" s="26" t="str">
        <f>"09PJN5138W"</f>
        <v>09PJN5138W</v>
      </c>
      <c r="C2644" s="26" t="str">
        <f>"TOHUI                                                                                               "</f>
        <v xml:space="preserve">TOHUI                                                                                               </v>
      </c>
      <c r="D2644" s="26" t="str">
        <f t="shared" si="523"/>
        <v>MATUTINO</v>
      </c>
      <c r="E2644" s="26" t="str">
        <f>"CERRADA DE CLAUDIO ARCINIEGA NO. 22                                             "</f>
        <v xml:space="preserve">CERRADA DE CLAUDIO ARCINIEGA NO. 22                                             </v>
      </c>
      <c r="F2644" s="26" t="str">
        <f>"MIXCOAC                                                                                                                                     "</f>
        <v xml:space="preserve">MIXCOAC                                                                                                                                     </v>
      </c>
      <c r="G2644" s="26" t="str">
        <f>"BENITO JUAREZ                                                                   "</f>
        <v xml:space="preserve">BENITO JUAREZ                                                                   </v>
      </c>
      <c r="H2644" s="26" t="str">
        <f>"110"</f>
        <v>110</v>
      </c>
      <c r="I2644" s="26" t="str">
        <f t="shared" si="528"/>
        <v>00</v>
      </c>
      <c r="J2644" s="26" t="str">
        <f>"33 "</f>
        <v xml:space="preserve">33 </v>
      </c>
      <c r="K2644" s="26" t="str">
        <f t="shared" si="529"/>
        <v>EP</v>
      </c>
      <c r="L2644" s="26" t="str">
        <f t="shared" si="530"/>
        <v>DGOSE</v>
      </c>
      <c r="M2644" s="26" t="str">
        <f t="shared" si="526"/>
        <v>PARTICULAR</v>
      </c>
      <c r="N2644" s="26">
        <v>11</v>
      </c>
      <c r="O2644" s="26">
        <v>7</v>
      </c>
      <c r="P2644" s="26">
        <v>4</v>
      </c>
      <c r="Q2644" s="26">
        <v>3</v>
      </c>
      <c r="R2644" s="26">
        <v>1</v>
      </c>
      <c r="S2644" s="26">
        <v>2</v>
      </c>
      <c r="T2644" s="26">
        <v>2</v>
      </c>
      <c r="U2644" s="26">
        <v>5</v>
      </c>
      <c r="V2644" s="26">
        <v>1</v>
      </c>
      <c r="W2644" s="26"/>
    </row>
    <row r="2645" spans="1:23" x14ac:dyDescent="0.25">
      <c r="A2645" s="26" t="str">
        <f t="shared" si="527"/>
        <v>PREESCOLAR</v>
      </c>
      <c r="B2645" s="26" t="str">
        <f>"09PJN5141J"</f>
        <v>09PJN5141J</v>
      </c>
      <c r="C2645" s="26" t="str">
        <f>"INSTITUTO BENEMERITO JUAREZ                                                                         "</f>
        <v xml:space="preserve">INSTITUTO BENEMERITO JUAREZ                                                                         </v>
      </c>
      <c r="D2645" s="26" t="str">
        <f t="shared" si="523"/>
        <v>MATUTINO</v>
      </c>
      <c r="E2645" s="26" t="str">
        <f>"COMERCIO NORTE NO. 24-B MZA. 11-B LT.1-A                                        "</f>
        <v xml:space="preserve">COMERCIO NORTE NO. 24-B MZA. 11-B LT.1-A                                        </v>
      </c>
      <c r="F2645" s="26" t="str">
        <f>"SAN AGUSTIN  IXTAYOPAN  BARRIO                                                                                                              "</f>
        <v xml:space="preserve">SAN AGUSTIN  IXTAYOPAN  BARRIO                                                                                                              </v>
      </c>
      <c r="G2645" s="26" t="str">
        <f>"TLAHUAC                                                                         "</f>
        <v xml:space="preserve">TLAHUAC                                                                         </v>
      </c>
      <c r="H2645" s="26" t="str">
        <f>"083"</f>
        <v>083</v>
      </c>
      <c r="I2645" s="26" t="str">
        <f t="shared" si="528"/>
        <v>00</v>
      </c>
      <c r="J2645" s="26" t="str">
        <f>"35 "</f>
        <v xml:space="preserve">35 </v>
      </c>
      <c r="K2645" s="26" t="str">
        <f t="shared" si="529"/>
        <v>EP</v>
      </c>
      <c r="L2645" s="26" t="str">
        <f t="shared" si="530"/>
        <v>DGOSE</v>
      </c>
      <c r="M2645" s="26" t="str">
        <f t="shared" si="526"/>
        <v>PARTICULAR</v>
      </c>
      <c r="N2645" s="26">
        <v>28</v>
      </c>
      <c r="O2645" s="26">
        <v>11</v>
      </c>
      <c r="P2645" s="26">
        <v>17</v>
      </c>
      <c r="Q2645" s="26">
        <v>3</v>
      </c>
      <c r="R2645" s="26">
        <v>1</v>
      </c>
      <c r="S2645" s="26">
        <v>3</v>
      </c>
      <c r="T2645" s="26">
        <v>1</v>
      </c>
      <c r="U2645" s="26">
        <v>5</v>
      </c>
      <c r="V2645" s="26">
        <v>1</v>
      </c>
      <c r="W2645" s="26"/>
    </row>
    <row r="2646" spans="1:23" x14ac:dyDescent="0.25">
      <c r="A2646" s="26" t="str">
        <f t="shared" si="527"/>
        <v>PREESCOLAR</v>
      </c>
      <c r="B2646" s="26" t="str">
        <f>"09PJN5142I"</f>
        <v>09PJN5142I</v>
      </c>
      <c r="C2646" s="26" t="str">
        <f>"LICEO CRISTOBAL COLON                                                                               "</f>
        <v xml:space="preserve">LICEO CRISTOBAL COLON                                                                               </v>
      </c>
      <c r="D2646" s="26" t="str">
        <f t="shared" si="523"/>
        <v>MATUTINO</v>
      </c>
      <c r="E2646" s="26" t="str">
        <f>"RETORNO 28 DE GENARO GARCIA NO. 60                                              "</f>
        <v xml:space="preserve">RETORNO 28 DE GENARO GARCIA NO. 60                                              </v>
      </c>
      <c r="F2646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2646" s="26" t="str">
        <f>"VENUSTIANO CARRANZA                                                             "</f>
        <v xml:space="preserve">VENUSTIANO CARRANZA                                                             </v>
      </c>
      <c r="H2646" s="26" t="str">
        <f>"096"</f>
        <v>096</v>
      </c>
      <c r="I2646" s="26" t="str">
        <f t="shared" si="528"/>
        <v>00</v>
      </c>
      <c r="J2646" s="26" t="str">
        <f>"33 "</f>
        <v xml:space="preserve">33 </v>
      </c>
      <c r="K2646" s="26" t="str">
        <f t="shared" si="529"/>
        <v>EP</v>
      </c>
      <c r="L2646" s="26" t="str">
        <f t="shared" si="530"/>
        <v>DGOSE</v>
      </c>
      <c r="M2646" s="26" t="str">
        <f t="shared" si="526"/>
        <v>PARTICULAR</v>
      </c>
      <c r="N2646" s="26">
        <v>7</v>
      </c>
      <c r="O2646" s="26">
        <v>3</v>
      </c>
      <c r="P2646" s="26">
        <v>4</v>
      </c>
      <c r="Q2646" s="26">
        <v>3</v>
      </c>
      <c r="R2646" s="26">
        <v>1</v>
      </c>
      <c r="S2646" s="26">
        <v>2</v>
      </c>
      <c r="T2646" s="26">
        <v>1</v>
      </c>
      <c r="U2646" s="26">
        <v>4</v>
      </c>
      <c r="V2646" s="26">
        <v>1</v>
      </c>
      <c r="W2646" s="26"/>
    </row>
    <row r="2647" spans="1:23" x14ac:dyDescent="0.25">
      <c r="A2647" s="26" t="str">
        <f t="shared" si="527"/>
        <v>PREESCOLAR</v>
      </c>
      <c r="B2647" s="26" t="str">
        <f>"09PJN5145F"</f>
        <v>09PJN5145F</v>
      </c>
      <c r="C2647" s="26" t="str">
        <f>"JARDIN DE NIÑOS POPOTITOS                                                                           "</f>
        <v xml:space="preserve">JARDIN DE NIÑOS POPOTITOS                                                                           </v>
      </c>
      <c r="D2647" s="26" t="str">
        <f t="shared" si="523"/>
        <v>MATUTINO</v>
      </c>
      <c r="E2647" s="26" t="str">
        <f>"SAN ANDRES MZA. 6 LT. 1                                                         "</f>
        <v xml:space="preserve">SAN ANDRES MZA. 6 LT. 1                                                         </v>
      </c>
      <c r="F2647" s="26" t="str">
        <f>"CRUZ DEL FAROL                                                                                                                              "</f>
        <v xml:space="preserve">CRUZ DEL FAROL                                                                                                                              </v>
      </c>
      <c r="G2647" s="26" t="str">
        <f>"TLALPAN                                                                         "</f>
        <v xml:space="preserve">TLALPAN                                                                         </v>
      </c>
      <c r="H2647" s="26" t="str">
        <f>"135"</f>
        <v>135</v>
      </c>
      <c r="I2647" s="26" t="str">
        <f t="shared" si="528"/>
        <v>00</v>
      </c>
      <c r="J2647" s="26" t="str">
        <f>"35 "</f>
        <v xml:space="preserve">35 </v>
      </c>
      <c r="K2647" s="26" t="str">
        <f t="shared" si="529"/>
        <v>EP</v>
      </c>
      <c r="L2647" s="26" t="str">
        <f t="shared" si="530"/>
        <v>DGOSE</v>
      </c>
      <c r="M2647" s="26" t="str">
        <f t="shared" si="526"/>
        <v>PARTICULAR</v>
      </c>
      <c r="N2647" s="26">
        <v>22</v>
      </c>
      <c r="O2647" s="26">
        <v>12</v>
      </c>
      <c r="P2647" s="26">
        <v>10</v>
      </c>
      <c r="Q2647" s="26">
        <v>2</v>
      </c>
      <c r="R2647" s="26">
        <v>1</v>
      </c>
      <c r="S2647" s="26">
        <v>2</v>
      </c>
      <c r="T2647" s="26">
        <v>0</v>
      </c>
      <c r="U2647" s="26">
        <v>3</v>
      </c>
      <c r="V2647" s="26">
        <v>1</v>
      </c>
      <c r="W2647" s="26"/>
    </row>
    <row r="2648" spans="1:23" x14ac:dyDescent="0.25">
      <c r="A2648" s="26" t="str">
        <f t="shared" si="527"/>
        <v>PREESCOLAR</v>
      </c>
      <c r="B2648" s="26" t="str">
        <f>"09PJN5147D"</f>
        <v>09PJN5147D</v>
      </c>
      <c r="C2648" s="26" t="str">
        <f>"CENTRO ESCOLAR MAR Y SOL                                                                            "</f>
        <v xml:space="preserve">CENTRO ESCOLAR MAR Y SOL                                                                            </v>
      </c>
      <c r="D2648" s="26" t="str">
        <f t="shared" si="523"/>
        <v>MATUTINO</v>
      </c>
      <c r="E2648" s="26" t="str">
        <f>"ATOYAC NO. 224                                                                  "</f>
        <v xml:space="preserve">ATOYAC NO. 224                                                                  </v>
      </c>
      <c r="F2648" s="26" t="str">
        <f>"SAN FELIPE DE JESUS                                                                                                                         "</f>
        <v xml:space="preserve">SAN FELIPE DE JESUS                                                                                                                         </v>
      </c>
      <c r="G2648" s="26" t="str">
        <f>"GUSTAVO A. MADERO                                                               "</f>
        <v xml:space="preserve">GUSTAVO A. MADERO                                                               </v>
      </c>
      <c r="H2648" s="26" t="str">
        <f>"152"</f>
        <v>152</v>
      </c>
      <c r="I2648" s="26" t="str">
        <f t="shared" si="528"/>
        <v>00</v>
      </c>
      <c r="J2648" s="26" t="str">
        <f>"32 "</f>
        <v xml:space="preserve">32 </v>
      </c>
      <c r="K2648" s="26" t="str">
        <f t="shared" si="529"/>
        <v>EP</v>
      </c>
      <c r="L2648" s="26" t="str">
        <f t="shared" si="530"/>
        <v>DGOSE</v>
      </c>
      <c r="M2648" s="26" t="str">
        <f t="shared" si="526"/>
        <v>PARTICULAR</v>
      </c>
      <c r="N2648" s="26">
        <v>38</v>
      </c>
      <c r="O2648" s="26">
        <v>18</v>
      </c>
      <c r="P2648" s="26">
        <v>20</v>
      </c>
      <c r="Q2648" s="26">
        <v>3</v>
      </c>
      <c r="R2648" s="26">
        <v>1</v>
      </c>
      <c r="S2648" s="26">
        <v>3</v>
      </c>
      <c r="T2648" s="26">
        <v>2</v>
      </c>
      <c r="U2648" s="26">
        <v>6</v>
      </c>
      <c r="V2648" s="26">
        <v>1</v>
      </c>
      <c r="W2648" s="26"/>
    </row>
    <row r="2649" spans="1:23" x14ac:dyDescent="0.25">
      <c r="A2649" s="26" t="str">
        <f t="shared" si="527"/>
        <v>PREESCOLAR</v>
      </c>
      <c r="B2649" s="26" t="str">
        <f>"09PJN5149B"</f>
        <v>09PJN5149B</v>
      </c>
      <c r="C2649" s="26" t="str">
        <f>"CARACOLETA                                                                                          "</f>
        <v xml:space="preserve">CARACOLETA                                                                                          </v>
      </c>
      <c r="D2649" s="26" t="str">
        <f t="shared" si="523"/>
        <v>MATUTINO</v>
      </c>
      <c r="E2649" s="26" t="str">
        <f>"PALO ALTO NO. 20                                                                "</f>
        <v xml:space="preserve">PALO ALTO NO. 20                                                                </v>
      </c>
      <c r="F2649" s="26" t="str">
        <f>"PALO ALTO                                                                                                                                   "</f>
        <v xml:space="preserve">PALO ALTO                                                                                                                                   </v>
      </c>
      <c r="G2649" s="26" t="str">
        <f>"CUAJIMALPA DE MORELOS                                                           "</f>
        <v xml:space="preserve">CUAJIMALPA DE MORELOS                                                           </v>
      </c>
      <c r="H2649" s="26" t="str">
        <f>"212"</f>
        <v>212</v>
      </c>
      <c r="I2649" s="26" t="str">
        <f t="shared" si="528"/>
        <v>00</v>
      </c>
      <c r="J2649" s="26" t="str">
        <f>"33 "</f>
        <v xml:space="preserve">33 </v>
      </c>
      <c r="K2649" s="26" t="str">
        <f t="shared" si="529"/>
        <v>EP</v>
      </c>
      <c r="L2649" s="26" t="str">
        <f t="shared" si="530"/>
        <v>DGOSE</v>
      </c>
      <c r="M2649" s="26" t="str">
        <f t="shared" si="526"/>
        <v>PARTICULAR</v>
      </c>
      <c r="N2649" s="26">
        <v>29</v>
      </c>
      <c r="O2649" s="26">
        <v>14</v>
      </c>
      <c r="P2649" s="26">
        <v>15</v>
      </c>
      <c r="Q2649" s="26">
        <v>3</v>
      </c>
      <c r="R2649" s="26">
        <v>1</v>
      </c>
      <c r="S2649" s="26">
        <v>3</v>
      </c>
      <c r="T2649" s="26">
        <v>5</v>
      </c>
      <c r="U2649" s="26">
        <v>9</v>
      </c>
      <c r="V2649" s="26">
        <v>1</v>
      </c>
      <c r="W2649" s="26"/>
    </row>
    <row r="2650" spans="1:23" x14ac:dyDescent="0.25">
      <c r="A2650" s="26" t="str">
        <f t="shared" si="527"/>
        <v>PREESCOLAR</v>
      </c>
      <c r="B2650" s="26" t="str">
        <f>"09PJN5151Q"</f>
        <v>09PJN5151Q</v>
      </c>
      <c r="C2650" s="26" t="str">
        <f>"ROADS SCHOOL                                                                                        "</f>
        <v xml:space="preserve">ROADS SCHOOL                                                                                        </v>
      </c>
      <c r="D2650" s="26" t="str">
        <f t="shared" si="523"/>
        <v>MATUTINO</v>
      </c>
      <c r="E2650" s="26" t="str">
        <f>"AV. LUIS CABRERA NO. 670                                                        "</f>
        <v xml:space="preserve">AV. LUIS CABRERA NO. 670                                                        </v>
      </c>
      <c r="F2650" s="26" t="str">
        <f>"LOMAS QUEBRADAS                                                                                                                             "</f>
        <v xml:space="preserve">LOMAS QUEBRADAS                                                                                                                             </v>
      </c>
      <c r="G2650" s="26" t="str">
        <f>"LA MAGDALENA CONTRERAS                                                          "</f>
        <v xml:space="preserve">LA MAGDALENA CONTRERAS                                                          </v>
      </c>
      <c r="H2650" s="26" t="str">
        <f>"112"</f>
        <v>112</v>
      </c>
      <c r="I2650" s="26" t="str">
        <f t="shared" si="528"/>
        <v>00</v>
      </c>
      <c r="J2650" s="26" t="str">
        <f>"35 "</f>
        <v xml:space="preserve">35 </v>
      </c>
      <c r="K2650" s="26" t="str">
        <f t="shared" si="529"/>
        <v>EP</v>
      </c>
      <c r="L2650" s="26" t="str">
        <f t="shared" si="530"/>
        <v>DGOSE</v>
      </c>
      <c r="M2650" s="26" t="str">
        <f t="shared" si="526"/>
        <v>PARTICULAR</v>
      </c>
      <c r="N2650" s="26">
        <v>15</v>
      </c>
      <c r="O2650" s="26">
        <v>11</v>
      </c>
      <c r="P2650" s="26">
        <v>4</v>
      </c>
      <c r="Q2650" s="26">
        <v>3</v>
      </c>
      <c r="R2650" s="26">
        <v>1</v>
      </c>
      <c r="S2650" s="26">
        <v>2</v>
      </c>
      <c r="T2650" s="26">
        <v>4</v>
      </c>
      <c r="U2650" s="26">
        <v>7</v>
      </c>
      <c r="V2650" s="26">
        <v>1</v>
      </c>
      <c r="W2650" s="26"/>
    </row>
    <row r="2651" spans="1:23" x14ac:dyDescent="0.25">
      <c r="A2651" s="26" t="str">
        <f t="shared" si="527"/>
        <v>PREESCOLAR</v>
      </c>
      <c r="B2651" s="26" t="str">
        <f>"09PJN5152P"</f>
        <v>09PJN5152P</v>
      </c>
      <c r="C2651" s="26" t="str">
        <f>"TONALLI. EL ESPACIO DE LOS NIÑOS                                                                    "</f>
        <v xml:space="preserve">TONALLI. EL ESPACIO DE LOS NIÑOS                                                                    </v>
      </c>
      <c r="D2651" s="26" t="str">
        <f t="shared" si="523"/>
        <v>MATUTINO</v>
      </c>
      <c r="E2651" s="26" t="str">
        <f>"ALBORADA 447                                                                    "</f>
        <v xml:space="preserve">ALBORADA 447                                                                    </v>
      </c>
      <c r="F2651" s="26" t="str">
        <f>"PARQUE DEL PEDREGAL                                                                                                                         "</f>
        <v xml:space="preserve">PARQUE DEL PEDREGAL                                                                                                                         </v>
      </c>
      <c r="G2651" s="26" t="str">
        <f>"TLALPAN                                                                         "</f>
        <v xml:space="preserve">TLALPAN                                                                         </v>
      </c>
      <c r="H2651" s="26" t="str">
        <f>"146"</f>
        <v>146</v>
      </c>
      <c r="I2651" s="26" t="str">
        <f t="shared" si="528"/>
        <v>00</v>
      </c>
      <c r="J2651" s="26" t="str">
        <f>"35 "</f>
        <v xml:space="preserve">35 </v>
      </c>
      <c r="K2651" s="26" t="str">
        <f t="shared" si="529"/>
        <v>EP</v>
      </c>
      <c r="L2651" s="26" t="str">
        <f t="shared" si="530"/>
        <v>DGOSE</v>
      </c>
      <c r="M2651" s="26" t="str">
        <f t="shared" si="526"/>
        <v>PARTICULAR</v>
      </c>
      <c r="N2651" s="26">
        <v>32</v>
      </c>
      <c r="O2651" s="26">
        <v>23</v>
      </c>
      <c r="P2651" s="26">
        <v>9</v>
      </c>
      <c r="Q2651" s="26">
        <v>3</v>
      </c>
      <c r="R2651" s="26">
        <v>1</v>
      </c>
      <c r="S2651" s="26">
        <v>2</v>
      </c>
      <c r="T2651" s="26">
        <v>10</v>
      </c>
      <c r="U2651" s="26">
        <v>13</v>
      </c>
      <c r="V2651" s="26">
        <v>1</v>
      </c>
      <c r="W2651" s="26"/>
    </row>
    <row r="2652" spans="1:23" x14ac:dyDescent="0.25">
      <c r="A2652" s="26" t="str">
        <f t="shared" si="527"/>
        <v>PREESCOLAR</v>
      </c>
      <c r="B2652" s="26" t="str">
        <f>"09PJN5154N"</f>
        <v>09PJN5154N</v>
      </c>
      <c r="C2652" s="26" t="str">
        <f>"COLEGIO MI NACIÓN                                                                                   "</f>
        <v xml:space="preserve">COLEGIO MI NACIÓN                                                                                   </v>
      </c>
      <c r="D2652" s="26" t="str">
        <f t="shared" si="523"/>
        <v>MATUTINO</v>
      </c>
      <c r="E2652" s="26" t="str">
        <f>"TEXTITLAN NO. 172                                                               "</f>
        <v xml:space="preserve">TEXTITLAN NO. 172                                                               </v>
      </c>
      <c r="F2652" s="26" t="str">
        <f>"SANTA URSULA COAPA                                                                                                                          "</f>
        <v xml:space="preserve">SANTA URSULA COAPA                                                                                                                          </v>
      </c>
      <c r="G2652" s="26" t="str">
        <f>"COYOACAN                                                                        "</f>
        <v xml:space="preserve">COYOACAN                                                                        </v>
      </c>
      <c r="H2652" s="26" t="str">
        <f>"211"</f>
        <v>211</v>
      </c>
      <c r="I2652" s="26" t="str">
        <f t="shared" si="528"/>
        <v>00</v>
      </c>
      <c r="J2652" s="26" t="str">
        <f>"35 "</f>
        <v xml:space="preserve">35 </v>
      </c>
      <c r="K2652" s="26" t="str">
        <f t="shared" si="529"/>
        <v>EP</v>
      </c>
      <c r="L2652" s="26" t="str">
        <f t="shared" si="530"/>
        <v>DGOSE</v>
      </c>
      <c r="M2652" s="26" t="str">
        <f t="shared" si="526"/>
        <v>PARTICULAR</v>
      </c>
      <c r="N2652" s="26">
        <v>44</v>
      </c>
      <c r="O2652" s="26">
        <v>19</v>
      </c>
      <c r="P2652" s="26">
        <v>25</v>
      </c>
      <c r="Q2652" s="26">
        <v>3</v>
      </c>
      <c r="R2652" s="26">
        <v>1</v>
      </c>
      <c r="S2652" s="26">
        <v>2</v>
      </c>
      <c r="T2652" s="26">
        <v>6</v>
      </c>
      <c r="U2652" s="26">
        <v>9</v>
      </c>
      <c r="V2652" s="26">
        <v>1</v>
      </c>
      <c r="W2652" s="26"/>
    </row>
    <row r="2653" spans="1:23" x14ac:dyDescent="0.25">
      <c r="A2653" s="26" t="str">
        <f t="shared" si="527"/>
        <v>PREESCOLAR</v>
      </c>
      <c r="B2653" s="26" t="str">
        <f>"09PJN5157K"</f>
        <v>09PJN5157K</v>
      </c>
      <c r="C2653" s="26" t="str">
        <f>"JARDIN DE NIÑOS PEDRO DE ALBA                                                                       "</f>
        <v xml:space="preserve">JARDIN DE NIÑOS PEDRO DE ALBA                                                                       </v>
      </c>
      <c r="D2653" s="26" t="str">
        <f t="shared" si="523"/>
        <v>MATUTINO</v>
      </c>
      <c r="E2653" s="26" t="str">
        <f>"ROSA MARIA SIQUEIROS NO. 231                                                    "</f>
        <v xml:space="preserve">ROSA MARIA SIQUEIROS NO. 231                                                    </v>
      </c>
      <c r="F2653" s="26" t="str">
        <f>"SAN FRANCISCO CULHUACAN EJIDO                                                                                                               "</f>
        <v xml:space="preserve">SAN FRANCISCO CULHUACAN EJIDO                                                                                                               </v>
      </c>
      <c r="G2653" s="26" t="str">
        <f>"COYOACAN                                                                        "</f>
        <v xml:space="preserve">COYOACAN                                                                        </v>
      </c>
      <c r="H2653" s="26" t="str">
        <f>"099"</f>
        <v>099</v>
      </c>
      <c r="I2653" s="26" t="str">
        <f t="shared" si="528"/>
        <v>00</v>
      </c>
      <c r="J2653" s="26" t="str">
        <f>"35 "</f>
        <v xml:space="preserve">35 </v>
      </c>
      <c r="K2653" s="26" t="str">
        <f t="shared" si="529"/>
        <v>EP</v>
      </c>
      <c r="L2653" s="26" t="str">
        <f t="shared" si="530"/>
        <v>DGOSE</v>
      </c>
      <c r="M2653" s="26" t="str">
        <f t="shared" si="526"/>
        <v>PARTICULAR</v>
      </c>
      <c r="N2653" s="26">
        <v>68</v>
      </c>
      <c r="O2653" s="26">
        <v>30</v>
      </c>
      <c r="P2653" s="26">
        <v>38</v>
      </c>
      <c r="Q2653" s="26">
        <v>4</v>
      </c>
      <c r="R2653" s="26">
        <v>1</v>
      </c>
      <c r="S2653" s="26">
        <v>2</v>
      </c>
      <c r="T2653" s="26">
        <v>6</v>
      </c>
      <c r="U2653" s="26">
        <v>9</v>
      </c>
      <c r="V2653" s="26">
        <v>1</v>
      </c>
      <c r="W2653" s="26"/>
    </row>
    <row r="2654" spans="1:23" x14ac:dyDescent="0.25">
      <c r="A2654" s="26" t="str">
        <f t="shared" si="527"/>
        <v>PREESCOLAR</v>
      </c>
      <c r="B2654" s="26" t="str">
        <f>"09PJN5159I"</f>
        <v>09PJN5159I</v>
      </c>
      <c r="C2654" s="26" t="str">
        <f>"CENTRO DE ESTIMULACION INFANTIL LONDON                                                              "</f>
        <v xml:space="preserve">CENTRO DE ESTIMULACION INFANTIL LONDON                                                              </v>
      </c>
      <c r="D2654" s="26" t="str">
        <f t="shared" si="523"/>
        <v>MATUTINO</v>
      </c>
      <c r="E2654" s="26" t="str">
        <f>"AV. DE LA HUERTA NO. 25                                                         "</f>
        <v xml:space="preserve">AV. DE LA HUERTA NO. 25                                                         </v>
      </c>
      <c r="F2654" s="26" t="str">
        <f>"VILLA COAPA                                                                                                                                 "</f>
        <v xml:space="preserve">VILLA COAPA                                                                                                                                 </v>
      </c>
      <c r="G2654" s="26" t="str">
        <f>"TLALPAN                                                                         "</f>
        <v xml:space="preserve">TLALPAN                                                                         </v>
      </c>
      <c r="H2654" s="26" t="str">
        <f>"276"</f>
        <v>276</v>
      </c>
      <c r="I2654" s="26" t="str">
        <f t="shared" si="528"/>
        <v>00</v>
      </c>
      <c r="J2654" s="26" t="str">
        <f>"35 "</f>
        <v xml:space="preserve">35 </v>
      </c>
      <c r="K2654" s="26" t="str">
        <f t="shared" si="529"/>
        <v>EP</v>
      </c>
      <c r="L2654" s="26" t="str">
        <f t="shared" si="530"/>
        <v>DGOSE</v>
      </c>
      <c r="M2654" s="26" t="str">
        <f t="shared" si="526"/>
        <v>PARTICULAR</v>
      </c>
      <c r="N2654" s="26">
        <v>25</v>
      </c>
      <c r="O2654" s="26">
        <v>14</v>
      </c>
      <c r="P2654" s="26">
        <v>11</v>
      </c>
      <c r="Q2654" s="26">
        <v>3</v>
      </c>
      <c r="R2654" s="26">
        <v>1</v>
      </c>
      <c r="S2654" s="26">
        <v>3</v>
      </c>
      <c r="T2654" s="26">
        <v>3</v>
      </c>
      <c r="U2654" s="26">
        <v>7</v>
      </c>
      <c r="V2654" s="26">
        <v>1</v>
      </c>
      <c r="W2654" s="26"/>
    </row>
    <row r="2655" spans="1:23" x14ac:dyDescent="0.25">
      <c r="A2655" s="26" t="str">
        <f t="shared" si="527"/>
        <v>PREESCOLAR</v>
      </c>
      <c r="B2655" s="26" t="str">
        <f>"09PJN5160Y"</f>
        <v>09PJN5160Y</v>
      </c>
      <c r="C2655" s="26" t="str">
        <f>"KINDER GARDEN FER-KAR                                                                               "</f>
        <v xml:space="preserve">KINDER GARDEN FER-KAR                                                                               </v>
      </c>
      <c r="D2655" s="26" t="str">
        <f t="shared" si="523"/>
        <v>MATUTINO</v>
      </c>
      <c r="E2655" s="26" t="str">
        <f>"CALLE 15 NO. 127                                                                "</f>
        <v xml:space="preserve">CALLE 15 NO. 127                                                                </v>
      </c>
      <c r="F2655" s="26" t="str">
        <f>"PRO  HOGAR                                                                                                                                  "</f>
        <v xml:space="preserve">PRO  HOGAR                                                                                                                                  </v>
      </c>
      <c r="G2655" s="26" t="str">
        <f>"AZCAPOTZALCO                                                                    "</f>
        <v xml:space="preserve">AZCAPOTZALCO                                                                    </v>
      </c>
      <c r="H2655" s="26" t="str">
        <f>"190"</f>
        <v>190</v>
      </c>
      <c r="I2655" s="26" t="str">
        <f t="shared" si="528"/>
        <v>00</v>
      </c>
      <c r="J2655" s="26" t="str">
        <f>"32 "</f>
        <v xml:space="preserve">32 </v>
      </c>
      <c r="K2655" s="26" t="str">
        <f t="shared" si="529"/>
        <v>EP</v>
      </c>
      <c r="L2655" s="26" t="str">
        <f t="shared" si="530"/>
        <v>DGOSE</v>
      </c>
      <c r="M2655" s="26" t="str">
        <f t="shared" si="526"/>
        <v>PARTICULAR</v>
      </c>
      <c r="N2655" s="26">
        <v>24</v>
      </c>
      <c r="O2655" s="26">
        <v>8</v>
      </c>
      <c r="P2655" s="26">
        <v>16</v>
      </c>
      <c r="Q2655" s="26">
        <v>3</v>
      </c>
      <c r="R2655" s="26">
        <v>1</v>
      </c>
      <c r="S2655" s="26">
        <v>3</v>
      </c>
      <c r="T2655" s="26">
        <v>3</v>
      </c>
      <c r="U2655" s="26">
        <v>7</v>
      </c>
      <c r="V2655" s="26">
        <v>1</v>
      </c>
      <c r="W2655" s="26"/>
    </row>
    <row r="2656" spans="1:23" x14ac:dyDescent="0.25">
      <c r="A2656" s="26" t="str">
        <f t="shared" si="527"/>
        <v>PREESCOLAR</v>
      </c>
      <c r="B2656" s="26" t="str">
        <f>"09PJN5161X"</f>
        <v>09PJN5161X</v>
      </c>
      <c r="C2656" s="26" t="str">
        <f>"JARDIN DE NIÑOS DAVID LIVINGSTONE                                                                   "</f>
        <v xml:space="preserve">JARDIN DE NIÑOS DAVID LIVINGSTONE                                                                   </v>
      </c>
      <c r="D2656" s="26" t="str">
        <f t="shared" si="523"/>
        <v>MATUTINO</v>
      </c>
      <c r="E2656" s="26" t="str">
        <f>"AV. AZCAPOTZALCO NO. 144                                                        "</f>
        <v xml:space="preserve">AV. AZCAPOTZALCO NO. 144                                                        </v>
      </c>
      <c r="F2656" s="26" t="str">
        <f>"ANGEL ZIMBRON                                                                                                                               "</f>
        <v xml:space="preserve">ANGEL ZIMBRON                                                                                                                               </v>
      </c>
      <c r="G2656" s="26" t="str">
        <f>"AZCAPOTZALCO                                                                    "</f>
        <v xml:space="preserve">AZCAPOTZALCO                                                                    </v>
      </c>
      <c r="H2656" s="26" t="str">
        <f>"189"</f>
        <v>189</v>
      </c>
      <c r="I2656" s="26" t="str">
        <f t="shared" si="528"/>
        <v>00</v>
      </c>
      <c r="J2656" s="26" t="str">
        <f>"32 "</f>
        <v xml:space="preserve">32 </v>
      </c>
      <c r="K2656" s="26" t="str">
        <f t="shared" si="529"/>
        <v>EP</v>
      </c>
      <c r="L2656" s="26" t="str">
        <f t="shared" si="530"/>
        <v>DGOSE</v>
      </c>
      <c r="M2656" s="26" t="str">
        <f t="shared" si="526"/>
        <v>PARTICULAR</v>
      </c>
      <c r="N2656" s="26">
        <v>89</v>
      </c>
      <c r="O2656" s="26">
        <v>48</v>
      </c>
      <c r="P2656" s="26">
        <v>41</v>
      </c>
      <c r="Q2656" s="26">
        <v>5</v>
      </c>
      <c r="R2656" s="26">
        <v>1</v>
      </c>
      <c r="S2656" s="26">
        <v>5</v>
      </c>
      <c r="T2656" s="26">
        <v>12</v>
      </c>
      <c r="U2656" s="26">
        <v>18</v>
      </c>
      <c r="V2656" s="26">
        <v>1</v>
      </c>
      <c r="W2656" s="26"/>
    </row>
    <row r="2657" spans="1:23" x14ac:dyDescent="0.25">
      <c r="A2657" s="26" t="str">
        <f t="shared" si="527"/>
        <v>PREESCOLAR</v>
      </c>
      <c r="B2657" s="26" t="str">
        <f>"09PJN5162W"</f>
        <v>09PJN5162W</v>
      </c>
      <c r="C2657" s="26" t="str">
        <f>"KINDER KARE GUARDERIA                                                                               "</f>
        <v xml:space="preserve">KINDER KARE GUARDERIA                                                                               </v>
      </c>
      <c r="D2657" s="26" t="str">
        <f t="shared" si="523"/>
        <v>MATUTINO</v>
      </c>
      <c r="E2657" s="26" t="str">
        <f>"AV. CEDROS NO. 74                                                               "</f>
        <v xml:space="preserve">AV. CEDROS NO. 74                                                               </v>
      </c>
      <c r="F2657" s="26" t="str">
        <f>"CONTADERO                                                                                                                                   "</f>
        <v xml:space="preserve">CONTADERO                                                                                                                                   </v>
      </c>
      <c r="G2657" s="26" t="str">
        <f>"CUAJIMALPA DE MORELOS                                                           "</f>
        <v xml:space="preserve">CUAJIMALPA DE MORELOS                                                           </v>
      </c>
      <c r="H2657" s="26" t="str">
        <f>"213"</f>
        <v>213</v>
      </c>
      <c r="I2657" s="26" t="str">
        <f t="shared" si="528"/>
        <v>00</v>
      </c>
      <c r="J2657" s="26" t="str">
        <f>"33 "</f>
        <v xml:space="preserve">33 </v>
      </c>
      <c r="K2657" s="26" t="str">
        <f t="shared" si="529"/>
        <v>EP</v>
      </c>
      <c r="L2657" s="26" t="str">
        <f t="shared" si="530"/>
        <v>DGOSE</v>
      </c>
      <c r="M2657" s="26" t="str">
        <f t="shared" si="526"/>
        <v>PARTICULAR</v>
      </c>
      <c r="N2657" s="26">
        <v>22</v>
      </c>
      <c r="O2657" s="26">
        <v>15</v>
      </c>
      <c r="P2657" s="26">
        <v>7</v>
      </c>
      <c r="Q2657" s="26">
        <v>3</v>
      </c>
      <c r="R2657" s="26">
        <v>1</v>
      </c>
      <c r="S2657" s="26">
        <v>2</v>
      </c>
      <c r="T2657" s="26">
        <v>10</v>
      </c>
      <c r="U2657" s="26">
        <v>13</v>
      </c>
      <c r="V2657" s="26">
        <v>1</v>
      </c>
      <c r="W2657" s="26"/>
    </row>
    <row r="2658" spans="1:23" x14ac:dyDescent="0.25">
      <c r="A2658" s="26" t="str">
        <f t="shared" si="527"/>
        <v>PREESCOLAR</v>
      </c>
      <c r="B2658" s="26" t="str">
        <f>"09PJN5163Y"</f>
        <v>09PJN5163Y</v>
      </c>
      <c r="C2658" s="26" t="str">
        <f>"COLEGIO MENAGEN BEGUIN                                                                              "</f>
        <v xml:space="preserve">COLEGIO MENAGEN BEGUIN                                                                              </v>
      </c>
      <c r="D2658" s="26" t="str">
        <f t="shared" si="523"/>
        <v>MATUTINO</v>
      </c>
      <c r="E2658" s="26" t="str">
        <f>"POZO PEDREGAL NO. 91                                                            "</f>
        <v xml:space="preserve">POZO PEDREGAL NO. 91                                                            </v>
      </c>
      <c r="F2658" s="26" t="str">
        <f>"REYNOSA TAMAULIPAS                                                                                                                          "</f>
        <v xml:space="preserve">REYNOSA TAMAULIPAS                                                                                                                          </v>
      </c>
      <c r="G2658" s="26" t="str">
        <f>"AZCAPOTZALCO                                                                    "</f>
        <v xml:space="preserve">AZCAPOTZALCO                                                                    </v>
      </c>
      <c r="H2658" s="26" t="str">
        <f>"009"</f>
        <v>009</v>
      </c>
      <c r="I2658" s="26" t="str">
        <f t="shared" si="528"/>
        <v>00</v>
      </c>
      <c r="J2658" s="26" t="str">
        <f>"32 "</f>
        <v xml:space="preserve">32 </v>
      </c>
      <c r="K2658" s="26" t="str">
        <f t="shared" si="529"/>
        <v>EP</v>
      </c>
      <c r="L2658" s="26" t="str">
        <f t="shared" si="530"/>
        <v>DGOSE</v>
      </c>
      <c r="M2658" s="26" t="str">
        <f t="shared" si="526"/>
        <v>PARTICULAR</v>
      </c>
      <c r="N2658" s="26">
        <v>44</v>
      </c>
      <c r="O2658" s="26">
        <v>19</v>
      </c>
      <c r="P2658" s="26">
        <v>25</v>
      </c>
      <c r="Q2658" s="26">
        <v>3</v>
      </c>
      <c r="R2658" s="26">
        <v>1</v>
      </c>
      <c r="S2658" s="26">
        <v>3</v>
      </c>
      <c r="T2658" s="26">
        <v>5</v>
      </c>
      <c r="U2658" s="26">
        <v>9</v>
      </c>
      <c r="V2658" s="26">
        <v>1</v>
      </c>
      <c r="W2658" s="26"/>
    </row>
    <row r="2659" spans="1:23" x14ac:dyDescent="0.25">
      <c r="A2659" s="26" t="str">
        <f t="shared" si="527"/>
        <v>PREESCOLAR</v>
      </c>
      <c r="B2659" s="26" t="str">
        <f>"09PJN5165T"</f>
        <v>09PJN5165T</v>
      </c>
      <c r="C2659" s="26" t="str">
        <f>"JARDIN DE NIÑOS MI CASITA                                                                           "</f>
        <v xml:space="preserve">JARDIN DE NIÑOS MI CASITA                                                                           </v>
      </c>
      <c r="D2659" s="26" t="str">
        <f t="shared" si="523"/>
        <v>MATUTINO</v>
      </c>
      <c r="E2659" s="26" t="str">
        <f>"BAJIO NO. 141                                                                   "</f>
        <v xml:space="preserve">BAJIO NO. 141                                                                   </v>
      </c>
      <c r="F2659" s="26" t="str">
        <f>"ROMA SUR                                                                                                                                    "</f>
        <v xml:space="preserve">ROMA SUR                                                                                                                                    </v>
      </c>
      <c r="G2659" s="26" t="s">
        <v>4128</v>
      </c>
      <c r="H2659" s="26" t="str">
        <f>"205"</f>
        <v>205</v>
      </c>
      <c r="I2659" s="26" t="str">
        <f t="shared" si="528"/>
        <v>00</v>
      </c>
      <c r="J2659" s="26" t="str">
        <f>"32 "</f>
        <v xml:space="preserve">32 </v>
      </c>
      <c r="K2659" s="26" t="str">
        <f t="shared" si="529"/>
        <v>EP</v>
      </c>
      <c r="L2659" s="26" t="str">
        <f t="shared" si="530"/>
        <v>DGOSE</v>
      </c>
      <c r="M2659" s="26" t="str">
        <f t="shared" si="526"/>
        <v>PARTICULAR</v>
      </c>
      <c r="N2659" s="26">
        <v>21</v>
      </c>
      <c r="O2659" s="26">
        <v>12</v>
      </c>
      <c r="P2659" s="26">
        <v>9</v>
      </c>
      <c r="Q2659" s="26">
        <v>3</v>
      </c>
      <c r="R2659" s="26">
        <v>1</v>
      </c>
      <c r="S2659" s="26">
        <v>3</v>
      </c>
      <c r="T2659" s="26">
        <v>2</v>
      </c>
      <c r="U2659" s="26">
        <v>6</v>
      </c>
      <c r="V2659" s="26">
        <v>1</v>
      </c>
      <c r="W2659" s="26"/>
    </row>
    <row r="2660" spans="1:23" x14ac:dyDescent="0.25">
      <c r="A2660" s="26" t="str">
        <f t="shared" si="527"/>
        <v>PREESCOLAR</v>
      </c>
      <c r="B2660" s="26" t="str">
        <f>"09PJN5168Q"</f>
        <v>09PJN5168Q</v>
      </c>
      <c r="C2660" s="26" t="str">
        <f>"INSTITUTO SHAKESPEARE                                                                               "</f>
        <v xml:space="preserve">INSTITUTO SHAKESPEARE                                                                               </v>
      </c>
      <c r="D2660" s="26" t="str">
        <f t="shared" si="523"/>
        <v>MATUTINO</v>
      </c>
      <c r="E2660" s="26" t="str">
        <f>"HEROES NO. 83                                                                   "</f>
        <v xml:space="preserve">HEROES NO. 83                                                                   </v>
      </c>
      <c r="F2660" s="26" t="str">
        <f>"GUERRERO                                                                                                                                    "</f>
        <v xml:space="preserve">GUERRERO                                                                                                                                    </v>
      </c>
      <c r="G2660" s="26" t="s">
        <v>4128</v>
      </c>
      <c r="H2660" s="26" t="str">
        <f>"205"</f>
        <v>205</v>
      </c>
      <c r="I2660" s="26" t="str">
        <f t="shared" si="528"/>
        <v>00</v>
      </c>
      <c r="J2660" s="26" t="str">
        <f>"32 "</f>
        <v xml:space="preserve">32 </v>
      </c>
      <c r="K2660" s="26" t="str">
        <f t="shared" si="529"/>
        <v>EP</v>
      </c>
      <c r="L2660" s="26" t="str">
        <f t="shared" si="530"/>
        <v>DGOSE</v>
      </c>
      <c r="M2660" s="26" t="str">
        <f t="shared" si="526"/>
        <v>PARTICULAR</v>
      </c>
      <c r="N2660" s="26">
        <v>30</v>
      </c>
      <c r="O2660" s="26">
        <v>17</v>
      </c>
      <c r="P2660" s="26">
        <v>13</v>
      </c>
      <c r="Q2660" s="26">
        <v>1</v>
      </c>
      <c r="R2660" s="26">
        <v>1</v>
      </c>
      <c r="S2660" s="26">
        <v>1</v>
      </c>
      <c r="T2660" s="26">
        <v>9</v>
      </c>
      <c r="U2660" s="26">
        <v>11</v>
      </c>
      <c r="V2660" s="26">
        <v>1</v>
      </c>
      <c r="W2660" s="26"/>
    </row>
    <row r="2661" spans="1:23" x14ac:dyDescent="0.25">
      <c r="A2661" s="26" t="str">
        <f t="shared" si="527"/>
        <v>PREESCOLAR</v>
      </c>
      <c r="B2661" s="26" t="str">
        <f>"09PJN5170E"</f>
        <v>09PJN5170E</v>
      </c>
      <c r="C2661" s="26" t="str">
        <f>"CENTRO YMCA EDUCATIVO DE ACCION COMUNITARIA  IZTACALCO                                              "</f>
        <v xml:space="preserve">CENTRO YMCA EDUCATIVO DE ACCION COMUNITARIA  IZTACALCO                                              </v>
      </c>
      <c r="D2661" s="26" t="str">
        <f t="shared" si="523"/>
        <v>MATUTINO</v>
      </c>
      <c r="E2661" s="26" t="str">
        <f>"CALLEJON OTHENCO NO. 162                                                        "</f>
        <v xml:space="preserve">CALLEJON OTHENCO NO. 162                                                        </v>
      </c>
      <c r="F2661" s="26" t="str">
        <f>"SAN PEDRO                                                                                                                                   "</f>
        <v xml:space="preserve">SAN PEDRO                                                                                                                                   </v>
      </c>
      <c r="G2661" s="26" t="str">
        <f>"IZTACALCO                                                                       "</f>
        <v xml:space="preserve">IZTACALCO                                                                       </v>
      </c>
      <c r="H2661" s="26" t="str">
        <f>"027"</f>
        <v>027</v>
      </c>
      <c r="I2661" s="26" t="str">
        <f t="shared" si="528"/>
        <v>00</v>
      </c>
      <c r="J2661" s="26" t="str">
        <f>"33 "</f>
        <v xml:space="preserve">33 </v>
      </c>
      <c r="K2661" s="26" t="str">
        <f t="shared" si="529"/>
        <v>EP</v>
      </c>
      <c r="L2661" s="26" t="str">
        <f t="shared" si="530"/>
        <v>DGOSE</v>
      </c>
      <c r="M2661" s="26" t="str">
        <f t="shared" si="526"/>
        <v>PARTICULAR</v>
      </c>
      <c r="N2661" s="26">
        <v>124</v>
      </c>
      <c r="O2661" s="26">
        <v>59</v>
      </c>
      <c r="P2661" s="26">
        <v>65</v>
      </c>
      <c r="Q2661" s="26">
        <v>5</v>
      </c>
      <c r="R2661" s="26">
        <v>1</v>
      </c>
      <c r="S2661" s="26">
        <v>5</v>
      </c>
      <c r="T2661" s="26">
        <v>13</v>
      </c>
      <c r="U2661" s="26">
        <v>19</v>
      </c>
      <c r="V2661" s="26">
        <v>1</v>
      </c>
      <c r="W2661" s="26"/>
    </row>
    <row r="2662" spans="1:23" x14ac:dyDescent="0.25">
      <c r="A2662" s="26" t="str">
        <f t="shared" si="527"/>
        <v>PREESCOLAR</v>
      </c>
      <c r="B2662" s="26" t="str">
        <f>"09PJN5172C"</f>
        <v>09PJN5172C</v>
      </c>
      <c r="C2662" s="26" t="str">
        <f>"SUMMERHILL                                                                                          "</f>
        <v xml:space="preserve">SUMMERHILL                                                                                          </v>
      </c>
      <c r="D2662" s="26" t="str">
        <f t="shared" si="523"/>
        <v>MATUTINO</v>
      </c>
      <c r="E2662" s="26" t="str">
        <f>"PROLONGACION JUAN DE LA BARRERA NO. 6                                           "</f>
        <v xml:space="preserve">PROLONGACION JUAN DE LA BARRERA NO. 6                                           </v>
      </c>
      <c r="F2662" s="26" t="str">
        <f>"SAN JUAN IXTAYOPAN                                                                                                                          "</f>
        <v xml:space="preserve">SAN JUAN IXTAYOPAN                                                                                                                          </v>
      </c>
      <c r="G2662" s="26" t="str">
        <f>"TLAHUAC                                                                         "</f>
        <v xml:space="preserve">TLAHUAC                                                                         </v>
      </c>
      <c r="H2662" s="26" t="str">
        <f>"083"</f>
        <v>083</v>
      </c>
      <c r="I2662" s="26" t="str">
        <f t="shared" si="528"/>
        <v>00</v>
      </c>
      <c r="J2662" s="26" t="str">
        <f>"35 "</f>
        <v xml:space="preserve">35 </v>
      </c>
      <c r="K2662" s="26" t="str">
        <f t="shared" si="529"/>
        <v>EP</v>
      </c>
      <c r="L2662" s="26" t="str">
        <f t="shared" si="530"/>
        <v>DGOSE</v>
      </c>
      <c r="M2662" s="26" t="str">
        <f t="shared" si="526"/>
        <v>PARTICULAR</v>
      </c>
      <c r="N2662" s="26">
        <v>39</v>
      </c>
      <c r="O2662" s="26">
        <v>18</v>
      </c>
      <c r="P2662" s="26">
        <v>21</v>
      </c>
      <c r="Q2662" s="26">
        <v>3</v>
      </c>
      <c r="R2662" s="26">
        <v>1</v>
      </c>
      <c r="S2662" s="26">
        <v>3</v>
      </c>
      <c r="T2662" s="26">
        <v>4</v>
      </c>
      <c r="U2662" s="26">
        <v>8</v>
      </c>
      <c r="V2662" s="26">
        <v>1</v>
      </c>
      <c r="W2662" s="26"/>
    </row>
    <row r="2663" spans="1:23" x14ac:dyDescent="0.25">
      <c r="A2663" s="26" t="str">
        <f t="shared" si="527"/>
        <v>PREESCOLAR</v>
      </c>
      <c r="B2663" s="26" t="str">
        <f>"09PJN5173B"</f>
        <v>09PJN5173B</v>
      </c>
      <c r="C2663" s="26" t="str">
        <f>"JARDIN DE NIÑOS TLALTENCO                                                                           "</f>
        <v xml:space="preserve">JARDIN DE NIÑOS TLALTENCO                                                                           </v>
      </c>
      <c r="D2663" s="26" t="str">
        <f t="shared" si="523"/>
        <v>MATUTINO</v>
      </c>
      <c r="E2663" s="26" t="str">
        <f>"MAR DE LA SERENIDAD NO. 130 ESQ.MONTES C                                        "</f>
        <v xml:space="preserve">MAR DE LA SERENIDAD NO. 130 ESQ.MONTES C                                        </v>
      </c>
      <c r="F2663" s="26" t="str">
        <f>"SELENE AMPLIACION                                                                                                                           "</f>
        <v xml:space="preserve">SELENE AMPLIACION                                                                                                                           </v>
      </c>
      <c r="G2663" s="26" t="str">
        <f>"TLAHUAC                                                                         "</f>
        <v xml:space="preserve">TLAHUAC                                                                         </v>
      </c>
      <c r="H2663" s="26" t="str">
        <f>"142"</f>
        <v>142</v>
      </c>
      <c r="I2663" s="26" t="str">
        <f t="shared" si="528"/>
        <v>00</v>
      </c>
      <c r="J2663" s="26" t="str">
        <f>"35 "</f>
        <v xml:space="preserve">35 </v>
      </c>
      <c r="K2663" s="26" t="str">
        <f t="shared" si="529"/>
        <v>EP</v>
      </c>
      <c r="L2663" s="26" t="str">
        <f t="shared" si="530"/>
        <v>DGOSE</v>
      </c>
      <c r="M2663" s="26" t="str">
        <f t="shared" si="526"/>
        <v>PARTICULAR</v>
      </c>
      <c r="N2663" s="26">
        <v>13</v>
      </c>
      <c r="O2663" s="26">
        <v>7</v>
      </c>
      <c r="P2663" s="26">
        <v>6</v>
      </c>
      <c r="Q2663" s="26">
        <v>3</v>
      </c>
      <c r="R2663" s="26">
        <v>1</v>
      </c>
      <c r="S2663" s="26">
        <v>2</v>
      </c>
      <c r="T2663" s="26">
        <v>3</v>
      </c>
      <c r="U2663" s="26">
        <v>6</v>
      </c>
      <c r="V2663" s="26">
        <v>1</v>
      </c>
      <c r="W2663" s="26"/>
    </row>
    <row r="2664" spans="1:23" x14ac:dyDescent="0.25">
      <c r="A2664" s="26" t="str">
        <f t="shared" si="527"/>
        <v>PREESCOLAR</v>
      </c>
      <c r="B2664" s="26" t="str">
        <f>"09PJN5174A"</f>
        <v>09PJN5174A</v>
      </c>
      <c r="C2664" s="26" t="str">
        <f>"INSTITUTO PAIDOS INTERACTIVO                                                                        "</f>
        <v xml:space="preserve">INSTITUTO PAIDOS INTERACTIVO                                                                        </v>
      </c>
      <c r="D2664" s="26" t="str">
        <f t="shared" si="523"/>
        <v>MATUTINO</v>
      </c>
      <c r="E2664" s="26" t="str">
        <f>"AV. CONGRESO DE LA UNION NO. 3513                                               "</f>
        <v xml:space="preserve">AV. CONGRESO DE LA UNION NO. 3513                                               </v>
      </c>
      <c r="F2664" s="26" t="str">
        <f>"RIO BLANCO                                                                                                                                  "</f>
        <v xml:space="preserve">RIO BLANCO                                                                                                                                  </v>
      </c>
      <c r="G2664" s="26" t="str">
        <f>"GUSTAVO A. MADERO                                                               "</f>
        <v xml:space="preserve">GUSTAVO A. MADERO                                                               </v>
      </c>
      <c r="H2664" s="26" t="str">
        <f>"198"</f>
        <v>198</v>
      </c>
      <c r="I2664" s="26" t="str">
        <f t="shared" si="528"/>
        <v>00</v>
      </c>
      <c r="J2664" s="26" t="str">
        <f>"32 "</f>
        <v xml:space="preserve">32 </v>
      </c>
      <c r="K2664" s="26" t="str">
        <f t="shared" si="529"/>
        <v>EP</v>
      </c>
      <c r="L2664" s="26" t="str">
        <f t="shared" si="530"/>
        <v>DGOSE</v>
      </c>
      <c r="M2664" s="26" t="str">
        <f t="shared" si="526"/>
        <v>PARTICULAR</v>
      </c>
      <c r="N2664" s="26">
        <v>4</v>
      </c>
      <c r="O2664" s="26">
        <v>3</v>
      </c>
      <c r="P2664" s="26">
        <v>1</v>
      </c>
      <c r="Q2664" s="26">
        <v>1</v>
      </c>
      <c r="R2664" s="26">
        <v>1</v>
      </c>
      <c r="S2664" s="26">
        <v>1</v>
      </c>
      <c r="T2664" s="26">
        <v>0</v>
      </c>
      <c r="U2664" s="26">
        <v>2</v>
      </c>
      <c r="V2664" s="26">
        <v>1</v>
      </c>
      <c r="W2664" s="26"/>
    </row>
    <row r="2665" spans="1:23" x14ac:dyDescent="0.25">
      <c r="A2665" s="26" t="str">
        <f t="shared" si="527"/>
        <v>PREESCOLAR</v>
      </c>
      <c r="B2665" s="26" t="str">
        <f>"09PJN5176Z"</f>
        <v>09PJN5176Z</v>
      </c>
      <c r="C2665" s="26" t="str">
        <f>"KINDER FIRST SKILLS                                                                                 "</f>
        <v xml:space="preserve">KINDER FIRST SKILLS                                                                                 </v>
      </c>
      <c r="D2665" s="26" t="str">
        <f t="shared" si="523"/>
        <v>MATUTINO</v>
      </c>
      <c r="E2665" s="26" t="str">
        <f>"ALLENDE NO. 176                                                                 "</f>
        <v xml:space="preserve">ALLENDE NO. 176                                                                 </v>
      </c>
      <c r="F2665" s="26" t="str">
        <f>"SAN MATEO TLALTENANGO                                                                                                                       "</f>
        <v xml:space="preserve">SAN MATEO TLALTENANGO                                                                                                                       </v>
      </c>
      <c r="G2665" s="26" t="str">
        <f>"CUAJIMALPA DE MORELOS                                                           "</f>
        <v xml:space="preserve">CUAJIMALPA DE MORELOS                                                           </v>
      </c>
      <c r="H2665" s="26" t="str">
        <f>"213"</f>
        <v>213</v>
      </c>
      <c r="I2665" s="26" t="str">
        <f t="shared" si="528"/>
        <v>00</v>
      </c>
      <c r="J2665" s="26" t="str">
        <f>"33 "</f>
        <v xml:space="preserve">33 </v>
      </c>
      <c r="K2665" s="26" t="str">
        <f t="shared" si="529"/>
        <v>EP</v>
      </c>
      <c r="L2665" s="26" t="str">
        <f t="shared" si="530"/>
        <v>DGOSE</v>
      </c>
      <c r="M2665" s="26" t="str">
        <f t="shared" si="526"/>
        <v>PARTICULAR</v>
      </c>
      <c r="N2665" s="26">
        <v>21</v>
      </c>
      <c r="O2665" s="26">
        <v>7</v>
      </c>
      <c r="P2665" s="26">
        <v>14</v>
      </c>
      <c r="Q2665" s="26">
        <v>3</v>
      </c>
      <c r="R2665" s="26">
        <v>1</v>
      </c>
      <c r="S2665" s="26">
        <v>2</v>
      </c>
      <c r="T2665" s="26">
        <v>2</v>
      </c>
      <c r="U2665" s="26">
        <v>5</v>
      </c>
      <c r="V2665" s="26">
        <v>1</v>
      </c>
      <c r="W2665" s="26"/>
    </row>
    <row r="2666" spans="1:23" x14ac:dyDescent="0.25">
      <c r="A2666" s="26" t="str">
        <f t="shared" si="527"/>
        <v>PREESCOLAR</v>
      </c>
      <c r="B2666" s="26" t="str">
        <f>"09PJN5177X"</f>
        <v>09PJN5177X</v>
      </c>
      <c r="C2666" s="26" t="str">
        <f>"CENTRO EDUCATIVO PAAT PAAL                                                                          "</f>
        <v xml:space="preserve">CENTRO EDUCATIVO PAAT PAAL                                                                          </v>
      </c>
      <c r="D2666" s="26" t="str">
        <f t="shared" si="523"/>
        <v>MATUTINO</v>
      </c>
      <c r="E2666" s="26" t="str">
        <f>"CALLE 7 NO. 33                                                                  "</f>
        <v xml:space="preserve">CALLE 7 NO. 33                                                                  </v>
      </c>
      <c r="F2666" s="26" t="str">
        <f>"ESPARTACO                                                                                                                                   "</f>
        <v xml:space="preserve">ESPARTACO                                                                                                                                   </v>
      </c>
      <c r="G2666" s="26" t="str">
        <f>"COYOACAN                                                                        "</f>
        <v xml:space="preserve">COYOACAN                                                                        </v>
      </c>
      <c r="H2666" s="26" t="str">
        <f>"239"</f>
        <v>239</v>
      </c>
      <c r="I2666" s="26" t="str">
        <f t="shared" si="528"/>
        <v>00</v>
      </c>
      <c r="J2666" s="26" t="str">
        <f>"35 "</f>
        <v xml:space="preserve">35 </v>
      </c>
      <c r="K2666" s="26" t="str">
        <f t="shared" si="529"/>
        <v>EP</v>
      </c>
      <c r="L2666" s="26" t="str">
        <f t="shared" si="530"/>
        <v>DGOSE</v>
      </c>
      <c r="M2666" s="26" t="str">
        <f t="shared" si="526"/>
        <v>PARTICULAR</v>
      </c>
      <c r="N2666" s="26">
        <v>73</v>
      </c>
      <c r="O2666" s="26">
        <v>35</v>
      </c>
      <c r="P2666" s="26">
        <v>38</v>
      </c>
      <c r="Q2666" s="26">
        <v>4</v>
      </c>
      <c r="R2666" s="26">
        <v>1</v>
      </c>
      <c r="S2666" s="26">
        <v>2</v>
      </c>
      <c r="T2666" s="26">
        <v>7</v>
      </c>
      <c r="U2666" s="26">
        <v>10</v>
      </c>
      <c r="V2666" s="26">
        <v>1</v>
      </c>
      <c r="W2666" s="26"/>
    </row>
    <row r="2667" spans="1:23" x14ac:dyDescent="0.25">
      <c r="A2667" s="26" t="str">
        <f t="shared" si="527"/>
        <v>PREESCOLAR</v>
      </c>
      <c r="B2667" s="26" t="str">
        <f>"09PJN5180L"</f>
        <v>09PJN5180L</v>
      </c>
      <c r="C2667" s="26" t="str">
        <f>"INSTITUTO ATENIENSE                                                                                 "</f>
        <v xml:space="preserve">INSTITUTO ATENIENSE                                                                                 </v>
      </c>
      <c r="D2667" s="26" t="str">
        <f t="shared" si="523"/>
        <v>MATUTINO</v>
      </c>
      <c r="E2667" s="26" t="str">
        <f>"ELSA NO. 11                                                                     "</f>
        <v xml:space="preserve">ELSA NO. 11                                                                     </v>
      </c>
      <c r="F2667" s="26" t="str">
        <f>"GUADALUPE TEPEYAC                                                                                                                           "</f>
        <v xml:space="preserve">GUADALUPE TEPEYAC                                                                                                                           </v>
      </c>
      <c r="G2667" s="26" t="str">
        <f t="shared" ref="G2667:G2672" si="531">"GUSTAVO A. MADERO                                                               "</f>
        <v xml:space="preserve">GUSTAVO A. MADERO                                                               </v>
      </c>
      <c r="H2667" s="26" t="str">
        <f>"197"</f>
        <v>197</v>
      </c>
      <c r="I2667" s="26" t="str">
        <f t="shared" si="528"/>
        <v>00</v>
      </c>
      <c r="J2667" s="26" t="str">
        <f t="shared" ref="J2667:J2672" si="532">"32 "</f>
        <v xml:space="preserve">32 </v>
      </c>
      <c r="K2667" s="26" t="str">
        <f t="shared" si="529"/>
        <v>EP</v>
      </c>
      <c r="L2667" s="26" t="str">
        <f t="shared" si="530"/>
        <v>DGOSE</v>
      </c>
      <c r="M2667" s="26" t="str">
        <f t="shared" si="526"/>
        <v>PARTICULAR</v>
      </c>
      <c r="N2667" s="26">
        <v>16</v>
      </c>
      <c r="O2667" s="26">
        <v>9</v>
      </c>
      <c r="P2667" s="26">
        <v>7</v>
      </c>
      <c r="Q2667" s="26">
        <v>2</v>
      </c>
      <c r="R2667" s="26">
        <v>1</v>
      </c>
      <c r="S2667" s="26">
        <v>2</v>
      </c>
      <c r="T2667" s="26">
        <v>5</v>
      </c>
      <c r="U2667" s="26">
        <v>8</v>
      </c>
      <c r="V2667" s="26">
        <v>1</v>
      </c>
      <c r="W2667" s="26"/>
    </row>
    <row r="2668" spans="1:23" x14ac:dyDescent="0.25">
      <c r="A2668" s="26" t="str">
        <f t="shared" si="527"/>
        <v>PREESCOLAR</v>
      </c>
      <c r="B2668" s="26" t="str">
        <f>"09PJN5181K"</f>
        <v>09PJN5181K</v>
      </c>
      <c r="C2668" s="26" t="str">
        <f>"JARDIN DE NIÑOS MONTESSORI                                                                          "</f>
        <v xml:space="preserve">JARDIN DE NIÑOS MONTESSORI                                                                          </v>
      </c>
      <c r="D2668" s="26" t="str">
        <f t="shared" si="523"/>
        <v>MATUTINO</v>
      </c>
      <c r="E2668" s="26" t="str">
        <f>"AV. 5 DE MAYO NO.36                                                             "</f>
        <v xml:space="preserve">AV. 5 DE MAYO NO.36                                                             </v>
      </c>
      <c r="F2668" s="26" t="str">
        <f>"DEL OBRERO                                                                                                                                  "</f>
        <v xml:space="preserve">DEL OBRERO                                                                                                                                  </v>
      </c>
      <c r="G2668" s="26" t="str">
        <f t="shared" si="531"/>
        <v xml:space="preserve">GUSTAVO A. MADERO                                                               </v>
      </c>
      <c r="H2668" s="26" t="str">
        <f>"191"</f>
        <v>191</v>
      </c>
      <c r="I2668" s="26" t="str">
        <f t="shared" si="528"/>
        <v>00</v>
      </c>
      <c r="J2668" s="26" t="str">
        <f t="shared" si="532"/>
        <v xml:space="preserve">32 </v>
      </c>
      <c r="K2668" s="26" t="str">
        <f t="shared" si="529"/>
        <v>EP</v>
      </c>
      <c r="L2668" s="26" t="str">
        <f t="shared" si="530"/>
        <v>DGOSE</v>
      </c>
      <c r="M2668" s="26" t="str">
        <f t="shared" si="526"/>
        <v>PARTICULAR</v>
      </c>
      <c r="N2668" s="26">
        <v>58</v>
      </c>
      <c r="O2668" s="26">
        <v>32</v>
      </c>
      <c r="P2668" s="26">
        <v>26</v>
      </c>
      <c r="Q2668" s="26">
        <v>3</v>
      </c>
      <c r="R2668" s="26">
        <v>1</v>
      </c>
      <c r="S2668" s="26">
        <v>3</v>
      </c>
      <c r="T2668" s="26">
        <v>4</v>
      </c>
      <c r="U2668" s="26">
        <v>8</v>
      </c>
      <c r="V2668" s="26">
        <v>1</v>
      </c>
      <c r="W2668" s="26"/>
    </row>
    <row r="2669" spans="1:23" x14ac:dyDescent="0.25">
      <c r="A2669" s="26" t="str">
        <f t="shared" si="527"/>
        <v>PREESCOLAR</v>
      </c>
      <c r="B2669" s="26" t="str">
        <f>"09PJN5182J"</f>
        <v>09PJN5182J</v>
      </c>
      <c r="C2669" s="26" t="str">
        <f>"ALFRED BERNHARD NOBEL                                                                               "</f>
        <v xml:space="preserve">ALFRED BERNHARD NOBEL                                                                               </v>
      </c>
      <c r="D2669" s="26" t="str">
        <f t="shared" si="523"/>
        <v>MATUTINO</v>
      </c>
      <c r="E2669" s="26" t="str">
        <f>"AV. 611 NO. 139                                                                 "</f>
        <v xml:space="preserve">AV. 611 NO. 139                                                                 </v>
      </c>
      <c r="F2669" s="26" t="str">
        <f>"QUINCE DE AGOSTO                                                                                                                            "</f>
        <v xml:space="preserve">QUINCE DE AGOSTO                                                                                                                            </v>
      </c>
      <c r="G2669" s="26" t="str">
        <f t="shared" si="531"/>
        <v xml:space="preserve">GUSTAVO A. MADERO                                                               </v>
      </c>
      <c r="H2669" s="26" t="str">
        <f>"199"</f>
        <v>199</v>
      </c>
      <c r="I2669" s="26" t="str">
        <f t="shared" si="528"/>
        <v>00</v>
      </c>
      <c r="J2669" s="26" t="str">
        <f t="shared" si="532"/>
        <v xml:space="preserve">32 </v>
      </c>
      <c r="K2669" s="26" t="str">
        <f t="shared" si="529"/>
        <v>EP</v>
      </c>
      <c r="L2669" s="26" t="str">
        <f t="shared" si="530"/>
        <v>DGOSE</v>
      </c>
      <c r="M2669" s="26" t="str">
        <f t="shared" si="526"/>
        <v>PARTICULAR</v>
      </c>
      <c r="N2669" s="26">
        <v>31</v>
      </c>
      <c r="O2669" s="26">
        <v>13</v>
      </c>
      <c r="P2669" s="26">
        <v>18</v>
      </c>
      <c r="Q2669" s="26">
        <v>3</v>
      </c>
      <c r="R2669" s="26">
        <v>1</v>
      </c>
      <c r="S2669" s="26">
        <v>3</v>
      </c>
      <c r="T2669" s="26">
        <v>5</v>
      </c>
      <c r="U2669" s="26">
        <v>9</v>
      </c>
      <c r="V2669" s="26">
        <v>1</v>
      </c>
      <c r="W2669" s="26"/>
    </row>
    <row r="2670" spans="1:23" x14ac:dyDescent="0.25">
      <c r="A2670" s="26" t="str">
        <f t="shared" si="527"/>
        <v>PREESCOLAR</v>
      </c>
      <c r="B2670" s="26" t="str">
        <f>"09PJN5183I"</f>
        <v>09PJN5183I</v>
      </c>
      <c r="C2670" s="26" t="str">
        <f>"JARDIN DE NIÑOS ONTARIO                                                                             "</f>
        <v xml:space="preserve">JARDIN DE NIÑOS ONTARIO                                                                             </v>
      </c>
      <c r="D2670" s="26" t="str">
        <f t="shared" ref="D2670:D2693" si="533">"MATUTINO"</f>
        <v>MATUTINO</v>
      </c>
      <c r="E2670" s="26" t="str">
        <f>"ORIENTE 91 NO. 3333                                                             "</f>
        <v xml:space="preserve">ORIENTE 91 NO. 3333                                                             </v>
      </c>
      <c r="F2670" s="26" t="str">
        <f>"MARTIRES DE RIO BLANCO                                                                                                                      "</f>
        <v xml:space="preserve">MARTIRES DE RIO BLANCO                                                                                                                      </v>
      </c>
      <c r="G2670" s="26" t="str">
        <f t="shared" si="531"/>
        <v xml:space="preserve">GUSTAVO A. MADERO                                                               </v>
      </c>
      <c r="H2670" s="26" t="str">
        <f>"198"</f>
        <v>198</v>
      </c>
      <c r="I2670" s="26" t="str">
        <f t="shared" si="528"/>
        <v>00</v>
      </c>
      <c r="J2670" s="26" t="str">
        <f t="shared" si="532"/>
        <v xml:space="preserve">32 </v>
      </c>
      <c r="K2670" s="26" t="str">
        <f t="shared" si="529"/>
        <v>EP</v>
      </c>
      <c r="L2670" s="26" t="str">
        <f t="shared" si="530"/>
        <v>DGOSE</v>
      </c>
      <c r="M2670" s="26" t="str">
        <f t="shared" si="526"/>
        <v>PARTICULAR</v>
      </c>
      <c r="N2670" s="26">
        <v>63</v>
      </c>
      <c r="O2670" s="26">
        <v>33</v>
      </c>
      <c r="P2670" s="26">
        <v>30</v>
      </c>
      <c r="Q2670" s="26">
        <v>3</v>
      </c>
      <c r="R2670" s="26">
        <v>1</v>
      </c>
      <c r="S2670" s="26">
        <v>3</v>
      </c>
      <c r="T2670" s="26">
        <v>5</v>
      </c>
      <c r="U2670" s="26">
        <v>9</v>
      </c>
      <c r="V2670" s="26">
        <v>1</v>
      </c>
      <c r="W2670" s="26"/>
    </row>
    <row r="2671" spans="1:23" x14ac:dyDescent="0.25">
      <c r="A2671" s="26" t="str">
        <f t="shared" si="527"/>
        <v>PREESCOLAR</v>
      </c>
      <c r="B2671" s="26" t="str">
        <f>"09PJN5184H"</f>
        <v>09PJN5184H</v>
      </c>
      <c r="C2671" s="26" t="str">
        <f>"MI MUNDO INFANTIL                                                                                   "</f>
        <v xml:space="preserve">MI MUNDO INFANTIL                                                                                   </v>
      </c>
      <c r="D2671" s="26" t="str">
        <f t="shared" si="533"/>
        <v>MATUTINO</v>
      </c>
      <c r="E2671" s="26" t="str">
        <f>"20 DE NOVIEMBRE NO. 35                                                          "</f>
        <v xml:space="preserve">20 DE NOVIEMBRE NO. 35                                                          </v>
      </c>
      <c r="F2671" s="26" t="str">
        <f>"CUAUTEPEC BARRIO ALTO                                                                                                                       "</f>
        <v xml:space="preserve">CUAUTEPEC BARRIO ALTO                                                                                                                       </v>
      </c>
      <c r="G2671" s="26" t="str">
        <f t="shared" si="531"/>
        <v xml:space="preserve">GUSTAVO A. MADERO                                                               </v>
      </c>
      <c r="H2671" s="26" t="str">
        <f>"155"</f>
        <v>155</v>
      </c>
      <c r="I2671" s="26" t="str">
        <f t="shared" si="528"/>
        <v>00</v>
      </c>
      <c r="J2671" s="26" t="str">
        <f t="shared" si="532"/>
        <v xml:space="preserve">32 </v>
      </c>
      <c r="K2671" s="26" t="str">
        <f t="shared" si="529"/>
        <v>EP</v>
      </c>
      <c r="L2671" s="26" t="str">
        <f t="shared" si="530"/>
        <v>DGOSE</v>
      </c>
      <c r="M2671" s="26" t="str">
        <f t="shared" si="526"/>
        <v>PARTICULAR</v>
      </c>
      <c r="N2671" s="26">
        <v>19</v>
      </c>
      <c r="O2671" s="26">
        <v>11</v>
      </c>
      <c r="P2671" s="26">
        <v>8</v>
      </c>
      <c r="Q2671" s="26">
        <v>3</v>
      </c>
      <c r="R2671" s="26">
        <v>1</v>
      </c>
      <c r="S2671" s="26">
        <v>2</v>
      </c>
      <c r="T2671" s="26">
        <v>2</v>
      </c>
      <c r="U2671" s="26">
        <v>5</v>
      </c>
      <c r="V2671" s="26">
        <v>1</v>
      </c>
      <c r="W2671" s="26"/>
    </row>
    <row r="2672" spans="1:23" x14ac:dyDescent="0.25">
      <c r="A2672" s="26" t="str">
        <f t="shared" si="527"/>
        <v>PREESCOLAR</v>
      </c>
      <c r="B2672" s="26" t="str">
        <f>"09PJN5189C"</f>
        <v>09PJN5189C</v>
      </c>
      <c r="C2672" s="26" t="str">
        <f>"JARDÍN DE NIÑOS BLANCA NIEVES                                                                       "</f>
        <v xml:space="preserve">JARDÍN DE NIÑOS BLANCA NIEVES                                                                       </v>
      </c>
      <c r="D2672" s="26" t="str">
        <f t="shared" si="533"/>
        <v>MATUTINO</v>
      </c>
      <c r="E2672" s="26" t="str">
        <f>"CEDROS MZA. 87 LT. 10                                                           "</f>
        <v xml:space="preserve">CEDROS MZA. 87 LT. 10                                                           </v>
      </c>
      <c r="F2672" s="26" t="str">
        <f>"LA CASILDA                                                                                                                                  "</f>
        <v xml:space="preserve">LA CASILDA                                                                                                                                  </v>
      </c>
      <c r="G2672" s="26" t="str">
        <f t="shared" si="531"/>
        <v xml:space="preserve">GUSTAVO A. MADERO                                                               </v>
      </c>
      <c r="H2672" s="26" t="str">
        <f>"154"</f>
        <v>154</v>
      </c>
      <c r="I2672" s="26" t="str">
        <f t="shared" si="528"/>
        <v>00</v>
      </c>
      <c r="J2672" s="26" t="str">
        <f t="shared" si="532"/>
        <v xml:space="preserve">32 </v>
      </c>
      <c r="K2672" s="26" t="str">
        <f t="shared" si="529"/>
        <v>EP</v>
      </c>
      <c r="L2672" s="26" t="str">
        <f t="shared" si="530"/>
        <v>DGOSE</v>
      </c>
      <c r="M2672" s="26" t="str">
        <f t="shared" si="526"/>
        <v>PARTICULAR</v>
      </c>
      <c r="N2672" s="26">
        <v>40</v>
      </c>
      <c r="O2672" s="26">
        <v>16</v>
      </c>
      <c r="P2672" s="26">
        <v>24</v>
      </c>
      <c r="Q2672" s="26">
        <v>3</v>
      </c>
      <c r="R2672" s="26">
        <v>1</v>
      </c>
      <c r="S2672" s="26">
        <v>3</v>
      </c>
      <c r="T2672" s="26">
        <v>1</v>
      </c>
      <c r="U2672" s="26">
        <v>5</v>
      </c>
      <c r="V2672" s="26">
        <v>1</v>
      </c>
      <c r="W2672" s="26"/>
    </row>
    <row r="2673" spans="1:23" x14ac:dyDescent="0.25">
      <c r="A2673" s="26" t="str">
        <f t="shared" si="527"/>
        <v>PREESCOLAR</v>
      </c>
      <c r="B2673" s="26" t="str">
        <f>"09PJN5190S"</f>
        <v>09PJN5190S</v>
      </c>
      <c r="C2673" s="26" t="str">
        <f>"CENTRO DE DESARROLLO INFANTIL CEDI                                                                  "</f>
        <v xml:space="preserve">CENTRO DE DESARROLLO INFANTIL CEDI                                                                  </v>
      </c>
      <c r="D2673" s="26" t="str">
        <f t="shared" si="533"/>
        <v>MATUTINO</v>
      </c>
      <c r="E2673" s="26" t="str">
        <f>"ALDAMA NO. 4                                                                    "</f>
        <v xml:space="preserve">ALDAMA NO. 4                                                                    </v>
      </c>
      <c r="F2673" s="26" t="str">
        <f>"DEL CARMEN                                                                                                                                  "</f>
        <v xml:space="preserve">DEL CARMEN                                                                                                                                  </v>
      </c>
      <c r="G2673" s="26" t="str">
        <f>"COYOACAN                                                                        "</f>
        <v xml:space="preserve">COYOACAN                                                                        </v>
      </c>
      <c r="H2673" s="26" t="str">
        <f>"111"</f>
        <v>111</v>
      </c>
      <c r="I2673" s="26" t="str">
        <f t="shared" si="528"/>
        <v>00</v>
      </c>
      <c r="J2673" s="26" t="str">
        <f t="shared" ref="J2673:J2679" si="534">"35 "</f>
        <v xml:space="preserve">35 </v>
      </c>
      <c r="K2673" s="26" t="str">
        <f t="shared" si="529"/>
        <v>EP</v>
      </c>
      <c r="L2673" s="26" t="str">
        <f t="shared" si="530"/>
        <v>DGOSE</v>
      </c>
      <c r="M2673" s="26" t="str">
        <f t="shared" si="526"/>
        <v>PARTICULAR</v>
      </c>
      <c r="N2673" s="26">
        <v>13</v>
      </c>
      <c r="O2673" s="26">
        <v>8</v>
      </c>
      <c r="P2673" s="26">
        <v>5</v>
      </c>
      <c r="Q2673" s="26">
        <v>3</v>
      </c>
      <c r="R2673" s="26">
        <v>1</v>
      </c>
      <c r="S2673" s="26">
        <v>3</v>
      </c>
      <c r="T2673" s="26">
        <v>1</v>
      </c>
      <c r="U2673" s="26">
        <v>5</v>
      </c>
      <c r="V2673" s="26">
        <v>1</v>
      </c>
      <c r="W2673" s="26"/>
    </row>
    <row r="2674" spans="1:23" x14ac:dyDescent="0.25">
      <c r="A2674" s="26" t="str">
        <f t="shared" si="527"/>
        <v>PREESCOLAR</v>
      </c>
      <c r="B2674" s="26" t="str">
        <f>"09PJN5191R"</f>
        <v>09PJN5191R</v>
      </c>
      <c r="C2674" s="26" t="str">
        <f>"CENTRO EDUCATIVO JOFERBEN                                                                           "</f>
        <v xml:space="preserve">CENTRO EDUCATIVO JOFERBEN                                                                           </v>
      </c>
      <c r="D2674" s="26" t="str">
        <f t="shared" si="533"/>
        <v>MATUTINO</v>
      </c>
      <c r="E2674" s="26" t="str">
        <f>"ALJIBE NO. 93                                                                   "</f>
        <v xml:space="preserve">ALJIBE NO. 93                                                                   </v>
      </c>
      <c r="F2674" s="26" t="str">
        <f>"SANTA URSULA XITLA                                                                                                                          "</f>
        <v xml:space="preserve">SANTA URSULA XITLA                                                                                                                          </v>
      </c>
      <c r="G2674" s="26" t="str">
        <f>"TLALPAN                                                                         "</f>
        <v xml:space="preserve">TLALPAN                                                                         </v>
      </c>
      <c r="H2674" s="26" t="str">
        <f>"278"</f>
        <v>278</v>
      </c>
      <c r="I2674" s="26" t="str">
        <f t="shared" si="528"/>
        <v>00</v>
      </c>
      <c r="J2674" s="26" t="str">
        <f t="shared" si="534"/>
        <v xml:space="preserve">35 </v>
      </c>
      <c r="K2674" s="26" t="str">
        <f t="shared" si="529"/>
        <v>EP</v>
      </c>
      <c r="L2674" s="26" t="str">
        <f t="shared" si="530"/>
        <v>DGOSE</v>
      </c>
      <c r="M2674" s="26" t="str">
        <f t="shared" si="526"/>
        <v>PARTICULAR</v>
      </c>
      <c r="N2674" s="26">
        <v>21</v>
      </c>
      <c r="O2674" s="26">
        <v>10</v>
      </c>
      <c r="P2674" s="26">
        <v>11</v>
      </c>
      <c r="Q2674" s="26">
        <v>3</v>
      </c>
      <c r="R2674" s="26">
        <v>1</v>
      </c>
      <c r="S2674" s="26">
        <v>3</v>
      </c>
      <c r="T2674" s="26">
        <v>0</v>
      </c>
      <c r="U2674" s="26">
        <v>4</v>
      </c>
      <c r="V2674" s="26">
        <v>1</v>
      </c>
      <c r="W2674" s="26"/>
    </row>
    <row r="2675" spans="1:23" x14ac:dyDescent="0.25">
      <c r="A2675" s="26" t="str">
        <f t="shared" si="527"/>
        <v>PREESCOLAR</v>
      </c>
      <c r="B2675" s="26" t="str">
        <f>"09PJN5193P"</f>
        <v>09PJN5193P</v>
      </c>
      <c r="C2675" s="26" t="str">
        <f>"KINDER COLEGIO WHARTON                                                                              "</f>
        <v xml:space="preserve">KINDER COLEGIO WHARTON                                                                              </v>
      </c>
      <c r="D2675" s="26" t="str">
        <f t="shared" si="533"/>
        <v>MATUTINO</v>
      </c>
      <c r="E2675" s="26" t="str">
        <f>"CALZADA DEL HUESO NO. 930                                                       "</f>
        <v xml:space="preserve">CALZADA DEL HUESO NO. 930                                                       </v>
      </c>
      <c r="F2675" s="26" t="str">
        <f>"EL  MIRADOR                                                                                                                                 "</f>
        <v xml:space="preserve">EL  MIRADOR                                                                                                                                 </v>
      </c>
      <c r="G2675" s="26" t="str">
        <f>"COYOACAN                                                                        "</f>
        <v xml:space="preserve">COYOACAN                                                                        </v>
      </c>
      <c r="H2675" s="26" t="str">
        <f>"125"</f>
        <v>125</v>
      </c>
      <c r="I2675" s="26" t="str">
        <f t="shared" si="528"/>
        <v>00</v>
      </c>
      <c r="J2675" s="26" t="str">
        <f t="shared" si="534"/>
        <v xml:space="preserve">35 </v>
      </c>
      <c r="K2675" s="26" t="str">
        <f t="shared" si="529"/>
        <v>EP</v>
      </c>
      <c r="L2675" s="26" t="str">
        <f t="shared" si="530"/>
        <v>DGOSE</v>
      </c>
      <c r="M2675" s="26" t="str">
        <f t="shared" si="526"/>
        <v>PARTICULAR</v>
      </c>
      <c r="N2675" s="26">
        <v>8</v>
      </c>
      <c r="O2675" s="26">
        <v>6</v>
      </c>
      <c r="P2675" s="26">
        <v>2</v>
      </c>
      <c r="Q2675" s="26">
        <v>2</v>
      </c>
      <c r="R2675" s="26">
        <v>1</v>
      </c>
      <c r="S2675" s="26">
        <v>1</v>
      </c>
      <c r="T2675" s="26">
        <v>3</v>
      </c>
      <c r="U2675" s="26">
        <v>5</v>
      </c>
      <c r="V2675" s="26">
        <v>1</v>
      </c>
      <c r="W2675" s="26"/>
    </row>
    <row r="2676" spans="1:23" x14ac:dyDescent="0.25">
      <c r="A2676" s="26" t="str">
        <f t="shared" si="527"/>
        <v>PREESCOLAR</v>
      </c>
      <c r="B2676" s="26" t="str">
        <f>"09PJN5194O"</f>
        <v>09PJN5194O</v>
      </c>
      <c r="C2676" s="26" t="str">
        <f>"COLEGIO INTERAMERICANO CAMPESTRE                                                                    "</f>
        <v xml:space="preserve">COLEGIO INTERAMERICANO CAMPESTRE                                                                    </v>
      </c>
      <c r="D2676" s="26" t="str">
        <f t="shared" si="533"/>
        <v>MATUTINO</v>
      </c>
      <c r="E2676" s="26" t="str">
        <f>"CERRO DEL CUBILETE NO. 124                                                      "</f>
        <v xml:space="preserve">CERRO DEL CUBILETE NO. 124                                                      </v>
      </c>
      <c r="F2676" s="26" t="str">
        <f>"CAMPESTRE CHURUBUSCO                                                                                                                        "</f>
        <v xml:space="preserve">CAMPESTRE CHURUBUSCO                                                                                                                        </v>
      </c>
      <c r="G2676" s="26" t="str">
        <f>"COYOACAN                                                                        "</f>
        <v xml:space="preserve">COYOACAN                                                                        </v>
      </c>
      <c r="H2676" s="26" t="str">
        <f>"111"</f>
        <v>111</v>
      </c>
      <c r="I2676" s="26" t="str">
        <f t="shared" si="528"/>
        <v>00</v>
      </c>
      <c r="J2676" s="26" t="str">
        <f t="shared" si="534"/>
        <v xml:space="preserve">35 </v>
      </c>
      <c r="K2676" s="26" t="str">
        <f t="shared" si="529"/>
        <v>EP</v>
      </c>
      <c r="L2676" s="26" t="str">
        <f t="shared" si="530"/>
        <v>DGOSE</v>
      </c>
      <c r="M2676" s="26" t="str">
        <f t="shared" si="526"/>
        <v>PARTICULAR</v>
      </c>
      <c r="N2676" s="26">
        <v>19</v>
      </c>
      <c r="O2676" s="26">
        <v>7</v>
      </c>
      <c r="P2676" s="26">
        <v>12</v>
      </c>
      <c r="Q2676" s="26">
        <v>3</v>
      </c>
      <c r="R2676" s="26">
        <v>1</v>
      </c>
      <c r="S2676" s="26">
        <v>2</v>
      </c>
      <c r="T2676" s="26">
        <v>2</v>
      </c>
      <c r="U2676" s="26">
        <v>5</v>
      </c>
      <c r="V2676" s="26">
        <v>1</v>
      </c>
      <c r="W2676" s="26"/>
    </row>
    <row r="2677" spans="1:23" x14ac:dyDescent="0.25">
      <c r="A2677" s="26" t="str">
        <f t="shared" si="527"/>
        <v>PREESCOLAR</v>
      </c>
      <c r="B2677" s="26" t="str">
        <f>"09PJN5195N"</f>
        <v>09PJN5195N</v>
      </c>
      <c r="C2677" s="26" t="str">
        <f>"JARDIN DE NIÑOS MAGICO SOL                                                                          "</f>
        <v xml:space="preserve">JARDIN DE NIÑOS MAGICO SOL                                                                          </v>
      </c>
      <c r="D2677" s="26" t="str">
        <f t="shared" si="533"/>
        <v>MATUTINO</v>
      </c>
      <c r="E2677" s="26" t="str">
        <f>"RANCHO VISTA HERMOSA NO. 65                                                     "</f>
        <v xml:space="preserve">RANCHO VISTA HERMOSA NO. 65                                                     </v>
      </c>
      <c r="F2677" s="26" t="str">
        <f>"SANTA CECILIA                                                                                                                               "</f>
        <v xml:space="preserve">SANTA CECILIA                                                                                                                               </v>
      </c>
      <c r="G2677" s="26" t="str">
        <f>"COYOACAN                                                                        "</f>
        <v xml:space="preserve">COYOACAN                                                                        </v>
      </c>
      <c r="H2677" s="26" t="str">
        <f>"125"</f>
        <v>125</v>
      </c>
      <c r="I2677" s="26" t="str">
        <f t="shared" si="528"/>
        <v>00</v>
      </c>
      <c r="J2677" s="26" t="str">
        <f t="shared" si="534"/>
        <v xml:space="preserve">35 </v>
      </c>
      <c r="K2677" s="26" t="str">
        <f t="shared" si="529"/>
        <v>EP</v>
      </c>
      <c r="L2677" s="26" t="str">
        <f t="shared" si="530"/>
        <v>DGOSE</v>
      </c>
      <c r="M2677" s="26" t="str">
        <f t="shared" si="526"/>
        <v>PARTICULAR</v>
      </c>
      <c r="N2677" s="26">
        <v>28</v>
      </c>
      <c r="O2677" s="26">
        <v>17</v>
      </c>
      <c r="P2677" s="26">
        <v>11</v>
      </c>
      <c r="Q2677" s="26">
        <v>3</v>
      </c>
      <c r="R2677" s="26">
        <v>1</v>
      </c>
      <c r="S2677" s="26">
        <v>2</v>
      </c>
      <c r="T2677" s="26">
        <v>2</v>
      </c>
      <c r="U2677" s="26">
        <v>5</v>
      </c>
      <c r="V2677" s="26">
        <v>1</v>
      </c>
      <c r="W2677" s="26"/>
    </row>
    <row r="2678" spans="1:23" x14ac:dyDescent="0.25">
      <c r="A2678" s="26" t="str">
        <f t="shared" si="527"/>
        <v>PREESCOLAR</v>
      </c>
      <c r="B2678" s="26" t="str">
        <f>"09PJN5196M"</f>
        <v>09PJN5196M</v>
      </c>
      <c r="C2678" s="26" t="str">
        <f>"COLEGIO JOHN KNOX                                                                                   "</f>
        <v xml:space="preserve">COLEGIO JOHN KNOX                                                                                   </v>
      </c>
      <c r="D2678" s="26" t="str">
        <f t="shared" si="533"/>
        <v>MATUTINO</v>
      </c>
      <c r="E2678" s="26" t="str">
        <f>"PROLONGACION TLAHUICAS NO. 39                                                   "</f>
        <v xml:space="preserve">PROLONGACION TLAHUICAS NO. 39                                                   </v>
      </c>
      <c r="F2678" s="26" t="str">
        <f>"SAN FRANCISCO CULHUACAN                                                                                                                     "</f>
        <v xml:space="preserve">SAN FRANCISCO CULHUACAN                                                                                                                     </v>
      </c>
      <c r="G2678" s="26" t="str">
        <f>"COYOACAN                                                                        "</f>
        <v xml:space="preserve">COYOACAN                                                                        </v>
      </c>
      <c r="H2678" s="26" t="str">
        <f>"099"</f>
        <v>099</v>
      </c>
      <c r="I2678" s="26" t="str">
        <f t="shared" si="528"/>
        <v>00</v>
      </c>
      <c r="J2678" s="26" t="str">
        <f t="shared" si="534"/>
        <v xml:space="preserve">35 </v>
      </c>
      <c r="K2678" s="26" t="str">
        <f t="shared" si="529"/>
        <v>EP</v>
      </c>
      <c r="L2678" s="26" t="str">
        <f t="shared" si="530"/>
        <v>DGOSE</v>
      </c>
      <c r="M2678" s="26" t="str">
        <f t="shared" si="526"/>
        <v>PARTICULAR</v>
      </c>
      <c r="N2678" s="26">
        <v>9</v>
      </c>
      <c r="O2678" s="26">
        <v>8</v>
      </c>
      <c r="P2678" s="26">
        <v>1</v>
      </c>
      <c r="Q2678" s="26">
        <v>2</v>
      </c>
      <c r="R2678" s="26">
        <v>1</v>
      </c>
      <c r="S2678" s="26">
        <v>2</v>
      </c>
      <c r="T2678" s="26">
        <v>5</v>
      </c>
      <c r="U2678" s="26">
        <v>8</v>
      </c>
      <c r="V2678" s="26">
        <v>1</v>
      </c>
      <c r="W2678" s="26"/>
    </row>
    <row r="2679" spans="1:23" x14ac:dyDescent="0.25">
      <c r="A2679" s="26" t="str">
        <f t="shared" si="527"/>
        <v>PREESCOLAR</v>
      </c>
      <c r="B2679" s="26" t="str">
        <f>"09PJN5197L"</f>
        <v>09PJN5197L</v>
      </c>
      <c r="C2679" s="26" t="str">
        <f>"LUDUS                                                                                               "</f>
        <v xml:space="preserve">LUDUS                                                                                               </v>
      </c>
      <c r="D2679" s="26" t="str">
        <f t="shared" si="533"/>
        <v>MATUTINO</v>
      </c>
      <c r="E2679" s="26" t="str">
        <f>"TOLTECAS  MZ. 59 LT. 12                                                         "</f>
        <v xml:space="preserve">TOLTECAS  MZ. 59 LT. 12                                                         </v>
      </c>
      <c r="F2679" s="26" t="str">
        <f>"AJUSCO                                                                                                                                      "</f>
        <v xml:space="preserve">AJUSCO                                                                                                                                      </v>
      </c>
      <c r="G2679" s="26" t="str">
        <f>"COYOACAN                                                                        "</f>
        <v xml:space="preserve">COYOACAN                                                                        </v>
      </c>
      <c r="H2679" s="26" t="str">
        <f>"211"</f>
        <v>211</v>
      </c>
      <c r="I2679" s="26" t="str">
        <f t="shared" si="528"/>
        <v>00</v>
      </c>
      <c r="J2679" s="26" t="str">
        <f t="shared" si="534"/>
        <v xml:space="preserve">35 </v>
      </c>
      <c r="K2679" s="26" t="str">
        <f t="shared" si="529"/>
        <v>EP</v>
      </c>
      <c r="L2679" s="26" t="str">
        <f t="shared" si="530"/>
        <v>DGOSE</v>
      </c>
      <c r="M2679" s="26" t="str">
        <f t="shared" si="526"/>
        <v>PARTICULAR</v>
      </c>
      <c r="N2679" s="26">
        <v>31</v>
      </c>
      <c r="O2679" s="26">
        <v>15</v>
      </c>
      <c r="P2679" s="26">
        <v>16</v>
      </c>
      <c r="Q2679" s="26">
        <v>3</v>
      </c>
      <c r="R2679" s="26">
        <v>1</v>
      </c>
      <c r="S2679" s="26">
        <v>3</v>
      </c>
      <c r="T2679" s="26">
        <v>0</v>
      </c>
      <c r="U2679" s="26">
        <v>4</v>
      </c>
      <c r="V2679" s="26">
        <v>1</v>
      </c>
      <c r="W2679" s="26"/>
    </row>
    <row r="2680" spans="1:23" x14ac:dyDescent="0.25">
      <c r="A2680" s="26" t="str">
        <f t="shared" si="527"/>
        <v>PREESCOLAR</v>
      </c>
      <c r="B2680" s="26" t="str">
        <f>"09PJN5198K"</f>
        <v>09PJN5198K</v>
      </c>
      <c r="C2680" s="26" t="str">
        <f>"JARDIN DE NIÑOS YOLOTZIN                                                                            "</f>
        <v xml:space="preserve">JARDIN DE NIÑOS YOLOTZIN                                                                            </v>
      </c>
      <c r="D2680" s="26" t="str">
        <f t="shared" si="533"/>
        <v>MATUTINO</v>
      </c>
      <c r="E2680" s="26" t="str">
        <f>"PIRINEOS NO. 146                                                                "</f>
        <v xml:space="preserve">PIRINEOS NO. 146                                                                </v>
      </c>
      <c r="F2680" s="26" t="str">
        <f>"PORTALES                                                                                                                                    "</f>
        <v xml:space="preserve">PORTALES                                                                                                                                    </v>
      </c>
      <c r="G2680" s="26" t="str">
        <f>"BENITO JUAREZ                                                                   "</f>
        <v xml:space="preserve">BENITO JUAREZ                                                                   </v>
      </c>
      <c r="H2680" s="26" t="str">
        <f>"037"</f>
        <v>037</v>
      </c>
      <c r="I2680" s="26" t="str">
        <f t="shared" si="528"/>
        <v>00</v>
      </c>
      <c r="J2680" s="26" t="str">
        <f>"33 "</f>
        <v xml:space="preserve">33 </v>
      </c>
      <c r="K2680" s="26" t="str">
        <f t="shared" si="529"/>
        <v>EP</v>
      </c>
      <c r="L2680" s="26" t="str">
        <f t="shared" si="530"/>
        <v>DGOSE</v>
      </c>
      <c r="M2680" s="26" t="str">
        <f t="shared" si="526"/>
        <v>PARTICULAR</v>
      </c>
      <c r="N2680" s="26">
        <v>18</v>
      </c>
      <c r="O2680" s="26">
        <v>6</v>
      </c>
      <c r="P2680" s="26">
        <v>12</v>
      </c>
      <c r="Q2680" s="26">
        <v>3</v>
      </c>
      <c r="R2680" s="26">
        <v>1</v>
      </c>
      <c r="S2680" s="26">
        <v>2</v>
      </c>
      <c r="T2680" s="26">
        <v>2</v>
      </c>
      <c r="U2680" s="26">
        <v>5</v>
      </c>
      <c r="V2680" s="26">
        <v>1</v>
      </c>
      <c r="W2680" s="26"/>
    </row>
    <row r="2681" spans="1:23" x14ac:dyDescent="0.25">
      <c r="A2681" s="26" t="str">
        <f t="shared" si="527"/>
        <v>PREESCOLAR</v>
      </c>
      <c r="B2681" s="26" t="str">
        <f>"09PJN5199J"</f>
        <v>09PJN5199J</v>
      </c>
      <c r="C2681" s="26" t="str">
        <f>"YOLPAKILISTLI                                                                                       "</f>
        <v xml:space="preserve">YOLPAKILISTLI                                                                                       </v>
      </c>
      <c r="D2681" s="26" t="str">
        <f t="shared" si="533"/>
        <v>MATUTINO</v>
      </c>
      <c r="E2681" s="26" t="str">
        <f>"ISABEL LA CATOLICA NO. 297                                                      "</f>
        <v xml:space="preserve">ISABEL LA CATOLICA NO. 297                                                      </v>
      </c>
      <c r="F2681" s="26" t="str">
        <f>"OBRERA                                                                                                                                      "</f>
        <v xml:space="preserve">OBRERA                                                                                                                                      </v>
      </c>
      <c r="G2681" s="26" t="s">
        <v>4128</v>
      </c>
      <c r="H2681" s="26" t="str">
        <f>"022"</f>
        <v>022</v>
      </c>
      <c r="I2681" s="26" t="str">
        <f t="shared" si="528"/>
        <v>00</v>
      </c>
      <c r="J2681" s="26" t="str">
        <f>"32 "</f>
        <v xml:space="preserve">32 </v>
      </c>
      <c r="K2681" s="26" t="str">
        <f t="shared" si="529"/>
        <v>EP</v>
      </c>
      <c r="L2681" s="26" t="str">
        <f t="shared" si="530"/>
        <v>DGOSE</v>
      </c>
      <c r="M2681" s="26" t="str">
        <f t="shared" si="526"/>
        <v>PARTICULAR</v>
      </c>
      <c r="N2681" s="26">
        <v>5</v>
      </c>
      <c r="O2681" s="26">
        <v>2</v>
      </c>
      <c r="P2681" s="26">
        <v>3</v>
      </c>
      <c r="Q2681" s="26">
        <v>2</v>
      </c>
      <c r="R2681" s="26">
        <v>1</v>
      </c>
      <c r="S2681" s="26">
        <v>1</v>
      </c>
      <c r="T2681" s="26">
        <v>1</v>
      </c>
      <c r="U2681" s="26">
        <v>3</v>
      </c>
      <c r="V2681" s="26">
        <v>1</v>
      </c>
      <c r="W2681" s="26"/>
    </row>
    <row r="2682" spans="1:23" x14ac:dyDescent="0.25">
      <c r="A2682" s="26" t="str">
        <f t="shared" si="527"/>
        <v>PREESCOLAR</v>
      </c>
      <c r="B2682" s="26" t="str">
        <f>"09PJN5201H"</f>
        <v>09PJN5201H</v>
      </c>
      <c r="C2682" s="26" t="str">
        <f>"CENTRO PEDAGOGICO LA FONTAINE                                                                       "</f>
        <v xml:space="preserve">CENTRO PEDAGOGICO LA FONTAINE                                                                       </v>
      </c>
      <c r="D2682" s="26" t="str">
        <f t="shared" si="533"/>
        <v>MATUTINO</v>
      </c>
      <c r="E2682" s="26" t="str">
        <f>"MARTHA NO. 85                                                                   "</f>
        <v xml:space="preserve">MARTHA NO. 85                                                                   </v>
      </c>
      <c r="F2682" s="26" t="str">
        <f>"GUADALUPE TEPEYAC                                                                                                                           "</f>
        <v xml:space="preserve">GUADALUPE TEPEYAC                                                                                                                           </v>
      </c>
      <c r="G2682" s="26" t="str">
        <f>"GUSTAVO A. MADERO                                                               "</f>
        <v xml:space="preserve">GUSTAVO A. MADERO                                                               </v>
      </c>
      <c r="H2682" s="26" t="str">
        <f>"003"</f>
        <v>003</v>
      </c>
      <c r="I2682" s="26" t="str">
        <f t="shared" si="528"/>
        <v>00</v>
      </c>
      <c r="J2682" s="26" t="str">
        <f>"32 "</f>
        <v xml:space="preserve">32 </v>
      </c>
      <c r="K2682" s="26" t="str">
        <f t="shared" si="529"/>
        <v>EP</v>
      </c>
      <c r="L2682" s="26" t="str">
        <f t="shared" si="530"/>
        <v>DGOSE</v>
      </c>
      <c r="M2682" s="26" t="str">
        <f t="shared" si="526"/>
        <v>PARTICULAR</v>
      </c>
      <c r="N2682" s="26">
        <v>40</v>
      </c>
      <c r="O2682" s="26">
        <v>23</v>
      </c>
      <c r="P2682" s="26">
        <v>17</v>
      </c>
      <c r="Q2682" s="26">
        <v>3</v>
      </c>
      <c r="R2682" s="26">
        <v>1</v>
      </c>
      <c r="S2682" s="26">
        <v>3</v>
      </c>
      <c r="T2682" s="26">
        <v>2</v>
      </c>
      <c r="U2682" s="26">
        <v>6</v>
      </c>
      <c r="V2682" s="26">
        <v>1</v>
      </c>
      <c r="W2682" s="26"/>
    </row>
    <row r="2683" spans="1:23" x14ac:dyDescent="0.25">
      <c r="A2683" s="26" t="str">
        <f t="shared" si="527"/>
        <v>PREESCOLAR</v>
      </c>
      <c r="B2683" s="26" t="str">
        <f>"09PJN5202G"</f>
        <v>09PJN5202G</v>
      </c>
      <c r="C2683" s="26" t="str">
        <f>"CENTRO PEDAGOGICO INTEGRAL PIE PEQUEÑO                                                              "</f>
        <v xml:space="preserve">CENTRO PEDAGOGICO INTEGRAL PIE PEQUEÑO                                                              </v>
      </c>
      <c r="D2683" s="26" t="str">
        <f t="shared" si="533"/>
        <v>MATUTINO</v>
      </c>
      <c r="E2683" s="26" t="str">
        <f>"ENSENADA NO. 60                                                                 "</f>
        <v xml:space="preserve">ENSENADA NO. 60                                                                 </v>
      </c>
      <c r="F2683" s="26" t="str">
        <f>"HIPODROMO                                                                                                                                   "</f>
        <v xml:space="preserve">HIPODROMO                                                                                                                                   </v>
      </c>
      <c r="G2683" s="26" t="s">
        <v>4128</v>
      </c>
      <c r="H2683" s="26" t="str">
        <f>"020"</f>
        <v>020</v>
      </c>
      <c r="I2683" s="26" t="str">
        <f t="shared" si="528"/>
        <v>00</v>
      </c>
      <c r="J2683" s="26" t="str">
        <f>"32 "</f>
        <v xml:space="preserve">32 </v>
      </c>
      <c r="K2683" s="26" t="str">
        <f t="shared" si="529"/>
        <v>EP</v>
      </c>
      <c r="L2683" s="26" t="str">
        <f t="shared" si="530"/>
        <v>DGOSE</v>
      </c>
      <c r="M2683" s="26" t="str">
        <f t="shared" si="526"/>
        <v>PARTICULAR</v>
      </c>
      <c r="N2683" s="26">
        <v>27</v>
      </c>
      <c r="O2683" s="26">
        <v>15</v>
      </c>
      <c r="P2683" s="26">
        <v>12</v>
      </c>
      <c r="Q2683" s="26">
        <v>3</v>
      </c>
      <c r="R2683" s="26">
        <v>1</v>
      </c>
      <c r="S2683" s="26">
        <v>3</v>
      </c>
      <c r="T2683" s="26">
        <v>4</v>
      </c>
      <c r="U2683" s="26">
        <v>8</v>
      </c>
      <c r="V2683" s="26">
        <v>1</v>
      </c>
      <c r="W2683" s="26"/>
    </row>
    <row r="2684" spans="1:23" x14ac:dyDescent="0.25">
      <c r="A2684" s="26" t="str">
        <f t="shared" si="527"/>
        <v>PREESCOLAR</v>
      </c>
      <c r="B2684" s="26" t="str">
        <f>"09PJN5204E"</f>
        <v>09PJN5204E</v>
      </c>
      <c r="C2684" s="26" t="str">
        <f>"CENTRO DE DESARROLLO INFANTIL HUITZILIN                                                             "</f>
        <v xml:space="preserve">CENTRO DE DESARROLLO INFANTIL HUITZILIN                                                             </v>
      </c>
      <c r="D2684" s="26" t="str">
        <f t="shared" si="533"/>
        <v>MATUTINO</v>
      </c>
      <c r="E2684" s="26" t="str">
        <f>"CERRADA DE CAIMANERA NO. 1 MZA. 9 LT. 57                                        "</f>
        <v xml:space="preserve">CERRADA DE CAIMANERA NO. 1 MZA. 9 LT. 57                                        </v>
      </c>
      <c r="F2684" s="26" t="str">
        <f>"LA HABANA                                                                                                                                   "</f>
        <v xml:space="preserve">LA HABANA                                                                                                                                   </v>
      </c>
      <c r="G2684" s="26" t="str">
        <f>"TLAHUAC                                                                         "</f>
        <v xml:space="preserve">TLAHUAC                                                                         </v>
      </c>
      <c r="H2684" s="26" t="str">
        <f>"142"</f>
        <v>142</v>
      </c>
      <c r="I2684" s="26" t="str">
        <f t="shared" si="528"/>
        <v>00</v>
      </c>
      <c r="J2684" s="26" t="str">
        <f>"35 "</f>
        <v xml:space="preserve">35 </v>
      </c>
      <c r="K2684" s="26" t="str">
        <f t="shared" si="529"/>
        <v>EP</v>
      </c>
      <c r="L2684" s="26" t="str">
        <f t="shared" si="530"/>
        <v>DGOSE</v>
      </c>
      <c r="M2684" s="26" t="str">
        <f t="shared" si="526"/>
        <v>PARTICULAR</v>
      </c>
      <c r="N2684" s="26">
        <v>25</v>
      </c>
      <c r="O2684" s="26">
        <v>12</v>
      </c>
      <c r="P2684" s="26">
        <v>13</v>
      </c>
      <c r="Q2684" s="26">
        <v>3</v>
      </c>
      <c r="R2684" s="26">
        <v>1</v>
      </c>
      <c r="S2684" s="26">
        <v>3</v>
      </c>
      <c r="T2684" s="26">
        <v>2</v>
      </c>
      <c r="U2684" s="26">
        <v>6</v>
      </c>
      <c r="V2684" s="26">
        <v>1</v>
      </c>
      <c r="W2684" s="26"/>
    </row>
    <row r="2685" spans="1:23" x14ac:dyDescent="0.25">
      <c r="A2685" s="26" t="str">
        <f t="shared" si="527"/>
        <v>PREESCOLAR</v>
      </c>
      <c r="B2685" s="26" t="str">
        <f>"09PJN5205D"</f>
        <v>09PJN5205D</v>
      </c>
      <c r="C2685" s="26" t="str">
        <f>"CENTRO ESCOLAR PEQUEÑO MUNDO DE LUZ                                                                 "</f>
        <v xml:space="preserve">CENTRO ESCOLAR PEQUEÑO MUNDO DE LUZ                                                                 </v>
      </c>
      <c r="D2685" s="26" t="str">
        <f t="shared" si="533"/>
        <v>MATUTINO</v>
      </c>
      <c r="E2685" s="26" t="str">
        <f>"RETORNO 10 DE CECILIO ROBELO NO. 16                                             "</f>
        <v xml:space="preserve">RETORNO 10 DE CECILIO ROBELO NO. 16                                             </v>
      </c>
      <c r="F2685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2685" s="26" t="str">
        <f>"VENUSTIANO CARRANZA                                                             "</f>
        <v xml:space="preserve">VENUSTIANO CARRANZA                                                             </v>
      </c>
      <c r="H2685" s="26" t="str">
        <f>"096"</f>
        <v>096</v>
      </c>
      <c r="I2685" s="26" t="str">
        <f t="shared" si="528"/>
        <v>00</v>
      </c>
      <c r="J2685" s="26" t="str">
        <f>"33 "</f>
        <v xml:space="preserve">33 </v>
      </c>
      <c r="K2685" s="26" t="str">
        <f t="shared" si="529"/>
        <v>EP</v>
      </c>
      <c r="L2685" s="26" t="str">
        <f t="shared" si="530"/>
        <v>DGOSE</v>
      </c>
      <c r="M2685" s="26" t="str">
        <f t="shared" si="526"/>
        <v>PARTICULAR</v>
      </c>
      <c r="N2685" s="26">
        <v>10</v>
      </c>
      <c r="O2685" s="26">
        <v>6</v>
      </c>
      <c r="P2685" s="26">
        <v>4</v>
      </c>
      <c r="Q2685" s="26">
        <v>2</v>
      </c>
      <c r="R2685" s="26">
        <v>1</v>
      </c>
      <c r="S2685" s="26">
        <v>1</v>
      </c>
      <c r="T2685" s="26">
        <v>2</v>
      </c>
      <c r="U2685" s="26">
        <v>4</v>
      </c>
      <c r="V2685" s="26">
        <v>1</v>
      </c>
      <c r="W2685" s="26"/>
    </row>
    <row r="2686" spans="1:23" x14ac:dyDescent="0.25">
      <c r="A2686" s="26" t="str">
        <f t="shared" si="527"/>
        <v>PREESCOLAR</v>
      </c>
      <c r="B2686" s="26" t="str">
        <f>"09PJN5206C"</f>
        <v>09PJN5206C</v>
      </c>
      <c r="C2686" s="26" t="str">
        <f>"CENTRO PEDAGOGICO PEKITAS                                                                           "</f>
        <v xml:space="preserve">CENTRO PEDAGOGICO PEKITAS                                                                           </v>
      </c>
      <c r="D2686" s="26" t="str">
        <f t="shared" si="533"/>
        <v>MATUTINO</v>
      </c>
      <c r="E2686" s="26" t="str">
        <f>"RETORNO 45 DE CECILIO ROBELO NO. 25                                             "</f>
        <v xml:space="preserve">RETORNO 45 DE CECILIO ROBELO NO. 25                                             </v>
      </c>
      <c r="F2686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2686" s="26" t="str">
        <f>"VENUSTIANO CARRANZA                                                             "</f>
        <v xml:space="preserve">VENUSTIANO CARRANZA                                                             </v>
      </c>
      <c r="H2686" s="26" t="str">
        <f>"025"</f>
        <v>025</v>
      </c>
      <c r="I2686" s="26" t="str">
        <f t="shared" si="528"/>
        <v>00</v>
      </c>
      <c r="J2686" s="26" t="str">
        <f>"33 "</f>
        <v xml:space="preserve">33 </v>
      </c>
      <c r="K2686" s="26" t="str">
        <f t="shared" si="529"/>
        <v>EP</v>
      </c>
      <c r="L2686" s="26" t="str">
        <f t="shared" si="530"/>
        <v>DGOSE</v>
      </c>
      <c r="M2686" s="26" t="str">
        <f t="shared" si="526"/>
        <v>PARTICULAR</v>
      </c>
      <c r="N2686" s="26">
        <v>40</v>
      </c>
      <c r="O2686" s="26">
        <v>21</v>
      </c>
      <c r="P2686" s="26">
        <v>19</v>
      </c>
      <c r="Q2686" s="26">
        <v>3</v>
      </c>
      <c r="R2686" s="26">
        <v>1</v>
      </c>
      <c r="S2686" s="26">
        <v>3</v>
      </c>
      <c r="T2686" s="26">
        <v>8</v>
      </c>
      <c r="U2686" s="26">
        <v>12</v>
      </c>
      <c r="V2686" s="26">
        <v>1</v>
      </c>
      <c r="W2686" s="26"/>
    </row>
    <row r="2687" spans="1:23" x14ac:dyDescent="0.25">
      <c r="A2687" s="26" t="str">
        <f t="shared" si="527"/>
        <v>PREESCOLAR</v>
      </c>
      <c r="B2687" s="26" t="str">
        <f>"09PJN5207B"</f>
        <v>09PJN5207B</v>
      </c>
      <c r="C2687" s="26" t="str">
        <f>"CENTRO EDUCATIVO INTEGRAL FEDERICO FROEBEL                                                          "</f>
        <v xml:space="preserve">CENTRO EDUCATIVO INTEGRAL FEDERICO FROEBEL                                                          </v>
      </c>
      <c r="D2687" s="26" t="str">
        <f t="shared" si="533"/>
        <v>MATUTINO</v>
      </c>
      <c r="E2687" s="26" t="str">
        <f>"MAR DE LAS CRISIS NO. 200                                                       "</f>
        <v xml:space="preserve">MAR DE LAS CRISIS NO. 200                                                       </v>
      </c>
      <c r="F2687" s="26" t="str">
        <f>"SELENE AMPLIACION                                                                                                                           "</f>
        <v xml:space="preserve">SELENE AMPLIACION                                                                                                                           </v>
      </c>
      <c r="G2687" s="26" t="str">
        <f>"TLAHUAC                                                                         "</f>
        <v xml:space="preserve">TLAHUAC                                                                         </v>
      </c>
      <c r="H2687" s="26" t="str">
        <f>"223"</f>
        <v>223</v>
      </c>
      <c r="I2687" s="26" t="str">
        <f t="shared" si="528"/>
        <v>00</v>
      </c>
      <c r="J2687" s="26" t="str">
        <f>"35 "</f>
        <v xml:space="preserve">35 </v>
      </c>
      <c r="K2687" s="26" t="str">
        <f t="shared" si="529"/>
        <v>EP</v>
      </c>
      <c r="L2687" s="26" t="str">
        <f t="shared" si="530"/>
        <v>DGOSE</v>
      </c>
      <c r="M2687" s="26" t="str">
        <f t="shared" ref="M2687:M2750" si="535">"PARTICULAR"</f>
        <v>PARTICULAR</v>
      </c>
      <c r="N2687" s="26">
        <v>16</v>
      </c>
      <c r="O2687" s="26">
        <v>11</v>
      </c>
      <c r="P2687" s="26">
        <v>5</v>
      </c>
      <c r="Q2687" s="26">
        <v>2</v>
      </c>
      <c r="R2687" s="26">
        <v>1</v>
      </c>
      <c r="S2687" s="26">
        <v>2</v>
      </c>
      <c r="T2687" s="26">
        <v>1</v>
      </c>
      <c r="U2687" s="26">
        <v>4</v>
      </c>
      <c r="V2687" s="26">
        <v>1</v>
      </c>
      <c r="W2687" s="26"/>
    </row>
    <row r="2688" spans="1:23" x14ac:dyDescent="0.25">
      <c r="A2688" s="26" t="str">
        <f t="shared" si="527"/>
        <v>PREESCOLAR</v>
      </c>
      <c r="B2688" s="26" t="str">
        <f>"09PJN5208A"</f>
        <v>09PJN5208A</v>
      </c>
      <c r="C2688" s="26" t="str">
        <f>"COLEGIO FRAY PEDRO DE GANTE                                                                         "</f>
        <v xml:space="preserve">COLEGIO FRAY PEDRO DE GANTE                                                                         </v>
      </c>
      <c r="D2688" s="26" t="str">
        <f t="shared" si="533"/>
        <v>MATUTINO</v>
      </c>
      <c r="E2688" s="26" t="str">
        <f>"FRAY PEDRO DE GANTE NO. 21                                                      "</f>
        <v xml:space="preserve">FRAY PEDRO DE GANTE NO. 21                                                      </v>
      </c>
      <c r="F2688" s="26" t="str">
        <f>"SAN ANTONIO TECOMITL                                                                                                                        "</f>
        <v xml:space="preserve">SAN ANTONIO TECOMITL                                                                                                                        </v>
      </c>
      <c r="G2688" s="26" t="str">
        <f>"MILPA ALTA                                                                      "</f>
        <v xml:space="preserve">MILPA ALTA                                                                      </v>
      </c>
      <c r="H2688" s="26" t="str">
        <f>"141"</f>
        <v>141</v>
      </c>
      <c r="I2688" s="26" t="str">
        <f t="shared" si="528"/>
        <v>00</v>
      </c>
      <c r="J2688" s="26" t="str">
        <f>"35 "</f>
        <v xml:space="preserve">35 </v>
      </c>
      <c r="K2688" s="26" t="str">
        <f t="shared" si="529"/>
        <v>EP</v>
      </c>
      <c r="L2688" s="26" t="str">
        <f t="shared" si="530"/>
        <v>DGOSE</v>
      </c>
      <c r="M2688" s="26" t="str">
        <f t="shared" si="535"/>
        <v>PARTICULAR</v>
      </c>
      <c r="N2688" s="26">
        <v>31</v>
      </c>
      <c r="O2688" s="26">
        <v>19</v>
      </c>
      <c r="P2688" s="26">
        <v>12</v>
      </c>
      <c r="Q2688" s="26">
        <v>3</v>
      </c>
      <c r="R2688" s="26">
        <v>0</v>
      </c>
      <c r="S2688" s="26">
        <v>3</v>
      </c>
      <c r="T2688" s="26">
        <v>0</v>
      </c>
      <c r="U2688" s="26">
        <v>3</v>
      </c>
      <c r="V2688" s="26">
        <v>1</v>
      </c>
      <c r="W2688" s="26"/>
    </row>
    <row r="2689" spans="1:23" x14ac:dyDescent="0.25">
      <c r="A2689" s="26" t="str">
        <f t="shared" si="527"/>
        <v>PREESCOLAR</v>
      </c>
      <c r="B2689" s="26" t="str">
        <f>"09PJN5209Z"</f>
        <v>09PJN5209Z</v>
      </c>
      <c r="C2689" s="26" t="str">
        <f>"GENERAL DON PEDRO MARIA ANAYA                                                                       "</f>
        <v xml:space="preserve">GENERAL DON PEDRO MARIA ANAYA                                                                       </v>
      </c>
      <c r="D2689" s="26" t="str">
        <f t="shared" si="533"/>
        <v>MATUTINO</v>
      </c>
      <c r="E2689" s="26" t="str">
        <f>"CERRADA NORTE 81 NO.6                                                           "</f>
        <v xml:space="preserve">CERRADA NORTE 81 NO.6                                                           </v>
      </c>
      <c r="F2689" s="26" t="str">
        <f>"SINDICATO MEXICANO DE ELECTRICISTAS                                                                                                         "</f>
        <v xml:space="preserve">SINDICATO MEXICANO DE ELECTRICISTAS                                                                                                         </v>
      </c>
      <c r="G2689" s="26" t="str">
        <f>"AZCAPOTZALCO                                                                    "</f>
        <v xml:space="preserve">AZCAPOTZALCO                                                                    </v>
      </c>
      <c r="H2689" s="26" t="str">
        <f>"106"</f>
        <v>106</v>
      </c>
      <c r="I2689" s="26" t="str">
        <f t="shared" si="528"/>
        <v>00</v>
      </c>
      <c r="J2689" s="26" t="str">
        <f t="shared" ref="J2689:J2694" si="536">"32 "</f>
        <v xml:space="preserve">32 </v>
      </c>
      <c r="K2689" s="26" t="str">
        <f t="shared" si="529"/>
        <v>EP</v>
      </c>
      <c r="L2689" s="26" t="str">
        <f t="shared" si="530"/>
        <v>DGOSE</v>
      </c>
      <c r="M2689" s="26" t="str">
        <f t="shared" si="535"/>
        <v>PARTICULAR</v>
      </c>
      <c r="N2689" s="26">
        <v>33</v>
      </c>
      <c r="O2689" s="26">
        <v>13</v>
      </c>
      <c r="P2689" s="26">
        <v>20</v>
      </c>
      <c r="Q2689" s="26">
        <v>3</v>
      </c>
      <c r="R2689" s="26">
        <v>1</v>
      </c>
      <c r="S2689" s="26">
        <v>3</v>
      </c>
      <c r="T2689" s="26">
        <v>3</v>
      </c>
      <c r="U2689" s="26">
        <v>7</v>
      </c>
      <c r="V2689" s="26">
        <v>1</v>
      </c>
      <c r="W2689" s="26"/>
    </row>
    <row r="2690" spans="1:23" x14ac:dyDescent="0.25">
      <c r="A2690" s="26" t="str">
        <f t="shared" ref="A2690:A2753" si="537">"PREESCOLAR"</f>
        <v>PREESCOLAR</v>
      </c>
      <c r="B2690" s="26" t="str">
        <f>"09PJN5210P"</f>
        <v>09PJN5210P</v>
      </c>
      <c r="C2690" s="26" t="str">
        <f>"ESTANCIA INFANTIL Y JARDIN DE NIÑOS BALOO                                                           "</f>
        <v xml:space="preserve">ESTANCIA INFANTIL Y JARDIN DE NIÑOS BALOO                                                           </v>
      </c>
      <c r="D2690" s="26" t="str">
        <f t="shared" si="533"/>
        <v>MATUTINO</v>
      </c>
      <c r="E2690" s="26" t="str">
        <f>"GARAMBULLO NO. 31                                                               "</f>
        <v xml:space="preserve">GARAMBULLO NO. 31                                                               </v>
      </c>
      <c r="F2690" s="26" t="str">
        <f>"SAN JACINTO                                                                                                                                 "</f>
        <v xml:space="preserve">SAN JACINTO                                                                                                                                 </v>
      </c>
      <c r="G2690" s="26" t="str">
        <f>"MIGUEL HIDALGO                                                                  "</f>
        <v xml:space="preserve">MIGUEL HIDALGO                                                                  </v>
      </c>
      <c r="H2690" s="26" t="str">
        <f>"075"</f>
        <v>075</v>
      </c>
      <c r="I2690" s="26" t="str">
        <f t="shared" ref="I2690:I2753" si="538">"00"</f>
        <v>00</v>
      </c>
      <c r="J2690" s="26" t="str">
        <f t="shared" si="536"/>
        <v xml:space="preserve">32 </v>
      </c>
      <c r="K2690" s="26" t="str">
        <f t="shared" si="529"/>
        <v>EP</v>
      </c>
      <c r="L2690" s="26" t="str">
        <f t="shared" si="530"/>
        <v>DGOSE</v>
      </c>
      <c r="M2690" s="26" t="str">
        <f t="shared" si="535"/>
        <v>PARTICULAR</v>
      </c>
      <c r="N2690" s="26">
        <v>34</v>
      </c>
      <c r="O2690" s="26">
        <v>12</v>
      </c>
      <c r="P2690" s="26">
        <v>22</v>
      </c>
      <c r="Q2690" s="26">
        <v>3</v>
      </c>
      <c r="R2690" s="26">
        <v>1</v>
      </c>
      <c r="S2690" s="26">
        <v>3</v>
      </c>
      <c r="T2690" s="26">
        <v>7</v>
      </c>
      <c r="U2690" s="26">
        <v>11</v>
      </c>
      <c r="V2690" s="26">
        <v>1</v>
      </c>
      <c r="W2690" s="26"/>
    </row>
    <row r="2691" spans="1:23" x14ac:dyDescent="0.25">
      <c r="A2691" s="26" t="str">
        <f t="shared" si="537"/>
        <v>PREESCOLAR</v>
      </c>
      <c r="B2691" s="26" t="str">
        <f>"09PJN5211O"</f>
        <v>09PJN5211O</v>
      </c>
      <c r="C2691" s="26" t="str">
        <f>"COLEGIO DEL ANGEL                                                                                   "</f>
        <v xml:space="preserve">COLEGIO DEL ANGEL                                                                                   </v>
      </c>
      <c r="D2691" s="26" t="str">
        <f t="shared" si="533"/>
        <v>MATUTINO</v>
      </c>
      <c r="E2691" s="26" t="str">
        <f>"RIO NILO NO. 48                                                                 "</f>
        <v xml:space="preserve">RIO NILO NO. 48                                                                 </v>
      </c>
      <c r="F2691" s="26" t="str">
        <f>"CUAUHTEMOC                                                                                                                                  "</f>
        <v xml:space="preserve">CUAUHTEMOC                                                                                                                                  </v>
      </c>
      <c r="G2691" s="26" t="s">
        <v>4128</v>
      </c>
      <c r="H2691" s="26" t="str">
        <f>"203"</f>
        <v>203</v>
      </c>
      <c r="I2691" s="26" t="str">
        <f t="shared" si="538"/>
        <v>00</v>
      </c>
      <c r="J2691" s="26" t="str">
        <f t="shared" si="536"/>
        <v xml:space="preserve">32 </v>
      </c>
      <c r="K2691" s="26" t="str">
        <f t="shared" si="529"/>
        <v>EP</v>
      </c>
      <c r="L2691" s="26" t="str">
        <f t="shared" si="530"/>
        <v>DGOSE</v>
      </c>
      <c r="M2691" s="26" t="str">
        <f t="shared" si="535"/>
        <v>PARTICULAR</v>
      </c>
      <c r="N2691" s="26">
        <v>15</v>
      </c>
      <c r="O2691" s="26">
        <v>10</v>
      </c>
      <c r="P2691" s="26">
        <v>5</v>
      </c>
      <c r="Q2691" s="26">
        <v>1</v>
      </c>
      <c r="R2691" s="26">
        <v>1</v>
      </c>
      <c r="S2691" s="26">
        <v>1</v>
      </c>
      <c r="T2691" s="26">
        <v>7</v>
      </c>
      <c r="U2691" s="26">
        <v>9</v>
      </c>
      <c r="V2691" s="26">
        <v>1</v>
      </c>
      <c r="W2691" s="26"/>
    </row>
    <row r="2692" spans="1:23" x14ac:dyDescent="0.25">
      <c r="A2692" s="26" t="str">
        <f t="shared" si="537"/>
        <v>PREESCOLAR</v>
      </c>
      <c r="B2692" s="26" t="str">
        <f>"09PJN5212N"</f>
        <v>09PJN5212N</v>
      </c>
      <c r="C2692" s="26" t="str">
        <f>"JARDIN DE NIÑOS MARIA CRISTINA                                                                      "</f>
        <v xml:space="preserve">JARDIN DE NIÑOS MARIA CRISTINA                                                                      </v>
      </c>
      <c r="D2692" s="26" t="str">
        <f t="shared" si="533"/>
        <v>MATUTINO</v>
      </c>
      <c r="E2692" s="26" t="str">
        <f>"RAMON FABIE NO. 59                                                              "</f>
        <v xml:space="preserve">RAMON FABIE NO. 59                                                              </v>
      </c>
      <c r="F2692" s="26" t="str">
        <f>"VISTA ALEGRE                                                                                                                                "</f>
        <v xml:space="preserve">VISTA ALEGRE                                                                                                                                </v>
      </c>
      <c r="G2692" s="26" t="s">
        <v>4128</v>
      </c>
      <c r="H2692" s="26" t="str">
        <f>"204"</f>
        <v>204</v>
      </c>
      <c r="I2692" s="26" t="str">
        <f t="shared" si="538"/>
        <v>00</v>
      </c>
      <c r="J2692" s="26" t="str">
        <f t="shared" si="536"/>
        <v xml:space="preserve">32 </v>
      </c>
      <c r="K2692" s="26" t="str">
        <f t="shared" ref="K2692:K2704" si="539">"EP"</f>
        <v>EP</v>
      </c>
      <c r="L2692" s="26" t="str">
        <f t="shared" ref="L2692:L2704" si="540">"DGOSE"</f>
        <v>DGOSE</v>
      </c>
      <c r="M2692" s="26" t="str">
        <f t="shared" si="535"/>
        <v>PARTICULAR</v>
      </c>
      <c r="N2692" s="26">
        <v>42</v>
      </c>
      <c r="O2692" s="26">
        <v>25</v>
      </c>
      <c r="P2692" s="26">
        <v>17</v>
      </c>
      <c r="Q2692" s="26">
        <v>3</v>
      </c>
      <c r="R2692" s="26">
        <v>1</v>
      </c>
      <c r="S2692" s="26">
        <v>3</v>
      </c>
      <c r="T2692" s="26">
        <v>2</v>
      </c>
      <c r="U2692" s="26">
        <v>6</v>
      </c>
      <c r="V2692" s="26">
        <v>1</v>
      </c>
      <c r="W2692" s="26"/>
    </row>
    <row r="2693" spans="1:23" x14ac:dyDescent="0.25">
      <c r="A2693" s="26" t="str">
        <f t="shared" si="537"/>
        <v>PREESCOLAR</v>
      </c>
      <c r="B2693" s="26" t="str">
        <f>"09PJN5213M"</f>
        <v>09PJN5213M</v>
      </c>
      <c r="C2693" s="26" t="str">
        <f>"CENTRO DE ESTIMULACIÓN TEMPRANA Y DESARROLLO INFANTIL BABY KING                                     "</f>
        <v xml:space="preserve">CENTRO DE ESTIMULACIÓN TEMPRANA Y DESARROLLO INFANTIL BABY KING                                     </v>
      </c>
      <c r="D2693" s="26" t="str">
        <f t="shared" si="533"/>
        <v>MATUTINO</v>
      </c>
      <c r="E2693" s="26" t="str">
        <f>"ROA BARCENAS NO. 39                                                             "</f>
        <v xml:space="preserve">ROA BARCENAS NO. 39                                                             </v>
      </c>
      <c r="F2693" s="26" t="str">
        <f>"OBRERA                                                                                                                                      "</f>
        <v xml:space="preserve">OBRERA                                                                                                                                      </v>
      </c>
      <c r="G2693" s="26" t="s">
        <v>4128</v>
      </c>
      <c r="H2693" s="26" t="str">
        <f>"022"</f>
        <v>022</v>
      </c>
      <c r="I2693" s="26" t="str">
        <f t="shared" si="538"/>
        <v>00</v>
      </c>
      <c r="J2693" s="26" t="str">
        <f t="shared" si="536"/>
        <v xml:space="preserve">32 </v>
      </c>
      <c r="K2693" s="26" t="str">
        <f t="shared" si="539"/>
        <v>EP</v>
      </c>
      <c r="L2693" s="26" t="str">
        <f t="shared" si="540"/>
        <v>DGOSE</v>
      </c>
      <c r="M2693" s="26" t="str">
        <f t="shared" si="535"/>
        <v>PARTICULAR</v>
      </c>
      <c r="N2693" s="26">
        <v>48</v>
      </c>
      <c r="O2693" s="26">
        <v>22</v>
      </c>
      <c r="P2693" s="26">
        <v>26</v>
      </c>
      <c r="Q2693" s="26">
        <v>3</v>
      </c>
      <c r="R2693" s="26">
        <v>1</v>
      </c>
      <c r="S2693" s="26">
        <v>3</v>
      </c>
      <c r="T2693" s="26">
        <v>0</v>
      </c>
      <c r="U2693" s="26">
        <v>4</v>
      </c>
      <c r="V2693" s="26">
        <v>1</v>
      </c>
      <c r="W2693" s="26"/>
    </row>
    <row r="2694" spans="1:23" x14ac:dyDescent="0.25">
      <c r="A2694" s="26" t="str">
        <f t="shared" si="537"/>
        <v>PREESCOLAR</v>
      </c>
      <c r="B2694" s="26" t="str">
        <f>"09PJN5214L"</f>
        <v>09PJN5214L</v>
      </c>
      <c r="C2694" s="26" t="str">
        <f>"HOGAR ACTIVO DESARROLLO INTEGRAL INFANTIL (H.A.D.I.I)                                               "</f>
        <v xml:space="preserve">HOGAR ACTIVO DESARROLLO INTEGRAL INFANTIL (H.A.D.I.I)                                               </v>
      </c>
      <c r="D2694" s="26" t="str">
        <f>"VESPERTINO"</f>
        <v>VESPERTINO</v>
      </c>
      <c r="E2694" s="26" t="str">
        <f>"JOSE ANTONIO ALZATE NO. 132                                                     "</f>
        <v xml:space="preserve">JOSE ANTONIO ALZATE NO. 132                                                     </v>
      </c>
      <c r="F2694" s="26" t="str">
        <f>"SANTA MARIA LA RIBERA                                                                                                                       "</f>
        <v xml:space="preserve">SANTA MARIA LA RIBERA                                                                                                                       </v>
      </c>
      <c r="G2694" s="26" t="s">
        <v>4128</v>
      </c>
      <c r="H2694" s="26" t="str">
        <f>"203"</f>
        <v>203</v>
      </c>
      <c r="I2694" s="26" t="str">
        <f t="shared" si="538"/>
        <v>00</v>
      </c>
      <c r="J2694" s="26" t="str">
        <f t="shared" si="536"/>
        <v xml:space="preserve">32 </v>
      </c>
      <c r="K2694" s="26" t="str">
        <f t="shared" si="539"/>
        <v>EP</v>
      </c>
      <c r="L2694" s="26" t="str">
        <f t="shared" si="540"/>
        <v>DGOSE</v>
      </c>
      <c r="M2694" s="26" t="str">
        <f t="shared" si="535"/>
        <v>PARTICULAR</v>
      </c>
      <c r="N2694" s="26">
        <v>84</v>
      </c>
      <c r="O2694" s="26">
        <v>44</v>
      </c>
      <c r="P2694" s="26">
        <v>40</v>
      </c>
      <c r="Q2694" s="26">
        <v>3</v>
      </c>
      <c r="R2694" s="26">
        <v>1</v>
      </c>
      <c r="S2694" s="26">
        <v>3</v>
      </c>
      <c r="T2694" s="26">
        <v>10</v>
      </c>
      <c r="U2694" s="26">
        <v>14</v>
      </c>
      <c r="V2694" s="26">
        <v>1</v>
      </c>
      <c r="W2694" s="26"/>
    </row>
    <row r="2695" spans="1:23" x14ac:dyDescent="0.25">
      <c r="A2695" s="26" t="str">
        <f t="shared" si="537"/>
        <v>PREESCOLAR</v>
      </c>
      <c r="B2695" s="26" t="str">
        <f>"09PJN5216J"</f>
        <v>09PJN5216J</v>
      </c>
      <c r="C2695" s="26" t="str">
        <f>"HAPPY BABY                                                                                          "</f>
        <v xml:space="preserve">HAPPY BABY                                                                                          </v>
      </c>
      <c r="D2695" s="26" t="str">
        <f t="shared" ref="D2695:D2713" si="541">"MATUTINO"</f>
        <v>MATUTINO</v>
      </c>
      <c r="E2695" s="26" t="str">
        <f>"JOSE MARIA VERTIZ NO.693                                                        "</f>
        <v xml:space="preserve">JOSE MARIA VERTIZ NO.693                                                        </v>
      </c>
      <c r="F2695" s="26" t="str">
        <f>"NARVARTE                                                                                                                                    "</f>
        <v xml:space="preserve">NARVARTE                                                                                                                                    </v>
      </c>
      <c r="G2695" s="26" t="str">
        <f>"BENITO JUAREZ                                                                   "</f>
        <v xml:space="preserve">BENITO JUAREZ                                                                   </v>
      </c>
      <c r="H2695" s="26" t="str">
        <f>"029"</f>
        <v>029</v>
      </c>
      <c r="I2695" s="26" t="str">
        <f t="shared" si="538"/>
        <v>00</v>
      </c>
      <c r="J2695" s="26" t="str">
        <f>"33 "</f>
        <v xml:space="preserve">33 </v>
      </c>
      <c r="K2695" s="26" t="str">
        <f t="shared" si="539"/>
        <v>EP</v>
      </c>
      <c r="L2695" s="26" t="str">
        <f t="shared" si="540"/>
        <v>DGOSE</v>
      </c>
      <c r="M2695" s="26" t="str">
        <f t="shared" si="535"/>
        <v>PARTICULAR</v>
      </c>
      <c r="N2695" s="26">
        <v>17</v>
      </c>
      <c r="O2695" s="26">
        <v>6</v>
      </c>
      <c r="P2695" s="26">
        <v>11</v>
      </c>
      <c r="Q2695" s="26">
        <v>3</v>
      </c>
      <c r="R2695" s="26">
        <v>1</v>
      </c>
      <c r="S2695" s="26">
        <v>3</v>
      </c>
      <c r="T2695" s="26">
        <v>3</v>
      </c>
      <c r="U2695" s="26">
        <v>7</v>
      </c>
      <c r="V2695" s="26">
        <v>1</v>
      </c>
      <c r="W2695" s="26"/>
    </row>
    <row r="2696" spans="1:23" x14ac:dyDescent="0.25">
      <c r="A2696" s="26" t="str">
        <f t="shared" si="537"/>
        <v>PREESCOLAR</v>
      </c>
      <c r="B2696" s="26" t="str">
        <f>"09PJN5218H"</f>
        <v>09PJN5218H</v>
      </c>
      <c r="C2696" s="26" t="str">
        <f>"UN GRANITO DE ARENA                                                                                 "</f>
        <v xml:space="preserve">UN GRANITO DE ARENA                                                                                 </v>
      </c>
      <c r="D2696" s="26" t="str">
        <f t="shared" si="541"/>
        <v>MATUTINO</v>
      </c>
      <c r="E2696" s="26" t="str">
        <f>"AV. SUR 12 NO. 374                                                              "</f>
        <v xml:space="preserve">AV. SUR 12 NO. 374                                                              </v>
      </c>
      <c r="F2696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2696" s="26" t="str">
        <f>"IZTACALCO                                                                       "</f>
        <v xml:space="preserve">IZTACALCO                                                                       </v>
      </c>
      <c r="H2696" s="26" t="str">
        <f>"236"</f>
        <v>236</v>
      </c>
      <c r="I2696" s="26" t="str">
        <f t="shared" si="538"/>
        <v>00</v>
      </c>
      <c r="J2696" s="26" t="str">
        <f>"33 "</f>
        <v xml:space="preserve">33 </v>
      </c>
      <c r="K2696" s="26" t="str">
        <f t="shared" si="539"/>
        <v>EP</v>
      </c>
      <c r="L2696" s="26" t="str">
        <f t="shared" si="540"/>
        <v>DGOSE</v>
      </c>
      <c r="M2696" s="26" t="str">
        <f t="shared" si="535"/>
        <v>PARTICULAR</v>
      </c>
      <c r="N2696" s="26">
        <v>63</v>
      </c>
      <c r="O2696" s="26">
        <v>36</v>
      </c>
      <c r="P2696" s="26">
        <v>27</v>
      </c>
      <c r="Q2696" s="26">
        <v>3</v>
      </c>
      <c r="R2696" s="26">
        <v>1</v>
      </c>
      <c r="S2696" s="26">
        <v>3</v>
      </c>
      <c r="T2696" s="26">
        <v>4</v>
      </c>
      <c r="U2696" s="26">
        <v>8</v>
      </c>
      <c r="V2696" s="26">
        <v>1</v>
      </c>
      <c r="W2696" s="26"/>
    </row>
    <row r="2697" spans="1:23" x14ac:dyDescent="0.25">
      <c r="A2697" s="26" t="str">
        <f t="shared" si="537"/>
        <v>PREESCOLAR</v>
      </c>
      <c r="B2697" s="26" t="str">
        <f>"09PJN5219G"</f>
        <v>09PJN5219G</v>
      </c>
      <c r="C2697" s="26" t="str">
        <f>"CENTRO ESCOLAR SEMILLITAS                                                                           "</f>
        <v xml:space="preserve">CENTRO ESCOLAR SEMILLITAS                                                                           </v>
      </c>
      <c r="D2697" s="26" t="str">
        <f t="shared" si="541"/>
        <v>MATUTINO</v>
      </c>
      <c r="E2697" s="26" t="str">
        <f>"REFORMA AGRARIA MZA.9 LT.47                                                     "</f>
        <v xml:space="preserve">REFORMA AGRARIA MZA.9 LT.47                                                     </v>
      </c>
      <c r="F2697" s="26" t="str">
        <f>"LA HABANA                                                                                                                                   "</f>
        <v xml:space="preserve">LA HABANA                                                                                                                                   </v>
      </c>
      <c r="G2697" s="26" t="str">
        <f>"TLAHUAC                                                                         "</f>
        <v xml:space="preserve">TLAHUAC                                                                         </v>
      </c>
      <c r="H2697" s="26" t="str">
        <f>"142"</f>
        <v>142</v>
      </c>
      <c r="I2697" s="26" t="str">
        <f t="shared" si="538"/>
        <v>00</v>
      </c>
      <c r="J2697" s="26" t="str">
        <f>"35 "</f>
        <v xml:space="preserve">35 </v>
      </c>
      <c r="K2697" s="26" t="str">
        <f t="shared" si="539"/>
        <v>EP</v>
      </c>
      <c r="L2697" s="26" t="str">
        <f t="shared" si="540"/>
        <v>DGOSE</v>
      </c>
      <c r="M2697" s="26" t="str">
        <f t="shared" si="535"/>
        <v>PARTICULAR</v>
      </c>
      <c r="N2697" s="26">
        <v>9</v>
      </c>
      <c r="O2697" s="26">
        <v>6</v>
      </c>
      <c r="P2697" s="26">
        <v>3</v>
      </c>
      <c r="Q2697" s="26">
        <v>1</v>
      </c>
      <c r="R2697" s="26">
        <v>1</v>
      </c>
      <c r="S2697" s="26">
        <v>1</v>
      </c>
      <c r="T2697" s="26">
        <v>0</v>
      </c>
      <c r="U2697" s="26">
        <v>2</v>
      </c>
      <c r="V2697" s="26">
        <v>1</v>
      </c>
      <c r="W2697" s="26"/>
    </row>
    <row r="2698" spans="1:23" x14ac:dyDescent="0.25">
      <c r="A2698" s="26" t="str">
        <f t="shared" si="537"/>
        <v>PREESCOLAR</v>
      </c>
      <c r="B2698" s="26" t="str">
        <f>"09PJN5220W"</f>
        <v>09PJN5220W</v>
      </c>
      <c r="C2698" s="26" t="str">
        <f>"COLEGIO PATRIA DEL SUR                                                                              "</f>
        <v xml:space="preserve">COLEGIO PATRIA DEL SUR                                                                              </v>
      </c>
      <c r="D2698" s="26" t="str">
        <f t="shared" si="541"/>
        <v>MATUTINO</v>
      </c>
      <c r="E2698" s="26" t="str">
        <f>"IZAMAL NO. 324                                                                  "</f>
        <v xml:space="preserve">IZAMAL NO. 324                                                                  </v>
      </c>
      <c r="F2698" s="26" t="str">
        <f>"HEROES DE PADIERNA                                                                                                                          "</f>
        <v xml:space="preserve">HEROES DE PADIERNA                                                                                                                          </v>
      </c>
      <c r="G2698" s="26" t="str">
        <f>"TLALPAN                                                                         "</f>
        <v xml:space="preserve">TLALPAN                                                                         </v>
      </c>
      <c r="H2698" s="26" t="str">
        <f>"049"</f>
        <v>049</v>
      </c>
      <c r="I2698" s="26" t="str">
        <f t="shared" si="538"/>
        <v>00</v>
      </c>
      <c r="J2698" s="26" t="str">
        <f>"35 "</f>
        <v xml:space="preserve">35 </v>
      </c>
      <c r="K2698" s="26" t="str">
        <f t="shared" si="539"/>
        <v>EP</v>
      </c>
      <c r="L2698" s="26" t="str">
        <f t="shared" si="540"/>
        <v>DGOSE</v>
      </c>
      <c r="M2698" s="26" t="str">
        <f t="shared" si="535"/>
        <v>PARTICULAR</v>
      </c>
      <c r="N2698" s="26">
        <v>22</v>
      </c>
      <c r="O2698" s="26">
        <v>10</v>
      </c>
      <c r="P2698" s="26">
        <v>12</v>
      </c>
      <c r="Q2698" s="26">
        <v>3</v>
      </c>
      <c r="R2698" s="26">
        <v>1</v>
      </c>
      <c r="S2698" s="26">
        <v>3</v>
      </c>
      <c r="T2698" s="26">
        <v>1</v>
      </c>
      <c r="U2698" s="26">
        <v>5</v>
      </c>
      <c r="V2698" s="26">
        <v>1</v>
      </c>
      <c r="W2698" s="26"/>
    </row>
    <row r="2699" spans="1:23" x14ac:dyDescent="0.25">
      <c r="A2699" s="26" t="str">
        <f t="shared" si="537"/>
        <v>PREESCOLAR</v>
      </c>
      <c r="B2699" s="26" t="str">
        <f>"09PJN5221V"</f>
        <v>09PJN5221V</v>
      </c>
      <c r="C2699" s="26" t="str">
        <f>"TEPETITLA                                                                                           "</f>
        <v xml:space="preserve">TEPETITLA                                                                                           </v>
      </c>
      <c r="D2699" s="26" t="str">
        <f t="shared" si="541"/>
        <v>MATUTINO</v>
      </c>
      <c r="E2699" s="26" t="str">
        <f>"AV. CINCO DE MAYO NO. 117                                                       "</f>
        <v xml:space="preserve">AV. CINCO DE MAYO NO. 117                                                       </v>
      </c>
      <c r="F2699" s="26" t="str">
        <f>"SAN PEDRO MARTIR                                                                                                                            "</f>
        <v xml:space="preserve">SAN PEDRO MARTIR                                                                                                                            </v>
      </c>
      <c r="G2699" s="26" t="str">
        <f>"TLALPAN                                                                         "</f>
        <v xml:space="preserve">TLALPAN                                                                         </v>
      </c>
      <c r="H2699" s="26" t="str">
        <f>"226"</f>
        <v>226</v>
      </c>
      <c r="I2699" s="26" t="str">
        <f t="shared" si="538"/>
        <v>00</v>
      </c>
      <c r="J2699" s="26" t="str">
        <f>"35 "</f>
        <v xml:space="preserve">35 </v>
      </c>
      <c r="K2699" s="26" t="str">
        <f t="shared" si="539"/>
        <v>EP</v>
      </c>
      <c r="L2699" s="26" t="str">
        <f t="shared" si="540"/>
        <v>DGOSE</v>
      </c>
      <c r="M2699" s="26" t="str">
        <f t="shared" si="535"/>
        <v>PARTICULAR</v>
      </c>
      <c r="N2699" s="26">
        <v>16</v>
      </c>
      <c r="O2699" s="26">
        <v>10</v>
      </c>
      <c r="P2699" s="26">
        <v>6</v>
      </c>
      <c r="Q2699" s="26">
        <v>2</v>
      </c>
      <c r="R2699" s="26">
        <v>1</v>
      </c>
      <c r="S2699" s="26">
        <v>2</v>
      </c>
      <c r="T2699" s="26">
        <v>3</v>
      </c>
      <c r="U2699" s="26">
        <v>6</v>
      </c>
      <c r="V2699" s="26">
        <v>1</v>
      </c>
      <c r="W2699" s="26"/>
    </row>
    <row r="2700" spans="1:23" x14ac:dyDescent="0.25">
      <c r="A2700" s="26" t="str">
        <f t="shared" si="537"/>
        <v>PREESCOLAR</v>
      </c>
      <c r="B2700" s="26" t="str">
        <f>"09PJN5222U"</f>
        <v>09PJN5222U</v>
      </c>
      <c r="C2700" s="26" t="str">
        <f>"ALHER JR.                                                                                           "</f>
        <v xml:space="preserve">ALHER JR.                                                                                           </v>
      </c>
      <c r="D2700" s="26" t="str">
        <f t="shared" si="541"/>
        <v>MATUTINO</v>
      </c>
      <c r="E2700" s="26" t="str">
        <f>"BOULEVARD DEL TEMOLUCO NO. 113                                                  "</f>
        <v xml:space="preserve">BOULEVARD DEL TEMOLUCO NO. 113                                                  </v>
      </c>
      <c r="F2700" s="26" t="str">
        <f>"ACUEDUCTO DE GUADALUPE                                                                                                                      "</f>
        <v xml:space="preserve">ACUEDUCTO DE GUADALUPE                                                                                                                      </v>
      </c>
      <c r="G2700" s="26" t="str">
        <f>"GUSTAVO A. MADERO                                                               "</f>
        <v xml:space="preserve">GUSTAVO A. MADERO                                                               </v>
      </c>
      <c r="H2700" s="26" t="str">
        <f>"117"</f>
        <v>117</v>
      </c>
      <c r="I2700" s="26" t="str">
        <f t="shared" si="538"/>
        <v>00</v>
      </c>
      <c r="J2700" s="26" t="str">
        <f>"32 "</f>
        <v xml:space="preserve">32 </v>
      </c>
      <c r="K2700" s="26" t="str">
        <f t="shared" si="539"/>
        <v>EP</v>
      </c>
      <c r="L2700" s="26" t="str">
        <f t="shared" si="540"/>
        <v>DGOSE</v>
      </c>
      <c r="M2700" s="26" t="str">
        <f t="shared" si="535"/>
        <v>PARTICULAR</v>
      </c>
      <c r="N2700" s="26">
        <v>13</v>
      </c>
      <c r="O2700" s="26">
        <v>8</v>
      </c>
      <c r="P2700" s="26">
        <v>5</v>
      </c>
      <c r="Q2700" s="26">
        <v>3</v>
      </c>
      <c r="R2700" s="26">
        <v>1</v>
      </c>
      <c r="S2700" s="26">
        <v>2</v>
      </c>
      <c r="T2700" s="26">
        <v>4</v>
      </c>
      <c r="U2700" s="26">
        <v>7</v>
      </c>
      <c r="V2700" s="26">
        <v>1</v>
      </c>
      <c r="W2700" s="26"/>
    </row>
    <row r="2701" spans="1:23" x14ac:dyDescent="0.25">
      <c r="A2701" s="26" t="str">
        <f t="shared" si="537"/>
        <v>PREESCOLAR</v>
      </c>
      <c r="B2701" s="26" t="str">
        <f>"09PJN5224S"</f>
        <v>09PJN5224S</v>
      </c>
      <c r="C2701" s="26" t="str">
        <f>"ARNOLD GESELL                                                                                       "</f>
        <v xml:space="preserve">ARNOLD GESELL                                                                                       </v>
      </c>
      <c r="D2701" s="26" t="str">
        <f t="shared" si="541"/>
        <v>MATUTINO</v>
      </c>
      <c r="E2701" s="26" t="str">
        <f>"MELCHOR MZA.C LT. 8                                                             "</f>
        <v xml:space="preserve">MELCHOR MZA.C LT. 8                                                             </v>
      </c>
      <c r="F2701" s="26" t="str">
        <f>"GRANJAS DE NAVIDAD                                                                                                                          "</f>
        <v xml:space="preserve">GRANJAS DE NAVIDAD                                                                                                                          </v>
      </c>
      <c r="G2701" s="26" t="str">
        <f>"CUAJIMALPA DE MORELOS                                                           "</f>
        <v xml:space="preserve">CUAJIMALPA DE MORELOS                                                           </v>
      </c>
      <c r="H2701" s="26" t="str">
        <f>"212"</f>
        <v>212</v>
      </c>
      <c r="I2701" s="26" t="str">
        <f t="shared" si="538"/>
        <v>00</v>
      </c>
      <c r="J2701" s="26" t="str">
        <f>"33 "</f>
        <v xml:space="preserve">33 </v>
      </c>
      <c r="K2701" s="26" t="str">
        <f t="shared" si="539"/>
        <v>EP</v>
      </c>
      <c r="L2701" s="26" t="str">
        <f t="shared" si="540"/>
        <v>DGOSE</v>
      </c>
      <c r="M2701" s="26" t="str">
        <f t="shared" si="535"/>
        <v>PARTICULAR</v>
      </c>
      <c r="N2701" s="26">
        <v>22</v>
      </c>
      <c r="O2701" s="26">
        <v>14</v>
      </c>
      <c r="P2701" s="26">
        <v>8</v>
      </c>
      <c r="Q2701" s="26">
        <v>3</v>
      </c>
      <c r="R2701" s="26">
        <v>1</v>
      </c>
      <c r="S2701" s="26">
        <v>3</v>
      </c>
      <c r="T2701" s="26">
        <v>2</v>
      </c>
      <c r="U2701" s="26">
        <v>6</v>
      </c>
      <c r="V2701" s="26">
        <v>1</v>
      </c>
      <c r="W2701" s="26"/>
    </row>
    <row r="2702" spans="1:23" x14ac:dyDescent="0.25">
      <c r="A2702" s="26" t="str">
        <f t="shared" si="537"/>
        <v>PREESCOLAR</v>
      </c>
      <c r="B2702" s="26" t="str">
        <f>"09PJN5227P"</f>
        <v>09PJN5227P</v>
      </c>
      <c r="C2702" s="26" t="str">
        <f>"KINDERGYM XOCHIMILCO                                                                                "</f>
        <v xml:space="preserve">KINDERGYM XOCHIMILCO                                                                                </v>
      </c>
      <c r="D2702" s="26" t="str">
        <f t="shared" si="541"/>
        <v>MATUTINO</v>
      </c>
      <c r="E2702" s="26" t="str">
        <f>"CUAUHTEMOC NO. 98                                                               "</f>
        <v xml:space="preserve">CUAUHTEMOC NO. 98                                                               </v>
      </c>
      <c r="F2702" s="26" t="str">
        <f>"SAN MARCOS                                                                                                                                  "</f>
        <v xml:space="preserve">SAN MARCOS                                                                                                                                  </v>
      </c>
      <c r="G2702" s="26" t="str">
        <f>"XOCHIMILCO                                                                      "</f>
        <v xml:space="preserve">XOCHIMILCO                                                                      </v>
      </c>
      <c r="H2702" s="26" t="str">
        <f>"103"</f>
        <v>103</v>
      </c>
      <c r="I2702" s="26" t="str">
        <f t="shared" si="538"/>
        <v>00</v>
      </c>
      <c r="J2702" s="26" t="str">
        <f>"35 "</f>
        <v xml:space="preserve">35 </v>
      </c>
      <c r="K2702" s="26" t="str">
        <f t="shared" si="539"/>
        <v>EP</v>
      </c>
      <c r="L2702" s="26" t="str">
        <f t="shared" si="540"/>
        <v>DGOSE</v>
      </c>
      <c r="M2702" s="26" t="str">
        <f t="shared" si="535"/>
        <v>PARTICULAR</v>
      </c>
      <c r="N2702" s="26">
        <v>35</v>
      </c>
      <c r="O2702" s="26">
        <v>20</v>
      </c>
      <c r="P2702" s="26">
        <v>15</v>
      </c>
      <c r="Q2702" s="26">
        <v>3</v>
      </c>
      <c r="R2702" s="26">
        <v>1</v>
      </c>
      <c r="S2702" s="26">
        <v>3</v>
      </c>
      <c r="T2702" s="26">
        <v>2</v>
      </c>
      <c r="U2702" s="26">
        <v>6</v>
      </c>
      <c r="V2702" s="26">
        <v>1</v>
      </c>
      <c r="W2702" s="26"/>
    </row>
    <row r="2703" spans="1:23" x14ac:dyDescent="0.25">
      <c r="A2703" s="26" t="str">
        <f t="shared" si="537"/>
        <v>PREESCOLAR</v>
      </c>
      <c r="B2703" s="26" t="str">
        <f>"09PJN5228O"</f>
        <v>09PJN5228O</v>
      </c>
      <c r="C2703" s="26" t="str">
        <f>"COLEGIO PERSONALIZADO ALAMO                                                                         "</f>
        <v xml:space="preserve">COLEGIO PERSONALIZADO ALAMO                                                                         </v>
      </c>
      <c r="D2703" s="26" t="str">
        <f t="shared" si="541"/>
        <v>MATUTINO</v>
      </c>
      <c r="E2703" s="26" t="str">
        <f>"2SEGUNDA CERRADA PROLONGACION OCOTE NO.                                         "</f>
        <v xml:space="preserve">2SEGUNDA CERRADA PROLONGACION OCOTE NO.                                         </v>
      </c>
      <c r="F2703" s="26" t="str">
        <f>"SAN JOSE DE LOS CEDROS                                                                                                                      "</f>
        <v xml:space="preserve">SAN JOSE DE LOS CEDROS                                                                                                                      </v>
      </c>
      <c r="G2703" s="26" t="str">
        <f>"CUAJIMALPA DE MORELOS                                                           "</f>
        <v xml:space="preserve">CUAJIMALPA DE MORELOS                                                           </v>
      </c>
      <c r="H2703" s="26" t="str">
        <f>"279"</f>
        <v>279</v>
      </c>
      <c r="I2703" s="26" t="str">
        <f t="shared" si="538"/>
        <v>00</v>
      </c>
      <c r="J2703" s="26" t="str">
        <f>"33 "</f>
        <v xml:space="preserve">33 </v>
      </c>
      <c r="K2703" s="26" t="str">
        <f t="shared" si="539"/>
        <v>EP</v>
      </c>
      <c r="L2703" s="26" t="str">
        <f t="shared" si="540"/>
        <v>DGOSE</v>
      </c>
      <c r="M2703" s="26" t="str">
        <f t="shared" si="535"/>
        <v>PARTICULAR</v>
      </c>
      <c r="N2703" s="26">
        <v>29</v>
      </c>
      <c r="O2703" s="26">
        <v>17</v>
      </c>
      <c r="P2703" s="26">
        <v>12</v>
      </c>
      <c r="Q2703" s="26">
        <v>3</v>
      </c>
      <c r="R2703" s="26">
        <v>1</v>
      </c>
      <c r="S2703" s="26">
        <v>2</v>
      </c>
      <c r="T2703" s="26">
        <v>9</v>
      </c>
      <c r="U2703" s="26">
        <v>12</v>
      </c>
      <c r="V2703" s="26">
        <v>1</v>
      </c>
      <c r="W2703" s="26"/>
    </row>
    <row r="2704" spans="1:23" x14ac:dyDescent="0.25">
      <c r="A2704" s="26" t="str">
        <f t="shared" si="537"/>
        <v>PREESCOLAR</v>
      </c>
      <c r="B2704" s="26" t="str">
        <f>"09PJN5229N"</f>
        <v>09PJN5229N</v>
      </c>
      <c r="C2704" s="26" t="str">
        <f>"SOCIEDAD CULTURAL COLEGIO AMERICANO CAMPUS NORTE                                                    "</f>
        <v xml:space="preserve">SOCIEDAD CULTURAL COLEGIO AMERICANO CAMPUS NORTE                                                    </v>
      </c>
      <c r="D2704" s="26" t="str">
        <f t="shared" si="541"/>
        <v>MATUTINO</v>
      </c>
      <c r="E2704" s="26" t="str">
        <f>"SANTA CATARINA NO. 12                                                           "</f>
        <v xml:space="preserve">SANTA CATARINA NO. 12                                                           </v>
      </c>
      <c r="F2704" s="26" t="str">
        <f>"SAN ANDRES                                                                                                                                  "</f>
        <v xml:space="preserve">SAN ANDRES                                                                                                                                  </v>
      </c>
      <c r="G2704" s="26" t="str">
        <f>"AZCAPOTZALCO                                                                    "</f>
        <v xml:space="preserve">AZCAPOTZALCO                                                                    </v>
      </c>
      <c r="H2704" s="26" t="str">
        <f>"106"</f>
        <v>106</v>
      </c>
      <c r="I2704" s="26" t="str">
        <f t="shared" si="538"/>
        <v>00</v>
      </c>
      <c r="J2704" s="26" t="str">
        <f>"32 "</f>
        <v xml:space="preserve">32 </v>
      </c>
      <c r="K2704" s="26" t="str">
        <f t="shared" si="539"/>
        <v>EP</v>
      </c>
      <c r="L2704" s="26" t="str">
        <f t="shared" si="540"/>
        <v>DGOSE</v>
      </c>
      <c r="M2704" s="26" t="str">
        <f t="shared" si="535"/>
        <v>PARTICULAR</v>
      </c>
      <c r="N2704" s="26">
        <v>30</v>
      </c>
      <c r="O2704" s="26">
        <v>17</v>
      </c>
      <c r="P2704" s="26">
        <v>13</v>
      </c>
      <c r="Q2704" s="26">
        <v>3</v>
      </c>
      <c r="R2704" s="26">
        <v>1</v>
      </c>
      <c r="S2704" s="26">
        <v>3</v>
      </c>
      <c r="T2704" s="26">
        <v>3</v>
      </c>
      <c r="U2704" s="26">
        <v>7</v>
      </c>
      <c r="V2704" s="26">
        <v>1</v>
      </c>
      <c r="W2704" s="26"/>
    </row>
    <row r="2705" spans="1:23" x14ac:dyDescent="0.25">
      <c r="A2705" s="26" t="str">
        <f t="shared" si="537"/>
        <v>PREESCOLAR</v>
      </c>
      <c r="B2705" s="26" t="str">
        <f>"09PJN5231B"</f>
        <v>09PJN5231B</v>
      </c>
      <c r="C2705" s="26" t="str">
        <f>"MATHEW LIPMAN                                                                                       "</f>
        <v xml:space="preserve">MATHEW LIPMAN                                                                                       </v>
      </c>
      <c r="D2705" s="26" t="str">
        <f t="shared" si="541"/>
        <v>MATUTINO</v>
      </c>
      <c r="E2705" s="26" t="str">
        <f>"GARDENIAS MZ. 1 LT. 15                                                          "</f>
        <v xml:space="preserve">GARDENIAS MZ. 1 LT. 15                                                          </v>
      </c>
      <c r="F2705" s="26" t="str">
        <f>"LOMAS SAN LORENZO                                                                                                                           "</f>
        <v xml:space="preserve">LOMAS SAN LORENZO                                                                                                                           </v>
      </c>
      <c r="G2705" s="26" t="str">
        <f>"IZTAPALAPA                                                                      "</f>
        <v xml:space="preserve">IZTAPALAPA                                                                      </v>
      </c>
      <c r="H2705" s="26" t="str">
        <f>"000"</f>
        <v>000</v>
      </c>
      <c r="I2705" s="26" t="str">
        <f t="shared" si="538"/>
        <v>00</v>
      </c>
      <c r="J2705" s="26" t="str">
        <f>"63 "</f>
        <v xml:space="preserve">63 </v>
      </c>
      <c r="K2705" s="26" t="str">
        <f>"IZ"</f>
        <v>IZ</v>
      </c>
      <c r="L2705" s="26" t="str">
        <f>"DGSEI"</f>
        <v>DGSEI</v>
      </c>
      <c r="M2705" s="26" t="str">
        <f t="shared" si="535"/>
        <v>PARTICULAR</v>
      </c>
      <c r="N2705" s="26">
        <v>44</v>
      </c>
      <c r="O2705" s="26">
        <v>18</v>
      </c>
      <c r="P2705" s="26">
        <v>26</v>
      </c>
      <c r="Q2705" s="26">
        <v>3</v>
      </c>
      <c r="R2705" s="26">
        <v>1</v>
      </c>
      <c r="S2705" s="26">
        <v>2</v>
      </c>
      <c r="T2705" s="26">
        <v>3</v>
      </c>
      <c r="U2705" s="26">
        <v>6</v>
      </c>
      <c r="V2705" s="26">
        <v>1</v>
      </c>
      <c r="W2705" s="26"/>
    </row>
    <row r="2706" spans="1:23" x14ac:dyDescent="0.25">
      <c r="A2706" s="26" t="str">
        <f t="shared" si="537"/>
        <v>PREESCOLAR</v>
      </c>
      <c r="B2706" s="26" t="str">
        <f>"09PJN5233Z"</f>
        <v>09PJN5233Z</v>
      </c>
      <c r="C2706" s="26" t="str">
        <f>"SUMMERVILLE                                                                                         "</f>
        <v xml:space="preserve">SUMMERVILLE                                                                                         </v>
      </c>
      <c r="D2706" s="26" t="str">
        <f t="shared" si="541"/>
        <v>MATUTINO</v>
      </c>
      <c r="E2706" s="26" t="str">
        <f>"LEIBNITZ NO.193                                                                 "</f>
        <v xml:space="preserve">LEIBNITZ NO.193                                                                 </v>
      </c>
      <c r="F2706" s="26" t="str">
        <f>"NUEVA ANZURES                                                                                                                               "</f>
        <v xml:space="preserve">NUEVA ANZURES                                                                                                                               </v>
      </c>
      <c r="G2706" s="26" t="str">
        <f>"MIGUEL HIDALGO                                                                  "</f>
        <v xml:space="preserve">MIGUEL HIDALGO                                                                  </v>
      </c>
      <c r="H2706" s="26" t="str">
        <f>"075"</f>
        <v>075</v>
      </c>
      <c r="I2706" s="26" t="str">
        <f t="shared" si="538"/>
        <v>00</v>
      </c>
      <c r="J2706" s="26" t="str">
        <f>"32 "</f>
        <v xml:space="preserve">32 </v>
      </c>
      <c r="K2706" s="26" t="str">
        <f>"EP"</f>
        <v>EP</v>
      </c>
      <c r="L2706" s="26" t="str">
        <f>"DGOSE"</f>
        <v>DGOSE</v>
      </c>
      <c r="M2706" s="26" t="str">
        <f t="shared" si="535"/>
        <v>PARTICULAR</v>
      </c>
      <c r="N2706" s="26">
        <v>34</v>
      </c>
      <c r="O2706" s="26">
        <v>19</v>
      </c>
      <c r="P2706" s="26">
        <v>15</v>
      </c>
      <c r="Q2706" s="26">
        <v>3</v>
      </c>
      <c r="R2706" s="26">
        <v>1</v>
      </c>
      <c r="S2706" s="26">
        <v>3</v>
      </c>
      <c r="T2706" s="26">
        <v>17</v>
      </c>
      <c r="U2706" s="26">
        <v>21</v>
      </c>
      <c r="V2706" s="26">
        <v>1</v>
      </c>
      <c r="W2706" s="26"/>
    </row>
    <row r="2707" spans="1:23" x14ac:dyDescent="0.25">
      <c r="A2707" s="26" t="str">
        <f t="shared" si="537"/>
        <v>PREESCOLAR</v>
      </c>
      <c r="B2707" s="26" t="str">
        <f>"09PJN5234Z"</f>
        <v>09PJN5234Z</v>
      </c>
      <c r="C2707" s="26" t="str">
        <f>"COLEGIO VASCONCELOS                                                                                 "</f>
        <v xml:space="preserve">COLEGIO VASCONCELOS                                                                                 </v>
      </c>
      <c r="D2707" s="26" t="str">
        <f t="shared" si="541"/>
        <v>MATUTINO</v>
      </c>
      <c r="E2707" s="26" t="str">
        <f>"LA MARINA NO. 16                                                                "</f>
        <v xml:space="preserve">LA MARINA NO. 16                                                                </v>
      </c>
      <c r="F2707" s="26" t="str">
        <f>"OBSERVATORIO                                                                                                                                "</f>
        <v xml:space="preserve">OBSERVATORIO                                                                                                                                </v>
      </c>
      <c r="G2707" s="26" t="str">
        <f>"MIGUEL HIDALGO                                                                  "</f>
        <v xml:space="preserve">MIGUEL HIDALGO                                                                  </v>
      </c>
      <c r="H2707" s="26" t="str">
        <f>"207"</f>
        <v>207</v>
      </c>
      <c r="I2707" s="26" t="str">
        <f t="shared" si="538"/>
        <v>00</v>
      </c>
      <c r="J2707" s="26" t="str">
        <f>"32 "</f>
        <v xml:space="preserve">32 </v>
      </c>
      <c r="K2707" s="26" t="str">
        <f>"EP"</f>
        <v>EP</v>
      </c>
      <c r="L2707" s="26" t="str">
        <f>"DGOSE"</f>
        <v>DGOSE</v>
      </c>
      <c r="M2707" s="26" t="str">
        <f t="shared" si="535"/>
        <v>PARTICULAR</v>
      </c>
      <c r="N2707" s="26">
        <v>61</v>
      </c>
      <c r="O2707" s="26">
        <v>30</v>
      </c>
      <c r="P2707" s="26">
        <v>31</v>
      </c>
      <c r="Q2707" s="26">
        <v>3</v>
      </c>
      <c r="R2707" s="26">
        <v>1</v>
      </c>
      <c r="S2707" s="26">
        <v>3</v>
      </c>
      <c r="T2707" s="26">
        <v>7</v>
      </c>
      <c r="U2707" s="26">
        <v>11</v>
      </c>
      <c r="V2707" s="26">
        <v>1</v>
      </c>
      <c r="W2707" s="26"/>
    </row>
    <row r="2708" spans="1:23" x14ac:dyDescent="0.25">
      <c r="A2708" s="26" t="str">
        <f t="shared" si="537"/>
        <v>PREESCOLAR</v>
      </c>
      <c r="B2708" s="26" t="str">
        <f>"09PJN5235Y"</f>
        <v>09PJN5235Y</v>
      </c>
      <c r="C2708" s="26" t="str">
        <f>"COLEGIO XALLAPAN                                                                                    "</f>
        <v xml:space="preserve">COLEGIO XALLAPAN                                                                                    </v>
      </c>
      <c r="D2708" s="26" t="str">
        <f t="shared" si="541"/>
        <v>MATUTINO</v>
      </c>
      <c r="E2708" s="26" t="str">
        <f>"GENERAL MIGUEL MIRAMON NO. 50                                                   "</f>
        <v xml:space="preserve">GENERAL MIGUEL MIRAMON NO. 50                                                   </v>
      </c>
      <c r="F2708" s="26" t="str">
        <f>"MARTIN CARRERA                                                                                                                              "</f>
        <v xml:space="preserve">MARTIN CARRERA                                                                                                                              </v>
      </c>
      <c r="G2708" s="26" t="str">
        <f>"GUSTAVO A. MADERO                                                               "</f>
        <v xml:space="preserve">GUSTAVO A. MADERO                                                               </v>
      </c>
      <c r="H2708" s="26" t="str">
        <f>"195"</f>
        <v>195</v>
      </c>
      <c r="I2708" s="26" t="str">
        <f t="shared" si="538"/>
        <v>00</v>
      </c>
      <c r="J2708" s="26" t="str">
        <f>"32 "</f>
        <v xml:space="preserve">32 </v>
      </c>
      <c r="K2708" s="26" t="str">
        <f>"EP"</f>
        <v>EP</v>
      </c>
      <c r="L2708" s="26" t="str">
        <f>"DGOSE"</f>
        <v>DGOSE</v>
      </c>
      <c r="M2708" s="26" t="str">
        <f t="shared" si="535"/>
        <v>PARTICULAR</v>
      </c>
      <c r="N2708" s="26">
        <v>53</v>
      </c>
      <c r="O2708" s="26">
        <v>26</v>
      </c>
      <c r="P2708" s="26">
        <v>27</v>
      </c>
      <c r="Q2708" s="26">
        <v>3</v>
      </c>
      <c r="R2708" s="26">
        <v>1</v>
      </c>
      <c r="S2708" s="26">
        <v>3</v>
      </c>
      <c r="T2708" s="26">
        <v>2</v>
      </c>
      <c r="U2708" s="26">
        <v>6</v>
      </c>
      <c r="V2708" s="26">
        <v>1</v>
      </c>
      <c r="W2708" s="26"/>
    </row>
    <row r="2709" spans="1:23" x14ac:dyDescent="0.25">
      <c r="A2709" s="26" t="str">
        <f t="shared" si="537"/>
        <v>PREESCOLAR</v>
      </c>
      <c r="B2709" s="26" t="str">
        <f>"09PJN5236X"</f>
        <v>09PJN5236X</v>
      </c>
      <c r="C2709" s="26" t="str">
        <f>"CENTRO EDUCATIVO LEWIN KURT                                                                         "</f>
        <v xml:space="preserve">CENTRO EDUCATIVO LEWIN KURT                                                                         </v>
      </c>
      <c r="D2709" s="26" t="str">
        <f t="shared" si="541"/>
        <v>MATUTINO</v>
      </c>
      <c r="E2709" s="26" t="str">
        <f>"YUKALPETEN NO. 92                                                               "</f>
        <v xml:space="preserve">YUKALPETEN NO. 92                                                               </v>
      </c>
      <c r="F2709" s="26" t="str">
        <f>"POPULAR SANTA TERESA                                                                                                                        "</f>
        <v xml:space="preserve">POPULAR SANTA TERESA                                                                                                                        </v>
      </c>
      <c r="G2709" s="26" t="str">
        <f>"TLALPAN                                                                         "</f>
        <v xml:space="preserve">TLALPAN                                                                         </v>
      </c>
      <c r="H2709" s="26" t="str">
        <f>"049"</f>
        <v>049</v>
      </c>
      <c r="I2709" s="26" t="str">
        <f t="shared" si="538"/>
        <v>00</v>
      </c>
      <c r="J2709" s="26" t="str">
        <f>"35 "</f>
        <v xml:space="preserve">35 </v>
      </c>
      <c r="K2709" s="26" t="str">
        <f>"EP"</f>
        <v>EP</v>
      </c>
      <c r="L2709" s="26" t="str">
        <f>"DGOSE"</f>
        <v>DGOSE</v>
      </c>
      <c r="M2709" s="26" t="str">
        <f t="shared" si="535"/>
        <v>PARTICULAR</v>
      </c>
      <c r="N2709" s="26">
        <v>37</v>
      </c>
      <c r="O2709" s="26">
        <v>23</v>
      </c>
      <c r="P2709" s="26">
        <v>14</v>
      </c>
      <c r="Q2709" s="26">
        <v>3</v>
      </c>
      <c r="R2709" s="26">
        <v>1</v>
      </c>
      <c r="S2709" s="26">
        <v>3</v>
      </c>
      <c r="T2709" s="26">
        <v>3</v>
      </c>
      <c r="U2709" s="26">
        <v>7</v>
      </c>
      <c r="V2709" s="26">
        <v>1</v>
      </c>
      <c r="W2709" s="26"/>
    </row>
    <row r="2710" spans="1:23" x14ac:dyDescent="0.25">
      <c r="A2710" s="26" t="str">
        <f t="shared" si="537"/>
        <v>PREESCOLAR</v>
      </c>
      <c r="B2710" s="26" t="str">
        <f>"09PJN5237W"</f>
        <v>09PJN5237W</v>
      </c>
      <c r="C2710" s="26" t="str">
        <f>"COLEGIO MONTESSORI DEL BOSQUE                                                                       "</f>
        <v xml:space="preserve">COLEGIO MONTESSORI DEL BOSQUE                                                                       </v>
      </c>
      <c r="D2710" s="26" t="str">
        <f t="shared" si="541"/>
        <v>MATUTINO</v>
      </c>
      <c r="E2710" s="26" t="str">
        <f>"TIBURCIO MONTIELMNO. 25-A                                                       "</f>
        <v xml:space="preserve">TIBURCIO MONTIELMNO. 25-A                                                       </v>
      </c>
      <c r="F2710" s="26" t="str">
        <f>"SAN MIGUEL CHAPULTEPEC                                                                                                                      "</f>
        <v xml:space="preserve">SAN MIGUEL CHAPULTEPEC                                                                                                                      </v>
      </c>
      <c r="G2710" s="26" t="str">
        <f>"MIGUEL HIDALGO                                                                  "</f>
        <v xml:space="preserve">MIGUEL HIDALGO                                                                  </v>
      </c>
      <c r="H2710" s="26" t="str">
        <f>"014"</f>
        <v>014</v>
      </c>
      <c r="I2710" s="26" t="str">
        <f t="shared" si="538"/>
        <v>00</v>
      </c>
      <c r="J2710" s="26" t="str">
        <f>"32 "</f>
        <v xml:space="preserve">32 </v>
      </c>
      <c r="K2710" s="26" t="str">
        <f>"EP"</f>
        <v>EP</v>
      </c>
      <c r="L2710" s="26" t="str">
        <f>"DGOSE"</f>
        <v>DGOSE</v>
      </c>
      <c r="M2710" s="26" t="str">
        <f t="shared" si="535"/>
        <v>PARTICULAR</v>
      </c>
      <c r="N2710" s="26">
        <v>33</v>
      </c>
      <c r="O2710" s="26">
        <v>17</v>
      </c>
      <c r="P2710" s="26">
        <v>16</v>
      </c>
      <c r="Q2710" s="26">
        <v>3</v>
      </c>
      <c r="R2710" s="26">
        <v>1</v>
      </c>
      <c r="S2710" s="26">
        <v>3</v>
      </c>
      <c r="T2710" s="26">
        <v>2</v>
      </c>
      <c r="U2710" s="26">
        <v>6</v>
      </c>
      <c r="V2710" s="26">
        <v>1</v>
      </c>
      <c r="W2710" s="26"/>
    </row>
    <row r="2711" spans="1:23" x14ac:dyDescent="0.25">
      <c r="A2711" s="26" t="str">
        <f t="shared" si="537"/>
        <v>PREESCOLAR</v>
      </c>
      <c r="B2711" s="26" t="str">
        <f>"09PJN5240J"</f>
        <v>09PJN5240J</v>
      </c>
      <c r="C2711" s="26" t="str">
        <f>"GUARDERIA INFANTIL ROJO GOMEZ                                                                       "</f>
        <v xml:space="preserve">GUARDERIA INFANTIL ROJO GOMEZ                                                                       </v>
      </c>
      <c r="D2711" s="26" t="str">
        <f t="shared" si="541"/>
        <v>MATUTINO</v>
      </c>
      <c r="E2711" s="26" t="str">
        <f>"MELEROS NO. 47                                                                  "</f>
        <v xml:space="preserve">MELEROS NO. 47                                                                  </v>
      </c>
      <c r="F2711" s="26" t="str">
        <f>"CENTRAL DE ABASTOS                                                                                                                          "</f>
        <v xml:space="preserve">CENTRAL DE ABASTOS                                                                                                                          </v>
      </c>
      <c r="G2711" s="26" t="str">
        <f>"IZTAPALAPA                                                                      "</f>
        <v xml:space="preserve">IZTAPALAPA                                                                      </v>
      </c>
      <c r="H2711" s="26" t="str">
        <f>"000"</f>
        <v>000</v>
      </c>
      <c r="I2711" s="26" t="str">
        <f t="shared" si="538"/>
        <v>00</v>
      </c>
      <c r="J2711" s="26" t="str">
        <f>"61 "</f>
        <v xml:space="preserve">61 </v>
      </c>
      <c r="K2711" s="26" t="str">
        <f>"IZ"</f>
        <v>IZ</v>
      </c>
      <c r="L2711" s="26" t="str">
        <f>"DGSEI"</f>
        <v>DGSEI</v>
      </c>
      <c r="M2711" s="26" t="str">
        <f t="shared" si="535"/>
        <v>PARTICULAR</v>
      </c>
      <c r="N2711" s="26">
        <v>57</v>
      </c>
      <c r="O2711" s="26">
        <v>26</v>
      </c>
      <c r="P2711" s="26">
        <v>31</v>
      </c>
      <c r="Q2711" s="26">
        <v>6</v>
      </c>
      <c r="R2711" s="26">
        <v>1</v>
      </c>
      <c r="S2711" s="26">
        <v>6</v>
      </c>
      <c r="T2711" s="26">
        <v>19</v>
      </c>
      <c r="U2711" s="26">
        <v>26</v>
      </c>
      <c r="V2711" s="26">
        <v>1</v>
      </c>
      <c r="W2711" s="26"/>
    </row>
    <row r="2712" spans="1:23" x14ac:dyDescent="0.25">
      <c r="A2712" s="26" t="str">
        <f t="shared" si="537"/>
        <v>PREESCOLAR</v>
      </c>
      <c r="B2712" s="26" t="str">
        <f>"09PJN5242H"</f>
        <v>09PJN5242H</v>
      </c>
      <c r="C2712" s="26" t="str">
        <f>"HAVEN                                                                                               "</f>
        <v xml:space="preserve">HAVEN                                                                                               </v>
      </c>
      <c r="D2712" s="26" t="str">
        <f t="shared" si="541"/>
        <v>MATUTINO</v>
      </c>
      <c r="E2712" s="26" t="str">
        <f>"CASCADA NO. 818                                                                 "</f>
        <v xml:space="preserve">CASCADA NO. 818                                                                 </v>
      </c>
      <c r="F2712" s="26" t="str">
        <f>"BANJIDAL                                                                                                                                    "</f>
        <v xml:space="preserve">BANJIDAL                                                                                                                                    </v>
      </c>
      <c r="G2712" s="26" t="str">
        <f>"IZTAPALAPA                                                                      "</f>
        <v xml:space="preserve">IZTAPALAPA                                                                      </v>
      </c>
      <c r="H2712" s="26" t="str">
        <f>"000"</f>
        <v>000</v>
      </c>
      <c r="I2712" s="26" t="str">
        <f t="shared" si="538"/>
        <v>00</v>
      </c>
      <c r="J2712" s="26" t="str">
        <f>"61 "</f>
        <v xml:space="preserve">61 </v>
      </c>
      <c r="K2712" s="26" t="str">
        <f>"IZ"</f>
        <v>IZ</v>
      </c>
      <c r="L2712" s="26" t="str">
        <f>"DGSEI"</f>
        <v>DGSEI</v>
      </c>
      <c r="M2712" s="26" t="str">
        <f t="shared" si="535"/>
        <v>PARTICULAR</v>
      </c>
      <c r="N2712" s="26">
        <v>30</v>
      </c>
      <c r="O2712" s="26">
        <v>19</v>
      </c>
      <c r="P2712" s="26">
        <v>11</v>
      </c>
      <c r="Q2712" s="26">
        <v>3</v>
      </c>
      <c r="R2712" s="26">
        <v>1</v>
      </c>
      <c r="S2712" s="26">
        <v>1</v>
      </c>
      <c r="T2712" s="26">
        <v>2</v>
      </c>
      <c r="U2712" s="26">
        <v>4</v>
      </c>
      <c r="V2712" s="26">
        <v>1</v>
      </c>
      <c r="W2712" s="26"/>
    </row>
    <row r="2713" spans="1:23" x14ac:dyDescent="0.25">
      <c r="A2713" s="26" t="str">
        <f t="shared" si="537"/>
        <v>PREESCOLAR</v>
      </c>
      <c r="B2713" s="26" t="str">
        <f>"09PJN5243G"</f>
        <v>09PJN5243G</v>
      </c>
      <c r="C2713" s="26" t="str">
        <f>"COLEGIO REINA DE LAS AMERICAS                                                                       "</f>
        <v xml:space="preserve">COLEGIO REINA DE LAS AMERICAS                                                                       </v>
      </c>
      <c r="D2713" s="26" t="str">
        <f t="shared" si="541"/>
        <v>MATUTINO</v>
      </c>
      <c r="E2713" s="26" t="str">
        <f>"ORIENTE 158 NO. 232                                                             "</f>
        <v xml:space="preserve">ORIENTE 158 NO. 232                                                             </v>
      </c>
      <c r="F2713" s="26" t="str">
        <f>"MOCTEZUMA 2A SECCION                                                                                                                        "</f>
        <v xml:space="preserve">MOCTEZUMA 2A SECCION                                                                                                                        </v>
      </c>
      <c r="G2713" s="26" t="str">
        <f>"VENUSTIANO CARRANZA                                                             "</f>
        <v xml:space="preserve">VENUSTIANO CARRANZA                                                             </v>
      </c>
      <c r="H2713" s="26" t="str">
        <f>"248"</f>
        <v>248</v>
      </c>
      <c r="I2713" s="26" t="str">
        <f t="shared" si="538"/>
        <v>00</v>
      </c>
      <c r="J2713" s="26" t="str">
        <f>"33 "</f>
        <v xml:space="preserve">33 </v>
      </c>
      <c r="K2713" s="26" t="str">
        <f t="shared" ref="K2713:K2721" si="542">"EP"</f>
        <v>EP</v>
      </c>
      <c r="L2713" s="26" t="str">
        <f t="shared" ref="L2713:L2721" si="543">"DGOSE"</f>
        <v>DGOSE</v>
      </c>
      <c r="M2713" s="26" t="str">
        <f t="shared" si="535"/>
        <v>PARTICULAR</v>
      </c>
      <c r="N2713" s="26">
        <v>28</v>
      </c>
      <c r="O2713" s="26">
        <v>15</v>
      </c>
      <c r="P2713" s="26">
        <v>13</v>
      </c>
      <c r="Q2713" s="26">
        <v>3</v>
      </c>
      <c r="R2713" s="26">
        <v>1</v>
      </c>
      <c r="S2713" s="26">
        <v>3</v>
      </c>
      <c r="T2713" s="26">
        <v>3</v>
      </c>
      <c r="U2713" s="26">
        <v>7</v>
      </c>
      <c r="V2713" s="26">
        <v>1</v>
      </c>
      <c r="W2713" s="26"/>
    </row>
    <row r="2714" spans="1:23" x14ac:dyDescent="0.25">
      <c r="A2714" s="26" t="str">
        <f t="shared" si="537"/>
        <v>PREESCOLAR</v>
      </c>
      <c r="B2714" s="26" t="str">
        <f>"09PJN5245E"</f>
        <v>09PJN5245E</v>
      </c>
      <c r="C2714" s="26" t="str">
        <f>"INSTITUTO CULTURAL AHATZIN                                                                          "</f>
        <v xml:space="preserve">INSTITUTO CULTURAL AHATZIN                                                                          </v>
      </c>
      <c r="D2714" s="26" t="str">
        <f>"VESPERTINO"</f>
        <v>VESPERTINO</v>
      </c>
      <c r="E2714" s="26" t="str">
        <f>"FERROCARRIL DE RIO FRIO NO.54                                                   "</f>
        <v xml:space="preserve">FERROCARRIL DE RIO FRIO NO.54                                                   </v>
      </c>
      <c r="F2714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2714" s="26" t="str">
        <f>"IZTACALCO                                                                       "</f>
        <v xml:space="preserve">IZTACALCO                                                                       </v>
      </c>
      <c r="H2714" s="26" t="str">
        <f>"143"</f>
        <v>143</v>
      </c>
      <c r="I2714" s="26" t="str">
        <f t="shared" si="538"/>
        <v>00</v>
      </c>
      <c r="J2714" s="26" t="str">
        <f>"33 "</f>
        <v xml:space="preserve">33 </v>
      </c>
      <c r="K2714" s="26" t="str">
        <f t="shared" si="542"/>
        <v>EP</v>
      </c>
      <c r="L2714" s="26" t="str">
        <f t="shared" si="543"/>
        <v>DGOSE</v>
      </c>
      <c r="M2714" s="26" t="str">
        <f t="shared" si="535"/>
        <v>PARTICULAR</v>
      </c>
      <c r="N2714" s="26">
        <v>32</v>
      </c>
      <c r="O2714" s="26">
        <v>19</v>
      </c>
      <c r="P2714" s="26">
        <v>13</v>
      </c>
      <c r="Q2714" s="26">
        <v>3</v>
      </c>
      <c r="R2714" s="26">
        <v>1</v>
      </c>
      <c r="S2714" s="26">
        <v>3</v>
      </c>
      <c r="T2714" s="26">
        <v>2</v>
      </c>
      <c r="U2714" s="26">
        <v>6</v>
      </c>
      <c r="V2714" s="26">
        <v>1</v>
      </c>
      <c r="W2714" s="26"/>
    </row>
    <row r="2715" spans="1:23" x14ac:dyDescent="0.25">
      <c r="A2715" s="26" t="str">
        <f t="shared" si="537"/>
        <v>PREESCOLAR</v>
      </c>
      <c r="B2715" s="26" t="str">
        <f>"09PJN5246D"</f>
        <v>09PJN5246D</v>
      </c>
      <c r="C2715" s="26" t="str">
        <f>"CENTRO DE DESARROLLO INFANTIL ALBERTO BRANIFF                                                       "</f>
        <v xml:space="preserve">CENTRO DE DESARROLLO INFANTIL ALBERTO BRANIFF                                                       </v>
      </c>
      <c r="D2715" s="26" t="str">
        <f t="shared" ref="D2715:D2731" si="544">"MATUTINO"</f>
        <v>MATUTINO</v>
      </c>
      <c r="E2715" s="26" t="str">
        <f>"ALBERTO BRANIFF NO. 56                                                          "</f>
        <v xml:space="preserve">ALBERTO BRANIFF NO. 56                                                          </v>
      </c>
      <c r="F2715" s="26" t="str">
        <f>"AVIACION CIVIL                                                                                                                              "</f>
        <v xml:space="preserve">AVIACION CIVIL                                                                                                                              </v>
      </c>
      <c r="G2715" s="26" t="str">
        <f>"VENUSTIANO CARRANZA                                                             "</f>
        <v xml:space="preserve">VENUSTIANO CARRANZA                                                             </v>
      </c>
      <c r="H2715" s="26" t="str">
        <f>"161"</f>
        <v>161</v>
      </c>
      <c r="I2715" s="26" t="str">
        <f t="shared" si="538"/>
        <v>00</v>
      </c>
      <c r="J2715" s="26" t="str">
        <f>"33 "</f>
        <v xml:space="preserve">33 </v>
      </c>
      <c r="K2715" s="26" t="str">
        <f t="shared" si="542"/>
        <v>EP</v>
      </c>
      <c r="L2715" s="26" t="str">
        <f t="shared" si="543"/>
        <v>DGOSE</v>
      </c>
      <c r="M2715" s="26" t="str">
        <f t="shared" si="535"/>
        <v>PARTICULAR</v>
      </c>
      <c r="N2715" s="26">
        <v>41</v>
      </c>
      <c r="O2715" s="26">
        <v>17</v>
      </c>
      <c r="P2715" s="26">
        <v>24</v>
      </c>
      <c r="Q2715" s="26">
        <v>3</v>
      </c>
      <c r="R2715" s="26">
        <v>1</v>
      </c>
      <c r="S2715" s="26">
        <v>2</v>
      </c>
      <c r="T2715" s="26">
        <v>2</v>
      </c>
      <c r="U2715" s="26">
        <v>5</v>
      </c>
      <c r="V2715" s="26">
        <v>1</v>
      </c>
      <c r="W2715" s="26"/>
    </row>
    <row r="2716" spans="1:23" x14ac:dyDescent="0.25">
      <c r="A2716" s="26" t="str">
        <f t="shared" si="537"/>
        <v>PREESCOLAR</v>
      </c>
      <c r="B2716" s="26" t="str">
        <f>"09PJN5247C"</f>
        <v>09PJN5247C</v>
      </c>
      <c r="C2716" s="26" t="str">
        <f>"COLEGIO ALBERT EINSTEIN                                                                             "</f>
        <v xml:space="preserve">COLEGIO ALBERT EINSTEIN                                                                             </v>
      </c>
      <c r="D2716" s="26" t="str">
        <f t="shared" si="544"/>
        <v>MATUTINO</v>
      </c>
      <c r="E2716" s="26" t="str">
        <f>"ORIENTE 239-A NO.92                                                             "</f>
        <v xml:space="preserve">ORIENTE 239-A NO.92                                                             </v>
      </c>
      <c r="F2716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2716" s="26" t="str">
        <f>"IZTACALCO                                                                       "</f>
        <v xml:space="preserve">IZTACALCO                                                                       </v>
      </c>
      <c r="H2716" s="26" t="str">
        <f>"143"</f>
        <v>143</v>
      </c>
      <c r="I2716" s="26" t="str">
        <f t="shared" si="538"/>
        <v>00</v>
      </c>
      <c r="J2716" s="26" t="str">
        <f>"33 "</f>
        <v xml:space="preserve">33 </v>
      </c>
      <c r="K2716" s="26" t="str">
        <f t="shared" si="542"/>
        <v>EP</v>
      </c>
      <c r="L2716" s="26" t="str">
        <f t="shared" si="543"/>
        <v>DGOSE</v>
      </c>
      <c r="M2716" s="26" t="str">
        <f t="shared" si="535"/>
        <v>PARTICULAR</v>
      </c>
      <c r="N2716" s="26">
        <v>18</v>
      </c>
      <c r="O2716" s="26">
        <v>8</v>
      </c>
      <c r="P2716" s="26">
        <v>10</v>
      </c>
      <c r="Q2716" s="26">
        <v>2</v>
      </c>
      <c r="R2716" s="26">
        <v>1</v>
      </c>
      <c r="S2716" s="26">
        <v>2</v>
      </c>
      <c r="T2716" s="26">
        <v>1</v>
      </c>
      <c r="U2716" s="26">
        <v>4</v>
      </c>
      <c r="V2716" s="26">
        <v>1</v>
      </c>
      <c r="W2716" s="26"/>
    </row>
    <row r="2717" spans="1:23" x14ac:dyDescent="0.25">
      <c r="A2717" s="26" t="str">
        <f t="shared" si="537"/>
        <v>PREESCOLAR</v>
      </c>
      <c r="B2717" s="26" t="str">
        <f>"09PJN5248B"</f>
        <v>09PJN5248B</v>
      </c>
      <c r="C2717" s="26" t="str">
        <f>"JARDÍN DE NIÑOS BABY PEKKES                                                                         "</f>
        <v xml:space="preserve">JARDÍN DE NIÑOS BABY PEKKES                                                                         </v>
      </c>
      <c r="D2717" s="26" t="str">
        <f t="shared" si="544"/>
        <v>MATUTINO</v>
      </c>
      <c r="E2717" s="26" t="str">
        <f>"VIOLETA NO.120                                                                  "</f>
        <v xml:space="preserve">VIOLETA NO.120                                                                  </v>
      </c>
      <c r="F2717" s="26" t="str">
        <f>"XALTOCAN                                                                                                                                    "</f>
        <v xml:space="preserve">XALTOCAN                                                                                                                                    </v>
      </c>
      <c r="G2717" s="26" t="str">
        <f>"XOCHIMILCO                                                                      "</f>
        <v xml:space="preserve">XOCHIMILCO                                                                      </v>
      </c>
      <c r="H2717" s="26" t="str">
        <f>"052"</f>
        <v>052</v>
      </c>
      <c r="I2717" s="26" t="str">
        <f t="shared" si="538"/>
        <v>00</v>
      </c>
      <c r="J2717" s="26" t="str">
        <f>"35 "</f>
        <v xml:space="preserve">35 </v>
      </c>
      <c r="K2717" s="26" t="str">
        <f t="shared" si="542"/>
        <v>EP</v>
      </c>
      <c r="L2717" s="26" t="str">
        <f t="shared" si="543"/>
        <v>DGOSE</v>
      </c>
      <c r="M2717" s="26" t="str">
        <f t="shared" si="535"/>
        <v>PARTICULAR</v>
      </c>
      <c r="N2717" s="26">
        <v>44</v>
      </c>
      <c r="O2717" s="26">
        <v>24</v>
      </c>
      <c r="P2717" s="26">
        <v>20</v>
      </c>
      <c r="Q2717" s="26">
        <v>3</v>
      </c>
      <c r="R2717" s="26">
        <v>1</v>
      </c>
      <c r="S2717" s="26">
        <v>3</v>
      </c>
      <c r="T2717" s="26">
        <v>2</v>
      </c>
      <c r="U2717" s="26">
        <v>6</v>
      </c>
      <c r="V2717" s="26">
        <v>1</v>
      </c>
      <c r="W2717" s="26"/>
    </row>
    <row r="2718" spans="1:23" x14ac:dyDescent="0.25">
      <c r="A2718" s="26" t="str">
        <f t="shared" si="537"/>
        <v>PREESCOLAR</v>
      </c>
      <c r="B2718" s="26" t="str">
        <f>"09PJN5249A"</f>
        <v>09PJN5249A</v>
      </c>
      <c r="C2718" s="26" t="str">
        <f>"YEETEL TIN                                                                                          "</f>
        <v xml:space="preserve">YEETEL TIN                                                                                          </v>
      </c>
      <c r="D2718" s="26" t="str">
        <f t="shared" si="544"/>
        <v>MATUTINO</v>
      </c>
      <c r="E2718" s="26" t="str">
        <f>"PERA VERDIÑAL NO.149                                                            "</f>
        <v xml:space="preserve">PERA VERDIÑAL NO.149                                                            </v>
      </c>
      <c r="F2718" s="26" t="str">
        <f>"PASEOS DEL SUR                                                                                                                              "</f>
        <v xml:space="preserve">PASEOS DEL SUR                                                                                                                              </v>
      </c>
      <c r="G2718" s="26" t="str">
        <f>"XOCHIMILCO                                                                      "</f>
        <v xml:space="preserve">XOCHIMILCO                                                                      </v>
      </c>
      <c r="H2718" s="26" t="str">
        <f>"172"</f>
        <v>172</v>
      </c>
      <c r="I2718" s="26" t="str">
        <f t="shared" si="538"/>
        <v>00</v>
      </c>
      <c r="J2718" s="26" t="str">
        <f>"35 "</f>
        <v xml:space="preserve">35 </v>
      </c>
      <c r="K2718" s="26" t="str">
        <f t="shared" si="542"/>
        <v>EP</v>
      </c>
      <c r="L2718" s="26" t="str">
        <f t="shared" si="543"/>
        <v>DGOSE</v>
      </c>
      <c r="M2718" s="26" t="str">
        <f t="shared" si="535"/>
        <v>PARTICULAR</v>
      </c>
      <c r="N2718" s="26">
        <v>10</v>
      </c>
      <c r="O2718" s="26">
        <v>6</v>
      </c>
      <c r="P2718" s="26">
        <v>4</v>
      </c>
      <c r="Q2718" s="26">
        <v>3</v>
      </c>
      <c r="R2718" s="26">
        <v>1</v>
      </c>
      <c r="S2718" s="26">
        <v>2</v>
      </c>
      <c r="T2718" s="26">
        <v>3</v>
      </c>
      <c r="U2718" s="26">
        <v>6</v>
      </c>
      <c r="V2718" s="26">
        <v>1</v>
      </c>
      <c r="W2718" s="26"/>
    </row>
    <row r="2719" spans="1:23" x14ac:dyDescent="0.25">
      <c r="A2719" s="26" t="str">
        <f t="shared" si="537"/>
        <v>PREESCOLAR</v>
      </c>
      <c r="B2719" s="26" t="str">
        <f>"09PJN5250Q"</f>
        <v>09PJN5250Q</v>
      </c>
      <c r="C2719" s="26" t="str">
        <f>"KINDERGYM AGUILAS                                                                                   "</f>
        <v xml:space="preserve">KINDERGYM AGUILAS                                                                                   </v>
      </c>
      <c r="D2719" s="26" t="str">
        <f t="shared" si="544"/>
        <v>MATUTINO</v>
      </c>
      <c r="E2719" s="26" t="str">
        <f>"REMOLINO NO. 19                                                                 "</f>
        <v xml:space="preserve">REMOLINO NO. 19                                                                 </v>
      </c>
      <c r="F2719" s="26" t="str">
        <f>"ALPES                                                                                                                                       "</f>
        <v xml:space="preserve">ALPES                                                                                                                                       </v>
      </c>
      <c r="G2719" s="26" t="str">
        <f>"ALVARO OBREGON                                                                  "</f>
        <v xml:space="preserve">ALVARO OBREGON                                                                  </v>
      </c>
      <c r="H2719" s="26" t="str">
        <f>"046"</f>
        <v>046</v>
      </c>
      <c r="I2719" s="26" t="str">
        <f t="shared" si="538"/>
        <v>00</v>
      </c>
      <c r="J2719" s="26" t="str">
        <f>"33 "</f>
        <v xml:space="preserve">33 </v>
      </c>
      <c r="K2719" s="26" t="str">
        <f t="shared" si="542"/>
        <v>EP</v>
      </c>
      <c r="L2719" s="26" t="str">
        <f t="shared" si="543"/>
        <v>DGOSE</v>
      </c>
      <c r="M2719" s="26" t="str">
        <f t="shared" si="535"/>
        <v>PARTICULAR</v>
      </c>
      <c r="N2719" s="26">
        <v>58</v>
      </c>
      <c r="O2719" s="26">
        <v>37</v>
      </c>
      <c r="P2719" s="26">
        <v>21</v>
      </c>
      <c r="Q2719" s="26">
        <v>5</v>
      </c>
      <c r="R2719" s="26">
        <v>1</v>
      </c>
      <c r="S2719" s="26">
        <v>3</v>
      </c>
      <c r="T2719" s="26">
        <v>8</v>
      </c>
      <c r="U2719" s="26">
        <v>12</v>
      </c>
      <c r="V2719" s="26">
        <v>1</v>
      </c>
      <c r="W2719" s="26"/>
    </row>
    <row r="2720" spans="1:23" x14ac:dyDescent="0.25">
      <c r="A2720" s="26" t="str">
        <f t="shared" si="537"/>
        <v>PREESCOLAR</v>
      </c>
      <c r="B2720" s="26" t="str">
        <f>"09PJN5251P"</f>
        <v>09PJN5251P</v>
      </c>
      <c r="C2720" s="26" t="str">
        <f>"KINDERGYM CUAJIMALPA                                                                                "</f>
        <v xml:space="preserve">KINDERGYM CUAJIMALPA                                                                                </v>
      </c>
      <c r="D2720" s="26" t="str">
        <f t="shared" si="544"/>
        <v>MATUTINO</v>
      </c>
      <c r="E2720" s="26" t="str">
        <f>"JOSE MARIA CASTORENA NOS. 639 Y 643                                             "</f>
        <v xml:space="preserve">JOSE MARIA CASTORENA NOS. 639 Y 643                                             </v>
      </c>
      <c r="F2720" s="26" t="str">
        <f>"EL MOLINO                                                                                                                                   "</f>
        <v xml:space="preserve">EL MOLINO                                                                                                                                   </v>
      </c>
      <c r="G2720" s="26" t="str">
        <f>"CUAJIMALPA DE MORELOS                                                           "</f>
        <v xml:space="preserve">CUAJIMALPA DE MORELOS                                                           </v>
      </c>
      <c r="H2720" s="26" t="str">
        <f>"279"</f>
        <v>279</v>
      </c>
      <c r="I2720" s="26" t="str">
        <f t="shared" si="538"/>
        <v>00</v>
      </c>
      <c r="J2720" s="26" t="str">
        <f>"33 "</f>
        <v xml:space="preserve">33 </v>
      </c>
      <c r="K2720" s="26" t="str">
        <f t="shared" si="542"/>
        <v>EP</v>
      </c>
      <c r="L2720" s="26" t="str">
        <f t="shared" si="543"/>
        <v>DGOSE</v>
      </c>
      <c r="M2720" s="26" t="str">
        <f t="shared" si="535"/>
        <v>PARTICULAR</v>
      </c>
      <c r="N2720" s="26">
        <v>74</v>
      </c>
      <c r="O2720" s="26">
        <v>32</v>
      </c>
      <c r="P2720" s="26">
        <v>42</v>
      </c>
      <c r="Q2720" s="26">
        <v>5</v>
      </c>
      <c r="R2720" s="26">
        <v>1</v>
      </c>
      <c r="S2720" s="26">
        <v>5</v>
      </c>
      <c r="T2720" s="26">
        <v>2</v>
      </c>
      <c r="U2720" s="26">
        <v>8</v>
      </c>
      <c r="V2720" s="26">
        <v>1</v>
      </c>
      <c r="W2720" s="26"/>
    </row>
    <row r="2721" spans="1:23" x14ac:dyDescent="0.25">
      <c r="A2721" s="26" t="str">
        <f t="shared" si="537"/>
        <v>PREESCOLAR</v>
      </c>
      <c r="B2721" s="26" t="str">
        <f>"09PJN5252O"</f>
        <v>09PJN5252O</v>
      </c>
      <c r="C2721" s="26" t="str">
        <f>"COMUNIDAD INFANTIL YOLIHUE                                                                          "</f>
        <v xml:space="preserve">COMUNIDAD INFANTIL YOLIHUE                                                                          </v>
      </c>
      <c r="D2721" s="26" t="str">
        <f t="shared" si="544"/>
        <v>MATUTINO</v>
      </c>
      <c r="E2721" s="26" t="str">
        <f>"JUAN COUSIN NO.87                                                               "</f>
        <v xml:space="preserve">JUAN COUSIN NO.87                                                               </v>
      </c>
      <c r="F2721" s="26" t="str">
        <f>"ALFONSO XIII                                                                                                                                "</f>
        <v xml:space="preserve">ALFONSO XIII                                                                                                                                </v>
      </c>
      <c r="G2721" s="26" t="str">
        <f>"ALVARO OBREGON                                                                  "</f>
        <v xml:space="preserve">ALVARO OBREGON                                                                  </v>
      </c>
      <c r="H2721" s="26" t="str">
        <f>"165"</f>
        <v>165</v>
      </c>
      <c r="I2721" s="26" t="str">
        <f t="shared" si="538"/>
        <v>00</v>
      </c>
      <c r="J2721" s="26" t="str">
        <f>"33 "</f>
        <v xml:space="preserve">33 </v>
      </c>
      <c r="K2721" s="26" t="str">
        <f t="shared" si="542"/>
        <v>EP</v>
      </c>
      <c r="L2721" s="26" t="str">
        <f t="shared" si="543"/>
        <v>DGOSE</v>
      </c>
      <c r="M2721" s="26" t="str">
        <f t="shared" si="535"/>
        <v>PARTICULAR</v>
      </c>
      <c r="N2721" s="26">
        <v>25</v>
      </c>
      <c r="O2721" s="26">
        <v>14</v>
      </c>
      <c r="P2721" s="26">
        <v>11</v>
      </c>
      <c r="Q2721" s="26">
        <v>3</v>
      </c>
      <c r="R2721" s="26">
        <v>1</v>
      </c>
      <c r="S2721" s="26">
        <v>3</v>
      </c>
      <c r="T2721" s="26">
        <v>2</v>
      </c>
      <c r="U2721" s="26">
        <v>6</v>
      </c>
      <c r="V2721" s="26">
        <v>1</v>
      </c>
      <c r="W2721" s="26"/>
    </row>
    <row r="2722" spans="1:23" x14ac:dyDescent="0.25">
      <c r="A2722" s="26" t="str">
        <f t="shared" si="537"/>
        <v>PREESCOLAR</v>
      </c>
      <c r="B2722" s="26" t="str">
        <f>"09PJN5253N"</f>
        <v>09PJN5253N</v>
      </c>
      <c r="C2722" s="26" t="str">
        <f>"COLEGIO MODERNO MEXICANO                                                                            "</f>
        <v xml:space="preserve">COLEGIO MODERNO MEXICANO                                                                            </v>
      </c>
      <c r="D2722" s="26" t="str">
        <f t="shared" si="544"/>
        <v>MATUTINO</v>
      </c>
      <c r="E2722" s="26" t="str">
        <f>"ALOE NO. 1                                                                      "</f>
        <v xml:space="preserve">ALOE NO. 1                                                                      </v>
      </c>
      <c r="F2722" s="26" t="str">
        <f>"EL MANTO                                                                                                                                    "</f>
        <v xml:space="preserve">EL MANTO                                                                                                                                    </v>
      </c>
      <c r="G2722" s="26" t="str">
        <f>"IZTAPALAPA                                                                      "</f>
        <v xml:space="preserve">IZTAPALAPA                                                                      </v>
      </c>
      <c r="H2722" s="26" t="str">
        <f>"000"</f>
        <v>000</v>
      </c>
      <c r="I2722" s="26" t="str">
        <f t="shared" si="538"/>
        <v>00</v>
      </c>
      <c r="J2722" s="26" t="str">
        <f>"61 "</f>
        <v xml:space="preserve">61 </v>
      </c>
      <c r="K2722" s="26" t="str">
        <f>"IZ"</f>
        <v>IZ</v>
      </c>
      <c r="L2722" s="26" t="str">
        <f>"DGSEI"</f>
        <v>DGSEI</v>
      </c>
      <c r="M2722" s="26" t="str">
        <f t="shared" si="535"/>
        <v>PARTICULAR</v>
      </c>
      <c r="N2722" s="26">
        <v>17</v>
      </c>
      <c r="O2722" s="26">
        <v>11</v>
      </c>
      <c r="P2722" s="26">
        <v>6</v>
      </c>
      <c r="Q2722" s="26">
        <v>3</v>
      </c>
      <c r="R2722" s="26">
        <v>1</v>
      </c>
      <c r="S2722" s="26">
        <v>1</v>
      </c>
      <c r="T2722" s="26">
        <v>2</v>
      </c>
      <c r="U2722" s="26">
        <v>4</v>
      </c>
      <c r="V2722" s="26">
        <v>1</v>
      </c>
      <c r="W2722" s="26"/>
    </row>
    <row r="2723" spans="1:23" x14ac:dyDescent="0.25">
      <c r="A2723" s="26" t="str">
        <f t="shared" si="537"/>
        <v>PREESCOLAR</v>
      </c>
      <c r="B2723" s="26" t="str">
        <f>"09PJN5256K"</f>
        <v>09PJN5256K</v>
      </c>
      <c r="C2723" s="26" t="str">
        <f>"CENDI NUEVA GENERACION                                                                              "</f>
        <v xml:space="preserve">CENDI NUEVA GENERACION                                                                              </v>
      </c>
      <c r="D2723" s="26" t="str">
        <f t="shared" si="544"/>
        <v>MATUTINO</v>
      </c>
      <c r="E2723" s="26" t="str">
        <f>"NARANJO NO.159                                                                  "</f>
        <v xml:space="preserve">NARANJO NO.159                                                                  </v>
      </c>
      <c r="F2723" s="26" t="str">
        <f>"SANTA MARIA LA RIBERA                                                                                                                       "</f>
        <v xml:space="preserve">SANTA MARIA LA RIBERA                                                                                                                       </v>
      </c>
      <c r="G2723" s="26" t="s">
        <v>4128</v>
      </c>
      <c r="H2723" s="26" t="str">
        <f>"203"</f>
        <v>203</v>
      </c>
      <c r="I2723" s="26" t="str">
        <f t="shared" si="538"/>
        <v>00</v>
      </c>
      <c r="J2723" s="26" t="str">
        <f>"32 "</f>
        <v xml:space="preserve">32 </v>
      </c>
      <c r="K2723" s="26" t="str">
        <f t="shared" ref="K2723:K2729" si="545">"EP"</f>
        <v>EP</v>
      </c>
      <c r="L2723" s="26" t="str">
        <f t="shared" ref="L2723:L2729" si="546">"DGOSE"</f>
        <v>DGOSE</v>
      </c>
      <c r="M2723" s="26" t="str">
        <f t="shared" si="535"/>
        <v>PARTICULAR</v>
      </c>
      <c r="N2723" s="26">
        <v>126</v>
      </c>
      <c r="O2723" s="26">
        <v>67</v>
      </c>
      <c r="P2723" s="26">
        <v>59</v>
      </c>
      <c r="Q2723" s="26">
        <v>5</v>
      </c>
      <c r="R2723" s="26">
        <v>1</v>
      </c>
      <c r="S2723" s="26">
        <v>5</v>
      </c>
      <c r="T2723" s="26">
        <v>6</v>
      </c>
      <c r="U2723" s="26">
        <v>12</v>
      </c>
      <c r="V2723" s="26">
        <v>1</v>
      </c>
      <c r="W2723" s="26"/>
    </row>
    <row r="2724" spans="1:23" x14ac:dyDescent="0.25">
      <c r="A2724" s="26" t="str">
        <f t="shared" si="537"/>
        <v>PREESCOLAR</v>
      </c>
      <c r="B2724" s="26" t="str">
        <f>"09PJN5257J"</f>
        <v>09PJN5257J</v>
      </c>
      <c r="C2724" s="26" t="str">
        <f>"JARDIN DE NIÑOS NISKAL                                                                              "</f>
        <v xml:space="preserve">JARDIN DE NIÑOS NISKAL                                                                              </v>
      </c>
      <c r="D2724" s="26" t="str">
        <f t="shared" si="544"/>
        <v>MATUTINO</v>
      </c>
      <c r="E2724" s="26" t="str">
        <f>"AV. EJIDO DE SAN FCO. CULHUACAN NO.174                                          "</f>
        <v xml:space="preserve">AV. EJIDO DE SAN FCO. CULHUACAN NO.174                                          </v>
      </c>
      <c r="F2724" s="26" t="str">
        <f>"SAN FRANCISCO CULHUACAN EJIDO                                                                                                               "</f>
        <v xml:space="preserve">SAN FRANCISCO CULHUACAN EJIDO                                                                                                               </v>
      </c>
      <c r="G2724" s="26" t="str">
        <f>"COYOACAN                                                                        "</f>
        <v xml:space="preserve">COYOACAN                                                                        </v>
      </c>
      <c r="H2724" s="26" t="str">
        <f>"099"</f>
        <v>099</v>
      </c>
      <c r="I2724" s="26" t="str">
        <f t="shared" si="538"/>
        <v>00</v>
      </c>
      <c r="J2724" s="26" t="str">
        <f>"35 "</f>
        <v xml:space="preserve">35 </v>
      </c>
      <c r="K2724" s="26" t="str">
        <f t="shared" si="545"/>
        <v>EP</v>
      </c>
      <c r="L2724" s="26" t="str">
        <f t="shared" si="546"/>
        <v>DGOSE</v>
      </c>
      <c r="M2724" s="26" t="str">
        <f t="shared" si="535"/>
        <v>PARTICULAR</v>
      </c>
      <c r="N2724" s="26">
        <v>32</v>
      </c>
      <c r="O2724" s="26">
        <v>16</v>
      </c>
      <c r="P2724" s="26">
        <v>16</v>
      </c>
      <c r="Q2724" s="26">
        <v>3</v>
      </c>
      <c r="R2724" s="26">
        <v>1</v>
      </c>
      <c r="S2724" s="26">
        <v>3</v>
      </c>
      <c r="T2724" s="26">
        <v>0</v>
      </c>
      <c r="U2724" s="26">
        <v>4</v>
      </c>
      <c r="V2724" s="26">
        <v>1</v>
      </c>
      <c r="W2724" s="26"/>
    </row>
    <row r="2725" spans="1:23" x14ac:dyDescent="0.25">
      <c r="A2725" s="26" t="str">
        <f t="shared" si="537"/>
        <v>PREESCOLAR</v>
      </c>
      <c r="B2725" s="26" t="str">
        <f>"09PJN5258I"</f>
        <v>09PJN5258I</v>
      </c>
      <c r="C2725" s="26" t="str">
        <f>"COLEGIO KENNY BERTINI                                                                               "</f>
        <v xml:space="preserve">COLEGIO KENNY BERTINI                                                                               </v>
      </c>
      <c r="D2725" s="26" t="str">
        <f t="shared" si="544"/>
        <v>MATUTINO</v>
      </c>
      <c r="E2725" s="26" t="str">
        <f>"IZAMAL NO. 225                                                                  "</f>
        <v xml:space="preserve">IZAMAL NO. 225                                                                  </v>
      </c>
      <c r="F2725" s="26" t="str">
        <f>"HEROES DE PADIERNA                                                                                                                          "</f>
        <v xml:space="preserve">HEROES DE PADIERNA                                                                                                                          </v>
      </c>
      <c r="G2725" s="26" t="str">
        <f>"TLALPAN                                                                         "</f>
        <v xml:space="preserve">TLALPAN                                                                         </v>
      </c>
      <c r="H2725" s="26" t="str">
        <f>"049"</f>
        <v>049</v>
      </c>
      <c r="I2725" s="26" t="str">
        <f t="shared" si="538"/>
        <v>00</v>
      </c>
      <c r="J2725" s="26" t="str">
        <f>"35 "</f>
        <v xml:space="preserve">35 </v>
      </c>
      <c r="K2725" s="26" t="str">
        <f t="shared" si="545"/>
        <v>EP</v>
      </c>
      <c r="L2725" s="26" t="str">
        <f t="shared" si="546"/>
        <v>DGOSE</v>
      </c>
      <c r="M2725" s="26" t="str">
        <f t="shared" si="535"/>
        <v>PARTICULAR</v>
      </c>
      <c r="N2725" s="26">
        <v>22</v>
      </c>
      <c r="O2725" s="26">
        <v>13</v>
      </c>
      <c r="P2725" s="26">
        <v>9</v>
      </c>
      <c r="Q2725" s="26">
        <v>3</v>
      </c>
      <c r="R2725" s="26">
        <v>1</v>
      </c>
      <c r="S2725" s="26">
        <v>2</v>
      </c>
      <c r="T2725" s="26">
        <v>3</v>
      </c>
      <c r="U2725" s="26">
        <v>6</v>
      </c>
      <c r="V2725" s="26">
        <v>1</v>
      </c>
      <c r="W2725" s="26"/>
    </row>
    <row r="2726" spans="1:23" x14ac:dyDescent="0.25">
      <c r="A2726" s="26" t="str">
        <f t="shared" si="537"/>
        <v>PREESCOLAR</v>
      </c>
      <c r="B2726" s="26" t="str">
        <f>"09PJN5259H"</f>
        <v>09PJN5259H</v>
      </c>
      <c r="C2726" s="26" t="str">
        <f>"KIPPER MÉXICO                                                                                       "</f>
        <v xml:space="preserve">KIPPER MÉXICO                                                                                       </v>
      </c>
      <c r="D2726" s="26" t="str">
        <f t="shared" si="544"/>
        <v>MATUTINO</v>
      </c>
      <c r="E2726" s="26" t="str">
        <f>"CALZADA DE ACOXPA  NO. 896                                                      "</f>
        <v xml:space="preserve">CALZADA DE ACOXPA  NO. 896                                                      </v>
      </c>
      <c r="F2726" s="26" t="str">
        <f>"VILLA COAPA                                                                                                                                 "</f>
        <v xml:space="preserve">VILLA COAPA                                                                                                                                 </v>
      </c>
      <c r="G2726" s="26" t="str">
        <f>"TLALPAN                                                                         "</f>
        <v xml:space="preserve">TLALPAN                                                                         </v>
      </c>
      <c r="H2726" s="26" t="str">
        <f>"050"</f>
        <v>050</v>
      </c>
      <c r="I2726" s="26" t="str">
        <f t="shared" si="538"/>
        <v>00</v>
      </c>
      <c r="J2726" s="26" t="str">
        <f>"35 "</f>
        <v xml:space="preserve">35 </v>
      </c>
      <c r="K2726" s="26" t="str">
        <f t="shared" si="545"/>
        <v>EP</v>
      </c>
      <c r="L2726" s="26" t="str">
        <f t="shared" si="546"/>
        <v>DGOSE</v>
      </c>
      <c r="M2726" s="26" t="str">
        <f t="shared" si="535"/>
        <v>PARTICULAR</v>
      </c>
      <c r="N2726" s="26">
        <v>18</v>
      </c>
      <c r="O2726" s="26">
        <v>6</v>
      </c>
      <c r="P2726" s="26">
        <v>12</v>
      </c>
      <c r="Q2726" s="26">
        <v>3</v>
      </c>
      <c r="R2726" s="26">
        <v>1</v>
      </c>
      <c r="S2726" s="26">
        <v>2</v>
      </c>
      <c r="T2726" s="26">
        <v>1</v>
      </c>
      <c r="U2726" s="26">
        <v>4</v>
      </c>
      <c r="V2726" s="26">
        <v>1</v>
      </c>
      <c r="W2726" s="26"/>
    </row>
    <row r="2727" spans="1:23" x14ac:dyDescent="0.25">
      <c r="A2727" s="26" t="str">
        <f t="shared" si="537"/>
        <v>PREESCOLAR</v>
      </c>
      <c r="B2727" s="26" t="str">
        <f>"09PJN5260X"</f>
        <v>09PJN5260X</v>
      </c>
      <c r="C2727" s="26" t="str">
        <f>"JARDIN DE NIÑOS SOFIA                                                                               "</f>
        <v xml:space="preserve">JARDIN DE NIÑOS SOFIA                                                                               </v>
      </c>
      <c r="D2727" s="26" t="str">
        <f t="shared" si="544"/>
        <v>MATUTINO</v>
      </c>
      <c r="E2727" s="26" t="str">
        <f>"PLAYA MIRAMAR NO. 455                                                           "</f>
        <v xml:space="preserve">PLAYA MIRAMAR NO. 455                                                           </v>
      </c>
      <c r="F2727" s="26" t="str">
        <f>"MILITAR MARTE                                                                                                                               "</f>
        <v xml:space="preserve">MILITAR MARTE                                                                                                                               </v>
      </c>
      <c r="G2727" s="26" t="str">
        <f>"IZTACALCO                                                                       "</f>
        <v xml:space="preserve">IZTACALCO                                                                       </v>
      </c>
      <c r="H2727" s="26" t="str">
        <f>"238"</f>
        <v>238</v>
      </c>
      <c r="I2727" s="26" t="str">
        <f t="shared" si="538"/>
        <v>00</v>
      </c>
      <c r="J2727" s="26" t="str">
        <f>"33 "</f>
        <v xml:space="preserve">33 </v>
      </c>
      <c r="K2727" s="26" t="str">
        <f t="shared" si="545"/>
        <v>EP</v>
      </c>
      <c r="L2727" s="26" t="str">
        <f t="shared" si="546"/>
        <v>DGOSE</v>
      </c>
      <c r="M2727" s="26" t="str">
        <f t="shared" si="535"/>
        <v>PARTICULAR</v>
      </c>
      <c r="N2727" s="26">
        <v>29</v>
      </c>
      <c r="O2727" s="26">
        <v>20</v>
      </c>
      <c r="P2727" s="26">
        <v>9</v>
      </c>
      <c r="Q2727" s="26">
        <v>3</v>
      </c>
      <c r="R2727" s="26">
        <v>0</v>
      </c>
      <c r="S2727" s="26">
        <v>2</v>
      </c>
      <c r="T2727" s="26">
        <v>2</v>
      </c>
      <c r="U2727" s="26">
        <v>4</v>
      </c>
      <c r="V2727" s="26">
        <v>1</v>
      </c>
      <c r="W2727" s="26"/>
    </row>
    <row r="2728" spans="1:23" x14ac:dyDescent="0.25">
      <c r="A2728" s="26" t="str">
        <f t="shared" si="537"/>
        <v>PREESCOLAR</v>
      </c>
      <c r="B2728" s="26" t="str">
        <f>"09PJN5261W"</f>
        <v>09PJN5261W</v>
      </c>
      <c r="C2728" s="26" t="str">
        <f>"LICEO MEXICANO JEAN PIAGET                                                                          "</f>
        <v xml:space="preserve">LICEO MEXICANO JEAN PIAGET                                                                          </v>
      </c>
      <c r="D2728" s="26" t="str">
        <f t="shared" si="544"/>
        <v>MATUTINO</v>
      </c>
      <c r="E2728" s="26" t="str">
        <f>"AV. AQUILES SERDAN NO. 20                                                       "</f>
        <v xml:space="preserve">AV. AQUILES SERDAN NO. 20                                                       </v>
      </c>
      <c r="F2728" s="26" t="str">
        <f>"ANGEL ZIMBRON                                                                                                                               "</f>
        <v xml:space="preserve">ANGEL ZIMBRON                                                                                                                               </v>
      </c>
      <c r="G2728" s="26" t="str">
        <f>"AZCAPOTZALCO                                                                    "</f>
        <v xml:space="preserve">AZCAPOTZALCO                                                                    </v>
      </c>
      <c r="H2728" s="26" t="str">
        <f>"059"</f>
        <v>059</v>
      </c>
      <c r="I2728" s="26" t="str">
        <f t="shared" si="538"/>
        <v>00</v>
      </c>
      <c r="J2728" s="26" t="str">
        <f>"32 "</f>
        <v xml:space="preserve">32 </v>
      </c>
      <c r="K2728" s="26" t="str">
        <f t="shared" si="545"/>
        <v>EP</v>
      </c>
      <c r="L2728" s="26" t="str">
        <f t="shared" si="546"/>
        <v>DGOSE</v>
      </c>
      <c r="M2728" s="26" t="str">
        <f t="shared" si="535"/>
        <v>PARTICULAR</v>
      </c>
      <c r="N2728" s="26">
        <v>24</v>
      </c>
      <c r="O2728" s="26">
        <v>11</v>
      </c>
      <c r="P2728" s="26">
        <v>13</v>
      </c>
      <c r="Q2728" s="26">
        <v>2</v>
      </c>
      <c r="R2728" s="26">
        <v>1</v>
      </c>
      <c r="S2728" s="26">
        <v>2</v>
      </c>
      <c r="T2728" s="26">
        <v>1</v>
      </c>
      <c r="U2728" s="26">
        <v>4</v>
      </c>
      <c r="V2728" s="26">
        <v>1</v>
      </c>
      <c r="W2728" s="26"/>
    </row>
    <row r="2729" spans="1:23" x14ac:dyDescent="0.25">
      <c r="A2729" s="26" t="str">
        <f t="shared" si="537"/>
        <v>PREESCOLAR</v>
      </c>
      <c r="B2729" s="26" t="str">
        <f>"09PJN5262V"</f>
        <v>09PJN5262V</v>
      </c>
      <c r="C2729" s="26" t="str">
        <f>"JARDIN DE NIÑOS KINDER TRES PICOS                                                                   "</f>
        <v xml:space="preserve">JARDIN DE NIÑOS KINDER TRES PICOS                                                                   </v>
      </c>
      <c r="D2729" s="26" t="str">
        <f t="shared" si="544"/>
        <v>MATUTINO</v>
      </c>
      <c r="E2729" s="26" t="str">
        <f>"TRES PICOS No. 71                                                               "</f>
        <v xml:space="preserve">TRES PICOS No. 71                                                               </v>
      </c>
      <c r="F2729" s="26" t="str">
        <f>"CHAPULTEPEC MORALES                                                                                                                         "</f>
        <v xml:space="preserve">CHAPULTEPEC MORALES                                                                                                                         </v>
      </c>
      <c r="G2729" s="26" t="str">
        <f>"MIGUEL HIDALGO                                                                  "</f>
        <v xml:space="preserve">MIGUEL HIDALGO                                                                  </v>
      </c>
      <c r="H2729" s="26" t="str">
        <f>"075"</f>
        <v>075</v>
      </c>
      <c r="I2729" s="26" t="str">
        <f t="shared" si="538"/>
        <v>00</v>
      </c>
      <c r="J2729" s="26" t="str">
        <f>"32 "</f>
        <v xml:space="preserve">32 </v>
      </c>
      <c r="K2729" s="26" t="str">
        <f t="shared" si="545"/>
        <v>EP</v>
      </c>
      <c r="L2729" s="26" t="str">
        <f t="shared" si="546"/>
        <v>DGOSE</v>
      </c>
      <c r="M2729" s="26" t="str">
        <f t="shared" si="535"/>
        <v>PARTICULAR</v>
      </c>
      <c r="N2729" s="26">
        <v>44</v>
      </c>
      <c r="O2729" s="26">
        <v>21</v>
      </c>
      <c r="P2729" s="26">
        <v>23</v>
      </c>
      <c r="Q2729" s="26">
        <v>3</v>
      </c>
      <c r="R2729" s="26">
        <v>1</v>
      </c>
      <c r="S2729" s="26">
        <v>3</v>
      </c>
      <c r="T2729" s="26">
        <v>6</v>
      </c>
      <c r="U2729" s="26">
        <v>10</v>
      </c>
      <c r="V2729" s="26">
        <v>1</v>
      </c>
      <c r="W2729" s="26"/>
    </row>
    <row r="2730" spans="1:23" x14ac:dyDescent="0.25">
      <c r="A2730" s="26" t="str">
        <f t="shared" si="537"/>
        <v>PREESCOLAR</v>
      </c>
      <c r="B2730" s="26" t="str">
        <f>"09PJN5266R"</f>
        <v>09PJN5266R</v>
      </c>
      <c r="C2730" s="26" t="str">
        <f>"OXFORD                                                                                              "</f>
        <v xml:space="preserve">OXFORD                                                                                              </v>
      </c>
      <c r="D2730" s="26" t="str">
        <f t="shared" si="544"/>
        <v>MATUTINO</v>
      </c>
      <c r="E2730" s="26" t="str">
        <f>"EUGENIO GIRON NO. 26                                                            "</f>
        <v xml:space="preserve">EUGENIO GIRON NO. 26                                                            </v>
      </c>
      <c r="F2730" s="26" t="str">
        <f>"PARAJE SAN JUAN                                                                                                                             "</f>
        <v xml:space="preserve">PARAJE SAN JUAN                                                                                                                             </v>
      </c>
      <c r="G2730" s="26" t="str">
        <f t="shared" ref="G2730:G2743" si="547">"IZTAPALAPA                                                                      "</f>
        <v xml:space="preserve">IZTAPALAPA                                                                      </v>
      </c>
      <c r="H2730" s="26" t="str">
        <f t="shared" ref="H2730:H2743" si="548">"000"</f>
        <v>000</v>
      </c>
      <c r="I2730" s="26" t="str">
        <f t="shared" si="538"/>
        <v>00</v>
      </c>
      <c r="J2730" s="26" t="str">
        <f>"63 "</f>
        <v xml:space="preserve">63 </v>
      </c>
      <c r="K2730" s="26" t="str">
        <f t="shared" ref="K2730:K2743" si="549">"IZ"</f>
        <v>IZ</v>
      </c>
      <c r="L2730" s="26" t="str">
        <f t="shared" ref="L2730:L2743" si="550">"DGSEI"</f>
        <v>DGSEI</v>
      </c>
      <c r="M2730" s="26" t="str">
        <f t="shared" si="535"/>
        <v>PARTICULAR</v>
      </c>
      <c r="N2730" s="26">
        <v>58</v>
      </c>
      <c r="O2730" s="26">
        <v>31</v>
      </c>
      <c r="P2730" s="26">
        <v>27</v>
      </c>
      <c r="Q2730" s="26">
        <v>3</v>
      </c>
      <c r="R2730" s="26">
        <v>1</v>
      </c>
      <c r="S2730" s="26">
        <v>2</v>
      </c>
      <c r="T2730" s="26">
        <v>9</v>
      </c>
      <c r="U2730" s="26">
        <v>12</v>
      </c>
      <c r="V2730" s="26">
        <v>1</v>
      </c>
      <c r="W2730" s="26"/>
    </row>
    <row r="2731" spans="1:23" x14ac:dyDescent="0.25">
      <c r="A2731" s="26" t="str">
        <f t="shared" si="537"/>
        <v>PREESCOLAR</v>
      </c>
      <c r="B2731" s="26" t="str">
        <f>"09PJN5268P"</f>
        <v>09PJN5268P</v>
      </c>
      <c r="C2731" s="26" t="str">
        <f>"COLEGIO PEDAGOGICO MAK                                                                              "</f>
        <v xml:space="preserve">COLEGIO PEDAGOGICO MAK                                                                              </v>
      </c>
      <c r="D2731" s="26" t="str">
        <f t="shared" si="544"/>
        <v>MATUTINO</v>
      </c>
      <c r="E2731" s="26" t="str">
        <f>"AV. 5 DE MAYO NO. 66                                                            "</f>
        <v xml:space="preserve">AV. 5 DE MAYO NO. 66                                                            </v>
      </c>
      <c r="F2731" s="26" t="str">
        <f>"SAN LUCAS                                                                                                                                   "</f>
        <v xml:space="preserve">SAN LUCAS                                                                                                                                   </v>
      </c>
      <c r="G2731" s="26" t="str">
        <f t="shared" si="547"/>
        <v xml:space="preserve">IZTAPALAPA                                                                      </v>
      </c>
      <c r="H2731" s="26" t="str">
        <f t="shared" si="548"/>
        <v>000</v>
      </c>
      <c r="I2731" s="26" t="str">
        <f t="shared" si="538"/>
        <v>00</v>
      </c>
      <c r="J2731" s="26" t="str">
        <f>"61 "</f>
        <v xml:space="preserve">61 </v>
      </c>
      <c r="K2731" s="26" t="str">
        <f t="shared" si="549"/>
        <v>IZ</v>
      </c>
      <c r="L2731" s="26" t="str">
        <f t="shared" si="550"/>
        <v>DGSEI</v>
      </c>
      <c r="M2731" s="26" t="str">
        <f t="shared" si="535"/>
        <v>PARTICULAR</v>
      </c>
      <c r="N2731" s="26">
        <v>99</v>
      </c>
      <c r="O2731" s="26">
        <v>54</v>
      </c>
      <c r="P2731" s="26">
        <v>45</v>
      </c>
      <c r="Q2731" s="26">
        <v>5</v>
      </c>
      <c r="R2731" s="26">
        <v>1</v>
      </c>
      <c r="S2731" s="26">
        <v>2</v>
      </c>
      <c r="T2731" s="26">
        <v>11</v>
      </c>
      <c r="U2731" s="26">
        <v>14</v>
      </c>
      <c r="V2731" s="26">
        <v>1</v>
      </c>
      <c r="W2731" s="26"/>
    </row>
    <row r="2732" spans="1:23" x14ac:dyDescent="0.25">
      <c r="A2732" s="26" t="str">
        <f t="shared" si="537"/>
        <v>PREESCOLAR</v>
      </c>
      <c r="B2732" s="26" t="str">
        <f>"09PJN5269O"</f>
        <v>09PJN5269O</v>
      </c>
      <c r="C2732" s="26" t="str">
        <f>"COLEGIO THOMAS HILL GREEN                                                                           "</f>
        <v xml:space="preserve">COLEGIO THOMAS HILL GREEN                                                                           </v>
      </c>
      <c r="D2732" s="26" t="str">
        <f>"VESPERTINO"</f>
        <v>VESPERTINO</v>
      </c>
      <c r="E2732" s="26" t="str">
        <f>"CDA. RAMON LOPEZ VELARDE NO. 6                                                  "</f>
        <v xml:space="preserve">CDA. RAMON LOPEZ VELARDE NO. 6                                                  </v>
      </c>
      <c r="F2732" s="26" t="str">
        <f>"CITLALI                                                                                                                                     "</f>
        <v xml:space="preserve">CITLALI                                                                                                                                     </v>
      </c>
      <c r="G2732" s="26" t="str">
        <f t="shared" si="547"/>
        <v xml:space="preserve">IZTAPALAPA                                                                      </v>
      </c>
      <c r="H2732" s="26" t="str">
        <f t="shared" si="548"/>
        <v>000</v>
      </c>
      <c r="I2732" s="26" t="str">
        <f t="shared" si="538"/>
        <v>00</v>
      </c>
      <c r="J2732" s="26" t="str">
        <f>"64 "</f>
        <v xml:space="preserve">64 </v>
      </c>
      <c r="K2732" s="26" t="str">
        <f t="shared" si="549"/>
        <v>IZ</v>
      </c>
      <c r="L2732" s="26" t="str">
        <f t="shared" si="550"/>
        <v>DGSEI</v>
      </c>
      <c r="M2732" s="26" t="str">
        <f t="shared" si="535"/>
        <v>PARTICULAR</v>
      </c>
      <c r="N2732" s="26">
        <v>10</v>
      </c>
      <c r="O2732" s="26">
        <v>5</v>
      </c>
      <c r="P2732" s="26">
        <v>5</v>
      </c>
      <c r="Q2732" s="26">
        <v>2</v>
      </c>
      <c r="R2732" s="26">
        <v>1</v>
      </c>
      <c r="S2732" s="26">
        <v>2</v>
      </c>
      <c r="T2732" s="26">
        <v>1</v>
      </c>
      <c r="U2732" s="26">
        <v>4</v>
      </c>
      <c r="V2732" s="26">
        <v>1</v>
      </c>
      <c r="W2732" s="26"/>
    </row>
    <row r="2733" spans="1:23" x14ac:dyDescent="0.25">
      <c r="A2733" s="26" t="str">
        <f t="shared" si="537"/>
        <v>PREESCOLAR</v>
      </c>
      <c r="B2733" s="26" t="str">
        <f>"09PJN5270D"</f>
        <v>09PJN5270D</v>
      </c>
      <c r="C2733" s="26" t="str">
        <f>"TOGO                                                                                                "</f>
        <v xml:space="preserve">TOGO                                                                                                </v>
      </c>
      <c r="D2733" s="26" t="str">
        <f>"MATUTINO"</f>
        <v>MATUTINO</v>
      </c>
      <c r="E2733" s="26" t="str">
        <f>"RIO RHIN MZ. 42 LT. 5                                                           "</f>
        <v xml:space="preserve">RIO RHIN MZ. 42 LT. 5                                                           </v>
      </c>
      <c r="F2733" s="26" t="str">
        <f>"VALLE DE SAN LORENZO                                                                                                                        "</f>
        <v xml:space="preserve">VALLE DE SAN LORENZO                                                                                                                        </v>
      </c>
      <c r="G2733" s="26" t="str">
        <f t="shared" si="547"/>
        <v xml:space="preserve">IZTAPALAPA                                                                      </v>
      </c>
      <c r="H2733" s="26" t="str">
        <f t="shared" si="548"/>
        <v>000</v>
      </c>
      <c r="I2733" s="26" t="str">
        <f t="shared" si="538"/>
        <v>00</v>
      </c>
      <c r="J2733" s="26" t="str">
        <f>"63 "</f>
        <v xml:space="preserve">63 </v>
      </c>
      <c r="K2733" s="26" t="str">
        <f t="shared" si="549"/>
        <v>IZ</v>
      </c>
      <c r="L2733" s="26" t="str">
        <f t="shared" si="550"/>
        <v>DGSEI</v>
      </c>
      <c r="M2733" s="26" t="str">
        <f t="shared" si="535"/>
        <v>PARTICULAR</v>
      </c>
      <c r="N2733" s="26">
        <v>17</v>
      </c>
      <c r="O2733" s="26">
        <v>8</v>
      </c>
      <c r="P2733" s="26">
        <v>9</v>
      </c>
      <c r="Q2733" s="26">
        <v>3</v>
      </c>
      <c r="R2733" s="26">
        <v>1</v>
      </c>
      <c r="S2733" s="26">
        <v>2</v>
      </c>
      <c r="T2733" s="26">
        <v>1</v>
      </c>
      <c r="U2733" s="26">
        <v>4</v>
      </c>
      <c r="V2733" s="26">
        <v>1</v>
      </c>
      <c r="W2733" s="26"/>
    </row>
    <row r="2734" spans="1:23" x14ac:dyDescent="0.25">
      <c r="A2734" s="26" t="str">
        <f t="shared" si="537"/>
        <v>PREESCOLAR</v>
      </c>
      <c r="B2734" s="26" t="str">
        <f>"09PJN5272B"</f>
        <v>09PJN5272B</v>
      </c>
      <c r="C2734" s="26" t="str">
        <f>"HORMIGUITAS                                                                                         "</f>
        <v xml:space="preserve">HORMIGUITAS                                                                                         </v>
      </c>
      <c r="D2734" s="26" t="str">
        <f>"VESPERTINO"</f>
        <v>VESPERTINO</v>
      </c>
      <c r="E2734" s="26" t="str">
        <f>"LIBERTAD NO. 126                                                                "</f>
        <v xml:space="preserve">LIBERTAD NO. 126                                                                </v>
      </c>
      <c r="F2734" s="26" t="str">
        <f>"SAN LUCAS                                                                                                                                   "</f>
        <v xml:space="preserve">SAN LUCAS                                                                                                                                   </v>
      </c>
      <c r="G2734" s="26" t="str">
        <f t="shared" si="547"/>
        <v xml:space="preserve">IZTAPALAPA                                                                      </v>
      </c>
      <c r="H2734" s="26" t="str">
        <f t="shared" si="548"/>
        <v>000</v>
      </c>
      <c r="I2734" s="26" t="str">
        <f t="shared" si="538"/>
        <v>00</v>
      </c>
      <c r="J2734" s="26" t="str">
        <f>"61 "</f>
        <v xml:space="preserve">61 </v>
      </c>
      <c r="K2734" s="26" t="str">
        <f t="shared" si="549"/>
        <v>IZ</v>
      </c>
      <c r="L2734" s="26" t="str">
        <f t="shared" si="550"/>
        <v>DGSEI</v>
      </c>
      <c r="M2734" s="26" t="str">
        <f t="shared" si="535"/>
        <v>PARTICULAR</v>
      </c>
      <c r="N2734" s="26">
        <v>21</v>
      </c>
      <c r="O2734" s="26">
        <v>8</v>
      </c>
      <c r="P2734" s="26">
        <v>13</v>
      </c>
      <c r="Q2734" s="26">
        <v>3</v>
      </c>
      <c r="R2734" s="26">
        <v>1</v>
      </c>
      <c r="S2734" s="26">
        <v>2</v>
      </c>
      <c r="T2734" s="26">
        <v>3</v>
      </c>
      <c r="U2734" s="26">
        <v>6</v>
      </c>
      <c r="V2734" s="26">
        <v>1</v>
      </c>
      <c r="W2734" s="26"/>
    </row>
    <row r="2735" spans="1:23" x14ac:dyDescent="0.25">
      <c r="A2735" s="26" t="str">
        <f t="shared" si="537"/>
        <v>PREESCOLAR</v>
      </c>
      <c r="B2735" s="26" t="str">
        <f>"09PJN5273A"</f>
        <v>09PJN5273A</v>
      </c>
      <c r="C2735" s="26" t="str">
        <f>"EL SABER ES UN TESORO                                                                               "</f>
        <v xml:space="preserve">EL SABER ES UN TESORO                                                                               </v>
      </c>
      <c r="D2735" s="26" t="str">
        <f t="shared" ref="D2735:D2741" si="551">"MATUTINO"</f>
        <v>MATUTINO</v>
      </c>
      <c r="E2735" s="26" t="str">
        <f>"NOGAL NO. 30                                                                    "</f>
        <v xml:space="preserve">NOGAL NO. 30                                                                    </v>
      </c>
      <c r="F2735" s="26" t="str">
        <f>"EL MANTO                                                                                                                                    "</f>
        <v xml:space="preserve">EL MANTO                                                                                                                                    </v>
      </c>
      <c r="G2735" s="26" t="str">
        <f t="shared" si="547"/>
        <v xml:space="preserve">IZTAPALAPA                                                                      </v>
      </c>
      <c r="H2735" s="26" t="str">
        <f t="shared" si="548"/>
        <v>000</v>
      </c>
      <c r="I2735" s="26" t="str">
        <f t="shared" si="538"/>
        <v>00</v>
      </c>
      <c r="J2735" s="26" t="str">
        <f>"63 "</f>
        <v xml:space="preserve">63 </v>
      </c>
      <c r="K2735" s="26" t="str">
        <f t="shared" si="549"/>
        <v>IZ</v>
      </c>
      <c r="L2735" s="26" t="str">
        <f t="shared" si="550"/>
        <v>DGSEI</v>
      </c>
      <c r="M2735" s="26" t="str">
        <f t="shared" si="535"/>
        <v>PARTICULAR</v>
      </c>
      <c r="N2735" s="26">
        <v>63</v>
      </c>
      <c r="O2735" s="26">
        <v>29</v>
      </c>
      <c r="P2735" s="26">
        <v>34</v>
      </c>
      <c r="Q2735" s="26">
        <v>3</v>
      </c>
      <c r="R2735" s="26">
        <v>1</v>
      </c>
      <c r="S2735" s="26">
        <v>3</v>
      </c>
      <c r="T2735" s="26">
        <v>0</v>
      </c>
      <c r="U2735" s="26">
        <v>4</v>
      </c>
      <c r="V2735" s="26">
        <v>1</v>
      </c>
      <c r="W2735" s="26"/>
    </row>
    <row r="2736" spans="1:23" x14ac:dyDescent="0.25">
      <c r="A2736" s="26" t="str">
        <f t="shared" si="537"/>
        <v>PREESCOLAR</v>
      </c>
      <c r="B2736" s="26" t="str">
        <f>"09PJN5276Y"</f>
        <v>09PJN5276Y</v>
      </c>
      <c r="C2736" s="26" t="str">
        <f>"ALFRED ADLER                                                                                        "</f>
        <v xml:space="preserve">ALFRED ADLER                                                                                        </v>
      </c>
      <c r="D2736" s="26" t="str">
        <f t="shared" si="551"/>
        <v>MATUTINO</v>
      </c>
      <c r="E2736" s="26" t="str">
        <f>"AV. 1 MZ. 1 LT. 4                                                               "</f>
        <v xml:space="preserve">AV. 1 MZ. 1 LT. 4                                                               </v>
      </c>
      <c r="F2736" s="26" t="str">
        <f>"LOMAS SAN LORENZO                                                                                                                           "</f>
        <v xml:space="preserve">LOMAS SAN LORENZO                                                                                                                           </v>
      </c>
      <c r="G2736" s="26" t="str">
        <f t="shared" si="547"/>
        <v xml:space="preserve">IZTAPALAPA                                                                      </v>
      </c>
      <c r="H2736" s="26" t="str">
        <f t="shared" si="548"/>
        <v>000</v>
      </c>
      <c r="I2736" s="26" t="str">
        <f t="shared" si="538"/>
        <v>00</v>
      </c>
      <c r="J2736" s="26" t="str">
        <f>"63 "</f>
        <v xml:space="preserve">63 </v>
      </c>
      <c r="K2736" s="26" t="str">
        <f t="shared" si="549"/>
        <v>IZ</v>
      </c>
      <c r="L2736" s="26" t="str">
        <f t="shared" si="550"/>
        <v>DGSEI</v>
      </c>
      <c r="M2736" s="26" t="str">
        <f t="shared" si="535"/>
        <v>PARTICULAR</v>
      </c>
      <c r="N2736" s="26">
        <v>30</v>
      </c>
      <c r="O2736" s="26">
        <v>14</v>
      </c>
      <c r="P2736" s="26">
        <v>16</v>
      </c>
      <c r="Q2736" s="26">
        <v>3</v>
      </c>
      <c r="R2736" s="26">
        <v>1</v>
      </c>
      <c r="S2736" s="26">
        <v>3</v>
      </c>
      <c r="T2736" s="26">
        <v>1</v>
      </c>
      <c r="U2736" s="26">
        <v>5</v>
      </c>
      <c r="V2736" s="26">
        <v>1</v>
      </c>
      <c r="W2736" s="26"/>
    </row>
    <row r="2737" spans="1:23" x14ac:dyDescent="0.25">
      <c r="A2737" s="26" t="str">
        <f t="shared" si="537"/>
        <v>PREESCOLAR</v>
      </c>
      <c r="B2737" s="26" t="str">
        <f>"09PJN5280K"</f>
        <v>09PJN5280K</v>
      </c>
      <c r="C2737" s="26" t="str">
        <f>"ALFA OMEGA                                                                                          "</f>
        <v xml:space="preserve">ALFA OMEGA                                                                                          </v>
      </c>
      <c r="D2737" s="26" t="str">
        <f t="shared" si="551"/>
        <v>MATUTINO</v>
      </c>
      <c r="E2737" s="26" t="str">
        <f>"MAGUEYES MZ. 154 LT. 25                                                         "</f>
        <v xml:space="preserve">MAGUEYES MZ. 154 LT. 25                                                         </v>
      </c>
      <c r="F2737" s="26" t="str">
        <f>"IXTLAHUACAN                                                                                                                                 "</f>
        <v xml:space="preserve">IXTLAHUACAN                                                                                                                                 </v>
      </c>
      <c r="G2737" s="26" t="str">
        <f t="shared" si="547"/>
        <v xml:space="preserve">IZTAPALAPA                                                                      </v>
      </c>
      <c r="H2737" s="26" t="str">
        <f t="shared" si="548"/>
        <v>000</v>
      </c>
      <c r="I2737" s="26" t="str">
        <f t="shared" si="538"/>
        <v>00</v>
      </c>
      <c r="J2737" s="26" t="str">
        <f>"64 "</f>
        <v xml:space="preserve">64 </v>
      </c>
      <c r="K2737" s="26" t="str">
        <f t="shared" si="549"/>
        <v>IZ</v>
      </c>
      <c r="L2737" s="26" t="str">
        <f t="shared" si="550"/>
        <v>DGSEI</v>
      </c>
      <c r="M2737" s="26" t="str">
        <f t="shared" si="535"/>
        <v>PARTICULAR</v>
      </c>
      <c r="N2737" s="26">
        <v>60</v>
      </c>
      <c r="O2737" s="26">
        <v>32</v>
      </c>
      <c r="P2737" s="26">
        <v>28</v>
      </c>
      <c r="Q2737" s="26">
        <v>3</v>
      </c>
      <c r="R2737" s="26">
        <v>1</v>
      </c>
      <c r="S2737" s="26">
        <v>2</v>
      </c>
      <c r="T2737" s="26">
        <v>2</v>
      </c>
      <c r="U2737" s="26">
        <v>5</v>
      </c>
      <c r="V2737" s="26">
        <v>1</v>
      </c>
      <c r="W2737" s="26"/>
    </row>
    <row r="2738" spans="1:23" x14ac:dyDescent="0.25">
      <c r="A2738" s="26" t="str">
        <f t="shared" si="537"/>
        <v>PREESCOLAR</v>
      </c>
      <c r="B2738" s="26" t="str">
        <f>"09PJN5281J"</f>
        <v>09PJN5281J</v>
      </c>
      <c r="C2738" s="26" t="str">
        <f>"ANDREE LAPIERRE                                                                                     "</f>
        <v xml:space="preserve">ANDREE LAPIERRE                                                                                     </v>
      </c>
      <c r="D2738" s="26" t="str">
        <f t="shared" si="551"/>
        <v>MATUTINO</v>
      </c>
      <c r="E2738" s="26" t="str">
        <f>"BATALLA DE PASO DE OVEJAS MZ. 112 LT. 1165-A                                    "</f>
        <v xml:space="preserve">BATALLA DE PASO DE OVEJAS MZ. 112 LT. 1165-A                                    </v>
      </c>
      <c r="F2738" s="26" t="str">
        <f>"LEYES DE REFORMA                                                                                                                            "</f>
        <v xml:space="preserve">LEYES DE REFORMA                                                                                                                            </v>
      </c>
      <c r="G2738" s="26" t="str">
        <f t="shared" si="547"/>
        <v xml:space="preserve">IZTAPALAPA                                                                      </v>
      </c>
      <c r="H2738" s="26" t="str">
        <f t="shared" si="548"/>
        <v>000</v>
      </c>
      <c r="I2738" s="26" t="str">
        <f t="shared" si="538"/>
        <v>00</v>
      </c>
      <c r="J2738" s="26" t="str">
        <f>"61 "</f>
        <v xml:space="preserve">61 </v>
      </c>
      <c r="K2738" s="26" t="str">
        <f t="shared" si="549"/>
        <v>IZ</v>
      </c>
      <c r="L2738" s="26" t="str">
        <f t="shared" si="550"/>
        <v>DGSEI</v>
      </c>
      <c r="M2738" s="26" t="str">
        <f t="shared" si="535"/>
        <v>PARTICULAR</v>
      </c>
      <c r="N2738" s="26">
        <v>21</v>
      </c>
      <c r="O2738" s="26">
        <v>16</v>
      </c>
      <c r="P2738" s="26">
        <v>5</v>
      </c>
      <c r="Q2738" s="26">
        <v>2</v>
      </c>
      <c r="R2738" s="26">
        <v>1</v>
      </c>
      <c r="S2738" s="26">
        <v>1</v>
      </c>
      <c r="T2738" s="26">
        <v>1</v>
      </c>
      <c r="U2738" s="26">
        <v>3</v>
      </c>
      <c r="V2738" s="26">
        <v>1</v>
      </c>
      <c r="W2738" s="26"/>
    </row>
    <row r="2739" spans="1:23" x14ac:dyDescent="0.25">
      <c r="A2739" s="26" t="str">
        <f t="shared" si="537"/>
        <v>PREESCOLAR</v>
      </c>
      <c r="B2739" s="26" t="str">
        <f>"09PJN5282I"</f>
        <v>09PJN5282I</v>
      </c>
      <c r="C2739" s="26" t="str">
        <f>"LICEO AMERICANO MODERNO                                                                             "</f>
        <v xml:space="preserve">LICEO AMERICANO MODERNO                                                                             </v>
      </c>
      <c r="D2739" s="26" t="str">
        <f t="shared" si="551"/>
        <v>MATUTINO</v>
      </c>
      <c r="E2739" s="26" t="str">
        <f>"16 DE MARZO DE 1861 NO. 67                                                      "</f>
        <v xml:space="preserve">16 DE MARZO DE 1861 NO. 67                                                      </v>
      </c>
      <c r="F2739" s="26" t="str">
        <f>"LEYES DE REFORMA                                                                                                                            "</f>
        <v xml:space="preserve">LEYES DE REFORMA                                                                                                                            </v>
      </c>
      <c r="G2739" s="26" t="str">
        <f t="shared" si="547"/>
        <v xml:space="preserve">IZTAPALAPA                                                                      </v>
      </c>
      <c r="H2739" s="26" t="str">
        <f t="shared" si="548"/>
        <v>000</v>
      </c>
      <c r="I2739" s="26" t="str">
        <f t="shared" si="538"/>
        <v>00</v>
      </c>
      <c r="J2739" s="26" t="str">
        <f>"61 "</f>
        <v xml:space="preserve">61 </v>
      </c>
      <c r="K2739" s="26" t="str">
        <f t="shared" si="549"/>
        <v>IZ</v>
      </c>
      <c r="L2739" s="26" t="str">
        <f t="shared" si="550"/>
        <v>DGSEI</v>
      </c>
      <c r="M2739" s="26" t="str">
        <f t="shared" si="535"/>
        <v>PARTICULAR</v>
      </c>
      <c r="N2739" s="26">
        <v>52</v>
      </c>
      <c r="O2739" s="26">
        <v>27</v>
      </c>
      <c r="P2739" s="26">
        <v>25</v>
      </c>
      <c r="Q2739" s="26">
        <v>3</v>
      </c>
      <c r="R2739" s="26">
        <v>1</v>
      </c>
      <c r="S2739" s="26">
        <v>2</v>
      </c>
      <c r="T2739" s="26">
        <v>2</v>
      </c>
      <c r="U2739" s="26">
        <v>5</v>
      </c>
      <c r="V2739" s="26">
        <v>1</v>
      </c>
      <c r="W2739" s="26"/>
    </row>
    <row r="2740" spans="1:23" x14ac:dyDescent="0.25">
      <c r="A2740" s="26" t="str">
        <f t="shared" si="537"/>
        <v>PREESCOLAR</v>
      </c>
      <c r="B2740" s="26" t="str">
        <f>"09PJN5283H"</f>
        <v>09PJN5283H</v>
      </c>
      <c r="C2740" s="26" t="str">
        <f>"INSTITUTO AUSBEL                                                                                    "</f>
        <v xml:space="preserve">INSTITUTO AUSBEL                                                                                    </v>
      </c>
      <c r="D2740" s="26" t="str">
        <f t="shared" si="551"/>
        <v>MATUTINO</v>
      </c>
      <c r="E2740" s="26" t="str">
        <f>"JESUS ALMANZA NO. 4                                                             "</f>
        <v xml:space="preserve">JESUS ALMANZA NO. 4                                                             </v>
      </c>
      <c r="F2740" s="26" t="str">
        <f>"TEPALCATES                                                                                                                                  "</f>
        <v xml:space="preserve">TEPALCATES                                                                                                                                  </v>
      </c>
      <c r="G2740" s="26" t="str">
        <f t="shared" si="547"/>
        <v xml:space="preserve">IZTAPALAPA                                                                      </v>
      </c>
      <c r="H2740" s="26" t="str">
        <f t="shared" si="548"/>
        <v>000</v>
      </c>
      <c r="I2740" s="26" t="str">
        <f t="shared" si="538"/>
        <v>00</v>
      </c>
      <c r="J2740" s="26" t="str">
        <f>"62 "</f>
        <v xml:space="preserve">62 </v>
      </c>
      <c r="K2740" s="26" t="str">
        <f t="shared" si="549"/>
        <v>IZ</v>
      </c>
      <c r="L2740" s="26" t="str">
        <f t="shared" si="550"/>
        <v>DGSEI</v>
      </c>
      <c r="M2740" s="26" t="str">
        <f t="shared" si="535"/>
        <v>PARTICULAR</v>
      </c>
      <c r="N2740" s="26">
        <v>26</v>
      </c>
      <c r="O2740" s="26">
        <v>12</v>
      </c>
      <c r="P2740" s="26">
        <v>14</v>
      </c>
      <c r="Q2740" s="26">
        <v>3</v>
      </c>
      <c r="R2740" s="26">
        <v>1</v>
      </c>
      <c r="S2740" s="26">
        <v>3</v>
      </c>
      <c r="T2740" s="26">
        <v>6</v>
      </c>
      <c r="U2740" s="26">
        <v>10</v>
      </c>
      <c r="V2740" s="26">
        <v>1</v>
      </c>
      <c r="W2740" s="26"/>
    </row>
    <row r="2741" spans="1:23" x14ac:dyDescent="0.25">
      <c r="A2741" s="26" t="str">
        <f t="shared" si="537"/>
        <v>PREESCOLAR</v>
      </c>
      <c r="B2741" s="26" t="str">
        <f>"09PJN5284G"</f>
        <v>09PJN5284G</v>
      </c>
      <c r="C2741" s="26" t="str">
        <f>"INSTITUTO DOCTOR PEDRO DE ALBA                                                                      "</f>
        <v xml:space="preserve">INSTITUTO DOCTOR PEDRO DE ALBA                                                                      </v>
      </c>
      <c r="D2741" s="26" t="str">
        <f t="shared" si="551"/>
        <v>MATUTINO</v>
      </c>
      <c r="E2741" s="26" t="str">
        <f>"PLAYA ROQUETA MZ. 41 LT. 16                                                     "</f>
        <v xml:space="preserve">PLAYA ROQUETA MZ. 41 LT. 16                                                     </v>
      </c>
      <c r="F2741" s="26" t="str">
        <f>"LA POLVORILLA                                                                                                                               "</f>
        <v xml:space="preserve">LA POLVORILLA                                                                                                                               </v>
      </c>
      <c r="G2741" s="26" t="str">
        <f t="shared" si="547"/>
        <v xml:space="preserve">IZTAPALAPA                                                                      </v>
      </c>
      <c r="H2741" s="26" t="str">
        <f t="shared" si="548"/>
        <v>000</v>
      </c>
      <c r="I2741" s="26" t="str">
        <f t="shared" si="538"/>
        <v>00</v>
      </c>
      <c r="J2741" s="26" t="str">
        <f>"63 "</f>
        <v xml:space="preserve">63 </v>
      </c>
      <c r="K2741" s="26" t="str">
        <f t="shared" si="549"/>
        <v>IZ</v>
      </c>
      <c r="L2741" s="26" t="str">
        <f t="shared" si="550"/>
        <v>DGSEI</v>
      </c>
      <c r="M2741" s="26" t="str">
        <f t="shared" si="535"/>
        <v>PARTICULAR</v>
      </c>
      <c r="N2741" s="26">
        <v>27</v>
      </c>
      <c r="O2741" s="26">
        <v>14</v>
      </c>
      <c r="P2741" s="26">
        <v>13</v>
      </c>
      <c r="Q2741" s="26">
        <v>2</v>
      </c>
      <c r="R2741" s="26">
        <v>1</v>
      </c>
      <c r="S2741" s="26">
        <v>1</v>
      </c>
      <c r="T2741" s="26">
        <v>3</v>
      </c>
      <c r="U2741" s="26">
        <v>5</v>
      </c>
      <c r="V2741" s="26">
        <v>1</v>
      </c>
      <c r="W2741" s="26"/>
    </row>
    <row r="2742" spans="1:23" x14ac:dyDescent="0.25">
      <c r="A2742" s="26" t="str">
        <f t="shared" si="537"/>
        <v>PREESCOLAR</v>
      </c>
      <c r="B2742" s="26" t="str">
        <f>"09PJN5285F"</f>
        <v>09PJN5285F</v>
      </c>
      <c r="C2742" s="26" t="str">
        <f>"VICENTE SUAREZ                                                                                      "</f>
        <v xml:space="preserve">VICENTE SUAREZ                                                                                      </v>
      </c>
      <c r="D2742" s="26" t="str">
        <f>"VESPERTINO"</f>
        <v>VESPERTINO</v>
      </c>
      <c r="E2742" s="26" t="str">
        <f>"COPACABANA MZ. 42 LT. 22                                                        "</f>
        <v xml:space="preserve">COPACABANA MZ. 42 LT. 22                                                        </v>
      </c>
      <c r="F2742" s="26" t="str">
        <f>"LA POLVORILLA                                                                                                                               "</f>
        <v xml:space="preserve">LA POLVORILLA                                                                                                                               </v>
      </c>
      <c r="G2742" s="26" t="str">
        <f t="shared" si="547"/>
        <v xml:space="preserve">IZTAPALAPA                                                                      </v>
      </c>
      <c r="H2742" s="26" t="str">
        <f t="shared" si="548"/>
        <v>000</v>
      </c>
      <c r="I2742" s="26" t="str">
        <f t="shared" si="538"/>
        <v>00</v>
      </c>
      <c r="J2742" s="26" t="str">
        <f>"63 "</f>
        <v xml:space="preserve">63 </v>
      </c>
      <c r="K2742" s="26" t="str">
        <f t="shared" si="549"/>
        <v>IZ</v>
      </c>
      <c r="L2742" s="26" t="str">
        <f t="shared" si="550"/>
        <v>DGSEI</v>
      </c>
      <c r="M2742" s="26" t="str">
        <f t="shared" si="535"/>
        <v>PARTICULAR</v>
      </c>
      <c r="N2742" s="26">
        <v>26</v>
      </c>
      <c r="O2742" s="26">
        <v>17</v>
      </c>
      <c r="P2742" s="26">
        <v>9</v>
      </c>
      <c r="Q2742" s="26">
        <v>2</v>
      </c>
      <c r="R2742" s="26">
        <v>1</v>
      </c>
      <c r="S2742" s="26">
        <v>2</v>
      </c>
      <c r="T2742" s="26">
        <v>0</v>
      </c>
      <c r="U2742" s="26">
        <v>3</v>
      </c>
      <c r="V2742" s="26">
        <v>1</v>
      </c>
      <c r="W2742" s="26"/>
    </row>
    <row r="2743" spans="1:23" x14ac:dyDescent="0.25">
      <c r="A2743" s="26" t="str">
        <f t="shared" si="537"/>
        <v>PREESCOLAR</v>
      </c>
      <c r="B2743" s="26" t="str">
        <f>"09PJN5288C"</f>
        <v>09PJN5288C</v>
      </c>
      <c r="C2743" s="26" t="str">
        <f>"APRENDIENDO CON FREINET                                                                             "</f>
        <v xml:space="preserve">APRENDIENDO CON FREINET                                                                             </v>
      </c>
      <c r="D2743" s="26" t="str">
        <f t="shared" ref="D2743:D2749" si="552">"MATUTINO"</f>
        <v>MATUTINO</v>
      </c>
      <c r="E2743" s="26" t="str">
        <f>"DIAGONAL DE ANILLO PERIFERICO NO. 39                                            "</f>
        <v xml:space="preserve">DIAGONAL DE ANILLO PERIFERICO NO. 39                                            </v>
      </c>
      <c r="F2743" s="26" t="str">
        <f>"CONSTITUCION 1917                                                                                                                           "</f>
        <v xml:space="preserve">CONSTITUCION 1917                                                                                                                           </v>
      </c>
      <c r="G2743" s="26" t="str">
        <f t="shared" si="547"/>
        <v xml:space="preserve">IZTAPALAPA                                                                      </v>
      </c>
      <c r="H2743" s="26" t="str">
        <f t="shared" si="548"/>
        <v>000</v>
      </c>
      <c r="I2743" s="26" t="str">
        <f t="shared" si="538"/>
        <v>00</v>
      </c>
      <c r="J2743" s="26" t="str">
        <f>"64 "</f>
        <v xml:space="preserve">64 </v>
      </c>
      <c r="K2743" s="26" t="str">
        <f t="shared" si="549"/>
        <v>IZ</v>
      </c>
      <c r="L2743" s="26" t="str">
        <f t="shared" si="550"/>
        <v>DGSEI</v>
      </c>
      <c r="M2743" s="26" t="str">
        <f t="shared" si="535"/>
        <v>PARTICULAR</v>
      </c>
      <c r="N2743" s="26">
        <v>27</v>
      </c>
      <c r="O2743" s="26">
        <v>15</v>
      </c>
      <c r="P2743" s="26">
        <v>12</v>
      </c>
      <c r="Q2743" s="26">
        <v>2</v>
      </c>
      <c r="R2743" s="26">
        <v>1</v>
      </c>
      <c r="S2743" s="26">
        <v>2</v>
      </c>
      <c r="T2743" s="26">
        <v>0</v>
      </c>
      <c r="U2743" s="26">
        <v>3</v>
      </c>
      <c r="V2743" s="26">
        <v>1</v>
      </c>
      <c r="W2743" s="26"/>
    </row>
    <row r="2744" spans="1:23" x14ac:dyDescent="0.25">
      <c r="A2744" s="26" t="str">
        <f t="shared" si="537"/>
        <v>PREESCOLAR</v>
      </c>
      <c r="B2744" s="26" t="str">
        <f>"09PJN5290R"</f>
        <v>09PJN5290R</v>
      </c>
      <c r="C2744" s="26" t="str">
        <f>"PINECREST INSTITUTE                                                                                 "</f>
        <v xml:space="preserve">PINECREST INSTITUTE                                                                                 </v>
      </c>
      <c r="D2744" s="26" t="str">
        <f t="shared" si="552"/>
        <v>MATUTINO</v>
      </c>
      <c r="E2744" s="26" t="str">
        <f>"FRANCISCO J. SERRANO # 104                                                      "</f>
        <v xml:space="preserve">FRANCISCO J. SERRANO # 104                                                      </v>
      </c>
      <c r="F2744" s="26" t="str">
        <f>"SANTA FE CUAJIMALPA                                                                                                                         "</f>
        <v xml:space="preserve">SANTA FE CUAJIMALPA                                                                                                                         </v>
      </c>
      <c r="G2744" s="26" t="str">
        <f>"CUAJIMALPA DE MORELOS                                                           "</f>
        <v xml:space="preserve">CUAJIMALPA DE MORELOS                                                           </v>
      </c>
      <c r="H2744" s="26" t="str">
        <f>"213"</f>
        <v>213</v>
      </c>
      <c r="I2744" s="26" t="str">
        <f t="shared" si="538"/>
        <v>00</v>
      </c>
      <c r="J2744" s="26" t="str">
        <f>"33 "</f>
        <v xml:space="preserve">33 </v>
      </c>
      <c r="K2744" s="26" t="str">
        <f t="shared" ref="K2744:K2807" si="553">"EP"</f>
        <v>EP</v>
      </c>
      <c r="L2744" s="26" t="str">
        <f t="shared" ref="L2744:L2807" si="554">"DGOSE"</f>
        <v>DGOSE</v>
      </c>
      <c r="M2744" s="26" t="str">
        <f t="shared" si="535"/>
        <v>PARTICULAR</v>
      </c>
      <c r="N2744" s="26">
        <v>126</v>
      </c>
      <c r="O2744" s="26">
        <v>60</v>
      </c>
      <c r="P2744" s="26">
        <v>66</v>
      </c>
      <c r="Q2744" s="26">
        <v>8</v>
      </c>
      <c r="R2744" s="26">
        <v>1</v>
      </c>
      <c r="S2744" s="26">
        <v>8</v>
      </c>
      <c r="T2744" s="26">
        <v>10</v>
      </c>
      <c r="U2744" s="26">
        <v>19</v>
      </c>
      <c r="V2744" s="26">
        <v>1</v>
      </c>
      <c r="W2744" s="26"/>
    </row>
    <row r="2745" spans="1:23" x14ac:dyDescent="0.25">
      <c r="A2745" s="26" t="str">
        <f t="shared" si="537"/>
        <v>PREESCOLAR</v>
      </c>
      <c r="B2745" s="26" t="str">
        <f>"09PJN5291Q"</f>
        <v>09PJN5291Q</v>
      </c>
      <c r="C2745" s="26" t="str">
        <f>"KINDER LIBERTAD                                                                                     "</f>
        <v xml:space="preserve">KINDER LIBERTAD                                                                                     </v>
      </c>
      <c r="D2745" s="26" t="str">
        <f t="shared" si="552"/>
        <v>MATUTINO</v>
      </c>
      <c r="E2745" s="26" t="str">
        <f>"AV. NICARAGUENSES MZA. 5 LT. 7                                                  "</f>
        <v xml:space="preserve">AV. NICARAGUENSES MZA. 5 LT. 7                                                  </v>
      </c>
      <c r="F2745" s="26" t="str">
        <f>"LA JOYA                                                                                                                                     "</f>
        <v xml:space="preserve">LA JOYA                                                                                                                                     </v>
      </c>
      <c r="G2745" s="26" t="str">
        <f>"ALVARO OBREGON                                                                  "</f>
        <v xml:space="preserve">ALVARO OBREGON                                                                  </v>
      </c>
      <c r="H2745" s="26" t="str">
        <f>"166"</f>
        <v>166</v>
      </c>
      <c r="I2745" s="26" t="str">
        <f t="shared" si="538"/>
        <v>00</v>
      </c>
      <c r="J2745" s="26" t="str">
        <f>"33 "</f>
        <v xml:space="preserve">33 </v>
      </c>
      <c r="K2745" s="26" t="str">
        <f t="shared" si="553"/>
        <v>EP</v>
      </c>
      <c r="L2745" s="26" t="str">
        <f t="shared" si="554"/>
        <v>DGOSE</v>
      </c>
      <c r="M2745" s="26" t="str">
        <f t="shared" si="535"/>
        <v>PARTICULAR</v>
      </c>
      <c r="N2745" s="26">
        <v>17</v>
      </c>
      <c r="O2745" s="26">
        <v>12</v>
      </c>
      <c r="P2745" s="26">
        <v>5</v>
      </c>
      <c r="Q2745" s="26">
        <v>2</v>
      </c>
      <c r="R2745" s="26">
        <v>1</v>
      </c>
      <c r="S2745" s="26">
        <v>2</v>
      </c>
      <c r="T2745" s="26">
        <v>1</v>
      </c>
      <c r="U2745" s="26">
        <v>4</v>
      </c>
      <c r="V2745" s="26">
        <v>1</v>
      </c>
      <c r="W2745" s="26"/>
    </row>
    <row r="2746" spans="1:23" x14ac:dyDescent="0.25">
      <c r="A2746" s="26" t="str">
        <f t="shared" si="537"/>
        <v>PREESCOLAR</v>
      </c>
      <c r="B2746" s="26" t="str">
        <f>"09PJN5292P"</f>
        <v>09PJN5292P</v>
      </c>
      <c r="C2746" s="26" t="str">
        <f>"CENTRO DE DESARROLLO INFANTIL TOWWY                                                                 "</f>
        <v xml:space="preserve">CENTRO DE DESARROLLO INFANTIL TOWWY                                                                 </v>
      </c>
      <c r="D2746" s="26" t="str">
        <f t="shared" si="552"/>
        <v>MATUTINO</v>
      </c>
      <c r="E2746" s="26" t="str">
        <f>"AMACUZAC NO.369   MZA. E LOTE 10                                                "</f>
        <v xml:space="preserve">AMACUZAC NO.369   MZA. E LOTE 10                                                </v>
      </c>
      <c r="F2746" s="26" t="str">
        <f>"HERMOSILLO                                                                                                                                  "</f>
        <v xml:space="preserve">HERMOSILLO                                                                                                                                  </v>
      </c>
      <c r="G2746" s="26" t="str">
        <f>"COYOACAN                                                                        "</f>
        <v xml:space="preserve">COYOACAN                                                                        </v>
      </c>
      <c r="H2746" s="26" t="str">
        <f>"024"</f>
        <v>024</v>
      </c>
      <c r="I2746" s="26" t="str">
        <f t="shared" si="538"/>
        <v>00</v>
      </c>
      <c r="J2746" s="26" t="str">
        <f>"35 "</f>
        <v xml:space="preserve">35 </v>
      </c>
      <c r="K2746" s="26" t="str">
        <f t="shared" si="553"/>
        <v>EP</v>
      </c>
      <c r="L2746" s="26" t="str">
        <f t="shared" si="554"/>
        <v>DGOSE</v>
      </c>
      <c r="M2746" s="26" t="str">
        <f t="shared" si="535"/>
        <v>PARTICULAR</v>
      </c>
      <c r="N2746" s="26">
        <v>6</v>
      </c>
      <c r="O2746" s="26">
        <v>3</v>
      </c>
      <c r="P2746" s="26">
        <v>3</v>
      </c>
      <c r="Q2746" s="26">
        <v>3</v>
      </c>
      <c r="R2746" s="26">
        <v>1</v>
      </c>
      <c r="S2746" s="26">
        <v>3</v>
      </c>
      <c r="T2746" s="26">
        <v>0</v>
      </c>
      <c r="U2746" s="26">
        <v>4</v>
      </c>
      <c r="V2746" s="26">
        <v>1</v>
      </c>
      <c r="W2746" s="26"/>
    </row>
    <row r="2747" spans="1:23" x14ac:dyDescent="0.25">
      <c r="A2747" s="26" t="str">
        <f t="shared" si="537"/>
        <v>PREESCOLAR</v>
      </c>
      <c r="B2747" s="26" t="str">
        <f>"09PJN5294N"</f>
        <v>09PJN5294N</v>
      </c>
      <c r="C2747" s="26" t="str">
        <f>"COLEGIO ISAAC SABA MASRI                                                                            "</f>
        <v xml:space="preserve">COLEGIO ISAAC SABA MASRI                                                                            </v>
      </c>
      <c r="D2747" s="26" t="str">
        <f t="shared" si="552"/>
        <v>MATUTINO</v>
      </c>
      <c r="E2747" s="26" t="str">
        <f>"LAGO MERU NO. 55                                                                "</f>
        <v xml:space="preserve">LAGO MERU NO. 55                                                                </v>
      </c>
      <c r="F2747" s="26" t="str">
        <f>"GRANADA                                                                                                                                     "</f>
        <v xml:space="preserve">GRANADA                                                                                                                                     </v>
      </c>
      <c r="G2747" s="26" t="str">
        <f>"MIGUEL HIDALGO                                                                  "</f>
        <v xml:space="preserve">MIGUEL HIDALGO                                                                  </v>
      </c>
      <c r="H2747" s="26" t="str">
        <f>"075"</f>
        <v>075</v>
      </c>
      <c r="I2747" s="26" t="str">
        <f t="shared" si="538"/>
        <v>00</v>
      </c>
      <c r="J2747" s="26" t="str">
        <f t="shared" ref="J2747:J2756" si="555">"32 "</f>
        <v xml:space="preserve">32 </v>
      </c>
      <c r="K2747" s="26" t="str">
        <f t="shared" si="553"/>
        <v>EP</v>
      </c>
      <c r="L2747" s="26" t="str">
        <f t="shared" si="554"/>
        <v>DGOSE</v>
      </c>
      <c r="M2747" s="26" t="str">
        <f t="shared" si="535"/>
        <v>PARTICULAR</v>
      </c>
      <c r="N2747" s="26">
        <v>217</v>
      </c>
      <c r="O2747" s="26">
        <v>108</v>
      </c>
      <c r="P2747" s="26">
        <v>109</v>
      </c>
      <c r="Q2747" s="26">
        <v>13</v>
      </c>
      <c r="R2747" s="26">
        <v>1</v>
      </c>
      <c r="S2747" s="26">
        <v>13</v>
      </c>
      <c r="T2747" s="26">
        <v>16</v>
      </c>
      <c r="U2747" s="26">
        <v>30</v>
      </c>
      <c r="V2747" s="26">
        <v>1</v>
      </c>
      <c r="W2747" s="26"/>
    </row>
    <row r="2748" spans="1:23" x14ac:dyDescent="0.25">
      <c r="A2748" s="26" t="str">
        <f t="shared" si="537"/>
        <v>PREESCOLAR</v>
      </c>
      <c r="B2748" s="26" t="str">
        <f>"09PJN5295M"</f>
        <v>09PJN5295M</v>
      </c>
      <c r="C2748" s="26" t="str">
        <f>"JARDÍN DE NIÑOS POPOL VUH. ORIGEN DEL MUNDO. FORMAR PARA TRIUNFAR                                   "</f>
        <v xml:space="preserve">JARDÍN DE NIÑOS POPOL VUH. ORIGEN DEL MUNDO. FORMAR PARA TRIUNFAR                                   </v>
      </c>
      <c r="D2748" s="26" t="str">
        <f t="shared" si="552"/>
        <v>MATUTINO</v>
      </c>
      <c r="E2748" s="26" t="str">
        <f>"CINCO DE MAYO NO. 30                                                            "</f>
        <v xml:space="preserve">CINCO DE MAYO NO. 30                                                            </v>
      </c>
      <c r="F2748" s="26" t="str">
        <f>"SAN JUAN DE ARAGON                                                                                                                          "</f>
        <v xml:space="preserve">SAN JUAN DE ARAGON                                                                                                                          </v>
      </c>
      <c r="G2748" s="26" t="str">
        <f>"GUSTAVO A. MADERO                                                               "</f>
        <v xml:space="preserve">GUSTAVO A. MADERO                                                               </v>
      </c>
      <c r="H2748" s="26" t="str">
        <f>"201"</f>
        <v>201</v>
      </c>
      <c r="I2748" s="26" t="str">
        <f t="shared" si="538"/>
        <v>00</v>
      </c>
      <c r="J2748" s="26" t="str">
        <f t="shared" si="555"/>
        <v xml:space="preserve">32 </v>
      </c>
      <c r="K2748" s="26" t="str">
        <f t="shared" si="553"/>
        <v>EP</v>
      </c>
      <c r="L2748" s="26" t="str">
        <f t="shared" si="554"/>
        <v>DGOSE</v>
      </c>
      <c r="M2748" s="26" t="str">
        <f t="shared" si="535"/>
        <v>PARTICULAR</v>
      </c>
      <c r="N2748" s="26">
        <v>36</v>
      </c>
      <c r="O2748" s="26">
        <v>21</v>
      </c>
      <c r="P2748" s="26">
        <v>15</v>
      </c>
      <c r="Q2748" s="26">
        <v>3</v>
      </c>
      <c r="R2748" s="26">
        <v>1</v>
      </c>
      <c r="S2748" s="26">
        <v>3</v>
      </c>
      <c r="T2748" s="26">
        <v>0</v>
      </c>
      <c r="U2748" s="26">
        <v>4</v>
      </c>
      <c r="V2748" s="26">
        <v>1</v>
      </c>
      <c r="W2748" s="26"/>
    </row>
    <row r="2749" spans="1:23" x14ac:dyDescent="0.25">
      <c r="A2749" s="26" t="str">
        <f t="shared" si="537"/>
        <v>PREESCOLAR</v>
      </c>
      <c r="B2749" s="26" t="str">
        <f>"09PJN5301G"</f>
        <v>09PJN5301G</v>
      </c>
      <c r="C2749" s="26" t="str">
        <f>"JARDIN DE NIÑOS SOLECITO                                                                            "</f>
        <v xml:space="preserve">JARDIN DE NIÑOS SOLECITO                                                                            </v>
      </c>
      <c r="D2749" s="26" t="str">
        <f t="shared" si="552"/>
        <v>MATUTINO</v>
      </c>
      <c r="E2749" s="26" t="str">
        <f>"JAVIER SOLIS S/N. MZA. 209 LT. 17                                               "</f>
        <v xml:space="preserve">JAVIER SOLIS S/N. MZA. 209 LT. 17                                               </v>
      </c>
      <c r="F2749" s="26" t="str">
        <f>"JORGE NEGRETE                                                                                                                               "</f>
        <v xml:space="preserve">JORGE NEGRETE                                                                                                                               </v>
      </c>
      <c r="G2749" s="26" t="str">
        <f>"GUSTAVO A. MADERO                                                               "</f>
        <v xml:space="preserve">GUSTAVO A. MADERO                                                               </v>
      </c>
      <c r="H2749" s="26" t="str">
        <f>"196"</f>
        <v>196</v>
      </c>
      <c r="I2749" s="26" t="str">
        <f t="shared" si="538"/>
        <v>00</v>
      </c>
      <c r="J2749" s="26" t="str">
        <f t="shared" si="555"/>
        <v xml:space="preserve">32 </v>
      </c>
      <c r="K2749" s="26" t="str">
        <f t="shared" si="553"/>
        <v>EP</v>
      </c>
      <c r="L2749" s="26" t="str">
        <f t="shared" si="554"/>
        <v>DGOSE</v>
      </c>
      <c r="M2749" s="26" t="str">
        <f t="shared" si="535"/>
        <v>PARTICULAR</v>
      </c>
      <c r="N2749" s="26">
        <v>68</v>
      </c>
      <c r="O2749" s="26">
        <v>34</v>
      </c>
      <c r="P2749" s="26">
        <v>34</v>
      </c>
      <c r="Q2749" s="26">
        <v>4</v>
      </c>
      <c r="R2749" s="26">
        <v>1</v>
      </c>
      <c r="S2749" s="26">
        <v>4</v>
      </c>
      <c r="T2749" s="26">
        <v>1</v>
      </c>
      <c r="U2749" s="26">
        <v>6</v>
      </c>
      <c r="V2749" s="26">
        <v>1</v>
      </c>
      <c r="W2749" s="26"/>
    </row>
    <row r="2750" spans="1:23" x14ac:dyDescent="0.25">
      <c r="A2750" s="26" t="str">
        <f t="shared" si="537"/>
        <v>PREESCOLAR</v>
      </c>
      <c r="B2750" s="26" t="str">
        <f>"09PJN5302F"</f>
        <v>09PJN5302F</v>
      </c>
      <c r="C2750" s="26" t="str">
        <f>"JARDIN DE NIÑOS SOLECITO                                                                            "</f>
        <v xml:space="preserve">JARDIN DE NIÑOS SOLECITO                                                                            </v>
      </c>
      <c r="D2750" s="26" t="str">
        <f>"VESPERTINO"</f>
        <v>VESPERTINO</v>
      </c>
      <c r="E2750" s="26" t="str">
        <f>"JAVIER SOLIS S/N MZA. 209 LT. 17                                                "</f>
        <v xml:space="preserve">JAVIER SOLIS S/N MZA. 209 LT. 17                                                </v>
      </c>
      <c r="F2750" s="26" t="str">
        <f>"JORGE NEGRETE                                                                                                                               "</f>
        <v xml:space="preserve">JORGE NEGRETE                                                                                                                               </v>
      </c>
      <c r="G2750" s="26" t="str">
        <f>"GUSTAVO A. MADERO                                                               "</f>
        <v xml:space="preserve">GUSTAVO A. MADERO                                                               </v>
      </c>
      <c r="H2750" s="26" t="str">
        <f>"196"</f>
        <v>196</v>
      </c>
      <c r="I2750" s="26" t="str">
        <f t="shared" si="538"/>
        <v>00</v>
      </c>
      <c r="J2750" s="26" t="str">
        <f t="shared" si="555"/>
        <v xml:space="preserve">32 </v>
      </c>
      <c r="K2750" s="26" t="str">
        <f t="shared" si="553"/>
        <v>EP</v>
      </c>
      <c r="L2750" s="26" t="str">
        <f t="shared" si="554"/>
        <v>DGOSE</v>
      </c>
      <c r="M2750" s="26" t="str">
        <f t="shared" si="535"/>
        <v>PARTICULAR</v>
      </c>
      <c r="N2750" s="26">
        <v>45</v>
      </c>
      <c r="O2750" s="26">
        <v>22</v>
      </c>
      <c r="P2750" s="26">
        <v>23</v>
      </c>
      <c r="Q2750" s="26">
        <v>3</v>
      </c>
      <c r="R2750" s="26">
        <v>1</v>
      </c>
      <c r="S2750" s="26">
        <v>3</v>
      </c>
      <c r="T2750" s="26">
        <v>1</v>
      </c>
      <c r="U2750" s="26">
        <v>5</v>
      </c>
      <c r="V2750" s="26">
        <v>1</v>
      </c>
      <c r="W2750" s="26"/>
    </row>
    <row r="2751" spans="1:23" x14ac:dyDescent="0.25">
      <c r="A2751" s="26" t="str">
        <f t="shared" si="537"/>
        <v>PREESCOLAR</v>
      </c>
      <c r="B2751" s="26" t="str">
        <f>"09PJN5305C"</f>
        <v>09PJN5305C</v>
      </c>
      <c r="C2751" s="26" t="str">
        <f>"BABY'S CLUB                                                                                         "</f>
        <v xml:space="preserve">BABY'S CLUB                                                                                         </v>
      </c>
      <c r="D2751" s="26" t="str">
        <f t="shared" ref="D2751:D2814" si="556">"MATUTINO"</f>
        <v>MATUTINO</v>
      </c>
      <c r="E2751" s="26" t="str">
        <f>"RIO BALSAS NO. 75                                                               "</f>
        <v xml:space="preserve">RIO BALSAS NO. 75                                                               </v>
      </c>
      <c r="F2751" s="26" t="str">
        <f>"CUAUHTEMOC                                                                                                                                  "</f>
        <v xml:space="preserve">CUAUHTEMOC                                                                                                                                  </v>
      </c>
      <c r="G2751" s="26" t="s">
        <v>4128</v>
      </c>
      <c r="H2751" s="26" t="str">
        <f>"020"</f>
        <v>020</v>
      </c>
      <c r="I2751" s="26" t="str">
        <f t="shared" si="538"/>
        <v>00</v>
      </c>
      <c r="J2751" s="26" t="str">
        <f t="shared" si="555"/>
        <v xml:space="preserve">32 </v>
      </c>
      <c r="K2751" s="26" t="str">
        <f t="shared" si="553"/>
        <v>EP</v>
      </c>
      <c r="L2751" s="26" t="str">
        <f t="shared" si="554"/>
        <v>DGOSE</v>
      </c>
      <c r="M2751" s="26" t="str">
        <f t="shared" ref="M2751:M2814" si="557">"PARTICULAR"</f>
        <v>PARTICULAR</v>
      </c>
      <c r="N2751" s="26">
        <v>11</v>
      </c>
      <c r="O2751" s="26">
        <v>4</v>
      </c>
      <c r="P2751" s="26">
        <v>7</v>
      </c>
      <c r="Q2751" s="26">
        <v>3</v>
      </c>
      <c r="R2751" s="26">
        <v>1</v>
      </c>
      <c r="S2751" s="26">
        <v>3</v>
      </c>
      <c r="T2751" s="26">
        <v>6</v>
      </c>
      <c r="U2751" s="26">
        <v>10</v>
      </c>
      <c r="V2751" s="26">
        <v>1</v>
      </c>
      <c r="W2751" s="26"/>
    </row>
    <row r="2752" spans="1:23" x14ac:dyDescent="0.25">
      <c r="A2752" s="26" t="str">
        <f t="shared" si="537"/>
        <v>PREESCOLAR</v>
      </c>
      <c r="B2752" s="26" t="str">
        <f>"09PJN5344E"</f>
        <v>09PJN5344E</v>
      </c>
      <c r="C2752" s="26" t="str">
        <f>"TETE'S GARDEN                                                                                       "</f>
        <v xml:space="preserve">TETE'S GARDEN                                                                                       </v>
      </c>
      <c r="D2752" s="26" t="str">
        <f t="shared" si="556"/>
        <v>MATUTINO</v>
      </c>
      <c r="E2752" s="26" t="str">
        <f>"VICENTE EGUIA NO.33                                                             "</f>
        <v xml:space="preserve">VICENTE EGUIA NO.33                                                             </v>
      </c>
      <c r="F2752" s="26" t="str">
        <f>"SAN MIGUEL CHAPULTEPEC                                                                                                                      "</f>
        <v xml:space="preserve">SAN MIGUEL CHAPULTEPEC                                                                                                                      </v>
      </c>
      <c r="G2752" s="26" t="str">
        <f>"MIGUEL HIDALGO                                                                  "</f>
        <v xml:space="preserve">MIGUEL HIDALGO                                                                  </v>
      </c>
      <c r="H2752" s="26" t="str">
        <f>"207"</f>
        <v>207</v>
      </c>
      <c r="I2752" s="26" t="str">
        <f t="shared" si="538"/>
        <v>00</v>
      </c>
      <c r="J2752" s="26" t="str">
        <f t="shared" si="555"/>
        <v xml:space="preserve">32 </v>
      </c>
      <c r="K2752" s="26" t="str">
        <f t="shared" si="553"/>
        <v>EP</v>
      </c>
      <c r="L2752" s="26" t="str">
        <f t="shared" si="554"/>
        <v>DGOSE</v>
      </c>
      <c r="M2752" s="26" t="str">
        <f t="shared" si="557"/>
        <v>PARTICULAR</v>
      </c>
      <c r="N2752" s="26">
        <v>39</v>
      </c>
      <c r="O2752" s="26">
        <v>16</v>
      </c>
      <c r="P2752" s="26">
        <v>23</v>
      </c>
      <c r="Q2752" s="26">
        <v>3</v>
      </c>
      <c r="R2752" s="26">
        <v>1</v>
      </c>
      <c r="S2752" s="26">
        <v>3</v>
      </c>
      <c r="T2752" s="26">
        <v>6</v>
      </c>
      <c r="U2752" s="26">
        <v>10</v>
      </c>
      <c r="V2752" s="26">
        <v>1</v>
      </c>
      <c r="W2752" s="26"/>
    </row>
    <row r="2753" spans="1:23" x14ac:dyDescent="0.25">
      <c r="A2753" s="26" t="str">
        <f t="shared" si="537"/>
        <v>PREESCOLAR</v>
      </c>
      <c r="B2753" s="26" t="str">
        <f>"09PJN5345D"</f>
        <v>09PJN5345D</v>
      </c>
      <c r="C2753" s="26" t="str">
        <f>"MONTESSORI'S WORLD                                                                                  "</f>
        <v xml:space="preserve">MONTESSORI'S WORLD                                                                                  </v>
      </c>
      <c r="D2753" s="26" t="str">
        <f t="shared" si="556"/>
        <v>MATUTINO</v>
      </c>
      <c r="E2753" s="26" t="str">
        <f>"TABASCO NO. 148                                                                 "</f>
        <v xml:space="preserve">TABASCO NO. 148                                                                 </v>
      </c>
      <c r="F2753" s="26" t="str">
        <f>"ROMA NORTE                                                                                                                                  "</f>
        <v xml:space="preserve">ROMA NORTE                                                                                                                                  </v>
      </c>
      <c r="G2753" s="26" t="s">
        <v>4128</v>
      </c>
      <c r="H2753" s="26" t="str">
        <f>"202"</f>
        <v>202</v>
      </c>
      <c r="I2753" s="26" t="str">
        <f t="shared" si="538"/>
        <v>00</v>
      </c>
      <c r="J2753" s="26" t="str">
        <f t="shared" si="555"/>
        <v xml:space="preserve">32 </v>
      </c>
      <c r="K2753" s="26" t="str">
        <f t="shared" si="553"/>
        <v>EP</v>
      </c>
      <c r="L2753" s="26" t="str">
        <f t="shared" si="554"/>
        <v>DGOSE</v>
      </c>
      <c r="M2753" s="26" t="str">
        <f t="shared" si="557"/>
        <v>PARTICULAR</v>
      </c>
      <c r="N2753" s="26">
        <v>53</v>
      </c>
      <c r="O2753" s="26">
        <v>26</v>
      </c>
      <c r="P2753" s="26">
        <v>27</v>
      </c>
      <c r="Q2753" s="26">
        <v>3</v>
      </c>
      <c r="R2753" s="26">
        <v>1</v>
      </c>
      <c r="S2753" s="26">
        <v>2</v>
      </c>
      <c r="T2753" s="26">
        <v>6</v>
      </c>
      <c r="U2753" s="26">
        <v>9</v>
      </c>
      <c r="V2753" s="26">
        <v>1</v>
      </c>
      <c r="W2753" s="26"/>
    </row>
    <row r="2754" spans="1:23" x14ac:dyDescent="0.25">
      <c r="A2754" s="26" t="str">
        <f t="shared" ref="A2754:A2817" si="558">"PREESCOLAR"</f>
        <v>PREESCOLAR</v>
      </c>
      <c r="B2754" s="26" t="str">
        <f>"09PJN5346C"</f>
        <v>09PJN5346C</v>
      </c>
      <c r="C2754" s="26" t="str">
        <f>"BLOOMEN SCHOOL                                                                                      "</f>
        <v xml:space="preserve">BLOOMEN SCHOOL                                                                                      </v>
      </c>
      <c r="D2754" s="26" t="str">
        <f t="shared" si="556"/>
        <v>MATUTINO</v>
      </c>
      <c r="E2754" s="26" t="str">
        <f>"MONTE CAUCASO NO 1245                                                           "</f>
        <v xml:space="preserve">MONTE CAUCASO NO 1245                                                           </v>
      </c>
      <c r="F2754" s="26" t="str">
        <f>"LOMAS DE CHAPULTEPEC                                                                                                                        "</f>
        <v xml:space="preserve">LOMAS DE CHAPULTEPEC                                                                                                                        </v>
      </c>
      <c r="G2754" s="26" t="str">
        <f>"MIGUEL HIDALGO                                                                  "</f>
        <v xml:space="preserve">MIGUEL HIDALGO                                                                  </v>
      </c>
      <c r="H2754" s="26" t="str">
        <f>"056"</f>
        <v>056</v>
      </c>
      <c r="I2754" s="26" t="str">
        <f t="shared" ref="I2754:I2817" si="559">"00"</f>
        <v>00</v>
      </c>
      <c r="J2754" s="26" t="str">
        <f t="shared" si="555"/>
        <v xml:space="preserve">32 </v>
      </c>
      <c r="K2754" s="26" t="str">
        <f t="shared" si="553"/>
        <v>EP</v>
      </c>
      <c r="L2754" s="26" t="str">
        <f t="shared" si="554"/>
        <v>DGOSE</v>
      </c>
      <c r="M2754" s="26" t="str">
        <f t="shared" si="557"/>
        <v>PARTICULAR</v>
      </c>
      <c r="N2754" s="26">
        <v>44</v>
      </c>
      <c r="O2754" s="26">
        <v>20</v>
      </c>
      <c r="P2754" s="26">
        <v>24</v>
      </c>
      <c r="Q2754" s="26">
        <v>3</v>
      </c>
      <c r="R2754" s="26">
        <v>1</v>
      </c>
      <c r="S2754" s="26">
        <v>3</v>
      </c>
      <c r="T2754" s="26">
        <v>7</v>
      </c>
      <c r="U2754" s="26">
        <v>11</v>
      </c>
      <c r="V2754" s="26">
        <v>1</v>
      </c>
      <c r="W2754" s="26"/>
    </row>
    <row r="2755" spans="1:23" x14ac:dyDescent="0.25">
      <c r="A2755" s="26" t="str">
        <f t="shared" si="558"/>
        <v>PREESCOLAR</v>
      </c>
      <c r="B2755" s="26" t="str">
        <f>"09PJN5347B"</f>
        <v>09PJN5347B</v>
      </c>
      <c r="C2755" s="26" t="str">
        <f>"GYMBOREE ESCANDON                                                                                   "</f>
        <v xml:space="preserve">GYMBOREE ESCANDON                                                                                   </v>
      </c>
      <c r="D2755" s="26" t="str">
        <f t="shared" si="556"/>
        <v>MATUTINO</v>
      </c>
      <c r="E2755" s="26" t="str">
        <f>"AGRICULTURA NO. 12                                                              "</f>
        <v xml:space="preserve">AGRICULTURA NO. 12                                                              </v>
      </c>
      <c r="F2755" s="26" t="str">
        <f>"ESCANDON                                                                                                                                    "</f>
        <v xml:space="preserve">ESCANDON                                                                                                                                    </v>
      </c>
      <c r="G2755" s="26" t="str">
        <f>"MIGUEL HIDALGO                                                                  "</f>
        <v xml:space="preserve">MIGUEL HIDALGO                                                                  </v>
      </c>
      <c r="H2755" s="26" t="str">
        <f>"014"</f>
        <v>014</v>
      </c>
      <c r="I2755" s="26" t="str">
        <f t="shared" si="559"/>
        <v>00</v>
      </c>
      <c r="J2755" s="26" t="str">
        <f t="shared" si="555"/>
        <v xml:space="preserve">32 </v>
      </c>
      <c r="K2755" s="26" t="str">
        <f t="shared" si="553"/>
        <v>EP</v>
      </c>
      <c r="L2755" s="26" t="str">
        <f t="shared" si="554"/>
        <v>DGOSE</v>
      </c>
      <c r="M2755" s="26" t="str">
        <f t="shared" si="557"/>
        <v>PARTICULAR</v>
      </c>
      <c r="N2755" s="26">
        <v>31</v>
      </c>
      <c r="O2755" s="26">
        <v>15</v>
      </c>
      <c r="P2755" s="26">
        <v>16</v>
      </c>
      <c r="Q2755" s="26">
        <v>3</v>
      </c>
      <c r="R2755" s="26">
        <v>1</v>
      </c>
      <c r="S2755" s="26">
        <v>2</v>
      </c>
      <c r="T2755" s="26">
        <v>5</v>
      </c>
      <c r="U2755" s="26">
        <v>8</v>
      </c>
      <c r="V2755" s="26">
        <v>1</v>
      </c>
      <c r="W2755" s="26"/>
    </row>
    <row r="2756" spans="1:23" x14ac:dyDescent="0.25">
      <c r="A2756" s="26" t="str">
        <f t="shared" si="558"/>
        <v>PREESCOLAR</v>
      </c>
      <c r="B2756" s="26" t="str">
        <f>"09PJN5348A"</f>
        <v>09PJN5348A</v>
      </c>
      <c r="C2756" s="26" t="s">
        <v>115</v>
      </c>
      <c r="D2756" s="26" t="str">
        <f t="shared" si="556"/>
        <v>MATUTINO</v>
      </c>
      <c r="E2756" s="26" t="str">
        <f>"FERNANDO MONTES DE OCA NO. 149                                                  "</f>
        <v xml:space="preserve">FERNANDO MONTES DE OCA NO. 149                                                  </v>
      </c>
      <c r="F2756" s="26" t="str">
        <f>"SAN MIGUEL CHAPULTEPEC                                                                                                                      "</f>
        <v xml:space="preserve">SAN MIGUEL CHAPULTEPEC                                                                                                                      </v>
      </c>
      <c r="G2756" s="26" t="str">
        <f>"MIGUEL HIDALGO                                                                  "</f>
        <v xml:space="preserve">MIGUEL HIDALGO                                                                  </v>
      </c>
      <c r="H2756" s="26" t="str">
        <f>"207"</f>
        <v>207</v>
      </c>
      <c r="I2756" s="26" t="str">
        <f t="shared" si="559"/>
        <v>00</v>
      </c>
      <c r="J2756" s="26" t="str">
        <f t="shared" si="555"/>
        <v xml:space="preserve">32 </v>
      </c>
      <c r="K2756" s="26" t="str">
        <f t="shared" si="553"/>
        <v>EP</v>
      </c>
      <c r="L2756" s="26" t="str">
        <f t="shared" si="554"/>
        <v>DGOSE</v>
      </c>
      <c r="M2756" s="26" t="str">
        <f t="shared" si="557"/>
        <v>PARTICULAR</v>
      </c>
      <c r="N2756" s="26">
        <v>15</v>
      </c>
      <c r="O2756" s="26">
        <v>5</v>
      </c>
      <c r="P2756" s="26">
        <v>10</v>
      </c>
      <c r="Q2756" s="26">
        <v>3</v>
      </c>
      <c r="R2756" s="26">
        <v>1</v>
      </c>
      <c r="S2756" s="26">
        <v>3</v>
      </c>
      <c r="T2756" s="26">
        <v>6</v>
      </c>
      <c r="U2756" s="26">
        <v>10</v>
      </c>
      <c r="V2756" s="26">
        <v>1</v>
      </c>
      <c r="W2756" s="26"/>
    </row>
    <row r="2757" spans="1:23" x14ac:dyDescent="0.25">
      <c r="A2757" s="26" t="str">
        <f t="shared" si="558"/>
        <v>PREESCOLAR</v>
      </c>
      <c r="B2757" s="26" t="str">
        <f>"09PJN5350P"</f>
        <v>09PJN5350P</v>
      </c>
      <c r="C2757" s="26" t="str">
        <f>"BICHOS KINDERGARDEN                                                                                 "</f>
        <v xml:space="preserve">BICHOS KINDERGARDEN                                                                                 </v>
      </c>
      <c r="D2757" s="26" t="str">
        <f t="shared" si="556"/>
        <v>MATUTINO</v>
      </c>
      <c r="E2757" s="26" t="str">
        <f>"CIRCUITO FUENTES DEL PEDREGAL NO.786                                            "</f>
        <v xml:space="preserve">CIRCUITO FUENTES DEL PEDREGAL NO.786                                            </v>
      </c>
      <c r="F2757" s="26" t="str">
        <f>"FUENTES DEL PEDREGAL                                                                                                                        "</f>
        <v xml:space="preserve">FUENTES DEL PEDREGAL                                                                                                                        </v>
      </c>
      <c r="G2757" s="26" t="str">
        <f>"TLALPAN                                                                         "</f>
        <v xml:space="preserve">TLALPAN                                                                         </v>
      </c>
      <c r="H2757" s="26" t="str">
        <f>"049"</f>
        <v>049</v>
      </c>
      <c r="I2757" s="26" t="str">
        <f t="shared" si="559"/>
        <v>00</v>
      </c>
      <c r="J2757" s="26" t="str">
        <f t="shared" ref="J2757:J2764" si="560">"35 "</f>
        <v xml:space="preserve">35 </v>
      </c>
      <c r="K2757" s="26" t="str">
        <f t="shared" si="553"/>
        <v>EP</v>
      </c>
      <c r="L2757" s="26" t="str">
        <f t="shared" si="554"/>
        <v>DGOSE</v>
      </c>
      <c r="M2757" s="26" t="str">
        <f t="shared" si="557"/>
        <v>PARTICULAR</v>
      </c>
      <c r="N2757" s="26">
        <v>6</v>
      </c>
      <c r="O2757" s="26">
        <v>3</v>
      </c>
      <c r="P2757" s="26">
        <v>3</v>
      </c>
      <c r="Q2757" s="26">
        <v>2</v>
      </c>
      <c r="R2757" s="26">
        <v>1</v>
      </c>
      <c r="S2757" s="26">
        <v>1</v>
      </c>
      <c r="T2757" s="26">
        <v>4</v>
      </c>
      <c r="U2757" s="26">
        <v>6</v>
      </c>
      <c r="V2757" s="26">
        <v>1</v>
      </c>
      <c r="W2757" s="26"/>
    </row>
    <row r="2758" spans="1:23" x14ac:dyDescent="0.25">
      <c r="A2758" s="26" t="str">
        <f t="shared" si="558"/>
        <v>PREESCOLAR</v>
      </c>
      <c r="B2758" s="26" t="str">
        <f>"09PJN5352N"</f>
        <v>09PJN5352N</v>
      </c>
      <c r="C2758" s="26" t="str">
        <f>"ENRIQUE REBSAMEN JARDIN DE NIÑOS                                                                    "</f>
        <v xml:space="preserve">ENRIQUE REBSAMEN JARDIN DE NIÑOS                                                                    </v>
      </c>
      <c r="D2758" s="26" t="str">
        <f t="shared" si="556"/>
        <v>MATUTINO</v>
      </c>
      <c r="E2758" s="26" t="str">
        <f>"RANCHO TAMBOREO NO. 11                                                          "</f>
        <v xml:space="preserve">RANCHO TAMBOREO NO. 11                                                          </v>
      </c>
      <c r="F2758" s="26" t="str">
        <f>"NUEVA ORIENTAL                                                                                                                              "</f>
        <v xml:space="preserve">NUEVA ORIENTAL                                                                                                                              </v>
      </c>
      <c r="G2758" s="26" t="str">
        <f>"TLALPAN                                                                         "</f>
        <v xml:space="preserve">TLALPAN                                                                         </v>
      </c>
      <c r="H2758" s="26" t="str">
        <f>"276"</f>
        <v>276</v>
      </c>
      <c r="I2758" s="26" t="str">
        <f t="shared" si="559"/>
        <v>00</v>
      </c>
      <c r="J2758" s="26" t="str">
        <f t="shared" si="560"/>
        <v xml:space="preserve">35 </v>
      </c>
      <c r="K2758" s="26" t="str">
        <f t="shared" si="553"/>
        <v>EP</v>
      </c>
      <c r="L2758" s="26" t="str">
        <f t="shared" si="554"/>
        <v>DGOSE</v>
      </c>
      <c r="M2758" s="26" t="str">
        <f t="shared" si="557"/>
        <v>PARTICULAR</v>
      </c>
      <c r="N2758" s="26">
        <v>39</v>
      </c>
      <c r="O2758" s="26">
        <v>18</v>
      </c>
      <c r="P2758" s="26">
        <v>21</v>
      </c>
      <c r="Q2758" s="26">
        <v>3</v>
      </c>
      <c r="R2758" s="26">
        <v>1</v>
      </c>
      <c r="S2758" s="26">
        <v>3</v>
      </c>
      <c r="T2758" s="26">
        <v>7</v>
      </c>
      <c r="U2758" s="26">
        <v>11</v>
      </c>
      <c r="V2758" s="26">
        <v>1</v>
      </c>
      <c r="W2758" s="26"/>
    </row>
    <row r="2759" spans="1:23" x14ac:dyDescent="0.25">
      <c r="A2759" s="26" t="str">
        <f t="shared" si="558"/>
        <v>PREESCOLAR</v>
      </c>
      <c r="B2759" s="26" t="str">
        <f>"09PJN5353M"</f>
        <v>09PJN5353M</v>
      </c>
      <c r="C2759" s="26" t="str">
        <f>"COMUNIDAD KUPAAL                                                                                    "</f>
        <v xml:space="preserve">COMUNIDAD KUPAAL                                                                                    </v>
      </c>
      <c r="D2759" s="26" t="str">
        <f t="shared" si="556"/>
        <v>MATUTINO</v>
      </c>
      <c r="E2759" s="26" t="str">
        <f>"DILIGENCIAS NO. 76                                                              "</f>
        <v xml:space="preserve">DILIGENCIAS NO. 76                                                              </v>
      </c>
      <c r="F2759" s="26" t="str">
        <f>"SAN PEDRO MARTIR                                                                                                                            "</f>
        <v xml:space="preserve">SAN PEDRO MARTIR                                                                                                                            </v>
      </c>
      <c r="G2759" s="26" t="str">
        <f>"TLALPAN                                                                         "</f>
        <v xml:space="preserve">TLALPAN                                                                         </v>
      </c>
      <c r="H2759" s="26" t="str">
        <f>"278"</f>
        <v>278</v>
      </c>
      <c r="I2759" s="26" t="str">
        <f t="shared" si="559"/>
        <v>00</v>
      </c>
      <c r="J2759" s="26" t="str">
        <f t="shared" si="560"/>
        <v xml:space="preserve">35 </v>
      </c>
      <c r="K2759" s="26" t="str">
        <f t="shared" si="553"/>
        <v>EP</v>
      </c>
      <c r="L2759" s="26" t="str">
        <f t="shared" si="554"/>
        <v>DGOSE</v>
      </c>
      <c r="M2759" s="26" t="str">
        <f t="shared" si="557"/>
        <v>PARTICULAR</v>
      </c>
      <c r="N2759" s="26">
        <v>20</v>
      </c>
      <c r="O2759" s="26">
        <v>12</v>
      </c>
      <c r="P2759" s="26">
        <v>8</v>
      </c>
      <c r="Q2759" s="26">
        <v>3</v>
      </c>
      <c r="R2759" s="26">
        <v>1</v>
      </c>
      <c r="S2759" s="26">
        <v>2</v>
      </c>
      <c r="T2759" s="26">
        <v>3</v>
      </c>
      <c r="U2759" s="26">
        <v>6</v>
      </c>
      <c r="V2759" s="26">
        <v>1</v>
      </c>
      <c r="W2759" s="26"/>
    </row>
    <row r="2760" spans="1:23" x14ac:dyDescent="0.25">
      <c r="A2760" s="26" t="str">
        <f t="shared" si="558"/>
        <v>PREESCOLAR</v>
      </c>
      <c r="B2760" s="26" t="str">
        <f>"09PJN5354L"</f>
        <v>09PJN5354L</v>
      </c>
      <c r="C2760" s="26" t="str">
        <f>"CALLI                                                                                               "</f>
        <v xml:space="preserve">CALLI                                                                                               </v>
      </c>
      <c r="D2760" s="26" t="str">
        <f t="shared" si="556"/>
        <v>MATUTINO</v>
      </c>
      <c r="E2760" s="26" t="str">
        <f>"TARASCOS NO. 2 MZA.4 LT. 3                                                      "</f>
        <v xml:space="preserve">TARASCOS NO. 2 MZA.4 LT. 3                                                      </v>
      </c>
      <c r="F2760" s="26" t="str">
        <f>"TLALCOLIGIA                                                                                                                                 "</f>
        <v xml:space="preserve">TLALCOLIGIA                                                                                                                                 </v>
      </c>
      <c r="G2760" s="26" t="str">
        <f>"TLALPAN                                                                         "</f>
        <v xml:space="preserve">TLALPAN                                                                         </v>
      </c>
      <c r="H2760" s="26" t="str">
        <f>"062"</f>
        <v>062</v>
      </c>
      <c r="I2760" s="26" t="str">
        <f t="shared" si="559"/>
        <v>00</v>
      </c>
      <c r="J2760" s="26" t="str">
        <f t="shared" si="560"/>
        <v xml:space="preserve">35 </v>
      </c>
      <c r="K2760" s="26" t="str">
        <f t="shared" si="553"/>
        <v>EP</v>
      </c>
      <c r="L2760" s="26" t="str">
        <f t="shared" si="554"/>
        <v>DGOSE</v>
      </c>
      <c r="M2760" s="26" t="str">
        <f t="shared" si="557"/>
        <v>PARTICULAR</v>
      </c>
      <c r="N2760" s="26">
        <v>24</v>
      </c>
      <c r="O2760" s="26">
        <v>10</v>
      </c>
      <c r="P2760" s="26">
        <v>14</v>
      </c>
      <c r="Q2760" s="26">
        <v>3</v>
      </c>
      <c r="R2760" s="26">
        <v>1</v>
      </c>
      <c r="S2760" s="26">
        <v>3</v>
      </c>
      <c r="T2760" s="26">
        <v>7</v>
      </c>
      <c r="U2760" s="26">
        <v>11</v>
      </c>
      <c r="V2760" s="26">
        <v>1</v>
      </c>
      <c r="W2760" s="26"/>
    </row>
    <row r="2761" spans="1:23" x14ac:dyDescent="0.25">
      <c r="A2761" s="26" t="str">
        <f t="shared" si="558"/>
        <v>PREESCOLAR</v>
      </c>
      <c r="B2761" s="26" t="str">
        <f>"09PJN5355K"</f>
        <v>09PJN5355K</v>
      </c>
      <c r="C2761" s="26" t="str">
        <f>"INSTITUTO SUCRE                                                                                     "</f>
        <v xml:space="preserve">INSTITUTO SUCRE                                                                                     </v>
      </c>
      <c r="D2761" s="26" t="str">
        <f t="shared" si="556"/>
        <v>MATUTINO</v>
      </c>
      <c r="E2761" s="26" t="str">
        <f>"CALZADA TAXQUEÑA NO. 1768                                                       "</f>
        <v xml:space="preserve">CALZADA TAXQUEÑA NO. 1768                                                       </v>
      </c>
      <c r="F2761" s="26" t="str">
        <f>"PASEOS DE TAXQUEÑA                                                                                                                          "</f>
        <v xml:space="preserve">PASEOS DE TAXQUEÑA                                                                                                                          </v>
      </c>
      <c r="G2761" s="26" t="str">
        <f>"COYOACAN                                                                        "</f>
        <v xml:space="preserve">COYOACAN                                                                        </v>
      </c>
      <c r="H2761" s="26" t="str">
        <f>"024"</f>
        <v>024</v>
      </c>
      <c r="I2761" s="26" t="str">
        <f t="shared" si="559"/>
        <v>00</v>
      </c>
      <c r="J2761" s="26" t="str">
        <f t="shared" si="560"/>
        <v xml:space="preserve">35 </v>
      </c>
      <c r="K2761" s="26" t="str">
        <f t="shared" si="553"/>
        <v>EP</v>
      </c>
      <c r="L2761" s="26" t="str">
        <f t="shared" si="554"/>
        <v>DGOSE</v>
      </c>
      <c r="M2761" s="26" t="str">
        <f t="shared" si="557"/>
        <v>PARTICULAR</v>
      </c>
      <c r="N2761" s="26">
        <v>72</v>
      </c>
      <c r="O2761" s="26">
        <v>36</v>
      </c>
      <c r="P2761" s="26">
        <v>36</v>
      </c>
      <c r="Q2761" s="26">
        <v>4</v>
      </c>
      <c r="R2761" s="26">
        <v>1</v>
      </c>
      <c r="S2761" s="26">
        <v>2</v>
      </c>
      <c r="T2761" s="26">
        <v>6</v>
      </c>
      <c r="U2761" s="26">
        <v>9</v>
      </c>
      <c r="V2761" s="26">
        <v>1</v>
      </c>
      <c r="W2761" s="26"/>
    </row>
    <row r="2762" spans="1:23" x14ac:dyDescent="0.25">
      <c r="A2762" s="26" t="str">
        <f t="shared" si="558"/>
        <v>PREESCOLAR</v>
      </c>
      <c r="B2762" s="26" t="str">
        <f>"09PJN5356J"</f>
        <v>09PJN5356J</v>
      </c>
      <c r="C2762" s="26" t="str">
        <f>"LICEO HIRONDELLE                                                                                    "</f>
        <v xml:space="preserve">LICEO HIRONDELLE                                                                                    </v>
      </c>
      <c r="D2762" s="26" t="str">
        <f t="shared" si="556"/>
        <v>MATUTINO</v>
      </c>
      <c r="E2762" s="26" t="str">
        <f>"AV. AMERICA NO. 95                                                              "</f>
        <v xml:space="preserve">AV. AMERICA NO. 95                                                              </v>
      </c>
      <c r="F2762" s="26" t="str">
        <f>"PARQUE SAN ANDRES                                                                                                                           "</f>
        <v xml:space="preserve">PARQUE SAN ANDRES                                                                                                                           </v>
      </c>
      <c r="G2762" s="26" t="str">
        <f>"COYOACAN                                                                        "</f>
        <v xml:space="preserve">COYOACAN                                                                        </v>
      </c>
      <c r="H2762" s="26" t="str">
        <f>"043"</f>
        <v>043</v>
      </c>
      <c r="I2762" s="26" t="str">
        <f t="shared" si="559"/>
        <v>00</v>
      </c>
      <c r="J2762" s="26" t="str">
        <f t="shared" si="560"/>
        <v xml:space="preserve">35 </v>
      </c>
      <c r="K2762" s="26" t="str">
        <f t="shared" si="553"/>
        <v>EP</v>
      </c>
      <c r="L2762" s="26" t="str">
        <f t="shared" si="554"/>
        <v>DGOSE</v>
      </c>
      <c r="M2762" s="26" t="str">
        <f t="shared" si="557"/>
        <v>PARTICULAR</v>
      </c>
      <c r="N2762" s="26">
        <v>29</v>
      </c>
      <c r="O2762" s="26">
        <v>20</v>
      </c>
      <c r="P2762" s="26">
        <v>9</v>
      </c>
      <c r="Q2762" s="26">
        <v>3</v>
      </c>
      <c r="R2762" s="26">
        <v>1</v>
      </c>
      <c r="S2762" s="26">
        <v>3</v>
      </c>
      <c r="T2762" s="26">
        <v>7</v>
      </c>
      <c r="U2762" s="26">
        <v>11</v>
      </c>
      <c r="V2762" s="26">
        <v>1</v>
      </c>
      <c r="W2762" s="26"/>
    </row>
    <row r="2763" spans="1:23" x14ac:dyDescent="0.25">
      <c r="A2763" s="26" t="str">
        <f t="shared" si="558"/>
        <v>PREESCOLAR</v>
      </c>
      <c r="B2763" s="26" t="str">
        <f>"09PJN5358H"</f>
        <v>09PJN5358H</v>
      </c>
      <c r="C2763" s="26" t="str">
        <f>"CEII PEQUEÑOS EN ACCION                                                                             "</f>
        <v xml:space="preserve">CEII PEQUEÑOS EN ACCION                                                                             </v>
      </c>
      <c r="D2763" s="26" t="str">
        <f t="shared" si="556"/>
        <v>MATUTINO</v>
      </c>
      <c r="E2763" s="26" t="str">
        <f>"GARDENIA NO. 7                                                                  "</f>
        <v xml:space="preserve">GARDENIA NO. 7                                                                  </v>
      </c>
      <c r="F2763" s="26" t="str">
        <f>"CIUDAD JARDIN                                                                                                                               "</f>
        <v xml:space="preserve">CIUDAD JARDIN                                                                                                                               </v>
      </c>
      <c r="G2763" s="26" t="str">
        <f>"COYOACAN                                                                        "</f>
        <v xml:space="preserve">COYOACAN                                                                        </v>
      </c>
      <c r="H2763" s="26" t="str">
        <f>"043"</f>
        <v>043</v>
      </c>
      <c r="I2763" s="26" t="str">
        <f t="shared" si="559"/>
        <v>00</v>
      </c>
      <c r="J2763" s="26" t="str">
        <f t="shared" si="560"/>
        <v xml:space="preserve">35 </v>
      </c>
      <c r="K2763" s="26" t="str">
        <f t="shared" si="553"/>
        <v>EP</v>
      </c>
      <c r="L2763" s="26" t="str">
        <f t="shared" si="554"/>
        <v>DGOSE</v>
      </c>
      <c r="M2763" s="26" t="str">
        <f t="shared" si="557"/>
        <v>PARTICULAR</v>
      </c>
      <c r="N2763" s="26">
        <v>13</v>
      </c>
      <c r="O2763" s="26">
        <v>8</v>
      </c>
      <c r="P2763" s="26">
        <v>5</v>
      </c>
      <c r="Q2763" s="26">
        <v>3</v>
      </c>
      <c r="R2763" s="26">
        <v>1</v>
      </c>
      <c r="S2763" s="26">
        <v>2</v>
      </c>
      <c r="T2763" s="26">
        <v>2</v>
      </c>
      <c r="U2763" s="26">
        <v>5</v>
      </c>
      <c r="V2763" s="26">
        <v>1</v>
      </c>
      <c r="W2763" s="26"/>
    </row>
    <row r="2764" spans="1:23" x14ac:dyDescent="0.25">
      <c r="A2764" s="26" t="str">
        <f t="shared" si="558"/>
        <v>PREESCOLAR</v>
      </c>
      <c r="B2764" s="26" t="str">
        <f>"09PJN5359G"</f>
        <v>09PJN5359G</v>
      </c>
      <c r="C2764" s="26" t="str">
        <f>"CENTRO EDUCATIVO PARA PEQUES                                                                        "</f>
        <v xml:space="preserve">CENTRO EDUCATIVO PARA PEQUES                                                                        </v>
      </c>
      <c r="D2764" s="26" t="str">
        <f t="shared" si="556"/>
        <v>MATUTINO</v>
      </c>
      <c r="E2764" s="26" t="str">
        <f>"BUENAVISTA NO. 119 (ANTES 25)                                                   "</f>
        <v xml:space="preserve">BUENAVISTA NO. 119 (ANTES 25)                                                   </v>
      </c>
      <c r="F2764" s="26" t="str">
        <f>"PUEBLO NUEVO BAJO                                                                                                                           "</f>
        <v xml:space="preserve">PUEBLO NUEVO BAJO                                                                                                                           </v>
      </c>
      <c r="G2764" s="26" t="str">
        <f>"LA MAGDALENA CONTRERAS                                                          "</f>
        <v xml:space="preserve">LA MAGDALENA CONTRERAS                                                          </v>
      </c>
      <c r="H2764" s="26" t="str">
        <f>"112"</f>
        <v>112</v>
      </c>
      <c r="I2764" s="26" t="str">
        <f t="shared" si="559"/>
        <v>00</v>
      </c>
      <c r="J2764" s="26" t="str">
        <f t="shared" si="560"/>
        <v xml:space="preserve">35 </v>
      </c>
      <c r="K2764" s="26" t="str">
        <f t="shared" si="553"/>
        <v>EP</v>
      </c>
      <c r="L2764" s="26" t="str">
        <f t="shared" si="554"/>
        <v>DGOSE</v>
      </c>
      <c r="M2764" s="26" t="str">
        <f t="shared" si="557"/>
        <v>PARTICULAR</v>
      </c>
      <c r="N2764" s="26">
        <v>57</v>
      </c>
      <c r="O2764" s="26">
        <v>28</v>
      </c>
      <c r="P2764" s="26">
        <v>29</v>
      </c>
      <c r="Q2764" s="26">
        <v>2</v>
      </c>
      <c r="R2764" s="26">
        <v>1</v>
      </c>
      <c r="S2764" s="26">
        <v>2</v>
      </c>
      <c r="T2764" s="26">
        <v>3</v>
      </c>
      <c r="U2764" s="26">
        <v>6</v>
      </c>
      <c r="V2764" s="26">
        <v>1</v>
      </c>
      <c r="W2764" s="26"/>
    </row>
    <row r="2765" spans="1:23" x14ac:dyDescent="0.25">
      <c r="A2765" s="26" t="str">
        <f t="shared" si="558"/>
        <v>PREESCOLAR</v>
      </c>
      <c r="B2765" s="26" t="str">
        <f>"09PJN5361V"</f>
        <v>09PJN5361V</v>
      </c>
      <c r="C2765" s="26" t="str">
        <f>"CENTRO DE DESARROLLO INFANTIL ÁMSTERDAM S.C.                                                        "</f>
        <v xml:space="preserve">CENTRO DE DESARROLLO INFANTIL ÁMSTERDAM S.C.                                                        </v>
      </c>
      <c r="D2765" s="26" t="str">
        <f t="shared" si="556"/>
        <v>MATUTINO</v>
      </c>
      <c r="E2765" s="26" t="str">
        <f>"ESCUADRON 201 NO. 58                                                            "</f>
        <v xml:space="preserve">ESCUADRON 201 NO. 58                                                            </v>
      </c>
      <c r="F2765" s="26" t="str">
        <f>"CRISTO REY                                                                                                                                  "</f>
        <v xml:space="preserve">CRISTO REY                                                                                                                                  </v>
      </c>
      <c r="G2765" s="26" t="str">
        <f>"ALVARO OBREGON                                                                  "</f>
        <v xml:space="preserve">ALVARO OBREGON                                                                  </v>
      </c>
      <c r="H2765" s="26" t="str">
        <f>"165"</f>
        <v>165</v>
      </c>
      <c r="I2765" s="26" t="str">
        <f t="shared" si="559"/>
        <v>00</v>
      </c>
      <c r="J2765" s="26" t="str">
        <f>"33 "</f>
        <v xml:space="preserve">33 </v>
      </c>
      <c r="K2765" s="26" t="str">
        <f t="shared" si="553"/>
        <v>EP</v>
      </c>
      <c r="L2765" s="26" t="str">
        <f t="shared" si="554"/>
        <v>DGOSE</v>
      </c>
      <c r="M2765" s="26" t="str">
        <f t="shared" si="557"/>
        <v>PARTICULAR</v>
      </c>
      <c r="N2765" s="26">
        <v>13</v>
      </c>
      <c r="O2765" s="26">
        <v>7</v>
      </c>
      <c r="P2765" s="26">
        <v>6</v>
      </c>
      <c r="Q2765" s="26">
        <v>1</v>
      </c>
      <c r="R2765" s="26">
        <v>1</v>
      </c>
      <c r="S2765" s="26">
        <v>1</v>
      </c>
      <c r="T2765" s="26">
        <v>2</v>
      </c>
      <c r="U2765" s="26">
        <v>4</v>
      </c>
      <c r="V2765" s="26">
        <v>1</v>
      </c>
      <c r="W2765" s="26"/>
    </row>
    <row r="2766" spans="1:23" x14ac:dyDescent="0.25">
      <c r="A2766" s="26" t="str">
        <f t="shared" si="558"/>
        <v>PREESCOLAR</v>
      </c>
      <c r="B2766" s="26" t="str">
        <f>"09PJN5362U"</f>
        <v>09PJN5362U</v>
      </c>
      <c r="C2766" s="26" t="str">
        <f>"CENTRO EDUCATIVO OLIVAR                                                                             "</f>
        <v xml:space="preserve">CENTRO EDUCATIVO OLIVAR                                                                             </v>
      </c>
      <c r="D2766" s="26" t="str">
        <f t="shared" si="556"/>
        <v>MATUTINO</v>
      </c>
      <c r="E2766" s="26" t="str">
        <f>"OLIVAR NO. 37                                                                   "</f>
        <v xml:space="preserve">OLIVAR NO. 37                                                                   </v>
      </c>
      <c r="F2766" s="26" t="str">
        <f>"TIZAPAN                                                                                                                                     "</f>
        <v xml:space="preserve">TIZAPAN                                                                                                                                     </v>
      </c>
      <c r="G2766" s="26" t="str">
        <f>"ALVARO OBREGON                                                                  "</f>
        <v xml:space="preserve">ALVARO OBREGON                                                                  </v>
      </c>
      <c r="H2766" s="26" t="str">
        <f>"175"</f>
        <v>175</v>
      </c>
      <c r="I2766" s="26" t="str">
        <f t="shared" si="559"/>
        <v>00</v>
      </c>
      <c r="J2766" s="26" t="str">
        <f>"33 "</f>
        <v xml:space="preserve">33 </v>
      </c>
      <c r="K2766" s="26" t="str">
        <f t="shared" si="553"/>
        <v>EP</v>
      </c>
      <c r="L2766" s="26" t="str">
        <f t="shared" si="554"/>
        <v>DGOSE</v>
      </c>
      <c r="M2766" s="26" t="str">
        <f t="shared" si="557"/>
        <v>PARTICULAR</v>
      </c>
      <c r="N2766" s="26">
        <v>8</v>
      </c>
      <c r="O2766" s="26">
        <v>4</v>
      </c>
      <c r="P2766" s="26">
        <v>4</v>
      </c>
      <c r="Q2766" s="26">
        <v>3</v>
      </c>
      <c r="R2766" s="26">
        <v>1</v>
      </c>
      <c r="S2766" s="26">
        <v>2</v>
      </c>
      <c r="T2766" s="26">
        <v>4</v>
      </c>
      <c r="U2766" s="26">
        <v>7</v>
      </c>
      <c r="V2766" s="26">
        <v>1</v>
      </c>
      <c r="W2766" s="26"/>
    </row>
    <row r="2767" spans="1:23" x14ac:dyDescent="0.25">
      <c r="A2767" s="26" t="str">
        <f t="shared" si="558"/>
        <v>PREESCOLAR</v>
      </c>
      <c r="B2767" s="26" t="str">
        <f>"09PJN5363T"</f>
        <v>09PJN5363T</v>
      </c>
      <c r="C2767" s="26" t="str">
        <f>"LA MAGIA DE MERLIN                                                                                  "</f>
        <v xml:space="preserve">LA MAGIA DE MERLIN                                                                                  </v>
      </c>
      <c r="D2767" s="26" t="str">
        <f t="shared" si="556"/>
        <v>MATUTINO</v>
      </c>
      <c r="E2767" s="26" t="str">
        <f>"AV. ING. JOSE MARIA CASTORENA NO. 621                                           "</f>
        <v xml:space="preserve">AV. ING. JOSE MARIA CASTORENA NO. 621                                           </v>
      </c>
      <c r="F2767" s="26" t="str">
        <f>"EL MOLINO                                                                                                                                   "</f>
        <v xml:space="preserve">EL MOLINO                                                                                                                                   </v>
      </c>
      <c r="G2767" s="26" t="str">
        <f>"CUAJIMALPA DE MORELOS                                                           "</f>
        <v xml:space="preserve">CUAJIMALPA DE MORELOS                                                           </v>
      </c>
      <c r="H2767" s="26" t="str">
        <f>"279"</f>
        <v>279</v>
      </c>
      <c r="I2767" s="26" t="str">
        <f t="shared" si="559"/>
        <v>00</v>
      </c>
      <c r="J2767" s="26" t="str">
        <f>"33 "</f>
        <v xml:space="preserve">33 </v>
      </c>
      <c r="K2767" s="26" t="str">
        <f t="shared" si="553"/>
        <v>EP</v>
      </c>
      <c r="L2767" s="26" t="str">
        <f t="shared" si="554"/>
        <v>DGOSE</v>
      </c>
      <c r="M2767" s="26" t="str">
        <f t="shared" si="557"/>
        <v>PARTICULAR</v>
      </c>
      <c r="N2767" s="26">
        <v>36</v>
      </c>
      <c r="O2767" s="26">
        <v>13</v>
      </c>
      <c r="P2767" s="26">
        <v>23</v>
      </c>
      <c r="Q2767" s="26">
        <v>3</v>
      </c>
      <c r="R2767" s="26">
        <v>1</v>
      </c>
      <c r="S2767" s="26">
        <v>3</v>
      </c>
      <c r="T2767" s="26">
        <v>1</v>
      </c>
      <c r="U2767" s="26">
        <v>5</v>
      </c>
      <c r="V2767" s="26">
        <v>1</v>
      </c>
      <c r="W2767" s="26"/>
    </row>
    <row r="2768" spans="1:23" x14ac:dyDescent="0.25">
      <c r="A2768" s="26" t="str">
        <f t="shared" si="558"/>
        <v>PREESCOLAR</v>
      </c>
      <c r="B2768" s="26" t="str">
        <f>"09PJN5364S"</f>
        <v>09PJN5364S</v>
      </c>
      <c r="C2768" s="26" t="str">
        <f>"CENTRO DE DESARROLLO INFANTIL MORA GUILLEN                                                          "</f>
        <v xml:space="preserve">CENTRO DE DESARROLLO INFANTIL MORA GUILLEN                                                          </v>
      </c>
      <c r="D2768" s="26" t="str">
        <f t="shared" si="556"/>
        <v>MATUTINO</v>
      </c>
      <c r="E2768" s="26" t="str">
        <f>"AV. MEXICO NO. 1254                                                             "</f>
        <v xml:space="preserve">AV. MEXICO NO. 1254                                                             </v>
      </c>
      <c r="F2768" s="26" t="str">
        <f>"SANTA TERESA                                                                                                                                "</f>
        <v xml:space="preserve">SANTA TERESA                                                                                                                                </v>
      </c>
      <c r="G2768" s="26" t="str">
        <f>"LA MAGDALENA CONTRERAS                                                          "</f>
        <v xml:space="preserve">LA MAGDALENA CONTRERAS                                                          </v>
      </c>
      <c r="H2768" s="26" t="str">
        <f>"112"</f>
        <v>112</v>
      </c>
      <c r="I2768" s="26" t="str">
        <f t="shared" si="559"/>
        <v>00</v>
      </c>
      <c r="J2768" s="26" t="str">
        <f>"35 "</f>
        <v xml:space="preserve">35 </v>
      </c>
      <c r="K2768" s="26" t="str">
        <f t="shared" si="553"/>
        <v>EP</v>
      </c>
      <c r="L2768" s="26" t="str">
        <f t="shared" si="554"/>
        <v>DGOSE</v>
      </c>
      <c r="M2768" s="26" t="str">
        <f t="shared" si="557"/>
        <v>PARTICULAR</v>
      </c>
      <c r="N2768" s="26">
        <v>16</v>
      </c>
      <c r="O2768" s="26">
        <v>7</v>
      </c>
      <c r="P2768" s="26">
        <v>9</v>
      </c>
      <c r="Q2768" s="26">
        <v>1</v>
      </c>
      <c r="R2768" s="26">
        <v>1</v>
      </c>
      <c r="S2768" s="26">
        <v>1</v>
      </c>
      <c r="T2768" s="26">
        <v>3</v>
      </c>
      <c r="U2768" s="26">
        <v>5</v>
      </c>
      <c r="V2768" s="26">
        <v>1</v>
      </c>
      <c r="W2768" s="26"/>
    </row>
    <row r="2769" spans="1:23" x14ac:dyDescent="0.25">
      <c r="A2769" s="26" t="str">
        <f t="shared" si="558"/>
        <v>PREESCOLAR</v>
      </c>
      <c r="B2769" s="26" t="str">
        <f>"09PJN5366Q"</f>
        <v>09PJN5366Q</v>
      </c>
      <c r="C2769" s="26" t="str">
        <f>"COLEGIO DEL BOSQUE                                                                                  "</f>
        <v xml:space="preserve">COLEGIO DEL BOSQUE                                                                                  </v>
      </c>
      <c r="D2769" s="26" t="str">
        <f t="shared" si="556"/>
        <v>MATUTINO</v>
      </c>
      <c r="E2769" s="26" t="str">
        <f>"BARRANCA DEL MUERTO NO. 567                                                     "</f>
        <v xml:space="preserve">BARRANCA DEL MUERTO NO. 567                                                     </v>
      </c>
      <c r="F2769" s="26" t="str">
        <f>"MERCED GOMEZ                                                                                                                                "</f>
        <v xml:space="preserve">MERCED GOMEZ                                                                                                                                </v>
      </c>
      <c r="G2769" s="26" t="str">
        <f>"ALVARO OBREGON                                                                  "</f>
        <v xml:space="preserve">ALVARO OBREGON                                                                  </v>
      </c>
      <c r="H2769" s="26" t="str">
        <f>"218"</f>
        <v>218</v>
      </c>
      <c r="I2769" s="26" t="str">
        <f t="shared" si="559"/>
        <v>00</v>
      </c>
      <c r="J2769" s="26" t="str">
        <f>"33 "</f>
        <v xml:space="preserve">33 </v>
      </c>
      <c r="K2769" s="26" t="str">
        <f t="shared" si="553"/>
        <v>EP</v>
      </c>
      <c r="L2769" s="26" t="str">
        <f t="shared" si="554"/>
        <v>DGOSE</v>
      </c>
      <c r="M2769" s="26" t="str">
        <f t="shared" si="557"/>
        <v>PARTICULAR</v>
      </c>
      <c r="N2769" s="26">
        <v>43</v>
      </c>
      <c r="O2769" s="26">
        <v>19</v>
      </c>
      <c r="P2769" s="26">
        <v>24</v>
      </c>
      <c r="Q2769" s="26">
        <v>3</v>
      </c>
      <c r="R2769" s="26">
        <v>1</v>
      </c>
      <c r="S2769" s="26">
        <v>3</v>
      </c>
      <c r="T2769" s="26">
        <v>1</v>
      </c>
      <c r="U2769" s="26">
        <v>5</v>
      </c>
      <c r="V2769" s="26">
        <v>1</v>
      </c>
      <c r="W2769" s="26"/>
    </row>
    <row r="2770" spans="1:23" x14ac:dyDescent="0.25">
      <c r="A2770" s="26" t="str">
        <f t="shared" si="558"/>
        <v>PREESCOLAR</v>
      </c>
      <c r="B2770" s="26" t="str">
        <f>"09PJN5367P"</f>
        <v>09PJN5367P</v>
      </c>
      <c r="C2770" s="26" t="str">
        <f>"MUNDO MAGICO                                                                                        "</f>
        <v xml:space="preserve">MUNDO MAGICO                                                                                        </v>
      </c>
      <c r="D2770" s="26" t="str">
        <f t="shared" si="556"/>
        <v>MATUTINO</v>
      </c>
      <c r="E2770" s="26" t="str">
        <f>"ABRAHAM LINCOLN NO. 1 LT.32                                                     "</f>
        <v xml:space="preserve">ABRAHAM LINCOLN NO. 1 LT.32                                                     </v>
      </c>
      <c r="F2770" s="26" t="str">
        <f>"PRESIDENTES                                                                                                                                 "</f>
        <v xml:space="preserve">PRESIDENTES                                                                                                                                 </v>
      </c>
      <c r="G2770" s="26" t="str">
        <f>"ALVARO OBREGON                                                                  "</f>
        <v xml:space="preserve">ALVARO OBREGON                                                                  </v>
      </c>
      <c r="H2770" s="26" t="str">
        <f>"122"</f>
        <v>122</v>
      </c>
      <c r="I2770" s="26" t="str">
        <f t="shared" si="559"/>
        <v>00</v>
      </c>
      <c r="J2770" s="26" t="str">
        <f>"33 "</f>
        <v xml:space="preserve">33 </v>
      </c>
      <c r="K2770" s="26" t="str">
        <f t="shared" si="553"/>
        <v>EP</v>
      </c>
      <c r="L2770" s="26" t="str">
        <f t="shared" si="554"/>
        <v>DGOSE</v>
      </c>
      <c r="M2770" s="26" t="str">
        <f t="shared" si="557"/>
        <v>PARTICULAR</v>
      </c>
      <c r="N2770" s="26">
        <v>20</v>
      </c>
      <c r="O2770" s="26">
        <v>10</v>
      </c>
      <c r="P2770" s="26">
        <v>10</v>
      </c>
      <c r="Q2770" s="26">
        <v>3</v>
      </c>
      <c r="R2770" s="26">
        <v>1</v>
      </c>
      <c r="S2770" s="26">
        <v>2</v>
      </c>
      <c r="T2770" s="26">
        <v>1</v>
      </c>
      <c r="U2770" s="26">
        <v>4</v>
      </c>
      <c r="V2770" s="26">
        <v>1</v>
      </c>
      <c r="W2770" s="26"/>
    </row>
    <row r="2771" spans="1:23" x14ac:dyDescent="0.25">
      <c r="A2771" s="26" t="str">
        <f t="shared" si="558"/>
        <v>PREESCOLAR</v>
      </c>
      <c r="B2771" s="26" t="str">
        <f>"09PJN5368O"</f>
        <v>09PJN5368O</v>
      </c>
      <c r="C2771" s="26" t="str">
        <f>"COLEGIO LONDINENSE MÈXICO                                                                           "</f>
        <v xml:space="preserve">COLEGIO LONDINENSE MÈXICO                                                                           </v>
      </c>
      <c r="D2771" s="26" t="str">
        <f t="shared" si="556"/>
        <v>MATUTINO</v>
      </c>
      <c r="E2771" s="26" t="str">
        <f>"MAR ADRIATICO NO. 119                                                           "</f>
        <v xml:space="preserve">MAR ADRIATICO NO. 119                                                           </v>
      </c>
      <c r="F2771" s="26" t="str">
        <f>"POPOTLA                                                                                                                                     "</f>
        <v xml:space="preserve">POPOTLA                                                                                                                                     </v>
      </c>
      <c r="G2771" s="26" t="str">
        <f>"MIGUEL HIDALGO                                                                  "</f>
        <v xml:space="preserve">MIGUEL HIDALGO                                                                  </v>
      </c>
      <c r="H2771" s="26" t="str">
        <f>"196"</f>
        <v>196</v>
      </c>
      <c r="I2771" s="26" t="str">
        <f t="shared" si="559"/>
        <v>00</v>
      </c>
      <c r="J2771" s="26" t="str">
        <f t="shared" ref="J2771:J2776" si="561">"32 "</f>
        <v xml:space="preserve">32 </v>
      </c>
      <c r="K2771" s="26" t="str">
        <f t="shared" si="553"/>
        <v>EP</v>
      </c>
      <c r="L2771" s="26" t="str">
        <f t="shared" si="554"/>
        <v>DGOSE</v>
      </c>
      <c r="M2771" s="26" t="str">
        <f t="shared" si="557"/>
        <v>PARTICULAR</v>
      </c>
      <c r="N2771" s="26">
        <v>29</v>
      </c>
      <c r="O2771" s="26">
        <v>15</v>
      </c>
      <c r="P2771" s="26">
        <v>14</v>
      </c>
      <c r="Q2771" s="26">
        <v>3</v>
      </c>
      <c r="R2771" s="26">
        <v>1</v>
      </c>
      <c r="S2771" s="26">
        <v>3</v>
      </c>
      <c r="T2771" s="26">
        <v>3</v>
      </c>
      <c r="U2771" s="26">
        <v>7</v>
      </c>
      <c r="V2771" s="26">
        <v>1</v>
      </c>
      <c r="W2771" s="26"/>
    </row>
    <row r="2772" spans="1:23" x14ac:dyDescent="0.25">
      <c r="A2772" s="26" t="str">
        <f t="shared" si="558"/>
        <v>PREESCOLAR</v>
      </c>
      <c r="B2772" s="26" t="str">
        <f>"09PJN5369N"</f>
        <v>09PJN5369N</v>
      </c>
      <c r="C2772" s="26" t="str">
        <f>"LICEO PEDAGOGICO INFANTIL MINERVA                                                                   "</f>
        <v xml:space="preserve">LICEO PEDAGOGICO INFANTIL MINERVA                                                                   </v>
      </c>
      <c r="D2772" s="26" t="str">
        <f t="shared" si="556"/>
        <v>MATUTINO</v>
      </c>
      <c r="E2772" s="26" t="str">
        <f>"FRAY JUAN DE TORQUEMADA NO. 115                                                 "</f>
        <v xml:space="preserve">FRAY JUAN DE TORQUEMADA NO. 115                                                 </v>
      </c>
      <c r="F2772" s="26" t="str">
        <f>"OBRERA                                                                                                                                      "</f>
        <v xml:space="preserve">OBRERA                                                                                                                                      </v>
      </c>
      <c r="G2772" s="26" t="s">
        <v>4128</v>
      </c>
      <c r="H2772" s="26" t="str">
        <f>"204"</f>
        <v>204</v>
      </c>
      <c r="I2772" s="26" t="str">
        <f t="shared" si="559"/>
        <v>00</v>
      </c>
      <c r="J2772" s="26" t="str">
        <f t="shared" si="561"/>
        <v xml:space="preserve">32 </v>
      </c>
      <c r="K2772" s="26" t="str">
        <f t="shared" si="553"/>
        <v>EP</v>
      </c>
      <c r="L2772" s="26" t="str">
        <f t="shared" si="554"/>
        <v>DGOSE</v>
      </c>
      <c r="M2772" s="26" t="str">
        <f t="shared" si="557"/>
        <v>PARTICULAR</v>
      </c>
      <c r="N2772" s="26">
        <v>12</v>
      </c>
      <c r="O2772" s="26">
        <v>7</v>
      </c>
      <c r="P2772" s="26">
        <v>5</v>
      </c>
      <c r="Q2772" s="26">
        <v>3</v>
      </c>
      <c r="R2772" s="26">
        <v>1</v>
      </c>
      <c r="S2772" s="26">
        <v>3</v>
      </c>
      <c r="T2772" s="26">
        <v>1</v>
      </c>
      <c r="U2772" s="26">
        <v>5</v>
      </c>
      <c r="V2772" s="26">
        <v>1</v>
      </c>
      <c r="W2772" s="26"/>
    </row>
    <row r="2773" spans="1:23" x14ac:dyDescent="0.25">
      <c r="A2773" s="26" t="str">
        <f t="shared" si="558"/>
        <v>PREESCOLAR</v>
      </c>
      <c r="B2773" s="26" t="str">
        <f>"09PJN5370C"</f>
        <v>09PJN5370C</v>
      </c>
      <c r="C2773" s="26" t="str">
        <f>"KUNI MONTESSORI                                                                                     "</f>
        <v xml:space="preserve">KUNI MONTESSORI                                                                                     </v>
      </c>
      <c r="D2773" s="26" t="str">
        <f t="shared" si="556"/>
        <v>MATUTINO</v>
      </c>
      <c r="E2773" s="26" t="str">
        <f>"CUERNAVACA NO. 16                                                               "</f>
        <v xml:space="preserve">CUERNAVACA NO. 16                                                               </v>
      </c>
      <c r="F2773" s="26" t="str">
        <f>"CONDESA                                                                                                                                     "</f>
        <v xml:space="preserve">CONDESA                                                                                                                                     </v>
      </c>
      <c r="G2773" s="26" t="s">
        <v>4128</v>
      </c>
      <c r="H2773" s="26" t="str">
        <f>"020"</f>
        <v>020</v>
      </c>
      <c r="I2773" s="26" t="str">
        <f t="shared" si="559"/>
        <v>00</v>
      </c>
      <c r="J2773" s="26" t="str">
        <f t="shared" si="561"/>
        <v xml:space="preserve">32 </v>
      </c>
      <c r="K2773" s="26" t="str">
        <f t="shared" si="553"/>
        <v>EP</v>
      </c>
      <c r="L2773" s="26" t="str">
        <f t="shared" si="554"/>
        <v>DGOSE</v>
      </c>
      <c r="M2773" s="26" t="str">
        <f t="shared" si="557"/>
        <v>PARTICULAR</v>
      </c>
      <c r="N2773" s="26">
        <v>16</v>
      </c>
      <c r="O2773" s="26">
        <v>6</v>
      </c>
      <c r="P2773" s="26">
        <v>10</v>
      </c>
      <c r="Q2773" s="26">
        <v>3</v>
      </c>
      <c r="R2773" s="26">
        <v>1</v>
      </c>
      <c r="S2773" s="26">
        <v>1</v>
      </c>
      <c r="T2773" s="26">
        <v>4</v>
      </c>
      <c r="U2773" s="26">
        <v>6</v>
      </c>
      <c r="V2773" s="26">
        <v>1</v>
      </c>
      <c r="W2773" s="26"/>
    </row>
    <row r="2774" spans="1:23" x14ac:dyDescent="0.25">
      <c r="A2774" s="26" t="str">
        <f t="shared" si="558"/>
        <v>PREESCOLAR</v>
      </c>
      <c r="B2774" s="26" t="str">
        <f>"09PJN5371B"</f>
        <v>09PJN5371B</v>
      </c>
      <c r="C2774" s="26" t="str">
        <f>"CENTRO EDUCATIVO AMARU                                                                              "</f>
        <v xml:space="preserve">CENTRO EDUCATIVO AMARU                                                                              </v>
      </c>
      <c r="D2774" s="26" t="str">
        <f t="shared" si="556"/>
        <v>MATUTINO</v>
      </c>
      <c r="E2774" s="26" t="str">
        <f>"MORELOS NO. 11                                                                  "</f>
        <v xml:space="preserve">MORELOS NO. 11                                                                  </v>
      </c>
      <c r="F2774" s="26" t="str">
        <f>"SANTA MARIA MANINALCO                                                                                                                       "</f>
        <v xml:space="preserve">SANTA MARIA MANINALCO                                                                                                                       </v>
      </c>
      <c r="G2774" s="26" t="str">
        <f>"AZCAPOTZALCO                                                                    "</f>
        <v xml:space="preserve">AZCAPOTZALCO                                                                    </v>
      </c>
      <c r="H2774" s="26" t="str">
        <f>"106"</f>
        <v>106</v>
      </c>
      <c r="I2774" s="26" t="str">
        <f t="shared" si="559"/>
        <v>00</v>
      </c>
      <c r="J2774" s="26" t="str">
        <f t="shared" si="561"/>
        <v xml:space="preserve">32 </v>
      </c>
      <c r="K2774" s="26" t="str">
        <f t="shared" si="553"/>
        <v>EP</v>
      </c>
      <c r="L2774" s="26" t="str">
        <f t="shared" si="554"/>
        <v>DGOSE</v>
      </c>
      <c r="M2774" s="26" t="str">
        <f t="shared" si="557"/>
        <v>PARTICULAR</v>
      </c>
      <c r="N2774" s="26">
        <v>41</v>
      </c>
      <c r="O2774" s="26">
        <v>14</v>
      </c>
      <c r="P2774" s="26">
        <v>27</v>
      </c>
      <c r="Q2774" s="26">
        <v>3</v>
      </c>
      <c r="R2774" s="26">
        <v>1</v>
      </c>
      <c r="S2774" s="26">
        <v>3</v>
      </c>
      <c r="T2774" s="26">
        <v>3</v>
      </c>
      <c r="U2774" s="26">
        <v>7</v>
      </c>
      <c r="V2774" s="26">
        <v>1</v>
      </c>
      <c r="W2774" s="26"/>
    </row>
    <row r="2775" spans="1:23" x14ac:dyDescent="0.25">
      <c r="A2775" s="26" t="str">
        <f t="shared" si="558"/>
        <v>PREESCOLAR</v>
      </c>
      <c r="B2775" s="26" t="str">
        <f>"09PJN5373Z"</f>
        <v>09PJN5373Z</v>
      </c>
      <c r="C2775" s="26" t="str">
        <f>"CANADIAN MONTESSORI                                                                                 "</f>
        <v xml:space="preserve">CANADIAN MONTESSORI                                                                                 </v>
      </c>
      <c r="D2775" s="26" t="str">
        <f t="shared" si="556"/>
        <v>MATUTINO</v>
      </c>
      <c r="E2775" s="26" t="str">
        <f>"CAMARONES NO. 232                                                               "</f>
        <v xml:space="preserve">CAMARONES NO. 232                                                               </v>
      </c>
      <c r="F2775" s="26" t="str">
        <f>"OBRERO POPULAR                                                                                                                              "</f>
        <v xml:space="preserve">OBRERO POPULAR                                                                                                                              </v>
      </c>
      <c r="G2775" s="26" t="str">
        <f>"AZCAPOTZALCO                                                                    "</f>
        <v xml:space="preserve">AZCAPOTZALCO                                                                    </v>
      </c>
      <c r="H2775" s="26" t="str">
        <f>"190"</f>
        <v>190</v>
      </c>
      <c r="I2775" s="26" t="str">
        <f t="shared" si="559"/>
        <v>00</v>
      </c>
      <c r="J2775" s="26" t="str">
        <f t="shared" si="561"/>
        <v xml:space="preserve">32 </v>
      </c>
      <c r="K2775" s="26" t="str">
        <f t="shared" si="553"/>
        <v>EP</v>
      </c>
      <c r="L2775" s="26" t="str">
        <f t="shared" si="554"/>
        <v>DGOSE</v>
      </c>
      <c r="M2775" s="26" t="str">
        <f t="shared" si="557"/>
        <v>PARTICULAR</v>
      </c>
      <c r="N2775" s="26">
        <v>15</v>
      </c>
      <c r="O2775" s="26">
        <v>5</v>
      </c>
      <c r="P2775" s="26">
        <v>10</v>
      </c>
      <c r="Q2775" s="26">
        <v>3</v>
      </c>
      <c r="R2775" s="26">
        <v>1</v>
      </c>
      <c r="S2775" s="26">
        <v>3</v>
      </c>
      <c r="T2775" s="26">
        <v>4</v>
      </c>
      <c r="U2775" s="26">
        <v>8</v>
      </c>
      <c r="V2775" s="26">
        <v>1</v>
      </c>
      <c r="W2775" s="26"/>
    </row>
    <row r="2776" spans="1:23" x14ac:dyDescent="0.25">
      <c r="A2776" s="26" t="str">
        <f t="shared" si="558"/>
        <v>PREESCOLAR</v>
      </c>
      <c r="B2776" s="26" t="str">
        <f>"09PJN5374Z"</f>
        <v>09PJN5374Z</v>
      </c>
      <c r="C2776" s="26" t="str">
        <f>"CENTRO DE DESARROLLO INFANTIL BOTSI                                                                 "</f>
        <v xml:space="preserve">CENTRO DE DESARROLLO INFANTIL BOTSI                                                                 </v>
      </c>
      <c r="D2776" s="26" t="str">
        <f t="shared" si="556"/>
        <v>MATUTINO</v>
      </c>
      <c r="E2776" s="26" t="str">
        <f>"ALLENDE NO. 139                                                                 "</f>
        <v xml:space="preserve">ALLENDE NO. 139                                                                 </v>
      </c>
      <c r="F2776" s="26" t="str">
        <f>"CLAVERIA                                                                                                                                    "</f>
        <v xml:space="preserve">CLAVERIA                                                                                                                                    </v>
      </c>
      <c r="G2776" s="26" t="str">
        <f>"AZCAPOTZALCO                                                                    "</f>
        <v xml:space="preserve">AZCAPOTZALCO                                                                    </v>
      </c>
      <c r="H2776" s="26" t="str">
        <f>"189"</f>
        <v>189</v>
      </c>
      <c r="I2776" s="26" t="str">
        <f t="shared" si="559"/>
        <v>00</v>
      </c>
      <c r="J2776" s="26" t="str">
        <f t="shared" si="561"/>
        <v xml:space="preserve">32 </v>
      </c>
      <c r="K2776" s="26" t="str">
        <f t="shared" si="553"/>
        <v>EP</v>
      </c>
      <c r="L2776" s="26" t="str">
        <f t="shared" si="554"/>
        <v>DGOSE</v>
      </c>
      <c r="M2776" s="26" t="str">
        <f t="shared" si="557"/>
        <v>PARTICULAR</v>
      </c>
      <c r="N2776" s="26">
        <v>12</v>
      </c>
      <c r="O2776" s="26">
        <v>5</v>
      </c>
      <c r="P2776" s="26">
        <v>7</v>
      </c>
      <c r="Q2776" s="26">
        <v>3</v>
      </c>
      <c r="R2776" s="26">
        <v>1</v>
      </c>
      <c r="S2776" s="26">
        <v>2</v>
      </c>
      <c r="T2776" s="26">
        <v>3</v>
      </c>
      <c r="U2776" s="26">
        <v>6</v>
      </c>
      <c r="V2776" s="26">
        <v>1</v>
      </c>
      <c r="W2776" s="26"/>
    </row>
    <row r="2777" spans="1:23" x14ac:dyDescent="0.25">
      <c r="A2777" s="26" t="str">
        <f t="shared" si="558"/>
        <v>PREESCOLAR</v>
      </c>
      <c r="B2777" s="26" t="str">
        <f>"09PJN5375Y"</f>
        <v>09PJN5375Y</v>
      </c>
      <c r="C2777" s="26" t="str">
        <f>"COLEGIO NEW SOUTH WALES                                                                             "</f>
        <v xml:space="preserve">COLEGIO NEW SOUTH WALES                                                                             </v>
      </c>
      <c r="D2777" s="26" t="str">
        <f t="shared" si="556"/>
        <v>MATUTINO</v>
      </c>
      <c r="E2777" s="26" t="str">
        <f>"AV. CONTRERAS NO. 714                                                           "</f>
        <v xml:space="preserve">AV. CONTRERAS NO. 714                                                           </v>
      </c>
      <c r="F2777" s="26" t="str">
        <f>"SAN JERONIMO ACULCO                                                                                                                         "</f>
        <v xml:space="preserve">SAN JERONIMO ACULCO                                                                                                                         </v>
      </c>
      <c r="G2777" s="26" t="str">
        <f>"LA MAGDALENA CONTRERAS                                                          "</f>
        <v xml:space="preserve">LA MAGDALENA CONTRERAS                                                          </v>
      </c>
      <c r="H2777" s="26" t="str">
        <f>"113"</f>
        <v>113</v>
      </c>
      <c r="I2777" s="26" t="str">
        <f t="shared" si="559"/>
        <v>00</v>
      </c>
      <c r="J2777" s="26" t="str">
        <f>"35 "</f>
        <v xml:space="preserve">35 </v>
      </c>
      <c r="K2777" s="26" t="str">
        <f t="shared" si="553"/>
        <v>EP</v>
      </c>
      <c r="L2777" s="26" t="str">
        <f t="shared" si="554"/>
        <v>DGOSE</v>
      </c>
      <c r="M2777" s="26" t="str">
        <f t="shared" si="557"/>
        <v>PARTICULAR</v>
      </c>
      <c r="N2777" s="26">
        <v>34</v>
      </c>
      <c r="O2777" s="26">
        <v>11</v>
      </c>
      <c r="P2777" s="26">
        <v>23</v>
      </c>
      <c r="Q2777" s="26">
        <v>3</v>
      </c>
      <c r="R2777" s="26">
        <v>1</v>
      </c>
      <c r="S2777" s="26">
        <v>2</v>
      </c>
      <c r="T2777" s="26">
        <v>4</v>
      </c>
      <c r="U2777" s="26">
        <v>7</v>
      </c>
      <c r="V2777" s="26">
        <v>1</v>
      </c>
      <c r="W2777" s="26"/>
    </row>
    <row r="2778" spans="1:23" x14ac:dyDescent="0.25">
      <c r="A2778" s="26" t="str">
        <f t="shared" si="558"/>
        <v>PREESCOLAR</v>
      </c>
      <c r="B2778" s="26" t="str">
        <f>"09PJN5376X"</f>
        <v>09PJN5376X</v>
      </c>
      <c r="C2778" s="26" t="str">
        <f>"KINDER MAREN KIDS                                                                                   "</f>
        <v xml:space="preserve">KINDER MAREN KIDS                                                                                   </v>
      </c>
      <c r="D2778" s="26" t="str">
        <f t="shared" si="556"/>
        <v>MATUTINO</v>
      </c>
      <c r="E2778" s="26" t="str">
        <f>"DIVISION DEL NORTE NO. 3457                                                     "</f>
        <v xml:space="preserve">DIVISION DEL NORTE NO. 3457                                                     </v>
      </c>
      <c r="F2778" s="26" t="str">
        <f>"SAN PABLO TEPETLAPA EJIDO                                                                                                                   "</f>
        <v xml:space="preserve">SAN PABLO TEPETLAPA EJIDO                                                                                                                   </v>
      </c>
      <c r="G2778" s="26" t="str">
        <f>"COYOACAN                                                                        "</f>
        <v xml:space="preserve">COYOACAN                                                                        </v>
      </c>
      <c r="H2778" s="26" t="str">
        <f>"077"</f>
        <v>077</v>
      </c>
      <c r="I2778" s="26" t="str">
        <f t="shared" si="559"/>
        <v>00</v>
      </c>
      <c r="J2778" s="26" t="str">
        <f>"35 "</f>
        <v xml:space="preserve">35 </v>
      </c>
      <c r="K2778" s="26" t="str">
        <f t="shared" si="553"/>
        <v>EP</v>
      </c>
      <c r="L2778" s="26" t="str">
        <f t="shared" si="554"/>
        <v>DGOSE</v>
      </c>
      <c r="M2778" s="26" t="str">
        <f t="shared" si="557"/>
        <v>PARTICULAR</v>
      </c>
      <c r="N2778" s="26">
        <v>52</v>
      </c>
      <c r="O2778" s="26">
        <v>26</v>
      </c>
      <c r="P2778" s="26">
        <v>26</v>
      </c>
      <c r="Q2778" s="26">
        <v>3</v>
      </c>
      <c r="R2778" s="26">
        <v>1</v>
      </c>
      <c r="S2778" s="26">
        <v>2</v>
      </c>
      <c r="T2778" s="26">
        <v>11</v>
      </c>
      <c r="U2778" s="26">
        <v>14</v>
      </c>
      <c r="V2778" s="26">
        <v>1</v>
      </c>
      <c r="W2778" s="26"/>
    </row>
    <row r="2779" spans="1:23" x14ac:dyDescent="0.25">
      <c r="A2779" s="26" t="str">
        <f t="shared" si="558"/>
        <v>PREESCOLAR</v>
      </c>
      <c r="B2779" s="26" t="str">
        <f>"09PJN5377W"</f>
        <v>09PJN5377W</v>
      </c>
      <c r="C2779" s="26" t="str">
        <f>"COLEGIO KEPPLER                                                                                     "</f>
        <v xml:space="preserve">COLEGIO KEPPLER                                                                                     </v>
      </c>
      <c r="D2779" s="26" t="str">
        <f t="shared" si="556"/>
        <v>MATUTINO</v>
      </c>
      <c r="E2779" s="26" t="str">
        <f>"CALIFORNIA NO. 39                                                               "</f>
        <v xml:space="preserve">CALIFORNIA NO. 39                                                               </v>
      </c>
      <c r="F2779" s="26" t="str">
        <f>"PARQUE SAN ANDRES                                                                                                                           "</f>
        <v xml:space="preserve">PARQUE SAN ANDRES                                                                                                                           </v>
      </c>
      <c r="G2779" s="26" t="str">
        <f>"COYOACAN                                                                        "</f>
        <v xml:space="preserve">COYOACAN                                                                        </v>
      </c>
      <c r="H2779" s="26" t="str">
        <f>"043"</f>
        <v>043</v>
      </c>
      <c r="I2779" s="26" t="str">
        <f t="shared" si="559"/>
        <v>00</v>
      </c>
      <c r="J2779" s="26" t="str">
        <f>"35 "</f>
        <v xml:space="preserve">35 </v>
      </c>
      <c r="K2779" s="26" t="str">
        <f t="shared" si="553"/>
        <v>EP</v>
      </c>
      <c r="L2779" s="26" t="str">
        <f t="shared" si="554"/>
        <v>DGOSE</v>
      </c>
      <c r="M2779" s="26" t="str">
        <f t="shared" si="557"/>
        <v>PARTICULAR</v>
      </c>
      <c r="N2779" s="26">
        <v>70</v>
      </c>
      <c r="O2779" s="26">
        <v>29</v>
      </c>
      <c r="P2779" s="26">
        <v>41</v>
      </c>
      <c r="Q2779" s="26">
        <v>4</v>
      </c>
      <c r="R2779" s="26">
        <v>1</v>
      </c>
      <c r="S2779" s="26">
        <v>3</v>
      </c>
      <c r="T2779" s="26">
        <v>5</v>
      </c>
      <c r="U2779" s="26">
        <v>9</v>
      </c>
      <c r="V2779" s="26">
        <v>1</v>
      </c>
      <c r="W2779" s="26"/>
    </row>
    <row r="2780" spans="1:23" x14ac:dyDescent="0.25">
      <c r="A2780" s="26" t="str">
        <f t="shared" si="558"/>
        <v>PREESCOLAR</v>
      </c>
      <c r="B2780" s="26" t="str">
        <f>"09PJN5378V"</f>
        <v>09PJN5378V</v>
      </c>
      <c r="C2780" s="26" t="str">
        <f>"JUMPY'S ARTE Y PSICOMOTRICIDAD                                                                      "</f>
        <v xml:space="preserve">JUMPY'S ARTE Y PSICOMOTRICIDAD                                                                      </v>
      </c>
      <c r="D2780" s="26" t="str">
        <f t="shared" si="556"/>
        <v>MATUTINO</v>
      </c>
      <c r="E2780" s="26" t="str">
        <f>"NAYARIT NO. 18                                                                  "</f>
        <v xml:space="preserve">NAYARIT NO. 18                                                                  </v>
      </c>
      <c r="F2780" s="26" t="str">
        <f>"HEROES DE PADIERNA                                                                                                                          "</f>
        <v xml:space="preserve">HEROES DE PADIERNA                                                                                                                          </v>
      </c>
      <c r="G2780" s="26" t="str">
        <f>"LA MAGDALENA CONTRERAS                                                          "</f>
        <v xml:space="preserve">LA MAGDALENA CONTRERAS                                                          </v>
      </c>
      <c r="H2780" s="26" t="str">
        <f>"280"</f>
        <v>280</v>
      </c>
      <c r="I2780" s="26" t="str">
        <f t="shared" si="559"/>
        <v>00</v>
      </c>
      <c r="J2780" s="26" t="str">
        <f>"35 "</f>
        <v xml:space="preserve">35 </v>
      </c>
      <c r="K2780" s="26" t="str">
        <f t="shared" si="553"/>
        <v>EP</v>
      </c>
      <c r="L2780" s="26" t="str">
        <f t="shared" si="554"/>
        <v>DGOSE</v>
      </c>
      <c r="M2780" s="26" t="str">
        <f t="shared" si="557"/>
        <v>PARTICULAR</v>
      </c>
      <c r="N2780" s="26">
        <v>77</v>
      </c>
      <c r="O2780" s="26">
        <v>42</v>
      </c>
      <c r="P2780" s="26">
        <v>35</v>
      </c>
      <c r="Q2780" s="26">
        <v>6</v>
      </c>
      <c r="R2780" s="26">
        <v>1</v>
      </c>
      <c r="S2780" s="26">
        <v>6</v>
      </c>
      <c r="T2780" s="26">
        <v>16</v>
      </c>
      <c r="U2780" s="26">
        <v>23</v>
      </c>
      <c r="V2780" s="26">
        <v>1</v>
      </c>
      <c r="W2780" s="26"/>
    </row>
    <row r="2781" spans="1:23" x14ac:dyDescent="0.25">
      <c r="A2781" s="26" t="str">
        <f t="shared" si="558"/>
        <v>PREESCOLAR</v>
      </c>
      <c r="B2781" s="26" t="str">
        <f>"09PJN5380J"</f>
        <v>09PJN5380J</v>
      </c>
      <c r="C2781" s="26" t="str">
        <f>"JARDÍN DE NIÑOS ASOCIACION LEGITIMA CIVICA COMERCIAL                                                "</f>
        <v xml:space="preserve">JARDÍN DE NIÑOS ASOCIACION LEGITIMA CIVICA COMERCIAL                                                </v>
      </c>
      <c r="D2781" s="26" t="str">
        <f t="shared" si="556"/>
        <v>MATUTINO</v>
      </c>
      <c r="E2781" s="26" t="str">
        <f>"REPUBLICA DE BOLIVIA NO. 14                                                     "</f>
        <v xml:space="preserve">REPUBLICA DE BOLIVIA NO. 14                                                     </v>
      </c>
      <c r="F2781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2781" s="26" t="s">
        <v>4128</v>
      </c>
      <c r="H2781" s="26" t="str">
        <f>"204"</f>
        <v>204</v>
      </c>
      <c r="I2781" s="26" t="str">
        <f t="shared" si="559"/>
        <v>00</v>
      </c>
      <c r="J2781" s="26" t="str">
        <f>"32 "</f>
        <v xml:space="preserve">32 </v>
      </c>
      <c r="K2781" s="26" t="str">
        <f t="shared" si="553"/>
        <v>EP</v>
      </c>
      <c r="L2781" s="26" t="str">
        <f t="shared" si="554"/>
        <v>DGOSE</v>
      </c>
      <c r="M2781" s="26" t="str">
        <f t="shared" si="557"/>
        <v>PARTICULAR</v>
      </c>
      <c r="N2781" s="26">
        <v>65</v>
      </c>
      <c r="O2781" s="26">
        <v>31</v>
      </c>
      <c r="P2781" s="26">
        <v>34</v>
      </c>
      <c r="Q2781" s="26">
        <v>6</v>
      </c>
      <c r="R2781" s="26">
        <v>1</v>
      </c>
      <c r="S2781" s="26">
        <v>6</v>
      </c>
      <c r="T2781" s="26">
        <v>11</v>
      </c>
      <c r="U2781" s="26">
        <v>18</v>
      </c>
      <c r="V2781" s="26">
        <v>1</v>
      </c>
      <c r="W2781" s="26"/>
    </row>
    <row r="2782" spans="1:23" x14ac:dyDescent="0.25">
      <c r="A2782" s="26" t="str">
        <f t="shared" si="558"/>
        <v>PREESCOLAR</v>
      </c>
      <c r="B2782" s="26" t="str">
        <f>"09PJN5382H"</f>
        <v>09PJN5382H</v>
      </c>
      <c r="C2782" s="26" t="s">
        <v>116</v>
      </c>
      <c r="D2782" s="26" t="str">
        <f t="shared" si="556"/>
        <v>MATUTINO</v>
      </c>
      <c r="E2782" s="26" t="str">
        <f>"HELIOPOLIS NO. 210                                                              "</f>
        <v xml:space="preserve">HELIOPOLIS NO. 210                                                              </v>
      </c>
      <c r="F2782" s="26" t="str">
        <f>"CLAVERIA                                                                                                                                    "</f>
        <v xml:space="preserve">CLAVERIA                                                                                                                                    </v>
      </c>
      <c r="G2782" s="26" t="str">
        <f>"AZCAPOTZALCO                                                                    "</f>
        <v xml:space="preserve">AZCAPOTZALCO                                                                    </v>
      </c>
      <c r="H2782" s="26" t="str">
        <f>"106"</f>
        <v>106</v>
      </c>
      <c r="I2782" s="26" t="str">
        <f t="shared" si="559"/>
        <v>00</v>
      </c>
      <c r="J2782" s="26" t="str">
        <f>"32 "</f>
        <v xml:space="preserve">32 </v>
      </c>
      <c r="K2782" s="26" t="str">
        <f t="shared" si="553"/>
        <v>EP</v>
      </c>
      <c r="L2782" s="26" t="str">
        <f t="shared" si="554"/>
        <v>DGOSE</v>
      </c>
      <c r="M2782" s="26" t="str">
        <f t="shared" si="557"/>
        <v>PARTICULAR</v>
      </c>
      <c r="N2782" s="26">
        <v>59</v>
      </c>
      <c r="O2782" s="26">
        <v>32</v>
      </c>
      <c r="P2782" s="26">
        <v>27</v>
      </c>
      <c r="Q2782" s="26">
        <v>4</v>
      </c>
      <c r="R2782" s="26">
        <v>1</v>
      </c>
      <c r="S2782" s="26">
        <v>4</v>
      </c>
      <c r="T2782" s="26">
        <v>8</v>
      </c>
      <c r="U2782" s="26">
        <v>13</v>
      </c>
      <c r="V2782" s="26">
        <v>1</v>
      </c>
      <c r="W2782" s="26"/>
    </row>
    <row r="2783" spans="1:23" x14ac:dyDescent="0.25">
      <c r="A2783" s="26" t="str">
        <f t="shared" si="558"/>
        <v>PREESCOLAR</v>
      </c>
      <c r="B2783" s="26" t="str">
        <f>"09PJN5385E"</f>
        <v>09PJN5385E</v>
      </c>
      <c r="C2783" s="26" t="str">
        <f>"COLEGIO EDUCATIVO TAO                                                                               "</f>
        <v xml:space="preserve">COLEGIO EDUCATIVO TAO                                                                               </v>
      </c>
      <c r="D2783" s="26" t="str">
        <f t="shared" si="556"/>
        <v>MATUTINO</v>
      </c>
      <c r="E2783" s="26" t="str">
        <f>"CALLE 20-A NO. 21                                                               "</f>
        <v xml:space="preserve">CALLE 20-A NO. 21                                                               </v>
      </c>
      <c r="F2783" s="26" t="str">
        <f>"SANTA ROSA                                                                                                                                  "</f>
        <v xml:space="preserve">SANTA ROSA                                                                                                                                  </v>
      </c>
      <c r="G2783" s="26" t="str">
        <f>"GUSTAVO A. MADERO                                                               "</f>
        <v xml:space="preserve">GUSTAVO A. MADERO                                                               </v>
      </c>
      <c r="H2783" s="26" t="str">
        <f>"068"</f>
        <v>068</v>
      </c>
      <c r="I2783" s="26" t="str">
        <f t="shared" si="559"/>
        <v>00</v>
      </c>
      <c r="J2783" s="26" t="str">
        <f>"32 "</f>
        <v xml:space="preserve">32 </v>
      </c>
      <c r="K2783" s="26" t="str">
        <f t="shared" si="553"/>
        <v>EP</v>
      </c>
      <c r="L2783" s="26" t="str">
        <f t="shared" si="554"/>
        <v>DGOSE</v>
      </c>
      <c r="M2783" s="26" t="str">
        <f t="shared" si="557"/>
        <v>PARTICULAR</v>
      </c>
      <c r="N2783" s="26">
        <v>50</v>
      </c>
      <c r="O2783" s="26">
        <v>29</v>
      </c>
      <c r="P2783" s="26">
        <v>21</v>
      </c>
      <c r="Q2783" s="26">
        <v>3</v>
      </c>
      <c r="R2783" s="26">
        <v>1</v>
      </c>
      <c r="S2783" s="26">
        <v>2</v>
      </c>
      <c r="T2783" s="26">
        <v>2</v>
      </c>
      <c r="U2783" s="26">
        <v>5</v>
      </c>
      <c r="V2783" s="26">
        <v>1</v>
      </c>
      <c r="W2783" s="26"/>
    </row>
    <row r="2784" spans="1:23" x14ac:dyDescent="0.25">
      <c r="A2784" s="26" t="str">
        <f t="shared" si="558"/>
        <v>PREESCOLAR</v>
      </c>
      <c r="B2784" s="26" t="str">
        <f>"09PJN5386D"</f>
        <v>09PJN5386D</v>
      </c>
      <c r="C2784" s="26" t="str">
        <f>"CENTRO DE INVESTIGACIÓN E INNOVACIÓN PREESCOLAR ZENTLI                                              "</f>
        <v xml:space="preserve">CENTRO DE INVESTIGACIÓN E INNOVACIÓN PREESCOLAR ZENTLI                                              </v>
      </c>
      <c r="D2784" s="26" t="str">
        <f t="shared" si="556"/>
        <v>MATUTINO</v>
      </c>
      <c r="E2784" s="26" t="str">
        <f>"VOLCAN AJUSCO NO. 21                                                            "</f>
        <v xml:space="preserve">VOLCAN AJUSCO NO. 21                                                            </v>
      </c>
      <c r="F2784" s="26" t="str">
        <f>"LOS VOLCANES                                                                                                                                "</f>
        <v xml:space="preserve">LOS VOLCANES                                                                                                                                </v>
      </c>
      <c r="G2784" s="26" t="str">
        <f>"TLALPAN                                                                         "</f>
        <v xml:space="preserve">TLALPAN                                                                         </v>
      </c>
      <c r="H2784" s="26" t="str">
        <f>"062"</f>
        <v>062</v>
      </c>
      <c r="I2784" s="26" t="str">
        <f t="shared" si="559"/>
        <v>00</v>
      </c>
      <c r="J2784" s="26" t="str">
        <f>"35 "</f>
        <v xml:space="preserve">35 </v>
      </c>
      <c r="K2784" s="26" t="str">
        <f t="shared" si="553"/>
        <v>EP</v>
      </c>
      <c r="L2784" s="26" t="str">
        <f t="shared" si="554"/>
        <v>DGOSE</v>
      </c>
      <c r="M2784" s="26" t="str">
        <f t="shared" si="557"/>
        <v>PARTICULAR</v>
      </c>
      <c r="N2784" s="26">
        <v>49</v>
      </c>
      <c r="O2784" s="26">
        <v>22</v>
      </c>
      <c r="P2784" s="26">
        <v>27</v>
      </c>
      <c r="Q2784" s="26">
        <v>3</v>
      </c>
      <c r="R2784" s="26">
        <v>1</v>
      </c>
      <c r="S2784" s="26">
        <v>3</v>
      </c>
      <c r="T2784" s="26">
        <v>6</v>
      </c>
      <c r="U2784" s="26">
        <v>10</v>
      </c>
      <c r="V2784" s="26">
        <v>1</v>
      </c>
      <c r="W2784" s="26"/>
    </row>
    <row r="2785" spans="1:23" x14ac:dyDescent="0.25">
      <c r="A2785" s="26" t="str">
        <f t="shared" si="558"/>
        <v>PREESCOLAR</v>
      </c>
      <c r="B2785" s="26" t="str">
        <f>"09PJN5387C"</f>
        <v>09PJN5387C</v>
      </c>
      <c r="C2785" s="26" t="str">
        <f>"COLEGIO DEL PEDREGAL                                                                                "</f>
        <v xml:space="preserve">COLEGIO DEL PEDREGAL                                                                                </v>
      </c>
      <c r="D2785" s="26" t="str">
        <f t="shared" si="556"/>
        <v>MATUTINO</v>
      </c>
      <c r="E2785" s="26" t="str">
        <f>"CIRCUITO FUENTES DEL PEDREGAL NO. 804                                           "</f>
        <v xml:space="preserve">CIRCUITO FUENTES DEL PEDREGAL NO. 804                                           </v>
      </c>
      <c r="F2785" s="26" t="str">
        <f>"FUENTES DEL PEDREGAL                                                                                                                        "</f>
        <v xml:space="preserve">FUENTES DEL PEDREGAL                                                                                                                        </v>
      </c>
      <c r="G2785" s="26" t="str">
        <f>"TLALPAN                                                                         "</f>
        <v xml:space="preserve">TLALPAN                                                                         </v>
      </c>
      <c r="H2785" s="26" t="str">
        <f>"049"</f>
        <v>049</v>
      </c>
      <c r="I2785" s="26" t="str">
        <f t="shared" si="559"/>
        <v>00</v>
      </c>
      <c r="J2785" s="26" t="str">
        <f>"35 "</f>
        <v xml:space="preserve">35 </v>
      </c>
      <c r="K2785" s="26" t="str">
        <f t="shared" si="553"/>
        <v>EP</v>
      </c>
      <c r="L2785" s="26" t="str">
        <f t="shared" si="554"/>
        <v>DGOSE</v>
      </c>
      <c r="M2785" s="26" t="str">
        <f t="shared" si="557"/>
        <v>PARTICULAR</v>
      </c>
      <c r="N2785" s="26">
        <v>17</v>
      </c>
      <c r="O2785" s="26">
        <v>11</v>
      </c>
      <c r="P2785" s="26">
        <v>6</v>
      </c>
      <c r="Q2785" s="26">
        <v>2</v>
      </c>
      <c r="R2785" s="26">
        <v>1</v>
      </c>
      <c r="S2785" s="26">
        <v>1</v>
      </c>
      <c r="T2785" s="26">
        <v>3</v>
      </c>
      <c r="U2785" s="26">
        <v>5</v>
      </c>
      <c r="V2785" s="26">
        <v>1</v>
      </c>
      <c r="W2785" s="26"/>
    </row>
    <row r="2786" spans="1:23" x14ac:dyDescent="0.25">
      <c r="A2786" s="26" t="str">
        <f t="shared" si="558"/>
        <v>PREESCOLAR</v>
      </c>
      <c r="B2786" s="26" t="str">
        <f>"09PJN5389A"</f>
        <v>09PJN5389A</v>
      </c>
      <c r="C2786" s="26" t="str">
        <f>"CASTILLO DE WINDSOR                                                                                 "</f>
        <v xml:space="preserve">CASTILLO DE WINDSOR                                                                                 </v>
      </c>
      <c r="D2786" s="26" t="str">
        <f t="shared" si="556"/>
        <v>MATUTINO</v>
      </c>
      <c r="E2786" s="26" t="str">
        <f>"CAMINO PIEDRA DEL COMAL NO. 151                                                 "</f>
        <v xml:space="preserve">CAMINO PIEDRA DEL COMAL NO. 151                                                 </v>
      </c>
      <c r="F2786" s="26" t="str">
        <f>"FUENTES DE TEPEPAN                                                                                                                          "</f>
        <v xml:space="preserve">FUENTES DE TEPEPAN                                                                                                                          </v>
      </c>
      <c r="G2786" s="26" t="str">
        <f>"TLALPAN                                                                         "</f>
        <v xml:space="preserve">TLALPAN                                                                         </v>
      </c>
      <c r="H2786" s="26" t="str">
        <f>"220"</f>
        <v>220</v>
      </c>
      <c r="I2786" s="26" t="str">
        <f t="shared" si="559"/>
        <v>00</v>
      </c>
      <c r="J2786" s="26" t="str">
        <f>"35 "</f>
        <v xml:space="preserve">35 </v>
      </c>
      <c r="K2786" s="26" t="str">
        <f t="shared" si="553"/>
        <v>EP</v>
      </c>
      <c r="L2786" s="26" t="str">
        <f t="shared" si="554"/>
        <v>DGOSE</v>
      </c>
      <c r="M2786" s="26" t="str">
        <f t="shared" si="557"/>
        <v>PARTICULAR</v>
      </c>
      <c r="N2786" s="26">
        <v>48</v>
      </c>
      <c r="O2786" s="26">
        <v>24</v>
      </c>
      <c r="P2786" s="26">
        <v>24</v>
      </c>
      <c r="Q2786" s="26">
        <v>3</v>
      </c>
      <c r="R2786" s="26">
        <v>1</v>
      </c>
      <c r="S2786" s="26">
        <v>3</v>
      </c>
      <c r="T2786" s="26">
        <v>7</v>
      </c>
      <c r="U2786" s="26">
        <v>11</v>
      </c>
      <c r="V2786" s="26">
        <v>1</v>
      </c>
      <c r="W2786" s="26"/>
    </row>
    <row r="2787" spans="1:23" x14ac:dyDescent="0.25">
      <c r="A2787" s="26" t="str">
        <f t="shared" si="558"/>
        <v>PREESCOLAR</v>
      </c>
      <c r="B2787" s="26" t="str">
        <f>"09PJN5390Q"</f>
        <v>09PJN5390Q</v>
      </c>
      <c r="C2787" s="26" t="str">
        <f>"CENTRO DE DESARROLLO INFANTIL CARAMELO                                                              "</f>
        <v xml:space="preserve">CENTRO DE DESARROLLO INFANTIL CARAMELO                                                              </v>
      </c>
      <c r="D2787" s="26" t="str">
        <f t="shared" si="556"/>
        <v>MATUTINO</v>
      </c>
      <c r="E2787" s="26" t="str">
        <f>"PIRINEOS NO. 173                                                                "</f>
        <v xml:space="preserve">PIRINEOS NO. 173                                                                </v>
      </c>
      <c r="F2787" s="26" t="str">
        <f>"PORTALES                                                                                                                                    "</f>
        <v xml:space="preserve">PORTALES                                                                                                                                    </v>
      </c>
      <c r="G2787" s="26" t="str">
        <f>"BENITO JUAREZ                                                                   "</f>
        <v xml:space="preserve">BENITO JUAREZ                                                                   </v>
      </c>
      <c r="H2787" s="26" t="str">
        <f>"234"</f>
        <v>234</v>
      </c>
      <c r="I2787" s="26" t="str">
        <f t="shared" si="559"/>
        <v>00</v>
      </c>
      <c r="J2787" s="26" t="str">
        <f>"33 "</f>
        <v xml:space="preserve">33 </v>
      </c>
      <c r="K2787" s="26" t="str">
        <f t="shared" si="553"/>
        <v>EP</v>
      </c>
      <c r="L2787" s="26" t="str">
        <f t="shared" si="554"/>
        <v>DGOSE</v>
      </c>
      <c r="M2787" s="26" t="str">
        <f t="shared" si="557"/>
        <v>PARTICULAR</v>
      </c>
      <c r="N2787" s="26">
        <v>52</v>
      </c>
      <c r="O2787" s="26">
        <v>25</v>
      </c>
      <c r="P2787" s="26">
        <v>27</v>
      </c>
      <c r="Q2787" s="26">
        <v>2</v>
      </c>
      <c r="R2787" s="26">
        <v>1</v>
      </c>
      <c r="S2787" s="26">
        <v>2</v>
      </c>
      <c r="T2787" s="26">
        <v>6</v>
      </c>
      <c r="U2787" s="26">
        <v>9</v>
      </c>
      <c r="V2787" s="26">
        <v>1</v>
      </c>
      <c r="W2787" s="26"/>
    </row>
    <row r="2788" spans="1:23" x14ac:dyDescent="0.25">
      <c r="A2788" s="26" t="str">
        <f t="shared" si="558"/>
        <v>PREESCOLAR</v>
      </c>
      <c r="B2788" s="26" t="str">
        <f>"09PJN5391P"</f>
        <v>09PJN5391P</v>
      </c>
      <c r="C2788" s="26" t="str">
        <f>"INSTITUTO REINA VICTORIA                                                                            "</f>
        <v xml:space="preserve">INSTITUTO REINA VICTORIA                                                                            </v>
      </c>
      <c r="D2788" s="26" t="str">
        <f t="shared" si="556"/>
        <v>MATUTINO</v>
      </c>
      <c r="E2788" s="26" t="str">
        <f>"PASEO DEL RIO NO. 101                                                           "</f>
        <v xml:space="preserve">PASEO DEL RIO NO. 101                                                           </v>
      </c>
      <c r="F2788" s="26" t="str">
        <f>"PASEOS DE TAXQUEÑA                                                                                                                          "</f>
        <v xml:space="preserve">PASEOS DE TAXQUEÑA                                                                                                                          </v>
      </c>
      <c r="G2788" s="26" t="str">
        <f>"COYOACAN                                                                        "</f>
        <v xml:space="preserve">COYOACAN                                                                        </v>
      </c>
      <c r="H2788" s="26" t="str">
        <f>"024"</f>
        <v>024</v>
      </c>
      <c r="I2788" s="26" t="str">
        <f t="shared" si="559"/>
        <v>00</v>
      </c>
      <c r="J2788" s="26" t="str">
        <f>"35 "</f>
        <v xml:space="preserve">35 </v>
      </c>
      <c r="K2788" s="26" t="str">
        <f t="shared" si="553"/>
        <v>EP</v>
      </c>
      <c r="L2788" s="26" t="str">
        <f t="shared" si="554"/>
        <v>DGOSE</v>
      </c>
      <c r="M2788" s="26" t="str">
        <f t="shared" si="557"/>
        <v>PARTICULAR</v>
      </c>
      <c r="N2788" s="26">
        <v>30</v>
      </c>
      <c r="O2788" s="26">
        <v>18</v>
      </c>
      <c r="P2788" s="26">
        <v>12</v>
      </c>
      <c r="Q2788" s="26">
        <v>3</v>
      </c>
      <c r="R2788" s="26">
        <v>1</v>
      </c>
      <c r="S2788" s="26">
        <v>3</v>
      </c>
      <c r="T2788" s="26">
        <v>3</v>
      </c>
      <c r="U2788" s="26">
        <v>7</v>
      </c>
      <c r="V2788" s="26">
        <v>1</v>
      </c>
      <c r="W2788" s="26"/>
    </row>
    <row r="2789" spans="1:23" x14ac:dyDescent="0.25">
      <c r="A2789" s="26" t="str">
        <f t="shared" si="558"/>
        <v>PREESCOLAR</v>
      </c>
      <c r="B2789" s="26" t="str">
        <f>"09PJN5392O"</f>
        <v>09PJN5392O</v>
      </c>
      <c r="C2789" s="26" t="str">
        <f>"XINACHTLI                                                                                           "</f>
        <v xml:space="preserve">XINACHTLI                                                                                           </v>
      </c>
      <c r="D2789" s="26" t="str">
        <f t="shared" si="556"/>
        <v>MATUTINO</v>
      </c>
      <c r="E2789" s="26" t="str">
        <f>"ARANGO Y ESCANDON NO. 82                                                        "</f>
        <v xml:space="preserve">ARANGO Y ESCANDON NO. 82                                                        </v>
      </c>
      <c r="F2789" s="26" t="str">
        <f>"SANTA BARBARA                                                                                                                               "</f>
        <v xml:space="preserve">SANTA BARBARA                                                                                                                               </v>
      </c>
      <c r="G2789" s="26" t="str">
        <f>"AZCAPOTZALCO                                                                    "</f>
        <v xml:space="preserve">AZCAPOTZALCO                                                                    </v>
      </c>
      <c r="H2789" s="26" t="str">
        <f>"193"</f>
        <v>193</v>
      </c>
      <c r="I2789" s="26" t="str">
        <f t="shared" si="559"/>
        <v>00</v>
      </c>
      <c r="J2789" s="26" t="str">
        <f>"32 "</f>
        <v xml:space="preserve">32 </v>
      </c>
      <c r="K2789" s="26" t="str">
        <f t="shared" si="553"/>
        <v>EP</v>
      </c>
      <c r="L2789" s="26" t="str">
        <f t="shared" si="554"/>
        <v>DGOSE</v>
      </c>
      <c r="M2789" s="26" t="str">
        <f t="shared" si="557"/>
        <v>PARTICULAR</v>
      </c>
      <c r="N2789" s="26">
        <v>12</v>
      </c>
      <c r="O2789" s="26">
        <v>7</v>
      </c>
      <c r="P2789" s="26">
        <v>5</v>
      </c>
      <c r="Q2789" s="26">
        <v>2</v>
      </c>
      <c r="R2789" s="26">
        <v>1</v>
      </c>
      <c r="S2789" s="26">
        <v>2</v>
      </c>
      <c r="T2789" s="26">
        <v>0</v>
      </c>
      <c r="U2789" s="26">
        <v>3</v>
      </c>
      <c r="V2789" s="26">
        <v>1</v>
      </c>
      <c r="W2789" s="26"/>
    </row>
    <row r="2790" spans="1:23" x14ac:dyDescent="0.25">
      <c r="A2790" s="26" t="str">
        <f t="shared" si="558"/>
        <v>PREESCOLAR</v>
      </c>
      <c r="B2790" s="26" t="str">
        <f>"09PJN5393N"</f>
        <v>09PJN5393N</v>
      </c>
      <c r="C2790" s="26" t="str">
        <f>"JARDÍN DE NIÑOS Y GUARDERÍA ALFREDO NOBEL                                                           "</f>
        <v xml:space="preserve">JARDÍN DE NIÑOS Y GUARDERÍA ALFREDO NOBEL                                                           </v>
      </c>
      <c r="D2790" s="26" t="str">
        <f t="shared" si="556"/>
        <v>MATUTINO</v>
      </c>
      <c r="E2790" s="26" t="str">
        <f>"CERRADA GAVIOTA MZ.251 LT.72                                                    "</f>
        <v xml:space="preserve">CERRADA GAVIOTA MZ.251 LT.72                                                    </v>
      </c>
      <c r="F2790" s="26" t="str">
        <f>"DEL MAR                                                                                                                                     "</f>
        <v xml:space="preserve">DEL MAR                                                                                                                                     </v>
      </c>
      <c r="G2790" s="26" t="str">
        <f>"TLAHUAC                                                                         "</f>
        <v xml:space="preserve">TLAHUAC                                                                         </v>
      </c>
      <c r="H2790" s="26" t="str">
        <f>"124"</f>
        <v>124</v>
      </c>
      <c r="I2790" s="26" t="str">
        <f t="shared" si="559"/>
        <v>00</v>
      </c>
      <c r="J2790" s="26" t="str">
        <f>"35 "</f>
        <v xml:space="preserve">35 </v>
      </c>
      <c r="K2790" s="26" t="str">
        <f t="shared" si="553"/>
        <v>EP</v>
      </c>
      <c r="L2790" s="26" t="str">
        <f t="shared" si="554"/>
        <v>DGOSE</v>
      </c>
      <c r="M2790" s="26" t="str">
        <f t="shared" si="557"/>
        <v>PARTICULAR</v>
      </c>
      <c r="N2790" s="26">
        <v>5</v>
      </c>
      <c r="O2790" s="26">
        <v>4</v>
      </c>
      <c r="P2790" s="26">
        <v>1</v>
      </c>
      <c r="Q2790" s="26">
        <v>2</v>
      </c>
      <c r="R2790" s="26">
        <v>1</v>
      </c>
      <c r="S2790" s="26">
        <v>1</v>
      </c>
      <c r="T2790" s="26">
        <v>1</v>
      </c>
      <c r="U2790" s="26">
        <v>3</v>
      </c>
      <c r="V2790" s="26">
        <v>1</v>
      </c>
      <c r="W2790" s="26"/>
    </row>
    <row r="2791" spans="1:23" x14ac:dyDescent="0.25">
      <c r="A2791" s="26" t="str">
        <f t="shared" si="558"/>
        <v>PREESCOLAR</v>
      </c>
      <c r="B2791" s="26" t="str">
        <f>"09PJN5394M"</f>
        <v>09PJN5394M</v>
      </c>
      <c r="C2791" s="26" t="str">
        <f>"JARDÍN DE NIÑOS MANDY                                                                               "</f>
        <v xml:space="preserve">JARDÍN DE NIÑOS MANDY                                                                               </v>
      </c>
      <c r="D2791" s="26" t="str">
        <f t="shared" si="556"/>
        <v>MATUTINO</v>
      </c>
      <c r="E2791" s="26" t="str">
        <f>"TRECE NO. 207                                                                   "</f>
        <v xml:space="preserve">TRECE NO. 207                                                                   </v>
      </c>
      <c r="F2791" s="26" t="str">
        <f>"ESPARTACO                                                                                                                                   "</f>
        <v xml:space="preserve">ESPARTACO                                                                                                                                   </v>
      </c>
      <c r="G2791" s="26" t="str">
        <f>"COYOACAN                                                                        "</f>
        <v xml:space="preserve">COYOACAN                                                                        </v>
      </c>
      <c r="H2791" s="26" t="str">
        <f>"156"</f>
        <v>156</v>
      </c>
      <c r="I2791" s="26" t="str">
        <f t="shared" si="559"/>
        <v>00</v>
      </c>
      <c r="J2791" s="26" t="str">
        <f>"35 "</f>
        <v xml:space="preserve">35 </v>
      </c>
      <c r="K2791" s="26" t="str">
        <f t="shared" si="553"/>
        <v>EP</v>
      </c>
      <c r="L2791" s="26" t="str">
        <f t="shared" si="554"/>
        <v>DGOSE</v>
      </c>
      <c r="M2791" s="26" t="str">
        <f t="shared" si="557"/>
        <v>PARTICULAR</v>
      </c>
      <c r="N2791" s="26">
        <v>62</v>
      </c>
      <c r="O2791" s="26">
        <v>31</v>
      </c>
      <c r="P2791" s="26">
        <v>31</v>
      </c>
      <c r="Q2791" s="26">
        <v>4</v>
      </c>
      <c r="R2791" s="26">
        <v>1</v>
      </c>
      <c r="S2791" s="26">
        <v>4</v>
      </c>
      <c r="T2791" s="26">
        <v>3</v>
      </c>
      <c r="U2791" s="26">
        <v>8</v>
      </c>
      <c r="V2791" s="26">
        <v>1</v>
      </c>
      <c r="W2791" s="26"/>
    </row>
    <row r="2792" spans="1:23" x14ac:dyDescent="0.25">
      <c r="A2792" s="26" t="str">
        <f t="shared" si="558"/>
        <v>PREESCOLAR</v>
      </c>
      <c r="B2792" s="26" t="str">
        <f>"09PJN5396K"</f>
        <v>09PJN5396K</v>
      </c>
      <c r="C2792" s="26" t="str">
        <f>"INSTITUTO EDUCATIVO YIREH                                                                           "</f>
        <v xml:space="preserve">INSTITUTO EDUCATIVO YIREH                                                                           </v>
      </c>
      <c r="D2792" s="26" t="str">
        <f t="shared" si="556"/>
        <v>MATUTINO</v>
      </c>
      <c r="E2792" s="26" t="str">
        <f>"VICTOR HUGO NO. 205                                                             "</f>
        <v xml:space="preserve">VICTOR HUGO NO. 205                                                             </v>
      </c>
      <c r="F2792" s="26" t="str">
        <f>"PORTALES                                                                                                                                    "</f>
        <v xml:space="preserve">PORTALES                                                                                                                                    </v>
      </c>
      <c r="G2792" s="26" t="str">
        <f>"BENITO JUAREZ                                                                   "</f>
        <v xml:space="preserve">BENITO JUAREZ                                                                   </v>
      </c>
      <c r="H2792" s="26" t="str">
        <f>"234"</f>
        <v>234</v>
      </c>
      <c r="I2792" s="26" t="str">
        <f t="shared" si="559"/>
        <v>00</v>
      </c>
      <c r="J2792" s="26" t="str">
        <f>"33 "</f>
        <v xml:space="preserve">33 </v>
      </c>
      <c r="K2792" s="26" t="str">
        <f t="shared" si="553"/>
        <v>EP</v>
      </c>
      <c r="L2792" s="26" t="str">
        <f t="shared" si="554"/>
        <v>DGOSE</v>
      </c>
      <c r="M2792" s="26" t="str">
        <f t="shared" si="557"/>
        <v>PARTICULAR</v>
      </c>
      <c r="N2792" s="26">
        <v>29</v>
      </c>
      <c r="O2792" s="26">
        <v>17</v>
      </c>
      <c r="P2792" s="26">
        <v>12</v>
      </c>
      <c r="Q2792" s="26">
        <v>3</v>
      </c>
      <c r="R2792" s="26">
        <v>1</v>
      </c>
      <c r="S2792" s="26">
        <v>3</v>
      </c>
      <c r="T2792" s="26">
        <v>6</v>
      </c>
      <c r="U2792" s="26">
        <v>10</v>
      </c>
      <c r="V2792" s="26">
        <v>1</v>
      </c>
      <c r="W2792" s="26"/>
    </row>
    <row r="2793" spans="1:23" x14ac:dyDescent="0.25">
      <c r="A2793" s="26" t="str">
        <f t="shared" si="558"/>
        <v>PREESCOLAR</v>
      </c>
      <c r="B2793" s="26" t="str">
        <f>"09PJN5398I"</f>
        <v>09PJN5398I</v>
      </c>
      <c r="C2793" s="26" t="str">
        <f>"CASTILLO DE ARENA                                                                                   "</f>
        <v xml:space="preserve">CASTILLO DE ARENA                                                                                   </v>
      </c>
      <c r="D2793" s="26" t="str">
        <f t="shared" si="556"/>
        <v>MATUTINO</v>
      </c>
      <c r="E2793" s="26" t="str">
        <f>"RETORNO 68 NO. 3                                                                "</f>
        <v xml:space="preserve">RETORNO 68 NO. 3                                                                </v>
      </c>
      <c r="F2793" s="26" t="str">
        <f>"AVANTE                                                                                                                                      "</f>
        <v xml:space="preserve">AVANTE                                                                                                                                      </v>
      </c>
      <c r="G2793" s="26" t="str">
        <f>"COYOACAN                                                                        "</f>
        <v xml:space="preserve">COYOACAN                                                                        </v>
      </c>
      <c r="H2793" s="26" t="str">
        <f>"024"</f>
        <v>024</v>
      </c>
      <c r="I2793" s="26" t="str">
        <f t="shared" si="559"/>
        <v>00</v>
      </c>
      <c r="J2793" s="26" t="str">
        <f>"35 "</f>
        <v xml:space="preserve">35 </v>
      </c>
      <c r="K2793" s="26" t="str">
        <f t="shared" si="553"/>
        <v>EP</v>
      </c>
      <c r="L2793" s="26" t="str">
        <f t="shared" si="554"/>
        <v>DGOSE</v>
      </c>
      <c r="M2793" s="26" t="str">
        <f t="shared" si="557"/>
        <v>PARTICULAR</v>
      </c>
      <c r="N2793" s="26">
        <v>21</v>
      </c>
      <c r="O2793" s="26">
        <v>11</v>
      </c>
      <c r="P2793" s="26">
        <v>10</v>
      </c>
      <c r="Q2793" s="26">
        <v>3</v>
      </c>
      <c r="R2793" s="26">
        <v>1</v>
      </c>
      <c r="S2793" s="26">
        <v>2</v>
      </c>
      <c r="T2793" s="26">
        <v>2</v>
      </c>
      <c r="U2793" s="26">
        <v>5</v>
      </c>
      <c r="V2793" s="26">
        <v>1</v>
      </c>
      <c r="W2793" s="26"/>
    </row>
    <row r="2794" spans="1:23" x14ac:dyDescent="0.25">
      <c r="A2794" s="26" t="str">
        <f t="shared" si="558"/>
        <v>PREESCOLAR</v>
      </c>
      <c r="B2794" s="26" t="str">
        <f>"09PJN5399H"</f>
        <v>09PJN5399H</v>
      </c>
      <c r="C2794" s="26" t="str">
        <f>"CENTRO ACADEMICO DE DESARROLLO INFANTIL CADI                                                        "</f>
        <v xml:space="preserve">CENTRO ACADEMICO DE DESARROLLO INFANTIL CADI                                                        </v>
      </c>
      <c r="D2794" s="26" t="str">
        <f t="shared" si="556"/>
        <v>MATUTINO</v>
      </c>
      <c r="E2794" s="26" t="str">
        <f>"DIVISION DEL NORTE NO. 1328                                                     "</f>
        <v xml:space="preserve">DIVISION DEL NORTE NO. 1328                                                     </v>
      </c>
      <c r="F2794" s="26" t="str">
        <f>"VERTIZ NARVARTE                                                                                                                             "</f>
        <v xml:space="preserve">VERTIZ NARVARTE                                                                                                                             </v>
      </c>
      <c r="G2794" s="26" t="str">
        <f>"BENITO JUAREZ                                                                   "</f>
        <v xml:space="preserve">BENITO JUAREZ                                                                   </v>
      </c>
      <c r="H2794" s="26" t="str">
        <f>"037"</f>
        <v>037</v>
      </c>
      <c r="I2794" s="26" t="str">
        <f t="shared" si="559"/>
        <v>00</v>
      </c>
      <c r="J2794" s="26" t="str">
        <f>"33 "</f>
        <v xml:space="preserve">33 </v>
      </c>
      <c r="K2794" s="26" t="str">
        <f t="shared" si="553"/>
        <v>EP</v>
      </c>
      <c r="L2794" s="26" t="str">
        <f t="shared" si="554"/>
        <v>DGOSE</v>
      </c>
      <c r="M2794" s="26" t="str">
        <f t="shared" si="557"/>
        <v>PARTICULAR</v>
      </c>
      <c r="N2794" s="26">
        <v>26</v>
      </c>
      <c r="O2794" s="26">
        <v>8</v>
      </c>
      <c r="P2794" s="26">
        <v>18</v>
      </c>
      <c r="Q2794" s="26">
        <v>3</v>
      </c>
      <c r="R2794" s="26">
        <v>1</v>
      </c>
      <c r="S2794" s="26">
        <v>2</v>
      </c>
      <c r="T2794" s="26">
        <v>1</v>
      </c>
      <c r="U2794" s="26">
        <v>4</v>
      </c>
      <c r="V2794" s="26">
        <v>1</v>
      </c>
      <c r="W2794" s="26"/>
    </row>
    <row r="2795" spans="1:23" x14ac:dyDescent="0.25">
      <c r="A2795" s="26" t="str">
        <f t="shared" si="558"/>
        <v>PREESCOLAR</v>
      </c>
      <c r="B2795" s="26" t="str">
        <f>"09PJN5400G"</f>
        <v>09PJN5400G</v>
      </c>
      <c r="C2795" s="26" t="str">
        <f>"COLEGIO AKIL BILINGÜE                                                                               "</f>
        <v xml:space="preserve">COLEGIO AKIL BILINGÜE                                                                               </v>
      </c>
      <c r="D2795" s="26" t="str">
        <f t="shared" si="556"/>
        <v>MATUTINO</v>
      </c>
      <c r="E2795" s="26" t="str">
        <f>"AKIL S/N                                                                        "</f>
        <v xml:space="preserve">AKIL S/N                                                                        </v>
      </c>
      <c r="F2795" s="26" t="str">
        <f>"ZONA EJIDOS DE PADIERNA                                                                                                                     "</f>
        <v xml:space="preserve">ZONA EJIDOS DE PADIERNA                                                                                                                     </v>
      </c>
      <c r="G2795" s="26" t="str">
        <f>"TLALPAN                                                                         "</f>
        <v xml:space="preserve">TLALPAN                                                                         </v>
      </c>
      <c r="H2795" s="26" t="str">
        <f>"146"</f>
        <v>146</v>
      </c>
      <c r="I2795" s="26" t="str">
        <f t="shared" si="559"/>
        <v>00</v>
      </c>
      <c r="J2795" s="26" t="str">
        <f>"35 "</f>
        <v xml:space="preserve">35 </v>
      </c>
      <c r="K2795" s="26" t="str">
        <f t="shared" si="553"/>
        <v>EP</v>
      </c>
      <c r="L2795" s="26" t="str">
        <f t="shared" si="554"/>
        <v>DGOSE</v>
      </c>
      <c r="M2795" s="26" t="str">
        <f t="shared" si="557"/>
        <v>PARTICULAR</v>
      </c>
      <c r="N2795" s="26">
        <v>28</v>
      </c>
      <c r="O2795" s="26">
        <v>12</v>
      </c>
      <c r="P2795" s="26">
        <v>16</v>
      </c>
      <c r="Q2795" s="26">
        <v>3</v>
      </c>
      <c r="R2795" s="26">
        <v>1</v>
      </c>
      <c r="S2795" s="26">
        <v>2</v>
      </c>
      <c r="T2795" s="26">
        <v>3</v>
      </c>
      <c r="U2795" s="26">
        <v>6</v>
      </c>
      <c r="V2795" s="26">
        <v>1</v>
      </c>
      <c r="W2795" s="26"/>
    </row>
    <row r="2796" spans="1:23" x14ac:dyDescent="0.25">
      <c r="A2796" s="26" t="str">
        <f t="shared" si="558"/>
        <v>PREESCOLAR</v>
      </c>
      <c r="B2796" s="26" t="str">
        <f>"09PJN5401F"</f>
        <v>09PJN5401F</v>
      </c>
      <c r="C2796" s="26" t="str">
        <f>"JARDIN DE NIÑOS FEDERICO FROEBEL                                                                    "</f>
        <v xml:space="preserve">JARDIN DE NIÑOS FEDERICO FROEBEL                                                                    </v>
      </c>
      <c r="D2796" s="26" t="str">
        <f t="shared" si="556"/>
        <v>MATUTINO</v>
      </c>
      <c r="E2796" s="26" t="str">
        <f>"JUCHIQUE NO.113                                                                 "</f>
        <v xml:space="preserve">JUCHIQUE NO.113                                                                 </v>
      </c>
      <c r="F2796" s="26" t="str">
        <f>"JALALPA AMPLIACION                                                                                                                          "</f>
        <v xml:space="preserve">JALALPA AMPLIACION                                                                                                                          </v>
      </c>
      <c r="G2796" s="26" t="str">
        <f>"ALVARO OBREGON                                                                  "</f>
        <v xml:space="preserve">ALVARO OBREGON                                                                  </v>
      </c>
      <c r="H2796" s="26" t="str">
        <f>"122"</f>
        <v>122</v>
      </c>
      <c r="I2796" s="26" t="str">
        <f t="shared" si="559"/>
        <v>00</v>
      </c>
      <c r="J2796" s="26" t="str">
        <f>"33 "</f>
        <v xml:space="preserve">33 </v>
      </c>
      <c r="K2796" s="26" t="str">
        <f t="shared" si="553"/>
        <v>EP</v>
      </c>
      <c r="L2796" s="26" t="str">
        <f t="shared" si="554"/>
        <v>DGOSE</v>
      </c>
      <c r="M2796" s="26" t="str">
        <f t="shared" si="557"/>
        <v>PARTICULAR</v>
      </c>
      <c r="N2796" s="26">
        <v>35</v>
      </c>
      <c r="O2796" s="26">
        <v>20</v>
      </c>
      <c r="P2796" s="26">
        <v>15</v>
      </c>
      <c r="Q2796" s="26">
        <v>3</v>
      </c>
      <c r="R2796" s="26">
        <v>1</v>
      </c>
      <c r="S2796" s="26">
        <v>3</v>
      </c>
      <c r="T2796" s="26">
        <v>0</v>
      </c>
      <c r="U2796" s="26">
        <v>4</v>
      </c>
      <c r="V2796" s="26">
        <v>1</v>
      </c>
      <c r="W2796" s="26"/>
    </row>
    <row r="2797" spans="1:23" x14ac:dyDescent="0.25">
      <c r="A2797" s="26" t="str">
        <f t="shared" si="558"/>
        <v>PREESCOLAR</v>
      </c>
      <c r="B2797" s="26" t="str">
        <f>"09PJN5402E"</f>
        <v>09PJN5402E</v>
      </c>
      <c r="C2797" s="26" t="str">
        <f>"COLEGIO TENOCHTITLAN                                                                                "</f>
        <v xml:space="preserve">COLEGIO TENOCHTITLAN                                                                                </v>
      </c>
      <c r="D2797" s="26" t="str">
        <f t="shared" si="556"/>
        <v>MATUTINO</v>
      </c>
      <c r="E2797" s="26" t="str">
        <f>"RASCARRABIAS NO.49                                                              "</f>
        <v xml:space="preserve">RASCARRABIAS NO.49                                                              </v>
      </c>
      <c r="F2797" s="26" t="str">
        <f>"INDEPENDENCIA                                                                                                                               "</f>
        <v xml:space="preserve">INDEPENDENCIA                                                                                                                               </v>
      </c>
      <c r="G2797" s="26" t="str">
        <f>"BENITO JUAREZ                                                                   "</f>
        <v xml:space="preserve">BENITO JUAREZ                                                                   </v>
      </c>
      <c r="H2797" s="26" t="str">
        <f>"090"</f>
        <v>090</v>
      </c>
      <c r="I2797" s="26" t="str">
        <f t="shared" si="559"/>
        <v>00</v>
      </c>
      <c r="J2797" s="26" t="str">
        <f>"33 "</f>
        <v xml:space="preserve">33 </v>
      </c>
      <c r="K2797" s="26" t="str">
        <f t="shared" si="553"/>
        <v>EP</v>
      </c>
      <c r="L2797" s="26" t="str">
        <f t="shared" si="554"/>
        <v>DGOSE</v>
      </c>
      <c r="M2797" s="26" t="str">
        <f t="shared" si="557"/>
        <v>PARTICULAR</v>
      </c>
      <c r="N2797" s="26">
        <v>33</v>
      </c>
      <c r="O2797" s="26">
        <v>19</v>
      </c>
      <c r="P2797" s="26">
        <v>14</v>
      </c>
      <c r="Q2797" s="26">
        <v>3</v>
      </c>
      <c r="R2797" s="26">
        <v>1</v>
      </c>
      <c r="S2797" s="26">
        <v>3</v>
      </c>
      <c r="T2797" s="26">
        <v>4</v>
      </c>
      <c r="U2797" s="26">
        <v>8</v>
      </c>
      <c r="V2797" s="26">
        <v>1</v>
      </c>
      <c r="W2797" s="26"/>
    </row>
    <row r="2798" spans="1:23" x14ac:dyDescent="0.25">
      <c r="A2798" s="26" t="str">
        <f t="shared" si="558"/>
        <v>PREESCOLAR</v>
      </c>
      <c r="B2798" s="26" t="str">
        <f>"09PJN5403D"</f>
        <v>09PJN5403D</v>
      </c>
      <c r="C2798" s="26" t="str">
        <f>"COLEGIO LOYAN                                                                                       "</f>
        <v xml:space="preserve">COLEGIO LOYAN                                                                                       </v>
      </c>
      <c r="D2798" s="26" t="str">
        <f t="shared" si="556"/>
        <v>MATUTINO</v>
      </c>
      <c r="E2798" s="26" t="str">
        <f>"MIGUEL R. PRECIAT NO. 39                                                        "</f>
        <v xml:space="preserve">MIGUEL R. PRECIAT NO. 39                                                        </v>
      </c>
      <c r="F2798" s="26" t="str">
        <f>"LOS CIPRESES                                                                                                                                "</f>
        <v xml:space="preserve">LOS CIPRESES                                                                                                                                </v>
      </c>
      <c r="G2798" s="26" t="str">
        <f>"COYOACAN                                                                        "</f>
        <v xml:space="preserve">COYOACAN                                                                        </v>
      </c>
      <c r="H2798" s="26" t="str">
        <f>"156"</f>
        <v>156</v>
      </c>
      <c r="I2798" s="26" t="str">
        <f t="shared" si="559"/>
        <v>00</v>
      </c>
      <c r="J2798" s="26" t="str">
        <f>"35 "</f>
        <v xml:space="preserve">35 </v>
      </c>
      <c r="K2798" s="26" t="str">
        <f t="shared" si="553"/>
        <v>EP</v>
      </c>
      <c r="L2798" s="26" t="str">
        <f t="shared" si="554"/>
        <v>DGOSE</v>
      </c>
      <c r="M2798" s="26" t="str">
        <f t="shared" si="557"/>
        <v>PARTICULAR</v>
      </c>
      <c r="N2798" s="26">
        <v>35</v>
      </c>
      <c r="O2798" s="26">
        <v>23</v>
      </c>
      <c r="P2798" s="26">
        <v>12</v>
      </c>
      <c r="Q2798" s="26">
        <v>3</v>
      </c>
      <c r="R2798" s="26">
        <v>1</v>
      </c>
      <c r="S2798" s="26">
        <v>3</v>
      </c>
      <c r="T2798" s="26">
        <v>6</v>
      </c>
      <c r="U2798" s="26">
        <v>10</v>
      </c>
      <c r="V2798" s="26">
        <v>1</v>
      </c>
      <c r="W2798" s="26"/>
    </row>
    <row r="2799" spans="1:23" x14ac:dyDescent="0.25">
      <c r="A2799" s="26" t="str">
        <f t="shared" si="558"/>
        <v>PREESCOLAR</v>
      </c>
      <c r="B2799" s="26" t="str">
        <f>"09PJN5404C"</f>
        <v>09PJN5404C</v>
      </c>
      <c r="C2799" s="26" t="str">
        <f>"L'ECOLE                                                                                             "</f>
        <v xml:space="preserve">L'ECOLE                                                                                             </v>
      </c>
      <c r="D2799" s="26" t="str">
        <f t="shared" si="556"/>
        <v>MATUTINO</v>
      </c>
      <c r="E2799" s="26" t="str">
        <f>"ANAXAGORAS NO. 514                                                              "</f>
        <v xml:space="preserve">ANAXAGORAS NO. 514                                                              </v>
      </c>
      <c r="F2799" s="26" t="str">
        <f>"NARVARTE                                                                                                                                    "</f>
        <v xml:space="preserve">NARVARTE                                                                                                                                    </v>
      </c>
      <c r="G2799" s="26" t="str">
        <f>"BENITO JUAREZ                                                                   "</f>
        <v xml:space="preserve">BENITO JUAREZ                                                                   </v>
      </c>
      <c r="H2799" s="26" t="str">
        <f>"029"</f>
        <v>029</v>
      </c>
      <c r="I2799" s="26" t="str">
        <f t="shared" si="559"/>
        <v>00</v>
      </c>
      <c r="J2799" s="26" t="str">
        <f>"33 "</f>
        <v xml:space="preserve">33 </v>
      </c>
      <c r="K2799" s="26" t="str">
        <f t="shared" si="553"/>
        <v>EP</v>
      </c>
      <c r="L2799" s="26" t="str">
        <f t="shared" si="554"/>
        <v>DGOSE</v>
      </c>
      <c r="M2799" s="26" t="str">
        <f t="shared" si="557"/>
        <v>PARTICULAR</v>
      </c>
      <c r="N2799" s="26">
        <v>26</v>
      </c>
      <c r="O2799" s="26">
        <v>17</v>
      </c>
      <c r="P2799" s="26">
        <v>9</v>
      </c>
      <c r="Q2799" s="26">
        <v>3</v>
      </c>
      <c r="R2799" s="26">
        <v>1</v>
      </c>
      <c r="S2799" s="26">
        <v>3</v>
      </c>
      <c r="T2799" s="26">
        <v>1</v>
      </c>
      <c r="U2799" s="26">
        <v>5</v>
      </c>
      <c r="V2799" s="26">
        <v>1</v>
      </c>
      <c r="W2799" s="26"/>
    </row>
    <row r="2800" spans="1:23" x14ac:dyDescent="0.25">
      <c r="A2800" s="26" t="str">
        <f t="shared" si="558"/>
        <v>PREESCOLAR</v>
      </c>
      <c r="B2800" s="26" t="str">
        <f>"09PJN5405B"</f>
        <v>09PJN5405B</v>
      </c>
      <c r="C2800" s="26" t="str">
        <f>"COLEGIO ROSSLAND                                                                                    "</f>
        <v xml:space="preserve">COLEGIO ROSSLAND                                                                                    </v>
      </c>
      <c r="D2800" s="26" t="str">
        <f t="shared" si="556"/>
        <v>MATUTINO</v>
      </c>
      <c r="E2800" s="26" t="str">
        <f>"13 DE SEPTIEMBRE NO. 18                                                         "</f>
        <v xml:space="preserve">13 DE SEPTIEMBRE NO. 18                                                         </v>
      </c>
      <c r="F2800" s="26" t="str">
        <f>"ESCANDON                                                                                                                                    "</f>
        <v xml:space="preserve">ESCANDON                                                                                                                                    </v>
      </c>
      <c r="G2800" s="26" t="str">
        <f>"MIGUEL HIDALGO                                                                  "</f>
        <v xml:space="preserve">MIGUEL HIDALGO                                                                  </v>
      </c>
      <c r="H2800" s="26" t="str">
        <f>"014"</f>
        <v>014</v>
      </c>
      <c r="I2800" s="26" t="str">
        <f t="shared" si="559"/>
        <v>00</v>
      </c>
      <c r="J2800" s="26" t="str">
        <f>"32 "</f>
        <v xml:space="preserve">32 </v>
      </c>
      <c r="K2800" s="26" t="str">
        <f t="shared" si="553"/>
        <v>EP</v>
      </c>
      <c r="L2800" s="26" t="str">
        <f t="shared" si="554"/>
        <v>DGOSE</v>
      </c>
      <c r="M2800" s="26" t="str">
        <f t="shared" si="557"/>
        <v>PARTICULAR</v>
      </c>
      <c r="N2800" s="26">
        <v>53</v>
      </c>
      <c r="O2800" s="26">
        <v>25</v>
      </c>
      <c r="P2800" s="26">
        <v>28</v>
      </c>
      <c r="Q2800" s="26">
        <v>3</v>
      </c>
      <c r="R2800" s="26">
        <v>1</v>
      </c>
      <c r="S2800" s="26">
        <v>3</v>
      </c>
      <c r="T2800" s="26">
        <v>5</v>
      </c>
      <c r="U2800" s="26">
        <v>9</v>
      </c>
      <c r="V2800" s="26">
        <v>1</v>
      </c>
      <c r="W2800" s="26"/>
    </row>
    <row r="2801" spans="1:23" x14ac:dyDescent="0.25">
      <c r="A2801" s="26" t="str">
        <f t="shared" si="558"/>
        <v>PREESCOLAR</v>
      </c>
      <c r="B2801" s="26" t="str">
        <f>"09PJN5406A"</f>
        <v>09PJN5406A</v>
      </c>
      <c r="C2801" s="26" t="str">
        <f>"BABY BEE                                                                                            "</f>
        <v xml:space="preserve">BABY BEE                                                                                            </v>
      </c>
      <c r="D2801" s="26" t="str">
        <f t="shared" si="556"/>
        <v>MATUTINO</v>
      </c>
      <c r="E2801" s="26" t="str">
        <f>"CAMPOS ELISEOS NO.131                                                           "</f>
        <v xml:space="preserve">CAMPOS ELISEOS NO.131                                                           </v>
      </c>
      <c r="F2801" s="26" t="str">
        <f>"CHAPULTEPEC MORALES                                                                                                                         "</f>
        <v xml:space="preserve">CHAPULTEPEC MORALES                                                                                                                         </v>
      </c>
      <c r="G2801" s="26" t="str">
        <f>"MIGUEL HIDALGO                                                                  "</f>
        <v xml:space="preserve">MIGUEL HIDALGO                                                                  </v>
      </c>
      <c r="H2801" s="26" t="str">
        <f>"196"</f>
        <v>196</v>
      </c>
      <c r="I2801" s="26" t="str">
        <f t="shared" si="559"/>
        <v>00</v>
      </c>
      <c r="J2801" s="26" t="str">
        <f>"32 "</f>
        <v xml:space="preserve">32 </v>
      </c>
      <c r="K2801" s="26" t="str">
        <f t="shared" si="553"/>
        <v>EP</v>
      </c>
      <c r="L2801" s="26" t="str">
        <f t="shared" si="554"/>
        <v>DGOSE</v>
      </c>
      <c r="M2801" s="26" t="str">
        <f t="shared" si="557"/>
        <v>PARTICULAR</v>
      </c>
      <c r="N2801" s="26">
        <v>58</v>
      </c>
      <c r="O2801" s="26">
        <v>34</v>
      </c>
      <c r="P2801" s="26">
        <v>24</v>
      </c>
      <c r="Q2801" s="26">
        <v>3</v>
      </c>
      <c r="R2801" s="26">
        <v>1</v>
      </c>
      <c r="S2801" s="26">
        <v>3</v>
      </c>
      <c r="T2801" s="26">
        <v>9</v>
      </c>
      <c r="U2801" s="26">
        <v>13</v>
      </c>
      <c r="V2801" s="26">
        <v>1</v>
      </c>
      <c r="W2801" s="26"/>
    </row>
    <row r="2802" spans="1:23" x14ac:dyDescent="0.25">
      <c r="A2802" s="26" t="str">
        <f t="shared" si="558"/>
        <v>PREESCOLAR</v>
      </c>
      <c r="B2802" s="26" t="str">
        <f>"09PJN5408Z"</f>
        <v>09PJN5408Z</v>
      </c>
      <c r="C2802" s="26" t="str">
        <f>"COLEGIO DOLORES OLMEDO PATIÑO                                                                       "</f>
        <v xml:space="preserve">COLEGIO DOLORES OLMEDO PATIÑO                                                                       </v>
      </c>
      <c r="D2802" s="26" t="str">
        <f t="shared" si="556"/>
        <v>MATUTINO</v>
      </c>
      <c r="E2802" s="26" t="s">
        <v>117</v>
      </c>
      <c r="F2802" s="26" t="str">
        <f>"LA NOPALERA                                                                                                                                 "</f>
        <v xml:space="preserve">LA NOPALERA                                                                                                                                 </v>
      </c>
      <c r="G2802" s="26" t="str">
        <f>"TLAHUAC                                                                         "</f>
        <v xml:space="preserve">TLAHUAC                                                                         </v>
      </c>
      <c r="H2802" s="26" t="str">
        <f>"244"</f>
        <v>244</v>
      </c>
      <c r="I2802" s="26" t="str">
        <f t="shared" si="559"/>
        <v>00</v>
      </c>
      <c r="J2802" s="26" t="str">
        <f>"35 "</f>
        <v xml:space="preserve">35 </v>
      </c>
      <c r="K2802" s="26" t="str">
        <f t="shared" si="553"/>
        <v>EP</v>
      </c>
      <c r="L2802" s="26" t="str">
        <f t="shared" si="554"/>
        <v>DGOSE</v>
      </c>
      <c r="M2802" s="26" t="str">
        <f t="shared" si="557"/>
        <v>PARTICULAR</v>
      </c>
      <c r="N2802" s="26">
        <v>134</v>
      </c>
      <c r="O2802" s="26">
        <v>70</v>
      </c>
      <c r="P2802" s="26">
        <v>64</v>
      </c>
      <c r="Q2802" s="26">
        <v>6</v>
      </c>
      <c r="R2802" s="26">
        <v>1</v>
      </c>
      <c r="S2802" s="26">
        <v>6</v>
      </c>
      <c r="T2802" s="26">
        <v>3</v>
      </c>
      <c r="U2802" s="26">
        <v>10</v>
      </c>
      <c r="V2802" s="26">
        <v>1</v>
      </c>
      <c r="W2802" s="26"/>
    </row>
    <row r="2803" spans="1:23" x14ac:dyDescent="0.25">
      <c r="A2803" s="26" t="str">
        <f t="shared" si="558"/>
        <v>PREESCOLAR</v>
      </c>
      <c r="B2803" s="26" t="str">
        <f>"09PJN5410N"</f>
        <v>09PJN5410N</v>
      </c>
      <c r="C2803" s="26" t="str">
        <f>"JEAN PIAGET                                                                                         "</f>
        <v xml:space="preserve">JEAN PIAGET                                                                                         </v>
      </c>
      <c r="D2803" s="26" t="str">
        <f t="shared" si="556"/>
        <v>MATUTINO</v>
      </c>
      <c r="E2803" s="26" t="str">
        <f>"AV. INDEPENDENCIA NO. 20                                                        "</f>
        <v xml:space="preserve">AV. INDEPENDENCIA NO. 20                                                        </v>
      </c>
      <c r="F2803" s="26" t="str">
        <f>"SAN ANDRES CENTRO                                                                                                                           "</f>
        <v xml:space="preserve">SAN ANDRES CENTRO                                                                                                                           </v>
      </c>
      <c r="G2803" s="26" t="str">
        <f>"TLAHUAC                                                                         "</f>
        <v xml:space="preserve">TLAHUAC                                                                         </v>
      </c>
      <c r="H2803" s="26" t="str">
        <f>"083"</f>
        <v>083</v>
      </c>
      <c r="I2803" s="26" t="str">
        <f t="shared" si="559"/>
        <v>00</v>
      </c>
      <c r="J2803" s="26" t="str">
        <f>"35 "</f>
        <v xml:space="preserve">35 </v>
      </c>
      <c r="K2803" s="26" t="str">
        <f t="shared" si="553"/>
        <v>EP</v>
      </c>
      <c r="L2803" s="26" t="str">
        <f t="shared" si="554"/>
        <v>DGOSE</v>
      </c>
      <c r="M2803" s="26" t="str">
        <f t="shared" si="557"/>
        <v>PARTICULAR</v>
      </c>
      <c r="N2803" s="26">
        <v>17</v>
      </c>
      <c r="O2803" s="26">
        <v>8</v>
      </c>
      <c r="P2803" s="26">
        <v>9</v>
      </c>
      <c r="Q2803" s="26">
        <v>2</v>
      </c>
      <c r="R2803" s="26">
        <v>1</v>
      </c>
      <c r="S2803" s="26">
        <v>2</v>
      </c>
      <c r="T2803" s="26">
        <v>0</v>
      </c>
      <c r="U2803" s="26">
        <v>3</v>
      </c>
      <c r="V2803" s="26">
        <v>1</v>
      </c>
      <c r="W2803" s="26"/>
    </row>
    <row r="2804" spans="1:23" x14ac:dyDescent="0.25">
      <c r="A2804" s="26" t="str">
        <f t="shared" si="558"/>
        <v>PREESCOLAR</v>
      </c>
      <c r="B2804" s="26" t="str">
        <f>"09PJN5412L"</f>
        <v>09PJN5412L</v>
      </c>
      <c r="C2804" s="26" t="str">
        <f>"COLEGIO MANNING                                                                                     "</f>
        <v xml:space="preserve">COLEGIO MANNING                                                                                     </v>
      </c>
      <c r="D2804" s="26" t="str">
        <f t="shared" si="556"/>
        <v>MATUTINO</v>
      </c>
      <c r="E2804" s="26" t="str">
        <f>"HIDALGO NO.8                                                                    "</f>
        <v xml:space="preserve">HIDALGO NO.8                                                                    </v>
      </c>
      <c r="F2804" s="26" t="str">
        <f>"SANTA URSULA COAPA                                                                                                                          "</f>
        <v xml:space="preserve">SANTA URSULA COAPA                                                                                                                          </v>
      </c>
      <c r="G2804" s="26" t="str">
        <f>"COYOACAN                                                                        "</f>
        <v xml:space="preserve">COYOACAN                                                                        </v>
      </c>
      <c r="H2804" s="26" t="str">
        <f>"156"</f>
        <v>156</v>
      </c>
      <c r="I2804" s="26" t="str">
        <f t="shared" si="559"/>
        <v>00</v>
      </c>
      <c r="J2804" s="26" t="str">
        <f>"35 "</f>
        <v xml:space="preserve">35 </v>
      </c>
      <c r="K2804" s="26" t="str">
        <f t="shared" si="553"/>
        <v>EP</v>
      </c>
      <c r="L2804" s="26" t="str">
        <f t="shared" si="554"/>
        <v>DGOSE</v>
      </c>
      <c r="M2804" s="26" t="str">
        <f t="shared" si="557"/>
        <v>PARTICULAR</v>
      </c>
      <c r="N2804" s="26">
        <v>7</v>
      </c>
      <c r="O2804" s="26">
        <v>6</v>
      </c>
      <c r="P2804" s="26">
        <v>1</v>
      </c>
      <c r="Q2804" s="26">
        <v>3</v>
      </c>
      <c r="R2804" s="26">
        <v>1</v>
      </c>
      <c r="S2804" s="26">
        <v>2</v>
      </c>
      <c r="T2804" s="26">
        <v>3</v>
      </c>
      <c r="U2804" s="26">
        <v>6</v>
      </c>
      <c r="V2804" s="26">
        <v>1</v>
      </c>
      <c r="W2804" s="26"/>
    </row>
    <row r="2805" spans="1:23" x14ac:dyDescent="0.25">
      <c r="A2805" s="26" t="str">
        <f t="shared" si="558"/>
        <v>PREESCOLAR</v>
      </c>
      <c r="B2805" s="26" t="str">
        <f>"09PJN5413K"</f>
        <v>09PJN5413K</v>
      </c>
      <c r="C2805" s="26" t="str">
        <f>"CENTRO DE ESTUDIOS PREESCOLAR DEL COLEGIO AXAYACATL                                                 "</f>
        <v xml:space="preserve">CENTRO DE ESTUDIOS PREESCOLAR DEL COLEGIO AXAYACATL                                                 </v>
      </c>
      <c r="D2805" s="26" t="str">
        <f t="shared" si="556"/>
        <v>MATUTINO</v>
      </c>
      <c r="E2805" s="26" t="str">
        <f>"COXCOX NO. 19                                                                   "</f>
        <v xml:space="preserve">COXCOX NO. 19                                                                   </v>
      </c>
      <c r="F2805" s="26" t="str">
        <f>"ARENAL 2A SECCION                                                                                                                           "</f>
        <v xml:space="preserve">ARENAL 2A SECCION                                                                                                                           </v>
      </c>
      <c r="G2805" s="26" t="str">
        <f>"VENUSTIANO CARRANZA                                                             "</f>
        <v xml:space="preserve">VENUSTIANO CARRANZA                                                             </v>
      </c>
      <c r="H2805" s="26" t="str">
        <f>"161"</f>
        <v>161</v>
      </c>
      <c r="I2805" s="26" t="str">
        <f t="shared" si="559"/>
        <v>00</v>
      </c>
      <c r="J2805" s="26" t="str">
        <f>"33 "</f>
        <v xml:space="preserve">33 </v>
      </c>
      <c r="K2805" s="26" t="str">
        <f t="shared" si="553"/>
        <v>EP</v>
      </c>
      <c r="L2805" s="26" t="str">
        <f t="shared" si="554"/>
        <v>DGOSE</v>
      </c>
      <c r="M2805" s="26" t="str">
        <f t="shared" si="557"/>
        <v>PARTICULAR</v>
      </c>
      <c r="N2805" s="26">
        <v>53</v>
      </c>
      <c r="O2805" s="26">
        <v>28</v>
      </c>
      <c r="P2805" s="26">
        <v>25</v>
      </c>
      <c r="Q2805" s="26">
        <v>3</v>
      </c>
      <c r="R2805" s="26">
        <v>1</v>
      </c>
      <c r="S2805" s="26">
        <v>3</v>
      </c>
      <c r="T2805" s="26">
        <v>8</v>
      </c>
      <c r="U2805" s="26">
        <v>12</v>
      </c>
      <c r="V2805" s="26">
        <v>1</v>
      </c>
      <c r="W2805" s="26"/>
    </row>
    <row r="2806" spans="1:23" x14ac:dyDescent="0.25">
      <c r="A2806" s="26" t="str">
        <f t="shared" si="558"/>
        <v>PREESCOLAR</v>
      </c>
      <c r="B2806" s="26" t="str">
        <f>"09PJN5414J"</f>
        <v>09PJN5414J</v>
      </c>
      <c r="C2806" s="26" t="str">
        <f>"ENRIQUE ARVIZU AGUADO                                                                               "</f>
        <v xml:space="preserve">ENRIQUE ARVIZU AGUADO                                                                               </v>
      </c>
      <c r="D2806" s="26" t="str">
        <f t="shared" si="556"/>
        <v>MATUTINO</v>
      </c>
      <c r="E2806" s="26" t="str">
        <f>"CALLE 4 NO. 300                                                                 "</f>
        <v xml:space="preserve">CALLE 4 NO. 300                                                                 </v>
      </c>
      <c r="F2806" s="26" t="str">
        <f>"AGRICOLA PANTITLAN                                                                                                                          "</f>
        <v xml:space="preserve">AGRICOLA PANTITLAN                                                                                                                          </v>
      </c>
      <c r="G2806" s="26" t="str">
        <f>"IZTACALCO                                                                       "</f>
        <v xml:space="preserve">IZTACALCO                                                                       </v>
      </c>
      <c r="H2806" s="26" t="str">
        <f>"241"</f>
        <v>241</v>
      </c>
      <c r="I2806" s="26" t="str">
        <f t="shared" si="559"/>
        <v>00</v>
      </c>
      <c r="J2806" s="26" t="str">
        <f>"33 "</f>
        <v xml:space="preserve">33 </v>
      </c>
      <c r="K2806" s="26" t="str">
        <f t="shared" si="553"/>
        <v>EP</v>
      </c>
      <c r="L2806" s="26" t="str">
        <f t="shared" si="554"/>
        <v>DGOSE</v>
      </c>
      <c r="M2806" s="26" t="str">
        <f t="shared" si="557"/>
        <v>PARTICULAR</v>
      </c>
      <c r="N2806" s="26">
        <v>4</v>
      </c>
      <c r="O2806" s="26">
        <v>4</v>
      </c>
      <c r="P2806" s="26">
        <v>0</v>
      </c>
      <c r="Q2806" s="26">
        <v>2</v>
      </c>
      <c r="R2806" s="26">
        <v>1</v>
      </c>
      <c r="S2806" s="26">
        <v>1</v>
      </c>
      <c r="T2806" s="26">
        <v>5</v>
      </c>
      <c r="U2806" s="26">
        <v>7</v>
      </c>
      <c r="V2806" s="26">
        <v>1</v>
      </c>
      <c r="W2806" s="26"/>
    </row>
    <row r="2807" spans="1:23" x14ac:dyDescent="0.25">
      <c r="A2807" s="26" t="str">
        <f t="shared" si="558"/>
        <v>PREESCOLAR</v>
      </c>
      <c r="B2807" s="26" t="str">
        <f>"09PJN5416H"</f>
        <v>09PJN5416H</v>
      </c>
      <c r="C2807" s="26" t="str">
        <f>"CENTRO DE EDUCACION INTEGRAL ANTON MAKARENKO                                                        "</f>
        <v xml:space="preserve">CENTRO DE EDUCACION INTEGRAL ANTON MAKARENKO                                                        </v>
      </c>
      <c r="D2807" s="26" t="str">
        <f t="shared" si="556"/>
        <v>MATUTINO</v>
      </c>
      <c r="E2807" s="26" t="str">
        <f>"J.ALVAREZ SUPER MZA. 1 S/N.MZA.5-A LT.II                                        "</f>
        <v xml:space="preserve">J.ALVAREZ SUPER MZA. 1 S/N.MZA.5-A LT.II                                        </v>
      </c>
      <c r="F2807" s="26" t="str">
        <f>"BENITO JUAREZ  FRACCIONAMIENTO                                                                                                              "</f>
        <v xml:space="preserve">BENITO JUAREZ  FRACCIONAMIENTO                                                                                                              </v>
      </c>
      <c r="G2807" s="26" t="str">
        <f>"IZTACALCO                                                                       "</f>
        <v xml:space="preserve">IZTACALCO                                                                       </v>
      </c>
      <c r="H2807" s="26" t="str">
        <f>"238"</f>
        <v>238</v>
      </c>
      <c r="I2807" s="26" t="str">
        <f t="shared" si="559"/>
        <v>00</v>
      </c>
      <c r="J2807" s="26" t="str">
        <f>"33 "</f>
        <v xml:space="preserve">33 </v>
      </c>
      <c r="K2807" s="26" t="str">
        <f t="shared" si="553"/>
        <v>EP</v>
      </c>
      <c r="L2807" s="26" t="str">
        <f t="shared" si="554"/>
        <v>DGOSE</v>
      </c>
      <c r="M2807" s="26" t="str">
        <f t="shared" si="557"/>
        <v>PARTICULAR</v>
      </c>
      <c r="N2807" s="26">
        <v>15</v>
      </c>
      <c r="O2807" s="26">
        <v>8</v>
      </c>
      <c r="P2807" s="26">
        <v>7</v>
      </c>
      <c r="Q2807" s="26">
        <v>2</v>
      </c>
      <c r="R2807" s="26">
        <v>1</v>
      </c>
      <c r="S2807" s="26">
        <v>2</v>
      </c>
      <c r="T2807" s="26">
        <v>1</v>
      </c>
      <c r="U2807" s="26">
        <v>4</v>
      </c>
      <c r="V2807" s="26">
        <v>1</v>
      </c>
      <c r="W2807" s="26"/>
    </row>
    <row r="2808" spans="1:23" x14ac:dyDescent="0.25">
      <c r="A2808" s="26" t="str">
        <f t="shared" si="558"/>
        <v>PREESCOLAR</v>
      </c>
      <c r="B2808" s="26" t="str">
        <f>"09PJN5417G"</f>
        <v>09PJN5417G</v>
      </c>
      <c r="C2808" s="26" t="str">
        <f>"CENTRO ESCOLAR CANADIENSE PREESCOLAR                                                                "</f>
        <v xml:space="preserve">CENTRO ESCOLAR CANADIENSE PREESCOLAR                                                                </v>
      </c>
      <c r="D2808" s="26" t="str">
        <f t="shared" si="556"/>
        <v>MATUTINO</v>
      </c>
      <c r="E2808" s="26" t="str">
        <f>"ORIENTE 217 NO. 20                                                              "</f>
        <v xml:space="preserve">ORIENTE 217 NO. 20                                                              </v>
      </c>
      <c r="F2808" s="26" t="str">
        <f>"CUCHILLA AGRICOLA ORIENTAL                                                                                                                  "</f>
        <v xml:space="preserve">CUCHILLA AGRICOLA ORIENTAL                                                                                                                  </v>
      </c>
      <c r="G2808" s="26" t="str">
        <f>"IZTACALCO                                                                       "</f>
        <v xml:space="preserve">IZTACALCO                                                                       </v>
      </c>
      <c r="H2808" s="26" t="str">
        <f>"236"</f>
        <v>236</v>
      </c>
      <c r="I2808" s="26" t="str">
        <f t="shared" si="559"/>
        <v>00</v>
      </c>
      <c r="J2808" s="26" t="str">
        <f>"33 "</f>
        <v xml:space="preserve">33 </v>
      </c>
      <c r="K2808" s="26" t="str">
        <f t="shared" ref="K2808:K2809" si="562">"EP"</f>
        <v>EP</v>
      </c>
      <c r="L2808" s="26" t="str">
        <f t="shared" ref="L2808:L2809" si="563">"DGOSE"</f>
        <v>DGOSE</v>
      </c>
      <c r="M2808" s="26" t="str">
        <f t="shared" si="557"/>
        <v>PARTICULAR</v>
      </c>
      <c r="N2808" s="26">
        <v>34</v>
      </c>
      <c r="O2808" s="26">
        <v>15</v>
      </c>
      <c r="P2808" s="26">
        <v>19</v>
      </c>
      <c r="Q2808" s="26">
        <v>3</v>
      </c>
      <c r="R2808" s="26">
        <v>1</v>
      </c>
      <c r="S2808" s="26">
        <v>3</v>
      </c>
      <c r="T2808" s="26">
        <v>5</v>
      </c>
      <c r="U2808" s="26">
        <v>9</v>
      </c>
      <c r="V2808" s="26">
        <v>1</v>
      </c>
      <c r="W2808" s="26"/>
    </row>
    <row r="2809" spans="1:23" x14ac:dyDescent="0.25">
      <c r="A2809" s="26" t="str">
        <f t="shared" si="558"/>
        <v>PREESCOLAR</v>
      </c>
      <c r="B2809" s="26" t="str">
        <f>"09PJN5418F"</f>
        <v>09PJN5418F</v>
      </c>
      <c r="C2809" s="26" t="str">
        <f>"OLLIN PILLI                                                                                         "</f>
        <v xml:space="preserve">OLLIN PILLI                                                                                         </v>
      </c>
      <c r="D2809" s="26" t="str">
        <f t="shared" si="556"/>
        <v>MATUTINO</v>
      </c>
      <c r="E2809" s="26" t="str">
        <f>"MEDUSA NO. 26                                                                   "</f>
        <v xml:space="preserve">MEDUSA NO. 26                                                                   </v>
      </c>
      <c r="F2809" s="26" t="str">
        <f>"DEL MAR                                                                                                                                     "</f>
        <v xml:space="preserve">DEL MAR                                                                                                                                     </v>
      </c>
      <c r="G2809" s="26" t="str">
        <f>"TLAHUAC                                                                         "</f>
        <v xml:space="preserve">TLAHUAC                                                                         </v>
      </c>
      <c r="H2809" s="26" t="str">
        <f>"244"</f>
        <v>244</v>
      </c>
      <c r="I2809" s="26" t="str">
        <f t="shared" si="559"/>
        <v>00</v>
      </c>
      <c r="J2809" s="26" t="str">
        <f>"35 "</f>
        <v xml:space="preserve">35 </v>
      </c>
      <c r="K2809" s="26" t="str">
        <f t="shared" si="562"/>
        <v>EP</v>
      </c>
      <c r="L2809" s="26" t="str">
        <f t="shared" si="563"/>
        <v>DGOSE</v>
      </c>
      <c r="M2809" s="26" t="str">
        <f t="shared" si="557"/>
        <v>PARTICULAR</v>
      </c>
      <c r="N2809" s="26">
        <v>12</v>
      </c>
      <c r="O2809" s="26">
        <v>7</v>
      </c>
      <c r="P2809" s="26">
        <v>5</v>
      </c>
      <c r="Q2809" s="26">
        <v>3</v>
      </c>
      <c r="R2809" s="26">
        <v>1</v>
      </c>
      <c r="S2809" s="26">
        <v>3</v>
      </c>
      <c r="T2809" s="26">
        <v>1</v>
      </c>
      <c r="U2809" s="26">
        <v>5</v>
      </c>
      <c r="V2809" s="26">
        <v>1</v>
      </c>
      <c r="W2809" s="26"/>
    </row>
    <row r="2810" spans="1:23" x14ac:dyDescent="0.25">
      <c r="A2810" s="26" t="str">
        <f t="shared" si="558"/>
        <v>PREESCOLAR</v>
      </c>
      <c r="B2810" s="26" t="str">
        <f>"09PJN5424Q"</f>
        <v>09PJN5424Q</v>
      </c>
      <c r="C2810" s="26" t="str">
        <f>"ANDRE CHENIER II                                                                                    "</f>
        <v xml:space="preserve">ANDRE CHENIER II                                                                                    </v>
      </c>
      <c r="D2810" s="26" t="str">
        <f t="shared" si="556"/>
        <v>MATUTINO</v>
      </c>
      <c r="E2810" s="26" t="s">
        <v>118</v>
      </c>
      <c r="F2810" s="26" t="str">
        <f>"LEYES DE REFORMA                                                                                                                            "</f>
        <v xml:space="preserve">LEYES DE REFORMA                                                                                                                            </v>
      </c>
      <c r="G2810" s="26" t="str">
        <f>"IZTAPALAPA                                                                      "</f>
        <v xml:space="preserve">IZTAPALAPA                                                                      </v>
      </c>
      <c r="H2810" s="26" t="str">
        <f>"000"</f>
        <v>000</v>
      </c>
      <c r="I2810" s="26" t="str">
        <f t="shared" si="559"/>
        <v>00</v>
      </c>
      <c r="J2810" s="26" t="str">
        <f>"62 "</f>
        <v xml:space="preserve">62 </v>
      </c>
      <c r="K2810" s="26" t="str">
        <f>"IZ"</f>
        <v>IZ</v>
      </c>
      <c r="L2810" s="26" t="str">
        <f>"DGSEI"</f>
        <v>DGSEI</v>
      </c>
      <c r="M2810" s="26" t="str">
        <f t="shared" si="557"/>
        <v>PARTICULAR</v>
      </c>
      <c r="N2810" s="26">
        <v>27</v>
      </c>
      <c r="O2810" s="26">
        <v>18</v>
      </c>
      <c r="P2810" s="26">
        <v>9</v>
      </c>
      <c r="Q2810" s="26">
        <v>3</v>
      </c>
      <c r="R2810" s="26">
        <v>1</v>
      </c>
      <c r="S2810" s="26">
        <v>2</v>
      </c>
      <c r="T2810" s="26">
        <v>2</v>
      </c>
      <c r="U2810" s="26">
        <v>5</v>
      </c>
      <c r="V2810" s="26">
        <v>1</v>
      </c>
      <c r="W2810" s="26"/>
    </row>
    <row r="2811" spans="1:23" x14ac:dyDescent="0.25">
      <c r="A2811" s="26" t="str">
        <f t="shared" si="558"/>
        <v>PREESCOLAR</v>
      </c>
      <c r="B2811" s="26" t="str">
        <f>"09PJN5426O"</f>
        <v>09PJN5426O</v>
      </c>
      <c r="C2811" s="26" t="str">
        <f>"INTER KID S                                                                                         "</f>
        <v xml:space="preserve">INTER KID S                                                                                         </v>
      </c>
      <c r="D2811" s="26" t="str">
        <f t="shared" si="556"/>
        <v>MATUTINO</v>
      </c>
      <c r="E2811" s="26" t="str">
        <f>"CRISANTEMO MZ. 67 LT. 12                                                        "</f>
        <v xml:space="preserve">CRISANTEMO MZ. 67 LT. 12                                                        </v>
      </c>
      <c r="F2811" s="26" t="str">
        <f>"LOMAS SAN LORENZO                                                                                                                           "</f>
        <v xml:space="preserve">LOMAS SAN LORENZO                                                                                                                           </v>
      </c>
      <c r="G2811" s="26" t="str">
        <f>"IZTAPALAPA                                                                      "</f>
        <v xml:space="preserve">IZTAPALAPA                                                                      </v>
      </c>
      <c r="H2811" s="26" t="str">
        <f>"000"</f>
        <v>000</v>
      </c>
      <c r="I2811" s="26" t="str">
        <f t="shared" si="559"/>
        <v>00</v>
      </c>
      <c r="J2811" s="26" t="str">
        <f>"63 "</f>
        <v xml:space="preserve">63 </v>
      </c>
      <c r="K2811" s="26" t="str">
        <f>"IZ"</f>
        <v>IZ</v>
      </c>
      <c r="L2811" s="26" t="str">
        <f>"DGSEI"</f>
        <v>DGSEI</v>
      </c>
      <c r="M2811" s="26" t="str">
        <f t="shared" si="557"/>
        <v>PARTICULAR</v>
      </c>
      <c r="N2811" s="26">
        <v>22</v>
      </c>
      <c r="O2811" s="26">
        <v>13</v>
      </c>
      <c r="P2811" s="26">
        <v>9</v>
      </c>
      <c r="Q2811" s="26">
        <v>3</v>
      </c>
      <c r="R2811" s="26">
        <v>1</v>
      </c>
      <c r="S2811" s="26">
        <v>2</v>
      </c>
      <c r="T2811" s="26">
        <v>3</v>
      </c>
      <c r="U2811" s="26">
        <v>6</v>
      </c>
      <c r="V2811" s="26">
        <v>1</v>
      </c>
      <c r="W2811" s="26"/>
    </row>
    <row r="2812" spans="1:23" x14ac:dyDescent="0.25">
      <c r="A2812" s="26" t="str">
        <f t="shared" si="558"/>
        <v>PREESCOLAR</v>
      </c>
      <c r="B2812" s="26" t="str">
        <f>"09PJN5429L"</f>
        <v>09PJN5429L</v>
      </c>
      <c r="C2812" s="26" t="str">
        <f>"JARDIN DE NIÑOS MAICO                                                                               "</f>
        <v xml:space="preserve">JARDIN DE NIÑOS MAICO                                                                               </v>
      </c>
      <c r="D2812" s="26" t="str">
        <f t="shared" si="556"/>
        <v>MATUTINO</v>
      </c>
      <c r="E2812" s="26" t="str">
        <f>"TEPETLAPA NO. 1147                                                              "</f>
        <v xml:space="preserve">TEPETLAPA NO. 1147                                                              </v>
      </c>
      <c r="F2812" s="26" t="str">
        <f>"LOS CEDROS                                                                                                                                  "</f>
        <v xml:space="preserve">LOS CEDROS                                                                                                                                  </v>
      </c>
      <c r="G2812" s="26" t="str">
        <f>"COYOACAN                                                                        "</f>
        <v xml:space="preserve">COYOACAN                                                                        </v>
      </c>
      <c r="H2812" s="26" t="str">
        <f>"099"</f>
        <v>099</v>
      </c>
      <c r="I2812" s="26" t="str">
        <f t="shared" si="559"/>
        <v>00</v>
      </c>
      <c r="J2812" s="26" t="str">
        <f>"35 "</f>
        <v xml:space="preserve">35 </v>
      </c>
      <c r="K2812" s="26" t="str">
        <f t="shared" ref="K2812:K2830" si="564">"EP"</f>
        <v>EP</v>
      </c>
      <c r="L2812" s="26" t="str">
        <f t="shared" ref="L2812:L2830" si="565">"DGOSE"</f>
        <v>DGOSE</v>
      </c>
      <c r="M2812" s="26" t="str">
        <f t="shared" si="557"/>
        <v>PARTICULAR</v>
      </c>
      <c r="N2812" s="26">
        <v>17</v>
      </c>
      <c r="O2812" s="26">
        <v>11</v>
      </c>
      <c r="P2812" s="26">
        <v>6</v>
      </c>
      <c r="Q2812" s="26">
        <v>3</v>
      </c>
      <c r="R2812" s="26">
        <v>1</v>
      </c>
      <c r="S2812" s="26">
        <v>2</v>
      </c>
      <c r="T2812" s="26">
        <v>3</v>
      </c>
      <c r="U2812" s="26">
        <v>6</v>
      </c>
      <c r="V2812" s="26">
        <v>1</v>
      </c>
      <c r="W2812" s="26"/>
    </row>
    <row r="2813" spans="1:23" x14ac:dyDescent="0.25">
      <c r="A2813" s="26" t="str">
        <f t="shared" si="558"/>
        <v>PREESCOLAR</v>
      </c>
      <c r="B2813" s="26" t="str">
        <f>"09PJN5430A"</f>
        <v>09PJN5430A</v>
      </c>
      <c r="C2813" s="26" t="str">
        <f>"COLEGIO GABRIEL GARCIA MARQUEZ                                                                      "</f>
        <v xml:space="preserve">COLEGIO GABRIEL GARCIA MARQUEZ                                                                      </v>
      </c>
      <c r="D2813" s="26" t="str">
        <f t="shared" si="556"/>
        <v>MATUTINO</v>
      </c>
      <c r="E2813" s="26" t="str">
        <f>"AV. TLAHUAC NO. 8440                                                            "</f>
        <v xml:space="preserve">AV. TLAHUAC NO. 8440                                                            </v>
      </c>
      <c r="F2813" s="26" t="str">
        <f>"LOS REYES                                                                                                                                   "</f>
        <v xml:space="preserve">LOS REYES                                                                                                                                   </v>
      </c>
      <c r="G2813" s="26" t="str">
        <f>"TLAHUAC                                                                         "</f>
        <v xml:space="preserve">TLAHUAC                                                                         </v>
      </c>
      <c r="H2813" s="26" t="str">
        <f>"083"</f>
        <v>083</v>
      </c>
      <c r="I2813" s="26" t="str">
        <f t="shared" si="559"/>
        <v>00</v>
      </c>
      <c r="J2813" s="26" t="str">
        <f>"35 "</f>
        <v xml:space="preserve">35 </v>
      </c>
      <c r="K2813" s="26" t="str">
        <f t="shared" si="564"/>
        <v>EP</v>
      </c>
      <c r="L2813" s="26" t="str">
        <f t="shared" si="565"/>
        <v>DGOSE</v>
      </c>
      <c r="M2813" s="26" t="str">
        <f t="shared" si="557"/>
        <v>PARTICULAR</v>
      </c>
      <c r="N2813" s="26">
        <v>37</v>
      </c>
      <c r="O2813" s="26">
        <v>19</v>
      </c>
      <c r="P2813" s="26">
        <v>18</v>
      </c>
      <c r="Q2813" s="26">
        <v>4</v>
      </c>
      <c r="R2813" s="26">
        <v>1</v>
      </c>
      <c r="S2813" s="26">
        <v>3</v>
      </c>
      <c r="T2813" s="26">
        <v>7</v>
      </c>
      <c r="U2813" s="26">
        <v>11</v>
      </c>
      <c r="V2813" s="26">
        <v>1</v>
      </c>
      <c r="W2813" s="26"/>
    </row>
    <row r="2814" spans="1:23" x14ac:dyDescent="0.25">
      <c r="A2814" s="26" t="str">
        <f t="shared" si="558"/>
        <v>PREESCOLAR</v>
      </c>
      <c r="B2814" s="26" t="str">
        <f>"09PJN5431Z"</f>
        <v>09PJN5431Z</v>
      </c>
      <c r="C2814" s="26" t="str">
        <f>"EDUCACION Y DESARROLLO DEL INFANTE                                                                  "</f>
        <v xml:space="preserve">EDUCACION Y DESARROLLO DEL INFANTE                                                                  </v>
      </c>
      <c r="D2814" s="26" t="str">
        <f t="shared" si="556"/>
        <v>MATUTINO</v>
      </c>
      <c r="E2814" s="26" t="str">
        <f>"MANUEL GUTIERREZ ZAMORA NO. 19                                                  "</f>
        <v xml:space="preserve">MANUEL GUTIERREZ ZAMORA NO. 19                                                  </v>
      </c>
      <c r="F2814" s="26" t="str">
        <f>"LAS AGUILAS                                                                                                                                 "</f>
        <v xml:space="preserve">LAS AGUILAS                                                                                                                                 </v>
      </c>
      <c r="G2814" s="26" t="str">
        <f>"ALVARO OBREGON                                                                  "</f>
        <v xml:space="preserve">ALVARO OBREGON                                                                  </v>
      </c>
      <c r="H2814" s="26" t="str">
        <f>"217"</f>
        <v>217</v>
      </c>
      <c r="I2814" s="26" t="str">
        <f t="shared" si="559"/>
        <v>00</v>
      </c>
      <c r="J2814" s="26" t="str">
        <f>"33 "</f>
        <v xml:space="preserve">33 </v>
      </c>
      <c r="K2814" s="26" t="str">
        <f t="shared" si="564"/>
        <v>EP</v>
      </c>
      <c r="L2814" s="26" t="str">
        <f t="shared" si="565"/>
        <v>DGOSE</v>
      </c>
      <c r="M2814" s="26" t="str">
        <f t="shared" si="557"/>
        <v>PARTICULAR</v>
      </c>
      <c r="N2814" s="26">
        <v>22</v>
      </c>
      <c r="O2814" s="26">
        <v>13</v>
      </c>
      <c r="P2814" s="26">
        <v>9</v>
      </c>
      <c r="Q2814" s="26">
        <v>3</v>
      </c>
      <c r="R2814" s="26">
        <v>1</v>
      </c>
      <c r="S2814" s="26">
        <v>3</v>
      </c>
      <c r="T2814" s="26">
        <v>12</v>
      </c>
      <c r="U2814" s="26">
        <v>16</v>
      </c>
      <c r="V2814" s="26">
        <v>1</v>
      </c>
      <c r="W2814" s="26"/>
    </row>
    <row r="2815" spans="1:23" x14ac:dyDescent="0.25">
      <c r="A2815" s="26" t="str">
        <f t="shared" si="558"/>
        <v>PREESCOLAR</v>
      </c>
      <c r="B2815" s="26" t="str">
        <f>"09PJN5432Z"</f>
        <v>09PJN5432Z</v>
      </c>
      <c r="C2815" s="26" t="str">
        <f>"OVIDIO DECROLY JARDIN DE NIÑOS                                                                      "</f>
        <v xml:space="preserve">OVIDIO DECROLY JARDIN DE NIÑOS                                                                      </v>
      </c>
      <c r="D2815" s="26" t="str">
        <f t="shared" ref="D2815:D2831" si="566">"MATUTINO"</f>
        <v>MATUTINO</v>
      </c>
      <c r="E2815" s="26" t="str">
        <f>"PLATANALES NO. 165                                                              "</f>
        <v xml:space="preserve">PLATANALES NO. 165                                                              </v>
      </c>
      <c r="F2815" s="26" t="str">
        <f>"NUEVA SANTA MARIA                                                                                                                           "</f>
        <v xml:space="preserve">NUEVA SANTA MARIA                                                                                                                           </v>
      </c>
      <c r="G2815" s="26" t="str">
        <f>"AZCAPOTZALCO                                                                    "</f>
        <v xml:space="preserve">AZCAPOTZALCO                                                                    </v>
      </c>
      <c r="H2815" s="26" t="str">
        <f>"189"</f>
        <v>189</v>
      </c>
      <c r="I2815" s="26" t="str">
        <f t="shared" si="559"/>
        <v>00</v>
      </c>
      <c r="J2815" s="26" t="str">
        <f>"32 "</f>
        <v xml:space="preserve">32 </v>
      </c>
      <c r="K2815" s="26" t="str">
        <f t="shared" si="564"/>
        <v>EP</v>
      </c>
      <c r="L2815" s="26" t="str">
        <f t="shared" si="565"/>
        <v>DGOSE</v>
      </c>
      <c r="M2815" s="26" t="str">
        <f t="shared" ref="M2815:M2878" si="567">"PARTICULAR"</f>
        <v>PARTICULAR</v>
      </c>
      <c r="N2815" s="26">
        <v>17</v>
      </c>
      <c r="O2815" s="26">
        <v>11</v>
      </c>
      <c r="P2815" s="26">
        <v>6</v>
      </c>
      <c r="Q2815" s="26">
        <v>3</v>
      </c>
      <c r="R2815" s="26">
        <v>1</v>
      </c>
      <c r="S2815" s="26">
        <v>3</v>
      </c>
      <c r="T2815" s="26">
        <v>1</v>
      </c>
      <c r="U2815" s="26">
        <v>5</v>
      </c>
      <c r="V2815" s="26">
        <v>1</v>
      </c>
      <c r="W2815" s="26"/>
    </row>
    <row r="2816" spans="1:23" x14ac:dyDescent="0.25">
      <c r="A2816" s="26" t="str">
        <f t="shared" si="558"/>
        <v>PREESCOLAR</v>
      </c>
      <c r="B2816" s="26" t="str">
        <f>"09PJN5433Y"</f>
        <v>09PJN5433Y</v>
      </c>
      <c r="C2816" s="26" t="str">
        <f>"REINO AMERICANO                                                                                     "</f>
        <v xml:space="preserve">REINO AMERICANO                                                                                     </v>
      </c>
      <c r="D2816" s="26" t="str">
        <f t="shared" si="566"/>
        <v>MATUTINO</v>
      </c>
      <c r="E2816" s="26" t="str">
        <f>"PRIVADA DE ARRAYAN NO. 1                                                        "</f>
        <v xml:space="preserve">PRIVADA DE ARRAYAN NO. 1                                                        </v>
      </c>
      <c r="F2816" s="26" t="str">
        <f>"GARCIMARRERO                                                                                                                                "</f>
        <v xml:space="preserve">GARCIMARRERO                                                                                                                                </v>
      </c>
      <c r="G2816" s="26" t="str">
        <f>"ALVARO OBREGON                                                                  "</f>
        <v xml:space="preserve">ALVARO OBREGON                                                                  </v>
      </c>
      <c r="H2816" s="26" t="str">
        <f>"122"</f>
        <v>122</v>
      </c>
      <c r="I2816" s="26" t="str">
        <f t="shared" si="559"/>
        <v>00</v>
      </c>
      <c r="J2816" s="26" t="str">
        <f>"33 "</f>
        <v xml:space="preserve">33 </v>
      </c>
      <c r="K2816" s="26" t="str">
        <f t="shared" si="564"/>
        <v>EP</v>
      </c>
      <c r="L2816" s="26" t="str">
        <f t="shared" si="565"/>
        <v>DGOSE</v>
      </c>
      <c r="M2816" s="26" t="str">
        <f t="shared" si="567"/>
        <v>PARTICULAR</v>
      </c>
      <c r="N2816" s="26">
        <v>12</v>
      </c>
      <c r="O2816" s="26">
        <v>7</v>
      </c>
      <c r="P2816" s="26">
        <v>5</v>
      </c>
      <c r="Q2816" s="26">
        <v>3</v>
      </c>
      <c r="R2816" s="26">
        <v>1</v>
      </c>
      <c r="S2816" s="26">
        <v>2</v>
      </c>
      <c r="T2816" s="26">
        <v>1</v>
      </c>
      <c r="U2816" s="26">
        <v>4</v>
      </c>
      <c r="V2816" s="26">
        <v>1</v>
      </c>
      <c r="W2816" s="26"/>
    </row>
    <row r="2817" spans="1:23" x14ac:dyDescent="0.25">
      <c r="A2817" s="26" t="str">
        <f t="shared" si="558"/>
        <v>PREESCOLAR</v>
      </c>
      <c r="B2817" s="26" t="str">
        <f>"09PJN5434X"</f>
        <v>09PJN5434X</v>
      </c>
      <c r="C2817" s="26" t="str">
        <f>"BABY BEE                                                                                            "</f>
        <v xml:space="preserve">BABY BEE                                                                                            </v>
      </c>
      <c r="D2817" s="26" t="str">
        <f t="shared" si="566"/>
        <v>MATUTINO</v>
      </c>
      <c r="E2817" s="26" t="str">
        <f>"LERDO DE TEJADA NO. 79                                                          "</f>
        <v xml:space="preserve">LERDO DE TEJADA NO. 79                                                          </v>
      </c>
      <c r="F2817" s="26" t="str">
        <f>"GUADALUPE INN                                                                                                                               "</f>
        <v xml:space="preserve">GUADALUPE INN                                                                                                                               </v>
      </c>
      <c r="G2817" s="26" t="str">
        <f>"ALVARO OBREGON                                                                  "</f>
        <v xml:space="preserve">ALVARO OBREGON                                                                  </v>
      </c>
      <c r="H2817" s="26" t="str">
        <f>"087"</f>
        <v>087</v>
      </c>
      <c r="I2817" s="26" t="str">
        <f t="shared" si="559"/>
        <v>00</v>
      </c>
      <c r="J2817" s="26" t="str">
        <f>"33 "</f>
        <v xml:space="preserve">33 </v>
      </c>
      <c r="K2817" s="26" t="str">
        <f t="shared" si="564"/>
        <v>EP</v>
      </c>
      <c r="L2817" s="26" t="str">
        <f t="shared" si="565"/>
        <v>DGOSE</v>
      </c>
      <c r="M2817" s="26" t="str">
        <f t="shared" si="567"/>
        <v>PARTICULAR</v>
      </c>
      <c r="N2817" s="26">
        <v>34</v>
      </c>
      <c r="O2817" s="26">
        <v>21</v>
      </c>
      <c r="P2817" s="26">
        <v>13</v>
      </c>
      <c r="Q2817" s="26">
        <v>4</v>
      </c>
      <c r="R2817" s="26">
        <v>1</v>
      </c>
      <c r="S2817" s="26">
        <v>2</v>
      </c>
      <c r="T2817" s="26">
        <v>13</v>
      </c>
      <c r="U2817" s="26">
        <v>16</v>
      </c>
      <c r="V2817" s="26">
        <v>1</v>
      </c>
      <c r="W2817" s="26"/>
    </row>
    <row r="2818" spans="1:23" x14ac:dyDescent="0.25">
      <c r="A2818" s="26" t="str">
        <f t="shared" ref="A2818:A2881" si="568">"PREESCOLAR"</f>
        <v>PREESCOLAR</v>
      </c>
      <c r="B2818" s="26" t="str">
        <f>"09PJN5436V"</f>
        <v>09PJN5436V</v>
      </c>
      <c r="C2818" s="26" t="str">
        <f>"COLEGIO VERSALLES                                                                                   "</f>
        <v xml:space="preserve">COLEGIO VERSALLES                                                                                   </v>
      </c>
      <c r="D2818" s="26" t="str">
        <f t="shared" si="566"/>
        <v>MATUTINO</v>
      </c>
      <c r="E2818" s="26" t="str">
        <f>"CALZADA DE LAS  DE LAS AGUILAS NO. 1499                                         "</f>
        <v xml:space="preserve">CALZADA DE LAS  DE LAS AGUILAS NO. 1499                                         </v>
      </c>
      <c r="F2818" s="26" t="str">
        <f>"LOMAS DE LAS AGUILAS                                                                                                                        "</f>
        <v xml:space="preserve">LOMAS DE LAS AGUILAS                                                                                                                        </v>
      </c>
      <c r="G2818" s="26" t="str">
        <f>"ALVARO OBREGON                                                                  "</f>
        <v xml:space="preserve">ALVARO OBREGON                                                                  </v>
      </c>
      <c r="H2818" s="26" t="str">
        <f>"215"</f>
        <v>215</v>
      </c>
      <c r="I2818" s="26" t="str">
        <f t="shared" ref="I2818:I2881" si="569">"00"</f>
        <v>00</v>
      </c>
      <c r="J2818" s="26" t="str">
        <f>"33 "</f>
        <v xml:space="preserve">33 </v>
      </c>
      <c r="K2818" s="26" t="str">
        <f t="shared" si="564"/>
        <v>EP</v>
      </c>
      <c r="L2818" s="26" t="str">
        <f t="shared" si="565"/>
        <v>DGOSE</v>
      </c>
      <c r="M2818" s="26" t="str">
        <f t="shared" si="567"/>
        <v>PARTICULAR</v>
      </c>
      <c r="N2818" s="26">
        <v>25</v>
      </c>
      <c r="O2818" s="26">
        <v>13</v>
      </c>
      <c r="P2818" s="26">
        <v>12</v>
      </c>
      <c r="Q2818" s="26">
        <v>3</v>
      </c>
      <c r="R2818" s="26">
        <v>1</v>
      </c>
      <c r="S2818" s="26">
        <v>2</v>
      </c>
      <c r="T2818" s="26">
        <v>4</v>
      </c>
      <c r="U2818" s="26">
        <v>7</v>
      </c>
      <c r="V2818" s="26">
        <v>1</v>
      </c>
      <c r="W2818" s="26"/>
    </row>
    <row r="2819" spans="1:23" x14ac:dyDescent="0.25">
      <c r="A2819" s="26" t="str">
        <f t="shared" si="568"/>
        <v>PREESCOLAR</v>
      </c>
      <c r="B2819" s="26" t="str">
        <f>"09PJN5437U"</f>
        <v>09PJN5437U</v>
      </c>
      <c r="C2819" s="26" t="str">
        <f>"KREATY KIDS                                                                                         "</f>
        <v xml:space="preserve">KREATY KIDS                                                                                         </v>
      </c>
      <c r="D2819" s="26" t="str">
        <f t="shared" si="566"/>
        <v>MATUTINO</v>
      </c>
      <c r="E2819" s="26" t="str">
        <f>"CERRADA DE TECAMACHALCO NO. 114                                                 "</f>
        <v xml:space="preserve">CERRADA DE TECAMACHALCO NO. 114                                                 </v>
      </c>
      <c r="F2819" s="26" t="str">
        <f>"REFORMA SOCIAL                                                                                                                              "</f>
        <v xml:space="preserve">REFORMA SOCIAL                                                                                                                              </v>
      </c>
      <c r="G2819" s="26" t="str">
        <f>"MIGUEL HIDALGO                                                                  "</f>
        <v xml:space="preserve">MIGUEL HIDALGO                                                                  </v>
      </c>
      <c r="H2819" s="26" t="str">
        <f>"014"</f>
        <v>014</v>
      </c>
      <c r="I2819" s="26" t="str">
        <f t="shared" si="569"/>
        <v>00</v>
      </c>
      <c r="J2819" s="26" t="str">
        <f>"32 "</f>
        <v xml:space="preserve">32 </v>
      </c>
      <c r="K2819" s="26" t="str">
        <f t="shared" si="564"/>
        <v>EP</v>
      </c>
      <c r="L2819" s="26" t="str">
        <f t="shared" si="565"/>
        <v>DGOSE</v>
      </c>
      <c r="M2819" s="26" t="str">
        <f t="shared" si="567"/>
        <v>PARTICULAR</v>
      </c>
      <c r="N2819" s="26">
        <v>15</v>
      </c>
      <c r="O2819" s="26">
        <v>8</v>
      </c>
      <c r="P2819" s="26">
        <v>7</v>
      </c>
      <c r="Q2819" s="26">
        <v>2</v>
      </c>
      <c r="R2819" s="26">
        <v>1</v>
      </c>
      <c r="S2819" s="26">
        <v>2</v>
      </c>
      <c r="T2819" s="26">
        <v>3</v>
      </c>
      <c r="U2819" s="26">
        <v>6</v>
      </c>
      <c r="V2819" s="26">
        <v>1</v>
      </c>
      <c r="W2819" s="26"/>
    </row>
    <row r="2820" spans="1:23" x14ac:dyDescent="0.25">
      <c r="A2820" s="26" t="str">
        <f t="shared" si="568"/>
        <v>PREESCOLAR</v>
      </c>
      <c r="B2820" s="26" t="str">
        <f>"09PJN5438T"</f>
        <v>09PJN5438T</v>
      </c>
      <c r="C2820" s="26" t="str">
        <f>"ANDERSON'S KINDERGARDEN                                                                             "</f>
        <v xml:space="preserve">ANDERSON'S KINDERGARDEN                                                                             </v>
      </c>
      <c r="D2820" s="26" t="str">
        <f t="shared" si="566"/>
        <v>MATUTINO</v>
      </c>
      <c r="E2820" s="26" t="str">
        <f>"XOCHICALCO NO. 720                                                              "</f>
        <v xml:space="preserve">XOCHICALCO NO. 720                                                              </v>
      </c>
      <c r="F2820" s="26" t="str">
        <f>"LETRAN VALLE                                                                                                                                "</f>
        <v xml:space="preserve">LETRAN VALLE                                                                                                                                </v>
      </c>
      <c r="G2820" s="26" t="str">
        <f>"BENITO JUAREZ                                                                   "</f>
        <v xml:space="preserve">BENITO JUAREZ                                                                   </v>
      </c>
      <c r="H2820" s="26" t="str">
        <f>"090"</f>
        <v>090</v>
      </c>
      <c r="I2820" s="26" t="str">
        <f t="shared" si="569"/>
        <v>00</v>
      </c>
      <c r="J2820" s="26" t="str">
        <f>"33 "</f>
        <v xml:space="preserve">33 </v>
      </c>
      <c r="K2820" s="26" t="str">
        <f t="shared" si="564"/>
        <v>EP</v>
      </c>
      <c r="L2820" s="26" t="str">
        <f t="shared" si="565"/>
        <v>DGOSE</v>
      </c>
      <c r="M2820" s="26" t="str">
        <f t="shared" si="567"/>
        <v>PARTICULAR</v>
      </c>
      <c r="N2820" s="26">
        <v>34</v>
      </c>
      <c r="O2820" s="26">
        <v>17</v>
      </c>
      <c r="P2820" s="26">
        <v>17</v>
      </c>
      <c r="Q2820" s="26">
        <v>3</v>
      </c>
      <c r="R2820" s="26">
        <v>1</v>
      </c>
      <c r="S2820" s="26">
        <v>3</v>
      </c>
      <c r="T2820" s="26">
        <v>5</v>
      </c>
      <c r="U2820" s="26">
        <v>9</v>
      </c>
      <c r="V2820" s="26">
        <v>1</v>
      </c>
      <c r="W2820" s="26"/>
    </row>
    <row r="2821" spans="1:23" x14ac:dyDescent="0.25">
      <c r="A2821" s="26" t="str">
        <f t="shared" si="568"/>
        <v>PREESCOLAR</v>
      </c>
      <c r="B2821" s="26" t="str">
        <f>"09PJN5439S"</f>
        <v>09PJN5439S</v>
      </c>
      <c r="C2821" s="26" t="str">
        <f>"INSTITUTO PEDAGOGICO PAIDOS                                                                         "</f>
        <v xml:space="preserve">INSTITUTO PEDAGOGICO PAIDOS                                                                         </v>
      </c>
      <c r="D2821" s="26" t="str">
        <f t="shared" si="566"/>
        <v>MATUTINO</v>
      </c>
      <c r="E2821" s="26" t="str">
        <f>"ENRIQUE REBSAMEN NO. 721                                                        "</f>
        <v xml:space="preserve">ENRIQUE REBSAMEN NO. 721                                                        </v>
      </c>
      <c r="F2821" s="26" t="str">
        <f>"NARVARTE                                                                                                                                    "</f>
        <v xml:space="preserve">NARVARTE                                                                                                                                    </v>
      </c>
      <c r="G2821" s="26" t="str">
        <f>"BENITO JUAREZ                                                                   "</f>
        <v xml:space="preserve">BENITO JUAREZ                                                                   </v>
      </c>
      <c r="H2821" s="26" t="str">
        <f>"230"</f>
        <v>230</v>
      </c>
      <c r="I2821" s="26" t="str">
        <f t="shared" si="569"/>
        <v>00</v>
      </c>
      <c r="J2821" s="26" t="str">
        <f>"33 "</f>
        <v xml:space="preserve">33 </v>
      </c>
      <c r="K2821" s="26" t="str">
        <f t="shared" si="564"/>
        <v>EP</v>
      </c>
      <c r="L2821" s="26" t="str">
        <f t="shared" si="565"/>
        <v>DGOSE</v>
      </c>
      <c r="M2821" s="26" t="str">
        <f t="shared" si="567"/>
        <v>PARTICULAR</v>
      </c>
      <c r="N2821" s="26">
        <v>24</v>
      </c>
      <c r="O2821" s="26">
        <v>12</v>
      </c>
      <c r="P2821" s="26">
        <v>12</v>
      </c>
      <c r="Q2821" s="26">
        <v>3</v>
      </c>
      <c r="R2821" s="26">
        <v>1</v>
      </c>
      <c r="S2821" s="26">
        <v>3</v>
      </c>
      <c r="T2821" s="26">
        <v>5</v>
      </c>
      <c r="U2821" s="26">
        <v>9</v>
      </c>
      <c r="V2821" s="26">
        <v>1</v>
      </c>
      <c r="W2821" s="26"/>
    </row>
    <row r="2822" spans="1:23" x14ac:dyDescent="0.25">
      <c r="A2822" s="26" t="str">
        <f t="shared" si="568"/>
        <v>PREESCOLAR</v>
      </c>
      <c r="B2822" s="26" t="str">
        <f>"09PJN5440H"</f>
        <v>09PJN5440H</v>
      </c>
      <c r="C2822" s="26" t="str">
        <f>"JUAN RAMON JIMENEZ                                                                                  "</f>
        <v xml:space="preserve">JUAN RAMON JIMENEZ                                                                                  </v>
      </c>
      <c r="D2822" s="26" t="str">
        <f t="shared" si="566"/>
        <v>MATUTINO</v>
      </c>
      <c r="E2822" s="26" t="str">
        <f>"AV. ACUEDUCTO DE GUADALUPE NO. 678                                              "</f>
        <v xml:space="preserve">AV. ACUEDUCTO DE GUADALUPE NO. 678                                              </v>
      </c>
      <c r="F2822" s="26" t="str">
        <f>"SAN PEDRO ZACATENCO                                                                                                                         "</f>
        <v xml:space="preserve">SAN PEDRO ZACATENCO                                                                                                                         </v>
      </c>
      <c r="G2822" s="26" t="str">
        <f>"GUSTAVO A. MADERO                                                               "</f>
        <v xml:space="preserve">GUSTAVO A. MADERO                                                               </v>
      </c>
      <c r="H2822" s="26" t="str">
        <f>"197"</f>
        <v>197</v>
      </c>
      <c r="I2822" s="26" t="str">
        <f t="shared" si="569"/>
        <v>00</v>
      </c>
      <c r="J2822" s="26" t="str">
        <f>"32 "</f>
        <v xml:space="preserve">32 </v>
      </c>
      <c r="K2822" s="26" t="str">
        <f t="shared" si="564"/>
        <v>EP</v>
      </c>
      <c r="L2822" s="26" t="str">
        <f t="shared" si="565"/>
        <v>DGOSE</v>
      </c>
      <c r="M2822" s="26" t="str">
        <f t="shared" si="567"/>
        <v>PARTICULAR</v>
      </c>
      <c r="N2822" s="26">
        <v>66</v>
      </c>
      <c r="O2822" s="26">
        <v>35</v>
      </c>
      <c r="P2822" s="26">
        <v>31</v>
      </c>
      <c r="Q2822" s="26">
        <v>3</v>
      </c>
      <c r="R2822" s="26">
        <v>1</v>
      </c>
      <c r="S2822" s="26">
        <v>3</v>
      </c>
      <c r="T2822" s="26">
        <v>0</v>
      </c>
      <c r="U2822" s="26">
        <v>4</v>
      </c>
      <c r="V2822" s="26">
        <v>1</v>
      </c>
      <c r="W2822" s="26"/>
    </row>
    <row r="2823" spans="1:23" x14ac:dyDescent="0.25">
      <c r="A2823" s="26" t="str">
        <f t="shared" si="568"/>
        <v>PREESCOLAR</v>
      </c>
      <c r="B2823" s="26" t="str">
        <f>"09PJN5442F"</f>
        <v>09PJN5442F</v>
      </c>
      <c r="C2823" s="26" t="str">
        <f>"CENTRO EDUCATIVO NEN LLIURE                                                                         "</f>
        <v xml:space="preserve">CENTRO EDUCATIVO NEN LLIURE                                                                         </v>
      </c>
      <c r="D2823" s="26" t="str">
        <f t="shared" si="566"/>
        <v>MATUTINO</v>
      </c>
      <c r="E2823" s="26" t="str">
        <f>"ALFONSO ESPARZA OTEO NO. 94                                                     "</f>
        <v xml:space="preserve">ALFONSO ESPARZA OTEO NO. 94                                                     </v>
      </c>
      <c r="F2823" s="26" t="str">
        <f>"GUADALUPE INN                                                                                                                               "</f>
        <v xml:space="preserve">GUADALUPE INN                                                                                                                               </v>
      </c>
      <c r="G2823" s="26" t="str">
        <f>"ALVARO OBREGON                                                                  "</f>
        <v xml:space="preserve">ALVARO OBREGON                                                                  </v>
      </c>
      <c r="H2823" s="26" t="str">
        <f>"218"</f>
        <v>218</v>
      </c>
      <c r="I2823" s="26" t="str">
        <f t="shared" si="569"/>
        <v>00</v>
      </c>
      <c r="J2823" s="26" t="str">
        <f>"33 "</f>
        <v xml:space="preserve">33 </v>
      </c>
      <c r="K2823" s="26" t="str">
        <f t="shared" si="564"/>
        <v>EP</v>
      </c>
      <c r="L2823" s="26" t="str">
        <f t="shared" si="565"/>
        <v>DGOSE</v>
      </c>
      <c r="M2823" s="26" t="str">
        <f t="shared" si="567"/>
        <v>PARTICULAR</v>
      </c>
      <c r="N2823" s="26">
        <v>14</v>
      </c>
      <c r="O2823" s="26">
        <v>8</v>
      </c>
      <c r="P2823" s="26">
        <v>6</v>
      </c>
      <c r="Q2823" s="26">
        <v>3</v>
      </c>
      <c r="R2823" s="26">
        <v>1</v>
      </c>
      <c r="S2823" s="26">
        <v>2</v>
      </c>
      <c r="T2823" s="26">
        <v>4</v>
      </c>
      <c r="U2823" s="26">
        <v>7</v>
      </c>
      <c r="V2823" s="26">
        <v>1</v>
      </c>
      <c r="W2823" s="26"/>
    </row>
    <row r="2824" spans="1:23" x14ac:dyDescent="0.25">
      <c r="A2824" s="26" t="str">
        <f t="shared" si="568"/>
        <v>PREESCOLAR</v>
      </c>
      <c r="B2824" s="26" t="str">
        <f>"09PJN5443E"</f>
        <v>09PJN5443E</v>
      </c>
      <c r="C2824" s="26" t="str">
        <f>"JARDÍN DE NIÑOS BILINGUE KIDYWORLD                                                                  "</f>
        <v xml:space="preserve">JARDÍN DE NIÑOS BILINGUE KIDYWORLD                                                                  </v>
      </c>
      <c r="D2824" s="26" t="str">
        <f t="shared" si="566"/>
        <v>MATUTINO</v>
      </c>
      <c r="E2824" s="26" t="str">
        <f>"MIGUEL N. LIRA NO. 241                                                          "</f>
        <v xml:space="preserve">MIGUEL N. LIRA NO. 241                                                          </v>
      </c>
      <c r="F2824" s="26" t="str">
        <f>"IZTACCIHUATL                                                                                                                                "</f>
        <v xml:space="preserve">IZTACCIHUATL                                                                                                                                </v>
      </c>
      <c r="G2824" s="26" t="str">
        <f>"BENITO JUAREZ                                                                   "</f>
        <v xml:space="preserve">BENITO JUAREZ                                                                   </v>
      </c>
      <c r="H2824" s="26" t="str">
        <f>"234"</f>
        <v>234</v>
      </c>
      <c r="I2824" s="26" t="str">
        <f t="shared" si="569"/>
        <v>00</v>
      </c>
      <c r="J2824" s="26" t="str">
        <f>"33 "</f>
        <v xml:space="preserve">33 </v>
      </c>
      <c r="K2824" s="26" t="str">
        <f t="shared" si="564"/>
        <v>EP</v>
      </c>
      <c r="L2824" s="26" t="str">
        <f t="shared" si="565"/>
        <v>DGOSE</v>
      </c>
      <c r="M2824" s="26" t="str">
        <f t="shared" si="567"/>
        <v>PARTICULAR</v>
      </c>
      <c r="N2824" s="26">
        <v>26</v>
      </c>
      <c r="O2824" s="26">
        <v>13</v>
      </c>
      <c r="P2824" s="26">
        <v>13</v>
      </c>
      <c r="Q2824" s="26">
        <v>3</v>
      </c>
      <c r="R2824" s="26">
        <v>1</v>
      </c>
      <c r="S2824" s="26">
        <v>2</v>
      </c>
      <c r="T2824" s="26">
        <v>7</v>
      </c>
      <c r="U2824" s="26">
        <v>10</v>
      </c>
      <c r="V2824" s="26">
        <v>1</v>
      </c>
      <c r="W2824" s="26"/>
    </row>
    <row r="2825" spans="1:23" x14ac:dyDescent="0.25">
      <c r="A2825" s="26" t="str">
        <f t="shared" si="568"/>
        <v>PREESCOLAR</v>
      </c>
      <c r="B2825" s="26" t="str">
        <f>"09PJN5444D"</f>
        <v>09PJN5444D</v>
      </c>
      <c r="C2825" s="26" t="str">
        <f>"COLEGIO ESPIRITU DE CAMPEON                                                                         "</f>
        <v xml:space="preserve">COLEGIO ESPIRITU DE CAMPEON                                                                         </v>
      </c>
      <c r="D2825" s="26" t="str">
        <f t="shared" si="566"/>
        <v>MATUTINO</v>
      </c>
      <c r="E2825" s="26" t="str">
        <f>"SAN RICARDO NO. 118                                                             "</f>
        <v xml:space="preserve">SAN RICARDO NO. 118                                                             </v>
      </c>
      <c r="F2825" s="26" t="str">
        <f>"PEDREGAL DE SANTA URSULA                                                                                                                    "</f>
        <v xml:space="preserve">PEDREGAL DE SANTA URSULA                                                                                                                    </v>
      </c>
      <c r="G2825" s="26" t="str">
        <f>"COYOACAN                                                                        "</f>
        <v xml:space="preserve">COYOACAN                                                                        </v>
      </c>
      <c r="H2825" s="26" t="str">
        <f>"077"</f>
        <v>077</v>
      </c>
      <c r="I2825" s="26" t="str">
        <f t="shared" si="569"/>
        <v>00</v>
      </c>
      <c r="J2825" s="26" t="str">
        <f>"35 "</f>
        <v xml:space="preserve">35 </v>
      </c>
      <c r="K2825" s="26" t="str">
        <f t="shared" si="564"/>
        <v>EP</v>
      </c>
      <c r="L2825" s="26" t="str">
        <f t="shared" si="565"/>
        <v>DGOSE</v>
      </c>
      <c r="M2825" s="26" t="str">
        <f t="shared" si="567"/>
        <v>PARTICULAR</v>
      </c>
      <c r="N2825" s="26">
        <v>37</v>
      </c>
      <c r="O2825" s="26">
        <v>15</v>
      </c>
      <c r="P2825" s="26">
        <v>22</v>
      </c>
      <c r="Q2825" s="26">
        <v>3</v>
      </c>
      <c r="R2825" s="26">
        <v>1</v>
      </c>
      <c r="S2825" s="26">
        <v>3</v>
      </c>
      <c r="T2825" s="26">
        <v>8</v>
      </c>
      <c r="U2825" s="26">
        <v>12</v>
      </c>
      <c r="V2825" s="26">
        <v>1</v>
      </c>
      <c r="W2825" s="26"/>
    </row>
    <row r="2826" spans="1:23" x14ac:dyDescent="0.25">
      <c r="A2826" s="26" t="str">
        <f t="shared" si="568"/>
        <v>PREESCOLAR</v>
      </c>
      <c r="B2826" s="26" t="str">
        <f>"09PJN5446B"</f>
        <v>09PJN5446B</v>
      </c>
      <c r="C2826" s="26" t="str">
        <f>"KINDER ANAHUACALLI AJUSCO                                                                           "</f>
        <v xml:space="preserve">KINDER ANAHUACALLI AJUSCO                                                                           </v>
      </c>
      <c r="D2826" s="26" t="str">
        <f t="shared" si="566"/>
        <v>MATUTINO</v>
      </c>
      <c r="E2826" s="26" t="str">
        <f>"HOCABA NO. 1A                                                                   "</f>
        <v xml:space="preserve">HOCABA NO. 1A                                                                   </v>
      </c>
      <c r="F2826" s="26" t="str">
        <f>"HEROES DE PADIERNA                                                                                                                          "</f>
        <v xml:space="preserve">HEROES DE PADIERNA                                                                                                                          </v>
      </c>
      <c r="G2826" s="26" t="str">
        <f>"TLALPAN                                                                         "</f>
        <v xml:space="preserve">TLALPAN                                                                         </v>
      </c>
      <c r="H2826" s="26" t="str">
        <f>"146"</f>
        <v>146</v>
      </c>
      <c r="I2826" s="26" t="str">
        <f t="shared" si="569"/>
        <v>00</v>
      </c>
      <c r="J2826" s="26" t="str">
        <f>"35 "</f>
        <v xml:space="preserve">35 </v>
      </c>
      <c r="K2826" s="26" t="str">
        <f t="shared" si="564"/>
        <v>EP</v>
      </c>
      <c r="L2826" s="26" t="str">
        <f t="shared" si="565"/>
        <v>DGOSE</v>
      </c>
      <c r="M2826" s="26" t="str">
        <f t="shared" si="567"/>
        <v>PARTICULAR</v>
      </c>
      <c r="N2826" s="26">
        <v>6</v>
      </c>
      <c r="O2826" s="26">
        <v>4</v>
      </c>
      <c r="P2826" s="26">
        <v>2</v>
      </c>
      <c r="Q2826" s="26">
        <v>2</v>
      </c>
      <c r="R2826" s="26">
        <v>1</v>
      </c>
      <c r="S2826" s="26">
        <v>1</v>
      </c>
      <c r="T2826" s="26">
        <v>1</v>
      </c>
      <c r="U2826" s="26">
        <v>3</v>
      </c>
      <c r="V2826" s="26">
        <v>1</v>
      </c>
      <c r="W2826" s="26"/>
    </row>
    <row r="2827" spans="1:23" x14ac:dyDescent="0.25">
      <c r="A2827" s="26" t="str">
        <f t="shared" si="568"/>
        <v>PREESCOLAR</v>
      </c>
      <c r="B2827" s="26" t="str">
        <f>"09PJN5449Z"</f>
        <v>09PJN5449Z</v>
      </c>
      <c r="C2827" s="26" t="str">
        <f>"COLEGIO SERAPIO RENDON                                                                              "</f>
        <v xml:space="preserve">COLEGIO SERAPIO RENDON                                                                              </v>
      </c>
      <c r="D2827" s="26" t="str">
        <f t="shared" si="566"/>
        <v>MATUTINO</v>
      </c>
      <c r="E2827" s="26" t="str">
        <f>"GUINEA NO. 41                                                                   "</f>
        <v xml:space="preserve">GUINEA NO. 41                                                                   </v>
      </c>
      <c r="F2827" s="26" t="str">
        <f>"ROMERO RUBIO                                                                                                                                "</f>
        <v xml:space="preserve">ROMERO RUBIO                                                                                                                                </v>
      </c>
      <c r="G2827" s="26" t="str">
        <f>"VENUSTIANO CARRANZA                                                             "</f>
        <v xml:space="preserve">VENUSTIANO CARRANZA                                                             </v>
      </c>
      <c r="H2827" s="26" t="str">
        <f>"025"</f>
        <v>025</v>
      </c>
      <c r="I2827" s="26" t="str">
        <f t="shared" si="569"/>
        <v>00</v>
      </c>
      <c r="J2827" s="26" t="str">
        <f>"33 "</f>
        <v xml:space="preserve">33 </v>
      </c>
      <c r="K2827" s="26" t="str">
        <f t="shared" si="564"/>
        <v>EP</v>
      </c>
      <c r="L2827" s="26" t="str">
        <f t="shared" si="565"/>
        <v>DGOSE</v>
      </c>
      <c r="M2827" s="26" t="str">
        <f t="shared" si="567"/>
        <v>PARTICULAR</v>
      </c>
      <c r="N2827" s="26">
        <v>39</v>
      </c>
      <c r="O2827" s="26">
        <v>25</v>
      </c>
      <c r="P2827" s="26">
        <v>14</v>
      </c>
      <c r="Q2827" s="26">
        <v>3</v>
      </c>
      <c r="R2827" s="26">
        <v>1</v>
      </c>
      <c r="S2827" s="26">
        <v>2</v>
      </c>
      <c r="T2827" s="26">
        <v>9</v>
      </c>
      <c r="U2827" s="26">
        <v>12</v>
      </c>
      <c r="V2827" s="26">
        <v>1</v>
      </c>
      <c r="W2827" s="26"/>
    </row>
    <row r="2828" spans="1:23" x14ac:dyDescent="0.25">
      <c r="A2828" s="26" t="str">
        <f t="shared" si="568"/>
        <v>PREESCOLAR</v>
      </c>
      <c r="B2828" s="26" t="str">
        <f>"09PJN5450O"</f>
        <v>09PJN5450O</v>
      </c>
      <c r="C2828" s="26" t="str">
        <f>"JARDIN DE NIÑOS JULIO VERNE                                                                         "</f>
        <v xml:space="preserve">JARDIN DE NIÑOS JULIO VERNE                                                                         </v>
      </c>
      <c r="D2828" s="26" t="str">
        <f t="shared" si="566"/>
        <v>MATUTINO</v>
      </c>
      <c r="E2828" s="26" t="str">
        <f>"AV. ANILLO DE CIRCUNVALACION NO. 300                                            "</f>
        <v xml:space="preserve">AV. ANILLO DE CIRCUNVALACION NO. 300                                            </v>
      </c>
      <c r="F2828" s="26" t="str">
        <f>"MORELOS                                                                                                                                     "</f>
        <v xml:space="preserve">MORELOS                                                                                                                                     </v>
      </c>
      <c r="G2828" s="26" t="str">
        <f>"VENUSTIANO CARRANZA                                                             "</f>
        <v xml:space="preserve">VENUSTIANO CARRANZA                                                             </v>
      </c>
      <c r="H2828" s="26" t="str">
        <f>"025"</f>
        <v>025</v>
      </c>
      <c r="I2828" s="26" t="str">
        <f t="shared" si="569"/>
        <v>00</v>
      </c>
      <c r="J2828" s="26" t="str">
        <f>"33 "</f>
        <v xml:space="preserve">33 </v>
      </c>
      <c r="K2828" s="26" t="str">
        <f t="shared" si="564"/>
        <v>EP</v>
      </c>
      <c r="L2828" s="26" t="str">
        <f t="shared" si="565"/>
        <v>DGOSE</v>
      </c>
      <c r="M2828" s="26" t="str">
        <f t="shared" si="567"/>
        <v>PARTICULAR</v>
      </c>
      <c r="N2828" s="26">
        <v>46</v>
      </c>
      <c r="O2828" s="26">
        <v>25</v>
      </c>
      <c r="P2828" s="26">
        <v>21</v>
      </c>
      <c r="Q2828" s="26">
        <v>3</v>
      </c>
      <c r="R2828" s="26">
        <v>1</v>
      </c>
      <c r="S2828" s="26">
        <v>3</v>
      </c>
      <c r="T2828" s="26">
        <v>1</v>
      </c>
      <c r="U2828" s="26">
        <v>5</v>
      </c>
      <c r="V2828" s="26">
        <v>1</v>
      </c>
      <c r="W2828" s="26"/>
    </row>
    <row r="2829" spans="1:23" x14ac:dyDescent="0.25">
      <c r="A2829" s="26" t="str">
        <f t="shared" si="568"/>
        <v>PREESCOLAR</v>
      </c>
      <c r="B2829" s="26" t="str">
        <f>"09PJN5451N"</f>
        <v>09PJN5451N</v>
      </c>
      <c r="C2829" s="26" t="str">
        <f>"JARDIN DE NIÑOS OVIDIO DECROLY                                                                      "</f>
        <v xml:space="preserve">JARDIN DE NIÑOS OVIDIO DECROLY                                                                      </v>
      </c>
      <c r="D2829" s="26" t="str">
        <f t="shared" si="566"/>
        <v>MATUTINO</v>
      </c>
      <c r="E2829" s="26" t="str">
        <f>"MONTE DE LAS CRUCES NO. 15                                                      "</f>
        <v xml:space="preserve">MONTE DE LAS CRUCES NO. 15                                                      </v>
      </c>
      <c r="F2829" s="26" t="str">
        <f>"JESUS DEL MONTE                                                                                                                             "</f>
        <v xml:space="preserve">JESUS DEL MONTE                                                                                                                             </v>
      </c>
      <c r="G2829" s="26" t="str">
        <f>"CUAJIMALPA DE MORELOS                                                           "</f>
        <v xml:space="preserve">CUAJIMALPA DE MORELOS                                                           </v>
      </c>
      <c r="H2829" s="26" t="str">
        <f>"279"</f>
        <v>279</v>
      </c>
      <c r="I2829" s="26" t="str">
        <f t="shared" si="569"/>
        <v>00</v>
      </c>
      <c r="J2829" s="26" t="str">
        <f>"33 "</f>
        <v xml:space="preserve">33 </v>
      </c>
      <c r="K2829" s="26" t="str">
        <f t="shared" si="564"/>
        <v>EP</v>
      </c>
      <c r="L2829" s="26" t="str">
        <f t="shared" si="565"/>
        <v>DGOSE</v>
      </c>
      <c r="M2829" s="26" t="str">
        <f t="shared" si="567"/>
        <v>PARTICULAR</v>
      </c>
      <c r="N2829" s="26">
        <v>19</v>
      </c>
      <c r="O2829" s="26">
        <v>7</v>
      </c>
      <c r="P2829" s="26">
        <v>12</v>
      </c>
      <c r="Q2829" s="26">
        <v>3</v>
      </c>
      <c r="R2829" s="26">
        <v>1</v>
      </c>
      <c r="S2829" s="26">
        <v>2</v>
      </c>
      <c r="T2829" s="26">
        <v>3</v>
      </c>
      <c r="U2829" s="26">
        <v>6</v>
      </c>
      <c r="V2829" s="26">
        <v>1</v>
      </c>
      <c r="W2829" s="26"/>
    </row>
    <row r="2830" spans="1:23" x14ac:dyDescent="0.25">
      <c r="A2830" s="26" t="str">
        <f t="shared" si="568"/>
        <v>PREESCOLAR</v>
      </c>
      <c r="B2830" s="26" t="str">
        <f>"09PJN5452M"</f>
        <v>09PJN5452M</v>
      </c>
      <c r="C2830" s="26" t="str">
        <f>"CASTELLO MONTESSORI                                                                                 "</f>
        <v xml:space="preserve">CASTELLO MONTESSORI                                                                                 </v>
      </c>
      <c r="D2830" s="26" t="str">
        <f t="shared" si="566"/>
        <v>MATUTINO</v>
      </c>
      <c r="E2830" s="26" t="str">
        <f>"CALLE DIVISION DEL NORTE NO. 199                                                "</f>
        <v xml:space="preserve">CALLE DIVISION DEL NORTE NO. 199                                                </v>
      </c>
      <c r="F2830" s="26" t="str">
        <f>"MEMETLA                                                                                                                                     "</f>
        <v xml:space="preserve">MEMETLA                                                                                                                                     </v>
      </c>
      <c r="G2830" s="26" t="str">
        <f>"CUAJIMALPA DE MORELOS                                                           "</f>
        <v xml:space="preserve">CUAJIMALPA DE MORELOS                                                           </v>
      </c>
      <c r="H2830" s="26" t="str">
        <f>"213"</f>
        <v>213</v>
      </c>
      <c r="I2830" s="26" t="str">
        <f t="shared" si="569"/>
        <v>00</v>
      </c>
      <c r="J2830" s="26" t="str">
        <f>"33 "</f>
        <v xml:space="preserve">33 </v>
      </c>
      <c r="K2830" s="26" t="str">
        <f t="shared" si="564"/>
        <v>EP</v>
      </c>
      <c r="L2830" s="26" t="str">
        <f t="shared" si="565"/>
        <v>DGOSE</v>
      </c>
      <c r="M2830" s="26" t="str">
        <f t="shared" si="567"/>
        <v>PARTICULAR</v>
      </c>
      <c r="N2830" s="26">
        <v>45</v>
      </c>
      <c r="O2830" s="26">
        <v>21</v>
      </c>
      <c r="P2830" s="26">
        <v>24</v>
      </c>
      <c r="Q2830" s="26">
        <v>3</v>
      </c>
      <c r="R2830" s="26">
        <v>1</v>
      </c>
      <c r="S2830" s="26">
        <v>3</v>
      </c>
      <c r="T2830" s="26">
        <v>3</v>
      </c>
      <c r="U2830" s="26">
        <v>7</v>
      </c>
      <c r="V2830" s="26">
        <v>1</v>
      </c>
      <c r="W2830" s="26"/>
    </row>
    <row r="2831" spans="1:23" x14ac:dyDescent="0.25">
      <c r="A2831" s="26" t="str">
        <f t="shared" si="568"/>
        <v>PREESCOLAR</v>
      </c>
      <c r="B2831" s="26" t="str">
        <f>"09PJN5454K"</f>
        <v>09PJN5454K</v>
      </c>
      <c r="C2831" s="26" t="str">
        <f>"COLEGIO KIDS GYM                                                                                    "</f>
        <v xml:space="preserve">COLEGIO KIDS GYM                                                                                    </v>
      </c>
      <c r="D2831" s="26" t="str">
        <f t="shared" si="566"/>
        <v>MATUTINO</v>
      </c>
      <c r="E2831" s="26" t="str">
        <f>"SUR 111 NO. 312                                                                 "</f>
        <v xml:space="preserve">SUR 111 NO. 312                                                                 </v>
      </c>
      <c r="F2831" s="26" t="str">
        <f>"HEROES DE CHURUBUSCO                                                                                                                        "</f>
        <v xml:space="preserve">HEROES DE CHURUBUSCO                                                                                                                        </v>
      </c>
      <c r="G2831" s="26" t="str">
        <f>"IZTAPALAPA                                                                      "</f>
        <v xml:space="preserve">IZTAPALAPA                                                                      </v>
      </c>
      <c r="H2831" s="26" t="str">
        <f>"000"</f>
        <v>000</v>
      </c>
      <c r="I2831" s="26" t="str">
        <f t="shared" si="569"/>
        <v>00</v>
      </c>
      <c r="J2831" s="26" t="str">
        <f>"61 "</f>
        <v xml:space="preserve">61 </v>
      </c>
      <c r="K2831" s="26" t="str">
        <f>"IZ"</f>
        <v>IZ</v>
      </c>
      <c r="L2831" s="26" t="str">
        <f>"DGSEI"</f>
        <v>DGSEI</v>
      </c>
      <c r="M2831" s="26" t="str">
        <f t="shared" si="567"/>
        <v>PARTICULAR</v>
      </c>
      <c r="N2831" s="26">
        <v>17</v>
      </c>
      <c r="O2831" s="26">
        <v>11</v>
      </c>
      <c r="P2831" s="26">
        <v>6</v>
      </c>
      <c r="Q2831" s="26">
        <v>3</v>
      </c>
      <c r="R2831" s="26">
        <v>1</v>
      </c>
      <c r="S2831" s="26">
        <v>2</v>
      </c>
      <c r="T2831" s="26">
        <v>1</v>
      </c>
      <c r="U2831" s="26">
        <v>4</v>
      </c>
      <c r="V2831" s="26">
        <v>1</v>
      </c>
      <c r="W2831" s="26"/>
    </row>
    <row r="2832" spans="1:23" x14ac:dyDescent="0.25">
      <c r="A2832" s="26" t="str">
        <f t="shared" si="568"/>
        <v>PREESCOLAR</v>
      </c>
      <c r="B2832" s="26" t="str">
        <f>"09PJN5457H"</f>
        <v>09PJN5457H</v>
      </c>
      <c r="C2832" s="26" t="str">
        <f>"ESTRELLITA FELIZ                                                                                    "</f>
        <v xml:space="preserve">ESTRELLITA FELIZ                                                                                    </v>
      </c>
      <c r="D2832" s="26" t="str">
        <f>"VESPERTINO"</f>
        <v>VESPERTINO</v>
      </c>
      <c r="E2832" s="26" t="str">
        <f>"OCASO MZ. 1 LT. 2                                                               "</f>
        <v xml:space="preserve">OCASO MZ. 1 LT. 2                                                               </v>
      </c>
      <c r="F2832" s="26" t="str">
        <f>"VALLE DE LUCES                                                                                                                              "</f>
        <v xml:space="preserve">VALLE DE LUCES                                                                                                                              </v>
      </c>
      <c r="G2832" s="26" t="str">
        <f>"IZTAPALAPA                                                                      "</f>
        <v xml:space="preserve">IZTAPALAPA                                                                      </v>
      </c>
      <c r="H2832" s="26" t="str">
        <f>"000"</f>
        <v>000</v>
      </c>
      <c r="I2832" s="26" t="str">
        <f t="shared" si="569"/>
        <v>00</v>
      </c>
      <c r="J2832" s="26" t="str">
        <f>"61 "</f>
        <v xml:space="preserve">61 </v>
      </c>
      <c r="K2832" s="26" t="str">
        <f>"IZ"</f>
        <v>IZ</v>
      </c>
      <c r="L2832" s="26" t="str">
        <f>"DGSEI"</f>
        <v>DGSEI</v>
      </c>
      <c r="M2832" s="26" t="str">
        <f t="shared" si="567"/>
        <v>PARTICULAR</v>
      </c>
      <c r="N2832" s="26">
        <v>30</v>
      </c>
      <c r="O2832" s="26">
        <v>14</v>
      </c>
      <c r="P2832" s="26">
        <v>16</v>
      </c>
      <c r="Q2832" s="26">
        <v>3</v>
      </c>
      <c r="R2832" s="26">
        <v>1</v>
      </c>
      <c r="S2832" s="26">
        <v>2</v>
      </c>
      <c r="T2832" s="26">
        <v>5</v>
      </c>
      <c r="U2832" s="26">
        <v>8</v>
      </c>
      <c r="V2832" s="26">
        <v>1</v>
      </c>
      <c r="W2832" s="26"/>
    </row>
    <row r="2833" spans="1:23" x14ac:dyDescent="0.25">
      <c r="A2833" s="26" t="str">
        <f t="shared" si="568"/>
        <v>PREESCOLAR</v>
      </c>
      <c r="B2833" s="26" t="str">
        <f>"09PJN5458G"</f>
        <v>09PJN5458G</v>
      </c>
      <c r="C2833" s="26" t="str">
        <f>"VILLA DE LAS ROSAS                                                                                  "</f>
        <v xml:space="preserve">VILLA DE LAS ROSAS                                                                                  </v>
      </c>
      <c r="D2833" s="26" t="str">
        <f t="shared" ref="D2833:D2841" si="570">"MATUTINO"</f>
        <v>MATUTINO</v>
      </c>
      <c r="E2833" s="26" t="str">
        <f>"MATEO SALDAÑA MZ 454 LT 2                                                       "</f>
        <v xml:space="preserve">MATEO SALDAÑA MZ 454 LT 2                                                       </v>
      </c>
      <c r="F2833" s="26" t="str">
        <f>"SAN LORENZO TEZONCO                                                                                                                         "</f>
        <v xml:space="preserve">SAN LORENZO TEZONCO                                                                                                                         </v>
      </c>
      <c r="G2833" s="26" t="str">
        <f>"IZTAPALAPA                                                                      "</f>
        <v xml:space="preserve">IZTAPALAPA                                                                      </v>
      </c>
      <c r="H2833" s="26" t="str">
        <f>"000"</f>
        <v>000</v>
      </c>
      <c r="I2833" s="26" t="str">
        <f t="shared" si="569"/>
        <v>00</v>
      </c>
      <c r="J2833" s="26" t="str">
        <f>"63 "</f>
        <v xml:space="preserve">63 </v>
      </c>
      <c r="K2833" s="26" t="str">
        <f>"IZ"</f>
        <v>IZ</v>
      </c>
      <c r="L2833" s="26" t="str">
        <f>"DGSEI"</f>
        <v>DGSEI</v>
      </c>
      <c r="M2833" s="26" t="str">
        <f t="shared" si="567"/>
        <v>PARTICULAR</v>
      </c>
      <c r="N2833" s="26">
        <v>57</v>
      </c>
      <c r="O2833" s="26">
        <v>31</v>
      </c>
      <c r="P2833" s="26">
        <v>26</v>
      </c>
      <c r="Q2833" s="26">
        <v>3</v>
      </c>
      <c r="R2833" s="26">
        <v>1</v>
      </c>
      <c r="S2833" s="26">
        <v>3</v>
      </c>
      <c r="T2833" s="26">
        <v>3</v>
      </c>
      <c r="U2833" s="26">
        <v>7</v>
      </c>
      <c r="V2833" s="26">
        <v>1</v>
      </c>
      <c r="W2833" s="26"/>
    </row>
    <row r="2834" spans="1:23" x14ac:dyDescent="0.25">
      <c r="A2834" s="26" t="str">
        <f t="shared" si="568"/>
        <v>PREESCOLAR</v>
      </c>
      <c r="B2834" s="26" t="str">
        <f>"09PJN5459F"</f>
        <v>09PJN5459F</v>
      </c>
      <c r="C2834" s="26" t="str">
        <f>"CENTRO PEDAGÓGICO INFANTIL PETIT                                                                    "</f>
        <v xml:space="preserve">CENTRO PEDAGÓGICO INFANTIL PETIT                                                                    </v>
      </c>
      <c r="D2834" s="26" t="str">
        <f t="shared" si="570"/>
        <v>MATUTINO</v>
      </c>
      <c r="E2834" s="26" t="str">
        <f>"LUIS LARA PARDO NO. 19                                                          "</f>
        <v xml:space="preserve">LUIS LARA PARDO NO. 19                                                          </v>
      </c>
      <c r="F2834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2834" s="26" t="str">
        <f>"VENUSTIANO CARRANZA                                                             "</f>
        <v xml:space="preserve">VENUSTIANO CARRANZA                                                             </v>
      </c>
      <c r="H2834" s="26" t="str">
        <f>"096"</f>
        <v>096</v>
      </c>
      <c r="I2834" s="26" t="str">
        <f t="shared" si="569"/>
        <v>00</v>
      </c>
      <c r="J2834" s="26" t="str">
        <f>"33 "</f>
        <v xml:space="preserve">33 </v>
      </c>
      <c r="K2834" s="26" t="str">
        <f t="shared" ref="K2834:K2841" si="571">"EP"</f>
        <v>EP</v>
      </c>
      <c r="L2834" s="26" t="str">
        <f t="shared" ref="L2834:L2841" si="572">"DGOSE"</f>
        <v>DGOSE</v>
      </c>
      <c r="M2834" s="26" t="str">
        <f t="shared" si="567"/>
        <v>PARTICULAR</v>
      </c>
      <c r="N2834" s="26">
        <v>30</v>
      </c>
      <c r="O2834" s="26">
        <v>15</v>
      </c>
      <c r="P2834" s="26">
        <v>15</v>
      </c>
      <c r="Q2834" s="26">
        <v>3</v>
      </c>
      <c r="R2834" s="26">
        <v>1</v>
      </c>
      <c r="S2834" s="26">
        <v>2</v>
      </c>
      <c r="T2834" s="26">
        <v>2</v>
      </c>
      <c r="U2834" s="26">
        <v>5</v>
      </c>
      <c r="V2834" s="26">
        <v>1</v>
      </c>
      <c r="W2834" s="26"/>
    </row>
    <row r="2835" spans="1:23" x14ac:dyDescent="0.25">
      <c r="A2835" s="26" t="str">
        <f t="shared" si="568"/>
        <v>PREESCOLAR</v>
      </c>
      <c r="B2835" s="26" t="str">
        <f>"09PJN5460V"</f>
        <v>09PJN5460V</v>
      </c>
      <c r="C2835" s="26" t="str">
        <f>"CASITA NAA CHIMAI                                                                                   "</f>
        <v xml:space="preserve">CASITA NAA CHIMAI                                                                                   </v>
      </c>
      <c r="D2835" s="26" t="str">
        <f t="shared" si="570"/>
        <v>MATUTINO</v>
      </c>
      <c r="E2835" s="26" t="str">
        <f>"RIO FRIO O TEZONTLE NO. 90                                                      "</f>
        <v xml:space="preserve">RIO FRIO O TEZONTLE NO. 90                                                      </v>
      </c>
      <c r="F2835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2835" s="26" t="str">
        <f>"IZTACALCO                                                                       "</f>
        <v xml:space="preserve">IZTACALCO                                                                       </v>
      </c>
      <c r="H2835" s="26" t="str">
        <f>"240"</f>
        <v>240</v>
      </c>
      <c r="I2835" s="26" t="str">
        <f t="shared" si="569"/>
        <v>00</v>
      </c>
      <c r="J2835" s="26" t="str">
        <f>"33 "</f>
        <v xml:space="preserve">33 </v>
      </c>
      <c r="K2835" s="26" t="str">
        <f t="shared" si="571"/>
        <v>EP</v>
      </c>
      <c r="L2835" s="26" t="str">
        <f t="shared" si="572"/>
        <v>DGOSE</v>
      </c>
      <c r="M2835" s="26" t="str">
        <f t="shared" si="567"/>
        <v>PARTICULAR</v>
      </c>
      <c r="N2835" s="26">
        <v>25</v>
      </c>
      <c r="O2835" s="26">
        <v>13</v>
      </c>
      <c r="P2835" s="26">
        <v>12</v>
      </c>
      <c r="Q2835" s="26">
        <v>2</v>
      </c>
      <c r="R2835" s="26">
        <v>1</v>
      </c>
      <c r="S2835" s="26">
        <v>2</v>
      </c>
      <c r="T2835" s="26">
        <v>1</v>
      </c>
      <c r="U2835" s="26">
        <v>4</v>
      </c>
      <c r="V2835" s="26">
        <v>1</v>
      </c>
      <c r="W2835" s="26"/>
    </row>
    <row r="2836" spans="1:23" x14ac:dyDescent="0.25">
      <c r="A2836" s="26" t="str">
        <f t="shared" si="568"/>
        <v>PREESCOLAR</v>
      </c>
      <c r="B2836" s="26" t="str">
        <f>"09PJN5461U"</f>
        <v>09PJN5461U</v>
      </c>
      <c r="C2836" s="26" t="s">
        <v>119</v>
      </c>
      <c r="D2836" s="26" t="str">
        <f t="shared" si="570"/>
        <v>MATUTINO</v>
      </c>
      <c r="E2836" s="26" t="str">
        <f>"LA PALMA NO. 73                                                                 "</f>
        <v xml:space="preserve">LA PALMA NO. 73                                                                 </v>
      </c>
      <c r="F2836" s="26" t="str">
        <f>"TIERRA NUEVA                                                                                                                                "</f>
        <v xml:space="preserve">TIERRA NUEVA                                                                                                                                </v>
      </c>
      <c r="G2836" s="26" t="str">
        <f>"XOCHIMILCO                                                                      "</f>
        <v xml:space="preserve">XOCHIMILCO                                                                      </v>
      </c>
      <c r="H2836" s="26" t="str">
        <f>"084"</f>
        <v>084</v>
      </c>
      <c r="I2836" s="26" t="str">
        <f t="shared" si="569"/>
        <v>00</v>
      </c>
      <c r="J2836" s="26" t="str">
        <f>"35 "</f>
        <v xml:space="preserve">35 </v>
      </c>
      <c r="K2836" s="26" t="str">
        <f t="shared" si="571"/>
        <v>EP</v>
      </c>
      <c r="L2836" s="26" t="str">
        <f t="shared" si="572"/>
        <v>DGOSE</v>
      </c>
      <c r="M2836" s="26" t="str">
        <f t="shared" si="567"/>
        <v>PARTICULAR</v>
      </c>
      <c r="N2836" s="26">
        <v>47</v>
      </c>
      <c r="O2836" s="26">
        <v>24</v>
      </c>
      <c r="P2836" s="26">
        <v>23</v>
      </c>
      <c r="Q2836" s="26">
        <v>3</v>
      </c>
      <c r="R2836" s="26">
        <v>1</v>
      </c>
      <c r="S2836" s="26">
        <v>3</v>
      </c>
      <c r="T2836" s="26">
        <v>4</v>
      </c>
      <c r="U2836" s="26">
        <v>8</v>
      </c>
      <c r="V2836" s="26">
        <v>1</v>
      </c>
      <c r="W2836" s="26"/>
    </row>
    <row r="2837" spans="1:23" x14ac:dyDescent="0.25">
      <c r="A2837" s="26" t="str">
        <f t="shared" si="568"/>
        <v>PREESCOLAR</v>
      </c>
      <c r="B2837" s="26" t="str">
        <f>"09PJN5462T"</f>
        <v>09PJN5462T</v>
      </c>
      <c r="C2837" s="26" t="str">
        <f>"COLEGIO ANTONIO JOSÉ DE SUCRE PREESCOLAR                                                            "</f>
        <v xml:space="preserve">COLEGIO ANTONIO JOSÉ DE SUCRE PREESCOLAR                                                            </v>
      </c>
      <c r="D2837" s="26" t="str">
        <f t="shared" si="570"/>
        <v>MATUTINO</v>
      </c>
      <c r="E2837" s="26" t="str">
        <f>"CERRO DE JESUS NO. 135                                                          "</f>
        <v xml:space="preserve">CERRO DE JESUS NO. 135                                                          </v>
      </c>
      <c r="F2837" s="26" t="str">
        <f>"CAMPESTRE CHURUBUSCO                                                                                                                        "</f>
        <v xml:space="preserve">CAMPESTRE CHURUBUSCO                                                                                                                        </v>
      </c>
      <c r="G2837" s="26" t="str">
        <f>"COYOACAN                                                                        "</f>
        <v xml:space="preserve">COYOACAN                                                                        </v>
      </c>
      <c r="H2837" s="26" t="str">
        <f>"099"</f>
        <v>099</v>
      </c>
      <c r="I2837" s="26" t="str">
        <f t="shared" si="569"/>
        <v>00</v>
      </c>
      <c r="J2837" s="26" t="str">
        <f>"35 "</f>
        <v xml:space="preserve">35 </v>
      </c>
      <c r="K2837" s="26" t="str">
        <f t="shared" si="571"/>
        <v>EP</v>
      </c>
      <c r="L2837" s="26" t="str">
        <f t="shared" si="572"/>
        <v>DGOSE</v>
      </c>
      <c r="M2837" s="26" t="str">
        <f t="shared" si="567"/>
        <v>PARTICULAR</v>
      </c>
      <c r="N2837" s="26">
        <v>47</v>
      </c>
      <c r="O2837" s="26">
        <v>20</v>
      </c>
      <c r="P2837" s="26">
        <v>27</v>
      </c>
      <c r="Q2837" s="26">
        <v>3</v>
      </c>
      <c r="R2837" s="26">
        <v>1</v>
      </c>
      <c r="S2837" s="26">
        <v>2</v>
      </c>
      <c r="T2837" s="26">
        <v>6</v>
      </c>
      <c r="U2837" s="26">
        <v>9</v>
      </c>
      <c r="V2837" s="26">
        <v>1</v>
      </c>
      <c r="W2837" s="26"/>
    </row>
    <row r="2838" spans="1:23" x14ac:dyDescent="0.25">
      <c r="A2838" s="26" t="str">
        <f t="shared" si="568"/>
        <v>PREESCOLAR</v>
      </c>
      <c r="B2838" s="26" t="str">
        <f>"09PJN5463S"</f>
        <v>09PJN5463S</v>
      </c>
      <c r="C2838" s="26" t="str">
        <f>"CENTRO DE EDUCACION VANGUARDISTA SIGLO XXI                                                          "</f>
        <v xml:space="preserve">CENTRO DE EDUCACION VANGUARDISTA SIGLO XXI                                                          </v>
      </c>
      <c r="D2838" s="26" t="str">
        <f t="shared" si="570"/>
        <v>MATUTINO</v>
      </c>
      <c r="E2838" s="26" t="str">
        <f>"MONACO NO. 320                                                                  "</f>
        <v xml:space="preserve">MONACO NO. 320                                                                  </v>
      </c>
      <c r="F2838" s="26" t="str">
        <f>"ZACAHUITZCO                                                                                                                                 "</f>
        <v xml:space="preserve">ZACAHUITZCO                                                                                                                                 </v>
      </c>
      <c r="G2838" s="26" t="str">
        <f>"BENITO JUAREZ                                                                   "</f>
        <v xml:space="preserve">BENITO JUAREZ                                                                   </v>
      </c>
      <c r="H2838" s="26" t="str">
        <f>"037"</f>
        <v>037</v>
      </c>
      <c r="I2838" s="26" t="str">
        <f t="shared" si="569"/>
        <v>00</v>
      </c>
      <c r="J2838" s="26" t="str">
        <f>"33 "</f>
        <v xml:space="preserve">33 </v>
      </c>
      <c r="K2838" s="26" t="str">
        <f t="shared" si="571"/>
        <v>EP</v>
      </c>
      <c r="L2838" s="26" t="str">
        <f t="shared" si="572"/>
        <v>DGOSE</v>
      </c>
      <c r="M2838" s="26" t="str">
        <f t="shared" si="567"/>
        <v>PARTICULAR</v>
      </c>
      <c r="N2838" s="26">
        <v>10</v>
      </c>
      <c r="O2838" s="26">
        <v>3</v>
      </c>
      <c r="P2838" s="26">
        <v>7</v>
      </c>
      <c r="Q2838" s="26">
        <v>2</v>
      </c>
      <c r="R2838" s="26">
        <v>1</v>
      </c>
      <c r="S2838" s="26">
        <v>1</v>
      </c>
      <c r="T2838" s="26">
        <v>2</v>
      </c>
      <c r="U2838" s="26">
        <v>4</v>
      </c>
      <c r="V2838" s="26">
        <v>1</v>
      </c>
      <c r="W2838" s="26"/>
    </row>
    <row r="2839" spans="1:23" x14ac:dyDescent="0.25">
      <c r="A2839" s="26" t="str">
        <f t="shared" si="568"/>
        <v>PREESCOLAR</v>
      </c>
      <c r="B2839" s="26" t="str">
        <f>"09PJN5464R"</f>
        <v>09PJN5464R</v>
      </c>
      <c r="C2839" s="26" t="str">
        <f>"KINDER GARDEN MONET                                                                                 "</f>
        <v xml:space="preserve">KINDER GARDEN MONET                                                                                 </v>
      </c>
      <c r="D2839" s="26" t="str">
        <f t="shared" si="570"/>
        <v>MATUTINO</v>
      </c>
      <c r="E2839" s="26" t="str">
        <f>"VIA LACTEA NO. 63                                                               "</f>
        <v xml:space="preserve">VIA LACTEA NO. 63                                                               </v>
      </c>
      <c r="F2839" s="26" t="str">
        <f>"PRADO CHURUBUSCO                                                                                                                            "</f>
        <v xml:space="preserve">PRADO CHURUBUSCO                                                                                                                            </v>
      </c>
      <c r="G2839" s="26" t="str">
        <f>"COYOACAN                                                                        "</f>
        <v xml:space="preserve">COYOACAN                                                                        </v>
      </c>
      <c r="H2839" s="26" t="str">
        <f>"024"</f>
        <v>024</v>
      </c>
      <c r="I2839" s="26" t="str">
        <f t="shared" si="569"/>
        <v>00</v>
      </c>
      <c r="J2839" s="26" t="str">
        <f>"35 "</f>
        <v xml:space="preserve">35 </v>
      </c>
      <c r="K2839" s="26" t="str">
        <f t="shared" si="571"/>
        <v>EP</v>
      </c>
      <c r="L2839" s="26" t="str">
        <f t="shared" si="572"/>
        <v>DGOSE</v>
      </c>
      <c r="M2839" s="26" t="str">
        <f t="shared" si="567"/>
        <v>PARTICULAR</v>
      </c>
      <c r="N2839" s="26">
        <v>36</v>
      </c>
      <c r="O2839" s="26">
        <v>15</v>
      </c>
      <c r="P2839" s="26">
        <v>21</v>
      </c>
      <c r="Q2839" s="26">
        <v>3</v>
      </c>
      <c r="R2839" s="26">
        <v>1</v>
      </c>
      <c r="S2839" s="26">
        <v>2</v>
      </c>
      <c r="T2839" s="26">
        <v>0</v>
      </c>
      <c r="U2839" s="26">
        <v>3</v>
      </c>
      <c r="V2839" s="26">
        <v>1</v>
      </c>
      <c r="W2839" s="26"/>
    </row>
    <row r="2840" spans="1:23" x14ac:dyDescent="0.25">
      <c r="A2840" s="26" t="str">
        <f t="shared" si="568"/>
        <v>PREESCOLAR</v>
      </c>
      <c r="B2840" s="26" t="str">
        <f>"09PJN5465Q"</f>
        <v>09PJN5465Q</v>
      </c>
      <c r="C2840" s="26" t="str">
        <f>"CENTRO DE DESARROLLO INFANTIL PICASSO                                                               "</f>
        <v xml:space="preserve">CENTRO DE DESARROLLO INFANTIL PICASSO                                                               </v>
      </c>
      <c r="D2840" s="26" t="str">
        <f t="shared" si="570"/>
        <v>MATUTINO</v>
      </c>
      <c r="E2840" s="26" t="str">
        <f>"ONCE MARTIRES NO. 80                                                            "</f>
        <v xml:space="preserve">ONCE MARTIRES NO. 80                                                            </v>
      </c>
      <c r="F2840" s="26" t="str">
        <f>"LA FAMA                                                                                                                                     "</f>
        <v xml:space="preserve">LA FAMA                                                                                                                                     </v>
      </c>
      <c r="G2840" s="26" t="str">
        <f>"TLALPAN                                                                         "</f>
        <v xml:space="preserve">TLALPAN                                                                         </v>
      </c>
      <c r="H2840" s="26" t="str">
        <f>"222"</f>
        <v>222</v>
      </c>
      <c r="I2840" s="26" t="str">
        <f t="shared" si="569"/>
        <v>00</v>
      </c>
      <c r="J2840" s="26" t="str">
        <f>"35 "</f>
        <v xml:space="preserve">35 </v>
      </c>
      <c r="K2840" s="26" t="str">
        <f t="shared" si="571"/>
        <v>EP</v>
      </c>
      <c r="L2840" s="26" t="str">
        <f t="shared" si="572"/>
        <v>DGOSE</v>
      </c>
      <c r="M2840" s="26" t="str">
        <f t="shared" si="567"/>
        <v>PARTICULAR</v>
      </c>
      <c r="N2840" s="26">
        <v>36</v>
      </c>
      <c r="O2840" s="26">
        <v>17</v>
      </c>
      <c r="P2840" s="26">
        <v>19</v>
      </c>
      <c r="Q2840" s="26">
        <v>3</v>
      </c>
      <c r="R2840" s="26">
        <v>1</v>
      </c>
      <c r="S2840" s="26">
        <v>3</v>
      </c>
      <c r="T2840" s="26">
        <v>3</v>
      </c>
      <c r="U2840" s="26">
        <v>7</v>
      </c>
      <c r="V2840" s="26">
        <v>1</v>
      </c>
      <c r="W2840" s="26"/>
    </row>
    <row r="2841" spans="1:23" x14ac:dyDescent="0.25">
      <c r="A2841" s="26" t="str">
        <f t="shared" si="568"/>
        <v>PREESCOLAR</v>
      </c>
      <c r="B2841" s="26" t="str">
        <f>"09PJN5466P"</f>
        <v>09PJN5466P</v>
      </c>
      <c r="C2841" s="26" t="str">
        <f>"COLEGIO LOMAS HILL                                                                                  "</f>
        <v xml:space="preserve">COLEGIO LOMAS HILL                                                                                  </v>
      </c>
      <c r="D2841" s="26" t="str">
        <f t="shared" si="570"/>
        <v>MATUTINO</v>
      </c>
      <c r="E2841" s="26" t="str">
        <f>"GUILLERMO GONZALEZ CAMARENA NO. 1500                                            "</f>
        <v xml:space="preserve">GUILLERMO GONZALEZ CAMARENA NO. 1500                                            </v>
      </c>
      <c r="F2841" s="26" t="str">
        <f>"SANTA FE                                                                                                                                    "</f>
        <v xml:space="preserve">SANTA FE                                                                                                                                    </v>
      </c>
      <c r="G2841" s="26" t="str">
        <f>"ALVARO OBREGON                                                                  "</f>
        <v xml:space="preserve">ALVARO OBREGON                                                                  </v>
      </c>
      <c r="H2841" s="26" t="str">
        <f>"166"</f>
        <v>166</v>
      </c>
      <c r="I2841" s="26" t="str">
        <f t="shared" si="569"/>
        <v>00</v>
      </c>
      <c r="J2841" s="26" t="str">
        <f>"33 "</f>
        <v xml:space="preserve">33 </v>
      </c>
      <c r="K2841" s="26" t="str">
        <f t="shared" si="571"/>
        <v>EP</v>
      </c>
      <c r="L2841" s="26" t="str">
        <f t="shared" si="572"/>
        <v>DGOSE</v>
      </c>
      <c r="M2841" s="26" t="str">
        <f t="shared" si="567"/>
        <v>PARTICULAR</v>
      </c>
      <c r="N2841" s="26">
        <v>54</v>
      </c>
      <c r="O2841" s="26">
        <v>28</v>
      </c>
      <c r="P2841" s="26">
        <v>26</v>
      </c>
      <c r="Q2841" s="26">
        <v>4</v>
      </c>
      <c r="R2841" s="26">
        <v>1</v>
      </c>
      <c r="S2841" s="26">
        <v>4</v>
      </c>
      <c r="T2841" s="26">
        <v>4</v>
      </c>
      <c r="U2841" s="26">
        <v>9</v>
      </c>
      <c r="V2841" s="26">
        <v>1</v>
      </c>
      <c r="W2841" s="26"/>
    </row>
    <row r="2842" spans="1:23" x14ac:dyDescent="0.25">
      <c r="A2842" s="26" t="str">
        <f t="shared" si="568"/>
        <v>PREESCOLAR</v>
      </c>
      <c r="B2842" s="26" t="str">
        <f>"09PJN5470B"</f>
        <v>09PJN5470B</v>
      </c>
      <c r="C2842" s="26" t="str">
        <f>"CLAUDELLI                                                                                           "</f>
        <v xml:space="preserve">CLAUDELLI                                                                                           </v>
      </c>
      <c r="D2842" s="26" t="str">
        <f>"VESPERTINO"</f>
        <v>VESPERTINO</v>
      </c>
      <c r="E2842" s="26" t="str">
        <f>"ACAMAPIXTLI NO 68                                                               "</f>
        <v xml:space="preserve">ACAMAPIXTLI NO 68                                                               </v>
      </c>
      <c r="F2842" s="26" t="str">
        <f>"LOS REYES AMPLIACION                                                                                                                        "</f>
        <v xml:space="preserve">LOS REYES AMPLIACION                                                                                                                        </v>
      </c>
      <c r="G2842" s="26" t="str">
        <f>"IZTAPALAPA                                                                      "</f>
        <v xml:space="preserve">IZTAPALAPA                                                                      </v>
      </c>
      <c r="H2842" s="26" t="str">
        <f>"000"</f>
        <v>000</v>
      </c>
      <c r="I2842" s="26" t="str">
        <f t="shared" si="569"/>
        <v>00</v>
      </c>
      <c r="J2842" s="26" t="str">
        <f>"61 "</f>
        <v xml:space="preserve">61 </v>
      </c>
      <c r="K2842" s="26" t="str">
        <f>"IZ"</f>
        <v>IZ</v>
      </c>
      <c r="L2842" s="26" t="str">
        <f>"DGSEI"</f>
        <v>DGSEI</v>
      </c>
      <c r="M2842" s="26" t="str">
        <f t="shared" si="567"/>
        <v>PARTICULAR</v>
      </c>
      <c r="N2842" s="26">
        <v>3</v>
      </c>
      <c r="O2842" s="26">
        <v>1</v>
      </c>
      <c r="P2842" s="26">
        <v>2</v>
      </c>
      <c r="Q2842" s="26">
        <v>1</v>
      </c>
      <c r="R2842" s="26">
        <v>0</v>
      </c>
      <c r="S2842" s="26">
        <v>1</v>
      </c>
      <c r="T2842" s="26">
        <v>1</v>
      </c>
      <c r="U2842" s="26">
        <v>2</v>
      </c>
      <c r="V2842" s="26">
        <v>1</v>
      </c>
      <c r="W2842" s="26"/>
    </row>
    <row r="2843" spans="1:23" x14ac:dyDescent="0.25">
      <c r="A2843" s="26" t="str">
        <f t="shared" si="568"/>
        <v>PREESCOLAR</v>
      </c>
      <c r="B2843" s="26" t="str">
        <f>"09PJN5475X"</f>
        <v>09PJN5475X</v>
      </c>
      <c r="C2843" s="26" t="str">
        <f>"KINDER CAMPANITA                                                                                    "</f>
        <v xml:space="preserve">KINDER CAMPANITA                                                                                    </v>
      </c>
      <c r="D2843" s="26" t="str">
        <f t="shared" ref="D2843:D2906" si="573">"MATUTINO"</f>
        <v>MATUTINO</v>
      </c>
      <c r="E2843" s="26" t="str">
        <f>"CALLEJON DE LA LUNA NO. 12                                                      "</f>
        <v xml:space="preserve">CALLEJON DE LA LUNA NO. 12                                                      </v>
      </c>
      <c r="F2843" s="26" t="str">
        <f>"GUERRERO                                                                                                                                    "</f>
        <v xml:space="preserve">GUERRERO                                                                                                                                    </v>
      </c>
      <c r="G2843" s="26" t="s">
        <v>4128</v>
      </c>
      <c r="H2843" s="26" t="str">
        <f>"205"</f>
        <v>205</v>
      </c>
      <c r="I2843" s="26" t="str">
        <f t="shared" si="569"/>
        <v>00</v>
      </c>
      <c r="J2843" s="26" t="str">
        <f>"32 "</f>
        <v xml:space="preserve">32 </v>
      </c>
      <c r="K2843" s="26" t="str">
        <f t="shared" ref="K2843:K2868" si="574">"EP"</f>
        <v>EP</v>
      </c>
      <c r="L2843" s="26" t="str">
        <f t="shared" ref="L2843:L2868" si="575">"DGOSE"</f>
        <v>DGOSE</v>
      </c>
      <c r="M2843" s="26" t="str">
        <f t="shared" si="567"/>
        <v>PARTICULAR</v>
      </c>
      <c r="N2843" s="26">
        <v>22</v>
      </c>
      <c r="O2843" s="26">
        <v>12</v>
      </c>
      <c r="P2843" s="26">
        <v>10</v>
      </c>
      <c r="Q2843" s="26">
        <v>3</v>
      </c>
      <c r="R2843" s="26">
        <v>1</v>
      </c>
      <c r="S2843" s="26">
        <v>3</v>
      </c>
      <c r="T2843" s="26">
        <v>1</v>
      </c>
      <c r="U2843" s="26">
        <v>5</v>
      </c>
      <c r="V2843" s="26">
        <v>1</v>
      </c>
      <c r="W2843" s="26"/>
    </row>
    <row r="2844" spans="1:23" x14ac:dyDescent="0.25">
      <c r="A2844" s="26" t="str">
        <f t="shared" si="568"/>
        <v>PREESCOLAR</v>
      </c>
      <c r="B2844" s="26" t="str">
        <f>"09PJN5476W"</f>
        <v>09PJN5476W</v>
      </c>
      <c r="C2844" s="26" t="str">
        <f>"MONTESSORI  DE LA CONDESA                                                                           "</f>
        <v xml:space="preserve">MONTESSORI  DE LA CONDESA                                                                           </v>
      </c>
      <c r="D2844" s="26" t="str">
        <f t="shared" si="573"/>
        <v>MATUTINO</v>
      </c>
      <c r="E2844" s="26" t="str">
        <f>"AGUASCALIENTES NO.190                                                           "</f>
        <v xml:space="preserve">AGUASCALIENTES NO.190                                                           </v>
      </c>
      <c r="F2844" s="26" t="str">
        <f>"HIPODROMO                                                                                                                                   "</f>
        <v xml:space="preserve">HIPODROMO                                                                                                                                   </v>
      </c>
      <c r="G2844" s="26" t="s">
        <v>4128</v>
      </c>
      <c r="H2844" s="26" t="str">
        <f>"202"</f>
        <v>202</v>
      </c>
      <c r="I2844" s="26" t="str">
        <f t="shared" si="569"/>
        <v>00</v>
      </c>
      <c r="J2844" s="26" t="str">
        <f>"32 "</f>
        <v xml:space="preserve">32 </v>
      </c>
      <c r="K2844" s="26" t="str">
        <f t="shared" si="574"/>
        <v>EP</v>
      </c>
      <c r="L2844" s="26" t="str">
        <f t="shared" si="575"/>
        <v>DGOSE</v>
      </c>
      <c r="M2844" s="26" t="str">
        <f t="shared" si="567"/>
        <v>PARTICULAR</v>
      </c>
      <c r="N2844" s="26">
        <v>78</v>
      </c>
      <c r="O2844" s="26">
        <v>44</v>
      </c>
      <c r="P2844" s="26">
        <v>34</v>
      </c>
      <c r="Q2844" s="26">
        <v>3</v>
      </c>
      <c r="R2844" s="26">
        <v>1</v>
      </c>
      <c r="S2844" s="26">
        <v>3</v>
      </c>
      <c r="T2844" s="26">
        <v>8</v>
      </c>
      <c r="U2844" s="26">
        <v>12</v>
      </c>
      <c r="V2844" s="26">
        <v>1</v>
      </c>
      <c r="W2844" s="26"/>
    </row>
    <row r="2845" spans="1:23" x14ac:dyDescent="0.25">
      <c r="A2845" s="26" t="str">
        <f t="shared" si="568"/>
        <v>PREESCOLAR</v>
      </c>
      <c r="B2845" s="26" t="str">
        <f>"09PJN5478U"</f>
        <v>09PJN5478U</v>
      </c>
      <c r="C2845" s="26" t="str">
        <f>"LONDRES                                                                                             "</f>
        <v xml:space="preserve">LONDRES                                                                                             </v>
      </c>
      <c r="D2845" s="26" t="str">
        <f t="shared" si="573"/>
        <v>MATUTINO</v>
      </c>
      <c r="E2845" s="26" t="str">
        <f>"MARTIN CARRERA NO. 155                                                          "</f>
        <v xml:space="preserve">MARTIN CARRERA NO. 155                                                          </v>
      </c>
      <c r="F2845" s="26" t="str">
        <f>"MARTIN CARRERA                                                                                                                              "</f>
        <v xml:space="preserve">MARTIN CARRERA                                                                                                                              </v>
      </c>
      <c r="G2845" s="26" t="str">
        <f>"GUSTAVO A. MADERO                                                               "</f>
        <v xml:space="preserve">GUSTAVO A. MADERO                                                               </v>
      </c>
      <c r="H2845" s="26" t="str">
        <f>"006"</f>
        <v>006</v>
      </c>
      <c r="I2845" s="26" t="str">
        <f t="shared" si="569"/>
        <v>00</v>
      </c>
      <c r="J2845" s="26" t="str">
        <f>"32 "</f>
        <v xml:space="preserve">32 </v>
      </c>
      <c r="K2845" s="26" t="str">
        <f t="shared" si="574"/>
        <v>EP</v>
      </c>
      <c r="L2845" s="26" t="str">
        <f t="shared" si="575"/>
        <v>DGOSE</v>
      </c>
      <c r="M2845" s="26" t="str">
        <f t="shared" si="567"/>
        <v>PARTICULAR</v>
      </c>
      <c r="N2845" s="26">
        <v>50</v>
      </c>
      <c r="O2845" s="26">
        <v>21</v>
      </c>
      <c r="P2845" s="26">
        <v>29</v>
      </c>
      <c r="Q2845" s="26">
        <v>3</v>
      </c>
      <c r="R2845" s="26">
        <v>1</v>
      </c>
      <c r="S2845" s="26">
        <v>3</v>
      </c>
      <c r="T2845" s="26">
        <v>0</v>
      </c>
      <c r="U2845" s="26">
        <v>4</v>
      </c>
      <c r="V2845" s="26">
        <v>1</v>
      </c>
      <c r="W2845" s="26"/>
    </row>
    <row r="2846" spans="1:23" x14ac:dyDescent="0.25">
      <c r="A2846" s="26" t="str">
        <f t="shared" si="568"/>
        <v>PREESCOLAR</v>
      </c>
      <c r="B2846" s="26" t="str">
        <f>"09PJN5479T"</f>
        <v>09PJN5479T</v>
      </c>
      <c r="C2846" s="26" t="str">
        <f>"RAINBOW                                                                                             "</f>
        <v xml:space="preserve">RAINBOW                                                                                             </v>
      </c>
      <c r="D2846" s="26" t="str">
        <f t="shared" si="573"/>
        <v>MATUTINO</v>
      </c>
      <c r="E2846" s="26" t="str">
        <f>"CORNELIO LARIOS SALAS S/N. MZ.7 LT.9                                            "</f>
        <v xml:space="preserve">CORNELIO LARIOS SALAS S/N. MZ.7 LT.9                                            </v>
      </c>
      <c r="F2846" s="26" t="str">
        <f>"PALMATITLA                                                                                                                                  "</f>
        <v xml:space="preserve">PALMATITLA                                                                                                                                  </v>
      </c>
      <c r="G2846" s="26" t="str">
        <f>"GUSTAVO A. MADERO                                                               "</f>
        <v xml:space="preserve">GUSTAVO A. MADERO                                                               </v>
      </c>
      <c r="H2846" s="26" t="str">
        <f>"154"</f>
        <v>154</v>
      </c>
      <c r="I2846" s="26" t="str">
        <f t="shared" si="569"/>
        <v>00</v>
      </c>
      <c r="J2846" s="26" t="str">
        <f>"32 "</f>
        <v xml:space="preserve">32 </v>
      </c>
      <c r="K2846" s="26" t="str">
        <f t="shared" si="574"/>
        <v>EP</v>
      </c>
      <c r="L2846" s="26" t="str">
        <f t="shared" si="575"/>
        <v>DGOSE</v>
      </c>
      <c r="M2846" s="26" t="str">
        <f t="shared" si="567"/>
        <v>PARTICULAR</v>
      </c>
      <c r="N2846" s="26">
        <v>62</v>
      </c>
      <c r="O2846" s="26">
        <v>32</v>
      </c>
      <c r="P2846" s="26">
        <v>30</v>
      </c>
      <c r="Q2846" s="26">
        <v>3</v>
      </c>
      <c r="R2846" s="26">
        <v>1</v>
      </c>
      <c r="S2846" s="26">
        <v>3</v>
      </c>
      <c r="T2846" s="26">
        <v>1</v>
      </c>
      <c r="U2846" s="26">
        <v>5</v>
      </c>
      <c r="V2846" s="26">
        <v>1</v>
      </c>
      <c r="W2846" s="26"/>
    </row>
    <row r="2847" spans="1:23" x14ac:dyDescent="0.25">
      <c r="A2847" s="26" t="str">
        <f t="shared" si="568"/>
        <v>PREESCOLAR</v>
      </c>
      <c r="B2847" s="26" t="str">
        <f>"09PJN5480I"</f>
        <v>09PJN5480I</v>
      </c>
      <c r="C2847" s="26" t="str">
        <f>"TOCANI MONTESSORI                                                                                   "</f>
        <v xml:space="preserve">TOCANI MONTESSORI                                                                                   </v>
      </c>
      <c r="D2847" s="26" t="str">
        <f t="shared" si="573"/>
        <v>MATUTINO</v>
      </c>
      <c r="E2847" s="26" t="str">
        <f>"AV. SAN FERNANDO NO.765 LOCAL 7B                                                "</f>
        <v xml:space="preserve">AV. SAN FERNANDO NO.765 LOCAL 7B                                                </v>
      </c>
      <c r="F2847" s="26" t="str">
        <f>"PEÑA POBRE                                                                                                                                  "</f>
        <v xml:space="preserve">PEÑA POBRE                                                                                                                                  </v>
      </c>
      <c r="G2847" s="26" t="str">
        <f>"TLALPAN                                                                         "</f>
        <v xml:space="preserve">TLALPAN                                                                         </v>
      </c>
      <c r="H2847" s="26" t="str">
        <f>"278"</f>
        <v>278</v>
      </c>
      <c r="I2847" s="26" t="str">
        <f t="shared" si="569"/>
        <v>00</v>
      </c>
      <c r="J2847" s="26" t="str">
        <f>"35 "</f>
        <v xml:space="preserve">35 </v>
      </c>
      <c r="K2847" s="26" t="str">
        <f t="shared" si="574"/>
        <v>EP</v>
      </c>
      <c r="L2847" s="26" t="str">
        <f t="shared" si="575"/>
        <v>DGOSE</v>
      </c>
      <c r="M2847" s="26" t="str">
        <f t="shared" si="567"/>
        <v>PARTICULAR</v>
      </c>
      <c r="N2847" s="26">
        <v>22</v>
      </c>
      <c r="O2847" s="26">
        <v>13</v>
      </c>
      <c r="P2847" s="26">
        <v>9</v>
      </c>
      <c r="Q2847" s="26">
        <v>3</v>
      </c>
      <c r="R2847" s="26">
        <v>1</v>
      </c>
      <c r="S2847" s="26">
        <v>3</v>
      </c>
      <c r="T2847" s="26">
        <v>1</v>
      </c>
      <c r="U2847" s="26">
        <v>5</v>
      </c>
      <c r="V2847" s="26">
        <v>1</v>
      </c>
      <c r="W2847" s="26"/>
    </row>
    <row r="2848" spans="1:23" x14ac:dyDescent="0.25">
      <c r="A2848" s="26" t="str">
        <f t="shared" si="568"/>
        <v>PREESCOLAR</v>
      </c>
      <c r="B2848" s="26" t="str">
        <f>"09PJN5482G"</f>
        <v>09PJN5482G</v>
      </c>
      <c r="C2848" s="26" t="str">
        <f>"NENS MONTESSORI                                                                                     "</f>
        <v xml:space="preserve">NENS MONTESSORI                                                                                     </v>
      </c>
      <c r="D2848" s="26" t="str">
        <f t="shared" si="573"/>
        <v>MATUTINO</v>
      </c>
      <c r="E2848" s="26" t="str">
        <f>"NARCISO MENDOZA NO. 7                                                           "</f>
        <v xml:space="preserve">NARCISO MENDOZA NO. 7                                                           </v>
      </c>
      <c r="F2848" s="26" t="str">
        <f>"MANUEL AVILA CAMACHO                                                                                                                        "</f>
        <v xml:space="preserve">MANUEL AVILA CAMACHO                                                                                                                        </v>
      </c>
      <c r="G2848" s="26" t="str">
        <f t="shared" ref="G2848:G2855" si="576">"MIGUEL HIDALGO                                                                  "</f>
        <v xml:space="preserve">MIGUEL HIDALGO                                                                  </v>
      </c>
      <c r="H2848" s="26" t="str">
        <f>"207"</f>
        <v>207</v>
      </c>
      <c r="I2848" s="26" t="str">
        <f t="shared" si="569"/>
        <v>00</v>
      </c>
      <c r="J2848" s="26" t="str">
        <f t="shared" ref="J2848:J2860" si="577">"32 "</f>
        <v xml:space="preserve">32 </v>
      </c>
      <c r="K2848" s="26" t="str">
        <f t="shared" si="574"/>
        <v>EP</v>
      </c>
      <c r="L2848" s="26" t="str">
        <f t="shared" si="575"/>
        <v>DGOSE</v>
      </c>
      <c r="M2848" s="26" t="str">
        <f t="shared" si="567"/>
        <v>PARTICULAR</v>
      </c>
      <c r="N2848" s="26">
        <v>8</v>
      </c>
      <c r="O2848" s="26">
        <v>5</v>
      </c>
      <c r="P2848" s="26">
        <v>3</v>
      </c>
      <c r="Q2848" s="26">
        <v>3</v>
      </c>
      <c r="R2848" s="26">
        <v>1</v>
      </c>
      <c r="S2848" s="26">
        <v>1</v>
      </c>
      <c r="T2848" s="26">
        <v>3</v>
      </c>
      <c r="U2848" s="26">
        <v>5</v>
      </c>
      <c r="V2848" s="26">
        <v>1</v>
      </c>
      <c r="W2848" s="26"/>
    </row>
    <row r="2849" spans="1:23" x14ac:dyDescent="0.25">
      <c r="A2849" s="26" t="str">
        <f t="shared" si="568"/>
        <v>PREESCOLAR</v>
      </c>
      <c r="B2849" s="26" t="str">
        <f>"09PJN5483F"</f>
        <v>09PJN5483F</v>
      </c>
      <c r="C2849" s="26" t="s">
        <v>120</v>
      </c>
      <c r="D2849" s="26" t="str">
        <f t="shared" si="573"/>
        <v>MATUTINO</v>
      </c>
      <c r="E2849" s="26" t="str">
        <f>"SIERRA FRIA #355                                                                "</f>
        <v xml:space="preserve">SIERRA FRIA #355                                                                </v>
      </c>
      <c r="F2849" s="26" t="str">
        <f>"LOMAS DE CHAPULTEPEC                                                                                                                        "</f>
        <v xml:space="preserve">LOMAS DE CHAPULTEPEC                                                                                                                        </v>
      </c>
      <c r="G2849" s="26" t="str">
        <f t="shared" si="576"/>
        <v xml:space="preserve">MIGUEL HIDALGO                                                                  </v>
      </c>
      <c r="H2849" s="26" t="str">
        <f>"056"</f>
        <v>056</v>
      </c>
      <c r="I2849" s="26" t="str">
        <f t="shared" si="569"/>
        <v>00</v>
      </c>
      <c r="J2849" s="26" t="str">
        <f t="shared" si="577"/>
        <v xml:space="preserve">32 </v>
      </c>
      <c r="K2849" s="26" t="str">
        <f t="shared" si="574"/>
        <v>EP</v>
      </c>
      <c r="L2849" s="26" t="str">
        <f t="shared" si="575"/>
        <v>DGOSE</v>
      </c>
      <c r="M2849" s="26" t="str">
        <f t="shared" si="567"/>
        <v>PARTICULAR</v>
      </c>
      <c r="N2849" s="26">
        <v>67</v>
      </c>
      <c r="O2849" s="26">
        <v>31</v>
      </c>
      <c r="P2849" s="26">
        <v>36</v>
      </c>
      <c r="Q2849" s="26">
        <v>3</v>
      </c>
      <c r="R2849" s="26">
        <v>1</v>
      </c>
      <c r="S2849" s="26">
        <v>3</v>
      </c>
      <c r="T2849" s="26">
        <v>8</v>
      </c>
      <c r="U2849" s="26">
        <v>12</v>
      </c>
      <c r="V2849" s="26">
        <v>1</v>
      </c>
      <c r="W2849" s="26"/>
    </row>
    <row r="2850" spans="1:23" x14ac:dyDescent="0.25">
      <c r="A2850" s="26" t="str">
        <f t="shared" si="568"/>
        <v>PREESCOLAR</v>
      </c>
      <c r="B2850" s="26" t="str">
        <f>"09PJN5487B"</f>
        <v>09PJN5487B</v>
      </c>
      <c r="C2850" s="26" t="str">
        <f>"ABEJITAS TRABAJADORAS                                                                               "</f>
        <v xml:space="preserve">ABEJITAS TRABAJADORAS                                                                               </v>
      </c>
      <c r="D2850" s="26" t="str">
        <f t="shared" si="573"/>
        <v>MATUTINO</v>
      </c>
      <c r="E2850" s="26" t="str">
        <f>"DIEZ NO.35                                                                      "</f>
        <v xml:space="preserve">DIEZ NO.35                                                                      </v>
      </c>
      <c r="F2850" s="26" t="str">
        <f>"REFORMA SOCIAL                                                                                                                              "</f>
        <v xml:space="preserve">REFORMA SOCIAL                                                                                                                              </v>
      </c>
      <c r="G2850" s="26" t="str">
        <f t="shared" si="576"/>
        <v xml:space="preserve">MIGUEL HIDALGO                                                                  </v>
      </c>
      <c r="H2850" s="26" t="str">
        <f>"073"</f>
        <v>073</v>
      </c>
      <c r="I2850" s="26" t="str">
        <f t="shared" si="569"/>
        <v>00</v>
      </c>
      <c r="J2850" s="26" t="str">
        <f t="shared" si="577"/>
        <v xml:space="preserve">32 </v>
      </c>
      <c r="K2850" s="26" t="str">
        <f t="shared" si="574"/>
        <v>EP</v>
      </c>
      <c r="L2850" s="26" t="str">
        <f t="shared" si="575"/>
        <v>DGOSE</v>
      </c>
      <c r="M2850" s="26" t="str">
        <f t="shared" si="567"/>
        <v>PARTICULAR</v>
      </c>
      <c r="N2850" s="26">
        <v>11</v>
      </c>
      <c r="O2850" s="26">
        <v>8</v>
      </c>
      <c r="P2850" s="26">
        <v>3</v>
      </c>
      <c r="Q2850" s="26">
        <v>2</v>
      </c>
      <c r="R2850" s="26">
        <v>1</v>
      </c>
      <c r="S2850" s="26">
        <v>2</v>
      </c>
      <c r="T2850" s="26">
        <v>0</v>
      </c>
      <c r="U2850" s="26">
        <v>3</v>
      </c>
      <c r="V2850" s="26">
        <v>1</v>
      </c>
      <c r="W2850" s="26"/>
    </row>
    <row r="2851" spans="1:23" x14ac:dyDescent="0.25">
      <c r="A2851" s="26" t="str">
        <f t="shared" si="568"/>
        <v>PREESCOLAR</v>
      </c>
      <c r="B2851" s="26" t="str">
        <f>"09PJN5488A"</f>
        <v>09PJN5488A</v>
      </c>
      <c r="C2851" s="26" t="str">
        <f>"EMEK HEBREW DAYSCHOOL                                                                               "</f>
        <v xml:space="preserve">EMEK HEBREW DAYSCHOOL                                                                               </v>
      </c>
      <c r="D2851" s="26" t="str">
        <f t="shared" si="573"/>
        <v>MATUTINO</v>
      </c>
      <c r="E2851" s="26" t="str">
        <f>"BOULEVARD MANUEL AVILA CAMACHO NO. 605                                          "</f>
        <v xml:space="preserve">BOULEVARD MANUEL AVILA CAMACHO NO. 605                                          </v>
      </c>
      <c r="F2851" s="26" t="str">
        <f>"PERIODISTA                                                                                                                                  "</f>
        <v xml:space="preserve">PERIODISTA                                                                                                                                  </v>
      </c>
      <c r="G2851" s="26" t="str">
        <f t="shared" si="576"/>
        <v xml:space="preserve">MIGUEL HIDALGO                                                                  </v>
      </c>
      <c r="H2851" s="26" t="str">
        <f>"014"</f>
        <v>014</v>
      </c>
      <c r="I2851" s="26" t="str">
        <f t="shared" si="569"/>
        <v>00</v>
      </c>
      <c r="J2851" s="26" t="str">
        <f t="shared" si="577"/>
        <v xml:space="preserve">32 </v>
      </c>
      <c r="K2851" s="26" t="str">
        <f t="shared" si="574"/>
        <v>EP</v>
      </c>
      <c r="L2851" s="26" t="str">
        <f t="shared" si="575"/>
        <v>DGOSE</v>
      </c>
      <c r="M2851" s="26" t="str">
        <f t="shared" si="567"/>
        <v>PARTICULAR</v>
      </c>
      <c r="N2851" s="26">
        <v>164</v>
      </c>
      <c r="O2851" s="26">
        <v>99</v>
      </c>
      <c r="P2851" s="26">
        <v>65</v>
      </c>
      <c r="Q2851" s="26">
        <v>12</v>
      </c>
      <c r="R2851" s="26">
        <v>1</v>
      </c>
      <c r="S2851" s="26">
        <v>12</v>
      </c>
      <c r="T2851" s="26">
        <v>9</v>
      </c>
      <c r="U2851" s="26">
        <v>22</v>
      </c>
      <c r="V2851" s="26">
        <v>1</v>
      </c>
      <c r="W2851" s="26"/>
    </row>
    <row r="2852" spans="1:23" x14ac:dyDescent="0.25">
      <c r="A2852" s="26" t="str">
        <f t="shared" si="568"/>
        <v>PREESCOLAR</v>
      </c>
      <c r="B2852" s="26" t="str">
        <f>"09PJN5489Z"</f>
        <v>09PJN5489Z</v>
      </c>
      <c r="C2852" s="26" t="str">
        <f>"JUANA DE ASBAJE                                                                                     "</f>
        <v xml:space="preserve">JUANA DE ASBAJE                                                                                     </v>
      </c>
      <c r="D2852" s="26" t="str">
        <f t="shared" si="573"/>
        <v>MATUTINO</v>
      </c>
      <c r="E2852" s="26" t="str">
        <f>"AV. JALISCO NO. 284                                                             "</f>
        <v xml:space="preserve">AV. JALISCO NO. 284                                                             </v>
      </c>
      <c r="F2852" s="26" t="str">
        <f>"TACUBAYA                                                                                                                                    "</f>
        <v xml:space="preserve">TACUBAYA                                                                                                                                    </v>
      </c>
      <c r="G2852" s="26" t="str">
        <f t="shared" si="576"/>
        <v xml:space="preserve">MIGUEL HIDALGO                                                                  </v>
      </c>
      <c r="H2852" s="26" t="str">
        <f>"014"</f>
        <v>014</v>
      </c>
      <c r="I2852" s="26" t="str">
        <f t="shared" si="569"/>
        <v>00</v>
      </c>
      <c r="J2852" s="26" t="str">
        <f t="shared" si="577"/>
        <v xml:space="preserve">32 </v>
      </c>
      <c r="K2852" s="26" t="str">
        <f t="shared" si="574"/>
        <v>EP</v>
      </c>
      <c r="L2852" s="26" t="str">
        <f t="shared" si="575"/>
        <v>DGOSE</v>
      </c>
      <c r="M2852" s="26" t="str">
        <f t="shared" si="567"/>
        <v>PARTICULAR</v>
      </c>
      <c r="N2852" s="26">
        <v>14</v>
      </c>
      <c r="O2852" s="26">
        <v>8</v>
      </c>
      <c r="P2852" s="26">
        <v>6</v>
      </c>
      <c r="Q2852" s="26">
        <v>2</v>
      </c>
      <c r="R2852" s="26">
        <v>1</v>
      </c>
      <c r="S2852" s="26">
        <v>2</v>
      </c>
      <c r="T2852" s="26">
        <v>1</v>
      </c>
      <c r="U2852" s="26">
        <v>4</v>
      </c>
      <c r="V2852" s="26">
        <v>1</v>
      </c>
      <c r="W2852" s="26"/>
    </row>
    <row r="2853" spans="1:23" x14ac:dyDescent="0.25">
      <c r="A2853" s="26" t="str">
        <f t="shared" si="568"/>
        <v>PREESCOLAR</v>
      </c>
      <c r="B2853" s="26" t="str">
        <f>"09PJN5490P"</f>
        <v>09PJN5490P</v>
      </c>
      <c r="C2853" s="26" t="str">
        <f>"YAXCHEEL MONTESSORI                                                                                 "</f>
        <v xml:space="preserve">YAXCHEEL MONTESSORI                                                                                 </v>
      </c>
      <c r="D2853" s="26" t="str">
        <f t="shared" si="573"/>
        <v>MATUTINO</v>
      </c>
      <c r="E2853" s="26" t="str">
        <f>"AV. TECAMACHALCO NO. 106                                                        "</f>
        <v xml:space="preserve">AV. TECAMACHALCO NO. 106                                                        </v>
      </c>
      <c r="F2853" s="26" t="str">
        <f>"LOMAS SAN ISIDRO                                                                                                                            "</f>
        <v xml:space="preserve">LOMAS SAN ISIDRO                                                                                                                            </v>
      </c>
      <c r="G2853" s="26" t="str">
        <f t="shared" si="576"/>
        <v xml:space="preserve">MIGUEL HIDALGO                                                                  </v>
      </c>
      <c r="H2853" s="26" t="str">
        <f>"207"</f>
        <v>207</v>
      </c>
      <c r="I2853" s="26" t="str">
        <f t="shared" si="569"/>
        <v>00</v>
      </c>
      <c r="J2853" s="26" t="str">
        <f t="shared" si="577"/>
        <v xml:space="preserve">32 </v>
      </c>
      <c r="K2853" s="26" t="str">
        <f t="shared" si="574"/>
        <v>EP</v>
      </c>
      <c r="L2853" s="26" t="str">
        <f t="shared" si="575"/>
        <v>DGOSE</v>
      </c>
      <c r="M2853" s="26" t="str">
        <f t="shared" si="567"/>
        <v>PARTICULAR</v>
      </c>
      <c r="N2853" s="26">
        <v>14</v>
      </c>
      <c r="O2853" s="26">
        <v>7</v>
      </c>
      <c r="P2853" s="26">
        <v>7</v>
      </c>
      <c r="Q2853" s="26">
        <v>3</v>
      </c>
      <c r="R2853" s="26">
        <v>1</v>
      </c>
      <c r="S2853" s="26">
        <v>2</v>
      </c>
      <c r="T2853" s="26">
        <v>3</v>
      </c>
      <c r="U2853" s="26">
        <v>6</v>
      </c>
      <c r="V2853" s="26">
        <v>1</v>
      </c>
      <c r="W2853" s="26"/>
    </row>
    <row r="2854" spans="1:23" x14ac:dyDescent="0.25">
      <c r="A2854" s="26" t="str">
        <f t="shared" si="568"/>
        <v>PREESCOLAR</v>
      </c>
      <c r="B2854" s="26" t="str">
        <f>"09PJN5492N"</f>
        <v>09PJN5492N</v>
      </c>
      <c r="C2854" s="26" t="str">
        <f>"JARDÍN DE NIÑOS COMTE                                                                               "</f>
        <v xml:space="preserve">JARDÍN DE NIÑOS COMTE                                                                               </v>
      </c>
      <c r="D2854" s="26" t="str">
        <f t="shared" si="573"/>
        <v>MATUTINO</v>
      </c>
      <c r="E2854" s="26" t="str">
        <f>"COMTE NO. 76                                                                    "</f>
        <v xml:space="preserve">COMTE NO. 76                                                                    </v>
      </c>
      <c r="F2854" s="26" t="str">
        <f>"ANZURES                                                                                                                                     "</f>
        <v xml:space="preserve">ANZURES                                                                                                                                     </v>
      </c>
      <c r="G2854" s="26" t="str">
        <f t="shared" si="576"/>
        <v xml:space="preserve">MIGUEL HIDALGO                                                                  </v>
      </c>
      <c r="H2854" s="26" t="str">
        <f>"075"</f>
        <v>075</v>
      </c>
      <c r="I2854" s="26" t="str">
        <f t="shared" si="569"/>
        <v>00</v>
      </c>
      <c r="J2854" s="26" t="str">
        <f t="shared" si="577"/>
        <v xml:space="preserve">32 </v>
      </c>
      <c r="K2854" s="26" t="str">
        <f t="shared" si="574"/>
        <v>EP</v>
      </c>
      <c r="L2854" s="26" t="str">
        <f t="shared" si="575"/>
        <v>DGOSE</v>
      </c>
      <c r="M2854" s="26" t="str">
        <f t="shared" si="567"/>
        <v>PARTICULAR</v>
      </c>
      <c r="N2854" s="26">
        <v>5</v>
      </c>
      <c r="O2854" s="26">
        <v>1</v>
      </c>
      <c r="P2854" s="26">
        <v>4</v>
      </c>
      <c r="Q2854" s="26">
        <v>2</v>
      </c>
      <c r="R2854" s="26">
        <v>1</v>
      </c>
      <c r="S2854" s="26">
        <v>2</v>
      </c>
      <c r="T2854" s="26">
        <v>5</v>
      </c>
      <c r="U2854" s="26">
        <v>8</v>
      </c>
      <c r="V2854" s="26">
        <v>1</v>
      </c>
      <c r="W2854" s="26"/>
    </row>
    <row r="2855" spans="1:23" x14ac:dyDescent="0.25">
      <c r="A2855" s="26" t="str">
        <f t="shared" si="568"/>
        <v>PREESCOLAR</v>
      </c>
      <c r="B2855" s="26" t="str">
        <f>"09PJN5495K"</f>
        <v>09PJN5495K</v>
      </c>
      <c r="C2855" s="26" t="str">
        <f>"UNA SEMILLA DE LUZ                                                                                  "</f>
        <v xml:space="preserve">UNA SEMILLA DE LUZ                                                                                  </v>
      </c>
      <c r="D2855" s="26" t="str">
        <f t="shared" si="573"/>
        <v>MATUTINO</v>
      </c>
      <c r="E2855" s="26" t="str">
        <f>"VICTOR HUGO NO. 33                                                              "</f>
        <v xml:space="preserve">VICTOR HUGO NO. 33                                                              </v>
      </c>
      <c r="F2855" s="26" t="str">
        <f>"ANZURES                                                                                                                                     "</f>
        <v xml:space="preserve">ANZURES                                                                                                                                     </v>
      </c>
      <c r="G2855" s="26" t="str">
        <f t="shared" si="576"/>
        <v xml:space="preserve">MIGUEL HIDALGO                                                                  </v>
      </c>
      <c r="H2855" s="26" t="str">
        <f>"075"</f>
        <v>075</v>
      </c>
      <c r="I2855" s="26" t="str">
        <f t="shared" si="569"/>
        <v>00</v>
      </c>
      <c r="J2855" s="26" t="str">
        <f t="shared" si="577"/>
        <v xml:space="preserve">32 </v>
      </c>
      <c r="K2855" s="26" t="str">
        <f t="shared" si="574"/>
        <v>EP</v>
      </c>
      <c r="L2855" s="26" t="str">
        <f t="shared" si="575"/>
        <v>DGOSE</v>
      </c>
      <c r="M2855" s="26" t="str">
        <f t="shared" si="567"/>
        <v>PARTICULAR</v>
      </c>
      <c r="N2855" s="26">
        <v>29</v>
      </c>
      <c r="O2855" s="26">
        <v>17</v>
      </c>
      <c r="P2855" s="26">
        <v>12</v>
      </c>
      <c r="Q2855" s="26">
        <v>2</v>
      </c>
      <c r="R2855" s="26">
        <v>1</v>
      </c>
      <c r="S2855" s="26">
        <v>2</v>
      </c>
      <c r="T2855" s="26">
        <v>7</v>
      </c>
      <c r="U2855" s="26">
        <v>10</v>
      </c>
      <c r="V2855" s="26">
        <v>1</v>
      </c>
      <c r="W2855" s="26"/>
    </row>
    <row r="2856" spans="1:23" x14ac:dyDescent="0.25">
      <c r="A2856" s="26" t="str">
        <f t="shared" si="568"/>
        <v>PREESCOLAR</v>
      </c>
      <c r="B2856" s="26" t="str">
        <f>"09PJN5496J"</f>
        <v>09PJN5496J</v>
      </c>
      <c r="C2856" s="26" t="str">
        <f>"JARDÍN DE NIÑOS MI MUNDO MÁGICO                                                                     "</f>
        <v xml:space="preserve">JARDÍN DE NIÑOS MI MUNDO MÁGICO                                                                     </v>
      </c>
      <c r="D2856" s="26" t="str">
        <f t="shared" si="573"/>
        <v>MATUTINO</v>
      </c>
      <c r="E2856" s="26" t="str">
        <f>"ADOLFO LOPEZ MATEOS NO. 28                                                      "</f>
        <v xml:space="preserve">ADOLFO LOPEZ MATEOS NO. 28                                                      </v>
      </c>
      <c r="F2856" s="26" t="str">
        <f>"SAN PEDRO XALPA AMPLIACION                                                                                                                  "</f>
        <v xml:space="preserve">SAN PEDRO XALPA AMPLIACION                                                                                                                  </v>
      </c>
      <c r="G2856" s="26" t="str">
        <f>"AZCAPOTZALCO                                                                    "</f>
        <v xml:space="preserve">AZCAPOTZALCO                                                                    </v>
      </c>
      <c r="H2856" s="26" t="str">
        <f>"204"</f>
        <v>204</v>
      </c>
      <c r="I2856" s="26" t="str">
        <f t="shared" si="569"/>
        <v>00</v>
      </c>
      <c r="J2856" s="26" t="str">
        <f t="shared" si="577"/>
        <v xml:space="preserve">32 </v>
      </c>
      <c r="K2856" s="26" t="str">
        <f t="shared" si="574"/>
        <v>EP</v>
      </c>
      <c r="L2856" s="26" t="str">
        <f t="shared" si="575"/>
        <v>DGOSE</v>
      </c>
      <c r="M2856" s="26" t="str">
        <f t="shared" si="567"/>
        <v>PARTICULAR</v>
      </c>
      <c r="N2856" s="26">
        <v>36</v>
      </c>
      <c r="O2856" s="26">
        <v>17</v>
      </c>
      <c r="P2856" s="26">
        <v>19</v>
      </c>
      <c r="Q2856" s="26">
        <v>3</v>
      </c>
      <c r="R2856" s="26">
        <v>1</v>
      </c>
      <c r="S2856" s="26">
        <v>2</v>
      </c>
      <c r="T2856" s="26">
        <v>1</v>
      </c>
      <c r="U2856" s="26">
        <v>4</v>
      </c>
      <c r="V2856" s="26">
        <v>1</v>
      </c>
      <c r="W2856" s="26"/>
    </row>
    <row r="2857" spans="1:23" x14ac:dyDescent="0.25">
      <c r="A2857" s="26" t="str">
        <f t="shared" si="568"/>
        <v>PREESCOLAR</v>
      </c>
      <c r="B2857" s="26" t="str">
        <f>"09PJN5497I"</f>
        <v>09PJN5497I</v>
      </c>
      <c r="C2857" s="26" t="str">
        <f>"INSTITUTO MEXICANO E.D.U.C.A. S.C.                                                                  "</f>
        <v xml:space="preserve">INSTITUTO MEXICANO E.D.U.C.A. S.C.                                                                  </v>
      </c>
      <c r="D2857" s="26" t="str">
        <f t="shared" si="573"/>
        <v>MATUTINO</v>
      </c>
      <c r="E2857" s="26" t="str">
        <f>"AV. EJERCITO NACIONAL NO. 250                                                   "</f>
        <v xml:space="preserve">AV. EJERCITO NACIONAL NO. 250                                                   </v>
      </c>
      <c r="F2857" s="26" t="str">
        <f>"ANZURES                                                                                                                                     "</f>
        <v xml:space="preserve">ANZURES                                                                                                                                     </v>
      </c>
      <c r="G2857" s="26" t="str">
        <f>"MIGUEL HIDALGO                                                                  "</f>
        <v xml:space="preserve">MIGUEL HIDALGO                                                                  </v>
      </c>
      <c r="H2857" s="26" t="str">
        <f>"014"</f>
        <v>014</v>
      </c>
      <c r="I2857" s="26" t="str">
        <f t="shared" si="569"/>
        <v>00</v>
      </c>
      <c r="J2857" s="26" t="str">
        <f t="shared" si="577"/>
        <v xml:space="preserve">32 </v>
      </c>
      <c r="K2857" s="26" t="str">
        <f t="shared" si="574"/>
        <v>EP</v>
      </c>
      <c r="L2857" s="26" t="str">
        <f t="shared" si="575"/>
        <v>DGOSE</v>
      </c>
      <c r="M2857" s="26" t="str">
        <f t="shared" si="567"/>
        <v>PARTICULAR</v>
      </c>
      <c r="N2857" s="26">
        <v>47</v>
      </c>
      <c r="O2857" s="26">
        <v>22</v>
      </c>
      <c r="P2857" s="26">
        <v>25</v>
      </c>
      <c r="Q2857" s="26">
        <v>3</v>
      </c>
      <c r="R2857" s="26">
        <v>1</v>
      </c>
      <c r="S2857" s="26">
        <v>3</v>
      </c>
      <c r="T2857" s="26">
        <v>9</v>
      </c>
      <c r="U2857" s="26">
        <v>13</v>
      </c>
      <c r="V2857" s="26">
        <v>1</v>
      </c>
      <c r="W2857" s="26"/>
    </row>
    <row r="2858" spans="1:23" x14ac:dyDescent="0.25">
      <c r="A2858" s="26" t="str">
        <f t="shared" si="568"/>
        <v>PREESCOLAR</v>
      </c>
      <c r="B2858" s="26" t="str">
        <f>"09PJN5499G"</f>
        <v>09PJN5499G</v>
      </c>
      <c r="C2858" s="26" t="str">
        <f>"EL PARAISO DE LAS HADAS                                                                             "</f>
        <v xml:space="preserve">EL PARAISO DE LAS HADAS                                                                             </v>
      </c>
      <c r="D2858" s="26" t="str">
        <f t="shared" si="573"/>
        <v>MATUTINO</v>
      </c>
      <c r="E2858" s="26" t="str">
        <f>"TASMANIA NO. 397                                                                "</f>
        <v xml:space="preserve">TASMANIA NO. 397                                                                </v>
      </c>
      <c r="F2858" s="26" t="str">
        <f>"COSMOPOLITA                                                                                                                                 "</f>
        <v xml:space="preserve">COSMOPOLITA                                                                                                                                 </v>
      </c>
      <c r="G2858" s="26" t="str">
        <f>"AZCAPOTZALCO                                                                    "</f>
        <v xml:space="preserve">AZCAPOTZALCO                                                                    </v>
      </c>
      <c r="H2858" s="26" t="str">
        <f>"190"</f>
        <v>190</v>
      </c>
      <c r="I2858" s="26" t="str">
        <f t="shared" si="569"/>
        <v>00</v>
      </c>
      <c r="J2858" s="26" t="str">
        <f t="shared" si="577"/>
        <v xml:space="preserve">32 </v>
      </c>
      <c r="K2858" s="26" t="str">
        <f t="shared" si="574"/>
        <v>EP</v>
      </c>
      <c r="L2858" s="26" t="str">
        <f t="shared" si="575"/>
        <v>DGOSE</v>
      </c>
      <c r="M2858" s="26" t="str">
        <f t="shared" si="567"/>
        <v>PARTICULAR</v>
      </c>
      <c r="N2858" s="26">
        <v>4</v>
      </c>
      <c r="O2858" s="26">
        <v>2</v>
      </c>
      <c r="P2858" s="26">
        <v>2</v>
      </c>
      <c r="Q2858" s="26">
        <v>2</v>
      </c>
      <c r="R2858" s="26">
        <v>1</v>
      </c>
      <c r="S2858" s="26">
        <v>2</v>
      </c>
      <c r="T2858" s="26">
        <v>1</v>
      </c>
      <c r="U2858" s="26">
        <v>4</v>
      </c>
      <c r="V2858" s="26">
        <v>1</v>
      </c>
      <c r="W2858" s="26"/>
    </row>
    <row r="2859" spans="1:23" x14ac:dyDescent="0.25">
      <c r="A2859" s="26" t="str">
        <f t="shared" si="568"/>
        <v>PREESCOLAR</v>
      </c>
      <c r="B2859" s="26" t="str">
        <f>"09PJN5501E"</f>
        <v>09PJN5501E</v>
      </c>
      <c r="C2859" s="26" t="str">
        <f>"JARDIN DE NIÑOS MI CASITA                                                                           "</f>
        <v xml:space="preserve">JARDIN DE NIÑOS MI CASITA                                                                           </v>
      </c>
      <c r="D2859" s="26" t="str">
        <f t="shared" si="573"/>
        <v>MATUTINO</v>
      </c>
      <c r="E2859" s="26" t="str">
        <f>"SADI CARNOT NO.108                                                              "</f>
        <v xml:space="preserve">SADI CARNOT NO.108                                                              </v>
      </c>
      <c r="F2859" s="26" t="str">
        <f>"SAN RAFAEL                                                                                                                                  "</f>
        <v xml:space="preserve">SAN RAFAEL                                                                                                                                  </v>
      </c>
      <c r="G2859" s="26" t="s">
        <v>4128</v>
      </c>
      <c r="H2859" s="26" t="str">
        <f>"057"</f>
        <v>057</v>
      </c>
      <c r="I2859" s="26" t="str">
        <f t="shared" si="569"/>
        <v>00</v>
      </c>
      <c r="J2859" s="26" t="str">
        <f t="shared" si="577"/>
        <v xml:space="preserve">32 </v>
      </c>
      <c r="K2859" s="26" t="str">
        <f t="shared" si="574"/>
        <v>EP</v>
      </c>
      <c r="L2859" s="26" t="str">
        <f t="shared" si="575"/>
        <v>DGOSE</v>
      </c>
      <c r="M2859" s="26" t="str">
        <f t="shared" si="567"/>
        <v>PARTICULAR</v>
      </c>
      <c r="N2859" s="26">
        <v>23</v>
      </c>
      <c r="O2859" s="26">
        <v>11</v>
      </c>
      <c r="P2859" s="26">
        <v>12</v>
      </c>
      <c r="Q2859" s="26">
        <v>3</v>
      </c>
      <c r="R2859" s="26">
        <v>1</v>
      </c>
      <c r="S2859" s="26">
        <v>3</v>
      </c>
      <c r="T2859" s="26">
        <v>2</v>
      </c>
      <c r="U2859" s="26">
        <v>6</v>
      </c>
      <c r="V2859" s="26">
        <v>1</v>
      </c>
      <c r="W2859" s="26"/>
    </row>
    <row r="2860" spans="1:23" x14ac:dyDescent="0.25">
      <c r="A2860" s="26" t="str">
        <f t="shared" si="568"/>
        <v>PREESCOLAR</v>
      </c>
      <c r="B2860" s="26" t="str">
        <f>"09PJN5502D"</f>
        <v>09PJN5502D</v>
      </c>
      <c r="C2860" s="26" t="str">
        <f>"CENTRO EDUCATIVO JOSE MARIA ROA                                                                     "</f>
        <v xml:space="preserve">CENTRO EDUCATIVO JOSE MARIA ROA                                                                     </v>
      </c>
      <c r="D2860" s="26" t="str">
        <f t="shared" si="573"/>
        <v>MATUTINO</v>
      </c>
      <c r="E2860" s="26" t="str">
        <f>"JOSE MARIA ROA BARCENAS NO. 127-A                                               "</f>
        <v xml:space="preserve">JOSE MARIA ROA BARCENAS NO. 127-A                                               </v>
      </c>
      <c r="F2860" s="26" t="str">
        <f>"OBRERA                                                                                                                                      "</f>
        <v xml:space="preserve">OBRERA                                                                                                                                      </v>
      </c>
      <c r="G2860" s="26" t="s">
        <v>4128</v>
      </c>
      <c r="H2860" s="26" t="str">
        <f>"022"</f>
        <v>022</v>
      </c>
      <c r="I2860" s="26" t="str">
        <f t="shared" si="569"/>
        <v>00</v>
      </c>
      <c r="J2860" s="26" t="str">
        <f t="shared" si="577"/>
        <v xml:space="preserve">32 </v>
      </c>
      <c r="K2860" s="26" t="str">
        <f t="shared" si="574"/>
        <v>EP</v>
      </c>
      <c r="L2860" s="26" t="str">
        <f t="shared" si="575"/>
        <v>DGOSE</v>
      </c>
      <c r="M2860" s="26" t="str">
        <f t="shared" si="567"/>
        <v>PARTICULAR</v>
      </c>
      <c r="N2860" s="26">
        <v>43</v>
      </c>
      <c r="O2860" s="26">
        <v>18</v>
      </c>
      <c r="P2860" s="26">
        <v>25</v>
      </c>
      <c r="Q2860" s="26">
        <v>3</v>
      </c>
      <c r="R2860" s="26">
        <v>2</v>
      </c>
      <c r="S2860" s="26">
        <v>3</v>
      </c>
      <c r="T2860" s="26">
        <v>1</v>
      </c>
      <c r="U2860" s="26">
        <v>6</v>
      </c>
      <c r="V2860" s="26">
        <v>1</v>
      </c>
      <c r="W2860" s="26"/>
    </row>
    <row r="2861" spans="1:23" x14ac:dyDescent="0.25">
      <c r="A2861" s="26" t="str">
        <f t="shared" si="568"/>
        <v>PREESCOLAR</v>
      </c>
      <c r="B2861" s="26" t="str">
        <f>"09PJN5505A"</f>
        <v>09PJN5505A</v>
      </c>
      <c r="C2861" s="26" t="str">
        <f>"COMUNIDAD MONTESSORI TEPEPAN                                                                        "</f>
        <v xml:space="preserve">COMUNIDAD MONTESSORI TEPEPAN                                                                        </v>
      </c>
      <c r="D2861" s="26" t="str">
        <f t="shared" si="573"/>
        <v>MATUTINO</v>
      </c>
      <c r="E2861" s="26" t="str">
        <f>"ABASOLO NO.101                                                                  "</f>
        <v xml:space="preserve">ABASOLO NO.101                                                                  </v>
      </c>
      <c r="F2861" s="26" t="str">
        <f>"SANTA MARIA TEPEPAN                                                                                                                         "</f>
        <v xml:space="preserve">SANTA MARIA TEPEPAN                                                                                                                         </v>
      </c>
      <c r="G2861" s="26" t="str">
        <f>"XOCHIMILCO                                                                      "</f>
        <v xml:space="preserve">XOCHIMILCO                                                                      </v>
      </c>
      <c r="H2861" s="26" t="str">
        <f>"172"</f>
        <v>172</v>
      </c>
      <c r="I2861" s="26" t="str">
        <f t="shared" si="569"/>
        <v>00</v>
      </c>
      <c r="J2861" s="26" t="str">
        <f>"35 "</f>
        <v xml:space="preserve">35 </v>
      </c>
      <c r="K2861" s="26" t="str">
        <f t="shared" si="574"/>
        <v>EP</v>
      </c>
      <c r="L2861" s="26" t="str">
        <f t="shared" si="575"/>
        <v>DGOSE</v>
      </c>
      <c r="M2861" s="26" t="str">
        <f t="shared" si="567"/>
        <v>PARTICULAR</v>
      </c>
      <c r="N2861" s="26">
        <v>12</v>
      </c>
      <c r="O2861" s="26">
        <v>7</v>
      </c>
      <c r="P2861" s="26">
        <v>5</v>
      </c>
      <c r="Q2861" s="26">
        <v>3</v>
      </c>
      <c r="R2861" s="26">
        <v>1</v>
      </c>
      <c r="S2861" s="26">
        <v>2</v>
      </c>
      <c r="T2861" s="26">
        <v>4</v>
      </c>
      <c r="U2861" s="26">
        <v>7</v>
      </c>
      <c r="V2861" s="26">
        <v>1</v>
      </c>
      <c r="W2861" s="26"/>
    </row>
    <row r="2862" spans="1:23" x14ac:dyDescent="0.25">
      <c r="A2862" s="26" t="str">
        <f t="shared" si="568"/>
        <v>PREESCOLAR</v>
      </c>
      <c r="B2862" s="26" t="str">
        <f>"09PJN5506Z"</f>
        <v>09PJN5506Z</v>
      </c>
      <c r="C2862" s="26" t="str">
        <f>"KINDER LA CASITA DE LOS NIÑOS                                                                       "</f>
        <v xml:space="preserve">KINDER LA CASITA DE LOS NIÑOS                                                                       </v>
      </c>
      <c r="D2862" s="26" t="str">
        <f t="shared" si="573"/>
        <v>MATUTINO</v>
      </c>
      <c r="E2862" s="26" t="str">
        <f>"AVENIDA 20 DE NOVIEMBRE NO.445                                                  "</f>
        <v xml:space="preserve">AVENIDA 20 DE NOVIEMBRE NO.445                                                  </v>
      </c>
      <c r="F2862" s="26" t="str">
        <f>"LA NORIA                                                                                                                                    "</f>
        <v xml:space="preserve">LA NORIA                                                                                                                                    </v>
      </c>
      <c r="G2862" s="26" t="str">
        <f>"XOCHIMILCO                                                                      "</f>
        <v xml:space="preserve">XOCHIMILCO                                                                      </v>
      </c>
      <c r="H2862" s="26" t="str">
        <f>"103"</f>
        <v>103</v>
      </c>
      <c r="I2862" s="26" t="str">
        <f t="shared" si="569"/>
        <v>00</v>
      </c>
      <c r="J2862" s="26" t="str">
        <f>"35 "</f>
        <v xml:space="preserve">35 </v>
      </c>
      <c r="K2862" s="26" t="str">
        <f t="shared" si="574"/>
        <v>EP</v>
      </c>
      <c r="L2862" s="26" t="str">
        <f t="shared" si="575"/>
        <v>DGOSE</v>
      </c>
      <c r="M2862" s="26" t="str">
        <f t="shared" si="567"/>
        <v>PARTICULAR</v>
      </c>
      <c r="N2862" s="26">
        <v>26</v>
      </c>
      <c r="O2862" s="26">
        <v>17</v>
      </c>
      <c r="P2862" s="26">
        <v>9</v>
      </c>
      <c r="Q2862" s="26">
        <v>3</v>
      </c>
      <c r="R2862" s="26">
        <v>1</v>
      </c>
      <c r="S2862" s="26">
        <v>3</v>
      </c>
      <c r="T2862" s="26">
        <v>1</v>
      </c>
      <c r="U2862" s="26">
        <v>5</v>
      </c>
      <c r="V2862" s="26">
        <v>1</v>
      </c>
      <c r="W2862" s="26"/>
    </row>
    <row r="2863" spans="1:23" x14ac:dyDescent="0.25">
      <c r="A2863" s="26" t="str">
        <f t="shared" si="568"/>
        <v>PREESCOLAR</v>
      </c>
      <c r="B2863" s="26" t="str">
        <f>"09PJN5507Z"</f>
        <v>09PJN5507Z</v>
      </c>
      <c r="C2863" s="26" t="str">
        <f>"INSTITUTO TAOMA                                                                                     "</f>
        <v xml:space="preserve">INSTITUTO TAOMA                                                                                     </v>
      </c>
      <c r="D2863" s="26" t="str">
        <f t="shared" si="573"/>
        <v>MATUTINO</v>
      </c>
      <c r="E2863" s="26" t="str">
        <f>"PLAN DE IGUALA NO.9                                                             "</f>
        <v xml:space="preserve">PLAN DE IGUALA NO.9                                                             </v>
      </c>
      <c r="F2863" s="26" t="str">
        <f>"SAN LORENZO LA CEBADA                                                                                                                       "</f>
        <v xml:space="preserve">SAN LORENZO LA CEBADA                                                                                                                       </v>
      </c>
      <c r="G2863" s="26" t="str">
        <f>"XOCHIMILCO                                                                      "</f>
        <v xml:space="preserve">XOCHIMILCO                                                                      </v>
      </c>
      <c r="H2863" s="26" t="str">
        <f>"172"</f>
        <v>172</v>
      </c>
      <c r="I2863" s="26" t="str">
        <f t="shared" si="569"/>
        <v>00</v>
      </c>
      <c r="J2863" s="26" t="str">
        <f>"35 "</f>
        <v xml:space="preserve">35 </v>
      </c>
      <c r="K2863" s="26" t="str">
        <f t="shared" si="574"/>
        <v>EP</v>
      </c>
      <c r="L2863" s="26" t="str">
        <f t="shared" si="575"/>
        <v>DGOSE</v>
      </c>
      <c r="M2863" s="26" t="str">
        <f t="shared" si="567"/>
        <v>PARTICULAR</v>
      </c>
      <c r="N2863" s="26">
        <v>40</v>
      </c>
      <c r="O2863" s="26">
        <v>18</v>
      </c>
      <c r="P2863" s="26">
        <v>22</v>
      </c>
      <c r="Q2863" s="26">
        <v>3</v>
      </c>
      <c r="R2863" s="26">
        <v>1</v>
      </c>
      <c r="S2863" s="26">
        <v>2</v>
      </c>
      <c r="T2863" s="26">
        <v>2</v>
      </c>
      <c r="U2863" s="26">
        <v>5</v>
      </c>
      <c r="V2863" s="26">
        <v>1</v>
      </c>
      <c r="W2863" s="26"/>
    </row>
    <row r="2864" spans="1:23" x14ac:dyDescent="0.25">
      <c r="A2864" s="26" t="str">
        <f t="shared" si="568"/>
        <v>PREESCOLAR</v>
      </c>
      <c r="B2864" s="26" t="str">
        <f>"09PJN5508Y"</f>
        <v>09PJN5508Y</v>
      </c>
      <c r="C2864" s="26" t="str">
        <f>"JARDIN DE NIÑOS EL MUNDO FELIZ                                                                      "</f>
        <v xml:space="preserve">JARDIN DE NIÑOS EL MUNDO FELIZ                                                                      </v>
      </c>
      <c r="D2864" s="26" t="str">
        <f t="shared" si="573"/>
        <v>MATUTINO</v>
      </c>
      <c r="E2864" s="26" t="str">
        <f>"TANGER NO. 33                                                                   "</f>
        <v xml:space="preserve">TANGER NO. 33                                                                   </v>
      </c>
      <c r="F2864" s="26" t="str">
        <f>"ROMERO RUBIO                                                                                                                                "</f>
        <v xml:space="preserve">ROMERO RUBIO                                                                                                                                </v>
      </c>
      <c r="G2864" s="26" t="str">
        <f>"VENUSTIANO CARRANZA                                                             "</f>
        <v xml:space="preserve">VENUSTIANO CARRANZA                                                             </v>
      </c>
      <c r="H2864" s="26" t="str">
        <f>"130"</f>
        <v>130</v>
      </c>
      <c r="I2864" s="26" t="str">
        <f t="shared" si="569"/>
        <v>00</v>
      </c>
      <c r="J2864" s="26" t="str">
        <f>"33 "</f>
        <v xml:space="preserve">33 </v>
      </c>
      <c r="K2864" s="26" t="str">
        <f t="shared" si="574"/>
        <v>EP</v>
      </c>
      <c r="L2864" s="26" t="str">
        <f t="shared" si="575"/>
        <v>DGOSE</v>
      </c>
      <c r="M2864" s="26" t="str">
        <f t="shared" si="567"/>
        <v>PARTICULAR</v>
      </c>
      <c r="N2864" s="26">
        <v>37</v>
      </c>
      <c r="O2864" s="26">
        <v>20</v>
      </c>
      <c r="P2864" s="26">
        <v>17</v>
      </c>
      <c r="Q2864" s="26">
        <v>3</v>
      </c>
      <c r="R2864" s="26">
        <v>1</v>
      </c>
      <c r="S2864" s="26">
        <v>3</v>
      </c>
      <c r="T2864" s="26">
        <v>3</v>
      </c>
      <c r="U2864" s="26">
        <v>7</v>
      </c>
      <c r="V2864" s="26">
        <v>1</v>
      </c>
      <c r="W2864" s="26"/>
    </row>
    <row r="2865" spans="1:23" x14ac:dyDescent="0.25">
      <c r="A2865" s="26" t="str">
        <f t="shared" si="568"/>
        <v>PREESCOLAR</v>
      </c>
      <c r="B2865" s="26" t="str">
        <f>"09PJN5510M"</f>
        <v>09PJN5510M</v>
      </c>
      <c r="C2865" s="26" t="str">
        <f>"LA CASA DE LOS NIÑOS DE CELESTIN FREINET                                                            "</f>
        <v xml:space="preserve">LA CASA DE LOS NIÑOS DE CELESTIN FREINET                                                            </v>
      </c>
      <c r="D2865" s="26" t="str">
        <f t="shared" si="573"/>
        <v>MATUTINO</v>
      </c>
      <c r="E2865" s="26" t="str">
        <f>"VULCANIZACION NO.116                                                            "</f>
        <v xml:space="preserve">VULCANIZACION NO.116                                                            </v>
      </c>
      <c r="F2865" s="26" t="str">
        <f>"20 DE NOVIEMBRE                                                                                                                             "</f>
        <v xml:space="preserve">20 DE NOVIEMBRE                                                                                                                             </v>
      </c>
      <c r="G2865" s="26" t="str">
        <f>"VENUSTIANO CARRANZA                                                             "</f>
        <v xml:space="preserve">VENUSTIANO CARRANZA                                                             </v>
      </c>
      <c r="H2865" s="26" t="str">
        <f>"130"</f>
        <v>130</v>
      </c>
      <c r="I2865" s="26" t="str">
        <f t="shared" si="569"/>
        <v>00</v>
      </c>
      <c r="J2865" s="26" t="str">
        <f>"33 "</f>
        <v xml:space="preserve">33 </v>
      </c>
      <c r="K2865" s="26" t="str">
        <f t="shared" si="574"/>
        <v>EP</v>
      </c>
      <c r="L2865" s="26" t="str">
        <f t="shared" si="575"/>
        <v>DGOSE</v>
      </c>
      <c r="M2865" s="26" t="str">
        <f t="shared" si="567"/>
        <v>PARTICULAR</v>
      </c>
      <c r="N2865" s="26">
        <v>44</v>
      </c>
      <c r="O2865" s="26">
        <v>26</v>
      </c>
      <c r="P2865" s="26">
        <v>18</v>
      </c>
      <c r="Q2865" s="26">
        <v>3</v>
      </c>
      <c r="R2865" s="26">
        <v>1</v>
      </c>
      <c r="S2865" s="26">
        <v>3</v>
      </c>
      <c r="T2865" s="26">
        <v>0</v>
      </c>
      <c r="U2865" s="26">
        <v>4</v>
      </c>
      <c r="V2865" s="26">
        <v>1</v>
      </c>
      <c r="W2865" s="26"/>
    </row>
    <row r="2866" spans="1:23" x14ac:dyDescent="0.25">
      <c r="A2866" s="26" t="str">
        <f t="shared" si="568"/>
        <v>PREESCOLAR</v>
      </c>
      <c r="B2866" s="26" t="str">
        <f>"09PJN5511L"</f>
        <v>09PJN5511L</v>
      </c>
      <c r="C2866" s="26" t="str">
        <f>"JARDIN DE NIÑOS DOMINIQUE                                                                           "</f>
        <v xml:space="preserve">JARDIN DE NIÑOS DOMINIQUE                                                                           </v>
      </c>
      <c r="D2866" s="26" t="str">
        <f t="shared" si="573"/>
        <v>MATUTINO</v>
      </c>
      <c r="E2866" s="26" t="str">
        <f>"ESCUADRA NO. 104                                                                "</f>
        <v xml:space="preserve">ESCUADRA NO. 104                                                                </v>
      </c>
      <c r="F2866" s="26" t="str">
        <f>"SEVILLA                                                                                                                                     "</f>
        <v xml:space="preserve">SEVILLA                                                                                                                                     </v>
      </c>
      <c r="G2866" s="26" t="str">
        <f>"VENUSTIANO CARRANZA                                                             "</f>
        <v xml:space="preserve">VENUSTIANO CARRANZA                                                             </v>
      </c>
      <c r="H2866" s="26" t="str">
        <f>"096"</f>
        <v>096</v>
      </c>
      <c r="I2866" s="26" t="str">
        <f t="shared" si="569"/>
        <v>00</v>
      </c>
      <c r="J2866" s="26" t="str">
        <f>"33 "</f>
        <v xml:space="preserve">33 </v>
      </c>
      <c r="K2866" s="26" t="str">
        <f t="shared" si="574"/>
        <v>EP</v>
      </c>
      <c r="L2866" s="26" t="str">
        <f t="shared" si="575"/>
        <v>DGOSE</v>
      </c>
      <c r="M2866" s="26" t="str">
        <f t="shared" si="567"/>
        <v>PARTICULAR</v>
      </c>
      <c r="N2866" s="26">
        <v>17</v>
      </c>
      <c r="O2866" s="26">
        <v>7</v>
      </c>
      <c r="P2866" s="26">
        <v>10</v>
      </c>
      <c r="Q2866" s="26">
        <v>2</v>
      </c>
      <c r="R2866" s="26">
        <v>1</v>
      </c>
      <c r="S2866" s="26">
        <v>2</v>
      </c>
      <c r="T2866" s="26">
        <v>4</v>
      </c>
      <c r="U2866" s="26">
        <v>7</v>
      </c>
      <c r="V2866" s="26">
        <v>1</v>
      </c>
      <c r="W2866" s="26"/>
    </row>
    <row r="2867" spans="1:23" x14ac:dyDescent="0.25">
      <c r="A2867" s="26" t="str">
        <f t="shared" si="568"/>
        <v>PREESCOLAR</v>
      </c>
      <c r="B2867" s="26" t="str">
        <f>"09PJN5517F"</f>
        <v>09PJN5517F</v>
      </c>
      <c r="C2867" s="26" t="str">
        <f>"DARWIN                                                                                              "</f>
        <v xml:space="preserve">DARWIN                                                                                              </v>
      </c>
      <c r="D2867" s="26" t="str">
        <f t="shared" si="573"/>
        <v>MATUTINO</v>
      </c>
      <c r="E2867" s="26" t="str">
        <f>"DEL BOSQUE NO. 9                                                                "</f>
        <v xml:space="preserve">DEL BOSQUE NO. 9                                                                </v>
      </c>
      <c r="F2867" s="26" t="str">
        <f>"SAN LUIS TLAXIALTEMALCO                                                                                                                     "</f>
        <v xml:space="preserve">SAN LUIS TLAXIALTEMALCO                                                                                                                     </v>
      </c>
      <c r="G2867" s="26" t="str">
        <f>"XOCHIMILCO                                                                      "</f>
        <v xml:space="preserve">XOCHIMILCO                                                                      </v>
      </c>
      <c r="H2867" s="26" t="str">
        <f>"281"</f>
        <v>281</v>
      </c>
      <c r="I2867" s="26" t="str">
        <f t="shared" si="569"/>
        <v>00</v>
      </c>
      <c r="J2867" s="26" t="str">
        <f>"35 "</f>
        <v xml:space="preserve">35 </v>
      </c>
      <c r="K2867" s="26" t="str">
        <f t="shared" si="574"/>
        <v>EP</v>
      </c>
      <c r="L2867" s="26" t="str">
        <f t="shared" si="575"/>
        <v>DGOSE</v>
      </c>
      <c r="M2867" s="26" t="str">
        <f t="shared" si="567"/>
        <v>PARTICULAR</v>
      </c>
      <c r="N2867" s="26">
        <v>21</v>
      </c>
      <c r="O2867" s="26">
        <v>11</v>
      </c>
      <c r="P2867" s="26">
        <v>10</v>
      </c>
      <c r="Q2867" s="26">
        <v>3</v>
      </c>
      <c r="R2867" s="26">
        <v>1</v>
      </c>
      <c r="S2867" s="26">
        <v>3</v>
      </c>
      <c r="T2867" s="26">
        <v>0</v>
      </c>
      <c r="U2867" s="26">
        <v>4</v>
      </c>
      <c r="V2867" s="26">
        <v>1</v>
      </c>
      <c r="W2867" s="26"/>
    </row>
    <row r="2868" spans="1:23" x14ac:dyDescent="0.25">
      <c r="A2868" s="26" t="str">
        <f t="shared" si="568"/>
        <v>PREESCOLAR</v>
      </c>
      <c r="B2868" s="26" t="str">
        <f>"09PJN5518E"</f>
        <v>09PJN5518E</v>
      </c>
      <c r="C2868" s="26" t="str">
        <f>"COLEGIO TIRSO DE MOLINA                                                                             "</f>
        <v xml:space="preserve">COLEGIO TIRSO DE MOLINA                                                                             </v>
      </c>
      <c r="D2868" s="26" t="str">
        <f t="shared" si="573"/>
        <v>MATUTINO</v>
      </c>
      <c r="E2868" s="26" t="str">
        <f>"TORNO NO.111                                                                    "</f>
        <v xml:space="preserve">TORNO NO.111                                                                    </v>
      </c>
      <c r="F2868" s="26" t="str">
        <f>"AARON SAENZ                                                                                                                                 "</f>
        <v xml:space="preserve">AARON SAENZ                                                                                                                                 </v>
      </c>
      <c r="G2868" s="26" t="str">
        <f>"VENUSTIANO CARRANZA                                                             "</f>
        <v xml:space="preserve">VENUSTIANO CARRANZA                                                             </v>
      </c>
      <c r="H2868" s="26" t="str">
        <f>"096"</f>
        <v>096</v>
      </c>
      <c r="I2868" s="26" t="str">
        <f t="shared" si="569"/>
        <v>00</v>
      </c>
      <c r="J2868" s="26" t="str">
        <f>"33 "</f>
        <v xml:space="preserve">33 </v>
      </c>
      <c r="K2868" s="26" t="str">
        <f t="shared" si="574"/>
        <v>EP</v>
      </c>
      <c r="L2868" s="26" t="str">
        <f t="shared" si="575"/>
        <v>DGOSE</v>
      </c>
      <c r="M2868" s="26" t="str">
        <f t="shared" si="567"/>
        <v>PARTICULAR</v>
      </c>
      <c r="N2868" s="26">
        <v>38</v>
      </c>
      <c r="O2868" s="26">
        <v>13</v>
      </c>
      <c r="P2868" s="26">
        <v>25</v>
      </c>
      <c r="Q2868" s="26">
        <v>3</v>
      </c>
      <c r="R2868" s="26">
        <v>1</v>
      </c>
      <c r="S2868" s="26">
        <v>3</v>
      </c>
      <c r="T2868" s="26">
        <v>6</v>
      </c>
      <c r="U2868" s="26">
        <v>10</v>
      </c>
      <c r="V2868" s="26">
        <v>1</v>
      </c>
      <c r="W2868" s="26"/>
    </row>
    <row r="2869" spans="1:23" x14ac:dyDescent="0.25">
      <c r="A2869" s="26" t="str">
        <f t="shared" si="568"/>
        <v>PREESCOLAR</v>
      </c>
      <c r="B2869" s="26" t="str">
        <f>"09PJN5519D"</f>
        <v>09PJN5519D</v>
      </c>
      <c r="C2869" s="26" t="str">
        <f>"CAMINITO DE LA ESCUELA                                                                              "</f>
        <v xml:space="preserve">CAMINITO DE LA ESCUELA                                                                              </v>
      </c>
      <c r="D2869" s="26" t="str">
        <f t="shared" si="573"/>
        <v>MATUTINO</v>
      </c>
      <c r="E2869" s="26" t="str">
        <f>"SANTA FE MZ. 98-C LT. 37                                                        "</f>
        <v xml:space="preserve">SANTA FE MZ. 98-C LT. 37                                                        </v>
      </c>
      <c r="F2869" s="26" t="str">
        <f>"BUENAVISTA                                                                                                                                  "</f>
        <v xml:space="preserve">BUENAVISTA                                                                                                                                  </v>
      </c>
      <c r="G2869" s="26" t="str">
        <f>"IZTAPALAPA                                                                      "</f>
        <v xml:space="preserve">IZTAPALAPA                                                                      </v>
      </c>
      <c r="H2869" s="26" t="str">
        <f>"000"</f>
        <v>000</v>
      </c>
      <c r="I2869" s="26" t="str">
        <f t="shared" si="569"/>
        <v>00</v>
      </c>
      <c r="J2869" s="26" t="str">
        <f>"64 "</f>
        <v xml:space="preserve">64 </v>
      </c>
      <c r="K2869" s="26" t="str">
        <f>"IZ"</f>
        <v>IZ</v>
      </c>
      <c r="L2869" s="26" t="str">
        <f>"DGSEI"</f>
        <v>DGSEI</v>
      </c>
      <c r="M2869" s="26" t="str">
        <f t="shared" si="567"/>
        <v>PARTICULAR</v>
      </c>
      <c r="N2869" s="26">
        <v>29</v>
      </c>
      <c r="O2869" s="26">
        <v>23</v>
      </c>
      <c r="P2869" s="26">
        <v>6</v>
      </c>
      <c r="Q2869" s="26">
        <v>2</v>
      </c>
      <c r="R2869" s="26">
        <v>1</v>
      </c>
      <c r="S2869" s="26">
        <v>2</v>
      </c>
      <c r="T2869" s="26">
        <v>1</v>
      </c>
      <c r="U2869" s="26">
        <v>4</v>
      </c>
      <c r="V2869" s="26">
        <v>1</v>
      </c>
      <c r="W2869" s="26"/>
    </row>
    <row r="2870" spans="1:23" x14ac:dyDescent="0.25">
      <c r="A2870" s="26" t="str">
        <f t="shared" si="568"/>
        <v>PREESCOLAR</v>
      </c>
      <c r="B2870" s="26" t="str">
        <f>"09PJN5521S"</f>
        <v>09PJN5521S</v>
      </c>
      <c r="C2870" s="26" t="str">
        <f>"COMUNIDAD MONTESSORI BOSQUES                                                                        "</f>
        <v xml:space="preserve">COMUNIDAD MONTESSORI BOSQUES                                                                        </v>
      </c>
      <c r="D2870" s="26" t="str">
        <f t="shared" si="573"/>
        <v>MATUTINO</v>
      </c>
      <c r="E2870" s="26" t="str">
        <f>"AV. STIM NO. 1340                                                               "</f>
        <v xml:space="preserve">AV. STIM NO. 1340                                                               </v>
      </c>
      <c r="F2870" s="26" t="str">
        <f>"LOMAS DE CHAMIZAL                                                                                                                           "</f>
        <v xml:space="preserve">LOMAS DE CHAMIZAL                                                                                                                           </v>
      </c>
      <c r="G2870" s="26" t="str">
        <f>"CUAJIMALPA DE MORELOS                                                           "</f>
        <v xml:space="preserve">CUAJIMALPA DE MORELOS                                                           </v>
      </c>
      <c r="H2870" s="26" t="str">
        <f>"089"</f>
        <v>089</v>
      </c>
      <c r="I2870" s="26" t="str">
        <f t="shared" si="569"/>
        <v>00</v>
      </c>
      <c r="J2870" s="26" t="str">
        <f t="shared" ref="J2870:J2875" si="578">"33 "</f>
        <v xml:space="preserve">33 </v>
      </c>
      <c r="K2870" s="26" t="str">
        <f t="shared" ref="K2870:K2916" si="579">"EP"</f>
        <v>EP</v>
      </c>
      <c r="L2870" s="26" t="str">
        <f t="shared" ref="L2870:L2916" si="580">"DGOSE"</f>
        <v>DGOSE</v>
      </c>
      <c r="M2870" s="26" t="str">
        <f t="shared" si="567"/>
        <v>PARTICULAR</v>
      </c>
      <c r="N2870" s="26">
        <v>13</v>
      </c>
      <c r="O2870" s="26">
        <v>8</v>
      </c>
      <c r="P2870" s="26">
        <v>5</v>
      </c>
      <c r="Q2870" s="26">
        <v>2</v>
      </c>
      <c r="R2870" s="26">
        <v>1</v>
      </c>
      <c r="S2870" s="26">
        <v>1</v>
      </c>
      <c r="T2870" s="26">
        <v>2</v>
      </c>
      <c r="U2870" s="26">
        <v>4</v>
      </c>
      <c r="V2870" s="26">
        <v>1</v>
      </c>
      <c r="W2870" s="26"/>
    </row>
    <row r="2871" spans="1:23" x14ac:dyDescent="0.25">
      <c r="A2871" s="26" t="str">
        <f t="shared" si="568"/>
        <v>PREESCOLAR</v>
      </c>
      <c r="B2871" s="26" t="str">
        <f>"09PJN5522R"</f>
        <v>09PJN5522R</v>
      </c>
      <c r="C2871" s="26" t="str">
        <f>"COLEGIO INTERNACIONAL DE MEXICO                                                                     "</f>
        <v xml:space="preserve">COLEGIO INTERNACIONAL DE MEXICO                                                                     </v>
      </c>
      <c r="D2871" s="26" t="str">
        <f t="shared" si="573"/>
        <v>MATUTINO</v>
      </c>
      <c r="E2871" s="26" t="str">
        <f>"RIO MAGDALENA NO. 263                                                           "</f>
        <v xml:space="preserve">RIO MAGDALENA NO. 263                                                           </v>
      </c>
      <c r="F2871" s="26" t="str">
        <f>"TIZAPAN                                                                                                                                     "</f>
        <v xml:space="preserve">TIZAPAN                                                                                                                                     </v>
      </c>
      <c r="G2871" s="26" t="str">
        <f>"ALVARO OBREGON                                                                  "</f>
        <v xml:space="preserve">ALVARO OBREGON                                                                  </v>
      </c>
      <c r="H2871" s="26" t="str">
        <f>"214"</f>
        <v>214</v>
      </c>
      <c r="I2871" s="26" t="str">
        <f t="shared" si="569"/>
        <v>00</v>
      </c>
      <c r="J2871" s="26" t="str">
        <f t="shared" si="578"/>
        <v xml:space="preserve">33 </v>
      </c>
      <c r="K2871" s="26" t="str">
        <f t="shared" si="579"/>
        <v>EP</v>
      </c>
      <c r="L2871" s="26" t="str">
        <f t="shared" si="580"/>
        <v>DGOSE</v>
      </c>
      <c r="M2871" s="26" t="str">
        <f t="shared" si="567"/>
        <v>PARTICULAR</v>
      </c>
      <c r="N2871" s="26">
        <v>43</v>
      </c>
      <c r="O2871" s="26">
        <v>25</v>
      </c>
      <c r="P2871" s="26">
        <v>18</v>
      </c>
      <c r="Q2871" s="26">
        <v>3</v>
      </c>
      <c r="R2871" s="26">
        <v>1</v>
      </c>
      <c r="S2871" s="26">
        <v>3</v>
      </c>
      <c r="T2871" s="26">
        <v>9</v>
      </c>
      <c r="U2871" s="26">
        <v>13</v>
      </c>
      <c r="V2871" s="26">
        <v>1</v>
      </c>
      <c r="W2871" s="26"/>
    </row>
    <row r="2872" spans="1:23" x14ac:dyDescent="0.25">
      <c r="A2872" s="26" t="str">
        <f t="shared" si="568"/>
        <v>PREESCOLAR</v>
      </c>
      <c r="B2872" s="26" t="str">
        <f>"09PJN5524P"</f>
        <v>09PJN5524P</v>
      </c>
      <c r="C2872" s="26" t="str">
        <f>"OAK´S LEADERSHIP SCHOOL                                                                             "</f>
        <v xml:space="preserve">OAK´S LEADERSHIP SCHOOL                                                                             </v>
      </c>
      <c r="D2872" s="26" t="str">
        <f t="shared" si="573"/>
        <v>MATUTINO</v>
      </c>
      <c r="E2872" s="26" t="str">
        <f>"AV. SECRETARIA DE MARINA NO. 510                                                "</f>
        <v xml:space="preserve">AV. SECRETARIA DE MARINA NO. 510                                                </v>
      </c>
      <c r="F2872" s="26" t="str">
        <f>"LOMAS DE CHAMIZAL                                                                                                                           "</f>
        <v xml:space="preserve">LOMAS DE CHAMIZAL                                                                                                                           </v>
      </c>
      <c r="G2872" s="26" t="str">
        <f>"CUAJIMALPA DE MORELOS                                                           "</f>
        <v xml:space="preserve">CUAJIMALPA DE MORELOS                                                           </v>
      </c>
      <c r="H2872" s="26" t="str">
        <f>"089"</f>
        <v>089</v>
      </c>
      <c r="I2872" s="26" t="str">
        <f t="shared" si="569"/>
        <v>00</v>
      </c>
      <c r="J2872" s="26" t="str">
        <f t="shared" si="578"/>
        <v xml:space="preserve">33 </v>
      </c>
      <c r="K2872" s="26" t="str">
        <f t="shared" si="579"/>
        <v>EP</v>
      </c>
      <c r="L2872" s="26" t="str">
        <f t="shared" si="580"/>
        <v>DGOSE</v>
      </c>
      <c r="M2872" s="26" t="str">
        <f t="shared" si="567"/>
        <v>PARTICULAR</v>
      </c>
      <c r="N2872" s="26">
        <v>102</v>
      </c>
      <c r="O2872" s="26">
        <v>67</v>
      </c>
      <c r="P2872" s="26">
        <v>35</v>
      </c>
      <c r="Q2872" s="26">
        <v>6</v>
      </c>
      <c r="R2872" s="26">
        <v>1</v>
      </c>
      <c r="S2872" s="26">
        <v>6</v>
      </c>
      <c r="T2872" s="26">
        <v>6</v>
      </c>
      <c r="U2872" s="26">
        <v>13</v>
      </c>
      <c r="V2872" s="26">
        <v>1</v>
      </c>
      <c r="W2872" s="26"/>
    </row>
    <row r="2873" spans="1:23" x14ac:dyDescent="0.25">
      <c r="A2873" s="26" t="str">
        <f t="shared" si="568"/>
        <v>PREESCOLAR</v>
      </c>
      <c r="B2873" s="26" t="str">
        <f>"09PJN5525O"</f>
        <v>09PJN5525O</v>
      </c>
      <c r="C2873" s="26" t="str">
        <f>"EL MAGICO MUNDO DE SUNASHI                                                                          "</f>
        <v xml:space="preserve">EL MAGICO MUNDO DE SUNASHI                                                                          </v>
      </c>
      <c r="D2873" s="26" t="str">
        <f t="shared" si="573"/>
        <v>MATUTINO</v>
      </c>
      <c r="E2873" s="26" t="str">
        <f>"TIZIANO NO. 189                                                                 "</f>
        <v xml:space="preserve">TIZIANO NO. 189                                                                 </v>
      </c>
      <c r="F2873" s="26" t="str">
        <f>"ALFONSO XIII                                                                                                                                "</f>
        <v xml:space="preserve">ALFONSO XIII                                                                                                                                </v>
      </c>
      <c r="G2873" s="26" t="str">
        <f>"ALVARO OBREGON                                                                  "</f>
        <v xml:space="preserve">ALVARO OBREGON                                                                  </v>
      </c>
      <c r="H2873" s="26" t="str">
        <f>"165"</f>
        <v>165</v>
      </c>
      <c r="I2873" s="26" t="str">
        <f t="shared" si="569"/>
        <v>00</v>
      </c>
      <c r="J2873" s="26" t="str">
        <f t="shared" si="578"/>
        <v xml:space="preserve">33 </v>
      </c>
      <c r="K2873" s="26" t="str">
        <f t="shared" si="579"/>
        <v>EP</v>
      </c>
      <c r="L2873" s="26" t="str">
        <f t="shared" si="580"/>
        <v>DGOSE</v>
      </c>
      <c r="M2873" s="26" t="str">
        <f t="shared" si="567"/>
        <v>PARTICULAR</v>
      </c>
      <c r="N2873" s="26">
        <v>26</v>
      </c>
      <c r="O2873" s="26">
        <v>15</v>
      </c>
      <c r="P2873" s="26">
        <v>11</v>
      </c>
      <c r="Q2873" s="26">
        <v>3</v>
      </c>
      <c r="R2873" s="26">
        <v>1</v>
      </c>
      <c r="S2873" s="26">
        <v>2</v>
      </c>
      <c r="T2873" s="26">
        <v>2</v>
      </c>
      <c r="U2873" s="26">
        <v>5</v>
      </c>
      <c r="V2873" s="26">
        <v>1</v>
      </c>
      <c r="W2873" s="26"/>
    </row>
    <row r="2874" spans="1:23" x14ac:dyDescent="0.25">
      <c r="A2874" s="26" t="str">
        <f t="shared" si="568"/>
        <v>PREESCOLAR</v>
      </c>
      <c r="B2874" s="26" t="str">
        <f>"09PJN5527M"</f>
        <v>09PJN5527M</v>
      </c>
      <c r="C2874" s="26" t="str">
        <f>"ARCOIRIS                                                                                            "</f>
        <v xml:space="preserve">ARCOIRIS                                                                                            </v>
      </c>
      <c r="D2874" s="26" t="str">
        <f t="shared" si="573"/>
        <v>MATUTINO</v>
      </c>
      <c r="E2874" s="26" t="str">
        <f>"XOCHIMILCO NO. 32-B MZA.6 LTS.15 Y 16                                           "</f>
        <v xml:space="preserve">XOCHIMILCO NO. 32-B MZA.6 LTS.15 Y 16                                           </v>
      </c>
      <c r="F2874" s="26" t="str">
        <f>"AGRICOLA PANTITLAN                                                                                                                          "</f>
        <v xml:space="preserve">AGRICOLA PANTITLAN                                                                                                                          </v>
      </c>
      <c r="G2874" s="26" t="str">
        <f>"IZTACALCO                                                                       "</f>
        <v xml:space="preserve">IZTACALCO                                                                       </v>
      </c>
      <c r="H2874" s="26" t="str">
        <f>"241"</f>
        <v>241</v>
      </c>
      <c r="I2874" s="26" t="str">
        <f t="shared" si="569"/>
        <v>00</v>
      </c>
      <c r="J2874" s="26" t="str">
        <f t="shared" si="578"/>
        <v xml:space="preserve">33 </v>
      </c>
      <c r="K2874" s="26" t="str">
        <f t="shared" si="579"/>
        <v>EP</v>
      </c>
      <c r="L2874" s="26" t="str">
        <f t="shared" si="580"/>
        <v>DGOSE</v>
      </c>
      <c r="M2874" s="26" t="str">
        <f t="shared" si="567"/>
        <v>PARTICULAR</v>
      </c>
      <c r="N2874" s="26">
        <v>3</v>
      </c>
      <c r="O2874" s="26">
        <v>1</v>
      </c>
      <c r="P2874" s="26">
        <v>2</v>
      </c>
      <c r="Q2874" s="26">
        <v>1</v>
      </c>
      <c r="R2874" s="26">
        <v>1</v>
      </c>
      <c r="S2874" s="26">
        <v>1</v>
      </c>
      <c r="T2874" s="26">
        <v>0</v>
      </c>
      <c r="U2874" s="26">
        <v>2</v>
      </c>
      <c r="V2874" s="26">
        <v>1</v>
      </c>
      <c r="W2874" s="26"/>
    </row>
    <row r="2875" spans="1:23" x14ac:dyDescent="0.25">
      <c r="A2875" s="26" t="str">
        <f t="shared" si="568"/>
        <v>PREESCOLAR</v>
      </c>
      <c r="B2875" s="26" t="str">
        <f>"09PJN5529K"</f>
        <v>09PJN5529K</v>
      </c>
      <c r="C2875" s="26" t="str">
        <f>"JARDIN EDUCATIVO Y RECREATIVO INFANTIL DENVER                                                       "</f>
        <v xml:space="preserve">JARDIN EDUCATIVO Y RECREATIVO INFANTIL DENVER                                                       </v>
      </c>
      <c r="D2875" s="26" t="str">
        <f t="shared" si="573"/>
        <v>MATUTINO</v>
      </c>
      <c r="E2875" s="26" t="str">
        <f>"AVENIDA MORELOS NO.697                                                          "</f>
        <v xml:space="preserve">AVENIDA MORELOS NO.697                                                          </v>
      </c>
      <c r="F2875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2875" s="26" t="str">
        <f>"VENUSTIANO CARRANZA                                                             "</f>
        <v xml:space="preserve">VENUSTIANO CARRANZA                                                             </v>
      </c>
      <c r="H2875" s="26" t="str">
        <f>"096"</f>
        <v>096</v>
      </c>
      <c r="I2875" s="26" t="str">
        <f t="shared" si="569"/>
        <v>00</v>
      </c>
      <c r="J2875" s="26" t="str">
        <f t="shared" si="578"/>
        <v xml:space="preserve">33 </v>
      </c>
      <c r="K2875" s="26" t="str">
        <f t="shared" si="579"/>
        <v>EP</v>
      </c>
      <c r="L2875" s="26" t="str">
        <f t="shared" si="580"/>
        <v>DGOSE</v>
      </c>
      <c r="M2875" s="26" t="str">
        <f t="shared" si="567"/>
        <v>PARTICULAR</v>
      </c>
      <c r="N2875" s="26">
        <v>8</v>
      </c>
      <c r="O2875" s="26">
        <v>5</v>
      </c>
      <c r="P2875" s="26">
        <v>3</v>
      </c>
      <c r="Q2875" s="26">
        <v>3</v>
      </c>
      <c r="R2875" s="26">
        <v>1</v>
      </c>
      <c r="S2875" s="26">
        <v>2</v>
      </c>
      <c r="T2875" s="26">
        <v>0</v>
      </c>
      <c r="U2875" s="26">
        <v>3</v>
      </c>
      <c r="V2875" s="26">
        <v>1</v>
      </c>
      <c r="W2875" s="26"/>
    </row>
    <row r="2876" spans="1:23" x14ac:dyDescent="0.25">
      <c r="A2876" s="26" t="str">
        <f t="shared" si="568"/>
        <v>PREESCOLAR</v>
      </c>
      <c r="B2876" s="26" t="str">
        <f>"09PJN5533X"</f>
        <v>09PJN5533X</v>
      </c>
      <c r="C2876" s="26" t="str">
        <f>"JARDIN DE NIÑOS FEDERICO FROEBEL                                                                    "</f>
        <v xml:space="preserve">JARDIN DE NIÑOS FEDERICO FROEBEL                                                                    </v>
      </c>
      <c r="D2876" s="26" t="str">
        <f t="shared" si="573"/>
        <v>MATUTINO</v>
      </c>
      <c r="E2876" s="26" t="str">
        <f>"AV. 5 DE MAYO NO. 127                                                           "</f>
        <v xml:space="preserve">AV. 5 DE MAYO NO. 127                                                           </v>
      </c>
      <c r="F2876" s="26" t="str">
        <f>"XALTOCAN                                                                                                                                    "</f>
        <v xml:space="preserve">XALTOCAN                                                                                                                                    </v>
      </c>
      <c r="G2876" s="26" t="str">
        <f>"XOCHIMILCO                                                                      "</f>
        <v xml:space="preserve">XOCHIMILCO                                                                      </v>
      </c>
      <c r="H2876" s="26" t="str">
        <f>"033"</f>
        <v>033</v>
      </c>
      <c r="I2876" s="26" t="str">
        <f t="shared" si="569"/>
        <v>00</v>
      </c>
      <c r="J2876" s="26" t="str">
        <f>"35 "</f>
        <v xml:space="preserve">35 </v>
      </c>
      <c r="K2876" s="26" t="str">
        <f t="shared" si="579"/>
        <v>EP</v>
      </c>
      <c r="L2876" s="26" t="str">
        <f t="shared" si="580"/>
        <v>DGOSE</v>
      </c>
      <c r="M2876" s="26" t="str">
        <f t="shared" si="567"/>
        <v>PARTICULAR</v>
      </c>
      <c r="N2876" s="26">
        <v>2</v>
      </c>
      <c r="O2876" s="26">
        <v>2</v>
      </c>
      <c r="P2876" s="26">
        <v>0</v>
      </c>
      <c r="Q2876" s="26">
        <v>2</v>
      </c>
      <c r="R2876" s="26">
        <v>1</v>
      </c>
      <c r="S2876" s="26">
        <v>1</v>
      </c>
      <c r="T2876" s="26">
        <v>2</v>
      </c>
      <c r="U2876" s="26">
        <v>4</v>
      </c>
      <c r="V2876" s="26">
        <v>1</v>
      </c>
      <c r="W2876" s="26"/>
    </row>
    <row r="2877" spans="1:23" x14ac:dyDescent="0.25">
      <c r="A2877" s="26" t="str">
        <f t="shared" si="568"/>
        <v>PREESCOLAR</v>
      </c>
      <c r="B2877" s="26" t="str">
        <f>"09PJN5534W"</f>
        <v>09PJN5534W</v>
      </c>
      <c r="C2877" s="26" t="str">
        <f>"COLEGIO MOSSIER                                                                                     "</f>
        <v xml:space="preserve">COLEGIO MOSSIER                                                                                     </v>
      </c>
      <c r="D2877" s="26" t="str">
        <f t="shared" si="573"/>
        <v>MATUTINO</v>
      </c>
      <c r="E2877" s="26" t="str">
        <f>"SUR 20 NO. 185                                                                  "</f>
        <v xml:space="preserve">SUR 20 NO. 185                                                                  </v>
      </c>
      <c r="F2877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2877" s="26" t="str">
        <f>"IZTACALCO                                                                       "</f>
        <v xml:space="preserve">IZTACALCO                                                                       </v>
      </c>
      <c r="H2877" s="26" t="str">
        <f>"143"</f>
        <v>143</v>
      </c>
      <c r="I2877" s="26" t="str">
        <f t="shared" si="569"/>
        <v>00</v>
      </c>
      <c r="J2877" s="26" t="str">
        <f>"33 "</f>
        <v xml:space="preserve">33 </v>
      </c>
      <c r="K2877" s="26" t="str">
        <f t="shared" si="579"/>
        <v>EP</v>
      </c>
      <c r="L2877" s="26" t="str">
        <f t="shared" si="580"/>
        <v>DGOSE</v>
      </c>
      <c r="M2877" s="26" t="str">
        <f t="shared" si="567"/>
        <v>PARTICULAR</v>
      </c>
      <c r="N2877" s="26">
        <v>24</v>
      </c>
      <c r="O2877" s="26">
        <v>16</v>
      </c>
      <c r="P2877" s="26">
        <v>8</v>
      </c>
      <c r="Q2877" s="26">
        <v>3</v>
      </c>
      <c r="R2877" s="26">
        <v>1</v>
      </c>
      <c r="S2877" s="26">
        <v>3</v>
      </c>
      <c r="T2877" s="26">
        <v>4</v>
      </c>
      <c r="U2877" s="26">
        <v>8</v>
      </c>
      <c r="V2877" s="26">
        <v>1</v>
      </c>
      <c r="W2877" s="26"/>
    </row>
    <row r="2878" spans="1:23" x14ac:dyDescent="0.25">
      <c r="A2878" s="26" t="str">
        <f t="shared" si="568"/>
        <v>PREESCOLAR</v>
      </c>
      <c r="B2878" s="26" t="str">
        <f>"09PJN5535V"</f>
        <v>09PJN5535V</v>
      </c>
      <c r="C2878" s="26" t="str">
        <f>"JARDÍN DE NIÑOS ARCOIRIS                                                                            "</f>
        <v xml:space="preserve">JARDÍN DE NIÑOS ARCOIRIS                                                                            </v>
      </c>
      <c r="D2878" s="26" t="str">
        <f t="shared" si="573"/>
        <v>MATUTINO</v>
      </c>
      <c r="E2878" s="26" t="str">
        <f>"XOCHITL NO.38                                                                   "</f>
        <v xml:space="preserve">XOCHITL NO.38                                                                   </v>
      </c>
      <c r="F2878" s="26" t="str">
        <f>"LA NORIA                                                                                                                                    "</f>
        <v xml:space="preserve">LA NORIA                                                                                                                                    </v>
      </c>
      <c r="G2878" s="26" t="str">
        <f>"XOCHIMILCO                                                                      "</f>
        <v xml:space="preserve">XOCHIMILCO                                                                      </v>
      </c>
      <c r="H2878" s="26" t="str">
        <f>"081"</f>
        <v>081</v>
      </c>
      <c r="I2878" s="26" t="str">
        <f t="shared" si="569"/>
        <v>00</v>
      </c>
      <c r="J2878" s="26" t="str">
        <f>"35 "</f>
        <v xml:space="preserve">35 </v>
      </c>
      <c r="K2878" s="26" t="str">
        <f t="shared" si="579"/>
        <v>EP</v>
      </c>
      <c r="L2878" s="26" t="str">
        <f t="shared" si="580"/>
        <v>DGOSE</v>
      </c>
      <c r="M2878" s="26" t="str">
        <f t="shared" si="567"/>
        <v>PARTICULAR</v>
      </c>
      <c r="N2878" s="26">
        <v>10</v>
      </c>
      <c r="O2878" s="26">
        <v>7</v>
      </c>
      <c r="P2878" s="26">
        <v>3</v>
      </c>
      <c r="Q2878" s="26">
        <v>3</v>
      </c>
      <c r="R2878" s="26">
        <v>1</v>
      </c>
      <c r="S2878" s="26">
        <v>3</v>
      </c>
      <c r="T2878" s="26">
        <v>3</v>
      </c>
      <c r="U2878" s="26">
        <v>7</v>
      </c>
      <c r="V2878" s="26">
        <v>1</v>
      </c>
      <c r="W2878" s="26"/>
    </row>
    <row r="2879" spans="1:23" x14ac:dyDescent="0.25">
      <c r="A2879" s="26" t="str">
        <f t="shared" si="568"/>
        <v>PREESCOLAR</v>
      </c>
      <c r="B2879" s="26" t="str">
        <f>"09PJN5536U"</f>
        <v>09PJN5536U</v>
      </c>
      <c r="C2879" s="26" t="str">
        <f>"JARDIN AMOS COMENIO                                                                                 "</f>
        <v xml:space="preserve">JARDIN AMOS COMENIO                                                                                 </v>
      </c>
      <c r="D2879" s="26" t="str">
        <f t="shared" si="573"/>
        <v>MATUTINO</v>
      </c>
      <c r="E2879" s="26" t="str">
        <f>"ANDRES MOLINA ENRIQUEZ NO. 4337                                                 "</f>
        <v xml:space="preserve">ANDRES MOLINA ENRIQUEZ NO. 4337                                                 </v>
      </c>
      <c r="F2879" s="26" t="str">
        <f>"VIADUCTO PIEDAD                                                                                                                             "</f>
        <v xml:space="preserve">VIADUCTO PIEDAD                                                                                                                             </v>
      </c>
      <c r="G2879" s="26" t="str">
        <f>"IZTACALCO                                                                       "</f>
        <v xml:space="preserve">IZTACALCO                                                                       </v>
      </c>
      <c r="H2879" s="26" t="str">
        <f>"144"</f>
        <v>144</v>
      </c>
      <c r="I2879" s="26" t="str">
        <f t="shared" si="569"/>
        <v>00</v>
      </c>
      <c r="J2879" s="26" t="str">
        <f>"33 "</f>
        <v xml:space="preserve">33 </v>
      </c>
      <c r="K2879" s="26" t="str">
        <f t="shared" si="579"/>
        <v>EP</v>
      </c>
      <c r="L2879" s="26" t="str">
        <f t="shared" si="580"/>
        <v>DGOSE</v>
      </c>
      <c r="M2879" s="26" t="str">
        <f t="shared" ref="M2879:M2942" si="581">"PARTICULAR"</f>
        <v>PARTICULAR</v>
      </c>
      <c r="N2879" s="26">
        <v>32</v>
      </c>
      <c r="O2879" s="26">
        <v>10</v>
      </c>
      <c r="P2879" s="26">
        <v>22</v>
      </c>
      <c r="Q2879" s="26">
        <v>3</v>
      </c>
      <c r="R2879" s="26">
        <v>1</v>
      </c>
      <c r="S2879" s="26">
        <v>3</v>
      </c>
      <c r="T2879" s="26">
        <v>6</v>
      </c>
      <c r="U2879" s="26">
        <v>10</v>
      </c>
      <c r="V2879" s="26">
        <v>1</v>
      </c>
      <c r="W2879" s="26"/>
    </row>
    <row r="2880" spans="1:23" x14ac:dyDescent="0.25">
      <c r="A2880" s="26" t="str">
        <f t="shared" si="568"/>
        <v>PREESCOLAR</v>
      </c>
      <c r="B2880" s="26" t="str">
        <f>"09PJN5537T"</f>
        <v>09PJN5537T</v>
      </c>
      <c r="C2880" s="26" t="str">
        <f>"JARDÍN DE NIÑOS COLEGIO MOCTEZUMA I                                                                 "</f>
        <v xml:space="preserve">JARDÍN DE NIÑOS COLEGIO MOCTEZUMA I                                                                 </v>
      </c>
      <c r="D2880" s="26" t="str">
        <f t="shared" si="573"/>
        <v>MATUTINO</v>
      </c>
      <c r="E2880" s="26" t="str">
        <f>"CALLE 17 NO. 5                                                                  "</f>
        <v xml:space="preserve">CALLE 17 NO. 5                                                                  </v>
      </c>
      <c r="F2880" s="26" t="str">
        <f>"MOCTEZUMA 1A SECCION                                                                                                                        "</f>
        <v xml:space="preserve">MOCTEZUMA 1A SECCION                                                                                                                        </v>
      </c>
      <c r="G2880" s="26" t="str">
        <f>"VENUSTIANO CARRANZA                                                             "</f>
        <v xml:space="preserve">VENUSTIANO CARRANZA                                                             </v>
      </c>
      <c r="H2880" s="26" t="str">
        <f>"248"</f>
        <v>248</v>
      </c>
      <c r="I2880" s="26" t="str">
        <f t="shared" si="569"/>
        <v>00</v>
      </c>
      <c r="J2880" s="26" t="str">
        <f>"33 "</f>
        <v xml:space="preserve">33 </v>
      </c>
      <c r="K2880" s="26" t="str">
        <f t="shared" si="579"/>
        <v>EP</v>
      </c>
      <c r="L2880" s="26" t="str">
        <f t="shared" si="580"/>
        <v>DGOSE</v>
      </c>
      <c r="M2880" s="26" t="str">
        <f t="shared" si="581"/>
        <v>PARTICULAR</v>
      </c>
      <c r="N2880" s="26">
        <v>21</v>
      </c>
      <c r="O2880" s="26">
        <v>11</v>
      </c>
      <c r="P2880" s="26">
        <v>10</v>
      </c>
      <c r="Q2880" s="26">
        <v>3</v>
      </c>
      <c r="R2880" s="26">
        <v>1</v>
      </c>
      <c r="S2880" s="26">
        <v>2</v>
      </c>
      <c r="T2880" s="26">
        <v>0</v>
      </c>
      <c r="U2880" s="26">
        <v>3</v>
      </c>
      <c r="V2880" s="26">
        <v>1</v>
      </c>
      <c r="W2880" s="26"/>
    </row>
    <row r="2881" spans="1:23" x14ac:dyDescent="0.25">
      <c r="A2881" s="26" t="str">
        <f t="shared" si="568"/>
        <v>PREESCOLAR</v>
      </c>
      <c r="B2881" s="26" t="str">
        <f>"09PJN5539R"</f>
        <v>09PJN5539R</v>
      </c>
      <c r="C2881" s="26" t="str">
        <f>"COLEGIO DIEGO RIVERA                                                                                "</f>
        <v xml:space="preserve">COLEGIO DIEGO RIVERA                                                                                </v>
      </c>
      <c r="D2881" s="26" t="str">
        <f t="shared" si="573"/>
        <v>MATUTINO</v>
      </c>
      <c r="E2881" s="26" t="str">
        <f>"DIEGO CAYETANO ZAPATA MZA. 841 LT.07                                            "</f>
        <v xml:space="preserve">DIEGO CAYETANO ZAPATA MZA. 841 LT.07                                            </v>
      </c>
      <c r="F2881" s="26" t="str">
        <f>"SAN SEBASTIAN                                                                                                                               "</f>
        <v xml:space="preserve">SAN SEBASTIAN                                                                                                                               </v>
      </c>
      <c r="G2881" s="26" t="str">
        <f>"TLAHUAC                                                                         "</f>
        <v xml:space="preserve">TLAHUAC                                                                         </v>
      </c>
      <c r="H2881" s="26" t="str">
        <f>"083"</f>
        <v>083</v>
      </c>
      <c r="I2881" s="26" t="str">
        <f t="shared" si="569"/>
        <v>00</v>
      </c>
      <c r="J2881" s="26" t="str">
        <f>"35 "</f>
        <v xml:space="preserve">35 </v>
      </c>
      <c r="K2881" s="26" t="str">
        <f t="shared" si="579"/>
        <v>EP</v>
      </c>
      <c r="L2881" s="26" t="str">
        <f t="shared" si="580"/>
        <v>DGOSE</v>
      </c>
      <c r="M2881" s="26" t="str">
        <f t="shared" si="581"/>
        <v>PARTICULAR</v>
      </c>
      <c r="N2881" s="26">
        <v>39</v>
      </c>
      <c r="O2881" s="26">
        <v>20</v>
      </c>
      <c r="P2881" s="26">
        <v>19</v>
      </c>
      <c r="Q2881" s="26">
        <v>3</v>
      </c>
      <c r="R2881" s="26">
        <v>1</v>
      </c>
      <c r="S2881" s="26">
        <v>3</v>
      </c>
      <c r="T2881" s="26">
        <v>1</v>
      </c>
      <c r="U2881" s="26">
        <v>5</v>
      </c>
      <c r="V2881" s="26">
        <v>1</v>
      </c>
      <c r="W2881" s="26"/>
    </row>
    <row r="2882" spans="1:23" x14ac:dyDescent="0.25">
      <c r="A2882" s="26" t="str">
        <f t="shared" ref="A2882:A2945" si="582">"PREESCOLAR"</f>
        <v>PREESCOLAR</v>
      </c>
      <c r="B2882" s="26" t="str">
        <f>"09PJN5540G"</f>
        <v>09PJN5540G</v>
      </c>
      <c r="C2882" s="26" t="str">
        <f>"APRENDIZAJE Y DESARROLLO INFANTIL                                                                   "</f>
        <v xml:space="preserve">APRENDIZAJE Y DESARROLLO INFANTIL                                                                   </v>
      </c>
      <c r="D2882" s="26" t="str">
        <f t="shared" si="573"/>
        <v>MATUTINO</v>
      </c>
      <c r="E2882" s="26" t="str">
        <f>"AJUSCO NO. 35                                                                   "</f>
        <v xml:space="preserve">AJUSCO NO. 35                                                                   </v>
      </c>
      <c r="F2882" s="26" t="str">
        <f>"FLORIDA                                                                                                                                     "</f>
        <v xml:space="preserve">FLORIDA                                                                                                                                     </v>
      </c>
      <c r="G2882" s="26" t="str">
        <f>"ALVARO OBREGON                                                                  "</f>
        <v xml:space="preserve">ALVARO OBREGON                                                                  </v>
      </c>
      <c r="H2882" s="26" t="str">
        <f>"087"</f>
        <v>087</v>
      </c>
      <c r="I2882" s="26" t="str">
        <f t="shared" ref="I2882:I2945" si="583">"00"</f>
        <v>00</v>
      </c>
      <c r="J2882" s="26" t="str">
        <f>"33 "</f>
        <v xml:space="preserve">33 </v>
      </c>
      <c r="K2882" s="26" t="str">
        <f t="shared" si="579"/>
        <v>EP</v>
      </c>
      <c r="L2882" s="26" t="str">
        <f t="shared" si="580"/>
        <v>DGOSE</v>
      </c>
      <c r="M2882" s="26" t="str">
        <f t="shared" si="581"/>
        <v>PARTICULAR</v>
      </c>
      <c r="N2882" s="26">
        <v>15</v>
      </c>
      <c r="O2882" s="26">
        <v>9</v>
      </c>
      <c r="P2882" s="26">
        <v>6</v>
      </c>
      <c r="Q2882" s="26">
        <v>2</v>
      </c>
      <c r="R2882" s="26">
        <v>1</v>
      </c>
      <c r="S2882" s="26">
        <v>1</v>
      </c>
      <c r="T2882" s="26">
        <v>2</v>
      </c>
      <c r="U2882" s="26">
        <v>4</v>
      </c>
      <c r="V2882" s="26">
        <v>1</v>
      </c>
      <c r="W2882" s="26"/>
    </row>
    <row r="2883" spans="1:23" x14ac:dyDescent="0.25">
      <c r="A2883" s="26" t="str">
        <f t="shared" si="582"/>
        <v>PREESCOLAR</v>
      </c>
      <c r="B2883" s="26" t="str">
        <f>"09PJN5541F"</f>
        <v>09PJN5541F</v>
      </c>
      <c r="C2883" s="26" t="str">
        <f>"KINDER ALPINE                                                                                       "</f>
        <v xml:space="preserve">KINDER ALPINE                                                                                       </v>
      </c>
      <c r="D2883" s="26" t="str">
        <f t="shared" si="573"/>
        <v>MATUTINO</v>
      </c>
      <c r="E2883" s="26" t="str">
        <f>"AV. SECRETARIA DE MARINA NO. 526                                                "</f>
        <v xml:space="preserve">AV. SECRETARIA DE MARINA NO. 526                                                </v>
      </c>
      <c r="F2883" s="26" t="str">
        <f>"LOMAS DE CHAMIZAL                                                                                                                           "</f>
        <v xml:space="preserve">LOMAS DE CHAMIZAL                                                                                                                           </v>
      </c>
      <c r="G2883" s="26" t="str">
        <f>"CUAJIMALPA DE MORELOS                                                           "</f>
        <v xml:space="preserve">CUAJIMALPA DE MORELOS                                                           </v>
      </c>
      <c r="H2883" s="26" t="str">
        <f>"089"</f>
        <v>089</v>
      </c>
      <c r="I2883" s="26" t="str">
        <f t="shared" si="583"/>
        <v>00</v>
      </c>
      <c r="J2883" s="26" t="str">
        <f>"33 "</f>
        <v xml:space="preserve">33 </v>
      </c>
      <c r="K2883" s="26" t="str">
        <f t="shared" si="579"/>
        <v>EP</v>
      </c>
      <c r="L2883" s="26" t="str">
        <f t="shared" si="580"/>
        <v>DGOSE</v>
      </c>
      <c r="M2883" s="26" t="str">
        <f t="shared" si="581"/>
        <v>PARTICULAR</v>
      </c>
      <c r="N2883" s="26">
        <v>51</v>
      </c>
      <c r="O2883" s="26">
        <v>28</v>
      </c>
      <c r="P2883" s="26">
        <v>23</v>
      </c>
      <c r="Q2883" s="26">
        <v>3</v>
      </c>
      <c r="R2883" s="26">
        <v>1</v>
      </c>
      <c r="S2883" s="26">
        <v>3</v>
      </c>
      <c r="T2883" s="26">
        <v>2</v>
      </c>
      <c r="U2883" s="26">
        <v>6</v>
      </c>
      <c r="V2883" s="26">
        <v>1</v>
      </c>
      <c r="W2883" s="26"/>
    </row>
    <row r="2884" spans="1:23" x14ac:dyDescent="0.25">
      <c r="A2884" s="26" t="str">
        <f t="shared" si="582"/>
        <v>PREESCOLAR</v>
      </c>
      <c r="B2884" s="26" t="str">
        <f>"09PJN5543D"</f>
        <v>09PJN5543D</v>
      </c>
      <c r="C2884" s="26" t="str">
        <f>"JARDÍN DE NIÑOS ARCO IRIS                                                                           "</f>
        <v xml:space="preserve">JARDÍN DE NIÑOS ARCO IRIS                                                                           </v>
      </c>
      <c r="D2884" s="26" t="str">
        <f t="shared" si="573"/>
        <v>MATUTINO</v>
      </c>
      <c r="E2884" s="26" t="str">
        <f>"AMANDA DEL LLANO MZ.180 LT.14 ZONA 6                                            "</f>
        <v xml:space="preserve">AMANDA DEL LLANO MZ.180 LT.14 ZONA 6                                            </v>
      </c>
      <c r="F2884" s="26" t="str">
        <f>"JORGE NEGRETE                                                                                                                               "</f>
        <v xml:space="preserve">JORGE NEGRETE                                                                                                                               </v>
      </c>
      <c r="G2884" s="26" t="str">
        <f>"GUSTAVO A. MADERO                                                               "</f>
        <v xml:space="preserve">GUSTAVO A. MADERO                                                               </v>
      </c>
      <c r="H2884" s="26" t="str">
        <f>"117"</f>
        <v>117</v>
      </c>
      <c r="I2884" s="26" t="str">
        <f t="shared" si="583"/>
        <v>00</v>
      </c>
      <c r="J2884" s="26" t="str">
        <f>"32 "</f>
        <v xml:space="preserve">32 </v>
      </c>
      <c r="K2884" s="26" t="str">
        <f t="shared" si="579"/>
        <v>EP</v>
      </c>
      <c r="L2884" s="26" t="str">
        <f t="shared" si="580"/>
        <v>DGOSE</v>
      </c>
      <c r="M2884" s="26" t="str">
        <f t="shared" si="581"/>
        <v>PARTICULAR</v>
      </c>
      <c r="N2884" s="26">
        <v>38</v>
      </c>
      <c r="O2884" s="26">
        <v>20</v>
      </c>
      <c r="P2884" s="26">
        <v>18</v>
      </c>
      <c r="Q2884" s="26">
        <v>3</v>
      </c>
      <c r="R2884" s="26">
        <v>1</v>
      </c>
      <c r="S2884" s="26">
        <v>3</v>
      </c>
      <c r="T2884" s="26">
        <v>2</v>
      </c>
      <c r="U2884" s="26">
        <v>6</v>
      </c>
      <c r="V2884" s="26">
        <v>1</v>
      </c>
      <c r="W2884" s="26"/>
    </row>
    <row r="2885" spans="1:23" x14ac:dyDescent="0.25">
      <c r="A2885" s="26" t="str">
        <f t="shared" si="582"/>
        <v>PREESCOLAR</v>
      </c>
      <c r="B2885" s="26" t="str">
        <f>"09PJN5544C"</f>
        <v>09PJN5544C</v>
      </c>
      <c r="C2885" s="26" t="str">
        <f>"JARDIN DE NIÑOS ESTRELLA                                                                            "</f>
        <v xml:space="preserve">JARDIN DE NIÑOS ESTRELLA                                                                            </v>
      </c>
      <c r="D2885" s="26" t="str">
        <f t="shared" si="573"/>
        <v>MATUTINO</v>
      </c>
      <c r="E2885" s="26" t="str">
        <f>"NOGALES NO. 43 MZA.1 LT.30                                                      "</f>
        <v xml:space="preserve">NOGALES NO. 43 MZA.1 LT.30                                                      </v>
      </c>
      <c r="F2885" s="26" t="str">
        <f>"SAN FELIPE DE JESUS                                                                                                                         "</f>
        <v xml:space="preserve">SAN FELIPE DE JESUS                                                                                                                         </v>
      </c>
      <c r="G2885" s="26" t="str">
        <f>"GUSTAVO A. MADERO                                                               "</f>
        <v xml:space="preserve">GUSTAVO A. MADERO                                                               </v>
      </c>
      <c r="H2885" s="26" t="str">
        <f>"073"</f>
        <v>073</v>
      </c>
      <c r="I2885" s="26" t="str">
        <f t="shared" si="583"/>
        <v>00</v>
      </c>
      <c r="J2885" s="26" t="str">
        <f>"32 "</f>
        <v xml:space="preserve">32 </v>
      </c>
      <c r="K2885" s="26" t="str">
        <f t="shared" si="579"/>
        <v>EP</v>
      </c>
      <c r="L2885" s="26" t="str">
        <f t="shared" si="580"/>
        <v>DGOSE</v>
      </c>
      <c r="M2885" s="26" t="str">
        <f t="shared" si="581"/>
        <v>PARTICULAR</v>
      </c>
      <c r="N2885" s="26">
        <v>34</v>
      </c>
      <c r="O2885" s="26">
        <v>23</v>
      </c>
      <c r="P2885" s="26">
        <v>11</v>
      </c>
      <c r="Q2885" s="26">
        <v>3</v>
      </c>
      <c r="R2885" s="26">
        <v>1</v>
      </c>
      <c r="S2885" s="26">
        <v>2</v>
      </c>
      <c r="T2885" s="26">
        <v>0</v>
      </c>
      <c r="U2885" s="26">
        <v>3</v>
      </c>
      <c r="V2885" s="26">
        <v>1</v>
      </c>
      <c r="W2885" s="26"/>
    </row>
    <row r="2886" spans="1:23" x14ac:dyDescent="0.25">
      <c r="A2886" s="26" t="str">
        <f t="shared" si="582"/>
        <v>PREESCOLAR</v>
      </c>
      <c r="B2886" s="26" t="str">
        <f>"09PJN5548Z"</f>
        <v>09PJN5548Z</v>
      </c>
      <c r="C2886" s="26" t="str">
        <f>"JARDIN DE NIÑOS NAYBE CUAUTEPEC                                                                     "</f>
        <v xml:space="preserve">JARDIN DE NIÑOS NAYBE CUAUTEPEC                                                                     </v>
      </c>
      <c r="D2886" s="26" t="str">
        <f t="shared" si="573"/>
        <v>MATUTINO</v>
      </c>
      <c r="E2886" s="26" t="str">
        <f>"FANNY SCHILLER NO. 83                                                           "</f>
        <v xml:space="preserve">FANNY SCHILLER NO. 83                                                           </v>
      </c>
      <c r="F2886" s="26" t="str">
        <f>"LA FORESTAL                                                                                                                                 "</f>
        <v xml:space="preserve">LA FORESTAL                                                                                                                                 </v>
      </c>
      <c r="G2886" s="26" t="str">
        <f>"GUSTAVO A. MADERO                                                               "</f>
        <v xml:space="preserve">GUSTAVO A. MADERO                                                               </v>
      </c>
      <c r="H2886" s="26" t="str">
        <f>"154"</f>
        <v>154</v>
      </c>
      <c r="I2886" s="26" t="str">
        <f t="shared" si="583"/>
        <v>00</v>
      </c>
      <c r="J2886" s="26" t="str">
        <f>"32 "</f>
        <v xml:space="preserve">32 </v>
      </c>
      <c r="K2886" s="26" t="str">
        <f t="shared" si="579"/>
        <v>EP</v>
      </c>
      <c r="L2886" s="26" t="str">
        <f t="shared" si="580"/>
        <v>DGOSE</v>
      </c>
      <c r="M2886" s="26" t="str">
        <f t="shared" si="581"/>
        <v>PARTICULAR</v>
      </c>
      <c r="N2886" s="26">
        <v>40</v>
      </c>
      <c r="O2886" s="26">
        <v>21</v>
      </c>
      <c r="P2886" s="26">
        <v>19</v>
      </c>
      <c r="Q2886" s="26">
        <v>3</v>
      </c>
      <c r="R2886" s="26">
        <v>1</v>
      </c>
      <c r="S2886" s="26">
        <v>3</v>
      </c>
      <c r="T2886" s="26">
        <v>0</v>
      </c>
      <c r="U2886" s="26">
        <v>4</v>
      </c>
      <c r="V2886" s="26">
        <v>1</v>
      </c>
      <c r="W2886" s="26"/>
    </row>
    <row r="2887" spans="1:23" x14ac:dyDescent="0.25">
      <c r="A2887" s="26" t="str">
        <f t="shared" si="582"/>
        <v>PREESCOLAR</v>
      </c>
      <c r="B2887" s="26" t="str">
        <f>"09PJN5549Y"</f>
        <v>09PJN5549Y</v>
      </c>
      <c r="C2887" s="26" t="str">
        <f>"CENTRO DE DESARROLLO INFANTIL BERTHA VON GLUMER                                                     "</f>
        <v xml:space="preserve">CENTRO DE DESARROLLO INFANTIL BERTHA VON GLUMER                                                     </v>
      </c>
      <c r="D2887" s="26" t="str">
        <f t="shared" si="573"/>
        <v>MATUTINO</v>
      </c>
      <c r="E2887" s="26" t="str">
        <f>"CALLEJON ROJO GOMEZ NO. 28                                                      "</f>
        <v xml:space="preserve">CALLEJON ROJO GOMEZ NO. 28                                                      </v>
      </c>
      <c r="F2887" s="26" t="str">
        <f>"SANTIAGO ATEPETLAC                                                                                                                          "</f>
        <v xml:space="preserve">SANTIAGO ATEPETLAC                                                                                                                          </v>
      </c>
      <c r="G2887" s="26" t="str">
        <f>"GUSTAVO A. MADERO                                                               "</f>
        <v xml:space="preserve">GUSTAVO A. MADERO                                                               </v>
      </c>
      <c r="H2887" s="26" t="str">
        <f>"155"</f>
        <v>155</v>
      </c>
      <c r="I2887" s="26" t="str">
        <f t="shared" si="583"/>
        <v>00</v>
      </c>
      <c r="J2887" s="26" t="str">
        <f>"32 "</f>
        <v xml:space="preserve">32 </v>
      </c>
      <c r="K2887" s="26" t="str">
        <f t="shared" si="579"/>
        <v>EP</v>
      </c>
      <c r="L2887" s="26" t="str">
        <f t="shared" si="580"/>
        <v>DGOSE</v>
      </c>
      <c r="M2887" s="26" t="str">
        <f t="shared" si="581"/>
        <v>PARTICULAR</v>
      </c>
      <c r="N2887" s="26">
        <v>25</v>
      </c>
      <c r="O2887" s="26">
        <v>10</v>
      </c>
      <c r="P2887" s="26">
        <v>15</v>
      </c>
      <c r="Q2887" s="26">
        <v>3</v>
      </c>
      <c r="R2887" s="26">
        <v>1</v>
      </c>
      <c r="S2887" s="26">
        <v>1</v>
      </c>
      <c r="T2887" s="26">
        <v>3</v>
      </c>
      <c r="U2887" s="26">
        <v>5</v>
      </c>
      <c r="V2887" s="26">
        <v>1</v>
      </c>
      <c r="W2887" s="26"/>
    </row>
    <row r="2888" spans="1:23" x14ac:dyDescent="0.25">
      <c r="A2888" s="26" t="str">
        <f t="shared" si="582"/>
        <v>PREESCOLAR</v>
      </c>
      <c r="B2888" s="26" t="str">
        <f>"09PJN5550N"</f>
        <v>09PJN5550N</v>
      </c>
      <c r="C2888" s="26" t="str">
        <f>"KINDER LAS CARABELAS DE COLON                                                                       "</f>
        <v xml:space="preserve">KINDER LAS CARABELAS DE COLON                                                                       </v>
      </c>
      <c r="D2888" s="26" t="str">
        <f t="shared" si="573"/>
        <v>MATUTINO</v>
      </c>
      <c r="E2888" s="26" t="str">
        <f>"CIENFUEGOS NO. 738 Y 740                                                        "</f>
        <v xml:space="preserve">CIENFUEGOS NO. 738 Y 740                                                        </v>
      </c>
      <c r="F2888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2888" s="26" t="str">
        <f>"GUSTAVO A. MADERO                                                               "</f>
        <v xml:space="preserve">GUSTAVO A. MADERO                                                               </v>
      </c>
      <c r="H2888" s="26" t="str">
        <f>"197"</f>
        <v>197</v>
      </c>
      <c r="I2888" s="26" t="str">
        <f t="shared" si="583"/>
        <v>00</v>
      </c>
      <c r="J2888" s="26" t="str">
        <f>"32 "</f>
        <v xml:space="preserve">32 </v>
      </c>
      <c r="K2888" s="26" t="str">
        <f t="shared" si="579"/>
        <v>EP</v>
      </c>
      <c r="L2888" s="26" t="str">
        <f t="shared" si="580"/>
        <v>DGOSE</v>
      </c>
      <c r="M2888" s="26" t="str">
        <f t="shared" si="581"/>
        <v>PARTICULAR</v>
      </c>
      <c r="N2888" s="26">
        <v>32</v>
      </c>
      <c r="O2888" s="26">
        <v>15</v>
      </c>
      <c r="P2888" s="26">
        <v>17</v>
      </c>
      <c r="Q2888" s="26">
        <v>3</v>
      </c>
      <c r="R2888" s="26">
        <v>1</v>
      </c>
      <c r="S2888" s="26">
        <v>3</v>
      </c>
      <c r="T2888" s="26">
        <v>5</v>
      </c>
      <c r="U2888" s="26">
        <v>9</v>
      </c>
      <c r="V2888" s="26">
        <v>1</v>
      </c>
      <c r="W2888" s="26"/>
    </row>
    <row r="2889" spans="1:23" x14ac:dyDescent="0.25">
      <c r="A2889" s="26" t="str">
        <f t="shared" si="582"/>
        <v>PREESCOLAR</v>
      </c>
      <c r="B2889" s="26" t="str">
        <f>"09PJN5553K"</f>
        <v>09PJN5553K</v>
      </c>
      <c r="C2889" s="26" t="str">
        <f>"FRIDA KAHLO                                                                                         "</f>
        <v xml:space="preserve">FRIDA KAHLO                                                                                         </v>
      </c>
      <c r="D2889" s="26" t="str">
        <f t="shared" si="573"/>
        <v>MATUTINO</v>
      </c>
      <c r="E2889" s="26" t="str">
        <f>"FLORINES NO. 190                                                                "</f>
        <v xml:space="preserve">FLORINES NO. 190                                                                </v>
      </c>
      <c r="F2889" s="26" t="str">
        <f>"AQUILES SERDAN                                                                                                                              "</f>
        <v xml:space="preserve">AQUILES SERDAN                                                                                                                              </v>
      </c>
      <c r="G2889" s="26" t="str">
        <f>"VENUSTIANO CARRANZA                                                             "</f>
        <v xml:space="preserve">VENUSTIANO CARRANZA                                                             </v>
      </c>
      <c r="H2889" s="26" t="str">
        <f>"130"</f>
        <v>130</v>
      </c>
      <c r="I2889" s="26" t="str">
        <f t="shared" si="583"/>
        <v>00</v>
      </c>
      <c r="J2889" s="26" t="str">
        <f>"33 "</f>
        <v xml:space="preserve">33 </v>
      </c>
      <c r="K2889" s="26" t="str">
        <f t="shared" si="579"/>
        <v>EP</v>
      </c>
      <c r="L2889" s="26" t="str">
        <f t="shared" si="580"/>
        <v>DGOSE</v>
      </c>
      <c r="M2889" s="26" t="str">
        <f t="shared" si="581"/>
        <v>PARTICULAR</v>
      </c>
      <c r="N2889" s="26">
        <v>18</v>
      </c>
      <c r="O2889" s="26">
        <v>16</v>
      </c>
      <c r="P2889" s="26">
        <v>2</v>
      </c>
      <c r="Q2889" s="26">
        <v>3</v>
      </c>
      <c r="R2889" s="26">
        <v>1</v>
      </c>
      <c r="S2889" s="26">
        <v>3</v>
      </c>
      <c r="T2889" s="26">
        <v>0</v>
      </c>
      <c r="U2889" s="26">
        <v>4</v>
      </c>
      <c r="V2889" s="26">
        <v>1</v>
      </c>
      <c r="W2889" s="26"/>
    </row>
    <row r="2890" spans="1:23" x14ac:dyDescent="0.25">
      <c r="A2890" s="26" t="str">
        <f t="shared" si="582"/>
        <v>PREESCOLAR</v>
      </c>
      <c r="B2890" s="26" t="str">
        <f>"09PJN5554J"</f>
        <v>09PJN5554J</v>
      </c>
      <c r="C2890" s="26" t="str">
        <f>"MI MUNDO FELIZ                                                                                      "</f>
        <v xml:space="preserve">MI MUNDO FELIZ                                                                                      </v>
      </c>
      <c r="D2890" s="26" t="str">
        <f t="shared" si="573"/>
        <v>MATUTINO</v>
      </c>
      <c r="E2890" s="26" t="str">
        <f>"NORTE 172 NO. 569                                                               "</f>
        <v xml:space="preserve">NORTE 172 NO. 569                                                               </v>
      </c>
      <c r="F2890" s="26" t="str">
        <f>"PENSADOR MEXICANO                                                                                                                           "</f>
        <v xml:space="preserve">PENSADOR MEXICANO                                                                                                                           </v>
      </c>
      <c r="G2890" s="26" t="str">
        <f>"VENUSTIANO CARRANZA                                                             "</f>
        <v xml:space="preserve">VENUSTIANO CARRANZA                                                             </v>
      </c>
      <c r="H2890" s="26" t="str">
        <f>"130"</f>
        <v>130</v>
      </c>
      <c r="I2890" s="26" t="str">
        <f t="shared" si="583"/>
        <v>00</v>
      </c>
      <c r="J2890" s="26" t="str">
        <f>"33 "</f>
        <v xml:space="preserve">33 </v>
      </c>
      <c r="K2890" s="26" t="str">
        <f t="shared" si="579"/>
        <v>EP</v>
      </c>
      <c r="L2890" s="26" t="str">
        <f t="shared" si="580"/>
        <v>DGOSE</v>
      </c>
      <c r="M2890" s="26" t="str">
        <f t="shared" si="581"/>
        <v>PARTICULAR</v>
      </c>
      <c r="N2890" s="26">
        <v>22</v>
      </c>
      <c r="O2890" s="26">
        <v>7</v>
      </c>
      <c r="P2890" s="26">
        <v>15</v>
      </c>
      <c r="Q2890" s="26">
        <v>3</v>
      </c>
      <c r="R2890" s="26">
        <v>1</v>
      </c>
      <c r="S2890" s="26">
        <v>3</v>
      </c>
      <c r="T2890" s="26">
        <v>1</v>
      </c>
      <c r="U2890" s="26">
        <v>5</v>
      </c>
      <c r="V2890" s="26">
        <v>1</v>
      </c>
      <c r="W2890" s="26"/>
    </row>
    <row r="2891" spans="1:23" x14ac:dyDescent="0.25">
      <c r="A2891" s="26" t="str">
        <f t="shared" si="582"/>
        <v>PREESCOLAR</v>
      </c>
      <c r="B2891" s="26" t="str">
        <f>"09PJN5556H"</f>
        <v>09PJN5556H</v>
      </c>
      <c r="C2891" s="26" t="str">
        <f>"JARDIN DE NIÑOS PIAGET                                                                              "</f>
        <v xml:space="preserve">JARDIN DE NIÑOS PIAGET                                                                              </v>
      </c>
      <c r="D2891" s="26" t="str">
        <f t="shared" si="573"/>
        <v>MATUTINO</v>
      </c>
      <c r="E2891" s="26" t="str">
        <f>"MOCORITO NO. 89                                                                 "</f>
        <v xml:space="preserve">MOCORITO NO. 89                                                                 </v>
      </c>
      <c r="F2891" s="26" t="str">
        <f>"ALVARO OBREGON                                                                                                                              "</f>
        <v xml:space="preserve">ALVARO OBREGON                                                                                                                              </v>
      </c>
      <c r="G2891" s="26" t="str">
        <f>"VENUSTIANO CARRANZA                                                             "</f>
        <v xml:space="preserve">VENUSTIANO CARRANZA                                                             </v>
      </c>
      <c r="H2891" s="26" t="str">
        <f>"096"</f>
        <v>096</v>
      </c>
      <c r="I2891" s="26" t="str">
        <f t="shared" si="583"/>
        <v>00</v>
      </c>
      <c r="J2891" s="26" t="str">
        <f>"33 "</f>
        <v xml:space="preserve">33 </v>
      </c>
      <c r="K2891" s="26" t="str">
        <f t="shared" si="579"/>
        <v>EP</v>
      </c>
      <c r="L2891" s="26" t="str">
        <f t="shared" si="580"/>
        <v>DGOSE</v>
      </c>
      <c r="M2891" s="26" t="str">
        <f t="shared" si="581"/>
        <v>PARTICULAR</v>
      </c>
      <c r="N2891" s="26">
        <v>37</v>
      </c>
      <c r="O2891" s="26">
        <v>20</v>
      </c>
      <c r="P2891" s="26">
        <v>17</v>
      </c>
      <c r="Q2891" s="26">
        <v>3</v>
      </c>
      <c r="R2891" s="26">
        <v>1</v>
      </c>
      <c r="S2891" s="26">
        <v>3</v>
      </c>
      <c r="T2891" s="26">
        <v>3</v>
      </c>
      <c r="U2891" s="26">
        <v>7</v>
      </c>
      <c r="V2891" s="26">
        <v>1</v>
      </c>
      <c r="W2891" s="26"/>
    </row>
    <row r="2892" spans="1:23" x14ac:dyDescent="0.25">
      <c r="A2892" s="26" t="str">
        <f t="shared" si="582"/>
        <v>PREESCOLAR</v>
      </c>
      <c r="B2892" s="26" t="str">
        <f>"09PJN5558F"</f>
        <v>09PJN5558F</v>
      </c>
      <c r="C2892" s="26" t="str">
        <f>"JARDIN DE NIÑOS VIOLETA                                                                             "</f>
        <v xml:space="preserve">JARDIN DE NIÑOS VIOLETA                                                                             </v>
      </c>
      <c r="D2892" s="26" t="str">
        <f t="shared" si="573"/>
        <v>MATUTINO</v>
      </c>
      <c r="E2892" s="26" t="str">
        <f>"EJE DE GUERRERO NO. 82 ACC ""A""                                                  "</f>
        <v xml:space="preserve">EJE DE GUERRERO NO. 82 ACC "A"                                                  </v>
      </c>
      <c r="F2892" s="26" t="str">
        <f>"GUERRERO                                                                                                                                    "</f>
        <v xml:space="preserve">GUERRERO                                                                                                                                    </v>
      </c>
      <c r="G2892" s="26" t="s">
        <v>4128</v>
      </c>
      <c r="H2892" s="26" t="str">
        <f>"057"</f>
        <v>057</v>
      </c>
      <c r="I2892" s="26" t="str">
        <f t="shared" si="583"/>
        <v>00</v>
      </c>
      <c r="J2892" s="26" t="str">
        <f>"32 "</f>
        <v xml:space="preserve">32 </v>
      </c>
      <c r="K2892" s="26" t="str">
        <f t="shared" si="579"/>
        <v>EP</v>
      </c>
      <c r="L2892" s="26" t="str">
        <f t="shared" si="580"/>
        <v>DGOSE</v>
      </c>
      <c r="M2892" s="26" t="str">
        <f t="shared" si="581"/>
        <v>PARTICULAR</v>
      </c>
      <c r="N2892" s="26">
        <v>27</v>
      </c>
      <c r="O2892" s="26">
        <v>14</v>
      </c>
      <c r="P2892" s="26">
        <v>13</v>
      </c>
      <c r="Q2892" s="26">
        <v>3</v>
      </c>
      <c r="R2892" s="26">
        <v>1</v>
      </c>
      <c r="S2892" s="26">
        <v>3</v>
      </c>
      <c r="T2892" s="26">
        <v>3</v>
      </c>
      <c r="U2892" s="26">
        <v>7</v>
      </c>
      <c r="V2892" s="26">
        <v>1</v>
      </c>
      <c r="W2892" s="26"/>
    </row>
    <row r="2893" spans="1:23" x14ac:dyDescent="0.25">
      <c r="A2893" s="26" t="str">
        <f t="shared" si="582"/>
        <v>PREESCOLAR</v>
      </c>
      <c r="B2893" s="26" t="str">
        <f>"09PJN5559E"</f>
        <v>09PJN5559E</v>
      </c>
      <c r="C2893" s="26" t="str">
        <f>"LOS PEQUEÑOS GENIOS III                                                                             "</f>
        <v xml:space="preserve">LOS PEQUEÑOS GENIOS III                                                                             </v>
      </c>
      <c r="D2893" s="26" t="str">
        <f t="shared" si="573"/>
        <v>MATUTINO</v>
      </c>
      <c r="E2893" s="26" t="str">
        <f>"CALZADA DE GUADALUPE NO. 156                                                    "</f>
        <v xml:space="preserve">CALZADA DE GUADALUPE NO. 156                                                    </v>
      </c>
      <c r="F2893" s="26" t="str">
        <f>"PERALVILLO                                                                                                                                  "</f>
        <v xml:space="preserve">PERALVILLO                                                                                                                                  </v>
      </c>
      <c r="G2893" s="26" t="s">
        <v>4128</v>
      </c>
      <c r="H2893" s="26" t="str">
        <f>"057"</f>
        <v>057</v>
      </c>
      <c r="I2893" s="26" t="str">
        <f t="shared" si="583"/>
        <v>00</v>
      </c>
      <c r="J2893" s="26" t="str">
        <f>"32 "</f>
        <v xml:space="preserve">32 </v>
      </c>
      <c r="K2893" s="26" t="str">
        <f t="shared" si="579"/>
        <v>EP</v>
      </c>
      <c r="L2893" s="26" t="str">
        <f t="shared" si="580"/>
        <v>DGOSE</v>
      </c>
      <c r="M2893" s="26" t="str">
        <f t="shared" si="581"/>
        <v>PARTICULAR</v>
      </c>
      <c r="N2893" s="26">
        <v>42</v>
      </c>
      <c r="O2893" s="26">
        <v>23</v>
      </c>
      <c r="P2893" s="26">
        <v>19</v>
      </c>
      <c r="Q2893" s="26">
        <v>2</v>
      </c>
      <c r="R2893" s="26">
        <v>1</v>
      </c>
      <c r="S2893" s="26">
        <v>2</v>
      </c>
      <c r="T2893" s="26">
        <v>2</v>
      </c>
      <c r="U2893" s="26">
        <v>5</v>
      </c>
      <c r="V2893" s="26">
        <v>1</v>
      </c>
      <c r="W2893" s="26"/>
    </row>
    <row r="2894" spans="1:23" x14ac:dyDescent="0.25">
      <c r="A2894" s="26" t="str">
        <f t="shared" si="582"/>
        <v>PREESCOLAR</v>
      </c>
      <c r="B2894" s="26" t="str">
        <f>"09PJN5560U"</f>
        <v>09PJN5560U</v>
      </c>
      <c r="C2894" s="26" t="str">
        <f>"VILLA EDUCATIVA GREENHILLS                                                                          "</f>
        <v xml:space="preserve">VILLA EDUCATIVA GREENHILLS                                                                          </v>
      </c>
      <c r="D2894" s="26" t="str">
        <f t="shared" si="573"/>
        <v>MATUTINO</v>
      </c>
      <c r="E2894" s="26" t="str">
        <f>"DR. ATL NO. 96                                                                  "</f>
        <v xml:space="preserve">DR. ATL NO. 96                                                                  </v>
      </c>
      <c r="F2894" s="26" t="str">
        <f>"SANTA MARIA LA RIBERA                                                                                                                       "</f>
        <v xml:space="preserve">SANTA MARIA LA RIBERA                                                                                                                       </v>
      </c>
      <c r="G2894" s="26" t="s">
        <v>4128</v>
      </c>
      <c r="H2894" s="26" t="str">
        <f>"057"</f>
        <v>057</v>
      </c>
      <c r="I2894" s="26" t="str">
        <f t="shared" si="583"/>
        <v>00</v>
      </c>
      <c r="J2894" s="26" t="str">
        <f>"32 "</f>
        <v xml:space="preserve">32 </v>
      </c>
      <c r="K2894" s="26" t="str">
        <f t="shared" si="579"/>
        <v>EP</v>
      </c>
      <c r="L2894" s="26" t="str">
        <f t="shared" si="580"/>
        <v>DGOSE</v>
      </c>
      <c r="M2894" s="26" t="str">
        <f t="shared" si="581"/>
        <v>PARTICULAR</v>
      </c>
      <c r="N2894" s="26">
        <v>30</v>
      </c>
      <c r="O2894" s="26">
        <v>15</v>
      </c>
      <c r="P2894" s="26">
        <v>15</v>
      </c>
      <c r="Q2894" s="26">
        <v>1</v>
      </c>
      <c r="R2894" s="26">
        <v>1</v>
      </c>
      <c r="S2894" s="26">
        <v>1</v>
      </c>
      <c r="T2894" s="26">
        <v>4</v>
      </c>
      <c r="U2894" s="26">
        <v>6</v>
      </c>
      <c r="V2894" s="26">
        <v>1</v>
      </c>
      <c r="W2894" s="26"/>
    </row>
    <row r="2895" spans="1:23" x14ac:dyDescent="0.25">
      <c r="A2895" s="26" t="str">
        <f t="shared" si="582"/>
        <v>PREESCOLAR</v>
      </c>
      <c r="B2895" s="26" t="str">
        <f>"09PJN5561T"</f>
        <v>09PJN5561T</v>
      </c>
      <c r="C2895" s="26" t="str">
        <f>"CENTRO DE EDUCACION INICIAL DEL VALLE KIDS CENTER                                                   "</f>
        <v xml:space="preserve">CENTRO DE EDUCACION INICIAL DEL VALLE KIDS CENTER                                                   </v>
      </c>
      <c r="D2895" s="26" t="str">
        <f t="shared" si="573"/>
        <v>MATUTINO</v>
      </c>
      <c r="E2895" s="26" t="str">
        <f>"GONZALEZ DE COSSIO NO. 326                                                      "</f>
        <v xml:space="preserve">GONZALEZ DE COSSIO NO. 326                                                      </v>
      </c>
      <c r="F2895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2895" s="26" t="str">
        <f>"BENITO JUAREZ                                                                   "</f>
        <v xml:space="preserve">BENITO JUAREZ                                                                   </v>
      </c>
      <c r="H2895" s="26" t="str">
        <f>"232"</f>
        <v>232</v>
      </c>
      <c r="I2895" s="26" t="str">
        <f t="shared" si="583"/>
        <v>00</v>
      </c>
      <c r="J2895" s="26" t="str">
        <f>"33 "</f>
        <v xml:space="preserve">33 </v>
      </c>
      <c r="K2895" s="26" t="str">
        <f t="shared" si="579"/>
        <v>EP</v>
      </c>
      <c r="L2895" s="26" t="str">
        <f t="shared" si="580"/>
        <v>DGOSE</v>
      </c>
      <c r="M2895" s="26" t="str">
        <f t="shared" si="581"/>
        <v>PARTICULAR</v>
      </c>
      <c r="N2895" s="26">
        <v>36</v>
      </c>
      <c r="O2895" s="26">
        <v>18</v>
      </c>
      <c r="P2895" s="26">
        <v>18</v>
      </c>
      <c r="Q2895" s="26">
        <v>3</v>
      </c>
      <c r="R2895" s="26">
        <v>1</v>
      </c>
      <c r="S2895" s="26">
        <v>3</v>
      </c>
      <c r="T2895" s="26">
        <v>6</v>
      </c>
      <c r="U2895" s="26">
        <v>10</v>
      </c>
      <c r="V2895" s="26">
        <v>1</v>
      </c>
      <c r="W2895" s="26"/>
    </row>
    <row r="2896" spans="1:23" x14ac:dyDescent="0.25">
      <c r="A2896" s="26" t="str">
        <f t="shared" si="582"/>
        <v>PREESCOLAR</v>
      </c>
      <c r="B2896" s="26" t="str">
        <f>"09PJN5562S"</f>
        <v>09PJN5562S</v>
      </c>
      <c r="C2896" s="26" t="str">
        <f>"LIBERTADORES DE MÉXICO                                                                              "</f>
        <v xml:space="preserve">LIBERTADORES DE MÉXICO                                                                              </v>
      </c>
      <c r="D2896" s="26" t="str">
        <f t="shared" si="573"/>
        <v>MATUTINO</v>
      </c>
      <c r="E2896" s="26" t="str">
        <f>"GAVIOTAS NO. 60                                                                 "</f>
        <v xml:space="preserve">GAVIOTAS NO. 60                                                                 </v>
      </c>
      <c r="F2896" s="26" t="str">
        <f>"GRANJAS MODERNAS                                                                                                                            "</f>
        <v xml:space="preserve">GRANJAS MODERNAS                                                                                                                            </v>
      </c>
      <c r="G2896" s="26" t="str">
        <f>"GUSTAVO A. MADERO                                                               "</f>
        <v xml:space="preserve">GUSTAVO A. MADERO                                                               </v>
      </c>
      <c r="H2896" s="26" t="str">
        <f>"198"</f>
        <v>198</v>
      </c>
      <c r="I2896" s="26" t="str">
        <f t="shared" si="583"/>
        <v>00</v>
      </c>
      <c r="J2896" s="26" t="str">
        <f>"32 "</f>
        <v xml:space="preserve">32 </v>
      </c>
      <c r="K2896" s="26" t="str">
        <f t="shared" si="579"/>
        <v>EP</v>
      </c>
      <c r="L2896" s="26" t="str">
        <f t="shared" si="580"/>
        <v>DGOSE</v>
      </c>
      <c r="M2896" s="26" t="str">
        <f t="shared" si="581"/>
        <v>PARTICULAR</v>
      </c>
      <c r="N2896" s="26">
        <v>2</v>
      </c>
      <c r="O2896" s="26">
        <v>1</v>
      </c>
      <c r="P2896" s="26">
        <v>1</v>
      </c>
      <c r="Q2896" s="26">
        <v>2</v>
      </c>
      <c r="R2896" s="26">
        <v>1</v>
      </c>
      <c r="S2896" s="26">
        <v>1</v>
      </c>
      <c r="T2896" s="26">
        <v>2</v>
      </c>
      <c r="U2896" s="26">
        <v>4</v>
      </c>
      <c r="V2896" s="26">
        <v>1</v>
      </c>
      <c r="W2896" s="26"/>
    </row>
    <row r="2897" spans="1:23" x14ac:dyDescent="0.25">
      <c r="A2897" s="26" t="str">
        <f t="shared" si="582"/>
        <v>PREESCOLAR</v>
      </c>
      <c r="B2897" s="26" t="str">
        <f>"09PJN5563R"</f>
        <v>09PJN5563R</v>
      </c>
      <c r="C2897" s="26" t="str">
        <f>"JARDÍN DE NIÑOS CONTINENTE AMERICANO                                                                "</f>
        <v xml:space="preserve">JARDÍN DE NIÑOS CONTINENTE AMERICANO                                                                </v>
      </c>
      <c r="D2897" s="26" t="str">
        <f t="shared" si="573"/>
        <v>MATUTINO</v>
      </c>
      <c r="E2897" s="26" t="str">
        <f>"PUERTO DE TLACOTALPAN NO.30                                                     "</f>
        <v xml:space="preserve">PUERTO DE TLACOTALPAN NO.30                                                     </v>
      </c>
      <c r="F2897" s="26" t="str">
        <f>"CASAS ALEMAN AMPLIACION                                                                                                                     "</f>
        <v xml:space="preserve">CASAS ALEMAN AMPLIACION                                                                                                                     </v>
      </c>
      <c r="G2897" s="26" t="str">
        <f>"GUSTAVO A. MADERO                                                               "</f>
        <v xml:space="preserve">GUSTAVO A. MADERO                                                               </v>
      </c>
      <c r="H2897" s="26" t="str">
        <f>"180"</f>
        <v>180</v>
      </c>
      <c r="I2897" s="26" t="str">
        <f t="shared" si="583"/>
        <v>00</v>
      </c>
      <c r="J2897" s="26" t="str">
        <f>"32 "</f>
        <v xml:space="preserve">32 </v>
      </c>
      <c r="K2897" s="26" t="str">
        <f t="shared" si="579"/>
        <v>EP</v>
      </c>
      <c r="L2897" s="26" t="str">
        <f t="shared" si="580"/>
        <v>DGOSE</v>
      </c>
      <c r="M2897" s="26" t="str">
        <f t="shared" si="581"/>
        <v>PARTICULAR</v>
      </c>
      <c r="N2897" s="26">
        <v>34</v>
      </c>
      <c r="O2897" s="26">
        <v>17</v>
      </c>
      <c r="P2897" s="26">
        <v>17</v>
      </c>
      <c r="Q2897" s="26">
        <v>3</v>
      </c>
      <c r="R2897" s="26">
        <v>1</v>
      </c>
      <c r="S2897" s="26">
        <v>3</v>
      </c>
      <c r="T2897" s="26">
        <v>4</v>
      </c>
      <c r="U2897" s="26">
        <v>8</v>
      </c>
      <c r="V2897" s="26">
        <v>1</v>
      </c>
      <c r="W2897" s="26"/>
    </row>
    <row r="2898" spans="1:23" x14ac:dyDescent="0.25">
      <c r="A2898" s="26" t="str">
        <f t="shared" si="582"/>
        <v>PREESCOLAR</v>
      </c>
      <c r="B2898" s="26" t="str">
        <f>"09PJN5564Q"</f>
        <v>09PJN5564Q</v>
      </c>
      <c r="C2898" s="26" t="str">
        <f>"COLEGIO DEL PILAR                                                                                   "</f>
        <v xml:space="preserve">COLEGIO DEL PILAR                                                                                   </v>
      </c>
      <c r="D2898" s="26" t="str">
        <f t="shared" si="573"/>
        <v>MATUTINO</v>
      </c>
      <c r="E2898" s="26" t="str">
        <f>"AÑO DE 1917 NO. 27                                                              "</f>
        <v xml:space="preserve">AÑO DE 1917 NO. 27                                                              </v>
      </c>
      <c r="F2898" s="26" t="str">
        <f>"SANTA MARIA TICOMAN                                                                                                                         "</f>
        <v xml:space="preserve">SANTA MARIA TICOMAN                                                                                                                         </v>
      </c>
      <c r="G2898" s="26" t="str">
        <f>"GUSTAVO A. MADERO                                                               "</f>
        <v xml:space="preserve">GUSTAVO A. MADERO                                                               </v>
      </c>
      <c r="H2898" s="26" t="str">
        <f>"197"</f>
        <v>197</v>
      </c>
      <c r="I2898" s="26" t="str">
        <f t="shared" si="583"/>
        <v>00</v>
      </c>
      <c r="J2898" s="26" t="str">
        <f>"32 "</f>
        <v xml:space="preserve">32 </v>
      </c>
      <c r="K2898" s="26" t="str">
        <f t="shared" si="579"/>
        <v>EP</v>
      </c>
      <c r="L2898" s="26" t="str">
        <f t="shared" si="580"/>
        <v>DGOSE</v>
      </c>
      <c r="M2898" s="26" t="str">
        <f t="shared" si="581"/>
        <v>PARTICULAR</v>
      </c>
      <c r="N2898" s="26">
        <v>45</v>
      </c>
      <c r="O2898" s="26">
        <v>26</v>
      </c>
      <c r="P2898" s="26">
        <v>19</v>
      </c>
      <c r="Q2898" s="26">
        <v>3</v>
      </c>
      <c r="R2898" s="26">
        <v>1</v>
      </c>
      <c r="S2898" s="26">
        <v>2</v>
      </c>
      <c r="T2898" s="26">
        <v>8</v>
      </c>
      <c r="U2898" s="26">
        <v>11</v>
      </c>
      <c r="V2898" s="26">
        <v>1</v>
      </c>
      <c r="W2898" s="26"/>
    </row>
    <row r="2899" spans="1:23" x14ac:dyDescent="0.25">
      <c r="A2899" s="26" t="str">
        <f t="shared" si="582"/>
        <v>PREESCOLAR</v>
      </c>
      <c r="B2899" s="26" t="str">
        <f>"09PJN5565P"</f>
        <v>09PJN5565P</v>
      </c>
      <c r="C2899" s="26" t="str">
        <f>"CENTRO ESCOLAR MAESTRO MEXICANO                                                                     "</f>
        <v xml:space="preserve">CENTRO ESCOLAR MAESTRO MEXICANO                                                                     </v>
      </c>
      <c r="D2899" s="26" t="str">
        <f t="shared" si="573"/>
        <v>MATUTINO</v>
      </c>
      <c r="E2899" s="26" t="str">
        <f>"TRES NO. 296                                                                    "</f>
        <v xml:space="preserve">TRES NO. 296                                                                    </v>
      </c>
      <c r="F2899" s="26" t="str">
        <f>"AGRICOLA PANTITLAN                                                                                                                          "</f>
        <v xml:space="preserve">AGRICOLA PANTITLAN                                                                                                                          </v>
      </c>
      <c r="G2899" s="26" t="str">
        <f>"IZTACALCO                                                                       "</f>
        <v xml:space="preserve">IZTACALCO                                                                       </v>
      </c>
      <c r="H2899" s="26" t="str">
        <f>"241"</f>
        <v>241</v>
      </c>
      <c r="I2899" s="26" t="str">
        <f t="shared" si="583"/>
        <v>00</v>
      </c>
      <c r="J2899" s="26" t="str">
        <f>"33 "</f>
        <v xml:space="preserve">33 </v>
      </c>
      <c r="K2899" s="26" t="str">
        <f t="shared" si="579"/>
        <v>EP</v>
      </c>
      <c r="L2899" s="26" t="str">
        <f t="shared" si="580"/>
        <v>DGOSE</v>
      </c>
      <c r="M2899" s="26" t="str">
        <f t="shared" si="581"/>
        <v>PARTICULAR</v>
      </c>
      <c r="N2899" s="26">
        <v>40</v>
      </c>
      <c r="O2899" s="26">
        <v>16</v>
      </c>
      <c r="P2899" s="26">
        <v>24</v>
      </c>
      <c r="Q2899" s="26">
        <v>3</v>
      </c>
      <c r="R2899" s="26">
        <v>1</v>
      </c>
      <c r="S2899" s="26">
        <v>3</v>
      </c>
      <c r="T2899" s="26">
        <v>4</v>
      </c>
      <c r="U2899" s="26">
        <v>8</v>
      </c>
      <c r="V2899" s="26">
        <v>1</v>
      </c>
      <c r="W2899" s="26"/>
    </row>
    <row r="2900" spans="1:23" x14ac:dyDescent="0.25">
      <c r="A2900" s="26" t="str">
        <f t="shared" si="582"/>
        <v>PREESCOLAR</v>
      </c>
      <c r="B2900" s="26" t="str">
        <f>"09PJN5566O"</f>
        <v>09PJN5566O</v>
      </c>
      <c r="C2900" s="26" t="str">
        <f>"JARDIN DE NIÑOS LAZARO CARDENAS                                                                     "</f>
        <v xml:space="preserve">JARDIN DE NIÑOS LAZARO CARDENAS                                                                     </v>
      </c>
      <c r="D2900" s="26" t="str">
        <f t="shared" si="573"/>
        <v>MATUTINO</v>
      </c>
      <c r="E2900" s="26" t="str">
        <f>"OCEANO DE LAS TEMPESTADES NO. 182                                               "</f>
        <v xml:space="preserve">OCEANO DE LAS TEMPESTADES NO. 182                                               </v>
      </c>
      <c r="F2900" s="26" t="str">
        <f>"SELENE AMPLIACION                                                                                                                           "</f>
        <v xml:space="preserve">SELENE AMPLIACION                                                                                                                           </v>
      </c>
      <c r="G2900" s="26" t="str">
        <f>"TLAHUAC                                                                         "</f>
        <v xml:space="preserve">TLAHUAC                                                                         </v>
      </c>
      <c r="H2900" s="26" t="str">
        <f>"142"</f>
        <v>142</v>
      </c>
      <c r="I2900" s="26" t="str">
        <f t="shared" si="583"/>
        <v>00</v>
      </c>
      <c r="J2900" s="26" t="str">
        <f>"35 "</f>
        <v xml:space="preserve">35 </v>
      </c>
      <c r="K2900" s="26" t="str">
        <f t="shared" si="579"/>
        <v>EP</v>
      </c>
      <c r="L2900" s="26" t="str">
        <f t="shared" si="580"/>
        <v>DGOSE</v>
      </c>
      <c r="M2900" s="26" t="str">
        <f t="shared" si="581"/>
        <v>PARTICULAR</v>
      </c>
      <c r="N2900" s="26">
        <v>39</v>
      </c>
      <c r="O2900" s="26">
        <v>17</v>
      </c>
      <c r="P2900" s="26">
        <v>22</v>
      </c>
      <c r="Q2900" s="26">
        <v>3</v>
      </c>
      <c r="R2900" s="26">
        <v>1</v>
      </c>
      <c r="S2900" s="26">
        <v>3</v>
      </c>
      <c r="T2900" s="26">
        <v>2</v>
      </c>
      <c r="U2900" s="26">
        <v>6</v>
      </c>
      <c r="V2900" s="26">
        <v>1</v>
      </c>
      <c r="W2900" s="26"/>
    </row>
    <row r="2901" spans="1:23" x14ac:dyDescent="0.25">
      <c r="A2901" s="26" t="str">
        <f t="shared" si="582"/>
        <v>PREESCOLAR</v>
      </c>
      <c r="B2901" s="26" t="str">
        <f>"09PJN5567N"</f>
        <v>09PJN5567N</v>
      </c>
      <c r="C2901" s="26" t="str">
        <f>"LUDOKID'S KINDER                                                                                    "</f>
        <v xml:space="preserve">LUDOKID'S KINDER                                                                                    </v>
      </c>
      <c r="D2901" s="26" t="str">
        <f t="shared" si="573"/>
        <v>MATUTINO</v>
      </c>
      <c r="E2901" s="26" t="str">
        <f>"AV. ARTEAGA Y SALAZAR NO. 462                                                   "</f>
        <v xml:space="preserve">AV. ARTEAGA Y SALAZAR NO. 462                                                   </v>
      </c>
      <c r="F2901" s="26" t="str">
        <f>"CONTADERO                                                                                                                                   "</f>
        <v xml:space="preserve">CONTADERO                                                                                                                                   </v>
      </c>
      <c r="G2901" s="26" t="str">
        <f>"CUAJIMALPA DE MORELOS                                                           "</f>
        <v xml:space="preserve">CUAJIMALPA DE MORELOS                                                           </v>
      </c>
      <c r="H2901" s="26" t="str">
        <f>"151"</f>
        <v>151</v>
      </c>
      <c r="I2901" s="26" t="str">
        <f t="shared" si="583"/>
        <v>00</v>
      </c>
      <c r="J2901" s="26" t="str">
        <f>"33 "</f>
        <v xml:space="preserve">33 </v>
      </c>
      <c r="K2901" s="26" t="str">
        <f t="shared" si="579"/>
        <v>EP</v>
      </c>
      <c r="L2901" s="26" t="str">
        <f t="shared" si="580"/>
        <v>DGOSE</v>
      </c>
      <c r="M2901" s="26" t="str">
        <f t="shared" si="581"/>
        <v>PARTICULAR</v>
      </c>
      <c r="N2901" s="26">
        <v>44</v>
      </c>
      <c r="O2901" s="26">
        <v>25</v>
      </c>
      <c r="P2901" s="26">
        <v>19</v>
      </c>
      <c r="Q2901" s="26">
        <v>3</v>
      </c>
      <c r="R2901" s="26">
        <v>1</v>
      </c>
      <c r="S2901" s="26">
        <v>2</v>
      </c>
      <c r="T2901" s="26">
        <v>2</v>
      </c>
      <c r="U2901" s="26">
        <v>5</v>
      </c>
      <c r="V2901" s="26">
        <v>1</v>
      </c>
      <c r="W2901" s="26"/>
    </row>
    <row r="2902" spans="1:23" x14ac:dyDescent="0.25">
      <c r="A2902" s="26" t="str">
        <f t="shared" si="582"/>
        <v>PREESCOLAR</v>
      </c>
      <c r="B2902" s="26" t="str">
        <f>"09PJN5569L"</f>
        <v>09PJN5569L</v>
      </c>
      <c r="C2902" s="26" t="str">
        <f>"COLEGIO COCAY                                                                                       "</f>
        <v xml:space="preserve">COLEGIO COCAY                                                                                       </v>
      </c>
      <c r="D2902" s="26" t="str">
        <f t="shared" si="573"/>
        <v>MATUTINO</v>
      </c>
      <c r="E2902" s="26" t="str">
        <f>"UXMAL NO. 639                                                                   "</f>
        <v xml:space="preserve">UXMAL NO. 639                                                                   </v>
      </c>
      <c r="F2902" s="26" t="str">
        <f>"LETRAN VALLE                                                                                                                                "</f>
        <v xml:space="preserve">LETRAN VALLE                                                                                                                                </v>
      </c>
      <c r="G2902" s="26" t="str">
        <f>"BENITO JUAREZ                                                                   "</f>
        <v xml:space="preserve">BENITO JUAREZ                                                                   </v>
      </c>
      <c r="H2902" s="26" t="str">
        <f>"090"</f>
        <v>090</v>
      </c>
      <c r="I2902" s="26" t="str">
        <f t="shared" si="583"/>
        <v>00</v>
      </c>
      <c r="J2902" s="26" t="str">
        <f>"33 "</f>
        <v xml:space="preserve">33 </v>
      </c>
      <c r="K2902" s="26" t="str">
        <f t="shared" si="579"/>
        <v>EP</v>
      </c>
      <c r="L2902" s="26" t="str">
        <f t="shared" si="580"/>
        <v>DGOSE</v>
      </c>
      <c r="M2902" s="26" t="str">
        <f t="shared" si="581"/>
        <v>PARTICULAR</v>
      </c>
      <c r="N2902" s="26">
        <v>23</v>
      </c>
      <c r="O2902" s="26">
        <v>13</v>
      </c>
      <c r="P2902" s="26">
        <v>10</v>
      </c>
      <c r="Q2902" s="26">
        <v>3</v>
      </c>
      <c r="R2902" s="26">
        <v>1</v>
      </c>
      <c r="S2902" s="26">
        <v>3</v>
      </c>
      <c r="T2902" s="26">
        <v>3</v>
      </c>
      <c r="U2902" s="26">
        <v>7</v>
      </c>
      <c r="V2902" s="26">
        <v>1</v>
      </c>
      <c r="W2902" s="26"/>
    </row>
    <row r="2903" spans="1:23" x14ac:dyDescent="0.25">
      <c r="A2903" s="26" t="str">
        <f t="shared" si="582"/>
        <v>PREESCOLAR</v>
      </c>
      <c r="B2903" s="26" t="str">
        <f>"09PJN5572Z"</f>
        <v>09PJN5572Z</v>
      </c>
      <c r="C2903" s="26" t="str">
        <f>"SOR JUANA INES DE LA CRUZ                                                                           "</f>
        <v xml:space="preserve">SOR JUANA INES DE LA CRUZ                                                                           </v>
      </c>
      <c r="D2903" s="26" t="str">
        <f t="shared" si="573"/>
        <v>MATUTINO</v>
      </c>
      <c r="E2903" s="26" t="str">
        <f>"AV. MEXICO NO. 1                                                                "</f>
        <v xml:space="preserve">AV. MEXICO NO. 1                                                                </v>
      </c>
      <c r="F2903" s="26" t="str">
        <f>"SAN MIGUEL XICALCO                                                                                                                          "</f>
        <v xml:space="preserve">SAN MIGUEL XICALCO                                                                                                                          </v>
      </c>
      <c r="G2903" s="26" t="str">
        <f>"TLALPAN                                                                         "</f>
        <v xml:space="preserve">TLALPAN                                                                         </v>
      </c>
      <c r="H2903" s="26" t="str">
        <f>"076"</f>
        <v>076</v>
      </c>
      <c r="I2903" s="26" t="str">
        <f t="shared" si="583"/>
        <v>00</v>
      </c>
      <c r="J2903" s="26" t="str">
        <f>"35 "</f>
        <v xml:space="preserve">35 </v>
      </c>
      <c r="K2903" s="26" t="str">
        <f t="shared" si="579"/>
        <v>EP</v>
      </c>
      <c r="L2903" s="26" t="str">
        <f t="shared" si="580"/>
        <v>DGOSE</v>
      </c>
      <c r="M2903" s="26" t="str">
        <f t="shared" si="581"/>
        <v>PARTICULAR</v>
      </c>
      <c r="N2903" s="26">
        <v>27</v>
      </c>
      <c r="O2903" s="26">
        <v>14</v>
      </c>
      <c r="P2903" s="26">
        <v>13</v>
      </c>
      <c r="Q2903" s="26">
        <v>3</v>
      </c>
      <c r="R2903" s="26">
        <v>1</v>
      </c>
      <c r="S2903" s="26">
        <v>2</v>
      </c>
      <c r="T2903" s="26">
        <v>2</v>
      </c>
      <c r="U2903" s="26">
        <v>5</v>
      </c>
      <c r="V2903" s="26">
        <v>1</v>
      </c>
      <c r="W2903" s="26"/>
    </row>
    <row r="2904" spans="1:23" x14ac:dyDescent="0.25">
      <c r="A2904" s="26" t="str">
        <f t="shared" si="582"/>
        <v>PREESCOLAR</v>
      </c>
      <c r="B2904" s="26" t="str">
        <f>"09PJN5573Y"</f>
        <v>09PJN5573Y</v>
      </c>
      <c r="C2904" s="26" t="str">
        <f>"PIAGET Y LOS NIÑOS                                                                                  "</f>
        <v xml:space="preserve">PIAGET Y LOS NIÑOS                                                                                  </v>
      </c>
      <c r="D2904" s="26" t="str">
        <f t="shared" si="573"/>
        <v>MATUTINO</v>
      </c>
      <c r="E2904" s="26" t="str">
        <f>"NIÑO PERDIDO (HOY EJE CENTRAL LAZARO CARDENAS) NO. 1120                         "</f>
        <v xml:space="preserve">NIÑO PERDIDO (HOY EJE CENTRAL LAZARO CARDENAS) NO. 1120                         </v>
      </c>
      <c r="F2904" s="26" t="str">
        <f>"SAN SIMON TICUMAC                                                                                                                           "</f>
        <v xml:space="preserve">SAN SIMON TICUMAC                                                                                                                           </v>
      </c>
      <c r="G2904" s="26" t="str">
        <f>"BENITO JUAREZ                                                                   "</f>
        <v xml:space="preserve">BENITO JUAREZ                                                                   </v>
      </c>
      <c r="H2904" s="26" t="str">
        <f>"090"</f>
        <v>090</v>
      </c>
      <c r="I2904" s="26" t="str">
        <f t="shared" si="583"/>
        <v>00</v>
      </c>
      <c r="J2904" s="26" t="str">
        <f>"33 "</f>
        <v xml:space="preserve">33 </v>
      </c>
      <c r="K2904" s="26" t="str">
        <f t="shared" si="579"/>
        <v>EP</v>
      </c>
      <c r="L2904" s="26" t="str">
        <f t="shared" si="580"/>
        <v>DGOSE</v>
      </c>
      <c r="M2904" s="26" t="str">
        <f t="shared" si="581"/>
        <v>PARTICULAR</v>
      </c>
      <c r="N2904" s="26">
        <v>20</v>
      </c>
      <c r="O2904" s="26">
        <v>10</v>
      </c>
      <c r="P2904" s="26">
        <v>10</v>
      </c>
      <c r="Q2904" s="26">
        <v>2</v>
      </c>
      <c r="R2904" s="26">
        <v>1</v>
      </c>
      <c r="S2904" s="26">
        <v>1</v>
      </c>
      <c r="T2904" s="26">
        <v>2</v>
      </c>
      <c r="U2904" s="26">
        <v>4</v>
      </c>
      <c r="V2904" s="26">
        <v>1</v>
      </c>
      <c r="W2904" s="26"/>
    </row>
    <row r="2905" spans="1:23" x14ac:dyDescent="0.25">
      <c r="A2905" s="26" t="str">
        <f t="shared" si="582"/>
        <v>PREESCOLAR</v>
      </c>
      <c r="B2905" s="26" t="str">
        <f>"09PJN5574X"</f>
        <v>09PJN5574X</v>
      </c>
      <c r="C2905" s="26" t="str">
        <f>"JARDIN DE NIÑOS JUAN PABLO II                                                                       "</f>
        <v xml:space="preserve">JARDIN DE NIÑOS JUAN PABLO II                                                                       </v>
      </c>
      <c r="D2905" s="26" t="str">
        <f t="shared" si="573"/>
        <v>MATUTINO</v>
      </c>
      <c r="E2905" s="26" t="str">
        <f>"AV. EMILIANO ZAPATA NO. 366                                                     "</f>
        <v xml:space="preserve">AV. EMILIANO ZAPATA NO. 366                                                     </v>
      </c>
      <c r="F2905" s="26" t="str">
        <f>"SANTA CRUZ ATOYAC                                                                                                                           "</f>
        <v xml:space="preserve">SANTA CRUZ ATOYAC                                                                                                                           </v>
      </c>
      <c r="G2905" s="26" t="str">
        <f>"BENITO JUAREZ                                                                   "</f>
        <v xml:space="preserve">BENITO JUAREZ                                                                   </v>
      </c>
      <c r="H2905" s="26" t="str">
        <f>"234"</f>
        <v>234</v>
      </c>
      <c r="I2905" s="26" t="str">
        <f t="shared" si="583"/>
        <v>00</v>
      </c>
      <c r="J2905" s="26" t="str">
        <f>"33 "</f>
        <v xml:space="preserve">33 </v>
      </c>
      <c r="K2905" s="26" t="str">
        <f t="shared" si="579"/>
        <v>EP</v>
      </c>
      <c r="L2905" s="26" t="str">
        <f t="shared" si="580"/>
        <v>DGOSE</v>
      </c>
      <c r="M2905" s="26" t="str">
        <f t="shared" si="581"/>
        <v>PARTICULAR</v>
      </c>
      <c r="N2905" s="26">
        <v>43</v>
      </c>
      <c r="O2905" s="26">
        <v>20</v>
      </c>
      <c r="P2905" s="26">
        <v>23</v>
      </c>
      <c r="Q2905" s="26">
        <v>3</v>
      </c>
      <c r="R2905" s="26">
        <v>1</v>
      </c>
      <c r="S2905" s="26">
        <v>3</v>
      </c>
      <c r="T2905" s="26">
        <v>7</v>
      </c>
      <c r="U2905" s="26">
        <v>11</v>
      </c>
      <c r="V2905" s="26">
        <v>1</v>
      </c>
      <c r="W2905" s="26"/>
    </row>
    <row r="2906" spans="1:23" x14ac:dyDescent="0.25">
      <c r="A2906" s="26" t="str">
        <f t="shared" si="582"/>
        <v>PREESCOLAR</v>
      </c>
      <c r="B2906" s="26" t="str">
        <f>"09PJN5575W"</f>
        <v>09PJN5575W</v>
      </c>
      <c r="C2906" s="26" t="str">
        <f>"CREATIVIDAD Y DESARROLLO INFANTIL                                                                   "</f>
        <v xml:space="preserve">CREATIVIDAD Y DESARROLLO INFANTIL                                                                   </v>
      </c>
      <c r="D2906" s="26" t="str">
        <f t="shared" si="573"/>
        <v>MATUTINO</v>
      </c>
      <c r="E2906" s="26" t="str">
        <f>"DIVISION DEL NORTE NO. 738                                                      "</f>
        <v xml:space="preserve">DIVISION DEL NORTE NO. 738                                                      </v>
      </c>
      <c r="F2906" s="26" t="str">
        <f>"PRADO COAPA 2A Y 3A SECCION                                                                                                                 "</f>
        <v xml:space="preserve">PRADO COAPA 2A Y 3A SECCION                                                                                                                 </v>
      </c>
      <c r="G2906" s="26" t="str">
        <f>"TLALPAN                                                                         "</f>
        <v xml:space="preserve">TLALPAN                                                                         </v>
      </c>
      <c r="H2906" s="26" t="str">
        <f>"276"</f>
        <v>276</v>
      </c>
      <c r="I2906" s="26" t="str">
        <f t="shared" si="583"/>
        <v>00</v>
      </c>
      <c r="J2906" s="26" t="str">
        <f>"35 "</f>
        <v xml:space="preserve">35 </v>
      </c>
      <c r="K2906" s="26" t="str">
        <f t="shared" si="579"/>
        <v>EP</v>
      </c>
      <c r="L2906" s="26" t="str">
        <f t="shared" si="580"/>
        <v>DGOSE</v>
      </c>
      <c r="M2906" s="26" t="str">
        <f t="shared" si="581"/>
        <v>PARTICULAR</v>
      </c>
      <c r="N2906" s="26">
        <v>31</v>
      </c>
      <c r="O2906" s="26">
        <v>18</v>
      </c>
      <c r="P2906" s="26">
        <v>13</v>
      </c>
      <c r="Q2906" s="26">
        <v>2</v>
      </c>
      <c r="R2906" s="26">
        <v>1</v>
      </c>
      <c r="S2906" s="26">
        <v>2</v>
      </c>
      <c r="T2906" s="26">
        <v>2</v>
      </c>
      <c r="U2906" s="26">
        <v>5</v>
      </c>
      <c r="V2906" s="26">
        <v>1</v>
      </c>
      <c r="W2906" s="26"/>
    </row>
    <row r="2907" spans="1:23" x14ac:dyDescent="0.25">
      <c r="A2907" s="26" t="str">
        <f t="shared" si="582"/>
        <v>PREESCOLAR</v>
      </c>
      <c r="B2907" s="26" t="str">
        <f>"09PJN5577U"</f>
        <v>09PJN5577U</v>
      </c>
      <c r="C2907" s="26" t="str">
        <f>"COLEGIO MONTESSORI COLOMBA                                                                          "</f>
        <v xml:space="preserve">COLEGIO MONTESSORI COLOMBA                                                                          </v>
      </c>
      <c r="D2907" s="26" t="str">
        <f t="shared" ref="D2907:D2970" si="584">"MATUTINO"</f>
        <v>MATUTINO</v>
      </c>
      <c r="E2907" s="26" t="str">
        <f>"CERRADA DE DILIGENCIAS NO. 45                                                   "</f>
        <v xml:space="preserve">CERRADA DE DILIGENCIAS NO. 45                                                   </v>
      </c>
      <c r="F2907" s="26" t="str">
        <f>"SAN ANDRES TOTOLTEPEC                                                                                                                       "</f>
        <v xml:space="preserve">SAN ANDRES TOTOLTEPEC                                                                                                                       </v>
      </c>
      <c r="G2907" s="26" t="str">
        <f>"TLALPAN                                                                         "</f>
        <v xml:space="preserve">TLALPAN                                                                         </v>
      </c>
      <c r="H2907" s="26" t="str">
        <f>"226"</f>
        <v>226</v>
      </c>
      <c r="I2907" s="26" t="str">
        <f t="shared" si="583"/>
        <v>00</v>
      </c>
      <c r="J2907" s="26" t="str">
        <f>"35 "</f>
        <v xml:space="preserve">35 </v>
      </c>
      <c r="K2907" s="26" t="str">
        <f t="shared" si="579"/>
        <v>EP</v>
      </c>
      <c r="L2907" s="26" t="str">
        <f t="shared" si="580"/>
        <v>DGOSE</v>
      </c>
      <c r="M2907" s="26" t="str">
        <f t="shared" si="581"/>
        <v>PARTICULAR</v>
      </c>
      <c r="N2907" s="26">
        <v>24</v>
      </c>
      <c r="O2907" s="26">
        <v>15</v>
      </c>
      <c r="P2907" s="26">
        <v>9</v>
      </c>
      <c r="Q2907" s="26">
        <v>3</v>
      </c>
      <c r="R2907" s="26">
        <v>1</v>
      </c>
      <c r="S2907" s="26">
        <v>2</v>
      </c>
      <c r="T2907" s="26">
        <v>12</v>
      </c>
      <c r="U2907" s="26">
        <v>15</v>
      </c>
      <c r="V2907" s="26">
        <v>1</v>
      </c>
      <c r="W2907" s="26"/>
    </row>
    <row r="2908" spans="1:23" x14ac:dyDescent="0.25">
      <c r="A2908" s="26" t="str">
        <f t="shared" si="582"/>
        <v>PREESCOLAR</v>
      </c>
      <c r="B2908" s="26" t="str">
        <f>"09PJN5578T"</f>
        <v>09PJN5578T</v>
      </c>
      <c r="C2908" s="26" t="str">
        <f>"INSTITUTO PEDAGÓGICO SIMONE OHTLI                                                                   "</f>
        <v xml:space="preserve">INSTITUTO PEDAGÓGICO SIMONE OHTLI                                                                   </v>
      </c>
      <c r="D2908" s="26" t="str">
        <f t="shared" si="584"/>
        <v>MATUTINO</v>
      </c>
      <c r="E2908" s="26" t="str">
        <f>"LACANDONES NO. 108                                                              "</f>
        <v xml:space="preserve">LACANDONES NO. 108                                                              </v>
      </c>
      <c r="F2908" s="26" t="str">
        <f>"TLALPAN                                                                                                                                     "</f>
        <v xml:space="preserve">TLALPAN                                                                                                                                     </v>
      </c>
      <c r="G2908" s="26" t="str">
        <f>"TLALPAN                                                                         "</f>
        <v xml:space="preserve">TLALPAN                                                                         </v>
      </c>
      <c r="H2908" s="26" t="str">
        <f>"278"</f>
        <v>278</v>
      </c>
      <c r="I2908" s="26" t="str">
        <f t="shared" si="583"/>
        <v>00</v>
      </c>
      <c r="J2908" s="26" t="str">
        <f>"35 "</f>
        <v xml:space="preserve">35 </v>
      </c>
      <c r="K2908" s="26" t="str">
        <f t="shared" si="579"/>
        <v>EP</v>
      </c>
      <c r="L2908" s="26" t="str">
        <f t="shared" si="580"/>
        <v>DGOSE</v>
      </c>
      <c r="M2908" s="26" t="str">
        <f t="shared" si="581"/>
        <v>PARTICULAR</v>
      </c>
      <c r="N2908" s="26">
        <v>16</v>
      </c>
      <c r="O2908" s="26">
        <v>6</v>
      </c>
      <c r="P2908" s="26">
        <v>10</v>
      </c>
      <c r="Q2908" s="26">
        <v>3</v>
      </c>
      <c r="R2908" s="26">
        <v>1</v>
      </c>
      <c r="S2908" s="26">
        <v>2</v>
      </c>
      <c r="T2908" s="26">
        <v>3</v>
      </c>
      <c r="U2908" s="26">
        <v>6</v>
      </c>
      <c r="V2908" s="26">
        <v>1</v>
      </c>
      <c r="W2908" s="26"/>
    </row>
    <row r="2909" spans="1:23" x14ac:dyDescent="0.25">
      <c r="A2909" s="26" t="str">
        <f t="shared" si="582"/>
        <v>PREESCOLAR</v>
      </c>
      <c r="B2909" s="26" t="str">
        <f>"09PJN5581G"</f>
        <v>09PJN5581G</v>
      </c>
      <c r="C2909" s="26" t="str">
        <f>"CENTRO DE EDUCACIÓN INFANTIL                                                                        "</f>
        <v xml:space="preserve">CENTRO DE EDUCACIÓN INFANTIL                                                                        </v>
      </c>
      <c r="D2909" s="26" t="str">
        <f t="shared" si="584"/>
        <v>MATUTINO</v>
      </c>
      <c r="E2909" s="26" t="str">
        <f>"AV. DEL IMAN NO. 787                                                            "</f>
        <v xml:space="preserve">AV. DEL IMAN NO. 787                                                            </v>
      </c>
      <c r="F2909" s="26" t="str">
        <f>"EL CARACOL                                                                                                                                  "</f>
        <v xml:space="preserve">EL CARACOL                                                                                                                                  </v>
      </c>
      <c r="G2909" s="26" t="str">
        <f>"COYOACAN                                                                        "</f>
        <v xml:space="preserve">COYOACAN                                                                        </v>
      </c>
      <c r="H2909" s="26" t="str">
        <f>"156"</f>
        <v>156</v>
      </c>
      <c r="I2909" s="26" t="str">
        <f t="shared" si="583"/>
        <v>00</v>
      </c>
      <c r="J2909" s="26" t="str">
        <f>"35 "</f>
        <v xml:space="preserve">35 </v>
      </c>
      <c r="K2909" s="26" t="str">
        <f t="shared" si="579"/>
        <v>EP</v>
      </c>
      <c r="L2909" s="26" t="str">
        <f t="shared" si="580"/>
        <v>DGOSE</v>
      </c>
      <c r="M2909" s="26" t="str">
        <f t="shared" si="581"/>
        <v>PARTICULAR</v>
      </c>
      <c r="N2909" s="26">
        <v>22</v>
      </c>
      <c r="O2909" s="26">
        <v>14</v>
      </c>
      <c r="P2909" s="26">
        <v>8</v>
      </c>
      <c r="Q2909" s="26">
        <v>3</v>
      </c>
      <c r="R2909" s="26">
        <v>1</v>
      </c>
      <c r="S2909" s="26">
        <v>2</v>
      </c>
      <c r="T2909" s="26">
        <v>1</v>
      </c>
      <c r="U2909" s="26">
        <v>4</v>
      </c>
      <c r="V2909" s="26">
        <v>1</v>
      </c>
      <c r="W2909" s="26"/>
    </row>
    <row r="2910" spans="1:23" x14ac:dyDescent="0.25">
      <c r="A2910" s="26" t="str">
        <f t="shared" si="582"/>
        <v>PREESCOLAR</v>
      </c>
      <c r="B2910" s="26" t="str">
        <f>"09PJN5583E"</f>
        <v>09PJN5583E</v>
      </c>
      <c r="C2910" s="26" t="str">
        <f>"CENTRO CULTURAL ROATH                                                                               "</f>
        <v xml:space="preserve">CENTRO CULTURAL ROATH                                                                               </v>
      </c>
      <c r="D2910" s="26" t="str">
        <f t="shared" si="584"/>
        <v>MATUTINO</v>
      </c>
      <c r="E2910" s="26" t="str">
        <f>"SIERRA IXTLAN NO. 405                                                           "</f>
        <v xml:space="preserve">SIERRA IXTLAN NO. 405                                                           </v>
      </c>
      <c r="F2910" s="26" t="str">
        <f>"LOMAS DE CHAPULTEPEC                                                                                                                        "</f>
        <v xml:space="preserve">LOMAS DE CHAPULTEPEC                                                                                                                        </v>
      </c>
      <c r="G2910" s="26" t="str">
        <f>"MIGUEL HIDALGO                                                                  "</f>
        <v xml:space="preserve">MIGUEL HIDALGO                                                                  </v>
      </c>
      <c r="H2910" s="26" t="str">
        <f>"193"</f>
        <v>193</v>
      </c>
      <c r="I2910" s="26" t="str">
        <f t="shared" si="583"/>
        <v>00</v>
      </c>
      <c r="J2910" s="26" t="str">
        <f>"32 "</f>
        <v xml:space="preserve">32 </v>
      </c>
      <c r="K2910" s="26" t="str">
        <f t="shared" si="579"/>
        <v>EP</v>
      </c>
      <c r="L2910" s="26" t="str">
        <f t="shared" si="580"/>
        <v>DGOSE</v>
      </c>
      <c r="M2910" s="26" t="str">
        <f t="shared" si="581"/>
        <v>PARTICULAR</v>
      </c>
      <c r="N2910" s="26">
        <v>59</v>
      </c>
      <c r="O2910" s="26">
        <v>31</v>
      </c>
      <c r="P2910" s="26">
        <v>28</v>
      </c>
      <c r="Q2910" s="26">
        <v>3</v>
      </c>
      <c r="R2910" s="26">
        <v>1</v>
      </c>
      <c r="S2910" s="26">
        <v>3</v>
      </c>
      <c r="T2910" s="26">
        <v>11</v>
      </c>
      <c r="U2910" s="26">
        <v>15</v>
      </c>
      <c r="V2910" s="26">
        <v>1</v>
      </c>
      <c r="W2910" s="26"/>
    </row>
    <row r="2911" spans="1:23" x14ac:dyDescent="0.25">
      <c r="A2911" s="26" t="str">
        <f t="shared" si="582"/>
        <v>PREESCOLAR</v>
      </c>
      <c r="B2911" s="26" t="str">
        <f>"09PJN5584D"</f>
        <v>09PJN5584D</v>
      </c>
      <c r="C2911" s="26" t="str">
        <f>"C.D.I.I. MELANIE KLEINE                                                                             "</f>
        <v xml:space="preserve">C.D.I.I. MELANIE KLEINE                                                                             </v>
      </c>
      <c r="D2911" s="26" t="str">
        <f t="shared" si="584"/>
        <v>MATUTINO</v>
      </c>
      <c r="E2911" s="26" t="str">
        <f>"PETEN NO. 221                                                                   "</f>
        <v xml:space="preserve">PETEN NO. 221                                                                   </v>
      </c>
      <c r="F2911" s="26" t="str">
        <f>"NARVARTE                                                                                                                                    "</f>
        <v xml:space="preserve">NARVARTE                                                                                                                                    </v>
      </c>
      <c r="G2911" s="26" t="str">
        <f>"BENITO JUAREZ                                                                   "</f>
        <v xml:space="preserve">BENITO JUAREZ                                                                   </v>
      </c>
      <c r="H2911" s="26" t="str">
        <f>"029"</f>
        <v>029</v>
      </c>
      <c r="I2911" s="26" t="str">
        <f t="shared" si="583"/>
        <v>00</v>
      </c>
      <c r="J2911" s="26" t="str">
        <f>"33 "</f>
        <v xml:space="preserve">33 </v>
      </c>
      <c r="K2911" s="26" t="str">
        <f t="shared" si="579"/>
        <v>EP</v>
      </c>
      <c r="L2911" s="26" t="str">
        <f t="shared" si="580"/>
        <v>DGOSE</v>
      </c>
      <c r="M2911" s="26" t="str">
        <f t="shared" si="581"/>
        <v>PARTICULAR</v>
      </c>
      <c r="N2911" s="26">
        <v>41</v>
      </c>
      <c r="O2911" s="26">
        <v>21</v>
      </c>
      <c r="P2911" s="26">
        <v>20</v>
      </c>
      <c r="Q2911" s="26">
        <v>3</v>
      </c>
      <c r="R2911" s="26">
        <v>1</v>
      </c>
      <c r="S2911" s="26">
        <v>3</v>
      </c>
      <c r="T2911" s="26">
        <v>5</v>
      </c>
      <c r="U2911" s="26">
        <v>9</v>
      </c>
      <c r="V2911" s="26">
        <v>1</v>
      </c>
      <c r="W2911" s="26"/>
    </row>
    <row r="2912" spans="1:23" x14ac:dyDescent="0.25">
      <c r="A2912" s="26" t="str">
        <f t="shared" si="582"/>
        <v>PREESCOLAR</v>
      </c>
      <c r="B2912" s="26" t="str">
        <f>"09PJN5585C"</f>
        <v>09PJN5585C</v>
      </c>
      <c r="C2912" s="26" t="str">
        <f>"LICEO EUROPEO DE MEXICO                                                                             "</f>
        <v xml:space="preserve">LICEO EUROPEO DE MEXICO                                                                             </v>
      </c>
      <c r="D2912" s="26" t="str">
        <f t="shared" si="584"/>
        <v>MATUTINO</v>
      </c>
      <c r="E2912" s="26" t="str">
        <f>"AV. MEXICO NO.194                                                               "</f>
        <v xml:space="preserve">AV. MEXICO NO.194                                                               </v>
      </c>
      <c r="F2912" s="26" t="str">
        <f>"HIPODROMO DE LA CONDESA                                                                                                                     "</f>
        <v xml:space="preserve">HIPODROMO DE LA CONDESA                                                                                                                     </v>
      </c>
      <c r="G2912" s="26" t="s">
        <v>4128</v>
      </c>
      <c r="H2912" s="26" t="str">
        <f>"020"</f>
        <v>020</v>
      </c>
      <c r="I2912" s="26" t="str">
        <f t="shared" si="583"/>
        <v>00</v>
      </c>
      <c r="J2912" s="26" t="str">
        <f>"32 "</f>
        <v xml:space="preserve">32 </v>
      </c>
      <c r="K2912" s="26" t="str">
        <f t="shared" si="579"/>
        <v>EP</v>
      </c>
      <c r="L2912" s="26" t="str">
        <f t="shared" si="580"/>
        <v>DGOSE</v>
      </c>
      <c r="M2912" s="26" t="str">
        <f t="shared" si="581"/>
        <v>PARTICULAR</v>
      </c>
      <c r="N2912" s="26">
        <v>2</v>
      </c>
      <c r="O2912" s="26">
        <v>0</v>
      </c>
      <c r="P2912" s="26">
        <v>2</v>
      </c>
      <c r="Q2912" s="26">
        <v>2</v>
      </c>
      <c r="R2912" s="26">
        <v>1</v>
      </c>
      <c r="S2912" s="26">
        <v>2</v>
      </c>
      <c r="T2912" s="26">
        <v>3</v>
      </c>
      <c r="U2912" s="26">
        <v>6</v>
      </c>
      <c r="V2912" s="26">
        <v>1</v>
      </c>
      <c r="W2912" s="26"/>
    </row>
    <row r="2913" spans="1:23" x14ac:dyDescent="0.25">
      <c r="A2913" s="26" t="str">
        <f t="shared" si="582"/>
        <v>PREESCOLAR</v>
      </c>
      <c r="B2913" s="26" t="str">
        <f>"09PJN5586B"</f>
        <v>09PJN5586B</v>
      </c>
      <c r="C2913" s="26" t="str">
        <f>"CENTRO MONTESSORI DE ESTIMULACION TEMPRANA                                                          "</f>
        <v xml:space="preserve">CENTRO MONTESSORI DE ESTIMULACION TEMPRANA                                                          </v>
      </c>
      <c r="D2913" s="26" t="str">
        <f t="shared" si="584"/>
        <v>MATUTINO</v>
      </c>
      <c r="E2913" s="26" t="str">
        <f>"CALDERON DE LA BARCA NO. 230                                                    "</f>
        <v xml:space="preserve">CALDERON DE LA BARCA NO. 230                                                    </v>
      </c>
      <c r="F2913" s="26" t="str">
        <f>"POLANCO REFORMA                                                                                                                             "</f>
        <v xml:space="preserve">POLANCO REFORMA                                                                                                                             </v>
      </c>
      <c r="G2913" s="26" t="str">
        <f>"MIGUEL HIDALGO                                                                  "</f>
        <v xml:space="preserve">MIGUEL HIDALGO                                                                  </v>
      </c>
      <c r="H2913" s="26" t="str">
        <f>"131"</f>
        <v>131</v>
      </c>
      <c r="I2913" s="26" t="str">
        <f t="shared" si="583"/>
        <v>00</v>
      </c>
      <c r="J2913" s="26" t="str">
        <f>"32 "</f>
        <v xml:space="preserve">32 </v>
      </c>
      <c r="K2913" s="26" t="str">
        <f t="shared" si="579"/>
        <v>EP</v>
      </c>
      <c r="L2913" s="26" t="str">
        <f t="shared" si="580"/>
        <v>DGOSE</v>
      </c>
      <c r="M2913" s="26" t="str">
        <f t="shared" si="581"/>
        <v>PARTICULAR</v>
      </c>
      <c r="N2913" s="26">
        <v>5</v>
      </c>
      <c r="O2913" s="26">
        <v>3</v>
      </c>
      <c r="P2913" s="26">
        <v>2</v>
      </c>
      <c r="Q2913" s="26">
        <v>2</v>
      </c>
      <c r="R2913" s="26">
        <v>1</v>
      </c>
      <c r="S2913" s="26">
        <v>1</v>
      </c>
      <c r="T2913" s="26">
        <v>0</v>
      </c>
      <c r="U2913" s="26">
        <v>2</v>
      </c>
      <c r="V2913" s="26">
        <v>1</v>
      </c>
      <c r="W2913" s="26"/>
    </row>
    <row r="2914" spans="1:23" x14ac:dyDescent="0.25">
      <c r="A2914" s="26" t="str">
        <f t="shared" si="582"/>
        <v>PREESCOLAR</v>
      </c>
      <c r="B2914" s="26" t="str">
        <f>"09PJN5587A"</f>
        <v>09PJN5587A</v>
      </c>
      <c r="C2914" s="26" t="str">
        <f>"COLEGIO MÉXICO                                                                                      "</f>
        <v xml:space="preserve">COLEGIO MÉXICO                                                                                      </v>
      </c>
      <c r="D2914" s="26" t="str">
        <f t="shared" si="584"/>
        <v>MATUTINO</v>
      </c>
      <c r="E2914" s="26" t="str">
        <f>"MERIDA NO. 50                                                                   "</f>
        <v xml:space="preserve">MERIDA NO. 50                                                                   </v>
      </c>
      <c r="F2914" s="26" t="str">
        <f>"ROMA NORTE                                                                                                                                  "</f>
        <v xml:space="preserve">ROMA NORTE                                                                                                                                  </v>
      </c>
      <c r="G2914" s="26" t="s">
        <v>4128</v>
      </c>
      <c r="H2914" s="26" t="str">
        <f>"202"</f>
        <v>202</v>
      </c>
      <c r="I2914" s="26" t="str">
        <f t="shared" si="583"/>
        <v>00</v>
      </c>
      <c r="J2914" s="26" t="str">
        <f>"32 "</f>
        <v xml:space="preserve">32 </v>
      </c>
      <c r="K2914" s="26" t="str">
        <f t="shared" si="579"/>
        <v>EP</v>
      </c>
      <c r="L2914" s="26" t="str">
        <f t="shared" si="580"/>
        <v>DGOSE</v>
      </c>
      <c r="M2914" s="26" t="str">
        <f t="shared" si="581"/>
        <v>PARTICULAR</v>
      </c>
      <c r="N2914" s="26">
        <v>44</v>
      </c>
      <c r="O2914" s="26">
        <v>23</v>
      </c>
      <c r="P2914" s="26">
        <v>21</v>
      </c>
      <c r="Q2914" s="26">
        <v>3</v>
      </c>
      <c r="R2914" s="26">
        <v>1</v>
      </c>
      <c r="S2914" s="26">
        <v>3</v>
      </c>
      <c r="T2914" s="26">
        <v>7</v>
      </c>
      <c r="U2914" s="26">
        <v>11</v>
      </c>
      <c r="V2914" s="26">
        <v>1</v>
      </c>
      <c r="W2914" s="26"/>
    </row>
    <row r="2915" spans="1:23" x14ac:dyDescent="0.25">
      <c r="A2915" s="26" t="str">
        <f t="shared" si="582"/>
        <v>PREESCOLAR</v>
      </c>
      <c r="B2915" s="26" t="str">
        <f>"09PJN5588Z"</f>
        <v>09PJN5588Z</v>
      </c>
      <c r="C2915" s="26" t="str">
        <f>"COLEGIO CIBELES                                                                                     "</f>
        <v xml:space="preserve">COLEGIO CIBELES                                                                                     </v>
      </c>
      <c r="D2915" s="26" t="str">
        <f t="shared" si="584"/>
        <v>MATUTINO</v>
      </c>
      <c r="E2915" s="26" t="str">
        <f>"RIO GUADALQUIVIR NO. 74                                                         "</f>
        <v xml:space="preserve">RIO GUADALQUIVIR NO. 74                                                         </v>
      </c>
      <c r="F2915" s="26" t="str">
        <f>"CUAUHTEMOC                                                                                                                                  "</f>
        <v xml:space="preserve">CUAUHTEMOC                                                                                                                                  </v>
      </c>
      <c r="G2915" s="26" t="s">
        <v>4128</v>
      </c>
      <c r="H2915" s="26" t="str">
        <f>"203"</f>
        <v>203</v>
      </c>
      <c r="I2915" s="26" t="str">
        <f t="shared" si="583"/>
        <v>00</v>
      </c>
      <c r="J2915" s="26" t="str">
        <f>"32 "</f>
        <v xml:space="preserve">32 </v>
      </c>
      <c r="K2915" s="26" t="str">
        <f t="shared" si="579"/>
        <v>EP</v>
      </c>
      <c r="L2915" s="26" t="str">
        <f t="shared" si="580"/>
        <v>DGOSE</v>
      </c>
      <c r="M2915" s="26" t="str">
        <f t="shared" si="581"/>
        <v>PARTICULAR</v>
      </c>
      <c r="N2915" s="26">
        <v>19</v>
      </c>
      <c r="O2915" s="26">
        <v>12</v>
      </c>
      <c r="P2915" s="26">
        <v>7</v>
      </c>
      <c r="Q2915" s="26">
        <v>1</v>
      </c>
      <c r="R2915" s="26">
        <v>1</v>
      </c>
      <c r="S2915" s="26">
        <v>1</v>
      </c>
      <c r="T2915" s="26">
        <v>5</v>
      </c>
      <c r="U2915" s="26">
        <v>7</v>
      </c>
      <c r="V2915" s="26">
        <v>1</v>
      </c>
      <c r="W2915" s="26"/>
    </row>
    <row r="2916" spans="1:23" x14ac:dyDescent="0.25">
      <c r="A2916" s="26" t="str">
        <f t="shared" si="582"/>
        <v>PREESCOLAR</v>
      </c>
      <c r="B2916" s="26" t="str">
        <f>"09PJN5589Z"</f>
        <v>09PJN5589Z</v>
      </c>
      <c r="C2916" s="26" t="str">
        <f>"COLEGIO CIBELES                                                                                     "</f>
        <v xml:space="preserve">COLEGIO CIBELES                                                                                     </v>
      </c>
      <c r="D2916" s="26" t="str">
        <f t="shared" si="584"/>
        <v>MATUTINO</v>
      </c>
      <c r="E2916" s="26" t="str">
        <f>"RIO GRIJALVA NOS. 31 Y35                                                        "</f>
        <v xml:space="preserve">RIO GRIJALVA NOS. 31 Y35                                                        </v>
      </c>
      <c r="F2916" s="26" t="str">
        <f>"CUAUHTEMOC                                                                                                                                  "</f>
        <v xml:space="preserve">CUAUHTEMOC                                                                                                                                  </v>
      </c>
      <c r="G2916" s="26" t="s">
        <v>4128</v>
      </c>
      <c r="H2916" s="26" t="str">
        <f>"203"</f>
        <v>203</v>
      </c>
      <c r="I2916" s="26" t="str">
        <f t="shared" si="583"/>
        <v>00</v>
      </c>
      <c r="J2916" s="26" t="str">
        <f>"32 "</f>
        <v xml:space="preserve">32 </v>
      </c>
      <c r="K2916" s="26" t="str">
        <f t="shared" si="579"/>
        <v>EP</v>
      </c>
      <c r="L2916" s="26" t="str">
        <f t="shared" si="580"/>
        <v>DGOSE</v>
      </c>
      <c r="M2916" s="26" t="str">
        <f t="shared" si="581"/>
        <v>PARTICULAR</v>
      </c>
      <c r="N2916" s="26">
        <v>60</v>
      </c>
      <c r="O2916" s="26">
        <v>32</v>
      </c>
      <c r="P2916" s="26">
        <v>28</v>
      </c>
      <c r="Q2916" s="26">
        <v>3</v>
      </c>
      <c r="R2916" s="26">
        <v>1</v>
      </c>
      <c r="S2916" s="26">
        <v>3</v>
      </c>
      <c r="T2916" s="26">
        <v>8</v>
      </c>
      <c r="U2916" s="26">
        <v>12</v>
      </c>
      <c r="V2916" s="26">
        <v>1</v>
      </c>
      <c r="W2916" s="26"/>
    </row>
    <row r="2917" spans="1:23" x14ac:dyDescent="0.25">
      <c r="A2917" s="26" t="str">
        <f t="shared" si="582"/>
        <v>PREESCOLAR</v>
      </c>
      <c r="B2917" s="26" t="str">
        <f>"09PJN5594K"</f>
        <v>09PJN5594K</v>
      </c>
      <c r="C2917" s="26" t="str">
        <f>"CENTRO EDUCATIVO DAVID PAUL AUSEBEL                                                                 "</f>
        <v xml:space="preserve">CENTRO EDUCATIVO DAVID PAUL AUSEBEL                                                                 </v>
      </c>
      <c r="D2917" s="26" t="str">
        <f t="shared" si="584"/>
        <v>MATUTINO</v>
      </c>
      <c r="E2917" s="26" t="str">
        <f>"FRESNO S/N MZ 9 LT. 1                                                           "</f>
        <v xml:space="preserve">FRESNO S/N MZ 9 LT. 1                                                           </v>
      </c>
      <c r="F2917" s="26" t="str">
        <f>"SAN JUAN XALPA                                                                                                                              "</f>
        <v xml:space="preserve">SAN JUAN XALPA                                                                                                                              </v>
      </c>
      <c r="G2917" s="26" t="str">
        <f>"IZTAPALAPA                                                                      "</f>
        <v xml:space="preserve">IZTAPALAPA                                                                      </v>
      </c>
      <c r="H2917" s="26" t="str">
        <f>"000"</f>
        <v>000</v>
      </c>
      <c r="I2917" s="26" t="str">
        <f t="shared" si="583"/>
        <v>00</v>
      </c>
      <c r="J2917" s="26" t="str">
        <f>"63 "</f>
        <v xml:space="preserve">63 </v>
      </c>
      <c r="K2917" s="26" t="str">
        <f>"IZ"</f>
        <v>IZ</v>
      </c>
      <c r="L2917" s="26" t="str">
        <f>"DGSEI"</f>
        <v>DGSEI</v>
      </c>
      <c r="M2917" s="26" t="str">
        <f t="shared" si="581"/>
        <v>PARTICULAR</v>
      </c>
      <c r="N2917" s="26">
        <v>31</v>
      </c>
      <c r="O2917" s="26">
        <v>18</v>
      </c>
      <c r="P2917" s="26">
        <v>13</v>
      </c>
      <c r="Q2917" s="26">
        <v>3</v>
      </c>
      <c r="R2917" s="26">
        <v>1</v>
      </c>
      <c r="S2917" s="26">
        <v>2</v>
      </c>
      <c r="T2917" s="26">
        <v>0</v>
      </c>
      <c r="U2917" s="26">
        <v>3</v>
      </c>
      <c r="V2917" s="26">
        <v>1</v>
      </c>
      <c r="W2917" s="26"/>
    </row>
    <row r="2918" spans="1:23" x14ac:dyDescent="0.25">
      <c r="A2918" s="26" t="str">
        <f t="shared" si="582"/>
        <v>PREESCOLAR</v>
      </c>
      <c r="B2918" s="26" t="str">
        <f>"09PJN5601D"</f>
        <v>09PJN5601D</v>
      </c>
      <c r="C2918" s="26" t="str">
        <f>"ESCUELA NUEVO CONTINENTE                                                                            "</f>
        <v xml:space="preserve">ESCUELA NUEVO CONTINENTE                                                                            </v>
      </c>
      <c r="D2918" s="26" t="str">
        <f t="shared" si="584"/>
        <v>MATUTINO</v>
      </c>
      <c r="E2918" s="26" t="str">
        <f>"GABRIEL MANCERA NO. 1050                                                        "</f>
        <v xml:space="preserve">GABRIEL MANCERA NO. 1050                                                        </v>
      </c>
      <c r="F2918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2918" s="26" t="str">
        <f>"BENITO JUAREZ                                                                   "</f>
        <v xml:space="preserve">BENITO JUAREZ                                                                   </v>
      </c>
      <c r="H2918" s="26" t="str">
        <f>"231"</f>
        <v>231</v>
      </c>
      <c r="I2918" s="26" t="str">
        <f t="shared" si="583"/>
        <v>00</v>
      </c>
      <c r="J2918" s="26" t="str">
        <f>"33 "</f>
        <v xml:space="preserve">33 </v>
      </c>
      <c r="K2918" s="26" t="str">
        <f t="shared" ref="K2918:K2950" si="585">"EP"</f>
        <v>EP</v>
      </c>
      <c r="L2918" s="26" t="str">
        <f t="shared" ref="L2918:L2950" si="586">"DGOSE"</f>
        <v>DGOSE</v>
      </c>
      <c r="M2918" s="26" t="str">
        <f t="shared" si="581"/>
        <v>PARTICULAR</v>
      </c>
      <c r="N2918" s="26">
        <v>273</v>
      </c>
      <c r="O2918" s="26">
        <v>144</v>
      </c>
      <c r="P2918" s="26">
        <v>129</v>
      </c>
      <c r="Q2918" s="26">
        <v>11</v>
      </c>
      <c r="R2918" s="26">
        <v>1</v>
      </c>
      <c r="S2918" s="26">
        <v>11</v>
      </c>
      <c r="T2918" s="26">
        <v>14</v>
      </c>
      <c r="U2918" s="26">
        <v>26</v>
      </c>
      <c r="V2918" s="26">
        <v>1</v>
      </c>
      <c r="W2918" s="26"/>
    </row>
    <row r="2919" spans="1:23" x14ac:dyDescent="0.25">
      <c r="A2919" s="26" t="str">
        <f t="shared" si="582"/>
        <v>PREESCOLAR</v>
      </c>
      <c r="B2919" s="26" t="str">
        <f>"09PJN5602C"</f>
        <v>09PJN5602C</v>
      </c>
      <c r="C2919" s="26" t="str">
        <f>"DR. MANUEL NOÉ RÍOS CRUZ                                                                            "</f>
        <v xml:space="preserve">DR. MANUEL NOÉ RÍOS CRUZ                                                                            </v>
      </c>
      <c r="D2919" s="26" t="str">
        <f t="shared" si="584"/>
        <v>MATUTINO</v>
      </c>
      <c r="E2919" s="26" t="str">
        <f>"JUAN DE DIOS PEZA NO. 39                                                        "</f>
        <v xml:space="preserve">JUAN DE DIOS PEZA NO. 39                                                        </v>
      </c>
      <c r="F2919" s="26" t="str">
        <f>"BARRIO SANTA ANA ZAPOTITLAN                                                                                                                 "</f>
        <v xml:space="preserve">BARRIO SANTA ANA ZAPOTITLAN                                                                                                                 </v>
      </c>
      <c r="G2919" s="26" t="str">
        <f>"TLAHUAC                                                                         "</f>
        <v xml:space="preserve">TLAHUAC                                                                         </v>
      </c>
      <c r="H2919" s="26" t="str">
        <f>"065"</f>
        <v>065</v>
      </c>
      <c r="I2919" s="26" t="str">
        <f t="shared" si="583"/>
        <v>00</v>
      </c>
      <c r="J2919" s="26" t="str">
        <f>"35 "</f>
        <v xml:space="preserve">35 </v>
      </c>
      <c r="K2919" s="26" t="str">
        <f t="shared" si="585"/>
        <v>EP</v>
      </c>
      <c r="L2919" s="26" t="str">
        <f t="shared" si="586"/>
        <v>DGOSE</v>
      </c>
      <c r="M2919" s="26" t="str">
        <f t="shared" si="581"/>
        <v>PARTICULAR</v>
      </c>
      <c r="N2919" s="26">
        <v>15</v>
      </c>
      <c r="O2919" s="26">
        <v>6</v>
      </c>
      <c r="P2919" s="26">
        <v>9</v>
      </c>
      <c r="Q2919" s="26">
        <v>2</v>
      </c>
      <c r="R2919" s="26">
        <v>1</v>
      </c>
      <c r="S2919" s="26">
        <v>2</v>
      </c>
      <c r="T2919" s="26">
        <v>1</v>
      </c>
      <c r="U2919" s="26">
        <v>4</v>
      </c>
      <c r="V2919" s="26">
        <v>1</v>
      </c>
      <c r="W2919" s="26"/>
    </row>
    <row r="2920" spans="1:23" x14ac:dyDescent="0.25">
      <c r="A2920" s="26" t="str">
        <f t="shared" si="582"/>
        <v>PREESCOLAR</v>
      </c>
      <c r="B2920" s="26" t="str">
        <f>"09PJN5603B"</f>
        <v>09PJN5603B</v>
      </c>
      <c r="C2920" s="26" t="str">
        <f>"UNIDOS PARA CRECER                                                                                  "</f>
        <v xml:space="preserve">UNIDOS PARA CRECER                                                                                  </v>
      </c>
      <c r="D2920" s="26" t="str">
        <f t="shared" si="584"/>
        <v>MATUTINO</v>
      </c>
      <c r="E2920" s="26" t="str">
        <f>"BECQUER NO. 17                                                                  "</f>
        <v xml:space="preserve">BECQUER NO. 17                                                                  </v>
      </c>
      <c r="F2920" s="26" t="str">
        <f>"ANZURES                                                                                                                                     "</f>
        <v xml:space="preserve">ANZURES                                                                                                                                     </v>
      </c>
      <c r="G2920" s="26" t="str">
        <f>"MIGUEL HIDALGO                                                                  "</f>
        <v xml:space="preserve">MIGUEL HIDALGO                                                                  </v>
      </c>
      <c r="H2920" s="26" t="str">
        <f>"073"</f>
        <v>073</v>
      </c>
      <c r="I2920" s="26" t="str">
        <f t="shared" si="583"/>
        <v>00</v>
      </c>
      <c r="J2920" s="26" t="str">
        <f>"32 "</f>
        <v xml:space="preserve">32 </v>
      </c>
      <c r="K2920" s="26" t="str">
        <f t="shared" si="585"/>
        <v>EP</v>
      </c>
      <c r="L2920" s="26" t="str">
        <f t="shared" si="586"/>
        <v>DGOSE</v>
      </c>
      <c r="M2920" s="26" t="str">
        <f t="shared" si="581"/>
        <v>PARTICULAR</v>
      </c>
      <c r="N2920" s="26">
        <v>28</v>
      </c>
      <c r="O2920" s="26">
        <v>9</v>
      </c>
      <c r="P2920" s="26">
        <v>19</v>
      </c>
      <c r="Q2920" s="26">
        <v>3</v>
      </c>
      <c r="R2920" s="26">
        <v>1</v>
      </c>
      <c r="S2920" s="26">
        <v>3</v>
      </c>
      <c r="T2920" s="26">
        <v>5</v>
      </c>
      <c r="U2920" s="26">
        <v>9</v>
      </c>
      <c r="V2920" s="26">
        <v>1</v>
      </c>
      <c r="W2920" s="26"/>
    </row>
    <row r="2921" spans="1:23" x14ac:dyDescent="0.25">
      <c r="A2921" s="26" t="str">
        <f t="shared" si="582"/>
        <v>PREESCOLAR</v>
      </c>
      <c r="B2921" s="26" t="str">
        <f>"09PJN5604A"</f>
        <v>09PJN5604A</v>
      </c>
      <c r="C2921" s="26" t="str">
        <f>"COLEGIO MEXICANO GUADALUPANO                                                                        "</f>
        <v xml:space="preserve">COLEGIO MEXICANO GUADALUPANO                                                                        </v>
      </c>
      <c r="D2921" s="26" t="str">
        <f t="shared" si="584"/>
        <v>MATUTINO</v>
      </c>
      <c r="E2921" s="26" t="str">
        <f>"LAGO GUADALUPE NO. 269                                                          "</f>
        <v xml:space="preserve">LAGO GUADALUPE NO. 269                                                          </v>
      </c>
      <c r="F2921" s="26" t="str">
        <f>"GRANADA                                                                                                                                     "</f>
        <v xml:space="preserve">GRANADA                                                                                                                                     </v>
      </c>
      <c r="G2921" s="26" t="str">
        <f>"MIGUEL HIDALGO                                                                  "</f>
        <v xml:space="preserve">MIGUEL HIDALGO                                                                  </v>
      </c>
      <c r="H2921" s="26" t="str">
        <f>"075"</f>
        <v>075</v>
      </c>
      <c r="I2921" s="26" t="str">
        <f t="shared" si="583"/>
        <v>00</v>
      </c>
      <c r="J2921" s="26" t="str">
        <f>"32 "</f>
        <v xml:space="preserve">32 </v>
      </c>
      <c r="K2921" s="26" t="str">
        <f t="shared" si="585"/>
        <v>EP</v>
      </c>
      <c r="L2921" s="26" t="str">
        <f t="shared" si="586"/>
        <v>DGOSE</v>
      </c>
      <c r="M2921" s="26" t="str">
        <f t="shared" si="581"/>
        <v>PARTICULAR</v>
      </c>
      <c r="N2921" s="26">
        <v>16</v>
      </c>
      <c r="O2921" s="26">
        <v>10</v>
      </c>
      <c r="P2921" s="26">
        <v>6</v>
      </c>
      <c r="Q2921" s="26">
        <v>3</v>
      </c>
      <c r="R2921" s="26">
        <v>1</v>
      </c>
      <c r="S2921" s="26">
        <v>1</v>
      </c>
      <c r="T2921" s="26">
        <v>4</v>
      </c>
      <c r="U2921" s="26">
        <v>6</v>
      </c>
      <c r="V2921" s="26">
        <v>1</v>
      </c>
      <c r="W2921" s="26"/>
    </row>
    <row r="2922" spans="1:23" x14ac:dyDescent="0.25">
      <c r="A2922" s="26" t="str">
        <f t="shared" si="582"/>
        <v>PREESCOLAR</v>
      </c>
      <c r="B2922" s="26" t="str">
        <f>"09PJN5605Z"</f>
        <v>09PJN5605Z</v>
      </c>
      <c r="C2922" s="26" t="str">
        <f>"COLEGIO ESCANDON                                                                                    "</f>
        <v xml:space="preserve">COLEGIO ESCANDON                                                                                    </v>
      </c>
      <c r="D2922" s="26" t="str">
        <f t="shared" si="584"/>
        <v>MATUTINO</v>
      </c>
      <c r="E2922" s="26" t="str">
        <f>"MINERIA NO. 105                                                                 "</f>
        <v xml:space="preserve">MINERIA NO. 105                                                                 </v>
      </c>
      <c r="F2922" s="26" t="str">
        <f>"ESCANDON                                                                                                                                    "</f>
        <v xml:space="preserve">ESCANDON                                                                                                                                    </v>
      </c>
      <c r="G2922" s="26" t="str">
        <f>"MIGUEL HIDALGO                                                                  "</f>
        <v xml:space="preserve">MIGUEL HIDALGO                                                                  </v>
      </c>
      <c r="H2922" s="26" t="str">
        <f>"014"</f>
        <v>014</v>
      </c>
      <c r="I2922" s="26" t="str">
        <f t="shared" si="583"/>
        <v>00</v>
      </c>
      <c r="J2922" s="26" t="str">
        <f>"32 "</f>
        <v xml:space="preserve">32 </v>
      </c>
      <c r="K2922" s="26" t="str">
        <f t="shared" si="585"/>
        <v>EP</v>
      </c>
      <c r="L2922" s="26" t="str">
        <f t="shared" si="586"/>
        <v>DGOSE</v>
      </c>
      <c r="M2922" s="26" t="str">
        <f t="shared" si="581"/>
        <v>PARTICULAR</v>
      </c>
      <c r="N2922" s="26">
        <v>9</v>
      </c>
      <c r="O2922" s="26">
        <v>2</v>
      </c>
      <c r="P2922" s="26">
        <v>7</v>
      </c>
      <c r="Q2922" s="26">
        <v>2</v>
      </c>
      <c r="R2922" s="26">
        <v>1</v>
      </c>
      <c r="S2922" s="26">
        <v>2</v>
      </c>
      <c r="T2922" s="26">
        <v>0</v>
      </c>
      <c r="U2922" s="26">
        <v>3</v>
      </c>
      <c r="V2922" s="26">
        <v>1</v>
      </c>
      <c r="W2922" s="26"/>
    </row>
    <row r="2923" spans="1:23" x14ac:dyDescent="0.25">
      <c r="A2923" s="26" t="str">
        <f t="shared" si="582"/>
        <v>PREESCOLAR</v>
      </c>
      <c r="B2923" s="26" t="str">
        <f>"09PJN5608X"</f>
        <v>09PJN5608X</v>
      </c>
      <c r="C2923" s="26" t="str">
        <f>"KINDER SAN JUAN BOSCO                                                                               "</f>
        <v xml:space="preserve">KINDER SAN JUAN BOSCO                                                                               </v>
      </c>
      <c r="D2923" s="26" t="str">
        <f t="shared" si="584"/>
        <v>MATUTINO</v>
      </c>
      <c r="E2923" s="26" t="str">
        <f>"CERRO DE LOS CONEJOS MZA.10 LT.3                                                "</f>
        <v xml:space="preserve">CERRO DE LOS CONEJOS MZA.10 LT.3                                                </v>
      </c>
      <c r="F2923" s="26" t="str">
        <f>"LOMAS DE CUAUTEPEC                                                                                                                          "</f>
        <v xml:space="preserve">LOMAS DE CUAUTEPEC                                                                                                                          </v>
      </c>
      <c r="G2923" s="26" t="str">
        <f>"GUSTAVO A. MADERO                                                               "</f>
        <v xml:space="preserve">GUSTAVO A. MADERO                                                               </v>
      </c>
      <c r="H2923" s="26" t="str">
        <f>"154"</f>
        <v>154</v>
      </c>
      <c r="I2923" s="26" t="str">
        <f t="shared" si="583"/>
        <v>00</v>
      </c>
      <c r="J2923" s="26" t="str">
        <f>"32 "</f>
        <v xml:space="preserve">32 </v>
      </c>
      <c r="K2923" s="26" t="str">
        <f t="shared" si="585"/>
        <v>EP</v>
      </c>
      <c r="L2923" s="26" t="str">
        <f t="shared" si="586"/>
        <v>DGOSE</v>
      </c>
      <c r="M2923" s="26" t="str">
        <f t="shared" si="581"/>
        <v>PARTICULAR</v>
      </c>
      <c r="N2923" s="26">
        <v>50</v>
      </c>
      <c r="O2923" s="26">
        <v>21</v>
      </c>
      <c r="P2923" s="26">
        <v>29</v>
      </c>
      <c r="Q2923" s="26">
        <v>3</v>
      </c>
      <c r="R2923" s="26">
        <v>1</v>
      </c>
      <c r="S2923" s="26">
        <v>3</v>
      </c>
      <c r="T2923" s="26">
        <v>2</v>
      </c>
      <c r="U2923" s="26">
        <v>6</v>
      </c>
      <c r="V2923" s="26">
        <v>1</v>
      </c>
      <c r="W2923" s="26"/>
    </row>
    <row r="2924" spans="1:23" x14ac:dyDescent="0.25">
      <c r="A2924" s="26" t="str">
        <f t="shared" si="582"/>
        <v>PREESCOLAR</v>
      </c>
      <c r="B2924" s="26" t="str">
        <f>"09PJN5610L"</f>
        <v>09PJN5610L</v>
      </c>
      <c r="C2924" s="26" t="str">
        <f>"INSTITUTO TELPOCHCALLI                                                                              "</f>
        <v xml:space="preserve">INSTITUTO TELPOCHCALLI                                                                              </v>
      </c>
      <c r="D2924" s="26" t="str">
        <f t="shared" si="584"/>
        <v>MATUTINO</v>
      </c>
      <c r="E2924" s="26" t="str">
        <f>"KRAMER NO. 99                                                                   "</f>
        <v xml:space="preserve">KRAMER NO. 99                                                                   </v>
      </c>
      <c r="F2924" s="26" t="str">
        <f>"ATLANTIDA                                                                                                                                   "</f>
        <v xml:space="preserve">ATLANTIDA                                                                                                                                   </v>
      </c>
      <c r="G2924" s="26" t="str">
        <f>"COYOACAN                                                                        "</f>
        <v xml:space="preserve">COYOACAN                                                                        </v>
      </c>
      <c r="H2924" s="26" t="str">
        <f>"137"</f>
        <v>137</v>
      </c>
      <c r="I2924" s="26" t="str">
        <f t="shared" si="583"/>
        <v>00</v>
      </c>
      <c r="J2924" s="26" t="str">
        <f>"35 "</f>
        <v xml:space="preserve">35 </v>
      </c>
      <c r="K2924" s="26" t="str">
        <f t="shared" si="585"/>
        <v>EP</v>
      </c>
      <c r="L2924" s="26" t="str">
        <f t="shared" si="586"/>
        <v>DGOSE</v>
      </c>
      <c r="M2924" s="26" t="str">
        <f t="shared" si="581"/>
        <v>PARTICULAR</v>
      </c>
      <c r="N2924" s="26">
        <v>19</v>
      </c>
      <c r="O2924" s="26">
        <v>8</v>
      </c>
      <c r="P2924" s="26">
        <v>11</v>
      </c>
      <c r="Q2924" s="26">
        <v>3</v>
      </c>
      <c r="R2924" s="26">
        <v>1</v>
      </c>
      <c r="S2924" s="26">
        <v>2</v>
      </c>
      <c r="T2924" s="26">
        <v>6</v>
      </c>
      <c r="U2924" s="26">
        <v>9</v>
      </c>
      <c r="V2924" s="26">
        <v>1</v>
      </c>
      <c r="W2924" s="26"/>
    </row>
    <row r="2925" spans="1:23" x14ac:dyDescent="0.25">
      <c r="A2925" s="26" t="str">
        <f t="shared" si="582"/>
        <v>PREESCOLAR</v>
      </c>
      <c r="B2925" s="26" t="str">
        <f>"09PJN5611K"</f>
        <v>09PJN5611K</v>
      </c>
      <c r="C2925" s="26" t="str">
        <f>"KINDER BEGINNERS                                                                                    "</f>
        <v xml:space="preserve">KINDER BEGINNERS                                                                                    </v>
      </c>
      <c r="D2925" s="26" t="str">
        <f t="shared" si="584"/>
        <v>MATUTINO</v>
      </c>
      <c r="E2925" s="26" t="str">
        <f>"AVENIDA SAN FERNANDO  NO.649 E                                                  "</f>
        <v xml:space="preserve">AVENIDA SAN FERNANDO  NO.649 E                                                  </v>
      </c>
      <c r="F2925" s="26" t="str">
        <f>"PEÑA POBRE                                                                                                                                  "</f>
        <v xml:space="preserve">PEÑA POBRE                                                                                                                                  </v>
      </c>
      <c r="G2925" s="26" t="str">
        <f>"TLALPAN                                                                         "</f>
        <v xml:space="preserve">TLALPAN                                                                         </v>
      </c>
      <c r="H2925" s="26" t="str">
        <f>"222"</f>
        <v>222</v>
      </c>
      <c r="I2925" s="26" t="str">
        <f t="shared" si="583"/>
        <v>00</v>
      </c>
      <c r="J2925" s="26" t="str">
        <f>"35 "</f>
        <v xml:space="preserve">35 </v>
      </c>
      <c r="K2925" s="26" t="str">
        <f t="shared" si="585"/>
        <v>EP</v>
      </c>
      <c r="L2925" s="26" t="str">
        <f t="shared" si="586"/>
        <v>DGOSE</v>
      </c>
      <c r="M2925" s="26" t="str">
        <f t="shared" si="581"/>
        <v>PARTICULAR</v>
      </c>
      <c r="N2925" s="26">
        <v>16</v>
      </c>
      <c r="O2925" s="26">
        <v>10</v>
      </c>
      <c r="P2925" s="26">
        <v>6</v>
      </c>
      <c r="Q2925" s="26">
        <v>3</v>
      </c>
      <c r="R2925" s="26">
        <v>1</v>
      </c>
      <c r="S2925" s="26">
        <v>2</v>
      </c>
      <c r="T2925" s="26">
        <v>5</v>
      </c>
      <c r="U2925" s="26">
        <v>8</v>
      </c>
      <c r="V2925" s="26">
        <v>1</v>
      </c>
      <c r="W2925" s="26"/>
    </row>
    <row r="2926" spans="1:23" x14ac:dyDescent="0.25">
      <c r="A2926" s="26" t="str">
        <f t="shared" si="582"/>
        <v>PREESCOLAR</v>
      </c>
      <c r="B2926" s="26" t="str">
        <f>"09PJN5612J"</f>
        <v>09PJN5612J</v>
      </c>
      <c r="C2926" s="26" t="str">
        <f>"JARDIN DE NIÑOS WINNIE POOH                                                                         "</f>
        <v xml:space="preserve">JARDIN DE NIÑOS WINNIE POOH                                                                         </v>
      </c>
      <c r="D2926" s="26" t="str">
        <f t="shared" si="584"/>
        <v>MATUTINO</v>
      </c>
      <c r="E2926" s="26" t="str">
        <f>"VOLCAN GEDE NO. 7                                                               "</f>
        <v xml:space="preserve">VOLCAN GEDE NO. 7                                                               </v>
      </c>
      <c r="F2926" s="26" t="str">
        <f>"MIRADOR 2                                                                                                                                   "</f>
        <v xml:space="preserve">MIRADOR 2                                                                                                                                   </v>
      </c>
      <c r="G2926" s="26" t="str">
        <f>"TLALPAN                                                                         "</f>
        <v xml:space="preserve">TLALPAN                                                                         </v>
      </c>
      <c r="H2926" s="26" t="str">
        <f>"278"</f>
        <v>278</v>
      </c>
      <c r="I2926" s="26" t="str">
        <f t="shared" si="583"/>
        <v>00</v>
      </c>
      <c r="J2926" s="26" t="str">
        <f>"35 "</f>
        <v xml:space="preserve">35 </v>
      </c>
      <c r="K2926" s="26" t="str">
        <f t="shared" si="585"/>
        <v>EP</v>
      </c>
      <c r="L2926" s="26" t="str">
        <f t="shared" si="586"/>
        <v>DGOSE</v>
      </c>
      <c r="M2926" s="26" t="str">
        <f t="shared" si="581"/>
        <v>PARTICULAR</v>
      </c>
      <c r="N2926" s="26">
        <v>28</v>
      </c>
      <c r="O2926" s="26">
        <v>18</v>
      </c>
      <c r="P2926" s="26">
        <v>10</v>
      </c>
      <c r="Q2926" s="26">
        <v>3</v>
      </c>
      <c r="R2926" s="26">
        <v>1</v>
      </c>
      <c r="S2926" s="26">
        <v>3</v>
      </c>
      <c r="T2926" s="26">
        <v>0</v>
      </c>
      <c r="U2926" s="26">
        <v>4</v>
      </c>
      <c r="V2926" s="26">
        <v>1</v>
      </c>
      <c r="W2926" s="26"/>
    </row>
    <row r="2927" spans="1:23" x14ac:dyDescent="0.25">
      <c r="A2927" s="26" t="str">
        <f t="shared" si="582"/>
        <v>PREESCOLAR</v>
      </c>
      <c r="B2927" s="26" t="str">
        <f>"09PJN5613I"</f>
        <v>09PJN5613I</v>
      </c>
      <c r="C2927" s="26" t="str">
        <f>"DYNAMIC KIDS                                                                                        "</f>
        <v xml:space="preserve">DYNAMIC KIDS                                                                                        </v>
      </c>
      <c r="D2927" s="26" t="str">
        <f t="shared" si="584"/>
        <v>MATUTINO</v>
      </c>
      <c r="E2927" s="26" t="str">
        <f>"PRIVADA DE CANTERA NO. 7A                                                       "</f>
        <v xml:space="preserve">PRIVADA DE CANTERA NO. 7A                                                       </v>
      </c>
      <c r="F2927" s="26" t="str">
        <f>"ESTADO DE HIDALGO                                                                                                                           "</f>
        <v xml:space="preserve">ESTADO DE HIDALGO                                                                                                                           </v>
      </c>
      <c r="G2927" s="26" t="str">
        <f>"ALVARO OBREGON                                                                  "</f>
        <v xml:space="preserve">ALVARO OBREGON                                                                  </v>
      </c>
      <c r="H2927" s="26" t="str">
        <f>"122"</f>
        <v>122</v>
      </c>
      <c r="I2927" s="26" t="str">
        <f t="shared" si="583"/>
        <v>00</v>
      </c>
      <c r="J2927" s="26" t="str">
        <f>"33 "</f>
        <v xml:space="preserve">33 </v>
      </c>
      <c r="K2927" s="26" t="str">
        <f t="shared" si="585"/>
        <v>EP</v>
      </c>
      <c r="L2927" s="26" t="str">
        <f t="shared" si="586"/>
        <v>DGOSE</v>
      </c>
      <c r="M2927" s="26" t="str">
        <f t="shared" si="581"/>
        <v>PARTICULAR</v>
      </c>
      <c r="N2927" s="26">
        <v>22</v>
      </c>
      <c r="O2927" s="26">
        <v>11</v>
      </c>
      <c r="P2927" s="26">
        <v>11</v>
      </c>
      <c r="Q2927" s="26">
        <v>3</v>
      </c>
      <c r="R2927" s="26">
        <v>1</v>
      </c>
      <c r="S2927" s="26">
        <v>2</v>
      </c>
      <c r="T2927" s="26">
        <v>3</v>
      </c>
      <c r="U2927" s="26">
        <v>6</v>
      </c>
      <c r="V2927" s="26">
        <v>1</v>
      </c>
      <c r="W2927" s="26"/>
    </row>
    <row r="2928" spans="1:23" x14ac:dyDescent="0.25">
      <c r="A2928" s="26" t="str">
        <f t="shared" si="582"/>
        <v>PREESCOLAR</v>
      </c>
      <c r="B2928" s="26" t="str">
        <f>"09PJN5615G"</f>
        <v>09PJN5615G</v>
      </c>
      <c r="C2928" s="26" t="str">
        <f>"JARDIN DE NIÑOS TLAHUILCALLI                                                                        "</f>
        <v xml:space="preserve">JARDIN DE NIÑOS TLAHUILCALLI                                                                        </v>
      </c>
      <c r="D2928" s="26" t="str">
        <f t="shared" si="584"/>
        <v>MATUTINO</v>
      </c>
      <c r="E2928" s="26" t="str">
        <f>"ANAHUAC  180                                                                    "</f>
        <v xml:space="preserve">ANAHUAC  180                                                                    </v>
      </c>
      <c r="F2928" s="26" t="str">
        <f>"EL  MIRADOR                                                                                                                                 "</f>
        <v xml:space="preserve">EL  MIRADOR                                                                                                                                 </v>
      </c>
      <c r="G2928" s="26" t="str">
        <f>"COYOACAN                                                                        "</f>
        <v xml:space="preserve">COYOACAN                                                                        </v>
      </c>
      <c r="H2928" s="26" t="str">
        <f>"125"</f>
        <v>125</v>
      </c>
      <c r="I2928" s="26" t="str">
        <f t="shared" si="583"/>
        <v>00</v>
      </c>
      <c r="J2928" s="26" t="str">
        <f>"35 "</f>
        <v xml:space="preserve">35 </v>
      </c>
      <c r="K2928" s="26" t="str">
        <f t="shared" si="585"/>
        <v>EP</v>
      </c>
      <c r="L2928" s="26" t="str">
        <f t="shared" si="586"/>
        <v>DGOSE</v>
      </c>
      <c r="M2928" s="26" t="str">
        <f t="shared" si="581"/>
        <v>PARTICULAR</v>
      </c>
      <c r="N2928" s="26">
        <v>66</v>
      </c>
      <c r="O2928" s="26">
        <v>36</v>
      </c>
      <c r="P2928" s="26">
        <v>30</v>
      </c>
      <c r="Q2928" s="26">
        <v>4</v>
      </c>
      <c r="R2928" s="26">
        <v>1</v>
      </c>
      <c r="S2928" s="26">
        <v>2</v>
      </c>
      <c r="T2928" s="26">
        <v>11</v>
      </c>
      <c r="U2928" s="26">
        <v>14</v>
      </c>
      <c r="V2928" s="26">
        <v>1</v>
      </c>
      <c r="W2928" s="26"/>
    </row>
    <row r="2929" spans="1:23" x14ac:dyDescent="0.25">
      <c r="A2929" s="26" t="str">
        <f t="shared" si="582"/>
        <v>PREESCOLAR</v>
      </c>
      <c r="B2929" s="26" t="str">
        <f>"09PJN5616F"</f>
        <v>09PJN5616F</v>
      </c>
      <c r="C2929" s="26" t="str">
        <f>"MI KINDER WEM                                                                                       "</f>
        <v xml:space="preserve">MI KINDER WEM                                                                                       </v>
      </c>
      <c r="D2929" s="26" t="str">
        <f t="shared" si="584"/>
        <v>MATUTINO</v>
      </c>
      <c r="E2929" s="26" t="str">
        <f>"HUITZILOPOCHTLI MZ. 28 LT. 44                                                   "</f>
        <v xml:space="preserve">HUITZILOPOCHTLI MZ. 28 LT. 44                                                   </v>
      </c>
      <c r="F2929" s="26" t="str">
        <f>"ADOLFO RUIZ CORTINES                                                                                                                        "</f>
        <v xml:space="preserve">ADOLFO RUIZ CORTINES                                                                                                                        </v>
      </c>
      <c r="G2929" s="26" t="str">
        <f>"COYOACAN                                                                        "</f>
        <v xml:space="preserve">COYOACAN                                                                        </v>
      </c>
      <c r="H2929" s="26" t="str">
        <f>"077"</f>
        <v>077</v>
      </c>
      <c r="I2929" s="26" t="str">
        <f t="shared" si="583"/>
        <v>00</v>
      </c>
      <c r="J2929" s="26" t="str">
        <f>"35 "</f>
        <v xml:space="preserve">35 </v>
      </c>
      <c r="K2929" s="26" t="str">
        <f t="shared" si="585"/>
        <v>EP</v>
      </c>
      <c r="L2929" s="26" t="str">
        <f t="shared" si="586"/>
        <v>DGOSE</v>
      </c>
      <c r="M2929" s="26" t="str">
        <f t="shared" si="581"/>
        <v>PARTICULAR</v>
      </c>
      <c r="N2929" s="26">
        <v>18</v>
      </c>
      <c r="O2929" s="26">
        <v>10</v>
      </c>
      <c r="P2929" s="26">
        <v>8</v>
      </c>
      <c r="Q2929" s="26">
        <v>2</v>
      </c>
      <c r="R2929" s="26">
        <v>1</v>
      </c>
      <c r="S2929" s="26">
        <v>2</v>
      </c>
      <c r="T2929" s="26">
        <v>0</v>
      </c>
      <c r="U2929" s="26">
        <v>3</v>
      </c>
      <c r="V2929" s="26">
        <v>1</v>
      </c>
      <c r="W2929" s="26"/>
    </row>
    <row r="2930" spans="1:23" x14ac:dyDescent="0.25">
      <c r="A2930" s="26" t="str">
        <f t="shared" si="582"/>
        <v>PREESCOLAR</v>
      </c>
      <c r="B2930" s="26" t="str">
        <f>"09PJN5617E"</f>
        <v>09PJN5617E</v>
      </c>
      <c r="C2930" s="26" t="str">
        <f>"SPRING HILL                                                                                         "</f>
        <v xml:space="preserve">SPRING HILL                                                                                         </v>
      </c>
      <c r="D2930" s="26" t="str">
        <f t="shared" si="584"/>
        <v>MATUTINO</v>
      </c>
      <c r="E2930" s="26" t="str">
        <f>"FLOR DE DELFINO NO. 12                                                          "</f>
        <v xml:space="preserve">FLOR DE DELFINO NO. 12                                                          </v>
      </c>
      <c r="F2930" s="26" t="str">
        <f>"TORRES DE POTRERO                                                                                                                           "</f>
        <v xml:space="preserve">TORRES DE POTRERO                                                                                                                           </v>
      </c>
      <c r="G2930" s="26" t="str">
        <f>"ALVARO OBREGON                                                                  "</f>
        <v xml:space="preserve">ALVARO OBREGON                                                                  </v>
      </c>
      <c r="H2930" s="26" t="str">
        <f>"175"</f>
        <v>175</v>
      </c>
      <c r="I2930" s="26" t="str">
        <f t="shared" si="583"/>
        <v>00</v>
      </c>
      <c r="J2930" s="26" t="str">
        <f>"33 "</f>
        <v xml:space="preserve">33 </v>
      </c>
      <c r="K2930" s="26" t="str">
        <f t="shared" si="585"/>
        <v>EP</v>
      </c>
      <c r="L2930" s="26" t="str">
        <f t="shared" si="586"/>
        <v>DGOSE</v>
      </c>
      <c r="M2930" s="26" t="str">
        <f t="shared" si="581"/>
        <v>PARTICULAR</v>
      </c>
      <c r="N2930" s="26">
        <v>18</v>
      </c>
      <c r="O2930" s="26">
        <v>8</v>
      </c>
      <c r="P2930" s="26">
        <v>10</v>
      </c>
      <c r="Q2930" s="26">
        <v>3</v>
      </c>
      <c r="R2930" s="26">
        <v>1</v>
      </c>
      <c r="S2930" s="26">
        <v>3</v>
      </c>
      <c r="T2930" s="26">
        <v>1</v>
      </c>
      <c r="U2930" s="26">
        <v>5</v>
      </c>
      <c r="V2930" s="26">
        <v>1</v>
      </c>
      <c r="W2930" s="26"/>
    </row>
    <row r="2931" spans="1:23" x14ac:dyDescent="0.25">
      <c r="A2931" s="26" t="str">
        <f t="shared" si="582"/>
        <v>PREESCOLAR</v>
      </c>
      <c r="B2931" s="26" t="str">
        <f>"09PJN5618D"</f>
        <v>09PJN5618D</v>
      </c>
      <c r="C2931" s="26" t="str">
        <f>"IL MIO MONDO MONTESSORI SC.-1                                                                       "</f>
        <v xml:space="preserve">IL MIO MONDO MONTESSORI SC.-1                                                                       </v>
      </c>
      <c r="D2931" s="26" t="str">
        <f t="shared" si="584"/>
        <v>MATUTINO</v>
      </c>
      <c r="E2931" s="26" t="str">
        <f>"HEGEL NO. 215                                                                   "</f>
        <v xml:space="preserve">HEGEL NO. 215                                                                   </v>
      </c>
      <c r="F2931" s="26" t="str">
        <f>"CHAPULTEPEC MORALES                                                                                                                         "</f>
        <v xml:space="preserve">CHAPULTEPEC MORALES                                                                                                                         </v>
      </c>
      <c r="G2931" s="26" t="str">
        <f>"MIGUEL HIDALGO                                                                  "</f>
        <v xml:space="preserve">MIGUEL HIDALGO                                                                  </v>
      </c>
      <c r="H2931" s="26" t="str">
        <f>"075"</f>
        <v>075</v>
      </c>
      <c r="I2931" s="26" t="str">
        <f t="shared" si="583"/>
        <v>00</v>
      </c>
      <c r="J2931" s="26" t="str">
        <f>"32 "</f>
        <v xml:space="preserve">32 </v>
      </c>
      <c r="K2931" s="26" t="str">
        <f t="shared" si="585"/>
        <v>EP</v>
      </c>
      <c r="L2931" s="26" t="str">
        <f t="shared" si="586"/>
        <v>DGOSE</v>
      </c>
      <c r="M2931" s="26" t="str">
        <f t="shared" si="581"/>
        <v>PARTICULAR</v>
      </c>
      <c r="N2931" s="26">
        <v>34</v>
      </c>
      <c r="O2931" s="26">
        <v>18</v>
      </c>
      <c r="P2931" s="26">
        <v>16</v>
      </c>
      <c r="Q2931" s="26">
        <v>3</v>
      </c>
      <c r="R2931" s="26">
        <v>1</v>
      </c>
      <c r="S2931" s="26">
        <v>2</v>
      </c>
      <c r="T2931" s="26">
        <v>2</v>
      </c>
      <c r="U2931" s="26">
        <v>5</v>
      </c>
      <c r="V2931" s="26">
        <v>1</v>
      </c>
      <c r="W2931" s="26"/>
    </row>
    <row r="2932" spans="1:23" x14ac:dyDescent="0.25">
      <c r="A2932" s="26" t="str">
        <f t="shared" si="582"/>
        <v>PREESCOLAR</v>
      </c>
      <c r="B2932" s="26" t="str">
        <f>"09PJN5620S"</f>
        <v>09PJN5620S</v>
      </c>
      <c r="C2932" s="26" t="str">
        <f>"COMUNIDAD ACUEDUCTO MONTESSORI S.C.                                                                 "</f>
        <v xml:space="preserve">COMUNIDAD ACUEDUCTO MONTESSORI S.C.                                                                 </v>
      </c>
      <c r="D2932" s="26" t="str">
        <f t="shared" si="584"/>
        <v>MATUTINO</v>
      </c>
      <c r="E2932" s="26" t="str">
        <f>"BORRASCA NO. 57                                                                 "</f>
        <v xml:space="preserve">BORRASCA NO. 57                                                                 </v>
      </c>
      <c r="F2932" s="26" t="str">
        <f>"ACUEDUCTO DE GUADALUPE                                                                                                                      "</f>
        <v xml:space="preserve">ACUEDUCTO DE GUADALUPE                                                                                                                      </v>
      </c>
      <c r="G2932" s="26" t="str">
        <f>"GUSTAVO A. MADERO                                                               "</f>
        <v xml:space="preserve">GUSTAVO A. MADERO                                                               </v>
      </c>
      <c r="H2932" s="26" t="str">
        <f>"192"</f>
        <v>192</v>
      </c>
      <c r="I2932" s="26" t="str">
        <f t="shared" si="583"/>
        <v>00</v>
      </c>
      <c r="J2932" s="26" t="str">
        <f>"32 "</f>
        <v xml:space="preserve">32 </v>
      </c>
      <c r="K2932" s="26" t="str">
        <f t="shared" si="585"/>
        <v>EP</v>
      </c>
      <c r="L2932" s="26" t="str">
        <f t="shared" si="586"/>
        <v>DGOSE</v>
      </c>
      <c r="M2932" s="26" t="str">
        <f t="shared" si="581"/>
        <v>PARTICULAR</v>
      </c>
      <c r="N2932" s="26">
        <v>6</v>
      </c>
      <c r="O2932" s="26">
        <v>4</v>
      </c>
      <c r="P2932" s="26">
        <v>2</v>
      </c>
      <c r="Q2932" s="26">
        <v>3</v>
      </c>
      <c r="R2932" s="26">
        <v>1</v>
      </c>
      <c r="S2932" s="26">
        <v>1</v>
      </c>
      <c r="T2932" s="26">
        <v>3</v>
      </c>
      <c r="U2932" s="26">
        <v>5</v>
      </c>
      <c r="V2932" s="26">
        <v>1</v>
      </c>
      <c r="W2932" s="26"/>
    </row>
    <row r="2933" spans="1:23" x14ac:dyDescent="0.25">
      <c r="A2933" s="26" t="str">
        <f t="shared" si="582"/>
        <v>PREESCOLAR</v>
      </c>
      <c r="B2933" s="26" t="str">
        <f>"09PJN5635U"</f>
        <v>09PJN5635U</v>
      </c>
      <c r="C2933" s="26" t="str">
        <f>"COLEGIO CULTURAL MEXICANO                                                                           "</f>
        <v xml:space="preserve">COLEGIO CULTURAL MEXICANO                                                                           </v>
      </c>
      <c r="D2933" s="26" t="str">
        <f t="shared" si="584"/>
        <v>MATUTINO</v>
      </c>
      <c r="E2933" s="26" t="str">
        <f>"AV. VASCO DE QUIROGA NO. 1783 Y  MAGNOLIA NO.26                                 "</f>
        <v xml:space="preserve">AV. VASCO DE QUIROGA NO. 1783 Y  MAGNOLIA NO.26                                 </v>
      </c>
      <c r="F2933" s="26" t="str">
        <f>"SANTA FE                                                                                                                                    "</f>
        <v xml:space="preserve">SANTA FE                                                                                                                                    </v>
      </c>
      <c r="G2933" s="26" t="str">
        <f>"ALVARO OBREGON                                                                  "</f>
        <v xml:space="preserve">ALVARO OBREGON                                                                  </v>
      </c>
      <c r="H2933" s="26" t="str">
        <f>"166"</f>
        <v>166</v>
      </c>
      <c r="I2933" s="26" t="str">
        <f t="shared" si="583"/>
        <v>00</v>
      </c>
      <c r="J2933" s="26" t="str">
        <f>"33 "</f>
        <v xml:space="preserve">33 </v>
      </c>
      <c r="K2933" s="26" t="str">
        <f t="shared" si="585"/>
        <v>EP</v>
      </c>
      <c r="L2933" s="26" t="str">
        <f t="shared" si="586"/>
        <v>DGOSE</v>
      </c>
      <c r="M2933" s="26" t="str">
        <f t="shared" si="581"/>
        <v>PARTICULAR</v>
      </c>
      <c r="N2933" s="26">
        <v>77</v>
      </c>
      <c r="O2933" s="26">
        <v>32</v>
      </c>
      <c r="P2933" s="26">
        <v>45</v>
      </c>
      <c r="Q2933" s="26">
        <v>4</v>
      </c>
      <c r="R2933" s="26">
        <v>1</v>
      </c>
      <c r="S2933" s="26">
        <v>3</v>
      </c>
      <c r="T2933" s="26">
        <v>3</v>
      </c>
      <c r="U2933" s="26">
        <v>7</v>
      </c>
      <c r="V2933" s="26">
        <v>1</v>
      </c>
      <c r="W2933" s="26"/>
    </row>
    <row r="2934" spans="1:23" x14ac:dyDescent="0.25">
      <c r="A2934" s="26" t="str">
        <f t="shared" si="582"/>
        <v>PREESCOLAR</v>
      </c>
      <c r="B2934" s="26" t="str">
        <f>"09PJN5636T"</f>
        <v>09PJN5636T</v>
      </c>
      <c r="C2934" s="26" t="str">
        <f>"JARDIN DE NIÑOS SIMBA                                                                               "</f>
        <v xml:space="preserve">JARDIN DE NIÑOS SIMBA                                                                               </v>
      </c>
      <c r="D2934" s="26" t="str">
        <f t="shared" si="584"/>
        <v>MATUTINO</v>
      </c>
      <c r="E2934" s="26" t="str">
        <f>"PLAN SEXENAL NO. 178                                                            "</f>
        <v xml:space="preserve">PLAN SEXENAL NO. 178                                                            </v>
      </c>
      <c r="F2934" s="26" t="str">
        <f>"SAN LORENZO LA CEBADA                                                                                                                       "</f>
        <v xml:space="preserve">SAN LORENZO LA CEBADA                                                                                                                       </v>
      </c>
      <c r="G2934" s="26" t="str">
        <f>"XOCHIMILCO                                                                      "</f>
        <v xml:space="preserve">XOCHIMILCO                                                                      </v>
      </c>
      <c r="H2934" s="26" t="str">
        <f>"172"</f>
        <v>172</v>
      </c>
      <c r="I2934" s="26" t="str">
        <f t="shared" si="583"/>
        <v>00</v>
      </c>
      <c r="J2934" s="26" t="str">
        <f>"35 "</f>
        <v xml:space="preserve">35 </v>
      </c>
      <c r="K2934" s="26" t="str">
        <f t="shared" si="585"/>
        <v>EP</v>
      </c>
      <c r="L2934" s="26" t="str">
        <f t="shared" si="586"/>
        <v>DGOSE</v>
      </c>
      <c r="M2934" s="26" t="str">
        <f t="shared" si="581"/>
        <v>PARTICULAR</v>
      </c>
      <c r="N2934" s="26">
        <v>8</v>
      </c>
      <c r="O2934" s="26">
        <v>5</v>
      </c>
      <c r="P2934" s="26">
        <v>3</v>
      </c>
      <c r="Q2934" s="26">
        <v>2</v>
      </c>
      <c r="R2934" s="26">
        <v>1</v>
      </c>
      <c r="S2934" s="26">
        <v>2</v>
      </c>
      <c r="T2934" s="26">
        <v>2</v>
      </c>
      <c r="U2934" s="26">
        <v>5</v>
      </c>
      <c r="V2934" s="26">
        <v>1</v>
      </c>
      <c r="W2934" s="26"/>
    </row>
    <row r="2935" spans="1:23" x14ac:dyDescent="0.25">
      <c r="A2935" s="26" t="str">
        <f t="shared" si="582"/>
        <v>PREESCOLAR</v>
      </c>
      <c r="B2935" s="26" t="str">
        <f>"09PJN5637S"</f>
        <v>09PJN5637S</v>
      </c>
      <c r="C2935" s="26" t="str">
        <f>"JARDÍN DE NIÑOS BELFORT                                                                             "</f>
        <v xml:space="preserve">JARDÍN DE NIÑOS BELFORT                                                                             </v>
      </c>
      <c r="D2935" s="26" t="str">
        <f t="shared" si="584"/>
        <v>MATUTINO</v>
      </c>
      <c r="E2935" s="26" t="str">
        <f>"ESCOLLO NO.225                                                                  "</f>
        <v xml:space="preserve">ESCOLLO NO.225                                                                  </v>
      </c>
      <c r="F2935" s="26" t="str">
        <f>"LAS AGUILAS AMPLIACION                                                                                                                      "</f>
        <v xml:space="preserve">LAS AGUILAS AMPLIACION                                                                                                                      </v>
      </c>
      <c r="G2935" s="26" t="str">
        <f>"ALVARO OBREGON                                                                  "</f>
        <v xml:space="preserve">ALVARO OBREGON                                                                  </v>
      </c>
      <c r="H2935" s="26" t="str">
        <f>"215"</f>
        <v>215</v>
      </c>
      <c r="I2935" s="26" t="str">
        <f t="shared" si="583"/>
        <v>00</v>
      </c>
      <c r="J2935" s="26" t="str">
        <f>"33 "</f>
        <v xml:space="preserve">33 </v>
      </c>
      <c r="K2935" s="26" t="str">
        <f t="shared" si="585"/>
        <v>EP</v>
      </c>
      <c r="L2935" s="26" t="str">
        <f t="shared" si="586"/>
        <v>DGOSE</v>
      </c>
      <c r="M2935" s="26" t="str">
        <f t="shared" si="581"/>
        <v>PARTICULAR</v>
      </c>
      <c r="N2935" s="26">
        <v>30</v>
      </c>
      <c r="O2935" s="26">
        <v>17</v>
      </c>
      <c r="P2935" s="26">
        <v>13</v>
      </c>
      <c r="Q2935" s="26">
        <v>3</v>
      </c>
      <c r="R2935" s="26">
        <v>1</v>
      </c>
      <c r="S2935" s="26">
        <v>3</v>
      </c>
      <c r="T2935" s="26">
        <v>2</v>
      </c>
      <c r="U2935" s="26">
        <v>6</v>
      </c>
      <c r="V2935" s="26">
        <v>1</v>
      </c>
      <c r="W2935" s="26"/>
    </row>
    <row r="2936" spans="1:23" x14ac:dyDescent="0.25">
      <c r="A2936" s="26" t="str">
        <f t="shared" si="582"/>
        <v>PREESCOLAR</v>
      </c>
      <c r="B2936" s="26" t="str">
        <f>"09PJN5638R"</f>
        <v>09PJN5638R</v>
      </c>
      <c r="C2936" s="26" t="str">
        <f>"COMUNIDAD INFANTIL LOMAS DE LAS AGUILAS                                                             "</f>
        <v xml:space="preserve">COMUNIDAD INFANTIL LOMAS DE LAS AGUILAS                                                             </v>
      </c>
      <c r="D2936" s="26" t="str">
        <f t="shared" si="584"/>
        <v>MATUTINO</v>
      </c>
      <c r="E2936" s="26" t="str">
        <f>"ABADEJOS NO. 226                                                                "</f>
        <v xml:space="preserve">ABADEJOS NO. 226                                                                </v>
      </c>
      <c r="F2936" s="26" t="str">
        <f>"LOMAS DE LAS AGUILAS                                                                                                                        "</f>
        <v xml:space="preserve">LOMAS DE LAS AGUILAS                                                                                                                        </v>
      </c>
      <c r="G2936" s="26" t="str">
        <f>"ALVARO OBREGON                                                                  "</f>
        <v xml:space="preserve">ALVARO OBREGON                                                                  </v>
      </c>
      <c r="H2936" s="26" t="str">
        <f>"215"</f>
        <v>215</v>
      </c>
      <c r="I2936" s="26" t="str">
        <f t="shared" si="583"/>
        <v>00</v>
      </c>
      <c r="J2936" s="26" t="str">
        <f>"33 "</f>
        <v xml:space="preserve">33 </v>
      </c>
      <c r="K2936" s="26" t="str">
        <f t="shared" si="585"/>
        <v>EP</v>
      </c>
      <c r="L2936" s="26" t="str">
        <f t="shared" si="586"/>
        <v>DGOSE</v>
      </c>
      <c r="M2936" s="26" t="str">
        <f t="shared" si="581"/>
        <v>PARTICULAR</v>
      </c>
      <c r="N2936" s="26">
        <v>10</v>
      </c>
      <c r="O2936" s="26">
        <v>4</v>
      </c>
      <c r="P2936" s="26">
        <v>6</v>
      </c>
      <c r="Q2936" s="26">
        <v>3</v>
      </c>
      <c r="R2936" s="26">
        <v>1</v>
      </c>
      <c r="S2936" s="26">
        <v>1</v>
      </c>
      <c r="T2936" s="26">
        <v>5</v>
      </c>
      <c r="U2936" s="26">
        <v>7</v>
      </c>
      <c r="V2936" s="26">
        <v>1</v>
      </c>
      <c r="W2936" s="26"/>
    </row>
    <row r="2937" spans="1:23" x14ac:dyDescent="0.25">
      <c r="A2937" s="26" t="str">
        <f t="shared" si="582"/>
        <v>PREESCOLAR</v>
      </c>
      <c r="B2937" s="26" t="str">
        <f>"09PJN5639Q"</f>
        <v>09PJN5639Q</v>
      </c>
      <c r="C2937" s="26" t="str">
        <f>"NURSERY SCHOOL                                                                                      "</f>
        <v xml:space="preserve">NURSERY SCHOOL                                                                                      </v>
      </c>
      <c r="D2937" s="26" t="str">
        <f t="shared" si="584"/>
        <v>MATUTINO</v>
      </c>
      <c r="E2937" s="26" t="str">
        <f>"CHIHUAHUA NO 57                                                                 "</f>
        <v xml:space="preserve">CHIHUAHUA NO 57                                                                 </v>
      </c>
      <c r="F2937" s="26" t="str">
        <f>"SANTA TERESA                                                                                                                                "</f>
        <v xml:space="preserve">SANTA TERESA                                                                                                                                </v>
      </c>
      <c r="G2937" s="26" t="str">
        <f>"LA MAGDALENA CONTRERAS                                                          "</f>
        <v xml:space="preserve">LA MAGDALENA CONTRERAS                                                          </v>
      </c>
      <c r="H2937" s="26" t="str">
        <f>"280"</f>
        <v>280</v>
      </c>
      <c r="I2937" s="26" t="str">
        <f t="shared" si="583"/>
        <v>00</v>
      </c>
      <c r="J2937" s="26" t="str">
        <f>"35 "</f>
        <v xml:space="preserve">35 </v>
      </c>
      <c r="K2937" s="26" t="str">
        <f t="shared" si="585"/>
        <v>EP</v>
      </c>
      <c r="L2937" s="26" t="str">
        <f t="shared" si="586"/>
        <v>DGOSE</v>
      </c>
      <c r="M2937" s="26" t="str">
        <f t="shared" si="581"/>
        <v>PARTICULAR</v>
      </c>
      <c r="N2937" s="26">
        <v>31</v>
      </c>
      <c r="O2937" s="26">
        <v>12</v>
      </c>
      <c r="P2937" s="26">
        <v>19</v>
      </c>
      <c r="Q2937" s="26">
        <v>3</v>
      </c>
      <c r="R2937" s="26">
        <v>1</v>
      </c>
      <c r="S2937" s="26">
        <v>3</v>
      </c>
      <c r="T2937" s="26">
        <v>3</v>
      </c>
      <c r="U2937" s="26">
        <v>7</v>
      </c>
      <c r="V2937" s="26">
        <v>1</v>
      </c>
      <c r="W2937" s="26"/>
    </row>
    <row r="2938" spans="1:23" x14ac:dyDescent="0.25">
      <c r="A2938" s="26" t="str">
        <f t="shared" si="582"/>
        <v>PREESCOLAR</v>
      </c>
      <c r="B2938" s="26" t="str">
        <f>"09PJN5640F"</f>
        <v>09PJN5640F</v>
      </c>
      <c r="C2938" s="26" t="str">
        <f>"COLEGIO CHARLES CHAPLIN                                                                             "</f>
        <v xml:space="preserve">COLEGIO CHARLES CHAPLIN                                                                             </v>
      </c>
      <c r="D2938" s="26" t="str">
        <f t="shared" si="584"/>
        <v>MATUTINO</v>
      </c>
      <c r="E2938" s="26" t="str">
        <f>"PACIFICO NO. 266                                                                "</f>
        <v xml:space="preserve">PACIFICO NO. 266                                                                </v>
      </c>
      <c r="F2938" s="26" t="str">
        <f>"EL ROSEDAL                                                                                                                                  "</f>
        <v xml:space="preserve">EL ROSEDAL                                                                                                                                  </v>
      </c>
      <c r="G2938" s="26" t="str">
        <f>"COYOACAN                                                                        "</f>
        <v xml:space="preserve">COYOACAN                                                                        </v>
      </c>
      <c r="H2938" s="26" t="str">
        <f>"137"</f>
        <v>137</v>
      </c>
      <c r="I2938" s="26" t="str">
        <f t="shared" si="583"/>
        <v>00</v>
      </c>
      <c r="J2938" s="26" t="str">
        <f>"35 "</f>
        <v xml:space="preserve">35 </v>
      </c>
      <c r="K2938" s="26" t="str">
        <f t="shared" si="585"/>
        <v>EP</v>
      </c>
      <c r="L2938" s="26" t="str">
        <f t="shared" si="586"/>
        <v>DGOSE</v>
      </c>
      <c r="M2938" s="26" t="str">
        <f t="shared" si="581"/>
        <v>PARTICULAR</v>
      </c>
      <c r="N2938" s="26">
        <v>31</v>
      </c>
      <c r="O2938" s="26">
        <v>16</v>
      </c>
      <c r="P2938" s="26">
        <v>15</v>
      </c>
      <c r="Q2938" s="26">
        <v>3</v>
      </c>
      <c r="R2938" s="26">
        <v>1</v>
      </c>
      <c r="S2938" s="26">
        <v>2</v>
      </c>
      <c r="T2938" s="26">
        <v>9</v>
      </c>
      <c r="U2938" s="26">
        <v>12</v>
      </c>
      <c r="V2938" s="26">
        <v>1</v>
      </c>
      <c r="W2938" s="26"/>
    </row>
    <row r="2939" spans="1:23" x14ac:dyDescent="0.25">
      <c r="A2939" s="26" t="str">
        <f t="shared" si="582"/>
        <v>PREESCOLAR</v>
      </c>
      <c r="B2939" s="26" t="str">
        <f>"09PJN5641E"</f>
        <v>09PJN5641E</v>
      </c>
      <c r="C2939" s="26" t="str">
        <f>"JARDIN DE NIÑOS FELICES HACIA EL FUTURO                                                             "</f>
        <v xml:space="preserve">JARDIN DE NIÑOS FELICES HACIA EL FUTURO                                                             </v>
      </c>
      <c r="D2939" s="26" t="str">
        <f t="shared" si="584"/>
        <v>MATUTINO</v>
      </c>
      <c r="E2939" s="26" t="str">
        <f>"AVENIDA HIDALGO NO.92                                                           "</f>
        <v xml:space="preserve">AVENIDA HIDALGO NO.92                                                           </v>
      </c>
      <c r="F2939" s="26" t="str">
        <f>"SAN LUCAS                                                                                                                                   "</f>
        <v xml:space="preserve">SAN LUCAS                                                                                                                                   </v>
      </c>
      <c r="G2939" s="26" t="str">
        <f>"COYOACAN                                                                        "</f>
        <v xml:space="preserve">COYOACAN                                                                        </v>
      </c>
      <c r="H2939" s="26" t="str">
        <f>"111"</f>
        <v>111</v>
      </c>
      <c r="I2939" s="26" t="str">
        <f t="shared" si="583"/>
        <v>00</v>
      </c>
      <c r="J2939" s="26" t="str">
        <f>"35 "</f>
        <v xml:space="preserve">35 </v>
      </c>
      <c r="K2939" s="26" t="str">
        <f t="shared" si="585"/>
        <v>EP</v>
      </c>
      <c r="L2939" s="26" t="str">
        <f t="shared" si="586"/>
        <v>DGOSE</v>
      </c>
      <c r="M2939" s="26" t="str">
        <f t="shared" si="581"/>
        <v>PARTICULAR</v>
      </c>
      <c r="N2939" s="26">
        <v>96</v>
      </c>
      <c r="O2939" s="26">
        <v>57</v>
      </c>
      <c r="P2939" s="26">
        <v>39</v>
      </c>
      <c r="Q2939" s="26">
        <v>5</v>
      </c>
      <c r="R2939" s="26">
        <v>1</v>
      </c>
      <c r="S2939" s="26">
        <v>5</v>
      </c>
      <c r="T2939" s="26">
        <v>16</v>
      </c>
      <c r="U2939" s="26">
        <v>22</v>
      </c>
      <c r="V2939" s="26">
        <v>1</v>
      </c>
      <c r="W2939" s="26"/>
    </row>
    <row r="2940" spans="1:23" x14ac:dyDescent="0.25">
      <c r="A2940" s="26" t="str">
        <f t="shared" si="582"/>
        <v>PREESCOLAR</v>
      </c>
      <c r="B2940" s="26" t="str">
        <f>"09PJN5642D"</f>
        <v>09PJN5642D</v>
      </c>
      <c r="C2940" s="26" t="str">
        <f>"JARDÍN DE NIÑOS COLIBRI                                                                             "</f>
        <v xml:space="preserve">JARDÍN DE NIÑOS COLIBRI                                                                             </v>
      </c>
      <c r="D2940" s="26" t="str">
        <f t="shared" si="584"/>
        <v>MATUTINO</v>
      </c>
      <c r="E2940" s="26" t="str">
        <f>"AMEZQUITE NO.258                                                                "</f>
        <v xml:space="preserve">AMEZQUITE NO.258                                                                </v>
      </c>
      <c r="F2940" s="26" t="str">
        <f>"PEDREGAL DE SANTO DOMINGO                                                                                                                   "</f>
        <v xml:space="preserve">PEDREGAL DE SANTO DOMINGO                                                                                                                   </v>
      </c>
      <c r="G2940" s="26" t="str">
        <f>"COYOACAN                                                                        "</f>
        <v xml:space="preserve">COYOACAN                                                                        </v>
      </c>
      <c r="H2940" s="26" t="str">
        <f>"077"</f>
        <v>077</v>
      </c>
      <c r="I2940" s="26" t="str">
        <f t="shared" si="583"/>
        <v>00</v>
      </c>
      <c r="J2940" s="26" t="str">
        <f>"35 "</f>
        <v xml:space="preserve">35 </v>
      </c>
      <c r="K2940" s="26" t="str">
        <f t="shared" si="585"/>
        <v>EP</v>
      </c>
      <c r="L2940" s="26" t="str">
        <f t="shared" si="586"/>
        <v>DGOSE</v>
      </c>
      <c r="M2940" s="26" t="str">
        <f t="shared" si="581"/>
        <v>PARTICULAR</v>
      </c>
      <c r="N2940" s="26">
        <v>35</v>
      </c>
      <c r="O2940" s="26">
        <v>13</v>
      </c>
      <c r="P2940" s="26">
        <v>22</v>
      </c>
      <c r="Q2940" s="26">
        <v>3</v>
      </c>
      <c r="R2940" s="26">
        <v>1</v>
      </c>
      <c r="S2940" s="26">
        <v>3</v>
      </c>
      <c r="T2940" s="26">
        <v>3</v>
      </c>
      <c r="U2940" s="26">
        <v>7</v>
      </c>
      <c r="V2940" s="26">
        <v>1</v>
      </c>
      <c r="W2940" s="26"/>
    </row>
    <row r="2941" spans="1:23" x14ac:dyDescent="0.25">
      <c r="A2941" s="26" t="str">
        <f t="shared" si="582"/>
        <v>PREESCOLAR</v>
      </c>
      <c r="B2941" s="26" t="str">
        <f>"09PJN5643C"</f>
        <v>09PJN5643C</v>
      </c>
      <c r="C2941" s="26" t="str">
        <f>"ESCUELA ALEXANDER BAIN                                                                              "</f>
        <v xml:space="preserve">ESCUELA ALEXANDER BAIN                                                                              </v>
      </c>
      <c r="D2941" s="26" t="str">
        <f t="shared" si="584"/>
        <v>MATUTINO</v>
      </c>
      <c r="E2941" s="26" t="str">
        <f>"LAS FLORES  NO. 345                                                             "</f>
        <v xml:space="preserve">LAS FLORES  NO. 345                                                             </v>
      </c>
      <c r="F2941" s="26" t="str">
        <f>"TLACOPAC                                                                                                                                    "</f>
        <v xml:space="preserve">TLACOPAC                                                                                                                                    </v>
      </c>
      <c r="G2941" s="26" t="str">
        <f>"ALVARO OBREGON                                                                  "</f>
        <v xml:space="preserve">ALVARO OBREGON                                                                  </v>
      </c>
      <c r="H2941" s="26" t="str">
        <f>"215"</f>
        <v>215</v>
      </c>
      <c r="I2941" s="26" t="str">
        <f t="shared" si="583"/>
        <v>00</v>
      </c>
      <c r="J2941" s="26" t="str">
        <f>"33 "</f>
        <v xml:space="preserve">33 </v>
      </c>
      <c r="K2941" s="26" t="str">
        <f t="shared" si="585"/>
        <v>EP</v>
      </c>
      <c r="L2941" s="26" t="str">
        <f t="shared" si="586"/>
        <v>DGOSE</v>
      </c>
      <c r="M2941" s="26" t="str">
        <f t="shared" si="581"/>
        <v>PARTICULAR</v>
      </c>
      <c r="N2941" s="26">
        <v>139</v>
      </c>
      <c r="O2941" s="26">
        <v>75</v>
      </c>
      <c r="P2941" s="26">
        <v>64</v>
      </c>
      <c r="Q2941" s="26">
        <v>7</v>
      </c>
      <c r="R2941" s="26">
        <v>1</v>
      </c>
      <c r="S2941" s="26">
        <v>7</v>
      </c>
      <c r="T2941" s="26">
        <v>5</v>
      </c>
      <c r="U2941" s="26">
        <v>13</v>
      </c>
      <c r="V2941" s="26">
        <v>1</v>
      </c>
      <c r="W2941" s="26"/>
    </row>
    <row r="2942" spans="1:23" x14ac:dyDescent="0.25">
      <c r="A2942" s="26" t="str">
        <f t="shared" si="582"/>
        <v>PREESCOLAR</v>
      </c>
      <c r="B2942" s="26" t="str">
        <f>"09PJN5645A"</f>
        <v>09PJN5645A</v>
      </c>
      <c r="C2942" s="26" t="str">
        <f>"CEDET CENTRO EDUCATIVO PARA EL DESARROLLO TOTAL                                                     "</f>
        <v xml:space="preserve">CEDET CENTRO EDUCATIVO PARA EL DESARROLLO TOTAL                                                     </v>
      </c>
      <c r="D2942" s="26" t="str">
        <f t="shared" si="584"/>
        <v>MATUTINO</v>
      </c>
      <c r="E2942" s="26" t="str">
        <f>"MANUEL GARBOLLOY PARRA NO. 62                                                   "</f>
        <v xml:space="preserve">MANUEL GARBOLLOY PARRA NO. 62                                                   </v>
      </c>
      <c r="F2942" s="26" t="str">
        <f>"MIGUEL HIDALGO AMPLIACION                                                                                                                   "</f>
        <v xml:space="preserve">MIGUEL HIDALGO AMPLIACION                                                                                                                   </v>
      </c>
      <c r="G2942" s="26" t="str">
        <f>"TLALPAN                                                                         "</f>
        <v xml:space="preserve">TLALPAN                                                                         </v>
      </c>
      <c r="H2942" s="26" t="str">
        <f>"225"</f>
        <v>225</v>
      </c>
      <c r="I2942" s="26" t="str">
        <f t="shared" si="583"/>
        <v>00</v>
      </c>
      <c r="J2942" s="26" t="str">
        <f>"35 "</f>
        <v xml:space="preserve">35 </v>
      </c>
      <c r="K2942" s="26" t="str">
        <f t="shared" si="585"/>
        <v>EP</v>
      </c>
      <c r="L2942" s="26" t="str">
        <f t="shared" si="586"/>
        <v>DGOSE</v>
      </c>
      <c r="M2942" s="26" t="str">
        <f t="shared" si="581"/>
        <v>PARTICULAR</v>
      </c>
      <c r="N2942" s="26">
        <v>8</v>
      </c>
      <c r="O2942" s="26">
        <v>3</v>
      </c>
      <c r="P2942" s="26">
        <v>5</v>
      </c>
      <c r="Q2942" s="26">
        <v>3</v>
      </c>
      <c r="R2942" s="26">
        <v>1</v>
      </c>
      <c r="S2942" s="26">
        <v>3</v>
      </c>
      <c r="T2942" s="26">
        <v>0</v>
      </c>
      <c r="U2942" s="26">
        <v>4</v>
      </c>
      <c r="V2942" s="26">
        <v>1</v>
      </c>
      <c r="W2942" s="26"/>
    </row>
    <row r="2943" spans="1:23" x14ac:dyDescent="0.25">
      <c r="A2943" s="26" t="str">
        <f t="shared" si="582"/>
        <v>PREESCOLAR</v>
      </c>
      <c r="B2943" s="26" t="str">
        <f>"09PJN5646Z"</f>
        <v>09PJN5646Z</v>
      </c>
      <c r="C2943" s="26" t="str">
        <f>"CENTRO DE DESARROLLO INTEGRAL AQUAVIVA                                                              "</f>
        <v xml:space="preserve">CENTRO DE DESARROLLO INTEGRAL AQUAVIVA                                                              </v>
      </c>
      <c r="D2943" s="26" t="str">
        <f t="shared" si="584"/>
        <v>MATUTINO</v>
      </c>
      <c r="E2943" s="26" t="s">
        <v>121</v>
      </c>
      <c r="F2943" s="26" t="str">
        <f>"TLALPAN                                                                                                                                     "</f>
        <v xml:space="preserve">TLALPAN                                                                                                                                     </v>
      </c>
      <c r="G2943" s="26" t="str">
        <f>"TLALPAN                                                                         "</f>
        <v xml:space="preserve">TLALPAN                                                                         </v>
      </c>
      <c r="H2943" s="26" t="str">
        <f>"132"</f>
        <v>132</v>
      </c>
      <c r="I2943" s="26" t="str">
        <f t="shared" si="583"/>
        <v>00</v>
      </c>
      <c r="J2943" s="26" t="str">
        <f>"35 "</f>
        <v xml:space="preserve">35 </v>
      </c>
      <c r="K2943" s="26" t="str">
        <f t="shared" si="585"/>
        <v>EP</v>
      </c>
      <c r="L2943" s="26" t="str">
        <f t="shared" si="586"/>
        <v>DGOSE</v>
      </c>
      <c r="M2943" s="26" t="str">
        <f t="shared" ref="M2943:M3006" si="587">"PARTICULAR"</f>
        <v>PARTICULAR</v>
      </c>
      <c r="N2943" s="26">
        <v>25</v>
      </c>
      <c r="O2943" s="26">
        <v>17</v>
      </c>
      <c r="P2943" s="26">
        <v>8</v>
      </c>
      <c r="Q2943" s="26">
        <v>3</v>
      </c>
      <c r="R2943" s="26">
        <v>1</v>
      </c>
      <c r="S2943" s="26">
        <v>3</v>
      </c>
      <c r="T2943" s="26">
        <v>0</v>
      </c>
      <c r="U2943" s="26">
        <v>4</v>
      </c>
      <c r="V2943" s="26">
        <v>1</v>
      </c>
      <c r="W2943" s="26"/>
    </row>
    <row r="2944" spans="1:23" x14ac:dyDescent="0.25">
      <c r="A2944" s="26" t="str">
        <f t="shared" si="582"/>
        <v>PREESCOLAR</v>
      </c>
      <c r="B2944" s="26" t="str">
        <f>"09PJN5647Z"</f>
        <v>09PJN5647Z</v>
      </c>
      <c r="C2944" s="26" t="str">
        <f>"MONTESSORI DE SAN JOSE INSURGENTES                                                                  "</f>
        <v xml:space="preserve">MONTESSORI DE SAN JOSE INSURGENTES                                                                  </v>
      </c>
      <c r="D2944" s="26" t="str">
        <f t="shared" si="584"/>
        <v>MATUTINO</v>
      </c>
      <c r="E2944" s="26" t="str">
        <f>"FLAMENCOS NO. 14                                                                "</f>
        <v xml:space="preserve">FLAMENCOS NO. 14                                                                </v>
      </c>
      <c r="F2944" s="26" t="str">
        <f>"SAN JOSE INSURGENTES                                                                                                                        "</f>
        <v xml:space="preserve">SAN JOSE INSURGENTES                                                                                                                        </v>
      </c>
      <c r="G2944" s="26" t="str">
        <f>"BENITO JUAREZ                                                                   "</f>
        <v xml:space="preserve">BENITO JUAREZ                                                                   </v>
      </c>
      <c r="H2944" s="26" t="str">
        <f>"110"</f>
        <v>110</v>
      </c>
      <c r="I2944" s="26" t="str">
        <f t="shared" si="583"/>
        <v>00</v>
      </c>
      <c r="J2944" s="26" t="str">
        <f>"33 "</f>
        <v xml:space="preserve">33 </v>
      </c>
      <c r="K2944" s="26" t="str">
        <f t="shared" si="585"/>
        <v>EP</v>
      </c>
      <c r="L2944" s="26" t="str">
        <f t="shared" si="586"/>
        <v>DGOSE</v>
      </c>
      <c r="M2944" s="26" t="str">
        <f t="shared" si="587"/>
        <v>PARTICULAR</v>
      </c>
      <c r="N2944" s="26">
        <v>28</v>
      </c>
      <c r="O2944" s="26">
        <v>14</v>
      </c>
      <c r="P2944" s="26">
        <v>14</v>
      </c>
      <c r="Q2944" s="26">
        <v>3</v>
      </c>
      <c r="R2944" s="26">
        <v>1</v>
      </c>
      <c r="S2944" s="26">
        <v>1</v>
      </c>
      <c r="T2944" s="26">
        <v>4</v>
      </c>
      <c r="U2944" s="26">
        <v>6</v>
      </c>
      <c r="V2944" s="26">
        <v>1</v>
      </c>
      <c r="W2944" s="26"/>
    </row>
    <row r="2945" spans="1:23" x14ac:dyDescent="0.25">
      <c r="A2945" s="26" t="str">
        <f t="shared" si="582"/>
        <v>PREESCOLAR</v>
      </c>
      <c r="B2945" s="26" t="str">
        <f>"09PJN5648Y"</f>
        <v>09PJN5648Y</v>
      </c>
      <c r="C2945" s="26" t="str">
        <f>"KINDERGYM FLORIDA                                                                                   "</f>
        <v xml:space="preserve">KINDERGYM FLORIDA                                                                                   </v>
      </c>
      <c r="D2945" s="26" t="str">
        <f t="shared" si="584"/>
        <v>MATUTINO</v>
      </c>
      <c r="E2945" s="26" t="str">
        <f>"BARRANCA DEL MUERTO NO. 127                                                     "</f>
        <v xml:space="preserve">BARRANCA DEL MUERTO NO. 127                                                     </v>
      </c>
      <c r="F2945" s="26" t="str">
        <f>"CREDITO CONSTRUCTOR                                                                                                                         "</f>
        <v xml:space="preserve">CREDITO CONSTRUCTOR                                                                                                                         </v>
      </c>
      <c r="G2945" s="26" t="str">
        <f>"BENITO JUAREZ                                                                   "</f>
        <v xml:space="preserve">BENITO JUAREZ                                                                   </v>
      </c>
      <c r="H2945" s="26" t="str">
        <f>"110"</f>
        <v>110</v>
      </c>
      <c r="I2945" s="26" t="str">
        <f t="shared" si="583"/>
        <v>00</v>
      </c>
      <c r="J2945" s="26" t="str">
        <f>"33 "</f>
        <v xml:space="preserve">33 </v>
      </c>
      <c r="K2945" s="26" t="str">
        <f t="shared" si="585"/>
        <v>EP</v>
      </c>
      <c r="L2945" s="26" t="str">
        <f t="shared" si="586"/>
        <v>DGOSE</v>
      </c>
      <c r="M2945" s="26" t="str">
        <f t="shared" si="587"/>
        <v>PARTICULAR</v>
      </c>
      <c r="N2945" s="26">
        <v>52</v>
      </c>
      <c r="O2945" s="26">
        <v>24</v>
      </c>
      <c r="P2945" s="26">
        <v>28</v>
      </c>
      <c r="Q2945" s="26">
        <v>3</v>
      </c>
      <c r="R2945" s="26">
        <v>1</v>
      </c>
      <c r="S2945" s="26">
        <v>2</v>
      </c>
      <c r="T2945" s="26">
        <v>7</v>
      </c>
      <c r="U2945" s="26">
        <v>10</v>
      </c>
      <c r="V2945" s="26">
        <v>1</v>
      </c>
      <c r="W2945" s="26"/>
    </row>
    <row r="2946" spans="1:23" x14ac:dyDescent="0.25">
      <c r="A2946" s="26" t="str">
        <f t="shared" ref="A2946:A3009" si="588">"PREESCOLAR"</f>
        <v>PREESCOLAR</v>
      </c>
      <c r="B2946" s="26" t="str">
        <f>"09PJN5649X"</f>
        <v>09PJN5649X</v>
      </c>
      <c r="C2946" s="26" t="str">
        <f>"COLEGIO MARIA DEL CARMEN MURIEL                                                                     "</f>
        <v xml:space="preserve">COLEGIO MARIA DEL CARMEN MURIEL                                                                     </v>
      </c>
      <c r="D2946" s="26" t="str">
        <f t="shared" si="584"/>
        <v>MATUTINO</v>
      </c>
      <c r="E2946" s="26" t="str">
        <f>"AGUAYO NO. 43                                                                   "</f>
        <v xml:space="preserve">AGUAYO NO. 43                                                                   </v>
      </c>
      <c r="F2946" s="26" t="str">
        <f>"DEL CARMEN                                                                                                                                  "</f>
        <v xml:space="preserve">DEL CARMEN                                                                                                                                  </v>
      </c>
      <c r="G2946" s="26" t="str">
        <f>"COYOACAN                                                                        "</f>
        <v xml:space="preserve">COYOACAN                                                                        </v>
      </c>
      <c r="H2946" s="26" t="str">
        <f>"111"</f>
        <v>111</v>
      </c>
      <c r="I2946" s="26" t="str">
        <f t="shared" ref="I2946:I3009" si="589">"00"</f>
        <v>00</v>
      </c>
      <c r="J2946" s="26" t="str">
        <f>"35 "</f>
        <v xml:space="preserve">35 </v>
      </c>
      <c r="K2946" s="26" t="str">
        <f t="shared" si="585"/>
        <v>EP</v>
      </c>
      <c r="L2946" s="26" t="str">
        <f t="shared" si="586"/>
        <v>DGOSE</v>
      </c>
      <c r="M2946" s="26" t="str">
        <f t="shared" si="587"/>
        <v>PARTICULAR</v>
      </c>
      <c r="N2946" s="26">
        <v>25</v>
      </c>
      <c r="O2946" s="26">
        <v>8</v>
      </c>
      <c r="P2946" s="26">
        <v>17</v>
      </c>
      <c r="Q2946" s="26">
        <v>3</v>
      </c>
      <c r="R2946" s="26">
        <v>1</v>
      </c>
      <c r="S2946" s="26">
        <v>3</v>
      </c>
      <c r="T2946" s="26">
        <v>6</v>
      </c>
      <c r="U2946" s="26">
        <v>10</v>
      </c>
      <c r="V2946" s="26">
        <v>1</v>
      </c>
      <c r="W2946" s="26"/>
    </row>
    <row r="2947" spans="1:23" x14ac:dyDescent="0.25">
      <c r="A2947" s="26" t="str">
        <f t="shared" si="588"/>
        <v>PREESCOLAR</v>
      </c>
      <c r="B2947" s="26" t="str">
        <f>"09PJN5650M"</f>
        <v>09PJN5650M</v>
      </c>
      <c r="C2947" s="26" t="str">
        <f>"CENTRO INFANTIL JOSE DE TAPIA                                                                       "</f>
        <v xml:space="preserve">CENTRO INFANTIL JOSE DE TAPIA                                                                       </v>
      </c>
      <c r="D2947" s="26" t="str">
        <f t="shared" si="584"/>
        <v>MATUTINO</v>
      </c>
      <c r="E2947" s="26" t="str">
        <f>"AV. RIEGO NO. 60                                                                "</f>
        <v xml:space="preserve">AV. RIEGO NO. 60                                                                </v>
      </c>
      <c r="F2947" s="26" t="str">
        <f>"RESIDENCIAL VILLA COAPA                                                                                                                     "</f>
        <v xml:space="preserve">RESIDENCIAL VILLA COAPA                                                                                                                     </v>
      </c>
      <c r="G2947" s="26" t="str">
        <f>"TLALPAN                                                                         "</f>
        <v xml:space="preserve">TLALPAN                                                                         </v>
      </c>
      <c r="H2947" s="26" t="str">
        <f>"276"</f>
        <v>276</v>
      </c>
      <c r="I2947" s="26" t="str">
        <f t="shared" si="589"/>
        <v>00</v>
      </c>
      <c r="J2947" s="26" t="str">
        <f>"35 "</f>
        <v xml:space="preserve">35 </v>
      </c>
      <c r="K2947" s="26" t="str">
        <f t="shared" si="585"/>
        <v>EP</v>
      </c>
      <c r="L2947" s="26" t="str">
        <f t="shared" si="586"/>
        <v>DGOSE</v>
      </c>
      <c r="M2947" s="26" t="str">
        <f t="shared" si="587"/>
        <v>PARTICULAR</v>
      </c>
      <c r="N2947" s="26">
        <v>9</v>
      </c>
      <c r="O2947" s="26">
        <v>6</v>
      </c>
      <c r="P2947" s="26">
        <v>3</v>
      </c>
      <c r="Q2947" s="26">
        <v>3</v>
      </c>
      <c r="R2947" s="26">
        <v>1</v>
      </c>
      <c r="S2947" s="26">
        <v>1</v>
      </c>
      <c r="T2947" s="26">
        <v>2</v>
      </c>
      <c r="U2947" s="26">
        <v>4</v>
      </c>
      <c r="V2947" s="26">
        <v>1</v>
      </c>
      <c r="W2947" s="26"/>
    </row>
    <row r="2948" spans="1:23" x14ac:dyDescent="0.25">
      <c r="A2948" s="26" t="str">
        <f t="shared" si="588"/>
        <v>PREESCOLAR</v>
      </c>
      <c r="B2948" s="26" t="str">
        <f>"09PJN5652K"</f>
        <v>09PJN5652K</v>
      </c>
      <c r="C2948" s="26" t="str">
        <f>"JARDÍN DE NIÑOS CATIVOS                                                                             "</f>
        <v xml:space="preserve">JARDÍN DE NIÑOS CATIVOS                                                                             </v>
      </c>
      <c r="D2948" s="26" t="str">
        <f t="shared" si="584"/>
        <v>MATUTINO</v>
      </c>
      <c r="E2948" s="26" t="str">
        <f>"TEJOCOTES NO. 11                                                                "</f>
        <v xml:space="preserve">TEJOCOTES NO. 11                                                                </v>
      </c>
      <c r="F2948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2948" s="26" t="str">
        <f>"BENITO JUAREZ                                                                   "</f>
        <v xml:space="preserve">BENITO JUAREZ                                                                   </v>
      </c>
      <c r="H2948" s="26" t="str">
        <f>"032"</f>
        <v>032</v>
      </c>
      <c r="I2948" s="26" t="str">
        <f t="shared" si="589"/>
        <v>00</v>
      </c>
      <c r="J2948" s="26" t="str">
        <f>"33 "</f>
        <v xml:space="preserve">33 </v>
      </c>
      <c r="K2948" s="26" t="str">
        <f t="shared" si="585"/>
        <v>EP</v>
      </c>
      <c r="L2948" s="26" t="str">
        <f t="shared" si="586"/>
        <v>DGOSE</v>
      </c>
      <c r="M2948" s="26" t="str">
        <f t="shared" si="587"/>
        <v>PARTICULAR</v>
      </c>
      <c r="N2948" s="26">
        <v>24</v>
      </c>
      <c r="O2948" s="26">
        <v>13</v>
      </c>
      <c r="P2948" s="26">
        <v>11</v>
      </c>
      <c r="Q2948" s="26">
        <v>3</v>
      </c>
      <c r="R2948" s="26">
        <v>1</v>
      </c>
      <c r="S2948" s="26">
        <v>3</v>
      </c>
      <c r="T2948" s="26">
        <v>7</v>
      </c>
      <c r="U2948" s="26">
        <v>11</v>
      </c>
      <c r="V2948" s="26">
        <v>1</v>
      </c>
      <c r="W2948" s="26"/>
    </row>
    <row r="2949" spans="1:23" x14ac:dyDescent="0.25">
      <c r="A2949" s="26" t="str">
        <f t="shared" si="588"/>
        <v>PREESCOLAR</v>
      </c>
      <c r="B2949" s="26" t="str">
        <f>"09PJN5653J"</f>
        <v>09PJN5653J</v>
      </c>
      <c r="C2949" s="26" t="str">
        <f>"CENTRO ESCOLAR CARL ROGERS                                                                          "</f>
        <v xml:space="preserve">CENTRO ESCOLAR CARL ROGERS                                                                          </v>
      </c>
      <c r="D2949" s="26" t="str">
        <f t="shared" si="584"/>
        <v>MATUTINO</v>
      </c>
      <c r="E2949" s="26" t="str">
        <f>"AV.  2 NO. 12                                                                   "</f>
        <v xml:space="preserve">AV.  2 NO. 12                                                                   </v>
      </c>
      <c r="F2949" s="26" t="str">
        <f>"EDUCACION                                                                                                                                   "</f>
        <v xml:space="preserve">EDUCACION                                                                                                                                   </v>
      </c>
      <c r="G2949" s="26" t="str">
        <f>"COYOACAN                                                                        "</f>
        <v xml:space="preserve">COYOACAN                                                                        </v>
      </c>
      <c r="H2949" s="26" t="str">
        <f>"239"</f>
        <v>239</v>
      </c>
      <c r="I2949" s="26" t="str">
        <f t="shared" si="589"/>
        <v>00</v>
      </c>
      <c r="J2949" s="26" t="str">
        <f>"35 "</f>
        <v xml:space="preserve">35 </v>
      </c>
      <c r="K2949" s="26" t="str">
        <f t="shared" si="585"/>
        <v>EP</v>
      </c>
      <c r="L2949" s="26" t="str">
        <f t="shared" si="586"/>
        <v>DGOSE</v>
      </c>
      <c r="M2949" s="26" t="str">
        <f t="shared" si="587"/>
        <v>PARTICULAR</v>
      </c>
      <c r="N2949" s="26">
        <v>38</v>
      </c>
      <c r="O2949" s="26">
        <v>23</v>
      </c>
      <c r="P2949" s="26">
        <v>15</v>
      </c>
      <c r="Q2949" s="26">
        <v>3</v>
      </c>
      <c r="R2949" s="26">
        <v>1</v>
      </c>
      <c r="S2949" s="26">
        <v>3</v>
      </c>
      <c r="T2949" s="26">
        <v>10</v>
      </c>
      <c r="U2949" s="26">
        <v>14</v>
      </c>
      <c r="V2949" s="26">
        <v>1</v>
      </c>
      <c r="W2949" s="26"/>
    </row>
    <row r="2950" spans="1:23" x14ac:dyDescent="0.25">
      <c r="A2950" s="26" t="str">
        <f t="shared" si="588"/>
        <v>PREESCOLAR</v>
      </c>
      <c r="B2950" s="26" t="str">
        <f>"09PJN5655H"</f>
        <v>09PJN5655H</v>
      </c>
      <c r="C2950" s="26" t="str">
        <f>"COLEGIO NUEVO SIGLO                                                                                 "</f>
        <v xml:space="preserve">COLEGIO NUEVO SIGLO                                                                                 </v>
      </c>
      <c r="D2950" s="26" t="str">
        <f t="shared" si="584"/>
        <v>MATUTINO</v>
      </c>
      <c r="E2950" s="26" t="str">
        <f>"ORIENTE 103 NO.4306                                                             "</f>
        <v xml:space="preserve">ORIENTE 103 NO.4306                                                             </v>
      </c>
      <c r="F2950" s="26" t="str">
        <f>"GERTRUDIS SANCHEZ 1A SECCION                                                                                                                "</f>
        <v xml:space="preserve">GERTRUDIS SANCHEZ 1A SECCION                                                                                                                </v>
      </c>
      <c r="G2950" s="26" t="str">
        <f>"GUSTAVO A. MADERO                                                               "</f>
        <v xml:space="preserve">GUSTAVO A. MADERO                                                               </v>
      </c>
      <c r="H2950" s="26" t="str">
        <f>"006"</f>
        <v>006</v>
      </c>
      <c r="I2950" s="26" t="str">
        <f t="shared" si="589"/>
        <v>00</v>
      </c>
      <c r="J2950" s="26" t="str">
        <f>"32 "</f>
        <v xml:space="preserve">32 </v>
      </c>
      <c r="K2950" s="26" t="str">
        <f t="shared" si="585"/>
        <v>EP</v>
      </c>
      <c r="L2950" s="26" t="str">
        <f t="shared" si="586"/>
        <v>DGOSE</v>
      </c>
      <c r="M2950" s="26" t="str">
        <f t="shared" si="587"/>
        <v>PARTICULAR</v>
      </c>
      <c r="N2950" s="26">
        <v>10</v>
      </c>
      <c r="O2950" s="26">
        <v>6</v>
      </c>
      <c r="P2950" s="26">
        <v>4</v>
      </c>
      <c r="Q2950" s="26">
        <v>3</v>
      </c>
      <c r="R2950" s="26">
        <v>1</v>
      </c>
      <c r="S2950" s="26">
        <v>3</v>
      </c>
      <c r="T2950" s="26">
        <v>0</v>
      </c>
      <c r="U2950" s="26">
        <v>4</v>
      </c>
      <c r="V2950" s="26">
        <v>1</v>
      </c>
      <c r="W2950" s="26"/>
    </row>
    <row r="2951" spans="1:23" x14ac:dyDescent="0.25">
      <c r="A2951" s="26" t="str">
        <f t="shared" si="588"/>
        <v>PREESCOLAR</v>
      </c>
      <c r="B2951" s="26" t="str">
        <f>"09PJN5656G"</f>
        <v>09PJN5656G</v>
      </c>
      <c r="C2951" s="26" t="str">
        <f>"CENTRO EDUCATIVO MANTUA                                                                             "</f>
        <v xml:space="preserve">CENTRO EDUCATIVO MANTUA                                                                             </v>
      </c>
      <c r="D2951" s="26" t="str">
        <f t="shared" si="584"/>
        <v>MATUTINO</v>
      </c>
      <c r="E2951" s="26" t="str">
        <f>"SUR 113 NO. 513                                                                 "</f>
        <v xml:space="preserve">SUR 113 NO. 513                                                                 </v>
      </c>
      <c r="F2951" s="26" t="str">
        <f>"SECTOR POPULAR                                                                                                                              "</f>
        <v xml:space="preserve">SECTOR POPULAR                                                                                                                              </v>
      </c>
      <c r="G2951" s="26" t="str">
        <f>"IZTAPALAPA                                                                      "</f>
        <v xml:space="preserve">IZTAPALAPA                                                                      </v>
      </c>
      <c r="H2951" s="26" t="str">
        <f>"000"</f>
        <v>000</v>
      </c>
      <c r="I2951" s="26" t="str">
        <f t="shared" si="589"/>
        <v>00</v>
      </c>
      <c r="J2951" s="26" t="str">
        <f>"61 "</f>
        <v xml:space="preserve">61 </v>
      </c>
      <c r="K2951" s="26" t="str">
        <f>"IZ"</f>
        <v>IZ</v>
      </c>
      <c r="L2951" s="26" t="str">
        <f>"DGSEI"</f>
        <v>DGSEI</v>
      </c>
      <c r="M2951" s="26" t="str">
        <f t="shared" si="587"/>
        <v>PARTICULAR</v>
      </c>
      <c r="N2951" s="26">
        <v>48</v>
      </c>
      <c r="O2951" s="26">
        <v>25</v>
      </c>
      <c r="P2951" s="26">
        <v>23</v>
      </c>
      <c r="Q2951" s="26">
        <v>3</v>
      </c>
      <c r="R2951" s="26">
        <v>0</v>
      </c>
      <c r="S2951" s="26">
        <v>2</v>
      </c>
      <c r="T2951" s="26">
        <v>10</v>
      </c>
      <c r="U2951" s="26">
        <v>12</v>
      </c>
      <c r="V2951" s="26">
        <v>1</v>
      </c>
      <c r="W2951" s="26"/>
    </row>
    <row r="2952" spans="1:23" x14ac:dyDescent="0.25">
      <c r="A2952" s="26" t="str">
        <f t="shared" si="588"/>
        <v>PREESCOLAR</v>
      </c>
      <c r="B2952" s="26" t="str">
        <f>"09PJN5658E"</f>
        <v>09PJN5658E</v>
      </c>
      <c r="C2952" s="26" t="str">
        <f>"EL CASTILLO DEL PRINCIPITO                                                                          "</f>
        <v xml:space="preserve">EL CASTILLO DEL PRINCIPITO                                                                          </v>
      </c>
      <c r="D2952" s="26" t="str">
        <f t="shared" si="584"/>
        <v>MATUTINO</v>
      </c>
      <c r="E2952" s="26" t="str">
        <f>"BACANORA MZ. 1 LT. 4                                                            "</f>
        <v xml:space="preserve">BACANORA MZ. 1 LT. 4                                                            </v>
      </c>
      <c r="F2952" s="26" t="str">
        <f>"BELLAVISTA AMPLIACION                                                                                                                       "</f>
        <v xml:space="preserve">BELLAVISTA AMPLIACION                                                                                                                       </v>
      </c>
      <c r="G2952" s="26" t="str">
        <f>"IZTAPALAPA                                                                      "</f>
        <v xml:space="preserve">IZTAPALAPA                                                                      </v>
      </c>
      <c r="H2952" s="26" t="str">
        <f>"000"</f>
        <v>000</v>
      </c>
      <c r="I2952" s="26" t="str">
        <f t="shared" si="589"/>
        <v>00</v>
      </c>
      <c r="J2952" s="26" t="str">
        <f>"63 "</f>
        <v xml:space="preserve">63 </v>
      </c>
      <c r="K2952" s="26" t="str">
        <f>"IZ"</f>
        <v>IZ</v>
      </c>
      <c r="L2952" s="26" t="str">
        <f>"DGSEI"</f>
        <v>DGSEI</v>
      </c>
      <c r="M2952" s="26" t="str">
        <f t="shared" si="587"/>
        <v>PARTICULAR</v>
      </c>
      <c r="N2952" s="26">
        <v>22</v>
      </c>
      <c r="O2952" s="26">
        <v>9</v>
      </c>
      <c r="P2952" s="26">
        <v>13</v>
      </c>
      <c r="Q2952" s="26">
        <v>3</v>
      </c>
      <c r="R2952" s="26">
        <v>1</v>
      </c>
      <c r="S2952" s="26">
        <v>1</v>
      </c>
      <c r="T2952" s="26">
        <v>3</v>
      </c>
      <c r="U2952" s="26">
        <v>5</v>
      </c>
      <c r="V2952" s="26">
        <v>1</v>
      </c>
      <c r="W2952" s="26"/>
    </row>
    <row r="2953" spans="1:23" x14ac:dyDescent="0.25">
      <c r="A2953" s="26" t="str">
        <f t="shared" si="588"/>
        <v>PREESCOLAR</v>
      </c>
      <c r="B2953" s="26" t="str">
        <f>"09PJN5659D"</f>
        <v>09PJN5659D</v>
      </c>
      <c r="C2953" s="26" t="str">
        <f>"COLEGIO GRIMM CAMPUS SANTA FE                                                                       "</f>
        <v xml:space="preserve">COLEGIO GRIMM CAMPUS SANTA FE                                                                       </v>
      </c>
      <c r="D2953" s="26" t="str">
        <f t="shared" si="584"/>
        <v>MATUTINO</v>
      </c>
      <c r="E2953" s="26" t="str">
        <f>"CARRETERA SAN MATEO-SANTA ROSA NO. 99                                           "</f>
        <v xml:space="preserve">CARRETERA SAN MATEO-SANTA ROSA NO. 99                                           </v>
      </c>
      <c r="F2953" s="26" t="str">
        <f>"SAN MATEO TLALTENANGO                                                                                                                       "</f>
        <v xml:space="preserve">SAN MATEO TLALTENANGO                                                                                                                       </v>
      </c>
      <c r="G2953" s="26" t="str">
        <f>"CUAJIMALPA DE MORELOS                                                           "</f>
        <v xml:space="preserve">CUAJIMALPA DE MORELOS                                                           </v>
      </c>
      <c r="H2953" s="26" t="str">
        <f>"213"</f>
        <v>213</v>
      </c>
      <c r="I2953" s="26" t="str">
        <f t="shared" si="589"/>
        <v>00</v>
      </c>
      <c r="J2953" s="26" t="str">
        <f>"33 "</f>
        <v xml:space="preserve">33 </v>
      </c>
      <c r="K2953" s="26" t="str">
        <f>"EP"</f>
        <v>EP</v>
      </c>
      <c r="L2953" s="26" t="str">
        <f>"DGOSE"</f>
        <v>DGOSE</v>
      </c>
      <c r="M2953" s="26" t="str">
        <f t="shared" si="587"/>
        <v>PARTICULAR</v>
      </c>
      <c r="N2953" s="26">
        <v>15</v>
      </c>
      <c r="O2953" s="26">
        <v>6</v>
      </c>
      <c r="P2953" s="26">
        <v>9</v>
      </c>
      <c r="Q2953" s="26">
        <v>3</v>
      </c>
      <c r="R2953" s="26">
        <v>1</v>
      </c>
      <c r="S2953" s="26">
        <v>3</v>
      </c>
      <c r="T2953" s="26">
        <v>6</v>
      </c>
      <c r="U2953" s="26">
        <v>10</v>
      </c>
      <c r="V2953" s="26">
        <v>1</v>
      </c>
      <c r="W2953" s="26"/>
    </row>
    <row r="2954" spans="1:23" x14ac:dyDescent="0.25">
      <c r="A2954" s="26" t="str">
        <f t="shared" si="588"/>
        <v>PREESCOLAR</v>
      </c>
      <c r="B2954" s="26" t="str">
        <f>"09PJN5660T"</f>
        <v>09PJN5660T</v>
      </c>
      <c r="C2954" s="26" t="str">
        <f>"JARDIN DE NIÑOS FEDERICO FROEBEL                                                                    "</f>
        <v xml:space="preserve">JARDIN DE NIÑOS FEDERICO FROEBEL                                                                    </v>
      </c>
      <c r="D2954" s="26" t="str">
        <f t="shared" si="584"/>
        <v>MATUTINO</v>
      </c>
      <c r="E2954" s="26" t="str">
        <f>"CAMINO REAL AL AJUSCO NO. 314                                                   "</f>
        <v xml:space="preserve">CAMINO REAL AL AJUSCO NO. 314                                                   </v>
      </c>
      <c r="F2954" s="26" t="str">
        <f>"TEPEPAN AMPLIACION                                                                                                                          "</f>
        <v xml:space="preserve">TEPEPAN AMPLIACION                                                                                                                          </v>
      </c>
      <c r="G2954" s="26" t="str">
        <f>"XOCHIMILCO                                                                      "</f>
        <v xml:space="preserve">XOCHIMILCO                                                                      </v>
      </c>
      <c r="H2954" s="26" t="str">
        <f>"081"</f>
        <v>081</v>
      </c>
      <c r="I2954" s="26" t="str">
        <f t="shared" si="589"/>
        <v>00</v>
      </c>
      <c r="J2954" s="26" t="str">
        <f>"35 "</f>
        <v xml:space="preserve">35 </v>
      </c>
      <c r="K2954" s="26" t="str">
        <f>"EP"</f>
        <v>EP</v>
      </c>
      <c r="L2954" s="26" t="str">
        <f>"DGOSE"</f>
        <v>DGOSE</v>
      </c>
      <c r="M2954" s="26" t="str">
        <f t="shared" si="587"/>
        <v>PARTICULAR</v>
      </c>
      <c r="N2954" s="26">
        <v>26</v>
      </c>
      <c r="O2954" s="26">
        <v>12</v>
      </c>
      <c r="P2954" s="26">
        <v>14</v>
      </c>
      <c r="Q2954" s="26">
        <v>3</v>
      </c>
      <c r="R2954" s="26">
        <v>1</v>
      </c>
      <c r="S2954" s="26">
        <v>3</v>
      </c>
      <c r="T2954" s="26">
        <v>2</v>
      </c>
      <c r="U2954" s="26">
        <v>6</v>
      </c>
      <c r="V2954" s="26">
        <v>1</v>
      </c>
      <c r="W2954" s="26"/>
    </row>
    <row r="2955" spans="1:23" x14ac:dyDescent="0.25">
      <c r="A2955" s="26" t="str">
        <f t="shared" si="588"/>
        <v>PREESCOLAR</v>
      </c>
      <c r="B2955" s="26" t="str">
        <f>"09PJN5661S"</f>
        <v>09PJN5661S</v>
      </c>
      <c r="C2955" s="26" t="str">
        <f>"INSTITUTO CULTURAL SANTA FE                                                                         "</f>
        <v xml:space="preserve">INSTITUTO CULTURAL SANTA FE                                                                         </v>
      </c>
      <c r="D2955" s="26" t="str">
        <f t="shared" si="584"/>
        <v>MATUTINO</v>
      </c>
      <c r="E2955" s="26" t="str">
        <f>"AV. ESCUADRON 201 NO.32                                                         "</f>
        <v xml:space="preserve">AV. ESCUADRON 201 NO.32                                                         </v>
      </c>
      <c r="F2955" s="26" t="str">
        <f>"CRISTO REY                                                                                                                                  "</f>
        <v xml:space="preserve">CRISTO REY                                                                                                                                  </v>
      </c>
      <c r="G2955" s="26" t="str">
        <f>"ALVARO OBREGON                                                                  "</f>
        <v xml:space="preserve">ALVARO OBREGON                                                                  </v>
      </c>
      <c r="H2955" s="26" t="str">
        <f>"219"</f>
        <v>219</v>
      </c>
      <c r="I2955" s="26" t="str">
        <f t="shared" si="589"/>
        <v>00</v>
      </c>
      <c r="J2955" s="26" t="str">
        <f>"33 "</f>
        <v xml:space="preserve">33 </v>
      </c>
      <c r="K2955" s="26" t="str">
        <f>"EP"</f>
        <v>EP</v>
      </c>
      <c r="L2955" s="26" t="str">
        <f>"DGOSE"</f>
        <v>DGOSE</v>
      </c>
      <c r="M2955" s="26" t="str">
        <f t="shared" si="587"/>
        <v>PARTICULAR</v>
      </c>
      <c r="N2955" s="26">
        <v>46</v>
      </c>
      <c r="O2955" s="26">
        <v>29</v>
      </c>
      <c r="P2955" s="26">
        <v>17</v>
      </c>
      <c r="Q2955" s="26">
        <v>3</v>
      </c>
      <c r="R2955" s="26">
        <v>1</v>
      </c>
      <c r="S2955" s="26">
        <v>3</v>
      </c>
      <c r="T2955" s="26">
        <v>6</v>
      </c>
      <c r="U2955" s="26">
        <v>10</v>
      </c>
      <c r="V2955" s="26">
        <v>1</v>
      </c>
      <c r="W2955" s="26"/>
    </row>
    <row r="2956" spans="1:23" x14ac:dyDescent="0.25">
      <c r="A2956" s="26" t="str">
        <f t="shared" si="588"/>
        <v>PREESCOLAR</v>
      </c>
      <c r="B2956" s="26" t="str">
        <f>"09PJN5662R"</f>
        <v>09PJN5662R</v>
      </c>
      <c r="C2956" s="26" t="str">
        <f>"INSTITUTO VALLE                                                                                     "</f>
        <v xml:space="preserve">INSTITUTO VALLE                                                                                     </v>
      </c>
      <c r="D2956" s="26" t="str">
        <f t="shared" si="584"/>
        <v>MATUTINO</v>
      </c>
      <c r="E2956" s="26" t="s">
        <v>122</v>
      </c>
      <c r="F2956" s="26" t="str">
        <f>"LEYES DE REFORMA                                                                                                                            "</f>
        <v xml:space="preserve">LEYES DE REFORMA                                                                                                                            </v>
      </c>
      <c r="G2956" s="26" t="str">
        <f>"IZTAPALAPA                                                                      "</f>
        <v xml:space="preserve">IZTAPALAPA                                                                      </v>
      </c>
      <c r="H2956" s="26" t="str">
        <f>"000"</f>
        <v>000</v>
      </c>
      <c r="I2956" s="26" t="str">
        <f t="shared" si="589"/>
        <v>00</v>
      </c>
      <c r="J2956" s="26" t="str">
        <f>"61 "</f>
        <v xml:space="preserve">61 </v>
      </c>
      <c r="K2956" s="26" t="str">
        <f>"IZ"</f>
        <v>IZ</v>
      </c>
      <c r="L2956" s="26" t="str">
        <f>"DGSEI"</f>
        <v>DGSEI</v>
      </c>
      <c r="M2956" s="26" t="str">
        <f t="shared" si="587"/>
        <v>PARTICULAR</v>
      </c>
      <c r="N2956" s="26">
        <v>37</v>
      </c>
      <c r="O2956" s="26">
        <v>13</v>
      </c>
      <c r="P2956" s="26">
        <v>24</v>
      </c>
      <c r="Q2956" s="26">
        <v>3</v>
      </c>
      <c r="R2956" s="26">
        <v>1</v>
      </c>
      <c r="S2956" s="26">
        <v>3</v>
      </c>
      <c r="T2956" s="26">
        <v>5</v>
      </c>
      <c r="U2956" s="26">
        <v>9</v>
      </c>
      <c r="V2956" s="26">
        <v>1</v>
      </c>
      <c r="W2956" s="26"/>
    </row>
    <row r="2957" spans="1:23" x14ac:dyDescent="0.25">
      <c r="A2957" s="26" t="str">
        <f t="shared" si="588"/>
        <v>PREESCOLAR</v>
      </c>
      <c r="B2957" s="26" t="str">
        <f>"09PJN5663Q"</f>
        <v>09PJN5663Q</v>
      </c>
      <c r="C2957" s="26" t="str">
        <f>"CHIQUILLADAS KINDER                                                                                 "</f>
        <v xml:space="preserve">CHIQUILLADAS KINDER                                                                                 </v>
      </c>
      <c r="D2957" s="26" t="str">
        <f t="shared" si="584"/>
        <v>MATUTINO</v>
      </c>
      <c r="E2957" s="26" t="str">
        <f>"AV. RIO CHURUBUSCO NO. 357-A                                                    "</f>
        <v xml:space="preserve">AV. RIO CHURUBUSCO NO. 357-A                                                    </v>
      </c>
      <c r="F2957" s="26" t="str">
        <f>"UNIDAD MODELO                                                                                                                               "</f>
        <v xml:space="preserve">UNIDAD MODELO                                                                                                                               </v>
      </c>
      <c r="G2957" s="26" t="str">
        <f>"IZTAPALAPA                                                                      "</f>
        <v xml:space="preserve">IZTAPALAPA                                                                      </v>
      </c>
      <c r="H2957" s="26" t="str">
        <f>"000"</f>
        <v>000</v>
      </c>
      <c r="I2957" s="26" t="str">
        <f t="shared" si="589"/>
        <v>00</v>
      </c>
      <c r="J2957" s="26" t="str">
        <f>"61 "</f>
        <v xml:space="preserve">61 </v>
      </c>
      <c r="K2957" s="26" t="str">
        <f>"IZ"</f>
        <v>IZ</v>
      </c>
      <c r="L2957" s="26" t="str">
        <f>"DGSEI"</f>
        <v>DGSEI</v>
      </c>
      <c r="M2957" s="26" t="str">
        <f t="shared" si="587"/>
        <v>PARTICULAR</v>
      </c>
      <c r="N2957" s="26">
        <v>35</v>
      </c>
      <c r="O2957" s="26">
        <v>17</v>
      </c>
      <c r="P2957" s="26">
        <v>18</v>
      </c>
      <c r="Q2957" s="26">
        <v>3</v>
      </c>
      <c r="R2957" s="26">
        <v>1</v>
      </c>
      <c r="S2957" s="26">
        <v>2</v>
      </c>
      <c r="T2957" s="26">
        <v>4</v>
      </c>
      <c r="U2957" s="26">
        <v>7</v>
      </c>
      <c r="V2957" s="26">
        <v>1</v>
      </c>
      <c r="W2957" s="26"/>
    </row>
    <row r="2958" spans="1:23" x14ac:dyDescent="0.25">
      <c r="A2958" s="26" t="str">
        <f t="shared" si="588"/>
        <v>PREESCOLAR</v>
      </c>
      <c r="B2958" s="26" t="str">
        <f>"09PJN5664P"</f>
        <v>09PJN5664P</v>
      </c>
      <c r="C2958" s="26" t="str">
        <f>"LICEO CULTURAL MEXICANO                                                                             "</f>
        <v xml:space="preserve">LICEO CULTURAL MEXICANO                                                                             </v>
      </c>
      <c r="D2958" s="26" t="str">
        <f t="shared" si="584"/>
        <v>MATUTINO</v>
      </c>
      <c r="E2958" s="26" t="str">
        <f>"DURANGO NO. 3 MZ. 53 LT. 17                                                     "</f>
        <v xml:space="preserve">DURANGO NO. 3 MZ. 53 LT. 17                                                     </v>
      </c>
      <c r="F2958" s="26" t="str">
        <f>"LOMAS SAN LORENZO                                                                                                                           "</f>
        <v xml:space="preserve">LOMAS SAN LORENZO                                                                                                                           </v>
      </c>
      <c r="G2958" s="26" t="str">
        <f>"IZTAPALAPA                                                                      "</f>
        <v xml:space="preserve">IZTAPALAPA                                                                      </v>
      </c>
      <c r="H2958" s="26" t="str">
        <f>"000"</f>
        <v>000</v>
      </c>
      <c r="I2958" s="26" t="str">
        <f t="shared" si="589"/>
        <v>00</v>
      </c>
      <c r="J2958" s="26" t="str">
        <f>"63 "</f>
        <v xml:space="preserve">63 </v>
      </c>
      <c r="K2958" s="26" t="str">
        <f>"IZ"</f>
        <v>IZ</v>
      </c>
      <c r="L2958" s="26" t="str">
        <f>"DGSEI"</f>
        <v>DGSEI</v>
      </c>
      <c r="M2958" s="26" t="str">
        <f t="shared" si="587"/>
        <v>PARTICULAR</v>
      </c>
      <c r="N2958" s="26">
        <v>10</v>
      </c>
      <c r="O2958" s="26">
        <v>4</v>
      </c>
      <c r="P2958" s="26">
        <v>6</v>
      </c>
      <c r="Q2958" s="26">
        <v>2</v>
      </c>
      <c r="R2958" s="26">
        <v>1</v>
      </c>
      <c r="S2958" s="26">
        <v>2</v>
      </c>
      <c r="T2958" s="26">
        <v>0</v>
      </c>
      <c r="U2958" s="26">
        <v>3</v>
      </c>
      <c r="V2958" s="26">
        <v>1</v>
      </c>
      <c r="W2958" s="26"/>
    </row>
    <row r="2959" spans="1:23" x14ac:dyDescent="0.25">
      <c r="A2959" s="26" t="str">
        <f t="shared" si="588"/>
        <v>PREESCOLAR</v>
      </c>
      <c r="B2959" s="26" t="str">
        <f>"09PJN5665O"</f>
        <v>09PJN5665O</v>
      </c>
      <c r="C2959" s="26" t="str">
        <f>"COLEGIO LUXEMBURGO DE MEXICO                                                                        "</f>
        <v xml:space="preserve">COLEGIO LUXEMBURGO DE MEXICO                                                                        </v>
      </c>
      <c r="D2959" s="26" t="str">
        <f t="shared" si="584"/>
        <v>MATUTINO</v>
      </c>
      <c r="E2959" s="26" t="str">
        <f>"CASCADA NO. 788                                                                 "</f>
        <v xml:space="preserve">CASCADA NO. 788                                                                 </v>
      </c>
      <c r="F2959" s="26" t="str">
        <f>"BANJIDAL                                                                                                                                    "</f>
        <v xml:space="preserve">BANJIDAL                                                                                                                                    </v>
      </c>
      <c r="G2959" s="26" t="str">
        <f>"IZTAPALAPA                                                                      "</f>
        <v xml:space="preserve">IZTAPALAPA                                                                      </v>
      </c>
      <c r="H2959" s="26" t="str">
        <f>"000"</f>
        <v>000</v>
      </c>
      <c r="I2959" s="26" t="str">
        <f t="shared" si="589"/>
        <v>00</v>
      </c>
      <c r="J2959" s="26" t="str">
        <f>"61 "</f>
        <v xml:space="preserve">61 </v>
      </c>
      <c r="K2959" s="26" t="str">
        <f>"IZ"</f>
        <v>IZ</v>
      </c>
      <c r="L2959" s="26" t="str">
        <f>"DGSEI"</f>
        <v>DGSEI</v>
      </c>
      <c r="M2959" s="26" t="str">
        <f t="shared" si="587"/>
        <v>PARTICULAR</v>
      </c>
      <c r="N2959" s="26">
        <v>39</v>
      </c>
      <c r="O2959" s="26">
        <v>18</v>
      </c>
      <c r="P2959" s="26">
        <v>21</v>
      </c>
      <c r="Q2959" s="26">
        <v>3</v>
      </c>
      <c r="R2959" s="26">
        <v>1</v>
      </c>
      <c r="S2959" s="26">
        <v>2</v>
      </c>
      <c r="T2959" s="26">
        <v>6</v>
      </c>
      <c r="U2959" s="26">
        <v>9</v>
      </c>
      <c r="V2959" s="26">
        <v>1</v>
      </c>
      <c r="W2959" s="26"/>
    </row>
    <row r="2960" spans="1:23" x14ac:dyDescent="0.25">
      <c r="A2960" s="26" t="str">
        <f t="shared" si="588"/>
        <v>PREESCOLAR</v>
      </c>
      <c r="B2960" s="26" t="str">
        <f>"09PJN5666N"</f>
        <v>09PJN5666N</v>
      </c>
      <c r="C2960" s="26" t="str">
        <f>"JARDIN DE NIÑOS INSTITUTO MALHER                                                                    "</f>
        <v xml:space="preserve">JARDIN DE NIÑOS INSTITUTO MALHER                                                                    </v>
      </c>
      <c r="D2960" s="26" t="str">
        <f t="shared" si="584"/>
        <v>MATUTINO</v>
      </c>
      <c r="E2960" s="26" t="str">
        <f>"AV. OJO DE AGUA NO. 90                                                          "</f>
        <v xml:space="preserve">AV. OJO DE AGUA NO. 90                                                          </v>
      </c>
      <c r="F2960" s="26" t="str">
        <f>"HUAYATLA                                                                                                                                    "</f>
        <v xml:space="preserve">HUAYATLA                                                                                                                                    </v>
      </c>
      <c r="G2960" s="26" t="str">
        <f>"LA MAGDALENA CONTRERAS                                                          "</f>
        <v xml:space="preserve">LA MAGDALENA CONTRERAS                                                          </v>
      </c>
      <c r="H2960" s="26" t="str">
        <f>"112"</f>
        <v>112</v>
      </c>
      <c r="I2960" s="26" t="str">
        <f t="shared" si="589"/>
        <v>00</v>
      </c>
      <c r="J2960" s="26" t="str">
        <f>"35 "</f>
        <v xml:space="preserve">35 </v>
      </c>
      <c r="K2960" s="26" t="str">
        <f t="shared" ref="K2960:K2995" si="590">"EP"</f>
        <v>EP</v>
      </c>
      <c r="L2960" s="26" t="str">
        <f t="shared" ref="L2960:L2995" si="591">"DGOSE"</f>
        <v>DGOSE</v>
      </c>
      <c r="M2960" s="26" t="str">
        <f t="shared" si="587"/>
        <v>PARTICULAR</v>
      </c>
      <c r="N2960" s="26">
        <v>63</v>
      </c>
      <c r="O2960" s="26">
        <v>35</v>
      </c>
      <c r="P2960" s="26">
        <v>28</v>
      </c>
      <c r="Q2960" s="26">
        <v>3</v>
      </c>
      <c r="R2960" s="26">
        <v>1</v>
      </c>
      <c r="S2960" s="26">
        <v>3</v>
      </c>
      <c r="T2960" s="26">
        <v>5</v>
      </c>
      <c r="U2960" s="26">
        <v>9</v>
      </c>
      <c r="V2960" s="26">
        <v>1</v>
      </c>
      <c r="W2960" s="26"/>
    </row>
    <row r="2961" spans="1:23" x14ac:dyDescent="0.25">
      <c r="A2961" s="26" t="str">
        <f t="shared" si="588"/>
        <v>PREESCOLAR</v>
      </c>
      <c r="B2961" s="26" t="str">
        <f>"09PJN5667M"</f>
        <v>09PJN5667M</v>
      </c>
      <c r="C2961" s="26" t="str">
        <f>"JARDÍN DE NIÑOS ANA MARIA GOMEZ CAMPOS                                                              "</f>
        <v xml:space="preserve">JARDÍN DE NIÑOS ANA MARIA GOMEZ CAMPOS                                                              </v>
      </c>
      <c r="D2961" s="26" t="str">
        <f t="shared" si="584"/>
        <v>MATUTINO</v>
      </c>
      <c r="E2961" s="26" t="str">
        <f>"GRAL. FELIPE ANGELES NO. 12                                                     "</f>
        <v xml:space="preserve">GRAL. FELIPE ANGELES NO. 12                                                     </v>
      </c>
      <c r="F2961" s="26" t="str">
        <f>"BELLA VISTA                                                                                                                                 "</f>
        <v xml:space="preserve">BELLA VISTA                                                                                                                                 </v>
      </c>
      <c r="G2961" s="26" t="str">
        <f>"ALVARO OBREGON                                                                  "</f>
        <v xml:space="preserve">ALVARO OBREGON                                                                  </v>
      </c>
      <c r="H2961" s="26" t="str">
        <f>"165"</f>
        <v>165</v>
      </c>
      <c r="I2961" s="26" t="str">
        <f t="shared" si="589"/>
        <v>00</v>
      </c>
      <c r="J2961" s="26" t="str">
        <f>"33 "</f>
        <v xml:space="preserve">33 </v>
      </c>
      <c r="K2961" s="26" t="str">
        <f t="shared" si="590"/>
        <v>EP</v>
      </c>
      <c r="L2961" s="26" t="str">
        <f t="shared" si="591"/>
        <v>DGOSE</v>
      </c>
      <c r="M2961" s="26" t="str">
        <f t="shared" si="587"/>
        <v>PARTICULAR</v>
      </c>
      <c r="N2961" s="26">
        <v>59</v>
      </c>
      <c r="O2961" s="26">
        <v>22</v>
      </c>
      <c r="P2961" s="26">
        <v>37</v>
      </c>
      <c r="Q2961" s="26">
        <v>3</v>
      </c>
      <c r="R2961" s="26">
        <v>1</v>
      </c>
      <c r="S2961" s="26">
        <v>3</v>
      </c>
      <c r="T2961" s="26">
        <v>5</v>
      </c>
      <c r="U2961" s="26">
        <v>9</v>
      </c>
      <c r="V2961" s="26">
        <v>1</v>
      </c>
      <c r="W2961" s="26"/>
    </row>
    <row r="2962" spans="1:23" x14ac:dyDescent="0.25">
      <c r="A2962" s="26" t="str">
        <f t="shared" si="588"/>
        <v>PREESCOLAR</v>
      </c>
      <c r="B2962" s="26" t="str">
        <f>"09PJN5668L"</f>
        <v>09PJN5668L</v>
      </c>
      <c r="C2962" s="26" t="str">
        <f>"TERRANOVA                                                                                           "</f>
        <v xml:space="preserve">TERRANOVA                                                                                           </v>
      </c>
      <c r="D2962" s="26" t="str">
        <f t="shared" si="584"/>
        <v>MATUTINO</v>
      </c>
      <c r="E2962" s="26" t="str">
        <f>"RUBEN DARIO NO. 54                                                              "</f>
        <v xml:space="preserve">RUBEN DARIO NO. 54                                                              </v>
      </c>
      <c r="F2962" s="26" t="str">
        <f>"MODERNA                                                                                                                                     "</f>
        <v xml:space="preserve">MODERNA                                                                                                                                     </v>
      </c>
      <c r="G2962" s="26" t="str">
        <f>"BENITO JUAREZ                                                                   "</f>
        <v xml:space="preserve">BENITO JUAREZ                                                                   </v>
      </c>
      <c r="H2962" s="26" t="str">
        <f>"230"</f>
        <v>230</v>
      </c>
      <c r="I2962" s="26" t="str">
        <f t="shared" si="589"/>
        <v>00</v>
      </c>
      <c r="J2962" s="26" t="str">
        <f>"33 "</f>
        <v xml:space="preserve">33 </v>
      </c>
      <c r="K2962" s="26" t="str">
        <f t="shared" si="590"/>
        <v>EP</v>
      </c>
      <c r="L2962" s="26" t="str">
        <f t="shared" si="591"/>
        <v>DGOSE</v>
      </c>
      <c r="M2962" s="26" t="str">
        <f t="shared" si="587"/>
        <v>PARTICULAR</v>
      </c>
      <c r="N2962" s="26">
        <v>19</v>
      </c>
      <c r="O2962" s="26">
        <v>11</v>
      </c>
      <c r="P2962" s="26">
        <v>8</v>
      </c>
      <c r="Q2962" s="26">
        <v>3</v>
      </c>
      <c r="R2962" s="26">
        <v>1</v>
      </c>
      <c r="S2962" s="26">
        <v>3</v>
      </c>
      <c r="T2962" s="26">
        <v>5</v>
      </c>
      <c r="U2962" s="26">
        <v>9</v>
      </c>
      <c r="V2962" s="26">
        <v>1</v>
      </c>
      <c r="W2962" s="26"/>
    </row>
    <row r="2963" spans="1:23" x14ac:dyDescent="0.25">
      <c r="A2963" s="26" t="str">
        <f t="shared" si="588"/>
        <v>PREESCOLAR</v>
      </c>
      <c r="B2963" s="26" t="str">
        <f>"09PJN5669K"</f>
        <v>09PJN5669K</v>
      </c>
      <c r="C2963" s="26" t="str">
        <f>"BABYTEC                                                                                             "</f>
        <v xml:space="preserve">BABYTEC                                                                                             </v>
      </c>
      <c r="D2963" s="26" t="str">
        <f t="shared" si="584"/>
        <v>MATUTINO</v>
      </c>
      <c r="E2963" s="26" t="str">
        <f>"5 DE MAYO NO. 68-B                                                              "</f>
        <v xml:space="preserve">5 DE MAYO NO. 68-B                                                              </v>
      </c>
      <c r="F2963" s="26" t="str">
        <f>"SAN ANDRES TOTOLTEPEC                                                                                                                       "</f>
        <v xml:space="preserve">SAN ANDRES TOTOLTEPEC                                                                                                                       </v>
      </c>
      <c r="G2963" s="26" t="str">
        <f>"TLALPAN                                                                         "</f>
        <v xml:space="preserve">TLALPAN                                                                         </v>
      </c>
      <c r="H2963" s="26" t="str">
        <f>"226"</f>
        <v>226</v>
      </c>
      <c r="I2963" s="26" t="str">
        <f t="shared" si="589"/>
        <v>00</v>
      </c>
      <c r="J2963" s="26" t="str">
        <f t="shared" ref="J2963:J2971" si="592">"35 "</f>
        <v xml:space="preserve">35 </v>
      </c>
      <c r="K2963" s="26" t="str">
        <f t="shared" si="590"/>
        <v>EP</v>
      </c>
      <c r="L2963" s="26" t="str">
        <f t="shared" si="591"/>
        <v>DGOSE</v>
      </c>
      <c r="M2963" s="26" t="str">
        <f t="shared" si="587"/>
        <v>PARTICULAR</v>
      </c>
      <c r="N2963" s="26">
        <v>54</v>
      </c>
      <c r="O2963" s="26">
        <v>27</v>
      </c>
      <c r="P2963" s="26">
        <v>27</v>
      </c>
      <c r="Q2963" s="26">
        <v>5</v>
      </c>
      <c r="R2963" s="26">
        <v>1</v>
      </c>
      <c r="S2963" s="26">
        <v>4</v>
      </c>
      <c r="T2963" s="26">
        <v>7</v>
      </c>
      <c r="U2963" s="26">
        <v>12</v>
      </c>
      <c r="V2963" s="26">
        <v>1</v>
      </c>
      <c r="W2963" s="26"/>
    </row>
    <row r="2964" spans="1:23" x14ac:dyDescent="0.25">
      <c r="A2964" s="26" t="str">
        <f t="shared" si="588"/>
        <v>PREESCOLAR</v>
      </c>
      <c r="B2964" s="26" t="str">
        <f>"09PJN5670Z"</f>
        <v>09PJN5670Z</v>
      </c>
      <c r="C2964" s="26" t="str">
        <f>"CENTRO PEDAGÓGICO NUEVO AMANECER                                                                    "</f>
        <v xml:space="preserve">CENTRO PEDAGÓGICO NUEVO AMANECER                                                                    </v>
      </c>
      <c r="D2964" s="26" t="str">
        <f t="shared" si="584"/>
        <v>MATUTINO</v>
      </c>
      <c r="E2964" s="26" t="str">
        <f>"AND.11 DE DOLORES GRO.S/N MZA.N LT.164-A                                        "</f>
        <v xml:space="preserve">AND.11 DE DOLORES GRO.S/N MZA.N LT.164-A                                        </v>
      </c>
      <c r="F2964" s="26" t="str">
        <f>"UNIDAD HABITACIONAL CTM OCHO                                                                                                                "</f>
        <v xml:space="preserve">UNIDAD HABITACIONAL CTM OCHO                                                                                                                </v>
      </c>
      <c r="G2964" s="26" t="str">
        <f>"COYOACAN                                                                        "</f>
        <v xml:space="preserve">COYOACAN                                                                        </v>
      </c>
      <c r="H2964" s="26" t="str">
        <f>"125"</f>
        <v>125</v>
      </c>
      <c r="I2964" s="26" t="str">
        <f t="shared" si="589"/>
        <v>00</v>
      </c>
      <c r="J2964" s="26" t="str">
        <f t="shared" si="592"/>
        <v xml:space="preserve">35 </v>
      </c>
      <c r="K2964" s="26" t="str">
        <f t="shared" si="590"/>
        <v>EP</v>
      </c>
      <c r="L2964" s="26" t="str">
        <f t="shared" si="591"/>
        <v>DGOSE</v>
      </c>
      <c r="M2964" s="26" t="str">
        <f t="shared" si="587"/>
        <v>PARTICULAR</v>
      </c>
      <c r="N2964" s="26">
        <v>23</v>
      </c>
      <c r="O2964" s="26">
        <v>14</v>
      </c>
      <c r="P2964" s="26">
        <v>9</v>
      </c>
      <c r="Q2964" s="26">
        <v>3</v>
      </c>
      <c r="R2964" s="26">
        <v>1</v>
      </c>
      <c r="S2964" s="26">
        <v>3</v>
      </c>
      <c r="T2964" s="26">
        <v>0</v>
      </c>
      <c r="U2964" s="26">
        <v>4</v>
      </c>
      <c r="V2964" s="26">
        <v>1</v>
      </c>
      <c r="W2964" s="26"/>
    </row>
    <row r="2965" spans="1:23" x14ac:dyDescent="0.25">
      <c r="A2965" s="26" t="str">
        <f t="shared" si="588"/>
        <v>PREESCOLAR</v>
      </c>
      <c r="B2965" s="26" t="str">
        <f>"09PJN5672Y"</f>
        <v>09PJN5672Y</v>
      </c>
      <c r="C2965" s="26" t="str">
        <f>"JARDIN DE NIÑOS VALLE ESCONDIDO                                                                     "</f>
        <v xml:space="preserve">JARDIN DE NIÑOS VALLE ESCONDIDO                                                                     </v>
      </c>
      <c r="D2965" s="26" t="str">
        <f t="shared" si="584"/>
        <v>MATUTINO</v>
      </c>
      <c r="E2965" s="26" t="str">
        <f>"JOYA NO. 20                                                                     "</f>
        <v xml:space="preserve">JOYA NO. 20                                                                     </v>
      </c>
      <c r="F2965" s="26" t="str">
        <f>"VALLE ESCONDIDO                                                                                                                             "</f>
        <v xml:space="preserve">VALLE ESCONDIDO                                                                                                                             </v>
      </c>
      <c r="G2965" s="26" t="str">
        <f>"TLALPAN                                                                         "</f>
        <v xml:space="preserve">TLALPAN                                                                         </v>
      </c>
      <c r="H2965" s="26" t="str">
        <f>"220"</f>
        <v>220</v>
      </c>
      <c r="I2965" s="26" t="str">
        <f t="shared" si="589"/>
        <v>00</v>
      </c>
      <c r="J2965" s="26" t="str">
        <f t="shared" si="592"/>
        <v xml:space="preserve">35 </v>
      </c>
      <c r="K2965" s="26" t="str">
        <f t="shared" si="590"/>
        <v>EP</v>
      </c>
      <c r="L2965" s="26" t="str">
        <f t="shared" si="591"/>
        <v>DGOSE</v>
      </c>
      <c r="M2965" s="26" t="str">
        <f t="shared" si="587"/>
        <v>PARTICULAR</v>
      </c>
      <c r="N2965" s="26">
        <v>5</v>
      </c>
      <c r="O2965" s="26">
        <v>3</v>
      </c>
      <c r="P2965" s="26">
        <v>2</v>
      </c>
      <c r="Q2965" s="26">
        <v>2</v>
      </c>
      <c r="R2965" s="26">
        <v>1</v>
      </c>
      <c r="S2965" s="26">
        <v>1</v>
      </c>
      <c r="T2965" s="26">
        <v>1</v>
      </c>
      <c r="U2965" s="26">
        <v>3</v>
      </c>
      <c r="V2965" s="26">
        <v>1</v>
      </c>
      <c r="W2965" s="26"/>
    </row>
    <row r="2966" spans="1:23" x14ac:dyDescent="0.25">
      <c r="A2966" s="26" t="str">
        <f t="shared" si="588"/>
        <v>PREESCOLAR</v>
      </c>
      <c r="B2966" s="26" t="str">
        <f>"09PJN5673X"</f>
        <v>09PJN5673X</v>
      </c>
      <c r="C2966" s="26" t="str">
        <f>"CENTRO PEDAGOGICO ANAHUAC                                                                           "</f>
        <v xml:space="preserve">CENTRO PEDAGOGICO ANAHUAC                                                                           </v>
      </c>
      <c r="D2966" s="26" t="str">
        <f t="shared" si="584"/>
        <v>MATUTINO</v>
      </c>
      <c r="E2966" s="26" t="s">
        <v>123</v>
      </c>
      <c r="F2966" s="26" t="str">
        <f>"PEDREGAL DE SANTO DOMINGO                                                                                                                   "</f>
        <v xml:space="preserve">PEDREGAL DE SANTO DOMINGO                                                                                                                   </v>
      </c>
      <c r="G2966" s="26" t="str">
        <f>"COYOACAN                                                                        "</f>
        <v xml:space="preserve">COYOACAN                                                                        </v>
      </c>
      <c r="H2966" s="26" t="str">
        <f>"077"</f>
        <v>077</v>
      </c>
      <c r="I2966" s="26" t="str">
        <f t="shared" si="589"/>
        <v>00</v>
      </c>
      <c r="J2966" s="26" t="str">
        <f t="shared" si="592"/>
        <v xml:space="preserve">35 </v>
      </c>
      <c r="K2966" s="26" t="str">
        <f t="shared" si="590"/>
        <v>EP</v>
      </c>
      <c r="L2966" s="26" t="str">
        <f t="shared" si="591"/>
        <v>DGOSE</v>
      </c>
      <c r="M2966" s="26" t="str">
        <f t="shared" si="587"/>
        <v>PARTICULAR</v>
      </c>
      <c r="N2966" s="26">
        <v>20</v>
      </c>
      <c r="O2966" s="26">
        <v>8</v>
      </c>
      <c r="P2966" s="26">
        <v>12</v>
      </c>
      <c r="Q2966" s="26">
        <v>3</v>
      </c>
      <c r="R2966" s="26">
        <v>1</v>
      </c>
      <c r="S2966" s="26">
        <v>2</v>
      </c>
      <c r="T2966" s="26">
        <v>7</v>
      </c>
      <c r="U2966" s="26">
        <v>10</v>
      </c>
      <c r="V2966" s="26">
        <v>1</v>
      </c>
      <c r="W2966" s="26"/>
    </row>
    <row r="2967" spans="1:23" x14ac:dyDescent="0.25">
      <c r="A2967" s="26" t="str">
        <f t="shared" si="588"/>
        <v>PREESCOLAR</v>
      </c>
      <c r="B2967" s="26" t="str">
        <f>"09PJN5674W"</f>
        <v>09PJN5674W</v>
      </c>
      <c r="C2967" s="26" t="str">
        <f>"ESCUELA WALDORF DE LA CIUDAD DE MÉXICO                                                              "</f>
        <v xml:space="preserve">ESCUELA WALDORF DE LA CIUDAD DE MÉXICO                                                              </v>
      </c>
      <c r="D2967" s="26" t="str">
        <f t="shared" si="584"/>
        <v>MATUTINO</v>
      </c>
      <c r="E2967" s="26" t="str">
        <f>"CIRUELOS NO. 4                                                                  "</f>
        <v xml:space="preserve">CIRUELOS NO. 4                                                                  </v>
      </c>
      <c r="F2967" s="26" t="str">
        <f>"LOS CIPRESES                                                                                                                                "</f>
        <v xml:space="preserve">LOS CIPRESES                                                                                                                                </v>
      </c>
      <c r="G2967" s="26" t="str">
        <f>"COYOACAN                                                                        "</f>
        <v xml:space="preserve">COYOACAN                                                                        </v>
      </c>
      <c r="H2967" s="26" t="str">
        <f>"239"</f>
        <v>239</v>
      </c>
      <c r="I2967" s="26" t="str">
        <f t="shared" si="589"/>
        <v>00</v>
      </c>
      <c r="J2967" s="26" t="str">
        <f t="shared" si="592"/>
        <v xml:space="preserve">35 </v>
      </c>
      <c r="K2967" s="26" t="str">
        <f t="shared" si="590"/>
        <v>EP</v>
      </c>
      <c r="L2967" s="26" t="str">
        <f t="shared" si="591"/>
        <v>DGOSE</v>
      </c>
      <c r="M2967" s="26" t="str">
        <f t="shared" si="587"/>
        <v>PARTICULAR</v>
      </c>
      <c r="N2967" s="26">
        <v>26</v>
      </c>
      <c r="O2967" s="26">
        <v>12</v>
      </c>
      <c r="P2967" s="26">
        <v>14</v>
      </c>
      <c r="Q2967" s="26">
        <v>3</v>
      </c>
      <c r="R2967" s="26">
        <v>1</v>
      </c>
      <c r="S2967" s="26">
        <v>3</v>
      </c>
      <c r="T2967" s="26">
        <v>4</v>
      </c>
      <c r="U2967" s="26">
        <v>8</v>
      </c>
      <c r="V2967" s="26">
        <v>1</v>
      </c>
      <c r="W2967" s="26"/>
    </row>
    <row r="2968" spans="1:23" x14ac:dyDescent="0.25">
      <c r="A2968" s="26" t="str">
        <f t="shared" si="588"/>
        <v>PREESCOLAR</v>
      </c>
      <c r="B2968" s="26" t="str">
        <f>"09PJN5675V"</f>
        <v>09PJN5675V</v>
      </c>
      <c r="C2968" s="26" t="str">
        <f>"COLEGIO LOS ANGELES                                                                                 "</f>
        <v xml:space="preserve">COLEGIO LOS ANGELES                                                                                 </v>
      </c>
      <c r="D2968" s="26" t="str">
        <f t="shared" si="584"/>
        <v>MATUTINO</v>
      </c>
      <c r="E2968" s="26" t="str">
        <f>"CARRETERA FED.A CUERNAVACA KM.25 NO.7000                                        "</f>
        <v xml:space="preserve">CARRETERA FED.A CUERNAVACA KM.25 NO.7000                                        </v>
      </c>
      <c r="F2968" s="26" t="str">
        <f>"SAN MIGUEL XICALCO                                                                                                                          "</f>
        <v xml:space="preserve">SAN MIGUEL XICALCO                                                                                                                          </v>
      </c>
      <c r="G2968" s="26" t="str">
        <f>"TLALPAN                                                                         "</f>
        <v xml:space="preserve">TLALPAN                                                                         </v>
      </c>
      <c r="H2968" s="26" t="str">
        <f>"076"</f>
        <v>076</v>
      </c>
      <c r="I2968" s="26" t="str">
        <f t="shared" si="589"/>
        <v>00</v>
      </c>
      <c r="J2968" s="26" t="str">
        <f t="shared" si="592"/>
        <v xml:space="preserve">35 </v>
      </c>
      <c r="K2968" s="26" t="str">
        <f t="shared" si="590"/>
        <v>EP</v>
      </c>
      <c r="L2968" s="26" t="str">
        <f t="shared" si="591"/>
        <v>DGOSE</v>
      </c>
      <c r="M2968" s="26" t="str">
        <f t="shared" si="587"/>
        <v>PARTICULAR</v>
      </c>
      <c r="N2968" s="26">
        <v>21</v>
      </c>
      <c r="O2968" s="26">
        <v>9</v>
      </c>
      <c r="P2968" s="26">
        <v>12</v>
      </c>
      <c r="Q2968" s="26">
        <v>3</v>
      </c>
      <c r="R2968" s="26">
        <v>1</v>
      </c>
      <c r="S2968" s="26">
        <v>2</v>
      </c>
      <c r="T2968" s="26">
        <v>3</v>
      </c>
      <c r="U2968" s="26">
        <v>6</v>
      </c>
      <c r="V2968" s="26">
        <v>1</v>
      </c>
      <c r="W2968" s="26"/>
    </row>
    <row r="2969" spans="1:23" x14ac:dyDescent="0.25">
      <c r="A2969" s="26" t="str">
        <f t="shared" si="588"/>
        <v>PREESCOLAR</v>
      </c>
      <c r="B2969" s="26" t="str">
        <f>"09PJN5676U"</f>
        <v>09PJN5676U</v>
      </c>
      <c r="C2969" s="26" t="str">
        <f>"CENTRO EDUCATIVO QUIRALU                                                                            "</f>
        <v xml:space="preserve">CENTRO EDUCATIVO QUIRALU                                                                            </v>
      </c>
      <c r="D2969" s="26" t="str">
        <f t="shared" si="584"/>
        <v>MATUTINO</v>
      </c>
      <c r="E2969" s="26" t="str">
        <f>"PIMAS NO. 122                                                                   "</f>
        <v xml:space="preserve">PIMAS NO. 122                                                                   </v>
      </c>
      <c r="F2969" s="26" t="str">
        <f>"PEDREGAL LAS AGUILAS                                                                                                                        "</f>
        <v xml:space="preserve">PEDREGAL LAS AGUILAS                                                                                                                        </v>
      </c>
      <c r="G2969" s="26" t="str">
        <f>"TLALPAN                                                                         "</f>
        <v xml:space="preserve">TLALPAN                                                                         </v>
      </c>
      <c r="H2969" s="26" t="str">
        <f>"076"</f>
        <v>076</v>
      </c>
      <c r="I2969" s="26" t="str">
        <f t="shared" si="589"/>
        <v>00</v>
      </c>
      <c r="J2969" s="26" t="str">
        <f t="shared" si="592"/>
        <v xml:space="preserve">35 </v>
      </c>
      <c r="K2969" s="26" t="str">
        <f t="shared" si="590"/>
        <v>EP</v>
      </c>
      <c r="L2969" s="26" t="str">
        <f t="shared" si="591"/>
        <v>DGOSE</v>
      </c>
      <c r="M2969" s="26" t="str">
        <f t="shared" si="587"/>
        <v>PARTICULAR</v>
      </c>
      <c r="N2969" s="26">
        <v>18</v>
      </c>
      <c r="O2969" s="26">
        <v>13</v>
      </c>
      <c r="P2969" s="26">
        <v>5</v>
      </c>
      <c r="Q2969" s="26">
        <v>3</v>
      </c>
      <c r="R2969" s="26">
        <v>1</v>
      </c>
      <c r="S2969" s="26">
        <v>2</v>
      </c>
      <c r="T2969" s="26">
        <v>4</v>
      </c>
      <c r="U2969" s="26">
        <v>7</v>
      </c>
      <c r="V2969" s="26">
        <v>1</v>
      </c>
      <c r="W2969" s="26"/>
    </row>
    <row r="2970" spans="1:23" x14ac:dyDescent="0.25">
      <c r="A2970" s="26" t="str">
        <f t="shared" si="588"/>
        <v>PREESCOLAR</v>
      </c>
      <c r="B2970" s="26" t="str">
        <f>"09PJN5677T"</f>
        <v>09PJN5677T</v>
      </c>
      <c r="C2970" s="26" t="str">
        <f>"CENTRO EDUCATIVO FERNANDO SAVATER                                                                   "</f>
        <v xml:space="preserve">CENTRO EDUCATIVO FERNANDO SAVATER                                                                   </v>
      </c>
      <c r="D2970" s="26" t="str">
        <f t="shared" si="584"/>
        <v>MATUTINO</v>
      </c>
      <c r="E2970" s="26" t="str">
        <f>"CORREGIDORA NO.491                                                              "</f>
        <v xml:space="preserve">CORREGIDORA NO.491                                                              </v>
      </c>
      <c r="F2970" s="26" t="str">
        <f>"MIGUEL HIDALGO                                                                                                                              "</f>
        <v xml:space="preserve">MIGUEL HIDALGO                                                                                                                              </v>
      </c>
      <c r="G2970" s="26" t="str">
        <f>"TLALPAN                                                                         "</f>
        <v xml:space="preserve">TLALPAN                                                                         </v>
      </c>
      <c r="H2970" s="26" t="str">
        <f>"222"</f>
        <v>222</v>
      </c>
      <c r="I2970" s="26" t="str">
        <f t="shared" si="589"/>
        <v>00</v>
      </c>
      <c r="J2970" s="26" t="str">
        <f t="shared" si="592"/>
        <v xml:space="preserve">35 </v>
      </c>
      <c r="K2970" s="26" t="str">
        <f t="shared" si="590"/>
        <v>EP</v>
      </c>
      <c r="L2970" s="26" t="str">
        <f t="shared" si="591"/>
        <v>DGOSE</v>
      </c>
      <c r="M2970" s="26" t="str">
        <f t="shared" si="587"/>
        <v>PARTICULAR</v>
      </c>
      <c r="N2970" s="26">
        <v>42</v>
      </c>
      <c r="O2970" s="26">
        <v>22</v>
      </c>
      <c r="P2970" s="26">
        <v>20</v>
      </c>
      <c r="Q2970" s="26">
        <v>3</v>
      </c>
      <c r="R2970" s="26">
        <v>1</v>
      </c>
      <c r="S2970" s="26">
        <v>3</v>
      </c>
      <c r="T2970" s="26">
        <v>4</v>
      </c>
      <c r="U2970" s="26">
        <v>8</v>
      </c>
      <c r="V2970" s="26">
        <v>1</v>
      </c>
      <c r="W2970" s="26"/>
    </row>
    <row r="2971" spans="1:23" x14ac:dyDescent="0.25">
      <c r="A2971" s="26" t="str">
        <f t="shared" si="588"/>
        <v>PREESCOLAR</v>
      </c>
      <c r="B2971" s="26" t="str">
        <f>"09PJN5679R"</f>
        <v>09PJN5679R</v>
      </c>
      <c r="C2971" s="26" t="str">
        <f>"CENTRO EDUCATIVO TENOCHTITLAN                                                                       "</f>
        <v xml:space="preserve">CENTRO EDUCATIVO TENOCHTITLAN                                                                       </v>
      </c>
      <c r="D2971" s="26" t="str">
        <f t="shared" ref="D2971:D3034" si="593">"MATUTINO"</f>
        <v>MATUTINO</v>
      </c>
      <c r="E2971" s="26" t="str">
        <f>"TLOTZIN NO.3                                                                    "</f>
        <v xml:space="preserve">TLOTZIN NO.3                                                                    </v>
      </c>
      <c r="F2971" s="26" t="str">
        <f>"SAN PABLO TEPETLAPA EJIDO                                                                                                                   "</f>
        <v xml:space="preserve">SAN PABLO TEPETLAPA EJIDO                                                                                                                   </v>
      </c>
      <c r="G2971" s="26" t="str">
        <f>"COYOACAN                                                                        "</f>
        <v xml:space="preserve">COYOACAN                                                                        </v>
      </c>
      <c r="H2971" s="26" t="str">
        <f>"077"</f>
        <v>077</v>
      </c>
      <c r="I2971" s="26" t="str">
        <f t="shared" si="589"/>
        <v>00</v>
      </c>
      <c r="J2971" s="26" t="str">
        <f t="shared" si="592"/>
        <v xml:space="preserve">35 </v>
      </c>
      <c r="K2971" s="26" t="str">
        <f t="shared" si="590"/>
        <v>EP</v>
      </c>
      <c r="L2971" s="26" t="str">
        <f t="shared" si="591"/>
        <v>DGOSE</v>
      </c>
      <c r="M2971" s="26" t="str">
        <f t="shared" si="587"/>
        <v>PARTICULAR</v>
      </c>
      <c r="N2971" s="26">
        <v>28</v>
      </c>
      <c r="O2971" s="26">
        <v>15</v>
      </c>
      <c r="P2971" s="26">
        <v>13</v>
      </c>
      <c r="Q2971" s="26">
        <v>3</v>
      </c>
      <c r="R2971" s="26">
        <v>1</v>
      </c>
      <c r="S2971" s="26">
        <v>3</v>
      </c>
      <c r="T2971" s="26">
        <v>4</v>
      </c>
      <c r="U2971" s="26">
        <v>8</v>
      </c>
      <c r="V2971" s="26">
        <v>1</v>
      </c>
      <c r="W2971" s="26"/>
    </row>
    <row r="2972" spans="1:23" x14ac:dyDescent="0.25">
      <c r="A2972" s="26" t="str">
        <f t="shared" si="588"/>
        <v>PREESCOLAR</v>
      </c>
      <c r="B2972" s="26" t="str">
        <f>"09PJN5680G"</f>
        <v>09PJN5680G</v>
      </c>
      <c r="C2972" s="26" t="str">
        <f>"MONTESSORI AYOCUAN                                                                                  "</f>
        <v xml:space="preserve">MONTESSORI AYOCUAN                                                                                  </v>
      </c>
      <c r="D2972" s="26" t="str">
        <f t="shared" si="593"/>
        <v>MATUTINO</v>
      </c>
      <c r="E2972" s="26" t="str">
        <f>"CONCEPCION BEISTEGUI NO.1354                                                    "</f>
        <v xml:space="preserve">CONCEPCION BEISTEGUI NO.1354                                                    </v>
      </c>
      <c r="F2972" s="26" t="str">
        <f>"NARVARTE                                                                                                                                    "</f>
        <v xml:space="preserve">NARVARTE                                                                                                                                    </v>
      </c>
      <c r="G2972" s="26" t="str">
        <f>"BENITO JUAREZ                                                                   "</f>
        <v xml:space="preserve">BENITO JUAREZ                                                                   </v>
      </c>
      <c r="H2972" s="26" t="str">
        <f>"037"</f>
        <v>037</v>
      </c>
      <c r="I2972" s="26" t="str">
        <f t="shared" si="589"/>
        <v>00</v>
      </c>
      <c r="J2972" s="26" t="str">
        <f t="shared" ref="J2972:J2979" si="594">"33 "</f>
        <v xml:space="preserve">33 </v>
      </c>
      <c r="K2972" s="26" t="str">
        <f t="shared" si="590"/>
        <v>EP</v>
      </c>
      <c r="L2972" s="26" t="str">
        <f t="shared" si="591"/>
        <v>DGOSE</v>
      </c>
      <c r="M2972" s="26" t="str">
        <f t="shared" si="587"/>
        <v>PARTICULAR</v>
      </c>
      <c r="N2972" s="26">
        <v>33</v>
      </c>
      <c r="O2972" s="26">
        <v>20</v>
      </c>
      <c r="P2972" s="26">
        <v>13</v>
      </c>
      <c r="Q2972" s="26">
        <v>3</v>
      </c>
      <c r="R2972" s="26">
        <v>1</v>
      </c>
      <c r="S2972" s="26">
        <v>1</v>
      </c>
      <c r="T2972" s="26">
        <v>5</v>
      </c>
      <c r="U2972" s="26">
        <v>7</v>
      </c>
      <c r="V2972" s="26">
        <v>1</v>
      </c>
      <c r="W2972" s="26"/>
    </row>
    <row r="2973" spans="1:23" x14ac:dyDescent="0.25">
      <c r="A2973" s="26" t="str">
        <f t="shared" si="588"/>
        <v>PREESCOLAR</v>
      </c>
      <c r="B2973" s="26" t="str">
        <f>"09PJN5681F"</f>
        <v>09PJN5681F</v>
      </c>
      <c r="C2973" s="26" t="str">
        <f>"JARDIN DE NIÑOS ILIN MARSHAK                                                                        "</f>
        <v xml:space="preserve">JARDIN DE NIÑOS ILIN MARSHAK                                                                        </v>
      </c>
      <c r="D2973" s="26" t="str">
        <f t="shared" si="593"/>
        <v>MATUTINO</v>
      </c>
      <c r="E2973" s="26" t="str">
        <f>"JOSE REVUELTAS NO. 280                                                          "</f>
        <v xml:space="preserve">JOSE REVUELTAS NO. 280                                                          </v>
      </c>
      <c r="F2973" s="26" t="str">
        <f>"VILLA DE CORTES                                                                                                                             "</f>
        <v xml:space="preserve">VILLA DE CORTES                                                                                                                             </v>
      </c>
      <c r="G2973" s="26" t="str">
        <f>"BENITO JUAREZ                                                                   "</f>
        <v xml:space="preserve">BENITO JUAREZ                                                                   </v>
      </c>
      <c r="H2973" s="26" t="str">
        <f>"029"</f>
        <v>029</v>
      </c>
      <c r="I2973" s="26" t="str">
        <f t="shared" si="589"/>
        <v>00</v>
      </c>
      <c r="J2973" s="26" t="str">
        <f t="shared" si="594"/>
        <v xml:space="preserve">33 </v>
      </c>
      <c r="K2973" s="26" t="str">
        <f t="shared" si="590"/>
        <v>EP</v>
      </c>
      <c r="L2973" s="26" t="str">
        <f t="shared" si="591"/>
        <v>DGOSE</v>
      </c>
      <c r="M2973" s="26" t="str">
        <f t="shared" si="587"/>
        <v>PARTICULAR</v>
      </c>
      <c r="N2973" s="26">
        <v>12</v>
      </c>
      <c r="O2973" s="26">
        <v>5</v>
      </c>
      <c r="P2973" s="26">
        <v>7</v>
      </c>
      <c r="Q2973" s="26">
        <v>2</v>
      </c>
      <c r="R2973" s="26">
        <v>1</v>
      </c>
      <c r="S2973" s="26">
        <v>1</v>
      </c>
      <c r="T2973" s="26">
        <v>4</v>
      </c>
      <c r="U2973" s="26">
        <v>6</v>
      </c>
      <c r="V2973" s="26">
        <v>1</v>
      </c>
      <c r="W2973" s="26"/>
    </row>
    <row r="2974" spans="1:23" x14ac:dyDescent="0.25">
      <c r="A2974" s="26" t="str">
        <f t="shared" si="588"/>
        <v>PREESCOLAR</v>
      </c>
      <c r="B2974" s="26" t="str">
        <f>"09PJN5682E"</f>
        <v>09PJN5682E</v>
      </c>
      <c r="C2974" s="26" t="str">
        <f>"CENTRO MONTESSORI NEXHIE                                                                            "</f>
        <v xml:space="preserve">CENTRO MONTESSORI NEXHIE                                                                            </v>
      </c>
      <c r="D2974" s="26" t="str">
        <f t="shared" si="593"/>
        <v>MATUTINO</v>
      </c>
      <c r="E2974" s="26" t="str">
        <f>"ENRIQUE REBSAMEN NO. 327                                                        "</f>
        <v xml:space="preserve">ENRIQUE REBSAMEN NO. 327                                                        </v>
      </c>
      <c r="F2974" s="26" t="str">
        <f>"NARVARTE                                                                                                                                    "</f>
        <v xml:space="preserve">NARVARTE                                                                                                                                    </v>
      </c>
      <c r="G2974" s="26" t="str">
        <f>"BENITO JUAREZ                                                                   "</f>
        <v xml:space="preserve">BENITO JUAREZ                                                                   </v>
      </c>
      <c r="H2974" s="26" t="str">
        <f>"230"</f>
        <v>230</v>
      </c>
      <c r="I2974" s="26" t="str">
        <f t="shared" si="589"/>
        <v>00</v>
      </c>
      <c r="J2974" s="26" t="str">
        <f t="shared" si="594"/>
        <v xml:space="preserve">33 </v>
      </c>
      <c r="K2974" s="26" t="str">
        <f t="shared" si="590"/>
        <v>EP</v>
      </c>
      <c r="L2974" s="26" t="str">
        <f t="shared" si="591"/>
        <v>DGOSE</v>
      </c>
      <c r="M2974" s="26" t="str">
        <f t="shared" si="587"/>
        <v>PARTICULAR</v>
      </c>
      <c r="N2974" s="26">
        <v>45</v>
      </c>
      <c r="O2974" s="26">
        <v>24</v>
      </c>
      <c r="P2974" s="26">
        <v>21</v>
      </c>
      <c r="Q2974" s="26">
        <v>3</v>
      </c>
      <c r="R2974" s="26">
        <v>1</v>
      </c>
      <c r="S2974" s="26">
        <v>3</v>
      </c>
      <c r="T2974" s="26">
        <v>9</v>
      </c>
      <c r="U2974" s="26">
        <v>13</v>
      </c>
      <c r="V2974" s="26">
        <v>1</v>
      </c>
      <c r="W2974" s="26"/>
    </row>
    <row r="2975" spans="1:23" x14ac:dyDescent="0.25">
      <c r="A2975" s="26" t="str">
        <f t="shared" si="588"/>
        <v>PREESCOLAR</v>
      </c>
      <c r="B2975" s="26" t="str">
        <f>"09PJN5684C"</f>
        <v>09PJN5684C</v>
      </c>
      <c r="C2975" s="26" t="str">
        <f>"MI MUNDO FELIZ                                                                                      "</f>
        <v xml:space="preserve">MI MUNDO FELIZ                                                                                      </v>
      </c>
      <c r="D2975" s="26" t="str">
        <f t="shared" si="593"/>
        <v>MATUTINO</v>
      </c>
      <c r="E2975" s="26" t="str">
        <f>"DIAGUITAS NO. 2                                                                 "</f>
        <v xml:space="preserve">DIAGUITAS NO. 2                                                                 </v>
      </c>
      <c r="F2975" s="26" t="str">
        <f>"TLACUITLAPA I Y II REACOMODO                                                                                                                "</f>
        <v xml:space="preserve">TLACUITLAPA I Y II REACOMODO                                                                                                                </v>
      </c>
      <c r="G2975" s="26" t="str">
        <f>"ALVARO OBREGON                                                                  "</f>
        <v xml:space="preserve">ALVARO OBREGON                                                                  </v>
      </c>
      <c r="H2975" s="26" t="str">
        <f>"046"</f>
        <v>046</v>
      </c>
      <c r="I2975" s="26" t="str">
        <f t="shared" si="589"/>
        <v>00</v>
      </c>
      <c r="J2975" s="26" t="str">
        <f t="shared" si="594"/>
        <v xml:space="preserve">33 </v>
      </c>
      <c r="K2975" s="26" t="str">
        <f t="shared" si="590"/>
        <v>EP</v>
      </c>
      <c r="L2975" s="26" t="str">
        <f t="shared" si="591"/>
        <v>DGOSE</v>
      </c>
      <c r="M2975" s="26" t="str">
        <f t="shared" si="587"/>
        <v>PARTICULAR</v>
      </c>
      <c r="N2975" s="26">
        <v>30</v>
      </c>
      <c r="O2975" s="26">
        <v>16</v>
      </c>
      <c r="P2975" s="26">
        <v>14</v>
      </c>
      <c r="Q2975" s="26">
        <v>3</v>
      </c>
      <c r="R2975" s="26">
        <v>1</v>
      </c>
      <c r="S2975" s="26">
        <v>3</v>
      </c>
      <c r="T2975" s="26">
        <v>3</v>
      </c>
      <c r="U2975" s="26">
        <v>7</v>
      </c>
      <c r="V2975" s="26">
        <v>1</v>
      </c>
      <c r="W2975" s="26"/>
    </row>
    <row r="2976" spans="1:23" x14ac:dyDescent="0.25">
      <c r="A2976" s="26" t="str">
        <f t="shared" si="588"/>
        <v>PREESCOLAR</v>
      </c>
      <c r="B2976" s="26" t="str">
        <f>"09PJN5686A"</f>
        <v>09PJN5686A</v>
      </c>
      <c r="C2976" s="26" t="s">
        <v>124</v>
      </c>
      <c r="D2976" s="26" t="str">
        <f t="shared" si="593"/>
        <v>MATUTINO</v>
      </c>
      <c r="E2976" s="26" t="str">
        <f>"CALZADA DE LAS AGUILAS NO. 424                                                  "</f>
        <v xml:space="preserve">CALZADA DE LAS AGUILAS NO. 424                                                  </v>
      </c>
      <c r="F2976" s="26" t="str">
        <f>"LAS AGUILAS                                                                                                                                 "</f>
        <v xml:space="preserve">LAS AGUILAS                                                                                                                                 </v>
      </c>
      <c r="G2976" s="26" t="str">
        <f>"ALVARO OBREGON                                                                  "</f>
        <v xml:space="preserve">ALVARO OBREGON                                                                  </v>
      </c>
      <c r="H2976" s="26" t="str">
        <f>"215"</f>
        <v>215</v>
      </c>
      <c r="I2976" s="26" t="str">
        <f t="shared" si="589"/>
        <v>00</v>
      </c>
      <c r="J2976" s="26" t="str">
        <f t="shared" si="594"/>
        <v xml:space="preserve">33 </v>
      </c>
      <c r="K2976" s="26" t="str">
        <f t="shared" si="590"/>
        <v>EP</v>
      </c>
      <c r="L2976" s="26" t="str">
        <f t="shared" si="591"/>
        <v>DGOSE</v>
      </c>
      <c r="M2976" s="26" t="str">
        <f t="shared" si="587"/>
        <v>PARTICULAR</v>
      </c>
      <c r="N2976" s="26">
        <v>24</v>
      </c>
      <c r="O2976" s="26">
        <v>11</v>
      </c>
      <c r="P2976" s="26">
        <v>13</v>
      </c>
      <c r="Q2976" s="26">
        <v>3</v>
      </c>
      <c r="R2976" s="26">
        <v>1</v>
      </c>
      <c r="S2976" s="26">
        <v>2</v>
      </c>
      <c r="T2976" s="26">
        <v>4</v>
      </c>
      <c r="U2976" s="26">
        <v>7</v>
      </c>
      <c r="V2976" s="26">
        <v>1</v>
      </c>
      <c r="W2976" s="26"/>
    </row>
    <row r="2977" spans="1:23" x14ac:dyDescent="0.25">
      <c r="A2977" s="26" t="str">
        <f t="shared" si="588"/>
        <v>PREESCOLAR</v>
      </c>
      <c r="B2977" s="26" t="str">
        <f>"09PJN5687Z"</f>
        <v>09PJN5687Z</v>
      </c>
      <c r="C2977" s="26" t="str">
        <f>"DELFOS                                                                                              "</f>
        <v xml:space="preserve">DELFOS                                                                                              </v>
      </c>
      <c r="D2977" s="26" t="str">
        <f t="shared" si="593"/>
        <v>MATUTINO</v>
      </c>
      <c r="E2977" s="26" t="str">
        <f>"PUERTO MADERO MZA. 11 LT. 7                                                     "</f>
        <v xml:space="preserve">PUERTO MADERO MZA. 11 LT. 7                                                     </v>
      </c>
      <c r="F2977" s="26" t="str">
        <f>"PILOTO ADOLFO LOPEZ MATEOS                                                                                                                  "</f>
        <v xml:space="preserve">PILOTO ADOLFO LOPEZ MATEOS                                                                                                                  </v>
      </c>
      <c r="G2977" s="26" t="str">
        <f>"ALVARO OBREGON                                                                  "</f>
        <v xml:space="preserve">ALVARO OBREGON                                                                  </v>
      </c>
      <c r="H2977" s="26" t="str">
        <f>"122"</f>
        <v>122</v>
      </c>
      <c r="I2977" s="26" t="str">
        <f t="shared" si="589"/>
        <v>00</v>
      </c>
      <c r="J2977" s="26" t="str">
        <f t="shared" si="594"/>
        <v xml:space="preserve">33 </v>
      </c>
      <c r="K2977" s="26" t="str">
        <f t="shared" si="590"/>
        <v>EP</v>
      </c>
      <c r="L2977" s="26" t="str">
        <f t="shared" si="591"/>
        <v>DGOSE</v>
      </c>
      <c r="M2977" s="26" t="str">
        <f t="shared" si="587"/>
        <v>PARTICULAR</v>
      </c>
      <c r="N2977" s="26">
        <v>36</v>
      </c>
      <c r="O2977" s="26">
        <v>19</v>
      </c>
      <c r="P2977" s="26">
        <v>17</v>
      </c>
      <c r="Q2977" s="26">
        <v>3</v>
      </c>
      <c r="R2977" s="26">
        <v>1</v>
      </c>
      <c r="S2977" s="26">
        <v>2</v>
      </c>
      <c r="T2977" s="26">
        <v>2</v>
      </c>
      <c r="U2977" s="26">
        <v>5</v>
      </c>
      <c r="V2977" s="26">
        <v>1</v>
      </c>
      <c r="W2977" s="26"/>
    </row>
    <row r="2978" spans="1:23" x14ac:dyDescent="0.25">
      <c r="A2978" s="26" t="str">
        <f t="shared" si="588"/>
        <v>PREESCOLAR</v>
      </c>
      <c r="B2978" s="26" t="str">
        <f>"09PJN5688Z"</f>
        <v>09PJN5688Z</v>
      </c>
      <c r="C2978" s="26" t="str">
        <f>"CUICATL                                                                                             "</f>
        <v xml:space="preserve">CUICATL                                                                                             </v>
      </c>
      <c r="D2978" s="26" t="str">
        <f t="shared" si="593"/>
        <v>MATUTINO</v>
      </c>
      <c r="E2978" s="26" t="str">
        <f>"CLAVEL MZA. 1 LT. 6                                                             "</f>
        <v xml:space="preserve">CLAVEL MZA. 1 LT. 6                                                             </v>
      </c>
      <c r="F2978" s="26" t="str">
        <f>"EL RINCON                                                                                                                                   "</f>
        <v xml:space="preserve">EL RINCON                                                                                                                                   </v>
      </c>
      <c r="G2978" s="26" t="str">
        <f>"ALVARO OBREGON                                                                  "</f>
        <v xml:space="preserve">ALVARO OBREGON                                                                  </v>
      </c>
      <c r="H2978" s="26" t="str">
        <f>"046"</f>
        <v>046</v>
      </c>
      <c r="I2978" s="26" t="str">
        <f t="shared" si="589"/>
        <v>00</v>
      </c>
      <c r="J2978" s="26" t="str">
        <f t="shared" si="594"/>
        <v xml:space="preserve">33 </v>
      </c>
      <c r="K2978" s="26" t="str">
        <f t="shared" si="590"/>
        <v>EP</v>
      </c>
      <c r="L2978" s="26" t="str">
        <f t="shared" si="591"/>
        <v>DGOSE</v>
      </c>
      <c r="M2978" s="26" t="str">
        <f t="shared" si="587"/>
        <v>PARTICULAR</v>
      </c>
      <c r="N2978" s="26">
        <v>30</v>
      </c>
      <c r="O2978" s="26">
        <v>15</v>
      </c>
      <c r="P2978" s="26">
        <v>15</v>
      </c>
      <c r="Q2978" s="26">
        <v>3</v>
      </c>
      <c r="R2978" s="26">
        <v>1</v>
      </c>
      <c r="S2978" s="26">
        <v>3</v>
      </c>
      <c r="T2978" s="26">
        <v>2</v>
      </c>
      <c r="U2978" s="26">
        <v>6</v>
      </c>
      <c r="V2978" s="26">
        <v>1</v>
      </c>
      <c r="W2978" s="26"/>
    </row>
    <row r="2979" spans="1:23" x14ac:dyDescent="0.25">
      <c r="A2979" s="26" t="str">
        <f t="shared" si="588"/>
        <v>PREESCOLAR</v>
      </c>
      <c r="B2979" s="26" t="str">
        <f>"09PJN5690N"</f>
        <v>09PJN5690N</v>
      </c>
      <c r="C2979" s="26" t="str">
        <f>"KINDER KOKUMIN                                                                                      "</f>
        <v xml:space="preserve">KINDER KOKUMIN                                                                                      </v>
      </c>
      <c r="D2979" s="26" t="str">
        <f t="shared" si="593"/>
        <v>MATUTINO</v>
      </c>
      <c r="E2979" s="26" t="str">
        <f>"MANUEL M. PONCE NO. 95                                                          "</f>
        <v xml:space="preserve">MANUEL M. PONCE NO. 95                                                          </v>
      </c>
      <c r="F2979" s="26" t="str">
        <f>"GUADALUPE INN                                                                                                                               "</f>
        <v xml:space="preserve">GUADALUPE INN                                                                                                                               </v>
      </c>
      <c r="G2979" s="26" t="str">
        <f>"ALVARO OBREGON                                                                  "</f>
        <v xml:space="preserve">ALVARO OBREGON                                                                  </v>
      </c>
      <c r="H2979" s="26" t="str">
        <f>"087"</f>
        <v>087</v>
      </c>
      <c r="I2979" s="26" t="str">
        <f t="shared" si="589"/>
        <v>00</v>
      </c>
      <c r="J2979" s="26" t="str">
        <f t="shared" si="594"/>
        <v xml:space="preserve">33 </v>
      </c>
      <c r="K2979" s="26" t="str">
        <f t="shared" si="590"/>
        <v>EP</v>
      </c>
      <c r="L2979" s="26" t="str">
        <f t="shared" si="591"/>
        <v>DGOSE</v>
      </c>
      <c r="M2979" s="26" t="str">
        <f t="shared" si="587"/>
        <v>PARTICULAR</v>
      </c>
      <c r="N2979" s="26">
        <v>19</v>
      </c>
      <c r="O2979" s="26">
        <v>10</v>
      </c>
      <c r="P2979" s="26">
        <v>9</v>
      </c>
      <c r="Q2979" s="26">
        <v>3</v>
      </c>
      <c r="R2979" s="26">
        <v>1</v>
      </c>
      <c r="S2979" s="26">
        <v>2</v>
      </c>
      <c r="T2979" s="26">
        <v>5</v>
      </c>
      <c r="U2979" s="26">
        <v>8</v>
      </c>
      <c r="V2979" s="26">
        <v>1</v>
      </c>
      <c r="W2979" s="26"/>
    </row>
    <row r="2980" spans="1:23" x14ac:dyDescent="0.25">
      <c r="A2980" s="26" t="str">
        <f t="shared" si="588"/>
        <v>PREESCOLAR</v>
      </c>
      <c r="B2980" s="26" t="str">
        <f>"09PJN5691M"</f>
        <v>09PJN5691M</v>
      </c>
      <c r="C2980" s="26" t="str">
        <f>"COLEGIO GILDA WAISBURD                                                                              "</f>
        <v xml:space="preserve">COLEGIO GILDA WAISBURD                                                                              </v>
      </c>
      <c r="D2980" s="26" t="str">
        <f t="shared" si="593"/>
        <v>MATUTINO</v>
      </c>
      <c r="E2980" s="26" t="str">
        <f>"ORQUIDEA NO. 13-B                                                               "</f>
        <v xml:space="preserve">ORQUIDEA NO. 13-B                                                               </v>
      </c>
      <c r="F2980" s="26" t="str">
        <f>"LA MALINCHE                                                                                                                                 "</f>
        <v xml:space="preserve">LA MALINCHE                                                                                                                                 </v>
      </c>
      <c r="G2980" s="26" t="str">
        <f>"LA MAGDALENA CONTRERAS                                                          "</f>
        <v xml:space="preserve">LA MAGDALENA CONTRERAS                                                          </v>
      </c>
      <c r="H2980" s="26" t="str">
        <f>"112"</f>
        <v>112</v>
      </c>
      <c r="I2980" s="26" t="str">
        <f t="shared" si="589"/>
        <v>00</v>
      </c>
      <c r="J2980" s="26" t="str">
        <f>"35 "</f>
        <v xml:space="preserve">35 </v>
      </c>
      <c r="K2980" s="26" t="str">
        <f t="shared" si="590"/>
        <v>EP</v>
      </c>
      <c r="L2980" s="26" t="str">
        <f t="shared" si="591"/>
        <v>DGOSE</v>
      </c>
      <c r="M2980" s="26" t="str">
        <f t="shared" si="587"/>
        <v>PARTICULAR</v>
      </c>
      <c r="N2980" s="26">
        <v>47</v>
      </c>
      <c r="O2980" s="26">
        <v>23</v>
      </c>
      <c r="P2980" s="26">
        <v>24</v>
      </c>
      <c r="Q2980" s="26">
        <v>3</v>
      </c>
      <c r="R2980" s="26">
        <v>1</v>
      </c>
      <c r="S2980" s="26">
        <v>3</v>
      </c>
      <c r="T2980" s="26">
        <v>3</v>
      </c>
      <c r="U2980" s="26">
        <v>7</v>
      </c>
      <c r="V2980" s="26">
        <v>1</v>
      </c>
      <c r="W2980" s="26"/>
    </row>
    <row r="2981" spans="1:23" x14ac:dyDescent="0.25">
      <c r="A2981" s="26" t="str">
        <f t="shared" si="588"/>
        <v>PREESCOLAR</v>
      </c>
      <c r="B2981" s="26" t="str">
        <f>"09PJN5693K"</f>
        <v>09PJN5693K</v>
      </c>
      <c r="C2981" s="26" t="str">
        <f>"CENTRO EDUCATIVO JOSÉ DE TAPIA BUJALANCE                                                            "</f>
        <v xml:space="preserve">CENTRO EDUCATIVO JOSÉ DE TAPIA BUJALANCE                                                            </v>
      </c>
      <c r="D2981" s="26" t="str">
        <f t="shared" si="593"/>
        <v>MATUTINO</v>
      </c>
      <c r="E2981" s="26" t="str">
        <f>"MONTECRISTO MZA. 27 LT. 28                                                      "</f>
        <v xml:space="preserve">MONTECRISTO MZA. 27 LT. 28                                                      </v>
      </c>
      <c r="F2981" s="26" t="str">
        <f>"CUAUHTEMOC                                                                                                                                  "</f>
        <v xml:space="preserve">CUAUHTEMOC                                                                                                                                  </v>
      </c>
      <c r="G2981" s="26" t="str">
        <f>"LA MAGDALENA CONTRERAS                                                          "</f>
        <v xml:space="preserve">LA MAGDALENA CONTRERAS                                                          </v>
      </c>
      <c r="H2981" s="26" t="str">
        <f>"280"</f>
        <v>280</v>
      </c>
      <c r="I2981" s="26" t="str">
        <f t="shared" si="589"/>
        <v>00</v>
      </c>
      <c r="J2981" s="26" t="str">
        <f>"35 "</f>
        <v xml:space="preserve">35 </v>
      </c>
      <c r="K2981" s="26" t="str">
        <f t="shared" si="590"/>
        <v>EP</v>
      </c>
      <c r="L2981" s="26" t="str">
        <f t="shared" si="591"/>
        <v>DGOSE</v>
      </c>
      <c r="M2981" s="26" t="str">
        <f t="shared" si="587"/>
        <v>PARTICULAR</v>
      </c>
      <c r="N2981" s="26">
        <v>10</v>
      </c>
      <c r="O2981" s="26">
        <v>7</v>
      </c>
      <c r="P2981" s="26">
        <v>3</v>
      </c>
      <c r="Q2981" s="26">
        <v>1</v>
      </c>
      <c r="R2981" s="26">
        <v>1</v>
      </c>
      <c r="S2981" s="26">
        <v>1</v>
      </c>
      <c r="T2981" s="26">
        <v>5</v>
      </c>
      <c r="U2981" s="26">
        <v>7</v>
      </c>
      <c r="V2981" s="26">
        <v>1</v>
      </c>
      <c r="W2981" s="26"/>
    </row>
    <row r="2982" spans="1:23" x14ac:dyDescent="0.25">
      <c r="A2982" s="26" t="str">
        <f t="shared" si="588"/>
        <v>PREESCOLAR</v>
      </c>
      <c r="B2982" s="26" t="str">
        <f>"09PJN5695I"</f>
        <v>09PJN5695I</v>
      </c>
      <c r="C2982" s="26" t="str">
        <f>"COLEGIO JOSEFINA MARIA VALENCIA                                                                     "</f>
        <v xml:space="preserve">COLEGIO JOSEFINA MARIA VALENCIA                                                                     </v>
      </c>
      <c r="D2982" s="26" t="str">
        <f t="shared" si="593"/>
        <v>MATUTINO</v>
      </c>
      <c r="E2982" s="26" t="str">
        <f>"AV. MORELOS NO. 133                                                             "</f>
        <v xml:space="preserve">AV. MORELOS NO. 133                                                             </v>
      </c>
      <c r="F2982" s="26" t="str">
        <f>"SANTA ISABEL TOLA                                                                                                                           "</f>
        <v xml:space="preserve">SANTA ISABEL TOLA                                                                                                                           </v>
      </c>
      <c r="G2982" s="26" t="str">
        <f>"GUSTAVO A. MADERO                                                               "</f>
        <v xml:space="preserve">GUSTAVO A. MADERO                                                               </v>
      </c>
      <c r="H2982" s="26" t="str">
        <f>"154"</f>
        <v>154</v>
      </c>
      <c r="I2982" s="26" t="str">
        <f t="shared" si="589"/>
        <v>00</v>
      </c>
      <c r="J2982" s="26" t="str">
        <f>"32 "</f>
        <v xml:space="preserve">32 </v>
      </c>
      <c r="K2982" s="26" t="str">
        <f t="shared" si="590"/>
        <v>EP</v>
      </c>
      <c r="L2982" s="26" t="str">
        <f t="shared" si="591"/>
        <v>DGOSE</v>
      </c>
      <c r="M2982" s="26" t="str">
        <f t="shared" si="587"/>
        <v>PARTICULAR</v>
      </c>
      <c r="N2982" s="26">
        <v>14</v>
      </c>
      <c r="O2982" s="26">
        <v>10</v>
      </c>
      <c r="P2982" s="26">
        <v>4</v>
      </c>
      <c r="Q2982" s="26">
        <v>2</v>
      </c>
      <c r="R2982" s="26">
        <v>1</v>
      </c>
      <c r="S2982" s="26">
        <v>1</v>
      </c>
      <c r="T2982" s="26">
        <v>6</v>
      </c>
      <c r="U2982" s="26">
        <v>8</v>
      </c>
      <c r="V2982" s="26">
        <v>1</v>
      </c>
      <c r="W2982" s="26"/>
    </row>
    <row r="2983" spans="1:23" x14ac:dyDescent="0.25">
      <c r="A2983" s="26" t="str">
        <f t="shared" si="588"/>
        <v>PREESCOLAR</v>
      </c>
      <c r="B2983" s="26" t="str">
        <f>"09PJN5696H"</f>
        <v>09PJN5696H</v>
      </c>
      <c r="C2983" s="26" t="str">
        <f>"KINDER BILINGÜE OXFORD KIDS                                                                         "</f>
        <v xml:space="preserve">KINDER BILINGÜE OXFORD KIDS                                                                         </v>
      </c>
      <c r="D2983" s="26" t="str">
        <f t="shared" si="593"/>
        <v>MATUTINO</v>
      </c>
      <c r="E2983" s="26" t="str">
        <f>"CABO FINISTERRE NO. 66                                                          "</f>
        <v xml:space="preserve">CABO FINISTERRE NO. 66                                                          </v>
      </c>
      <c r="F2983" s="26" t="str">
        <f>"GABRIEL HERNANDEZ                                                                                                                           "</f>
        <v xml:space="preserve">GABRIEL HERNANDEZ                                                                                                                           </v>
      </c>
      <c r="G2983" s="26" t="str">
        <f>"GUSTAVO A. MADERO                                                               "</f>
        <v xml:space="preserve">GUSTAVO A. MADERO                                                               </v>
      </c>
      <c r="H2983" s="26" t="str">
        <f>"073"</f>
        <v>073</v>
      </c>
      <c r="I2983" s="26" t="str">
        <f t="shared" si="589"/>
        <v>00</v>
      </c>
      <c r="J2983" s="26" t="str">
        <f>"32 "</f>
        <v xml:space="preserve">32 </v>
      </c>
      <c r="K2983" s="26" t="str">
        <f t="shared" si="590"/>
        <v>EP</v>
      </c>
      <c r="L2983" s="26" t="str">
        <f t="shared" si="591"/>
        <v>DGOSE</v>
      </c>
      <c r="M2983" s="26" t="str">
        <f t="shared" si="587"/>
        <v>PARTICULAR</v>
      </c>
      <c r="N2983" s="26">
        <v>23</v>
      </c>
      <c r="O2983" s="26">
        <v>10</v>
      </c>
      <c r="P2983" s="26">
        <v>13</v>
      </c>
      <c r="Q2983" s="26">
        <v>3</v>
      </c>
      <c r="R2983" s="26">
        <v>1</v>
      </c>
      <c r="S2983" s="26">
        <v>3</v>
      </c>
      <c r="T2983" s="26">
        <v>0</v>
      </c>
      <c r="U2983" s="26">
        <v>4</v>
      </c>
      <c r="V2983" s="26">
        <v>1</v>
      </c>
      <c r="W2983" s="26"/>
    </row>
    <row r="2984" spans="1:23" x14ac:dyDescent="0.25">
      <c r="A2984" s="26" t="str">
        <f t="shared" si="588"/>
        <v>PREESCOLAR</v>
      </c>
      <c r="B2984" s="26" t="str">
        <f>"09PJN5697C"</f>
        <v>09PJN5697C</v>
      </c>
      <c r="C2984" s="26" t="str">
        <f>"CENTRO LATINOAMERICANO EDUCATIVO                                                                    "</f>
        <v xml:space="preserve">CENTRO LATINOAMERICANO EDUCATIVO                                                                    </v>
      </c>
      <c r="D2984" s="26" t="str">
        <f t="shared" si="593"/>
        <v>MATUTINO</v>
      </c>
      <c r="E2984" s="26" t="str">
        <f>"ESTAFETAS NO. 52                                                                "</f>
        <v xml:space="preserve">ESTAFETAS NO. 52                                                                </v>
      </c>
      <c r="F2984" s="26" t="str">
        <f>"POSTAL                                                                                                                                      "</f>
        <v xml:space="preserve">POSTAL                                                                                                                                      </v>
      </c>
      <c r="G2984" s="26" t="str">
        <f>"BENITO JUAREZ                                                                   "</f>
        <v xml:space="preserve">BENITO JUAREZ                                                                   </v>
      </c>
      <c r="H2984" s="26" t="str">
        <f>"230"</f>
        <v>230</v>
      </c>
      <c r="I2984" s="26" t="str">
        <f t="shared" si="589"/>
        <v>00</v>
      </c>
      <c r="J2984" s="26" t="str">
        <f>"33 "</f>
        <v xml:space="preserve">33 </v>
      </c>
      <c r="K2984" s="26" t="str">
        <f t="shared" si="590"/>
        <v>EP</v>
      </c>
      <c r="L2984" s="26" t="str">
        <f t="shared" si="591"/>
        <v>DGOSE</v>
      </c>
      <c r="M2984" s="26" t="str">
        <f t="shared" si="587"/>
        <v>PARTICULAR</v>
      </c>
      <c r="N2984" s="26">
        <v>8</v>
      </c>
      <c r="O2984" s="26">
        <v>2</v>
      </c>
      <c r="P2984" s="26">
        <v>6</v>
      </c>
      <c r="Q2984" s="26">
        <v>3</v>
      </c>
      <c r="R2984" s="26">
        <v>1</v>
      </c>
      <c r="S2984" s="26">
        <v>3</v>
      </c>
      <c r="T2984" s="26">
        <v>2</v>
      </c>
      <c r="U2984" s="26">
        <v>6</v>
      </c>
      <c r="V2984" s="26">
        <v>1</v>
      </c>
      <c r="W2984" s="26"/>
    </row>
    <row r="2985" spans="1:23" x14ac:dyDescent="0.25">
      <c r="A2985" s="26" t="str">
        <f t="shared" si="588"/>
        <v>PREESCOLAR</v>
      </c>
      <c r="B2985" s="26" t="str">
        <f>"09PJN5698F"</f>
        <v>09PJN5698F</v>
      </c>
      <c r="C2985" s="26" t="str">
        <f>"CENTRO EDUCATIVO WINNI POOH                                                                         "</f>
        <v xml:space="preserve">CENTRO EDUCATIVO WINNI POOH                                                                         </v>
      </c>
      <c r="D2985" s="26" t="str">
        <f t="shared" si="593"/>
        <v>MATUTINO</v>
      </c>
      <c r="E2985" s="26" t="str">
        <f>"ARAUCANOS S/N MZA. 15 LT. 16                                                    "</f>
        <v xml:space="preserve">ARAUCANOS S/N MZA. 15 LT. 16                                                    </v>
      </c>
      <c r="F2985" s="26" t="str">
        <f>"TLACUITLAPA I Y II REACOMODO                                                                                                                "</f>
        <v xml:space="preserve">TLACUITLAPA I Y II REACOMODO                                                                                                                </v>
      </c>
      <c r="G2985" s="26" t="str">
        <f>"ALVARO OBREGON                                                                  "</f>
        <v xml:space="preserve">ALVARO OBREGON                                                                  </v>
      </c>
      <c r="H2985" s="26" t="str">
        <f>"046"</f>
        <v>046</v>
      </c>
      <c r="I2985" s="26" t="str">
        <f t="shared" si="589"/>
        <v>00</v>
      </c>
      <c r="J2985" s="26" t="str">
        <f>"33 "</f>
        <v xml:space="preserve">33 </v>
      </c>
      <c r="K2985" s="26" t="str">
        <f t="shared" si="590"/>
        <v>EP</v>
      </c>
      <c r="L2985" s="26" t="str">
        <f t="shared" si="591"/>
        <v>DGOSE</v>
      </c>
      <c r="M2985" s="26" t="str">
        <f t="shared" si="587"/>
        <v>PARTICULAR</v>
      </c>
      <c r="N2985" s="26">
        <v>25</v>
      </c>
      <c r="O2985" s="26">
        <v>9</v>
      </c>
      <c r="P2985" s="26">
        <v>16</v>
      </c>
      <c r="Q2985" s="26">
        <v>2</v>
      </c>
      <c r="R2985" s="26">
        <v>1</v>
      </c>
      <c r="S2985" s="26">
        <v>2</v>
      </c>
      <c r="T2985" s="26">
        <v>1</v>
      </c>
      <c r="U2985" s="26">
        <v>4</v>
      </c>
      <c r="V2985" s="26">
        <v>1</v>
      </c>
      <c r="W2985" s="26"/>
    </row>
    <row r="2986" spans="1:23" x14ac:dyDescent="0.25">
      <c r="A2986" s="26" t="str">
        <f t="shared" si="588"/>
        <v>PREESCOLAR</v>
      </c>
      <c r="B2986" s="26" t="str">
        <f>"09PJN5699E"</f>
        <v>09PJN5699E</v>
      </c>
      <c r="C2986" s="26" t="str">
        <f>"ABC KIDS KINDERGARTEN &amp; ELEMENTARY SCHOOL                                                           "</f>
        <v xml:space="preserve">ABC KIDS KINDERGARTEN &amp; ELEMENTARY SCHOOL                                                           </v>
      </c>
      <c r="D2986" s="26" t="str">
        <f t="shared" si="593"/>
        <v>MATUTINO</v>
      </c>
      <c r="E2986" s="26" t="str">
        <f>"AVENIDA NORTE NO 225                                                            "</f>
        <v xml:space="preserve">AVENIDA NORTE NO 225                                                            </v>
      </c>
      <c r="F2986" s="26" t="str">
        <f>"AGRICOLA PANTITLAN                                                                                                                          "</f>
        <v xml:space="preserve">AGRICOLA PANTITLAN                                                                                                                          </v>
      </c>
      <c r="G2986" s="26" t="str">
        <f>"IZTACALCO                                                                       "</f>
        <v xml:space="preserve">IZTACALCO                                                                       </v>
      </c>
      <c r="H2986" s="26" t="str">
        <f>"241"</f>
        <v>241</v>
      </c>
      <c r="I2986" s="26" t="str">
        <f t="shared" si="589"/>
        <v>00</v>
      </c>
      <c r="J2986" s="26" t="str">
        <f>"33 "</f>
        <v xml:space="preserve">33 </v>
      </c>
      <c r="K2986" s="26" t="str">
        <f t="shared" si="590"/>
        <v>EP</v>
      </c>
      <c r="L2986" s="26" t="str">
        <f t="shared" si="591"/>
        <v>DGOSE</v>
      </c>
      <c r="M2986" s="26" t="str">
        <f t="shared" si="587"/>
        <v>PARTICULAR</v>
      </c>
      <c r="N2986" s="26">
        <v>8</v>
      </c>
      <c r="O2986" s="26">
        <v>4</v>
      </c>
      <c r="P2986" s="26">
        <v>4</v>
      </c>
      <c r="Q2986" s="26">
        <v>1</v>
      </c>
      <c r="R2986" s="26">
        <v>1</v>
      </c>
      <c r="S2986" s="26">
        <v>1</v>
      </c>
      <c r="T2986" s="26">
        <v>4</v>
      </c>
      <c r="U2986" s="26">
        <v>6</v>
      </c>
      <c r="V2986" s="26">
        <v>1</v>
      </c>
      <c r="W2986" s="26"/>
    </row>
    <row r="2987" spans="1:23" x14ac:dyDescent="0.25">
      <c r="A2987" s="26" t="str">
        <f t="shared" si="588"/>
        <v>PREESCOLAR</v>
      </c>
      <c r="B2987" s="26" t="str">
        <f>"09PJN5700D"</f>
        <v>09PJN5700D</v>
      </c>
      <c r="C2987" s="26" t="str">
        <f>"COLEGIO VALLADOLID                                                                                  "</f>
        <v xml:space="preserve">COLEGIO VALLADOLID                                                                                  </v>
      </c>
      <c r="D2987" s="26" t="str">
        <f t="shared" si="593"/>
        <v>MATUTINO</v>
      </c>
      <c r="E2987" s="26" t="str">
        <f>"SALOMON GONZALEZ BLANCO NO. 30                                                  "</f>
        <v xml:space="preserve">SALOMON GONZALEZ BLANCO NO. 30                                                  </v>
      </c>
      <c r="F2987" s="26" t="str">
        <f>"ADOLFO LOPEZ MATEOS                                                                                                                         "</f>
        <v xml:space="preserve">ADOLFO LOPEZ MATEOS                                                                                                                         </v>
      </c>
      <c r="G2987" s="26" t="str">
        <f>"VENUSTIANO CARRANZA                                                             "</f>
        <v xml:space="preserve">VENUSTIANO CARRANZA                                                             </v>
      </c>
      <c r="H2987" s="26" t="str">
        <f>"161"</f>
        <v>161</v>
      </c>
      <c r="I2987" s="26" t="str">
        <f t="shared" si="589"/>
        <v>00</v>
      </c>
      <c r="J2987" s="26" t="str">
        <f>"33 "</f>
        <v xml:space="preserve">33 </v>
      </c>
      <c r="K2987" s="26" t="str">
        <f t="shared" si="590"/>
        <v>EP</v>
      </c>
      <c r="L2987" s="26" t="str">
        <f t="shared" si="591"/>
        <v>DGOSE</v>
      </c>
      <c r="M2987" s="26" t="str">
        <f t="shared" si="587"/>
        <v>PARTICULAR</v>
      </c>
      <c r="N2987" s="26">
        <v>31</v>
      </c>
      <c r="O2987" s="26">
        <v>17</v>
      </c>
      <c r="P2987" s="26">
        <v>14</v>
      </c>
      <c r="Q2987" s="26">
        <v>3</v>
      </c>
      <c r="R2987" s="26">
        <v>1</v>
      </c>
      <c r="S2987" s="26">
        <v>3</v>
      </c>
      <c r="T2987" s="26">
        <v>6</v>
      </c>
      <c r="U2987" s="26">
        <v>10</v>
      </c>
      <c r="V2987" s="26">
        <v>1</v>
      </c>
      <c r="W2987" s="26"/>
    </row>
    <row r="2988" spans="1:23" x14ac:dyDescent="0.25">
      <c r="A2988" s="26" t="str">
        <f t="shared" si="588"/>
        <v>PREESCOLAR</v>
      </c>
      <c r="B2988" s="26" t="str">
        <f>"09PJN5701C"</f>
        <v>09PJN5701C</v>
      </c>
      <c r="C2988" s="26" t="str">
        <f>"COLEGIO SOUMAYA                                                                                     "</f>
        <v xml:space="preserve">COLEGIO SOUMAYA                                                                                     </v>
      </c>
      <c r="D2988" s="26" t="str">
        <f t="shared" si="593"/>
        <v>MATUTINO</v>
      </c>
      <c r="E2988" s="26" t="str">
        <f>"MORELOS NO. 118                                                                 "</f>
        <v xml:space="preserve">MORELOS NO. 118                                                                 </v>
      </c>
      <c r="F2988" s="26" t="str">
        <f>"SAN FRANCISCO TLALTENCO                                                                                                                     "</f>
        <v xml:space="preserve">SAN FRANCISCO TLALTENCO                                                                                                                     </v>
      </c>
      <c r="G2988" s="26" t="str">
        <f>"TLAHUAC                                                                         "</f>
        <v xml:space="preserve">TLAHUAC                                                                         </v>
      </c>
      <c r="H2988" s="26" t="str">
        <f>"223"</f>
        <v>223</v>
      </c>
      <c r="I2988" s="26" t="str">
        <f t="shared" si="589"/>
        <v>00</v>
      </c>
      <c r="J2988" s="26" t="str">
        <f>"35 "</f>
        <v xml:space="preserve">35 </v>
      </c>
      <c r="K2988" s="26" t="str">
        <f t="shared" si="590"/>
        <v>EP</v>
      </c>
      <c r="L2988" s="26" t="str">
        <f t="shared" si="591"/>
        <v>DGOSE</v>
      </c>
      <c r="M2988" s="26" t="str">
        <f t="shared" si="587"/>
        <v>PARTICULAR</v>
      </c>
      <c r="N2988" s="26">
        <v>23</v>
      </c>
      <c r="O2988" s="26">
        <v>10</v>
      </c>
      <c r="P2988" s="26">
        <v>13</v>
      </c>
      <c r="Q2988" s="26">
        <v>2</v>
      </c>
      <c r="R2988" s="26">
        <v>1</v>
      </c>
      <c r="S2988" s="26">
        <v>2</v>
      </c>
      <c r="T2988" s="26">
        <v>0</v>
      </c>
      <c r="U2988" s="26">
        <v>3</v>
      </c>
      <c r="V2988" s="26">
        <v>1</v>
      </c>
      <c r="W2988" s="26"/>
    </row>
    <row r="2989" spans="1:23" x14ac:dyDescent="0.25">
      <c r="A2989" s="26" t="str">
        <f t="shared" si="588"/>
        <v>PREESCOLAR</v>
      </c>
      <c r="B2989" s="26" t="str">
        <f>"09PJN5702B"</f>
        <v>09PJN5702B</v>
      </c>
      <c r="C2989" s="26" t="str">
        <f>"COLEGIO BRITANICO ESPAÑOL                                                                           "</f>
        <v xml:space="preserve">COLEGIO BRITANICO ESPAÑOL                                                                           </v>
      </c>
      <c r="D2989" s="26" t="str">
        <f t="shared" si="593"/>
        <v>MATUTINO</v>
      </c>
      <c r="E2989" s="26" t="str">
        <f>"FRANCISCO CABRERA S/N MZA.5 LT.19                                               "</f>
        <v xml:space="preserve">FRANCISCO CABRERA S/N MZA.5 LT.19                                               </v>
      </c>
      <c r="F2989" s="26" t="str">
        <f>"GRANJAS CABRERA                                                                                                                             "</f>
        <v xml:space="preserve">GRANJAS CABRERA                                                                                                                             </v>
      </c>
      <c r="G2989" s="26" t="str">
        <f>"TLAHUAC                                                                         "</f>
        <v xml:space="preserve">TLAHUAC                                                                         </v>
      </c>
      <c r="H2989" s="26" t="str">
        <f>"124"</f>
        <v>124</v>
      </c>
      <c r="I2989" s="26" t="str">
        <f t="shared" si="589"/>
        <v>00</v>
      </c>
      <c r="J2989" s="26" t="str">
        <f>"35 "</f>
        <v xml:space="preserve">35 </v>
      </c>
      <c r="K2989" s="26" t="str">
        <f t="shared" si="590"/>
        <v>EP</v>
      </c>
      <c r="L2989" s="26" t="str">
        <f t="shared" si="591"/>
        <v>DGOSE</v>
      </c>
      <c r="M2989" s="26" t="str">
        <f t="shared" si="587"/>
        <v>PARTICULAR</v>
      </c>
      <c r="N2989" s="26">
        <v>41</v>
      </c>
      <c r="O2989" s="26">
        <v>22</v>
      </c>
      <c r="P2989" s="26">
        <v>19</v>
      </c>
      <c r="Q2989" s="26">
        <v>3</v>
      </c>
      <c r="R2989" s="26">
        <v>1</v>
      </c>
      <c r="S2989" s="26">
        <v>1</v>
      </c>
      <c r="T2989" s="26">
        <v>6</v>
      </c>
      <c r="U2989" s="26">
        <v>8</v>
      </c>
      <c r="V2989" s="26">
        <v>1</v>
      </c>
      <c r="W2989" s="26"/>
    </row>
    <row r="2990" spans="1:23" x14ac:dyDescent="0.25">
      <c r="A2990" s="26" t="str">
        <f t="shared" si="588"/>
        <v>PREESCOLAR</v>
      </c>
      <c r="B2990" s="26" t="str">
        <f>"09PJN5703A"</f>
        <v>09PJN5703A</v>
      </c>
      <c r="C2990" s="26" t="str">
        <f>"CELESTINO PORTE PETIT                                                                               "</f>
        <v xml:space="preserve">CELESTINO PORTE PETIT                                                                               </v>
      </c>
      <c r="D2990" s="26" t="str">
        <f t="shared" si="593"/>
        <v>MATUTINO</v>
      </c>
      <c r="E2990" s="26" t="str">
        <f>"VENADO NO. 84                                                                   "</f>
        <v xml:space="preserve">VENADO NO. 84                                                                   </v>
      </c>
      <c r="F2990" s="26" t="str">
        <f>"LOS OLIVOS                                                                                                                                  "</f>
        <v xml:space="preserve">LOS OLIVOS                                                                                                                                  </v>
      </c>
      <c r="G2990" s="26" t="str">
        <f>"TLAHUAC                                                                         "</f>
        <v xml:space="preserve">TLAHUAC                                                                         </v>
      </c>
      <c r="H2990" s="26" t="str">
        <f>"244"</f>
        <v>244</v>
      </c>
      <c r="I2990" s="26" t="str">
        <f t="shared" si="589"/>
        <v>00</v>
      </c>
      <c r="J2990" s="26" t="str">
        <f>"35 "</f>
        <v xml:space="preserve">35 </v>
      </c>
      <c r="K2990" s="26" t="str">
        <f t="shared" si="590"/>
        <v>EP</v>
      </c>
      <c r="L2990" s="26" t="str">
        <f t="shared" si="591"/>
        <v>DGOSE</v>
      </c>
      <c r="M2990" s="26" t="str">
        <f t="shared" si="587"/>
        <v>PARTICULAR</v>
      </c>
      <c r="N2990" s="26">
        <v>17</v>
      </c>
      <c r="O2990" s="26">
        <v>10</v>
      </c>
      <c r="P2990" s="26">
        <v>7</v>
      </c>
      <c r="Q2990" s="26">
        <v>3</v>
      </c>
      <c r="R2990" s="26">
        <v>1</v>
      </c>
      <c r="S2990" s="26">
        <v>2</v>
      </c>
      <c r="T2990" s="26">
        <v>2</v>
      </c>
      <c r="U2990" s="26">
        <v>5</v>
      </c>
      <c r="V2990" s="26">
        <v>1</v>
      </c>
      <c r="W2990" s="26"/>
    </row>
    <row r="2991" spans="1:23" x14ac:dyDescent="0.25">
      <c r="A2991" s="26" t="str">
        <f t="shared" si="588"/>
        <v>PREESCOLAR</v>
      </c>
      <c r="B2991" s="26" t="str">
        <f>"09PJN5704Z"</f>
        <v>09PJN5704Z</v>
      </c>
      <c r="C2991" s="26" t="str">
        <f>"REFORMA                                                                                             "</f>
        <v xml:space="preserve">REFORMA                                                                                             </v>
      </c>
      <c r="D2991" s="26" t="str">
        <f t="shared" si="593"/>
        <v>MATUTINO</v>
      </c>
      <c r="E2991" s="26" t="str">
        <f>"PRIVADA CURIO NO.7                                                              "</f>
        <v xml:space="preserve">PRIVADA CURIO NO.7                                                              </v>
      </c>
      <c r="F2991" s="26" t="str">
        <f>"CUCHILLA PANTITLAN                                                                                                                          "</f>
        <v xml:space="preserve">CUCHILLA PANTITLAN                                                                                                                          </v>
      </c>
      <c r="G2991" s="26" t="str">
        <f>"VENUSTIANO CARRANZA                                                             "</f>
        <v xml:space="preserve">VENUSTIANO CARRANZA                                                             </v>
      </c>
      <c r="H2991" s="26" t="str">
        <f>"161"</f>
        <v>161</v>
      </c>
      <c r="I2991" s="26" t="str">
        <f t="shared" si="589"/>
        <v>00</v>
      </c>
      <c r="J2991" s="26" t="str">
        <f>"33 "</f>
        <v xml:space="preserve">33 </v>
      </c>
      <c r="K2991" s="26" t="str">
        <f t="shared" si="590"/>
        <v>EP</v>
      </c>
      <c r="L2991" s="26" t="str">
        <f t="shared" si="591"/>
        <v>DGOSE</v>
      </c>
      <c r="M2991" s="26" t="str">
        <f t="shared" si="587"/>
        <v>PARTICULAR</v>
      </c>
      <c r="N2991" s="26">
        <v>46</v>
      </c>
      <c r="O2991" s="26">
        <v>29</v>
      </c>
      <c r="P2991" s="26">
        <v>17</v>
      </c>
      <c r="Q2991" s="26">
        <v>2</v>
      </c>
      <c r="R2991" s="26">
        <v>1</v>
      </c>
      <c r="S2991" s="26">
        <v>2</v>
      </c>
      <c r="T2991" s="26">
        <v>4</v>
      </c>
      <c r="U2991" s="26">
        <v>7</v>
      </c>
      <c r="V2991" s="26">
        <v>1</v>
      </c>
      <c r="W2991" s="26"/>
    </row>
    <row r="2992" spans="1:23" x14ac:dyDescent="0.25">
      <c r="A2992" s="26" t="str">
        <f t="shared" si="588"/>
        <v>PREESCOLAR</v>
      </c>
      <c r="B2992" s="26" t="str">
        <f>"09PJN5705Z"</f>
        <v>09PJN5705Z</v>
      </c>
      <c r="C2992" s="26" t="str">
        <f>"EL GRILLITO CANTOR                                                                                  "</f>
        <v xml:space="preserve">EL GRILLITO CANTOR                                                                                  </v>
      </c>
      <c r="D2992" s="26" t="str">
        <f t="shared" si="593"/>
        <v>MATUTINO</v>
      </c>
      <c r="E2992" s="26" t="str">
        <f>"SUR 19  MZA.3 NO. 3                                                             "</f>
        <v xml:space="preserve">SUR 19  MZA.3 NO. 3                                                             </v>
      </c>
      <c r="F2992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2992" s="26" t="str">
        <f>"IZTACALCO                                                                       "</f>
        <v xml:space="preserve">IZTACALCO                                                                       </v>
      </c>
      <c r="H2992" s="26" t="str">
        <f>"240"</f>
        <v>240</v>
      </c>
      <c r="I2992" s="26" t="str">
        <f t="shared" si="589"/>
        <v>00</v>
      </c>
      <c r="J2992" s="26" t="str">
        <f>"33 "</f>
        <v xml:space="preserve">33 </v>
      </c>
      <c r="K2992" s="26" t="str">
        <f t="shared" si="590"/>
        <v>EP</v>
      </c>
      <c r="L2992" s="26" t="str">
        <f t="shared" si="591"/>
        <v>DGOSE</v>
      </c>
      <c r="M2992" s="26" t="str">
        <f t="shared" si="587"/>
        <v>PARTICULAR</v>
      </c>
      <c r="N2992" s="26">
        <v>26</v>
      </c>
      <c r="O2992" s="26">
        <v>12</v>
      </c>
      <c r="P2992" s="26">
        <v>14</v>
      </c>
      <c r="Q2992" s="26">
        <v>3</v>
      </c>
      <c r="R2992" s="26">
        <v>1</v>
      </c>
      <c r="S2992" s="26">
        <v>3</v>
      </c>
      <c r="T2992" s="26">
        <v>0</v>
      </c>
      <c r="U2992" s="26">
        <v>4</v>
      </c>
      <c r="V2992" s="26">
        <v>1</v>
      </c>
      <c r="W2992" s="26"/>
    </row>
    <row r="2993" spans="1:23" x14ac:dyDescent="0.25">
      <c r="A2993" s="26" t="str">
        <f t="shared" si="588"/>
        <v>PREESCOLAR</v>
      </c>
      <c r="B2993" s="26" t="str">
        <f>"09PJN5707X"</f>
        <v>09PJN5707X</v>
      </c>
      <c r="C2993" s="26" t="str">
        <f>"COMENIO                                                                                             "</f>
        <v xml:space="preserve">COMENIO                                                                                             </v>
      </c>
      <c r="D2993" s="26" t="str">
        <f t="shared" si="593"/>
        <v>MATUTINO</v>
      </c>
      <c r="E2993" s="26" t="str">
        <f>"SIRENA MZA. 90 LOTE 19                                                          "</f>
        <v xml:space="preserve">SIRENA MZA. 90 LOTE 19                                                          </v>
      </c>
      <c r="F2993" s="26" t="str">
        <f>"DEL MAR                                                                                                                                     "</f>
        <v xml:space="preserve">DEL MAR                                                                                                                                     </v>
      </c>
      <c r="G2993" s="26" t="str">
        <f>"TLAHUAC                                                                         "</f>
        <v xml:space="preserve">TLAHUAC                                                                         </v>
      </c>
      <c r="H2993" s="26" t="str">
        <f>"244"</f>
        <v>244</v>
      </c>
      <c r="I2993" s="26" t="str">
        <f t="shared" si="589"/>
        <v>00</v>
      </c>
      <c r="J2993" s="26" t="str">
        <f>"35 "</f>
        <v xml:space="preserve">35 </v>
      </c>
      <c r="K2993" s="26" t="str">
        <f t="shared" si="590"/>
        <v>EP</v>
      </c>
      <c r="L2993" s="26" t="str">
        <f t="shared" si="591"/>
        <v>DGOSE</v>
      </c>
      <c r="M2993" s="26" t="str">
        <f t="shared" si="587"/>
        <v>PARTICULAR</v>
      </c>
      <c r="N2993" s="26">
        <v>7</v>
      </c>
      <c r="O2993" s="26">
        <v>3</v>
      </c>
      <c r="P2993" s="26">
        <v>4</v>
      </c>
      <c r="Q2993" s="26">
        <v>3</v>
      </c>
      <c r="R2993" s="26">
        <v>1</v>
      </c>
      <c r="S2993" s="26">
        <v>1</v>
      </c>
      <c r="T2993" s="26">
        <v>0</v>
      </c>
      <c r="U2993" s="26">
        <v>2</v>
      </c>
      <c r="V2993" s="26">
        <v>1</v>
      </c>
      <c r="W2993" s="26"/>
    </row>
    <row r="2994" spans="1:23" x14ac:dyDescent="0.25">
      <c r="A2994" s="26" t="str">
        <f t="shared" si="588"/>
        <v>PREESCOLAR</v>
      </c>
      <c r="B2994" s="26" t="str">
        <f>"09PJN5708W"</f>
        <v>09PJN5708W</v>
      </c>
      <c r="C2994" s="26" t="str">
        <f>"CENTRO ESCOLAR KINDER GARDEN FEDERICO FROEBEL                                                       "</f>
        <v xml:space="preserve">CENTRO ESCOLAR KINDER GARDEN FEDERICO FROEBEL                                                       </v>
      </c>
      <c r="D2994" s="26" t="str">
        <f t="shared" si="593"/>
        <v>MATUTINO</v>
      </c>
      <c r="E2994" s="26" t="str">
        <f>"MOCTEZUMA II MZ.18 LT.10                                                        "</f>
        <v xml:space="preserve">MOCTEZUMA II MZ.18 LT.10                                                        </v>
      </c>
      <c r="F2994" s="26" t="str">
        <f>"ARENAL 3A SECCION                                                                                                                           "</f>
        <v xml:space="preserve">ARENAL 3A SECCION                                                                                                                           </v>
      </c>
      <c r="G2994" s="26" t="str">
        <f>"VENUSTIANO CARRANZA                                                             "</f>
        <v xml:space="preserve">VENUSTIANO CARRANZA                                                             </v>
      </c>
      <c r="H2994" s="26" t="str">
        <f>"161"</f>
        <v>161</v>
      </c>
      <c r="I2994" s="26" t="str">
        <f t="shared" si="589"/>
        <v>00</v>
      </c>
      <c r="J2994" s="26" t="str">
        <f>"33 "</f>
        <v xml:space="preserve">33 </v>
      </c>
      <c r="K2994" s="26" t="str">
        <f t="shared" si="590"/>
        <v>EP</v>
      </c>
      <c r="L2994" s="26" t="str">
        <f t="shared" si="591"/>
        <v>DGOSE</v>
      </c>
      <c r="M2994" s="26" t="str">
        <f t="shared" si="587"/>
        <v>PARTICULAR</v>
      </c>
      <c r="N2994" s="26">
        <v>19</v>
      </c>
      <c r="O2994" s="26">
        <v>12</v>
      </c>
      <c r="P2994" s="26">
        <v>7</v>
      </c>
      <c r="Q2994" s="26">
        <v>3</v>
      </c>
      <c r="R2994" s="26">
        <v>1</v>
      </c>
      <c r="S2994" s="26">
        <v>2</v>
      </c>
      <c r="T2994" s="26">
        <v>2</v>
      </c>
      <c r="U2994" s="26">
        <v>5</v>
      </c>
      <c r="V2994" s="26">
        <v>1</v>
      </c>
      <c r="W2994" s="26"/>
    </row>
    <row r="2995" spans="1:23" x14ac:dyDescent="0.25">
      <c r="A2995" s="26" t="str">
        <f t="shared" si="588"/>
        <v>PREESCOLAR</v>
      </c>
      <c r="B2995" s="26" t="str">
        <f>"09PJN5709U"</f>
        <v>09PJN5709U</v>
      </c>
      <c r="C2995" s="26" t="str">
        <f>"WILLIAM SHAKESPEARE                                                                                 "</f>
        <v xml:space="preserve">WILLIAM SHAKESPEARE                                                                                 </v>
      </c>
      <c r="D2995" s="26" t="str">
        <f t="shared" si="593"/>
        <v>MATUTINO</v>
      </c>
      <c r="E2995" s="26" t="str">
        <f>"CARRETERA XOCHIMILCO TULYEHUALCO NO. 732                                        "</f>
        <v xml:space="preserve">CARRETERA XOCHIMILCO TULYEHUALCO NO. 732                                        </v>
      </c>
      <c r="F2995" s="26" t="str">
        <f>"SANTA MARIA NATIVITAS                                                                                                                       "</f>
        <v xml:space="preserve">SANTA MARIA NATIVITAS                                                                                                                       </v>
      </c>
      <c r="G2995" s="26" t="str">
        <f>"XOCHIMILCO                                                                      "</f>
        <v xml:space="preserve">XOCHIMILCO                                                                      </v>
      </c>
      <c r="H2995" s="26" t="str">
        <f>"053"</f>
        <v>053</v>
      </c>
      <c r="I2995" s="26" t="str">
        <f t="shared" si="589"/>
        <v>00</v>
      </c>
      <c r="J2995" s="26" t="str">
        <f>"35 "</f>
        <v xml:space="preserve">35 </v>
      </c>
      <c r="K2995" s="26" t="str">
        <f t="shared" si="590"/>
        <v>EP</v>
      </c>
      <c r="L2995" s="26" t="str">
        <f t="shared" si="591"/>
        <v>DGOSE</v>
      </c>
      <c r="M2995" s="26" t="str">
        <f t="shared" si="587"/>
        <v>PARTICULAR</v>
      </c>
      <c r="N2995" s="26">
        <v>16</v>
      </c>
      <c r="O2995" s="26">
        <v>9</v>
      </c>
      <c r="P2995" s="26">
        <v>7</v>
      </c>
      <c r="Q2995" s="26">
        <v>3</v>
      </c>
      <c r="R2995" s="26">
        <v>1</v>
      </c>
      <c r="S2995" s="26">
        <v>2</v>
      </c>
      <c r="T2995" s="26">
        <v>9</v>
      </c>
      <c r="U2995" s="26">
        <v>12</v>
      </c>
      <c r="V2995" s="26">
        <v>1</v>
      </c>
      <c r="W2995" s="26"/>
    </row>
    <row r="2996" spans="1:23" x14ac:dyDescent="0.25">
      <c r="A2996" s="26" t="str">
        <f t="shared" si="588"/>
        <v>PREESCOLAR</v>
      </c>
      <c r="B2996" s="26" t="str">
        <f>"09PJN5712I"</f>
        <v>09PJN5712I</v>
      </c>
      <c r="C2996" s="26" t="str">
        <f>"INSTITUTO LEYES DE REFORMA                                                                          "</f>
        <v xml:space="preserve">INSTITUTO LEYES DE REFORMA                                                                          </v>
      </c>
      <c r="D2996" s="26" t="str">
        <f t="shared" si="593"/>
        <v>MATUTINO</v>
      </c>
      <c r="E2996" s="26" t="str">
        <f>"10 DE AGOSTO DE 1860 MZ. 177 LT. 2046-A                                         "</f>
        <v xml:space="preserve">10 DE AGOSTO DE 1860 MZ. 177 LT. 2046-A                                         </v>
      </c>
      <c r="F2996" s="26" t="str">
        <f>"LEYES DE REFORMA                                                                                                                            "</f>
        <v xml:space="preserve">LEYES DE REFORMA                                                                                                                            </v>
      </c>
      <c r="G2996" s="26" t="str">
        <f>"IZTAPALAPA                                                                      "</f>
        <v xml:space="preserve">IZTAPALAPA                                                                      </v>
      </c>
      <c r="H2996" s="26" t="str">
        <f>"000"</f>
        <v>000</v>
      </c>
      <c r="I2996" s="26" t="str">
        <f t="shared" si="589"/>
        <v>00</v>
      </c>
      <c r="J2996" s="26" t="str">
        <f>"61 "</f>
        <v xml:space="preserve">61 </v>
      </c>
      <c r="K2996" s="26" t="str">
        <f>"IZ"</f>
        <v>IZ</v>
      </c>
      <c r="L2996" s="26" t="str">
        <f>"DGSEI"</f>
        <v>DGSEI</v>
      </c>
      <c r="M2996" s="26" t="str">
        <f t="shared" si="587"/>
        <v>PARTICULAR</v>
      </c>
      <c r="N2996" s="26">
        <v>15</v>
      </c>
      <c r="O2996" s="26">
        <v>7</v>
      </c>
      <c r="P2996" s="26">
        <v>8</v>
      </c>
      <c r="Q2996" s="26">
        <v>3</v>
      </c>
      <c r="R2996" s="26">
        <v>1</v>
      </c>
      <c r="S2996" s="26">
        <v>2</v>
      </c>
      <c r="T2996" s="26">
        <v>1</v>
      </c>
      <c r="U2996" s="26">
        <v>4</v>
      </c>
      <c r="V2996" s="26">
        <v>1</v>
      </c>
      <c r="W2996" s="26"/>
    </row>
    <row r="2997" spans="1:23" x14ac:dyDescent="0.25">
      <c r="A2997" s="26" t="str">
        <f t="shared" si="588"/>
        <v>PREESCOLAR</v>
      </c>
      <c r="B2997" s="26" t="str">
        <f>"09PJN5714D"</f>
        <v>09PJN5714D</v>
      </c>
      <c r="C2997" s="26" t="str">
        <f>"CENTRO DE DESARROLLO INFANTIL GAVIOTA                                                               "</f>
        <v xml:space="preserve">CENTRO DE DESARROLLO INFANTIL GAVIOTA                                                               </v>
      </c>
      <c r="D2997" s="26" t="str">
        <f t="shared" si="593"/>
        <v>MATUTINO</v>
      </c>
      <c r="E2997" s="26" t="str">
        <f>"NATAL PESADO NO. 19                                                             "</f>
        <v xml:space="preserve">NATAL PESADO NO. 19                                                             </v>
      </c>
      <c r="F2997" s="26" t="str">
        <f>"MIXCOAC                                                                                                                                     "</f>
        <v xml:space="preserve">MIXCOAC                                                                                                                                     </v>
      </c>
      <c r="G2997" s="26" t="str">
        <f>"BENITO JUAREZ                                                                   "</f>
        <v xml:space="preserve">BENITO JUAREZ                                                                   </v>
      </c>
      <c r="H2997" s="26" t="str">
        <f>"110"</f>
        <v>110</v>
      </c>
      <c r="I2997" s="26" t="str">
        <f t="shared" si="589"/>
        <v>00</v>
      </c>
      <c r="J2997" s="26" t="str">
        <f>"33 "</f>
        <v xml:space="preserve">33 </v>
      </c>
      <c r="K2997" s="26" t="str">
        <f>"EP"</f>
        <v>EP</v>
      </c>
      <c r="L2997" s="26" t="str">
        <f>"DGOSE"</f>
        <v>DGOSE</v>
      </c>
      <c r="M2997" s="26" t="str">
        <f t="shared" si="587"/>
        <v>PARTICULAR</v>
      </c>
      <c r="N2997" s="26">
        <v>7</v>
      </c>
      <c r="O2997" s="26">
        <v>5</v>
      </c>
      <c r="P2997" s="26">
        <v>2</v>
      </c>
      <c r="Q2997" s="26">
        <v>2</v>
      </c>
      <c r="R2997" s="26">
        <v>1</v>
      </c>
      <c r="S2997" s="26">
        <v>1</v>
      </c>
      <c r="T2997" s="26">
        <v>1</v>
      </c>
      <c r="U2997" s="26">
        <v>3</v>
      </c>
      <c r="V2997" s="26">
        <v>1</v>
      </c>
      <c r="W2997" s="26"/>
    </row>
    <row r="2998" spans="1:23" x14ac:dyDescent="0.25">
      <c r="A2998" s="26" t="str">
        <f t="shared" si="588"/>
        <v>PREESCOLAR</v>
      </c>
      <c r="B2998" s="26" t="str">
        <f>"09PJN5715F"</f>
        <v>09PJN5715F</v>
      </c>
      <c r="C2998" s="26" t="str">
        <f>"CENTRO EDUCATIVO INTEGRAL DALI                                                                      "</f>
        <v xml:space="preserve">CENTRO EDUCATIVO INTEGRAL DALI                                                                      </v>
      </c>
      <c r="D2998" s="26" t="str">
        <f t="shared" si="593"/>
        <v>MATUTINO</v>
      </c>
      <c r="E2998" s="26" t="str">
        <f>"CACAHUATALES NO. 97                                                             "</f>
        <v xml:space="preserve">CACAHUATALES NO. 97                                                             </v>
      </c>
      <c r="F2998" s="26" t="str">
        <f>"RAMOS MILLAN COAPA                                                                                                                          "</f>
        <v xml:space="preserve">RAMOS MILLAN COAPA                                                                                                                          </v>
      </c>
      <c r="G2998" s="26" t="str">
        <f>"TLALPAN                                                                         "</f>
        <v xml:space="preserve">TLALPAN                                                                         </v>
      </c>
      <c r="H2998" s="26" t="str">
        <f>"050"</f>
        <v>050</v>
      </c>
      <c r="I2998" s="26" t="str">
        <f t="shared" si="589"/>
        <v>00</v>
      </c>
      <c r="J2998" s="26" t="str">
        <f>"35 "</f>
        <v xml:space="preserve">35 </v>
      </c>
      <c r="K2998" s="26" t="str">
        <f>"EP"</f>
        <v>EP</v>
      </c>
      <c r="L2998" s="26" t="str">
        <f>"DGOSE"</f>
        <v>DGOSE</v>
      </c>
      <c r="M2998" s="26" t="str">
        <f t="shared" si="587"/>
        <v>PARTICULAR</v>
      </c>
      <c r="N2998" s="26">
        <v>22</v>
      </c>
      <c r="O2998" s="26">
        <v>9</v>
      </c>
      <c r="P2998" s="26">
        <v>13</v>
      </c>
      <c r="Q2998" s="26">
        <v>3</v>
      </c>
      <c r="R2998" s="26">
        <v>1</v>
      </c>
      <c r="S2998" s="26">
        <v>2</v>
      </c>
      <c r="T2998" s="26">
        <v>3</v>
      </c>
      <c r="U2998" s="26">
        <v>6</v>
      </c>
      <c r="V2998" s="26">
        <v>1</v>
      </c>
      <c r="W2998" s="26"/>
    </row>
    <row r="2999" spans="1:23" x14ac:dyDescent="0.25">
      <c r="A2999" s="26" t="str">
        <f t="shared" si="588"/>
        <v>PREESCOLAR</v>
      </c>
      <c r="B2999" s="26" t="str">
        <f>"09PJN5716E"</f>
        <v>09PJN5716E</v>
      </c>
      <c r="C2999" s="26" t="str">
        <f>"CENTRO EDUCATIVO INFANTIL LA PEÑITA                                                                 "</f>
        <v xml:space="preserve">CENTRO EDUCATIVO INFANTIL LA PEÑITA                                                                 </v>
      </c>
      <c r="D2999" s="26" t="str">
        <f t="shared" si="593"/>
        <v>MATUTINO</v>
      </c>
      <c r="E2999" s="26" t="str">
        <f>"CERRADA DE HERRERIA NO. 1                                                       "</f>
        <v xml:space="preserve">CERRADA DE HERRERIA NO. 1                                                       </v>
      </c>
      <c r="F2999" s="26" t="str">
        <f>"NUEVO RENACIMIENTO AXALCO                                                                                                                   "</f>
        <v xml:space="preserve">NUEVO RENACIMIENTO AXALCO                                                                                                                   </v>
      </c>
      <c r="G2999" s="26" t="str">
        <f>"TLALPAN                                                                         "</f>
        <v xml:space="preserve">TLALPAN                                                                         </v>
      </c>
      <c r="H2999" s="26" t="str">
        <f>"226"</f>
        <v>226</v>
      </c>
      <c r="I2999" s="26" t="str">
        <f t="shared" si="589"/>
        <v>00</v>
      </c>
      <c r="J2999" s="26" t="str">
        <f>"35 "</f>
        <v xml:space="preserve">35 </v>
      </c>
      <c r="K2999" s="26" t="str">
        <f>"EP"</f>
        <v>EP</v>
      </c>
      <c r="L2999" s="26" t="str">
        <f>"DGOSE"</f>
        <v>DGOSE</v>
      </c>
      <c r="M2999" s="26" t="str">
        <f t="shared" si="587"/>
        <v>PARTICULAR</v>
      </c>
      <c r="N2999" s="26">
        <v>19</v>
      </c>
      <c r="O2999" s="26">
        <v>9</v>
      </c>
      <c r="P2999" s="26">
        <v>10</v>
      </c>
      <c r="Q2999" s="26">
        <v>3</v>
      </c>
      <c r="R2999" s="26">
        <v>1</v>
      </c>
      <c r="S2999" s="26">
        <v>3</v>
      </c>
      <c r="T2999" s="26">
        <v>0</v>
      </c>
      <c r="U2999" s="26">
        <v>4</v>
      </c>
      <c r="V2999" s="26">
        <v>1</v>
      </c>
      <c r="W2999" s="26"/>
    </row>
    <row r="3000" spans="1:23" x14ac:dyDescent="0.25">
      <c r="A3000" s="26" t="str">
        <f t="shared" si="588"/>
        <v>PREESCOLAR</v>
      </c>
      <c r="B3000" s="26" t="str">
        <f>"09PJN5717D"</f>
        <v>09PJN5717D</v>
      </c>
      <c r="C3000" s="26" t="s">
        <v>125</v>
      </c>
      <c r="D3000" s="26" t="str">
        <f t="shared" si="593"/>
        <v>MATUTINO</v>
      </c>
      <c r="E3000" s="26" t="str">
        <f>"CANAL DE MIRAMONTES NO. 1788                                                    "</f>
        <v xml:space="preserve">CANAL DE MIRAMONTES NO. 1788                                                    </v>
      </c>
      <c r="F3000" s="26" t="str">
        <f>"CAMPESTRE CHURUBUSCO                                                                                                                        "</f>
        <v xml:space="preserve">CAMPESTRE CHURUBUSCO                                                                                                                        </v>
      </c>
      <c r="G3000" s="26" t="str">
        <f>"COYOACAN                                                                        "</f>
        <v xml:space="preserve">COYOACAN                                                                        </v>
      </c>
      <c r="H3000" s="26" t="str">
        <f>"043"</f>
        <v>043</v>
      </c>
      <c r="I3000" s="26" t="str">
        <f t="shared" si="589"/>
        <v>00</v>
      </c>
      <c r="J3000" s="26" t="str">
        <f>"35 "</f>
        <v xml:space="preserve">35 </v>
      </c>
      <c r="K3000" s="26" t="str">
        <f>"EP"</f>
        <v>EP</v>
      </c>
      <c r="L3000" s="26" t="str">
        <f>"DGOSE"</f>
        <v>DGOSE</v>
      </c>
      <c r="M3000" s="26" t="str">
        <f t="shared" si="587"/>
        <v>PARTICULAR</v>
      </c>
      <c r="N3000" s="26">
        <v>14</v>
      </c>
      <c r="O3000" s="26">
        <v>7</v>
      </c>
      <c r="P3000" s="26">
        <v>7</v>
      </c>
      <c r="Q3000" s="26">
        <v>2</v>
      </c>
      <c r="R3000" s="26">
        <v>1</v>
      </c>
      <c r="S3000" s="26">
        <v>1</v>
      </c>
      <c r="T3000" s="26">
        <v>8</v>
      </c>
      <c r="U3000" s="26">
        <v>10</v>
      </c>
      <c r="V3000" s="26">
        <v>1</v>
      </c>
      <c r="W3000" s="26"/>
    </row>
    <row r="3001" spans="1:23" x14ac:dyDescent="0.25">
      <c r="A3001" s="26" t="str">
        <f t="shared" si="588"/>
        <v>PREESCOLAR</v>
      </c>
      <c r="B3001" s="26" t="str">
        <f>"09PJN5718C"</f>
        <v>09PJN5718C</v>
      </c>
      <c r="C3001" s="26" t="str">
        <f>"LIDERES DEL FUTURO                                                                                  "</f>
        <v xml:space="preserve">LIDERES DEL FUTURO                                                                                  </v>
      </c>
      <c r="D3001" s="26" t="str">
        <f t="shared" si="593"/>
        <v>MATUTINO</v>
      </c>
      <c r="E3001" s="26" t="str">
        <f>"MANUEL CAPETILLO S/N MZ.18 LT. 9 ZONA 3                                         "</f>
        <v xml:space="preserve">MANUEL CAPETILLO S/N MZ.18 LT. 9 ZONA 3                                         </v>
      </c>
      <c r="F3001" s="26" t="str">
        <f>"SAN MIGUEL TEOTONGO                                                                                                                         "</f>
        <v xml:space="preserve">SAN MIGUEL TEOTONGO                                                                                                                         </v>
      </c>
      <c r="G3001" s="26" t="str">
        <f>"IZTAPALAPA                                                                      "</f>
        <v xml:space="preserve">IZTAPALAPA                                                                      </v>
      </c>
      <c r="H3001" s="26" t="str">
        <f>"000"</f>
        <v>000</v>
      </c>
      <c r="I3001" s="26" t="str">
        <f t="shared" si="589"/>
        <v>00</v>
      </c>
      <c r="J3001" s="26" t="str">
        <f>"64 "</f>
        <v xml:space="preserve">64 </v>
      </c>
      <c r="K3001" s="26" t="str">
        <f>"IZ"</f>
        <v>IZ</v>
      </c>
      <c r="L3001" s="26" t="str">
        <f>"DGSEI"</f>
        <v>DGSEI</v>
      </c>
      <c r="M3001" s="26" t="str">
        <f t="shared" si="587"/>
        <v>PARTICULAR</v>
      </c>
      <c r="N3001" s="26">
        <v>46</v>
      </c>
      <c r="O3001" s="26">
        <v>25</v>
      </c>
      <c r="P3001" s="26">
        <v>21</v>
      </c>
      <c r="Q3001" s="26">
        <v>3</v>
      </c>
      <c r="R3001" s="26">
        <v>1</v>
      </c>
      <c r="S3001" s="26">
        <v>3</v>
      </c>
      <c r="T3001" s="26">
        <v>2</v>
      </c>
      <c r="U3001" s="26">
        <v>6</v>
      </c>
      <c r="V3001" s="26">
        <v>1</v>
      </c>
      <c r="W3001" s="26"/>
    </row>
    <row r="3002" spans="1:23" x14ac:dyDescent="0.25">
      <c r="A3002" s="26" t="str">
        <f t="shared" si="588"/>
        <v>PREESCOLAR</v>
      </c>
      <c r="B3002" s="26" t="str">
        <f>"09PJN5719B"</f>
        <v>09PJN5719B</v>
      </c>
      <c r="C3002" s="26" t="str">
        <f>"INSTITUTO MERLOS                                                                                    "</f>
        <v xml:space="preserve">INSTITUTO MERLOS                                                                                    </v>
      </c>
      <c r="D3002" s="26" t="str">
        <f t="shared" si="593"/>
        <v>MATUTINO</v>
      </c>
      <c r="E3002" s="26" t="str">
        <f>"PRIV. DE LA MANZANA NO. 491                                                     "</f>
        <v xml:space="preserve">PRIV. DE LA MANZANA NO. 491                                                     </v>
      </c>
      <c r="F3002" s="26" t="str">
        <f>"VALLE DEL SUR                                                                                                                               "</f>
        <v xml:space="preserve">VALLE DEL SUR                                                                                                                               </v>
      </c>
      <c r="G3002" s="26" t="str">
        <f>"IZTAPALAPA                                                                      "</f>
        <v xml:space="preserve">IZTAPALAPA                                                                      </v>
      </c>
      <c r="H3002" s="26" t="str">
        <f>"000"</f>
        <v>000</v>
      </c>
      <c r="I3002" s="26" t="str">
        <f t="shared" si="589"/>
        <v>00</v>
      </c>
      <c r="J3002" s="26" t="str">
        <f>"61 "</f>
        <v xml:space="preserve">61 </v>
      </c>
      <c r="K3002" s="26" t="str">
        <f>"IZ"</f>
        <v>IZ</v>
      </c>
      <c r="L3002" s="26" t="str">
        <f>"DGSEI"</f>
        <v>DGSEI</v>
      </c>
      <c r="M3002" s="26" t="str">
        <f t="shared" si="587"/>
        <v>PARTICULAR</v>
      </c>
      <c r="N3002" s="26">
        <v>13</v>
      </c>
      <c r="O3002" s="26">
        <v>8</v>
      </c>
      <c r="P3002" s="26">
        <v>5</v>
      </c>
      <c r="Q3002" s="26">
        <v>3</v>
      </c>
      <c r="R3002" s="26">
        <v>1</v>
      </c>
      <c r="S3002" s="26">
        <v>3</v>
      </c>
      <c r="T3002" s="26">
        <v>0</v>
      </c>
      <c r="U3002" s="26">
        <v>4</v>
      </c>
      <c r="V3002" s="26">
        <v>1</v>
      </c>
      <c r="W3002" s="26"/>
    </row>
    <row r="3003" spans="1:23" x14ac:dyDescent="0.25">
      <c r="A3003" s="26" t="str">
        <f t="shared" si="588"/>
        <v>PREESCOLAR</v>
      </c>
      <c r="B3003" s="26" t="str">
        <f>"09PJN5720R"</f>
        <v>09PJN5720R</v>
      </c>
      <c r="C3003" s="26" t="str">
        <f>"INSTITUTO OLLIN-ATL                                                                                 "</f>
        <v xml:space="preserve">INSTITUTO OLLIN-ATL                                                                                 </v>
      </c>
      <c r="D3003" s="26" t="str">
        <f t="shared" si="593"/>
        <v>MATUTINO</v>
      </c>
      <c r="E3003" s="26" t="str">
        <f>"TEKAX NO. 2                                                                     "</f>
        <v xml:space="preserve">TEKAX NO. 2                                                                     </v>
      </c>
      <c r="F3003" s="26" t="str">
        <f>"HEROES DE PADIERNA                                                                                                                          "</f>
        <v xml:space="preserve">HEROES DE PADIERNA                                                                                                                          </v>
      </c>
      <c r="G3003" s="26" t="str">
        <f>"TLALPAN                                                                         "</f>
        <v xml:space="preserve">TLALPAN                                                                         </v>
      </c>
      <c r="H3003" s="26" t="str">
        <f>"049"</f>
        <v>049</v>
      </c>
      <c r="I3003" s="26" t="str">
        <f t="shared" si="589"/>
        <v>00</v>
      </c>
      <c r="J3003" s="26" t="str">
        <f t="shared" ref="J3003:J3008" si="595">"35 "</f>
        <v xml:space="preserve">35 </v>
      </c>
      <c r="K3003" s="26" t="str">
        <f t="shared" ref="K3003:K3059" si="596">"EP"</f>
        <v>EP</v>
      </c>
      <c r="L3003" s="26" t="str">
        <f t="shared" ref="L3003:L3059" si="597">"DGOSE"</f>
        <v>DGOSE</v>
      </c>
      <c r="M3003" s="26" t="str">
        <f t="shared" si="587"/>
        <v>PARTICULAR</v>
      </c>
      <c r="N3003" s="26">
        <v>23</v>
      </c>
      <c r="O3003" s="26">
        <v>14</v>
      </c>
      <c r="P3003" s="26">
        <v>9</v>
      </c>
      <c r="Q3003" s="26">
        <v>3</v>
      </c>
      <c r="R3003" s="26">
        <v>1</v>
      </c>
      <c r="S3003" s="26">
        <v>3</v>
      </c>
      <c r="T3003" s="26">
        <v>0</v>
      </c>
      <c r="U3003" s="26">
        <v>4</v>
      </c>
      <c r="V3003" s="26">
        <v>1</v>
      </c>
      <c r="W3003" s="26"/>
    </row>
    <row r="3004" spans="1:23" x14ac:dyDescent="0.25">
      <c r="A3004" s="26" t="str">
        <f t="shared" si="588"/>
        <v>PREESCOLAR</v>
      </c>
      <c r="B3004" s="26" t="str">
        <f>"09PJN5723O"</f>
        <v>09PJN5723O</v>
      </c>
      <c r="C3004" s="26" t="str">
        <f>"ANTON MAKARENKO                                                                                     "</f>
        <v xml:space="preserve">ANTON MAKARENKO                                                                                     </v>
      </c>
      <c r="D3004" s="26" t="str">
        <f t="shared" si="593"/>
        <v>MATUTINO</v>
      </c>
      <c r="E3004" s="26" t="str">
        <f>"POMUCH NO. 112                                                                  "</f>
        <v xml:space="preserve">POMUCH NO. 112                                                                  </v>
      </c>
      <c r="F3004" s="26" t="str">
        <f>"TORRES DE PADIERNA                                                                                                                          "</f>
        <v xml:space="preserve">TORRES DE PADIERNA                                                                                                                          </v>
      </c>
      <c r="G3004" s="26" t="str">
        <f>"TLALPAN                                                                         "</f>
        <v xml:space="preserve">TLALPAN                                                                         </v>
      </c>
      <c r="H3004" s="26" t="str">
        <f>"147"</f>
        <v>147</v>
      </c>
      <c r="I3004" s="26" t="str">
        <f t="shared" si="589"/>
        <v>00</v>
      </c>
      <c r="J3004" s="26" t="str">
        <f t="shared" si="595"/>
        <v xml:space="preserve">35 </v>
      </c>
      <c r="K3004" s="26" t="str">
        <f t="shared" si="596"/>
        <v>EP</v>
      </c>
      <c r="L3004" s="26" t="str">
        <f t="shared" si="597"/>
        <v>DGOSE</v>
      </c>
      <c r="M3004" s="26" t="str">
        <f t="shared" si="587"/>
        <v>PARTICULAR</v>
      </c>
      <c r="N3004" s="26">
        <v>27</v>
      </c>
      <c r="O3004" s="26">
        <v>16</v>
      </c>
      <c r="P3004" s="26">
        <v>11</v>
      </c>
      <c r="Q3004" s="26">
        <v>3</v>
      </c>
      <c r="R3004" s="26">
        <v>1</v>
      </c>
      <c r="S3004" s="26">
        <v>3</v>
      </c>
      <c r="T3004" s="26">
        <v>3</v>
      </c>
      <c r="U3004" s="26">
        <v>7</v>
      </c>
      <c r="V3004" s="26">
        <v>1</v>
      </c>
      <c r="W3004" s="26"/>
    </row>
    <row r="3005" spans="1:23" x14ac:dyDescent="0.25">
      <c r="A3005" s="26" t="str">
        <f t="shared" si="588"/>
        <v>PREESCOLAR</v>
      </c>
      <c r="B3005" s="26" t="str">
        <f>"09PJN5724N"</f>
        <v>09PJN5724N</v>
      </c>
      <c r="C3005" s="26" t="str">
        <f>"COLEGIO O'FARRILL                                                                                   "</f>
        <v xml:space="preserve">COLEGIO O'FARRILL                                                                                   </v>
      </c>
      <c r="D3005" s="26" t="str">
        <f t="shared" si="593"/>
        <v>MATUTINO</v>
      </c>
      <c r="E3005" s="26" t="str">
        <f>"HORTENSIA NO. 11                                                                "</f>
        <v xml:space="preserve">HORTENSIA NO. 11                                                                </v>
      </c>
      <c r="F3005" s="26" t="str">
        <f>"MIGUEL HIDALGO AMPLIACION                                                                                                                   "</f>
        <v xml:space="preserve">MIGUEL HIDALGO AMPLIACION                                                                                                                   </v>
      </c>
      <c r="G3005" s="26" t="str">
        <f>"TLALPAN                                                                         "</f>
        <v xml:space="preserve">TLALPAN                                                                         </v>
      </c>
      <c r="H3005" s="26" t="str">
        <f>"049"</f>
        <v>049</v>
      </c>
      <c r="I3005" s="26" t="str">
        <f t="shared" si="589"/>
        <v>00</v>
      </c>
      <c r="J3005" s="26" t="str">
        <f t="shared" si="595"/>
        <v xml:space="preserve">35 </v>
      </c>
      <c r="K3005" s="26" t="str">
        <f t="shared" si="596"/>
        <v>EP</v>
      </c>
      <c r="L3005" s="26" t="str">
        <f t="shared" si="597"/>
        <v>DGOSE</v>
      </c>
      <c r="M3005" s="26" t="str">
        <f t="shared" si="587"/>
        <v>PARTICULAR</v>
      </c>
      <c r="N3005" s="26">
        <v>100</v>
      </c>
      <c r="O3005" s="26">
        <v>55</v>
      </c>
      <c r="P3005" s="26">
        <v>45</v>
      </c>
      <c r="Q3005" s="26">
        <v>6</v>
      </c>
      <c r="R3005" s="26">
        <v>1</v>
      </c>
      <c r="S3005" s="26">
        <v>4</v>
      </c>
      <c r="T3005" s="26">
        <v>10</v>
      </c>
      <c r="U3005" s="26">
        <v>15</v>
      </c>
      <c r="V3005" s="26">
        <v>1</v>
      </c>
      <c r="W3005" s="26"/>
    </row>
    <row r="3006" spans="1:23" x14ac:dyDescent="0.25">
      <c r="A3006" s="26" t="str">
        <f t="shared" si="588"/>
        <v>PREESCOLAR</v>
      </c>
      <c r="B3006" s="26" t="str">
        <f>"09PJN5726L"</f>
        <v>09PJN5726L</v>
      </c>
      <c r="C3006" s="26" t="str">
        <f>"GANDHI                                                                                              "</f>
        <v xml:space="preserve">GANDHI                                                                                              </v>
      </c>
      <c r="D3006" s="26" t="str">
        <f t="shared" si="593"/>
        <v>MATUTINO</v>
      </c>
      <c r="E3006" s="26" t="str">
        <f>"COSCOMATE NO. 64                                                                "</f>
        <v xml:space="preserve">COSCOMATE NO. 64                                                                </v>
      </c>
      <c r="F3006" s="26" t="str">
        <f>"TORIELLO GUERRA                                                                                                                             "</f>
        <v xml:space="preserve">TORIELLO GUERRA                                                                                                                             </v>
      </c>
      <c r="G3006" s="26" t="str">
        <f>"TLALPAN                                                                         "</f>
        <v xml:space="preserve">TLALPAN                                                                         </v>
      </c>
      <c r="H3006" s="26" t="str">
        <f>"222"</f>
        <v>222</v>
      </c>
      <c r="I3006" s="26" t="str">
        <f t="shared" si="589"/>
        <v>00</v>
      </c>
      <c r="J3006" s="26" t="str">
        <f t="shared" si="595"/>
        <v xml:space="preserve">35 </v>
      </c>
      <c r="K3006" s="26" t="str">
        <f t="shared" si="596"/>
        <v>EP</v>
      </c>
      <c r="L3006" s="26" t="str">
        <f t="shared" si="597"/>
        <v>DGOSE</v>
      </c>
      <c r="M3006" s="26" t="str">
        <f t="shared" si="587"/>
        <v>PARTICULAR</v>
      </c>
      <c r="N3006" s="26">
        <v>55</v>
      </c>
      <c r="O3006" s="26">
        <v>30</v>
      </c>
      <c r="P3006" s="26">
        <v>25</v>
      </c>
      <c r="Q3006" s="26">
        <v>4</v>
      </c>
      <c r="R3006" s="26">
        <v>1</v>
      </c>
      <c r="S3006" s="26">
        <v>3</v>
      </c>
      <c r="T3006" s="26">
        <v>10</v>
      </c>
      <c r="U3006" s="26">
        <v>14</v>
      </c>
      <c r="V3006" s="26">
        <v>1</v>
      </c>
      <c r="W3006" s="26"/>
    </row>
    <row r="3007" spans="1:23" x14ac:dyDescent="0.25">
      <c r="A3007" s="26" t="str">
        <f t="shared" si="588"/>
        <v>PREESCOLAR</v>
      </c>
      <c r="B3007" s="26" t="str">
        <f>"09PJN5727K"</f>
        <v>09PJN5727K</v>
      </c>
      <c r="C3007" s="26" t="str">
        <f>"JARDÍN DE NIÑOS ALEXIS                                                                              "</f>
        <v xml:space="preserve">JARDÍN DE NIÑOS ALEXIS                                                                              </v>
      </c>
      <c r="D3007" s="26" t="str">
        <f t="shared" si="593"/>
        <v>MATUTINO</v>
      </c>
      <c r="E3007" s="26" t="str">
        <f>"PEDRO ENRIQUEZ UREÑA NO. 196                                                    "</f>
        <v xml:space="preserve">PEDRO ENRIQUEZ UREÑA NO. 196                                                    </v>
      </c>
      <c r="F3007" s="26" t="str">
        <f>"PEDREGAL DE SANTO DOMINGO                                                                                                                   "</f>
        <v xml:space="preserve">PEDREGAL DE SANTO DOMINGO                                                                                                                   </v>
      </c>
      <c r="G3007" s="26" t="str">
        <f>"COYOACAN                                                                        "</f>
        <v xml:space="preserve">COYOACAN                                                                        </v>
      </c>
      <c r="H3007" s="26" t="str">
        <f>"237"</f>
        <v>237</v>
      </c>
      <c r="I3007" s="26" t="str">
        <f t="shared" si="589"/>
        <v>00</v>
      </c>
      <c r="J3007" s="26" t="str">
        <f t="shared" si="595"/>
        <v xml:space="preserve">35 </v>
      </c>
      <c r="K3007" s="26" t="str">
        <f t="shared" si="596"/>
        <v>EP</v>
      </c>
      <c r="L3007" s="26" t="str">
        <f t="shared" si="597"/>
        <v>DGOSE</v>
      </c>
      <c r="M3007" s="26" t="str">
        <f t="shared" ref="M3007:M3070" si="598">"PARTICULAR"</f>
        <v>PARTICULAR</v>
      </c>
      <c r="N3007" s="26">
        <v>28</v>
      </c>
      <c r="O3007" s="26">
        <v>16</v>
      </c>
      <c r="P3007" s="26">
        <v>12</v>
      </c>
      <c r="Q3007" s="26">
        <v>3</v>
      </c>
      <c r="R3007" s="26">
        <v>1</v>
      </c>
      <c r="S3007" s="26">
        <v>3</v>
      </c>
      <c r="T3007" s="26">
        <v>0</v>
      </c>
      <c r="U3007" s="26">
        <v>4</v>
      </c>
      <c r="V3007" s="26">
        <v>1</v>
      </c>
      <c r="W3007" s="26"/>
    </row>
    <row r="3008" spans="1:23" x14ac:dyDescent="0.25">
      <c r="A3008" s="26" t="str">
        <f t="shared" si="588"/>
        <v>PREESCOLAR</v>
      </c>
      <c r="B3008" s="26" t="str">
        <f>"09PJN5728J"</f>
        <v>09PJN5728J</v>
      </c>
      <c r="C3008" s="26" t="str">
        <f>"ROSARIO ARREVILLAGA                                                                                 "</f>
        <v xml:space="preserve">ROSARIO ARREVILLAGA                                                                                 </v>
      </c>
      <c r="D3008" s="26" t="str">
        <f t="shared" si="593"/>
        <v>MATUTINO</v>
      </c>
      <c r="E3008" s="26" t="str">
        <f>"FRANCISCO I. MADERO NO. 3                                                       "</f>
        <v xml:space="preserve">FRANCISCO I. MADERO NO. 3                                                       </v>
      </c>
      <c r="F3008" s="26" t="str">
        <f>"TLALPAN                                                                                                                                     "</f>
        <v xml:space="preserve">TLALPAN                                                                                                                                     </v>
      </c>
      <c r="G3008" s="26" t="str">
        <f>"TLALPAN                                                                         "</f>
        <v xml:space="preserve">TLALPAN                                                                         </v>
      </c>
      <c r="H3008" s="26" t="str">
        <f>"051"</f>
        <v>051</v>
      </c>
      <c r="I3008" s="26" t="str">
        <f t="shared" si="589"/>
        <v>00</v>
      </c>
      <c r="J3008" s="26" t="str">
        <f t="shared" si="595"/>
        <v xml:space="preserve">35 </v>
      </c>
      <c r="K3008" s="26" t="str">
        <f t="shared" si="596"/>
        <v>EP</v>
      </c>
      <c r="L3008" s="26" t="str">
        <f t="shared" si="597"/>
        <v>DGOSE</v>
      </c>
      <c r="M3008" s="26" t="str">
        <f t="shared" si="598"/>
        <v>PARTICULAR</v>
      </c>
      <c r="N3008" s="26">
        <v>54</v>
      </c>
      <c r="O3008" s="26">
        <v>20</v>
      </c>
      <c r="P3008" s="26">
        <v>34</v>
      </c>
      <c r="Q3008" s="26">
        <v>4</v>
      </c>
      <c r="R3008" s="26">
        <v>1</v>
      </c>
      <c r="S3008" s="26">
        <v>4</v>
      </c>
      <c r="T3008" s="26">
        <v>6</v>
      </c>
      <c r="U3008" s="26">
        <v>11</v>
      </c>
      <c r="V3008" s="26">
        <v>1</v>
      </c>
      <c r="W3008" s="26"/>
    </row>
    <row r="3009" spans="1:23" x14ac:dyDescent="0.25">
      <c r="A3009" s="26" t="str">
        <f t="shared" si="588"/>
        <v>PREESCOLAR</v>
      </c>
      <c r="B3009" s="26" t="str">
        <f>"09PJN5730Y"</f>
        <v>09PJN5730Y</v>
      </c>
      <c r="C3009" s="26" t="str">
        <f>"CIRCULO MAGICO                                                                                      "</f>
        <v xml:space="preserve">CIRCULO MAGICO                                                                                      </v>
      </c>
      <c r="D3009" s="26" t="str">
        <f t="shared" si="593"/>
        <v>MATUTINO</v>
      </c>
      <c r="E3009" s="26" t="str">
        <f>"MIGUEL LAURENT NO. 514                                                          "</f>
        <v xml:space="preserve">MIGUEL LAURENT NO. 514                                                          </v>
      </c>
      <c r="F3009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3009" s="26" t="str">
        <f>"BENITO JUAREZ                                                                   "</f>
        <v xml:space="preserve">BENITO JUAREZ                                                                   </v>
      </c>
      <c r="H3009" s="26" t="str">
        <f>"231"</f>
        <v>231</v>
      </c>
      <c r="I3009" s="26" t="str">
        <f t="shared" si="589"/>
        <v>00</v>
      </c>
      <c r="J3009" s="26" t="str">
        <f>"33 "</f>
        <v xml:space="preserve">33 </v>
      </c>
      <c r="K3009" s="26" t="str">
        <f t="shared" si="596"/>
        <v>EP</v>
      </c>
      <c r="L3009" s="26" t="str">
        <f t="shared" si="597"/>
        <v>DGOSE</v>
      </c>
      <c r="M3009" s="26" t="str">
        <f t="shared" si="598"/>
        <v>PARTICULAR</v>
      </c>
      <c r="N3009" s="26">
        <v>14</v>
      </c>
      <c r="O3009" s="26">
        <v>3</v>
      </c>
      <c r="P3009" s="26">
        <v>11</v>
      </c>
      <c r="Q3009" s="26">
        <v>3</v>
      </c>
      <c r="R3009" s="26">
        <v>1</v>
      </c>
      <c r="S3009" s="26">
        <v>3</v>
      </c>
      <c r="T3009" s="26">
        <v>7</v>
      </c>
      <c r="U3009" s="26">
        <v>11</v>
      </c>
      <c r="V3009" s="26">
        <v>1</v>
      </c>
      <c r="W3009" s="26"/>
    </row>
    <row r="3010" spans="1:23" x14ac:dyDescent="0.25">
      <c r="A3010" s="26" t="str">
        <f t="shared" ref="A3010:A3073" si="599">"PREESCOLAR"</f>
        <v>PREESCOLAR</v>
      </c>
      <c r="B3010" s="26" t="str">
        <f>"09PJN5731X"</f>
        <v>09PJN5731X</v>
      </c>
      <c r="C3010" s="26" t="str">
        <f>"KIDS CASTLE                                                                                         "</f>
        <v xml:space="preserve">KIDS CASTLE                                                                                         </v>
      </c>
      <c r="D3010" s="26" t="str">
        <f t="shared" si="593"/>
        <v>MATUTINO</v>
      </c>
      <c r="E3010" s="26" t="str">
        <f>"MITLA NO. 517                                                                   "</f>
        <v xml:space="preserve">MITLA NO. 517                                                                   </v>
      </c>
      <c r="F3010" s="26" t="str">
        <f>"INDEPENDENCIA                                                                                                                               "</f>
        <v xml:space="preserve">INDEPENDENCIA                                                                                                                               </v>
      </c>
      <c r="G3010" s="26" t="str">
        <f>"BENITO JUAREZ                                                                   "</f>
        <v xml:space="preserve">BENITO JUAREZ                                                                   </v>
      </c>
      <c r="H3010" s="26" t="str">
        <f>"037"</f>
        <v>037</v>
      </c>
      <c r="I3010" s="26" t="str">
        <f t="shared" ref="I3010:I3073" si="600">"00"</f>
        <v>00</v>
      </c>
      <c r="J3010" s="26" t="str">
        <f>"33 "</f>
        <v xml:space="preserve">33 </v>
      </c>
      <c r="K3010" s="26" t="str">
        <f t="shared" si="596"/>
        <v>EP</v>
      </c>
      <c r="L3010" s="26" t="str">
        <f t="shared" si="597"/>
        <v>DGOSE</v>
      </c>
      <c r="M3010" s="26" t="str">
        <f t="shared" si="598"/>
        <v>PARTICULAR</v>
      </c>
      <c r="N3010" s="26">
        <v>4</v>
      </c>
      <c r="O3010" s="26">
        <v>2</v>
      </c>
      <c r="P3010" s="26">
        <v>2</v>
      </c>
      <c r="Q3010" s="26">
        <v>2</v>
      </c>
      <c r="R3010" s="26">
        <v>1</v>
      </c>
      <c r="S3010" s="26">
        <v>2</v>
      </c>
      <c r="T3010" s="26">
        <v>0</v>
      </c>
      <c r="U3010" s="26">
        <v>3</v>
      </c>
      <c r="V3010" s="26">
        <v>1</v>
      </c>
      <c r="W3010" s="26"/>
    </row>
    <row r="3011" spans="1:23" x14ac:dyDescent="0.25">
      <c r="A3011" s="26" t="str">
        <f t="shared" si="599"/>
        <v>PREESCOLAR</v>
      </c>
      <c r="B3011" s="26" t="str">
        <f>"09PJN5733V"</f>
        <v>09PJN5733V</v>
      </c>
      <c r="C3011" s="26" t="str">
        <f>"JARDÍN DE NIÑOS  APRENDO JUGANDO                                                                    "</f>
        <v xml:space="preserve">JARDÍN DE NIÑOS  APRENDO JUGANDO                                                                    </v>
      </c>
      <c r="D3011" s="26" t="str">
        <f t="shared" si="593"/>
        <v>MATUTINO</v>
      </c>
      <c r="E3011" s="26" t="str">
        <f>"JULIO VERNE NO. 18                                                              "</f>
        <v xml:space="preserve">JULIO VERNE NO. 18                                                              </v>
      </c>
      <c r="F3011" s="26" t="str">
        <f>"POLANCO CHAPULTEPEC                                                                                                                         "</f>
        <v xml:space="preserve">POLANCO CHAPULTEPEC                                                                                                                         </v>
      </c>
      <c r="G3011" s="26" t="str">
        <f>"MIGUEL HIDALGO                                                                  "</f>
        <v xml:space="preserve">MIGUEL HIDALGO                                                                  </v>
      </c>
      <c r="H3011" s="26" t="str">
        <f>"131"</f>
        <v>131</v>
      </c>
      <c r="I3011" s="26" t="str">
        <f t="shared" si="600"/>
        <v>00</v>
      </c>
      <c r="J3011" s="26" t="str">
        <f>"32 "</f>
        <v xml:space="preserve">32 </v>
      </c>
      <c r="K3011" s="26" t="str">
        <f t="shared" si="596"/>
        <v>EP</v>
      </c>
      <c r="L3011" s="26" t="str">
        <f t="shared" si="597"/>
        <v>DGOSE</v>
      </c>
      <c r="M3011" s="26" t="str">
        <f t="shared" si="598"/>
        <v>PARTICULAR</v>
      </c>
      <c r="N3011" s="26">
        <v>41</v>
      </c>
      <c r="O3011" s="26">
        <v>23</v>
      </c>
      <c r="P3011" s="26">
        <v>18</v>
      </c>
      <c r="Q3011" s="26">
        <v>3</v>
      </c>
      <c r="R3011" s="26">
        <v>1</v>
      </c>
      <c r="S3011" s="26">
        <v>3</v>
      </c>
      <c r="T3011" s="26">
        <v>2</v>
      </c>
      <c r="U3011" s="26">
        <v>6</v>
      </c>
      <c r="V3011" s="26">
        <v>1</v>
      </c>
      <c r="W3011" s="26"/>
    </row>
    <row r="3012" spans="1:23" x14ac:dyDescent="0.25">
      <c r="A3012" s="26" t="str">
        <f t="shared" si="599"/>
        <v>PREESCOLAR</v>
      </c>
      <c r="B3012" s="26" t="str">
        <f>"09PJN5734U"</f>
        <v>09PJN5734U</v>
      </c>
      <c r="C3012" s="26" t="str">
        <f>"FERAND                                                                                              "</f>
        <v xml:space="preserve">FERAND                                                                                              </v>
      </c>
      <c r="D3012" s="26" t="str">
        <f t="shared" si="593"/>
        <v>MATUTINO</v>
      </c>
      <c r="E3012" s="26" t="str">
        <f>"DZITAS NO. 88                                                                   "</f>
        <v xml:space="preserve">DZITAS NO. 88                                                                   </v>
      </c>
      <c r="F3012" s="26" t="str">
        <f>"PEDREGAL DE SAN NICOLAS                                                                                                                     "</f>
        <v xml:space="preserve">PEDREGAL DE SAN NICOLAS                                                                                                                     </v>
      </c>
      <c r="G3012" s="26" t="str">
        <f>"TLALPAN                                                                         "</f>
        <v xml:space="preserve">TLALPAN                                                                         </v>
      </c>
      <c r="H3012" s="26" t="str">
        <f>"135"</f>
        <v>135</v>
      </c>
      <c r="I3012" s="26" t="str">
        <f t="shared" si="600"/>
        <v>00</v>
      </c>
      <c r="J3012" s="26" t="str">
        <f>"35 "</f>
        <v xml:space="preserve">35 </v>
      </c>
      <c r="K3012" s="26" t="str">
        <f t="shared" si="596"/>
        <v>EP</v>
      </c>
      <c r="L3012" s="26" t="str">
        <f t="shared" si="597"/>
        <v>DGOSE</v>
      </c>
      <c r="M3012" s="26" t="str">
        <f t="shared" si="598"/>
        <v>PARTICULAR</v>
      </c>
      <c r="N3012" s="26">
        <v>45</v>
      </c>
      <c r="O3012" s="26">
        <v>27</v>
      </c>
      <c r="P3012" s="26">
        <v>18</v>
      </c>
      <c r="Q3012" s="26">
        <v>3</v>
      </c>
      <c r="R3012" s="26">
        <v>1</v>
      </c>
      <c r="S3012" s="26">
        <v>3</v>
      </c>
      <c r="T3012" s="26">
        <v>0</v>
      </c>
      <c r="U3012" s="26">
        <v>4</v>
      </c>
      <c r="V3012" s="26">
        <v>1</v>
      </c>
      <c r="W3012" s="26"/>
    </row>
    <row r="3013" spans="1:23" x14ac:dyDescent="0.25">
      <c r="A3013" s="26" t="str">
        <f t="shared" si="599"/>
        <v>PREESCOLAR</v>
      </c>
      <c r="B3013" s="26" t="str">
        <f>"09PJN5735T"</f>
        <v>09PJN5735T</v>
      </c>
      <c r="C3013" s="26" t="str">
        <f>"KINDER LEGARIA                                                                                      "</f>
        <v xml:space="preserve">KINDER LEGARIA                                                                                      </v>
      </c>
      <c r="D3013" s="26" t="str">
        <f t="shared" si="593"/>
        <v>MATUTINO</v>
      </c>
      <c r="E3013" s="26" t="str">
        <f>"PRIMERA CERRADA DE IGNACIO ALLENDE NO.29                                        "</f>
        <v xml:space="preserve">PRIMERA CERRADA DE IGNACIO ALLENDE NO.29                                        </v>
      </c>
      <c r="F3013" s="26" t="str">
        <f>"ARGENTINA ANTIGUA                                                                                                                           "</f>
        <v xml:space="preserve">ARGENTINA ANTIGUA                                                                                                                           </v>
      </c>
      <c r="G3013" s="26" t="str">
        <f>"MIGUEL HIDALGO                                                                  "</f>
        <v xml:space="preserve">MIGUEL HIDALGO                                                                  </v>
      </c>
      <c r="H3013" s="26" t="str">
        <f>"009"</f>
        <v>009</v>
      </c>
      <c r="I3013" s="26" t="str">
        <f t="shared" si="600"/>
        <v>00</v>
      </c>
      <c r="J3013" s="26" t="str">
        <f t="shared" ref="J3013:J3018" si="601">"32 "</f>
        <v xml:space="preserve">32 </v>
      </c>
      <c r="K3013" s="26" t="str">
        <f t="shared" si="596"/>
        <v>EP</v>
      </c>
      <c r="L3013" s="26" t="str">
        <f t="shared" si="597"/>
        <v>DGOSE</v>
      </c>
      <c r="M3013" s="26" t="str">
        <f t="shared" si="598"/>
        <v>PARTICULAR</v>
      </c>
      <c r="N3013" s="26">
        <v>26</v>
      </c>
      <c r="O3013" s="26">
        <v>14</v>
      </c>
      <c r="P3013" s="26">
        <v>12</v>
      </c>
      <c r="Q3013" s="26">
        <v>3</v>
      </c>
      <c r="R3013" s="26">
        <v>1</v>
      </c>
      <c r="S3013" s="26">
        <v>2</v>
      </c>
      <c r="T3013" s="26">
        <v>5</v>
      </c>
      <c r="U3013" s="26">
        <v>8</v>
      </c>
      <c r="V3013" s="26">
        <v>1</v>
      </c>
      <c r="W3013" s="26"/>
    </row>
    <row r="3014" spans="1:23" x14ac:dyDescent="0.25">
      <c r="A3014" s="26" t="str">
        <f t="shared" si="599"/>
        <v>PREESCOLAR</v>
      </c>
      <c r="B3014" s="26" t="str">
        <f>"09PJN5736S"</f>
        <v>09PJN5736S</v>
      </c>
      <c r="C3014" s="26" t="str">
        <f>"LICEO MEXICANO ALEMAN                                                                               "</f>
        <v xml:space="preserve">LICEO MEXICANO ALEMAN                                                                               </v>
      </c>
      <c r="D3014" s="26" t="str">
        <f t="shared" si="593"/>
        <v>MATUTINO</v>
      </c>
      <c r="E3014" s="26" t="str">
        <f>"ZAMORA NO. 165                                                                  "</f>
        <v xml:space="preserve">ZAMORA NO. 165                                                                  </v>
      </c>
      <c r="F3014" s="26" t="str">
        <f>"CONDESA                                                                                                                                     "</f>
        <v xml:space="preserve">CONDESA                                                                                                                                     </v>
      </c>
      <c r="G3014" s="26" t="s">
        <v>4128</v>
      </c>
      <c r="H3014" s="26" t="str">
        <f>"020"</f>
        <v>020</v>
      </c>
      <c r="I3014" s="26" t="str">
        <f t="shared" si="600"/>
        <v>00</v>
      </c>
      <c r="J3014" s="26" t="str">
        <f t="shared" si="601"/>
        <v xml:space="preserve">32 </v>
      </c>
      <c r="K3014" s="26" t="str">
        <f t="shared" si="596"/>
        <v>EP</v>
      </c>
      <c r="L3014" s="26" t="str">
        <f t="shared" si="597"/>
        <v>DGOSE</v>
      </c>
      <c r="M3014" s="26" t="str">
        <f t="shared" si="598"/>
        <v>PARTICULAR</v>
      </c>
      <c r="N3014" s="26">
        <v>2</v>
      </c>
      <c r="O3014" s="26">
        <v>1</v>
      </c>
      <c r="P3014" s="26">
        <v>1</v>
      </c>
      <c r="Q3014" s="26">
        <v>2</v>
      </c>
      <c r="R3014" s="26">
        <v>1</v>
      </c>
      <c r="S3014" s="26">
        <v>2</v>
      </c>
      <c r="T3014" s="26">
        <v>2</v>
      </c>
      <c r="U3014" s="26">
        <v>5</v>
      </c>
      <c r="V3014" s="26">
        <v>1</v>
      </c>
      <c r="W3014" s="26"/>
    </row>
    <row r="3015" spans="1:23" x14ac:dyDescent="0.25">
      <c r="A3015" s="26" t="str">
        <f t="shared" si="599"/>
        <v>PREESCOLAR</v>
      </c>
      <c r="B3015" s="26" t="str">
        <f>"09PJN5737R"</f>
        <v>09PJN5737R</v>
      </c>
      <c r="C3015" s="26" t="str">
        <f>"CENTRO EDUCATIVO INFANTIL INTEGRAL KIDS                                                             "</f>
        <v xml:space="preserve">CENTRO EDUCATIVO INFANTIL INTEGRAL KIDS                                                             </v>
      </c>
      <c r="D3015" s="26" t="str">
        <f t="shared" si="593"/>
        <v>MATUTINO</v>
      </c>
      <c r="E3015" s="26" t="str">
        <f>"ENSENADA NO. 89                                                                 "</f>
        <v xml:space="preserve">ENSENADA NO. 89                                                                 </v>
      </c>
      <c r="F3015" s="26" t="str">
        <f>"HIPODROMO                                                                                                                                   "</f>
        <v xml:space="preserve">HIPODROMO                                                                                                                                   </v>
      </c>
      <c r="G3015" s="26" t="s">
        <v>4128</v>
      </c>
      <c r="H3015" s="26" t="str">
        <f>"020"</f>
        <v>020</v>
      </c>
      <c r="I3015" s="26" t="str">
        <f t="shared" si="600"/>
        <v>00</v>
      </c>
      <c r="J3015" s="26" t="str">
        <f t="shared" si="601"/>
        <v xml:space="preserve">32 </v>
      </c>
      <c r="K3015" s="26" t="str">
        <f t="shared" si="596"/>
        <v>EP</v>
      </c>
      <c r="L3015" s="26" t="str">
        <f t="shared" si="597"/>
        <v>DGOSE</v>
      </c>
      <c r="M3015" s="26" t="str">
        <f t="shared" si="598"/>
        <v>PARTICULAR</v>
      </c>
      <c r="N3015" s="26">
        <v>3</v>
      </c>
      <c r="O3015" s="26">
        <v>2</v>
      </c>
      <c r="P3015" s="26">
        <v>1</v>
      </c>
      <c r="Q3015" s="26">
        <v>1</v>
      </c>
      <c r="R3015" s="26">
        <v>1</v>
      </c>
      <c r="S3015" s="26">
        <v>1</v>
      </c>
      <c r="T3015" s="26">
        <v>0</v>
      </c>
      <c r="U3015" s="26">
        <v>2</v>
      </c>
      <c r="V3015" s="26">
        <v>1</v>
      </c>
      <c r="W3015" s="26"/>
    </row>
    <row r="3016" spans="1:23" x14ac:dyDescent="0.25">
      <c r="A3016" s="26" t="str">
        <f t="shared" si="599"/>
        <v>PREESCOLAR</v>
      </c>
      <c r="B3016" s="26" t="str">
        <f>"09PJN5738Q"</f>
        <v>09PJN5738Q</v>
      </c>
      <c r="C3016" s="26" t="str">
        <f>"COLEGIO ABC                                                                                         "</f>
        <v xml:space="preserve">COLEGIO ABC                                                                                         </v>
      </c>
      <c r="D3016" s="26" t="str">
        <f t="shared" si="593"/>
        <v>MATUTINO</v>
      </c>
      <c r="E3016" s="26" t="str">
        <f>"SANTA CRUZ CACALCO NO. 46                                                       "</f>
        <v xml:space="preserve">SANTA CRUZ CACALCO NO. 46                                                       </v>
      </c>
      <c r="F3016" s="26" t="str">
        <f>"PENSIL                                                                                                                                      "</f>
        <v xml:space="preserve">PENSIL                                                                                                                                      </v>
      </c>
      <c r="G3016" s="26" t="str">
        <f>"MIGUEL HIDALGO                                                                  "</f>
        <v xml:space="preserve">MIGUEL HIDALGO                                                                  </v>
      </c>
      <c r="H3016" s="26" t="str">
        <f>"009"</f>
        <v>009</v>
      </c>
      <c r="I3016" s="26" t="str">
        <f t="shared" si="600"/>
        <v>00</v>
      </c>
      <c r="J3016" s="26" t="str">
        <f t="shared" si="601"/>
        <v xml:space="preserve">32 </v>
      </c>
      <c r="K3016" s="26" t="str">
        <f t="shared" si="596"/>
        <v>EP</v>
      </c>
      <c r="L3016" s="26" t="str">
        <f t="shared" si="597"/>
        <v>DGOSE</v>
      </c>
      <c r="M3016" s="26" t="str">
        <f t="shared" si="598"/>
        <v>PARTICULAR</v>
      </c>
      <c r="N3016" s="26">
        <v>17</v>
      </c>
      <c r="O3016" s="26">
        <v>12</v>
      </c>
      <c r="P3016" s="26">
        <v>5</v>
      </c>
      <c r="Q3016" s="26">
        <v>2</v>
      </c>
      <c r="R3016" s="26">
        <v>1</v>
      </c>
      <c r="S3016" s="26">
        <v>2</v>
      </c>
      <c r="T3016" s="26">
        <v>3</v>
      </c>
      <c r="U3016" s="26">
        <v>6</v>
      </c>
      <c r="V3016" s="26">
        <v>1</v>
      </c>
      <c r="W3016" s="26"/>
    </row>
    <row r="3017" spans="1:23" x14ac:dyDescent="0.25">
      <c r="A3017" s="26" t="str">
        <f t="shared" si="599"/>
        <v>PREESCOLAR</v>
      </c>
      <c r="B3017" s="26" t="str">
        <f>"09PJN5739P"</f>
        <v>09PJN5739P</v>
      </c>
      <c r="C3017" s="26" t="str">
        <f>"COLEGIO LAFONTAINE                                                                                  "</f>
        <v xml:space="preserve">COLEGIO LAFONTAINE                                                                                  </v>
      </c>
      <c r="D3017" s="26" t="str">
        <f t="shared" si="593"/>
        <v>MATUTINO</v>
      </c>
      <c r="E3017" s="26" t="str">
        <f>"LAFONTAINE NO. 138                                                              "</f>
        <v xml:space="preserve">LAFONTAINE NO. 138                                                              </v>
      </c>
      <c r="F3017" s="26" t="str">
        <f>"POLANCO SECCION I                                                                                                                           "</f>
        <v xml:space="preserve">POLANCO SECCION I                                                                                                                           </v>
      </c>
      <c r="G3017" s="26" t="str">
        <f>"MIGUEL HIDALGO                                                                  "</f>
        <v xml:space="preserve">MIGUEL HIDALGO                                                                  </v>
      </c>
      <c r="H3017" s="26" t="str">
        <f>"196"</f>
        <v>196</v>
      </c>
      <c r="I3017" s="26" t="str">
        <f t="shared" si="600"/>
        <v>00</v>
      </c>
      <c r="J3017" s="26" t="str">
        <f t="shared" si="601"/>
        <v xml:space="preserve">32 </v>
      </c>
      <c r="K3017" s="26" t="str">
        <f t="shared" si="596"/>
        <v>EP</v>
      </c>
      <c r="L3017" s="26" t="str">
        <f t="shared" si="597"/>
        <v>DGOSE</v>
      </c>
      <c r="M3017" s="26" t="str">
        <f t="shared" si="598"/>
        <v>PARTICULAR</v>
      </c>
      <c r="N3017" s="26">
        <v>113</v>
      </c>
      <c r="O3017" s="26">
        <v>53</v>
      </c>
      <c r="P3017" s="26">
        <v>60</v>
      </c>
      <c r="Q3017" s="26">
        <v>5</v>
      </c>
      <c r="R3017" s="26">
        <v>1</v>
      </c>
      <c r="S3017" s="26">
        <v>3</v>
      </c>
      <c r="T3017" s="26">
        <v>4</v>
      </c>
      <c r="U3017" s="26">
        <v>8</v>
      </c>
      <c r="V3017" s="26">
        <v>1</v>
      </c>
      <c r="W3017" s="26"/>
    </row>
    <row r="3018" spans="1:23" x14ac:dyDescent="0.25">
      <c r="A3018" s="26" t="str">
        <f t="shared" si="599"/>
        <v>PREESCOLAR</v>
      </c>
      <c r="B3018" s="26" t="str">
        <f>"09PJN5742C"</f>
        <v>09PJN5742C</v>
      </c>
      <c r="C3018" s="26" t="str">
        <f>"WALT DISNEY                                                                                         "</f>
        <v xml:space="preserve">WALT DISNEY                                                                                         </v>
      </c>
      <c r="D3018" s="26" t="str">
        <f t="shared" si="593"/>
        <v>MATUTINO</v>
      </c>
      <c r="E3018" s="26" t="str">
        <f>"HERIBERTO JARA MZ.94 LT.2                                                       "</f>
        <v xml:space="preserve">HERIBERTO JARA MZ.94 LT.2                                                       </v>
      </c>
      <c r="F3018" s="26" t="str">
        <f>"GENERAL FELIPE BERRIOZABAL                                                                                                                  "</f>
        <v xml:space="preserve">GENERAL FELIPE BERRIOZABAL                                                                                                                  </v>
      </c>
      <c r="G3018" s="26" t="str">
        <f>"GUSTAVO A. MADERO                                                               "</f>
        <v xml:space="preserve">GUSTAVO A. MADERO                                                               </v>
      </c>
      <c r="H3018" s="26" t="str">
        <f>"154"</f>
        <v>154</v>
      </c>
      <c r="I3018" s="26" t="str">
        <f t="shared" si="600"/>
        <v>00</v>
      </c>
      <c r="J3018" s="26" t="str">
        <f t="shared" si="601"/>
        <v xml:space="preserve">32 </v>
      </c>
      <c r="K3018" s="26" t="str">
        <f t="shared" si="596"/>
        <v>EP</v>
      </c>
      <c r="L3018" s="26" t="str">
        <f t="shared" si="597"/>
        <v>DGOSE</v>
      </c>
      <c r="M3018" s="26" t="str">
        <f t="shared" si="598"/>
        <v>PARTICULAR</v>
      </c>
      <c r="N3018" s="26">
        <v>37</v>
      </c>
      <c r="O3018" s="26">
        <v>17</v>
      </c>
      <c r="P3018" s="26">
        <v>20</v>
      </c>
      <c r="Q3018" s="26">
        <v>3</v>
      </c>
      <c r="R3018" s="26">
        <v>1</v>
      </c>
      <c r="S3018" s="26">
        <v>3</v>
      </c>
      <c r="T3018" s="26">
        <v>0</v>
      </c>
      <c r="U3018" s="26">
        <v>4</v>
      </c>
      <c r="V3018" s="26">
        <v>1</v>
      </c>
      <c r="W3018" s="26"/>
    </row>
    <row r="3019" spans="1:23" x14ac:dyDescent="0.25">
      <c r="A3019" s="26" t="str">
        <f t="shared" si="599"/>
        <v>PREESCOLAR</v>
      </c>
      <c r="B3019" s="26" t="str">
        <f>"09PJN5743B"</f>
        <v>09PJN5743B</v>
      </c>
      <c r="C3019" s="26" t="s">
        <v>126</v>
      </c>
      <c r="D3019" s="26" t="str">
        <f t="shared" si="593"/>
        <v>MATUTINO</v>
      </c>
      <c r="E3019" s="26" t="str">
        <f>"CERRADA SAN EDUARDO NO. 8                                                       "</f>
        <v xml:space="preserve">CERRADA SAN EDUARDO NO. 8                                                       </v>
      </c>
      <c r="F3019" s="26" t="str">
        <f>"SAN FRANCISCO CULHUACAN                                                                                                                     "</f>
        <v xml:space="preserve">SAN FRANCISCO CULHUACAN                                                                                                                     </v>
      </c>
      <c r="G3019" s="26" t="str">
        <f>"COYOACAN                                                                        "</f>
        <v xml:space="preserve">COYOACAN                                                                        </v>
      </c>
      <c r="H3019" s="26" t="str">
        <f>"099"</f>
        <v>099</v>
      </c>
      <c r="I3019" s="26" t="str">
        <f t="shared" si="600"/>
        <v>00</v>
      </c>
      <c r="J3019" s="26" t="str">
        <f>"35 "</f>
        <v xml:space="preserve">35 </v>
      </c>
      <c r="K3019" s="26" t="str">
        <f t="shared" si="596"/>
        <v>EP</v>
      </c>
      <c r="L3019" s="26" t="str">
        <f t="shared" si="597"/>
        <v>DGOSE</v>
      </c>
      <c r="M3019" s="26" t="str">
        <f t="shared" si="598"/>
        <v>PARTICULAR</v>
      </c>
      <c r="N3019" s="26">
        <v>27</v>
      </c>
      <c r="O3019" s="26">
        <v>13</v>
      </c>
      <c r="P3019" s="26">
        <v>14</v>
      </c>
      <c r="Q3019" s="26">
        <v>3</v>
      </c>
      <c r="R3019" s="26">
        <v>1</v>
      </c>
      <c r="S3019" s="26">
        <v>3</v>
      </c>
      <c r="T3019" s="26">
        <v>0</v>
      </c>
      <c r="U3019" s="26">
        <v>4</v>
      </c>
      <c r="V3019" s="26">
        <v>1</v>
      </c>
      <c r="W3019" s="26"/>
    </row>
    <row r="3020" spans="1:23" x14ac:dyDescent="0.25">
      <c r="A3020" s="26" t="str">
        <f t="shared" si="599"/>
        <v>PREESCOLAR</v>
      </c>
      <c r="B3020" s="26" t="str">
        <f>"09PJN5744A"</f>
        <v>09PJN5744A</v>
      </c>
      <c r="C3020" s="26" t="str">
        <f>"CENTRO DE DESARROLLO INFANTIL MOMO MONTESSORI                                                       "</f>
        <v xml:space="preserve">CENTRO DE DESARROLLO INFANTIL MOMO MONTESSORI                                                       </v>
      </c>
      <c r="D3020" s="26" t="str">
        <f t="shared" si="593"/>
        <v>MATUTINO</v>
      </c>
      <c r="E3020" s="26" t="str">
        <f>"CERRO DE LAS TORRES NO. 353                                                     "</f>
        <v xml:space="preserve">CERRO DE LAS TORRES NO. 353                                                     </v>
      </c>
      <c r="F3020" s="26" t="str">
        <f>"CAMPESTRE CHURUBUSCO                                                                                                                        "</f>
        <v xml:space="preserve">CAMPESTRE CHURUBUSCO                                                                                                                        </v>
      </c>
      <c r="G3020" s="26" t="str">
        <f>"COYOACAN                                                                        "</f>
        <v xml:space="preserve">COYOACAN                                                                        </v>
      </c>
      <c r="H3020" s="26" t="str">
        <f>"111"</f>
        <v>111</v>
      </c>
      <c r="I3020" s="26" t="str">
        <f t="shared" si="600"/>
        <v>00</v>
      </c>
      <c r="J3020" s="26" t="str">
        <f>"35 "</f>
        <v xml:space="preserve">35 </v>
      </c>
      <c r="K3020" s="26" t="str">
        <f t="shared" si="596"/>
        <v>EP</v>
      </c>
      <c r="L3020" s="26" t="str">
        <f t="shared" si="597"/>
        <v>DGOSE</v>
      </c>
      <c r="M3020" s="26" t="str">
        <f t="shared" si="598"/>
        <v>PARTICULAR</v>
      </c>
      <c r="N3020" s="26">
        <v>9</v>
      </c>
      <c r="O3020" s="26">
        <v>6</v>
      </c>
      <c r="P3020" s="26">
        <v>3</v>
      </c>
      <c r="Q3020" s="26">
        <v>3</v>
      </c>
      <c r="R3020" s="26">
        <v>1</v>
      </c>
      <c r="S3020" s="26">
        <v>2</v>
      </c>
      <c r="T3020" s="26">
        <v>1</v>
      </c>
      <c r="U3020" s="26">
        <v>4</v>
      </c>
      <c r="V3020" s="26">
        <v>1</v>
      </c>
      <c r="W3020" s="26"/>
    </row>
    <row r="3021" spans="1:23" x14ac:dyDescent="0.25">
      <c r="A3021" s="26" t="str">
        <f t="shared" si="599"/>
        <v>PREESCOLAR</v>
      </c>
      <c r="B3021" s="26" t="str">
        <f>"09PJN5746Z"</f>
        <v>09PJN5746Z</v>
      </c>
      <c r="C3021" s="26" t="str">
        <f>"COLEGIO PEDAGAGÓGICO AMERICANO ALBERTO CORREA                                                       "</f>
        <v xml:space="preserve">COLEGIO PEDAGAGÓGICO AMERICANO ALBERTO CORREA                                                       </v>
      </c>
      <c r="D3021" s="26" t="str">
        <f t="shared" si="593"/>
        <v>MATUTINO</v>
      </c>
      <c r="E3021" s="26" t="str">
        <f>"CERRADA PAZ MONTES DE OCA NO. 33                                                "</f>
        <v xml:space="preserve">CERRADA PAZ MONTES DE OCA NO. 33                                                </v>
      </c>
      <c r="F3021" s="26" t="str">
        <f>"GENERAL PEDRO MARIA ANAYA                                                                                                                   "</f>
        <v xml:space="preserve">GENERAL PEDRO MARIA ANAYA                                                                                                                   </v>
      </c>
      <c r="G3021" s="26" t="str">
        <f>"BENITO JUAREZ                                                                   "</f>
        <v xml:space="preserve">BENITO JUAREZ                                                                   </v>
      </c>
      <c r="H3021" s="26" t="str">
        <f>"234"</f>
        <v>234</v>
      </c>
      <c r="I3021" s="26" t="str">
        <f t="shared" si="600"/>
        <v>00</v>
      </c>
      <c r="J3021" s="26" t="str">
        <f>"33 "</f>
        <v xml:space="preserve">33 </v>
      </c>
      <c r="K3021" s="26" t="str">
        <f t="shared" si="596"/>
        <v>EP</v>
      </c>
      <c r="L3021" s="26" t="str">
        <f t="shared" si="597"/>
        <v>DGOSE</v>
      </c>
      <c r="M3021" s="26" t="str">
        <f t="shared" si="598"/>
        <v>PARTICULAR</v>
      </c>
      <c r="N3021" s="26">
        <v>8</v>
      </c>
      <c r="O3021" s="26">
        <v>4</v>
      </c>
      <c r="P3021" s="26">
        <v>4</v>
      </c>
      <c r="Q3021" s="26">
        <v>2</v>
      </c>
      <c r="R3021" s="26">
        <v>1</v>
      </c>
      <c r="S3021" s="26">
        <v>1</v>
      </c>
      <c r="T3021" s="26">
        <v>8</v>
      </c>
      <c r="U3021" s="26">
        <v>10</v>
      </c>
      <c r="V3021" s="26">
        <v>1</v>
      </c>
      <c r="W3021" s="26"/>
    </row>
    <row r="3022" spans="1:23" x14ac:dyDescent="0.25">
      <c r="A3022" s="26" t="str">
        <f t="shared" si="599"/>
        <v>PREESCOLAR</v>
      </c>
      <c r="B3022" s="26" t="str">
        <f>"09PJN5747Y"</f>
        <v>09PJN5747Y</v>
      </c>
      <c r="C3022" s="26" t="str">
        <f>"COLEGIO MIRAVALLE                                                                                   "</f>
        <v xml:space="preserve">COLEGIO MIRAVALLE                                                                                   </v>
      </c>
      <c r="D3022" s="26" t="str">
        <f t="shared" si="593"/>
        <v>MATUTINO</v>
      </c>
      <c r="E3022" s="26" t="str">
        <f>"BALSAS NO. 13                                                                   "</f>
        <v xml:space="preserve">BALSAS NO. 13                                                                   </v>
      </c>
      <c r="F3022" s="26" t="str">
        <f>"MIRAVALLE                                                                                                                                   "</f>
        <v xml:space="preserve">MIRAVALLE                                                                                                                                   </v>
      </c>
      <c r="G3022" s="26" t="str">
        <f>"BENITO JUAREZ                                                                   "</f>
        <v xml:space="preserve">BENITO JUAREZ                                                                   </v>
      </c>
      <c r="H3022" s="26" t="str">
        <f>"037"</f>
        <v>037</v>
      </c>
      <c r="I3022" s="26" t="str">
        <f t="shared" si="600"/>
        <v>00</v>
      </c>
      <c r="J3022" s="26" t="str">
        <f>"33 "</f>
        <v xml:space="preserve">33 </v>
      </c>
      <c r="K3022" s="26" t="str">
        <f t="shared" si="596"/>
        <v>EP</v>
      </c>
      <c r="L3022" s="26" t="str">
        <f t="shared" si="597"/>
        <v>DGOSE</v>
      </c>
      <c r="M3022" s="26" t="str">
        <f t="shared" si="598"/>
        <v>PARTICULAR</v>
      </c>
      <c r="N3022" s="26">
        <v>26</v>
      </c>
      <c r="O3022" s="26">
        <v>15</v>
      </c>
      <c r="P3022" s="26">
        <v>11</v>
      </c>
      <c r="Q3022" s="26">
        <v>3</v>
      </c>
      <c r="R3022" s="26">
        <v>1</v>
      </c>
      <c r="S3022" s="26">
        <v>2</v>
      </c>
      <c r="T3022" s="26">
        <v>4</v>
      </c>
      <c r="U3022" s="26">
        <v>7</v>
      </c>
      <c r="V3022" s="26">
        <v>1</v>
      </c>
      <c r="W3022" s="26"/>
    </row>
    <row r="3023" spans="1:23" x14ac:dyDescent="0.25">
      <c r="A3023" s="26" t="str">
        <f t="shared" si="599"/>
        <v>PREESCOLAR</v>
      </c>
      <c r="B3023" s="26" t="str">
        <f>"09PJN5748X"</f>
        <v>09PJN5748X</v>
      </c>
      <c r="C3023" s="26" t="str">
        <f>"KINDER GUSSY                                                                                        "</f>
        <v xml:space="preserve">KINDER GUSSY                                                                                        </v>
      </c>
      <c r="D3023" s="26" t="str">
        <f t="shared" si="593"/>
        <v>MATUTINO</v>
      </c>
      <c r="E3023" s="26" t="str">
        <f>"2A. CERRADA DE RIVERO NO. 29                                                    "</f>
        <v xml:space="preserve">2A. CERRADA DE RIVERO NO. 29                                                    </v>
      </c>
      <c r="F3023" s="26" t="str">
        <f>"MORELOS                                                                                                                                     "</f>
        <v xml:space="preserve">MORELOS                                                                                                                                     </v>
      </c>
      <c r="G3023" s="26" t="s">
        <v>4128</v>
      </c>
      <c r="H3023" s="26" t="str">
        <f>"204"</f>
        <v>204</v>
      </c>
      <c r="I3023" s="26" t="str">
        <f t="shared" si="600"/>
        <v>00</v>
      </c>
      <c r="J3023" s="26" t="str">
        <f>"32 "</f>
        <v xml:space="preserve">32 </v>
      </c>
      <c r="K3023" s="26" t="str">
        <f t="shared" si="596"/>
        <v>EP</v>
      </c>
      <c r="L3023" s="26" t="str">
        <f t="shared" si="597"/>
        <v>DGOSE</v>
      </c>
      <c r="M3023" s="26" t="str">
        <f t="shared" si="598"/>
        <v>PARTICULAR</v>
      </c>
      <c r="N3023" s="26">
        <v>20</v>
      </c>
      <c r="O3023" s="26">
        <v>11</v>
      </c>
      <c r="P3023" s="26">
        <v>9</v>
      </c>
      <c r="Q3023" s="26">
        <v>2</v>
      </c>
      <c r="R3023" s="26">
        <v>1</v>
      </c>
      <c r="S3023" s="26">
        <v>2</v>
      </c>
      <c r="T3023" s="26">
        <v>1</v>
      </c>
      <c r="U3023" s="26">
        <v>4</v>
      </c>
      <c r="V3023" s="26">
        <v>1</v>
      </c>
      <c r="W3023" s="26"/>
    </row>
    <row r="3024" spans="1:23" x14ac:dyDescent="0.25">
      <c r="A3024" s="26" t="str">
        <f t="shared" si="599"/>
        <v>PREESCOLAR</v>
      </c>
      <c r="B3024" s="26" t="str">
        <f>"09PJN5750L"</f>
        <v>09PJN5750L</v>
      </c>
      <c r="C3024" s="26" t="str">
        <f>"COLEGIO DE ESTIMULACIÓN PARA EL DESARROLLO INTEGRAL                                                 "</f>
        <v xml:space="preserve">COLEGIO DE ESTIMULACIÓN PARA EL DESARROLLO INTEGRAL                                                 </v>
      </c>
      <c r="D3024" s="26" t="str">
        <f t="shared" si="593"/>
        <v>MATUTINO</v>
      </c>
      <c r="E3024" s="26" t="str">
        <f>"SAN DIEGO NO. 8                                                                 "</f>
        <v xml:space="preserve">SAN DIEGO NO. 8                                                                 </v>
      </c>
      <c r="F3024" s="26" t="str">
        <f>"SAN BARTOLO AMEYALCO                                                                                                                        "</f>
        <v xml:space="preserve">SAN BARTOLO AMEYALCO                                                                                                                        </v>
      </c>
      <c r="G3024" s="26" t="str">
        <f>"ALVARO OBREGON                                                                  "</f>
        <v xml:space="preserve">ALVARO OBREGON                                                                  </v>
      </c>
      <c r="H3024" s="26" t="str">
        <f>"175"</f>
        <v>175</v>
      </c>
      <c r="I3024" s="26" t="str">
        <f t="shared" si="600"/>
        <v>00</v>
      </c>
      <c r="J3024" s="26" t="str">
        <f>"33 "</f>
        <v xml:space="preserve">33 </v>
      </c>
      <c r="K3024" s="26" t="str">
        <f t="shared" si="596"/>
        <v>EP</v>
      </c>
      <c r="L3024" s="26" t="str">
        <f t="shared" si="597"/>
        <v>DGOSE</v>
      </c>
      <c r="M3024" s="26" t="str">
        <f t="shared" si="598"/>
        <v>PARTICULAR</v>
      </c>
      <c r="N3024" s="26">
        <v>48</v>
      </c>
      <c r="O3024" s="26">
        <v>24</v>
      </c>
      <c r="P3024" s="26">
        <v>24</v>
      </c>
      <c r="Q3024" s="26">
        <v>3</v>
      </c>
      <c r="R3024" s="26">
        <v>1</v>
      </c>
      <c r="S3024" s="26">
        <v>3</v>
      </c>
      <c r="T3024" s="26">
        <v>4</v>
      </c>
      <c r="U3024" s="26">
        <v>8</v>
      </c>
      <c r="V3024" s="26">
        <v>1</v>
      </c>
      <c r="W3024" s="26"/>
    </row>
    <row r="3025" spans="1:23" x14ac:dyDescent="0.25">
      <c r="A3025" s="26" t="str">
        <f t="shared" si="599"/>
        <v>PREESCOLAR</v>
      </c>
      <c r="B3025" s="26" t="str">
        <f>"09PJN5751K"</f>
        <v>09PJN5751K</v>
      </c>
      <c r="C3025" s="26" t="str">
        <f>"COLEGIO BOSQUES DE COAHUILA                                                                         "</f>
        <v xml:space="preserve">COLEGIO BOSQUES DE COAHUILA                                                                         </v>
      </c>
      <c r="D3025" s="26" t="str">
        <f t="shared" si="593"/>
        <v>MATUTINO</v>
      </c>
      <c r="E3025" s="26" t="str">
        <f>"COAHUILA NO. 75                                                                 "</f>
        <v xml:space="preserve">COAHUILA NO. 75                                                                 </v>
      </c>
      <c r="F3025" s="26" t="str">
        <f>"CUAJIMALPA                                                                                                                                  "</f>
        <v xml:space="preserve">CUAJIMALPA                                                                                                                                  </v>
      </c>
      <c r="G3025" s="26" t="str">
        <f>"CUAJIMALPA DE MORELOS                                                           "</f>
        <v xml:space="preserve">CUAJIMALPA DE MORELOS                                                           </v>
      </c>
      <c r="H3025" s="26" t="str">
        <f>"151"</f>
        <v>151</v>
      </c>
      <c r="I3025" s="26" t="str">
        <f t="shared" si="600"/>
        <v>00</v>
      </c>
      <c r="J3025" s="26" t="str">
        <f>"33 "</f>
        <v xml:space="preserve">33 </v>
      </c>
      <c r="K3025" s="26" t="str">
        <f t="shared" si="596"/>
        <v>EP</v>
      </c>
      <c r="L3025" s="26" t="str">
        <f t="shared" si="597"/>
        <v>DGOSE</v>
      </c>
      <c r="M3025" s="26" t="str">
        <f t="shared" si="598"/>
        <v>PARTICULAR</v>
      </c>
      <c r="N3025" s="26">
        <v>20</v>
      </c>
      <c r="O3025" s="26">
        <v>11</v>
      </c>
      <c r="P3025" s="26">
        <v>9</v>
      </c>
      <c r="Q3025" s="26">
        <v>3</v>
      </c>
      <c r="R3025" s="26">
        <v>1</v>
      </c>
      <c r="S3025" s="26">
        <v>3</v>
      </c>
      <c r="T3025" s="26">
        <v>0</v>
      </c>
      <c r="U3025" s="26">
        <v>4</v>
      </c>
      <c r="V3025" s="26">
        <v>1</v>
      </c>
      <c r="W3025" s="26"/>
    </row>
    <row r="3026" spans="1:23" x14ac:dyDescent="0.25">
      <c r="A3026" s="26" t="str">
        <f t="shared" si="599"/>
        <v>PREESCOLAR</v>
      </c>
      <c r="B3026" s="26" t="str">
        <f>"09PJN5752J"</f>
        <v>09PJN5752J</v>
      </c>
      <c r="C3026" s="26" t="str">
        <f>"JARDIN DE NIÑOS MARISOL                                                                             "</f>
        <v xml:space="preserve">JARDIN DE NIÑOS MARISOL                                                                             </v>
      </c>
      <c r="D3026" s="26" t="str">
        <f t="shared" si="593"/>
        <v>MATUTINO</v>
      </c>
      <c r="E3026" s="26" t="str">
        <f>"PUERTO COZUMEL NO. 123                                                          "</f>
        <v xml:space="preserve">PUERTO COZUMEL NO. 123                                                          </v>
      </c>
      <c r="F3026" s="26" t="str">
        <f>"CASAS ALEMAN                                                                                                                                "</f>
        <v xml:space="preserve">CASAS ALEMAN                                                                                                                                </v>
      </c>
      <c r="G3026" s="26" t="str">
        <f>"GUSTAVO A. MADERO                                                               "</f>
        <v xml:space="preserve">GUSTAVO A. MADERO                                                               </v>
      </c>
      <c r="H3026" s="26" t="str">
        <f>"195"</f>
        <v>195</v>
      </c>
      <c r="I3026" s="26" t="str">
        <f t="shared" si="600"/>
        <v>00</v>
      </c>
      <c r="J3026" s="26" t="str">
        <f>"32 "</f>
        <v xml:space="preserve">32 </v>
      </c>
      <c r="K3026" s="26" t="str">
        <f t="shared" si="596"/>
        <v>EP</v>
      </c>
      <c r="L3026" s="26" t="str">
        <f t="shared" si="597"/>
        <v>DGOSE</v>
      </c>
      <c r="M3026" s="26" t="str">
        <f t="shared" si="598"/>
        <v>PARTICULAR</v>
      </c>
      <c r="N3026" s="26">
        <v>34</v>
      </c>
      <c r="O3026" s="26">
        <v>20</v>
      </c>
      <c r="P3026" s="26">
        <v>14</v>
      </c>
      <c r="Q3026" s="26">
        <v>3</v>
      </c>
      <c r="R3026" s="26">
        <v>1</v>
      </c>
      <c r="S3026" s="26">
        <v>3</v>
      </c>
      <c r="T3026" s="26">
        <v>2</v>
      </c>
      <c r="U3026" s="26">
        <v>6</v>
      </c>
      <c r="V3026" s="26">
        <v>1</v>
      </c>
      <c r="W3026" s="26"/>
    </row>
    <row r="3027" spans="1:23" x14ac:dyDescent="0.25">
      <c r="A3027" s="26" t="str">
        <f t="shared" si="599"/>
        <v>PREESCOLAR</v>
      </c>
      <c r="B3027" s="26" t="str">
        <f>"09PJN5754H"</f>
        <v>09PJN5754H</v>
      </c>
      <c r="C3027" s="26" t="str">
        <f>"EL RINCON DE LOS PEQUES                                                                             "</f>
        <v xml:space="preserve">EL RINCON DE LOS PEQUES                                                                             </v>
      </c>
      <c r="D3027" s="26" t="str">
        <f t="shared" si="593"/>
        <v>MATUTINO</v>
      </c>
      <c r="E3027" s="26" t="str">
        <f>"EGIPTO NO. 18                                                                   "</f>
        <v xml:space="preserve">EGIPTO NO. 18                                                                   </v>
      </c>
      <c r="F3027" s="26" t="str">
        <f>"CLAVERIA                                                                                                                                    "</f>
        <v xml:space="preserve">CLAVERIA                                                                                                                                    </v>
      </c>
      <c r="G3027" s="26" t="str">
        <f>"AZCAPOTZALCO                                                                    "</f>
        <v xml:space="preserve">AZCAPOTZALCO                                                                    </v>
      </c>
      <c r="H3027" s="26" t="str">
        <f>"204"</f>
        <v>204</v>
      </c>
      <c r="I3027" s="26" t="str">
        <f t="shared" si="600"/>
        <v>00</v>
      </c>
      <c r="J3027" s="26" t="str">
        <f>"32 "</f>
        <v xml:space="preserve">32 </v>
      </c>
      <c r="K3027" s="26" t="str">
        <f t="shared" si="596"/>
        <v>EP</v>
      </c>
      <c r="L3027" s="26" t="str">
        <f t="shared" si="597"/>
        <v>DGOSE</v>
      </c>
      <c r="M3027" s="26" t="str">
        <f t="shared" si="598"/>
        <v>PARTICULAR</v>
      </c>
      <c r="N3027" s="26">
        <v>58</v>
      </c>
      <c r="O3027" s="26">
        <v>35</v>
      </c>
      <c r="P3027" s="26">
        <v>23</v>
      </c>
      <c r="Q3027" s="26">
        <v>3</v>
      </c>
      <c r="R3027" s="26">
        <v>1</v>
      </c>
      <c r="S3027" s="26">
        <v>3</v>
      </c>
      <c r="T3027" s="26">
        <v>5</v>
      </c>
      <c r="U3027" s="26">
        <v>9</v>
      </c>
      <c r="V3027" s="26">
        <v>1</v>
      </c>
      <c r="W3027" s="26"/>
    </row>
    <row r="3028" spans="1:23" x14ac:dyDescent="0.25">
      <c r="A3028" s="26" t="str">
        <f t="shared" si="599"/>
        <v>PREESCOLAR</v>
      </c>
      <c r="B3028" s="26" t="str">
        <f>"09PJN5755G"</f>
        <v>09PJN5755G</v>
      </c>
      <c r="C3028" s="26" t="str">
        <f>"JARDIN DE NIÑOS GAMUNDI                                                                             "</f>
        <v xml:space="preserve">JARDIN DE NIÑOS GAMUNDI                                                                             </v>
      </c>
      <c r="D3028" s="26" t="str">
        <f t="shared" si="593"/>
        <v>MATUTINO</v>
      </c>
      <c r="E3028" s="26" t="str">
        <f>"ESPINELA NO. 6335                                                               "</f>
        <v xml:space="preserve">ESPINELA NO. 6335                                                               </v>
      </c>
      <c r="F3028" s="26" t="str">
        <f>"TRES ESTRELLAS                                                                                                                              "</f>
        <v xml:space="preserve">TRES ESTRELLAS                                                                                                                              </v>
      </c>
      <c r="G3028" s="26" t="str">
        <f>"GUSTAVO A. MADERO                                                               "</f>
        <v xml:space="preserve">GUSTAVO A. MADERO                                                               </v>
      </c>
      <c r="H3028" s="26" t="str">
        <f>"095"</f>
        <v>095</v>
      </c>
      <c r="I3028" s="26" t="str">
        <f t="shared" si="600"/>
        <v>00</v>
      </c>
      <c r="J3028" s="26" t="str">
        <f>"32 "</f>
        <v xml:space="preserve">32 </v>
      </c>
      <c r="K3028" s="26" t="str">
        <f t="shared" si="596"/>
        <v>EP</v>
      </c>
      <c r="L3028" s="26" t="str">
        <f t="shared" si="597"/>
        <v>DGOSE</v>
      </c>
      <c r="M3028" s="26" t="str">
        <f t="shared" si="598"/>
        <v>PARTICULAR</v>
      </c>
      <c r="N3028" s="26">
        <v>28</v>
      </c>
      <c r="O3028" s="26">
        <v>12</v>
      </c>
      <c r="P3028" s="26">
        <v>16</v>
      </c>
      <c r="Q3028" s="26">
        <v>3</v>
      </c>
      <c r="R3028" s="26">
        <v>1</v>
      </c>
      <c r="S3028" s="26">
        <v>3</v>
      </c>
      <c r="T3028" s="26">
        <v>1</v>
      </c>
      <c r="U3028" s="26">
        <v>5</v>
      </c>
      <c r="V3028" s="26">
        <v>1</v>
      </c>
      <c r="W3028" s="26"/>
    </row>
    <row r="3029" spans="1:23" x14ac:dyDescent="0.25">
      <c r="A3029" s="26" t="str">
        <f t="shared" si="599"/>
        <v>PREESCOLAR</v>
      </c>
      <c r="B3029" s="26" t="str">
        <f>"09PJN5756F"</f>
        <v>09PJN5756F</v>
      </c>
      <c r="C3029" s="26" t="str">
        <f>"L'ECOLE DE MEXICO                                                                                   "</f>
        <v xml:space="preserve">L'ECOLE DE MEXICO                                                                                   </v>
      </c>
      <c r="D3029" s="26" t="str">
        <f t="shared" si="593"/>
        <v>MATUTINO</v>
      </c>
      <c r="E3029" s="26" t="str">
        <f>"DEL CEDRO MNZNA. 15 LOTES 4 Y 5                                                 "</f>
        <v xml:space="preserve">DEL CEDRO MNZNA. 15 LOTES 4 Y 5                                                 </v>
      </c>
      <c r="F3029" s="26" t="str">
        <f>"SAN JOSE DE LOS CEDROS                                                                                                                      "</f>
        <v xml:space="preserve">SAN JOSE DE LOS CEDROS                                                                                                                      </v>
      </c>
      <c r="G3029" s="26" t="str">
        <f>"CUAJIMALPA DE MORELOS                                                           "</f>
        <v xml:space="preserve">CUAJIMALPA DE MORELOS                                                           </v>
      </c>
      <c r="H3029" s="26" t="str">
        <f>"212"</f>
        <v>212</v>
      </c>
      <c r="I3029" s="26" t="str">
        <f t="shared" si="600"/>
        <v>00</v>
      </c>
      <c r="J3029" s="26" t="str">
        <f>"33 "</f>
        <v xml:space="preserve">33 </v>
      </c>
      <c r="K3029" s="26" t="str">
        <f t="shared" si="596"/>
        <v>EP</v>
      </c>
      <c r="L3029" s="26" t="str">
        <f t="shared" si="597"/>
        <v>DGOSE</v>
      </c>
      <c r="M3029" s="26" t="str">
        <f t="shared" si="598"/>
        <v>PARTICULAR</v>
      </c>
      <c r="N3029" s="26">
        <v>11</v>
      </c>
      <c r="O3029" s="26">
        <v>6</v>
      </c>
      <c r="P3029" s="26">
        <v>5</v>
      </c>
      <c r="Q3029" s="26">
        <v>2</v>
      </c>
      <c r="R3029" s="26">
        <v>1</v>
      </c>
      <c r="S3029" s="26">
        <v>2</v>
      </c>
      <c r="T3029" s="26">
        <v>3</v>
      </c>
      <c r="U3029" s="26">
        <v>6</v>
      </c>
      <c r="V3029" s="26">
        <v>1</v>
      </c>
      <c r="W3029" s="26"/>
    </row>
    <row r="3030" spans="1:23" x14ac:dyDescent="0.25">
      <c r="A3030" s="26" t="str">
        <f t="shared" si="599"/>
        <v>PREESCOLAR</v>
      </c>
      <c r="B3030" s="26" t="str">
        <f>"09PJN5757E"</f>
        <v>09PJN5757E</v>
      </c>
      <c r="C3030" s="26" t="str">
        <f>"COLEGIO ICHANTLI                                                                                    "</f>
        <v xml:space="preserve">COLEGIO ICHANTLI                                                                                    </v>
      </c>
      <c r="D3030" s="26" t="str">
        <f t="shared" si="593"/>
        <v>MATUTINO</v>
      </c>
      <c r="E3030" s="26" t="str">
        <f>"AV. SAN FRANCISCO NO. 604                                                       "</f>
        <v xml:space="preserve">AV. SAN FRANCISCO NO. 604                                                       </v>
      </c>
      <c r="F3030" s="26" t="str">
        <f>"LA MAGDALENA CONTRERAS                                                                                                                      "</f>
        <v xml:space="preserve">LA MAGDALENA CONTRERAS                                                                                                                      </v>
      </c>
      <c r="G3030" s="26" t="str">
        <f>"LA MAGDALENA CONTRERAS                                                          "</f>
        <v xml:space="preserve">LA MAGDALENA CONTRERAS                                                          </v>
      </c>
      <c r="H3030" s="26" t="str">
        <f>"280"</f>
        <v>280</v>
      </c>
      <c r="I3030" s="26" t="str">
        <f t="shared" si="600"/>
        <v>00</v>
      </c>
      <c r="J3030" s="26" t="str">
        <f>"35 "</f>
        <v xml:space="preserve">35 </v>
      </c>
      <c r="K3030" s="26" t="str">
        <f t="shared" si="596"/>
        <v>EP</v>
      </c>
      <c r="L3030" s="26" t="str">
        <f t="shared" si="597"/>
        <v>DGOSE</v>
      </c>
      <c r="M3030" s="26" t="str">
        <f t="shared" si="598"/>
        <v>PARTICULAR</v>
      </c>
      <c r="N3030" s="26">
        <v>26</v>
      </c>
      <c r="O3030" s="26">
        <v>12</v>
      </c>
      <c r="P3030" s="26">
        <v>14</v>
      </c>
      <c r="Q3030" s="26">
        <v>3</v>
      </c>
      <c r="R3030" s="26">
        <v>1</v>
      </c>
      <c r="S3030" s="26">
        <v>3</v>
      </c>
      <c r="T3030" s="26">
        <v>5</v>
      </c>
      <c r="U3030" s="26">
        <v>9</v>
      </c>
      <c r="V3030" s="26">
        <v>1</v>
      </c>
      <c r="W3030" s="26"/>
    </row>
    <row r="3031" spans="1:23" x14ac:dyDescent="0.25">
      <c r="A3031" s="26" t="str">
        <f t="shared" si="599"/>
        <v>PREESCOLAR</v>
      </c>
      <c r="B3031" s="26" t="str">
        <f>"09PJN5758D"</f>
        <v>09PJN5758D</v>
      </c>
      <c r="C3031" s="26" t="str">
        <f>"EMILE DURKHEIM                                                                                      "</f>
        <v xml:space="preserve">EMILE DURKHEIM                                                                                      </v>
      </c>
      <c r="D3031" s="26" t="str">
        <f t="shared" si="593"/>
        <v>MATUTINO</v>
      </c>
      <c r="E3031" s="26" t="str">
        <f>"CAPULINES NO 99                                                                 "</f>
        <v xml:space="preserve">CAPULINES NO 99                                                                 </v>
      </c>
      <c r="F3031" s="26" t="str">
        <f>"LAS CRUCES                                                                                                                                  "</f>
        <v xml:space="preserve">LAS CRUCES                                                                                                                                  </v>
      </c>
      <c r="G3031" s="26" t="str">
        <f>"LA MAGDALENA CONTRERAS                                                          "</f>
        <v xml:space="preserve">LA MAGDALENA CONTRERAS                                                          </v>
      </c>
      <c r="H3031" s="26" t="str">
        <f>"280"</f>
        <v>280</v>
      </c>
      <c r="I3031" s="26" t="str">
        <f t="shared" si="600"/>
        <v>00</v>
      </c>
      <c r="J3031" s="26" t="str">
        <f>"35 "</f>
        <v xml:space="preserve">35 </v>
      </c>
      <c r="K3031" s="26" t="str">
        <f t="shared" si="596"/>
        <v>EP</v>
      </c>
      <c r="L3031" s="26" t="str">
        <f t="shared" si="597"/>
        <v>DGOSE</v>
      </c>
      <c r="M3031" s="26" t="str">
        <f t="shared" si="598"/>
        <v>PARTICULAR</v>
      </c>
      <c r="N3031" s="26">
        <v>10</v>
      </c>
      <c r="O3031" s="26">
        <v>7</v>
      </c>
      <c r="P3031" s="26">
        <v>3</v>
      </c>
      <c r="Q3031" s="26">
        <v>2</v>
      </c>
      <c r="R3031" s="26">
        <v>1</v>
      </c>
      <c r="S3031" s="26">
        <v>2</v>
      </c>
      <c r="T3031" s="26">
        <v>2</v>
      </c>
      <c r="U3031" s="26">
        <v>5</v>
      </c>
      <c r="V3031" s="26">
        <v>1</v>
      </c>
      <c r="W3031" s="26"/>
    </row>
    <row r="3032" spans="1:23" x14ac:dyDescent="0.25">
      <c r="A3032" s="26" t="str">
        <f t="shared" si="599"/>
        <v>PREESCOLAR</v>
      </c>
      <c r="B3032" s="26" t="str">
        <f>"09PJN5759C"</f>
        <v>09PJN5759C</v>
      </c>
      <c r="C3032" s="26" t="str">
        <f>"CENTRO EDUCATIVO INFANTIL CEIMAG                                                                    "</f>
        <v xml:space="preserve">CENTRO EDUCATIVO INFANTIL CEIMAG                                                                    </v>
      </c>
      <c r="D3032" s="26" t="str">
        <f t="shared" si="593"/>
        <v>MATUTINO</v>
      </c>
      <c r="E3032" s="26" t="str">
        <f>"NISPERO NO. 32 Y 34                                                             "</f>
        <v xml:space="preserve">NISPERO NO. 32 Y 34                                                             </v>
      </c>
      <c r="F3032" s="26" t="str">
        <f>"SAN JOSE DE LOS CEDROS                                                                                                                      "</f>
        <v xml:space="preserve">SAN JOSE DE LOS CEDROS                                                                                                                      </v>
      </c>
      <c r="G3032" s="26" t="str">
        <f>"CUAJIMALPA DE MORELOS                                                           "</f>
        <v xml:space="preserve">CUAJIMALPA DE MORELOS                                                           </v>
      </c>
      <c r="H3032" s="26" t="str">
        <f>"212"</f>
        <v>212</v>
      </c>
      <c r="I3032" s="26" t="str">
        <f t="shared" si="600"/>
        <v>00</v>
      </c>
      <c r="J3032" s="26" t="str">
        <f>"33 "</f>
        <v xml:space="preserve">33 </v>
      </c>
      <c r="K3032" s="26" t="str">
        <f t="shared" si="596"/>
        <v>EP</v>
      </c>
      <c r="L3032" s="26" t="str">
        <f t="shared" si="597"/>
        <v>DGOSE</v>
      </c>
      <c r="M3032" s="26" t="str">
        <f t="shared" si="598"/>
        <v>PARTICULAR</v>
      </c>
      <c r="N3032" s="26">
        <v>41</v>
      </c>
      <c r="O3032" s="26">
        <v>24</v>
      </c>
      <c r="P3032" s="26">
        <v>17</v>
      </c>
      <c r="Q3032" s="26">
        <v>3</v>
      </c>
      <c r="R3032" s="26">
        <v>1</v>
      </c>
      <c r="S3032" s="26">
        <v>3</v>
      </c>
      <c r="T3032" s="26">
        <v>2</v>
      </c>
      <c r="U3032" s="26">
        <v>6</v>
      </c>
      <c r="V3032" s="26">
        <v>1</v>
      </c>
      <c r="W3032" s="26"/>
    </row>
    <row r="3033" spans="1:23" x14ac:dyDescent="0.25">
      <c r="A3033" s="26" t="str">
        <f t="shared" si="599"/>
        <v>PREESCOLAR</v>
      </c>
      <c r="B3033" s="26" t="str">
        <f>"09PJN5761R"</f>
        <v>09PJN5761R</v>
      </c>
      <c r="C3033" s="26" t="str">
        <f>"COLEGIO UNION DE MEXICO                                                                             "</f>
        <v xml:space="preserve">COLEGIO UNION DE MEXICO                                                                             </v>
      </c>
      <c r="D3033" s="26" t="str">
        <f t="shared" si="593"/>
        <v>MATUTINO</v>
      </c>
      <c r="E3033" s="26" t="str">
        <f>"PUERTO TAMPICO NO. 14                                                           "</f>
        <v xml:space="preserve">PUERTO TAMPICO NO. 14                                                           </v>
      </c>
      <c r="F3033" s="26" t="str">
        <f>"PILOTO ADOLFO LOPEZ MATEOS                                                                                                                  "</f>
        <v xml:space="preserve">PILOTO ADOLFO LOPEZ MATEOS                                                                                                                  </v>
      </c>
      <c r="G3033" s="26" t="str">
        <f>"ALVARO OBREGON                                                                  "</f>
        <v xml:space="preserve">ALVARO OBREGON                                                                  </v>
      </c>
      <c r="H3033" s="26" t="str">
        <f>"122"</f>
        <v>122</v>
      </c>
      <c r="I3033" s="26" t="str">
        <f t="shared" si="600"/>
        <v>00</v>
      </c>
      <c r="J3033" s="26" t="str">
        <f>"33 "</f>
        <v xml:space="preserve">33 </v>
      </c>
      <c r="K3033" s="26" t="str">
        <f t="shared" si="596"/>
        <v>EP</v>
      </c>
      <c r="L3033" s="26" t="str">
        <f t="shared" si="597"/>
        <v>DGOSE</v>
      </c>
      <c r="M3033" s="26" t="str">
        <f t="shared" si="598"/>
        <v>PARTICULAR</v>
      </c>
      <c r="N3033" s="26">
        <v>20</v>
      </c>
      <c r="O3033" s="26">
        <v>12</v>
      </c>
      <c r="P3033" s="26">
        <v>8</v>
      </c>
      <c r="Q3033" s="26">
        <v>3</v>
      </c>
      <c r="R3033" s="26">
        <v>1</v>
      </c>
      <c r="S3033" s="26">
        <v>3</v>
      </c>
      <c r="T3033" s="26">
        <v>5</v>
      </c>
      <c r="U3033" s="26">
        <v>9</v>
      </c>
      <c r="V3033" s="26">
        <v>1</v>
      </c>
      <c r="W3033" s="26"/>
    </row>
    <row r="3034" spans="1:23" x14ac:dyDescent="0.25">
      <c r="A3034" s="26" t="str">
        <f t="shared" si="599"/>
        <v>PREESCOLAR</v>
      </c>
      <c r="B3034" s="26" t="str">
        <f>"09PJN5762Q"</f>
        <v>09PJN5762Q</v>
      </c>
      <c r="C3034" s="26" t="str">
        <f>"EL MUNDO FELIZ                                                                                      "</f>
        <v xml:space="preserve">EL MUNDO FELIZ                                                                                      </v>
      </c>
      <c r="D3034" s="26" t="str">
        <f t="shared" si="593"/>
        <v>MATUTINO</v>
      </c>
      <c r="E3034" s="26" t="str">
        <f>"HORMIGUERO NO. 125                                                              "</f>
        <v xml:space="preserve">HORMIGUERO NO. 125                                                              </v>
      </c>
      <c r="F3034" s="26" t="str">
        <f>"SANTIAGO AHUIZOTLA                                                                                                                          "</f>
        <v xml:space="preserve">SANTIAGO AHUIZOTLA                                                                                                                          </v>
      </c>
      <c r="G3034" s="26" t="str">
        <f>"AZCAPOTZALCO                                                                    "</f>
        <v xml:space="preserve">AZCAPOTZALCO                                                                    </v>
      </c>
      <c r="H3034" s="26" t="str">
        <f>"059"</f>
        <v>059</v>
      </c>
      <c r="I3034" s="26" t="str">
        <f t="shared" si="600"/>
        <v>00</v>
      </c>
      <c r="J3034" s="26" t="str">
        <f>"32 "</f>
        <v xml:space="preserve">32 </v>
      </c>
      <c r="K3034" s="26" t="str">
        <f t="shared" si="596"/>
        <v>EP</v>
      </c>
      <c r="L3034" s="26" t="str">
        <f t="shared" si="597"/>
        <v>DGOSE</v>
      </c>
      <c r="M3034" s="26" t="str">
        <f t="shared" si="598"/>
        <v>PARTICULAR</v>
      </c>
      <c r="N3034" s="26">
        <v>42</v>
      </c>
      <c r="O3034" s="26">
        <v>28</v>
      </c>
      <c r="P3034" s="26">
        <v>14</v>
      </c>
      <c r="Q3034" s="26">
        <v>3</v>
      </c>
      <c r="R3034" s="26">
        <v>1</v>
      </c>
      <c r="S3034" s="26">
        <v>2</v>
      </c>
      <c r="T3034" s="26">
        <v>2</v>
      </c>
      <c r="U3034" s="26">
        <v>5</v>
      </c>
      <c r="V3034" s="26">
        <v>1</v>
      </c>
      <c r="W3034" s="26"/>
    </row>
    <row r="3035" spans="1:23" x14ac:dyDescent="0.25">
      <c r="A3035" s="26" t="str">
        <f t="shared" si="599"/>
        <v>PREESCOLAR</v>
      </c>
      <c r="B3035" s="26" t="str">
        <f>"09PJN5763P"</f>
        <v>09PJN5763P</v>
      </c>
      <c r="C3035" s="26" t="str">
        <f>"LA CASITA DE LOS NIÑOS                                                                              "</f>
        <v xml:space="preserve">LA CASITA DE LOS NIÑOS                                                                              </v>
      </c>
      <c r="D3035" s="26" t="str">
        <f t="shared" ref="D3035:D3050" si="602">"MATUTINO"</f>
        <v>MATUTINO</v>
      </c>
      <c r="E3035" s="26" t="str">
        <f>"CERRADA SALVADOR ALLENDE S/N LT.18                                              "</f>
        <v xml:space="preserve">CERRADA SALVADOR ALLENDE S/N LT.18                                              </v>
      </c>
      <c r="F3035" s="26" t="str">
        <f>"TORRES DE POTRERO                                                                                                                           "</f>
        <v xml:space="preserve">TORRES DE POTRERO                                                                                                                           </v>
      </c>
      <c r="G3035" s="26" t="str">
        <f>"ALVARO OBREGON                                                                  "</f>
        <v xml:space="preserve">ALVARO OBREGON                                                                  </v>
      </c>
      <c r="H3035" s="26" t="str">
        <f>"175"</f>
        <v>175</v>
      </c>
      <c r="I3035" s="26" t="str">
        <f t="shared" si="600"/>
        <v>00</v>
      </c>
      <c r="J3035" s="26" t="str">
        <f>"33 "</f>
        <v xml:space="preserve">33 </v>
      </c>
      <c r="K3035" s="26" t="str">
        <f t="shared" si="596"/>
        <v>EP</v>
      </c>
      <c r="L3035" s="26" t="str">
        <f t="shared" si="597"/>
        <v>DGOSE</v>
      </c>
      <c r="M3035" s="26" t="str">
        <f t="shared" si="598"/>
        <v>PARTICULAR</v>
      </c>
      <c r="N3035" s="26">
        <v>11</v>
      </c>
      <c r="O3035" s="26">
        <v>8</v>
      </c>
      <c r="P3035" s="26">
        <v>3</v>
      </c>
      <c r="Q3035" s="26">
        <v>2</v>
      </c>
      <c r="R3035" s="26">
        <v>1</v>
      </c>
      <c r="S3035" s="26">
        <v>2</v>
      </c>
      <c r="T3035" s="26">
        <v>6</v>
      </c>
      <c r="U3035" s="26">
        <v>9</v>
      </c>
      <c r="V3035" s="26">
        <v>1</v>
      </c>
      <c r="W3035" s="26"/>
    </row>
    <row r="3036" spans="1:23" x14ac:dyDescent="0.25">
      <c r="A3036" s="26" t="str">
        <f t="shared" si="599"/>
        <v>PREESCOLAR</v>
      </c>
      <c r="B3036" s="26" t="str">
        <f>"09PJN5764O"</f>
        <v>09PJN5764O</v>
      </c>
      <c r="C3036" s="26" t="str">
        <f>"COLEGIO PEDAGOGICO MINERVA                                                                          "</f>
        <v xml:space="preserve">COLEGIO PEDAGOGICO MINERVA                                                                          </v>
      </c>
      <c r="D3036" s="26" t="str">
        <f t="shared" si="602"/>
        <v>MATUTINO</v>
      </c>
      <c r="E3036" s="26" t="str">
        <f>"ANDADOR GRANADA NO. 17                                                          "</f>
        <v xml:space="preserve">ANDADOR GRANADA NO. 17                                                          </v>
      </c>
      <c r="F3036" s="26" t="str">
        <f>"EL TANQUE                                                                                                                                   "</f>
        <v xml:space="preserve">EL TANQUE                                                                                                                                   </v>
      </c>
      <c r="G3036" s="26" t="str">
        <f>"LA MAGDALENA CONTRERAS                                                          "</f>
        <v xml:space="preserve">LA MAGDALENA CONTRERAS                                                          </v>
      </c>
      <c r="H3036" s="26" t="str">
        <f>"280"</f>
        <v>280</v>
      </c>
      <c r="I3036" s="26" t="str">
        <f t="shared" si="600"/>
        <v>00</v>
      </c>
      <c r="J3036" s="26" t="str">
        <f>"35 "</f>
        <v xml:space="preserve">35 </v>
      </c>
      <c r="K3036" s="26" t="str">
        <f t="shared" si="596"/>
        <v>EP</v>
      </c>
      <c r="L3036" s="26" t="str">
        <f t="shared" si="597"/>
        <v>DGOSE</v>
      </c>
      <c r="M3036" s="26" t="str">
        <f t="shared" si="598"/>
        <v>PARTICULAR</v>
      </c>
      <c r="N3036" s="26">
        <v>17</v>
      </c>
      <c r="O3036" s="26">
        <v>10</v>
      </c>
      <c r="P3036" s="26">
        <v>7</v>
      </c>
      <c r="Q3036" s="26">
        <v>2</v>
      </c>
      <c r="R3036" s="26">
        <v>1</v>
      </c>
      <c r="S3036" s="26">
        <v>2</v>
      </c>
      <c r="T3036" s="26">
        <v>0</v>
      </c>
      <c r="U3036" s="26">
        <v>3</v>
      </c>
      <c r="V3036" s="26">
        <v>1</v>
      </c>
      <c r="W3036" s="26"/>
    </row>
    <row r="3037" spans="1:23" x14ac:dyDescent="0.25">
      <c r="A3037" s="26" t="str">
        <f t="shared" si="599"/>
        <v>PREESCOLAR</v>
      </c>
      <c r="B3037" s="26" t="str">
        <f>"09PJN5765N"</f>
        <v>09PJN5765N</v>
      </c>
      <c r="C3037" s="26" t="str">
        <f>"AZTLAN                                                                                              "</f>
        <v xml:space="preserve">AZTLAN                                                                                              </v>
      </c>
      <c r="D3037" s="26" t="str">
        <f t="shared" si="602"/>
        <v>MATUTINO</v>
      </c>
      <c r="E3037" s="26" t="str">
        <f>"CRISANTEMOS MZA. ""A"" LT. 54                                                     "</f>
        <v xml:space="preserve">CRISANTEMOS MZA. "A" LT. 54                                                     </v>
      </c>
      <c r="F3037" s="26" t="str">
        <f>"CUEVITAS                                                                                                                                    "</f>
        <v xml:space="preserve">CUEVITAS                                                                                                                                    </v>
      </c>
      <c r="G3037" s="26" t="str">
        <f>"ALVARO OBREGON                                                                  "</f>
        <v xml:space="preserve">ALVARO OBREGON                                                                  </v>
      </c>
      <c r="H3037" s="26" t="str">
        <f>"046"</f>
        <v>046</v>
      </c>
      <c r="I3037" s="26" t="str">
        <f t="shared" si="600"/>
        <v>00</v>
      </c>
      <c r="J3037" s="26" t="str">
        <f>"33 "</f>
        <v xml:space="preserve">33 </v>
      </c>
      <c r="K3037" s="26" t="str">
        <f t="shared" si="596"/>
        <v>EP</v>
      </c>
      <c r="L3037" s="26" t="str">
        <f t="shared" si="597"/>
        <v>DGOSE</v>
      </c>
      <c r="M3037" s="26" t="str">
        <f t="shared" si="598"/>
        <v>PARTICULAR</v>
      </c>
      <c r="N3037" s="26">
        <v>20</v>
      </c>
      <c r="O3037" s="26">
        <v>15</v>
      </c>
      <c r="P3037" s="26">
        <v>5</v>
      </c>
      <c r="Q3037" s="26">
        <v>2</v>
      </c>
      <c r="R3037" s="26">
        <v>1</v>
      </c>
      <c r="S3037" s="26">
        <v>1</v>
      </c>
      <c r="T3037" s="26">
        <v>2</v>
      </c>
      <c r="U3037" s="26">
        <v>4</v>
      </c>
      <c r="V3037" s="26">
        <v>1</v>
      </c>
      <c r="W3037" s="26"/>
    </row>
    <row r="3038" spans="1:23" x14ac:dyDescent="0.25">
      <c r="A3038" s="26" t="str">
        <f t="shared" si="599"/>
        <v>PREESCOLAR</v>
      </c>
      <c r="B3038" s="26" t="str">
        <f>"09PJN5766M"</f>
        <v>09PJN5766M</v>
      </c>
      <c r="C3038" s="26" t="str">
        <f>"COLEGIO LOMAS HILL PRESCHOOL                                                                        "</f>
        <v xml:space="preserve">COLEGIO LOMAS HILL PRESCHOOL                                                                        </v>
      </c>
      <c r="D3038" s="26" t="str">
        <f t="shared" si="602"/>
        <v>MATUTINO</v>
      </c>
      <c r="E3038" s="26" t="str">
        <f>"VERACRUZ NO. 158                                                                "</f>
        <v xml:space="preserve">VERACRUZ NO. 158                                                                </v>
      </c>
      <c r="F3038" s="26" t="str">
        <f>"CUAJIMALPA                                                                                                                                  "</f>
        <v xml:space="preserve">CUAJIMALPA                                                                                                                                  </v>
      </c>
      <c r="G3038" s="26" t="str">
        <f>"CUAJIMALPA DE MORELOS                                                           "</f>
        <v xml:space="preserve">CUAJIMALPA DE MORELOS                                                           </v>
      </c>
      <c r="H3038" s="26" t="str">
        <f>"151"</f>
        <v>151</v>
      </c>
      <c r="I3038" s="26" t="str">
        <f t="shared" si="600"/>
        <v>00</v>
      </c>
      <c r="J3038" s="26" t="str">
        <f>"33 "</f>
        <v xml:space="preserve">33 </v>
      </c>
      <c r="K3038" s="26" t="str">
        <f t="shared" si="596"/>
        <v>EP</v>
      </c>
      <c r="L3038" s="26" t="str">
        <f t="shared" si="597"/>
        <v>DGOSE</v>
      </c>
      <c r="M3038" s="26" t="str">
        <f t="shared" si="598"/>
        <v>PARTICULAR</v>
      </c>
      <c r="N3038" s="26">
        <v>41</v>
      </c>
      <c r="O3038" s="26">
        <v>23</v>
      </c>
      <c r="P3038" s="26">
        <v>18</v>
      </c>
      <c r="Q3038" s="26">
        <v>3</v>
      </c>
      <c r="R3038" s="26">
        <v>1</v>
      </c>
      <c r="S3038" s="26">
        <v>3</v>
      </c>
      <c r="T3038" s="26">
        <v>1</v>
      </c>
      <c r="U3038" s="26">
        <v>5</v>
      </c>
      <c r="V3038" s="26">
        <v>1</v>
      </c>
      <c r="W3038" s="26"/>
    </row>
    <row r="3039" spans="1:23" x14ac:dyDescent="0.25">
      <c r="A3039" s="26" t="str">
        <f t="shared" si="599"/>
        <v>PREESCOLAR</v>
      </c>
      <c r="B3039" s="26" t="str">
        <f>"09PJN5767L"</f>
        <v>09PJN5767L</v>
      </c>
      <c r="C3039" s="26" t="str">
        <f>"ATLAPULCO                                                                                           "</f>
        <v xml:space="preserve">ATLAPULCO                                                                                           </v>
      </c>
      <c r="D3039" s="26" t="str">
        <f t="shared" si="602"/>
        <v>MATUTINO</v>
      </c>
      <c r="E3039" s="26" t="str">
        <f>"AVENIDA MEXICO ORIENTE NO.48                                                    "</f>
        <v xml:space="preserve">AVENIDA MEXICO ORIENTE NO.48                                                    </v>
      </c>
      <c r="F3039" s="26" t="str">
        <f>"SAN GREGORIO ATLAPULCO                                                                                                                      "</f>
        <v xml:space="preserve">SAN GREGORIO ATLAPULCO                                                                                                                      </v>
      </c>
      <c r="G3039" s="26" t="str">
        <f>"XOCHIMILCO                                                                      "</f>
        <v xml:space="preserve">XOCHIMILCO                                                                      </v>
      </c>
      <c r="H3039" s="26" t="str">
        <f>"053"</f>
        <v>053</v>
      </c>
      <c r="I3039" s="26" t="str">
        <f t="shared" si="600"/>
        <v>00</v>
      </c>
      <c r="J3039" s="26" t="str">
        <f>"35 "</f>
        <v xml:space="preserve">35 </v>
      </c>
      <c r="K3039" s="26" t="str">
        <f t="shared" si="596"/>
        <v>EP</v>
      </c>
      <c r="L3039" s="26" t="str">
        <f t="shared" si="597"/>
        <v>DGOSE</v>
      </c>
      <c r="M3039" s="26" t="str">
        <f t="shared" si="598"/>
        <v>PARTICULAR</v>
      </c>
      <c r="N3039" s="26">
        <v>8</v>
      </c>
      <c r="O3039" s="26">
        <v>7</v>
      </c>
      <c r="P3039" s="26">
        <v>1</v>
      </c>
      <c r="Q3039" s="26">
        <v>2</v>
      </c>
      <c r="R3039" s="26">
        <v>1</v>
      </c>
      <c r="S3039" s="26">
        <v>2</v>
      </c>
      <c r="T3039" s="26">
        <v>6</v>
      </c>
      <c r="U3039" s="26">
        <v>9</v>
      </c>
      <c r="V3039" s="26">
        <v>1</v>
      </c>
      <c r="W3039" s="26"/>
    </row>
    <row r="3040" spans="1:23" x14ac:dyDescent="0.25">
      <c r="A3040" s="26" t="str">
        <f t="shared" si="599"/>
        <v>PREESCOLAR</v>
      </c>
      <c r="B3040" s="26" t="str">
        <f>"09PJN5768K"</f>
        <v>09PJN5768K</v>
      </c>
      <c r="C3040" s="26" t="str">
        <f>"JARDIN DE NIÑOS PLOCKY                                                                              "</f>
        <v xml:space="preserve">JARDIN DE NIÑOS PLOCKY                                                                              </v>
      </c>
      <c r="D3040" s="26" t="str">
        <f t="shared" si="602"/>
        <v>MATUTINO</v>
      </c>
      <c r="E3040" s="26" t="str">
        <f>"ORIENTE 176 NO. 87                                                              "</f>
        <v xml:space="preserve">ORIENTE 176 NO. 87                                                              </v>
      </c>
      <c r="F3040" s="26" t="str">
        <f>"MOCTEZUMA 2A SECCION                                                                                                                        "</f>
        <v xml:space="preserve">MOCTEZUMA 2A SECCION                                                                                                                        </v>
      </c>
      <c r="G3040" s="26" t="str">
        <f>"VENUSTIANO CARRANZA                                                             "</f>
        <v xml:space="preserve">VENUSTIANO CARRANZA                                                             </v>
      </c>
      <c r="H3040" s="26" t="str">
        <f>"248"</f>
        <v>248</v>
      </c>
      <c r="I3040" s="26" t="str">
        <f t="shared" si="600"/>
        <v>00</v>
      </c>
      <c r="J3040" s="26" t="str">
        <f>"33 "</f>
        <v xml:space="preserve">33 </v>
      </c>
      <c r="K3040" s="26" t="str">
        <f t="shared" si="596"/>
        <v>EP</v>
      </c>
      <c r="L3040" s="26" t="str">
        <f t="shared" si="597"/>
        <v>DGOSE</v>
      </c>
      <c r="M3040" s="26" t="str">
        <f t="shared" si="598"/>
        <v>PARTICULAR</v>
      </c>
      <c r="N3040" s="26">
        <v>11</v>
      </c>
      <c r="O3040" s="26">
        <v>5</v>
      </c>
      <c r="P3040" s="26">
        <v>6</v>
      </c>
      <c r="Q3040" s="26">
        <v>3</v>
      </c>
      <c r="R3040" s="26">
        <v>1</v>
      </c>
      <c r="S3040" s="26">
        <v>2</v>
      </c>
      <c r="T3040" s="26">
        <v>2</v>
      </c>
      <c r="U3040" s="26">
        <v>5</v>
      </c>
      <c r="V3040" s="26">
        <v>1</v>
      </c>
      <c r="W3040" s="26"/>
    </row>
    <row r="3041" spans="1:23" x14ac:dyDescent="0.25">
      <c r="A3041" s="26" t="str">
        <f t="shared" si="599"/>
        <v>PREESCOLAR</v>
      </c>
      <c r="B3041" s="26" t="str">
        <f>"09PJN5769J"</f>
        <v>09PJN5769J</v>
      </c>
      <c r="C3041" s="26" t="str">
        <f>"CENTRO EDUCATIVO MARCELINO CHAMPAGNAT                                                               "</f>
        <v xml:space="preserve">CENTRO EDUCATIVO MARCELINO CHAMPAGNAT                                                               </v>
      </c>
      <c r="D3041" s="26" t="str">
        <f t="shared" si="602"/>
        <v>MATUTINO</v>
      </c>
      <c r="E3041" s="26" t="str">
        <f>"PASCUAL OROZCO NO.17                                                            "</f>
        <v xml:space="preserve">PASCUAL OROZCO NO.17                                                            </v>
      </c>
      <c r="F3041" s="26" t="str">
        <f>"SAN LORENZO LA CEBADA                                                                                                                       "</f>
        <v xml:space="preserve">SAN LORENZO LA CEBADA                                                                                                                       </v>
      </c>
      <c r="G3041" s="26" t="str">
        <f>"XOCHIMILCO                                                                      "</f>
        <v xml:space="preserve">XOCHIMILCO                                                                      </v>
      </c>
      <c r="H3041" s="26" t="str">
        <f>"172"</f>
        <v>172</v>
      </c>
      <c r="I3041" s="26" t="str">
        <f t="shared" si="600"/>
        <v>00</v>
      </c>
      <c r="J3041" s="26" t="str">
        <f>"35 "</f>
        <v xml:space="preserve">35 </v>
      </c>
      <c r="K3041" s="26" t="str">
        <f t="shared" si="596"/>
        <v>EP</v>
      </c>
      <c r="L3041" s="26" t="str">
        <f t="shared" si="597"/>
        <v>DGOSE</v>
      </c>
      <c r="M3041" s="26" t="str">
        <f t="shared" si="598"/>
        <v>PARTICULAR</v>
      </c>
      <c r="N3041" s="26">
        <v>3</v>
      </c>
      <c r="O3041" s="26">
        <v>1</v>
      </c>
      <c r="P3041" s="26">
        <v>2</v>
      </c>
      <c r="Q3041" s="26">
        <v>2</v>
      </c>
      <c r="R3041" s="26">
        <v>1</v>
      </c>
      <c r="S3041" s="26">
        <v>2</v>
      </c>
      <c r="T3041" s="26">
        <v>6</v>
      </c>
      <c r="U3041" s="26">
        <v>9</v>
      </c>
      <c r="V3041" s="26">
        <v>1</v>
      </c>
      <c r="W3041" s="26"/>
    </row>
    <row r="3042" spans="1:23" x14ac:dyDescent="0.25">
      <c r="A3042" s="26" t="str">
        <f t="shared" si="599"/>
        <v>PREESCOLAR</v>
      </c>
      <c r="B3042" s="26" t="str">
        <f>"09PJN5770Z"</f>
        <v>09PJN5770Z</v>
      </c>
      <c r="C3042" s="26" t="str">
        <f>"JARDIN DE NIÑOS XOCHIMANQUI                                                                         "</f>
        <v xml:space="preserve">JARDIN DE NIÑOS XOCHIMANQUI                                                                         </v>
      </c>
      <c r="D3042" s="26" t="str">
        <f t="shared" si="602"/>
        <v>MATUTINO</v>
      </c>
      <c r="E3042" s="26" t="str">
        <f>"CAMINO EL MIRADOR NO.4 INT.1                                                    "</f>
        <v xml:space="preserve">CAMINO EL MIRADOR NO.4 INT.1                                                    </v>
      </c>
      <c r="F3042" s="26" t="str">
        <f>"SAN LUCAS XOCHIMANCA                                                                                                                        "</f>
        <v xml:space="preserve">SAN LUCAS XOCHIMANCA                                                                                                                        </v>
      </c>
      <c r="G3042" s="26" t="str">
        <f>"XOCHIMILCO                                                                      "</f>
        <v xml:space="preserve">XOCHIMILCO                                                                      </v>
      </c>
      <c r="H3042" s="26" t="str">
        <f>"052"</f>
        <v>052</v>
      </c>
      <c r="I3042" s="26" t="str">
        <f t="shared" si="600"/>
        <v>00</v>
      </c>
      <c r="J3042" s="26" t="str">
        <f>"35 "</f>
        <v xml:space="preserve">35 </v>
      </c>
      <c r="K3042" s="26" t="str">
        <f t="shared" si="596"/>
        <v>EP</v>
      </c>
      <c r="L3042" s="26" t="str">
        <f t="shared" si="597"/>
        <v>DGOSE</v>
      </c>
      <c r="M3042" s="26" t="str">
        <f t="shared" si="598"/>
        <v>PARTICULAR</v>
      </c>
      <c r="N3042" s="26">
        <v>29</v>
      </c>
      <c r="O3042" s="26">
        <v>14</v>
      </c>
      <c r="P3042" s="26">
        <v>15</v>
      </c>
      <c r="Q3042" s="26">
        <v>3</v>
      </c>
      <c r="R3042" s="26">
        <v>1</v>
      </c>
      <c r="S3042" s="26">
        <v>3</v>
      </c>
      <c r="T3042" s="26">
        <v>2</v>
      </c>
      <c r="U3042" s="26">
        <v>6</v>
      </c>
      <c r="V3042" s="26">
        <v>1</v>
      </c>
      <c r="W3042" s="26"/>
    </row>
    <row r="3043" spans="1:23" x14ac:dyDescent="0.25">
      <c r="A3043" s="26" t="str">
        <f t="shared" si="599"/>
        <v>PREESCOLAR</v>
      </c>
      <c r="B3043" s="26" t="str">
        <f>"09PJN5771Y"</f>
        <v>09PJN5771Y</v>
      </c>
      <c r="C3043" s="26" t="str">
        <f>"JARDIN DE NIÑOS LA CARITA FELIZ                                                                     "</f>
        <v xml:space="preserve">JARDIN DE NIÑOS LA CARITA FELIZ                                                                     </v>
      </c>
      <c r="D3043" s="26" t="str">
        <f t="shared" si="602"/>
        <v>MATUTINO</v>
      </c>
      <c r="E3043" s="26" t="str">
        <f>"AV. AQUILES SERDAN NO.34                                                        "</f>
        <v xml:space="preserve">AV. AQUILES SERDAN NO.34                                                        </v>
      </c>
      <c r="F3043" s="26" t="str">
        <f>"XOCHIMILCO                                                                                                                                  "</f>
        <v xml:space="preserve">XOCHIMILCO                                                                                                                                  </v>
      </c>
      <c r="G3043" s="26" t="str">
        <f>"XOCHIMILCO                                                                      "</f>
        <v xml:space="preserve">XOCHIMILCO                                                                      </v>
      </c>
      <c r="H3043" s="26" t="str">
        <f>"141"</f>
        <v>141</v>
      </c>
      <c r="I3043" s="26" t="str">
        <f t="shared" si="600"/>
        <v>00</v>
      </c>
      <c r="J3043" s="26" t="str">
        <f>"35 "</f>
        <v xml:space="preserve">35 </v>
      </c>
      <c r="K3043" s="26" t="str">
        <f t="shared" si="596"/>
        <v>EP</v>
      </c>
      <c r="L3043" s="26" t="str">
        <f t="shared" si="597"/>
        <v>DGOSE</v>
      </c>
      <c r="M3043" s="26" t="str">
        <f t="shared" si="598"/>
        <v>PARTICULAR</v>
      </c>
      <c r="N3043" s="26">
        <v>38</v>
      </c>
      <c r="O3043" s="26">
        <v>19</v>
      </c>
      <c r="P3043" s="26">
        <v>19</v>
      </c>
      <c r="Q3043" s="26">
        <v>3</v>
      </c>
      <c r="R3043" s="26">
        <v>1</v>
      </c>
      <c r="S3043" s="26">
        <v>3</v>
      </c>
      <c r="T3043" s="26">
        <v>4</v>
      </c>
      <c r="U3043" s="26">
        <v>8</v>
      </c>
      <c r="V3043" s="26">
        <v>1</v>
      </c>
      <c r="W3043" s="26"/>
    </row>
    <row r="3044" spans="1:23" x14ac:dyDescent="0.25">
      <c r="A3044" s="26" t="str">
        <f t="shared" si="599"/>
        <v>PREESCOLAR</v>
      </c>
      <c r="B3044" s="26" t="str">
        <f>"09PJN5773W"</f>
        <v>09PJN5773W</v>
      </c>
      <c r="C3044" s="26" t="str">
        <f>"EL RUISEÑOR Y LA ROSA                                                                               "</f>
        <v xml:space="preserve">EL RUISEÑOR Y LA ROSA                                                                               </v>
      </c>
      <c r="D3044" s="26" t="str">
        <f t="shared" si="602"/>
        <v>MATUTINO</v>
      </c>
      <c r="E3044" s="26" t="str">
        <f>"AV.  GUADALUPE I. RAMIREZ NO.370                                                "</f>
        <v xml:space="preserve">AV.  GUADALUPE I. RAMIREZ NO.370                                                </v>
      </c>
      <c r="F3044" s="26" t="str">
        <f>"TIERRA NUEVA                                                                                                                                "</f>
        <v xml:space="preserve">TIERRA NUEVA                                                                                                                                </v>
      </c>
      <c r="G3044" s="26" t="str">
        <f>"XOCHIMILCO                                                                      "</f>
        <v xml:space="preserve">XOCHIMILCO                                                                      </v>
      </c>
      <c r="H3044" s="26" t="str">
        <f>"084"</f>
        <v>084</v>
      </c>
      <c r="I3044" s="26" t="str">
        <f t="shared" si="600"/>
        <v>00</v>
      </c>
      <c r="J3044" s="26" t="str">
        <f>"35 "</f>
        <v xml:space="preserve">35 </v>
      </c>
      <c r="K3044" s="26" t="str">
        <f t="shared" si="596"/>
        <v>EP</v>
      </c>
      <c r="L3044" s="26" t="str">
        <f t="shared" si="597"/>
        <v>DGOSE</v>
      </c>
      <c r="M3044" s="26" t="str">
        <f t="shared" si="598"/>
        <v>PARTICULAR</v>
      </c>
      <c r="N3044" s="26">
        <v>10</v>
      </c>
      <c r="O3044" s="26">
        <v>5</v>
      </c>
      <c r="P3044" s="26">
        <v>5</v>
      </c>
      <c r="Q3044" s="26">
        <v>3</v>
      </c>
      <c r="R3044" s="26">
        <v>1</v>
      </c>
      <c r="S3044" s="26">
        <v>2</v>
      </c>
      <c r="T3044" s="26">
        <v>6</v>
      </c>
      <c r="U3044" s="26">
        <v>9</v>
      </c>
      <c r="V3044" s="26">
        <v>1</v>
      </c>
      <c r="W3044" s="26"/>
    </row>
    <row r="3045" spans="1:23" x14ac:dyDescent="0.25">
      <c r="A3045" s="26" t="str">
        <f t="shared" si="599"/>
        <v>PREESCOLAR</v>
      </c>
      <c r="B3045" s="26" t="str">
        <f>"09PJN5774V"</f>
        <v>09PJN5774V</v>
      </c>
      <c r="C3045" s="26" t="str">
        <f>"COLEGIO HELEN KELLER                                                                                "</f>
        <v xml:space="preserve">COLEGIO HELEN KELLER                                                                                </v>
      </c>
      <c r="D3045" s="26" t="str">
        <f t="shared" si="602"/>
        <v>MATUTINO</v>
      </c>
      <c r="E3045" s="26" t="str">
        <f>"SUR 22 NO. 199                                                                  "</f>
        <v xml:space="preserve">SUR 22 NO. 199                                                                  </v>
      </c>
      <c r="F3045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3045" s="26" t="str">
        <f>"IZTACALCO                                                                       "</f>
        <v xml:space="preserve">IZTACALCO                                                                       </v>
      </c>
      <c r="H3045" s="26" t="str">
        <f>"236"</f>
        <v>236</v>
      </c>
      <c r="I3045" s="26" t="str">
        <f t="shared" si="600"/>
        <v>00</v>
      </c>
      <c r="J3045" s="26" t="str">
        <f>"33 "</f>
        <v xml:space="preserve">33 </v>
      </c>
      <c r="K3045" s="26" t="str">
        <f t="shared" si="596"/>
        <v>EP</v>
      </c>
      <c r="L3045" s="26" t="str">
        <f t="shared" si="597"/>
        <v>DGOSE</v>
      </c>
      <c r="M3045" s="26" t="str">
        <f t="shared" si="598"/>
        <v>PARTICULAR</v>
      </c>
      <c r="N3045" s="26">
        <v>6</v>
      </c>
      <c r="O3045" s="26">
        <v>3</v>
      </c>
      <c r="P3045" s="26">
        <v>3</v>
      </c>
      <c r="Q3045" s="26">
        <v>1</v>
      </c>
      <c r="R3045" s="26">
        <v>1</v>
      </c>
      <c r="S3045" s="26">
        <v>1</v>
      </c>
      <c r="T3045" s="26">
        <v>3</v>
      </c>
      <c r="U3045" s="26">
        <v>5</v>
      </c>
      <c r="V3045" s="26">
        <v>1</v>
      </c>
      <c r="W3045" s="26"/>
    </row>
    <row r="3046" spans="1:23" x14ac:dyDescent="0.25">
      <c r="A3046" s="26" t="str">
        <f t="shared" si="599"/>
        <v>PREESCOLAR</v>
      </c>
      <c r="B3046" s="26" t="str">
        <f>"09PJN5777S"</f>
        <v>09PJN5777S</v>
      </c>
      <c r="C3046" s="26" t="str">
        <f>"CENTRO INFANTIL GROSS                                                                               "</f>
        <v xml:space="preserve">CENTRO INFANTIL GROSS                                                                               </v>
      </c>
      <c r="D3046" s="26" t="str">
        <f t="shared" si="602"/>
        <v>MATUTINO</v>
      </c>
      <c r="E3046" s="26" t="str">
        <f>"SUR 14 NO. 23                                                                   "</f>
        <v xml:space="preserve">SUR 14 NO. 23                                                                   </v>
      </c>
      <c r="F3046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3046" s="26" t="str">
        <f>"IZTACALCO                                                                       "</f>
        <v xml:space="preserve">IZTACALCO                                                                       </v>
      </c>
      <c r="H3046" s="26" t="str">
        <f>"143"</f>
        <v>143</v>
      </c>
      <c r="I3046" s="26" t="str">
        <f t="shared" si="600"/>
        <v>00</v>
      </c>
      <c r="J3046" s="26" t="str">
        <f>"33 "</f>
        <v xml:space="preserve">33 </v>
      </c>
      <c r="K3046" s="26" t="str">
        <f t="shared" si="596"/>
        <v>EP</v>
      </c>
      <c r="L3046" s="26" t="str">
        <f t="shared" si="597"/>
        <v>DGOSE</v>
      </c>
      <c r="M3046" s="26" t="str">
        <f t="shared" si="598"/>
        <v>PARTICULAR</v>
      </c>
      <c r="N3046" s="26">
        <v>26</v>
      </c>
      <c r="O3046" s="26">
        <v>18</v>
      </c>
      <c r="P3046" s="26">
        <v>8</v>
      </c>
      <c r="Q3046" s="26">
        <v>3</v>
      </c>
      <c r="R3046" s="26">
        <v>1</v>
      </c>
      <c r="S3046" s="26">
        <v>3</v>
      </c>
      <c r="T3046" s="26">
        <v>1</v>
      </c>
      <c r="U3046" s="26">
        <v>5</v>
      </c>
      <c r="V3046" s="26">
        <v>1</v>
      </c>
      <c r="W3046" s="26"/>
    </row>
    <row r="3047" spans="1:23" x14ac:dyDescent="0.25">
      <c r="A3047" s="26" t="str">
        <f t="shared" si="599"/>
        <v>PREESCOLAR</v>
      </c>
      <c r="B3047" s="26" t="str">
        <f>"09PJN5778R"</f>
        <v>09PJN5778R</v>
      </c>
      <c r="C3047" s="26" t="str">
        <f>"VICTORIA COLLEGE                                                                                    "</f>
        <v xml:space="preserve">VICTORIA COLLEGE                                                                                    </v>
      </c>
      <c r="D3047" s="26" t="str">
        <f t="shared" si="602"/>
        <v>MATUTINO</v>
      </c>
      <c r="E3047" s="26" t="str">
        <f>"AV. LA TURBA NO. 32                                                             "</f>
        <v xml:space="preserve">AV. LA TURBA NO. 32                                                             </v>
      </c>
      <c r="F3047" s="26" t="str">
        <f>"GRANJAS CABRERA                                                                                                                             "</f>
        <v xml:space="preserve">GRANJAS CABRERA                                                                                                                             </v>
      </c>
      <c r="G3047" s="26" t="str">
        <f>"TLAHUAC                                                                         "</f>
        <v xml:space="preserve">TLAHUAC                                                                         </v>
      </c>
      <c r="H3047" s="26" t="str">
        <f>"124"</f>
        <v>124</v>
      </c>
      <c r="I3047" s="26" t="str">
        <f t="shared" si="600"/>
        <v>00</v>
      </c>
      <c r="J3047" s="26" t="str">
        <f>"35 "</f>
        <v xml:space="preserve">35 </v>
      </c>
      <c r="K3047" s="26" t="str">
        <f t="shared" si="596"/>
        <v>EP</v>
      </c>
      <c r="L3047" s="26" t="str">
        <f t="shared" si="597"/>
        <v>DGOSE</v>
      </c>
      <c r="M3047" s="26" t="str">
        <f t="shared" si="598"/>
        <v>PARTICULAR</v>
      </c>
      <c r="N3047" s="26">
        <v>36</v>
      </c>
      <c r="O3047" s="26">
        <v>12</v>
      </c>
      <c r="P3047" s="26">
        <v>24</v>
      </c>
      <c r="Q3047" s="26">
        <v>3</v>
      </c>
      <c r="R3047" s="26">
        <v>1</v>
      </c>
      <c r="S3047" s="26">
        <v>3</v>
      </c>
      <c r="T3047" s="26">
        <v>7</v>
      </c>
      <c r="U3047" s="26">
        <v>11</v>
      </c>
      <c r="V3047" s="26">
        <v>1</v>
      </c>
      <c r="W3047" s="26"/>
    </row>
    <row r="3048" spans="1:23" x14ac:dyDescent="0.25">
      <c r="A3048" s="26" t="str">
        <f t="shared" si="599"/>
        <v>PREESCOLAR</v>
      </c>
      <c r="B3048" s="26" t="str">
        <f>"09PJN5779Q"</f>
        <v>09PJN5779Q</v>
      </c>
      <c r="C3048" s="26" t="str">
        <f>"ANGELITOS                                                                                           "</f>
        <v xml:space="preserve">ANGELITOS                                                                                           </v>
      </c>
      <c r="D3048" s="26" t="str">
        <f t="shared" si="602"/>
        <v>MATUTINO</v>
      </c>
      <c r="E3048" s="26" t="str">
        <f>"MAR DE LAS CRISIS MANZANA 59 LOTE 3                                             "</f>
        <v xml:space="preserve">MAR DE LAS CRISIS MANZANA 59 LOTE 3                                             </v>
      </c>
      <c r="F3048" s="26" t="str">
        <f>"SELENE AMPLIACION                                                                                                                           "</f>
        <v xml:space="preserve">SELENE AMPLIACION                                                                                                                           </v>
      </c>
      <c r="G3048" s="26" t="str">
        <f>"TLAHUAC                                                                         "</f>
        <v xml:space="preserve">TLAHUAC                                                                         </v>
      </c>
      <c r="H3048" s="26" t="str">
        <f>"223"</f>
        <v>223</v>
      </c>
      <c r="I3048" s="26" t="str">
        <f t="shared" si="600"/>
        <v>00</v>
      </c>
      <c r="J3048" s="26" t="str">
        <f>"35 "</f>
        <v xml:space="preserve">35 </v>
      </c>
      <c r="K3048" s="26" t="str">
        <f t="shared" si="596"/>
        <v>EP</v>
      </c>
      <c r="L3048" s="26" t="str">
        <f t="shared" si="597"/>
        <v>DGOSE</v>
      </c>
      <c r="M3048" s="26" t="str">
        <f t="shared" si="598"/>
        <v>PARTICULAR</v>
      </c>
      <c r="N3048" s="26">
        <v>18</v>
      </c>
      <c r="O3048" s="26">
        <v>11</v>
      </c>
      <c r="P3048" s="26">
        <v>7</v>
      </c>
      <c r="Q3048" s="26">
        <v>2</v>
      </c>
      <c r="R3048" s="26">
        <v>1</v>
      </c>
      <c r="S3048" s="26">
        <v>2</v>
      </c>
      <c r="T3048" s="26">
        <v>1</v>
      </c>
      <c r="U3048" s="26">
        <v>4</v>
      </c>
      <c r="V3048" s="26">
        <v>1</v>
      </c>
      <c r="W3048" s="26"/>
    </row>
    <row r="3049" spans="1:23" x14ac:dyDescent="0.25">
      <c r="A3049" s="26" t="str">
        <f t="shared" si="599"/>
        <v>PREESCOLAR</v>
      </c>
      <c r="B3049" s="26" t="str">
        <f>"09PJN5780F"</f>
        <v>09PJN5780F</v>
      </c>
      <c r="C3049" s="26" t="str">
        <f>"DORCHESTER SCHOOL                                                                                   "</f>
        <v xml:space="preserve">DORCHESTER SCHOOL                                                                                   </v>
      </c>
      <c r="D3049" s="26" t="str">
        <f t="shared" si="602"/>
        <v>MATUTINO</v>
      </c>
      <c r="E3049" s="26" t="str">
        <f>"PROLONGACION DIVISION DEL NORTE NO. 36                                          "</f>
        <v xml:space="preserve">PROLONGACION DIVISION DEL NORTE NO. 36                                          </v>
      </c>
      <c r="F3049" s="26" t="str">
        <f>"PRADO COAPA                                                                                                                                 "</f>
        <v xml:space="preserve">PRADO COAPA                                                                                                                                 </v>
      </c>
      <c r="G3049" s="26" t="str">
        <f>"TLALPAN                                                                         "</f>
        <v xml:space="preserve">TLALPAN                                                                         </v>
      </c>
      <c r="H3049" s="26" t="str">
        <f>"050"</f>
        <v>050</v>
      </c>
      <c r="I3049" s="26" t="str">
        <f t="shared" si="600"/>
        <v>00</v>
      </c>
      <c r="J3049" s="26" t="str">
        <f>"35 "</f>
        <v xml:space="preserve">35 </v>
      </c>
      <c r="K3049" s="26" t="str">
        <f t="shared" si="596"/>
        <v>EP</v>
      </c>
      <c r="L3049" s="26" t="str">
        <f t="shared" si="597"/>
        <v>DGOSE</v>
      </c>
      <c r="M3049" s="26" t="str">
        <f t="shared" si="598"/>
        <v>PARTICULAR</v>
      </c>
      <c r="N3049" s="26">
        <v>13</v>
      </c>
      <c r="O3049" s="26">
        <v>8</v>
      </c>
      <c r="P3049" s="26">
        <v>5</v>
      </c>
      <c r="Q3049" s="26">
        <v>3</v>
      </c>
      <c r="R3049" s="26">
        <v>1</v>
      </c>
      <c r="S3049" s="26">
        <v>2</v>
      </c>
      <c r="T3049" s="26">
        <v>0</v>
      </c>
      <c r="U3049" s="26">
        <v>3</v>
      </c>
      <c r="V3049" s="26">
        <v>1</v>
      </c>
      <c r="W3049" s="26"/>
    </row>
    <row r="3050" spans="1:23" x14ac:dyDescent="0.25">
      <c r="A3050" s="26" t="str">
        <f t="shared" si="599"/>
        <v>PREESCOLAR</v>
      </c>
      <c r="B3050" s="26" t="str">
        <f>"09PJN5781E"</f>
        <v>09PJN5781E</v>
      </c>
      <c r="C3050" s="26" t="str">
        <f>"JARDIN DE NIÑOS DINO                                                                                "</f>
        <v xml:space="preserve">JARDIN DE NIÑOS DINO                                                                                </v>
      </c>
      <c r="D3050" s="26" t="str">
        <f t="shared" si="602"/>
        <v>MATUTINO</v>
      </c>
      <c r="E3050" s="26" t="str">
        <f>"CHOPIN NO. 197                                                                  "</f>
        <v xml:space="preserve">CHOPIN NO. 197                                                                  </v>
      </c>
      <c r="F3050" s="26" t="str">
        <f>"EX-HIPODROMO DE PERALVILLO                                                                                                                  "</f>
        <v xml:space="preserve">EX-HIPODROMO DE PERALVILLO                                                                                                                  </v>
      </c>
      <c r="G3050" s="26" t="s">
        <v>4128</v>
      </c>
      <c r="H3050" s="26" t="str">
        <f>"057"</f>
        <v>057</v>
      </c>
      <c r="I3050" s="26" t="str">
        <f t="shared" si="600"/>
        <v>00</v>
      </c>
      <c r="J3050" s="26" t="str">
        <f>"32 "</f>
        <v xml:space="preserve">32 </v>
      </c>
      <c r="K3050" s="26" t="str">
        <f t="shared" si="596"/>
        <v>EP</v>
      </c>
      <c r="L3050" s="26" t="str">
        <f t="shared" si="597"/>
        <v>DGOSE</v>
      </c>
      <c r="M3050" s="26" t="str">
        <f t="shared" si="598"/>
        <v>PARTICULAR</v>
      </c>
      <c r="N3050" s="26">
        <v>36</v>
      </c>
      <c r="O3050" s="26">
        <v>19</v>
      </c>
      <c r="P3050" s="26">
        <v>17</v>
      </c>
      <c r="Q3050" s="26">
        <v>3</v>
      </c>
      <c r="R3050" s="26">
        <v>1</v>
      </c>
      <c r="S3050" s="26">
        <v>3</v>
      </c>
      <c r="T3050" s="26">
        <v>1</v>
      </c>
      <c r="U3050" s="26">
        <v>5</v>
      </c>
      <c r="V3050" s="26">
        <v>1</v>
      </c>
      <c r="W3050" s="26"/>
    </row>
    <row r="3051" spans="1:23" x14ac:dyDescent="0.25">
      <c r="A3051" s="26" t="str">
        <f t="shared" si="599"/>
        <v>PREESCOLAR</v>
      </c>
      <c r="B3051" s="26" t="str">
        <f>"09PJN5785A"</f>
        <v>09PJN5785A</v>
      </c>
      <c r="C3051" s="26" t="str">
        <f>"ESCUELA BARI Y DE VALORES                                                                           "</f>
        <v xml:space="preserve">ESCUELA BARI Y DE VALORES                                                                           </v>
      </c>
      <c r="D3051" s="26" t="str">
        <f>"TIEMPO COMPLETO"</f>
        <v>TIEMPO COMPLETO</v>
      </c>
      <c r="E3051" s="26" t="str">
        <f>"AV. CANAL DE DESFOGUE MZA. 25 LT.27                                             "</f>
        <v xml:space="preserve">AV. CANAL DE DESFOGUE MZA. 25 LT.27                                             </v>
      </c>
      <c r="F3051" s="26" t="str">
        <f>"JUAN GONZALEZ ROMERO                                                                                                                        "</f>
        <v xml:space="preserve">JUAN GONZALEZ ROMERO                                                                                                                        </v>
      </c>
      <c r="G3051" s="26" t="str">
        <f>"GUSTAVO A. MADERO                                                               "</f>
        <v xml:space="preserve">GUSTAVO A. MADERO                                                               </v>
      </c>
      <c r="H3051" s="26" t="str">
        <f>"152"</f>
        <v>152</v>
      </c>
      <c r="I3051" s="26" t="str">
        <f t="shared" si="600"/>
        <v>00</v>
      </c>
      <c r="J3051" s="26" t="str">
        <f>"32 "</f>
        <v xml:space="preserve">32 </v>
      </c>
      <c r="K3051" s="26" t="str">
        <f t="shared" si="596"/>
        <v>EP</v>
      </c>
      <c r="L3051" s="26" t="str">
        <f t="shared" si="597"/>
        <v>DGOSE</v>
      </c>
      <c r="M3051" s="26" t="str">
        <f t="shared" si="598"/>
        <v>PARTICULAR</v>
      </c>
      <c r="N3051" s="26">
        <v>30</v>
      </c>
      <c r="O3051" s="26">
        <v>13</v>
      </c>
      <c r="P3051" s="26">
        <v>17</v>
      </c>
      <c r="Q3051" s="26">
        <v>3</v>
      </c>
      <c r="R3051" s="26">
        <v>1</v>
      </c>
      <c r="S3051" s="26">
        <v>3</v>
      </c>
      <c r="T3051" s="26">
        <v>1</v>
      </c>
      <c r="U3051" s="26">
        <v>5</v>
      </c>
      <c r="V3051" s="26">
        <v>1</v>
      </c>
      <c r="W3051" s="26"/>
    </row>
    <row r="3052" spans="1:23" x14ac:dyDescent="0.25">
      <c r="A3052" s="26" t="str">
        <f t="shared" si="599"/>
        <v>PREESCOLAR</v>
      </c>
      <c r="B3052" s="26" t="str">
        <f>"09PJN5786Z"</f>
        <v>09PJN5786Z</v>
      </c>
      <c r="C3052" s="26" t="str">
        <f>"INSTITUTO MARGARITA GALINDO DE RUIZ                                                                 "</f>
        <v xml:space="preserve">INSTITUTO MARGARITA GALINDO DE RUIZ                                                                 </v>
      </c>
      <c r="D3052" s="26" t="str">
        <f t="shared" ref="D3052:D3115" si="603">"MATUTINO"</f>
        <v>MATUTINO</v>
      </c>
      <c r="E3052" s="26" t="str">
        <f>"PUERTO ZIHUATANEJO NO. 46                                                       "</f>
        <v xml:space="preserve">PUERTO ZIHUATANEJO NO. 46                                                       </v>
      </c>
      <c r="F3052" s="26" t="str">
        <f>"CASAS ALEMAN                                                                                                                                "</f>
        <v xml:space="preserve">CASAS ALEMAN                                                                                                                                </v>
      </c>
      <c r="G3052" s="26" t="str">
        <f>"GUSTAVO A. MADERO                                                               "</f>
        <v xml:space="preserve">GUSTAVO A. MADERO                                                               </v>
      </c>
      <c r="H3052" s="26" t="str">
        <f>"199"</f>
        <v>199</v>
      </c>
      <c r="I3052" s="26" t="str">
        <f t="shared" si="600"/>
        <v>00</v>
      </c>
      <c r="J3052" s="26" t="str">
        <f>"32 "</f>
        <v xml:space="preserve">32 </v>
      </c>
      <c r="K3052" s="26" t="str">
        <f t="shared" si="596"/>
        <v>EP</v>
      </c>
      <c r="L3052" s="26" t="str">
        <f t="shared" si="597"/>
        <v>DGOSE</v>
      </c>
      <c r="M3052" s="26" t="str">
        <f t="shared" si="598"/>
        <v>PARTICULAR</v>
      </c>
      <c r="N3052" s="26">
        <v>54</v>
      </c>
      <c r="O3052" s="26">
        <v>26</v>
      </c>
      <c r="P3052" s="26">
        <v>28</v>
      </c>
      <c r="Q3052" s="26">
        <v>3</v>
      </c>
      <c r="R3052" s="26">
        <v>1</v>
      </c>
      <c r="S3052" s="26">
        <v>3</v>
      </c>
      <c r="T3052" s="26">
        <v>7</v>
      </c>
      <c r="U3052" s="26">
        <v>11</v>
      </c>
      <c r="V3052" s="26">
        <v>1</v>
      </c>
      <c r="W3052" s="26"/>
    </row>
    <row r="3053" spans="1:23" x14ac:dyDescent="0.25">
      <c r="A3053" s="26" t="str">
        <f t="shared" si="599"/>
        <v>PREESCOLAR</v>
      </c>
      <c r="B3053" s="26" t="str">
        <f>"09PJN5787Z"</f>
        <v>09PJN5787Z</v>
      </c>
      <c r="C3053" s="26" t="str">
        <f>"ESTANCIA Y JARDIN DE NIÑOS KAMBAL                                                                   "</f>
        <v xml:space="preserve">ESTANCIA Y JARDIN DE NIÑOS KAMBAL                                                                   </v>
      </c>
      <c r="D3053" s="26" t="str">
        <f t="shared" si="603"/>
        <v>MATUTINO</v>
      </c>
      <c r="E3053" s="26" t="str">
        <f>"ANILLO PERIFERICO NO. 7352                                                      "</f>
        <v xml:space="preserve">ANILLO PERIFERICO NO. 7352                                                      </v>
      </c>
      <c r="F3053" s="26" t="str">
        <f>"COAPA RINCON                                                                                                                                "</f>
        <v xml:space="preserve">COAPA RINCON                                                                                                                                </v>
      </c>
      <c r="G3053" s="26" t="str">
        <f>"TLALPAN                                                                         "</f>
        <v xml:space="preserve">TLALPAN                                                                         </v>
      </c>
      <c r="H3053" s="26" t="str">
        <f>"276"</f>
        <v>276</v>
      </c>
      <c r="I3053" s="26" t="str">
        <f t="shared" si="600"/>
        <v>00</v>
      </c>
      <c r="J3053" s="26" t="str">
        <f>"35 "</f>
        <v xml:space="preserve">35 </v>
      </c>
      <c r="K3053" s="26" t="str">
        <f t="shared" si="596"/>
        <v>EP</v>
      </c>
      <c r="L3053" s="26" t="str">
        <f t="shared" si="597"/>
        <v>DGOSE</v>
      </c>
      <c r="M3053" s="26" t="str">
        <f t="shared" si="598"/>
        <v>PARTICULAR</v>
      </c>
      <c r="N3053" s="26">
        <v>5</v>
      </c>
      <c r="O3053" s="26">
        <v>4</v>
      </c>
      <c r="P3053" s="26">
        <v>1</v>
      </c>
      <c r="Q3053" s="26">
        <v>1</v>
      </c>
      <c r="R3053" s="26">
        <v>1</v>
      </c>
      <c r="S3053" s="26">
        <v>1</v>
      </c>
      <c r="T3053" s="26">
        <v>2</v>
      </c>
      <c r="U3053" s="26">
        <v>4</v>
      </c>
      <c r="V3053" s="26">
        <v>1</v>
      </c>
      <c r="W3053" s="26"/>
    </row>
    <row r="3054" spans="1:23" x14ac:dyDescent="0.25">
      <c r="A3054" s="26" t="str">
        <f t="shared" si="599"/>
        <v>PREESCOLAR</v>
      </c>
      <c r="B3054" s="26" t="str">
        <f>"09PJN5788Y"</f>
        <v>09PJN5788Y</v>
      </c>
      <c r="C3054" s="26" t="str">
        <f>"ESTANCIA INFANTIL VASCO DE QUIROGA                                                                  "</f>
        <v xml:space="preserve">ESTANCIA INFANTIL VASCO DE QUIROGA                                                                  </v>
      </c>
      <c r="D3054" s="26" t="str">
        <f t="shared" si="603"/>
        <v>MATUTINO</v>
      </c>
      <c r="E3054" s="26" t="str">
        <f>"RAMON LOPEZ VELARDE NO. 7                                                       "</f>
        <v xml:space="preserve">RAMON LOPEZ VELARDE NO. 7                                                       </v>
      </c>
      <c r="F3054" s="26" t="str">
        <f>"LA MEXICANA                                                                                                                                 "</f>
        <v xml:space="preserve">LA MEXICANA                                                                                                                                 </v>
      </c>
      <c r="G3054" s="26" t="str">
        <f>"ALVARO OBREGON                                                                  "</f>
        <v xml:space="preserve">ALVARO OBREGON                                                                  </v>
      </c>
      <c r="H3054" s="26" t="str">
        <f>"166"</f>
        <v>166</v>
      </c>
      <c r="I3054" s="26" t="str">
        <f t="shared" si="600"/>
        <v>00</v>
      </c>
      <c r="J3054" s="26" t="str">
        <f>"33 "</f>
        <v xml:space="preserve">33 </v>
      </c>
      <c r="K3054" s="26" t="str">
        <f t="shared" si="596"/>
        <v>EP</v>
      </c>
      <c r="L3054" s="26" t="str">
        <f t="shared" si="597"/>
        <v>DGOSE</v>
      </c>
      <c r="M3054" s="26" t="str">
        <f t="shared" si="598"/>
        <v>PARTICULAR</v>
      </c>
      <c r="N3054" s="26">
        <v>43</v>
      </c>
      <c r="O3054" s="26">
        <v>19</v>
      </c>
      <c r="P3054" s="26">
        <v>24</v>
      </c>
      <c r="Q3054" s="26">
        <v>3</v>
      </c>
      <c r="R3054" s="26">
        <v>1</v>
      </c>
      <c r="S3054" s="26">
        <v>3</v>
      </c>
      <c r="T3054" s="26">
        <v>8</v>
      </c>
      <c r="U3054" s="26">
        <v>12</v>
      </c>
      <c r="V3054" s="26">
        <v>1</v>
      </c>
      <c r="W3054" s="26"/>
    </row>
    <row r="3055" spans="1:23" x14ac:dyDescent="0.25">
      <c r="A3055" s="26" t="str">
        <f t="shared" si="599"/>
        <v>PREESCOLAR</v>
      </c>
      <c r="B3055" s="26" t="str">
        <f>"09PJN5790M"</f>
        <v>09PJN5790M</v>
      </c>
      <c r="C3055" s="26" t="str">
        <f>"MY KINDER GARDNER                                                                                   "</f>
        <v xml:space="preserve">MY KINDER GARDNER                                                                                   </v>
      </c>
      <c r="D3055" s="26" t="str">
        <f t="shared" si="603"/>
        <v>MATUTINO</v>
      </c>
      <c r="E3055" s="26" t="str">
        <f>"CIRCUITO FUENTES DEL PEDREGAL NO. 965                                           "</f>
        <v xml:space="preserve">CIRCUITO FUENTES DEL PEDREGAL NO. 965                                           </v>
      </c>
      <c r="F3055" s="26" t="str">
        <f>"FUENTES DEL PEDREGAL                                                                                                                        "</f>
        <v xml:space="preserve">FUENTES DEL PEDREGAL                                                                                                                        </v>
      </c>
      <c r="G3055" s="26" t="str">
        <f>"TLALPAN                                                                         "</f>
        <v xml:space="preserve">TLALPAN                                                                         </v>
      </c>
      <c r="H3055" s="26" t="str">
        <f>"049"</f>
        <v>049</v>
      </c>
      <c r="I3055" s="26" t="str">
        <f t="shared" si="600"/>
        <v>00</v>
      </c>
      <c r="J3055" s="26" t="str">
        <f>"35 "</f>
        <v xml:space="preserve">35 </v>
      </c>
      <c r="K3055" s="26" t="str">
        <f t="shared" si="596"/>
        <v>EP</v>
      </c>
      <c r="L3055" s="26" t="str">
        <f t="shared" si="597"/>
        <v>DGOSE</v>
      </c>
      <c r="M3055" s="26" t="str">
        <f t="shared" si="598"/>
        <v>PARTICULAR</v>
      </c>
      <c r="N3055" s="26">
        <v>25</v>
      </c>
      <c r="O3055" s="26">
        <v>10</v>
      </c>
      <c r="P3055" s="26">
        <v>15</v>
      </c>
      <c r="Q3055" s="26">
        <v>3</v>
      </c>
      <c r="R3055" s="26">
        <v>1</v>
      </c>
      <c r="S3055" s="26">
        <v>2</v>
      </c>
      <c r="T3055" s="26">
        <v>1</v>
      </c>
      <c r="U3055" s="26">
        <v>4</v>
      </c>
      <c r="V3055" s="26">
        <v>1</v>
      </c>
      <c r="W3055" s="26"/>
    </row>
    <row r="3056" spans="1:23" x14ac:dyDescent="0.25">
      <c r="A3056" s="26" t="str">
        <f t="shared" si="599"/>
        <v>PREESCOLAR</v>
      </c>
      <c r="B3056" s="26" t="str">
        <f>"09PJN5791L"</f>
        <v>09PJN5791L</v>
      </c>
      <c r="C3056" s="26" t="str">
        <f>"C.U.D.I. COLEGIO HUMANISTA DE DESARROLLO INTEGRAL                                                   "</f>
        <v xml:space="preserve">C.U.D.I. COLEGIO HUMANISTA DE DESARROLLO INTEGRAL                                                   </v>
      </c>
      <c r="D3056" s="26" t="str">
        <f t="shared" si="603"/>
        <v>MATUTINO</v>
      </c>
      <c r="E3056" s="26" t="str">
        <f>"CERRO DEL MERCADO NO. 57                                                        "</f>
        <v xml:space="preserve">CERRO DEL MERCADO NO. 57                                                        </v>
      </c>
      <c r="F3056" s="26" t="str">
        <f>"CAMPESTRE CHURUBUSCO                                                                                                                        "</f>
        <v xml:space="preserve">CAMPESTRE CHURUBUSCO                                                                                                                        </v>
      </c>
      <c r="G3056" s="26" t="str">
        <f>"COYOACAN                                                                        "</f>
        <v xml:space="preserve">COYOACAN                                                                        </v>
      </c>
      <c r="H3056" s="26" t="str">
        <f>"024"</f>
        <v>024</v>
      </c>
      <c r="I3056" s="26" t="str">
        <f t="shared" si="600"/>
        <v>00</v>
      </c>
      <c r="J3056" s="26" t="str">
        <f>"35 "</f>
        <v xml:space="preserve">35 </v>
      </c>
      <c r="K3056" s="26" t="str">
        <f t="shared" si="596"/>
        <v>EP</v>
      </c>
      <c r="L3056" s="26" t="str">
        <f t="shared" si="597"/>
        <v>DGOSE</v>
      </c>
      <c r="M3056" s="26" t="str">
        <f t="shared" si="598"/>
        <v>PARTICULAR</v>
      </c>
      <c r="N3056" s="26">
        <v>13</v>
      </c>
      <c r="O3056" s="26">
        <v>6</v>
      </c>
      <c r="P3056" s="26">
        <v>7</v>
      </c>
      <c r="Q3056" s="26">
        <v>2</v>
      </c>
      <c r="R3056" s="26">
        <v>1</v>
      </c>
      <c r="S3056" s="26">
        <v>2</v>
      </c>
      <c r="T3056" s="26">
        <v>1</v>
      </c>
      <c r="U3056" s="26">
        <v>4</v>
      </c>
      <c r="V3056" s="26">
        <v>1</v>
      </c>
      <c r="W3056" s="26"/>
    </row>
    <row r="3057" spans="1:23" x14ac:dyDescent="0.25">
      <c r="A3057" s="26" t="str">
        <f t="shared" si="599"/>
        <v>PREESCOLAR</v>
      </c>
      <c r="B3057" s="26" t="str">
        <f>"09PJN5792K"</f>
        <v>09PJN5792K</v>
      </c>
      <c r="C3057" s="26" t="str">
        <f>"CENTRO CONVIVENCIA INFANTIL                                                                         "</f>
        <v xml:space="preserve">CENTRO CONVIVENCIA INFANTIL                                                                         </v>
      </c>
      <c r="D3057" s="26" t="str">
        <f t="shared" si="603"/>
        <v>MATUTINO</v>
      </c>
      <c r="E3057" s="26" t="str">
        <f>"BREMEN NO.46                                                                    "</f>
        <v xml:space="preserve">BREMEN NO.46                                                                    </v>
      </c>
      <c r="F3057" s="26" t="str">
        <f>"ALBERT                                                                                                                                      "</f>
        <v xml:space="preserve">ALBERT                                                                                                                                      </v>
      </c>
      <c r="G3057" s="26" t="str">
        <f>"BENITO JUAREZ                                                                   "</f>
        <v xml:space="preserve">BENITO JUAREZ                                                                   </v>
      </c>
      <c r="H3057" s="26" t="str">
        <f>"090"</f>
        <v>090</v>
      </c>
      <c r="I3057" s="26" t="str">
        <f t="shared" si="600"/>
        <v>00</v>
      </c>
      <c r="J3057" s="26" t="str">
        <f>"33 "</f>
        <v xml:space="preserve">33 </v>
      </c>
      <c r="K3057" s="26" t="str">
        <f t="shared" si="596"/>
        <v>EP</v>
      </c>
      <c r="L3057" s="26" t="str">
        <f t="shared" si="597"/>
        <v>DGOSE</v>
      </c>
      <c r="M3057" s="26" t="str">
        <f t="shared" si="598"/>
        <v>PARTICULAR</v>
      </c>
      <c r="N3057" s="26">
        <v>7</v>
      </c>
      <c r="O3057" s="26">
        <v>6</v>
      </c>
      <c r="P3057" s="26">
        <v>1</v>
      </c>
      <c r="Q3057" s="26">
        <v>3</v>
      </c>
      <c r="R3057" s="26">
        <v>1</v>
      </c>
      <c r="S3057" s="26">
        <v>3</v>
      </c>
      <c r="T3057" s="26">
        <v>1</v>
      </c>
      <c r="U3057" s="26">
        <v>5</v>
      </c>
      <c r="V3057" s="26">
        <v>1</v>
      </c>
      <c r="W3057" s="26"/>
    </row>
    <row r="3058" spans="1:23" x14ac:dyDescent="0.25">
      <c r="A3058" s="26" t="str">
        <f t="shared" si="599"/>
        <v>PREESCOLAR</v>
      </c>
      <c r="B3058" s="26" t="str">
        <f>"09PJN5793J"</f>
        <v>09PJN5793J</v>
      </c>
      <c r="C3058" s="26" t="str">
        <f>"LILI                                                                                                "</f>
        <v xml:space="preserve">LILI                                                                                                </v>
      </c>
      <c r="D3058" s="26" t="str">
        <f t="shared" si="603"/>
        <v>MATUTINO</v>
      </c>
      <c r="E3058" s="26" t="str">
        <f>"LAZARO CARDENAS NO.14                                                           "</f>
        <v xml:space="preserve">LAZARO CARDENAS NO.14                                                           </v>
      </c>
      <c r="F3058" s="26" t="str">
        <f>"SAN GREGORIO ATLAPULCO                                                                                                                      "</f>
        <v xml:space="preserve">SAN GREGORIO ATLAPULCO                                                                                                                      </v>
      </c>
      <c r="G3058" s="26" t="str">
        <f>"XOCHIMILCO                                                                      "</f>
        <v xml:space="preserve">XOCHIMILCO                                                                      </v>
      </c>
      <c r="H3058" s="26" t="str">
        <f>"141"</f>
        <v>141</v>
      </c>
      <c r="I3058" s="26" t="str">
        <f t="shared" si="600"/>
        <v>00</v>
      </c>
      <c r="J3058" s="26" t="str">
        <f>"35 "</f>
        <v xml:space="preserve">35 </v>
      </c>
      <c r="K3058" s="26" t="str">
        <f t="shared" si="596"/>
        <v>EP</v>
      </c>
      <c r="L3058" s="26" t="str">
        <f t="shared" si="597"/>
        <v>DGOSE</v>
      </c>
      <c r="M3058" s="26" t="str">
        <f t="shared" si="598"/>
        <v>PARTICULAR</v>
      </c>
      <c r="N3058" s="26">
        <v>111</v>
      </c>
      <c r="O3058" s="26">
        <v>58</v>
      </c>
      <c r="P3058" s="26">
        <v>53</v>
      </c>
      <c r="Q3058" s="26">
        <v>8</v>
      </c>
      <c r="R3058" s="26">
        <v>1</v>
      </c>
      <c r="S3058" s="26">
        <v>7</v>
      </c>
      <c r="T3058" s="26">
        <v>6</v>
      </c>
      <c r="U3058" s="26">
        <v>14</v>
      </c>
      <c r="V3058" s="26">
        <v>1</v>
      </c>
      <c r="W3058" s="26"/>
    </row>
    <row r="3059" spans="1:23" x14ac:dyDescent="0.25">
      <c r="A3059" s="26" t="str">
        <f t="shared" si="599"/>
        <v>PREESCOLAR</v>
      </c>
      <c r="B3059" s="26" t="str">
        <f>"09PJN5794I"</f>
        <v>09PJN5794I</v>
      </c>
      <c r="C3059" s="26" t="str">
        <f>"PAULO FREIRE                                                                                        "</f>
        <v xml:space="preserve">PAULO FREIRE                                                                                        </v>
      </c>
      <c r="D3059" s="26" t="str">
        <f t="shared" si="603"/>
        <v>MATUTINO</v>
      </c>
      <c r="E3059" s="26" t="str">
        <f>"AV. DEL PARQUE NO. 3 MZA.19 LT. 1                                               "</f>
        <v xml:space="preserve">AV. DEL PARQUE NO. 3 MZA.19 LT. 1                                               </v>
      </c>
      <c r="F3059" s="26" t="str">
        <f>"CUCHILLA DEL TESORO                                                                                                                         "</f>
        <v xml:space="preserve">CUCHILLA DEL TESORO                                                                                                                         </v>
      </c>
      <c r="G3059" s="26" t="str">
        <f>"GUSTAVO A. MADERO                                                               "</f>
        <v xml:space="preserve">GUSTAVO A. MADERO                                                               </v>
      </c>
      <c r="H3059" s="26" t="str">
        <f>"195"</f>
        <v>195</v>
      </c>
      <c r="I3059" s="26" t="str">
        <f t="shared" si="600"/>
        <v>00</v>
      </c>
      <c r="J3059" s="26" t="str">
        <f>"32 "</f>
        <v xml:space="preserve">32 </v>
      </c>
      <c r="K3059" s="26" t="str">
        <f t="shared" si="596"/>
        <v>EP</v>
      </c>
      <c r="L3059" s="26" t="str">
        <f t="shared" si="597"/>
        <v>DGOSE</v>
      </c>
      <c r="M3059" s="26" t="str">
        <f t="shared" si="598"/>
        <v>PARTICULAR</v>
      </c>
      <c r="N3059" s="26">
        <v>22</v>
      </c>
      <c r="O3059" s="26">
        <v>9</v>
      </c>
      <c r="P3059" s="26">
        <v>13</v>
      </c>
      <c r="Q3059" s="26">
        <v>3</v>
      </c>
      <c r="R3059" s="26">
        <v>1</v>
      </c>
      <c r="S3059" s="26">
        <v>3</v>
      </c>
      <c r="T3059" s="26">
        <v>4</v>
      </c>
      <c r="U3059" s="26">
        <v>8</v>
      </c>
      <c r="V3059" s="26">
        <v>1</v>
      </c>
      <c r="W3059" s="26"/>
    </row>
    <row r="3060" spans="1:23" x14ac:dyDescent="0.25">
      <c r="A3060" s="26" t="str">
        <f t="shared" si="599"/>
        <v>PREESCOLAR</v>
      </c>
      <c r="B3060" s="26" t="str">
        <f>"09PJN5796G"</f>
        <v>09PJN5796G</v>
      </c>
      <c r="C3060" s="26" t="str">
        <f>"COLEGIO DEL LLANO                                                                                   "</f>
        <v xml:space="preserve">COLEGIO DEL LLANO                                                                                   </v>
      </c>
      <c r="D3060" s="26" t="str">
        <f t="shared" si="603"/>
        <v>MATUTINO</v>
      </c>
      <c r="E3060" s="26" t="str">
        <f>"YUCATAN NO 10                                                                   "</f>
        <v xml:space="preserve">YUCATAN NO 10                                                                   </v>
      </c>
      <c r="F3060" s="26" t="str">
        <f>"SAN LORENZO TEZONCO                                                                                                                         "</f>
        <v xml:space="preserve">SAN LORENZO TEZONCO                                                                                                                         </v>
      </c>
      <c r="G3060" s="26" t="str">
        <f>"IZTAPALAPA                                                                      "</f>
        <v xml:space="preserve">IZTAPALAPA                                                                      </v>
      </c>
      <c r="H3060" s="26" t="str">
        <f>"000"</f>
        <v>000</v>
      </c>
      <c r="I3060" s="26" t="str">
        <f t="shared" si="600"/>
        <v>00</v>
      </c>
      <c r="J3060" s="26" t="str">
        <f>"63 "</f>
        <v xml:space="preserve">63 </v>
      </c>
      <c r="K3060" s="26" t="str">
        <f>"IZ"</f>
        <v>IZ</v>
      </c>
      <c r="L3060" s="26" t="str">
        <f>"DGSEI"</f>
        <v>DGSEI</v>
      </c>
      <c r="M3060" s="26" t="str">
        <f t="shared" si="598"/>
        <v>PARTICULAR</v>
      </c>
      <c r="N3060" s="26">
        <v>25</v>
      </c>
      <c r="O3060" s="26">
        <v>14</v>
      </c>
      <c r="P3060" s="26">
        <v>11</v>
      </c>
      <c r="Q3060" s="26">
        <v>3</v>
      </c>
      <c r="R3060" s="26">
        <v>1</v>
      </c>
      <c r="S3060" s="26">
        <v>3</v>
      </c>
      <c r="T3060" s="26">
        <v>8</v>
      </c>
      <c r="U3060" s="26">
        <v>12</v>
      </c>
      <c r="V3060" s="26">
        <v>1</v>
      </c>
      <c r="W3060" s="26"/>
    </row>
    <row r="3061" spans="1:23" x14ac:dyDescent="0.25">
      <c r="A3061" s="26" t="str">
        <f t="shared" si="599"/>
        <v>PREESCOLAR</v>
      </c>
      <c r="B3061" s="26" t="str">
        <f>"09PJN5797F"</f>
        <v>09PJN5797F</v>
      </c>
      <c r="C3061" s="26" t="str">
        <f>"ESCUELA HEROES DE VERACRUZ                                                                          "</f>
        <v xml:space="preserve">ESCUELA HEROES DE VERACRUZ                                                                          </v>
      </c>
      <c r="D3061" s="26" t="str">
        <f t="shared" si="603"/>
        <v>MATUTINO</v>
      </c>
      <c r="E3061" s="26" t="str">
        <f>"SUR 101 B NO 331                                                                "</f>
        <v xml:space="preserve">SUR 101 B NO 331                                                                </v>
      </c>
      <c r="F3061" s="26" t="str">
        <f>"SECTOR POPULAR                                                                                                                              "</f>
        <v xml:space="preserve">SECTOR POPULAR                                                                                                                              </v>
      </c>
      <c r="G3061" s="26" t="str">
        <f>"IZTAPALAPA                                                                      "</f>
        <v xml:space="preserve">IZTAPALAPA                                                                      </v>
      </c>
      <c r="H3061" s="26" t="str">
        <f>"000"</f>
        <v>000</v>
      </c>
      <c r="I3061" s="26" t="str">
        <f t="shared" si="600"/>
        <v>00</v>
      </c>
      <c r="J3061" s="26" t="str">
        <f>"61 "</f>
        <v xml:space="preserve">61 </v>
      </c>
      <c r="K3061" s="26" t="str">
        <f>"IZ"</f>
        <v>IZ</v>
      </c>
      <c r="L3061" s="26" t="str">
        <f>"DGSEI"</f>
        <v>DGSEI</v>
      </c>
      <c r="M3061" s="26" t="str">
        <f t="shared" si="598"/>
        <v>PARTICULAR</v>
      </c>
      <c r="N3061" s="26">
        <v>25</v>
      </c>
      <c r="O3061" s="26">
        <v>11</v>
      </c>
      <c r="P3061" s="26">
        <v>14</v>
      </c>
      <c r="Q3061" s="26">
        <v>3</v>
      </c>
      <c r="R3061" s="26">
        <v>1</v>
      </c>
      <c r="S3061" s="26">
        <v>2</v>
      </c>
      <c r="T3061" s="26">
        <v>1</v>
      </c>
      <c r="U3061" s="26">
        <v>4</v>
      </c>
      <c r="V3061" s="26">
        <v>1</v>
      </c>
      <c r="W3061" s="26"/>
    </row>
    <row r="3062" spans="1:23" x14ac:dyDescent="0.25">
      <c r="A3062" s="26" t="str">
        <f t="shared" si="599"/>
        <v>PREESCOLAR</v>
      </c>
      <c r="B3062" s="26" t="str">
        <f>"09PJN5798E"</f>
        <v>09PJN5798E</v>
      </c>
      <c r="C3062" s="26" t="str">
        <f>"CENTRO DE EDUCACIÓN  Y DESARROLLO INFANTIL C.E.D.I. MI CASTILLITO                                   "</f>
        <v xml:space="preserve">CENTRO DE EDUCACIÓN  Y DESARROLLO INFANTIL C.E.D.I. MI CASTILLITO                                   </v>
      </c>
      <c r="D3062" s="26" t="str">
        <f t="shared" si="603"/>
        <v>MATUTINO</v>
      </c>
      <c r="E3062" s="26" t="str">
        <f>"AV. GUSTAVO DIAZ ORDAZ MZA. 23 LT. 1                                            "</f>
        <v xml:space="preserve">AV. GUSTAVO DIAZ ORDAZ MZA. 23 LT. 1                                            </v>
      </c>
      <c r="F3062" s="26" t="str">
        <f>"JALALPA TEPITO                                                                                                                              "</f>
        <v xml:space="preserve">JALALPA TEPITO                                                                                                                              </v>
      </c>
      <c r="G3062" s="26" t="str">
        <f>"ALVARO OBREGON                                                                  "</f>
        <v xml:space="preserve">ALVARO OBREGON                                                                  </v>
      </c>
      <c r="H3062" s="26" t="str">
        <f>"165"</f>
        <v>165</v>
      </c>
      <c r="I3062" s="26" t="str">
        <f t="shared" si="600"/>
        <v>00</v>
      </c>
      <c r="J3062" s="26" t="str">
        <f>"33 "</f>
        <v xml:space="preserve">33 </v>
      </c>
      <c r="K3062" s="26" t="str">
        <f t="shared" ref="K3062:K3068" si="604">"EP"</f>
        <v>EP</v>
      </c>
      <c r="L3062" s="26" t="str">
        <f t="shared" ref="L3062:L3068" si="605">"DGOSE"</f>
        <v>DGOSE</v>
      </c>
      <c r="M3062" s="26" t="str">
        <f t="shared" si="598"/>
        <v>PARTICULAR</v>
      </c>
      <c r="N3062" s="26">
        <v>62</v>
      </c>
      <c r="O3062" s="26">
        <v>34</v>
      </c>
      <c r="P3062" s="26">
        <v>28</v>
      </c>
      <c r="Q3062" s="26">
        <v>2</v>
      </c>
      <c r="R3062" s="26">
        <v>1</v>
      </c>
      <c r="S3062" s="26">
        <v>2</v>
      </c>
      <c r="T3062" s="26">
        <v>4</v>
      </c>
      <c r="U3062" s="26">
        <v>7</v>
      </c>
      <c r="V3062" s="26">
        <v>1</v>
      </c>
      <c r="W3062" s="26"/>
    </row>
    <row r="3063" spans="1:23" x14ac:dyDescent="0.25">
      <c r="A3063" s="26" t="str">
        <f t="shared" si="599"/>
        <v>PREESCOLAR</v>
      </c>
      <c r="B3063" s="26" t="str">
        <f>"09PJN5800C"</f>
        <v>09PJN5800C</v>
      </c>
      <c r="C3063" s="26" t="str">
        <f>"JARDIN DE NIÑOS MI TOBOGAN                                                                          "</f>
        <v xml:space="preserve">JARDIN DE NIÑOS MI TOBOGAN                                                                          </v>
      </c>
      <c r="D3063" s="26" t="str">
        <f t="shared" si="603"/>
        <v>MATUTINO</v>
      </c>
      <c r="E3063" s="26" t="str">
        <f>"TRIUNFO DE LA LIBERTAD NO 16                                                    "</f>
        <v xml:space="preserve">TRIUNFO DE LA LIBERTAD NO 16                                                    </v>
      </c>
      <c r="F3063" s="26" t="str">
        <f>"TLALPAN                                                                                                                                     "</f>
        <v xml:space="preserve">TLALPAN                                                                                                                                     </v>
      </c>
      <c r="G3063" s="26" t="str">
        <f>"TLALPAN                                                                         "</f>
        <v xml:space="preserve">TLALPAN                                                                         </v>
      </c>
      <c r="H3063" s="26" t="str">
        <f>"076"</f>
        <v>076</v>
      </c>
      <c r="I3063" s="26" t="str">
        <f t="shared" si="600"/>
        <v>00</v>
      </c>
      <c r="J3063" s="26" t="str">
        <f>"35 "</f>
        <v xml:space="preserve">35 </v>
      </c>
      <c r="K3063" s="26" t="str">
        <f t="shared" si="604"/>
        <v>EP</v>
      </c>
      <c r="L3063" s="26" t="str">
        <f t="shared" si="605"/>
        <v>DGOSE</v>
      </c>
      <c r="M3063" s="26" t="str">
        <f t="shared" si="598"/>
        <v>PARTICULAR</v>
      </c>
      <c r="N3063" s="26">
        <v>10</v>
      </c>
      <c r="O3063" s="26">
        <v>5</v>
      </c>
      <c r="P3063" s="26">
        <v>5</v>
      </c>
      <c r="Q3063" s="26">
        <v>3</v>
      </c>
      <c r="R3063" s="26">
        <v>1</v>
      </c>
      <c r="S3063" s="26">
        <v>3</v>
      </c>
      <c r="T3063" s="26">
        <v>1</v>
      </c>
      <c r="U3063" s="26">
        <v>5</v>
      </c>
      <c r="V3063" s="26">
        <v>1</v>
      </c>
      <c r="W3063" s="26"/>
    </row>
    <row r="3064" spans="1:23" x14ac:dyDescent="0.25">
      <c r="A3064" s="26" t="str">
        <f t="shared" si="599"/>
        <v>PREESCOLAR</v>
      </c>
      <c r="B3064" s="26" t="str">
        <f>"09PJN5801B"</f>
        <v>09PJN5801B</v>
      </c>
      <c r="C3064" s="26" t="str">
        <f>"COLEGIO CRISAL                                                                                      "</f>
        <v xml:space="preserve">COLEGIO CRISAL                                                                                      </v>
      </c>
      <c r="D3064" s="26" t="str">
        <f t="shared" si="603"/>
        <v>MATUTINO</v>
      </c>
      <c r="E3064" s="26" t="str">
        <f>"CAMINO A SAN PEDRO  NO. 20                                                      "</f>
        <v xml:space="preserve">CAMINO A SAN PEDRO  NO. 20                                                      </v>
      </c>
      <c r="F3064" s="26" t="str">
        <f>"LOS VOLCANES                                                                                                                                "</f>
        <v xml:space="preserve">LOS VOLCANES                                                                                                                                </v>
      </c>
      <c r="G3064" s="26" t="str">
        <f>"TLALPAN                                                                         "</f>
        <v xml:space="preserve">TLALPAN                                                                         </v>
      </c>
      <c r="H3064" s="26" t="str">
        <f>"062"</f>
        <v>062</v>
      </c>
      <c r="I3064" s="26" t="str">
        <f t="shared" si="600"/>
        <v>00</v>
      </c>
      <c r="J3064" s="26" t="str">
        <f>"35 "</f>
        <v xml:space="preserve">35 </v>
      </c>
      <c r="K3064" s="26" t="str">
        <f t="shared" si="604"/>
        <v>EP</v>
      </c>
      <c r="L3064" s="26" t="str">
        <f t="shared" si="605"/>
        <v>DGOSE</v>
      </c>
      <c r="M3064" s="26" t="str">
        <f t="shared" si="598"/>
        <v>PARTICULAR</v>
      </c>
      <c r="N3064" s="26">
        <v>40</v>
      </c>
      <c r="O3064" s="26">
        <v>18</v>
      </c>
      <c r="P3064" s="26">
        <v>22</v>
      </c>
      <c r="Q3064" s="26">
        <v>3</v>
      </c>
      <c r="R3064" s="26">
        <v>1</v>
      </c>
      <c r="S3064" s="26">
        <v>3</v>
      </c>
      <c r="T3064" s="26">
        <v>1</v>
      </c>
      <c r="U3064" s="26">
        <v>5</v>
      </c>
      <c r="V3064" s="26">
        <v>1</v>
      </c>
      <c r="W3064" s="26"/>
    </row>
    <row r="3065" spans="1:23" x14ac:dyDescent="0.25">
      <c r="A3065" s="26" t="str">
        <f t="shared" si="599"/>
        <v>PREESCOLAR</v>
      </c>
      <c r="B3065" s="26" t="str">
        <f>"09PJN5802A"</f>
        <v>09PJN5802A</v>
      </c>
      <c r="C3065" s="26" t="str">
        <f>"KINDER SAN ANGEL                                                                                    "</f>
        <v xml:space="preserve">KINDER SAN ANGEL                                                                                    </v>
      </c>
      <c r="D3065" s="26" t="str">
        <f t="shared" si="603"/>
        <v>MATUTINO</v>
      </c>
      <c r="E3065" s="26" t="str">
        <f>"ROMULO O'FARRIL NO. 453                                                         "</f>
        <v xml:space="preserve">ROMULO O'FARRIL NO. 453                                                         </v>
      </c>
      <c r="F3065" s="26" t="str">
        <f>"LOMAS DE SAN ANGEL INN                                                                                                                      "</f>
        <v xml:space="preserve">LOMAS DE SAN ANGEL INN                                                                                                                      </v>
      </c>
      <c r="G3065" s="26" t="str">
        <f>"ALVARO OBREGON                                                                  "</f>
        <v xml:space="preserve">ALVARO OBREGON                                                                  </v>
      </c>
      <c r="H3065" s="26" t="str">
        <f>"175"</f>
        <v>175</v>
      </c>
      <c r="I3065" s="26" t="str">
        <f t="shared" si="600"/>
        <v>00</v>
      </c>
      <c r="J3065" s="26" t="str">
        <f>"33 "</f>
        <v xml:space="preserve">33 </v>
      </c>
      <c r="K3065" s="26" t="str">
        <f t="shared" si="604"/>
        <v>EP</v>
      </c>
      <c r="L3065" s="26" t="str">
        <f t="shared" si="605"/>
        <v>DGOSE</v>
      </c>
      <c r="M3065" s="26" t="str">
        <f t="shared" si="598"/>
        <v>PARTICULAR</v>
      </c>
      <c r="N3065" s="26">
        <v>16</v>
      </c>
      <c r="O3065" s="26">
        <v>6</v>
      </c>
      <c r="P3065" s="26">
        <v>10</v>
      </c>
      <c r="Q3065" s="26">
        <v>3</v>
      </c>
      <c r="R3065" s="26">
        <v>1</v>
      </c>
      <c r="S3065" s="26">
        <v>3</v>
      </c>
      <c r="T3065" s="26">
        <v>3</v>
      </c>
      <c r="U3065" s="26">
        <v>7</v>
      </c>
      <c r="V3065" s="26">
        <v>1</v>
      </c>
      <c r="W3065" s="26"/>
    </row>
    <row r="3066" spans="1:23" x14ac:dyDescent="0.25">
      <c r="A3066" s="26" t="str">
        <f t="shared" si="599"/>
        <v>PREESCOLAR</v>
      </c>
      <c r="B3066" s="26" t="str">
        <f>"09PJN5803Z"</f>
        <v>09PJN5803Z</v>
      </c>
      <c r="C3066" s="26" t="str">
        <f>"VILLAGE MONTESSORI                                                                                  "</f>
        <v xml:space="preserve">VILLAGE MONTESSORI                                                                                  </v>
      </c>
      <c r="D3066" s="26" t="str">
        <f t="shared" si="603"/>
        <v>MATUTINO</v>
      </c>
      <c r="E3066" s="26" t="str">
        <f>"PROLONGACION HIDALGO NO. 216 (ANTES 167)                                        "</f>
        <v xml:space="preserve">PROLONGACION HIDALGO NO. 216 (ANTES 167)                                        </v>
      </c>
      <c r="F3066" s="26" t="str">
        <f>"ADOLFO LOPEZ MATEOS                                                                                                                         "</f>
        <v xml:space="preserve">ADOLFO LOPEZ MATEOS                                                                                                                         </v>
      </c>
      <c r="G3066" s="26" t="str">
        <f>"CUAJIMALPA DE MORELOS                                                           "</f>
        <v xml:space="preserve">CUAJIMALPA DE MORELOS                                                           </v>
      </c>
      <c r="H3066" s="26" t="str">
        <f>"213"</f>
        <v>213</v>
      </c>
      <c r="I3066" s="26" t="str">
        <f t="shared" si="600"/>
        <v>00</v>
      </c>
      <c r="J3066" s="26" t="str">
        <f>"33 "</f>
        <v xml:space="preserve">33 </v>
      </c>
      <c r="K3066" s="26" t="str">
        <f t="shared" si="604"/>
        <v>EP</v>
      </c>
      <c r="L3066" s="26" t="str">
        <f t="shared" si="605"/>
        <v>DGOSE</v>
      </c>
      <c r="M3066" s="26" t="str">
        <f t="shared" si="598"/>
        <v>PARTICULAR</v>
      </c>
      <c r="N3066" s="26">
        <v>19</v>
      </c>
      <c r="O3066" s="26">
        <v>14</v>
      </c>
      <c r="P3066" s="26">
        <v>5</v>
      </c>
      <c r="Q3066" s="26">
        <v>3</v>
      </c>
      <c r="R3066" s="26">
        <v>1</v>
      </c>
      <c r="S3066" s="26">
        <v>2</v>
      </c>
      <c r="T3066" s="26">
        <v>5</v>
      </c>
      <c r="U3066" s="26">
        <v>8</v>
      </c>
      <c r="V3066" s="26">
        <v>1</v>
      </c>
      <c r="W3066" s="26"/>
    </row>
    <row r="3067" spans="1:23" x14ac:dyDescent="0.25">
      <c r="A3067" s="26" t="str">
        <f t="shared" si="599"/>
        <v>PREESCOLAR</v>
      </c>
      <c r="B3067" s="26" t="str">
        <f>"09PJN5804Z"</f>
        <v>09PJN5804Z</v>
      </c>
      <c r="C3067" s="26" t="str">
        <f>"CENTRO DE DESARROLLO CALMECAC                                                                       "</f>
        <v xml:space="preserve">CENTRO DE DESARROLLO CALMECAC                                                                       </v>
      </c>
      <c r="D3067" s="26" t="str">
        <f t="shared" si="603"/>
        <v>MATUTINO</v>
      </c>
      <c r="E3067" s="26" t="str">
        <f>"BERRUGUETE  NO. 30                                                              "</f>
        <v xml:space="preserve">BERRUGUETE  NO. 30                                                              </v>
      </c>
      <c r="F3067" s="26" t="str">
        <f>"MIXCOAC                                                                                                                                     "</f>
        <v xml:space="preserve">MIXCOAC                                                                                                                                     </v>
      </c>
      <c r="G3067" s="26" t="str">
        <f>"BENITO JUAREZ                                                                   "</f>
        <v xml:space="preserve">BENITO JUAREZ                                                                   </v>
      </c>
      <c r="H3067" s="26" t="str">
        <f>"032"</f>
        <v>032</v>
      </c>
      <c r="I3067" s="26" t="str">
        <f t="shared" si="600"/>
        <v>00</v>
      </c>
      <c r="J3067" s="26" t="str">
        <f>"33 "</f>
        <v xml:space="preserve">33 </v>
      </c>
      <c r="K3067" s="26" t="str">
        <f t="shared" si="604"/>
        <v>EP</v>
      </c>
      <c r="L3067" s="26" t="str">
        <f t="shared" si="605"/>
        <v>DGOSE</v>
      </c>
      <c r="M3067" s="26" t="str">
        <f t="shared" si="598"/>
        <v>PARTICULAR</v>
      </c>
      <c r="N3067" s="26">
        <v>11</v>
      </c>
      <c r="O3067" s="26">
        <v>8</v>
      </c>
      <c r="P3067" s="26">
        <v>3</v>
      </c>
      <c r="Q3067" s="26">
        <v>2</v>
      </c>
      <c r="R3067" s="26">
        <v>1</v>
      </c>
      <c r="S3067" s="26">
        <v>2</v>
      </c>
      <c r="T3067" s="26">
        <v>1</v>
      </c>
      <c r="U3067" s="26">
        <v>4</v>
      </c>
      <c r="V3067" s="26">
        <v>1</v>
      </c>
      <c r="W3067" s="26"/>
    </row>
    <row r="3068" spans="1:23" x14ac:dyDescent="0.25">
      <c r="A3068" s="26" t="str">
        <f t="shared" si="599"/>
        <v>PREESCOLAR</v>
      </c>
      <c r="B3068" s="26" t="str">
        <f>"09PJN5805Y"</f>
        <v>09PJN5805Y</v>
      </c>
      <c r="C3068" s="26" t="str">
        <f>"FABULINUS                                                                                           "</f>
        <v xml:space="preserve">FABULINUS                                                                                           </v>
      </c>
      <c r="D3068" s="26" t="str">
        <f t="shared" si="603"/>
        <v>MATUTINO</v>
      </c>
      <c r="E3068" s="26" t="str">
        <f>"CAMPO MOLUCO NO. 29                                                             "</f>
        <v xml:space="preserve">CAMPO MOLUCO NO. 29                                                             </v>
      </c>
      <c r="F3068" s="26" t="str">
        <f>"SAN ANTONIO                                                                                                                                 "</f>
        <v xml:space="preserve">SAN ANTONIO                                                                                                                                 </v>
      </c>
      <c r="G3068" s="26" t="str">
        <f>"AZCAPOTZALCO                                                                    "</f>
        <v xml:space="preserve">AZCAPOTZALCO                                                                    </v>
      </c>
      <c r="H3068" s="26" t="str">
        <f>"056"</f>
        <v>056</v>
      </c>
      <c r="I3068" s="26" t="str">
        <f t="shared" si="600"/>
        <v>00</v>
      </c>
      <c r="J3068" s="26" t="str">
        <f>"32 "</f>
        <v xml:space="preserve">32 </v>
      </c>
      <c r="K3068" s="26" t="str">
        <f t="shared" si="604"/>
        <v>EP</v>
      </c>
      <c r="L3068" s="26" t="str">
        <f t="shared" si="605"/>
        <v>DGOSE</v>
      </c>
      <c r="M3068" s="26" t="str">
        <f t="shared" si="598"/>
        <v>PARTICULAR</v>
      </c>
      <c r="N3068" s="26">
        <v>50</v>
      </c>
      <c r="O3068" s="26">
        <v>30</v>
      </c>
      <c r="P3068" s="26">
        <v>20</v>
      </c>
      <c r="Q3068" s="26">
        <v>3</v>
      </c>
      <c r="R3068" s="26">
        <v>1</v>
      </c>
      <c r="S3068" s="26">
        <v>3</v>
      </c>
      <c r="T3068" s="26">
        <v>5</v>
      </c>
      <c r="U3068" s="26">
        <v>9</v>
      </c>
      <c r="V3068" s="26">
        <v>1</v>
      </c>
      <c r="W3068" s="26"/>
    </row>
    <row r="3069" spans="1:23" x14ac:dyDescent="0.25">
      <c r="A3069" s="26" t="str">
        <f t="shared" si="599"/>
        <v>PREESCOLAR</v>
      </c>
      <c r="B3069" s="26" t="str">
        <f>"09PJN5808V"</f>
        <v>09PJN5808V</v>
      </c>
      <c r="C3069" s="26" t="str">
        <f>"CENTRO EDUCATIVO CATHERINE LANDRET                                                                  "</f>
        <v xml:space="preserve">CENTRO EDUCATIVO CATHERINE LANDRET                                                                  </v>
      </c>
      <c r="D3069" s="26" t="str">
        <f t="shared" si="603"/>
        <v>MATUTINO</v>
      </c>
      <c r="E3069" s="26" t="str">
        <f>"AV. BENITO JUAREZ MZ. 23 LT. 10                                                 "</f>
        <v xml:space="preserve">AV. BENITO JUAREZ MZ. 23 LT. 10                                                 </v>
      </c>
      <c r="F3069" s="26" t="str">
        <f>"EL MOLINO TEZONCO                                                                                                                           "</f>
        <v xml:space="preserve">EL MOLINO TEZONCO                                                                                                                           </v>
      </c>
      <c r="G3069" s="26" t="str">
        <f>"IZTAPALAPA                                                                      "</f>
        <v xml:space="preserve">IZTAPALAPA                                                                      </v>
      </c>
      <c r="H3069" s="26" t="str">
        <f>"000"</f>
        <v>000</v>
      </c>
      <c r="I3069" s="26" t="str">
        <f t="shared" si="600"/>
        <v>00</v>
      </c>
      <c r="J3069" s="26" t="str">
        <f>"63 "</f>
        <v xml:space="preserve">63 </v>
      </c>
      <c r="K3069" s="26" t="str">
        <f>"IZ"</f>
        <v>IZ</v>
      </c>
      <c r="L3069" s="26" t="str">
        <f>"DGSEI"</f>
        <v>DGSEI</v>
      </c>
      <c r="M3069" s="26" t="str">
        <f t="shared" si="598"/>
        <v>PARTICULAR</v>
      </c>
      <c r="N3069" s="26">
        <v>15</v>
      </c>
      <c r="O3069" s="26">
        <v>6</v>
      </c>
      <c r="P3069" s="26">
        <v>9</v>
      </c>
      <c r="Q3069" s="26">
        <v>3</v>
      </c>
      <c r="R3069" s="26">
        <v>1</v>
      </c>
      <c r="S3069" s="26">
        <v>1</v>
      </c>
      <c r="T3069" s="26">
        <v>5</v>
      </c>
      <c r="U3069" s="26">
        <v>7</v>
      </c>
      <c r="V3069" s="26">
        <v>1</v>
      </c>
      <c r="W3069" s="26"/>
    </row>
    <row r="3070" spans="1:23" x14ac:dyDescent="0.25">
      <c r="A3070" s="26" t="str">
        <f t="shared" si="599"/>
        <v>PREESCOLAR</v>
      </c>
      <c r="B3070" s="26" t="str">
        <f>"09PJN5809U"</f>
        <v>09PJN5809U</v>
      </c>
      <c r="C3070" s="26" t="str">
        <f>"VIGOTSKY ENGLISH SCHOOL                                                                             "</f>
        <v xml:space="preserve">VIGOTSKY ENGLISH SCHOOL                                                                             </v>
      </c>
      <c r="D3070" s="26" t="str">
        <f t="shared" si="603"/>
        <v>MATUTINO</v>
      </c>
      <c r="E3070" s="26" t="str">
        <f>"SUR 25 MZ. 48 LT. 499                                                           "</f>
        <v xml:space="preserve">SUR 25 MZ. 48 LT. 499                                                           </v>
      </c>
      <c r="F3070" s="26" t="str">
        <f>"LEYES DE REFORMA                                                                                                                            "</f>
        <v xml:space="preserve">LEYES DE REFORMA                                                                                                                            </v>
      </c>
      <c r="G3070" s="26" t="str">
        <f>"IZTAPALAPA                                                                      "</f>
        <v xml:space="preserve">IZTAPALAPA                                                                      </v>
      </c>
      <c r="H3070" s="26" t="str">
        <f>"000"</f>
        <v>000</v>
      </c>
      <c r="I3070" s="26" t="str">
        <f t="shared" si="600"/>
        <v>00</v>
      </c>
      <c r="J3070" s="26" t="str">
        <f>"61 "</f>
        <v xml:space="preserve">61 </v>
      </c>
      <c r="K3070" s="26" t="str">
        <f>"IZ"</f>
        <v>IZ</v>
      </c>
      <c r="L3070" s="26" t="str">
        <f>"DGSEI"</f>
        <v>DGSEI</v>
      </c>
      <c r="M3070" s="26" t="str">
        <f t="shared" si="598"/>
        <v>PARTICULAR</v>
      </c>
      <c r="N3070" s="26">
        <v>19</v>
      </c>
      <c r="O3070" s="26">
        <v>7</v>
      </c>
      <c r="P3070" s="26">
        <v>12</v>
      </c>
      <c r="Q3070" s="26">
        <v>3</v>
      </c>
      <c r="R3070" s="26">
        <v>1</v>
      </c>
      <c r="S3070" s="26">
        <v>1</v>
      </c>
      <c r="T3070" s="26">
        <v>3</v>
      </c>
      <c r="U3070" s="26">
        <v>5</v>
      </c>
      <c r="V3070" s="26">
        <v>1</v>
      </c>
      <c r="W3070" s="26"/>
    </row>
    <row r="3071" spans="1:23" x14ac:dyDescent="0.25">
      <c r="A3071" s="26" t="str">
        <f t="shared" si="599"/>
        <v>PREESCOLAR</v>
      </c>
      <c r="B3071" s="26" t="str">
        <f>"09PJN5810J"</f>
        <v>09PJN5810J</v>
      </c>
      <c r="C3071" s="26" t="str">
        <f>"KINDER BERNARDITA                                                                                   "</f>
        <v xml:space="preserve">KINDER BERNARDITA                                                                                   </v>
      </c>
      <c r="D3071" s="26" t="str">
        <f t="shared" si="603"/>
        <v>MATUTINO</v>
      </c>
      <c r="E3071" s="26" t="str">
        <f>"LAGO GARDA NO. 89                                                               "</f>
        <v xml:space="preserve">LAGO GARDA NO. 89                                                               </v>
      </c>
      <c r="F3071" s="26" t="str">
        <f>"ANAHUAC I                                                                                                                                   "</f>
        <v xml:space="preserve">ANAHUAC I                                                                                                                                   </v>
      </c>
      <c r="G3071" s="26" t="str">
        <f>"MIGUEL HIDALGO                                                                  "</f>
        <v xml:space="preserve">MIGUEL HIDALGO                                                                  </v>
      </c>
      <c r="H3071" s="26" t="str">
        <f>"131"</f>
        <v>131</v>
      </c>
      <c r="I3071" s="26" t="str">
        <f t="shared" si="600"/>
        <v>00</v>
      </c>
      <c r="J3071" s="26" t="str">
        <f>"32 "</f>
        <v xml:space="preserve">32 </v>
      </c>
      <c r="K3071" s="26" t="str">
        <f t="shared" ref="K3071:K3088" si="606">"EP"</f>
        <v>EP</v>
      </c>
      <c r="L3071" s="26" t="str">
        <f t="shared" ref="L3071:L3088" si="607">"DGOSE"</f>
        <v>DGOSE</v>
      </c>
      <c r="M3071" s="26" t="str">
        <f t="shared" ref="M3071:M3134" si="608">"PARTICULAR"</f>
        <v>PARTICULAR</v>
      </c>
      <c r="N3071" s="26">
        <v>41</v>
      </c>
      <c r="O3071" s="26">
        <v>21</v>
      </c>
      <c r="P3071" s="26">
        <v>20</v>
      </c>
      <c r="Q3071" s="26">
        <v>3</v>
      </c>
      <c r="R3071" s="26">
        <v>1</v>
      </c>
      <c r="S3071" s="26">
        <v>3</v>
      </c>
      <c r="T3071" s="26">
        <v>2</v>
      </c>
      <c r="U3071" s="26">
        <v>6</v>
      </c>
      <c r="V3071" s="26">
        <v>1</v>
      </c>
      <c r="W3071" s="26"/>
    </row>
    <row r="3072" spans="1:23" x14ac:dyDescent="0.25">
      <c r="A3072" s="26" t="str">
        <f t="shared" si="599"/>
        <v>PREESCOLAR</v>
      </c>
      <c r="B3072" s="26" t="str">
        <f>"09PJN5812H"</f>
        <v>09PJN5812H</v>
      </c>
      <c r="C3072" s="26" t="str">
        <f>"JARDIN DE NIÑOS DEL VALLE                                                                           "</f>
        <v xml:space="preserve">JARDIN DE NIÑOS DEL VALLE                                                                           </v>
      </c>
      <c r="D3072" s="26" t="str">
        <f t="shared" si="603"/>
        <v>MATUTINO</v>
      </c>
      <c r="E3072" s="26" t="str">
        <f>"NORTE 60-A NO.3814                                                              "</f>
        <v xml:space="preserve">NORTE 60-A NO.3814                                                              </v>
      </c>
      <c r="F3072" s="26" t="str">
        <f>"MARTIRES DE RIO BLANCO                                                                                                                      "</f>
        <v xml:space="preserve">MARTIRES DE RIO BLANCO                                                                                                                      </v>
      </c>
      <c r="G3072" s="26" t="str">
        <f>"GUSTAVO A. MADERO                                                               "</f>
        <v xml:space="preserve">GUSTAVO A. MADERO                                                               </v>
      </c>
      <c r="H3072" s="26" t="str">
        <f>"006"</f>
        <v>006</v>
      </c>
      <c r="I3072" s="26" t="str">
        <f t="shared" si="600"/>
        <v>00</v>
      </c>
      <c r="J3072" s="26" t="str">
        <f>"32 "</f>
        <v xml:space="preserve">32 </v>
      </c>
      <c r="K3072" s="26" t="str">
        <f t="shared" si="606"/>
        <v>EP</v>
      </c>
      <c r="L3072" s="26" t="str">
        <f t="shared" si="607"/>
        <v>DGOSE</v>
      </c>
      <c r="M3072" s="26" t="str">
        <f t="shared" si="608"/>
        <v>PARTICULAR</v>
      </c>
      <c r="N3072" s="26">
        <v>13</v>
      </c>
      <c r="O3072" s="26">
        <v>8</v>
      </c>
      <c r="P3072" s="26">
        <v>5</v>
      </c>
      <c r="Q3072" s="26">
        <v>2</v>
      </c>
      <c r="R3072" s="26">
        <v>1</v>
      </c>
      <c r="S3072" s="26">
        <v>1</v>
      </c>
      <c r="T3072" s="26">
        <v>1</v>
      </c>
      <c r="U3072" s="26">
        <v>3</v>
      </c>
      <c r="V3072" s="26">
        <v>1</v>
      </c>
      <c r="W3072" s="26"/>
    </row>
    <row r="3073" spans="1:23" x14ac:dyDescent="0.25">
      <c r="A3073" s="26" t="str">
        <f t="shared" si="599"/>
        <v>PREESCOLAR</v>
      </c>
      <c r="B3073" s="26" t="str">
        <f>"09PJN5813G"</f>
        <v>09PJN5813G</v>
      </c>
      <c r="C3073" s="26" t="str">
        <f>"JARDIN DE NIÑOS SIMBA Y NALA                                                                        "</f>
        <v xml:space="preserve">JARDIN DE NIÑOS SIMBA Y NALA                                                                        </v>
      </c>
      <c r="D3073" s="26" t="str">
        <f t="shared" si="603"/>
        <v>MATUTINO</v>
      </c>
      <c r="E3073" s="26" t="str">
        <f>"MADROÑO ESQUINA PICACHO AJUSCO  NO. 41                                          "</f>
        <v xml:space="preserve">MADROÑO ESQUINA PICACHO AJUSCO  NO. 41                                          </v>
      </c>
      <c r="F3073" s="26" t="str">
        <f>"CHIMILLI                                                                                                                                    "</f>
        <v xml:space="preserve">CHIMILLI                                                                                                                                    </v>
      </c>
      <c r="G3073" s="26" t="str">
        <f>"TLALPAN                                                                         "</f>
        <v xml:space="preserve">TLALPAN                                                                         </v>
      </c>
      <c r="H3073" s="26" t="str">
        <f>"146"</f>
        <v>146</v>
      </c>
      <c r="I3073" s="26" t="str">
        <f t="shared" si="600"/>
        <v>00</v>
      </c>
      <c r="J3073" s="26" t="str">
        <f>"35 "</f>
        <v xml:space="preserve">35 </v>
      </c>
      <c r="K3073" s="26" t="str">
        <f t="shared" si="606"/>
        <v>EP</v>
      </c>
      <c r="L3073" s="26" t="str">
        <f t="shared" si="607"/>
        <v>DGOSE</v>
      </c>
      <c r="M3073" s="26" t="str">
        <f t="shared" si="608"/>
        <v>PARTICULAR</v>
      </c>
      <c r="N3073" s="26">
        <v>14</v>
      </c>
      <c r="O3073" s="26">
        <v>6</v>
      </c>
      <c r="P3073" s="26">
        <v>8</v>
      </c>
      <c r="Q3073" s="26">
        <v>2</v>
      </c>
      <c r="R3073" s="26">
        <v>1</v>
      </c>
      <c r="S3073" s="26">
        <v>2</v>
      </c>
      <c r="T3073" s="26">
        <v>1</v>
      </c>
      <c r="U3073" s="26">
        <v>4</v>
      </c>
      <c r="V3073" s="26">
        <v>1</v>
      </c>
      <c r="W3073" s="26"/>
    </row>
    <row r="3074" spans="1:23" x14ac:dyDescent="0.25">
      <c r="A3074" s="26" t="str">
        <f t="shared" ref="A3074:A3137" si="609">"PREESCOLAR"</f>
        <v>PREESCOLAR</v>
      </c>
      <c r="B3074" s="26" t="str">
        <f>"09PJN5814F"</f>
        <v>09PJN5814F</v>
      </c>
      <c r="C3074" s="26" t="str">
        <f>"EL MUNDO MAGICO DECROLY                                                                             "</f>
        <v xml:space="preserve">EL MUNDO MAGICO DECROLY                                                                             </v>
      </c>
      <c r="D3074" s="26" t="str">
        <f t="shared" si="603"/>
        <v>MATUTINO</v>
      </c>
      <c r="E3074" s="26" t="str">
        <f>"CARROCEROS NO. 50                                                               "</f>
        <v xml:space="preserve">CARROCEROS NO. 50                                                               </v>
      </c>
      <c r="F3074" s="26" t="str">
        <f>"MORELOS                                                                                                                                     "</f>
        <v xml:space="preserve">MORELOS                                                                                                                                     </v>
      </c>
      <c r="G3074" s="26" t="str">
        <f>"VENUSTIANO CARRANZA                                                             "</f>
        <v xml:space="preserve">VENUSTIANO CARRANZA                                                             </v>
      </c>
      <c r="H3074" s="26" t="str">
        <f>"025"</f>
        <v>025</v>
      </c>
      <c r="I3074" s="26" t="str">
        <f t="shared" ref="I3074:I3137" si="610">"00"</f>
        <v>00</v>
      </c>
      <c r="J3074" s="26" t="str">
        <f>"33 "</f>
        <v xml:space="preserve">33 </v>
      </c>
      <c r="K3074" s="26" t="str">
        <f t="shared" si="606"/>
        <v>EP</v>
      </c>
      <c r="L3074" s="26" t="str">
        <f t="shared" si="607"/>
        <v>DGOSE</v>
      </c>
      <c r="M3074" s="26" t="str">
        <f t="shared" si="608"/>
        <v>PARTICULAR</v>
      </c>
      <c r="N3074" s="26">
        <v>34</v>
      </c>
      <c r="O3074" s="26">
        <v>14</v>
      </c>
      <c r="P3074" s="26">
        <v>20</v>
      </c>
      <c r="Q3074" s="26">
        <v>3</v>
      </c>
      <c r="R3074" s="26">
        <v>1</v>
      </c>
      <c r="S3074" s="26">
        <v>3</v>
      </c>
      <c r="T3074" s="26">
        <v>1</v>
      </c>
      <c r="U3074" s="26">
        <v>5</v>
      </c>
      <c r="V3074" s="26">
        <v>1</v>
      </c>
      <c r="W3074" s="26"/>
    </row>
    <row r="3075" spans="1:23" x14ac:dyDescent="0.25">
      <c r="A3075" s="26" t="str">
        <f t="shared" si="609"/>
        <v>PREESCOLAR</v>
      </c>
      <c r="B3075" s="26" t="str">
        <f>"09PJN5815E"</f>
        <v>09PJN5815E</v>
      </c>
      <c r="C3075" s="26" t="str">
        <f>"BARNEY                                                                                              "</f>
        <v xml:space="preserve">BARNEY                                                                                              </v>
      </c>
      <c r="D3075" s="26" t="str">
        <f t="shared" si="603"/>
        <v>MATUTINO</v>
      </c>
      <c r="E3075" s="26" t="str">
        <f>"LERDO DE TEJADA NO. 18                                                          "</f>
        <v xml:space="preserve">LERDO DE TEJADA NO. 18                                                          </v>
      </c>
      <c r="F3075" s="26" t="str">
        <f>"MIGUEL HIDALGO AMPLIACION                                                                                                                   "</f>
        <v xml:space="preserve">MIGUEL HIDALGO AMPLIACION                                                                                                                   </v>
      </c>
      <c r="G3075" s="26" t="str">
        <f>"TLALPAN                                                                         "</f>
        <v xml:space="preserve">TLALPAN                                                                         </v>
      </c>
      <c r="H3075" s="26" t="str">
        <f>"278"</f>
        <v>278</v>
      </c>
      <c r="I3075" s="26" t="str">
        <f t="shared" si="610"/>
        <v>00</v>
      </c>
      <c r="J3075" s="26" t="str">
        <f>"35 "</f>
        <v xml:space="preserve">35 </v>
      </c>
      <c r="K3075" s="26" t="str">
        <f t="shared" si="606"/>
        <v>EP</v>
      </c>
      <c r="L3075" s="26" t="str">
        <f t="shared" si="607"/>
        <v>DGOSE</v>
      </c>
      <c r="M3075" s="26" t="str">
        <f t="shared" si="608"/>
        <v>PARTICULAR</v>
      </c>
      <c r="N3075" s="26">
        <v>11</v>
      </c>
      <c r="O3075" s="26">
        <v>6</v>
      </c>
      <c r="P3075" s="26">
        <v>5</v>
      </c>
      <c r="Q3075" s="26">
        <v>3</v>
      </c>
      <c r="R3075" s="26">
        <v>1</v>
      </c>
      <c r="S3075" s="26">
        <v>3</v>
      </c>
      <c r="T3075" s="26">
        <v>1</v>
      </c>
      <c r="U3075" s="26">
        <v>5</v>
      </c>
      <c r="V3075" s="26">
        <v>1</v>
      </c>
      <c r="W3075" s="26"/>
    </row>
    <row r="3076" spans="1:23" x14ac:dyDescent="0.25">
      <c r="A3076" s="26" t="str">
        <f t="shared" si="609"/>
        <v>PREESCOLAR</v>
      </c>
      <c r="B3076" s="26" t="str">
        <f>"09PJN5816F"</f>
        <v>09PJN5816F</v>
      </c>
      <c r="C3076" s="26" t="str">
        <f>"COLEGIO RENACIMIENTO DANTE ALIGHIERI                                                                "</f>
        <v xml:space="preserve">COLEGIO RENACIMIENTO DANTE ALIGHIERI                                                                </v>
      </c>
      <c r="D3076" s="26" t="str">
        <f t="shared" si="603"/>
        <v>MATUTINO</v>
      </c>
      <c r="E3076" s="26" t="str">
        <f>"GENARO GARCIA NO. 195                                                           "</f>
        <v xml:space="preserve">GENARO GARCIA NO. 195                                                           </v>
      </c>
      <c r="F3076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3076" s="26" t="str">
        <f>"VENUSTIANO CARRANZA                                                             "</f>
        <v xml:space="preserve">VENUSTIANO CARRANZA                                                             </v>
      </c>
      <c r="H3076" s="26" t="str">
        <f>"250"</f>
        <v>250</v>
      </c>
      <c r="I3076" s="26" t="str">
        <f t="shared" si="610"/>
        <v>00</v>
      </c>
      <c r="J3076" s="26" t="str">
        <f>"33 "</f>
        <v xml:space="preserve">33 </v>
      </c>
      <c r="K3076" s="26" t="str">
        <f t="shared" si="606"/>
        <v>EP</v>
      </c>
      <c r="L3076" s="26" t="str">
        <f t="shared" si="607"/>
        <v>DGOSE</v>
      </c>
      <c r="M3076" s="26" t="str">
        <f t="shared" si="608"/>
        <v>PARTICULAR</v>
      </c>
      <c r="N3076" s="26">
        <v>28</v>
      </c>
      <c r="O3076" s="26">
        <v>14</v>
      </c>
      <c r="P3076" s="26">
        <v>14</v>
      </c>
      <c r="Q3076" s="26">
        <v>3</v>
      </c>
      <c r="R3076" s="26">
        <v>1</v>
      </c>
      <c r="S3076" s="26">
        <v>3</v>
      </c>
      <c r="T3076" s="26">
        <v>2</v>
      </c>
      <c r="U3076" s="26">
        <v>6</v>
      </c>
      <c r="V3076" s="26">
        <v>1</v>
      </c>
      <c r="W3076" s="26"/>
    </row>
    <row r="3077" spans="1:23" x14ac:dyDescent="0.25">
      <c r="A3077" s="26" t="str">
        <f t="shared" si="609"/>
        <v>PREESCOLAR</v>
      </c>
      <c r="B3077" s="26" t="str">
        <f>"09PJN5817C"</f>
        <v>09PJN5817C</v>
      </c>
      <c r="C3077" s="26" t="str">
        <f>"KINDER BILINGÜE LATINOAMERICANO                                                                     "</f>
        <v xml:space="preserve">KINDER BILINGÜE LATINOAMERICANO                                                                     </v>
      </c>
      <c r="D3077" s="26" t="str">
        <f t="shared" si="603"/>
        <v>MATUTINO</v>
      </c>
      <c r="E3077" s="26" t="str">
        <f>"GENERAL PEDRO MARIA ANAYA NO.203                                                "</f>
        <v xml:space="preserve">GENERAL PEDRO MARIA ANAYA NO.203                                                </v>
      </c>
      <c r="F3077" s="26" t="str">
        <f>"MARTIN CARRERA                                                                                                                              "</f>
        <v xml:space="preserve">MARTIN CARRERA                                                                                                                              </v>
      </c>
      <c r="G3077" s="26" t="str">
        <f>"GUSTAVO A. MADERO                                                               "</f>
        <v xml:space="preserve">GUSTAVO A. MADERO                                                               </v>
      </c>
      <c r="H3077" s="26" t="str">
        <f>"195"</f>
        <v>195</v>
      </c>
      <c r="I3077" s="26" t="str">
        <f t="shared" si="610"/>
        <v>00</v>
      </c>
      <c r="J3077" s="26" t="str">
        <f>"32 "</f>
        <v xml:space="preserve">32 </v>
      </c>
      <c r="K3077" s="26" t="str">
        <f t="shared" si="606"/>
        <v>EP</v>
      </c>
      <c r="L3077" s="26" t="str">
        <f t="shared" si="607"/>
        <v>DGOSE</v>
      </c>
      <c r="M3077" s="26" t="str">
        <f t="shared" si="608"/>
        <v>PARTICULAR</v>
      </c>
      <c r="N3077" s="26">
        <v>53</v>
      </c>
      <c r="O3077" s="26">
        <v>30</v>
      </c>
      <c r="P3077" s="26">
        <v>23</v>
      </c>
      <c r="Q3077" s="26">
        <v>3</v>
      </c>
      <c r="R3077" s="26">
        <v>1</v>
      </c>
      <c r="S3077" s="26">
        <v>3</v>
      </c>
      <c r="T3077" s="26">
        <v>1</v>
      </c>
      <c r="U3077" s="26">
        <v>5</v>
      </c>
      <c r="V3077" s="26">
        <v>1</v>
      </c>
      <c r="W3077" s="26"/>
    </row>
    <row r="3078" spans="1:23" x14ac:dyDescent="0.25">
      <c r="A3078" s="26" t="str">
        <f t="shared" si="609"/>
        <v>PREESCOLAR</v>
      </c>
      <c r="B3078" s="26" t="str">
        <f>"09PJN5818B"</f>
        <v>09PJN5818B</v>
      </c>
      <c r="C3078" s="26" t="str">
        <f>"COLEGIO HEBREO MAGUEN DAVID                                                                         "</f>
        <v xml:space="preserve">COLEGIO HEBREO MAGUEN DAVID                                                                         </v>
      </c>
      <c r="D3078" s="26" t="str">
        <f t="shared" si="603"/>
        <v>MATUTINO</v>
      </c>
      <c r="E3078" s="26" t="str">
        <f>"ANTIGUO CAMINO A TECAMACHALCO NO. 370                                           "</f>
        <v xml:space="preserve">ANTIGUO CAMINO A TECAMACHALCO NO. 370                                           </v>
      </c>
      <c r="F3078" s="26" t="str">
        <f>"LOMAS DE VISTA HERMOSA                                                                                                                      "</f>
        <v xml:space="preserve">LOMAS DE VISTA HERMOSA                                                                                                                      </v>
      </c>
      <c r="G3078" s="26" t="str">
        <f>"CUAJIMALPA DE MORELOS                                                           "</f>
        <v xml:space="preserve">CUAJIMALPA DE MORELOS                                                           </v>
      </c>
      <c r="H3078" s="26" t="str">
        <f>"089"</f>
        <v>089</v>
      </c>
      <c r="I3078" s="26" t="str">
        <f t="shared" si="610"/>
        <v>00</v>
      </c>
      <c r="J3078" s="26" t="str">
        <f>"33 "</f>
        <v xml:space="preserve">33 </v>
      </c>
      <c r="K3078" s="26" t="str">
        <f t="shared" si="606"/>
        <v>EP</v>
      </c>
      <c r="L3078" s="26" t="str">
        <f t="shared" si="607"/>
        <v>DGOSE</v>
      </c>
      <c r="M3078" s="26" t="str">
        <f t="shared" si="608"/>
        <v>PARTICULAR</v>
      </c>
      <c r="N3078" s="26">
        <v>182</v>
      </c>
      <c r="O3078" s="26">
        <v>93</v>
      </c>
      <c r="P3078" s="26">
        <v>89</v>
      </c>
      <c r="Q3078" s="26">
        <v>9</v>
      </c>
      <c r="R3078" s="26">
        <v>1</v>
      </c>
      <c r="S3078" s="26">
        <v>9</v>
      </c>
      <c r="T3078" s="26">
        <v>15</v>
      </c>
      <c r="U3078" s="26">
        <v>25</v>
      </c>
      <c r="V3078" s="26">
        <v>1</v>
      </c>
      <c r="W3078" s="26"/>
    </row>
    <row r="3079" spans="1:23" x14ac:dyDescent="0.25">
      <c r="A3079" s="26" t="str">
        <f t="shared" si="609"/>
        <v>PREESCOLAR</v>
      </c>
      <c r="B3079" s="26" t="str">
        <f>"09PJN5819A"</f>
        <v>09PJN5819A</v>
      </c>
      <c r="C3079" s="26" t="str">
        <f>"PROFESIONALES EN LA FORMACION INTEGRAL DEL NIÑO S.C.                                                "</f>
        <v xml:space="preserve">PROFESIONALES EN LA FORMACION INTEGRAL DEL NIÑO S.C.                                                </v>
      </c>
      <c r="D3079" s="26" t="str">
        <f t="shared" si="603"/>
        <v>MATUTINO</v>
      </c>
      <c r="E3079" s="26" t="str">
        <f>"FERRETARIA NO. 10                                                               "</f>
        <v xml:space="preserve">FERRETARIA NO. 10                                                               </v>
      </c>
      <c r="F3079" s="26" t="str">
        <f>"20 DE NOVIEMBRE AMPLIACION                                                                                                                  "</f>
        <v xml:space="preserve">20 DE NOVIEMBRE AMPLIACION                                                                                                                  </v>
      </c>
      <c r="G3079" s="26" t="str">
        <f>"VENUSTIANO CARRANZA                                                             "</f>
        <v xml:space="preserve">VENUSTIANO CARRANZA                                                             </v>
      </c>
      <c r="H3079" s="26" t="str">
        <f>"025"</f>
        <v>025</v>
      </c>
      <c r="I3079" s="26" t="str">
        <f t="shared" si="610"/>
        <v>00</v>
      </c>
      <c r="J3079" s="26" t="str">
        <f>"33 "</f>
        <v xml:space="preserve">33 </v>
      </c>
      <c r="K3079" s="26" t="str">
        <f t="shared" si="606"/>
        <v>EP</v>
      </c>
      <c r="L3079" s="26" t="str">
        <f t="shared" si="607"/>
        <v>DGOSE</v>
      </c>
      <c r="M3079" s="26" t="str">
        <f t="shared" si="608"/>
        <v>PARTICULAR</v>
      </c>
      <c r="N3079" s="26">
        <v>34</v>
      </c>
      <c r="O3079" s="26">
        <v>16</v>
      </c>
      <c r="P3079" s="26">
        <v>18</v>
      </c>
      <c r="Q3079" s="26">
        <v>3</v>
      </c>
      <c r="R3079" s="26">
        <v>1</v>
      </c>
      <c r="S3079" s="26">
        <v>2</v>
      </c>
      <c r="T3079" s="26">
        <v>8</v>
      </c>
      <c r="U3079" s="26">
        <v>11</v>
      </c>
      <c r="V3079" s="26">
        <v>1</v>
      </c>
      <c r="W3079" s="26"/>
    </row>
    <row r="3080" spans="1:23" x14ac:dyDescent="0.25">
      <c r="A3080" s="26" t="str">
        <f t="shared" si="609"/>
        <v>PREESCOLAR</v>
      </c>
      <c r="B3080" s="26" t="str">
        <f>"09PJN5820Q"</f>
        <v>09PJN5820Q</v>
      </c>
      <c r="C3080" s="26" t="str">
        <f>"CENTRO PEDAGOGICO TLALLIPAN                                                                         "</f>
        <v xml:space="preserve">CENTRO PEDAGOGICO TLALLIPAN                                                                         </v>
      </c>
      <c r="D3080" s="26" t="str">
        <f t="shared" si="603"/>
        <v>MATUTINO</v>
      </c>
      <c r="E3080" s="26" t="str">
        <f>"ALFREDO V. BONFIL NO. 97                                                        "</f>
        <v xml:space="preserve">ALFREDO V. BONFIL NO. 97                                                        </v>
      </c>
      <c r="F3080" s="26" t="str">
        <f>"MIGUEL HIDALGO AMPLIACION                                                                                                                   "</f>
        <v xml:space="preserve">MIGUEL HIDALGO AMPLIACION                                                                                                                   </v>
      </c>
      <c r="G3080" s="26" t="str">
        <f>"TLALPAN                                                                         "</f>
        <v xml:space="preserve">TLALPAN                                                                         </v>
      </c>
      <c r="H3080" s="26" t="str">
        <f>"225"</f>
        <v>225</v>
      </c>
      <c r="I3080" s="26" t="str">
        <f t="shared" si="610"/>
        <v>00</v>
      </c>
      <c r="J3080" s="26" t="str">
        <f>"35 "</f>
        <v xml:space="preserve">35 </v>
      </c>
      <c r="K3080" s="26" t="str">
        <f t="shared" si="606"/>
        <v>EP</v>
      </c>
      <c r="L3080" s="26" t="str">
        <f t="shared" si="607"/>
        <v>DGOSE</v>
      </c>
      <c r="M3080" s="26" t="str">
        <f t="shared" si="608"/>
        <v>PARTICULAR</v>
      </c>
      <c r="N3080" s="26">
        <v>10</v>
      </c>
      <c r="O3080" s="26">
        <v>7</v>
      </c>
      <c r="P3080" s="26">
        <v>3</v>
      </c>
      <c r="Q3080" s="26">
        <v>3</v>
      </c>
      <c r="R3080" s="26">
        <v>1</v>
      </c>
      <c r="S3080" s="26">
        <v>2</v>
      </c>
      <c r="T3080" s="26">
        <v>0</v>
      </c>
      <c r="U3080" s="26">
        <v>3</v>
      </c>
      <c r="V3080" s="26">
        <v>1</v>
      </c>
      <c r="W3080" s="26"/>
    </row>
    <row r="3081" spans="1:23" x14ac:dyDescent="0.25">
      <c r="A3081" s="26" t="str">
        <f t="shared" si="609"/>
        <v>PREESCOLAR</v>
      </c>
      <c r="B3081" s="26" t="str">
        <f>"09PJN5821P"</f>
        <v>09PJN5821P</v>
      </c>
      <c r="C3081" s="26" t="str">
        <f>"SOR JUANA INES DE LA CRUZ                                                                           "</f>
        <v xml:space="preserve">SOR JUANA INES DE LA CRUZ                                                                           </v>
      </c>
      <c r="D3081" s="26" t="str">
        <f t="shared" si="603"/>
        <v>MATUTINO</v>
      </c>
      <c r="E3081" s="26" t="str">
        <f>"MARIANO ROMERO NO. 1                                                            "</f>
        <v xml:space="preserve">MARIANO ROMERO NO. 1                                                            </v>
      </c>
      <c r="F3081" s="26" t="str">
        <f>"UNIDAD HABITACIONAL EL RISCO CTM                                                                                                            "</f>
        <v xml:space="preserve">UNIDAD HABITACIONAL EL RISCO CTM                                                                                                            </v>
      </c>
      <c r="G3081" s="26" t="str">
        <f>"GUSTAVO A. MADERO                                                               "</f>
        <v xml:space="preserve">GUSTAVO A. MADERO                                                               </v>
      </c>
      <c r="H3081" s="26" t="str">
        <f>"191"</f>
        <v>191</v>
      </c>
      <c r="I3081" s="26" t="str">
        <f t="shared" si="610"/>
        <v>00</v>
      </c>
      <c r="J3081" s="26" t="str">
        <f>"32 "</f>
        <v xml:space="preserve">32 </v>
      </c>
      <c r="K3081" s="26" t="str">
        <f t="shared" si="606"/>
        <v>EP</v>
      </c>
      <c r="L3081" s="26" t="str">
        <f t="shared" si="607"/>
        <v>DGOSE</v>
      </c>
      <c r="M3081" s="26" t="str">
        <f t="shared" si="608"/>
        <v>PARTICULAR</v>
      </c>
      <c r="N3081" s="26">
        <v>29</v>
      </c>
      <c r="O3081" s="26">
        <v>11</v>
      </c>
      <c r="P3081" s="26">
        <v>18</v>
      </c>
      <c r="Q3081" s="26">
        <v>3</v>
      </c>
      <c r="R3081" s="26">
        <v>1</v>
      </c>
      <c r="S3081" s="26">
        <v>3</v>
      </c>
      <c r="T3081" s="26">
        <v>1</v>
      </c>
      <c r="U3081" s="26">
        <v>5</v>
      </c>
      <c r="V3081" s="26">
        <v>1</v>
      </c>
      <c r="W3081" s="26"/>
    </row>
    <row r="3082" spans="1:23" x14ac:dyDescent="0.25">
      <c r="A3082" s="26" t="str">
        <f t="shared" si="609"/>
        <v>PREESCOLAR</v>
      </c>
      <c r="B3082" s="26" t="str">
        <f>"09PJN5822O"</f>
        <v>09PJN5822O</v>
      </c>
      <c r="C3082" s="26" t="str">
        <f>"JUGAR Y APRENDER                                                                                    "</f>
        <v xml:space="preserve">JUGAR Y APRENDER                                                                                    </v>
      </c>
      <c r="D3082" s="26" t="str">
        <f t="shared" si="603"/>
        <v>MATUTINO</v>
      </c>
      <c r="E3082" s="26" t="str">
        <f>"AV. JOSE MA. CASTORENA NO. 33                                                   "</f>
        <v xml:space="preserve">AV. JOSE MA. CASTORENA NO. 33                                                   </v>
      </c>
      <c r="F3082" s="26" t="str">
        <f>"CUAJIMALPA                                                                                                                                  "</f>
        <v xml:space="preserve">CUAJIMALPA                                                                                                                                  </v>
      </c>
      <c r="G3082" s="26" t="str">
        <f>"CUAJIMALPA DE MORELOS                                                           "</f>
        <v xml:space="preserve">CUAJIMALPA DE MORELOS                                                           </v>
      </c>
      <c r="H3082" s="26" t="str">
        <f>"151"</f>
        <v>151</v>
      </c>
      <c r="I3082" s="26" t="str">
        <f t="shared" si="610"/>
        <v>00</v>
      </c>
      <c r="J3082" s="26" t="str">
        <f>"33 "</f>
        <v xml:space="preserve">33 </v>
      </c>
      <c r="K3082" s="26" t="str">
        <f t="shared" si="606"/>
        <v>EP</v>
      </c>
      <c r="L3082" s="26" t="str">
        <f t="shared" si="607"/>
        <v>DGOSE</v>
      </c>
      <c r="M3082" s="26" t="str">
        <f t="shared" si="608"/>
        <v>PARTICULAR</v>
      </c>
      <c r="N3082" s="26">
        <v>19</v>
      </c>
      <c r="O3082" s="26">
        <v>8</v>
      </c>
      <c r="P3082" s="26">
        <v>11</v>
      </c>
      <c r="Q3082" s="26">
        <v>3</v>
      </c>
      <c r="R3082" s="26">
        <v>1</v>
      </c>
      <c r="S3082" s="26">
        <v>3</v>
      </c>
      <c r="T3082" s="26">
        <v>1</v>
      </c>
      <c r="U3082" s="26">
        <v>5</v>
      </c>
      <c r="V3082" s="26">
        <v>1</v>
      </c>
      <c r="W3082" s="26"/>
    </row>
    <row r="3083" spans="1:23" x14ac:dyDescent="0.25">
      <c r="A3083" s="26" t="str">
        <f t="shared" si="609"/>
        <v>PREESCOLAR</v>
      </c>
      <c r="B3083" s="26" t="str">
        <f>"09PJN5823N"</f>
        <v>09PJN5823N</v>
      </c>
      <c r="C3083" s="26" t="str">
        <f>"CENTRO EDUCATIVO TONALLI                                                                            "</f>
        <v xml:space="preserve">CENTRO EDUCATIVO TONALLI                                                                            </v>
      </c>
      <c r="D3083" s="26" t="str">
        <f t="shared" si="603"/>
        <v>MATUTINO</v>
      </c>
      <c r="E3083" s="26" t="str">
        <f>"PRIMERA NORTE NO. 106                                                           "</f>
        <v xml:space="preserve">PRIMERA NORTE NO. 106                                                           </v>
      </c>
      <c r="F3083" s="26" t="str">
        <f>"ISIDRO FABELA                                                                                                                               "</f>
        <v xml:space="preserve">ISIDRO FABELA                                                                                                                               </v>
      </c>
      <c r="G3083" s="26" t="str">
        <f>"TLALPAN                                                                         "</f>
        <v xml:space="preserve">TLALPAN                                                                         </v>
      </c>
      <c r="H3083" s="26" t="str">
        <f>"222"</f>
        <v>222</v>
      </c>
      <c r="I3083" s="26" t="str">
        <f t="shared" si="610"/>
        <v>00</v>
      </c>
      <c r="J3083" s="26" t="str">
        <f>"35 "</f>
        <v xml:space="preserve">35 </v>
      </c>
      <c r="K3083" s="26" t="str">
        <f t="shared" si="606"/>
        <v>EP</v>
      </c>
      <c r="L3083" s="26" t="str">
        <f t="shared" si="607"/>
        <v>DGOSE</v>
      </c>
      <c r="M3083" s="26" t="str">
        <f t="shared" si="608"/>
        <v>PARTICULAR</v>
      </c>
      <c r="N3083" s="26">
        <v>23</v>
      </c>
      <c r="O3083" s="26">
        <v>11</v>
      </c>
      <c r="P3083" s="26">
        <v>12</v>
      </c>
      <c r="Q3083" s="26">
        <v>3</v>
      </c>
      <c r="R3083" s="26">
        <v>1</v>
      </c>
      <c r="S3083" s="26">
        <v>3</v>
      </c>
      <c r="T3083" s="26">
        <v>1</v>
      </c>
      <c r="U3083" s="26">
        <v>5</v>
      </c>
      <c r="V3083" s="26">
        <v>1</v>
      </c>
      <c r="W3083" s="26"/>
    </row>
    <row r="3084" spans="1:23" x14ac:dyDescent="0.25">
      <c r="A3084" s="26" t="str">
        <f t="shared" si="609"/>
        <v>PREESCOLAR</v>
      </c>
      <c r="B3084" s="26" t="str">
        <f>"09PJN5824M"</f>
        <v>09PJN5824M</v>
      </c>
      <c r="C3084" s="26" t="str">
        <f>"ESPACIO DE DESARROLLO INTEGRAL INFANTIL                                                             "</f>
        <v xml:space="preserve">ESPACIO DE DESARROLLO INTEGRAL INFANTIL                                                             </v>
      </c>
      <c r="D3084" s="26" t="str">
        <f t="shared" si="603"/>
        <v>MATUTINO</v>
      </c>
      <c r="E3084" s="26" t="str">
        <f>"LA SANTA MARIA NO. 10                                                           "</f>
        <v xml:space="preserve">LA SANTA MARIA NO. 10                                                           </v>
      </c>
      <c r="F3084" s="26" t="str">
        <f>"CHIMALCOYOTL                                                                                                                                "</f>
        <v xml:space="preserve">CHIMALCOYOTL                                                                                                                                </v>
      </c>
      <c r="G3084" s="26" t="str">
        <f>"TLALPAN                                                                         "</f>
        <v xml:space="preserve">TLALPAN                                                                         </v>
      </c>
      <c r="H3084" s="26" t="str">
        <f>"062"</f>
        <v>062</v>
      </c>
      <c r="I3084" s="26" t="str">
        <f t="shared" si="610"/>
        <v>00</v>
      </c>
      <c r="J3084" s="26" t="str">
        <f>"35 "</f>
        <v xml:space="preserve">35 </v>
      </c>
      <c r="K3084" s="26" t="str">
        <f t="shared" si="606"/>
        <v>EP</v>
      </c>
      <c r="L3084" s="26" t="str">
        <f t="shared" si="607"/>
        <v>DGOSE</v>
      </c>
      <c r="M3084" s="26" t="str">
        <f t="shared" si="608"/>
        <v>PARTICULAR</v>
      </c>
      <c r="N3084" s="26">
        <v>6</v>
      </c>
      <c r="O3084" s="26">
        <v>4</v>
      </c>
      <c r="P3084" s="26">
        <v>2</v>
      </c>
      <c r="Q3084" s="26">
        <v>2</v>
      </c>
      <c r="R3084" s="26">
        <v>1</v>
      </c>
      <c r="S3084" s="26">
        <v>1</v>
      </c>
      <c r="T3084" s="26">
        <v>4</v>
      </c>
      <c r="U3084" s="26">
        <v>6</v>
      </c>
      <c r="V3084" s="26">
        <v>1</v>
      </c>
      <c r="W3084" s="26"/>
    </row>
    <row r="3085" spans="1:23" x14ac:dyDescent="0.25">
      <c r="A3085" s="26" t="str">
        <f t="shared" si="609"/>
        <v>PREESCOLAR</v>
      </c>
      <c r="B3085" s="26" t="str">
        <f>"09PJN5825L"</f>
        <v>09PJN5825L</v>
      </c>
      <c r="C3085" s="26" t="str">
        <f>"COLEGIO PEDAGOGICO DECROLY                                                                          "</f>
        <v xml:space="preserve">COLEGIO PEDAGOGICO DECROLY                                                                          </v>
      </c>
      <c r="D3085" s="26" t="str">
        <f t="shared" si="603"/>
        <v>MATUTINO</v>
      </c>
      <c r="E3085" s="26" t="str">
        <f>"CANTERA NO. 252                                                                 "</f>
        <v xml:space="preserve">CANTERA NO. 252                                                                 </v>
      </c>
      <c r="F3085" s="26" t="str">
        <f>"TEPEXIMILPA                                                                                                                                 "</f>
        <v xml:space="preserve">TEPEXIMILPA                                                                                                                                 </v>
      </c>
      <c r="G3085" s="26" t="str">
        <f>"TLALPAN                                                                         "</f>
        <v xml:space="preserve">TLALPAN                                                                         </v>
      </c>
      <c r="H3085" s="26" t="str">
        <f>"225"</f>
        <v>225</v>
      </c>
      <c r="I3085" s="26" t="str">
        <f t="shared" si="610"/>
        <v>00</v>
      </c>
      <c r="J3085" s="26" t="str">
        <f>"35 "</f>
        <v xml:space="preserve">35 </v>
      </c>
      <c r="K3085" s="26" t="str">
        <f t="shared" si="606"/>
        <v>EP</v>
      </c>
      <c r="L3085" s="26" t="str">
        <f t="shared" si="607"/>
        <v>DGOSE</v>
      </c>
      <c r="M3085" s="26" t="str">
        <f t="shared" si="608"/>
        <v>PARTICULAR</v>
      </c>
      <c r="N3085" s="26">
        <v>4</v>
      </c>
      <c r="O3085" s="26">
        <v>3</v>
      </c>
      <c r="P3085" s="26">
        <v>1</v>
      </c>
      <c r="Q3085" s="26">
        <v>2</v>
      </c>
      <c r="R3085" s="26">
        <v>1</v>
      </c>
      <c r="S3085" s="26">
        <v>2</v>
      </c>
      <c r="T3085" s="26">
        <v>0</v>
      </c>
      <c r="U3085" s="26">
        <v>3</v>
      </c>
      <c r="V3085" s="26">
        <v>1</v>
      </c>
      <c r="W3085" s="26"/>
    </row>
    <row r="3086" spans="1:23" x14ac:dyDescent="0.25">
      <c r="A3086" s="26" t="str">
        <f t="shared" si="609"/>
        <v>PREESCOLAR</v>
      </c>
      <c r="B3086" s="26" t="str">
        <f>"09PJN5826K"</f>
        <v>09PJN5826K</v>
      </c>
      <c r="C3086" s="26" t="str">
        <f>"KINDER OAKHILL                                                                                      "</f>
        <v xml:space="preserve">KINDER OAKHILL                                                                                      </v>
      </c>
      <c r="D3086" s="26" t="str">
        <f t="shared" si="603"/>
        <v>MATUTINO</v>
      </c>
      <c r="E3086" s="26" t="str">
        <f>"LOMA DEL RECUERDO NO. 50                                                        "</f>
        <v xml:space="preserve">LOMA DEL RECUERDO NO. 50                                                        </v>
      </c>
      <c r="F3086" s="26" t="str">
        <f>"LOMAS DE VISTA HERMOSA                                                                                                                      "</f>
        <v xml:space="preserve">LOMAS DE VISTA HERMOSA                                                                                                                      </v>
      </c>
      <c r="G3086" s="26" t="str">
        <f>"CUAJIMALPA DE MORELOS                                                           "</f>
        <v xml:space="preserve">CUAJIMALPA DE MORELOS                                                           </v>
      </c>
      <c r="H3086" s="26" t="str">
        <f>"089"</f>
        <v>089</v>
      </c>
      <c r="I3086" s="26" t="str">
        <f t="shared" si="610"/>
        <v>00</v>
      </c>
      <c r="J3086" s="26" t="str">
        <f>"33 "</f>
        <v xml:space="preserve">33 </v>
      </c>
      <c r="K3086" s="26" t="str">
        <f t="shared" si="606"/>
        <v>EP</v>
      </c>
      <c r="L3086" s="26" t="str">
        <f t="shared" si="607"/>
        <v>DGOSE</v>
      </c>
      <c r="M3086" s="26" t="str">
        <f t="shared" si="608"/>
        <v>PARTICULAR</v>
      </c>
      <c r="N3086" s="26">
        <v>105</v>
      </c>
      <c r="O3086" s="26">
        <v>43</v>
      </c>
      <c r="P3086" s="26">
        <v>62</v>
      </c>
      <c r="Q3086" s="26">
        <v>7</v>
      </c>
      <c r="R3086" s="26">
        <v>1</v>
      </c>
      <c r="S3086" s="26">
        <v>7</v>
      </c>
      <c r="T3086" s="26">
        <v>14</v>
      </c>
      <c r="U3086" s="26">
        <v>22</v>
      </c>
      <c r="V3086" s="26">
        <v>1</v>
      </c>
      <c r="W3086" s="26"/>
    </row>
    <row r="3087" spans="1:23" x14ac:dyDescent="0.25">
      <c r="A3087" s="26" t="str">
        <f t="shared" si="609"/>
        <v>PREESCOLAR</v>
      </c>
      <c r="B3087" s="26" t="str">
        <f>"09PJN5827J"</f>
        <v>09PJN5827J</v>
      </c>
      <c r="C3087" s="26" t="str">
        <f>"TOHUI                                                                                               "</f>
        <v xml:space="preserve">TOHUI                                                                                               </v>
      </c>
      <c r="D3087" s="26" t="str">
        <f t="shared" si="603"/>
        <v>MATUTINO</v>
      </c>
      <c r="E3087" s="26" t="str">
        <f>"AÑO 1779 NO. 512                                                                "</f>
        <v xml:space="preserve">AÑO 1779 NO. 512                                                                </v>
      </c>
      <c r="F3087" s="26" t="str">
        <f>"SANTA MARIA TICOMAN                                                                                                                         "</f>
        <v xml:space="preserve">SANTA MARIA TICOMAN                                                                                                                         </v>
      </c>
      <c r="G3087" s="26" t="str">
        <f>"GUSTAVO A. MADERO                                                               "</f>
        <v xml:space="preserve">GUSTAVO A. MADERO                                                               </v>
      </c>
      <c r="H3087" s="26" t="str">
        <f>"197"</f>
        <v>197</v>
      </c>
      <c r="I3087" s="26" t="str">
        <f t="shared" si="610"/>
        <v>00</v>
      </c>
      <c r="J3087" s="26" t="str">
        <f>"32 "</f>
        <v xml:space="preserve">32 </v>
      </c>
      <c r="K3087" s="26" t="str">
        <f t="shared" si="606"/>
        <v>EP</v>
      </c>
      <c r="L3087" s="26" t="str">
        <f t="shared" si="607"/>
        <v>DGOSE</v>
      </c>
      <c r="M3087" s="26" t="str">
        <f t="shared" si="608"/>
        <v>PARTICULAR</v>
      </c>
      <c r="N3087" s="26">
        <v>25</v>
      </c>
      <c r="O3087" s="26">
        <v>16</v>
      </c>
      <c r="P3087" s="26">
        <v>9</v>
      </c>
      <c r="Q3087" s="26">
        <v>3</v>
      </c>
      <c r="R3087" s="26">
        <v>0</v>
      </c>
      <c r="S3087" s="26">
        <v>2</v>
      </c>
      <c r="T3087" s="26">
        <v>1</v>
      </c>
      <c r="U3087" s="26">
        <v>3</v>
      </c>
      <c r="V3087" s="26">
        <v>1</v>
      </c>
      <c r="W3087" s="26"/>
    </row>
    <row r="3088" spans="1:23" x14ac:dyDescent="0.25">
      <c r="A3088" s="26" t="str">
        <f t="shared" si="609"/>
        <v>PREESCOLAR</v>
      </c>
      <c r="B3088" s="26" t="str">
        <f>"09PJN5828I"</f>
        <v>09PJN5828I</v>
      </c>
      <c r="C3088" s="26" t="str">
        <f>"HERMANAS AGASSY                                                                                     "</f>
        <v xml:space="preserve">HERMANAS AGASSY                                                                                     </v>
      </c>
      <c r="D3088" s="26" t="str">
        <f t="shared" si="603"/>
        <v>MATUTINO</v>
      </c>
      <c r="E3088" s="26" t="str">
        <f>"CORAL NO. 1                                                                     "</f>
        <v xml:space="preserve">CORAL NO. 1                                                                     </v>
      </c>
      <c r="F3088" s="26" t="str">
        <f>"DEL MAR                                                                                                                                     "</f>
        <v xml:space="preserve">DEL MAR                                                                                                                                     </v>
      </c>
      <c r="G3088" s="26" t="str">
        <f>"TLAHUAC                                                                         "</f>
        <v xml:space="preserve">TLAHUAC                                                                         </v>
      </c>
      <c r="H3088" s="26" t="str">
        <f>"124"</f>
        <v>124</v>
      </c>
      <c r="I3088" s="26" t="str">
        <f t="shared" si="610"/>
        <v>00</v>
      </c>
      <c r="J3088" s="26" t="str">
        <f>"35 "</f>
        <v xml:space="preserve">35 </v>
      </c>
      <c r="K3088" s="26" t="str">
        <f t="shared" si="606"/>
        <v>EP</v>
      </c>
      <c r="L3088" s="26" t="str">
        <f t="shared" si="607"/>
        <v>DGOSE</v>
      </c>
      <c r="M3088" s="26" t="str">
        <f t="shared" si="608"/>
        <v>PARTICULAR</v>
      </c>
      <c r="N3088" s="26">
        <v>19</v>
      </c>
      <c r="O3088" s="26">
        <v>10</v>
      </c>
      <c r="P3088" s="26">
        <v>9</v>
      </c>
      <c r="Q3088" s="26">
        <v>3</v>
      </c>
      <c r="R3088" s="26">
        <v>1</v>
      </c>
      <c r="S3088" s="26">
        <v>2</v>
      </c>
      <c r="T3088" s="26">
        <v>0</v>
      </c>
      <c r="U3088" s="26">
        <v>3</v>
      </c>
      <c r="V3088" s="26">
        <v>1</v>
      </c>
      <c r="W3088" s="26"/>
    </row>
    <row r="3089" spans="1:23" x14ac:dyDescent="0.25">
      <c r="A3089" s="26" t="str">
        <f t="shared" si="609"/>
        <v>PREESCOLAR</v>
      </c>
      <c r="B3089" s="26" t="str">
        <f>"09PJN5829H"</f>
        <v>09PJN5829H</v>
      </c>
      <c r="C3089" s="26" t="str">
        <f>"COLEGIO AGAPE                                                                                       "</f>
        <v xml:space="preserve">COLEGIO AGAPE                                                                                       </v>
      </c>
      <c r="D3089" s="26" t="str">
        <f t="shared" si="603"/>
        <v>MATUTINO</v>
      </c>
      <c r="E3089" s="26" t="str">
        <f>"AV. MORELOS S/N MZ. 1 LT. 11                                                    "</f>
        <v xml:space="preserve">AV. MORELOS S/N MZ. 1 LT. 11                                                    </v>
      </c>
      <c r="F3089" s="26" t="str">
        <f>"VALLE DE LUCES                                                                                                                              "</f>
        <v xml:space="preserve">VALLE DE LUCES                                                                                                                              </v>
      </c>
      <c r="G3089" s="26" t="str">
        <f>"IZTAPALAPA                                                                      "</f>
        <v xml:space="preserve">IZTAPALAPA                                                                      </v>
      </c>
      <c r="H3089" s="26" t="str">
        <f>"000"</f>
        <v>000</v>
      </c>
      <c r="I3089" s="26" t="str">
        <f t="shared" si="610"/>
        <v>00</v>
      </c>
      <c r="J3089" s="26" t="str">
        <f>"61 "</f>
        <v xml:space="preserve">61 </v>
      </c>
      <c r="K3089" s="26" t="str">
        <f>"IZ"</f>
        <v>IZ</v>
      </c>
      <c r="L3089" s="26" t="str">
        <f>"DGSEI"</f>
        <v>DGSEI</v>
      </c>
      <c r="M3089" s="26" t="str">
        <f t="shared" si="608"/>
        <v>PARTICULAR</v>
      </c>
      <c r="N3089" s="26">
        <v>21</v>
      </c>
      <c r="O3089" s="26">
        <v>14</v>
      </c>
      <c r="P3089" s="26">
        <v>7</v>
      </c>
      <c r="Q3089" s="26">
        <v>3</v>
      </c>
      <c r="R3089" s="26">
        <v>1</v>
      </c>
      <c r="S3089" s="26">
        <v>2</v>
      </c>
      <c r="T3089" s="26">
        <v>4</v>
      </c>
      <c r="U3089" s="26">
        <v>7</v>
      </c>
      <c r="V3089" s="26">
        <v>1</v>
      </c>
      <c r="W3089" s="26"/>
    </row>
    <row r="3090" spans="1:23" x14ac:dyDescent="0.25">
      <c r="A3090" s="26" t="str">
        <f t="shared" si="609"/>
        <v>PREESCOLAR</v>
      </c>
      <c r="B3090" s="26" t="str">
        <f>"09PJN5830X"</f>
        <v>09PJN5830X</v>
      </c>
      <c r="C3090" s="26" t="str">
        <f>"QUETZALLI II                                                                                        "</f>
        <v xml:space="preserve">QUETZALLI II                                                                                        </v>
      </c>
      <c r="D3090" s="26" t="str">
        <f t="shared" si="603"/>
        <v>MATUTINO</v>
      </c>
      <c r="E3090" s="26" t="str">
        <f>"JUAN DE DIOS PEZA MZ. 5 LT. 8                                                   "</f>
        <v xml:space="preserve">JUAN DE DIOS PEZA MZ. 5 LT. 8                                                   </v>
      </c>
      <c r="F3090" s="26" t="str">
        <f>"LA HERA                                                                                                                                     "</f>
        <v xml:space="preserve">LA HERA                                                                                                                                     </v>
      </c>
      <c r="G3090" s="26" t="str">
        <f>"IZTAPALAPA                                                                      "</f>
        <v xml:space="preserve">IZTAPALAPA                                                                      </v>
      </c>
      <c r="H3090" s="26" t="str">
        <f>"000"</f>
        <v>000</v>
      </c>
      <c r="I3090" s="26" t="str">
        <f t="shared" si="610"/>
        <v>00</v>
      </c>
      <c r="J3090" s="26" t="str">
        <f>"63 "</f>
        <v xml:space="preserve">63 </v>
      </c>
      <c r="K3090" s="26" t="str">
        <f>"IZ"</f>
        <v>IZ</v>
      </c>
      <c r="L3090" s="26" t="str">
        <f>"DGSEI"</f>
        <v>DGSEI</v>
      </c>
      <c r="M3090" s="26" t="str">
        <f t="shared" si="608"/>
        <v>PARTICULAR</v>
      </c>
      <c r="N3090" s="26">
        <v>41</v>
      </c>
      <c r="O3090" s="26">
        <v>22</v>
      </c>
      <c r="P3090" s="26">
        <v>19</v>
      </c>
      <c r="Q3090" s="26">
        <v>3</v>
      </c>
      <c r="R3090" s="26">
        <v>1</v>
      </c>
      <c r="S3090" s="26">
        <v>3</v>
      </c>
      <c r="T3090" s="26">
        <v>5</v>
      </c>
      <c r="U3090" s="26">
        <v>9</v>
      </c>
      <c r="V3090" s="26">
        <v>1</v>
      </c>
      <c r="W3090" s="26"/>
    </row>
    <row r="3091" spans="1:23" x14ac:dyDescent="0.25">
      <c r="A3091" s="26" t="str">
        <f t="shared" si="609"/>
        <v>PREESCOLAR</v>
      </c>
      <c r="B3091" s="26" t="str">
        <f>"09PJN5831W"</f>
        <v>09PJN5831W</v>
      </c>
      <c r="C3091" s="26" t="str">
        <f>"JARDIN DE NIÑOS DEL BOSQUE                                                                          "</f>
        <v xml:space="preserve">JARDIN DE NIÑOS DEL BOSQUE                                                                          </v>
      </c>
      <c r="D3091" s="26" t="str">
        <f t="shared" si="603"/>
        <v>MATUTINO</v>
      </c>
      <c r="E3091" s="26" t="str">
        <f>"2 DE ABRIL NO. 88                                                               "</f>
        <v xml:space="preserve">2 DE ABRIL NO. 88                                                               </v>
      </c>
      <c r="F3091" s="26" t="str">
        <f>"SANTA CRUZ ACALPIXCA                                                                                                                        "</f>
        <v xml:space="preserve">SANTA CRUZ ACALPIXCA                                                                                                                        </v>
      </c>
      <c r="G3091" s="26" t="str">
        <f>"XOCHIMILCO                                                                      "</f>
        <v xml:space="preserve">XOCHIMILCO                                                                      </v>
      </c>
      <c r="H3091" s="26" t="str">
        <f>"053"</f>
        <v>053</v>
      </c>
      <c r="I3091" s="26" t="str">
        <f t="shared" si="610"/>
        <v>00</v>
      </c>
      <c r="J3091" s="26" t="str">
        <f>"35 "</f>
        <v xml:space="preserve">35 </v>
      </c>
      <c r="K3091" s="26" t="str">
        <f t="shared" ref="K3091:K3103" si="611">"EP"</f>
        <v>EP</v>
      </c>
      <c r="L3091" s="26" t="str">
        <f t="shared" ref="L3091:L3103" si="612">"DGOSE"</f>
        <v>DGOSE</v>
      </c>
      <c r="M3091" s="26" t="str">
        <f t="shared" si="608"/>
        <v>PARTICULAR</v>
      </c>
      <c r="N3091" s="26">
        <v>28</v>
      </c>
      <c r="O3091" s="26">
        <v>16</v>
      </c>
      <c r="P3091" s="26">
        <v>12</v>
      </c>
      <c r="Q3091" s="26">
        <v>3</v>
      </c>
      <c r="R3091" s="26">
        <v>1</v>
      </c>
      <c r="S3091" s="26">
        <v>3</v>
      </c>
      <c r="T3091" s="26">
        <v>3</v>
      </c>
      <c r="U3091" s="26">
        <v>7</v>
      </c>
      <c r="V3091" s="26">
        <v>1</v>
      </c>
      <c r="W3091" s="26"/>
    </row>
    <row r="3092" spans="1:23" x14ac:dyDescent="0.25">
      <c r="A3092" s="26" t="str">
        <f t="shared" si="609"/>
        <v>PREESCOLAR</v>
      </c>
      <c r="B3092" s="26" t="str">
        <f>"09PJN5832V"</f>
        <v>09PJN5832V</v>
      </c>
      <c r="C3092" s="26" t="str">
        <f>"JARDIN DE NIÑOS ESPARTA                                                                             "</f>
        <v xml:space="preserve">JARDIN DE NIÑOS ESPARTA                                                                             </v>
      </c>
      <c r="D3092" s="26" t="str">
        <f t="shared" si="603"/>
        <v>MATUTINO</v>
      </c>
      <c r="E3092" s="26" t="str">
        <f>"AV. SUR 20 NO. 245                                                              "</f>
        <v xml:space="preserve">AV. SUR 20 NO. 245                                                              </v>
      </c>
      <c r="F3092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3092" s="26" t="str">
        <f>"IZTACALCO                                                                       "</f>
        <v xml:space="preserve">IZTACALCO                                                                       </v>
      </c>
      <c r="H3092" s="26" t="str">
        <f>"236"</f>
        <v>236</v>
      </c>
      <c r="I3092" s="26" t="str">
        <f t="shared" si="610"/>
        <v>00</v>
      </c>
      <c r="J3092" s="26" t="str">
        <f>"33 "</f>
        <v xml:space="preserve">33 </v>
      </c>
      <c r="K3092" s="26" t="str">
        <f t="shared" si="611"/>
        <v>EP</v>
      </c>
      <c r="L3092" s="26" t="str">
        <f t="shared" si="612"/>
        <v>DGOSE</v>
      </c>
      <c r="M3092" s="26" t="str">
        <f t="shared" si="608"/>
        <v>PARTICULAR</v>
      </c>
      <c r="N3092" s="26">
        <v>13</v>
      </c>
      <c r="O3092" s="26">
        <v>7</v>
      </c>
      <c r="P3092" s="26">
        <v>6</v>
      </c>
      <c r="Q3092" s="26">
        <v>2</v>
      </c>
      <c r="R3092" s="26">
        <v>1</v>
      </c>
      <c r="S3092" s="26">
        <v>2</v>
      </c>
      <c r="T3092" s="26">
        <v>0</v>
      </c>
      <c r="U3092" s="26">
        <v>3</v>
      </c>
      <c r="V3092" s="26">
        <v>1</v>
      </c>
      <c r="W3092" s="26"/>
    </row>
    <row r="3093" spans="1:23" x14ac:dyDescent="0.25">
      <c r="A3093" s="26" t="str">
        <f t="shared" si="609"/>
        <v>PREESCOLAR</v>
      </c>
      <c r="B3093" s="26" t="str">
        <f>"09PJN5833U"</f>
        <v>09PJN5833U</v>
      </c>
      <c r="C3093" s="26" t="str">
        <f>"INTELIGENCIA MESOAMERICANA                                                                          "</f>
        <v xml:space="preserve">INTELIGENCIA MESOAMERICANA                                                                          </v>
      </c>
      <c r="D3093" s="26" t="str">
        <f t="shared" si="603"/>
        <v>MATUTINO</v>
      </c>
      <c r="E3093" s="26" t="str">
        <f>"MAR DE DE LAS LLUVIAS MZ. 73 LT. 9                                              "</f>
        <v xml:space="preserve">MAR DE DE LAS LLUVIAS MZ. 73 LT. 9                                              </v>
      </c>
      <c r="F3093" s="26" t="str">
        <f>"SELENE                                                                                                                                      "</f>
        <v xml:space="preserve">SELENE                                                                                                                                      </v>
      </c>
      <c r="G3093" s="26" t="str">
        <f>"TLAHUAC                                                                         "</f>
        <v xml:space="preserve">TLAHUAC                                                                         </v>
      </c>
      <c r="H3093" s="26" t="str">
        <f>"142"</f>
        <v>142</v>
      </c>
      <c r="I3093" s="26" t="str">
        <f t="shared" si="610"/>
        <v>00</v>
      </c>
      <c r="J3093" s="26" t="str">
        <f>"35 "</f>
        <v xml:space="preserve">35 </v>
      </c>
      <c r="K3093" s="26" t="str">
        <f t="shared" si="611"/>
        <v>EP</v>
      </c>
      <c r="L3093" s="26" t="str">
        <f t="shared" si="612"/>
        <v>DGOSE</v>
      </c>
      <c r="M3093" s="26" t="str">
        <f t="shared" si="608"/>
        <v>PARTICULAR</v>
      </c>
      <c r="N3093" s="26">
        <v>22</v>
      </c>
      <c r="O3093" s="26">
        <v>10</v>
      </c>
      <c r="P3093" s="26">
        <v>12</v>
      </c>
      <c r="Q3093" s="26">
        <v>3</v>
      </c>
      <c r="R3093" s="26">
        <v>1</v>
      </c>
      <c r="S3093" s="26">
        <v>3</v>
      </c>
      <c r="T3093" s="26">
        <v>5</v>
      </c>
      <c r="U3093" s="26">
        <v>9</v>
      </c>
      <c r="V3093" s="26">
        <v>1</v>
      </c>
      <c r="W3093" s="26"/>
    </row>
    <row r="3094" spans="1:23" x14ac:dyDescent="0.25">
      <c r="A3094" s="26" t="str">
        <f t="shared" si="609"/>
        <v>PREESCOLAR</v>
      </c>
      <c r="B3094" s="26" t="str">
        <f>"09PJN5835S"</f>
        <v>09PJN5835S</v>
      </c>
      <c r="C3094" s="26" t="str">
        <f>"ZUMMIT SCHOOL                                                                                       "</f>
        <v xml:space="preserve">ZUMMIT SCHOOL                                                                                       </v>
      </c>
      <c r="D3094" s="26" t="str">
        <f t="shared" si="603"/>
        <v>MATUTINO</v>
      </c>
      <c r="E3094" s="26" t="str">
        <f>"BOULEVARD DE LA LUZ NO. 166                                                     "</f>
        <v xml:space="preserve">BOULEVARD DE LA LUZ NO. 166                                                     </v>
      </c>
      <c r="F3094" s="26" t="str">
        <f>"JARDINES DEL PEDREGAL                                                                                                                       "</f>
        <v xml:space="preserve">JARDINES DEL PEDREGAL                                                                                                                       </v>
      </c>
      <c r="G3094" s="26" t="str">
        <f>"ALVARO OBREGON                                                                  "</f>
        <v xml:space="preserve">ALVARO OBREGON                                                                  </v>
      </c>
      <c r="H3094" s="26" t="str">
        <f>"214"</f>
        <v>214</v>
      </c>
      <c r="I3094" s="26" t="str">
        <f t="shared" si="610"/>
        <v>00</v>
      </c>
      <c r="J3094" s="26" t="str">
        <f>"33 "</f>
        <v xml:space="preserve">33 </v>
      </c>
      <c r="K3094" s="26" t="str">
        <f t="shared" si="611"/>
        <v>EP</v>
      </c>
      <c r="L3094" s="26" t="str">
        <f t="shared" si="612"/>
        <v>DGOSE</v>
      </c>
      <c r="M3094" s="26" t="str">
        <f t="shared" si="608"/>
        <v>PARTICULAR</v>
      </c>
      <c r="N3094" s="26">
        <v>26</v>
      </c>
      <c r="O3094" s="26">
        <v>17</v>
      </c>
      <c r="P3094" s="26">
        <v>9</v>
      </c>
      <c r="Q3094" s="26">
        <v>3</v>
      </c>
      <c r="R3094" s="26">
        <v>1</v>
      </c>
      <c r="S3094" s="26">
        <v>3</v>
      </c>
      <c r="T3094" s="26">
        <v>6</v>
      </c>
      <c r="U3094" s="26">
        <v>10</v>
      </c>
      <c r="V3094" s="26">
        <v>1</v>
      </c>
      <c r="W3094" s="26"/>
    </row>
    <row r="3095" spans="1:23" x14ac:dyDescent="0.25">
      <c r="A3095" s="26" t="str">
        <f t="shared" si="609"/>
        <v>PREESCOLAR</v>
      </c>
      <c r="B3095" s="26" t="str">
        <f>"09PJN5836R"</f>
        <v>09PJN5836R</v>
      </c>
      <c r="C3095" s="26" t="str">
        <f>"JARDIN DE NIÑOS IVETTE                                                                              "</f>
        <v xml:space="preserve">JARDIN DE NIÑOS IVETTE                                                                              </v>
      </c>
      <c r="D3095" s="26" t="str">
        <f t="shared" si="603"/>
        <v>MATUTINO</v>
      </c>
      <c r="E3095" s="26" t="s">
        <v>127</v>
      </c>
      <c r="F3095" s="26" t="str">
        <f>"TORRES DE POTRERO                                                                                                                           "</f>
        <v xml:space="preserve">TORRES DE POTRERO                                                                                                                           </v>
      </c>
      <c r="G3095" s="26" t="str">
        <f>"ALVARO OBREGON                                                                  "</f>
        <v xml:space="preserve">ALVARO OBREGON                                                                  </v>
      </c>
      <c r="H3095" s="26" t="str">
        <f>"175"</f>
        <v>175</v>
      </c>
      <c r="I3095" s="26" t="str">
        <f t="shared" si="610"/>
        <v>00</v>
      </c>
      <c r="J3095" s="26" t="str">
        <f>"33 "</f>
        <v xml:space="preserve">33 </v>
      </c>
      <c r="K3095" s="26" t="str">
        <f t="shared" si="611"/>
        <v>EP</v>
      </c>
      <c r="L3095" s="26" t="str">
        <f t="shared" si="612"/>
        <v>DGOSE</v>
      </c>
      <c r="M3095" s="26" t="str">
        <f t="shared" si="608"/>
        <v>PARTICULAR</v>
      </c>
      <c r="N3095" s="26">
        <v>20</v>
      </c>
      <c r="O3095" s="26">
        <v>13</v>
      </c>
      <c r="P3095" s="26">
        <v>7</v>
      </c>
      <c r="Q3095" s="26">
        <v>2</v>
      </c>
      <c r="R3095" s="26">
        <v>1</v>
      </c>
      <c r="S3095" s="26">
        <v>2</v>
      </c>
      <c r="T3095" s="26">
        <v>0</v>
      </c>
      <c r="U3095" s="26">
        <v>3</v>
      </c>
      <c r="V3095" s="26">
        <v>1</v>
      </c>
      <c r="W3095" s="26"/>
    </row>
    <row r="3096" spans="1:23" x14ac:dyDescent="0.25">
      <c r="A3096" s="26" t="str">
        <f t="shared" si="609"/>
        <v>PREESCOLAR</v>
      </c>
      <c r="B3096" s="26" t="str">
        <f>"09PJN5837Q"</f>
        <v>09PJN5837Q</v>
      </c>
      <c r="C3096" s="26" t="str">
        <f>"INSTITUTO AMERICA SIGLO XXI                                                                         "</f>
        <v xml:space="preserve">INSTITUTO AMERICA SIGLO XXI                                                                         </v>
      </c>
      <c r="D3096" s="26" t="str">
        <f t="shared" si="603"/>
        <v>MATUTINO</v>
      </c>
      <c r="E3096" s="26" t="str">
        <f>"ROSAL NO. 18                                                                    "</f>
        <v xml:space="preserve">ROSAL NO. 18                                                                    </v>
      </c>
      <c r="F3096" s="26" t="str">
        <f>"PUEBLO NUEVO BAJO                                                                                                                           "</f>
        <v xml:space="preserve">PUEBLO NUEVO BAJO                                                                                                                           </v>
      </c>
      <c r="G3096" s="26" t="str">
        <f>"LA MAGDALENA CONTRERAS                                                          "</f>
        <v xml:space="preserve">LA MAGDALENA CONTRERAS                                                          </v>
      </c>
      <c r="H3096" s="26" t="str">
        <f>"280"</f>
        <v>280</v>
      </c>
      <c r="I3096" s="26" t="str">
        <f t="shared" si="610"/>
        <v>00</v>
      </c>
      <c r="J3096" s="26" t="str">
        <f>"35 "</f>
        <v xml:space="preserve">35 </v>
      </c>
      <c r="K3096" s="26" t="str">
        <f t="shared" si="611"/>
        <v>EP</v>
      </c>
      <c r="L3096" s="26" t="str">
        <f t="shared" si="612"/>
        <v>DGOSE</v>
      </c>
      <c r="M3096" s="26" t="str">
        <f t="shared" si="608"/>
        <v>PARTICULAR</v>
      </c>
      <c r="N3096" s="26">
        <v>24</v>
      </c>
      <c r="O3096" s="26">
        <v>12</v>
      </c>
      <c r="P3096" s="26">
        <v>12</v>
      </c>
      <c r="Q3096" s="26">
        <v>2</v>
      </c>
      <c r="R3096" s="26">
        <v>1</v>
      </c>
      <c r="S3096" s="26">
        <v>2</v>
      </c>
      <c r="T3096" s="26">
        <v>2</v>
      </c>
      <c r="U3096" s="26">
        <v>5</v>
      </c>
      <c r="V3096" s="26">
        <v>1</v>
      </c>
      <c r="W3096" s="26"/>
    </row>
    <row r="3097" spans="1:23" x14ac:dyDescent="0.25">
      <c r="A3097" s="26" t="str">
        <f t="shared" si="609"/>
        <v>PREESCOLAR</v>
      </c>
      <c r="B3097" s="26" t="str">
        <f>"09PJN5840D"</f>
        <v>09PJN5840D</v>
      </c>
      <c r="C3097" s="26" t="str">
        <f>"INSTITUTO MISSISSAUGA                                                                               "</f>
        <v xml:space="preserve">INSTITUTO MISSISSAUGA                                                                               </v>
      </c>
      <c r="D3097" s="26" t="str">
        <f t="shared" si="603"/>
        <v>MATUTINO</v>
      </c>
      <c r="E3097" s="26" t="str">
        <f>"SAN RAFAEL NO. 11                                                               "</f>
        <v xml:space="preserve">SAN RAFAEL NO. 11                                                               </v>
      </c>
      <c r="F3097" s="26" t="str">
        <f>"PUEBLO NUEVO BAJO                                                                                                                           "</f>
        <v xml:space="preserve">PUEBLO NUEVO BAJO                                                                                                                           </v>
      </c>
      <c r="G3097" s="26" t="str">
        <f>"LA MAGDALENA CONTRERAS                                                          "</f>
        <v xml:space="preserve">LA MAGDALENA CONTRERAS                                                          </v>
      </c>
      <c r="H3097" s="26" t="str">
        <f>"280"</f>
        <v>280</v>
      </c>
      <c r="I3097" s="26" t="str">
        <f t="shared" si="610"/>
        <v>00</v>
      </c>
      <c r="J3097" s="26" t="str">
        <f>"35 "</f>
        <v xml:space="preserve">35 </v>
      </c>
      <c r="K3097" s="26" t="str">
        <f t="shared" si="611"/>
        <v>EP</v>
      </c>
      <c r="L3097" s="26" t="str">
        <f t="shared" si="612"/>
        <v>DGOSE</v>
      </c>
      <c r="M3097" s="26" t="str">
        <f t="shared" si="608"/>
        <v>PARTICULAR</v>
      </c>
      <c r="N3097" s="26">
        <v>26</v>
      </c>
      <c r="O3097" s="26">
        <v>16</v>
      </c>
      <c r="P3097" s="26">
        <v>10</v>
      </c>
      <c r="Q3097" s="26">
        <v>3</v>
      </c>
      <c r="R3097" s="26">
        <v>1</v>
      </c>
      <c r="S3097" s="26">
        <v>2</v>
      </c>
      <c r="T3097" s="26">
        <v>3</v>
      </c>
      <c r="U3097" s="26">
        <v>6</v>
      </c>
      <c r="V3097" s="26">
        <v>1</v>
      </c>
      <c r="W3097" s="26"/>
    </row>
    <row r="3098" spans="1:23" x14ac:dyDescent="0.25">
      <c r="A3098" s="26" t="str">
        <f t="shared" si="609"/>
        <v>PREESCOLAR</v>
      </c>
      <c r="B3098" s="26" t="str">
        <f>"09PJN5842B"</f>
        <v>09PJN5842B</v>
      </c>
      <c r="C3098" s="26" t="str">
        <f>"COLEGIO AJUSCO                                                                                      "</f>
        <v xml:space="preserve">COLEGIO AJUSCO                                                                                      </v>
      </c>
      <c r="D3098" s="26" t="str">
        <f t="shared" si="603"/>
        <v>MATUTINO</v>
      </c>
      <c r="E3098" s="26" t="str">
        <f>"5 DE MAYO NO. 7520                                                              "</f>
        <v xml:space="preserve">5 DE MAYO NO. 7520                                                              </v>
      </c>
      <c r="F3098" s="26" t="str">
        <f>"SAN ANDRES TOTOLTEPEC                                                                                                                       "</f>
        <v xml:space="preserve">SAN ANDRES TOTOLTEPEC                                                                                                                       </v>
      </c>
      <c r="G3098" s="26" t="str">
        <f>"TLALPAN                                                                         "</f>
        <v xml:space="preserve">TLALPAN                                                                         </v>
      </c>
      <c r="H3098" s="26" t="str">
        <f>"076"</f>
        <v>076</v>
      </c>
      <c r="I3098" s="26" t="str">
        <f t="shared" si="610"/>
        <v>00</v>
      </c>
      <c r="J3098" s="26" t="str">
        <f>"35 "</f>
        <v xml:space="preserve">35 </v>
      </c>
      <c r="K3098" s="26" t="str">
        <f t="shared" si="611"/>
        <v>EP</v>
      </c>
      <c r="L3098" s="26" t="str">
        <f t="shared" si="612"/>
        <v>DGOSE</v>
      </c>
      <c r="M3098" s="26" t="str">
        <f t="shared" si="608"/>
        <v>PARTICULAR</v>
      </c>
      <c r="N3098" s="26">
        <v>9</v>
      </c>
      <c r="O3098" s="26">
        <v>4</v>
      </c>
      <c r="P3098" s="26">
        <v>5</v>
      </c>
      <c r="Q3098" s="26">
        <v>3</v>
      </c>
      <c r="R3098" s="26">
        <v>1</v>
      </c>
      <c r="S3098" s="26">
        <v>1</v>
      </c>
      <c r="T3098" s="26">
        <v>6</v>
      </c>
      <c r="U3098" s="26">
        <v>8</v>
      </c>
      <c r="V3098" s="26">
        <v>1</v>
      </c>
      <c r="W3098" s="26"/>
    </row>
    <row r="3099" spans="1:23" x14ac:dyDescent="0.25">
      <c r="A3099" s="26" t="str">
        <f t="shared" si="609"/>
        <v>PREESCOLAR</v>
      </c>
      <c r="B3099" s="26" t="str">
        <f>"09PJN5843A"</f>
        <v>09PJN5843A</v>
      </c>
      <c r="C3099" s="26" t="str">
        <f>"POR UN NIÑO FELIZ                                                                                   "</f>
        <v xml:space="preserve">POR UN NIÑO FELIZ                                                                                   </v>
      </c>
      <c r="D3099" s="26" t="str">
        <f t="shared" si="603"/>
        <v>MATUTINO</v>
      </c>
      <c r="E3099" s="26" t="str">
        <f>"LUIS G. SALOMA S/N MZA. 18 LT:2                                                 "</f>
        <v xml:space="preserve">LUIS G. SALOMA S/N MZA. 18 LT:2                                                 </v>
      </c>
      <c r="F3099" s="26" t="str">
        <f>"MALACATES                                                                                                                                   "</f>
        <v xml:space="preserve">MALACATES                                                                                                                                   </v>
      </c>
      <c r="G3099" s="26" t="str">
        <f>"GUSTAVO A. MADERO                                                               "</f>
        <v xml:space="preserve">GUSTAVO A. MADERO                                                               </v>
      </c>
      <c r="H3099" s="26" t="str">
        <f>"068"</f>
        <v>068</v>
      </c>
      <c r="I3099" s="26" t="str">
        <f t="shared" si="610"/>
        <v>00</v>
      </c>
      <c r="J3099" s="26" t="str">
        <f>"32 "</f>
        <v xml:space="preserve">32 </v>
      </c>
      <c r="K3099" s="26" t="str">
        <f t="shared" si="611"/>
        <v>EP</v>
      </c>
      <c r="L3099" s="26" t="str">
        <f t="shared" si="612"/>
        <v>DGOSE</v>
      </c>
      <c r="M3099" s="26" t="str">
        <f t="shared" si="608"/>
        <v>PARTICULAR</v>
      </c>
      <c r="N3099" s="26">
        <v>27</v>
      </c>
      <c r="O3099" s="26">
        <v>13</v>
      </c>
      <c r="P3099" s="26">
        <v>14</v>
      </c>
      <c r="Q3099" s="26">
        <v>3</v>
      </c>
      <c r="R3099" s="26">
        <v>1</v>
      </c>
      <c r="S3099" s="26">
        <v>2</v>
      </c>
      <c r="T3099" s="26">
        <v>0</v>
      </c>
      <c r="U3099" s="26">
        <v>3</v>
      </c>
      <c r="V3099" s="26">
        <v>1</v>
      </c>
      <c r="W3099" s="26"/>
    </row>
    <row r="3100" spans="1:23" x14ac:dyDescent="0.25">
      <c r="A3100" s="26" t="str">
        <f t="shared" si="609"/>
        <v>PREESCOLAR</v>
      </c>
      <c r="B3100" s="26" t="str">
        <f>"09PJN5844Z"</f>
        <v>09PJN5844Z</v>
      </c>
      <c r="C3100" s="26" t="str">
        <f>"FANTASY WORLD                                                                                       "</f>
        <v xml:space="preserve">FANTASY WORLD                                                                                       </v>
      </c>
      <c r="D3100" s="26" t="str">
        <f t="shared" si="603"/>
        <v>MATUTINO</v>
      </c>
      <c r="E3100" s="26" t="str">
        <f>"ORIENTE 91 NO. 2929                                                             "</f>
        <v xml:space="preserve">ORIENTE 91 NO. 2929                                                             </v>
      </c>
      <c r="F3100" s="26" t="str">
        <f>"MARTIRES DE RIO BLANCO                                                                                                                      "</f>
        <v xml:space="preserve">MARTIRES DE RIO BLANCO                                                                                                                      </v>
      </c>
      <c r="G3100" s="26" t="str">
        <f>"GUSTAVO A. MADERO                                                               "</f>
        <v xml:space="preserve">GUSTAVO A. MADERO                                                               </v>
      </c>
      <c r="H3100" s="26" t="str">
        <f>"198"</f>
        <v>198</v>
      </c>
      <c r="I3100" s="26" t="str">
        <f t="shared" si="610"/>
        <v>00</v>
      </c>
      <c r="J3100" s="26" t="str">
        <f>"32 "</f>
        <v xml:space="preserve">32 </v>
      </c>
      <c r="K3100" s="26" t="str">
        <f t="shared" si="611"/>
        <v>EP</v>
      </c>
      <c r="L3100" s="26" t="str">
        <f t="shared" si="612"/>
        <v>DGOSE</v>
      </c>
      <c r="M3100" s="26" t="str">
        <f t="shared" si="608"/>
        <v>PARTICULAR</v>
      </c>
      <c r="N3100" s="26">
        <v>22</v>
      </c>
      <c r="O3100" s="26">
        <v>12</v>
      </c>
      <c r="P3100" s="26">
        <v>10</v>
      </c>
      <c r="Q3100" s="26">
        <v>3</v>
      </c>
      <c r="R3100" s="26">
        <v>1</v>
      </c>
      <c r="S3100" s="26">
        <v>2</v>
      </c>
      <c r="T3100" s="26">
        <v>2</v>
      </c>
      <c r="U3100" s="26">
        <v>5</v>
      </c>
      <c r="V3100" s="26">
        <v>1</v>
      </c>
      <c r="W3100" s="26"/>
    </row>
    <row r="3101" spans="1:23" x14ac:dyDescent="0.25">
      <c r="A3101" s="26" t="str">
        <f t="shared" si="609"/>
        <v>PREESCOLAR</v>
      </c>
      <c r="B3101" s="26" t="str">
        <f>"09PJN5845Z"</f>
        <v>09PJN5845Z</v>
      </c>
      <c r="C3101" s="26" t="str">
        <f>"CENTRO PEDAGOGICO INFANTIL ABRAHAM LINCOLN                                                          "</f>
        <v xml:space="preserve">CENTRO PEDAGOGICO INFANTIL ABRAHAM LINCOLN                                                          </v>
      </c>
      <c r="D3101" s="26" t="str">
        <f t="shared" si="603"/>
        <v>MATUTINO</v>
      </c>
      <c r="E3101" s="26" t="str">
        <f>"NISPERO NO. 17                                                                  "</f>
        <v xml:space="preserve">NISPERO NO. 17                                                                  </v>
      </c>
      <c r="F3101" s="26" t="str">
        <f>"SAN JOSE DE LOS CEDROS                                                                                                                      "</f>
        <v xml:space="preserve">SAN JOSE DE LOS CEDROS                                                                                                                      </v>
      </c>
      <c r="G3101" s="26" t="str">
        <f>"CUAJIMALPA DE MORELOS                                                           "</f>
        <v xml:space="preserve">CUAJIMALPA DE MORELOS                                                           </v>
      </c>
      <c r="H3101" s="26" t="str">
        <f>"212"</f>
        <v>212</v>
      </c>
      <c r="I3101" s="26" t="str">
        <f t="shared" si="610"/>
        <v>00</v>
      </c>
      <c r="J3101" s="26" t="str">
        <f>"33 "</f>
        <v xml:space="preserve">33 </v>
      </c>
      <c r="K3101" s="26" t="str">
        <f t="shared" si="611"/>
        <v>EP</v>
      </c>
      <c r="L3101" s="26" t="str">
        <f t="shared" si="612"/>
        <v>DGOSE</v>
      </c>
      <c r="M3101" s="26" t="str">
        <f t="shared" si="608"/>
        <v>PARTICULAR</v>
      </c>
      <c r="N3101" s="26">
        <v>37</v>
      </c>
      <c r="O3101" s="26">
        <v>12</v>
      </c>
      <c r="P3101" s="26">
        <v>25</v>
      </c>
      <c r="Q3101" s="26">
        <v>3</v>
      </c>
      <c r="R3101" s="26">
        <v>1</v>
      </c>
      <c r="S3101" s="26">
        <v>3</v>
      </c>
      <c r="T3101" s="26">
        <v>5</v>
      </c>
      <c r="U3101" s="26">
        <v>9</v>
      </c>
      <c r="V3101" s="26">
        <v>1</v>
      </c>
      <c r="W3101" s="26"/>
    </row>
    <row r="3102" spans="1:23" x14ac:dyDescent="0.25">
      <c r="A3102" s="26" t="str">
        <f t="shared" si="609"/>
        <v>PREESCOLAR</v>
      </c>
      <c r="B3102" s="26" t="str">
        <f>"09PJN5846Y"</f>
        <v>09PJN5846Y</v>
      </c>
      <c r="C3102" s="26" t="str">
        <f>"MI PEQUEÑO MUNDO                                                                                    "</f>
        <v xml:space="preserve">MI PEQUEÑO MUNDO                                                                                    </v>
      </c>
      <c r="D3102" s="26" t="str">
        <f t="shared" si="603"/>
        <v>MATUTINO</v>
      </c>
      <c r="E3102" s="26" t="str">
        <f>"PRIMERO DE MAYO NO. 200                                                         "</f>
        <v xml:space="preserve">PRIMERO DE MAYO NO. 200                                                         </v>
      </c>
      <c r="F3102" s="26" t="str">
        <f>"SAN PEDRO DE LOS PINOS                                                                                                                      "</f>
        <v xml:space="preserve">SAN PEDRO DE LOS PINOS                                                                                                                      </v>
      </c>
      <c r="G3102" s="26" t="str">
        <f>"BENITO JUAREZ                                                                   "</f>
        <v xml:space="preserve">BENITO JUAREZ                                                                   </v>
      </c>
      <c r="H3102" s="26" t="str">
        <f>"032"</f>
        <v>032</v>
      </c>
      <c r="I3102" s="26" t="str">
        <f t="shared" si="610"/>
        <v>00</v>
      </c>
      <c r="J3102" s="26" t="str">
        <f>"33 "</f>
        <v xml:space="preserve">33 </v>
      </c>
      <c r="K3102" s="26" t="str">
        <f t="shared" si="611"/>
        <v>EP</v>
      </c>
      <c r="L3102" s="26" t="str">
        <f t="shared" si="612"/>
        <v>DGOSE</v>
      </c>
      <c r="M3102" s="26" t="str">
        <f t="shared" si="608"/>
        <v>PARTICULAR</v>
      </c>
      <c r="N3102" s="26">
        <v>15</v>
      </c>
      <c r="O3102" s="26">
        <v>7</v>
      </c>
      <c r="P3102" s="26">
        <v>8</v>
      </c>
      <c r="Q3102" s="26">
        <v>3</v>
      </c>
      <c r="R3102" s="26">
        <v>0</v>
      </c>
      <c r="S3102" s="26">
        <v>2</v>
      </c>
      <c r="T3102" s="26">
        <v>4</v>
      </c>
      <c r="U3102" s="26">
        <v>6</v>
      </c>
      <c r="V3102" s="26">
        <v>1</v>
      </c>
      <c r="W3102" s="26"/>
    </row>
    <row r="3103" spans="1:23" x14ac:dyDescent="0.25">
      <c r="A3103" s="26" t="str">
        <f t="shared" si="609"/>
        <v>PREESCOLAR</v>
      </c>
      <c r="B3103" s="26" t="str">
        <f>"09PJN5847X"</f>
        <v>09PJN5847X</v>
      </c>
      <c r="C3103" s="26" t="str">
        <f>"CENTRO BILINGÜE SUAL S.C./ESCUELA WEBSTER                                                           "</f>
        <v xml:space="preserve">CENTRO BILINGÜE SUAL S.C./ESCUELA WEBSTER                                                           </v>
      </c>
      <c r="D3103" s="26" t="str">
        <f t="shared" si="603"/>
        <v>MATUTINO</v>
      </c>
      <c r="E3103" s="26" t="str">
        <f>"FLORES MAGON NO. 62                                                             "</f>
        <v xml:space="preserve">FLORES MAGON NO. 62                                                             </v>
      </c>
      <c r="F3103" s="26" t="str">
        <f>"SANTA TERESA                                                                                                                                "</f>
        <v xml:space="preserve">SANTA TERESA                                                                                                                                </v>
      </c>
      <c r="G3103" s="26" t="str">
        <f>"LA MAGDALENA CONTRERAS                                                          "</f>
        <v xml:space="preserve">LA MAGDALENA CONTRERAS                                                          </v>
      </c>
      <c r="H3103" s="26" t="str">
        <f>"280"</f>
        <v>280</v>
      </c>
      <c r="I3103" s="26" t="str">
        <f t="shared" si="610"/>
        <v>00</v>
      </c>
      <c r="J3103" s="26" t="str">
        <f>"35 "</f>
        <v xml:space="preserve">35 </v>
      </c>
      <c r="K3103" s="26" t="str">
        <f t="shared" si="611"/>
        <v>EP</v>
      </c>
      <c r="L3103" s="26" t="str">
        <f t="shared" si="612"/>
        <v>DGOSE</v>
      </c>
      <c r="M3103" s="26" t="str">
        <f t="shared" si="608"/>
        <v>PARTICULAR</v>
      </c>
      <c r="N3103" s="26">
        <v>16</v>
      </c>
      <c r="O3103" s="26">
        <v>5</v>
      </c>
      <c r="P3103" s="26">
        <v>11</v>
      </c>
      <c r="Q3103" s="26">
        <v>3</v>
      </c>
      <c r="R3103" s="26">
        <v>1</v>
      </c>
      <c r="S3103" s="26">
        <v>3</v>
      </c>
      <c r="T3103" s="26">
        <v>5</v>
      </c>
      <c r="U3103" s="26">
        <v>9</v>
      </c>
      <c r="V3103" s="26">
        <v>1</v>
      </c>
      <c r="W3103" s="26"/>
    </row>
    <row r="3104" spans="1:23" x14ac:dyDescent="0.25">
      <c r="A3104" s="26" t="str">
        <f t="shared" si="609"/>
        <v>PREESCOLAR</v>
      </c>
      <c r="B3104" s="26" t="str">
        <f>"09PJN5848W"</f>
        <v>09PJN5848W</v>
      </c>
      <c r="C3104" s="26" t="str">
        <f>"ABC KIDS KINDERGARTEN                                                                               "</f>
        <v xml:space="preserve">ABC KIDS KINDERGARTEN                                                                               </v>
      </c>
      <c r="D3104" s="26" t="str">
        <f t="shared" si="603"/>
        <v>MATUTINO</v>
      </c>
      <c r="E3104" s="26" t="str">
        <f>"24 DE MARZO DE 1867 NO. 5                                                       "</f>
        <v xml:space="preserve">24 DE MARZO DE 1867 NO. 5                                                       </v>
      </c>
      <c r="F3104" s="26" t="str">
        <f>"LEYES DE REFORMA                                                                                                                            "</f>
        <v xml:space="preserve">LEYES DE REFORMA                                                                                                                            </v>
      </c>
      <c r="G3104" s="26" t="str">
        <f>"IZTAPALAPA                                                                      "</f>
        <v xml:space="preserve">IZTAPALAPA                                                                      </v>
      </c>
      <c r="H3104" s="26" t="str">
        <f>"000"</f>
        <v>000</v>
      </c>
      <c r="I3104" s="26" t="str">
        <f t="shared" si="610"/>
        <v>00</v>
      </c>
      <c r="J3104" s="26" t="str">
        <f>"61 "</f>
        <v xml:space="preserve">61 </v>
      </c>
      <c r="K3104" s="26" t="str">
        <f>"IZ"</f>
        <v>IZ</v>
      </c>
      <c r="L3104" s="26" t="str">
        <f>"DGSEI"</f>
        <v>DGSEI</v>
      </c>
      <c r="M3104" s="26" t="str">
        <f t="shared" si="608"/>
        <v>PARTICULAR</v>
      </c>
      <c r="N3104" s="26">
        <v>61</v>
      </c>
      <c r="O3104" s="26">
        <v>30</v>
      </c>
      <c r="P3104" s="26">
        <v>31</v>
      </c>
      <c r="Q3104" s="26">
        <v>3</v>
      </c>
      <c r="R3104" s="26">
        <v>1</v>
      </c>
      <c r="S3104" s="26">
        <v>3</v>
      </c>
      <c r="T3104" s="26">
        <v>3</v>
      </c>
      <c r="U3104" s="26">
        <v>7</v>
      </c>
      <c r="V3104" s="26">
        <v>1</v>
      </c>
      <c r="W3104" s="26"/>
    </row>
    <row r="3105" spans="1:23" x14ac:dyDescent="0.25">
      <c r="A3105" s="26" t="str">
        <f t="shared" si="609"/>
        <v>PREESCOLAR</v>
      </c>
      <c r="B3105" s="26" t="str">
        <f>"09PJN5850K"</f>
        <v>09PJN5850K</v>
      </c>
      <c r="C3105" s="26" t="s">
        <v>128</v>
      </c>
      <c r="D3105" s="26" t="str">
        <f t="shared" si="603"/>
        <v>MATUTINO</v>
      </c>
      <c r="E3105" s="26" t="str">
        <f>"CALZADA DE LA VIGA NO. 707                                                      "</f>
        <v xml:space="preserve">CALZADA DE LA VIGA NO. 707                                                      </v>
      </c>
      <c r="F3105" s="26" t="str">
        <f>"SAN FRANCISCO XICALTONGO BARRIO                                                                                                             "</f>
        <v xml:space="preserve">SAN FRANCISCO XICALTONGO BARRIO                                                                                                             </v>
      </c>
      <c r="G3105" s="26" t="str">
        <f>"IZTACALCO                                                                       "</f>
        <v xml:space="preserve">IZTACALCO                                                                       </v>
      </c>
      <c r="H3105" s="26" t="str">
        <f>"027"</f>
        <v>027</v>
      </c>
      <c r="I3105" s="26" t="str">
        <f t="shared" si="610"/>
        <v>00</v>
      </c>
      <c r="J3105" s="26" t="str">
        <f>"33 "</f>
        <v xml:space="preserve">33 </v>
      </c>
      <c r="K3105" s="26" t="str">
        <f t="shared" ref="K3105:K3129" si="613">"EP"</f>
        <v>EP</v>
      </c>
      <c r="L3105" s="26" t="str">
        <f t="shared" ref="L3105:L3129" si="614">"DGOSE"</f>
        <v>DGOSE</v>
      </c>
      <c r="M3105" s="26" t="str">
        <f t="shared" si="608"/>
        <v>PARTICULAR</v>
      </c>
      <c r="N3105" s="26">
        <v>20</v>
      </c>
      <c r="O3105" s="26">
        <v>8</v>
      </c>
      <c r="P3105" s="26">
        <v>12</v>
      </c>
      <c r="Q3105" s="26">
        <v>3</v>
      </c>
      <c r="R3105" s="26">
        <v>1</v>
      </c>
      <c r="S3105" s="26">
        <v>2</v>
      </c>
      <c r="T3105" s="26">
        <v>4</v>
      </c>
      <c r="U3105" s="26">
        <v>7</v>
      </c>
      <c r="V3105" s="26">
        <v>1</v>
      </c>
      <c r="W3105" s="26"/>
    </row>
    <row r="3106" spans="1:23" x14ac:dyDescent="0.25">
      <c r="A3106" s="26" t="str">
        <f t="shared" si="609"/>
        <v>PREESCOLAR</v>
      </c>
      <c r="B3106" s="26" t="str">
        <f>"09PJN5851J"</f>
        <v>09PJN5851J</v>
      </c>
      <c r="C3106" s="26" t="str">
        <f>"ANDERS CELSIUS INSTITUTE S.C.                                                                       "</f>
        <v xml:space="preserve">ANDERS CELSIUS INSTITUTE S.C.                                                                       </v>
      </c>
      <c r="D3106" s="26" t="str">
        <f t="shared" si="603"/>
        <v>MATUTINO</v>
      </c>
      <c r="E3106" s="26" t="str">
        <f>"CIRCUNVALACION NO. 43                                                           "</f>
        <v xml:space="preserve">CIRCUNVALACION NO. 43                                                           </v>
      </c>
      <c r="F3106" s="26" t="str">
        <f>"ATLANTIDA                                                                                                                                   "</f>
        <v xml:space="preserve">ATLANTIDA                                                                                                                                   </v>
      </c>
      <c r="G3106" s="26" t="str">
        <f>"COYOACAN                                                                        "</f>
        <v xml:space="preserve">COYOACAN                                                                        </v>
      </c>
      <c r="H3106" s="26" t="str">
        <f>"043"</f>
        <v>043</v>
      </c>
      <c r="I3106" s="26" t="str">
        <f t="shared" si="610"/>
        <v>00</v>
      </c>
      <c r="J3106" s="26" t="str">
        <f>"35 "</f>
        <v xml:space="preserve">35 </v>
      </c>
      <c r="K3106" s="26" t="str">
        <f t="shared" si="613"/>
        <v>EP</v>
      </c>
      <c r="L3106" s="26" t="str">
        <f t="shared" si="614"/>
        <v>DGOSE</v>
      </c>
      <c r="M3106" s="26" t="str">
        <f t="shared" si="608"/>
        <v>PARTICULAR</v>
      </c>
      <c r="N3106" s="26">
        <v>22</v>
      </c>
      <c r="O3106" s="26">
        <v>13</v>
      </c>
      <c r="P3106" s="26">
        <v>9</v>
      </c>
      <c r="Q3106" s="26">
        <v>3</v>
      </c>
      <c r="R3106" s="26">
        <v>1</v>
      </c>
      <c r="S3106" s="26">
        <v>2</v>
      </c>
      <c r="T3106" s="26">
        <v>3</v>
      </c>
      <c r="U3106" s="26">
        <v>6</v>
      </c>
      <c r="V3106" s="26">
        <v>1</v>
      </c>
      <c r="W3106" s="26"/>
    </row>
    <row r="3107" spans="1:23" x14ac:dyDescent="0.25">
      <c r="A3107" s="26" t="str">
        <f t="shared" si="609"/>
        <v>PREESCOLAR</v>
      </c>
      <c r="B3107" s="26" t="str">
        <f>"09PJN5852I"</f>
        <v>09PJN5852I</v>
      </c>
      <c r="C3107" s="26" t="str">
        <f>"CENTRO PEDAGOGICO KARYMONY                                                                          "</f>
        <v xml:space="preserve">CENTRO PEDAGOGICO KARYMONY                                                                          </v>
      </c>
      <c r="D3107" s="26" t="str">
        <f t="shared" si="603"/>
        <v>MATUTINO</v>
      </c>
      <c r="E3107" s="26" t="str">
        <f>"JAVIER SORONDO NO. 319                                                          "</f>
        <v xml:space="preserve">JAVIER SORONDO NO. 319                                                          </v>
      </c>
      <c r="F3107" s="26" t="str">
        <f>"VILLA DE CORTES                                                                                                                             "</f>
        <v xml:space="preserve">VILLA DE CORTES                                                                                                                             </v>
      </c>
      <c r="G3107" s="26" t="str">
        <f>"BENITO JUAREZ                                                                   "</f>
        <v xml:space="preserve">BENITO JUAREZ                                                                   </v>
      </c>
      <c r="H3107" s="26" t="str">
        <f>"029"</f>
        <v>029</v>
      </c>
      <c r="I3107" s="26" t="str">
        <f t="shared" si="610"/>
        <v>00</v>
      </c>
      <c r="J3107" s="26" t="str">
        <f>"33 "</f>
        <v xml:space="preserve">33 </v>
      </c>
      <c r="K3107" s="26" t="str">
        <f t="shared" si="613"/>
        <v>EP</v>
      </c>
      <c r="L3107" s="26" t="str">
        <f t="shared" si="614"/>
        <v>DGOSE</v>
      </c>
      <c r="M3107" s="26" t="str">
        <f t="shared" si="608"/>
        <v>PARTICULAR</v>
      </c>
      <c r="N3107" s="26">
        <v>58</v>
      </c>
      <c r="O3107" s="26">
        <v>27</v>
      </c>
      <c r="P3107" s="26">
        <v>31</v>
      </c>
      <c r="Q3107" s="26">
        <v>3</v>
      </c>
      <c r="R3107" s="26">
        <v>1</v>
      </c>
      <c r="S3107" s="26">
        <v>3</v>
      </c>
      <c r="T3107" s="26">
        <v>2</v>
      </c>
      <c r="U3107" s="26">
        <v>6</v>
      </c>
      <c r="V3107" s="26">
        <v>1</v>
      </c>
      <c r="W3107" s="26"/>
    </row>
    <row r="3108" spans="1:23" x14ac:dyDescent="0.25">
      <c r="A3108" s="26" t="str">
        <f t="shared" si="609"/>
        <v>PREESCOLAR</v>
      </c>
      <c r="B3108" s="26" t="str">
        <f>"09PJN5853H"</f>
        <v>09PJN5853H</v>
      </c>
      <c r="C3108" s="26" t="str">
        <f>"KINROS                                                                                              "</f>
        <v xml:space="preserve">KINROS                                                                                              </v>
      </c>
      <c r="D3108" s="26" t="str">
        <f t="shared" si="603"/>
        <v>MATUTINO</v>
      </c>
      <c r="E3108" s="26" t="s">
        <v>129</v>
      </c>
      <c r="F3108" s="26" t="str">
        <f>"LOMAS DE SANTA FE                                                                                                                           "</f>
        <v xml:space="preserve">LOMAS DE SANTA FE                                                                                                                           </v>
      </c>
      <c r="G3108" s="26" t="str">
        <f>"ALVARO OBREGON                                                                  "</f>
        <v xml:space="preserve">ALVARO OBREGON                                                                  </v>
      </c>
      <c r="H3108" s="26" t="str">
        <f>"166"</f>
        <v>166</v>
      </c>
      <c r="I3108" s="26" t="str">
        <f t="shared" si="610"/>
        <v>00</v>
      </c>
      <c r="J3108" s="26" t="str">
        <f>"33 "</f>
        <v xml:space="preserve">33 </v>
      </c>
      <c r="K3108" s="26" t="str">
        <f t="shared" si="613"/>
        <v>EP</v>
      </c>
      <c r="L3108" s="26" t="str">
        <f t="shared" si="614"/>
        <v>DGOSE</v>
      </c>
      <c r="M3108" s="26" t="str">
        <f t="shared" si="608"/>
        <v>PARTICULAR</v>
      </c>
      <c r="N3108" s="26">
        <v>59</v>
      </c>
      <c r="O3108" s="26">
        <v>34</v>
      </c>
      <c r="P3108" s="26">
        <v>25</v>
      </c>
      <c r="Q3108" s="26">
        <v>4</v>
      </c>
      <c r="R3108" s="26">
        <v>1</v>
      </c>
      <c r="S3108" s="26">
        <v>4</v>
      </c>
      <c r="T3108" s="26">
        <v>10</v>
      </c>
      <c r="U3108" s="26">
        <v>15</v>
      </c>
      <c r="V3108" s="26">
        <v>1</v>
      </c>
      <c r="W3108" s="26"/>
    </row>
    <row r="3109" spans="1:23" x14ac:dyDescent="0.25">
      <c r="A3109" s="26" t="str">
        <f t="shared" si="609"/>
        <v>PREESCOLAR</v>
      </c>
      <c r="B3109" s="26" t="str">
        <f>"09PJN5854G"</f>
        <v>09PJN5854G</v>
      </c>
      <c r="C3109" s="26" t="str">
        <f>"CHIQUIBEAT S.C.                                                                                     "</f>
        <v xml:space="preserve">CHIQUIBEAT S.C.                                                                                     </v>
      </c>
      <c r="D3109" s="26" t="str">
        <f t="shared" si="603"/>
        <v>MATUTINO</v>
      </c>
      <c r="E3109" s="26" t="str">
        <f>"CALZADA DE LAS AGUILAS NO. 1680                                                 "</f>
        <v xml:space="preserve">CALZADA DE LAS AGUILAS NO. 1680                                                 </v>
      </c>
      <c r="F3109" s="26" t="str">
        <f>"LOMAS DE GUADALUPE FRACCIONAMIENTO                                                                                                          "</f>
        <v xml:space="preserve">LOMAS DE GUADALUPE FRACCIONAMIENTO                                                                                                          </v>
      </c>
      <c r="G3109" s="26" t="str">
        <f>"ALVARO OBREGON                                                                  "</f>
        <v xml:space="preserve">ALVARO OBREGON                                                                  </v>
      </c>
      <c r="H3109" s="26" t="str">
        <f>"215"</f>
        <v>215</v>
      </c>
      <c r="I3109" s="26" t="str">
        <f t="shared" si="610"/>
        <v>00</v>
      </c>
      <c r="J3109" s="26" t="str">
        <f>"33 "</f>
        <v xml:space="preserve">33 </v>
      </c>
      <c r="K3109" s="26" t="str">
        <f t="shared" si="613"/>
        <v>EP</v>
      </c>
      <c r="L3109" s="26" t="str">
        <f t="shared" si="614"/>
        <v>DGOSE</v>
      </c>
      <c r="M3109" s="26" t="str">
        <f t="shared" si="608"/>
        <v>PARTICULAR</v>
      </c>
      <c r="N3109" s="26">
        <v>32</v>
      </c>
      <c r="O3109" s="26">
        <v>13</v>
      </c>
      <c r="P3109" s="26">
        <v>19</v>
      </c>
      <c r="Q3109" s="26">
        <v>3</v>
      </c>
      <c r="R3109" s="26">
        <v>1</v>
      </c>
      <c r="S3109" s="26">
        <v>2</v>
      </c>
      <c r="T3109" s="26">
        <v>4</v>
      </c>
      <c r="U3109" s="26">
        <v>7</v>
      </c>
      <c r="V3109" s="26">
        <v>1</v>
      </c>
      <c r="W3109" s="26"/>
    </row>
    <row r="3110" spans="1:23" x14ac:dyDescent="0.25">
      <c r="A3110" s="26" t="str">
        <f t="shared" si="609"/>
        <v>PREESCOLAR</v>
      </c>
      <c r="B3110" s="26" t="str">
        <f>"09PJN5855F"</f>
        <v>09PJN5855F</v>
      </c>
      <c r="C3110" s="26" t="str">
        <f>"CENTRO PEDAGOGICO NUEVO MILENIO                                                                     "</f>
        <v xml:space="preserve">CENTRO PEDAGOGICO NUEVO MILENIO                                                                     </v>
      </c>
      <c r="D3110" s="26" t="str">
        <f t="shared" si="603"/>
        <v>MATUTINO</v>
      </c>
      <c r="E3110" s="26" t="str">
        <f>"ORION NO. 108                                                                   "</f>
        <v xml:space="preserve">ORION NO. 108                                                                   </v>
      </c>
      <c r="F3110" s="26" t="str">
        <f>"PRADO CHURUBUSCO                                                                                                                            "</f>
        <v xml:space="preserve">PRADO CHURUBUSCO                                                                                                                            </v>
      </c>
      <c r="G3110" s="26" t="str">
        <f>"COYOACAN                                                                        "</f>
        <v xml:space="preserve">COYOACAN                                                                        </v>
      </c>
      <c r="H3110" s="26" t="str">
        <f>"156"</f>
        <v>156</v>
      </c>
      <c r="I3110" s="26" t="str">
        <f t="shared" si="610"/>
        <v>00</v>
      </c>
      <c r="J3110" s="26" t="str">
        <f>"35 "</f>
        <v xml:space="preserve">35 </v>
      </c>
      <c r="K3110" s="26" t="str">
        <f t="shared" si="613"/>
        <v>EP</v>
      </c>
      <c r="L3110" s="26" t="str">
        <f t="shared" si="614"/>
        <v>DGOSE</v>
      </c>
      <c r="M3110" s="26" t="str">
        <f t="shared" si="608"/>
        <v>PARTICULAR</v>
      </c>
      <c r="N3110" s="26">
        <v>6</v>
      </c>
      <c r="O3110" s="26">
        <v>3</v>
      </c>
      <c r="P3110" s="26">
        <v>3</v>
      </c>
      <c r="Q3110" s="26">
        <v>3</v>
      </c>
      <c r="R3110" s="26">
        <v>1</v>
      </c>
      <c r="S3110" s="26">
        <v>2</v>
      </c>
      <c r="T3110" s="26">
        <v>1</v>
      </c>
      <c r="U3110" s="26">
        <v>4</v>
      </c>
      <c r="V3110" s="26">
        <v>1</v>
      </c>
      <c r="W3110" s="26"/>
    </row>
    <row r="3111" spans="1:23" x14ac:dyDescent="0.25">
      <c r="A3111" s="26" t="str">
        <f t="shared" si="609"/>
        <v>PREESCOLAR</v>
      </c>
      <c r="B3111" s="26" t="str">
        <f>"09PJN5856E"</f>
        <v>09PJN5856E</v>
      </c>
      <c r="C3111" s="26" t="str">
        <f>"CENTRO DE APRENDIZAJE INFANTIL EDUKIDS                                                              "</f>
        <v xml:space="preserve">CENTRO DE APRENDIZAJE INFANTIL EDUKIDS                                                              </v>
      </c>
      <c r="D3111" s="26" t="str">
        <f t="shared" si="603"/>
        <v>MATUTINO</v>
      </c>
      <c r="E3111" s="26" t="str">
        <f>"PROLONGACION AV. MEXICO NO. 41                                                  "</f>
        <v xml:space="preserve">PROLONGACION AV. MEXICO NO. 41                                                  </v>
      </c>
      <c r="F3111" s="26" t="str">
        <f>"CUAJIMALPA                                                                                                                                  "</f>
        <v xml:space="preserve">CUAJIMALPA                                                                                                                                  </v>
      </c>
      <c r="G3111" s="26" t="str">
        <f>"CUAJIMALPA DE MORELOS                                                           "</f>
        <v xml:space="preserve">CUAJIMALPA DE MORELOS                                                           </v>
      </c>
      <c r="H3111" s="26" t="str">
        <f>"151"</f>
        <v>151</v>
      </c>
      <c r="I3111" s="26" t="str">
        <f t="shared" si="610"/>
        <v>00</v>
      </c>
      <c r="J3111" s="26" t="str">
        <f>"33 "</f>
        <v xml:space="preserve">33 </v>
      </c>
      <c r="K3111" s="26" t="str">
        <f t="shared" si="613"/>
        <v>EP</v>
      </c>
      <c r="L3111" s="26" t="str">
        <f t="shared" si="614"/>
        <v>DGOSE</v>
      </c>
      <c r="M3111" s="26" t="str">
        <f t="shared" si="608"/>
        <v>PARTICULAR</v>
      </c>
      <c r="N3111" s="26">
        <v>19</v>
      </c>
      <c r="O3111" s="26">
        <v>10</v>
      </c>
      <c r="P3111" s="26">
        <v>9</v>
      </c>
      <c r="Q3111" s="26">
        <v>3</v>
      </c>
      <c r="R3111" s="26">
        <v>1</v>
      </c>
      <c r="S3111" s="26">
        <v>2</v>
      </c>
      <c r="T3111" s="26">
        <v>3</v>
      </c>
      <c r="U3111" s="26">
        <v>6</v>
      </c>
      <c r="V3111" s="26">
        <v>1</v>
      </c>
      <c r="W3111" s="26"/>
    </row>
    <row r="3112" spans="1:23" x14ac:dyDescent="0.25">
      <c r="A3112" s="26" t="str">
        <f t="shared" si="609"/>
        <v>PREESCOLAR</v>
      </c>
      <c r="B3112" s="26" t="str">
        <f>"09PJN5857D"</f>
        <v>09PJN5857D</v>
      </c>
      <c r="C3112" s="26" t="str">
        <f>"COLEGIO BUNJIL                                                                                      "</f>
        <v xml:space="preserve">COLEGIO BUNJIL                                                                                      </v>
      </c>
      <c r="D3112" s="26" t="str">
        <f t="shared" si="603"/>
        <v>MATUTINO</v>
      </c>
      <c r="E3112" s="26" t="str">
        <f>"MAR DE LOS VAPORES NO. 110                                                      "</f>
        <v xml:space="preserve">MAR DE LOS VAPORES NO. 110                                                      </v>
      </c>
      <c r="F3112" s="26" t="str">
        <f>"SELENE AMPLIACION                                                                                                                           "</f>
        <v xml:space="preserve">SELENE AMPLIACION                                                                                                                           </v>
      </c>
      <c r="G3112" s="26" t="str">
        <f>"TLAHUAC                                                                         "</f>
        <v xml:space="preserve">TLAHUAC                                                                         </v>
      </c>
      <c r="H3112" s="26" t="str">
        <f>"223"</f>
        <v>223</v>
      </c>
      <c r="I3112" s="26" t="str">
        <f t="shared" si="610"/>
        <v>00</v>
      </c>
      <c r="J3112" s="26" t="str">
        <f>"35 "</f>
        <v xml:space="preserve">35 </v>
      </c>
      <c r="K3112" s="26" t="str">
        <f t="shared" si="613"/>
        <v>EP</v>
      </c>
      <c r="L3112" s="26" t="str">
        <f t="shared" si="614"/>
        <v>DGOSE</v>
      </c>
      <c r="M3112" s="26" t="str">
        <f t="shared" si="608"/>
        <v>PARTICULAR</v>
      </c>
      <c r="N3112" s="26">
        <v>77</v>
      </c>
      <c r="O3112" s="26">
        <v>37</v>
      </c>
      <c r="P3112" s="26">
        <v>40</v>
      </c>
      <c r="Q3112" s="26">
        <v>3</v>
      </c>
      <c r="R3112" s="26">
        <v>1</v>
      </c>
      <c r="S3112" s="26">
        <v>3</v>
      </c>
      <c r="T3112" s="26">
        <v>3</v>
      </c>
      <c r="U3112" s="26">
        <v>7</v>
      </c>
      <c r="V3112" s="26">
        <v>1</v>
      </c>
      <c r="W3112" s="26"/>
    </row>
    <row r="3113" spans="1:23" x14ac:dyDescent="0.25">
      <c r="A3113" s="26" t="str">
        <f t="shared" si="609"/>
        <v>PREESCOLAR</v>
      </c>
      <c r="B3113" s="26" t="str">
        <f>"09PJN5859B"</f>
        <v>09PJN5859B</v>
      </c>
      <c r="C3113" s="26" t="str">
        <f>"COLEGIO JORGE IBARGÜENGOITIA                                                                        "</f>
        <v xml:space="preserve">COLEGIO JORGE IBARGÜENGOITIA                                                                        </v>
      </c>
      <c r="D3113" s="26" t="str">
        <f t="shared" si="603"/>
        <v>MATUTINO</v>
      </c>
      <c r="E3113" s="26" t="str">
        <f>"DON CARLO MZA.17 LT.14                                                          "</f>
        <v xml:space="preserve">DON CARLO MZA.17 LT.14                                                          </v>
      </c>
      <c r="F3113" s="26" t="str">
        <f>"AGRICOLA METROPOLITANA                                                                                                                      "</f>
        <v xml:space="preserve">AGRICOLA METROPOLITANA                                                                                                                      </v>
      </c>
      <c r="G3113" s="26" t="str">
        <f>"TLAHUAC                                                                         "</f>
        <v xml:space="preserve">TLAHUAC                                                                         </v>
      </c>
      <c r="H3113" s="26" t="str">
        <f>"244"</f>
        <v>244</v>
      </c>
      <c r="I3113" s="26" t="str">
        <f t="shared" si="610"/>
        <v>00</v>
      </c>
      <c r="J3113" s="26" t="str">
        <f>"35 "</f>
        <v xml:space="preserve">35 </v>
      </c>
      <c r="K3113" s="26" t="str">
        <f t="shared" si="613"/>
        <v>EP</v>
      </c>
      <c r="L3113" s="26" t="str">
        <f t="shared" si="614"/>
        <v>DGOSE</v>
      </c>
      <c r="M3113" s="26" t="str">
        <f t="shared" si="608"/>
        <v>PARTICULAR</v>
      </c>
      <c r="N3113" s="26">
        <v>16</v>
      </c>
      <c r="O3113" s="26">
        <v>9</v>
      </c>
      <c r="P3113" s="26">
        <v>7</v>
      </c>
      <c r="Q3113" s="26">
        <v>3</v>
      </c>
      <c r="R3113" s="26">
        <v>1</v>
      </c>
      <c r="S3113" s="26">
        <v>3</v>
      </c>
      <c r="T3113" s="26">
        <v>1</v>
      </c>
      <c r="U3113" s="26">
        <v>5</v>
      </c>
      <c r="V3113" s="26">
        <v>1</v>
      </c>
      <c r="W3113" s="26"/>
    </row>
    <row r="3114" spans="1:23" x14ac:dyDescent="0.25">
      <c r="A3114" s="26" t="str">
        <f t="shared" si="609"/>
        <v>PREESCOLAR</v>
      </c>
      <c r="B3114" s="26" t="str">
        <f>"09PJN5862P"</f>
        <v>09PJN5862P</v>
      </c>
      <c r="C3114" s="26" t="str">
        <f>"CENTRO DE DESARROLLO INFANTIL TREBOLITO FELIZ                                                       "</f>
        <v xml:space="preserve">CENTRO DE DESARROLLO INFANTIL TREBOLITO FELIZ                                                       </v>
      </c>
      <c r="D3114" s="26" t="str">
        <f t="shared" si="603"/>
        <v>MATUTINO</v>
      </c>
      <c r="E3114" s="26" t="str">
        <f>"PLAN DE SAN LUIS NO. 628 LOCAL ""A""                                              "</f>
        <v xml:space="preserve">PLAN DE SAN LUIS NO. 628 LOCAL "A"                                              </v>
      </c>
      <c r="F3114" s="26" t="str">
        <f>"NUEVA SANTA MARIA                                                                                                                           "</f>
        <v xml:space="preserve">NUEVA SANTA MARIA                                                                                                                           </v>
      </c>
      <c r="G3114" s="26" t="str">
        <f>"AZCAPOTZALCO                                                                    "</f>
        <v xml:space="preserve">AZCAPOTZALCO                                                                    </v>
      </c>
      <c r="H3114" s="26" t="str">
        <f>"190"</f>
        <v>190</v>
      </c>
      <c r="I3114" s="26" t="str">
        <f t="shared" si="610"/>
        <v>00</v>
      </c>
      <c r="J3114" s="26" t="str">
        <f>"32 "</f>
        <v xml:space="preserve">32 </v>
      </c>
      <c r="K3114" s="26" t="str">
        <f t="shared" si="613"/>
        <v>EP</v>
      </c>
      <c r="L3114" s="26" t="str">
        <f t="shared" si="614"/>
        <v>DGOSE</v>
      </c>
      <c r="M3114" s="26" t="str">
        <f t="shared" si="608"/>
        <v>PARTICULAR</v>
      </c>
      <c r="N3114" s="26">
        <v>21</v>
      </c>
      <c r="O3114" s="26">
        <v>8</v>
      </c>
      <c r="P3114" s="26">
        <v>13</v>
      </c>
      <c r="Q3114" s="26">
        <v>2</v>
      </c>
      <c r="R3114" s="26">
        <v>1</v>
      </c>
      <c r="S3114" s="26">
        <v>2</v>
      </c>
      <c r="T3114" s="26">
        <v>5</v>
      </c>
      <c r="U3114" s="26">
        <v>8</v>
      </c>
      <c r="V3114" s="26">
        <v>1</v>
      </c>
      <c r="W3114" s="26"/>
    </row>
    <row r="3115" spans="1:23" x14ac:dyDescent="0.25">
      <c r="A3115" s="26" t="str">
        <f t="shared" si="609"/>
        <v>PREESCOLAR</v>
      </c>
      <c r="B3115" s="26" t="str">
        <f>"09PJN5863O"</f>
        <v>09PJN5863O</v>
      </c>
      <c r="C3115" s="26" t="str">
        <f>"CENTRO EDUCATIVO AGAZZI                                                                             "</f>
        <v xml:space="preserve">CENTRO EDUCATIVO AGAZZI                                                                             </v>
      </c>
      <c r="D3115" s="26" t="str">
        <f t="shared" si="603"/>
        <v>MATUTINO</v>
      </c>
      <c r="E3115" s="26" t="str">
        <f>"ORIENTE 217 NO.258                                                              "</f>
        <v xml:space="preserve">ORIENTE 217 NO.258                                                              </v>
      </c>
      <c r="F3115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3115" s="26" t="str">
        <f>"IZTACALCO                                                                       "</f>
        <v xml:space="preserve">IZTACALCO                                                                       </v>
      </c>
      <c r="H3115" s="26" t="str">
        <f>"143"</f>
        <v>143</v>
      </c>
      <c r="I3115" s="26" t="str">
        <f t="shared" si="610"/>
        <v>00</v>
      </c>
      <c r="J3115" s="26" t="str">
        <f>"33 "</f>
        <v xml:space="preserve">33 </v>
      </c>
      <c r="K3115" s="26" t="str">
        <f t="shared" si="613"/>
        <v>EP</v>
      </c>
      <c r="L3115" s="26" t="str">
        <f t="shared" si="614"/>
        <v>DGOSE</v>
      </c>
      <c r="M3115" s="26" t="str">
        <f t="shared" si="608"/>
        <v>PARTICULAR</v>
      </c>
      <c r="N3115" s="26">
        <v>9</v>
      </c>
      <c r="O3115" s="26">
        <v>3</v>
      </c>
      <c r="P3115" s="26">
        <v>6</v>
      </c>
      <c r="Q3115" s="26">
        <v>3</v>
      </c>
      <c r="R3115" s="26">
        <v>1</v>
      </c>
      <c r="S3115" s="26">
        <v>3</v>
      </c>
      <c r="T3115" s="26">
        <v>1</v>
      </c>
      <c r="U3115" s="26">
        <v>5</v>
      </c>
      <c r="V3115" s="26">
        <v>1</v>
      </c>
      <c r="W3115" s="26"/>
    </row>
    <row r="3116" spans="1:23" x14ac:dyDescent="0.25">
      <c r="A3116" s="26" t="str">
        <f t="shared" si="609"/>
        <v>PREESCOLAR</v>
      </c>
      <c r="B3116" s="26" t="str">
        <f>"09PJN5864N"</f>
        <v>09PJN5864N</v>
      </c>
      <c r="C3116" s="26" t="str">
        <f>"CENTRO EDUCATIVO AGUILAR                                                                            "</f>
        <v xml:space="preserve">CENTRO EDUCATIVO AGUILAR                                                                            </v>
      </c>
      <c r="D3116" s="26" t="str">
        <f t="shared" ref="D3116:D3140" si="615">"MATUTINO"</f>
        <v>MATUTINO</v>
      </c>
      <c r="E3116" s="26" t="str">
        <f>"CDA. LAGO SAN PEDRO NO.92                                                       "</f>
        <v xml:space="preserve">CDA. LAGO SAN PEDRO NO.92                                                       </v>
      </c>
      <c r="F3116" s="26" t="str">
        <f>"5 DE MAYO                                                                                                                                   "</f>
        <v xml:space="preserve">5 DE MAYO                                                                                                                                   </v>
      </c>
      <c r="G3116" s="26" t="str">
        <f>"MIGUEL HIDALGO                                                                  "</f>
        <v xml:space="preserve">MIGUEL HIDALGO                                                                  </v>
      </c>
      <c r="H3116" s="26" t="str">
        <f>"075"</f>
        <v>075</v>
      </c>
      <c r="I3116" s="26" t="str">
        <f t="shared" si="610"/>
        <v>00</v>
      </c>
      <c r="J3116" s="26" t="str">
        <f>"32 "</f>
        <v xml:space="preserve">32 </v>
      </c>
      <c r="K3116" s="26" t="str">
        <f t="shared" si="613"/>
        <v>EP</v>
      </c>
      <c r="L3116" s="26" t="str">
        <f t="shared" si="614"/>
        <v>DGOSE</v>
      </c>
      <c r="M3116" s="26" t="str">
        <f t="shared" si="608"/>
        <v>PARTICULAR</v>
      </c>
      <c r="N3116" s="26">
        <v>28</v>
      </c>
      <c r="O3116" s="26">
        <v>15</v>
      </c>
      <c r="P3116" s="26">
        <v>13</v>
      </c>
      <c r="Q3116" s="26">
        <v>3</v>
      </c>
      <c r="R3116" s="26">
        <v>1</v>
      </c>
      <c r="S3116" s="26">
        <v>3</v>
      </c>
      <c r="T3116" s="26">
        <v>2</v>
      </c>
      <c r="U3116" s="26">
        <v>6</v>
      </c>
      <c r="V3116" s="26">
        <v>1</v>
      </c>
      <c r="W3116" s="26"/>
    </row>
    <row r="3117" spans="1:23" x14ac:dyDescent="0.25">
      <c r="A3117" s="26" t="str">
        <f t="shared" si="609"/>
        <v>PREESCOLAR</v>
      </c>
      <c r="B3117" s="26" t="str">
        <f>"09PJN5865M"</f>
        <v>09PJN5865M</v>
      </c>
      <c r="C3117" s="26" t="str">
        <f>"BABY LAND                                                                                           "</f>
        <v xml:space="preserve">BABY LAND                                                                                           </v>
      </c>
      <c r="D3117" s="26" t="str">
        <f t="shared" si="615"/>
        <v>MATUTINO</v>
      </c>
      <c r="E3117" s="26" t="str">
        <f>"ZEMPOALA NO. 527                                                                "</f>
        <v xml:space="preserve">ZEMPOALA NO. 527                                                                </v>
      </c>
      <c r="F3117" s="26" t="str">
        <f>"LETRAN VALLE                                                                                                                                "</f>
        <v xml:space="preserve">LETRAN VALLE                                                                                                                                </v>
      </c>
      <c r="G3117" s="26" t="str">
        <f>"BENITO JUAREZ                                                                   "</f>
        <v xml:space="preserve">BENITO JUAREZ                                                                   </v>
      </c>
      <c r="H3117" s="26" t="str">
        <f>"230"</f>
        <v>230</v>
      </c>
      <c r="I3117" s="26" t="str">
        <f t="shared" si="610"/>
        <v>00</v>
      </c>
      <c r="J3117" s="26" t="str">
        <f>"33 "</f>
        <v xml:space="preserve">33 </v>
      </c>
      <c r="K3117" s="26" t="str">
        <f t="shared" si="613"/>
        <v>EP</v>
      </c>
      <c r="L3117" s="26" t="str">
        <f t="shared" si="614"/>
        <v>DGOSE</v>
      </c>
      <c r="M3117" s="26" t="str">
        <f t="shared" si="608"/>
        <v>PARTICULAR</v>
      </c>
      <c r="N3117" s="26">
        <v>22</v>
      </c>
      <c r="O3117" s="26">
        <v>11</v>
      </c>
      <c r="P3117" s="26">
        <v>11</v>
      </c>
      <c r="Q3117" s="26">
        <v>3</v>
      </c>
      <c r="R3117" s="26">
        <v>1</v>
      </c>
      <c r="S3117" s="26">
        <v>3</v>
      </c>
      <c r="T3117" s="26">
        <v>1</v>
      </c>
      <c r="U3117" s="26">
        <v>5</v>
      </c>
      <c r="V3117" s="26">
        <v>1</v>
      </c>
      <c r="W3117" s="26"/>
    </row>
    <row r="3118" spans="1:23" x14ac:dyDescent="0.25">
      <c r="A3118" s="26" t="str">
        <f t="shared" si="609"/>
        <v>PREESCOLAR</v>
      </c>
      <c r="B3118" s="26" t="str">
        <f>"09PJN5866L"</f>
        <v>09PJN5866L</v>
      </c>
      <c r="C3118" s="26" t="str">
        <f>"BRADFORD                                                                                            "</f>
        <v xml:space="preserve">BRADFORD                                                                                            </v>
      </c>
      <c r="D3118" s="26" t="str">
        <f t="shared" si="615"/>
        <v>MATUTINO</v>
      </c>
      <c r="E3118" s="26" t="str">
        <f>"CAÑONEROS DE GUANAJUATO NO. 16                                                  "</f>
        <v xml:space="preserve">CAÑONEROS DE GUANAJUATO NO. 16                                                  </v>
      </c>
      <c r="F3118" s="26" t="str">
        <f>"LOMAS DE CHAMIZAL                                                                                                                           "</f>
        <v xml:space="preserve">LOMAS DE CHAMIZAL                                                                                                                           </v>
      </c>
      <c r="G3118" s="26" t="str">
        <f>"CUAJIMALPA DE MORELOS                                                           "</f>
        <v xml:space="preserve">CUAJIMALPA DE MORELOS                                                           </v>
      </c>
      <c r="H3118" s="26" t="str">
        <f>"089"</f>
        <v>089</v>
      </c>
      <c r="I3118" s="26" t="str">
        <f t="shared" si="610"/>
        <v>00</v>
      </c>
      <c r="J3118" s="26" t="str">
        <f>"33 "</f>
        <v xml:space="preserve">33 </v>
      </c>
      <c r="K3118" s="26" t="str">
        <f t="shared" si="613"/>
        <v>EP</v>
      </c>
      <c r="L3118" s="26" t="str">
        <f t="shared" si="614"/>
        <v>DGOSE</v>
      </c>
      <c r="M3118" s="26" t="str">
        <f t="shared" si="608"/>
        <v>PARTICULAR</v>
      </c>
      <c r="N3118" s="26">
        <v>10</v>
      </c>
      <c r="O3118" s="26">
        <v>0</v>
      </c>
      <c r="P3118" s="26">
        <v>10</v>
      </c>
      <c r="Q3118" s="26">
        <v>3</v>
      </c>
      <c r="R3118" s="26">
        <v>1</v>
      </c>
      <c r="S3118" s="26">
        <v>1</v>
      </c>
      <c r="T3118" s="26">
        <v>1</v>
      </c>
      <c r="U3118" s="26">
        <v>3</v>
      </c>
      <c r="V3118" s="26">
        <v>1</v>
      </c>
      <c r="W3118" s="26"/>
    </row>
    <row r="3119" spans="1:23" x14ac:dyDescent="0.25">
      <c r="A3119" s="26" t="str">
        <f t="shared" si="609"/>
        <v>PREESCOLAR</v>
      </c>
      <c r="B3119" s="26" t="str">
        <f>"09PJN5867K"</f>
        <v>09PJN5867K</v>
      </c>
      <c r="C3119" s="26" t="str">
        <f>"MANANTIAL DE COLORES                                                                                "</f>
        <v xml:space="preserve">MANANTIAL DE COLORES                                                                                </v>
      </c>
      <c r="D3119" s="26" t="str">
        <f t="shared" si="615"/>
        <v>MATUTINO</v>
      </c>
      <c r="E3119" s="26" t="str">
        <f>"AV. DE LA LUZ NO. 5-B                                                           "</f>
        <v xml:space="preserve">AV. DE LA LUZ NO. 5-B                                                           </v>
      </c>
      <c r="F3119" s="26" t="str">
        <f>"SAN SIMON TICUMAC                                                                                                                           "</f>
        <v xml:space="preserve">SAN SIMON TICUMAC                                                                                                                           </v>
      </c>
      <c r="G3119" s="26" t="str">
        <f>"BENITO JUAREZ                                                                   "</f>
        <v xml:space="preserve">BENITO JUAREZ                                                                   </v>
      </c>
      <c r="H3119" s="26" t="str">
        <f>"090"</f>
        <v>090</v>
      </c>
      <c r="I3119" s="26" t="str">
        <f t="shared" si="610"/>
        <v>00</v>
      </c>
      <c r="J3119" s="26" t="str">
        <f>"33 "</f>
        <v xml:space="preserve">33 </v>
      </c>
      <c r="K3119" s="26" t="str">
        <f t="shared" si="613"/>
        <v>EP</v>
      </c>
      <c r="L3119" s="26" t="str">
        <f t="shared" si="614"/>
        <v>DGOSE</v>
      </c>
      <c r="M3119" s="26" t="str">
        <f t="shared" si="608"/>
        <v>PARTICULAR</v>
      </c>
      <c r="N3119" s="26">
        <v>6</v>
      </c>
      <c r="O3119" s="26">
        <v>2</v>
      </c>
      <c r="P3119" s="26">
        <v>4</v>
      </c>
      <c r="Q3119" s="26">
        <v>2</v>
      </c>
      <c r="R3119" s="26">
        <v>1</v>
      </c>
      <c r="S3119" s="26">
        <v>1</v>
      </c>
      <c r="T3119" s="26">
        <v>1</v>
      </c>
      <c r="U3119" s="26">
        <v>3</v>
      </c>
      <c r="V3119" s="26">
        <v>1</v>
      </c>
      <c r="W3119" s="26"/>
    </row>
    <row r="3120" spans="1:23" x14ac:dyDescent="0.25">
      <c r="A3120" s="26" t="str">
        <f t="shared" si="609"/>
        <v>PREESCOLAR</v>
      </c>
      <c r="B3120" s="26" t="str">
        <f>"09PJN5868J"</f>
        <v>09PJN5868J</v>
      </c>
      <c r="C3120" s="26" t="str">
        <f>"VILLA INFANTIL MARIA ISABEL                                                                         "</f>
        <v xml:space="preserve">VILLA INFANTIL MARIA ISABEL                                                                         </v>
      </c>
      <c r="D3120" s="26" t="str">
        <f t="shared" si="615"/>
        <v>MATUTINO</v>
      </c>
      <c r="E3120" s="26" t="str">
        <f>"MORELOS MARTINEZ NO. 7 BIS                                                      "</f>
        <v xml:space="preserve">MORELOS MARTINEZ NO. 7 BIS                                                      </v>
      </c>
      <c r="F3120" s="26" t="str">
        <f>"SANTA FE                                                                                                                                    "</f>
        <v xml:space="preserve">SANTA FE                                                                                                                                    </v>
      </c>
      <c r="G3120" s="26" t="str">
        <f>"ALVARO OBREGON                                                                  "</f>
        <v xml:space="preserve">ALVARO OBREGON                                                                  </v>
      </c>
      <c r="H3120" s="26" t="str">
        <f>"166"</f>
        <v>166</v>
      </c>
      <c r="I3120" s="26" t="str">
        <f t="shared" si="610"/>
        <v>00</v>
      </c>
      <c r="J3120" s="26" t="str">
        <f>"33 "</f>
        <v xml:space="preserve">33 </v>
      </c>
      <c r="K3120" s="26" t="str">
        <f t="shared" si="613"/>
        <v>EP</v>
      </c>
      <c r="L3120" s="26" t="str">
        <f t="shared" si="614"/>
        <v>DGOSE</v>
      </c>
      <c r="M3120" s="26" t="str">
        <f t="shared" si="608"/>
        <v>PARTICULAR</v>
      </c>
      <c r="N3120" s="26">
        <v>20</v>
      </c>
      <c r="O3120" s="26">
        <v>12</v>
      </c>
      <c r="P3120" s="26">
        <v>8</v>
      </c>
      <c r="Q3120" s="26">
        <v>3</v>
      </c>
      <c r="R3120" s="26">
        <v>1</v>
      </c>
      <c r="S3120" s="26">
        <v>3</v>
      </c>
      <c r="T3120" s="26">
        <v>1</v>
      </c>
      <c r="U3120" s="26">
        <v>5</v>
      </c>
      <c r="V3120" s="26">
        <v>1</v>
      </c>
      <c r="W3120" s="26"/>
    </row>
    <row r="3121" spans="1:23" x14ac:dyDescent="0.25">
      <c r="A3121" s="26" t="str">
        <f t="shared" si="609"/>
        <v>PREESCOLAR</v>
      </c>
      <c r="B3121" s="26" t="str">
        <f>"09PJN5869I"</f>
        <v>09PJN5869I</v>
      </c>
      <c r="C3121" s="26" t="str">
        <f>"COLEGIO EUROPEO DE MEXICO ROBERT SCHUMAN KINDERGARDEN                                               "</f>
        <v xml:space="preserve">COLEGIO EUROPEO DE MEXICO ROBERT SCHUMAN KINDERGARDEN                                               </v>
      </c>
      <c r="D3121" s="26" t="str">
        <f t="shared" si="615"/>
        <v>MATUTINO</v>
      </c>
      <c r="E3121" s="26" t="str">
        <f>"ACCESO AL PANTEON MILITAR NO. 15                                                "</f>
        <v xml:space="preserve">ACCESO AL PANTEON MILITAR NO. 15                                                </v>
      </c>
      <c r="F3121" s="26" t="str">
        <f>"NUEVO RENACIMIENTO AXALCO                                                                                                                   "</f>
        <v xml:space="preserve">NUEVO RENACIMIENTO AXALCO                                                                                                                   </v>
      </c>
      <c r="G3121" s="26" t="str">
        <f>"TLALPAN                                                                         "</f>
        <v xml:space="preserve">TLALPAN                                                                         </v>
      </c>
      <c r="H3121" s="26" t="str">
        <f>"132"</f>
        <v>132</v>
      </c>
      <c r="I3121" s="26" t="str">
        <f t="shared" si="610"/>
        <v>00</v>
      </c>
      <c r="J3121" s="26" t="str">
        <f>"35 "</f>
        <v xml:space="preserve">35 </v>
      </c>
      <c r="K3121" s="26" t="str">
        <f t="shared" si="613"/>
        <v>EP</v>
      </c>
      <c r="L3121" s="26" t="str">
        <f t="shared" si="614"/>
        <v>DGOSE</v>
      </c>
      <c r="M3121" s="26" t="str">
        <f t="shared" si="608"/>
        <v>PARTICULAR</v>
      </c>
      <c r="N3121" s="26">
        <v>52</v>
      </c>
      <c r="O3121" s="26">
        <v>25</v>
      </c>
      <c r="P3121" s="26">
        <v>27</v>
      </c>
      <c r="Q3121" s="26">
        <v>4</v>
      </c>
      <c r="R3121" s="26">
        <v>1</v>
      </c>
      <c r="S3121" s="26">
        <v>4</v>
      </c>
      <c r="T3121" s="26">
        <v>6</v>
      </c>
      <c r="U3121" s="26">
        <v>11</v>
      </c>
      <c r="V3121" s="26">
        <v>1</v>
      </c>
      <c r="W3121" s="26"/>
    </row>
    <row r="3122" spans="1:23" x14ac:dyDescent="0.25">
      <c r="A3122" s="26" t="str">
        <f t="shared" si="609"/>
        <v>PREESCOLAR</v>
      </c>
      <c r="B3122" s="26" t="str">
        <f>"09PJN5870Y"</f>
        <v>09PJN5870Y</v>
      </c>
      <c r="C3122" s="26" t="str">
        <f>"CENTRO DE DESARROLLO INFANTIL PEDREGAL                                                              "</f>
        <v xml:space="preserve">CENTRO DE DESARROLLO INFANTIL PEDREGAL                                                              </v>
      </c>
      <c r="D3122" s="26" t="str">
        <f t="shared" si="615"/>
        <v>MATUTINO</v>
      </c>
      <c r="E3122" s="26" t="str">
        <f>"CAMINO A SANTA TERESA NO. 877                                                   "</f>
        <v xml:space="preserve">CAMINO A SANTA TERESA NO. 877                                                   </v>
      </c>
      <c r="F3122" s="26" t="str">
        <f>"TLALPAN                                                                                                                                     "</f>
        <v xml:space="preserve">TLALPAN                                                                                                                                     </v>
      </c>
      <c r="G3122" s="26" t="str">
        <f>"TLALPAN                                                                         "</f>
        <v xml:space="preserve">TLALPAN                                                                         </v>
      </c>
      <c r="H3122" s="26" t="str">
        <f>"132"</f>
        <v>132</v>
      </c>
      <c r="I3122" s="26" t="str">
        <f t="shared" si="610"/>
        <v>00</v>
      </c>
      <c r="J3122" s="26" t="str">
        <f>"35 "</f>
        <v xml:space="preserve">35 </v>
      </c>
      <c r="K3122" s="26" t="str">
        <f t="shared" si="613"/>
        <v>EP</v>
      </c>
      <c r="L3122" s="26" t="str">
        <f t="shared" si="614"/>
        <v>DGOSE</v>
      </c>
      <c r="M3122" s="26" t="str">
        <f t="shared" si="608"/>
        <v>PARTICULAR</v>
      </c>
      <c r="N3122" s="26">
        <v>35</v>
      </c>
      <c r="O3122" s="26">
        <v>12</v>
      </c>
      <c r="P3122" s="26">
        <v>23</v>
      </c>
      <c r="Q3122" s="26">
        <v>2</v>
      </c>
      <c r="R3122" s="26">
        <v>1</v>
      </c>
      <c r="S3122" s="26">
        <v>1</v>
      </c>
      <c r="T3122" s="26">
        <v>2</v>
      </c>
      <c r="U3122" s="26">
        <v>4</v>
      </c>
      <c r="V3122" s="26">
        <v>1</v>
      </c>
      <c r="W3122" s="26"/>
    </row>
    <row r="3123" spans="1:23" x14ac:dyDescent="0.25">
      <c r="A3123" s="26" t="str">
        <f t="shared" si="609"/>
        <v>PREESCOLAR</v>
      </c>
      <c r="B3123" s="26" t="str">
        <f>"09PJN5871X"</f>
        <v>09PJN5871X</v>
      </c>
      <c r="C3123" s="26" t="str">
        <f>"FOREST HILLS INSTITUTE                                                                              "</f>
        <v xml:space="preserve">FOREST HILLS INSTITUTE                                                                              </v>
      </c>
      <c r="D3123" s="26" t="str">
        <f t="shared" si="615"/>
        <v>MATUTINO</v>
      </c>
      <c r="E3123" s="26" t="str">
        <f>"NETZAHUALPILLI NO. 20                                                           "</f>
        <v xml:space="preserve">NETZAHUALPILLI NO. 20                                                           </v>
      </c>
      <c r="F3123" s="26" t="str">
        <f>"AJUSCO                                                                                                                                      "</f>
        <v xml:space="preserve">AJUSCO                                                                                                                                      </v>
      </c>
      <c r="G3123" s="26" t="str">
        <f>"COYOACAN                                                                        "</f>
        <v xml:space="preserve">COYOACAN                                                                        </v>
      </c>
      <c r="H3123" s="26" t="str">
        <f>"211"</f>
        <v>211</v>
      </c>
      <c r="I3123" s="26" t="str">
        <f t="shared" si="610"/>
        <v>00</v>
      </c>
      <c r="J3123" s="26" t="str">
        <f>"35 "</f>
        <v xml:space="preserve">35 </v>
      </c>
      <c r="K3123" s="26" t="str">
        <f t="shared" si="613"/>
        <v>EP</v>
      </c>
      <c r="L3123" s="26" t="str">
        <f t="shared" si="614"/>
        <v>DGOSE</v>
      </c>
      <c r="M3123" s="26" t="str">
        <f t="shared" si="608"/>
        <v>PARTICULAR</v>
      </c>
      <c r="N3123" s="26">
        <v>18</v>
      </c>
      <c r="O3123" s="26">
        <v>7</v>
      </c>
      <c r="P3123" s="26">
        <v>11</v>
      </c>
      <c r="Q3123" s="26">
        <v>3</v>
      </c>
      <c r="R3123" s="26">
        <v>1</v>
      </c>
      <c r="S3123" s="26">
        <v>2</v>
      </c>
      <c r="T3123" s="26">
        <v>1</v>
      </c>
      <c r="U3123" s="26">
        <v>4</v>
      </c>
      <c r="V3123" s="26">
        <v>1</v>
      </c>
      <c r="W3123" s="26"/>
    </row>
    <row r="3124" spans="1:23" x14ac:dyDescent="0.25">
      <c r="A3124" s="26" t="str">
        <f t="shared" si="609"/>
        <v>PREESCOLAR</v>
      </c>
      <c r="B3124" s="26" t="str">
        <f>"09PJN5872W"</f>
        <v>09PJN5872W</v>
      </c>
      <c r="C3124" s="26" t="str">
        <f>"KINDER GYM AKARUI                                                                                   "</f>
        <v xml:space="preserve">KINDER GYM AKARUI                                                                                   </v>
      </c>
      <c r="D3124" s="26" t="str">
        <f t="shared" si="615"/>
        <v>MATUTINO</v>
      </c>
      <c r="E3124" s="26" t="str">
        <f>"GABREIL MANCERA NO. 1060                                                        "</f>
        <v xml:space="preserve">GABREIL MANCERA NO. 1060                                                        </v>
      </c>
      <c r="F3124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3124" s="26" t="str">
        <f>"BENITO JUAREZ                                                                   "</f>
        <v xml:space="preserve">BENITO JUAREZ                                                                   </v>
      </c>
      <c r="H3124" s="26" t="str">
        <f>"231"</f>
        <v>231</v>
      </c>
      <c r="I3124" s="26" t="str">
        <f t="shared" si="610"/>
        <v>00</v>
      </c>
      <c r="J3124" s="26" t="str">
        <f>"33 "</f>
        <v xml:space="preserve">33 </v>
      </c>
      <c r="K3124" s="26" t="str">
        <f t="shared" si="613"/>
        <v>EP</v>
      </c>
      <c r="L3124" s="26" t="str">
        <f t="shared" si="614"/>
        <v>DGOSE</v>
      </c>
      <c r="M3124" s="26" t="str">
        <f t="shared" si="608"/>
        <v>PARTICULAR</v>
      </c>
      <c r="N3124" s="26">
        <v>33</v>
      </c>
      <c r="O3124" s="26">
        <v>16</v>
      </c>
      <c r="P3124" s="26">
        <v>17</v>
      </c>
      <c r="Q3124" s="26">
        <v>3</v>
      </c>
      <c r="R3124" s="26">
        <v>1</v>
      </c>
      <c r="S3124" s="26">
        <v>3</v>
      </c>
      <c r="T3124" s="26">
        <v>0</v>
      </c>
      <c r="U3124" s="26">
        <v>4</v>
      </c>
      <c r="V3124" s="26">
        <v>1</v>
      </c>
      <c r="W3124" s="26"/>
    </row>
    <row r="3125" spans="1:23" x14ac:dyDescent="0.25">
      <c r="A3125" s="26" t="str">
        <f t="shared" si="609"/>
        <v>PREESCOLAR</v>
      </c>
      <c r="B3125" s="26" t="str">
        <f>"09PJN5873V"</f>
        <v>09PJN5873V</v>
      </c>
      <c r="C3125" s="26" t="str">
        <f>"CENTRO PEDAGOGICO ALFA                                                                              "</f>
        <v xml:space="preserve">CENTRO PEDAGOGICO ALFA                                                                              </v>
      </c>
      <c r="D3125" s="26" t="str">
        <f t="shared" si="615"/>
        <v>MATUTINO</v>
      </c>
      <c r="E3125" s="26" t="str">
        <f>"CALLE SUR 8-A ENTRADA POR ORIENTE 227 NO.. 12                                   "</f>
        <v xml:space="preserve">CALLE SUR 8-A ENTRADA POR ORIENTE 227 NO.. 12                                   </v>
      </c>
      <c r="F3125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3125" s="26" t="str">
        <f>"IZTACALCO                                                                       "</f>
        <v xml:space="preserve">IZTACALCO                                                                       </v>
      </c>
      <c r="H3125" s="26" t="str">
        <f>"240"</f>
        <v>240</v>
      </c>
      <c r="I3125" s="26" t="str">
        <f t="shared" si="610"/>
        <v>00</v>
      </c>
      <c r="J3125" s="26" t="str">
        <f>"33 "</f>
        <v xml:space="preserve">33 </v>
      </c>
      <c r="K3125" s="26" t="str">
        <f t="shared" si="613"/>
        <v>EP</v>
      </c>
      <c r="L3125" s="26" t="str">
        <f t="shared" si="614"/>
        <v>DGOSE</v>
      </c>
      <c r="M3125" s="26" t="str">
        <f t="shared" si="608"/>
        <v>PARTICULAR</v>
      </c>
      <c r="N3125" s="26">
        <v>23</v>
      </c>
      <c r="O3125" s="26">
        <v>11</v>
      </c>
      <c r="P3125" s="26">
        <v>12</v>
      </c>
      <c r="Q3125" s="26">
        <v>2</v>
      </c>
      <c r="R3125" s="26">
        <v>1</v>
      </c>
      <c r="S3125" s="26">
        <v>2</v>
      </c>
      <c r="T3125" s="26">
        <v>1</v>
      </c>
      <c r="U3125" s="26">
        <v>4</v>
      </c>
      <c r="V3125" s="26">
        <v>1</v>
      </c>
      <c r="W3125" s="26"/>
    </row>
    <row r="3126" spans="1:23" x14ac:dyDescent="0.25">
      <c r="A3126" s="26" t="str">
        <f t="shared" si="609"/>
        <v>PREESCOLAR</v>
      </c>
      <c r="B3126" s="26" t="str">
        <f>"09PJN5874U"</f>
        <v>09PJN5874U</v>
      </c>
      <c r="C3126" s="26" t="str">
        <f>"CENTRO PEDAGOGICO ANAHUAC                                                                           "</f>
        <v xml:space="preserve">CENTRO PEDAGOGICO ANAHUAC                                                                           </v>
      </c>
      <c r="D3126" s="26" t="str">
        <f t="shared" si="615"/>
        <v>MATUTINO</v>
      </c>
      <c r="E3126" s="26" t="str">
        <f>"AV. PANAMERICANA NO. C-33                                                       "</f>
        <v xml:space="preserve">AV. PANAMERICANA NO. C-33                                                       </v>
      </c>
      <c r="F3126" s="26" t="str">
        <f>"PEDREGAL DE CARRASCO                                                                                                                        "</f>
        <v xml:space="preserve">PEDREGAL DE CARRASCO                                                                                                                        </v>
      </c>
      <c r="G3126" s="26" t="str">
        <f>"COYOACAN                                                                        "</f>
        <v xml:space="preserve">COYOACAN                                                                        </v>
      </c>
      <c r="H3126" s="26" t="str">
        <f>"077"</f>
        <v>077</v>
      </c>
      <c r="I3126" s="26" t="str">
        <f t="shared" si="610"/>
        <v>00</v>
      </c>
      <c r="J3126" s="26" t="str">
        <f>"35 "</f>
        <v xml:space="preserve">35 </v>
      </c>
      <c r="K3126" s="26" t="str">
        <f t="shared" si="613"/>
        <v>EP</v>
      </c>
      <c r="L3126" s="26" t="str">
        <f t="shared" si="614"/>
        <v>DGOSE</v>
      </c>
      <c r="M3126" s="26" t="str">
        <f t="shared" si="608"/>
        <v>PARTICULAR</v>
      </c>
      <c r="N3126" s="26">
        <v>51</v>
      </c>
      <c r="O3126" s="26">
        <v>29</v>
      </c>
      <c r="P3126" s="26">
        <v>22</v>
      </c>
      <c r="Q3126" s="26">
        <v>3</v>
      </c>
      <c r="R3126" s="26">
        <v>1</v>
      </c>
      <c r="S3126" s="26">
        <v>2</v>
      </c>
      <c r="T3126" s="26">
        <v>8</v>
      </c>
      <c r="U3126" s="26">
        <v>11</v>
      </c>
      <c r="V3126" s="26">
        <v>1</v>
      </c>
      <c r="W3126" s="26"/>
    </row>
    <row r="3127" spans="1:23" x14ac:dyDescent="0.25">
      <c r="A3127" s="26" t="str">
        <f t="shared" si="609"/>
        <v>PREESCOLAR</v>
      </c>
      <c r="B3127" s="26" t="str">
        <f>"09PJN5876S"</f>
        <v>09PJN5876S</v>
      </c>
      <c r="C3127" s="26" t="str">
        <f>"CENTRO EDUCATIVO ACTY GYM COAPA                                                                     "</f>
        <v xml:space="preserve">CENTRO EDUCATIVO ACTY GYM COAPA                                                                     </v>
      </c>
      <c r="D3127" s="26" t="str">
        <f t="shared" si="615"/>
        <v>MATUTINO</v>
      </c>
      <c r="E3127" s="26" t="str">
        <f>"DIVISION DEL NORTE NO. 4227                                                     "</f>
        <v xml:space="preserve">DIVISION DEL NORTE NO. 4227                                                     </v>
      </c>
      <c r="F3127" s="26" t="str">
        <f>"PRADO COAPA                                                                                                                                 "</f>
        <v xml:space="preserve">PRADO COAPA                                                                                                                                 </v>
      </c>
      <c r="G3127" s="26" t="str">
        <f>"TLALPAN                                                                         "</f>
        <v xml:space="preserve">TLALPAN                                                                         </v>
      </c>
      <c r="H3127" s="26" t="str">
        <f>"050"</f>
        <v>050</v>
      </c>
      <c r="I3127" s="26" t="str">
        <f t="shared" si="610"/>
        <v>00</v>
      </c>
      <c r="J3127" s="26" t="str">
        <f>"35 "</f>
        <v xml:space="preserve">35 </v>
      </c>
      <c r="K3127" s="26" t="str">
        <f t="shared" si="613"/>
        <v>EP</v>
      </c>
      <c r="L3127" s="26" t="str">
        <f t="shared" si="614"/>
        <v>DGOSE</v>
      </c>
      <c r="M3127" s="26" t="str">
        <f t="shared" si="608"/>
        <v>PARTICULAR</v>
      </c>
      <c r="N3127" s="26">
        <v>35</v>
      </c>
      <c r="O3127" s="26">
        <v>17</v>
      </c>
      <c r="P3127" s="26">
        <v>18</v>
      </c>
      <c r="Q3127" s="26">
        <v>4</v>
      </c>
      <c r="R3127" s="26">
        <v>1</v>
      </c>
      <c r="S3127" s="26">
        <v>4</v>
      </c>
      <c r="T3127" s="26">
        <v>5</v>
      </c>
      <c r="U3127" s="26">
        <v>10</v>
      </c>
      <c r="V3127" s="26">
        <v>1</v>
      </c>
      <c r="W3127" s="26"/>
    </row>
    <row r="3128" spans="1:23" x14ac:dyDescent="0.25">
      <c r="A3128" s="26" t="str">
        <f t="shared" si="609"/>
        <v>PREESCOLAR</v>
      </c>
      <c r="B3128" s="26" t="str">
        <f>"09PJN5877R"</f>
        <v>09PJN5877R</v>
      </c>
      <c r="C3128" s="26" t="str">
        <f>"BLOOMEN SCHOOL                                                                                      "</f>
        <v xml:space="preserve">BLOOMEN SCHOOL                                                                                      </v>
      </c>
      <c r="D3128" s="26" t="str">
        <f t="shared" si="615"/>
        <v>MATUTINO</v>
      </c>
      <c r="E3128" s="26" t="str">
        <f>"CARRETERA SAN MATEO-SANTA ROSA NO. 11                                           "</f>
        <v xml:space="preserve">CARRETERA SAN MATEO-SANTA ROSA NO. 11                                           </v>
      </c>
      <c r="F3128" s="26" t="str">
        <f>"CONTADERO                                                                                                                                   "</f>
        <v xml:space="preserve">CONTADERO                                                                                                                                   </v>
      </c>
      <c r="G3128" s="26" t="str">
        <f>"CUAJIMALPA DE MORELOS                                                           "</f>
        <v xml:space="preserve">CUAJIMALPA DE MORELOS                                                           </v>
      </c>
      <c r="H3128" s="26" t="str">
        <f>"151"</f>
        <v>151</v>
      </c>
      <c r="I3128" s="26" t="str">
        <f t="shared" si="610"/>
        <v>00</v>
      </c>
      <c r="J3128" s="26" t="str">
        <f>"33 "</f>
        <v xml:space="preserve">33 </v>
      </c>
      <c r="K3128" s="26" t="str">
        <f t="shared" si="613"/>
        <v>EP</v>
      </c>
      <c r="L3128" s="26" t="str">
        <f t="shared" si="614"/>
        <v>DGOSE</v>
      </c>
      <c r="M3128" s="26" t="str">
        <f t="shared" si="608"/>
        <v>PARTICULAR</v>
      </c>
      <c r="N3128" s="26">
        <v>23</v>
      </c>
      <c r="O3128" s="26">
        <v>13</v>
      </c>
      <c r="P3128" s="26">
        <v>10</v>
      </c>
      <c r="Q3128" s="26">
        <v>2</v>
      </c>
      <c r="R3128" s="26">
        <v>1</v>
      </c>
      <c r="S3128" s="26">
        <v>2</v>
      </c>
      <c r="T3128" s="26">
        <v>10</v>
      </c>
      <c r="U3128" s="26">
        <v>13</v>
      </c>
      <c r="V3128" s="26">
        <v>1</v>
      </c>
      <c r="W3128" s="26"/>
    </row>
    <row r="3129" spans="1:23" x14ac:dyDescent="0.25">
      <c r="A3129" s="26" t="str">
        <f t="shared" si="609"/>
        <v>PREESCOLAR</v>
      </c>
      <c r="B3129" s="26" t="str">
        <f>"09PJN5878Q"</f>
        <v>09PJN5878Q</v>
      </c>
      <c r="C3129" s="26" t="str">
        <f>"SPONGIES                                                                                            "</f>
        <v xml:space="preserve">SPONGIES                                                                                            </v>
      </c>
      <c r="D3129" s="26" t="str">
        <f t="shared" si="615"/>
        <v>MATUTINO</v>
      </c>
      <c r="E3129" s="26" t="str">
        <f>"PATRIOTISMO NO. 773                                                             "</f>
        <v xml:space="preserve">PATRIOTISMO NO. 773                                                             </v>
      </c>
      <c r="F3129" s="26" t="str">
        <f>"SAN JUAN                                                                                                                                    "</f>
        <v xml:space="preserve">SAN JUAN                                                                                                                                    </v>
      </c>
      <c r="G3129" s="26" t="str">
        <f>"BENITO JUAREZ                                                                   "</f>
        <v xml:space="preserve">BENITO JUAREZ                                                                   </v>
      </c>
      <c r="H3129" s="26" t="str">
        <f>"231"</f>
        <v>231</v>
      </c>
      <c r="I3129" s="26" t="str">
        <f t="shared" si="610"/>
        <v>00</v>
      </c>
      <c r="J3129" s="26" t="str">
        <f>"33 "</f>
        <v xml:space="preserve">33 </v>
      </c>
      <c r="K3129" s="26" t="str">
        <f t="shared" si="613"/>
        <v>EP</v>
      </c>
      <c r="L3129" s="26" t="str">
        <f t="shared" si="614"/>
        <v>DGOSE</v>
      </c>
      <c r="M3129" s="26" t="str">
        <f t="shared" si="608"/>
        <v>PARTICULAR</v>
      </c>
      <c r="N3129" s="26">
        <v>57</v>
      </c>
      <c r="O3129" s="26">
        <v>29</v>
      </c>
      <c r="P3129" s="26">
        <v>28</v>
      </c>
      <c r="Q3129" s="26">
        <v>3</v>
      </c>
      <c r="R3129" s="26">
        <v>1</v>
      </c>
      <c r="S3129" s="26">
        <v>3</v>
      </c>
      <c r="T3129" s="26">
        <v>8</v>
      </c>
      <c r="U3129" s="26">
        <v>12</v>
      </c>
      <c r="V3129" s="26">
        <v>1</v>
      </c>
      <c r="W3129" s="26"/>
    </row>
    <row r="3130" spans="1:23" x14ac:dyDescent="0.25">
      <c r="A3130" s="26" t="str">
        <f t="shared" si="609"/>
        <v>PREESCOLAR</v>
      </c>
      <c r="B3130" s="26" t="str">
        <f>"09PJN5880E"</f>
        <v>09PJN5880E</v>
      </c>
      <c r="C3130" s="26" t="str">
        <f>"INSTITUTO ABC                                                                                       "</f>
        <v xml:space="preserve">INSTITUTO ABC                                                                                       </v>
      </c>
      <c r="D3130" s="26" t="str">
        <f t="shared" si="615"/>
        <v>MATUTINO</v>
      </c>
      <c r="E3130" s="26" t="str">
        <f>"ESTHER ZUNO DE ECHEVERRIA NO 23 Y 25                                            "</f>
        <v xml:space="preserve">ESTHER ZUNO DE ECHEVERRIA NO 23 Y 25                                            </v>
      </c>
      <c r="F3130" s="26" t="str">
        <f>"CONSEJO AGRARISTA MEXICANO                                                                                                                  "</f>
        <v xml:space="preserve">CONSEJO AGRARISTA MEXICANO                                                                                                                  </v>
      </c>
      <c r="G3130" s="26" t="str">
        <f>"IZTAPALAPA                                                                      "</f>
        <v xml:space="preserve">IZTAPALAPA                                                                      </v>
      </c>
      <c r="H3130" s="26" t="str">
        <f>"000"</f>
        <v>000</v>
      </c>
      <c r="I3130" s="26" t="str">
        <f t="shared" si="610"/>
        <v>00</v>
      </c>
      <c r="J3130" s="26" t="str">
        <f>"63 "</f>
        <v xml:space="preserve">63 </v>
      </c>
      <c r="K3130" s="26" t="str">
        <f>"IZ"</f>
        <v>IZ</v>
      </c>
      <c r="L3130" s="26" t="str">
        <f>"DGSEI"</f>
        <v>DGSEI</v>
      </c>
      <c r="M3130" s="26" t="str">
        <f t="shared" si="608"/>
        <v>PARTICULAR</v>
      </c>
      <c r="N3130" s="26">
        <v>40</v>
      </c>
      <c r="O3130" s="26">
        <v>21</v>
      </c>
      <c r="P3130" s="26">
        <v>19</v>
      </c>
      <c r="Q3130" s="26">
        <v>3</v>
      </c>
      <c r="R3130" s="26">
        <v>1</v>
      </c>
      <c r="S3130" s="26">
        <v>2</v>
      </c>
      <c r="T3130" s="26">
        <v>7</v>
      </c>
      <c r="U3130" s="26">
        <v>10</v>
      </c>
      <c r="V3130" s="26">
        <v>1</v>
      </c>
      <c r="W3130" s="26"/>
    </row>
    <row r="3131" spans="1:23" x14ac:dyDescent="0.25">
      <c r="A3131" s="26" t="str">
        <f t="shared" si="609"/>
        <v>PREESCOLAR</v>
      </c>
      <c r="B3131" s="26" t="str">
        <f>"09PJN5884A"</f>
        <v>09PJN5884A</v>
      </c>
      <c r="C3131" s="26" t="str">
        <f>"KIDZONE                                                                                             "</f>
        <v xml:space="preserve">KIDZONE                                                                                             </v>
      </c>
      <c r="D3131" s="26" t="str">
        <f t="shared" si="615"/>
        <v>MATUTINO</v>
      </c>
      <c r="E3131" s="26" t="str">
        <f>"HACIENDA NARVARTE NO. 60                                                        "</f>
        <v xml:space="preserve">HACIENDA NARVARTE NO. 60                                                        </v>
      </c>
      <c r="F3131" s="26" t="str">
        <f>"PRADOS DEL ROSARIO                                                                                                                          "</f>
        <v xml:space="preserve">PRADOS DEL ROSARIO                                                                                                                          </v>
      </c>
      <c r="G3131" s="26" t="str">
        <f>"AZCAPOTZALCO                                                                    "</f>
        <v xml:space="preserve">AZCAPOTZALCO                                                                    </v>
      </c>
      <c r="H3131" s="26" t="str">
        <f>"056"</f>
        <v>056</v>
      </c>
      <c r="I3131" s="26" t="str">
        <f t="shared" si="610"/>
        <v>00</v>
      </c>
      <c r="J3131" s="26" t="str">
        <f>"32 "</f>
        <v xml:space="preserve">32 </v>
      </c>
      <c r="K3131" s="26" t="str">
        <f t="shared" ref="K3131:K3138" si="616">"EP"</f>
        <v>EP</v>
      </c>
      <c r="L3131" s="26" t="str">
        <f t="shared" ref="L3131:L3138" si="617">"DGOSE"</f>
        <v>DGOSE</v>
      </c>
      <c r="M3131" s="26" t="str">
        <f t="shared" si="608"/>
        <v>PARTICULAR</v>
      </c>
      <c r="N3131" s="26">
        <v>37</v>
      </c>
      <c r="O3131" s="26">
        <v>18</v>
      </c>
      <c r="P3131" s="26">
        <v>19</v>
      </c>
      <c r="Q3131" s="26">
        <v>3</v>
      </c>
      <c r="R3131" s="26">
        <v>1</v>
      </c>
      <c r="S3131" s="26">
        <v>3</v>
      </c>
      <c r="T3131" s="26">
        <v>1</v>
      </c>
      <c r="U3131" s="26">
        <v>5</v>
      </c>
      <c r="V3131" s="26">
        <v>1</v>
      </c>
      <c r="W3131" s="26"/>
    </row>
    <row r="3132" spans="1:23" x14ac:dyDescent="0.25">
      <c r="A3132" s="26" t="str">
        <f t="shared" si="609"/>
        <v>PREESCOLAR</v>
      </c>
      <c r="B3132" s="26" t="str">
        <f>"09PJN5885Z"</f>
        <v>09PJN5885Z</v>
      </c>
      <c r="C3132" s="26" t="str">
        <f>"REAL DE LOS OLIVOS                                                                                  "</f>
        <v xml:space="preserve">REAL DE LOS OLIVOS                                                                                  </v>
      </c>
      <c r="D3132" s="26" t="str">
        <f t="shared" si="615"/>
        <v>MATUTINO</v>
      </c>
      <c r="E3132" s="26" t="s">
        <v>130</v>
      </c>
      <c r="F3132" s="26" t="str">
        <f>"JAIME TORRES BODET                                                                                                                          "</f>
        <v xml:space="preserve">JAIME TORRES BODET                                                                                                                          </v>
      </c>
      <c r="G3132" s="26" t="str">
        <f>"TLAHUAC                                                                         "</f>
        <v xml:space="preserve">TLAHUAC                                                                         </v>
      </c>
      <c r="H3132" s="26" t="str">
        <f>"083"</f>
        <v>083</v>
      </c>
      <c r="I3132" s="26" t="str">
        <f t="shared" si="610"/>
        <v>00</v>
      </c>
      <c r="J3132" s="26" t="str">
        <f>"35 "</f>
        <v xml:space="preserve">35 </v>
      </c>
      <c r="K3132" s="26" t="str">
        <f t="shared" si="616"/>
        <v>EP</v>
      </c>
      <c r="L3132" s="26" t="str">
        <f t="shared" si="617"/>
        <v>DGOSE</v>
      </c>
      <c r="M3132" s="26" t="str">
        <f t="shared" si="608"/>
        <v>PARTICULAR</v>
      </c>
      <c r="N3132" s="26">
        <v>9</v>
      </c>
      <c r="O3132" s="26">
        <v>7</v>
      </c>
      <c r="P3132" s="26">
        <v>2</v>
      </c>
      <c r="Q3132" s="26">
        <v>2</v>
      </c>
      <c r="R3132" s="26">
        <v>1</v>
      </c>
      <c r="S3132" s="26">
        <v>1</v>
      </c>
      <c r="T3132" s="26">
        <v>2</v>
      </c>
      <c r="U3132" s="26">
        <v>4</v>
      </c>
      <c r="V3132" s="26">
        <v>1</v>
      </c>
      <c r="W3132" s="26"/>
    </row>
    <row r="3133" spans="1:23" x14ac:dyDescent="0.25">
      <c r="A3133" s="26" t="str">
        <f t="shared" si="609"/>
        <v>PREESCOLAR</v>
      </c>
      <c r="B3133" s="26" t="str">
        <f>"09PJN5886Z"</f>
        <v>09PJN5886Z</v>
      </c>
      <c r="C3133" s="26" t="str">
        <f>"KINDER BEGINNERS                                                                                    "</f>
        <v xml:space="preserve">KINDER BEGINNERS                                                                                    </v>
      </c>
      <c r="D3133" s="26" t="str">
        <f t="shared" si="615"/>
        <v>MATUTINO</v>
      </c>
      <c r="E3133" s="26" t="str">
        <f>"TAINE NO. 713                                                                   "</f>
        <v xml:space="preserve">TAINE NO. 713                                                                   </v>
      </c>
      <c r="F3133" s="26" t="str">
        <f>"CHAPULTEPEC MORALES                                                                                                                         "</f>
        <v xml:space="preserve">CHAPULTEPEC MORALES                                                                                                                         </v>
      </c>
      <c r="G3133" s="26" t="str">
        <f>"MIGUEL HIDALGO                                                                  "</f>
        <v xml:space="preserve">MIGUEL HIDALGO                                                                  </v>
      </c>
      <c r="H3133" s="26" t="str">
        <f>"075"</f>
        <v>075</v>
      </c>
      <c r="I3133" s="26" t="str">
        <f t="shared" si="610"/>
        <v>00</v>
      </c>
      <c r="J3133" s="26" t="str">
        <f>"32 "</f>
        <v xml:space="preserve">32 </v>
      </c>
      <c r="K3133" s="26" t="str">
        <f t="shared" si="616"/>
        <v>EP</v>
      </c>
      <c r="L3133" s="26" t="str">
        <f t="shared" si="617"/>
        <v>DGOSE</v>
      </c>
      <c r="M3133" s="26" t="str">
        <f t="shared" si="608"/>
        <v>PARTICULAR</v>
      </c>
      <c r="N3133" s="26">
        <v>22</v>
      </c>
      <c r="O3133" s="26">
        <v>13</v>
      </c>
      <c r="P3133" s="26">
        <v>9</v>
      </c>
      <c r="Q3133" s="26">
        <v>3</v>
      </c>
      <c r="R3133" s="26">
        <v>1</v>
      </c>
      <c r="S3133" s="26">
        <v>2</v>
      </c>
      <c r="T3133" s="26">
        <v>9</v>
      </c>
      <c r="U3133" s="26">
        <v>12</v>
      </c>
      <c r="V3133" s="26">
        <v>1</v>
      </c>
      <c r="W3133" s="26"/>
    </row>
    <row r="3134" spans="1:23" x14ac:dyDescent="0.25">
      <c r="A3134" s="26" t="str">
        <f t="shared" si="609"/>
        <v>PREESCOLAR</v>
      </c>
      <c r="B3134" s="26" t="str">
        <f>"09PJN5887Y"</f>
        <v>09PJN5887Y</v>
      </c>
      <c r="C3134" s="26" t="s">
        <v>131</v>
      </c>
      <c r="D3134" s="26" t="str">
        <f t="shared" si="615"/>
        <v>MATUTINO</v>
      </c>
      <c r="E3134" s="26" t="str">
        <f>"AV. 510 NO. 375                                                                 "</f>
        <v xml:space="preserve">AV. 510 NO. 375                                                                 </v>
      </c>
      <c r="F3134" s="26" t="str">
        <f>"UNIDAD SAN JUAN DE ARAGON 7A SECCIO                                                                                                         "</f>
        <v xml:space="preserve">UNIDAD SAN JUAN DE ARAGON 7A SECCIO                                                                                                         </v>
      </c>
      <c r="G3134" s="26" t="str">
        <f>"GUSTAVO A. MADERO                                                               "</f>
        <v xml:space="preserve">GUSTAVO A. MADERO                                                               </v>
      </c>
      <c r="H3134" s="26" t="str">
        <f>"201"</f>
        <v>201</v>
      </c>
      <c r="I3134" s="26" t="str">
        <f t="shared" si="610"/>
        <v>00</v>
      </c>
      <c r="J3134" s="26" t="str">
        <f>"32 "</f>
        <v xml:space="preserve">32 </v>
      </c>
      <c r="K3134" s="26" t="str">
        <f t="shared" si="616"/>
        <v>EP</v>
      </c>
      <c r="L3134" s="26" t="str">
        <f t="shared" si="617"/>
        <v>DGOSE</v>
      </c>
      <c r="M3134" s="26" t="str">
        <f t="shared" si="608"/>
        <v>PARTICULAR</v>
      </c>
      <c r="N3134" s="26">
        <v>45</v>
      </c>
      <c r="O3134" s="26">
        <v>22</v>
      </c>
      <c r="P3134" s="26">
        <v>23</v>
      </c>
      <c r="Q3134" s="26">
        <v>3</v>
      </c>
      <c r="R3134" s="26">
        <v>1</v>
      </c>
      <c r="S3134" s="26">
        <v>3</v>
      </c>
      <c r="T3134" s="26">
        <v>1</v>
      </c>
      <c r="U3134" s="26">
        <v>5</v>
      </c>
      <c r="V3134" s="26">
        <v>1</v>
      </c>
      <c r="W3134" s="26"/>
    </row>
    <row r="3135" spans="1:23" x14ac:dyDescent="0.25">
      <c r="A3135" s="26" t="str">
        <f t="shared" si="609"/>
        <v>PREESCOLAR</v>
      </c>
      <c r="B3135" s="26" t="str">
        <f>"09PJN5888X"</f>
        <v>09PJN5888X</v>
      </c>
      <c r="C3135" s="26" t="str">
        <f>"COLEGIO OTON SALAZAR MENDIZABAL                                                                     "</f>
        <v xml:space="preserve">COLEGIO OTON SALAZAR MENDIZABAL                                                                     </v>
      </c>
      <c r="D3135" s="26" t="str">
        <f t="shared" si="615"/>
        <v>MATUTINO</v>
      </c>
      <c r="E3135" s="26" t="str">
        <f>"AV. 414-A NO. 68                                                                "</f>
        <v xml:space="preserve">AV. 414-A NO. 68                                                                </v>
      </c>
      <c r="F3135" s="26" t="str">
        <f>"SAN JUAN DE ARAGON                                                                                                                          "</f>
        <v xml:space="preserve">SAN JUAN DE ARAGON                                                                                                                          </v>
      </c>
      <c r="G3135" s="26" t="str">
        <f>"GUSTAVO A. MADERO                                                               "</f>
        <v xml:space="preserve">GUSTAVO A. MADERO                                                               </v>
      </c>
      <c r="H3135" s="26" t="str">
        <f>"199"</f>
        <v>199</v>
      </c>
      <c r="I3135" s="26" t="str">
        <f t="shared" si="610"/>
        <v>00</v>
      </c>
      <c r="J3135" s="26" t="str">
        <f>"32 "</f>
        <v xml:space="preserve">32 </v>
      </c>
      <c r="K3135" s="26" t="str">
        <f t="shared" si="616"/>
        <v>EP</v>
      </c>
      <c r="L3135" s="26" t="str">
        <f t="shared" si="617"/>
        <v>DGOSE</v>
      </c>
      <c r="M3135" s="26" t="str">
        <f t="shared" ref="M3135:M3198" si="618">"PARTICULAR"</f>
        <v>PARTICULAR</v>
      </c>
      <c r="N3135" s="26">
        <v>27</v>
      </c>
      <c r="O3135" s="26">
        <v>14</v>
      </c>
      <c r="P3135" s="26">
        <v>13</v>
      </c>
      <c r="Q3135" s="26">
        <v>3</v>
      </c>
      <c r="R3135" s="26">
        <v>1</v>
      </c>
      <c r="S3135" s="26">
        <v>3</v>
      </c>
      <c r="T3135" s="26">
        <v>0</v>
      </c>
      <c r="U3135" s="26">
        <v>4</v>
      </c>
      <c r="V3135" s="26">
        <v>1</v>
      </c>
      <c r="W3135" s="26"/>
    </row>
    <row r="3136" spans="1:23" x14ac:dyDescent="0.25">
      <c r="A3136" s="26" t="str">
        <f t="shared" si="609"/>
        <v>PREESCOLAR</v>
      </c>
      <c r="B3136" s="26" t="str">
        <f>"09PJN5889W"</f>
        <v>09PJN5889W</v>
      </c>
      <c r="C3136" s="26" t="str">
        <f>"JARDÍN DE NIÑOS ARCOBALENO MONTESSORI                                                               "</f>
        <v xml:space="preserve">JARDÍN DE NIÑOS ARCOBALENO MONTESSORI                                                               </v>
      </c>
      <c r="D3136" s="26" t="str">
        <f t="shared" si="615"/>
        <v>MATUTINO</v>
      </c>
      <c r="E3136" s="26" t="str">
        <f>"GUTY CARDENAS NO. 68                                                            "</f>
        <v xml:space="preserve">GUTY CARDENAS NO. 68                                                            </v>
      </c>
      <c r="F3136" s="26" t="str">
        <f>"GUADALUPE INN                                                                                                                               "</f>
        <v xml:space="preserve">GUADALUPE INN                                                                                                                               </v>
      </c>
      <c r="G3136" s="26" t="str">
        <f>"ALVARO OBREGON                                                                  "</f>
        <v xml:space="preserve">ALVARO OBREGON                                                                  </v>
      </c>
      <c r="H3136" s="26" t="str">
        <f>"087"</f>
        <v>087</v>
      </c>
      <c r="I3136" s="26" t="str">
        <f t="shared" si="610"/>
        <v>00</v>
      </c>
      <c r="J3136" s="26" t="str">
        <f>"33 "</f>
        <v xml:space="preserve">33 </v>
      </c>
      <c r="K3136" s="26" t="str">
        <f t="shared" si="616"/>
        <v>EP</v>
      </c>
      <c r="L3136" s="26" t="str">
        <f t="shared" si="617"/>
        <v>DGOSE</v>
      </c>
      <c r="M3136" s="26" t="str">
        <f t="shared" si="618"/>
        <v>PARTICULAR</v>
      </c>
      <c r="N3136" s="26">
        <v>7</v>
      </c>
      <c r="O3136" s="26">
        <v>5</v>
      </c>
      <c r="P3136" s="26">
        <v>2</v>
      </c>
      <c r="Q3136" s="26">
        <v>2</v>
      </c>
      <c r="R3136" s="26">
        <v>1</v>
      </c>
      <c r="S3136" s="26">
        <v>1</v>
      </c>
      <c r="T3136" s="26">
        <v>2</v>
      </c>
      <c r="U3136" s="26">
        <v>4</v>
      </c>
      <c r="V3136" s="26">
        <v>1</v>
      </c>
      <c r="W3136" s="26"/>
    </row>
    <row r="3137" spans="1:23" x14ac:dyDescent="0.25">
      <c r="A3137" s="26" t="str">
        <f t="shared" si="609"/>
        <v>PREESCOLAR</v>
      </c>
      <c r="B3137" s="26" t="str">
        <f>"09PJN5890L"</f>
        <v>09PJN5890L</v>
      </c>
      <c r="C3137" s="26" t="str">
        <f>"COLEGIO MAY-TE                                                                                      "</f>
        <v xml:space="preserve">COLEGIO MAY-TE                                                                                      </v>
      </c>
      <c r="D3137" s="26" t="str">
        <f t="shared" si="615"/>
        <v>MATUTINO</v>
      </c>
      <c r="E3137" s="26" t="str">
        <f>"16 DE SEPTIEMBRE NO. 100                                                        "</f>
        <v xml:space="preserve">16 DE SEPTIEMBRE NO. 100                                                        </v>
      </c>
      <c r="F3137" s="26" t="str">
        <f>"SAN JUAN DE ARAGON                                                                                                                          "</f>
        <v xml:space="preserve">SAN JUAN DE ARAGON                                                                                                                          </v>
      </c>
      <c r="G3137" s="26" t="str">
        <f>"GUSTAVO A. MADERO                                                               "</f>
        <v xml:space="preserve">GUSTAVO A. MADERO                                                               </v>
      </c>
      <c r="H3137" s="26" t="str">
        <f>"199"</f>
        <v>199</v>
      </c>
      <c r="I3137" s="26" t="str">
        <f t="shared" si="610"/>
        <v>00</v>
      </c>
      <c r="J3137" s="26" t="str">
        <f>"32 "</f>
        <v xml:space="preserve">32 </v>
      </c>
      <c r="K3137" s="26" t="str">
        <f t="shared" si="616"/>
        <v>EP</v>
      </c>
      <c r="L3137" s="26" t="str">
        <f t="shared" si="617"/>
        <v>DGOSE</v>
      </c>
      <c r="M3137" s="26" t="str">
        <f t="shared" si="618"/>
        <v>PARTICULAR</v>
      </c>
      <c r="N3137" s="26">
        <v>29</v>
      </c>
      <c r="O3137" s="26">
        <v>14</v>
      </c>
      <c r="P3137" s="26">
        <v>15</v>
      </c>
      <c r="Q3137" s="26">
        <v>3</v>
      </c>
      <c r="R3137" s="26">
        <v>1</v>
      </c>
      <c r="S3137" s="26">
        <v>3</v>
      </c>
      <c r="T3137" s="26">
        <v>10</v>
      </c>
      <c r="U3137" s="26">
        <v>14</v>
      </c>
      <c r="V3137" s="26">
        <v>1</v>
      </c>
      <c r="W3137" s="26"/>
    </row>
    <row r="3138" spans="1:23" x14ac:dyDescent="0.25">
      <c r="A3138" s="26" t="str">
        <f t="shared" ref="A3138:A3201" si="619">"PREESCOLAR"</f>
        <v>PREESCOLAR</v>
      </c>
      <c r="B3138" s="26" t="str">
        <f>"09PJN5891K"</f>
        <v>09PJN5891K</v>
      </c>
      <c r="C3138" s="26" t="str">
        <f>"CANADIAN SCHOOL                                                                                     "</f>
        <v xml:space="preserve">CANADIAN SCHOOL                                                                                     </v>
      </c>
      <c r="D3138" s="26" t="str">
        <f t="shared" si="615"/>
        <v>MATUTINO</v>
      </c>
      <c r="E3138" s="26" t="str">
        <f>"ALLENDE NO. 201                                                                 "</f>
        <v xml:space="preserve">ALLENDE NO. 201                                                                 </v>
      </c>
      <c r="F3138" s="26" t="str">
        <f>"CLAVERIA                                                                                                                                    "</f>
        <v xml:space="preserve">CLAVERIA                                                                                                                                    </v>
      </c>
      <c r="G3138" s="26" t="str">
        <f>"AZCAPOTZALCO                                                                    "</f>
        <v xml:space="preserve">AZCAPOTZALCO                                                                    </v>
      </c>
      <c r="H3138" s="26" t="str">
        <f>"106"</f>
        <v>106</v>
      </c>
      <c r="I3138" s="26" t="str">
        <f t="shared" ref="I3138:I3201" si="620">"00"</f>
        <v>00</v>
      </c>
      <c r="J3138" s="26" t="str">
        <f>"32 "</f>
        <v xml:space="preserve">32 </v>
      </c>
      <c r="K3138" s="26" t="str">
        <f t="shared" si="616"/>
        <v>EP</v>
      </c>
      <c r="L3138" s="26" t="str">
        <f t="shared" si="617"/>
        <v>DGOSE</v>
      </c>
      <c r="M3138" s="26" t="str">
        <f t="shared" si="618"/>
        <v>PARTICULAR</v>
      </c>
      <c r="N3138" s="26">
        <v>47</v>
      </c>
      <c r="O3138" s="26">
        <v>32</v>
      </c>
      <c r="P3138" s="26">
        <v>15</v>
      </c>
      <c r="Q3138" s="26">
        <v>3</v>
      </c>
      <c r="R3138" s="26">
        <v>1</v>
      </c>
      <c r="S3138" s="26">
        <v>3</v>
      </c>
      <c r="T3138" s="26">
        <v>2</v>
      </c>
      <c r="U3138" s="26">
        <v>6</v>
      </c>
      <c r="V3138" s="26">
        <v>1</v>
      </c>
      <c r="W3138" s="26"/>
    </row>
    <row r="3139" spans="1:23" x14ac:dyDescent="0.25">
      <c r="A3139" s="26" t="str">
        <f t="shared" si="619"/>
        <v>PREESCOLAR</v>
      </c>
      <c r="B3139" s="26" t="str">
        <f>"09PJN5892J"</f>
        <v>09PJN5892J</v>
      </c>
      <c r="C3139" s="26" t="str">
        <f>"VOLUNTARIAS VICENTINAS CADI NO. 79                                                                  "</f>
        <v xml:space="preserve">VOLUNTARIAS VICENTINAS CADI NO. 79                                                                  </v>
      </c>
      <c r="D3139" s="26" t="str">
        <f t="shared" si="615"/>
        <v>MATUTINO</v>
      </c>
      <c r="E3139" s="26" t="str">
        <f>"MANUEL ACUÑA NO. 43                                                             "</f>
        <v xml:space="preserve">MANUEL ACUÑA NO. 43                                                             </v>
      </c>
      <c r="F3139" s="26" t="str">
        <f>"PALMITAS                                                                                                                                    "</f>
        <v xml:space="preserve">PALMITAS                                                                                                                                    </v>
      </c>
      <c r="G3139" s="26" t="str">
        <f>"IZTAPALAPA                                                                      "</f>
        <v xml:space="preserve">IZTAPALAPA                                                                      </v>
      </c>
      <c r="H3139" s="26" t="str">
        <f>"000"</f>
        <v>000</v>
      </c>
      <c r="I3139" s="26" t="str">
        <f t="shared" si="620"/>
        <v>00</v>
      </c>
      <c r="J3139" s="26" t="str">
        <f>"64 "</f>
        <v xml:space="preserve">64 </v>
      </c>
      <c r="K3139" s="26" t="str">
        <f>"IZ"</f>
        <v>IZ</v>
      </c>
      <c r="L3139" s="26" t="str">
        <f>"DGSEI"</f>
        <v>DGSEI</v>
      </c>
      <c r="M3139" s="26" t="str">
        <f t="shared" si="618"/>
        <v>PARTICULAR</v>
      </c>
      <c r="N3139" s="26">
        <v>73</v>
      </c>
      <c r="O3139" s="26">
        <v>41</v>
      </c>
      <c r="P3139" s="26">
        <v>32</v>
      </c>
      <c r="Q3139" s="26">
        <v>3</v>
      </c>
      <c r="R3139" s="26">
        <v>1</v>
      </c>
      <c r="S3139" s="26">
        <v>1</v>
      </c>
      <c r="T3139" s="26">
        <v>8</v>
      </c>
      <c r="U3139" s="26">
        <v>10</v>
      </c>
      <c r="V3139" s="26">
        <v>1</v>
      </c>
      <c r="W3139" s="26"/>
    </row>
    <row r="3140" spans="1:23" x14ac:dyDescent="0.25">
      <c r="A3140" s="26" t="str">
        <f t="shared" si="619"/>
        <v>PREESCOLAR</v>
      </c>
      <c r="B3140" s="26" t="str">
        <f>"09PJN5893I"</f>
        <v>09PJN5893I</v>
      </c>
      <c r="C3140" s="26" t="str">
        <f>"DONALD WINNICOTT                                                                                    "</f>
        <v xml:space="preserve">DONALD WINNICOTT                                                                                    </v>
      </c>
      <c r="D3140" s="26" t="str">
        <f t="shared" si="615"/>
        <v>MATUTINO</v>
      </c>
      <c r="E3140" s="26" t="str">
        <f>"ESTRELLITA MZ. 43 LT. 23                                                        "</f>
        <v xml:space="preserve">ESTRELLITA MZ. 43 LT. 23                                                        </v>
      </c>
      <c r="F3140" s="26" t="str">
        <f>"LOMAS DE LA ESTANCIA                                                                                                                        "</f>
        <v xml:space="preserve">LOMAS DE LA ESTANCIA                                                                                                                        </v>
      </c>
      <c r="G3140" s="26" t="str">
        <f>"IZTAPALAPA                                                                      "</f>
        <v xml:space="preserve">IZTAPALAPA                                                                      </v>
      </c>
      <c r="H3140" s="26" t="str">
        <f>"000"</f>
        <v>000</v>
      </c>
      <c r="I3140" s="26" t="str">
        <f t="shared" si="620"/>
        <v>00</v>
      </c>
      <c r="J3140" s="26" t="str">
        <f>"64 "</f>
        <v xml:space="preserve">64 </v>
      </c>
      <c r="K3140" s="26" t="str">
        <f>"IZ"</f>
        <v>IZ</v>
      </c>
      <c r="L3140" s="26" t="str">
        <f>"DGSEI"</f>
        <v>DGSEI</v>
      </c>
      <c r="M3140" s="26" t="str">
        <f t="shared" si="618"/>
        <v>PARTICULAR</v>
      </c>
      <c r="N3140" s="26">
        <v>16</v>
      </c>
      <c r="O3140" s="26">
        <v>4</v>
      </c>
      <c r="P3140" s="26">
        <v>12</v>
      </c>
      <c r="Q3140" s="26">
        <v>2</v>
      </c>
      <c r="R3140" s="26">
        <v>1</v>
      </c>
      <c r="S3140" s="26">
        <v>2</v>
      </c>
      <c r="T3140" s="26">
        <v>0</v>
      </c>
      <c r="U3140" s="26">
        <v>3</v>
      </c>
      <c r="V3140" s="26">
        <v>1</v>
      </c>
      <c r="W3140" s="26"/>
    </row>
    <row r="3141" spans="1:23" x14ac:dyDescent="0.25">
      <c r="A3141" s="26" t="str">
        <f t="shared" si="619"/>
        <v>PREESCOLAR</v>
      </c>
      <c r="B3141" s="26" t="str">
        <f>"09PJN5894H"</f>
        <v>09PJN5894H</v>
      </c>
      <c r="C3141" s="26" t="str">
        <f>"BAMBINELLO                                                                                          "</f>
        <v xml:space="preserve">BAMBINELLO                                                                                          </v>
      </c>
      <c r="D3141" s="26" t="str">
        <f>"TIEMPO COMPLETO"</f>
        <v>TIEMPO COMPLETO</v>
      </c>
      <c r="E3141" s="26" t="str">
        <f>"CUAUHTEMOC NO. 149                                                              "</f>
        <v xml:space="preserve">CUAUHTEMOC NO. 149                                                              </v>
      </c>
      <c r="F3141" s="26" t="str">
        <f>"SAN PEDRO                                                                                                                                   "</f>
        <v xml:space="preserve">SAN PEDRO                                                                                                                                   </v>
      </c>
      <c r="G3141" s="26" t="str">
        <f>"IZTAPALAPA                                                                      "</f>
        <v xml:space="preserve">IZTAPALAPA                                                                      </v>
      </c>
      <c r="H3141" s="26" t="str">
        <f>"000"</f>
        <v>000</v>
      </c>
      <c r="I3141" s="26" t="str">
        <f t="shared" si="620"/>
        <v>00</v>
      </c>
      <c r="J3141" s="26" t="str">
        <f>"61 "</f>
        <v xml:space="preserve">61 </v>
      </c>
      <c r="K3141" s="26" t="str">
        <f>"IZ"</f>
        <v>IZ</v>
      </c>
      <c r="L3141" s="26" t="str">
        <f>"DGSEI"</f>
        <v>DGSEI</v>
      </c>
      <c r="M3141" s="26" t="str">
        <f t="shared" si="618"/>
        <v>PARTICULAR</v>
      </c>
      <c r="N3141" s="26">
        <v>59</v>
      </c>
      <c r="O3141" s="26">
        <v>27</v>
      </c>
      <c r="P3141" s="26">
        <v>32</v>
      </c>
      <c r="Q3141" s="26">
        <v>2</v>
      </c>
      <c r="R3141" s="26">
        <v>1</v>
      </c>
      <c r="S3141" s="26">
        <v>1</v>
      </c>
      <c r="T3141" s="26">
        <v>3</v>
      </c>
      <c r="U3141" s="26">
        <v>5</v>
      </c>
      <c r="V3141" s="26">
        <v>1</v>
      </c>
      <c r="W3141" s="26"/>
    </row>
    <row r="3142" spans="1:23" x14ac:dyDescent="0.25">
      <c r="A3142" s="26" t="str">
        <f t="shared" si="619"/>
        <v>PREESCOLAR</v>
      </c>
      <c r="B3142" s="26" t="str">
        <f>"09PJN5895G"</f>
        <v>09PJN5895G</v>
      </c>
      <c r="C3142" s="26" t="str">
        <f>"JARDIN DE NIÑOS SAN AGUSTIN                                                                         "</f>
        <v xml:space="preserve">JARDIN DE NIÑOS SAN AGUSTIN                                                                         </v>
      </c>
      <c r="D3142" s="26" t="str">
        <f t="shared" ref="D3142:D3183" si="621">"MATUTINO"</f>
        <v>MATUTINO</v>
      </c>
      <c r="E3142" s="26" t="str">
        <f>"DELIA NO. 175                                                                   "</f>
        <v xml:space="preserve">DELIA NO. 175                                                                   </v>
      </c>
      <c r="F3142" s="26" t="str">
        <f>"GUADALUPE TEPEYAC                                                                                                                           "</f>
        <v xml:space="preserve">GUADALUPE TEPEYAC                                                                                                                           </v>
      </c>
      <c r="G3142" s="26" t="str">
        <f>"GUSTAVO A. MADERO                                                               "</f>
        <v xml:space="preserve">GUSTAVO A. MADERO                                                               </v>
      </c>
      <c r="H3142" s="26" t="str">
        <f>"177"</f>
        <v>177</v>
      </c>
      <c r="I3142" s="26" t="str">
        <f t="shared" si="620"/>
        <v>00</v>
      </c>
      <c r="J3142" s="26" t="str">
        <f>"32 "</f>
        <v xml:space="preserve">32 </v>
      </c>
      <c r="K3142" s="26" t="str">
        <f t="shared" ref="K3142:K3153" si="622">"EP"</f>
        <v>EP</v>
      </c>
      <c r="L3142" s="26" t="str">
        <f t="shared" ref="L3142:L3153" si="623">"DGOSE"</f>
        <v>DGOSE</v>
      </c>
      <c r="M3142" s="26" t="str">
        <f t="shared" si="618"/>
        <v>PARTICULAR</v>
      </c>
      <c r="N3142" s="26">
        <v>47</v>
      </c>
      <c r="O3142" s="26">
        <v>30</v>
      </c>
      <c r="P3142" s="26">
        <v>17</v>
      </c>
      <c r="Q3142" s="26">
        <v>3</v>
      </c>
      <c r="R3142" s="26">
        <v>1</v>
      </c>
      <c r="S3142" s="26">
        <v>3</v>
      </c>
      <c r="T3142" s="26">
        <v>4</v>
      </c>
      <c r="U3142" s="26">
        <v>8</v>
      </c>
      <c r="V3142" s="26">
        <v>1</v>
      </c>
      <c r="W3142" s="26"/>
    </row>
    <row r="3143" spans="1:23" x14ac:dyDescent="0.25">
      <c r="A3143" s="26" t="str">
        <f t="shared" si="619"/>
        <v>PREESCOLAR</v>
      </c>
      <c r="B3143" s="26" t="str">
        <f>"09PJN5896F"</f>
        <v>09PJN5896F</v>
      </c>
      <c r="C3143" s="26" t="s">
        <v>132</v>
      </c>
      <c r="D3143" s="26" t="str">
        <f t="shared" si="621"/>
        <v>MATUTINO</v>
      </c>
      <c r="E3143" s="26" t="str">
        <f>"AV. CENTENARIO NO. 2011                                                         "</f>
        <v xml:space="preserve">AV. CENTENARIO NO. 2011                                                         </v>
      </c>
      <c r="F3143" s="26" t="str">
        <f>"ATZACOALCO                                                                                                                                  "</f>
        <v xml:space="preserve">ATZACOALCO                                                                                                                                  </v>
      </c>
      <c r="G3143" s="26" t="str">
        <f>"GUSTAVO A. MADERO                                                               "</f>
        <v xml:space="preserve">GUSTAVO A. MADERO                                                               </v>
      </c>
      <c r="H3143" s="26" t="str">
        <f>"073"</f>
        <v>073</v>
      </c>
      <c r="I3143" s="26" t="str">
        <f t="shared" si="620"/>
        <v>00</v>
      </c>
      <c r="J3143" s="26" t="str">
        <f>"32 "</f>
        <v xml:space="preserve">32 </v>
      </c>
      <c r="K3143" s="26" t="str">
        <f t="shared" si="622"/>
        <v>EP</v>
      </c>
      <c r="L3143" s="26" t="str">
        <f t="shared" si="623"/>
        <v>DGOSE</v>
      </c>
      <c r="M3143" s="26" t="str">
        <f t="shared" si="618"/>
        <v>PARTICULAR</v>
      </c>
      <c r="N3143" s="26">
        <v>21</v>
      </c>
      <c r="O3143" s="26">
        <v>11</v>
      </c>
      <c r="P3143" s="26">
        <v>10</v>
      </c>
      <c r="Q3143" s="26">
        <v>2</v>
      </c>
      <c r="R3143" s="26">
        <v>1</v>
      </c>
      <c r="S3143" s="26">
        <v>2</v>
      </c>
      <c r="T3143" s="26">
        <v>7</v>
      </c>
      <c r="U3143" s="26">
        <v>10</v>
      </c>
      <c r="V3143" s="26">
        <v>1</v>
      </c>
      <c r="W3143" s="26"/>
    </row>
    <row r="3144" spans="1:23" x14ac:dyDescent="0.25">
      <c r="A3144" s="26" t="str">
        <f t="shared" si="619"/>
        <v>PREESCOLAR</v>
      </c>
      <c r="B3144" s="26" t="str">
        <f>"09PJN5897E"</f>
        <v>09PJN5897E</v>
      </c>
      <c r="C3144" s="26" t="str">
        <f>"COLEGIO ANGLO FRANCES INPO                                                                          "</f>
        <v xml:space="preserve">COLEGIO ANGLO FRANCES INPO                                                                          </v>
      </c>
      <c r="D3144" s="26" t="str">
        <f t="shared" si="621"/>
        <v>MATUTINO</v>
      </c>
      <c r="E3144" s="26" t="str">
        <f>"ACANTO LT. 310                                                                  "</f>
        <v xml:space="preserve">ACANTO LT. 310                                                                  </v>
      </c>
      <c r="F3144" s="26" t="str">
        <f>"MIGUEL HIDALGO                                                                                                                              "</f>
        <v xml:space="preserve">MIGUEL HIDALGO                                                                                                                              </v>
      </c>
      <c r="G3144" s="26" t="str">
        <f>"TLALPAN                                                                         "</f>
        <v xml:space="preserve">TLALPAN                                                                         </v>
      </c>
      <c r="H3144" s="26" t="str">
        <f>"225"</f>
        <v>225</v>
      </c>
      <c r="I3144" s="26" t="str">
        <f t="shared" si="620"/>
        <v>00</v>
      </c>
      <c r="J3144" s="26" t="str">
        <f>"35 "</f>
        <v xml:space="preserve">35 </v>
      </c>
      <c r="K3144" s="26" t="str">
        <f t="shared" si="622"/>
        <v>EP</v>
      </c>
      <c r="L3144" s="26" t="str">
        <f t="shared" si="623"/>
        <v>DGOSE</v>
      </c>
      <c r="M3144" s="26" t="str">
        <f t="shared" si="618"/>
        <v>PARTICULAR</v>
      </c>
      <c r="N3144" s="26">
        <v>60</v>
      </c>
      <c r="O3144" s="26">
        <v>34</v>
      </c>
      <c r="P3144" s="26">
        <v>26</v>
      </c>
      <c r="Q3144" s="26">
        <v>3</v>
      </c>
      <c r="R3144" s="26">
        <v>1</v>
      </c>
      <c r="S3144" s="26">
        <v>3</v>
      </c>
      <c r="T3144" s="26">
        <v>2</v>
      </c>
      <c r="U3144" s="26">
        <v>6</v>
      </c>
      <c r="V3144" s="26">
        <v>1</v>
      </c>
      <c r="W3144" s="26"/>
    </row>
    <row r="3145" spans="1:23" x14ac:dyDescent="0.25">
      <c r="A3145" s="26" t="str">
        <f t="shared" si="619"/>
        <v>PREESCOLAR</v>
      </c>
      <c r="B3145" s="26" t="str">
        <f>"09PJN5898D"</f>
        <v>09PJN5898D</v>
      </c>
      <c r="C3145" s="26" t="str">
        <f>"SKOOLLY                                                                                             "</f>
        <v xml:space="preserve">SKOOLLY                                                                                             </v>
      </c>
      <c r="D3145" s="26" t="str">
        <f t="shared" si="621"/>
        <v>MATUTINO</v>
      </c>
      <c r="E3145" s="26" t="str">
        <f>"CRATER NO.355                                                                   "</f>
        <v xml:space="preserve">CRATER NO.355                                                                   </v>
      </c>
      <c r="F3145" s="26" t="str">
        <f>"JARDINES DEL PEDREGAL                                                                                                                       "</f>
        <v xml:space="preserve">JARDINES DEL PEDREGAL                                                                                                                       </v>
      </c>
      <c r="G3145" s="26" t="str">
        <f>"ALVARO OBREGON                                                                  "</f>
        <v xml:space="preserve">ALVARO OBREGON                                                                  </v>
      </c>
      <c r="H3145" s="26" t="str">
        <f>"150"</f>
        <v>150</v>
      </c>
      <c r="I3145" s="26" t="str">
        <f t="shared" si="620"/>
        <v>00</v>
      </c>
      <c r="J3145" s="26" t="str">
        <f>"33 "</f>
        <v xml:space="preserve">33 </v>
      </c>
      <c r="K3145" s="26" t="str">
        <f t="shared" si="622"/>
        <v>EP</v>
      </c>
      <c r="L3145" s="26" t="str">
        <f t="shared" si="623"/>
        <v>DGOSE</v>
      </c>
      <c r="M3145" s="26" t="str">
        <f t="shared" si="618"/>
        <v>PARTICULAR</v>
      </c>
      <c r="N3145" s="26">
        <v>25</v>
      </c>
      <c r="O3145" s="26">
        <v>14</v>
      </c>
      <c r="P3145" s="26">
        <v>11</v>
      </c>
      <c r="Q3145" s="26">
        <v>3</v>
      </c>
      <c r="R3145" s="26">
        <v>1</v>
      </c>
      <c r="S3145" s="26">
        <v>2</v>
      </c>
      <c r="T3145" s="26">
        <v>5</v>
      </c>
      <c r="U3145" s="26">
        <v>8</v>
      </c>
      <c r="V3145" s="26">
        <v>1</v>
      </c>
      <c r="W3145" s="26"/>
    </row>
    <row r="3146" spans="1:23" x14ac:dyDescent="0.25">
      <c r="A3146" s="26" t="str">
        <f t="shared" si="619"/>
        <v>PREESCOLAR</v>
      </c>
      <c r="B3146" s="26" t="str">
        <f>"09PJN5899C"</f>
        <v>09PJN5899C</v>
      </c>
      <c r="C3146" s="26" t="str">
        <f>"THE AMERICAN CENTER FOR CHILDREN                                                                    "</f>
        <v xml:space="preserve">THE AMERICAN CENTER FOR CHILDREN                                                                    </v>
      </c>
      <c r="D3146" s="26" t="str">
        <f t="shared" si="621"/>
        <v>MATUTINO</v>
      </c>
      <c r="E3146" s="26" t="str">
        <f>"OBRERO MUNDIAL NO. 172                                                          "</f>
        <v xml:space="preserve">OBRERO MUNDIAL NO. 172                                                          </v>
      </c>
      <c r="F3146" s="26" t="str">
        <f>"BENITO JUAREZ                                                                                                                               "</f>
        <v xml:space="preserve">BENITO JUAREZ                                                                                                                               </v>
      </c>
      <c r="G3146" s="26" t="str">
        <f>"BENITO JUAREZ                                                                   "</f>
        <v xml:space="preserve">BENITO JUAREZ                                                                   </v>
      </c>
      <c r="H3146" s="26" t="str">
        <f>"232"</f>
        <v>232</v>
      </c>
      <c r="I3146" s="26" t="str">
        <f t="shared" si="620"/>
        <v>00</v>
      </c>
      <c r="J3146" s="26" t="str">
        <f>"33 "</f>
        <v xml:space="preserve">33 </v>
      </c>
      <c r="K3146" s="26" t="str">
        <f t="shared" si="622"/>
        <v>EP</v>
      </c>
      <c r="L3146" s="26" t="str">
        <f t="shared" si="623"/>
        <v>DGOSE</v>
      </c>
      <c r="M3146" s="26" t="str">
        <f t="shared" si="618"/>
        <v>PARTICULAR</v>
      </c>
      <c r="N3146" s="26">
        <v>27</v>
      </c>
      <c r="O3146" s="26">
        <v>16</v>
      </c>
      <c r="P3146" s="26">
        <v>11</v>
      </c>
      <c r="Q3146" s="26">
        <v>3</v>
      </c>
      <c r="R3146" s="26">
        <v>1</v>
      </c>
      <c r="S3146" s="26">
        <v>3</v>
      </c>
      <c r="T3146" s="26">
        <v>5</v>
      </c>
      <c r="U3146" s="26">
        <v>9</v>
      </c>
      <c r="V3146" s="26">
        <v>1</v>
      </c>
      <c r="W3146" s="26"/>
    </row>
    <row r="3147" spans="1:23" x14ac:dyDescent="0.25">
      <c r="A3147" s="26" t="str">
        <f t="shared" si="619"/>
        <v>PREESCOLAR</v>
      </c>
      <c r="B3147" s="26" t="str">
        <f>"09PJN5900O"</f>
        <v>09PJN5900O</v>
      </c>
      <c r="C3147" s="26" t="str">
        <f>"CENTRO EDUCATIVO ACTY GYM PEDREGAL                                                                  "</f>
        <v xml:space="preserve">CENTRO EDUCATIVO ACTY GYM PEDREGAL                                                                  </v>
      </c>
      <c r="D3147" s="26" t="str">
        <f t="shared" si="621"/>
        <v>MATUTINO</v>
      </c>
      <c r="E3147" s="26" t="str">
        <f>"LLANURA NO. 341                                                                 "</f>
        <v xml:space="preserve">LLANURA NO. 341                                                                 </v>
      </c>
      <c r="F3147" s="26" t="str">
        <f>"INSURGENTES CUICUILCO                                                                                                                       "</f>
        <v xml:space="preserve">INSURGENTES CUICUILCO                                                                                                                       </v>
      </c>
      <c r="G3147" s="26" t="str">
        <f>"COYOACAN                                                                        "</f>
        <v xml:space="preserve">COYOACAN                                                                        </v>
      </c>
      <c r="H3147" s="26" t="str">
        <f>"211"</f>
        <v>211</v>
      </c>
      <c r="I3147" s="26" t="str">
        <f t="shared" si="620"/>
        <v>00</v>
      </c>
      <c r="J3147" s="26" t="str">
        <f>"35 "</f>
        <v xml:space="preserve">35 </v>
      </c>
      <c r="K3147" s="26" t="str">
        <f t="shared" si="622"/>
        <v>EP</v>
      </c>
      <c r="L3147" s="26" t="str">
        <f t="shared" si="623"/>
        <v>DGOSE</v>
      </c>
      <c r="M3147" s="26" t="str">
        <f t="shared" si="618"/>
        <v>PARTICULAR</v>
      </c>
      <c r="N3147" s="26">
        <v>13</v>
      </c>
      <c r="O3147" s="26">
        <v>8</v>
      </c>
      <c r="P3147" s="26">
        <v>5</v>
      </c>
      <c r="Q3147" s="26">
        <v>2</v>
      </c>
      <c r="R3147" s="26">
        <v>1</v>
      </c>
      <c r="S3147" s="26">
        <v>1</v>
      </c>
      <c r="T3147" s="26">
        <v>4</v>
      </c>
      <c r="U3147" s="26">
        <v>6</v>
      </c>
      <c r="V3147" s="26">
        <v>1</v>
      </c>
      <c r="W3147" s="26"/>
    </row>
    <row r="3148" spans="1:23" x14ac:dyDescent="0.25">
      <c r="A3148" s="26" t="str">
        <f t="shared" si="619"/>
        <v>PREESCOLAR</v>
      </c>
      <c r="B3148" s="26" t="str">
        <f>"09PJN5901A"</f>
        <v>09PJN5901A</v>
      </c>
      <c r="C3148" s="26" t="str">
        <f>"COLEGIO MEXICO CANADA                                                                               "</f>
        <v xml:space="preserve">COLEGIO MEXICO CANADA                                                                               </v>
      </c>
      <c r="D3148" s="26" t="str">
        <f t="shared" si="621"/>
        <v>MATUTINO</v>
      </c>
      <c r="E3148" s="26" t="str">
        <f>"MANAGUA NO. 762                                                                 "</f>
        <v xml:space="preserve">MANAGUA NO. 762                                                                 </v>
      </c>
      <c r="F3148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3148" s="26" t="str">
        <f>"GUSTAVO A. MADERO                                                               "</f>
        <v xml:space="preserve">GUSTAVO A. MADERO                                                               </v>
      </c>
      <c r="H3148" s="26" t="str">
        <f>"068"</f>
        <v>068</v>
      </c>
      <c r="I3148" s="26" t="str">
        <f t="shared" si="620"/>
        <v>00</v>
      </c>
      <c r="J3148" s="26" t="str">
        <f>"32 "</f>
        <v xml:space="preserve">32 </v>
      </c>
      <c r="K3148" s="26" t="str">
        <f t="shared" si="622"/>
        <v>EP</v>
      </c>
      <c r="L3148" s="26" t="str">
        <f t="shared" si="623"/>
        <v>DGOSE</v>
      </c>
      <c r="M3148" s="26" t="str">
        <f t="shared" si="618"/>
        <v>PARTICULAR</v>
      </c>
      <c r="N3148" s="26">
        <v>6</v>
      </c>
      <c r="O3148" s="26">
        <v>4</v>
      </c>
      <c r="P3148" s="26">
        <v>2</v>
      </c>
      <c r="Q3148" s="26">
        <v>2</v>
      </c>
      <c r="R3148" s="26">
        <v>1</v>
      </c>
      <c r="S3148" s="26">
        <v>1</v>
      </c>
      <c r="T3148" s="26">
        <v>5</v>
      </c>
      <c r="U3148" s="26">
        <v>7</v>
      </c>
      <c r="V3148" s="26">
        <v>1</v>
      </c>
      <c r="W3148" s="26"/>
    </row>
    <row r="3149" spans="1:23" x14ac:dyDescent="0.25">
      <c r="A3149" s="26" t="str">
        <f t="shared" si="619"/>
        <v>PREESCOLAR</v>
      </c>
      <c r="B3149" s="26" t="str">
        <f>"09PJN5902Z"</f>
        <v>09PJN5902Z</v>
      </c>
      <c r="C3149" s="26" t="str">
        <f>"CENTRO HOLISTICO INFANTIL FESTUM                                                                    "</f>
        <v xml:space="preserve">CENTRO HOLISTICO INFANTIL FESTUM                                                                    </v>
      </c>
      <c r="D3149" s="26" t="str">
        <f t="shared" si="621"/>
        <v>MATUTINO</v>
      </c>
      <c r="E3149" s="26" t="str">
        <f>"GUADALAJARA NO. 47                                                              "</f>
        <v xml:space="preserve">GUADALAJARA NO. 47                                                              </v>
      </c>
      <c r="F3149" s="26" t="str">
        <f>"MIGUEL HIDALGO                                                                                                                              "</f>
        <v xml:space="preserve">MIGUEL HIDALGO                                                                                                                              </v>
      </c>
      <c r="G3149" s="26" t="str">
        <f>"TLALPAN                                                                         "</f>
        <v xml:space="preserve">TLALPAN                                                                         </v>
      </c>
      <c r="H3149" s="26" t="str">
        <f>"222"</f>
        <v>222</v>
      </c>
      <c r="I3149" s="26" t="str">
        <f t="shared" si="620"/>
        <v>00</v>
      </c>
      <c r="J3149" s="26" t="str">
        <f>"35 "</f>
        <v xml:space="preserve">35 </v>
      </c>
      <c r="K3149" s="26" t="str">
        <f t="shared" si="622"/>
        <v>EP</v>
      </c>
      <c r="L3149" s="26" t="str">
        <f t="shared" si="623"/>
        <v>DGOSE</v>
      </c>
      <c r="M3149" s="26" t="str">
        <f t="shared" si="618"/>
        <v>PARTICULAR</v>
      </c>
      <c r="N3149" s="26">
        <v>48</v>
      </c>
      <c r="O3149" s="26">
        <v>23</v>
      </c>
      <c r="P3149" s="26">
        <v>25</v>
      </c>
      <c r="Q3149" s="26">
        <v>3</v>
      </c>
      <c r="R3149" s="26">
        <v>1</v>
      </c>
      <c r="S3149" s="26">
        <v>3</v>
      </c>
      <c r="T3149" s="26">
        <v>4</v>
      </c>
      <c r="U3149" s="26">
        <v>8</v>
      </c>
      <c r="V3149" s="26">
        <v>1</v>
      </c>
      <c r="W3149" s="26"/>
    </row>
    <row r="3150" spans="1:23" x14ac:dyDescent="0.25">
      <c r="A3150" s="26" t="str">
        <f t="shared" si="619"/>
        <v>PREESCOLAR</v>
      </c>
      <c r="B3150" s="26" t="str">
        <f>"09PJN5903Z"</f>
        <v>09PJN5903Z</v>
      </c>
      <c r="C3150" s="26" t="str">
        <f>"JARDIN DE NIÑOS LINDAVISTA                                                                          "</f>
        <v xml:space="preserve">JARDIN DE NIÑOS LINDAVISTA                                                                          </v>
      </c>
      <c r="D3150" s="26" t="str">
        <f t="shared" si="621"/>
        <v>MATUTINO</v>
      </c>
      <c r="E3150" s="26" t="str">
        <f>"MATANZAS NO. 1013                                                               "</f>
        <v xml:space="preserve">MATANZAS NO. 1013                                                               </v>
      </c>
      <c r="F3150" s="26" t="str">
        <f>"RESIDENCIAL ZACATENCO                                                                                                                       "</f>
        <v xml:space="preserve">RESIDENCIAL ZACATENCO                                                                                                                       </v>
      </c>
      <c r="G3150" s="26" t="str">
        <f>"GUSTAVO A. MADERO                                                               "</f>
        <v xml:space="preserve">GUSTAVO A. MADERO                                                               </v>
      </c>
      <c r="H3150" s="26" t="str">
        <f>"068"</f>
        <v>068</v>
      </c>
      <c r="I3150" s="26" t="str">
        <f t="shared" si="620"/>
        <v>00</v>
      </c>
      <c r="J3150" s="26" t="str">
        <f>"32 "</f>
        <v xml:space="preserve">32 </v>
      </c>
      <c r="K3150" s="26" t="str">
        <f t="shared" si="622"/>
        <v>EP</v>
      </c>
      <c r="L3150" s="26" t="str">
        <f t="shared" si="623"/>
        <v>DGOSE</v>
      </c>
      <c r="M3150" s="26" t="str">
        <f t="shared" si="618"/>
        <v>PARTICULAR</v>
      </c>
      <c r="N3150" s="26">
        <v>51</v>
      </c>
      <c r="O3150" s="26">
        <v>28</v>
      </c>
      <c r="P3150" s="26">
        <v>23</v>
      </c>
      <c r="Q3150" s="26">
        <v>4</v>
      </c>
      <c r="R3150" s="26">
        <v>1</v>
      </c>
      <c r="S3150" s="26">
        <v>4</v>
      </c>
      <c r="T3150" s="26">
        <v>2</v>
      </c>
      <c r="U3150" s="26">
        <v>7</v>
      </c>
      <c r="V3150" s="26">
        <v>1</v>
      </c>
      <c r="W3150" s="26"/>
    </row>
    <row r="3151" spans="1:23" x14ac:dyDescent="0.25">
      <c r="A3151" s="26" t="str">
        <f t="shared" si="619"/>
        <v>PREESCOLAR</v>
      </c>
      <c r="B3151" s="26" t="str">
        <f>"09PJN5904Y"</f>
        <v>09PJN5904Y</v>
      </c>
      <c r="C3151" s="26" t="str">
        <f>"COLEGIO BILINGÜE VENCEDORES DE MÉXICO                                                               "</f>
        <v xml:space="preserve">COLEGIO BILINGÜE VENCEDORES DE MÉXICO                                                               </v>
      </c>
      <c r="D3151" s="26" t="str">
        <f t="shared" si="621"/>
        <v>MATUTINO</v>
      </c>
      <c r="E3151" s="26" t="str">
        <f>"ARBUSTOS S/N LOTE 21                                                            "</f>
        <v xml:space="preserve">ARBUSTOS S/N LOTE 21                                                            </v>
      </c>
      <c r="F3151" s="26" t="str">
        <f>"LAS HADAS                                                                                                                                   "</f>
        <v xml:space="preserve">LAS HADAS                                                                                                                                   </v>
      </c>
      <c r="G3151" s="26" t="str">
        <f>"TLALPAN                                                                         "</f>
        <v xml:space="preserve">TLALPAN                                                                         </v>
      </c>
      <c r="H3151" s="26" t="str">
        <f>"050"</f>
        <v>050</v>
      </c>
      <c r="I3151" s="26" t="str">
        <f t="shared" si="620"/>
        <v>00</v>
      </c>
      <c r="J3151" s="26" t="str">
        <f>"35 "</f>
        <v xml:space="preserve">35 </v>
      </c>
      <c r="K3151" s="26" t="str">
        <f t="shared" si="622"/>
        <v>EP</v>
      </c>
      <c r="L3151" s="26" t="str">
        <f t="shared" si="623"/>
        <v>DGOSE</v>
      </c>
      <c r="M3151" s="26" t="str">
        <f t="shared" si="618"/>
        <v>PARTICULAR</v>
      </c>
      <c r="N3151" s="26">
        <v>28</v>
      </c>
      <c r="O3151" s="26">
        <v>16</v>
      </c>
      <c r="P3151" s="26">
        <v>12</v>
      </c>
      <c r="Q3151" s="26">
        <v>3</v>
      </c>
      <c r="R3151" s="26">
        <v>1</v>
      </c>
      <c r="S3151" s="26">
        <v>2</v>
      </c>
      <c r="T3151" s="26">
        <v>4</v>
      </c>
      <c r="U3151" s="26">
        <v>7</v>
      </c>
      <c r="V3151" s="26">
        <v>1</v>
      </c>
      <c r="W3151" s="26"/>
    </row>
    <row r="3152" spans="1:23" x14ac:dyDescent="0.25">
      <c r="A3152" s="26" t="str">
        <f t="shared" si="619"/>
        <v>PREESCOLAR</v>
      </c>
      <c r="B3152" s="26" t="str">
        <f>"09PJN5905X"</f>
        <v>09PJN5905X</v>
      </c>
      <c r="C3152" s="26" t="str">
        <f>"AMERICAN BRITISH SCHOOL LINDAVISTA                                                                  "</f>
        <v xml:space="preserve">AMERICAN BRITISH SCHOOL LINDAVISTA                                                                  </v>
      </c>
      <c r="D3152" s="26" t="str">
        <f t="shared" si="621"/>
        <v>MATUTINO</v>
      </c>
      <c r="E3152" s="26" t="str">
        <f>"AREQUIPA NO. 606                                                                "</f>
        <v xml:space="preserve">AREQUIPA NO. 606                                                                </v>
      </c>
      <c r="F3152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3152" s="26" t="str">
        <f>"GUSTAVO A. MADERO                                                               "</f>
        <v xml:space="preserve">GUSTAVO A. MADERO                                                               </v>
      </c>
      <c r="H3152" s="26" t="str">
        <f>"197"</f>
        <v>197</v>
      </c>
      <c r="I3152" s="26" t="str">
        <f t="shared" si="620"/>
        <v>00</v>
      </c>
      <c r="J3152" s="26" t="str">
        <f>"32 "</f>
        <v xml:space="preserve">32 </v>
      </c>
      <c r="K3152" s="26" t="str">
        <f t="shared" si="622"/>
        <v>EP</v>
      </c>
      <c r="L3152" s="26" t="str">
        <f t="shared" si="623"/>
        <v>DGOSE</v>
      </c>
      <c r="M3152" s="26" t="str">
        <f t="shared" si="618"/>
        <v>PARTICULAR</v>
      </c>
      <c r="N3152" s="26">
        <v>20</v>
      </c>
      <c r="O3152" s="26">
        <v>9</v>
      </c>
      <c r="P3152" s="26">
        <v>11</v>
      </c>
      <c r="Q3152" s="26">
        <v>3</v>
      </c>
      <c r="R3152" s="26">
        <v>1</v>
      </c>
      <c r="S3152" s="26">
        <v>2</v>
      </c>
      <c r="T3152" s="26">
        <v>3</v>
      </c>
      <c r="U3152" s="26">
        <v>6</v>
      </c>
      <c r="V3152" s="26">
        <v>1</v>
      </c>
      <c r="W3152" s="26"/>
    </row>
    <row r="3153" spans="1:23" x14ac:dyDescent="0.25">
      <c r="A3153" s="26" t="str">
        <f t="shared" si="619"/>
        <v>PREESCOLAR</v>
      </c>
      <c r="B3153" s="26" t="str">
        <f>"09PJN5906W"</f>
        <v>09PJN5906W</v>
      </c>
      <c r="C3153" s="26" t="str">
        <f>"PREESCOLAR RAFAEL DONDE                                                                             "</f>
        <v xml:space="preserve">PREESCOLAR RAFAEL DONDE                                                                             </v>
      </c>
      <c r="D3153" s="26" t="str">
        <f t="shared" si="621"/>
        <v>MATUTINO</v>
      </c>
      <c r="E3153" s="26" t="str">
        <f>"AV. CENTRAL NO. 41 (ENT. ANT.VIA VENTA)                                         "</f>
        <v xml:space="preserve">AV. CENTRAL NO. 41 (ENT. ANT.VIA VENTA)                                         </v>
      </c>
      <c r="F3153" s="26" t="str">
        <f>"CAROLA                                                                                                                                      "</f>
        <v xml:space="preserve">CAROLA                                                                                                                                      </v>
      </c>
      <c r="G3153" s="26" t="str">
        <f>"ALVARO OBREGON                                                                  "</f>
        <v xml:space="preserve">ALVARO OBREGON                                                                  </v>
      </c>
      <c r="H3153" s="26" t="str">
        <f>"165"</f>
        <v>165</v>
      </c>
      <c r="I3153" s="26" t="str">
        <f t="shared" si="620"/>
        <v>00</v>
      </c>
      <c r="J3153" s="26" t="str">
        <f>"33 "</f>
        <v xml:space="preserve">33 </v>
      </c>
      <c r="K3153" s="26" t="str">
        <f t="shared" si="622"/>
        <v>EP</v>
      </c>
      <c r="L3153" s="26" t="str">
        <f t="shared" si="623"/>
        <v>DGOSE</v>
      </c>
      <c r="M3153" s="26" t="str">
        <f t="shared" si="618"/>
        <v>PARTICULAR</v>
      </c>
      <c r="N3153" s="26">
        <v>141</v>
      </c>
      <c r="O3153" s="26">
        <v>69</v>
      </c>
      <c r="P3153" s="26">
        <v>72</v>
      </c>
      <c r="Q3153" s="26">
        <v>5</v>
      </c>
      <c r="R3153" s="26">
        <v>1</v>
      </c>
      <c r="S3153" s="26">
        <v>5</v>
      </c>
      <c r="T3153" s="26">
        <v>6</v>
      </c>
      <c r="U3153" s="26">
        <v>12</v>
      </c>
      <c r="V3153" s="26">
        <v>1</v>
      </c>
      <c r="W3153" s="26"/>
    </row>
    <row r="3154" spans="1:23" x14ac:dyDescent="0.25">
      <c r="A3154" s="26" t="str">
        <f t="shared" si="619"/>
        <v>PREESCOLAR</v>
      </c>
      <c r="B3154" s="26" t="str">
        <f>"09PJN5907V"</f>
        <v>09PJN5907V</v>
      </c>
      <c r="C3154" s="26" t="str">
        <f>"INSTITUTO PEDAGOGICO DE EDUCACION INICIAL                                                           "</f>
        <v xml:space="preserve">INSTITUTO PEDAGOGICO DE EDUCACION INICIAL                                                           </v>
      </c>
      <c r="D3154" s="26" t="str">
        <f t="shared" si="621"/>
        <v>MATUTINO</v>
      </c>
      <c r="E3154" s="26" t="str">
        <f>"CALZADA ERMITA IZTAPALAPA NO. 2393                                              "</f>
        <v xml:space="preserve">CALZADA ERMITA IZTAPALAPA NO. 2393                                              </v>
      </c>
      <c r="F3154" s="26" t="str">
        <f>"SANTA CRUZ MEYEHUALCO                                                                                                                       "</f>
        <v xml:space="preserve">SANTA CRUZ MEYEHUALCO                                                                                                                       </v>
      </c>
      <c r="G3154" s="26" t="str">
        <f>"IZTAPALAPA                                                                      "</f>
        <v xml:space="preserve">IZTAPALAPA                                                                      </v>
      </c>
      <c r="H3154" s="26" t="str">
        <f>"000"</f>
        <v>000</v>
      </c>
      <c r="I3154" s="26" t="str">
        <f t="shared" si="620"/>
        <v>00</v>
      </c>
      <c r="J3154" s="26" t="str">
        <f>"64 "</f>
        <v xml:space="preserve">64 </v>
      </c>
      <c r="K3154" s="26" t="str">
        <f>"IZ"</f>
        <v>IZ</v>
      </c>
      <c r="L3154" s="26" t="str">
        <f>"DGSEI"</f>
        <v>DGSEI</v>
      </c>
      <c r="M3154" s="26" t="str">
        <f t="shared" si="618"/>
        <v>PARTICULAR</v>
      </c>
      <c r="N3154" s="26">
        <v>38</v>
      </c>
      <c r="O3154" s="26">
        <v>26</v>
      </c>
      <c r="P3154" s="26">
        <v>12</v>
      </c>
      <c r="Q3154" s="26">
        <v>1</v>
      </c>
      <c r="R3154" s="26">
        <v>0</v>
      </c>
      <c r="S3154" s="26">
        <v>1</v>
      </c>
      <c r="T3154" s="26">
        <v>4</v>
      </c>
      <c r="U3154" s="26">
        <v>5</v>
      </c>
      <c r="V3154" s="26">
        <v>1</v>
      </c>
      <c r="W3154" s="26"/>
    </row>
    <row r="3155" spans="1:23" x14ac:dyDescent="0.25">
      <c r="A3155" s="26" t="str">
        <f t="shared" si="619"/>
        <v>PREESCOLAR</v>
      </c>
      <c r="B3155" s="26" t="str">
        <f>"09PJN5908U"</f>
        <v>09PJN5908U</v>
      </c>
      <c r="C3155" s="26" t="str">
        <f>"APRENDIZAJE ACTIVO                                                                                  "</f>
        <v xml:space="preserve">APRENDIZAJE ACTIVO                                                                                  </v>
      </c>
      <c r="D3155" s="26" t="str">
        <f t="shared" si="621"/>
        <v>MATUTINO</v>
      </c>
      <c r="E3155" s="26" t="str">
        <f>"SUR 107-A NO. 746                                                               "</f>
        <v xml:space="preserve">SUR 107-A NO. 746                                                               </v>
      </c>
      <c r="F3155" s="26" t="str">
        <f>"SECTOR POPULAR                                                                                                                              "</f>
        <v xml:space="preserve">SECTOR POPULAR                                                                                                                              </v>
      </c>
      <c r="G3155" s="26" t="str">
        <f>"IZTAPALAPA                                                                      "</f>
        <v xml:space="preserve">IZTAPALAPA                                                                      </v>
      </c>
      <c r="H3155" s="26" t="str">
        <f>"000"</f>
        <v>000</v>
      </c>
      <c r="I3155" s="26" t="str">
        <f t="shared" si="620"/>
        <v>00</v>
      </c>
      <c r="J3155" s="26" t="str">
        <f>"61 "</f>
        <v xml:space="preserve">61 </v>
      </c>
      <c r="K3155" s="26" t="str">
        <f>"IZ"</f>
        <v>IZ</v>
      </c>
      <c r="L3155" s="26" t="str">
        <f>"DGSEI"</f>
        <v>DGSEI</v>
      </c>
      <c r="M3155" s="26" t="str">
        <f t="shared" si="618"/>
        <v>PARTICULAR</v>
      </c>
      <c r="N3155" s="26">
        <v>35</v>
      </c>
      <c r="O3155" s="26">
        <v>18</v>
      </c>
      <c r="P3155" s="26">
        <v>17</v>
      </c>
      <c r="Q3155" s="26">
        <v>2</v>
      </c>
      <c r="R3155" s="26">
        <v>1</v>
      </c>
      <c r="S3155" s="26">
        <v>1</v>
      </c>
      <c r="T3155" s="26">
        <v>6</v>
      </c>
      <c r="U3155" s="26">
        <v>8</v>
      </c>
      <c r="V3155" s="26">
        <v>1</v>
      </c>
      <c r="W3155" s="26"/>
    </row>
    <row r="3156" spans="1:23" x14ac:dyDescent="0.25">
      <c r="A3156" s="26" t="str">
        <f t="shared" si="619"/>
        <v>PREESCOLAR</v>
      </c>
      <c r="B3156" s="26" t="str">
        <f>"09PJN5909T"</f>
        <v>09PJN5909T</v>
      </c>
      <c r="C3156" s="26" t="str">
        <f>"PICAROL                                                                                             "</f>
        <v xml:space="preserve">PICAROL                                                                                             </v>
      </c>
      <c r="D3156" s="26" t="str">
        <f t="shared" si="621"/>
        <v>MATUTINO</v>
      </c>
      <c r="E3156" s="26" t="str">
        <f>"ARMADA DE MEXICO NO. 46                                                         "</f>
        <v xml:space="preserve">ARMADA DE MEXICO NO. 46                                                         </v>
      </c>
      <c r="F3156" s="26" t="str">
        <f>"LOMAS DE CHAMIZAL                                                                                                                           "</f>
        <v xml:space="preserve">LOMAS DE CHAMIZAL                                                                                                                           </v>
      </c>
      <c r="G3156" s="26" t="str">
        <f>"CUAJIMALPA DE MORELOS                                                           "</f>
        <v xml:space="preserve">CUAJIMALPA DE MORELOS                                                           </v>
      </c>
      <c r="H3156" s="26" t="str">
        <f>"089"</f>
        <v>089</v>
      </c>
      <c r="I3156" s="26" t="str">
        <f t="shared" si="620"/>
        <v>00</v>
      </c>
      <c r="J3156" s="26" t="str">
        <f>"33 "</f>
        <v xml:space="preserve">33 </v>
      </c>
      <c r="K3156" s="26" t="str">
        <f t="shared" ref="K3156:K3171" si="624">"EP"</f>
        <v>EP</v>
      </c>
      <c r="L3156" s="26" t="str">
        <f t="shared" ref="L3156:L3171" si="625">"DGOSE"</f>
        <v>DGOSE</v>
      </c>
      <c r="M3156" s="26" t="str">
        <f t="shared" si="618"/>
        <v>PARTICULAR</v>
      </c>
      <c r="N3156" s="26">
        <v>7</v>
      </c>
      <c r="O3156" s="26">
        <v>4</v>
      </c>
      <c r="P3156" s="26">
        <v>3</v>
      </c>
      <c r="Q3156" s="26">
        <v>3</v>
      </c>
      <c r="R3156" s="26">
        <v>1</v>
      </c>
      <c r="S3156" s="26">
        <v>1</v>
      </c>
      <c r="T3156" s="26">
        <v>1</v>
      </c>
      <c r="U3156" s="26">
        <v>3</v>
      </c>
      <c r="V3156" s="26">
        <v>1</v>
      </c>
      <c r="W3156" s="26"/>
    </row>
    <row r="3157" spans="1:23" x14ac:dyDescent="0.25">
      <c r="A3157" s="26" t="str">
        <f t="shared" si="619"/>
        <v>PREESCOLAR</v>
      </c>
      <c r="B3157" s="26" t="str">
        <f>"09PJN5910I"</f>
        <v>09PJN5910I</v>
      </c>
      <c r="C3157" s="26" t="str">
        <f>"COLEGIO BILINGÜE LONDONDERRY                                                                        "</f>
        <v xml:space="preserve">COLEGIO BILINGÜE LONDONDERRY                                                                        </v>
      </c>
      <c r="D3157" s="26" t="str">
        <f t="shared" si="621"/>
        <v>MATUTINO</v>
      </c>
      <c r="E3157" s="26" t="str">
        <f>"ABASOLO NO. 422 ANTES 89                                                        "</f>
        <v xml:space="preserve">ABASOLO NO. 422 ANTES 89                                                        </v>
      </c>
      <c r="F3157" s="26" t="str">
        <f>"SANTA MARIA TEPEPAN                                                                                                                         "</f>
        <v xml:space="preserve">SANTA MARIA TEPEPAN                                                                                                                         </v>
      </c>
      <c r="G3157" s="26" t="str">
        <f>"XOCHIMILCO                                                                      "</f>
        <v xml:space="preserve">XOCHIMILCO                                                                      </v>
      </c>
      <c r="H3157" s="26" t="str">
        <f>"081"</f>
        <v>081</v>
      </c>
      <c r="I3157" s="26" t="str">
        <f t="shared" si="620"/>
        <v>00</v>
      </c>
      <c r="J3157" s="26" t="str">
        <f>"35 "</f>
        <v xml:space="preserve">35 </v>
      </c>
      <c r="K3157" s="26" t="str">
        <f t="shared" si="624"/>
        <v>EP</v>
      </c>
      <c r="L3157" s="26" t="str">
        <f t="shared" si="625"/>
        <v>DGOSE</v>
      </c>
      <c r="M3157" s="26" t="str">
        <f t="shared" si="618"/>
        <v>PARTICULAR</v>
      </c>
      <c r="N3157" s="26">
        <v>34</v>
      </c>
      <c r="O3157" s="26">
        <v>19</v>
      </c>
      <c r="P3157" s="26">
        <v>15</v>
      </c>
      <c r="Q3157" s="26">
        <v>3</v>
      </c>
      <c r="R3157" s="26">
        <v>1</v>
      </c>
      <c r="S3157" s="26">
        <v>2</v>
      </c>
      <c r="T3157" s="26">
        <v>6</v>
      </c>
      <c r="U3157" s="26">
        <v>9</v>
      </c>
      <c r="V3157" s="26">
        <v>1</v>
      </c>
      <c r="W3157" s="26"/>
    </row>
    <row r="3158" spans="1:23" x14ac:dyDescent="0.25">
      <c r="A3158" s="26" t="str">
        <f t="shared" si="619"/>
        <v>PREESCOLAR</v>
      </c>
      <c r="B3158" s="26" t="str">
        <f>"09PJN5911H"</f>
        <v>09PJN5911H</v>
      </c>
      <c r="C3158" s="26" t="str">
        <f>"JARDIN DE NIÑOS KHORII                                                                              "</f>
        <v xml:space="preserve">JARDIN DE NIÑOS KHORII                                                                              </v>
      </c>
      <c r="D3158" s="26" t="str">
        <f t="shared" si="621"/>
        <v>MATUTINO</v>
      </c>
      <c r="E3158" s="26" t="str">
        <f>"CHOSICA NO. 703                                                                 "</f>
        <v xml:space="preserve">CHOSICA NO. 703                                                                 </v>
      </c>
      <c r="F3158" s="26" t="str">
        <f>"LINDAVISTA AMPLIACION                                                                                                                       "</f>
        <v xml:space="preserve">LINDAVISTA AMPLIACION                                                                                                                       </v>
      </c>
      <c r="G3158" s="26" t="str">
        <f>"GUSTAVO A. MADERO                                                               "</f>
        <v xml:space="preserve">GUSTAVO A. MADERO                                                               </v>
      </c>
      <c r="H3158" s="26" t="str">
        <f>"105"</f>
        <v>105</v>
      </c>
      <c r="I3158" s="26" t="str">
        <f t="shared" si="620"/>
        <v>00</v>
      </c>
      <c r="J3158" s="26" t="str">
        <f>"32 "</f>
        <v xml:space="preserve">32 </v>
      </c>
      <c r="K3158" s="26" t="str">
        <f t="shared" si="624"/>
        <v>EP</v>
      </c>
      <c r="L3158" s="26" t="str">
        <f t="shared" si="625"/>
        <v>DGOSE</v>
      </c>
      <c r="M3158" s="26" t="str">
        <f t="shared" si="618"/>
        <v>PARTICULAR</v>
      </c>
      <c r="N3158" s="26">
        <v>22</v>
      </c>
      <c r="O3158" s="26">
        <v>13</v>
      </c>
      <c r="P3158" s="26">
        <v>9</v>
      </c>
      <c r="Q3158" s="26">
        <v>3</v>
      </c>
      <c r="R3158" s="26">
        <v>1</v>
      </c>
      <c r="S3158" s="26">
        <v>2</v>
      </c>
      <c r="T3158" s="26">
        <v>5</v>
      </c>
      <c r="U3158" s="26">
        <v>8</v>
      </c>
      <c r="V3158" s="26">
        <v>1</v>
      </c>
      <c r="W3158" s="26"/>
    </row>
    <row r="3159" spans="1:23" x14ac:dyDescent="0.25">
      <c r="A3159" s="26" t="str">
        <f t="shared" si="619"/>
        <v>PREESCOLAR</v>
      </c>
      <c r="B3159" s="26" t="str">
        <f>"09PJN5912G"</f>
        <v>09PJN5912G</v>
      </c>
      <c r="C3159" s="26" t="str">
        <f>"CENTRO EDUCATIVO SNOOPYY                                                                            "</f>
        <v xml:space="preserve">CENTRO EDUCATIVO SNOOPYY                                                                            </v>
      </c>
      <c r="D3159" s="26" t="str">
        <f t="shared" si="621"/>
        <v>MATUTINO</v>
      </c>
      <c r="E3159" s="26" t="str">
        <f>"LAGO GINEBRA NO. 159                                                            "</f>
        <v xml:space="preserve">LAGO GINEBRA NO. 159                                                            </v>
      </c>
      <c r="F3159" s="26" t="str">
        <f>"PENSIL                                                                                                                                      "</f>
        <v xml:space="preserve">PENSIL                                                                                                                                      </v>
      </c>
      <c r="G3159" s="26" t="str">
        <f>"MIGUEL HIDALGO                                                                  "</f>
        <v xml:space="preserve">MIGUEL HIDALGO                                                                  </v>
      </c>
      <c r="H3159" s="26" t="str">
        <f>"106"</f>
        <v>106</v>
      </c>
      <c r="I3159" s="26" t="str">
        <f t="shared" si="620"/>
        <v>00</v>
      </c>
      <c r="J3159" s="26" t="str">
        <f>"32 "</f>
        <v xml:space="preserve">32 </v>
      </c>
      <c r="K3159" s="26" t="str">
        <f t="shared" si="624"/>
        <v>EP</v>
      </c>
      <c r="L3159" s="26" t="str">
        <f t="shared" si="625"/>
        <v>DGOSE</v>
      </c>
      <c r="M3159" s="26" t="str">
        <f t="shared" si="618"/>
        <v>PARTICULAR</v>
      </c>
      <c r="N3159" s="26">
        <v>31</v>
      </c>
      <c r="O3159" s="26">
        <v>18</v>
      </c>
      <c r="P3159" s="26">
        <v>13</v>
      </c>
      <c r="Q3159" s="26">
        <v>3</v>
      </c>
      <c r="R3159" s="26">
        <v>1</v>
      </c>
      <c r="S3159" s="26">
        <v>2</v>
      </c>
      <c r="T3159" s="26">
        <v>6</v>
      </c>
      <c r="U3159" s="26">
        <v>9</v>
      </c>
      <c r="V3159" s="26">
        <v>1</v>
      </c>
      <c r="W3159" s="26"/>
    </row>
    <row r="3160" spans="1:23" x14ac:dyDescent="0.25">
      <c r="A3160" s="26" t="str">
        <f t="shared" si="619"/>
        <v>PREESCOLAR</v>
      </c>
      <c r="B3160" s="26" t="str">
        <f>"09PJN5913F"</f>
        <v>09PJN5913F</v>
      </c>
      <c r="C3160" s="26" t="str">
        <f>"COLEGIO BATALLON DE SAN PATRICIO                                                                    "</f>
        <v xml:space="preserve">COLEGIO BATALLON DE SAN PATRICIO                                                                    </v>
      </c>
      <c r="D3160" s="26" t="str">
        <f t="shared" si="621"/>
        <v>MATUTINO</v>
      </c>
      <c r="E3160" s="26" t="str">
        <f>"AV. GUADALUPE I. RAMIREZ NO. 298                                                "</f>
        <v xml:space="preserve">AV. GUADALUPE I. RAMIREZ NO. 298                                                </v>
      </c>
      <c r="F3160" s="26" t="str">
        <f>"SAN MARCOS                                                                                                                                  "</f>
        <v xml:space="preserve">SAN MARCOS                                                                                                                                  </v>
      </c>
      <c r="G3160" s="26" t="str">
        <f>"XOCHIMILCO                                                                      "</f>
        <v xml:space="preserve">XOCHIMILCO                                                                      </v>
      </c>
      <c r="H3160" s="26" t="str">
        <f>"033"</f>
        <v>033</v>
      </c>
      <c r="I3160" s="26" t="str">
        <f t="shared" si="620"/>
        <v>00</v>
      </c>
      <c r="J3160" s="26" t="str">
        <f>"35 "</f>
        <v xml:space="preserve">35 </v>
      </c>
      <c r="K3160" s="26" t="str">
        <f t="shared" si="624"/>
        <v>EP</v>
      </c>
      <c r="L3160" s="26" t="str">
        <f t="shared" si="625"/>
        <v>DGOSE</v>
      </c>
      <c r="M3160" s="26" t="str">
        <f t="shared" si="618"/>
        <v>PARTICULAR</v>
      </c>
      <c r="N3160" s="26">
        <v>42</v>
      </c>
      <c r="O3160" s="26">
        <v>29</v>
      </c>
      <c r="P3160" s="26">
        <v>13</v>
      </c>
      <c r="Q3160" s="26">
        <v>3</v>
      </c>
      <c r="R3160" s="26">
        <v>1</v>
      </c>
      <c r="S3160" s="26">
        <v>2</v>
      </c>
      <c r="T3160" s="26">
        <v>6</v>
      </c>
      <c r="U3160" s="26">
        <v>9</v>
      </c>
      <c r="V3160" s="26">
        <v>1</v>
      </c>
      <c r="W3160" s="26"/>
    </row>
    <row r="3161" spans="1:23" x14ac:dyDescent="0.25">
      <c r="A3161" s="26" t="str">
        <f t="shared" si="619"/>
        <v>PREESCOLAR</v>
      </c>
      <c r="B3161" s="26" t="str">
        <f>"09PJN5914E"</f>
        <v>09PJN5914E</v>
      </c>
      <c r="C3161" s="26" t="str">
        <f>"INSTITUTO DE LAS BALEARES                                                                           "</f>
        <v xml:space="preserve">INSTITUTO DE LAS BALEARES                                                                           </v>
      </c>
      <c r="D3161" s="26" t="str">
        <f t="shared" si="621"/>
        <v>MATUTINO</v>
      </c>
      <c r="E3161" s="26" t="str">
        <f>"GUADALUPE I. RAMIREZ NO. 616                                                    "</f>
        <v xml:space="preserve">GUADALUPE I. RAMIREZ NO. 616                                                    </v>
      </c>
      <c r="F3161" s="26" t="str">
        <f>"TIERRA NUEVA                                                                                                                                "</f>
        <v xml:space="preserve">TIERRA NUEVA                                                                                                                                </v>
      </c>
      <c r="G3161" s="26" t="str">
        <f>"XOCHIMILCO                                                                      "</f>
        <v xml:space="preserve">XOCHIMILCO                                                                      </v>
      </c>
      <c r="H3161" s="26" t="str">
        <f>"084"</f>
        <v>084</v>
      </c>
      <c r="I3161" s="26" t="str">
        <f t="shared" si="620"/>
        <v>00</v>
      </c>
      <c r="J3161" s="26" t="str">
        <f>"35 "</f>
        <v xml:space="preserve">35 </v>
      </c>
      <c r="K3161" s="26" t="str">
        <f t="shared" si="624"/>
        <v>EP</v>
      </c>
      <c r="L3161" s="26" t="str">
        <f t="shared" si="625"/>
        <v>DGOSE</v>
      </c>
      <c r="M3161" s="26" t="str">
        <f t="shared" si="618"/>
        <v>PARTICULAR</v>
      </c>
      <c r="N3161" s="26">
        <v>43</v>
      </c>
      <c r="O3161" s="26">
        <v>18</v>
      </c>
      <c r="P3161" s="26">
        <v>25</v>
      </c>
      <c r="Q3161" s="26">
        <v>3</v>
      </c>
      <c r="R3161" s="26">
        <v>1</v>
      </c>
      <c r="S3161" s="26">
        <v>3</v>
      </c>
      <c r="T3161" s="26">
        <v>4</v>
      </c>
      <c r="U3161" s="26">
        <v>8</v>
      </c>
      <c r="V3161" s="26">
        <v>1</v>
      </c>
      <c r="W3161" s="26"/>
    </row>
    <row r="3162" spans="1:23" x14ac:dyDescent="0.25">
      <c r="A3162" s="26" t="str">
        <f t="shared" si="619"/>
        <v>PREESCOLAR</v>
      </c>
      <c r="B3162" s="26" t="str">
        <f>"09PJN5915D"</f>
        <v>09PJN5915D</v>
      </c>
      <c r="C3162" s="26" t="str">
        <f>"COMPLEJO EDUCATIVO DE DESARROLLO INTEGRAL                                                           "</f>
        <v xml:space="preserve">COMPLEJO EDUCATIVO DE DESARROLLO INTEGRAL                                                           </v>
      </c>
      <c r="D3162" s="26" t="str">
        <f t="shared" si="621"/>
        <v>MATUTINO</v>
      </c>
      <c r="E3162" s="26" t="str">
        <f>"SALVADOR ORTEGA FLORES NO. 14                                                   "</f>
        <v xml:space="preserve">SALVADOR ORTEGA FLORES NO. 14                                                   </v>
      </c>
      <c r="F3162" s="26" t="str">
        <f>"MIGUEL HIDALGO                                                                                                                              "</f>
        <v xml:space="preserve">MIGUEL HIDALGO                                                                                                                              </v>
      </c>
      <c r="G3162" s="26" t="str">
        <f>"TLALPAN                                                                         "</f>
        <v xml:space="preserve">TLALPAN                                                                         </v>
      </c>
      <c r="H3162" s="26" t="str">
        <f>"225"</f>
        <v>225</v>
      </c>
      <c r="I3162" s="26" t="str">
        <f t="shared" si="620"/>
        <v>00</v>
      </c>
      <c r="J3162" s="26" t="str">
        <f>"35 "</f>
        <v xml:space="preserve">35 </v>
      </c>
      <c r="K3162" s="26" t="str">
        <f t="shared" si="624"/>
        <v>EP</v>
      </c>
      <c r="L3162" s="26" t="str">
        <f t="shared" si="625"/>
        <v>DGOSE</v>
      </c>
      <c r="M3162" s="26" t="str">
        <f t="shared" si="618"/>
        <v>PARTICULAR</v>
      </c>
      <c r="N3162" s="26">
        <v>6</v>
      </c>
      <c r="O3162" s="26">
        <v>4</v>
      </c>
      <c r="P3162" s="26">
        <v>2</v>
      </c>
      <c r="Q3162" s="26">
        <v>3</v>
      </c>
      <c r="R3162" s="26">
        <v>1</v>
      </c>
      <c r="S3162" s="26">
        <v>2</v>
      </c>
      <c r="T3162" s="26">
        <v>3</v>
      </c>
      <c r="U3162" s="26">
        <v>6</v>
      </c>
      <c r="V3162" s="26">
        <v>1</v>
      </c>
      <c r="W3162" s="26"/>
    </row>
    <row r="3163" spans="1:23" x14ac:dyDescent="0.25">
      <c r="A3163" s="26" t="str">
        <f t="shared" si="619"/>
        <v>PREESCOLAR</v>
      </c>
      <c r="B3163" s="26" t="str">
        <f>"09PJN5916C"</f>
        <v>09PJN5916C</v>
      </c>
      <c r="C3163" s="26" t="str">
        <f>"GRYFFINDOR'S GARDEN SCHOOL                                                                          "</f>
        <v xml:space="preserve">GRYFFINDOR'S GARDEN SCHOOL                                                                          </v>
      </c>
      <c r="D3163" s="26" t="str">
        <f t="shared" si="621"/>
        <v>MATUTINO</v>
      </c>
      <c r="E3163" s="26" t="str">
        <f>"ARTES FLAMENCAS NO. 19                                                          "</f>
        <v xml:space="preserve">ARTES FLAMENCAS NO. 19                                                          </v>
      </c>
      <c r="F3163" s="26" t="str">
        <f>"MIGUEL HIDALGO                                                                                                                              "</f>
        <v xml:space="preserve">MIGUEL HIDALGO                                                                                                                              </v>
      </c>
      <c r="G3163" s="26" t="str">
        <f>"TLALPAN                                                                         "</f>
        <v xml:space="preserve">TLALPAN                                                                         </v>
      </c>
      <c r="H3163" s="26" t="str">
        <f>"135"</f>
        <v>135</v>
      </c>
      <c r="I3163" s="26" t="str">
        <f t="shared" si="620"/>
        <v>00</v>
      </c>
      <c r="J3163" s="26" t="str">
        <f>"35 "</f>
        <v xml:space="preserve">35 </v>
      </c>
      <c r="K3163" s="26" t="str">
        <f t="shared" si="624"/>
        <v>EP</v>
      </c>
      <c r="L3163" s="26" t="str">
        <f t="shared" si="625"/>
        <v>DGOSE</v>
      </c>
      <c r="M3163" s="26" t="str">
        <f t="shared" si="618"/>
        <v>PARTICULAR</v>
      </c>
      <c r="N3163" s="26">
        <v>11</v>
      </c>
      <c r="O3163" s="26">
        <v>5</v>
      </c>
      <c r="P3163" s="26">
        <v>6</v>
      </c>
      <c r="Q3163" s="26">
        <v>3</v>
      </c>
      <c r="R3163" s="26">
        <v>1</v>
      </c>
      <c r="S3163" s="26">
        <v>2</v>
      </c>
      <c r="T3163" s="26">
        <v>2</v>
      </c>
      <c r="U3163" s="26">
        <v>5</v>
      </c>
      <c r="V3163" s="26">
        <v>1</v>
      </c>
      <c r="W3163" s="26"/>
    </row>
    <row r="3164" spans="1:23" x14ac:dyDescent="0.25">
      <c r="A3164" s="26" t="str">
        <f t="shared" si="619"/>
        <v>PREESCOLAR</v>
      </c>
      <c r="B3164" s="26" t="str">
        <f>"09PJN5917B"</f>
        <v>09PJN5917B</v>
      </c>
      <c r="C3164" s="26" t="str">
        <f>"INSTITUTO PEDAGOGICO VALLE DE MEXICO                                                                "</f>
        <v xml:space="preserve">INSTITUTO PEDAGOGICO VALLE DE MEXICO                                                                </v>
      </c>
      <c r="D3164" s="26" t="str">
        <f t="shared" si="621"/>
        <v>MATUTINO</v>
      </c>
      <c r="E3164" s="26" t="str">
        <f>"VICTORIA NO. 3905                                                               "</f>
        <v xml:space="preserve">VICTORIA NO. 3905                                                               </v>
      </c>
      <c r="F3164" s="26" t="str">
        <f>"FAJA DE ORO                                                                                                                                 "</f>
        <v xml:space="preserve">FAJA DE ORO                                                                                                                                 </v>
      </c>
      <c r="G3164" s="26" t="str">
        <f>"GUSTAVO A. MADERO                                                               "</f>
        <v xml:space="preserve">GUSTAVO A. MADERO                                                               </v>
      </c>
      <c r="H3164" s="26" t="str">
        <f>"198"</f>
        <v>198</v>
      </c>
      <c r="I3164" s="26" t="str">
        <f t="shared" si="620"/>
        <v>00</v>
      </c>
      <c r="J3164" s="26" t="str">
        <f>"32 "</f>
        <v xml:space="preserve">32 </v>
      </c>
      <c r="K3164" s="26" t="str">
        <f t="shared" si="624"/>
        <v>EP</v>
      </c>
      <c r="L3164" s="26" t="str">
        <f t="shared" si="625"/>
        <v>DGOSE</v>
      </c>
      <c r="M3164" s="26" t="str">
        <f t="shared" si="618"/>
        <v>PARTICULAR</v>
      </c>
      <c r="N3164" s="26">
        <v>96</v>
      </c>
      <c r="O3164" s="26">
        <v>53</v>
      </c>
      <c r="P3164" s="26">
        <v>43</v>
      </c>
      <c r="Q3164" s="26">
        <v>3</v>
      </c>
      <c r="R3164" s="26">
        <v>1</v>
      </c>
      <c r="S3164" s="26">
        <v>3</v>
      </c>
      <c r="T3164" s="26">
        <v>0</v>
      </c>
      <c r="U3164" s="26">
        <v>4</v>
      </c>
      <c r="V3164" s="26">
        <v>1</v>
      </c>
      <c r="W3164" s="26"/>
    </row>
    <row r="3165" spans="1:23" x14ac:dyDescent="0.25">
      <c r="A3165" s="26" t="str">
        <f t="shared" si="619"/>
        <v>PREESCOLAR</v>
      </c>
      <c r="B3165" s="26" t="str">
        <f>"09PJN5918A"</f>
        <v>09PJN5918A</v>
      </c>
      <c r="C3165" s="26" t="str">
        <f>"COLEGIO ESPERANZA DEL SUR (COES)                                                                    "</f>
        <v xml:space="preserve">COLEGIO ESPERANZA DEL SUR (COES)                                                                    </v>
      </c>
      <c r="D3165" s="26" t="str">
        <f t="shared" si="621"/>
        <v>MATUTINO</v>
      </c>
      <c r="E3165" s="26" t="str">
        <f>"VIOLETA NO. 79                                                                  "</f>
        <v xml:space="preserve">VIOLETA NO. 79                                                                  </v>
      </c>
      <c r="F3165" s="26" t="str">
        <f>"BELEN                                                                                                                                       "</f>
        <v xml:space="preserve">BELEN                                                                                                                                       </v>
      </c>
      <c r="G3165" s="26" t="str">
        <f>"XOCHIMILCO                                                                      "</f>
        <v xml:space="preserve">XOCHIMILCO                                                                      </v>
      </c>
      <c r="H3165" s="26" t="str">
        <f>"103"</f>
        <v>103</v>
      </c>
      <c r="I3165" s="26" t="str">
        <f t="shared" si="620"/>
        <v>00</v>
      </c>
      <c r="J3165" s="26" t="str">
        <f>"35 "</f>
        <v xml:space="preserve">35 </v>
      </c>
      <c r="K3165" s="26" t="str">
        <f t="shared" si="624"/>
        <v>EP</v>
      </c>
      <c r="L3165" s="26" t="str">
        <f t="shared" si="625"/>
        <v>DGOSE</v>
      </c>
      <c r="M3165" s="26" t="str">
        <f t="shared" si="618"/>
        <v>PARTICULAR</v>
      </c>
      <c r="N3165" s="26">
        <v>15</v>
      </c>
      <c r="O3165" s="26">
        <v>9</v>
      </c>
      <c r="P3165" s="26">
        <v>6</v>
      </c>
      <c r="Q3165" s="26">
        <v>3</v>
      </c>
      <c r="R3165" s="26">
        <v>1</v>
      </c>
      <c r="S3165" s="26">
        <v>3</v>
      </c>
      <c r="T3165" s="26">
        <v>2</v>
      </c>
      <c r="U3165" s="26">
        <v>6</v>
      </c>
      <c r="V3165" s="26">
        <v>1</v>
      </c>
      <c r="W3165" s="26"/>
    </row>
    <row r="3166" spans="1:23" x14ac:dyDescent="0.25">
      <c r="A3166" s="26" t="str">
        <f t="shared" si="619"/>
        <v>PREESCOLAR</v>
      </c>
      <c r="B3166" s="26" t="str">
        <f>"09PJN5919Z"</f>
        <v>09PJN5919Z</v>
      </c>
      <c r="C3166" s="26" t="str">
        <f>"CENTRO AAMI                                                                                         "</f>
        <v xml:space="preserve">CENTRO AAMI                                                                                         </v>
      </c>
      <c r="D3166" s="26" t="str">
        <f t="shared" si="621"/>
        <v>MATUTINO</v>
      </c>
      <c r="E3166" s="26" t="str">
        <f>"PALO ALTO NO. 50                                                                "</f>
        <v xml:space="preserve">PALO ALTO NO. 50                                                                </v>
      </c>
      <c r="F3166" s="26" t="str">
        <f>"CAMPESTRE PALO ALTO FRACCIONAMIENTO                                                                                                         "</f>
        <v xml:space="preserve">CAMPESTRE PALO ALTO FRACCIONAMIENTO                                                                                                         </v>
      </c>
      <c r="G3166" s="26" t="str">
        <f>"CUAJIMALPA DE MORELOS                                                           "</f>
        <v xml:space="preserve">CUAJIMALPA DE MORELOS                                                           </v>
      </c>
      <c r="H3166" s="26" t="str">
        <f>"212"</f>
        <v>212</v>
      </c>
      <c r="I3166" s="26" t="str">
        <f t="shared" si="620"/>
        <v>00</v>
      </c>
      <c r="J3166" s="26" t="str">
        <f>"33 "</f>
        <v xml:space="preserve">33 </v>
      </c>
      <c r="K3166" s="26" t="str">
        <f t="shared" si="624"/>
        <v>EP</v>
      </c>
      <c r="L3166" s="26" t="str">
        <f t="shared" si="625"/>
        <v>DGOSE</v>
      </c>
      <c r="M3166" s="26" t="str">
        <f t="shared" si="618"/>
        <v>PARTICULAR</v>
      </c>
      <c r="N3166" s="26">
        <v>96</v>
      </c>
      <c r="O3166" s="26">
        <v>47</v>
      </c>
      <c r="P3166" s="26">
        <v>49</v>
      </c>
      <c r="Q3166" s="26">
        <v>7</v>
      </c>
      <c r="R3166" s="26">
        <v>1</v>
      </c>
      <c r="S3166" s="26">
        <v>7</v>
      </c>
      <c r="T3166" s="26">
        <v>14</v>
      </c>
      <c r="U3166" s="26">
        <v>22</v>
      </c>
      <c r="V3166" s="26">
        <v>1</v>
      </c>
      <c r="W3166" s="26"/>
    </row>
    <row r="3167" spans="1:23" x14ac:dyDescent="0.25">
      <c r="A3167" s="26" t="str">
        <f t="shared" si="619"/>
        <v>PREESCOLAR</v>
      </c>
      <c r="B3167" s="26" t="str">
        <f>"09PJN5920P"</f>
        <v>09PJN5920P</v>
      </c>
      <c r="C3167" s="26" t="str">
        <f>"JARDIN DE NIÑOS GENERAL IGNACIO ZARAGOZA                                                            "</f>
        <v xml:space="preserve">JARDIN DE NIÑOS GENERAL IGNACIO ZARAGOZA                                                            </v>
      </c>
      <c r="D3167" s="26" t="str">
        <f t="shared" si="621"/>
        <v>MATUTINO</v>
      </c>
      <c r="E3167" s="26" t="str">
        <f>"CALLE 63 NO. 42                                                                 "</f>
        <v xml:space="preserve">CALLE 63 NO. 42                                                                 </v>
      </c>
      <c r="F3167" s="26" t="str">
        <f>"PUEBLA                                                                                                                                      "</f>
        <v xml:space="preserve">PUEBLA                                                                                                                                      </v>
      </c>
      <c r="G3167" s="26" t="str">
        <f>"VENUSTIANO CARRANZA                                                             "</f>
        <v xml:space="preserve">VENUSTIANO CARRANZA                                                             </v>
      </c>
      <c r="H3167" s="26" t="str">
        <f>"250"</f>
        <v>250</v>
      </c>
      <c r="I3167" s="26" t="str">
        <f t="shared" si="620"/>
        <v>00</v>
      </c>
      <c r="J3167" s="26" t="str">
        <f>"33 "</f>
        <v xml:space="preserve">33 </v>
      </c>
      <c r="K3167" s="26" t="str">
        <f t="shared" si="624"/>
        <v>EP</v>
      </c>
      <c r="L3167" s="26" t="str">
        <f t="shared" si="625"/>
        <v>DGOSE</v>
      </c>
      <c r="M3167" s="26" t="str">
        <f t="shared" si="618"/>
        <v>PARTICULAR</v>
      </c>
      <c r="N3167" s="26">
        <v>19</v>
      </c>
      <c r="O3167" s="26">
        <v>11</v>
      </c>
      <c r="P3167" s="26">
        <v>8</v>
      </c>
      <c r="Q3167" s="26">
        <v>1</v>
      </c>
      <c r="R3167" s="26">
        <v>1</v>
      </c>
      <c r="S3167" s="26">
        <v>1</v>
      </c>
      <c r="T3167" s="26">
        <v>7</v>
      </c>
      <c r="U3167" s="26">
        <v>9</v>
      </c>
      <c r="V3167" s="26">
        <v>1</v>
      </c>
      <c r="W3167" s="26"/>
    </row>
    <row r="3168" spans="1:23" x14ac:dyDescent="0.25">
      <c r="A3168" s="26" t="str">
        <f t="shared" si="619"/>
        <v>PREESCOLAR</v>
      </c>
      <c r="B3168" s="26" t="str">
        <f>"09PJN5921O"</f>
        <v>09PJN5921O</v>
      </c>
      <c r="C3168" s="26" t="str">
        <f>"INSTITUTO PANAMERICANO DEL SUR                                                                      "</f>
        <v xml:space="preserve">INSTITUTO PANAMERICANO DEL SUR                                                                      </v>
      </c>
      <c r="D3168" s="26" t="str">
        <f t="shared" si="621"/>
        <v>MATUTINO</v>
      </c>
      <c r="E3168" s="26" t="str">
        <f>"ANAHUAC NO. 83                                                                  "</f>
        <v xml:space="preserve">ANAHUAC NO. 83                                                                  </v>
      </c>
      <c r="F3168" s="26" t="str">
        <f>"EL  MIRADOR                                                                                                                                 "</f>
        <v xml:space="preserve">EL  MIRADOR                                                                                                                                 </v>
      </c>
      <c r="G3168" s="26" t="str">
        <f>"COYOACAN                                                                        "</f>
        <v xml:space="preserve">COYOACAN                                                                        </v>
      </c>
      <c r="H3168" s="26" t="str">
        <f>"239"</f>
        <v>239</v>
      </c>
      <c r="I3168" s="26" t="str">
        <f t="shared" si="620"/>
        <v>00</v>
      </c>
      <c r="J3168" s="26" t="str">
        <f>"35 "</f>
        <v xml:space="preserve">35 </v>
      </c>
      <c r="K3168" s="26" t="str">
        <f t="shared" si="624"/>
        <v>EP</v>
      </c>
      <c r="L3168" s="26" t="str">
        <f t="shared" si="625"/>
        <v>DGOSE</v>
      </c>
      <c r="M3168" s="26" t="str">
        <f t="shared" si="618"/>
        <v>PARTICULAR</v>
      </c>
      <c r="N3168" s="26">
        <v>10</v>
      </c>
      <c r="O3168" s="26">
        <v>4</v>
      </c>
      <c r="P3168" s="26">
        <v>6</v>
      </c>
      <c r="Q3168" s="26">
        <v>3</v>
      </c>
      <c r="R3168" s="26">
        <v>1</v>
      </c>
      <c r="S3168" s="26">
        <v>2</v>
      </c>
      <c r="T3168" s="26">
        <v>3</v>
      </c>
      <c r="U3168" s="26">
        <v>6</v>
      </c>
      <c r="V3168" s="26">
        <v>1</v>
      </c>
      <c r="W3168" s="26"/>
    </row>
    <row r="3169" spans="1:23" x14ac:dyDescent="0.25">
      <c r="A3169" s="26" t="str">
        <f t="shared" si="619"/>
        <v>PREESCOLAR</v>
      </c>
      <c r="B3169" s="26" t="str">
        <f>"09PJN5922N"</f>
        <v>09PJN5922N</v>
      </c>
      <c r="C3169" s="26" t="str">
        <f>"MACUILCAN                                                                                           "</f>
        <v xml:space="preserve">MACUILCAN                                                                                           </v>
      </c>
      <c r="D3169" s="26" t="str">
        <f t="shared" si="621"/>
        <v>MATUTINO</v>
      </c>
      <c r="E3169" s="26" t="str">
        <f>"MONTE DE LAS CRUSES NO. 14                                                      "</f>
        <v xml:space="preserve">MONTE DE LAS CRUSES NO. 14                                                      </v>
      </c>
      <c r="F3169" s="26" t="str">
        <f>"PROVIDENCIA                                                                                                                                 "</f>
        <v xml:space="preserve">PROVIDENCIA                                                                                                                                 </v>
      </c>
      <c r="G3169" s="26" t="str">
        <f>"GUSTAVO A. MADERO                                                               "</f>
        <v xml:space="preserve">GUSTAVO A. MADERO                                                               </v>
      </c>
      <c r="H3169" s="26" t="str">
        <f>"095"</f>
        <v>095</v>
      </c>
      <c r="I3169" s="26" t="str">
        <f t="shared" si="620"/>
        <v>00</v>
      </c>
      <c r="J3169" s="26" t="str">
        <f>"32 "</f>
        <v xml:space="preserve">32 </v>
      </c>
      <c r="K3169" s="26" t="str">
        <f t="shared" si="624"/>
        <v>EP</v>
      </c>
      <c r="L3169" s="26" t="str">
        <f t="shared" si="625"/>
        <v>DGOSE</v>
      </c>
      <c r="M3169" s="26" t="str">
        <f t="shared" si="618"/>
        <v>PARTICULAR</v>
      </c>
      <c r="N3169" s="26">
        <v>29</v>
      </c>
      <c r="O3169" s="26">
        <v>10</v>
      </c>
      <c r="P3169" s="26">
        <v>19</v>
      </c>
      <c r="Q3169" s="26">
        <v>3</v>
      </c>
      <c r="R3169" s="26">
        <v>1</v>
      </c>
      <c r="S3169" s="26">
        <v>2</v>
      </c>
      <c r="T3169" s="26">
        <v>3</v>
      </c>
      <c r="U3169" s="26">
        <v>6</v>
      </c>
      <c r="V3169" s="26">
        <v>1</v>
      </c>
      <c r="W3169" s="26"/>
    </row>
    <row r="3170" spans="1:23" x14ac:dyDescent="0.25">
      <c r="A3170" s="26" t="str">
        <f t="shared" si="619"/>
        <v>PREESCOLAR</v>
      </c>
      <c r="B3170" s="26" t="str">
        <f>"09PJN5923M"</f>
        <v>09PJN5923M</v>
      </c>
      <c r="C3170" s="26" t="s">
        <v>133</v>
      </c>
      <c r="D3170" s="26" t="str">
        <f t="shared" si="621"/>
        <v>MATUTINO</v>
      </c>
      <c r="E3170" s="26" t="str">
        <f>"VAS OSTADE NO. 9                                                                "</f>
        <v xml:space="preserve">VAS OSTADE NO. 9                                                                </v>
      </c>
      <c r="F3170" s="26" t="str">
        <f>"ALFONSO XIII                                                                                                                                "</f>
        <v xml:space="preserve">ALFONSO XIII                                                                                                                                </v>
      </c>
      <c r="G3170" s="26" t="str">
        <f>"ALVARO OBREGON                                                                  "</f>
        <v xml:space="preserve">ALVARO OBREGON                                                                  </v>
      </c>
      <c r="H3170" s="26" t="str">
        <f>"218"</f>
        <v>218</v>
      </c>
      <c r="I3170" s="26" t="str">
        <f t="shared" si="620"/>
        <v>00</v>
      </c>
      <c r="J3170" s="26" t="str">
        <f>"33 "</f>
        <v xml:space="preserve">33 </v>
      </c>
      <c r="K3170" s="26" t="str">
        <f t="shared" si="624"/>
        <v>EP</v>
      </c>
      <c r="L3170" s="26" t="str">
        <f t="shared" si="625"/>
        <v>DGOSE</v>
      </c>
      <c r="M3170" s="26" t="str">
        <f t="shared" si="618"/>
        <v>PARTICULAR</v>
      </c>
      <c r="N3170" s="26">
        <v>63</v>
      </c>
      <c r="O3170" s="26">
        <v>34</v>
      </c>
      <c r="P3170" s="26">
        <v>29</v>
      </c>
      <c r="Q3170" s="26">
        <v>3</v>
      </c>
      <c r="R3170" s="26">
        <v>1</v>
      </c>
      <c r="S3170" s="26">
        <v>2</v>
      </c>
      <c r="T3170" s="26">
        <v>10</v>
      </c>
      <c r="U3170" s="26">
        <v>13</v>
      </c>
      <c r="V3170" s="26">
        <v>1</v>
      </c>
      <c r="W3170" s="26"/>
    </row>
    <row r="3171" spans="1:23" x14ac:dyDescent="0.25">
      <c r="A3171" s="26" t="str">
        <f t="shared" si="619"/>
        <v>PREESCOLAR</v>
      </c>
      <c r="B3171" s="26" t="str">
        <f>"09PJN5924L"</f>
        <v>09PJN5924L</v>
      </c>
      <c r="C3171" s="26" t="str">
        <f>"BUTTERFLY PREESCOLAR                                                                                "</f>
        <v xml:space="preserve">BUTTERFLY PREESCOLAR                                                                                </v>
      </c>
      <c r="D3171" s="26" t="str">
        <f t="shared" si="621"/>
        <v>MATUTINO</v>
      </c>
      <c r="E3171" s="26" t="str">
        <f>"SILVESTRE REVUELTAS NO. 15                                                      "</f>
        <v xml:space="preserve">SILVESTRE REVUELTAS NO. 15                                                      </v>
      </c>
      <c r="F3171" s="26" t="str">
        <f>"GUADALUPE INN                                                                                                                               "</f>
        <v xml:space="preserve">GUADALUPE INN                                                                                                                               </v>
      </c>
      <c r="G3171" s="26" t="str">
        <f>"ALVARO OBREGON                                                                  "</f>
        <v xml:space="preserve">ALVARO OBREGON                                                                  </v>
      </c>
      <c r="H3171" s="26" t="str">
        <f>"087"</f>
        <v>087</v>
      </c>
      <c r="I3171" s="26" t="str">
        <f t="shared" si="620"/>
        <v>00</v>
      </c>
      <c r="J3171" s="26" t="str">
        <f>"33 "</f>
        <v xml:space="preserve">33 </v>
      </c>
      <c r="K3171" s="26" t="str">
        <f t="shared" si="624"/>
        <v>EP</v>
      </c>
      <c r="L3171" s="26" t="str">
        <f t="shared" si="625"/>
        <v>DGOSE</v>
      </c>
      <c r="M3171" s="26" t="str">
        <f t="shared" si="618"/>
        <v>PARTICULAR</v>
      </c>
      <c r="N3171" s="26">
        <v>10</v>
      </c>
      <c r="O3171" s="26">
        <v>7</v>
      </c>
      <c r="P3171" s="26">
        <v>3</v>
      </c>
      <c r="Q3171" s="26">
        <v>2</v>
      </c>
      <c r="R3171" s="26">
        <v>1</v>
      </c>
      <c r="S3171" s="26">
        <v>2</v>
      </c>
      <c r="T3171" s="26">
        <v>6</v>
      </c>
      <c r="U3171" s="26">
        <v>9</v>
      </c>
      <c r="V3171" s="26">
        <v>1</v>
      </c>
      <c r="W3171" s="26"/>
    </row>
    <row r="3172" spans="1:23" x14ac:dyDescent="0.25">
      <c r="A3172" s="26" t="str">
        <f t="shared" si="619"/>
        <v>PREESCOLAR</v>
      </c>
      <c r="B3172" s="26" t="str">
        <f>"09PJN5925K"</f>
        <v>09PJN5925K</v>
      </c>
      <c r="C3172" s="26" t="str">
        <f>"LEONY                                                                                               "</f>
        <v xml:space="preserve">LEONY                                                                                               </v>
      </c>
      <c r="D3172" s="26" t="str">
        <f t="shared" si="621"/>
        <v>MATUTINO</v>
      </c>
      <c r="E3172" s="26" t="str">
        <f>"VETERINARIOS NO 24                                                              "</f>
        <v xml:space="preserve">VETERINARIOS NO 24                                                              </v>
      </c>
      <c r="F3172" s="26" t="str">
        <f>"EL SIFON                                                                                                                                    "</f>
        <v xml:space="preserve">EL SIFON                                                                                                                                    </v>
      </c>
      <c r="G3172" s="26" t="str">
        <f>"IZTAPALAPA                                                                      "</f>
        <v xml:space="preserve">IZTAPALAPA                                                                      </v>
      </c>
      <c r="H3172" s="26" t="str">
        <f>"000"</f>
        <v>000</v>
      </c>
      <c r="I3172" s="26" t="str">
        <f t="shared" si="620"/>
        <v>00</v>
      </c>
      <c r="J3172" s="26" t="str">
        <f>"61 "</f>
        <v xml:space="preserve">61 </v>
      </c>
      <c r="K3172" s="26" t="str">
        <f>"IZ"</f>
        <v>IZ</v>
      </c>
      <c r="L3172" s="26" t="str">
        <f>"DGSEI"</f>
        <v>DGSEI</v>
      </c>
      <c r="M3172" s="26" t="str">
        <f t="shared" si="618"/>
        <v>PARTICULAR</v>
      </c>
      <c r="N3172" s="26">
        <v>9</v>
      </c>
      <c r="O3172" s="26">
        <v>3</v>
      </c>
      <c r="P3172" s="26">
        <v>6</v>
      </c>
      <c r="Q3172" s="26">
        <v>3</v>
      </c>
      <c r="R3172" s="26">
        <v>1</v>
      </c>
      <c r="S3172" s="26">
        <v>1</v>
      </c>
      <c r="T3172" s="26">
        <v>1</v>
      </c>
      <c r="U3172" s="26">
        <v>3</v>
      </c>
      <c r="V3172" s="26">
        <v>1</v>
      </c>
      <c r="W3172" s="26"/>
    </row>
    <row r="3173" spans="1:23" x14ac:dyDescent="0.25">
      <c r="A3173" s="26" t="str">
        <f t="shared" si="619"/>
        <v>PREESCOLAR</v>
      </c>
      <c r="B3173" s="26" t="str">
        <f>"09PJN5926J"</f>
        <v>09PJN5926J</v>
      </c>
      <c r="C3173" s="26" t="str">
        <f>"ENRIQUE PESTALOZZI                                                                                  "</f>
        <v xml:space="preserve">ENRIQUE PESTALOZZI                                                                                  </v>
      </c>
      <c r="D3173" s="26" t="str">
        <f t="shared" si="621"/>
        <v>MATUTINO</v>
      </c>
      <c r="E3173" s="26" t="s">
        <v>134</v>
      </c>
      <c r="F3173" s="26" t="str">
        <f>"SANTA MARIA AZTAHUACAN                                                                                                                      "</f>
        <v xml:space="preserve">SANTA MARIA AZTAHUACAN                                                                                                                      </v>
      </c>
      <c r="G3173" s="26" t="str">
        <f>"IZTAPALAPA                                                                      "</f>
        <v xml:space="preserve">IZTAPALAPA                                                                      </v>
      </c>
      <c r="H3173" s="26" t="str">
        <f>"000"</f>
        <v>000</v>
      </c>
      <c r="I3173" s="26" t="str">
        <f t="shared" si="620"/>
        <v>00</v>
      </c>
      <c r="J3173" s="26" t="str">
        <f>"64 "</f>
        <v xml:space="preserve">64 </v>
      </c>
      <c r="K3173" s="26" t="str">
        <f>"IZ"</f>
        <v>IZ</v>
      </c>
      <c r="L3173" s="26" t="str">
        <f>"DGSEI"</f>
        <v>DGSEI</v>
      </c>
      <c r="M3173" s="26" t="str">
        <f t="shared" si="618"/>
        <v>PARTICULAR</v>
      </c>
      <c r="N3173" s="26">
        <v>12</v>
      </c>
      <c r="O3173" s="26">
        <v>8</v>
      </c>
      <c r="P3173" s="26">
        <v>4</v>
      </c>
      <c r="Q3173" s="26">
        <v>4</v>
      </c>
      <c r="R3173" s="26">
        <v>1</v>
      </c>
      <c r="S3173" s="26">
        <v>4</v>
      </c>
      <c r="T3173" s="26">
        <v>3</v>
      </c>
      <c r="U3173" s="26">
        <v>8</v>
      </c>
      <c r="V3173" s="26">
        <v>1</v>
      </c>
      <c r="W3173" s="26"/>
    </row>
    <row r="3174" spans="1:23" x14ac:dyDescent="0.25">
      <c r="A3174" s="26" t="str">
        <f t="shared" si="619"/>
        <v>PREESCOLAR</v>
      </c>
      <c r="B3174" s="26" t="str">
        <f>"09PJN5927I"</f>
        <v>09PJN5927I</v>
      </c>
      <c r="C3174" s="26" t="str">
        <f>"CENTRO PEDAGOGICO INFANTIL DE LA A A LA Z                                                           "</f>
        <v xml:space="preserve">CENTRO PEDAGOGICO INFANTIL DE LA A A LA Z                                                           </v>
      </c>
      <c r="D3174" s="26" t="str">
        <f t="shared" si="621"/>
        <v>MATUTINO</v>
      </c>
      <c r="E3174" s="26" t="str">
        <f>"PALMITAS S/N MZ. 23 ZONA 5 LT. 88                                               "</f>
        <v xml:space="preserve">PALMITAS S/N MZ. 23 ZONA 5 LT. 88                                               </v>
      </c>
      <c r="F3174" s="26" t="str">
        <f>"PALMITAS                                                                                                                                    "</f>
        <v xml:space="preserve">PALMITAS                                                                                                                                    </v>
      </c>
      <c r="G3174" s="26" t="str">
        <f>"IZTAPALAPA                                                                      "</f>
        <v xml:space="preserve">IZTAPALAPA                                                                      </v>
      </c>
      <c r="H3174" s="26" t="str">
        <f>"000"</f>
        <v>000</v>
      </c>
      <c r="I3174" s="26" t="str">
        <f t="shared" si="620"/>
        <v>00</v>
      </c>
      <c r="J3174" s="26" t="str">
        <f>"64 "</f>
        <v xml:space="preserve">64 </v>
      </c>
      <c r="K3174" s="26" t="str">
        <f>"IZ"</f>
        <v>IZ</v>
      </c>
      <c r="L3174" s="26" t="str">
        <f>"DGSEI"</f>
        <v>DGSEI</v>
      </c>
      <c r="M3174" s="26" t="str">
        <f t="shared" si="618"/>
        <v>PARTICULAR</v>
      </c>
      <c r="N3174" s="26">
        <v>8</v>
      </c>
      <c r="O3174" s="26">
        <v>5</v>
      </c>
      <c r="P3174" s="26">
        <v>3</v>
      </c>
      <c r="Q3174" s="26">
        <v>2</v>
      </c>
      <c r="R3174" s="26">
        <v>1</v>
      </c>
      <c r="S3174" s="26">
        <v>1</v>
      </c>
      <c r="T3174" s="26">
        <v>1</v>
      </c>
      <c r="U3174" s="26">
        <v>3</v>
      </c>
      <c r="V3174" s="26">
        <v>1</v>
      </c>
      <c r="W3174" s="26"/>
    </row>
    <row r="3175" spans="1:23" x14ac:dyDescent="0.25">
      <c r="A3175" s="26" t="str">
        <f t="shared" si="619"/>
        <v>PREESCOLAR</v>
      </c>
      <c r="B3175" s="26" t="str">
        <f>"09PJN5928H"</f>
        <v>09PJN5928H</v>
      </c>
      <c r="C3175" s="26" t="s">
        <v>135</v>
      </c>
      <c r="D3175" s="26" t="str">
        <f t="shared" si="621"/>
        <v>MATUTINO</v>
      </c>
      <c r="E3175" s="26" t="str">
        <f>"PESTALOZZI NO. 221                                                              "</f>
        <v xml:space="preserve">PESTALOZZI NO. 221                                                              </v>
      </c>
      <c r="F3175" s="26" t="str">
        <f>"NARVARTE                                                                                                                                    "</f>
        <v xml:space="preserve">NARVARTE                                                                                                                                    </v>
      </c>
      <c r="G3175" s="26" t="str">
        <f>"BENITO JUAREZ                                                                   "</f>
        <v xml:space="preserve">BENITO JUAREZ                                                                   </v>
      </c>
      <c r="H3175" s="26" t="str">
        <f>"232"</f>
        <v>232</v>
      </c>
      <c r="I3175" s="26" t="str">
        <f t="shared" si="620"/>
        <v>00</v>
      </c>
      <c r="J3175" s="26" t="str">
        <f>"33 "</f>
        <v xml:space="preserve">33 </v>
      </c>
      <c r="K3175" s="26" t="str">
        <f t="shared" ref="K3175:K3186" si="626">"EP"</f>
        <v>EP</v>
      </c>
      <c r="L3175" s="26" t="str">
        <f t="shared" ref="L3175:L3186" si="627">"DGOSE"</f>
        <v>DGOSE</v>
      </c>
      <c r="M3175" s="26" t="str">
        <f t="shared" si="618"/>
        <v>PARTICULAR</v>
      </c>
      <c r="N3175" s="26">
        <v>36</v>
      </c>
      <c r="O3175" s="26">
        <v>14</v>
      </c>
      <c r="P3175" s="26">
        <v>22</v>
      </c>
      <c r="Q3175" s="26">
        <v>3</v>
      </c>
      <c r="R3175" s="26">
        <v>1</v>
      </c>
      <c r="S3175" s="26">
        <v>3</v>
      </c>
      <c r="T3175" s="26">
        <v>10</v>
      </c>
      <c r="U3175" s="26">
        <v>14</v>
      </c>
      <c r="V3175" s="26">
        <v>1</v>
      </c>
      <c r="W3175" s="26"/>
    </row>
    <row r="3176" spans="1:23" x14ac:dyDescent="0.25">
      <c r="A3176" s="26" t="str">
        <f t="shared" si="619"/>
        <v>PREESCOLAR</v>
      </c>
      <c r="B3176" s="26" t="str">
        <f>"09PJN5929G"</f>
        <v>09PJN5929G</v>
      </c>
      <c r="C3176" s="26" t="s">
        <v>136</v>
      </c>
      <c r="D3176" s="26" t="str">
        <f t="shared" si="621"/>
        <v>MATUTINO</v>
      </c>
      <c r="E3176" s="26" t="str">
        <f>"EUGENIO SUE NO. 125                                                             "</f>
        <v xml:space="preserve">EUGENIO SUE NO. 125                                                             </v>
      </c>
      <c r="F3176" s="26" t="str">
        <f>"POLANCO SECCION I                                                                                                                           "</f>
        <v xml:space="preserve">POLANCO SECCION I                                                                                                                           </v>
      </c>
      <c r="G3176" s="26" t="str">
        <f>"MIGUEL HIDALGO                                                                  "</f>
        <v xml:space="preserve">MIGUEL HIDALGO                                                                  </v>
      </c>
      <c r="H3176" s="26" t="str">
        <f>"073"</f>
        <v>073</v>
      </c>
      <c r="I3176" s="26" t="str">
        <f t="shared" si="620"/>
        <v>00</v>
      </c>
      <c r="J3176" s="26" t="str">
        <f>"32 "</f>
        <v xml:space="preserve">32 </v>
      </c>
      <c r="K3176" s="26" t="str">
        <f t="shared" si="626"/>
        <v>EP</v>
      </c>
      <c r="L3176" s="26" t="str">
        <f t="shared" si="627"/>
        <v>DGOSE</v>
      </c>
      <c r="M3176" s="26" t="str">
        <f t="shared" si="618"/>
        <v>PARTICULAR</v>
      </c>
      <c r="N3176" s="26">
        <v>50</v>
      </c>
      <c r="O3176" s="26">
        <v>29</v>
      </c>
      <c r="P3176" s="26">
        <v>21</v>
      </c>
      <c r="Q3176" s="26">
        <v>3</v>
      </c>
      <c r="R3176" s="26">
        <v>1</v>
      </c>
      <c r="S3176" s="26">
        <v>2</v>
      </c>
      <c r="T3176" s="26">
        <v>2</v>
      </c>
      <c r="U3176" s="26">
        <v>5</v>
      </c>
      <c r="V3176" s="26">
        <v>1</v>
      </c>
      <c r="W3176" s="26"/>
    </row>
    <row r="3177" spans="1:23" x14ac:dyDescent="0.25">
      <c r="A3177" s="26" t="str">
        <f t="shared" si="619"/>
        <v>PREESCOLAR</v>
      </c>
      <c r="B3177" s="26" t="str">
        <f>"09PJN5930W"</f>
        <v>09PJN5930W</v>
      </c>
      <c r="C3177" s="26" t="str">
        <f>"KIDS TO BEE                                                                                         "</f>
        <v xml:space="preserve">KIDS TO BEE                                                                                         </v>
      </c>
      <c r="D3177" s="26" t="str">
        <f t="shared" si="621"/>
        <v>MATUTINO</v>
      </c>
      <c r="E3177" s="26" t="str">
        <f>"AREQUIPA NO. 675                                                                "</f>
        <v xml:space="preserve">AREQUIPA NO. 675                                                                </v>
      </c>
      <c r="F3177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3177" s="26" t="str">
        <f>"GUSTAVO A. MADERO                                                               "</f>
        <v xml:space="preserve">GUSTAVO A. MADERO                                                               </v>
      </c>
      <c r="H3177" s="26" t="str">
        <f>"068"</f>
        <v>068</v>
      </c>
      <c r="I3177" s="26" t="str">
        <f t="shared" si="620"/>
        <v>00</v>
      </c>
      <c r="J3177" s="26" t="str">
        <f>"32 "</f>
        <v xml:space="preserve">32 </v>
      </c>
      <c r="K3177" s="26" t="str">
        <f t="shared" si="626"/>
        <v>EP</v>
      </c>
      <c r="L3177" s="26" t="str">
        <f t="shared" si="627"/>
        <v>DGOSE</v>
      </c>
      <c r="M3177" s="26" t="str">
        <f t="shared" si="618"/>
        <v>PARTICULAR</v>
      </c>
      <c r="N3177" s="26">
        <v>19</v>
      </c>
      <c r="O3177" s="26">
        <v>8</v>
      </c>
      <c r="P3177" s="26">
        <v>11</v>
      </c>
      <c r="Q3177" s="26">
        <v>3</v>
      </c>
      <c r="R3177" s="26">
        <v>1</v>
      </c>
      <c r="S3177" s="26">
        <v>3</v>
      </c>
      <c r="T3177" s="26">
        <v>1</v>
      </c>
      <c r="U3177" s="26">
        <v>5</v>
      </c>
      <c r="V3177" s="26">
        <v>1</v>
      </c>
      <c r="W3177" s="26"/>
    </row>
    <row r="3178" spans="1:23" x14ac:dyDescent="0.25">
      <c r="A3178" s="26" t="str">
        <f t="shared" si="619"/>
        <v>PREESCOLAR</v>
      </c>
      <c r="B3178" s="26" t="str">
        <f>"09PJN5931V"</f>
        <v>09PJN5931V</v>
      </c>
      <c r="C3178" s="26" t="str">
        <f>"JARDIN DE NIÑOS VALLE MEXICO                                                                        "</f>
        <v xml:space="preserve">JARDIN DE NIÑOS VALLE MEXICO                                                                        </v>
      </c>
      <c r="D3178" s="26" t="str">
        <f t="shared" si="621"/>
        <v>MATUTINO</v>
      </c>
      <c r="E3178" s="26" t="str">
        <f>"SALONICA NO. 166                                                                "</f>
        <v xml:space="preserve">SALONICA NO. 166                                                                </v>
      </c>
      <c r="F3178" s="26" t="str">
        <f>"SINDICATO MEXICANO DE ELECTRICISTAS                                                                                                         "</f>
        <v xml:space="preserve">SINDICATO MEXICANO DE ELECTRICISTAS                                                                                                         </v>
      </c>
      <c r="G3178" s="26" t="str">
        <f>"AZCAPOTZALCO                                                                    "</f>
        <v xml:space="preserve">AZCAPOTZALCO                                                                    </v>
      </c>
      <c r="H3178" s="26" t="str">
        <f>"106"</f>
        <v>106</v>
      </c>
      <c r="I3178" s="26" t="str">
        <f t="shared" si="620"/>
        <v>00</v>
      </c>
      <c r="J3178" s="26" t="str">
        <f>"32 "</f>
        <v xml:space="preserve">32 </v>
      </c>
      <c r="K3178" s="26" t="str">
        <f t="shared" si="626"/>
        <v>EP</v>
      </c>
      <c r="L3178" s="26" t="str">
        <f t="shared" si="627"/>
        <v>DGOSE</v>
      </c>
      <c r="M3178" s="26" t="str">
        <f t="shared" si="618"/>
        <v>PARTICULAR</v>
      </c>
      <c r="N3178" s="26">
        <v>40</v>
      </c>
      <c r="O3178" s="26">
        <v>21</v>
      </c>
      <c r="P3178" s="26">
        <v>19</v>
      </c>
      <c r="Q3178" s="26">
        <v>4</v>
      </c>
      <c r="R3178" s="26">
        <v>1</v>
      </c>
      <c r="S3178" s="26">
        <v>2</v>
      </c>
      <c r="T3178" s="26">
        <v>3</v>
      </c>
      <c r="U3178" s="26">
        <v>6</v>
      </c>
      <c r="V3178" s="26">
        <v>1</v>
      </c>
      <c r="W3178" s="26"/>
    </row>
    <row r="3179" spans="1:23" x14ac:dyDescent="0.25">
      <c r="A3179" s="26" t="str">
        <f t="shared" si="619"/>
        <v>PREESCOLAR</v>
      </c>
      <c r="B3179" s="26" t="str">
        <f>"09PJN5933T"</f>
        <v>09PJN5933T</v>
      </c>
      <c r="C3179" s="26" t="str">
        <f>"COLEGIO WALDEN DOS                                                                                  "</f>
        <v xml:space="preserve">COLEGIO WALDEN DOS                                                                                  </v>
      </c>
      <c r="D3179" s="26" t="str">
        <f t="shared" si="621"/>
        <v>MATUTINO</v>
      </c>
      <c r="E3179" s="26" t="str">
        <f>"HORACIO NO. 1019                                                                "</f>
        <v xml:space="preserve">HORACIO NO. 1019                                                                </v>
      </c>
      <c r="F3179" s="26" t="str">
        <f>"POLANCO SECCION I                                                                                                                           "</f>
        <v xml:space="preserve">POLANCO SECCION I                                                                                                                           </v>
      </c>
      <c r="G3179" s="26" t="str">
        <f>"MIGUEL HIDALGO                                                                  "</f>
        <v xml:space="preserve">MIGUEL HIDALGO                                                                  </v>
      </c>
      <c r="H3179" s="26" t="str">
        <f>"131"</f>
        <v>131</v>
      </c>
      <c r="I3179" s="26" t="str">
        <f t="shared" si="620"/>
        <v>00</v>
      </c>
      <c r="J3179" s="26" t="str">
        <f>"32 "</f>
        <v xml:space="preserve">32 </v>
      </c>
      <c r="K3179" s="26" t="str">
        <f t="shared" si="626"/>
        <v>EP</v>
      </c>
      <c r="L3179" s="26" t="str">
        <f t="shared" si="627"/>
        <v>DGOSE</v>
      </c>
      <c r="M3179" s="26" t="str">
        <f t="shared" si="618"/>
        <v>PARTICULAR</v>
      </c>
      <c r="N3179" s="26">
        <v>61</v>
      </c>
      <c r="O3179" s="26">
        <v>35</v>
      </c>
      <c r="P3179" s="26">
        <v>26</v>
      </c>
      <c r="Q3179" s="26">
        <v>6</v>
      </c>
      <c r="R3179" s="26">
        <v>1</v>
      </c>
      <c r="S3179" s="26">
        <v>3</v>
      </c>
      <c r="T3179" s="26">
        <v>6</v>
      </c>
      <c r="U3179" s="26">
        <v>10</v>
      </c>
      <c r="V3179" s="26">
        <v>1</v>
      </c>
      <c r="W3179" s="26"/>
    </row>
    <row r="3180" spans="1:23" x14ac:dyDescent="0.25">
      <c r="A3180" s="26" t="str">
        <f t="shared" si="619"/>
        <v>PREESCOLAR</v>
      </c>
      <c r="B3180" s="26" t="str">
        <f>"09PJN5934S"</f>
        <v>09PJN5934S</v>
      </c>
      <c r="C3180" s="26" t="str">
        <f>"JARDIN DE NIÑOS DESARROLLO DE LA COMUNIDAD                                                          "</f>
        <v xml:space="preserve">JARDIN DE NIÑOS DESARROLLO DE LA COMUNIDAD                                                          </v>
      </c>
      <c r="D3180" s="26" t="str">
        <f t="shared" si="621"/>
        <v>MATUTINO</v>
      </c>
      <c r="E3180" s="26" t="str">
        <f>"SANTA ISABEL MZA. 31 LT. 12                                                     "</f>
        <v xml:space="preserve">SANTA ISABEL MZA. 31 LT. 12                                                     </v>
      </c>
      <c r="F3180" s="26" t="str">
        <f>"SANTO DOMINGO                                                                                                                               "</f>
        <v xml:space="preserve">SANTO DOMINGO                                                                                                                               </v>
      </c>
      <c r="G3180" s="26" t="str">
        <f>"ALVARO OBREGON                                                                  "</f>
        <v xml:space="preserve">ALVARO OBREGON                                                                  </v>
      </c>
      <c r="H3180" s="26" t="str">
        <f>"219"</f>
        <v>219</v>
      </c>
      <c r="I3180" s="26" t="str">
        <f t="shared" si="620"/>
        <v>00</v>
      </c>
      <c r="J3180" s="26" t="str">
        <f>"33 "</f>
        <v xml:space="preserve">33 </v>
      </c>
      <c r="K3180" s="26" t="str">
        <f t="shared" si="626"/>
        <v>EP</v>
      </c>
      <c r="L3180" s="26" t="str">
        <f t="shared" si="627"/>
        <v>DGOSE</v>
      </c>
      <c r="M3180" s="26" t="str">
        <f t="shared" si="618"/>
        <v>PARTICULAR</v>
      </c>
      <c r="N3180" s="26">
        <v>13</v>
      </c>
      <c r="O3180" s="26">
        <v>5</v>
      </c>
      <c r="P3180" s="26">
        <v>8</v>
      </c>
      <c r="Q3180" s="26">
        <v>3</v>
      </c>
      <c r="R3180" s="26">
        <v>1</v>
      </c>
      <c r="S3180" s="26">
        <v>3</v>
      </c>
      <c r="T3180" s="26">
        <v>1</v>
      </c>
      <c r="U3180" s="26">
        <v>5</v>
      </c>
      <c r="V3180" s="26">
        <v>1</v>
      </c>
      <c r="W3180" s="26"/>
    </row>
    <row r="3181" spans="1:23" x14ac:dyDescent="0.25">
      <c r="A3181" s="26" t="str">
        <f t="shared" si="619"/>
        <v>PREESCOLAR</v>
      </c>
      <c r="B3181" s="26" t="str">
        <f>"09PJN5935R"</f>
        <v>09PJN5935R</v>
      </c>
      <c r="C3181" s="26" t="str">
        <f>"MONTESSORI DOMANI                                                                                   "</f>
        <v xml:space="preserve">MONTESSORI DOMANI                                                                                   </v>
      </c>
      <c r="D3181" s="26" t="str">
        <f t="shared" si="621"/>
        <v>MATUTINO</v>
      </c>
      <c r="E3181" s="26" t="str">
        <f>"MANUEL M. PONCE NO. 278                                                         "</f>
        <v xml:space="preserve">MANUEL M. PONCE NO. 278                                                         </v>
      </c>
      <c r="F3181" s="26" t="str">
        <f>"GUADALUPE INN                                                                                                                               "</f>
        <v xml:space="preserve">GUADALUPE INN                                                                                                                               </v>
      </c>
      <c r="G3181" s="26" t="str">
        <f>"ALVARO OBREGON                                                                  "</f>
        <v xml:space="preserve">ALVARO OBREGON                                                                  </v>
      </c>
      <c r="H3181" s="26" t="str">
        <f>"218"</f>
        <v>218</v>
      </c>
      <c r="I3181" s="26" t="str">
        <f t="shared" si="620"/>
        <v>00</v>
      </c>
      <c r="J3181" s="26" t="str">
        <f>"33 "</f>
        <v xml:space="preserve">33 </v>
      </c>
      <c r="K3181" s="26" t="str">
        <f t="shared" si="626"/>
        <v>EP</v>
      </c>
      <c r="L3181" s="26" t="str">
        <f t="shared" si="627"/>
        <v>DGOSE</v>
      </c>
      <c r="M3181" s="26" t="str">
        <f t="shared" si="618"/>
        <v>PARTICULAR</v>
      </c>
      <c r="N3181" s="26">
        <v>19</v>
      </c>
      <c r="O3181" s="26">
        <v>10</v>
      </c>
      <c r="P3181" s="26">
        <v>9</v>
      </c>
      <c r="Q3181" s="26">
        <v>3</v>
      </c>
      <c r="R3181" s="26">
        <v>1</v>
      </c>
      <c r="S3181" s="26">
        <v>2</v>
      </c>
      <c r="T3181" s="26">
        <v>0</v>
      </c>
      <c r="U3181" s="26">
        <v>3</v>
      </c>
      <c r="V3181" s="26">
        <v>1</v>
      </c>
      <c r="W3181" s="26"/>
    </row>
    <row r="3182" spans="1:23" x14ac:dyDescent="0.25">
      <c r="A3182" s="26" t="str">
        <f t="shared" si="619"/>
        <v>PREESCOLAR</v>
      </c>
      <c r="B3182" s="26" t="str">
        <f>"09PJN5936Q"</f>
        <v>09PJN5936Q</v>
      </c>
      <c r="C3182" s="26" t="str">
        <f>"JARDIN DE NIÑOS FRANCISCO GONZALEZ BOCANEGRA                                                        "</f>
        <v xml:space="preserve">JARDIN DE NIÑOS FRANCISCO GONZALEZ BOCANEGRA                                                        </v>
      </c>
      <c r="D3182" s="26" t="str">
        <f t="shared" si="621"/>
        <v>MATUTINO</v>
      </c>
      <c r="E3182" s="26" t="s">
        <v>137</v>
      </c>
      <c r="F3182" s="26" t="str">
        <f>"CUCHILLA DEL TESORO                                                                                                                         "</f>
        <v xml:space="preserve">CUCHILLA DEL TESORO                                                                                                                         </v>
      </c>
      <c r="G3182" s="26" t="str">
        <f>"GUSTAVO A. MADERO                                                               "</f>
        <v xml:space="preserve">GUSTAVO A. MADERO                                                               </v>
      </c>
      <c r="H3182" s="26" t="str">
        <f>"192"</f>
        <v>192</v>
      </c>
      <c r="I3182" s="26" t="str">
        <f t="shared" si="620"/>
        <v>00</v>
      </c>
      <c r="J3182" s="26" t="str">
        <f>"32 "</f>
        <v xml:space="preserve">32 </v>
      </c>
      <c r="K3182" s="26" t="str">
        <f t="shared" si="626"/>
        <v>EP</v>
      </c>
      <c r="L3182" s="26" t="str">
        <f t="shared" si="627"/>
        <v>DGOSE</v>
      </c>
      <c r="M3182" s="26" t="str">
        <f t="shared" si="618"/>
        <v>PARTICULAR</v>
      </c>
      <c r="N3182" s="26">
        <v>26</v>
      </c>
      <c r="O3182" s="26">
        <v>17</v>
      </c>
      <c r="P3182" s="26">
        <v>9</v>
      </c>
      <c r="Q3182" s="26">
        <v>3</v>
      </c>
      <c r="R3182" s="26">
        <v>1</v>
      </c>
      <c r="S3182" s="26">
        <v>2</v>
      </c>
      <c r="T3182" s="26">
        <v>3</v>
      </c>
      <c r="U3182" s="26">
        <v>6</v>
      </c>
      <c r="V3182" s="26">
        <v>1</v>
      </c>
      <c r="W3182" s="26"/>
    </row>
    <row r="3183" spans="1:23" x14ac:dyDescent="0.25">
      <c r="A3183" s="26" t="str">
        <f t="shared" si="619"/>
        <v>PREESCOLAR</v>
      </c>
      <c r="B3183" s="26" t="str">
        <f>"09PJN5937P"</f>
        <v>09PJN5937P</v>
      </c>
      <c r="C3183" s="26" t="str">
        <f>"COLEGIO OLLIN KAN                                                                                   "</f>
        <v xml:space="preserve">COLEGIO OLLIN KAN                                                                                   </v>
      </c>
      <c r="D3183" s="26" t="str">
        <f t="shared" si="621"/>
        <v>MATUTINO</v>
      </c>
      <c r="E3183" s="26" t="str">
        <f>"ALFREDO CHAVERO NO. 243                                                         "</f>
        <v xml:space="preserve">ALFREDO CHAVERO NO. 243                                                         </v>
      </c>
      <c r="F3183" s="26" t="str">
        <f>"TRANSITO                                                                                                                                    "</f>
        <v xml:space="preserve">TRANSITO                                                                                                                                    </v>
      </c>
      <c r="G3183" s="26" t="s">
        <v>4128</v>
      </c>
      <c r="H3183" s="26" t="str">
        <f>"022"</f>
        <v>022</v>
      </c>
      <c r="I3183" s="26" t="str">
        <f t="shared" si="620"/>
        <v>00</v>
      </c>
      <c r="J3183" s="26" t="str">
        <f>"32 "</f>
        <v xml:space="preserve">32 </v>
      </c>
      <c r="K3183" s="26" t="str">
        <f t="shared" si="626"/>
        <v>EP</v>
      </c>
      <c r="L3183" s="26" t="str">
        <f t="shared" si="627"/>
        <v>DGOSE</v>
      </c>
      <c r="M3183" s="26" t="str">
        <f t="shared" si="618"/>
        <v>PARTICULAR</v>
      </c>
      <c r="N3183" s="26">
        <v>9</v>
      </c>
      <c r="O3183" s="26">
        <v>4</v>
      </c>
      <c r="P3183" s="26">
        <v>5</v>
      </c>
      <c r="Q3183" s="26">
        <v>2</v>
      </c>
      <c r="R3183" s="26">
        <v>1</v>
      </c>
      <c r="S3183" s="26">
        <v>2</v>
      </c>
      <c r="T3183" s="26">
        <v>0</v>
      </c>
      <c r="U3183" s="26">
        <v>3</v>
      </c>
      <c r="V3183" s="26">
        <v>1</v>
      </c>
      <c r="W3183" s="26"/>
    </row>
    <row r="3184" spans="1:23" x14ac:dyDescent="0.25">
      <c r="A3184" s="26" t="str">
        <f t="shared" si="619"/>
        <v>PREESCOLAR</v>
      </c>
      <c r="B3184" s="26" t="str">
        <f>"09PJN5938O"</f>
        <v>09PJN5938O</v>
      </c>
      <c r="C3184" s="26" t="str">
        <f>"CENTRO PEDAGOGICO BOLIVAR                                                                           "</f>
        <v xml:space="preserve">CENTRO PEDAGOGICO BOLIVAR                                                                           </v>
      </c>
      <c r="D3184" s="26" t="str">
        <f>"VESPERTINO"</f>
        <v>VESPERTINO</v>
      </c>
      <c r="E3184" s="26" t="s">
        <v>138</v>
      </c>
      <c r="F3184" s="26" t="str">
        <f>"OBRERA                                                                                                                                      "</f>
        <v xml:space="preserve">OBRERA                                                                                                                                      </v>
      </c>
      <c r="G3184" s="26" t="s">
        <v>4128</v>
      </c>
      <c r="H3184" s="26" t="str">
        <f>"022"</f>
        <v>022</v>
      </c>
      <c r="I3184" s="26" t="str">
        <f t="shared" si="620"/>
        <v>00</v>
      </c>
      <c r="J3184" s="26" t="str">
        <f>"32 "</f>
        <v xml:space="preserve">32 </v>
      </c>
      <c r="K3184" s="26" t="str">
        <f t="shared" si="626"/>
        <v>EP</v>
      </c>
      <c r="L3184" s="26" t="str">
        <f t="shared" si="627"/>
        <v>DGOSE</v>
      </c>
      <c r="M3184" s="26" t="str">
        <f t="shared" si="618"/>
        <v>PARTICULAR</v>
      </c>
      <c r="N3184" s="26">
        <v>30</v>
      </c>
      <c r="O3184" s="26">
        <v>15</v>
      </c>
      <c r="P3184" s="26">
        <v>15</v>
      </c>
      <c r="Q3184" s="26">
        <v>1</v>
      </c>
      <c r="R3184" s="26">
        <v>1</v>
      </c>
      <c r="S3184" s="26">
        <v>1</v>
      </c>
      <c r="T3184" s="26">
        <v>0</v>
      </c>
      <c r="U3184" s="26">
        <v>2</v>
      </c>
      <c r="V3184" s="26">
        <v>1</v>
      </c>
      <c r="W3184" s="26"/>
    </row>
    <row r="3185" spans="1:23" x14ac:dyDescent="0.25">
      <c r="A3185" s="26" t="str">
        <f t="shared" si="619"/>
        <v>PREESCOLAR</v>
      </c>
      <c r="B3185" s="26" t="str">
        <f>"09PJN5939N"</f>
        <v>09PJN5939N</v>
      </c>
      <c r="C3185" s="26" t="str">
        <f>"COLEGIO KAN AHAU                                                                                    "</f>
        <v xml:space="preserve">COLEGIO KAN AHAU                                                                                    </v>
      </c>
      <c r="D3185" s="26" t="str">
        <f t="shared" ref="D3185:D3248" si="628">"MATUTINO"</f>
        <v>MATUTINO</v>
      </c>
      <c r="E3185" s="26" t="str">
        <f>"REY TLALTECUITLI S/N. LT. 12                                                    "</f>
        <v xml:space="preserve">REY TLALTECUITLI S/N. LT. 12                                                    </v>
      </c>
      <c r="F3185" s="26" t="str">
        <f>"AJUSCO                                                                                                                                      "</f>
        <v xml:space="preserve">AJUSCO                                                                                                                                      </v>
      </c>
      <c r="G3185" s="26" t="str">
        <f>"COYOACAN                                                                        "</f>
        <v xml:space="preserve">COYOACAN                                                                        </v>
      </c>
      <c r="H3185" s="26" t="str">
        <f>"239"</f>
        <v>239</v>
      </c>
      <c r="I3185" s="26" t="str">
        <f t="shared" si="620"/>
        <v>00</v>
      </c>
      <c r="J3185" s="26" t="str">
        <f>"35 "</f>
        <v xml:space="preserve">35 </v>
      </c>
      <c r="K3185" s="26" t="str">
        <f t="shared" si="626"/>
        <v>EP</v>
      </c>
      <c r="L3185" s="26" t="str">
        <f t="shared" si="627"/>
        <v>DGOSE</v>
      </c>
      <c r="M3185" s="26" t="str">
        <f t="shared" si="618"/>
        <v>PARTICULAR</v>
      </c>
      <c r="N3185" s="26">
        <v>19</v>
      </c>
      <c r="O3185" s="26">
        <v>8</v>
      </c>
      <c r="P3185" s="26">
        <v>11</v>
      </c>
      <c r="Q3185" s="26">
        <v>3</v>
      </c>
      <c r="R3185" s="26">
        <v>1</v>
      </c>
      <c r="S3185" s="26">
        <v>2</v>
      </c>
      <c r="T3185" s="26">
        <v>5</v>
      </c>
      <c r="U3185" s="26">
        <v>8</v>
      </c>
      <c r="V3185" s="26">
        <v>1</v>
      </c>
      <c r="W3185" s="26"/>
    </row>
    <row r="3186" spans="1:23" x14ac:dyDescent="0.25">
      <c r="A3186" s="26" t="str">
        <f t="shared" si="619"/>
        <v>PREESCOLAR</v>
      </c>
      <c r="B3186" s="26" t="str">
        <f>"09PJN5940C"</f>
        <v>09PJN5940C</v>
      </c>
      <c r="C3186" s="26" t="s">
        <v>139</v>
      </c>
      <c r="D3186" s="26" t="str">
        <f t="shared" si="628"/>
        <v>MATUTINO</v>
      </c>
      <c r="E3186" s="26" t="str">
        <f>"GUILLERMO GONZALEZ CAMARENA NO. 1000-PB LOCAL 002                               "</f>
        <v xml:space="preserve">GUILLERMO GONZALEZ CAMARENA NO. 1000-PB LOCAL 002                               </v>
      </c>
      <c r="F3186" s="26" t="str">
        <f>"SANTA FE                                                                                                                                    "</f>
        <v xml:space="preserve">SANTA FE                                                                                                                                    </v>
      </c>
      <c r="G3186" s="26" t="str">
        <f>"ALVARO OBREGON                                                                  "</f>
        <v xml:space="preserve">ALVARO OBREGON                                                                  </v>
      </c>
      <c r="H3186" s="26" t="str">
        <f>"166"</f>
        <v>166</v>
      </c>
      <c r="I3186" s="26" t="str">
        <f t="shared" si="620"/>
        <v>00</v>
      </c>
      <c r="J3186" s="26" t="str">
        <f>"33 "</f>
        <v xml:space="preserve">33 </v>
      </c>
      <c r="K3186" s="26" t="str">
        <f t="shared" si="626"/>
        <v>EP</v>
      </c>
      <c r="L3186" s="26" t="str">
        <f t="shared" si="627"/>
        <v>DGOSE</v>
      </c>
      <c r="M3186" s="26" t="str">
        <f t="shared" si="618"/>
        <v>PARTICULAR</v>
      </c>
      <c r="N3186" s="26">
        <v>54</v>
      </c>
      <c r="O3186" s="26">
        <v>24</v>
      </c>
      <c r="P3186" s="26">
        <v>30</v>
      </c>
      <c r="Q3186" s="26">
        <v>3</v>
      </c>
      <c r="R3186" s="26">
        <v>1</v>
      </c>
      <c r="S3186" s="26">
        <v>3</v>
      </c>
      <c r="T3186" s="26">
        <v>15</v>
      </c>
      <c r="U3186" s="26">
        <v>19</v>
      </c>
      <c r="V3186" s="26">
        <v>1</v>
      </c>
      <c r="W3186" s="26"/>
    </row>
    <row r="3187" spans="1:23" x14ac:dyDescent="0.25">
      <c r="A3187" s="26" t="str">
        <f t="shared" si="619"/>
        <v>PREESCOLAR</v>
      </c>
      <c r="B3187" s="26" t="str">
        <f>"09PJN5941B"</f>
        <v>09PJN5941B</v>
      </c>
      <c r="C3187" s="26" t="str">
        <f>"CENTRO EDUCATIVO ANGLO HISPANO                                                                      "</f>
        <v xml:space="preserve">CENTRO EDUCATIVO ANGLO HISPANO                                                                      </v>
      </c>
      <c r="D3187" s="26" t="str">
        <f t="shared" si="628"/>
        <v>MATUTINO</v>
      </c>
      <c r="E3187" s="26" t="str">
        <f>"CENTELLA S/N MZ. 5 LT. 47                                                       "</f>
        <v xml:space="preserve">CENTELLA S/N MZ. 5 LT. 47                                                       </v>
      </c>
      <c r="F3187" s="26" t="str">
        <f>"VALLE DE LUCES                                                                                                                              "</f>
        <v xml:space="preserve">VALLE DE LUCES                                                                                                                              </v>
      </c>
      <c r="G3187" s="26" t="str">
        <f>"IZTAPALAPA                                                                      "</f>
        <v xml:space="preserve">IZTAPALAPA                                                                      </v>
      </c>
      <c r="H3187" s="26" t="str">
        <f>"000"</f>
        <v>000</v>
      </c>
      <c r="I3187" s="26" t="str">
        <f t="shared" si="620"/>
        <v>00</v>
      </c>
      <c r="J3187" s="26" t="str">
        <f>"61 "</f>
        <v xml:space="preserve">61 </v>
      </c>
      <c r="K3187" s="26" t="str">
        <f>"IZ"</f>
        <v>IZ</v>
      </c>
      <c r="L3187" s="26" t="str">
        <f>"DGSEI"</f>
        <v>DGSEI</v>
      </c>
      <c r="M3187" s="26" t="str">
        <f t="shared" si="618"/>
        <v>PARTICULAR</v>
      </c>
      <c r="N3187" s="26">
        <v>14</v>
      </c>
      <c r="O3187" s="26">
        <v>9</v>
      </c>
      <c r="P3187" s="26">
        <v>5</v>
      </c>
      <c r="Q3187" s="26">
        <v>2</v>
      </c>
      <c r="R3187" s="26">
        <v>1</v>
      </c>
      <c r="S3187" s="26">
        <v>1</v>
      </c>
      <c r="T3187" s="26">
        <v>2</v>
      </c>
      <c r="U3187" s="26">
        <v>4</v>
      </c>
      <c r="V3187" s="26">
        <v>1</v>
      </c>
      <c r="W3187" s="26"/>
    </row>
    <row r="3188" spans="1:23" x14ac:dyDescent="0.25">
      <c r="A3188" s="26" t="str">
        <f t="shared" si="619"/>
        <v>PREESCOLAR</v>
      </c>
      <c r="B3188" s="26" t="str">
        <f>"09PJN5942A"</f>
        <v>09PJN5942A</v>
      </c>
      <c r="C3188" s="26" t="str">
        <f>"INSTITUTO PEDAGOGICO LATINO AMERICANO                                                               "</f>
        <v xml:space="preserve">INSTITUTO PEDAGOGICO LATINO AMERICANO                                                               </v>
      </c>
      <c r="D3188" s="26" t="str">
        <f t="shared" si="628"/>
        <v>MATUTINO</v>
      </c>
      <c r="E3188" s="26" t="str">
        <f>"MORELOS NO 33                                                                   "</f>
        <v xml:space="preserve">MORELOS NO 33                                                                   </v>
      </c>
      <c r="F3188" s="26" t="str">
        <f>"SAN ANTONIO CULHUACAN                                                                                                                       "</f>
        <v xml:space="preserve">SAN ANTONIO CULHUACAN                                                                                                                       </v>
      </c>
      <c r="G3188" s="26" t="str">
        <f>"IZTAPALAPA                                                                      "</f>
        <v xml:space="preserve">IZTAPALAPA                                                                      </v>
      </c>
      <c r="H3188" s="26" t="str">
        <f>"000"</f>
        <v>000</v>
      </c>
      <c r="I3188" s="26" t="str">
        <f t="shared" si="620"/>
        <v>00</v>
      </c>
      <c r="J3188" s="26" t="str">
        <f>"61 "</f>
        <v xml:space="preserve">61 </v>
      </c>
      <c r="K3188" s="26" t="str">
        <f>"IZ"</f>
        <v>IZ</v>
      </c>
      <c r="L3188" s="26" t="str">
        <f>"DGSEI"</f>
        <v>DGSEI</v>
      </c>
      <c r="M3188" s="26" t="str">
        <f t="shared" si="618"/>
        <v>PARTICULAR</v>
      </c>
      <c r="N3188" s="26">
        <v>7</v>
      </c>
      <c r="O3188" s="26">
        <v>4</v>
      </c>
      <c r="P3188" s="26">
        <v>3</v>
      </c>
      <c r="Q3188" s="26">
        <v>2</v>
      </c>
      <c r="R3188" s="26">
        <v>1</v>
      </c>
      <c r="S3188" s="26">
        <v>1</v>
      </c>
      <c r="T3188" s="26">
        <v>2</v>
      </c>
      <c r="U3188" s="26">
        <v>4</v>
      </c>
      <c r="V3188" s="26">
        <v>1</v>
      </c>
      <c r="W3188" s="26"/>
    </row>
    <row r="3189" spans="1:23" x14ac:dyDescent="0.25">
      <c r="A3189" s="26" t="str">
        <f t="shared" si="619"/>
        <v>PREESCOLAR</v>
      </c>
      <c r="B3189" s="26" t="str">
        <f>"09PJN5944Z"</f>
        <v>09PJN5944Z</v>
      </c>
      <c r="C3189" s="26" t="str">
        <f>"CENTRO DE DESARROLLO INFANTIL MONTESSORI AMIGOS LA FLORIDA                                          "</f>
        <v xml:space="preserve">CENTRO DE DESARROLLO INFANTIL MONTESSORI AMIGOS LA FLORIDA                                          </v>
      </c>
      <c r="D3189" s="26" t="str">
        <f t="shared" si="628"/>
        <v>MATUTINO</v>
      </c>
      <c r="E3189" s="26" t="str">
        <f>"HORTENSIA NO. 101                                                               "</f>
        <v xml:space="preserve">HORTENSIA NO. 101                                                               </v>
      </c>
      <c r="F3189" s="26" t="str">
        <f>"FLORIDA                                                                                                                                     "</f>
        <v xml:space="preserve">FLORIDA                                                                                                                                     </v>
      </c>
      <c r="G3189" s="26" t="str">
        <f>"ALVARO OBREGON                                                                  "</f>
        <v xml:space="preserve">ALVARO OBREGON                                                                  </v>
      </c>
      <c r="H3189" s="26" t="str">
        <f>"218"</f>
        <v>218</v>
      </c>
      <c r="I3189" s="26" t="str">
        <f t="shared" si="620"/>
        <v>00</v>
      </c>
      <c r="J3189" s="26" t="str">
        <f>"33 "</f>
        <v xml:space="preserve">33 </v>
      </c>
      <c r="K3189" s="26" t="str">
        <f t="shared" ref="K3189:K3202" si="629">"EP"</f>
        <v>EP</v>
      </c>
      <c r="L3189" s="26" t="str">
        <f t="shared" ref="L3189:L3202" si="630">"DGOSE"</f>
        <v>DGOSE</v>
      </c>
      <c r="M3189" s="26" t="str">
        <f t="shared" si="618"/>
        <v>PARTICULAR</v>
      </c>
      <c r="N3189" s="26">
        <v>25</v>
      </c>
      <c r="O3189" s="26">
        <v>11</v>
      </c>
      <c r="P3189" s="26">
        <v>14</v>
      </c>
      <c r="Q3189" s="26">
        <v>3</v>
      </c>
      <c r="R3189" s="26">
        <v>1</v>
      </c>
      <c r="S3189" s="26">
        <v>3</v>
      </c>
      <c r="T3189" s="26">
        <v>9</v>
      </c>
      <c r="U3189" s="26">
        <v>13</v>
      </c>
      <c r="V3189" s="26">
        <v>1</v>
      </c>
      <c r="W3189" s="26"/>
    </row>
    <row r="3190" spans="1:23" x14ac:dyDescent="0.25">
      <c r="A3190" s="26" t="str">
        <f t="shared" si="619"/>
        <v>PREESCOLAR</v>
      </c>
      <c r="B3190" s="26" t="str">
        <f>"09PJN5945Y"</f>
        <v>09PJN5945Y</v>
      </c>
      <c r="C3190" s="26" t="str">
        <f>"COLEGIO KENT CONDESA                                                                                "</f>
        <v xml:space="preserve">COLEGIO KENT CONDESA                                                                                </v>
      </c>
      <c r="D3190" s="26" t="str">
        <f t="shared" si="628"/>
        <v>MATUTINO</v>
      </c>
      <c r="E3190" s="26" t="str">
        <f>"ZAMORA NO. 42                                                                   "</f>
        <v xml:space="preserve">ZAMORA NO. 42                                                                   </v>
      </c>
      <c r="F3190" s="26" t="str">
        <f>"CONDESA                                                                                                                                     "</f>
        <v xml:space="preserve">CONDESA                                                                                                                                     </v>
      </c>
      <c r="G3190" s="26" t="s">
        <v>4128</v>
      </c>
      <c r="H3190" s="26" t="str">
        <f>"202"</f>
        <v>202</v>
      </c>
      <c r="I3190" s="26" t="str">
        <f t="shared" si="620"/>
        <v>00</v>
      </c>
      <c r="J3190" s="26" t="str">
        <f>"32 "</f>
        <v xml:space="preserve">32 </v>
      </c>
      <c r="K3190" s="26" t="str">
        <f t="shared" si="629"/>
        <v>EP</v>
      </c>
      <c r="L3190" s="26" t="str">
        <f t="shared" si="630"/>
        <v>DGOSE</v>
      </c>
      <c r="M3190" s="26" t="str">
        <f t="shared" si="618"/>
        <v>PARTICULAR</v>
      </c>
      <c r="N3190" s="26">
        <v>42</v>
      </c>
      <c r="O3190" s="26">
        <v>18</v>
      </c>
      <c r="P3190" s="26">
        <v>24</v>
      </c>
      <c r="Q3190" s="26">
        <v>2</v>
      </c>
      <c r="R3190" s="26">
        <v>1</v>
      </c>
      <c r="S3190" s="26">
        <v>2</v>
      </c>
      <c r="T3190" s="26">
        <v>6</v>
      </c>
      <c r="U3190" s="26">
        <v>9</v>
      </c>
      <c r="V3190" s="26">
        <v>1</v>
      </c>
      <c r="W3190" s="26"/>
    </row>
    <row r="3191" spans="1:23" x14ac:dyDescent="0.25">
      <c r="A3191" s="26" t="str">
        <f t="shared" si="619"/>
        <v>PREESCOLAR</v>
      </c>
      <c r="B3191" s="26" t="str">
        <f>"09PJN5946X"</f>
        <v>09PJN5946X</v>
      </c>
      <c r="C3191" s="26" t="s">
        <v>140</v>
      </c>
      <c r="D3191" s="26" t="str">
        <f t="shared" si="628"/>
        <v>MATUTINO</v>
      </c>
      <c r="E3191" s="26" t="str">
        <f>"IGNACIO MARISCAL NO.133                                                         "</f>
        <v xml:space="preserve">IGNACIO MARISCAL NO.133                                                         </v>
      </c>
      <c r="F3191" s="26" t="str">
        <f>"TABACALERA                                                                                                                                  "</f>
        <v xml:space="preserve">TABACALERA                                                                                                                                  </v>
      </c>
      <c r="G3191" s="26" t="s">
        <v>4128</v>
      </c>
      <c r="H3191" s="26" t="str">
        <f>"057"</f>
        <v>057</v>
      </c>
      <c r="I3191" s="26" t="str">
        <f t="shared" si="620"/>
        <v>00</v>
      </c>
      <c r="J3191" s="26" t="str">
        <f>"32 "</f>
        <v xml:space="preserve">32 </v>
      </c>
      <c r="K3191" s="26" t="str">
        <f t="shared" si="629"/>
        <v>EP</v>
      </c>
      <c r="L3191" s="26" t="str">
        <f t="shared" si="630"/>
        <v>DGOSE</v>
      </c>
      <c r="M3191" s="26" t="str">
        <f t="shared" si="618"/>
        <v>PARTICULAR</v>
      </c>
      <c r="N3191" s="26">
        <v>20</v>
      </c>
      <c r="O3191" s="26">
        <v>14</v>
      </c>
      <c r="P3191" s="26">
        <v>6</v>
      </c>
      <c r="Q3191" s="26">
        <v>1</v>
      </c>
      <c r="R3191" s="26">
        <v>1</v>
      </c>
      <c r="S3191" s="26">
        <v>1</v>
      </c>
      <c r="T3191" s="26">
        <v>5</v>
      </c>
      <c r="U3191" s="26">
        <v>7</v>
      </c>
      <c r="V3191" s="26">
        <v>1</v>
      </c>
      <c r="W3191" s="26"/>
    </row>
    <row r="3192" spans="1:23" x14ac:dyDescent="0.25">
      <c r="A3192" s="26" t="str">
        <f t="shared" si="619"/>
        <v>PREESCOLAR</v>
      </c>
      <c r="B3192" s="26" t="str">
        <f>"09PJN5947W"</f>
        <v>09PJN5947W</v>
      </c>
      <c r="C3192" s="26" t="s">
        <v>141</v>
      </c>
      <c r="D3192" s="26" t="str">
        <f t="shared" si="628"/>
        <v>MATUTINO</v>
      </c>
      <c r="E3192" s="26" t="str">
        <f>"LONDRES NO.26                                                                   "</f>
        <v xml:space="preserve">LONDRES NO.26                                                                   </v>
      </c>
      <c r="F3192" s="26" t="str">
        <f>"DEL CARMEN                                                                                                                                  "</f>
        <v xml:space="preserve">DEL CARMEN                                                                                                                                  </v>
      </c>
      <c r="G3192" s="26" t="str">
        <f>"COYOACAN                                                                        "</f>
        <v xml:space="preserve">COYOACAN                                                                        </v>
      </c>
      <c r="H3192" s="26" t="str">
        <f>"043"</f>
        <v>043</v>
      </c>
      <c r="I3192" s="26" t="str">
        <f t="shared" si="620"/>
        <v>00</v>
      </c>
      <c r="J3192" s="26" t="str">
        <f>"35 "</f>
        <v xml:space="preserve">35 </v>
      </c>
      <c r="K3192" s="26" t="str">
        <f t="shared" si="629"/>
        <v>EP</v>
      </c>
      <c r="L3192" s="26" t="str">
        <f t="shared" si="630"/>
        <v>DGOSE</v>
      </c>
      <c r="M3192" s="26" t="str">
        <f t="shared" si="618"/>
        <v>PARTICULAR</v>
      </c>
      <c r="N3192" s="26">
        <v>35</v>
      </c>
      <c r="O3192" s="26">
        <v>15</v>
      </c>
      <c r="P3192" s="26">
        <v>20</v>
      </c>
      <c r="Q3192" s="26">
        <v>3</v>
      </c>
      <c r="R3192" s="26">
        <v>1</v>
      </c>
      <c r="S3192" s="26">
        <v>2</v>
      </c>
      <c r="T3192" s="26">
        <v>3</v>
      </c>
      <c r="U3192" s="26">
        <v>6</v>
      </c>
      <c r="V3192" s="26">
        <v>1</v>
      </c>
      <c r="W3192" s="26"/>
    </row>
    <row r="3193" spans="1:23" x14ac:dyDescent="0.25">
      <c r="A3193" s="26" t="str">
        <f t="shared" si="619"/>
        <v>PREESCOLAR</v>
      </c>
      <c r="B3193" s="26" t="str">
        <f>"09PJN5948V"</f>
        <v>09PJN5948V</v>
      </c>
      <c r="C3193" s="26" t="str">
        <f>"CENTRO DE ESTIMULACION TEMPRANA KINDER CARE                                                         "</f>
        <v xml:space="preserve">CENTRO DE ESTIMULACION TEMPRANA KINDER CARE                                                         </v>
      </c>
      <c r="D3193" s="26" t="str">
        <f t="shared" si="628"/>
        <v>MATUTINO</v>
      </c>
      <c r="E3193" s="26" t="str">
        <f>"PASEO DE LOS TAMARINDOS MZA.1 LOTES 1 Y 2                                       "</f>
        <v xml:space="preserve">PASEO DE LOS TAMARINDOS MZA.1 LOTES 1 Y 2                                       </v>
      </c>
      <c r="F3193" s="26" t="str">
        <f>"PALO ALTO                                                                                                                                   "</f>
        <v xml:space="preserve">PALO ALTO                                                                                                                                   </v>
      </c>
      <c r="G3193" s="26" t="str">
        <f>"CUAJIMALPA DE MORELOS                                                           "</f>
        <v xml:space="preserve">CUAJIMALPA DE MORELOS                                                           </v>
      </c>
      <c r="H3193" s="26" t="str">
        <f>"089"</f>
        <v>089</v>
      </c>
      <c r="I3193" s="26" t="str">
        <f t="shared" si="620"/>
        <v>00</v>
      </c>
      <c r="J3193" s="26" t="str">
        <f>"33 "</f>
        <v xml:space="preserve">33 </v>
      </c>
      <c r="K3193" s="26" t="str">
        <f t="shared" si="629"/>
        <v>EP</v>
      </c>
      <c r="L3193" s="26" t="str">
        <f t="shared" si="630"/>
        <v>DGOSE</v>
      </c>
      <c r="M3193" s="26" t="str">
        <f t="shared" si="618"/>
        <v>PARTICULAR</v>
      </c>
      <c r="N3193" s="26">
        <v>7</v>
      </c>
      <c r="O3193" s="26">
        <v>2</v>
      </c>
      <c r="P3193" s="26">
        <v>5</v>
      </c>
      <c r="Q3193" s="26">
        <v>3</v>
      </c>
      <c r="R3193" s="26">
        <v>1</v>
      </c>
      <c r="S3193" s="26">
        <v>2</v>
      </c>
      <c r="T3193" s="26">
        <v>2</v>
      </c>
      <c r="U3193" s="26">
        <v>5</v>
      </c>
      <c r="V3193" s="26">
        <v>1</v>
      </c>
      <c r="W3193" s="26"/>
    </row>
    <row r="3194" spans="1:23" x14ac:dyDescent="0.25">
      <c r="A3194" s="26" t="str">
        <f t="shared" si="619"/>
        <v>PREESCOLAR</v>
      </c>
      <c r="B3194" s="26" t="str">
        <f>"09PJN5949U"</f>
        <v>09PJN5949U</v>
      </c>
      <c r="C3194" s="26" t="str">
        <f>"COLEGIO CRI-KRI                                                                                     "</f>
        <v xml:space="preserve">COLEGIO CRI-KRI                                                                                     </v>
      </c>
      <c r="D3194" s="26" t="str">
        <f t="shared" si="628"/>
        <v>MATUTINO</v>
      </c>
      <c r="E3194" s="26" t="str">
        <f>"XOLA NO. 303                                                                    "</f>
        <v xml:space="preserve">XOLA NO. 303                                                                    </v>
      </c>
      <c r="F3194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3194" s="26" t="str">
        <f>"BENITO JUAREZ                                                                   "</f>
        <v xml:space="preserve">BENITO JUAREZ                                                                   </v>
      </c>
      <c r="H3194" s="26" t="str">
        <f>"231"</f>
        <v>231</v>
      </c>
      <c r="I3194" s="26" t="str">
        <f t="shared" si="620"/>
        <v>00</v>
      </c>
      <c r="J3194" s="26" t="str">
        <f>"33 "</f>
        <v xml:space="preserve">33 </v>
      </c>
      <c r="K3194" s="26" t="str">
        <f t="shared" si="629"/>
        <v>EP</v>
      </c>
      <c r="L3194" s="26" t="str">
        <f t="shared" si="630"/>
        <v>DGOSE</v>
      </c>
      <c r="M3194" s="26" t="str">
        <f t="shared" si="618"/>
        <v>PARTICULAR</v>
      </c>
      <c r="N3194" s="26">
        <v>7</v>
      </c>
      <c r="O3194" s="26">
        <v>6</v>
      </c>
      <c r="P3194" s="26">
        <v>1</v>
      </c>
      <c r="Q3194" s="26">
        <v>2</v>
      </c>
      <c r="R3194" s="26">
        <v>1</v>
      </c>
      <c r="S3194" s="26">
        <v>1</v>
      </c>
      <c r="T3194" s="26">
        <v>2</v>
      </c>
      <c r="U3194" s="26">
        <v>4</v>
      </c>
      <c r="V3194" s="26">
        <v>1</v>
      </c>
      <c r="W3194" s="26"/>
    </row>
    <row r="3195" spans="1:23" x14ac:dyDescent="0.25">
      <c r="A3195" s="26" t="str">
        <f t="shared" si="619"/>
        <v>PREESCOLAR</v>
      </c>
      <c r="B3195" s="26" t="str">
        <f>"09PJN5950J"</f>
        <v>09PJN5950J</v>
      </c>
      <c r="C3195" s="26" t="s">
        <v>142</v>
      </c>
      <c r="D3195" s="26" t="str">
        <f t="shared" si="628"/>
        <v>MATUTINO</v>
      </c>
      <c r="E3195" s="26" t="str">
        <f>"PIEDRA NO. 199                                                                  "</f>
        <v xml:space="preserve">PIEDRA NO. 199                                                                  </v>
      </c>
      <c r="F3195" s="26" t="str">
        <f>"JARDINES DEL PEDREGAL                                                                                                                       "</f>
        <v xml:space="preserve">JARDINES DEL PEDREGAL                                                                                                                       </v>
      </c>
      <c r="G3195" s="26" t="str">
        <f>"ALVARO OBREGON                                                                  "</f>
        <v xml:space="preserve">ALVARO OBREGON                                                                  </v>
      </c>
      <c r="H3195" s="26" t="str">
        <f>"150"</f>
        <v>150</v>
      </c>
      <c r="I3195" s="26" t="str">
        <f t="shared" si="620"/>
        <v>00</v>
      </c>
      <c r="J3195" s="26" t="str">
        <f>"33 "</f>
        <v xml:space="preserve">33 </v>
      </c>
      <c r="K3195" s="26" t="str">
        <f t="shared" si="629"/>
        <v>EP</v>
      </c>
      <c r="L3195" s="26" t="str">
        <f t="shared" si="630"/>
        <v>DGOSE</v>
      </c>
      <c r="M3195" s="26" t="str">
        <f t="shared" si="618"/>
        <v>PARTICULAR</v>
      </c>
      <c r="N3195" s="26">
        <v>43</v>
      </c>
      <c r="O3195" s="26">
        <v>24</v>
      </c>
      <c r="P3195" s="26">
        <v>19</v>
      </c>
      <c r="Q3195" s="26">
        <v>3</v>
      </c>
      <c r="R3195" s="26">
        <v>1</v>
      </c>
      <c r="S3195" s="26">
        <v>3</v>
      </c>
      <c r="T3195" s="26">
        <v>14</v>
      </c>
      <c r="U3195" s="26">
        <v>18</v>
      </c>
      <c r="V3195" s="26">
        <v>1</v>
      </c>
      <c r="W3195" s="26"/>
    </row>
    <row r="3196" spans="1:23" x14ac:dyDescent="0.25">
      <c r="A3196" s="26" t="str">
        <f t="shared" si="619"/>
        <v>PREESCOLAR</v>
      </c>
      <c r="B3196" s="26" t="str">
        <f>"09PJN5951I"</f>
        <v>09PJN5951I</v>
      </c>
      <c r="C3196" s="26" t="str">
        <f>"KID'S PLACE MEXICO                                                                                  "</f>
        <v xml:space="preserve">KID'S PLACE MEXICO                                                                                  </v>
      </c>
      <c r="D3196" s="26" t="str">
        <f t="shared" si="628"/>
        <v>MATUTINO</v>
      </c>
      <c r="E3196" s="26" t="str">
        <f>"MAZATLAN NOS. 171 Y  173                                                        "</f>
        <v xml:space="preserve">MAZATLAN NOS. 171 Y  173                                                        </v>
      </c>
      <c r="F3196" s="26" t="str">
        <f>"CONDESA                                                                                                                                     "</f>
        <v xml:space="preserve">CONDESA                                                                                                                                     </v>
      </c>
      <c r="G3196" s="26" t="s">
        <v>4128</v>
      </c>
      <c r="H3196" s="26" t="str">
        <f>"020"</f>
        <v>020</v>
      </c>
      <c r="I3196" s="26" t="str">
        <f t="shared" si="620"/>
        <v>00</v>
      </c>
      <c r="J3196" s="26" t="str">
        <f>"32 "</f>
        <v xml:space="preserve">32 </v>
      </c>
      <c r="K3196" s="26" t="str">
        <f t="shared" si="629"/>
        <v>EP</v>
      </c>
      <c r="L3196" s="26" t="str">
        <f t="shared" si="630"/>
        <v>DGOSE</v>
      </c>
      <c r="M3196" s="26" t="str">
        <f t="shared" si="618"/>
        <v>PARTICULAR</v>
      </c>
      <c r="N3196" s="26">
        <v>32</v>
      </c>
      <c r="O3196" s="26">
        <v>17</v>
      </c>
      <c r="P3196" s="26">
        <v>15</v>
      </c>
      <c r="Q3196" s="26">
        <v>3</v>
      </c>
      <c r="R3196" s="26">
        <v>1</v>
      </c>
      <c r="S3196" s="26">
        <v>3</v>
      </c>
      <c r="T3196" s="26">
        <v>4</v>
      </c>
      <c r="U3196" s="26">
        <v>8</v>
      </c>
      <c r="V3196" s="26">
        <v>1</v>
      </c>
      <c r="W3196" s="26"/>
    </row>
    <row r="3197" spans="1:23" x14ac:dyDescent="0.25">
      <c r="A3197" s="26" t="str">
        <f t="shared" si="619"/>
        <v>PREESCOLAR</v>
      </c>
      <c r="B3197" s="26" t="str">
        <f>"09PJN5952H"</f>
        <v>09PJN5952H</v>
      </c>
      <c r="C3197" s="26" t="str">
        <f>"JARDÍN DE NIÑOS LA CABAÑA MÁGICA                                                                    "</f>
        <v xml:space="preserve">JARDÍN DE NIÑOS LA CABAÑA MÁGICA                                                                    </v>
      </c>
      <c r="D3197" s="26" t="str">
        <f t="shared" si="628"/>
        <v>MATUTINO</v>
      </c>
      <c r="E3197" s="26" t="str">
        <f>"AV. MEXICO NO.232                                                               "</f>
        <v xml:space="preserve">AV. MEXICO NO.232                                                               </v>
      </c>
      <c r="F3197" s="26" t="str">
        <f>"CUAJIMALPA                                                                                                                                  "</f>
        <v xml:space="preserve">CUAJIMALPA                                                                                                                                  </v>
      </c>
      <c r="G3197" s="26" t="str">
        <f>"CUAJIMALPA DE MORELOS                                                           "</f>
        <v xml:space="preserve">CUAJIMALPA DE MORELOS                                                           </v>
      </c>
      <c r="H3197" s="26" t="str">
        <f>"279"</f>
        <v>279</v>
      </c>
      <c r="I3197" s="26" t="str">
        <f t="shared" si="620"/>
        <v>00</v>
      </c>
      <c r="J3197" s="26" t="str">
        <f>"33 "</f>
        <v xml:space="preserve">33 </v>
      </c>
      <c r="K3197" s="26" t="str">
        <f t="shared" si="629"/>
        <v>EP</v>
      </c>
      <c r="L3197" s="26" t="str">
        <f t="shared" si="630"/>
        <v>DGOSE</v>
      </c>
      <c r="M3197" s="26" t="str">
        <f t="shared" si="618"/>
        <v>PARTICULAR</v>
      </c>
      <c r="N3197" s="26">
        <v>20</v>
      </c>
      <c r="O3197" s="26">
        <v>13</v>
      </c>
      <c r="P3197" s="26">
        <v>7</v>
      </c>
      <c r="Q3197" s="26">
        <v>3</v>
      </c>
      <c r="R3197" s="26">
        <v>1</v>
      </c>
      <c r="S3197" s="26">
        <v>2</v>
      </c>
      <c r="T3197" s="26">
        <v>4</v>
      </c>
      <c r="U3197" s="26">
        <v>7</v>
      </c>
      <c r="V3197" s="26">
        <v>1</v>
      </c>
      <c r="W3197" s="26"/>
    </row>
    <row r="3198" spans="1:23" x14ac:dyDescent="0.25">
      <c r="A3198" s="26" t="str">
        <f t="shared" si="619"/>
        <v>PREESCOLAR</v>
      </c>
      <c r="B3198" s="26" t="str">
        <f>"09PJN5953G"</f>
        <v>09PJN5953G</v>
      </c>
      <c r="C3198" s="26" t="str">
        <f>"LOS PEQUEÑOS GENIOS                                                                                 "</f>
        <v xml:space="preserve">LOS PEQUEÑOS GENIOS                                                                                 </v>
      </c>
      <c r="D3198" s="26" t="str">
        <f t="shared" si="628"/>
        <v>MATUTINO</v>
      </c>
      <c r="E3198" s="26" t="str">
        <f>"AV. MONTEVIDEO NO. 480                                                          "</f>
        <v xml:space="preserve">AV. MONTEVIDEO NO. 480                                                          </v>
      </c>
      <c r="F3198" s="26" t="str">
        <f>"SAN BARTOLO ATEPEHUACAN                                                                                                                     "</f>
        <v xml:space="preserve">SAN BARTOLO ATEPEHUACAN                                                                                                                     </v>
      </c>
      <c r="G3198" s="26" t="str">
        <f>"GUSTAVO A. MADERO                                                               "</f>
        <v xml:space="preserve">GUSTAVO A. MADERO                                                               </v>
      </c>
      <c r="H3198" s="26" t="str">
        <f>"095"</f>
        <v>095</v>
      </c>
      <c r="I3198" s="26" t="str">
        <f t="shared" si="620"/>
        <v>00</v>
      </c>
      <c r="J3198" s="26" t="str">
        <f>"32 "</f>
        <v xml:space="preserve">32 </v>
      </c>
      <c r="K3198" s="26" t="str">
        <f t="shared" si="629"/>
        <v>EP</v>
      </c>
      <c r="L3198" s="26" t="str">
        <f t="shared" si="630"/>
        <v>DGOSE</v>
      </c>
      <c r="M3198" s="26" t="str">
        <f t="shared" si="618"/>
        <v>PARTICULAR</v>
      </c>
      <c r="N3198" s="26">
        <v>30</v>
      </c>
      <c r="O3198" s="26">
        <v>14</v>
      </c>
      <c r="P3198" s="26">
        <v>16</v>
      </c>
      <c r="Q3198" s="26">
        <v>2</v>
      </c>
      <c r="R3198" s="26">
        <v>1</v>
      </c>
      <c r="S3198" s="26">
        <v>2</v>
      </c>
      <c r="T3198" s="26">
        <v>3</v>
      </c>
      <c r="U3198" s="26">
        <v>6</v>
      </c>
      <c r="V3198" s="26">
        <v>1</v>
      </c>
      <c r="W3198" s="26"/>
    </row>
    <row r="3199" spans="1:23" x14ac:dyDescent="0.25">
      <c r="A3199" s="26" t="str">
        <f t="shared" si="619"/>
        <v>PREESCOLAR</v>
      </c>
      <c r="B3199" s="26" t="str">
        <f>"09PJN5954F"</f>
        <v>09PJN5954F</v>
      </c>
      <c r="C3199" s="26" t="str">
        <f>"JARDÍN DE NIÑOS VILLA ARCOÍRIS                                                                      "</f>
        <v xml:space="preserve">JARDÍN DE NIÑOS VILLA ARCOÍRIS                                                                      </v>
      </c>
      <c r="D3199" s="26" t="str">
        <f t="shared" si="628"/>
        <v>MATUTINO</v>
      </c>
      <c r="E3199" s="26" t="str">
        <f>"AV. INGENIERO EDUARDO MOLINA NO. 6116                                           "</f>
        <v xml:space="preserve">AV. INGENIERO EDUARDO MOLINA NO. 6116                                           </v>
      </c>
      <c r="F3199" s="26" t="str">
        <f>"GERTRUDIS SANCHEZ                                                                                                                           "</f>
        <v xml:space="preserve">GERTRUDIS SANCHEZ                                                                                                                           </v>
      </c>
      <c r="G3199" s="26" t="str">
        <f>"GUSTAVO A. MADERO                                                               "</f>
        <v xml:space="preserve">GUSTAVO A. MADERO                                                               </v>
      </c>
      <c r="H3199" s="26" t="str">
        <f>"152"</f>
        <v>152</v>
      </c>
      <c r="I3199" s="26" t="str">
        <f t="shared" si="620"/>
        <v>00</v>
      </c>
      <c r="J3199" s="26" t="str">
        <f>"32 "</f>
        <v xml:space="preserve">32 </v>
      </c>
      <c r="K3199" s="26" t="str">
        <f t="shared" si="629"/>
        <v>EP</v>
      </c>
      <c r="L3199" s="26" t="str">
        <f t="shared" si="630"/>
        <v>DGOSE</v>
      </c>
      <c r="M3199" s="26" t="str">
        <f t="shared" ref="M3199:M3262" si="631">"PARTICULAR"</f>
        <v>PARTICULAR</v>
      </c>
      <c r="N3199" s="26">
        <v>34</v>
      </c>
      <c r="O3199" s="26">
        <v>22</v>
      </c>
      <c r="P3199" s="26">
        <v>12</v>
      </c>
      <c r="Q3199" s="26">
        <v>3</v>
      </c>
      <c r="R3199" s="26">
        <v>1</v>
      </c>
      <c r="S3199" s="26">
        <v>3</v>
      </c>
      <c r="T3199" s="26">
        <v>0</v>
      </c>
      <c r="U3199" s="26">
        <v>4</v>
      </c>
      <c r="V3199" s="26">
        <v>1</v>
      </c>
      <c r="W3199" s="26"/>
    </row>
    <row r="3200" spans="1:23" x14ac:dyDescent="0.25">
      <c r="A3200" s="26" t="str">
        <f t="shared" si="619"/>
        <v>PREESCOLAR</v>
      </c>
      <c r="B3200" s="26" t="str">
        <f>"09PJN5955E"</f>
        <v>09PJN5955E</v>
      </c>
      <c r="C3200" s="26" t="str">
        <f>"CENTRO EDUCATIVO CAREPI                                                                             "</f>
        <v xml:space="preserve">CENTRO EDUCATIVO CAREPI                                                                             </v>
      </c>
      <c r="D3200" s="26" t="str">
        <f t="shared" si="628"/>
        <v>MATUTINO</v>
      </c>
      <c r="E3200" s="26" t="str">
        <f>"EL AGUA NO. 787                                                                 "</f>
        <v xml:space="preserve">EL AGUA NO. 787                                                                 </v>
      </c>
      <c r="F3200" s="26" t="str">
        <f>"JARDINES DEL PEDREGAL                                                                                                                       "</f>
        <v xml:space="preserve">JARDINES DEL PEDREGAL                                                                                                                       </v>
      </c>
      <c r="G3200" s="26" t="str">
        <f>"ALVARO OBREGON                                                                  "</f>
        <v xml:space="preserve">ALVARO OBREGON                                                                  </v>
      </c>
      <c r="H3200" s="26" t="str">
        <f>"150"</f>
        <v>150</v>
      </c>
      <c r="I3200" s="26" t="str">
        <f t="shared" si="620"/>
        <v>00</v>
      </c>
      <c r="J3200" s="26" t="str">
        <f>"33 "</f>
        <v xml:space="preserve">33 </v>
      </c>
      <c r="K3200" s="26" t="str">
        <f t="shared" si="629"/>
        <v>EP</v>
      </c>
      <c r="L3200" s="26" t="str">
        <f t="shared" si="630"/>
        <v>DGOSE</v>
      </c>
      <c r="M3200" s="26" t="str">
        <f t="shared" si="631"/>
        <v>PARTICULAR</v>
      </c>
      <c r="N3200" s="26">
        <v>59</v>
      </c>
      <c r="O3200" s="26">
        <v>24</v>
      </c>
      <c r="P3200" s="26">
        <v>35</v>
      </c>
      <c r="Q3200" s="26">
        <v>3</v>
      </c>
      <c r="R3200" s="26">
        <v>1</v>
      </c>
      <c r="S3200" s="26">
        <v>3</v>
      </c>
      <c r="T3200" s="26">
        <v>19</v>
      </c>
      <c r="U3200" s="26">
        <v>23</v>
      </c>
      <c r="V3200" s="26">
        <v>1</v>
      </c>
      <c r="W3200" s="26"/>
    </row>
    <row r="3201" spans="1:23" x14ac:dyDescent="0.25">
      <c r="A3201" s="26" t="str">
        <f t="shared" si="619"/>
        <v>PREESCOLAR</v>
      </c>
      <c r="B3201" s="26" t="str">
        <f>"09PJN5956D"</f>
        <v>09PJN5956D</v>
      </c>
      <c r="C3201" s="26" t="str">
        <f>"COLEGIO DIEGO RIVERA                                                                                "</f>
        <v xml:space="preserve">COLEGIO DIEGO RIVERA                                                                                </v>
      </c>
      <c r="D3201" s="26" t="str">
        <f t="shared" si="628"/>
        <v>MATUTINO</v>
      </c>
      <c r="E3201" s="26" t="str">
        <f>"ROSA REYNA NO. 31                                                               "</f>
        <v xml:space="preserve">ROSA REYNA NO. 31                                                               </v>
      </c>
      <c r="F3201" s="26" t="str">
        <f>"MOLINO DE ROSAS                                                                                                                             "</f>
        <v xml:space="preserve">MOLINO DE ROSAS                                                                                                                             </v>
      </c>
      <c r="G3201" s="26" t="str">
        <f>"ALVARO OBREGON                                                                  "</f>
        <v xml:space="preserve">ALVARO OBREGON                                                                  </v>
      </c>
      <c r="H3201" s="26" t="str">
        <f>"218"</f>
        <v>218</v>
      </c>
      <c r="I3201" s="26" t="str">
        <f t="shared" si="620"/>
        <v>00</v>
      </c>
      <c r="J3201" s="26" t="str">
        <f>"33 "</f>
        <v xml:space="preserve">33 </v>
      </c>
      <c r="K3201" s="26" t="str">
        <f t="shared" si="629"/>
        <v>EP</v>
      </c>
      <c r="L3201" s="26" t="str">
        <f t="shared" si="630"/>
        <v>DGOSE</v>
      </c>
      <c r="M3201" s="26" t="str">
        <f t="shared" si="631"/>
        <v>PARTICULAR</v>
      </c>
      <c r="N3201" s="26">
        <v>24</v>
      </c>
      <c r="O3201" s="26">
        <v>16</v>
      </c>
      <c r="P3201" s="26">
        <v>8</v>
      </c>
      <c r="Q3201" s="26">
        <v>3</v>
      </c>
      <c r="R3201" s="26">
        <v>1</v>
      </c>
      <c r="S3201" s="26">
        <v>3</v>
      </c>
      <c r="T3201" s="26">
        <v>5</v>
      </c>
      <c r="U3201" s="26">
        <v>9</v>
      </c>
      <c r="V3201" s="26">
        <v>1</v>
      </c>
      <c r="W3201" s="26"/>
    </row>
    <row r="3202" spans="1:23" x14ac:dyDescent="0.25">
      <c r="A3202" s="26" t="str">
        <f t="shared" ref="A3202:A3265" si="632">"PREESCOLAR"</f>
        <v>PREESCOLAR</v>
      </c>
      <c r="B3202" s="26" t="str">
        <f>"09PJN5957C"</f>
        <v>09PJN5957C</v>
      </c>
      <c r="C3202" s="26" t="s">
        <v>143</v>
      </c>
      <c r="D3202" s="26" t="str">
        <f t="shared" si="628"/>
        <v>MATUTINO</v>
      </c>
      <c r="E3202" s="26" t="str">
        <f>"PUENTE NACIONAL NO. 100                                                         "</f>
        <v xml:space="preserve">PUENTE NACIONAL NO. 100                                                         </v>
      </c>
      <c r="F3202" s="26" t="str">
        <f>"PUENTE COLORADO                                                                                                                             "</f>
        <v xml:space="preserve">PUENTE COLORADO                                                                                                                             </v>
      </c>
      <c r="G3202" s="26" t="str">
        <f>"ALVARO OBREGON                                                                  "</f>
        <v xml:space="preserve">ALVARO OBREGON                                                                  </v>
      </c>
      <c r="H3202" s="26" t="str">
        <f>"215"</f>
        <v>215</v>
      </c>
      <c r="I3202" s="26" t="str">
        <f t="shared" ref="I3202:I3207" si="633">"00"</f>
        <v>00</v>
      </c>
      <c r="J3202" s="26" t="str">
        <f>"33 "</f>
        <v xml:space="preserve">33 </v>
      </c>
      <c r="K3202" s="26" t="str">
        <f t="shared" si="629"/>
        <v>EP</v>
      </c>
      <c r="L3202" s="26" t="str">
        <f t="shared" si="630"/>
        <v>DGOSE</v>
      </c>
      <c r="M3202" s="26" t="str">
        <f t="shared" si="631"/>
        <v>PARTICULAR</v>
      </c>
      <c r="N3202" s="26">
        <v>155</v>
      </c>
      <c r="O3202" s="26">
        <v>83</v>
      </c>
      <c r="P3202" s="26">
        <v>72</v>
      </c>
      <c r="Q3202" s="26">
        <v>7</v>
      </c>
      <c r="R3202" s="26">
        <v>1</v>
      </c>
      <c r="S3202" s="26">
        <v>7</v>
      </c>
      <c r="T3202" s="26">
        <v>14</v>
      </c>
      <c r="U3202" s="26">
        <v>22</v>
      </c>
      <c r="V3202" s="26">
        <v>1</v>
      </c>
      <c r="W3202" s="26"/>
    </row>
    <row r="3203" spans="1:23" x14ac:dyDescent="0.25">
      <c r="A3203" s="26" t="str">
        <f t="shared" si="632"/>
        <v>PREESCOLAR</v>
      </c>
      <c r="B3203" s="26" t="str">
        <f>"09PJN5958B"</f>
        <v>09PJN5958B</v>
      </c>
      <c r="C3203" s="26" t="str">
        <f>"HELLEN KEY                                                                                          "</f>
        <v xml:space="preserve">HELLEN KEY                                                                                          </v>
      </c>
      <c r="D3203" s="26" t="str">
        <f t="shared" si="628"/>
        <v>MATUTINO</v>
      </c>
      <c r="E3203" s="26" t="str">
        <f>"CASIMIRO CHOVEL MZ. 26 LT.26                                                    "</f>
        <v xml:space="preserve">CASIMIRO CHOVEL MZ. 26 LT.26                                                    </v>
      </c>
      <c r="F3203" s="26" t="str">
        <f>"LA HERA                                                                                                                                     "</f>
        <v xml:space="preserve">LA HERA                                                                                                                                     </v>
      </c>
      <c r="G3203" s="26" t="str">
        <f>"IZTAPALAPA                                                                      "</f>
        <v xml:space="preserve">IZTAPALAPA                                                                      </v>
      </c>
      <c r="H3203" s="26" t="str">
        <f>"040"</f>
        <v>040</v>
      </c>
      <c r="I3203" s="26" t="str">
        <f t="shared" si="633"/>
        <v>00</v>
      </c>
      <c r="J3203" s="26" t="str">
        <f>"63 "</f>
        <v xml:space="preserve">63 </v>
      </c>
      <c r="K3203" s="26" t="str">
        <f>"IZ"</f>
        <v>IZ</v>
      </c>
      <c r="L3203" s="26" t="str">
        <f>"DGSEI"</f>
        <v>DGSEI</v>
      </c>
      <c r="M3203" s="26" t="str">
        <f t="shared" si="631"/>
        <v>PARTICULAR</v>
      </c>
      <c r="N3203" s="26">
        <v>19</v>
      </c>
      <c r="O3203" s="26">
        <v>8</v>
      </c>
      <c r="P3203" s="26">
        <v>11</v>
      </c>
      <c r="Q3203" s="26">
        <v>3</v>
      </c>
      <c r="R3203" s="26">
        <v>1</v>
      </c>
      <c r="S3203" s="26">
        <v>1</v>
      </c>
      <c r="T3203" s="26">
        <v>1</v>
      </c>
      <c r="U3203" s="26">
        <v>3</v>
      </c>
      <c r="V3203" s="26">
        <v>1</v>
      </c>
      <c r="W3203" s="26"/>
    </row>
    <row r="3204" spans="1:23" x14ac:dyDescent="0.25">
      <c r="A3204" s="26" t="str">
        <f t="shared" si="632"/>
        <v>PREESCOLAR</v>
      </c>
      <c r="B3204" s="26" t="str">
        <f>"09PJN5959A"</f>
        <v>09PJN5959A</v>
      </c>
      <c r="C3204" s="26" t="str">
        <f>"EL GRILLITO                                                                                         "</f>
        <v xml:space="preserve">EL GRILLITO                                                                                         </v>
      </c>
      <c r="D3204" s="26" t="str">
        <f t="shared" si="628"/>
        <v>MATUTINO</v>
      </c>
      <c r="E3204" s="26" t="str">
        <f>"AV. SAN LORENZO NO. 148-A                                                       "</f>
        <v xml:space="preserve">AV. SAN LORENZO NO. 148-A                                                       </v>
      </c>
      <c r="F3204" s="26" t="str">
        <f>"TEPEPAN                                                                                                                                     "</f>
        <v xml:space="preserve">TEPEPAN                                                                                                                                     </v>
      </c>
      <c r="G3204" s="26" t="str">
        <f>"XOCHIMILCO                                                                      "</f>
        <v xml:space="preserve">XOCHIMILCO                                                                      </v>
      </c>
      <c r="H3204" s="26" t="str">
        <f>"103"</f>
        <v>103</v>
      </c>
      <c r="I3204" s="26" t="str">
        <f t="shared" si="633"/>
        <v>00</v>
      </c>
      <c r="J3204" s="26" t="str">
        <f>"35 "</f>
        <v xml:space="preserve">35 </v>
      </c>
      <c r="K3204" s="26" t="str">
        <f>"EP"</f>
        <v>EP</v>
      </c>
      <c r="L3204" s="26" t="str">
        <f>"DGOSE"</f>
        <v>DGOSE</v>
      </c>
      <c r="M3204" s="26" t="str">
        <f t="shared" si="631"/>
        <v>PARTICULAR</v>
      </c>
      <c r="N3204" s="26">
        <v>6</v>
      </c>
      <c r="O3204" s="26">
        <v>2</v>
      </c>
      <c r="P3204" s="26">
        <v>4</v>
      </c>
      <c r="Q3204" s="26">
        <v>3</v>
      </c>
      <c r="R3204" s="26">
        <v>1</v>
      </c>
      <c r="S3204" s="26">
        <v>3</v>
      </c>
      <c r="T3204" s="26">
        <v>0</v>
      </c>
      <c r="U3204" s="26">
        <v>4</v>
      </c>
      <c r="V3204" s="26">
        <v>1</v>
      </c>
      <c r="W3204" s="26"/>
    </row>
    <row r="3205" spans="1:23" x14ac:dyDescent="0.25">
      <c r="A3205" s="26" t="str">
        <f t="shared" si="632"/>
        <v>PREESCOLAR</v>
      </c>
      <c r="B3205" s="26" t="str">
        <f>"09PJN5960Q"</f>
        <v>09PJN5960Q</v>
      </c>
      <c r="C3205" s="26" t="str">
        <f>"MI PRIMER PASO                                                                                      "</f>
        <v xml:space="preserve">MI PRIMER PASO                                                                                      </v>
      </c>
      <c r="D3205" s="26" t="str">
        <f t="shared" si="628"/>
        <v>MATUTINO</v>
      </c>
      <c r="E3205" s="26" t="str">
        <f>"MANUEL PEÑA Y PEÑA LT. 10 MZ. 27                                                "</f>
        <v xml:space="preserve">MANUEL PEÑA Y PEÑA LT. 10 MZ. 27                                                </v>
      </c>
      <c r="F3205" s="26" t="str">
        <f>"PRESIDENTES DE MEXICO                                                                                                                       "</f>
        <v xml:space="preserve">PRESIDENTES DE MEXICO                                                                                                                       </v>
      </c>
      <c r="G3205" s="26" t="str">
        <f>"IZTAPALAPA                                                                      "</f>
        <v xml:space="preserve">IZTAPALAPA                                                                      </v>
      </c>
      <c r="H3205" s="26" t="str">
        <f>"000"</f>
        <v>000</v>
      </c>
      <c r="I3205" s="26" t="str">
        <f t="shared" si="633"/>
        <v>00</v>
      </c>
      <c r="J3205" s="26" t="str">
        <f>"63 "</f>
        <v xml:space="preserve">63 </v>
      </c>
      <c r="K3205" s="26" t="str">
        <f>"IZ"</f>
        <v>IZ</v>
      </c>
      <c r="L3205" s="26" t="str">
        <f>"DGSEI"</f>
        <v>DGSEI</v>
      </c>
      <c r="M3205" s="26" t="str">
        <f t="shared" si="631"/>
        <v>PARTICULAR</v>
      </c>
      <c r="N3205" s="26">
        <v>13</v>
      </c>
      <c r="O3205" s="26">
        <v>7</v>
      </c>
      <c r="P3205" s="26">
        <v>6</v>
      </c>
      <c r="Q3205" s="26">
        <v>2</v>
      </c>
      <c r="R3205" s="26">
        <v>1</v>
      </c>
      <c r="S3205" s="26">
        <v>2</v>
      </c>
      <c r="T3205" s="26">
        <v>3</v>
      </c>
      <c r="U3205" s="26">
        <v>6</v>
      </c>
      <c r="V3205" s="26">
        <v>1</v>
      </c>
      <c r="W3205" s="26"/>
    </row>
    <row r="3206" spans="1:23" x14ac:dyDescent="0.25">
      <c r="A3206" s="26" t="str">
        <f t="shared" si="632"/>
        <v>PREESCOLAR</v>
      </c>
      <c r="B3206" s="26" t="str">
        <f>"09PJN5961P"</f>
        <v>09PJN5961P</v>
      </c>
      <c r="C3206" s="26" t="str">
        <f>"LOS PEQUEÑOS GENIOS II                                                                              "</f>
        <v xml:space="preserve">LOS PEQUEÑOS GENIOS II                                                                              </v>
      </c>
      <c r="D3206" s="26" t="str">
        <f t="shared" si="628"/>
        <v>MATUTINO</v>
      </c>
      <c r="E3206" s="26" t="str">
        <f>"CALZADA SAN JUAN DE ARAGON NO. 70                                               "</f>
        <v xml:space="preserve">CALZADA SAN JUAN DE ARAGON NO. 70                                               </v>
      </c>
      <c r="F3206" s="26" t="str">
        <f>"GUSTAVO A. MADERO                                                                                                                           "</f>
        <v xml:space="preserve">GUSTAVO A. MADERO                                                                                                                           </v>
      </c>
      <c r="G3206" s="26" t="str">
        <f>"GUSTAVO A. MADERO                                                               "</f>
        <v xml:space="preserve">GUSTAVO A. MADERO                                                               </v>
      </c>
      <c r="H3206" s="26" t="str">
        <f>"006"</f>
        <v>006</v>
      </c>
      <c r="I3206" s="26" t="str">
        <f t="shared" si="633"/>
        <v>00</v>
      </c>
      <c r="J3206" s="26" t="str">
        <f>"32 "</f>
        <v xml:space="preserve">32 </v>
      </c>
      <c r="K3206" s="26" t="str">
        <f>"EP"</f>
        <v>EP</v>
      </c>
      <c r="L3206" s="26" t="str">
        <f>"DGOSE"</f>
        <v>DGOSE</v>
      </c>
      <c r="M3206" s="26" t="str">
        <f t="shared" si="631"/>
        <v>PARTICULAR</v>
      </c>
      <c r="N3206" s="26">
        <v>33</v>
      </c>
      <c r="O3206" s="26">
        <v>15</v>
      </c>
      <c r="P3206" s="26">
        <v>18</v>
      </c>
      <c r="Q3206" s="26">
        <v>2</v>
      </c>
      <c r="R3206" s="26">
        <v>1</v>
      </c>
      <c r="S3206" s="26">
        <v>2</v>
      </c>
      <c r="T3206" s="26">
        <v>8</v>
      </c>
      <c r="U3206" s="26">
        <v>11</v>
      </c>
      <c r="V3206" s="26">
        <v>1</v>
      </c>
      <c r="W3206" s="26"/>
    </row>
    <row r="3207" spans="1:23" x14ac:dyDescent="0.25">
      <c r="A3207" s="26" t="str">
        <f t="shared" si="632"/>
        <v>PREESCOLAR</v>
      </c>
      <c r="B3207" s="26" t="str">
        <f>"09PJN5962O"</f>
        <v>09PJN5962O</v>
      </c>
      <c r="C3207" s="26" t="str">
        <f>"YARETZI                                                                                             "</f>
        <v xml:space="preserve">YARETZI                                                                                             </v>
      </c>
      <c r="D3207" s="26" t="str">
        <f t="shared" si="628"/>
        <v>MATUTINO</v>
      </c>
      <c r="E3207" s="26" t="str">
        <f>"LOS REYES No. 97 Mz. 10 Lt. 64                                                  "</f>
        <v xml:space="preserve">LOS REYES No. 97 Mz. 10 Lt. 64                                                  </v>
      </c>
      <c r="F3207" s="26" t="str">
        <f>"SAN LUCAS                                                                                                                                   "</f>
        <v xml:space="preserve">SAN LUCAS                                                                                                                                   </v>
      </c>
      <c r="G3207" s="26" t="str">
        <f t="shared" ref="G3207:G3212" si="634">"IZTAPALAPA                                                                      "</f>
        <v xml:space="preserve">IZTAPALAPA                                                                      </v>
      </c>
      <c r="H3207" s="26" t="str">
        <f>"000"</f>
        <v>000</v>
      </c>
      <c r="I3207" s="26" t="str">
        <f t="shared" si="633"/>
        <v>00</v>
      </c>
      <c r="J3207" s="26" t="str">
        <f>"61 "</f>
        <v xml:space="preserve">61 </v>
      </c>
      <c r="K3207" s="26" t="str">
        <f t="shared" ref="K3207:K3212" si="635">"IZ"</f>
        <v>IZ</v>
      </c>
      <c r="L3207" s="26" t="str">
        <f t="shared" ref="L3207:L3212" si="636">"DGSEI"</f>
        <v>DGSEI</v>
      </c>
      <c r="M3207" s="26" t="str">
        <f t="shared" si="631"/>
        <v>PARTICULAR</v>
      </c>
      <c r="N3207" s="26">
        <v>18</v>
      </c>
      <c r="O3207" s="26">
        <v>11</v>
      </c>
      <c r="P3207" s="26">
        <v>7</v>
      </c>
      <c r="Q3207" s="26">
        <v>3</v>
      </c>
      <c r="R3207" s="26">
        <v>1</v>
      </c>
      <c r="S3207" s="26">
        <v>3</v>
      </c>
      <c r="T3207" s="26">
        <v>2</v>
      </c>
      <c r="U3207" s="26">
        <v>6</v>
      </c>
      <c r="V3207" s="26">
        <v>1</v>
      </c>
      <c r="W3207" s="26"/>
    </row>
    <row r="3208" spans="1:23" x14ac:dyDescent="0.25">
      <c r="A3208" s="26" t="str">
        <f t="shared" si="632"/>
        <v>PREESCOLAR</v>
      </c>
      <c r="B3208" s="26" t="str">
        <f>"09PJN5963N"</f>
        <v>09PJN5963N</v>
      </c>
      <c r="C3208" s="26" t="str">
        <f>"ROSAURA ZAPATA                                                                                      "</f>
        <v xml:space="preserve">ROSAURA ZAPATA                                                                                      </v>
      </c>
      <c r="D3208" s="26" t="str">
        <f t="shared" si="628"/>
        <v>MATUTINO</v>
      </c>
      <c r="E3208" s="26" t="str">
        <f>"CAPULIN NUMERO 36                                                               "</f>
        <v xml:space="preserve">CAPULIN NUMERO 36                                                               </v>
      </c>
      <c r="F3208" s="26" t="str">
        <f>"XALPA                                                                                                                                       "</f>
        <v xml:space="preserve">XALPA                                                                                                                                       </v>
      </c>
      <c r="G3208" s="26" t="str">
        <f t="shared" si="634"/>
        <v xml:space="preserve">IZTAPALAPA                                                                      </v>
      </c>
      <c r="H3208" s="26" t="str">
        <f>"000"</f>
        <v>000</v>
      </c>
      <c r="I3208" s="26" t="str">
        <f>"  "</f>
        <v xml:space="preserve">  </v>
      </c>
      <c r="J3208" s="26" t="str">
        <f>"61 "</f>
        <v xml:space="preserve">61 </v>
      </c>
      <c r="K3208" s="26" t="str">
        <f t="shared" si="635"/>
        <v>IZ</v>
      </c>
      <c r="L3208" s="26" t="str">
        <f t="shared" si="636"/>
        <v>DGSEI</v>
      </c>
      <c r="M3208" s="26" t="str">
        <f t="shared" si="631"/>
        <v>PARTICULAR</v>
      </c>
      <c r="N3208" s="26">
        <v>14</v>
      </c>
      <c r="O3208" s="26">
        <v>7</v>
      </c>
      <c r="P3208" s="26">
        <v>7</v>
      </c>
      <c r="Q3208" s="26">
        <v>3</v>
      </c>
      <c r="R3208" s="26">
        <v>1</v>
      </c>
      <c r="S3208" s="26">
        <v>1</v>
      </c>
      <c r="T3208" s="26">
        <v>2</v>
      </c>
      <c r="U3208" s="26">
        <v>4</v>
      </c>
      <c r="V3208" s="26">
        <v>1</v>
      </c>
      <c r="W3208" s="26"/>
    </row>
    <row r="3209" spans="1:23" x14ac:dyDescent="0.25">
      <c r="A3209" s="26" t="str">
        <f t="shared" si="632"/>
        <v>PREESCOLAR</v>
      </c>
      <c r="B3209" s="26" t="str">
        <f>"09PJN5964M"</f>
        <v>09PJN5964M</v>
      </c>
      <c r="C3209" s="26" t="str">
        <f>"YOLIHUANI                                                                                           "</f>
        <v xml:space="preserve">YOLIHUANI                                                                                           </v>
      </c>
      <c r="D3209" s="26" t="str">
        <f t="shared" si="628"/>
        <v>MATUTINO</v>
      </c>
      <c r="E3209" s="26" t="str">
        <f>"BENITO JUAREZ S/N MZ. 5 LT. 3                                                   "</f>
        <v xml:space="preserve">BENITO JUAREZ S/N MZ. 5 LT. 3                                                   </v>
      </c>
      <c r="F3209" s="26" t="str">
        <f>"LOMAS DE ZARAGOZA                                                                                                                           "</f>
        <v xml:space="preserve">LOMAS DE ZARAGOZA                                                                                                                           </v>
      </c>
      <c r="G3209" s="26" t="str">
        <f t="shared" si="634"/>
        <v xml:space="preserve">IZTAPALAPA                                                                      </v>
      </c>
      <c r="H3209" s="26" t="str">
        <f>"000"</f>
        <v>000</v>
      </c>
      <c r="I3209" s="26" t="str">
        <f>"  "</f>
        <v xml:space="preserve">  </v>
      </c>
      <c r="J3209" s="26" t="str">
        <f>"61 "</f>
        <v xml:space="preserve">61 </v>
      </c>
      <c r="K3209" s="26" t="str">
        <f t="shared" si="635"/>
        <v>IZ</v>
      </c>
      <c r="L3209" s="26" t="str">
        <f t="shared" si="636"/>
        <v>DGSEI</v>
      </c>
      <c r="M3209" s="26" t="str">
        <f t="shared" si="631"/>
        <v>PARTICULAR</v>
      </c>
      <c r="N3209" s="26">
        <v>30</v>
      </c>
      <c r="O3209" s="26">
        <v>17</v>
      </c>
      <c r="P3209" s="26">
        <v>13</v>
      </c>
      <c r="Q3209" s="26">
        <v>3</v>
      </c>
      <c r="R3209" s="26">
        <v>1</v>
      </c>
      <c r="S3209" s="26">
        <v>3</v>
      </c>
      <c r="T3209" s="26">
        <v>3</v>
      </c>
      <c r="U3209" s="26">
        <v>7</v>
      </c>
      <c r="V3209" s="26">
        <v>1</v>
      </c>
      <c r="W3209" s="26"/>
    </row>
    <row r="3210" spans="1:23" x14ac:dyDescent="0.25">
      <c r="A3210" s="26" t="str">
        <f t="shared" si="632"/>
        <v>PREESCOLAR</v>
      </c>
      <c r="B3210" s="26" t="str">
        <f>"09PJN5965L"</f>
        <v>09PJN5965L</v>
      </c>
      <c r="C3210" s="26" t="str">
        <f>"CENTRO EDUCATIVO PEQUEÑOS CONSTRUCTORES                                                             "</f>
        <v xml:space="preserve">CENTRO EDUCATIVO PEQUEÑOS CONSTRUCTORES                                                             </v>
      </c>
      <c r="D3210" s="26" t="str">
        <f t="shared" si="628"/>
        <v>MATUTINO</v>
      </c>
      <c r="E3210" s="26" t="str">
        <f>"MARCOS N. MENDEZ NO. 80                                                         "</f>
        <v xml:space="preserve">MARCOS N. MENDEZ NO. 80                                                         </v>
      </c>
      <c r="F3210" s="26" t="str">
        <f>"SANTA MARTHA ACATITLA                                                                                                                       "</f>
        <v xml:space="preserve">SANTA MARTHA ACATITLA                                                                                                                       </v>
      </c>
      <c r="G3210" s="26" t="str">
        <f t="shared" si="634"/>
        <v xml:space="preserve">IZTAPALAPA                                                                      </v>
      </c>
      <c r="H3210" s="26" t="str">
        <f>"   "</f>
        <v xml:space="preserve">   </v>
      </c>
      <c r="I3210" s="26" t="str">
        <f>"  "</f>
        <v xml:space="preserve">  </v>
      </c>
      <c r="J3210" s="26" t="str">
        <f>"62 "</f>
        <v xml:space="preserve">62 </v>
      </c>
      <c r="K3210" s="26" t="str">
        <f t="shared" si="635"/>
        <v>IZ</v>
      </c>
      <c r="L3210" s="26" t="str">
        <f t="shared" si="636"/>
        <v>DGSEI</v>
      </c>
      <c r="M3210" s="26" t="str">
        <f t="shared" si="631"/>
        <v>PARTICULAR</v>
      </c>
      <c r="N3210" s="26">
        <v>67</v>
      </c>
      <c r="O3210" s="26">
        <v>31</v>
      </c>
      <c r="P3210" s="26">
        <v>36</v>
      </c>
      <c r="Q3210" s="26">
        <v>3</v>
      </c>
      <c r="R3210" s="26">
        <v>1</v>
      </c>
      <c r="S3210" s="26">
        <v>3</v>
      </c>
      <c r="T3210" s="26">
        <v>1</v>
      </c>
      <c r="U3210" s="26">
        <v>5</v>
      </c>
      <c r="V3210" s="26">
        <v>1</v>
      </c>
      <c r="W3210" s="26"/>
    </row>
    <row r="3211" spans="1:23" x14ac:dyDescent="0.25">
      <c r="A3211" s="26" t="str">
        <f t="shared" si="632"/>
        <v>PREESCOLAR</v>
      </c>
      <c r="B3211" s="26" t="str">
        <f>"09PJN5966K"</f>
        <v>09PJN5966K</v>
      </c>
      <c r="C3211" s="26" t="str">
        <f>"QUETZAL                                                                                             "</f>
        <v xml:space="preserve">QUETZAL                                                                                             </v>
      </c>
      <c r="D3211" s="26" t="str">
        <f t="shared" si="628"/>
        <v>MATUTINO</v>
      </c>
      <c r="E3211" s="26" t="str">
        <f>"LAZARO CARDENAS NO. 34                                                          "</f>
        <v xml:space="preserve">LAZARO CARDENAS NO. 34                                                          </v>
      </c>
      <c r="F3211" s="26" t="str">
        <f>"CITLALI                                                                                                                                     "</f>
        <v xml:space="preserve">CITLALI                                                                                                                                     </v>
      </c>
      <c r="G3211" s="26" t="str">
        <f t="shared" si="634"/>
        <v xml:space="preserve">IZTAPALAPA                                                                      </v>
      </c>
      <c r="H3211" s="26" t="str">
        <f>"   "</f>
        <v xml:space="preserve">   </v>
      </c>
      <c r="I3211" s="26" t="str">
        <f>"  "</f>
        <v xml:space="preserve">  </v>
      </c>
      <c r="J3211" s="26" t="str">
        <f>"64 "</f>
        <v xml:space="preserve">64 </v>
      </c>
      <c r="K3211" s="26" t="str">
        <f t="shared" si="635"/>
        <v>IZ</v>
      </c>
      <c r="L3211" s="26" t="str">
        <f t="shared" si="636"/>
        <v>DGSEI</v>
      </c>
      <c r="M3211" s="26" t="str">
        <f t="shared" si="631"/>
        <v>PARTICULAR</v>
      </c>
      <c r="N3211" s="26">
        <v>21</v>
      </c>
      <c r="O3211" s="26">
        <v>15</v>
      </c>
      <c r="P3211" s="26">
        <v>6</v>
      </c>
      <c r="Q3211" s="26">
        <v>3</v>
      </c>
      <c r="R3211" s="26">
        <v>1</v>
      </c>
      <c r="S3211" s="26">
        <v>1</v>
      </c>
      <c r="T3211" s="26">
        <v>3</v>
      </c>
      <c r="U3211" s="26">
        <v>5</v>
      </c>
      <c r="V3211" s="26">
        <v>1</v>
      </c>
      <c r="W3211" s="26"/>
    </row>
    <row r="3212" spans="1:23" x14ac:dyDescent="0.25">
      <c r="A3212" s="26" t="str">
        <f t="shared" si="632"/>
        <v>PREESCOLAR</v>
      </c>
      <c r="B3212" s="26" t="str">
        <f>"09PJN5967J"</f>
        <v>09PJN5967J</v>
      </c>
      <c r="C3212" s="26" t="str">
        <f>"COLEGIO BICENTENARIO                                                                                "</f>
        <v xml:space="preserve">COLEGIO BICENTENARIO                                                                                </v>
      </c>
      <c r="D3212" s="26" t="str">
        <f t="shared" si="628"/>
        <v>MATUTINO</v>
      </c>
      <c r="E3212" s="26" t="str">
        <f>"CALZ. ERMITA IZTAPALAPA NO. 1873                                                "</f>
        <v xml:space="preserve">CALZ. ERMITA IZTAPALAPA NO. 1873                                                </v>
      </c>
      <c r="F3212" s="26" t="str">
        <f>"PARAJE SAN JUAN                                                                                                                             "</f>
        <v xml:space="preserve">PARAJE SAN JUAN                                                                                                                             </v>
      </c>
      <c r="G3212" s="26" t="str">
        <f t="shared" si="634"/>
        <v xml:space="preserve">IZTAPALAPA                                                                      </v>
      </c>
      <c r="H3212" s="26" t="str">
        <f>"   "</f>
        <v xml:space="preserve">   </v>
      </c>
      <c r="I3212" s="26" t="str">
        <f>"  "</f>
        <v xml:space="preserve">  </v>
      </c>
      <c r="J3212" s="26" t="str">
        <f>"63 "</f>
        <v xml:space="preserve">63 </v>
      </c>
      <c r="K3212" s="26" t="str">
        <f t="shared" si="635"/>
        <v>IZ</v>
      </c>
      <c r="L3212" s="26" t="str">
        <f t="shared" si="636"/>
        <v>DGSEI</v>
      </c>
      <c r="M3212" s="26" t="str">
        <f t="shared" si="631"/>
        <v>PARTICULAR</v>
      </c>
      <c r="N3212" s="26">
        <v>45</v>
      </c>
      <c r="O3212" s="26">
        <v>27</v>
      </c>
      <c r="P3212" s="26">
        <v>18</v>
      </c>
      <c r="Q3212" s="26">
        <v>3</v>
      </c>
      <c r="R3212" s="26">
        <v>1</v>
      </c>
      <c r="S3212" s="26">
        <v>1</v>
      </c>
      <c r="T3212" s="26">
        <v>6</v>
      </c>
      <c r="U3212" s="26">
        <v>8</v>
      </c>
      <c r="V3212" s="26">
        <v>1</v>
      </c>
      <c r="W3212" s="26"/>
    </row>
    <row r="3213" spans="1:23" x14ac:dyDescent="0.25">
      <c r="A3213" s="26" t="str">
        <f t="shared" si="632"/>
        <v>PREESCOLAR</v>
      </c>
      <c r="B3213" s="26" t="str">
        <f>"09PJN5968I"</f>
        <v>09PJN5968I</v>
      </c>
      <c r="C3213" s="26" t="str">
        <f>"YAMANKI JARDIN DE NIÑOS                                                                             "</f>
        <v xml:space="preserve">YAMANKI JARDIN DE NIÑOS                                                                             </v>
      </c>
      <c r="D3213" s="26" t="str">
        <f t="shared" si="628"/>
        <v>MATUTINO</v>
      </c>
      <c r="E3213" s="26" t="str">
        <f>"FUEGO NO. 990                                                                   "</f>
        <v xml:space="preserve">FUEGO NO. 990                                                                   </v>
      </c>
      <c r="F3213" s="26" t="str">
        <f>"JARDINES DEL PEDREGAL                                                                                                                       "</f>
        <v xml:space="preserve">JARDINES DEL PEDREGAL                                                                                                                       </v>
      </c>
      <c r="G3213" s="26" t="str">
        <f>"ALVARO OBREGON                                                                  "</f>
        <v xml:space="preserve">ALVARO OBREGON                                                                  </v>
      </c>
      <c r="H3213" s="26" t="str">
        <f>"150"</f>
        <v>150</v>
      </c>
      <c r="I3213" s="26" t="str">
        <f t="shared" ref="I3213:I3260" si="637">"00"</f>
        <v>00</v>
      </c>
      <c r="J3213" s="26" t="str">
        <f>"33 "</f>
        <v xml:space="preserve">33 </v>
      </c>
      <c r="K3213" s="26" t="str">
        <f t="shared" ref="K3213:K3260" si="638">"EP"</f>
        <v>EP</v>
      </c>
      <c r="L3213" s="26" t="str">
        <f t="shared" ref="L3213:L3260" si="639">"DGOSE"</f>
        <v>DGOSE</v>
      </c>
      <c r="M3213" s="26" t="str">
        <f t="shared" si="631"/>
        <v>PARTICULAR</v>
      </c>
      <c r="N3213" s="26">
        <v>23</v>
      </c>
      <c r="O3213" s="26">
        <v>11</v>
      </c>
      <c r="P3213" s="26">
        <v>12</v>
      </c>
      <c r="Q3213" s="26">
        <v>2</v>
      </c>
      <c r="R3213" s="26">
        <v>1</v>
      </c>
      <c r="S3213" s="26">
        <v>2</v>
      </c>
      <c r="T3213" s="26">
        <v>2</v>
      </c>
      <c r="U3213" s="26">
        <v>5</v>
      </c>
      <c r="V3213" s="26">
        <v>1</v>
      </c>
      <c r="W3213" s="26"/>
    </row>
    <row r="3214" spans="1:23" x14ac:dyDescent="0.25">
      <c r="A3214" s="26" t="str">
        <f t="shared" si="632"/>
        <v>PREESCOLAR</v>
      </c>
      <c r="B3214" s="26" t="str">
        <f>"09PJN5969H"</f>
        <v>09PJN5969H</v>
      </c>
      <c r="C3214" s="26" t="str">
        <f>"COLEGIO AYACACHTLE                                                                                  "</f>
        <v xml:space="preserve">COLEGIO AYACACHTLE                                                                                  </v>
      </c>
      <c r="D3214" s="26" t="str">
        <f t="shared" si="628"/>
        <v>MATUTINO</v>
      </c>
      <c r="E3214" s="26" t="str">
        <f>"VIOLETA NO. 10                                                                  "</f>
        <v xml:space="preserve">VIOLETA NO. 10                                                                  </v>
      </c>
      <c r="F3214" s="26" t="str">
        <f>"XOCHIMILCO                                                                                                                                  "</f>
        <v xml:space="preserve">XOCHIMILCO                                                                                                                                  </v>
      </c>
      <c r="G3214" s="26" t="str">
        <f>"XOCHIMILCO                                                                      "</f>
        <v xml:space="preserve">XOCHIMILCO                                                                      </v>
      </c>
      <c r="H3214" s="26" t="str">
        <f>"103"</f>
        <v>103</v>
      </c>
      <c r="I3214" s="26" t="str">
        <f t="shared" si="637"/>
        <v>00</v>
      </c>
      <c r="J3214" s="26" t="str">
        <f>"35 "</f>
        <v xml:space="preserve">35 </v>
      </c>
      <c r="K3214" s="26" t="str">
        <f t="shared" si="638"/>
        <v>EP</v>
      </c>
      <c r="L3214" s="26" t="str">
        <f t="shared" si="639"/>
        <v>DGOSE</v>
      </c>
      <c r="M3214" s="26" t="str">
        <f t="shared" si="631"/>
        <v>PARTICULAR</v>
      </c>
      <c r="N3214" s="26">
        <v>19</v>
      </c>
      <c r="O3214" s="26">
        <v>12</v>
      </c>
      <c r="P3214" s="26">
        <v>7</v>
      </c>
      <c r="Q3214" s="26">
        <v>3</v>
      </c>
      <c r="R3214" s="26">
        <v>1</v>
      </c>
      <c r="S3214" s="26">
        <v>2</v>
      </c>
      <c r="T3214" s="26">
        <v>3</v>
      </c>
      <c r="U3214" s="26">
        <v>6</v>
      </c>
      <c r="V3214" s="26">
        <v>1</v>
      </c>
      <c r="W3214" s="26"/>
    </row>
    <row r="3215" spans="1:23" x14ac:dyDescent="0.25">
      <c r="A3215" s="26" t="str">
        <f t="shared" si="632"/>
        <v>PREESCOLAR</v>
      </c>
      <c r="B3215" s="26" t="str">
        <f>"09PJN5970X"</f>
        <v>09PJN5970X</v>
      </c>
      <c r="C3215" s="26" t="str">
        <f>"JOHN FITZGERALD KENNEDY                                                                             "</f>
        <v xml:space="preserve">JOHN FITZGERALD KENNEDY                                                                             </v>
      </c>
      <c r="D3215" s="26" t="str">
        <f t="shared" si="628"/>
        <v>MATUTINO</v>
      </c>
      <c r="E3215" s="26" t="str">
        <f>"AV. XOCHIMILCO NO. 121                                                          "</f>
        <v xml:space="preserve">AV. XOCHIMILCO NO. 121                                                          </v>
      </c>
      <c r="F3215" s="26" t="str">
        <f>"SANTA CRUZ XOCHITEPEC                                                                                                                       "</f>
        <v xml:space="preserve">SANTA CRUZ XOCHITEPEC                                                                                                                       </v>
      </c>
      <c r="G3215" s="26" t="str">
        <f>"XOCHIMILCO                                                                      "</f>
        <v xml:space="preserve">XOCHIMILCO                                                                      </v>
      </c>
      <c r="H3215" s="26" t="str">
        <f>"081"</f>
        <v>081</v>
      </c>
      <c r="I3215" s="26" t="str">
        <f t="shared" si="637"/>
        <v>00</v>
      </c>
      <c r="J3215" s="26" t="str">
        <f>"35 "</f>
        <v xml:space="preserve">35 </v>
      </c>
      <c r="K3215" s="26" t="str">
        <f t="shared" si="638"/>
        <v>EP</v>
      </c>
      <c r="L3215" s="26" t="str">
        <f t="shared" si="639"/>
        <v>DGOSE</v>
      </c>
      <c r="M3215" s="26" t="str">
        <f t="shared" si="631"/>
        <v>PARTICULAR</v>
      </c>
      <c r="N3215" s="26">
        <v>29</v>
      </c>
      <c r="O3215" s="26">
        <v>15</v>
      </c>
      <c r="P3215" s="26">
        <v>14</v>
      </c>
      <c r="Q3215" s="26">
        <v>3</v>
      </c>
      <c r="R3215" s="26">
        <v>1</v>
      </c>
      <c r="S3215" s="26">
        <v>3</v>
      </c>
      <c r="T3215" s="26">
        <v>0</v>
      </c>
      <c r="U3215" s="26">
        <v>4</v>
      </c>
      <c r="V3215" s="26">
        <v>1</v>
      </c>
      <c r="W3215" s="26"/>
    </row>
    <row r="3216" spans="1:23" x14ac:dyDescent="0.25">
      <c r="A3216" s="26" t="str">
        <f t="shared" si="632"/>
        <v>PREESCOLAR</v>
      </c>
      <c r="B3216" s="26" t="str">
        <f>"09PJN5971W"</f>
        <v>09PJN5971W</v>
      </c>
      <c r="C3216" s="26" t="str">
        <f>"INSTITUTO PEDAGOGICO FRIDA KAHLO                                                                    "</f>
        <v xml:space="preserve">INSTITUTO PEDAGOGICO FRIDA KAHLO                                                                    </v>
      </c>
      <c r="D3216" s="26" t="str">
        <f t="shared" si="628"/>
        <v>MATUTINO</v>
      </c>
      <c r="E3216" s="26" t="s">
        <v>144</v>
      </c>
      <c r="F3216" s="26" t="str">
        <f>"JAIME TORRES BODET                                                                                                                          "</f>
        <v xml:space="preserve">JAIME TORRES BODET                                                                                                                          </v>
      </c>
      <c r="G3216" s="26" t="str">
        <f>"TLAHUAC                                                                         "</f>
        <v xml:space="preserve">TLAHUAC                                                                         </v>
      </c>
      <c r="H3216" s="26" t="str">
        <f>"083"</f>
        <v>083</v>
      </c>
      <c r="I3216" s="26" t="str">
        <f t="shared" si="637"/>
        <v>00</v>
      </c>
      <c r="J3216" s="26" t="str">
        <f>"35 "</f>
        <v xml:space="preserve">35 </v>
      </c>
      <c r="K3216" s="26" t="str">
        <f t="shared" si="638"/>
        <v>EP</v>
      </c>
      <c r="L3216" s="26" t="str">
        <f t="shared" si="639"/>
        <v>DGOSE</v>
      </c>
      <c r="M3216" s="26" t="str">
        <f t="shared" si="631"/>
        <v>PARTICULAR</v>
      </c>
      <c r="N3216" s="26">
        <v>20</v>
      </c>
      <c r="O3216" s="26">
        <v>9</v>
      </c>
      <c r="P3216" s="26">
        <v>11</v>
      </c>
      <c r="Q3216" s="26">
        <v>3</v>
      </c>
      <c r="R3216" s="26">
        <v>1</v>
      </c>
      <c r="S3216" s="26">
        <v>2</v>
      </c>
      <c r="T3216" s="26">
        <v>2</v>
      </c>
      <c r="U3216" s="26">
        <v>5</v>
      </c>
      <c r="V3216" s="26">
        <v>1</v>
      </c>
      <c r="W3216" s="26"/>
    </row>
    <row r="3217" spans="1:23" x14ac:dyDescent="0.25">
      <c r="A3217" s="26" t="str">
        <f t="shared" si="632"/>
        <v>PREESCOLAR</v>
      </c>
      <c r="B3217" s="26" t="str">
        <f>"09PJN5972V"</f>
        <v>09PJN5972V</v>
      </c>
      <c r="C3217" s="26" t="str">
        <f>"BICENTENARIO DE MEXICO INDEPENDIENTE                                                                "</f>
        <v xml:space="preserve">BICENTENARIO DE MEXICO INDEPENDIENTE                                                                </v>
      </c>
      <c r="D3217" s="26" t="str">
        <f t="shared" si="628"/>
        <v>MATUTINO</v>
      </c>
      <c r="E3217" s="26" t="str">
        <f>"HERMENEGILDO GALEANA NO. 55                                                     "</f>
        <v xml:space="preserve">HERMENEGILDO GALEANA NO. 55                                                     </v>
      </c>
      <c r="F3217" s="26" t="str">
        <f>"CALYEQUITA                                                                                                                                  "</f>
        <v xml:space="preserve">CALYEQUITA                                                                                                                                  </v>
      </c>
      <c r="G3217" s="26" t="str">
        <f>"XOCHIMILCO                                                                      "</f>
        <v xml:space="preserve">XOCHIMILCO                                                                      </v>
      </c>
      <c r="H3217" s="26" t="str">
        <f>"053"</f>
        <v>053</v>
      </c>
      <c r="I3217" s="26" t="str">
        <f t="shared" si="637"/>
        <v>00</v>
      </c>
      <c r="J3217" s="26" t="str">
        <f>"35 "</f>
        <v xml:space="preserve">35 </v>
      </c>
      <c r="K3217" s="26" t="str">
        <f t="shared" si="638"/>
        <v>EP</v>
      </c>
      <c r="L3217" s="26" t="str">
        <f t="shared" si="639"/>
        <v>DGOSE</v>
      </c>
      <c r="M3217" s="26" t="str">
        <f t="shared" si="631"/>
        <v>PARTICULAR</v>
      </c>
      <c r="N3217" s="26">
        <v>12</v>
      </c>
      <c r="O3217" s="26">
        <v>4</v>
      </c>
      <c r="P3217" s="26">
        <v>8</v>
      </c>
      <c r="Q3217" s="26">
        <v>3</v>
      </c>
      <c r="R3217" s="26">
        <v>1</v>
      </c>
      <c r="S3217" s="26">
        <v>2</v>
      </c>
      <c r="T3217" s="26">
        <v>0</v>
      </c>
      <c r="U3217" s="26">
        <v>3</v>
      </c>
      <c r="V3217" s="26">
        <v>1</v>
      </c>
      <c r="W3217" s="26"/>
    </row>
    <row r="3218" spans="1:23" x14ac:dyDescent="0.25">
      <c r="A3218" s="26" t="str">
        <f t="shared" si="632"/>
        <v>PREESCOLAR</v>
      </c>
      <c r="B3218" s="26" t="str">
        <f>"09PJN5973U"</f>
        <v>09PJN5973U</v>
      </c>
      <c r="C3218" s="26" t="s">
        <v>145</v>
      </c>
      <c r="D3218" s="26" t="str">
        <f t="shared" si="628"/>
        <v>MATUTINO</v>
      </c>
      <c r="E3218" s="26" t="str">
        <f>"EL MAYORDOMO NO. 5                                                              "</f>
        <v xml:space="preserve">EL MAYORDOMO NO. 5                                                              </v>
      </c>
      <c r="F3218" s="26" t="str">
        <f>"RESIDENCIAL VILLA COAPA                                                                                                                     "</f>
        <v xml:space="preserve">RESIDENCIAL VILLA COAPA                                                                                                                     </v>
      </c>
      <c r="G3218" s="26" t="str">
        <f>"TLALPAN                                                                         "</f>
        <v xml:space="preserve">TLALPAN                                                                         </v>
      </c>
      <c r="H3218" s="26" t="str">
        <f>"050"</f>
        <v>050</v>
      </c>
      <c r="I3218" s="26" t="str">
        <f t="shared" si="637"/>
        <v>00</v>
      </c>
      <c r="J3218" s="26" t="str">
        <f>"35 "</f>
        <v xml:space="preserve">35 </v>
      </c>
      <c r="K3218" s="26" t="str">
        <f t="shared" si="638"/>
        <v>EP</v>
      </c>
      <c r="L3218" s="26" t="str">
        <f t="shared" si="639"/>
        <v>DGOSE</v>
      </c>
      <c r="M3218" s="26" t="str">
        <f t="shared" si="631"/>
        <v>PARTICULAR</v>
      </c>
      <c r="N3218" s="26">
        <v>15</v>
      </c>
      <c r="O3218" s="26">
        <v>7</v>
      </c>
      <c r="P3218" s="26">
        <v>8</v>
      </c>
      <c r="Q3218" s="26">
        <v>3</v>
      </c>
      <c r="R3218" s="26">
        <v>1</v>
      </c>
      <c r="S3218" s="26">
        <v>1</v>
      </c>
      <c r="T3218" s="26">
        <v>2</v>
      </c>
      <c r="U3218" s="26">
        <v>4</v>
      </c>
      <c r="V3218" s="26">
        <v>1</v>
      </c>
      <c r="W3218" s="26"/>
    </row>
    <row r="3219" spans="1:23" x14ac:dyDescent="0.25">
      <c r="A3219" s="26" t="str">
        <f t="shared" si="632"/>
        <v>PREESCOLAR</v>
      </c>
      <c r="B3219" s="26" t="str">
        <f>"09PJN5974T"</f>
        <v>09PJN5974T</v>
      </c>
      <c r="C3219" s="26" t="str">
        <f>"JARDIN DE NIÑOS JAVIER VILLAURRUTIA                                                                 "</f>
        <v xml:space="preserve">JARDIN DE NIÑOS JAVIER VILLAURRUTIA                                                                 </v>
      </c>
      <c r="D3219" s="26" t="str">
        <f t="shared" si="628"/>
        <v>MATUTINO</v>
      </c>
      <c r="E3219" s="26" t="str">
        <f>"TOMAS VAZQUEZ NO. 185                                                           "</f>
        <v xml:space="preserve">TOMAS VAZQUEZ NO. 185                                                           </v>
      </c>
      <c r="F3219" s="26" t="str">
        <f>"SAN PEDRO                                                                                                                                   "</f>
        <v xml:space="preserve">SAN PEDRO                                                                                                                                   </v>
      </c>
      <c r="G3219" s="26" t="str">
        <f>"IZTACALCO                                                                       "</f>
        <v xml:space="preserve">IZTACALCO                                                                       </v>
      </c>
      <c r="H3219" s="26" t="str">
        <f>"027"</f>
        <v>027</v>
      </c>
      <c r="I3219" s="26" t="str">
        <f t="shared" si="637"/>
        <v>00</v>
      </c>
      <c r="J3219" s="26" t="str">
        <f>"33 "</f>
        <v xml:space="preserve">33 </v>
      </c>
      <c r="K3219" s="26" t="str">
        <f t="shared" si="638"/>
        <v>EP</v>
      </c>
      <c r="L3219" s="26" t="str">
        <f t="shared" si="639"/>
        <v>DGOSE</v>
      </c>
      <c r="M3219" s="26" t="str">
        <f t="shared" si="631"/>
        <v>PARTICULAR</v>
      </c>
      <c r="N3219" s="26">
        <v>12</v>
      </c>
      <c r="O3219" s="26">
        <v>7</v>
      </c>
      <c r="P3219" s="26">
        <v>5</v>
      </c>
      <c r="Q3219" s="26">
        <v>2</v>
      </c>
      <c r="R3219" s="26">
        <v>1</v>
      </c>
      <c r="S3219" s="26">
        <v>2</v>
      </c>
      <c r="T3219" s="26">
        <v>3</v>
      </c>
      <c r="U3219" s="26">
        <v>6</v>
      </c>
      <c r="V3219" s="26">
        <v>1</v>
      </c>
      <c r="W3219" s="26"/>
    </row>
    <row r="3220" spans="1:23" x14ac:dyDescent="0.25">
      <c r="A3220" s="26" t="str">
        <f t="shared" si="632"/>
        <v>PREESCOLAR</v>
      </c>
      <c r="B3220" s="26" t="str">
        <f>"09PJN5975S"</f>
        <v>09PJN5975S</v>
      </c>
      <c r="C3220" s="26" t="s">
        <v>146</v>
      </c>
      <c r="D3220" s="26" t="str">
        <f t="shared" si="628"/>
        <v>MATUTINO</v>
      </c>
      <c r="E3220" s="26" t="str">
        <f>"PROLONGACION UXMAL NO. 855                                                      "</f>
        <v xml:space="preserve">PROLONGACION UXMAL NO. 855                                                      </v>
      </c>
      <c r="F3220" s="26" t="str">
        <f>"SANTA CRUZ ATOYAC                                                                                                                           "</f>
        <v xml:space="preserve">SANTA CRUZ ATOYAC                                                                                                                           </v>
      </c>
      <c r="G3220" s="26" t="str">
        <f>"BENITO JUAREZ                                                                   "</f>
        <v xml:space="preserve">BENITO JUAREZ                                                                   </v>
      </c>
      <c r="H3220" s="26" t="str">
        <f>"234"</f>
        <v>234</v>
      </c>
      <c r="I3220" s="26" t="str">
        <f t="shared" si="637"/>
        <v>00</v>
      </c>
      <c r="J3220" s="26" t="str">
        <f>"33 "</f>
        <v xml:space="preserve">33 </v>
      </c>
      <c r="K3220" s="26" t="str">
        <f t="shared" si="638"/>
        <v>EP</v>
      </c>
      <c r="L3220" s="26" t="str">
        <f t="shared" si="639"/>
        <v>DGOSE</v>
      </c>
      <c r="M3220" s="26" t="str">
        <f t="shared" si="631"/>
        <v>PARTICULAR</v>
      </c>
      <c r="N3220" s="26">
        <v>30</v>
      </c>
      <c r="O3220" s="26">
        <v>15</v>
      </c>
      <c r="P3220" s="26">
        <v>15</v>
      </c>
      <c r="Q3220" s="26">
        <v>3</v>
      </c>
      <c r="R3220" s="26">
        <v>1</v>
      </c>
      <c r="S3220" s="26">
        <v>2</v>
      </c>
      <c r="T3220" s="26">
        <v>5</v>
      </c>
      <c r="U3220" s="26">
        <v>8</v>
      </c>
      <c r="V3220" s="26">
        <v>1</v>
      </c>
      <c r="W3220" s="26"/>
    </row>
    <row r="3221" spans="1:23" x14ac:dyDescent="0.25">
      <c r="A3221" s="26" t="str">
        <f t="shared" si="632"/>
        <v>PREESCOLAR</v>
      </c>
      <c r="B3221" s="26" t="str">
        <f>"09PJN5976R"</f>
        <v>09PJN5976R</v>
      </c>
      <c r="C3221" s="26" t="str">
        <f>"NUEVO COLEGIO JUSTO SIERRA                                                                          "</f>
        <v xml:space="preserve">NUEVO COLEGIO JUSTO SIERRA                                                                          </v>
      </c>
      <c r="D3221" s="26" t="str">
        <f t="shared" si="628"/>
        <v>MATUTINO</v>
      </c>
      <c r="E3221" s="26" t="str">
        <f>"PLUTARCO ELIAS CALLES NO. 372                                                   "</f>
        <v xml:space="preserve">PLUTARCO ELIAS CALLES NO. 372                                                   </v>
      </c>
      <c r="F3221" s="26" t="str">
        <f>"SAN PEDRO                                                                                                                                   "</f>
        <v xml:space="preserve">SAN PEDRO                                                                                                                                   </v>
      </c>
      <c r="G3221" s="26" t="str">
        <f>"IZTACALCO                                                                       "</f>
        <v xml:space="preserve">IZTACALCO                                                                       </v>
      </c>
      <c r="H3221" s="26" t="str">
        <f>"027"</f>
        <v>027</v>
      </c>
      <c r="I3221" s="26" t="str">
        <f t="shared" si="637"/>
        <v>00</v>
      </c>
      <c r="J3221" s="26" t="str">
        <f>"33 "</f>
        <v xml:space="preserve">33 </v>
      </c>
      <c r="K3221" s="26" t="str">
        <f t="shared" si="638"/>
        <v>EP</v>
      </c>
      <c r="L3221" s="26" t="str">
        <f t="shared" si="639"/>
        <v>DGOSE</v>
      </c>
      <c r="M3221" s="26" t="str">
        <f t="shared" si="631"/>
        <v>PARTICULAR</v>
      </c>
      <c r="N3221" s="26">
        <v>5</v>
      </c>
      <c r="O3221" s="26">
        <v>3</v>
      </c>
      <c r="P3221" s="26">
        <v>2</v>
      </c>
      <c r="Q3221" s="26">
        <v>2</v>
      </c>
      <c r="R3221" s="26">
        <v>1</v>
      </c>
      <c r="S3221" s="26">
        <v>1</v>
      </c>
      <c r="T3221" s="26">
        <v>2</v>
      </c>
      <c r="U3221" s="26">
        <v>4</v>
      </c>
      <c r="V3221" s="26">
        <v>1</v>
      </c>
      <c r="W3221" s="26"/>
    </row>
    <row r="3222" spans="1:23" x14ac:dyDescent="0.25">
      <c r="A3222" s="26" t="str">
        <f t="shared" si="632"/>
        <v>PREESCOLAR</v>
      </c>
      <c r="B3222" s="26" t="str">
        <f>"09PJN5977Q"</f>
        <v>09PJN5977Q</v>
      </c>
      <c r="C3222" s="26" t="str">
        <f>"KOKONE MONTESSORI                                                                                   "</f>
        <v xml:space="preserve">KOKONE MONTESSORI                                                                                   </v>
      </c>
      <c r="D3222" s="26" t="str">
        <f t="shared" si="628"/>
        <v>MATUTINO</v>
      </c>
      <c r="E3222" s="26" t="str">
        <f>"ANTONIO SALANUEVA NO. 36 (ANT. JUSTO SIERRA)                                    "</f>
        <v xml:space="preserve">ANTONIO SALANUEVA NO. 36 (ANT. JUSTO SIERRA)                                    </v>
      </c>
      <c r="F3222" s="26" t="str">
        <f>"LOMAS DEL OCOTE                                                                                                                             "</f>
        <v xml:space="preserve">LOMAS DEL OCOTE                                                                                                                             </v>
      </c>
      <c r="G3222" s="26" t="str">
        <f>"CUAJIMALPA DE MORELOS                                                           "</f>
        <v xml:space="preserve">CUAJIMALPA DE MORELOS                                                           </v>
      </c>
      <c r="H3222" s="26" t="str">
        <f>"279"</f>
        <v>279</v>
      </c>
      <c r="I3222" s="26" t="str">
        <f t="shared" si="637"/>
        <v>00</v>
      </c>
      <c r="J3222" s="26" t="str">
        <f>"33 "</f>
        <v xml:space="preserve">33 </v>
      </c>
      <c r="K3222" s="26" t="str">
        <f t="shared" si="638"/>
        <v>EP</v>
      </c>
      <c r="L3222" s="26" t="str">
        <f t="shared" si="639"/>
        <v>DGOSE</v>
      </c>
      <c r="M3222" s="26" t="str">
        <f t="shared" si="631"/>
        <v>PARTICULAR</v>
      </c>
      <c r="N3222" s="26">
        <v>2</v>
      </c>
      <c r="O3222" s="26">
        <v>0</v>
      </c>
      <c r="P3222" s="26">
        <v>2</v>
      </c>
      <c r="Q3222" s="26">
        <v>1</v>
      </c>
      <c r="R3222" s="26">
        <v>1</v>
      </c>
      <c r="S3222" s="26">
        <v>1</v>
      </c>
      <c r="T3222" s="26">
        <v>1</v>
      </c>
      <c r="U3222" s="26">
        <v>3</v>
      </c>
      <c r="V3222" s="26">
        <v>1</v>
      </c>
      <c r="W3222" s="26"/>
    </row>
    <row r="3223" spans="1:23" x14ac:dyDescent="0.25">
      <c r="A3223" s="26" t="str">
        <f t="shared" si="632"/>
        <v>PREESCOLAR</v>
      </c>
      <c r="B3223" s="26" t="str">
        <f>"09PJN5978P"</f>
        <v>09PJN5978P</v>
      </c>
      <c r="C3223" s="26" t="str">
        <f>"EDUCACION BASICA KO-QUI S.C.                                                                        "</f>
        <v xml:space="preserve">EDUCACION BASICA KO-QUI S.C.                                                                        </v>
      </c>
      <c r="D3223" s="26" t="str">
        <f t="shared" si="628"/>
        <v>MATUTINO</v>
      </c>
      <c r="E3223" s="26" t="str">
        <f>"PROLONGACION CRUZ DEL FAROL NO. 40                                              "</f>
        <v xml:space="preserve">PROLONGACION CRUZ DEL FAROL NO. 40                                              </v>
      </c>
      <c r="F3223" s="26" t="str">
        <f>"CRUZ DEL FAROL                                                                                                                              "</f>
        <v xml:space="preserve">CRUZ DEL FAROL                                                                                                                              </v>
      </c>
      <c r="G3223" s="26" t="str">
        <f>"TLALPAN                                                                         "</f>
        <v xml:space="preserve">TLALPAN                                                                         </v>
      </c>
      <c r="H3223" s="26" t="str">
        <f>"135"</f>
        <v>135</v>
      </c>
      <c r="I3223" s="26" t="str">
        <f t="shared" si="637"/>
        <v>00</v>
      </c>
      <c r="J3223" s="26" t="str">
        <f>"35 "</f>
        <v xml:space="preserve">35 </v>
      </c>
      <c r="K3223" s="26" t="str">
        <f t="shared" si="638"/>
        <v>EP</v>
      </c>
      <c r="L3223" s="26" t="str">
        <f t="shared" si="639"/>
        <v>DGOSE</v>
      </c>
      <c r="M3223" s="26" t="str">
        <f t="shared" si="631"/>
        <v>PARTICULAR</v>
      </c>
      <c r="N3223" s="26">
        <v>11</v>
      </c>
      <c r="O3223" s="26">
        <v>7</v>
      </c>
      <c r="P3223" s="26">
        <v>4</v>
      </c>
      <c r="Q3223" s="26">
        <v>3</v>
      </c>
      <c r="R3223" s="26">
        <v>1</v>
      </c>
      <c r="S3223" s="26">
        <v>3</v>
      </c>
      <c r="T3223" s="26">
        <v>3</v>
      </c>
      <c r="U3223" s="26">
        <v>7</v>
      </c>
      <c r="V3223" s="26">
        <v>1</v>
      </c>
      <c r="W3223" s="26"/>
    </row>
    <row r="3224" spans="1:23" x14ac:dyDescent="0.25">
      <c r="A3224" s="26" t="str">
        <f t="shared" si="632"/>
        <v>PREESCOLAR</v>
      </c>
      <c r="B3224" s="26" t="str">
        <f>"09PJN5979O"</f>
        <v>09PJN5979O</v>
      </c>
      <c r="C3224" s="26" t="str">
        <f>"CHINESE SCHOOL                                                                                      "</f>
        <v xml:space="preserve">CHINESE SCHOOL                                                                                      </v>
      </c>
      <c r="D3224" s="26" t="str">
        <f t="shared" si="628"/>
        <v>MATUTINO</v>
      </c>
      <c r="E3224" s="26" t="str">
        <f>"AV. CUAUHTEMOC NO. 1221                                                         "</f>
        <v xml:space="preserve">AV. CUAUHTEMOC NO. 1221                                                         </v>
      </c>
      <c r="F3224" s="26" t="str">
        <f>"SANTA CRUZ ATOYAC                                                                                                                           "</f>
        <v xml:space="preserve">SANTA CRUZ ATOYAC                                                                                                                           </v>
      </c>
      <c r="G3224" s="26" t="str">
        <f>"BENITO JUAREZ                                                                   "</f>
        <v xml:space="preserve">BENITO JUAREZ                                                                   </v>
      </c>
      <c r="H3224" s="26" t="str">
        <f>"037"</f>
        <v>037</v>
      </c>
      <c r="I3224" s="26" t="str">
        <f t="shared" si="637"/>
        <v>00</v>
      </c>
      <c r="J3224" s="26" t="str">
        <f>"33 "</f>
        <v xml:space="preserve">33 </v>
      </c>
      <c r="K3224" s="26" t="str">
        <f t="shared" si="638"/>
        <v>EP</v>
      </c>
      <c r="L3224" s="26" t="str">
        <f t="shared" si="639"/>
        <v>DGOSE</v>
      </c>
      <c r="M3224" s="26" t="str">
        <f t="shared" si="631"/>
        <v>PARTICULAR</v>
      </c>
      <c r="N3224" s="26">
        <v>5</v>
      </c>
      <c r="O3224" s="26">
        <v>2</v>
      </c>
      <c r="P3224" s="26">
        <v>3</v>
      </c>
      <c r="Q3224" s="26">
        <v>2</v>
      </c>
      <c r="R3224" s="26">
        <v>1</v>
      </c>
      <c r="S3224" s="26">
        <v>1</v>
      </c>
      <c r="T3224" s="26">
        <v>2</v>
      </c>
      <c r="U3224" s="26">
        <v>4</v>
      </c>
      <c r="V3224" s="26">
        <v>1</v>
      </c>
      <c r="W3224" s="26"/>
    </row>
    <row r="3225" spans="1:23" x14ac:dyDescent="0.25">
      <c r="A3225" s="26" t="str">
        <f t="shared" si="632"/>
        <v>PREESCOLAR</v>
      </c>
      <c r="B3225" s="26" t="str">
        <f>"09PJN5980D"</f>
        <v>09PJN5980D</v>
      </c>
      <c r="C3225" s="26" t="str">
        <f>"COLEGIO HORMIGUITAS                                                                                 "</f>
        <v xml:space="preserve">COLEGIO HORMIGUITAS                                                                                 </v>
      </c>
      <c r="D3225" s="26" t="str">
        <f t="shared" si="628"/>
        <v>MATUTINO</v>
      </c>
      <c r="E3225" s="26" t="str">
        <f>"TEJAMANIL NO. 200                                                               "</f>
        <v xml:space="preserve">TEJAMANIL NO. 200                                                               </v>
      </c>
      <c r="F3225" s="26" t="str">
        <f>"PEDREGAL DE SANTO DOMINGO                                                                                                                   "</f>
        <v xml:space="preserve">PEDREGAL DE SANTO DOMINGO                                                                                                                   </v>
      </c>
      <c r="G3225" s="26" t="str">
        <f>"COYOACAN                                                                        "</f>
        <v xml:space="preserve">COYOACAN                                                                        </v>
      </c>
      <c r="H3225" s="26" t="str">
        <f>"077"</f>
        <v>077</v>
      </c>
      <c r="I3225" s="26" t="str">
        <f t="shared" si="637"/>
        <v>00</v>
      </c>
      <c r="J3225" s="26" t="str">
        <f>"35 "</f>
        <v xml:space="preserve">35 </v>
      </c>
      <c r="K3225" s="26" t="str">
        <f t="shared" si="638"/>
        <v>EP</v>
      </c>
      <c r="L3225" s="26" t="str">
        <f t="shared" si="639"/>
        <v>DGOSE</v>
      </c>
      <c r="M3225" s="26" t="str">
        <f t="shared" si="631"/>
        <v>PARTICULAR</v>
      </c>
      <c r="N3225" s="26">
        <v>26</v>
      </c>
      <c r="O3225" s="26">
        <v>12</v>
      </c>
      <c r="P3225" s="26">
        <v>14</v>
      </c>
      <c r="Q3225" s="26">
        <v>3</v>
      </c>
      <c r="R3225" s="26">
        <v>1</v>
      </c>
      <c r="S3225" s="26">
        <v>3</v>
      </c>
      <c r="T3225" s="26">
        <v>3</v>
      </c>
      <c r="U3225" s="26">
        <v>7</v>
      </c>
      <c r="V3225" s="26">
        <v>1</v>
      </c>
      <c r="W3225" s="26"/>
    </row>
    <row r="3226" spans="1:23" x14ac:dyDescent="0.25">
      <c r="A3226" s="26" t="str">
        <f t="shared" si="632"/>
        <v>PREESCOLAR</v>
      </c>
      <c r="B3226" s="26" t="str">
        <f>"09PJN5981C"</f>
        <v>09PJN5981C</v>
      </c>
      <c r="C3226" s="26" t="str">
        <f>"THE LITTLE HOUSE KID'S GARDEN                                                                       "</f>
        <v xml:space="preserve">THE LITTLE HOUSE KID'S GARDEN                                                                       </v>
      </c>
      <c r="D3226" s="26" t="str">
        <f t="shared" si="628"/>
        <v>MATUTINO</v>
      </c>
      <c r="E3226" s="26" t="str">
        <f>"MAGDALENA NO. 142                                                               "</f>
        <v xml:space="preserve">MAGDALENA NO. 142                                                               </v>
      </c>
      <c r="F3226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3226" s="26" t="str">
        <f>"BENITO JUAREZ                                                                   "</f>
        <v xml:space="preserve">BENITO JUAREZ                                                                   </v>
      </c>
      <c r="H3226" s="26" t="str">
        <f>"232"</f>
        <v>232</v>
      </c>
      <c r="I3226" s="26" t="str">
        <f t="shared" si="637"/>
        <v>00</v>
      </c>
      <c r="J3226" s="26" t="str">
        <f>"33 "</f>
        <v xml:space="preserve">33 </v>
      </c>
      <c r="K3226" s="26" t="str">
        <f t="shared" si="638"/>
        <v>EP</v>
      </c>
      <c r="L3226" s="26" t="str">
        <f t="shared" si="639"/>
        <v>DGOSE</v>
      </c>
      <c r="M3226" s="26" t="str">
        <f t="shared" si="631"/>
        <v>PARTICULAR</v>
      </c>
      <c r="N3226" s="26">
        <v>36</v>
      </c>
      <c r="O3226" s="26">
        <v>20</v>
      </c>
      <c r="P3226" s="26">
        <v>16</v>
      </c>
      <c r="Q3226" s="26">
        <v>3</v>
      </c>
      <c r="R3226" s="26">
        <v>1</v>
      </c>
      <c r="S3226" s="26">
        <v>3</v>
      </c>
      <c r="T3226" s="26">
        <v>2</v>
      </c>
      <c r="U3226" s="26">
        <v>6</v>
      </c>
      <c r="V3226" s="26">
        <v>1</v>
      </c>
      <c r="W3226" s="26"/>
    </row>
    <row r="3227" spans="1:23" x14ac:dyDescent="0.25">
      <c r="A3227" s="26" t="str">
        <f t="shared" si="632"/>
        <v>PREESCOLAR</v>
      </c>
      <c r="B3227" s="26" t="str">
        <f>"09PJN5982B"</f>
        <v>09PJN5982B</v>
      </c>
      <c r="C3227" s="26" t="str">
        <f>"LA ESCUELITA                                                                                        "</f>
        <v xml:space="preserve">LA ESCUELITA                                                                                        </v>
      </c>
      <c r="D3227" s="26" t="str">
        <f t="shared" si="628"/>
        <v>MATUTINO</v>
      </c>
      <c r="E3227" s="26" t="str">
        <f>"CDA.  16 DE SEPTIEMBRE NO. 1181                                                 "</f>
        <v xml:space="preserve">CDA.  16 DE SEPTIEMBRE NO. 1181                                                 </v>
      </c>
      <c r="F3227" s="26" t="str">
        <f>"CONTADERO                                                                                                                                   "</f>
        <v xml:space="preserve">CONTADERO                                                                                                                                   </v>
      </c>
      <c r="G3227" s="26" t="str">
        <f>"CUAJIMALPA DE MORELOS                                                           "</f>
        <v xml:space="preserve">CUAJIMALPA DE MORELOS                                                           </v>
      </c>
      <c r="H3227" s="26" t="str">
        <f>"151"</f>
        <v>151</v>
      </c>
      <c r="I3227" s="26" t="str">
        <f t="shared" si="637"/>
        <v>00</v>
      </c>
      <c r="J3227" s="26" t="str">
        <f>"33 "</f>
        <v xml:space="preserve">33 </v>
      </c>
      <c r="K3227" s="26" t="str">
        <f t="shared" si="638"/>
        <v>EP</v>
      </c>
      <c r="L3227" s="26" t="str">
        <f t="shared" si="639"/>
        <v>DGOSE</v>
      </c>
      <c r="M3227" s="26" t="str">
        <f t="shared" si="631"/>
        <v>PARTICULAR</v>
      </c>
      <c r="N3227" s="26">
        <v>22</v>
      </c>
      <c r="O3227" s="26">
        <v>13</v>
      </c>
      <c r="P3227" s="26">
        <v>9</v>
      </c>
      <c r="Q3227" s="26">
        <v>2</v>
      </c>
      <c r="R3227" s="26">
        <v>1</v>
      </c>
      <c r="S3227" s="26">
        <v>2</v>
      </c>
      <c r="T3227" s="26">
        <v>4</v>
      </c>
      <c r="U3227" s="26">
        <v>7</v>
      </c>
      <c r="V3227" s="26">
        <v>1</v>
      </c>
      <c r="W3227" s="26"/>
    </row>
    <row r="3228" spans="1:23" x14ac:dyDescent="0.25">
      <c r="A3228" s="26" t="str">
        <f t="shared" si="632"/>
        <v>PREESCOLAR</v>
      </c>
      <c r="B3228" s="26" t="str">
        <f>"09PJN5983A"</f>
        <v>09PJN5983A</v>
      </c>
      <c r="C3228" s="26" t="str">
        <f>"NIÑOS MONTESSORI ARAGON                                                                             "</f>
        <v xml:space="preserve">NIÑOS MONTESSORI ARAGON                                                                             </v>
      </c>
      <c r="D3228" s="26" t="str">
        <f t="shared" si="628"/>
        <v>MATUTINO</v>
      </c>
      <c r="E3228" s="26" t="str">
        <f>"PUERTO DE VERACRUZ NO. 22                                                       "</f>
        <v xml:space="preserve">PUERTO DE VERACRUZ NO. 22                                                       </v>
      </c>
      <c r="F3228" s="26" t="str">
        <f>"CASAS ALEMAN AMPLIACION                                                                                                                     "</f>
        <v xml:space="preserve">CASAS ALEMAN AMPLIACION                                                                                                                     </v>
      </c>
      <c r="G3228" s="26" t="str">
        <f>"GUSTAVO A. MADERO                                                               "</f>
        <v xml:space="preserve">GUSTAVO A. MADERO                                                               </v>
      </c>
      <c r="H3228" s="26" t="str">
        <f>"195"</f>
        <v>195</v>
      </c>
      <c r="I3228" s="26" t="str">
        <f t="shared" si="637"/>
        <v>00</v>
      </c>
      <c r="J3228" s="26" t="str">
        <f>"32 "</f>
        <v xml:space="preserve">32 </v>
      </c>
      <c r="K3228" s="26" t="str">
        <f t="shared" si="638"/>
        <v>EP</v>
      </c>
      <c r="L3228" s="26" t="str">
        <f t="shared" si="639"/>
        <v>DGOSE</v>
      </c>
      <c r="M3228" s="26" t="str">
        <f t="shared" si="631"/>
        <v>PARTICULAR</v>
      </c>
      <c r="N3228" s="26">
        <v>26</v>
      </c>
      <c r="O3228" s="26">
        <v>19</v>
      </c>
      <c r="P3228" s="26">
        <v>7</v>
      </c>
      <c r="Q3228" s="26">
        <v>3</v>
      </c>
      <c r="R3228" s="26">
        <v>1</v>
      </c>
      <c r="S3228" s="26">
        <v>1</v>
      </c>
      <c r="T3228" s="26">
        <v>4</v>
      </c>
      <c r="U3228" s="26">
        <v>6</v>
      </c>
      <c r="V3228" s="26">
        <v>1</v>
      </c>
      <c r="W3228" s="26"/>
    </row>
    <row r="3229" spans="1:23" x14ac:dyDescent="0.25">
      <c r="A3229" s="26" t="str">
        <f t="shared" si="632"/>
        <v>PREESCOLAR</v>
      </c>
      <c r="B3229" s="26" t="str">
        <f>"09PJN5984Z"</f>
        <v>09PJN5984Z</v>
      </c>
      <c r="C3229" s="26" t="str">
        <f>"CENTRO EDUCATIVO INSPIRA                                                                            "</f>
        <v xml:space="preserve">CENTRO EDUCATIVO INSPIRA                                                                            </v>
      </c>
      <c r="D3229" s="26" t="str">
        <f t="shared" si="628"/>
        <v>MATUTINO</v>
      </c>
      <c r="E3229" s="26" t="str">
        <f>"CERRADA DE TEJOCOTE NO. 21 (ANTES 11)                                           "</f>
        <v xml:space="preserve">CERRADA DE TEJOCOTE NO. 21 (ANTES 11)                                           </v>
      </c>
      <c r="F3229" s="26" t="str">
        <f>"CONTADERO                                                                                                                                   "</f>
        <v xml:space="preserve">CONTADERO                                                                                                                                   </v>
      </c>
      <c r="G3229" s="26" t="str">
        <f>"CUAJIMALPA DE MORELOS                                                           "</f>
        <v xml:space="preserve">CUAJIMALPA DE MORELOS                                                           </v>
      </c>
      <c r="H3229" s="26" t="str">
        <f>"089"</f>
        <v>089</v>
      </c>
      <c r="I3229" s="26" t="str">
        <f t="shared" si="637"/>
        <v>00</v>
      </c>
      <c r="J3229" s="26" t="str">
        <f>"33 "</f>
        <v xml:space="preserve">33 </v>
      </c>
      <c r="K3229" s="26" t="str">
        <f t="shared" si="638"/>
        <v>EP</v>
      </c>
      <c r="L3229" s="26" t="str">
        <f t="shared" si="639"/>
        <v>DGOSE</v>
      </c>
      <c r="M3229" s="26" t="str">
        <f t="shared" si="631"/>
        <v>PARTICULAR</v>
      </c>
      <c r="N3229" s="26">
        <v>17</v>
      </c>
      <c r="O3229" s="26">
        <v>8</v>
      </c>
      <c r="P3229" s="26">
        <v>9</v>
      </c>
      <c r="Q3229" s="26">
        <v>3</v>
      </c>
      <c r="R3229" s="26">
        <v>1</v>
      </c>
      <c r="S3229" s="26">
        <v>3</v>
      </c>
      <c r="T3229" s="26">
        <v>4</v>
      </c>
      <c r="U3229" s="26">
        <v>8</v>
      </c>
      <c r="V3229" s="26">
        <v>1</v>
      </c>
      <c r="W3229" s="26"/>
    </row>
    <row r="3230" spans="1:23" x14ac:dyDescent="0.25">
      <c r="A3230" s="26" t="str">
        <f t="shared" si="632"/>
        <v>PREESCOLAR</v>
      </c>
      <c r="B3230" s="26" t="str">
        <f>"09PJN5985Z"</f>
        <v>09PJN5985Z</v>
      </c>
      <c r="C3230" s="26" t="str">
        <f>"INSTITUTO INTEGRAL BENJAMIN BLOOM                                                                   "</f>
        <v xml:space="preserve">INSTITUTO INTEGRAL BENJAMIN BLOOM                                                                   </v>
      </c>
      <c r="D3230" s="26" t="str">
        <f t="shared" si="628"/>
        <v>MATUTINO</v>
      </c>
      <c r="E3230" s="26" t="str">
        <f>"CANAL DE MIRAMONTES NO. 1976                                                    "</f>
        <v xml:space="preserve">CANAL DE MIRAMONTES NO. 1976                                                    </v>
      </c>
      <c r="F3230" s="26" t="str">
        <f>"EDUCACION                                                                                                                                   "</f>
        <v xml:space="preserve">EDUCACION                                                                                                                                   </v>
      </c>
      <c r="G3230" s="26" t="str">
        <f>"COYOACAN                                                                        "</f>
        <v xml:space="preserve">COYOACAN                                                                        </v>
      </c>
      <c r="H3230" s="26" t="str">
        <f>"024"</f>
        <v>024</v>
      </c>
      <c r="I3230" s="26" t="str">
        <f t="shared" si="637"/>
        <v>00</v>
      </c>
      <c r="J3230" s="26" t="str">
        <f>"35 "</f>
        <v xml:space="preserve">35 </v>
      </c>
      <c r="K3230" s="26" t="str">
        <f t="shared" si="638"/>
        <v>EP</v>
      </c>
      <c r="L3230" s="26" t="str">
        <f t="shared" si="639"/>
        <v>DGOSE</v>
      </c>
      <c r="M3230" s="26" t="str">
        <f t="shared" si="631"/>
        <v>PARTICULAR</v>
      </c>
      <c r="N3230" s="26">
        <v>22</v>
      </c>
      <c r="O3230" s="26">
        <v>12</v>
      </c>
      <c r="P3230" s="26">
        <v>10</v>
      </c>
      <c r="Q3230" s="26">
        <v>3</v>
      </c>
      <c r="R3230" s="26">
        <v>1</v>
      </c>
      <c r="S3230" s="26">
        <v>3</v>
      </c>
      <c r="T3230" s="26">
        <v>6</v>
      </c>
      <c r="U3230" s="26">
        <v>10</v>
      </c>
      <c r="V3230" s="26">
        <v>1</v>
      </c>
      <c r="W3230" s="26"/>
    </row>
    <row r="3231" spans="1:23" x14ac:dyDescent="0.25">
      <c r="A3231" s="26" t="str">
        <f t="shared" si="632"/>
        <v>PREESCOLAR</v>
      </c>
      <c r="B3231" s="26" t="str">
        <f>"09PJN5986Y"</f>
        <v>09PJN5986Y</v>
      </c>
      <c r="C3231" s="26" t="str">
        <f>"EL MUNDO DE LOS NIÑOS DE KARLYN                                                                     "</f>
        <v xml:space="preserve">EL MUNDO DE LOS NIÑOS DE KARLYN                                                                     </v>
      </c>
      <c r="D3231" s="26" t="str">
        <f t="shared" si="628"/>
        <v>MATUTINO</v>
      </c>
      <c r="E3231" s="26" t="str">
        <f>"JESUS LECUONA NO. 269                                                           "</f>
        <v xml:space="preserve">JESUS LECUONA NO. 269                                                           </v>
      </c>
      <c r="F3231" s="26" t="str">
        <f>"MIGUEL HIDALGO AMPLIACION                                                                                                                   "</f>
        <v xml:space="preserve">MIGUEL HIDALGO AMPLIACION                                                                                                                   </v>
      </c>
      <c r="G3231" s="26" t="str">
        <f>"TLALPAN                                                                         "</f>
        <v xml:space="preserve">TLALPAN                                                                         </v>
      </c>
      <c r="H3231" s="26" t="str">
        <f>"049"</f>
        <v>049</v>
      </c>
      <c r="I3231" s="26" t="str">
        <f t="shared" si="637"/>
        <v>00</v>
      </c>
      <c r="J3231" s="26" t="str">
        <f>"35 "</f>
        <v xml:space="preserve">35 </v>
      </c>
      <c r="K3231" s="26" t="str">
        <f t="shared" si="638"/>
        <v>EP</v>
      </c>
      <c r="L3231" s="26" t="str">
        <f t="shared" si="639"/>
        <v>DGOSE</v>
      </c>
      <c r="M3231" s="26" t="str">
        <f t="shared" si="631"/>
        <v>PARTICULAR</v>
      </c>
      <c r="N3231" s="26">
        <v>30</v>
      </c>
      <c r="O3231" s="26">
        <v>17</v>
      </c>
      <c r="P3231" s="26">
        <v>13</v>
      </c>
      <c r="Q3231" s="26">
        <v>3</v>
      </c>
      <c r="R3231" s="26">
        <v>1</v>
      </c>
      <c r="S3231" s="26">
        <v>2</v>
      </c>
      <c r="T3231" s="26">
        <v>1</v>
      </c>
      <c r="U3231" s="26">
        <v>4</v>
      </c>
      <c r="V3231" s="26">
        <v>1</v>
      </c>
      <c r="W3231" s="26"/>
    </row>
    <row r="3232" spans="1:23" x14ac:dyDescent="0.25">
      <c r="A3232" s="26" t="str">
        <f t="shared" si="632"/>
        <v>PREESCOLAR</v>
      </c>
      <c r="B3232" s="26" t="str">
        <f>"09PJN5987X"</f>
        <v>09PJN5987X</v>
      </c>
      <c r="C3232" s="26" t="str">
        <f>"CENTRO EDUCATIVO INTELIPEQUES                                                                       "</f>
        <v xml:space="preserve">CENTRO EDUCATIVO INTELIPEQUES                                                                       </v>
      </c>
      <c r="D3232" s="26" t="str">
        <f t="shared" si="628"/>
        <v>MATUTINO</v>
      </c>
      <c r="E3232" s="26" t="str">
        <f>"HACIENDA COACALCO NO. 46                                                        "</f>
        <v xml:space="preserve">HACIENDA COACALCO NO. 46                                                        </v>
      </c>
      <c r="F3232" s="26" t="str">
        <f>"PRADO COAPA                                                                                                                                 "</f>
        <v xml:space="preserve">PRADO COAPA                                                                                                                                 </v>
      </c>
      <c r="G3232" s="26" t="str">
        <f>"TLALPAN                                                                         "</f>
        <v xml:space="preserve">TLALPAN                                                                         </v>
      </c>
      <c r="H3232" s="26" t="str">
        <f>"050"</f>
        <v>050</v>
      </c>
      <c r="I3232" s="26" t="str">
        <f t="shared" si="637"/>
        <v>00</v>
      </c>
      <c r="J3232" s="26" t="str">
        <f>"35 "</f>
        <v xml:space="preserve">35 </v>
      </c>
      <c r="K3232" s="26" t="str">
        <f t="shared" si="638"/>
        <v>EP</v>
      </c>
      <c r="L3232" s="26" t="str">
        <f t="shared" si="639"/>
        <v>DGOSE</v>
      </c>
      <c r="M3232" s="26" t="str">
        <f t="shared" si="631"/>
        <v>PARTICULAR</v>
      </c>
      <c r="N3232" s="26">
        <v>11</v>
      </c>
      <c r="O3232" s="26">
        <v>8</v>
      </c>
      <c r="P3232" s="26">
        <v>3</v>
      </c>
      <c r="Q3232" s="26">
        <v>2</v>
      </c>
      <c r="R3232" s="26">
        <v>1</v>
      </c>
      <c r="S3232" s="26">
        <v>1</v>
      </c>
      <c r="T3232" s="26">
        <v>1</v>
      </c>
      <c r="U3232" s="26">
        <v>3</v>
      </c>
      <c r="V3232" s="26">
        <v>1</v>
      </c>
      <c r="W3232" s="26"/>
    </row>
    <row r="3233" spans="1:23" x14ac:dyDescent="0.25">
      <c r="A3233" s="26" t="str">
        <f t="shared" si="632"/>
        <v>PREESCOLAR</v>
      </c>
      <c r="B3233" s="26" t="str">
        <f>"09PJN5988W"</f>
        <v>09PJN5988W</v>
      </c>
      <c r="C3233" s="26" t="str">
        <f>"KINDER BABY STEPS                                                                                   "</f>
        <v xml:space="preserve">KINDER BABY STEPS                                                                                   </v>
      </c>
      <c r="D3233" s="26" t="str">
        <f t="shared" si="628"/>
        <v>MATUTINO</v>
      </c>
      <c r="E3233" s="26" t="str">
        <f>"CARRETERA SAN MATEO-SANTA ROSA NO. 31                                           "</f>
        <v xml:space="preserve">CARRETERA SAN MATEO-SANTA ROSA NO. 31                                           </v>
      </c>
      <c r="F3233" s="26" t="str">
        <f>"CONTADERO                                                                                                                                   "</f>
        <v xml:space="preserve">CONTADERO                                                                                                                                   </v>
      </c>
      <c r="G3233" s="26" t="str">
        <f>"CUAJIMALPA DE MORELOS                                                           "</f>
        <v xml:space="preserve">CUAJIMALPA DE MORELOS                                                           </v>
      </c>
      <c r="H3233" s="26" t="str">
        <f>"213"</f>
        <v>213</v>
      </c>
      <c r="I3233" s="26" t="str">
        <f t="shared" si="637"/>
        <v>00</v>
      </c>
      <c r="J3233" s="26" t="str">
        <f>"33 "</f>
        <v xml:space="preserve">33 </v>
      </c>
      <c r="K3233" s="26" t="str">
        <f t="shared" si="638"/>
        <v>EP</v>
      </c>
      <c r="L3233" s="26" t="str">
        <f t="shared" si="639"/>
        <v>DGOSE</v>
      </c>
      <c r="M3233" s="26" t="str">
        <f t="shared" si="631"/>
        <v>PARTICULAR</v>
      </c>
      <c r="N3233" s="26">
        <v>22</v>
      </c>
      <c r="O3233" s="26">
        <v>11</v>
      </c>
      <c r="P3233" s="26">
        <v>11</v>
      </c>
      <c r="Q3233" s="26">
        <v>3</v>
      </c>
      <c r="R3233" s="26">
        <v>1</v>
      </c>
      <c r="S3233" s="26">
        <v>3</v>
      </c>
      <c r="T3233" s="26">
        <v>6</v>
      </c>
      <c r="U3233" s="26">
        <v>10</v>
      </c>
      <c r="V3233" s="26">
        <v>1</v>
      </c>
      <c r="W3233" s="26"/>
    </row>
    <row r="3234" spans="1:23" x14ac:dyDescent="0.25">
      <c r="A3234" s="26" t="str">
        <f t="shared" si="632"/>
        <v>PREESCOLAR</v>
      </c>
      <c r="B3234" s="26" t="str">
        <f>"09PJN5990K"</f>
        <v>09PJN5990K</v>
      </c>
      <c r="C3234" s="26" t="str">
        <f>"BAMBINELLO                                                                                          "</f>
        <v xml:space="preserve">BAMBINELLO                                                                                          </v>
      </c>
      <c r="D3234" s="26" t="str">
        <f t="shared" si="628"/>
        <v>MATUTINO</v>
      </c>
      <c r="E3234" s="26" t="str">
        <f>"LAS ROSAS S/N. LOTE 13                                                          "</f>
        <v xml:space="preserve">LAS ROSAS S/N. LOTE 13                                                          </v>
      </c>
      <c r="F3234" s="26" t="str">
        <f>"XOCHIMILCO                                                                                                                                  "</f>
        <v xml:space="preserve">XOCHIMILCO                                                                                                                                  </v>
      </c>
      <c r="G3234" s="26" t="str">
        <f>"XOCHIMILCO                                                                      "</f>
        <v xml:space="preserve">XOCHIMILCO                                                                      </v>
      </c>
      <c r="H3234" s="26" t="str">
        <f>"103"</f>
        <v>103</v>
      </c>
      <c r="I3234" s="26" t="str">
        <f t="shared" si="637"/>
        <v>00</v>
      </c>
      <c r="J3234" s="26" t="str">
        <f>"35 "</f>
        <v xml:space="preserve">35 </v>
      </c>
      <c r="K3234" s="26" t="str">
        <f t="shared" si="638"/>
        <v>EP</v>
      </c>
      <c r="L3234" s="26" t="str">
        <f t="shared" si="639"/>
        <v>DGOSE</v>
      </c>
      <c r="M3234" s="26" t="str">
        <f t="shared" si="631"/>
        <v>PARTICULAR</v>
      </c>
      <c r="N3234" s="26">
        <v>63</v>
      </c>
      <c r="O3234" s="26">
        <v>40</v>
      </c>
      <c r="P3234" s="26">
        <v>23</v>
      </c>
      <c r="Q3234" s="26">
        <v>1</v>
      </c>
      <c r="R3234" s="26">
        <v>1</v>
      </c>
      <c r="S3234" s="26">
        <v>1</v>
      </c>
      <c r="T3234" s="26">
        <v>6</v>
      </c>
      <c r="U3234" s="26">
        <v>8</v>
      </c>
      <c r="V3234" s="26">
        <v>1</v>
      </c>
      <c r="W3234" s="26"/>
    </row>
    <row r="3235" spans="1:23" x14ac:dyDescent="0.25">
      <c r="A3235" s="26" t="str">
        <f t="shared" si="632"/>
        <v>PREESCOLAR</v>
      </c>
      <c r="B3235" s="26" t="str">
        <f>"09PJN5991J"</f>
        <v>09PJN5991J</v>
      </c>
      <c r="C3235" s="26" t="str">
        <f>"COLEGIO CALMECAC                                                                                    "</f>
        <v xml:space="preserve">COLEGIO CALMECAC                                                                                    </v>
      </c>
      <c r="D3235" s="26" t="str">
        <f t="shared" si="628"/>
        <v>MATUTINO</v>
      </c>
      <c r="E3235" s="26" t="str">
        <f>"LA HEBREA NO. 157                                                               "</f>
        <v xml:space="preserve">LA HEBREA NO. 157                                                               </v>
      </c>
      <c r="F3235" s="26" t="str">
        <f>"MIGUEL HIDALGO                                                                                                                              "</f>
        <v xml:space="preserve">MIGUEL HIDALGO                                                                                                                              </v>
      </c>
      <c r="G3235" s="26" t="str">
        <f>"TLAHUAC                                                                         "</f>
        <v xml:space="preserve">TLAHUAC                                                                         </v>
      </c>
      <c r="H3235" s="26" t="str">
        <f>"242"</f>
        <v>242</v>
      </c>
      <c r="I3235" s="26" t="str">
        <f t="shared" si="637"/>
        <v>00</v>
      </c>
      <c r="J3235" s="26" t="str">
        <f>"35 "</f>
        <v xml:space="preserve">35 </v>
      </c>
      <c r="K3235" s="26" t="str">
        <f t="shared" si="638"/>
        <v>EP</v>
      </c>
      <c r="L3235" s="26" t="str">
        <f t="shared" si="639"/>
        <v>DGOSE</v>
      </c>
      <c r="M3235" s="26" t="str">
        <f t="shared" si="631"/>
        <v>PARTICULAR</v>
      </c>
      <c r="N3235" s="26">
        <v>22</v>
      </c>
      <c r="O3235" s="26">
        <v>13</v>
      </c>
      <c r="P3235" s="26">
        <v>9</v>
      </c>
      <c r="Q3235" s="26">
        <v>3</v>
      </c>
      <c r="R3235" s="26">
        <v>1</v>
      </c>
      <c r="S3235" s="26">
        <v>3</v>
      </c>
      <c r="T3235" s="26">
        <v>2</v>
      </c>
      <c r="U3235" s="26">
        <v>6</v>
      </c>
      <c r="V3235" s="26">
        <v>1</v>
      </c>
      <c r="W3235" s="26"/>
    </row>
    <row r="3236" spans="1:23" x14ac:dyDescent="0.25">
      <c r="A3236" s="26" t="str">
        <f t="shared" si="632"/>
        <v>PREESCOLAR</v>
      </c>
      <c r="B3236" s="26" t="str">
        <f>"09PJN5992I"</f>
        <v>09PJN5992I</v>
      </c>
      <c r="C3236" s="26" t="str">
        <f>"ESCUELA EL BOSQUE MICAEL                                                                            "</f>
        <v xml:space="preserve">ESCUELA EL BOSQUE MICAEL                                                                            </v>
      </c>
      <c r="D3236" s="26" t="str">
        <f t="shared" si="628"/>
        <v>MATUTINO</v>
      </c>
      <c r="E3236" s="26" t="str">
        <f>"16 DE SEPTIEMBRE NO. 7                                                          "</f>
        <v xml:space="preserve">16 DE SEPTIEMBRE NO. 7                                                          </v>
      </c>
      <c r="F3236" s="26" t="str">
        <f>"CONTADERO                                                                                                                                   "</f>
        <v xml:space="preserve">CONTADERO                                                                                                                                   </v>
      </c>
      <c r="G3236" s="26" t="str">
        <f>"CUAJIMALPA DE MORELOS                                                           "</f>
        <v xml:space="preserve">CUAJIMALPA DE MORELOS                                                           </v>
      </c>
      <c r="H3236" s="26" t="str">
        <f>"151"</f>
        <v>151</v>
      </c>
      <c r="I3236" s="26" t="str">
        <f t="shared" si="637"/>
        <v>00</v>
      </c>
      <c r="J3236" s="26" t="str">
        <f>"33 "</f>
        <v xml:space="preserve">33 </v>
      </c>
      <c r="K3236" s="26" t="str">
        <f t="shared" si="638"/>
        <v>EP</v>
      </c>
      <c r="L3236" s="26" t="str">
        <f t="shared" si="639"/>
        <v>DGOSE</v>
      </c>
      <c r="M3236" s="26" t="str">
        <f t="shared" si="631"/>
        <v>PARTICULAR</v>
      </c>
      <c r="N3236" s="26">
        <v>27</v>
      </c>
      <c r="O3236" s="26">
        <v>16</v>
      </c>
      <c r="P3236" s="26">
        <v>11</v>
      </c>
      <c r="Q3236" s="26">
        <v>3</v>
      </c>
      <c r="R3236" s="26">
        <v>1</v>
      </c>
      <c r="S3236" s="26">
        <v>3</v>
      </c>
      <c r="T3236" s="26">
        <v>6</v>
      </c>
      <c r="U3236" s="26">
        <v>10</v>
      </c>
      <c r="V3236" s="26">
        <v>1</v>
      </c>
      <c r="W3236" s="26"/>
    </row>
    <row r="3237" spans="1:23" x14ac:dyDescent="0.25">
      <c r="A3237" s="26" t="str">
        <f t="shared" si="632"/>
        <v>PREESCOLAR</v>
      </c>
      <c r="B3237" s="26" t="str">
        <f>"09PJN5993H"</f>
        <v>09PJN5993H</v>
      </c>
      <c r="C3237" s="26" t="s">
        <v>147</v>
      </c>
      <c r="D3237" s="26" t="str">
        <f t="shared" si="628"/>
        <v>MATUTINO</v>
      </c>
      <c r="E3237" s="26" t="str">
        <f>"FERNANDO ALENCASTRE NO. 96                                                      "</f>
        <v xml:space="preserve">FERNANDO ALENCASTRE NO. 96                                                      </v>
      </c>
      <c r="F3237" s="26" t="str">
        <f>"LOMAS VIRREYES                                                                                                                              "</f>
        <v xml:space="preserve">LOMAS VIRREYES                                                                                                                              </v>
      </c>
      <c r="G3237" s="26" t="str">
        <f>"MIGUEL HIDALGO                                                                  "</f>
        <v xml:space="preserve">MIGUEL HIDALGO                                                                  </v>
      </c>
      <c r="H3237" s="26" t="str">
        <f>"207"</f>
        <v>207</v>
      </c>
      <c r="I3237" s="26" t="str">
        <f t="shared" si="637"/>
        <v>00</v>
      </c>
      <c r="J3237" s="26" t="str">
        <f>"32 "</f>
        <v xml:space="preserve">32 </v>
      </c>
      <c r="K3237" s="26" t="str">
        <f t="shared" si="638"/>
        <v>EP</v>
      </c>
      <c r="L3237" s="26" t="str">
        <f t="shared" si="639"/>
        <v>DGOSE</v>
      </c>
      <c r="M3237" s="26" t="str">
        <f t="shared" si="631"/>
        <v>PARTICULAR</v>
      </c>
      <c r="N3237" s="26">
        <v>42</v>
      </c>
      <c r="O3237" s="26">
        <v>22</v>
      </c>
      <c r="P3237" s="26">
        <v>20</v>
      </c>
      <c r="Q3237" s="26">
        <v>3</v>
      </c>
      <c r="R3237" s="26">
        <v>1</v>
      </c>
      <c r="S3237" s="26">
        <v>3</v>
      </c>
      <c r="T3237" s="26">
        <v>22</v>
      </c>
      <c r="U3237" s="26">
        <v>26</v>
      </c>
      <c r="V3237" s="26">
        <v>1</v>
      </c>
      <c r="W3237" s="26"/>
    </row>
    <row r="3238" spans="1:23" x14ac:dyDescent="0.25">
      <c r="A3238" s="26" t="str">
        <f t="shared" si="632"/>
        <v>PREESCOLAR</v>
      </c>
      <c r="B3238" s="26" t="str">
        <f>"09PJN5994G"</f>
        <v>09PJN5994G</v>
      </c>
      <c r="C3238" s="26" t="s">
        <v>148</v>
      </c>
      <c r="D3238" s="26" t="str">
        <f t="shared" si="628"/>
        <v>MATUTINO</v>
      </c>
      <c r="E3238" s="26" t="str">
        <f>"GABRIEL MANCERA NO. 110                                                         "</f>
        <v xml:space="preserve">GABRIEL MANCERA NO. 110                                                         </v>
      </c>
      <c r="F3238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3238" s="26" t="str">
        <f>"BENITO JUAREZ                                                                   "</f>
        <v xml:space="preserve">BENITO JUAREZ                                                                   </v>
      </c>
      <c r="H3238" s="26" t="str">
        <f>"032"</f>
        <v>032</v>
      </c>
      <c r="I3238" s="26" t="str">
        <f t="shared" si="637"/>
        <v>00</v>
      </c>
      <c r="J3238" s="26" t="str">
        <f>"33 "</f>
        <v xml:space="preserve">33 </v>
      </c>
      <c r="K3238" s="26" t="str">
        <f t="shared" si="638"/>
        <v>EP</v>
      </c>
      <c r="L3238" s="26" t="str">
        <f t="shared" si="639"/>
        <v>DGOSE</v>
      </c>
      <c r="M3238" s="26" t="str">
        <f t="shared" si="631"/>
        <v>PARTICULAR</v>
      </c>
      <c r="N3238" s="26">
        <v>35</v>
      </c>
      <c r="O3238" s="26">
        <v>16</v>
      </c>
      <c r="P3238" s="26">
        <v>19</v>
      </c>
      <c r="Q3238" s="26">
        <v>3</v>
      </c>
      <c r="R3238" s="26">
        <v>1</v>
      </c>
      <c r="S3238" s="26">
        <v>3</v>
      </c>
      <c r="T3238" s="26">
        <v>10</v>
      </c>
      <c r="U3238" s="26">
        <v>14</v>
      </c>
      <c r="V3238" s="26">
        <v>1</v>
      </c>
      <c r="W3238" s="26"/>
    </row>
    <row r="3239" spans="1:23" x14ac:dyDescent="0.25">
      <c r="A3239" s="26" t="str">
        <f t="shared" si="632"/>
        <v>PREESCOLAR</v>
      </c>
      <c r="B3239" s="26" t="str">
        <f>"09PJN5995F"</f>
        <v>09PJN5995F</v>
      </c>
      <c r="C3239" s="26" t="str">
        <f>"ESCUELA COMERCIAL CAMARA DE COMERCIO                                                                "</f>
        <v xml:space="preserve">ESCUELA COMERCIAL CAMARA DE COMERCIO                                                                </v>
      </c>
      <c r="D3239" s="26" t="str">
        <f t="shared" si="628"/>
        <v>MATUTINO</v>
      </c>
      <c r="E3239" s="26" t="str">
        <f>"PATRIOOTISMO NO. 49                                                             "</f>
        <v xml:space="preserve">PATRIOOTISMO NO. 49                                                             </v>
      </c>
      <c r="F3239" s="26" t="str">
        <f>"ESCANDON                                                                                                                                    "</f>
        <v xml:space="preserve">ESCANDON                                                                                                                                    </v>
      </c>
      <c r="G3239" s="26" t="str">
        <f>"MIGUEL HIDALGO                                                                  "</f>
        <v xml:space="preserve">MIGUEL HIDALGO                                                                  </v>
      </c>
      <c r="H3239" s="26" t="str">
        <f>"014"</f>
        <v>014</v>
      </c>
      <c r="I3239" s="26" t="str">
        <f t="shared" si="637"/>
        <v>00</v>
      </c>
      <c r="J3239" s="26" t="str">
        <f>"32 "</f>
        <v xml:space="preserve">32 </v>
      </c>
      <c r="K3239" s="26" t="str">
        <f t="shared" si="638"/>
        <v>EP</v>
      </c>
      <c r="L3239" s="26" t="str">
        <f t="shared" si="639"/>
        <v>DGOSE</v>
      </c>
      <c r="M3239" s="26" t="str">
        <f t="shared" si="631"/>
        <v>PARTICULAR</v>
      </c>
      <c r="N3239" s="26">
        <v>112</v>
      </c>
      <c r="O3239" s="26">
        <v>62</v>
      </c>
      <c r="P3239" s="26">
        <v>50</v>
      </c>
      <c r="Q3239" s="26">
        <v>5</v>
      </c>
      <c r="R3239" s="26">
        <v>1</v>
      </c>
      <c r="S3239" s="26">
        <v>3</v>
      </c>
      <c r="T3239" s="26">
        <v>7</v>
      </c>
      <c r="U3239" s="26">
        <v>11</v>
      </c>
      <c r="V3239" s="26">
        <v>1</v>
      </c>
      <c r="W3239" s="26"/>
    </row>
    <row r="3240" spans="1:23" x14ac:dyDescent="0.25">
      <c r="A3240" s="26" t="str">
        <f t="shared" si="632"/>
        <v>PREESCOLAR</v>
      </c>
      <c r="B3240" s="26" t="str">
        <f>"09PJN5996E"</f>
        <v>09PJN5996E</v>
      </c>
      <c r="C3240" s="26" t="str">
        <f>"JARDIN DE NIÑOS ROSITA                                                                              "</f>
        <v xml:space="preserve">JARDIN DE NIÑOS ROSITA                                                                              </v>
      </c>
      <c r="D3240" s="26" t="str">
        <f t="shared" si="628"/>
        <v>MATUTINO</v>
      </c>
      <c r="E3240" s="26" t="str">
        <f>"CERRADA DE PALMAS MZA. PONIENTE. LT. 34                                         "</f>
        <v xml:space="preserve">CERRADA DE PALMAS MZA. PONIENTE. LT. 34                                         </v>
      </c>
      <c r="F3240" s="26" t="str">
        <f>"TLACUITLAPA                                                                                                                                 "</f>
        <v xml:space="preserve">TLACUITLAPA                                                                                                                                 </v>
      </c>
      <c r="G3240" s="26" t="str">
        <f>"ALVARO OBREGON                                                                  "</f>
        <v xml:space="preserve">ALVARO OBREGON                                                                  </v>
      </c>
      <c r="H3240" s="26" t="str">
        <f>"218"</f>
        <v>218</v>
      </c>
      <c r="I3240" s="26" t="str">
        <f t="shared" si="637"/>
        <v>00</v>
      </c>
      <c r="J3240" s="26" t="str">
        <f>"33 "</f>
        <v xml:space="preserve">33 </v>
      </c>
      <c r="K3240" s="26" t="str">
        <f t="shared" si="638"/>
        <v>EP</v>
      </c>
      <c r="L3240" s="26" t="str">
        <f t="shared" si="639"/>
        <v>DGOSE</v>
      </c>
      <c r="M3240" s="26" t="str">
        <f t="shared" si="631"/>
        <v>PARTICULAR</v>
      </c>
      <c r="N3240" s="26">
        <v>46</v>
      </c>
      <c r="O3240" s="26">
        <v>21</v>
      </c>
      <c r="P3240" s="26">
        <v>25</v>
      </c>
      <c r="Q3240" s="26">
        <v>4</v>
      </c>
      <c r="R3240" s="26">
        <v>1</v>
      </c>
      <c r="S3240" s="26">
        <v>3</v>
      </c>
      <c r="T3240" s="26">
        <v>0</v>
      </c>
      <c r="U3240" s="26">
        <v>4</v>
      </c>
      <c r="V3240" s="26">
        <v>1</v>
      </c>
      <c r="W3240" s="26"/>
    </row>
    <row r="3241" spans="1:23" x14ac:dyDescent="0.25">
      <c r="A3241" s="26" t="str">
        <f t="shared" si="632"/>
        <v>PREESCOLAR</v>
      </c>
      <c r="B3241" s="26" t="str">
        <f>"09PJN5997D"</f>
        <v>09PJN5997D</v>
      </c>
      <c r="C3241" s="26" t="s">
        <v>149</v>
      </c>
      <c r="D3241" s="26" t="str">
        <f t="shared" si="628"/>
        <v>MATUTINO</v>
      </c>
      <c r="E3241" s="26" t="str">
        <f>"PROVIDENCIA NO. 1025                                                            "</f>
        <v xml:space="preserve">PROVIDENCIA NO. 1025                                                            </v>
      </c>
      <c r="F3241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3241" s="26" t="str">
        <f>"BENITO JUAREZ                                                                   "</f>
        <v xml:space="preserve">BENITO JUAREZ                                                                   </v>
      </c>
      <c r="H3241" s="26" t="str">
        <f>"231"</f>
        <v>231</v>
      </c>
      <c r="I3241" s="26" t="str">
        <f t="shared" si="637"/>
        <v>00</v>
      </c>
      <c r="J3241" s="26" t="str">
        <f>"33 "</f>
        <v xml:space="preserve">33 </v>
      </c>
      <c r="K3241" s="26" t="str">
        <f t="shared" si="638"/>
        <v>EP</v>
      </c>
      <c r="L3241" s="26" t="str">
        <f t="shared" si="639"/>
        <v>DGOSE</v>
      </c>
      <c r="M3241" s="26" t="str">
        <f t="shared" si="631"/>
        <v>PARTICULAR</v>
      </c>
      <c r="N3241" s="26">
        <v>66</v>
      </c>
      <c r="O3241" s="26">
        <v>34</v>
      </c>
      <c r="P3241" s="26">
        <v>32</v>
      </c>
      <c r="Q3241" s="26">
        <v>5</v>
      </c>
      <c r="R3241" s="26">
        <v>1</v>
      </c>
      <c r="S3241" s="26">
        <v>5</v>
      </c>
      <c r="T3241" s="26">
        <v>6</v>
      </c>
      <c r="U3241" s="26">
        <v>12</v>
      </c>
      <c r="V3241" s="26">
        <v>1</v>
      </c>
      <c r="W3241" s="26"/>
    </row>
    <row r="3242" spans="1:23" x14ac:dyDescent="0.25">
      <c r="A3242" s="26" t="str">
        <f t="shared" si="632"/>
        <v>PREESCOLAR</v>
      </c>
      <c r="B3242" s="26" t="str">
        <f>"09PJN5998C"</f>
        <v>09PJN5998C</v>
      </c>
      <c r="C3242" s="26" t="str">
        <f>"COLEGIO ARISTOTELES                                                                                 "</f>
        <v xml:space="preserve">COLEGIO ARISTOTELES                                                                                 </v>
      </c>
      <c r="D3242" s="26" t="str">
        <f t="shared" si="628"/>
        <v>MATUTINO</v>
      </c>
      <c r="E3242" s="26" t="str">
        <f>"MADRESELVA NO. 183                                                              "</f>
        <v xml:space="preserve">MADRESELVA NO. 183                                                              </v>
      </c>
      <c r="F3242" s="26" t="str">
        <f>"XALTOCAN                                                                                                                                    "</f>
        <v xml:space="preserve">XALTOCAN                                                                                                                                    </v>
      </c>
      <c r="G3242" s="26" t="str">
        <f>"XOCHIMILCO                                                                      "</f>
        <v xml:space="preserve">XOCHIMILCO                                                                      </v>
      </c>
      <c r="H3242" s="26" t="str">
        <f>"033"</f>
        <v>033</v>
      </c>
      <c r="I3242" s="26" t="str">
        <f t="shared" si="637"/>
        <v>00</v>
      </c>
      <c r="J3242" s="26" t="str">
        <f>"35 "</f>
        <v xml:space="preserve">35 </v>
      </c>
      <c r="K3242" s="26" t="str">
        <f t="shared" si="638"/>
        <v>EP</v>
      </c>
      <c r="L3242" s="26" t="str">
        <f t="shared" si="639"/>
        <v>DGOSE</v>
      </c>
      <c r="M3242" s="26" t="str">
        <f t="shared" si="631"/>
        <v>PARTICULAR</v>
      </c>
      <c r="N3242" s="26">
        <v>32</v>
      </c>
      <c r="O3242" s="26">
        <v>18</v>
      </c>
      <c r="P3242" s="26">
        <v>14</v>
      </c>
      <c r="Q3242" s="26">
        <v>3</v>
      </c>
      <c r="R3242" s="26">
        <v>1</v>
      </c>
      <c r="S3242" s="26">
        <v>2</v>
      </c>
      <c r="T3242" s="26">
        <v>6</v>
      </c>
      <c r="U3242" s="26">
        <v>9</v>
      </c>
      <c r="V3242" s="26">
        <v>1</v>
      </c>
      <c r="W3242" s="26"/>
    </row>
    <row r="3243" spans="1:23" x14ac:dyDescent="0.25">
      <c r="A3243" s="26" t="str">
        <f t="shared" si="632"/>
        <v>PREESCOLAR</v>
      </c>
      <c r="B3243" s="26" t="str">
        <f>"09PJN5999B"</f>
        <v>09PJN5999B</v>
      </c>
      <c r="C3243" s="26" t="str">
        <f>"CENTRO EDUCATIVO KOKORO                                                                             "</f>
        <v xml:space="preserve">CENTRO EDUCATIVO KOKORO                                                                             </v>
      </c>
      <c r="D3243" s="26" t="str">
        <f t="shared" si="628"/>
        <v>MATUTINO</v>
      </c>
      <c r="E3243" s="26" t="str">
        <f>"NICOLAS SAN JUAN NO. 444                                                        "</f>
        <v xml:space="preserve">NICOLAS SAN JUAN NO. 444                                                        </v>
      </c>
      <c r="F3243" s="26" t="str">
        <f>"NARVARTE                                                                                                                                    "</f>
        <v xml:space="preserve">NARVARTE                                                                                                                                    </v>
      </c>
      <c r="G3243" s="26" t="str">
        <f>"BENITO JUAREZ                                                                   "</f>
        <v xml:space="preserve">BENITO JUAREZ                                                                   </v>
      </c>
      <c r="H3243" s="26" t="str">
        <f>"090"</f>
        <v>090</v>
      </c>
      <c r="I3243" s="26" t="str">
        <f t="shared" si="637"/>
        <v>00</v>
      </c>
      <c r="J3243" s="26" t="str">
        <f>"33 "</f>
        <v xml:space="preserve">33 </v>
      </c>
      <c r="K3243" s="26" t="str">
        <f t="shared" si="638"/>
        <v>EP</v>
      </c>
      <c r="L3243" s="26" t="str">
        <f t="shared" si="639"/>
        <v>DGOSE</v>
      </c>
      <c r="M3243" s="26" t="str">
        <f t="shared" si="631"/>
        <v>PARTICULAR</v>
      </c>
      <c r="N3243" s="26">
        <v>17</v>
      </c>
      <c r="O3243" s="26">
        <v>9</v>
      </c>
      <c r="P3243" s="26">
        <v>8</v>
      </c>
      <c r="Q3243" s="26">
        <v>3</v>
      </c>
      <c r="R3243" s="26">
        <v>1</v>
      </c>
      <c r="S3243" s="26">
        <v>2</v>
      </c>
      <c r="T3243" s="26">
        <v>3</v>
      </c>
      <c r="U3243" s="26">
        <v>6</v>
      </c>
      <c r="V3243" s="26">
        <v>1</v>
      </c>
      <c r="W3243" s="26"/>
    </row>
    <row r="3244" spans="1:23" x14ac:dyDescent="0.25">
      <c r="A3244" s="26" t="str">
        <f t="shared" si="632"/>
        <v>PREESCOLAR</v>
      </c>
      <c r="B3244" s="26" t="str">
        <f>"09PJN6000R"</f>
        <v>09PJN6000R</v>
      </c>
      <c r="C3244" s="26" t="str">
        <f>"ABERDEEN KINDER                                                                                     "</f>
        <v xml:space="preserve">ABERDEEN KINDER                                                                                     </v>
      </c>
      <c r="D3244" s="26" t="str">
        <f t="shared" si="628"/>
        <v>MATUTINO</v>
      </c>
      <c r="E3244" s="26" t="str">
        <f>"CEDROS NO. 68                                                                   "</f>
        <v xml:space="preserve">CEDROS NO. 68                                                                   </v>
      </c>
      <c r="F3244" s="26" t="str">
        <f>"ABDIAS GARCIA SOTO                                                                                                                          "</f>
        <v xml:space="preserve">ABDIAS GARCIA SOTO                                                                                                                          </v>
      </c>
      <c r="G3244" s="26" t="str">
        <f>"CUAJIMALPA DE MORELOS                                                           "</f>
        <v xml:space="preserve">CUAJIMALPA DE MORELOS                                                           </v>
      </c>
      <c r="H3244" s="26" t="str">
        <f>"213"</f>
        <v>213</v>
      </c>
      <c r="I3244" s="26" t="str">
        <f t="shared" si="637"/>
        <v>00</v>
      </c>
      <c r="J3244" s="26" t="str">
        <f>"33 "</f>
        <v xml:space="preserve">33 </v>
      </c>
      <c r="K3244" s="26" t="str">
        <f t="shared" si="638"/>
        <v>EP</v>
      </c>
      <c r="L3244" s="26" t="str">
        <f t="shared" si="639"/>
        <v>DGOSE</v>
      </c>
      <c r="M3244" s="26" t="str">
        <f t="shared" si="631"/>
        <v>PARTICULAR</v>
      </c>
      <c r="N3244" s="26">
        <v>17</v>
      </c>
      <c r="O3244" s="26">
        <v>11</v>
      </c>
      <c r="P3244" s="26">
        <v>6</v>
      </c>
      <c r="Q3244" s="26">
        <v>3</v>
      </c>
      <c r="R3244" s="26">
        <v>1</v>
      </c>
      <c r="S3244" s="26">
        <v>2</v>
      </c>
      <c r="T3244" s="26">
        <v>1</v>
      </c>
      <c r="U3244" s="26">
        <v>4</v>
      </c>
      <c r="V3244" s="26">
        <v>1</v>
      </c>
      <c r="W3244" s="26"/>
    </row>
    <row r="3245" spans="1:23" x14ac:dyDescent="0.25">
      <c r="A3245" s="26" t="str">
        <f t="shared" si="632"/>
        <v>PREESCOLAR</v>
      </c>
      <c r="B3245" s="26" t="str">
        <f>"09PJN6001Q"</f>
        <v>09PJN6001Q</v>
      </c>
      <c r="C3245" s="26" t="s">
        <v>150</v>
      </c>
      <c r="D3245" s="26" t="str">
        <f t="shared" si="628"/>
        <v>MATUTINO</v>
      </c>
      <c r="E3245" s="26" t="str">
        <f>"SAN FRANCISCO NO. 31                                                            "</f>
        <v xml:space="preserve">SAN FRANCISCO NO. 31                                                            </v>
      </c>
      <c r="F3245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3245" s="26" t="str">
        <f>"BENITO JUAREZ                                                                   "</f>
        <v xml:space="preserve">BENITO JUAREZ                                                                   </v>
      </c>
      <c r="H3245" s="26" t="str">
        <f>"032"</f>
        <v>032</v>
      </c>
      <c r="I3245" s="26" t="str">
        <f t="shared" si="637"/>
        <v>00</v>
      </c>
      <c r="J3245" s="26" t="str">
        <f>"33 "</f>
        <v xml:space="preserve">33 </v>
      </c>
      <c r="K3245" s="26" t="str">
        <f t="shared" si="638"/>
        <v>EP</v>
      </c>
      <c r="L3245" s="26" t="str">
        <f t="shared" si="639"/>
        <v>DGOSE</v>
      </c>
      <c r="M3245" s="26" t="str">
        <f t="shared" si="631"/>
        <v>PARTICULAR</v>
      </c>
      <c r="N3245" s="26">
        <v>17</v>
      </c>
      <c r="O3245" s="26">
        <v>12</v>
      </c>
      <c r="P3245" s="26">
        <v>5</v>
      </c>
      <c r="Q3245" s="26">
        <v>3</v>
      </c>
      <c r="R3245" s="26">
        <v>1</v>
      </c>
      <c r="S3245" s="26">
        <v>2</v>
      </c>
      <c r="T3245" s="26">
        <v>2</v>
      </c>
      <c r="U3245" s="26">
        <v>5</v>
      </c>
      <c r="V3245" s="26">
        <v>1</v>
      </c>
      <c r="W3245" s="26"/>
    </row>
    <row r="3246" spans="1:23" x14ac:dyDescent="0.25">
      <c r="A3246" s="26" t="str">
        <f t="shared" si="632"/>
        <v>PREESCOLAR</v>
      </c>
      <c r="B3246" s="26" t="str">
        <f>"09PJN6002P"</f>
        <v>09PJN6002P</v>
      </c>
      <c r="C3246" s="26" t="str">
        <f>"COLEGIO CARLO TANCREDI                                                                              "</f>
        <v xml:space="preserve">COLEGIO CARLO TANCREDI                                                                              </v>
      </c>
      <c r="D3246" s="26" t="str">
        <f t="shared" si="628"/>
        <v>MATUTINO</v>
      </c>
      <c r="E3246" s="26" t="str">
        <f>"ORQUIDEA NO. 4                                                                  "</f>
        <v xml:space="preserve">ORQUIDEA NO. 4                                                                  </v>
      </c>
      <c r="F3246" s="26" t="str">
        <f>"SAN PEDRO MARTIR                                                                                                                            "</f>
        <v xml:space="preserve">SAN PEDRO MARTIR                                                                                                                            </v>
      </c>
      <c r="G3246" s="26" t="str">
        <f>"TLALPAN                                                                         "</f>
        <v xml:space="preserve">TLALPAN                                                                         </v>
      </c>
      <c r="H3246" s="26" t="str">
        <f>"132"</f>
        <v>132</v>
      </c>
      <c r="I3246" s="26" t="str">
        <f t="shared" si="637"/>
        <v>00</v>
      </c>
      <c r="J3246" s="26" t="str">
        <f>"35 "</f>
        <v xml:space="preserve">35 </v>
      </c>
      <c r="K3246" s="26" t="str">
        <f t="shared" si="638"/>
        <v>EP</v>
      </c>
      <c r="L3246" s="26" t="str">
        <f t="shared" si="639"/>
        <v>DGOSE</v>
      </c>
      <c r="M3246" s="26" t="str">
        <f t="shared" si="631"/>
        <v>PARTICULAR</v>
      </c>
      <c r="N3246" s="26">
        <v>23</v>
      </c>
      <c r="O3246" s="26">
        <v>13</v>
      </c>
      <c r="P3246" s="26">
        <v>10</v>
      </c>
      <c r="Q3246" s="26">
        <v>3</v>
      </c>
      <c r="R3246" s="26">
        <v>1</v>
      </c>
      <c r="S3246" s="26">
        <v>2</v>
      </c>
      <c r="T3246" s="26">
        <v>4</v>
      </c>
      <c r="U3246" s="26">
        <v>7</v>
      </c>
      <c r="V3246" s="26">
        <v>1</v>
      </c>
      <c r="W3246" s="26"/>
    </row>
    <row r="3247" spans="1:23" x14ac:dyDescent="0.25">
      <c r="A3247" s="26" t="str">
        <f t="shared" si="632"/>
        <v>PREESCOLAR</v>
      </c>
      <c r="B3247" s="26" t="str">
        <f>"09PJN6003O"</f>
        <v>09PJN6003O</v>
      </c>
      <c r="C3247" s="26" t="str">
        <f>"BABYSITTER HOUSE &amp; GYM                                                                              "</f>
        <v xml:space="preserve">BABYSITTER HOUSE &amp; GYM                                                                              </v>
      </c>
      <c r="D3247" s="26" t="str">
        <f t="shared" si="628"/>
        <v>MATUTINO</v>
      </c>
      <c r="E3247" s="26" t="str">
        <f>"AV. PROL. DIVISION  DEL  NORTE NO. 4460                                         "</f>
        <v xml:space="preserve">AV. PROL. DIVISION  DEL  NORTE NO. 4460                                         </v>
      </c>
      <c r="F3247" s="26" t="str">
        <f>"PRADO COAPA                                                                                                                                 "</f>
        <v xml:space="preserve">PRADO COAPA                                                                                                                                 </v>
      </c>
      <c r="G3247" s="26" t="str">
        <f>"TLALPAN                                                                         "</f>
        <v xml:space="preserve">TLALPAN                                                                         </v>
      </c>
      <c r="H3247" s="26" t="str">
        <f>"276"</f>
        <v>276</v>
      </c>
      <c r="I3247" s="26" t="str">
        <f t="shared" si="637"/>
        <v>00</v>
      </c>
      <c r="J3247" s="26" t="str">
        <f>"35 "</f>
        <v xml:space="preserve">35 </v>
      </c>
      <c r="K3247" s="26" t="str">
        <f t="shared" si="638"/>
        <v>EP</v>
      </c>
      <c r="L3247" s="26" t="str">
        <f t="shared" si="639"/>
        <v>DGOSE</v>
      </c>
      <c r="M3247" s="26" t="str">
        <f t="shared" si="631"/>
        <v>PARTICULAR</v>
      </c>
      <c r="N3247" s="26">
        <v>15</v>
      </c>
      <c r="O3247" s="26">
        <v>8</v>
      </c>
      <c r="P3247" s="26">
        <v>7</v>
      </c>
      <c r="Q3247" s="26">
        <v>3</v>
      </c>
      <c r="R3247" s="26">
        <v>1</v>
      </c>
      <c r="S3247" s="26">
        <v>2</v>
      </c>
      <c r="T3247" s="26">
        <v>1</v>
      </c>
      <c r="U3247" s="26">
        <v>4</v>
      </c>
      <c r="V3247" s="26">
        <v>1</v>
      </c>
      <c r="W3247" s="26"/>
    </row>
    <row r="3248" spans="1:23" x14ac:dyDescent="0.25">
      <c r="A3248" s="26" t="str">
        <f t="shared" si="632"/>
        <v>PREESCOLAR</v>
      </c>
      <c r="B3248" s="26" t="str">
        <f>"09PJN6004N"</f>
        <v>09PJN6004N</v>
      </c>
      <c r="C3248" s="26" t="s">
        <v>151</v>
      </c>
      <c r="D3248" s="26" t="str">
        <f t="shared" si="628"/>
        <v>MATUTINO</v>
      </c>
      <c r="E3248" s="26" t="str">
        <f>"EXPLANADA NO. 305                                                               "</f>
        <v xml:space="preserve">EXPLANADA NO. 305                                                               </v>
      </c>
      <c r="F3248" s="26" t="str">
        <f>"LOMAS DE CHAPULTEPEC I                                                                                                                      "</f>
        <v xml:space="preserve">LOMAS DE CHAPULTEPEC I                                                                                                                      </v>
      </c>
      <c r="G3248" s="26" t="str">
        <f>"MIGUEL HIDALGO                                                                  "</f>
        <v xml:space="preserve">MIGUEL HIDALGO                                                                  </v>
      </c>
      <c r="H3248" s="26" t="str">
        <f>"207"</f>
        <v>207</v>
      </c>
      <c r="I3248" s="26" t="str">
        <f t="shared" si="637"/>
        <v>00</v>
      </c>
      <c r="J3248" s="26" t="str">
        <f>"32 "</f>
        <v xml:space="preserve">32 </v>
      </c>
      <c r="K3248" s="26" t="str">
        <f t="shared" si="638"/>
        <v>EP</v>
      </c>
      <c r="L3248" s="26" t="str">
        <f t="shared" si="639"/>
        <v>DGOSE</v>
      </c>
      <c r="M3248" s="26" t="str">
        <f t="shared" si="631"/>
        <v>PARTICULAR</v>
      </c>
      <c r="N3248" s="26">
        <v>62</v>
      </c>
      <c r="O3248" s="26">
        <v>31</v>
      </c>
      <c r="P3248" s="26">
        <v>31</v>
      </c>
      <c r="Q3248" s="26">
        <v>3</v>
      </c>
      <c r="R3248" s="26">
        <v>1</v>
      </c>
      <c r="S3248" s="26">
        <v>3</v>
      </c>
      <c r="T3248" s="26">
        <v>6</v>
      </c>
      <c r="U3248" s="26">
        <v>10</v>
      </c>
      <c r="V3248" s="26">
        <v>1</v>
      </c>
      <c r="W3248" s="26"/>
    </row>
    <row r="3249" spans="1:23" x14ac:dyDescent="0.25">
      <c r="A3249" s="26" t="str">
        <f t="shared" si="632"/>
        <v>PREESCOLAR</v>
      </c>
      <c r="B3249" s="26" t="str">
        <f>"09PJN6005M"</f>
        <v>09PJN6005M</v>
      </c>
      <c r="C3249" s="26" t="str">
        <f>"COLEGIO MONTE ROSAS                                                                                 "</f>
        <v xml:space="preserve">COLEGIO MONTE ROSAS                                                                                 </v>
      </c>
      <c r="D3249" s="26" t="str">
        <f t="shared" ref="D3249:D3285" si="640">"MATUTINO"</f>
        <v>MATUTINO</v>
      </c>
      <c r="E3249" s="26" t="str">
        <f>"PRIMAVERA NO.22                                                                 "</f>
        <v xml:space="preserve">PRIMAVERA NO.22                                                                 </v>
      </c>
      <c r="F3249" s="26" t="str">
        <f>"PARADA SANTA ROSA                                                                                                                           "</f>
        <v xml:space="preserve">PARADA SANTA ROSA                                                                                                                           </v>
      </c>
      <c r="G3249" s="26" t="str">
        <f>"CUAJIMALPA DE MORELOS                                                           "</f>
        <v xml:space="preserve">CUAJIMALPA DE MORELOS                                                           </v>
      </c>
      <c r="H3249" s="26" t="str">
        <f>"279"</f>
        <v>279</v>
      </c>
      <c r="I3249" s="26" t="str">
        <f t="shared" si="637"/>
        <v>00</v>
      </c>
      <c r="J3249" s="26" t="str">
        <f>"33 "</f>
        <v xml:space="preserve">33 </v>
      </c>
      <c r="K3249" s="26" t="str">
        <f t="shared" si="638"/>
        <v>EP</v>
      </c>
      <c r="L3249" s="26" t="str">
        <f t="shared" si="639"/>
        <v>DGOSE</v>
      </c>
      <c r="M3249" s="26" t="str">
        <f t="shared" si="631"/>
        <v>PARTICULAR</v>
      </c>
      <c r="N3249" s="26">
        <v>38</v>
      </c>
      <c r="O3249" s="26">
        <v>20</v>
      </c>
      <c r="P3249" s="26">
        <v>18</v>
      </c>
      <c r="Q3249" s="26">
        <v>3</v>
      </c>
      <c r="R3249" s="26">
        <v>1</v>
      </c>
      <c r="S3249" s="26">
        <v>2</v>
      </c>
      <c r="T3249" s="26">
        <v>5</v>
      </c>
      <c r="U3249" s="26">
        <v>8</v>
      </c>
      <c r="V3249" s="26">
        <v>1</v>
      </c>
      <c r="W3249" s="26"/>
    </row>
    <row r="3250" spans="1:23" x14ac:dyDescent="0.25">
      <c r="A3250" s="26" t="str">
        <f t="shared" si="632"/>
        <v>PREESCOLAR</v>
      </c>
      <c r="B3250" s="26" t="str">
        <f>"09PJN6006B"</f>
        <v>09PJN6006B</v>
      </c>
      <c r="C3250" s="26" t="str">
        <f>"BABY HILLS                                                                                          "</f>
        <v xml:space="preserve">BABY HILLS                                                                                          </v>
      </c>
      <c r="D3250" s="26" t="str">
        <f t="shared" si="640"/>
        <v>MATUTINO</v>
      </c>
      <c r="E3250" s="26" t="str">
        <f>"NAVARRA NO. 231                                                                 "</f>
        <v xml:space="preserve">NAVARRA NO. 231                                                                 </v>
      </c>
      <c r="F3250" s="26" t="str">
        <f>"ALAMOS                                                                                                                                      "</f>
        <v xml:space="preserve">ALAMOS                                                                                                                                      </v>
      </c>
      <c r="G3250" s="26" t="str">
        <f>"BENITO JUAREZ                                                                   "</f>
        <v xml:space="preserve">BENITO JUAREZ                                                                   </v>
      </c>
      <c r="H3250" s="26" t="str">
        <f>"090"</f>
        <v>090</v>
      </c>
      <c r="I3250" s="26" t="str">
        <f t="shared" si="637"/>
        <v>00</v>
      </c>
      <c r="J3250" s="26" t="str">
        <f>"33 "</f>
        <v xml:space="preserve">33 </v>
      </c>
      <c r="K3250" s="26" t="str">
        <f t="shared" si="638"/>
        <v>EP</v>
      </c>
      <c r="L3250" s="26" t="str">
        <f t="shared" si="639"/>
        <v>DGOSE</v>
      </c>
      <c r="M3250" s="26" t="str">
        <f t="shared" si="631"/>
        <v>PARTICULAR</v>
      </c>
      <c r="N3250" s="26">
        <v>10</v>
      </c>
      <c r="O3250" s="26">
        <v>4</v>
      </c>
      <c r="P3250" s="26">
        <v>6</v>
      </c>
      <c r="Q3250" s="26">
        <v>2</v>
      </c>
      <c r="R3250" s="26">
        <v>1</v>
      </c>
      <c r="S3250" s="26">
        <v>1</v>
      </c>
      <c r="T3250" s="26">
        <v>2</v>
      </c>
      <c r="U3250" s="26">
        <v>4</v>
      </c>
      <c r="V3250" s="26">
        <v>1</v>
      </c>
      <c r="W3250" s="26"/>
    </row>
    <row r="3251" spans="1:23" x14ac:dyDescent="0.25">
      <c r="A3251" s="26" t="str">
        <f t="shared" si="632"/>
        <v>PREESCOLAR</v>
      </c>
      <c r="B3251" s="26" t="str">
        <f>"09PJN6007K"</f>
        <v>09PJN6007K</v>
      </c>
      <c r="C3251" s="26" t="str">
        <f>"COLEGIO SAN PATRICIO                                                                                "</f>
        <v xml:space="preserve">COLEGIO SAN PATRICIO                                                                                </v>
      </c>
      <c r="D3251" s="26" t="str">
        <f t="shared" si="640"/>
        <v>MATUTINO</v>
      </c>
      <c r="E3251" s="26" t="s">
        <v>152</v>
      </c>
      <c r="F3251" s="26" t="str">
        <f>"LOMA DE LA PALMA                                                                                                                            "</f>
        <v xml:space="preserve">LOMA DE LA PALMA                                                                                                                            </v>
      </c>
      <c r="G3251" s="26" t="str">
        <f>"GUSTAVO A. MADERO                                                               "</f>
        <v xml:space="preserve">GUSTAVO A. MADERO                                                               </v>
      </c>
      <c r="H3251" s="26" t="str">
        <f>"227"</f>
        <v>227</v>
      </c>
      <c r="I3251" s="26" t="str">
        <f t="shared" si="637"/>
        <v>00</v>
      </c>
      <c r="J3251" s="26" t="str">
        <f>"32 "</f>
        <v xml:space="preserve">32 </v>
      </c>
      <c r="K3251" s="26" t="str">
        <f t="shared" si="638"/>
        <v>EP</v>
      </c>
      <c r="L3251" s="26" t="str">
        <f t="shared" si="639"/>
        <v>DGOSE</v>
      </c>
      <c r="M3251" s="26" t="str">
        <f t="shared" si="631"/>
        <v>PARTICULAR</v>
      </c>
      <c r="N3251" s="26">
        <v>35</v>
      </c>
      <c r="O3251" s="26">
        <v>13</v>
      </c>
      <c r="P3251" s="26">
        <v>22</v>
      </c>
      <c r="Q3251" s="26">
        <v>3</v>
      </c>
      <c r="R3251" s="26">
        <v>1</v>
      </c>
      <c r="S3251" s="26">
        <v>3</v>
      </c>
      <c r="T3251" s="26">
        <v>2</v>
      </c>
      <c r="U3251" s="26">
        <v>6</v>
      </c>
      <c r="V3251" s="26">
        <v>1</v>
      </c>
      <c r="W3251" s="26"/>
    </row>
    <row r="3252" spans="1:23" x14ac:dyDescent="0.25">
      <c r="A3252" s="26" t="str">
        <f t="shared" si="632"/>
        <v>PREESCOLAR</v>
      </c>
      <c r="B3252" s="26" t="str">
        <f>"09PJN6008J"</f>
        <v>09PJN6008J</v>
      </c>
      <c r="C3252" s="26" t="str">
        <f>"LIBELULAND                                                                                          "</f>
        <v xml:space="preserve">LIBELULAND                                                                                          </v>
      </c>
      <c r="D3252" s="26" t="str">
        <f t="shared" si="640"/>
        <v>MATUTINO</v>
      </c>
      <c r="E3252" s="26" t="str">
        <f>"LA GARITA NO. 207 BIS                                                           "</f>
        <v xml:space="preserve">LA GARITA NO. 207 BIS                                                           </v>
      </c>
      <c r="F3252" s="26" t="str">
        <f>"RESIDENCIAL VILLA COAPA                                                                                                                     "</f>
        <v xml:space="preserve">RESIDENCIAL VILLA COAPA                                                                                                                     </v>
      </c>
      <c r="G3252" s="26" t="str">
        <f>"TLALPAN                                                                         "</f>
        <v xml:space="preserve">TLALPAN                                                                         </v>
      </c>
      <c r="H3252" s="26" t="str">
        <f>"276"</f>
        <v>276</v>
      </c>
      <c r="I3252" s="26" t="str">
        <f t="shared" si="637"/>
        <v>00</v>
      </c>
      <c r="J3252" s="26" t="str">
        <f>"35 "</f>
        <v xml:space="preserve">35 </v>
      </c>
      <c r="K3252" s="26" t="str">
        <f t="shared" si="638"/>
        <v>EP</v>
      </c>
      <c r="L3252" s="26" t="str">
        <f t="shared" si="639"/>
        <v>DGOSE</v>
      </c>
      <c r="M3252" s="26" t="str">
        <f t="shared" si="631"/>
        <v>PARTICULAR</v>
      </c>
      <c r="N3252" s="26">
        <v>6</v>
      </c>
      <c r="O3252" s="26">
        <v>4</v>
      </c>
      <c r="P3252" s="26">
        <v>2</v>
      </c>
      <c r="Q3252" s="26">
        <v>2</v>
      </c>
      <c r="R3252" s="26">
        <v>1</v>
      </c>
      <c r="S3252" s="26">
        <v>1</v>
      </c>
      <c r="T3252" s="26">
        <v>1</v>
      </c>
      <c r="U3252" s="26">
        <v>3</v>
      </c>
      <c r="V3252" s="26">
        <v>1</v>
      </c>
      <c r="W3252" s="26"/>
    </row>
    <row r="3253" spans="1:23" x14ac:dyDescent="0.25">
      <c r="A3253" s="26" t="str">
        <f t="shared" si="632"/>
        <v>PREESCOLAR</v>
      </c>
      <c r="B3253" s="26" t="str">
        <f>"09PJN6009I"</f>
        <v>09PJN6009I</v>
      </c>
      <c r="C3253" s="26" t="str">
        <f>"KINDER KALLIKIDS S.C.                                                                               "</f>
        <v xml:space="preserve">KINDER KALLIKIDS S.C.                                                                               </v>
      </c>
      <c r="D3253" s="26" t="str">
        <f t="shared" si="640"/>
        <v>MATUTINO</v>
      </c>
      <c r="E3253" s="26" t="str">
        <f>"LAS AGUILAS NO. 48                                                              "</f>
        <v xml:space="preserve">LAS AGUILAS NO. 48                                                              </v>
      </c>
      <c r="F3253" s="26" t="str">
        <f>"ALPES                                                                                                                                       "</f>
        <v xml:space="preserve">ALPES                                                                                                                                       </v>
      </c>
      <c r="G3253" s="26" t="str">
        <f>"ALVARO OBREGON                                                                  "</f>
        <v xml:space="preserve">ALVARO OBREGON                                                                  </v>
      </c>
      <c r="H3253" s="26" t="str">
        <f>"046"</f>
        <v>046</v>
      </c>
      <c r="I3253" s="26" t="str">
        <f t="shared" si="637"/>
        <v>00</v>
      </c>
      <c r="J3253" s="26" t="str">
        <f>"33 "</f>
        <v xml:space="preserve">33 </v>
      </c>
      <c r="K3253" s="26" t="str">
        <f t="shared" si="638"/>
        <v>EP</v>
      </c>
      <c r="L3253" s="26" t="str">
        <f t="shared" si="639"/>
        <v>DGOSE</v>
      </c>
      <c r="M3253" s="26" t="str">
        <f t="shared" si="631"/>
        <v>PARTICULAR</v>
      </c>
      <c r="N3253" s="26">
        <v>14</v>
      </c>
      <c r="O3253" s="26">
        <v>8</v>
      </c>
      <c r="P3253" s="26">
        <v>6</v>
      </c>
      <c r="Q3253" s="26">
        <v>2</v>
      </c>
      <c r="R3253" s="26">
        <v>1</v>
      </c>
      <c r="S3253" s="26">
        <v>1</v>
      </c>
      <c r="T3253" s="26">
        <v>3</v>
      </c>
      <c r="U3253" s="26">
        <v>5</v>
      </c>
      <c r="V3253" s="26">
        <v>1</v>
      </c>
      <c r="W3253" s="26"/>
    </row>
    <row r="3254" spans="1:23" x14ac:dyDescent="0.25">
      <c r="A3254" s="26" t="str">
        <f t="shared" si="632"/>
        <v>PREESCOLAR</v>
      </c>
      <c r="B3254" s="26" t="str">
        <f>"09PJN6010Y"</f>
        <v>09PJN6010Y</v>
      </c>
      <c r="C3254" s="26" t="str">
        <f>"LA CASA DE LAS CAMPANAS                                                                             "</f>
        <v xml:space="preserve">LA CASA DE LAS CAMPANAS                                                                             </v>
      </c>
      <c r="D3254" s="26" t="str">
        <f t="shared" si="640"/>
        <v>MATUTINO</v>
      </c>
      <c r="E3254" s="26" t="str">
        <f>"ORIENTE 168 NO. 387                                                             "</f>
        <v xml:space="preserve">ORIENTE 168 NO. 387                                                             </v>
      </c>
      <c r="F3254" s="26" t="str">
        <f>"MOCTEZUMA 1A SECCION                                                                                                                        "</f>
        <v xml:space="preserve">MOCTEZUMA 1A SECCION                                                                                                                        </v>
      </c>
      <c r="G3254" s="26" t="str">
        <f>"VENUSTIANO CARRANZA                                                             "</f>
        <v xml:space="preserve">VENUSTIANO CARRANZA                                                             </v>
      </c>
      <c r="H3254" s="26" t="str">
        <f>"248"</f>
        <v>248</v>
      </c>
      <c r="I3254" s="26" t="str">
        <f t="shared" si="637"/>
        <v>00</v>
      </c>
      <c r="J3254" s="26" t="str">
        <f>"33 "</f>
        <v xml:space="preserve">33 </v>
      </c>
      <c r="K3254" s="26" t="str">
        <f t="shared" si="638"/>
        <v>EP</v>
      </c>
      <c r="L3254" s="26" t="str">
        <f t="shared" si="639"/>
        <v>DGOSE</v>
      </c>
      <c r="M3254" s="26" t="str">
        <f t="shared" si="631"/>
        <v>PARTICULAR</v>
      </c>
      <c r="N3254" s="26">
        <v>40</v>
      </c>
      <c r="O3254" s="26">
        <v>20</v>
      </c>
      <c r="P3254" s="26">
        <v>20</v>
      </c>
      <c r="Q3254" s="26">
        <v>3</v>
      </c>
      <c r="R3254" s="26">
        <v>0</v>
      </c>
      <c r="S3254" s="26">
        <v>3</v>
      </c>
      <c r="T3254" s="26">
        <v>0</v>
      </c>
      <c r="U3254" s="26">
        <v>3</v>
      </c>
      <c r="V3254" s="26">
        <v>1</v>
      </c>
      <c r="W3254" s="26"/>
    </row>
    <row r="3255" spans="1:23" x14ac:dyDescent="0.25">
      <c r="A3255" s="26" t="str">
        <f t="shared" si="632"/>
        <v>PREESCOLAR</v>
      </c>
      <c r="B3255" s="26" t="str">
        <f>"09PJN6011X"</f>
        <v>09PJN6011X</v>
      </c>
      <c r="C3255" s="26" t="str">
        <f>"KIDDIES TIME                                                                                        "</f>
        <v xml:space="preserve">KIDDIES TIME                                                                                        </v>
      </c>
      <c r="D3255" s="26" t="str">
        <f t="shared" si="640"/>
        <v>MATUTINO</v>
      </c>
      <c r="E3255" s="26" t="str">
        <f>"2DA. CDA. DE LOPEZ MATEOS NO. 8                                                 "</f>
        <v xml:space="preserve">2DA. CDA. DE LOPEZ MATEOS NO. 8                                                 </v>
      </c>
      <c r="F3255" s="26" t="str">
        <f>"CUAJIMALPA                                                                                                                                  "</f>
        <v xml:space="preserve">CUAJIMALPA                                                                                                                                  </v>
      </c>
      <c r="G3255" s="26" t="str">
        <f>"CUAJIMALPA DE MORELOS                                                           "</f>
        <v xml:space="preserve">CUAJIMALPA DE MORELOS                                                           </v>
      </c>
      <c r="H3255" s="26" t="str">
        <f>"213"</f>
        <v>213</v>
      </c>
      <c r="I3255" s="26" t="str">
        <f t="shared" si="637"/>
        <v>00</v>
      </c>
      <c r="J3255" s="26" t="str">
        <f>"33 "</f>
        <v xml:space="preserve">33 </v>
      </c>
      <c r="K3255" s="26" t="str">
        <f t="shared" si="638"/>
        <v>EP</v>
      </c>
      <c r="L3255" s="26" t="str">
        <f t="shared" si="639"/>
        <v>DGOSE</v>
      </c>
      <c r="M3255" s="26" t="str">
        <f t="shared" si="631"/>
        <v>PARTICULAR</v>
      </c>
      <c r="N3255" s="26">
        <v>6</v>
      </c>
      <c r="O3255" s="26">
        <v>3</v>
      </c>
      <c r="P3255" s="26">
        <v>3</v>
      </c>
      <c r="Q3255" s="26">
        <v>2</v>
      </c>
      <c r="R3255" s="26">
        <v>1</v>
      </c>
      <c r="S3255" s="26">
        <v>1</v>
      </c>
      <c r="T3255" s="26">
        <v>0</v>
      </c>
      <c r="U3255" s="26">
        <v>2</v>
      </c>
      <c r="V3255" s="26">
        <v>1</v>
      </c>
      <c r="W3255" s="26"/>
    </row>
    <row r="3256" spans="1:23" x14ac:dyDescent="0.25">
      <c r="A3256" s="26" t="str">
        <f t="shared" si="632"/>
        <v>PREESCOLAR</v>
      </c>
      <c r="B3256" s="26" t="str">
        <f>"09PJN6012W"</f>
        <v>09PJN6012W</v>
      </c>
      <c r="C3256" s="26" t="str">
        <f>"LOS NIÑOS Y EL SOL                                                                                  "</f>
        <v xml:space="preserve">LOS NIÑOS Y EL SOL                                                                                  </v>
      </c>
      <c r="D3256" s="26" t="str">
        <f t="shared" si="640"/>
        <v>MATUTINO</v>
      </c>
      <c r="E3256" s="26" t="str">
        <f>"TIZAYUCA NO. 34                                                                 "</f>
        <v xml:space="preserve">TIZAYUCA NO. 34                                                                 </v>
      </c>
      <c r="F3256" s="26" t="str">
        <f>"MICHOACANA AMPLIACION                                                                                                                       "</f>
        <v xml:space="preserve">MICHOACANA AMPLIACION                                                                                                                       </v>
      </c>
      <c r="G3256" s="26" t="str">
        <f>"VENUSTIANO CARRANZA                                                             "</f>
        <v xml:space="preserve">VENUSTIANO CARRANZA                                                             </v>
      </c>
      <c r="H3256" s="26" t="str">
        <f>"025"</f>
        <v>025</v>
      </c>
      <c r="I3256" s="26" t="str">
        <f t="shared" si="637"/>
        <v>00</v>
      </c>
      <c r="J3256" s="26" t="str">
        <f>"33 "</f>
        <v xml:space="preserve">33 </v>
      </c>
      <c r="K3256" s="26" t="str">
        <f t="shared" si="638"/>
        <v>EP</v>
      </c>
      <c r="L3256" s="26" t="str">
        <f t="shared" si="639"/>
        <v>DGOSE</v>
      </c>
      <c r="M3256" s="26" t="str">
        <f t="shared" si="631"/>
        <v>PARTICULAR</v>
      </c>
      <c r="N3256" s="26">
        <v>3</v>
      </c>
      <c r="O3256" s="26">
        <v>2</v>
      </c>
      <c r="P3256" s="26">
        <v>1</v>
      </c>
      <c r="Q3256" s="26">
        <v>2</v>
      </c>
      <c r="R3256" s="26">
        <v>1</v>
      </c>
      <c r="S3256" s="26">
        <v>1</v>
      </c>
      <c r="T3256" s="26">
        <v>0</v>
      </c>
      <c r="U3256" s="26">
        <v>2</v>
      </c>
      <c r="V3256" s="26">
        <v>1</v>
      </c>
      <c r="W3256" s="26"/>
    </row>
    <row r="3257" spans="1:23" x14ac:dyDescent="0.25">
      <c r="A3257" s="26" t="str">
        <f t="shared" si="632"/>
        <v>PREESCOLAR</v>
      </c>
      <c r="B3257" s="26" t="str">
        <f>"09PJN6013V"</f>
        <v>09PJN6013V</v>
      </c>
      <c r="C3257" s="26" t="s">
        <v>153</v>
      </c>
      <c r="D3257" s="26" t="str">
        <f t="shared" si="640"/>
        <v>MATUTINO</v>
      </c>
      <c r="E3257" s="26" t="str">
        <f>"LOS ECHAVE NO 12                                                                "</f>
        <v xml:space="preserve">LOS ECHAVE NO 12                                                                </v>
      </c>
      <c r="F3257" s="26" t="str">
        <f>"MIXCOAC                                                                                                                                     "</f>
        <v xml:space="preserve">MIXCOAC                                                                                                                                     </v>
      </c>
      <c r="G3257" s="26" t="str">
        <f>"BENITO JUAREZ                                                                   "</f>
        <v xml:space="preserve">BENITO JUAREZ                                                                   </v>
      </c>
      <c r="H3257" s="26" t="str">
        <f>"032"</f>
        <v>032</v>
      </c>
      <c r="I3257" s="26" t="str">
        <f t="shared" si="637"/>
        <v>00</v>
      </c>
      <c r="J3257" s="26" t="str">
        <f>"33 "</f>
        <v xml:space="preserve">33 </v>
      </c>
      <c r="K3257" s="26" t="str">
        <f t="shared" si="638"/>
        <v>EP</v>
      </c>
      <c r="L3257" s="26" t="str">
        <f t="shared" si="639"/>
        <v>DGOSE</v>
      </c>
      <c r="M3257" s="26" t="str">
        <f t="shared" si="631"/>
        <v>PARTICULAR</v>
      </c>
      <c r="N3257" s="26">
        <v>15</v>
      </c>
      <c r="O3257" s="26">
        <v>8</v>
      </c>
      <c r="P3257" s="26">
        <v>7</v>
      </c>
      <c r="Q3257" s="26">
        <v>3</v>
      </c>
      <c r="R3257" s="26">
        <v>1</v>
      </c>
      <c r="S3257" s="26">
        <v>3</v>
      </c>
      <c r="T3257" s="26">
        <v>6</v>
      </c>
      <c r="U3257" s="26">
        <v>10</v>
      </c>
      <c r="V3257" s="26">
        <v>1</v>
      </c>
      <c r="W3257" s="26"/>
    </row>
    <row r="3258" spans="1:23" x14ac:dyDescent="0.25">
      <c r="A3258" s="26" t="str">
        <f t="shared" si="632"/>
        <v>PREESCOLAR</v>
      </c>
      <c r="B3258" s="26" t="str">
        <f>"09PJN6014U"</f>
        <v>09PJN6014U</v>
      </c>
      <c r="C3258" s="26" t="s">
        <v>154</v>
      </c>
      <c r="D3258" s="26" t="str">
        <f t="shared" si="640"/>
        <v>MATUTINO</v>
      </c>
      <c r="E3258" s="26" t="s">
        <v>155</v>
      </c>
      <c r="F3258" s="26" t="str">
        <f>"AJUSCO                                                                                                                                      "</f>
        <v xml:space="preserve">AJUSCO                                                                                                                                      </v>
      </c>
      <c r="G3258" s="26" t="str">
        <f>"COYOACAN                                                                        "</f>
        <v xml:space="preserve">COYOACAN                                                                        </v>
      </c>
      <c r="H3258" s="26" t="str">
        <f>"211"</f>
        <v>211</v>
      </c>
      <c r="I3258" s="26" t="str">
        <f t="shared" si="637"/>
        <v>00</v>
      </c>
      <c r="J3258" s="26" t="str">
        <f>"35 "</f>
        <v xml:space="preserve">35 </v>
      </c>
      <c r="K3258" s="26" t="str">
        <f t="shared" si="638"/>
        <v>EP</v>
      </c>
      <c r="L3258" s="26" t="str">
        <f t="shared" si="639"/>
        <v>DGOSE</v>
      </c>
      <c r="M3258" s="26" t="str">
        <f t="shared" si="631"/>
        <v>PARTICULAR</v>
      </c>
      <c r="N3258" s="26">
        <v>36</v>
      </c>
      <c r="O3258" s="26">
        <v>15</v>
      </c>
      <c r="P3258" s="26">
        <v>21</v>
      </c>
      <c r="Q3258" s="26">
        <v>3</v>
      </c>
      <c r="R3258" s="26">
        <v>1</v>
      </c>
      <c r="S3258" s="26">
        <v>3</v>
      </c>
      <c r="T3258" s="26">
        <v>7</v>
      </c>
      <c r="U3258" s="26">
        <v>11</v>
      </c>
      <c r="V3258" s="26">
        <v>1</v>
      </c>
      <c r="W3258" s="26"/>
    </row>
    <row r="3259" spans="1:23" x14ac:dyDescent="0.25">
      <c r="A3259" s="26" t="str">
        <f t="shared" si="632"/>
        <v>PREESCOLAR</v>
      </c>
      <c r="B3259" s="26" t="str">
        <f>"09PJN6015T"</f>
        <v>09PJN6015T</v>
      </c>
      <c r="C3259" s="26" t="str">
        <f>"CAROLUS                                                                                             "</f>
        <v xml:space="preserve">CAROLUS                                                                                             </v>
      </c>
      <c r="D3259" s="26" t="str">
        <f t="shared" si="640"/>
        <v>MATUTINO</v>
      </c>
      <c r="E3259" s="26" t="str">
        <f>"RUFINO BLANCO FOMBONA NO. 2704                                                  "</f>
        <v xml:space="preserve">RUFINO BLANCO FOMBONA NO. 2704                                                  </v>
      </c>
      <c r="F3259" s="26" t="str">
        <f>"VILLA DE CORTES                                                                                                                             "</f>
        <v xml:space="preserve">VILLA DE CORTES                                                                                                                             </v>
      </c>
      <c r="G3259" s="26" t="str">
        <f>"BENITO JUAREZ                                                                   "</f>
        <v xml:space="preserve">BENITO JUAREZ                                                                   </v>
      </c>
      <c r="H3259" s="26" t="str">
        <f>"230"</f>
        <v>230</v>
      </c>
      <c r="I3259" s="26" t="str">
        <f t="shared" si="637"/>
        <v>00</v>
      </c>
      <c r="J3259" s="26" t="str">
        <f>"33 "</f>
        <v xml:space="preserve">33 </v>
      </c>
      <c r="K3259" s="26" t="str">
        <f t="shared" si="638"/>
        <v>EP</v>
      </c>
      <c r="L3259" s="26" t="str">
        <f t="shared" si="639"/>
        <v>DGOSE</v>
      </c>
      <c r="M3259" s="26" t="str">
        <f t="shared" si="631"/>
        <v>PARTICULAR</v>
      </c>
      <c r="N3259" s="26">
        <v>39</v>
      </c>
      <c r="O3259" s="26">
        <v>19</v>
      </c>
      <c r="P3259" s="26">
        <v>20</v>
      </c>
      <c r="Q3259" s="26">
        <v>4</v>
      </c>
      <c r="R3259" s="26">
        <v>1</v>
      </c>
      <c r="S3259" s="26">
        <v>4</v>
      </c>
      <c r="T3259" s="26">
        <v>5</v>
      </c>
      <c r="U3259" s="26">
        <v>10</v>
      </c>
      <c r="V3259" s="26">
        <v>1</v>
      </c>
      <c r="W3259" s="26"/>
    </row>
    <row r="3260" spans="1:23" x14ac:dyDescent="0.25">
      <c r="A3260" s="26" t="str">
        <f t="shared" si="632"/>
        <v>PREESCOLAR</v>
      </c>
      <c r="B3260" s="26" t="str">
        <f>"09PJN6016S"</f>
        <v>09PJN6016S</v>
      </c>
      <c r="C3260" s="26" t="str">
        <f>"IMPULSO PEDAGÓGICO MEXICANO                                                                         "</f>
        <v xml:space="preserve">IMPULSO PEDAGÓGICO MEXICANO                                                                         </v>
      </c>
      <c r="D3260" s="26" t="str">
        <f t="shared" si="640"/>
        <v>MATUTINO</v>
      </c>
      <c r="E3260" s="26" t="str">
        <f>"PARQUE ESPAÑA NO. 17                                                            "</f>
        <v xml:space="preserve">PARQUE ESPAÑA NO. 17                                                            </v>
      </c>
      <c r="F3260" s="26" t="str">
        <f>"ROMA NORTE                                                                                                                                  "</f>
        <v xml:space="preserve">ROMA NORTE                                                                                                                                  </v>
      </c>
      <c r="G3260" s="26" t="s">
        <v>4128</v>
      </c>
      <c r="H3260" s="26" t="str">
        <f>"202"</f>
        <v>202</v>
      </c>
      <c r="I3260" s="26" t="str">
        <f t="shared" si="637"/>
        <v>00</v>
      </c>
      <c r="J3260" s="26" t="str">
        <f>"32 "</f>
        <v xml:space="preserve">32 </v>
      </c>
      <c r="K3260" s="26" t="str">
        <f t="shared" si="638"/>
        <v>EP</v>
      </c>
      <c r="L3260" s="26" t="str">
        <f t="shared" si="639"/>
        <v>DGOSE</v>
      </c>
      <c r="M3260" s="26" t="str">
        <f t="shared" si="631"/>
        <v>PARTICULAR</v>
      </c>
      <c r="N3260" s="26">
        <v>17</v>
      </c>
      <c r="O3260" s="26">
        <v>8</v>
      </c>
      <c r="P3260" s="26">
        <v>9</v>
      </c>
      <c r="Q3260" s="26">
        <v>3</v>
      </c>
      <c r="R3260" s="26">
        <v>1</v>
      </c>
      <c r="S3260" s="26">
        <v>1</v>
      </c>
      <c r="T3260" s="26">
        <v>9</v>
      </c>
      <c r="U3260" s="26">
        <v>11</v>
      </c>
      <c r="V3260" s="26">
        <v>1</v>
      </c>
      <c r="W3260" s="26"/>
    </row>
    <row r="3261" spans="1:23" x14ac:dyDescent="0.25">
      <c r="A3261" s="26" t="str">
        <f t="shared" si="632"/>
        <v>PREESCOLAR</v>
      </c>
      <c r="B3261" s="26" t="str">
        <f>"09PJN6017R"</f>
        <v>09PJN6017R</v>
      </c>
      <c r="C3261" s="26" t="str">
        <f>"CENTRO EDUCATIVO INFANTIL ANGEL DE LA GUARDA                                                        "</f>
        <v xml:space="preserve">CENTRO EDUCATIVO INFANTIL ANGEL DE LA GUARDA                                                        </v>
      </c>
      <c r="D3261" s="26" t="str">
        <f t="shared" si="640"/>
        <v>MATUTINO</v>
      </c>
      <c r="E3261" s="26" t="str">
        <f>"FERNANDO MONTES DE OCA NO. 160                                                  "</f>
        <v xml:space="preserve">FERNANDO MONTES DE OCA NO. 160                                                  </v>
      </c>
      <c r="F3261" s="26" t="str">
        <f>"GUADALUPE DEL MORAL                                                                                                                         "</f>
        <v xml:space="preserve">GUADALUPE DEL MORAL                                                                                                                         </v>
      </c>
      <c r="G3261" s="26" t="str">
        <f>"IZTAPALAPA                                                                      "</f>
        <v xml:space="preserve">IZTAPALAPA                                                                      </v>
      </c>
      <c r="H3261" s="26" t="str">
        <f>"   "</f>
        <v xml:space="preserve">   </v>
      </c>
      <c r="I3261" s="26" t="str">
        <f>"  "</f>
        <v xml:space="preserve">  </v>
      </c>
      <c r="J3261" s="26" t="str">
        <f>"61 "</f>
        <v xml:space="preserve">61 </v>
      </c>
      <c r="K3261" s="26" t="str">
        <f>"IZ"</f>
        <v>IZ</v>
      </c>
      <c r="L3261" s="26" t="str">
        <f>"DGSEI"</f>
        <v>DGSEI</v>
      </c>
      <c r="M3261" s="26" t="str">
        <f t="shared" si="631"/>
        <v>PARTICULAR</v>
      </c>
      <c r="N3261" s="26">
        <v>12</v>
      </c>
      <c r="O3261" s="26">
        <v>6</v>
      </c>
      <c r="P3261" s="26">
        <v>6</v>
      </c>
      <c r="Q3261" s="26">
        <v>2</v>
      </c>
      <c r="R3261" s="26">
        <v>1</v>
      </c>
      <c r="S3261" s="26">
        <v>1</v>
      </c>
      <c r="T3261" s="26">
        <v>4</v>
      </c>
      <c r="U3261" s="26">
        <v>6</v>
      </c>
      <c r="V3261" s="26">
        <v>1</v>
      </c>
      <c r="W3261" s="26"/>
    </row>
    <row r="3262" spans="1:23" x14ac:dyDescent="0.25">
      <c r="A3262" s="26" t="str">
        <f t="shared" si="632"/>
        <v>PREESCOLAR</v>
      </c>
      <c r="B3262" s="26" t="str">
        <f>"09PJN6018Q"</f>
        <v>09PJN6018Q</v>
      </c>
      <c r="C3262" s="26" t="str">
        <f>"CENTRO EDUCATIVO WILLIAM WILBERFOCE                                                                 "</f>
        <v xml:space="preserve">CENTRO EDUCATIVO WILLIAM WILBERFOCE                                                                 </v>
      </c>
      <c r="D3262" s="26" t="str">
        <f t="shared" si="640"/>
        <v>MATUTINO</v>
      </c>
      <c r="E3262" s="26" t="str">
        <f>"TULE S/N MZ 7 LT 2                                                              "</f>
        <v xml:space="preserve">TULE S/N MZ 7 LT 2                                                              </v>
      </c>
      <c r="F3262" s="26" t="str">
        <f>"SAN MIGUEL TEOTONGO                                                                                                                         "</f>
        <v xml:space="preserve">SAN MIGUEL TEOTONGO                                                                                                                         </v>
      </c>
      <c r="G3262" s="26" t="str">
        <f>"IZTAPALAPA                                                                      "</f>
        <v xml:space="preserve">IZTAPALAPA                                                                      </v>
      </c>
      <c r="H3262" s="26" t="str">
        <f>"   "</f>
        <v xml:space="preserve">   </v>
      </c>
      <c r="I3262" s="26" t="str">
        <f>"  "</f>
        <v xml:space="preserve">  </v>
      </c>
      <c r="J3262" s="26" t="str">
        <f>"61 "</f>
        <v xml:space="preserve">61 </v>
      </c>
      <c r="K3262" s="26" t="str">
        <f>"IZ"</f>
        <v>IZ</v>
      </c>
      <c r="L3262" s="26" t="str">
        <f>"DGSEI"</f>
        <v>DGSEI</v>
      </c>
      <c r="M3262" s="26" t="str">
        <f t="shared" si="631"/>
        <v>PARTICULAR</v>
      </c>
      <c r="N3262" s="26">
        <v>8</v>
      </c>
      <c r="O3262" s="26">
        <v>7</v>
      </c>
      <c r="P3262" s="26">
        <v>1</v>
      </c>
      <c r="Q3262" s="26">
        <v>1</v>
      </c>
      <c r="R3262" s="26">
        <v>1</v>
      </c>
      <c r="S3262" s="26">
        <v>1</v>
      </c>
      <c r="T3262" s="26">
        <v>1</v>
      </c>
      <c r="U3262" s="26">
        <v>3</v>
      </c>
      <c r="V3262" s="26">
        <v>1</v>
      </c>
      <c r="W3262" s="26"/>
    </row>
    <row r="3263" spans="1:23" x14ac:dyDescent="0.25">
      <c r="A3263" s="26" t="str">
        <f t="shared" si="632"/>
        <v>PREESCOLAR</v>
      </c>
      <c r="B3263" s="26" t="str">
        <f>"09PJN6019P"</f>
        <v>09PJN6019P</v>
      </c>
      <c r="C3263" s="26" t="str">
        <f>"COLEGIO CUNKA                                                                                       "</f>
        <v xml:space="preserve">COLEGIO CUNKA                                                                                       </v>
      </c>
      <c r="D3263" s="26" t="str">
        <f t="shared" si="640"/>
        <v>MATUTINO</v>
      </c>
      <c r="E3263" s="26" t="str">
        <f>"AV. CONSTITUYENTES NO. 11                                                       "</f>
        <v xml:space="preserve">AV. CONSTITUYENTES NO. 11                                                       </v>
      </c>
      <c r="F3263" s="26" t="str">
        <f>"SAN MIGUEL CHAPULTEPEC                                                                                                                      "</f>
        <v xml:space="preserve">SAN MIGUEL CHAPULTEPEC                                                                                                                      </v>
      </c>
      <c r="G3263" s="26" t="str">
        <f>"MIGUEL HIDALGO                                                                  "</f>
        <v xml:space="preserve">MIGUEL HIDALGO                                                                  </v>
      </c>
      <c r="H3263" s="26" t="str">
        <f>"014"</f>
        <v>014</v>
      </c>
      <c r="I3263" s="26" t="str">
        <f t="shared" ref="I3263:I3291" si="641">"00"</f>
        <v>00</v>
      </c>
      <c r="J3263" s="26" t="str">
        <f>"32 "</f>
        <v xml:space="preserve">32 </v>
      </c>
      <c r="K3263" s="26" t="str">
        <f t="shared" ref="K3263:K3279" si="642">"EP"</f>
        <v>EP</v>
      </c>
      <c r="L3263" s="26" t="str">
        <f t="shared" ref="L3263:L3279" si="643">"DGOSE"</f>
        <v>DGOSE</v>
      </c>
      <c r="M3263" s="26" t="str">
        <f t="shared" ref="M3263:M3291" si="644">"PARTICULAR"</f>
        <v>PARTICULAR</v>
      </c>
      <c r="N3263" s="26">
        <v>5</v>
      </c>
      <c r="O3263" s="26">
        <v>4</v>
      </c>
      <c r="P3263" s="26">
        <v>1</v>
      </c>
      <c r="Q3263" s="26">
        <v>2</v>
      </c>
      <c r="R3263" s="26">
        <v>1</v>
      </c>
      <c r="S3263" s="26">
        <v>1</v>
      </c>
      <c r="T3263" s="26">
        <v>2</v>
      </c>
      <c r="U3263" s="26">
        <v>4</v>
      </c>
      <c r="V3263" s="26">
        <v>1</v>
      </c>
      <c r="W3263" s="26"/>
    </row>
    <row r="3264" spans="1:23" x14ac:dyDescent="0.25">
      <c r="A3264" s="26" t="str">
        <f t="shared" si="632"/>
        <v>PREESCOLAR</v>
      </c>
      <c r="B3264" s="26" t="str">
        <f>"09PJN6020E"</f>
        <v>09PJN6020E</v>
      </c>
      <c r="C3264" s="26" t="str">
        <f>"COLEGIO BILINGÜE DEL SUR (COBISU)                                                                   "</f>
        <v xml:space="preserve">COLEGIO BILINGÜE DEL SUR (COBISU)                                                                   </v>
      </c>
      <c r="D3264" s="26" t="str">
        <f t="shared" si="640"/>
        <v>MATUTINO</v>
      </c>
      <c r="E3264" s="26" t="s">
        <v>156</v>
      </c>
      <c r="F3264" s="26" t="str">
        <f>"POPULAR SANTA TERESA                                                                                                                        "</f>
        <v xml:space="preserve">POPULAR SANTA TERESA                                                                                                                        </v>
      </c>
      <c r="G3264" s="26" t="str">
        <f>"TLALPAN                                                                         "</f>
        <v xml:space="preserve">TLALPAN                                                                         </v>
      </c>
      <c r="H3264" s="26" t="str">
        <f>"146"</f>
        <v>146</v>
      </c>
      <c r="I3264" s="26" t="str">
        <f t="shared" si="641"/>
        <v>00</v>
      </c>
      <c r="J3264" s="26" t="str">
        <f>"35 "</f>
        <v xml:space="preserve">35 </v>
      </c>
      <c r="K3264" s="26" t="str">
        <f t="shared" si="642"/>
        <v>EP</v>
      </c>
      <c r="L3264" s="26" t="str">
        <f t="shared" si="643"/>
        <v>DGOSE</v>
      </c>
      <c r="M3264" s="26" t="str">
        <f t="shared" si="644"/>
        <v>PARTICULAR</v>
      </c>
      <c r="N3264" s="26">
        <v>12</v>
      </c>
      <c r="O3264" s="26">
        <v>6</v>
      </c>
      <c r="P3264" s="26">
        <v>6</v>
      </c>
      <c r="Q3264" s="26">
        <v>3</v>
      </c>
      <c r="R3264" s="26">
        <v>1</v>
      </c>
      <c r="S3264" s="26">
        <v>2</v>
      </c>
      <c r="T3264" s="26">
        <v>3</v>
      </c>
      <c r="U3264" s="26">
        <v>6</v>
      </c>
      <c r="V3264" s="26">
        <v>1</v>
      </c>
      <c r="W3264" s="26"/>
    </row>
    <row r="3265" spans="1:23" x14ac:dyDescent="0.25">
      <c r="A3265" s="26" t="str">
        <f t="shared" si="632"/>
        <v>PREESCOLAR</v>
      </c>
      <c r="B3265" s="26" t="str">
        <f>"09PJN6021D"</f>
        <v>09PJN6021D</v>
      </c>
      <c r="C3265" s="26" t="str">
        <f>"COLEGIO AMIGOS DE MÉXICO SUR                                                                        "</f>
        <v xml:space="preserve">COLEGIO AMIGOS DE MÉXICO SUR                                                                        </v>
      </c>
      <c r="D3265" s="26" t="str">
        <f t="shared" si="640"/>
        <v>MATUTINO</v>
      </c>
      <c r="E3265" s="26" t="str">
        <f>"AV. SAN LORENZO NO. 19                                                          "</f>
        <v xml:space="preserve">AV. SAN LORENZO NO. 19                                                          </v>
      </c>
      <c r="F3265" s="26" t="str">
        <f>"BOSQUE RESIDENCIAL DEL SUR                                                                                                                  "</f>
        <v xml:space="preserve">BOSQUE RESIDENCIAL DEL SUR                                                                                                                  </v>
      </c>
      <c r="G3265" s="26" t="str">
        <f>"XOCHIMILCO                                                                      "</f>
        <v xml:space="preserve">XOCHIMILCO                                                                      </v>
      </c>
      <c r="H3265" s="26" t="str">
        <f>"172"</f>
        <v>172</v>
      </c>
      <c r="I3265" s="26" t="str">
        <f t="shared" si="641"/>
        <v>00</v>
      </c>
      <c r="J3265" s="26" t="str">
        <f>"35 "</f>
        <v xml:space="preserve">35 </v>
      </c>
      <c r="K3265" s="26" t="str">
        <f t="shared" si="642"/>
        <v>EP</v>
      </c>
      <c r="L3265" s="26" t="str">
        <f t="shared" si="643"/>
        <v>DGOSE</v>
      </c>
      <c r="M3265" s="26" t="str">
        <f t="shared" si="644"/>
        <v>PARTICULAR</v>
      </c>
      <c r="N3265" s="26">
        <v>11</v>
      </c>
      <c r="O3265" s="26">
        <v>8</v>
      </c>
      <c r="P3265" s="26">
        <v>3</v>
      </c>
      <c r="Q3265" s="26">
        <v>3</v>
      </c>
      <c r="R3265" s="26">
        <v>1</v>
      </c>
      <c r="S3265" s="26">
        <v>2</v>
      </c>
      <c r="T3265" s="26">
        <v>8</v>
      </c>
      <c r="U3265" s="26">
        <v>11</v>
      </c>
      <c r="V3265" s="26">
        <v>1</v>
      </c>
      <c r="W3265" s="26"/>
    </row>
    <row r="3266" spans="1:23" x14ac:dyDescent="0.25">
      <c r="A3266" s="26" t="str">
        <f t="shared" ref="A3266:A3291" si="645">"PREESCOLAR"</f>
        <v>PREESCOLAR</v>
      </c>
      <c r="B3266" s="26" t="str">
        <f>"09PJN6022C"</f>
        <v>09PJN6022C</v>
      </c>
      <c r="C3266" s="26" t="s">
        <v>157</v>
      </c>
      <c r="D3266" s="26" t="str">
        <f t="shared" si="640"/>
        <v>MATUTINO</v>
      </c>
      <c r="E3266" s="26" t="str">
        <f>"CANTERIA NO. 265                                                                "</f>
        <v xml:space="preserve">CANTERIA NO. 265                                                                </v>
      </c>
      <c r="F3266" s="26" t="str">
        <f>"20 DE NOVIEMBRE                                                                                                                             "</f>
        <v xml:space="preserve">20 DE NOVIEMBRE                                                                                                                             </v>
      </c>
      <c r="G3266" s="26" t="str">
        <f>"VENUSTIANO CARRANZA                                                             "</f>
        <v xml:space="preserve">VENUSTIANO CARRANZA                                                             </v>
      </c>
      <c r="H3266" s="26" t="str">
        <f>"025"</f>
        <v>025</v>
      </c>
      <c r="I3266" s="26" t="str">
        <f t="shared" si="641"/>
        <v>00</v>
      </c>
      <c r="J3266" s="26" t="str">
        <f>"33 "</f>
        <v xml:space="preserve">33 </v>
      </c>
      <c r="K3266" s="26" t="str">
        <f t="shared" si="642"/>
        <v>EP</v>
      </c>
      <c r="L3266" s="26" t="str">
        <f t="shared" si="643"/>
        <v>DGOSE</v>
      </c>
      <c r="M3266" s="26" t="str">
        <f t="shared" si="644"/>
        <v>PARTICULAR</v>
      </c>
      <c r="N3266" s="26">
        <v>4</v>
      </c>
      <c r="O3266" s="26">
        <v>2</v>
      </c>
      <c r="P3266" s="26">
        <v>2</v>
      </c>
      <c r="Q3266" s="26">
        <v>2</v>
      </c>
      <c r="R3266" s="26">
        <v>1</v>
      </c>
      <c r="S3266" s="26">
        <v>2</v>
      </c>
      <c r="T3266" s="26">
        <v>0</v>
      </c>
      <c r="U3266" s="26">
        <v>3</v>
      </c>
      <c r="V3266" s="26">
        <v>1</v>
      </c>
      <c r="W3266" s="26"/>
    </row>
    <row r="3267" spans="1:23" x14ac:dyDescent="0.25">
      <c r="A3267" s="26" t="str">
        <f t="shared" si="645"/>
        <v>PREESCOLAR</v>
      </c>
      <c r="B3267" s="26" t="str">
        <f>"09PJN6023B"</f>
        <v>09PJN6023B</v>
      </c>
      <c r="C3267" s="26" t="s">
        <v>158</v>
      </c>
      <c r="D3267" s="26" t="str">
        <f t="shared" si="640"/>
        <v>MATUTINO</v>
      </c>
      <c r="E3267" s="26" t="str">
        <f>"CITLALTEPETL NO. 31                                                             "</f>
        <v xml:space="preserve">CITLALTEPETL NO. 31                                                             </v>
      </c>
      <c r="F3267" s="26" t="str">
        <f>"HIPODROMO DE LA CONDESA                                                                                                                     "</f>
        <v xml:space="preserve">HIPODROMO DE LA CONDESA                                                                                                                     </v>
      </c>
      <c r="G3267" s="26" t="s">
        <v>4128</v>
      </c>
      <c r="H3267" s="26" t="str">
        <f>"020"</f>
        <v>020</v>
      </c>
      <c r="I3267" s="26" t="str">
        <f t="shared" si="641"/>
        <v>00</v>
      </c>
      <c r="J3267" s="26" t="str">
        <f>"32 "</f>
        <v xml:space="preserve">32 </v>
      </c>
      <c r="K3267" s="26" t="str">
        <f t="shared" si="642"/>
        <v>EP</v>
      </c>
      <c r="L3267" s="26" t="str">
        <f t="shared" si="643"/>
        <v>DGOSE</v>
      </c>
      <c r="M3267" s="26" t="str">
        <f t="shared" si="644"/>
        <v>PARTICULAR</v>
      </c>
      <c r="N3267" s="26">
        <v>31</v>
      </c>
      <c r="O3267" s="26">
        <v>12</v>
      </c>
      <c r="P3267" s="26">
        <v>19</v>
      </c>
      <c r="Q3267" s="26">
        <v>2</v>
      </c>
      <c r="R3267" s="26">
        <v>1</v>
      </c>
      <c r="S3267" s="26">
        <v>2</v>
      </c>
      <c r="T3267" s="26">
        <v>5</v>
      </c>
      <c r="U3267" s="26">
        <v>8</v>
      </c>
      <c r="V3267" s="26">
        <v>1</v>
      </c>
      <c r="W3267" s="26"/>
    </row>
    <row r="3268" spans="1:23" x14ac:dyDescent="0.25">
      <c r="A3268" s="26" t="str">
        <f t="shared" si="645"/>
        <v>PREESCOLAR</v>
      </c>
      <c r="B3268" s="26" t="str">
        <f>"09PJN6024A"</f>
        <v>09PJN6024A</v>
      </c>
      <c r="C3268" s="26" t="s">
        <v>159</v>
      </c>
      <c r="D3268" s="26" t="str">
        <f t="shared" si="640"/>
        <v>MATUTINO</v>
      </c>
      <c r="E3268" s="26" t="str">
        <f>"CERRO DE MACUILTEPEC NO. 39                                                     "</f>
        <v xml:space="preserve">CERRO DE MACUILTEPEC NO. 39                                                     </v>
      </c>
      <c r="F3268" s="26" t="str">
        <f>"CAMPESTRE CHURUBUSCO                                                                                                                        "</f>
        <v xml:space="preserve">CAMPESTRE CHURUBUSCO                                                                                                                        </v>
      </c>
      <c r="G3268" s="26" t="str">
        <f>"COYOACAN                                                                        "</f>
        <v xml:space="preserve">COYOACAN                                                                        </v>
      </c>
      <c r="H3268" s="26" t="str">
        <f>"043"</f>
        <v>043</v>
      </c>
      <c r="I3268" s="26" t="str">
        <f t="shared" si="641"/>
        <v>00</v>
      </c>
      <c r="J3268" s="26" t="str">
        <f>"35 "</f>
        <v xml:space="preserve">35 </v>
      </c>
      <c r="K3268" s="26" t="str">
        <f t="shared" si="642"/>
        <v>EP</v>
      </c>
      <c r="L3268" s="26" t="str">
        <f t="shared" si="643"/>
        <v>DGOSE</v>
      </c>
      <c r="M3268" s="26" t="str">
        <f t="shared" si="644"/>
        <v>PARTICULAR</v>
      </c>
      <c r="N3268" s="26">
        <v>11</v>
      </c>
      <c r="O3268" s="26">
        <v>9</v>
      </c>
      <c r="P3268" s="26">
        <v>2</v>
      </c>
      <c r="Q3268" s="26">
        <v>3</v>
      </c>
      <c r="R3268" s="26">
        <v>1</v>
      </c>
      <c r="S3268" s="26">
        <v>2</v>
      </c>
      <c r="T3268" s="26">
        <v>2</v>
      </c>
      <c r="U3268" s="26">
        <v>5</v>
      </c>
      <c r="V3268" s="26">
        <v>1</v>
      </c>
      <c r="W3268" s="26"/>
    </row>
    <row r="3269" spans="1:23" x14ac:dyDescent="0.25">
      <c r="A3269" s="26" t="str">
        <f t="shared" si="645"/>
        <v>PREESCOLAR</v>
      </c>
      <c r="B3269" s="26" t="str">
        <f>"09PJN6025Z"</f>
        <v>09PJN6025Z</v>
      </c>
      <c r="C3269" s="26" t="str">
        <f>"IMPULSO PEDAGÓGICO MEXICANO                                                                         "</f>
        <v xml:space="preserve">IMPULSO PEDAGÓGICO MEXICANO                                                                         </v>
      </c>
      <c r="D3269" s="26" t="str">
        <f t="shared" si="640"/>
        <v>MATUTINO</v>
      </c>
      <c r="E3269" s="26" t="str">
        <f>"AV. SANTA FE NO. 482 CC1-1                                                      "</f>
        <v xml:space="preserve">AV. SANTA FE NO. 482 CC1-1                                                      </v>
      </c>
      <c r="F3269" s="26" t="str">
        <f>"SANTA FE CUAJIMALPA                                                                                                                         "</f>
        <v xml:space="preserve">SANTA FE CUAJIMALPA                                                                                                                         </v>
      </c>
      <c r="G3269" s="26" t="str">
        <f>"CUAJIMALPA DE MORELOS                                                           "</f>
        <v xml:space="preserve">CUAJIMALPA DE MORELOS                                                           </v>
      </c>
      <c r="H3269" s="26" t="str">
        <f>"212"</f>
        <v>212</v>
      </c>
      <c r="I3269" s="26" t="str">
        <f t="shared" si="641"/>
        <v>00</v>
      </c>
      <c r="J3269" s="26" t="str">
        <f>"33 "</f>
        <v xml:space="preserve">33 </v>
      </c>
      <c r="K3269" s="26" t="str">
        <f t="shared" si="642"/>
        <v>EP</v>
      </c>
      <c r="L3269" s="26" t="str">
        <f t="shared" si="643"/>
        <v>DGOSE</v>
      </c>
      <c r="M3269" s="26" t="str">
        <f t="shared" si="644"/>
        <v>PARTICULAR</v>
      </c>
      <c r="N3269" s="26">
        <v>62</v>
      </c>
      <c r="O3269" s="26">
        <v>33</v>
      </c>
      <c r="P3269" s="26">
        <v>29</v>
      </c>
      <c r="Q3269" s="26">
        <v>3</v>
      </c>
      <c r="R3269" s="26">
        <v>1</v>
      </c>
      <c r="S3269" s="26">
        <v>2</v>
      </c>
      <c r="T3269" s="26">
        <v>3</v>
      </c>
      <c r="U3269" s="26">
        <v>6</v>
      </c>
      <c r="V3269" s="26">
        <v>1</v>
      </c>
      <c r="W3269" s="26"/>
    </row>
    <row r="3270" spans="1:23" x14ac:dyDescent="0.25">
      <c r="A3270" s="26" t="str">
        <f t="shared" si="645"/>
        <v>PREESCOLAR</v>
      </c>
      <c r="B3270" s="26" t="str">
        <f>"09PJN6026Z"</f>
        <v>09PJN6026Z</v>
      </c>
      <c r="C3270" s="26" t="str">
        <f>"GABBIANO MONTESSORI                                                                                 "</f>
        <v xml:space="preserve">GABBIANO MONTESSORI                                                                                 </v>
      </c>
      <c r="D3270" s="26" t="str">
        <f t="shared" si="640"/>
        <v>MATUTINO</v>
      </c>
      <c r="E3270" s="26" t="str">
        <f>"SONORA NO. 59-D                                                                 "</f>
        <v xml:space="preserve">SONORA NO. 59-D                                                                 </v>
      </c>
      <c r="F3270" s="26" t="str">
        <f>"ROMA NORTE                                                                                                                                  "</f>
        <v xml:space="preserve">ROMA NORTE                                                                                                                                  </v>
      </c>
      <c r="G3270" s="26" t="s">
        <v>4128</v>
      </c>
      <c r="H3270" s="26" t="str">
        <f>"020"</f>
        <v>020</v>
      </c>
      <c r="I3270" s="26" t="str">
        <f t="shared" si="641"/>
        <v>00</v>
      </c>
      <c r="J3270" s="26" t="str">
        <f>"32 "</f>
        <v xml:space="preserve">32 </v>
      </c>
      <c r="K3270" s="26" t="str">
        <f t="shared" si="642"/>
        <v>EP</v>
      </c>
      <c r="L3270" s="26" t="str">
        <f t="shared" si="643"/>
        <v>DGOSE</v>
      </c>
      <c r="M3270" s="26" t="str">
        <f t="shared" si="644"/>
        <v>PARTICULAR</v>
      </c>
      <c r="N3270" s="26">
        <v>4</v>
      </c>
      <c r="O3270" s="26">
        <v>1</v>
      </c>
      <c r="P3270" s="26">
        <v>3</v>
      </c>
      <c r="Q3270" s="26">
        <v>3</v>
      </c>
      <c r="R3270" s="26">
        <v>1</v>
      </c>
      <c r="S3270" s="26">
        <v>1</v>
      </c>
      <c r="T3270" s="26">
        <v>0</v>
      </c>
      <c r="U3270" s="26">
        <v>2</v>
      </c>
      <c r="V3270" s="26">
        <v>1</v>
      </c>
      <c r="W3270" s="26"/>
    </row>
    <row r="3271" spans="1:23" x14ac:dyDescent="0.25">
      <c r="A3271" s="26" t="str">
        <f t="shared" si="645"/>
        <v>PREESCOLAR</v>
      </c>
      <c r="B3271" s="26" t="str">
        <f>"09PJN6027Y"</f>
        <v>09PJN6027Y</v>
      </c>
      <c r="C3271" s="26" t="str">
        <f>"KOI MONTESSORI                                                                                      "</f>
        <v xml:space="preserve">KOI MONTESSORI                                                                                      </v>
      </c>
      <c r="D3271" s="26" t="str">
        <f t="shared" si="640"/>
        <v>MATUTINO</v>
      </c>
      <c r="E3271" s="26" t="str">
        <f>"AGUASCALIENTES NO. 170                                                          "</f>
        <v xml:space="preserve">AGUASCALIENTES NO. 170                                                          </v>
      </c>
      <c r="F3271" s="26" t="str">
        <f>"HIPODROMO                                                                                                                                   "</f>
        <v xml:space="preserve">HIPODROMO                                                                                                                                   </v>
      </c>
      <c r="G3271" s="26" t="s">
        <v>4128</v>
      </c>
      <c r="H3271" s="26" t="str">
        <f>"202"</f>
        <v>202</v>
      </c>
      <c r="I3271" s="26" t="str">
        <f t="shared" si="641"/>
        <v>00</v>
      </c>
      <c r="J3271" s="26" t="str">
        <f>"32 "</f>
        <v xml:space="preserve">32 </v>
      </c>
      <c r="K3271" s="26" t="str">
        <f t="shared" si="642"/>
        <v>EP</v>
      </c>
      <c r="L3271" s="26" t="str">
        <f t="shared" si="643"/>
        <v>DGOSE</v>
      </c>
      <c r="M3271" s="26" t="str">
        <f t="shared" si="644"/>
        <v>PARTICULAR</v>
      </c>
      <c r="N3271" s="26">
        <v>41</v>
      </c>
      <c r="O3271" s="26">
        <v>22</v>
      </c>
      <c r="P3271" s="26">
        <v>19</v>
      </c>
      <c r="Q3271" s="26">
        <v>3</v>
      </c>
      <c r="R3271" s="26">
        <v>1</v>
      </c>
      <c r="S3271" s="26">
        <v>2</v>
      </c>
      <c r="T3271" s="26">
        <v>9</v>
      </c>
      <c r="U3271" s="26">
        <v>12</v>
      </c>
      <c r="V3271" s="26">
        <v>1</v>
      </c>
      <c r="W3271" s="26"/>
    </row>
    <row r="3272" spans="1:23" x14ac:dyDescent="0.25">
      <c r="A3272" s="26" t="str">
        <f t="shared" si="645"/>
        <v>PREESCOLAR</v>
      </c>
      <c r="B3272" s="26" t="str">
        <f>"09PJN6028X"</f>
        <v>09PJN6028X</v>
      </c>
      <c r="C3272" s="26" t="str">
        <f>"CARRUSEL DE LOS PEQUES                                                                              "</f>
        <v xml:space="preserve">CARRUSEL DE LOS PEQUES                                                                              </v>
      </c>
      <c r="D3272" s="26" t="str">
        <f t="shared" si="640"/>
        <v>MATUTINO</v>
      </c>
      <c r="E3272" s="26" t="str">
        <f>"NORTE 79-A NO. 190                                                              "</f>
        <v xml:space="preserve">NORTE 79-A NO. 190                                                              </v>
      </c>
      <c r="F3272" s="26" t="str">
        <f>"CLAVERIA                                                                                                                                    "</f>
        <v xml:space="preserve">CLAVERIA                                                                                                                                    </v>
      </c>
      <c r="G3272" s="26" t="str">
        <f>"AZCAPOTZALCO                                                                    "</f>
        <v xml:space="preserve">AZCAPOTZALCO                                                                    </v>
      </c>
      <c r="H3272" s="26" t="str">
        <f>"056"</f>
        <v>056</v>
      </c>
      <c r="I3272" s="26" t="str">
        <f t="shared" si="641"/>
        <v>00</v>
      </c>
      <c r="J3272" s="26" t="str">
        <f>"32 "</f>
        <v xml:space="preserve">32 </v>
      </c>
      <c r="K3272" s="26" t="str">
        <f t="shared" si="642"/>
        <v>EP</v>
      </c>
      <c r="L3272" s="26" t="str">
        <f t="shared" si="643"/>
        <v>DGOSE</v>
      </c>
      <c r="M3272" s="26" t="str">
        <f t="shared" si="644"/>
        <v>PARTICULAR</v>
      </c>
      <c r="N3272" s="26">
        <v>12</v>
      </c>
      <c r="O3272" s="26">
        <v>5</v>
      </c>
      <c r="P3272" s="26">
        <v>7</v>
      </c>
      <c r="Q3272" s="26">
        <v>2</v>
      </c>
      <c r="R3272" s="26">
        <v>1</v>
      </c>
      <c r="S3272" s="26">
        <v>2</v>
      </c>
      <c r="T3272" s="26">
        <v>1</v>
      </c>
      <c r="U3272" s="26">
        <v>4</v>
      </c>
      <c r="V3272" s="26">
        <v>1</v>
      </c>
      <c r="W3272" s="26"/>
    </row>
    <row r="3273" spans="1:23" x14ac:dyDescent="0.25">
      <c r="A3273" s="26" t="str">
        <f t="shared" si="645"/>
        <v>PREESCOLAR</v>
      </c>
      <c r="B3273" s="26" t="str">
        <f>"09PJN6029W"</f>
        <v>09PJN6029W</v>
      </c>
      <c r="C3273" s="26" t="str">
        <f>"KAURI                                                                                               "</f>
        <v xml:space="preserve">KAURI                                                                                               </v>
      </c>
      <c r="D3273" s="26" t="str">
        <f t="shared" si="640"/>
        <v>MATUTINO</v>
      </c>
      <c r="E3273" s="26" t="str">
        <f>"AV. ACUEDUCTO NO. 47                                                            "</f>
        <v xml:space="preserve">AV. ACUEDUCTO NO. 47                                                            </v>
      </c>
      <c r="F3273" s="26" t="str">
        <f>"TEPEPAN AMPLIACION                                                                                                                          "</f>
        <v xml:space="preserve">TEPEPAN AMPLIACION                                                                                                                          </v>
      </c>
      <c r="G3273" s="26" t="str">
        <f>"XOCHIMILCO                                                                      "</f>
        <v xml:space="preserve">XOCHIMILCO                                                                      </v>
      </c>
      <c r="H3273" s="26" t="str">
        <f>"053"</f>
        <v>053</v>
      </c>
      <c r="I3273" s="26" t="str">
        <f t="shared" si="641"/>
        <v>00</v>
      </c>
      <c r="J3273" s="26" t="str">
        <f>"35 "</f>
        <v xml:space="preserve">35 </v>
      </c>
      <c r="K3273" s="26" t="str">
        <f t="shared" si="642"/>
        <v>EP</v>
      </c>
      <c r="L3273" s="26" t="str">
        <f t="shared" si="643"/>
        <v>DGOSE</v>
      </c>
      <c r="M3273" s="26" t="str">
        <f t="shared" si="644"/>
        <v>PARTICULAR</v>
      </c>
      <c r="N3273" s="26">
        <v>49</v>
      </c>
      <c r="O3273" s="26">
        <v>27</v>
      </c>
      <c r="P3273" s="26">
        <v>22</v>
      </c>
      <c r="Q3273" s="26">
        <v>3</v>
      </c>
      <c r="R3273" s="26">
        <v>1</v>
      </c>
      <c r="S3273" s="26">
        <v>2</v>
      </c>
      <c r="T3273" s="26">
        <v>4</v>
      </c>
      <c r="U3273" s="26">
        <v>7</v>
      </c>
      <c r="V3273" s="26">
        <v>1</v>
      </c>
      <c r="W3273" s="26"/>
    </row>
    <row r="3274" spans="1:23" x14ac:dyDescent="0.25">
      <c r="A3274" s="26" t="str">
        <f t="shared" si="645"/>
        <v>PREESCOLAR</v>
      </c>
      <c r="B3274" s="26" t="str">
        <f>"09PJN6030L"</f>
        <v>09PJN6030L</v>
      </c>
      <c r="C3274" s="26" t="str">
        <f>"NUESTRO GRAN INICIO                                                                                 "</f>
        <v xml:space="preserve">NUESTRO GRAN INICIO                                                                                 </v>
      </c>
      <c r="D3274" s="26" t="str">
        <f t="shared" si="640"/>
        <v>MATUTINO</v>
      </c>
      <c r="E3274" s="26" t="str">
        <f>"2A. CERRADA DE FRANCISCO PEÑIÑURI LOTE 5                                        "</f>
        <v xml:space="preserve">2A. CERRADA DE FRANCISCO PEÑIÑURI LOTE 5                                        </v>
      </c>
      <c r="F3274" s="26" t="str">
        <f>"SANTO TOMAS AJUSCO                                                                                                                          "</f>
        <v xml:space="preserve">SANTO TOMAS AJUSCO                                                                                                                          </v>
      </c>
      <c r="G3274" s="26" t="str">
        <f>"TLALPAN                                                                         "</f>
        <v xml:space="preserve">TLALPAN                                                                         </v>
      </c>
      <c r="H3274" s="26" t="str">
        <f>"076"</f>
        <v>076</v>
      </c>
      <c r="I3274" s="26" t="str">
        <f t="shared" si="641"/>
        <v>00</v>
      </c>
      <c r="J3274" s="26" t="str">
        <f>"35 "</f>
        <v xml:space="preserve">35 </v>
      </c>
      <c r="K3274" s="26" t="str">
        <f t="shared" si="642"/>
        <v>EP</v>
      </c>
      <c r="L3274" s="26" t="str">
        <f t="shared" si="643"/>
        <v>DGOSE</v>
      </c>
      <c r="M3274" s="26" t="str">
        <f t="shared" si="644"/>
        <v>PARTICULAR</v>
      </c>
      <c r="N3274" s="26">
        <v>21</v>
      </c>
      <c r="O3274" s="26">
        <v>9</v>
      </c>
      <c r="P3274" s="26">
        <v>12</v>
      </c>
      <c r="Q3274" s="26">
        <v>2</v>
      </c>
      <c r="R3274" s="26">
        <v>1</v>
      </c>
      <c r="S3274" s="26">
        <v>1</v>
      </c>
      <c r="T3274" s="26">
        <v>4</v>
      </c>
      <c r="U3274" s="26">
        <v>6</v>
      </c>
      <c r="V3274" s="26">
        <v>1</v>
      </c>
      <c r="W3274" s="26"/>
    </row>
    <row r="3275" spans="1:23" x14ac:dyDescent="0.25">
      <c r="A3275" s="26" t="str">
        <f t="shared" si="645"/>
        <v>PREESCOLAR</v>
      </c>
      <c r="B3275" s="26" t="str">
        <f>"09PJN6031K"</f>
        <v>09PJN6031K</v>
      </c>
      <c r="C3275" s="26" t="str">
        <f>"VILLA ARCOIRIS II                                                                                   "</f>
        <v xml:space="preserve">VILLA ARCOIRIS II                                                                                   </v>
      </c>
      <c r="D3275" s="26" t="str">
        <f t="shared" si="640"/>
        <v>MATUTINO</v>
      </c>
      <c r="E3275" s="26" t="str">
        <f>"NORTE 74 NO. 7918                                                               "</f>
        <v xml:space="preserve">NORTE 74 NO. 7918                                                               </v>
      </c>
      <c r="F3275" s="26" t="str">
        <f>"SALVADOR DIAZ MIRON                                                                                                                         "</f>
        <v xml:space="preserve">SALVADOR DIAZ MIRON                                                                                                                         </v>
      </c>
      <c r="G3275" s="26" t="str">
        <f>"GUSTAVO A. MADERO                                                               "</f>
        <v xml:space="preserve">GUSTAVO A. MADERO                                                               </v>
      </c>
      <c r="H3275" s="26" t="str">
        <f>"095"</f>
        <v>095</v>
      </c>
      <c r="I3275" s="26" t="str">
        <f t="shared" si="641"/>
        <v>00</v>
      </c>
      <c r="J3275" s="26" t="str">
        <f>"32 "</f>
        <v xml:space="preserve">32 </v>
      </c>
      <c r="K3275" s="26" t="str">
        <f t="shared" si="642"/>
        <v>EP</v>
      </c>
      <c r="L3275" s="26" t="str">
        <f t="shared" si="643"/>
        <v>DGOSE</v>
      </c>
      <c r="M3275" s="26" t="str">
        <f t="shared" si="644"/>
        <v>PARTICULAR</v>
      </c>
      <c r="N3275" s="26">
        <v>45</v>
      </c>
      <c r="O3275" s="26">
        <v>33</v>
      </c>
      <c r="P3275" s="26">
        <v>12</v>
      </c>
      <c r="Q3275" s="26">
        <v>3</v>
      </c>
      <c r="R3275" s="26">
        <v>1</v>
      </c>
      <c r="S3275" s="26">
        <v>3</v>
      </c>
      <c r="T3275" s="26">
        <v>3</v>
      </c>
      <c r="U3275" s="26">
        <v>7</v>
      </c>
      <c r="V3275" s="26">
        <v>1</v>
      </c>
      <c r="W3275" s="26"/>
    </row>
    <row r="3276" spans="1:23" x14ac:dyDescent="0.25">
      <c r="A3276" s="26" t="str">
        <f t="shared" si="645"/>
        <v>PREESCOLAR</v>
      </c>
      <c r="B3276" s="26" t="str">
        <f>"09PJN6032T"</f>
        <v>09PJN6032T</v>
      </c>
      <c r="C3276" s="26" t="str">
        <f>"INSTITUTO INFANTIL EFREN                                                                            "</f>
        <v xml:space="preserve">INSTITUTO INFANTIL EFREN                                                                            </v>
      </c>
      <c r="D3276" s="26" t="str">
        <f t="shared" si="640"/>
        <v>MATUTINO</v>
      </c>
      <c r="E3276" s="26" t="s">
        <v>160</v>
      </c>
      <c r="F3276" s="26" t="str">
        <f>"SANTA ISABEL TOLA                                                                                                                           "</f>
        <v xml:space="preserve">SANTA ISABEL TOLA                                                                                                                           </v>
      </c>
      <c r="G3276" s="26" t="str">
        <f>"GUSTAVO A. MADERO                                                               "</f>
        <v xml:space="preserve">GUSTAVO A. MADERO                                                               </v>
      </c>
      <c r="H3276" s="26" t="str">
        <f>"105"</f>
        <v>105</v>
      </c>
      <c r="I3276" s="26" t="str">
        <f t="shared" si="641"/>
        <v>00</v>
      </c>
      <c r="J3276" s="26" t="str">
        <f>"32 "</f>
        <v xml:space="preserve">32 </v>
      </c>
      <c r="K3276" s="26" t="str">
        <f t="shared" si="642"/>
        <v>EP</v>
      </c>
      <c r="L3276" s="26" t="str">
        <f t="shared" si="643"/>
        <v>DGOSE</v>
      </c>
      <c r="M3276" s="26" t="str">
        <f t="shared" si="644"/>
        <v>PARTICULAR</v>
      </c>
      <c r="N3276" s="26">
        <v>17</v>
      </c>
      <c r="O3276" s="26">
        <v>10</v>
      </c>
      <c r="P3276" s="26">
        <v>7</v>
      </c>
      <c r="Q3276" s="26">
        <v>3</v>
      </c>
      <c r="R3276" s="26">
        <v>1</v>
      </c>
      <c r="S3276" s="26">
        <v>2</v>
      </c>
      <c r="T3276" s="26">
        <v>4</v>
      </c>
      <c r="U3276" s="26">
        <v>7</v>
      </c>
      <c r="V3276" s="26">
        <v>1</v>
      </c>
      <c r="W3276" s="26"/>
    </row>
    <row r="3277" spans="1:23" x14ac:dyDescent="0.25">
      <c r="A3277" s="26" t="str">
        <f t="shared" si="645"/>
        <v>PREESCOLAR</v>
      </c>
      <c r="B3277" s="26" t="str">
        <f>"09PJN6033I"</f>
        <v>09PJN6033I</v>
      </c>
      <c r="C3277" s="26" t="str">
        <f>"COLEGIO CARLOS FUENTES                                                                              "</f>
        <v xml:space="preserve">COLEGIO CARLOS FUENTES                                                                              </v>
      </c>
      <c r="D3277" s="26" t="str">
        <f t="shared" si="640"/>
        <v>MATUTINO</v>
      </c>
      <c r="E3277" s="26" t="str">
        <f>"1-B NO. 31                                                                      "</f>
        <v xml:space="preserve">1-B NO. 31                                                                      </v>
      </c>
      <c r="F3277" s="26" t="str">
        <f>"LA ESCALERA                                                                                                                                 "</f>
        <v xml:space="preserve">LA ESCALERA                                                                                                                                 </v>
      </c>
      <c r="G3277" s="26" t="str">
        <f>"GUSTAVO A. MADERO                                                               "</f>
        <v xml:space="preserve">GUSTAVO A. MADERO                                                               </v>
      </c>
      <c r="H3277" s="26" t="str">
        <f>"155"</f>
        <v>155</v>
      </c>
      <c r="I3277" s="26" t="str">
        <f t="shared" si="641"/>
        <v>00</v>
      </c>
      <c r="J3277" s="26" t="str">
        <f>"32 "</f>
        <v xml:space="preserve">32 </v>
      </c>
      <c r="K3277" s="26" t="str">
        <f t="shared" si="642"/>
        <v>EP</v>
      </c>
      <c r="L3277" s="26" t="str">
        <f t="shared" si="643"/>
        <v>DGOSE</v>
      </c>
      <c r="M3277" s="26" t="str">
        <f t="shared" si="644"/>
        <v>PARTICULAR</v>
      </c>
      <c r="N3277" s="26">
        <v>14</v>
      </c>
      <c r="O3277" s="26">
        <v>9</v>
      </c>
      <c r="P3277" s="26">
        <v>5</v>
      </c>
      <c r="Q3277" s="26">
        <v>3</v>
      </c>
      <c r="R3277" s="26">
        <v>1</v>
      </c>
      <c r="S3277" s="26">
        <v>3</v>
      </c>
      <c r="T3277" s="26">
        <v>5</v>
      </c>
      <c r="U3277" s="26">
        <v>9</v>
      </c>
      <c r="V3277" s="26">
        <v>1</v>
      </c>
      <c r="W3277" s="26"/>
    </row>
    <row r="3278" spans="1:23" x14ac:dyDescent="0.25">
      <c r="A3278" s="26" t="str">
        <f t="shared" si="645"/>
        <v>PREESCOLAR</v>
      </c>
      <c r="B3278" s="26" t="str">
        <f>"09PJN6034H"</f>
        <v>09PJN6034H</v>
      </c>
      <c r="C3278" s="26" t="str">
        <f>"CARLOS PELLICER CÁMARA PREESCOLAR                                                                   "</f>
        <v xml:space="preserve">CARLOS PELLICER CÁMARA PREESCOLAR                                                                   </v>
      </c>
      <c r="D3278" s="26" t="str">
        <f t="shared" si="640"/>
        <v>MATUTINO</v>
      </c>
      <c r="E3278" s="26" t="str">
        <f>"EZEQUIEL MONTES NO. 38                                                          "</f>
        <v xml:space="preserve">EZEQUIEL MONTES NO. 38                                                          </v>
      </c>
      <c r="F3278" s="26" t="str">
        <f>"SAN RAFAEL                                                                                                                                  "</f>
        <v xml:space="preserve">SAN RAFAEL                                                                                                                                  </v>
      </c>
      <c r="G3278" s="26" t="s">
        <v>4128</v>
      </c>
      <c r="H3278" s="26" t="str">
        <f>"203"</f>
        <v>203</v>
      </c>
      <c r="I3278" s="26" t="str">
        <f t="shared" si="641"/>
        <v>00</v>
      </c>
      <c r="J3278" s="26" t="str">
        <f>"32 "</f>
        <v xml:space="preserve">32 </v>
      </c>
      <c r="K3278" s="26" t="str">
        <f t="shared" si="642"/>
        <v>EP</v>
      </c>
      <c r="L3278" s="26" t="str">
        <f t="shared" si="643"/>
        <v>DGOSE</v>
      </c>
      <c r="M3278" s="26" t="str">
        <f t="shared" si="644"/>
        <v>PARTICULAR</v>
      </c>
      <c r="N3278" s="26">
        <v>12</v>
      </c>
      <c r="O3278" s="26">
        <v>5</v>
      </c>
      <c r="P3278" s="26">
        <v>7</v>
      </c>
      <c r="Q3278" s="26">
        <v>3</v>
      </c>
      <c r="R3278" s="26">
        <v>1</v>
      </c>
      <c r="S3278" s="26">
        <v>3</v>
      </c>
      <c r="T3278" s="26">
        <v>2</v>
      </c>
      <c r="U3278" s="26">
        <v>6</v>
      </c>
      <c r="V3278" s="26">
        <v>1</v>
      </c>
      <c r="W3278" s="26"/>
    </row>
    <row r="3279" spans="1:23" x14ac:dyDescent="0.25">
      <c r="A3279" s="26" t="str">
        <f t="shared" si="645"/>
        <v>PREESCOLAR</v>
      </c>
      <c r="B3279" s="26" t="str">
        <f>"09PJN6036F"</f>
        <v>09PJN6036F</v>
      </c>
      <c r="C3279" s="26" t="s">
        <v>161</v>
      </c>
      <c r="D3279" s="26" t="str">
        <f t="shared" si="640"/>
        <v>MATUTINO</v>
      </c>
      <c r="E3279" s="26" t="str">
        <f>"TERRENO TEZONTITLA S/N                                                          "</f>
        <v xml:space="preserve">TERRENO TEZONTITLA S/N                                                          </v>
      </c>
      <c r="F3279" s="26" t="str">
        <f>"SAN BARTOLO AMEYALCO                                                                                                                        "</f>
        <v xml:space="preserve">SAN BARTOLO AMEYALCO                                                                                                                        </v>
      </c>
      <c r="G3279" s="26" t="str">
        <f>"ALVARO OBREGON                                                                  "</f>
        <v xml:space="preserve">ALVARO OBREGON                                                                  </v>
      </c>
      <c r="H3279" s="26" t="str">
        <f>"218"</f>
        <v>218</v>
      </c>
      <c r="I3279" s="26" t="str">
        <f t="shared" si="641"/>
        <v>00</v>
      </c>
      <c r="J3279" s="26" t="str">
        <f>"33 "</f>
        <v xml:space="preserve">33 </v>
      </c>
      <c r="K3279" s="26" t="str">
        <f t="shared" si="642"/>
        <v>EP</v>
      </c>
      <c r="L3279" s="26" t="str">
        <f t="shared" si="643"/>
        <v>DGOSE</v>
      </c>
      <c r="M3279" s="26" t="str">
        <f t="shared" si="644"/>
        <v>PARTICULAR</v>
      </c>
      <c r="N3279" s="26">
        <v>77</v>
      </c>
      <c r="O3279" s="26">
        <v>37</v>
      </c>
      <c r="P3279" s="26">
        <v>40</v>
      </c>
      <c r="Q3279" s="26">
        <v>3</v>
      </c>
      <c r="R3279" s="26">
        <v>1</v>
      </c>
      <c r="S3279" s="26">
        <v>3</v>
      </c>
      <c r="T3279" s="26">
        <v>5</v>
      </c>
      <c r="U3279" s="26">
        <v>9</v>
      </c>
      <c r="V3279" s="26">
        <v>1</v>
      </c>
      <c r="W3279" s="26"/>
    </row>
    <row r="3280" spans="1:23" x14ac:dyDescent="0.25">
      <c r="A3280" s="26" t="str">
        <f t="shared" si="645"/>
        <v>PREESCOLAR</v>
      </c>
      <c r="B3280" s="26" t="str">
        <f>"09PJN6037E"</f>
        <v>09PJN6037E</v>
      </c>
      <c r="C3280" s="26" t="str">
        <f>"SANTA MONICA                                                                                        "</f>
        <v xml:space="preserve">SANTA MONICA                                                                                        </v>
      </c>
      <c r="D3280" s="26" t="str">
        <f t="shared" si="640"/>
        <v>MATUTINO</v>
      </c>
      <c r="E3280" s="26" t="str">
        <f>"JOSE DEL RIO S/N MZ. 56 LT. 23                                                  "</f>
        <v xml:space="preserve">JOSE DEL RIO S/N MZ. 56 LT. 23                                                  </v>
      </c>
      <c r="F3280" s="26" t="str">
        <f>"SANTA MARTHA ACATITLA                                                                                                                       "</f>
        <v xml:space="preserve">SANTA MARTHA ACATITLA                                                                                                                       </v>
      </c>
      <c r="G3280" s="26" t="str">
        <f>"IZTAPALAPA                                                                      "</f>
        <v xml:space="preserve">IZTAPALAPA                                                                      </v>
      </c>
      <c r="H3280" s="26" t="str">
        <f>"000"</f>
        <v>000</v>
      </c>
      <c r="I3280" s="26" t="str">
        <f t="shared" si="641"/>
        <v>00</v>
      </c>
      <c r="J3280" s="26" t="str">
        <f>"62 "</f>
        <v xml:space="preserve">62 </v>
      </c>
      <c r="K3280" s="26" t="str">
        <f>"IZ"</f>
        <v>IZ</v>
      </c>
      <c r="L3280" s="26" t="str">
        <f>"DGSEI"</f>
        <v>DGSEI</v>
      </c>
      <c r="M3280" s="26" t="str">
        <f t="shared" si="644"/>
        <v>PARTICULAR</v>
      </c>
      <c r="N3280" s="26">
        <v>18</v>
      </c>
      <c r="O3280" s="26">
        <v>7</v>
      </c>
      <c r="P3280" s="26">
        <v>11</v>
      </c>
      <c r="Q3280" s="26">
        <v>2</v>
      </c>
      <c r="R3280" s="26">
        <v>1</v>
      </c>
      <c r="S3280" s="26">
        <v>1</v>
      </c>
      <c r="T3280" s="26">
        <v>2</v>
      </c>
      <c r="U3280" s="26">
        <v>4</v>
      </c>
      <c r="V3280" s="26">
        <v>1</v>
      </c>
      <c r="W3280" s="26"/>
    </row>
    <row r="3281" spans="1:23" x14ac:dyDescent="0.25">
      <c r="A3281" s="26" t="str">
        <f t="shared" si="645"/>
        <v>PREESCOLAR</v>
      </c>
      <c r="B3281" s="26" t="str">
        <f>"09PJN6038D"</f>
        <v>09PJN6038D</v>
      </c>
      <c r="C3281" s="26" t="str">
        <f>"COLEGIO HAYDEN S.C.                                                                                 "</f>
        <v xml:space="preserve">COLEGIO HAYDEN S.C.                                                                                 </v>
      </c>
      <c r="D3281" s="26" t="str">
        <f t="shared" si="640"/>
        <v>MATUTINO</v>
      </c>
      <c r="E3281" s="26" t="str">
        <f>"JEJA S/N MZ. 1 LT. 31                                                           "</f>
        <v xml:space="preserve">JEJA S/N MZ. 1 LT. 31                                                           </v>
      </c>
      <c r="F3281" s="26" t="str">
        <f>"LOS ANGELES APANOAYA                                                                                                                        "</f>
        <v xml:space="preserve">LOS ANGELES APANOAYA                                                                                                                        </v>
      </c>
      <c r="G3281" s="26" t="str">
        <f>"IZTAPALAPA                                                                      "</f>
        <v xml:space="preserve">IZTAPALAPA                                                                      </v>
      </c>
      <c r="H3281" s="26" t="str">
        <f>"000"</f>
        <v>000</v>
      </c>
      <c r="I3281" s="26" t="str">
        <f t="shared" si="641"/>
        <v>00</v>
      </c>
      <c r="J3281" s="26" t="str">
        <f>"63 "</f>
        <v xml:space="preserve">63 </v>
      </c>
      <c r="K3281" s="26" t="str">
        <f>"IZ"</f>
        <v>IZ</v>
      </c>
      <c r="L3281" s="26" t="str">
        <f>"DGSEI"</f>
        <v>DGSEI</v>
      </c>
      <c r="M3281" s="26" t="str">
        <f t="shared" si="644"/>
        <v>PARTICULAR</v>
      </c>
      <c r="N3281" s="26">
        <v>66</v>
      </c>
      <c r="O3281" s="26">
        <v>40</v>
      </c>
      <c r="P3281" s="26">
        <v>26</v>
      </c>
      <c r="Q3281" s="26">
        <v>3</v>
      </c>
      <c r="R3281" s="26">
        <v>1</v>
      </c>
      <c r="S3281" s="26">
        <v>3</v>
      </c>
      <c r="T3281" s="26">
        <v>0</v>
      </c>
      <c r="U3281" s="26">
        <v>4</v>
      </c>
      <c r="V3281" s="26">
        <v>1</v>
      </c>
      <c r="W3281" s="26"/>
    </row>
    <row r="3282" spans="1:23" x14ac:dyDescent="0.25">
      <c r="A3282" s="26" t="str">
        <f t="shared" si="645"/>
        <v>PREESCOLAR</v>
      </c>
      <c r="B3282" s="26" t="str">
        <f>"09PJN6039C"</f>
        <v>09PJN6039C</v>
      </c>
      <c r="C3282" s="26" t="str">
        <f>"COLEGIO MEXICO CULTURAL                                                                             "</f>
        <v xml:space="preserve">COLEGIO MEXICO CULTURAL                                                                             </v>
      </c>
      <c r="D3282" s="26" t="str">
        <f t="shared" si="640"/>
        <v>MATUTINO</v>
      </c>
      <c r="E3282" s="26" t="str">
        <f>"AVENIDA TLAHUAC NO 4856                                                         "</f>
        <v xml:space="preserve">AVENIDA TLAHUAC NO 4856                                                         </v>
      </c>
      <c r="F3282" s="26" t="str">
        <f>"CERRO DE LA ESTRELLA                                                                                                                        "</f>
        <v xml:space="preserve">CERRO DE LA ESTRELLA                                                                                                                        </v>
      </c>
      <c r="G3282" s="26" t="str">
        <f>"IZTAPALAPA                                                                      "</f>
        <v xml:space="preserve">IZTAPALAPA                                                                      </v>
      </c>
      <c r="H3282" s="26" t="str">
        <f>"000"</f>
        <v>000</v>
      </c>
      <c r="I3282" s="26" t="str">
        <f t="shared" si="641"/>
        <v>00</v>
      </c>
      <c r="J3282" s="26" t="str">
        <f>"63 "</f>
        <v xml:space="preserve">63 </v>
      </c>
      <c r="K3282" s="26" t="str">
        <f>"IZ"</f>
        <v>IZ</v>
      </c>
      <c r="L3282" s="26" t="str">
        <f>"DGSEI"</f>
        <v>DGSEI</v>
      </c>
      <c r="M3282" s="26" t="str">
        <f t="shared" si="644"/>
        <v>PARTICULAR</v>
      </c>
      <c r="N3282" s="26">
        <v>9</v>
      </c>
      <c r="O3282" s="26">
        <v>4</v>
      </c>
      <c r="P3282" s="26">
        <v>5</v>
      </c>
      <c r="Q3282" s="26">
        <v>3</v>
      </c>
      <c r="R3282" s="26">
        <v>1</v>
      </c>
      <c r="S3282" s="26">
        <v>1</v>
      </c>
      <c r="T3282" s="26">
        <v>9</v>
      </c>
      <c r="U3282" s="26">
        <v>11</v>
      </c>
      <c r="V3282" s="26">
        <v>1</v>
      </c>
      <c r="W3282" s="26"/>
    </row>
    <row r="3283" spans="1:23" x14ac:dyDescent="0.25">
      <c r="A3283" s="26" t="str">
        <f t="shared" si="645"/>
        <v>PREESCOLAR</v>
      </c>
      <c r="B3283" s="26" t="str">
        <f>"09PJN6041R"</f>
        <v>09PJN6041R</v>
      </c>
      <c r="C3283" s="26" t="str">
        <f>"COLEGIO HARVEST                                                                                     "</f>
        <v xml:space="preserve">COLEGIO HARVEST                                                                                     </v>
      </c>
      <c r="D3283" s="26" t="str">
        <f t="shared" si="640"/>
        <v>MATUTINO</v>
      </c>
      <c r="E3283" s="26" t="str">
        <f>"CALLE 27 NO. 30                                                                 "</f>
        <v xml:space="preserve">CALLE 27 NO. 30                                                                 </v>
      </c>
      <c r="F3283" s="26" t="str">
        <f>"VALENTIN GOMEZ FARIAS                                                                                                                       "</f>
        <v xml:space="preserve">VALENTIN GOMEZ FARIAS                                                                                                                       </v>
      </c>
      <c r="G3283" s="26" t="str">
        <f>"VENUSTIANO CARRANZA                                                             "</f>
        <v xml:space="preserve">VENUSTIANO CARRANZA                                                             </v>
      </c>
      <c r="H3283" s="26" t="str">
        <f>"250"</f>
        <v>250</v>
      </c>
      <c r="I3283" s="26" t="str">
        <f t="shared" si="641"/>
        <v>00</v>
      </c>
      <c r="J3283" s="26" t="str">
        <f>"33 "</f>
        <v xml:space="preserve">33 </v>
      </c>
      <c r="K3283" s="26" t="str">
        <f>"EP"</f>
        <v>EP</v>
      </c>
      <c r="L3283" s="26" t="str">
        <f>"DGOSE"</f>
        <v>DGOSE</v>
      </c>
      <c r="M3283" s="26" t="str">
        <f t="shared" si="644"/>
        <v>PARTICULAR</v>
      </c>
      <c r="N3283" s="26">
        <v>14</v>
      </c>
      <c r="O3283" s="26">
        <v>8</v>
      </c>
      <c r="P3283" s="26">
        <v>6</v>
      </c>
      <c r="Q3283" s="26">
        <v>3</v>
      </c>
      <c r="R3283" s="26">
        <v>1</v>
      </c>
      <c r="S3283" s="26">
        <v>3</v>
      </c>
      <c r="T3283" s="26">
        <v>0</v>
      </c>
      <c r="U3283" s="26">
        <v>4</v>
      </c>
      <c r="V3283" s="26">
        <v>1</v>
      </c>
      <c r="W3283" s="26"/>
    </row>
    <row r="3284" spans="1:23" x14ac:dyDescent="0.25">
      <c r="A3284" s="26" t="str">
        <f t="shared" si="645"/>
        <v>PREESCOLAR</v>
      </c>
      <c r="B3284" s="26" t="str">
        <f>"09PJN6042Q"</f>
        <v>09PJN6042Q</v>
      </c>
      <c r="C3284" s="26" t="str">
        <f>"LICEO MEXICANO DEL SUR                                                                              "</f>
        <v xml:space="preserve">LICEO MEXICANO DEL SUR                                                                              </v>
      </c>
      <c r="D3284" s="26" t="str">
        <f t="shared" si="640"/>
        <v>MATUTINO</v>
      </c>
      <c r="E3284" s="26" t="str">
        <f>"AVENIDA MUYUGUARDA MANZANA 18 LOTE 18                                           "</f>
        <v xml:space="preserve">AVENIDA MUYUGUARDA MANZANA 18 LOTE 18                                           </v>
      </c>
      <c r="F3284" s="26" t="str">
        <f>"SAN LORENZO LA CEBADA                                                                                                                       "</f>
        <v xml:space="preserve">SAN LORENZO LA CEBADA                                                                                                                       </v>
      </c>
      <c r="G3284" s="26" t="str">
        <f>"XOCHIMILCO                                                                      "</f>
        <v xml:space="preserve">XOCHIMILCO                                                                      </v>
      </c>
      <c r="H3284" s="26" t="str">
        <f>"172"</f>
        <v>172</v>
      </c>
      <c r="I3284" s="26" t="str">
        <f t="shared" si="641"/>
        <v>00</v>
      </c>
      <c r="J3284" s="26" t="str">
        <f>"35 "</f>
        <v xml:space="preserve">35 </v>
      </c>
      <c r="K3284" s="26" t="str">
        <f>"EP"</f>
        <v>EP</v>
      </c>
      <c r="L3284" s="26" t="str">
        <f>"DGOSE"</f>
        <v>DGOSE</v>
      </c>
      <c r="M3284" s="26" t="str">
        <f t="shared" si="644"/>
        <v>PARTICULAR</v>
      </c>
      <c r="N3284" s="26">
        <v>10</v>
      </c>
      <c r="O3284" s="26">
        <v>6</v>
      </c>
      <c r="P3284" s="26">
        <v>4</v>
      </c>
      <c r="Q3284" s="26">
        <v>2</v>
      </c>
      <c r="R3284" s="26">
        <v>1</v>
      </c>
      <c r="S3284" s="26">
        <v>1</v>
      </c>
      <c r="T3284" s="26">
        <v>3</v>
      </c>
      <c r="U3284" s="26">
        <v>5</v>
      </c>
      <c r="V3284" s="26">
        <v>1</v>
      </c>
      <c r="W3284" s="26"/>
    </row>
    <row r="3285" spans="1:23" x14ac:dyDescent="0.25">
      <c r="A3285" s="26" t="str">
        <f t="shared" si="645"/>
        <v>PREESCOLAR</v>
      </c>
      <c r="B3285" s="26" t="str">
        <f>"09PJN6043P"</f>
        <v>09PJN6043P</v>
      </c>
      <c r="C3285" s="26" t="str">
        <f>"COLEGIO DEL ÁNGEL                                                                                   "</f>
        <v xml:space="preserve">COLEGIO DEL ÁNGEL                                                                                   </v>
      </c>
      <c r="D3285" s="26" t="str">
        <f t="shared" si="640"/>
        <v>MATUTINO</v>
      </c>
      <c r="E3285" s="26" t="str">
        <f>"RIO TIGRIS NO. 87                                                               "</f>
        <v xml:space="preserve">RIO TIGRIS NO. 87                                                               </v>
      </c>
      <c r="F3285" s="26" t="str">
        <f>"CUAUHTEMOC                                                                                                                                  "</f>
        <v xml:space="preserve">CUAUHTEMOC                                                                                                                                  </v>
      </c>
      <c r="G3285" s="26" t="s">
        <v>4128</v>
      </c>
      <c r="H3285" s="26" t="str">
        <f>"203"</f>
        <v>203</v>
      </c>
      <c r="I3285" s="26" t="str">
        <f t="shared" si="641"/>
        <v>00</v>
      </c>
      <c r="J3285" s="26" t="str">
        <f>"32 "</f>
        <v xml:space="preserve">32 </v>
      </c>
      <c r="K3285" s="26" t="str">
        <f>"EP"</f>
        <v>EP</v>
      </c>
      <c r="L3285" s="26" t="str">
        <f>"DGOSE"</f>
        <v>DGOSE</v>
      </c>
      <c r="M3285" s="26" t="str">
        <f t="shared" si="644"/>
        <v>PARTICULAR</v>
      </c>
      <c r="N3285" s="26">
        <v>27</v>
      </c>
      <c r="O3285" s="26">
        <v>14</v>
      </c>
      <c r="P3285" s="26">
        <v>13</v>
      </c>
      <c r="Q3285" s="26">
        <v>2</v>
      </c>
      <c r="R3285" s="26">
        <v>1</v>
      </c>
      <c r="S3285" s="26">
        <v>1</v>
      </c>
      <c r="T3285" s="26">
        <v>9</v>
      </c>
      <c r="U3285" s="26">
        <v>11</v>
      </c>
      <c r="V3285" s="26">
        <v>1</v>
      </c>
      <c r="W3285" s="26"/>
    </row>
    <row r="3286" spans="1:23" x14ac:dyDescent="0.25">
      <c r="A3286" s="26" t="str">
        <f t="shared" si="645"/>
        <v>PREESCOLAR</v>
      </c>
      <c r="B3286" s="26" t="str">
        <f>"09PJN6044E"</f>
        <v>09PJN6044E</v>
      </c>
      <c r="C3286" s="26" t="str">
        <f>"COLEGIO SEPMA S.C.                                                                                  "</f>
        <v xml:space="preserve">COLEGIO SEPMA S.C.                                                                                  </v>
      </c>
      <c r="D3286" s="26" t="str">
        <f>"TIEMPO COMPLETO"</f>
        <v>TIEMPO COMPLETO</v>
      </c>
      <c r="E3286" s="26" t="str">
        <f>"PIRULES NO 20                                                                   "</f>
        <v xml:space="preserve">PIRULES NO 20                                                                   </v>
      </c>
      <c r="F3286" s="26" t="str">
        <f>"SANTA MARIA TOMATLAN                                                                                                                        "</f>
        <v xml:space="preserve">SANTA MARIA TOMATLAN                                                                                                                        </v>
      </c>
      <c r="G3286" s="26" t="str">
        <f>"IZTAPALAPA                                                                      "</f>
        <v xml:space="preserve">IZTAPALAPA                                                                      </v>
      </c>
      <c r="H3286" s="26" t="str">
        <f>"000"</f>
        <v>000</v>
      </c>
      <c r="I3286" s="26" t="str">
        <f t="shared" si="641"/>
        <v>00</v>
      </c>
      <c r="J3286" s="26" t="str">
        <f>"63 "</f>
        <v xml:space="preserve">63 </v>
      </c>
      <c r="K3286" s="26" t="str">
        <f>"IZ"</f>
        <v>IZ</v>
      </c>
      <c r="L3286" s="26" t="str">
        <f>"DGSEI"</f>
        <v>DGSEI</v>
      </c>
      <c r="M3286" s="26" t="str">
        <f t="shared" si="644"/>
        <v>PARTICULAR</v>
      </c>
      <c r="N3286" s="26">
        <v>30</v>
      </c>
      <c r="O3286" s="26">
        <v>18</v>
      </c>
      <c r="P3286" s="26">
        <v>12</v>
      </c>
      <c r="Q3286" s="26">
        <v>3</v>
      </c>
      <c r="R3286" s="26">
        <v>2</v>
      </c>
      <c r="S3286" s="26">
        <v>3</v>
      </c>
      <c r="T3286" s="26">
        <v>8</v>
      </c>
      <c r="U3286" s="26">
        <v>13</v>
      </c>
      <c r="V3286" s="26">
        <v>1</v>
      </c>
      <c r="W3286" s="26"/>
    </row>
    <row r="3287" spans="1:23" x14ac:dyDescent="0.25">
      <c r="A3287" s="26" t="str">
        <f t="shared" si="645"/>
        <v>PREESCOLAR</v>
      </c>
      <c r="B3287" s="26" t="str">
        <f>"09PJN6045N"</f>
        <v>09PJN6045N</v>
      </c>
      <c r="C3287" s="26" t="str">
        <f>"COLEGIO MELANIE KLEIN                                                                               "</f>
        <v xml:space="preserve">COLEGIO MELANIE KLEIN                                                                               </v>
      </c>
      <c r="D3287" s="26" t="str">
        <f>"MATUTINO"</f>
        <v>MATUTINO</v>
      </c>
      <c r="E3287" s="26" t="str">
        <f>"AVENIDA 5 NO 137                                                                "</f>
        <v xml:space="preserve">AVENIDA 5 NO 137                                                                </v>
      </c>
      <c r="F3287" s="26" t="str">
        <f>"GRANJAS SAN ANTONIO                                                                                                                         "</f>
        <v xml:space="preserve">GRANJAS SAN ANTONIO                                                                                                                         </v>
      </c>
      <c r="G3287" s="26" t="str">
        <f>"IZTAPALAPA                                                                      "</f>
        <v xml:space="preserve">IZTAPALAPA                                                                      </v>
      </c>
      <c r="H3287" s="26" t="str">
        <f>"000"</f>
        <v>000</v>
      </c>
      <c r="I3287" s="26" t="str">
        <f t="shared" si="641"/>
        <v>00</v>
      </c>
      <c r="J3287" s="26" t="str">
        <f>"61 "</f>
        <v xml:space="preserve">61 </v>
      </c>
      <c r="K3287" s="26" t="str">
        <f>"IZ"</f>
        <v>IZ</v>
      </c>
      <c r="L3287" s="26" t="str">
        <f>"DGSEI"</f>
        <v>DGSEI</v>
      </c>
      <c r="M3287" s="26" t="str">
        <f t="shared" si="644"/>
        <v>PARTICULAR</v>
      </c>
      <c r="N3287" s="26">
        <v>5</v>
      </c>
      <c r="O3287" s="26">
        <v>3</v>
      </c>
      <c r="P3287" s="26">
        <v>2</v>
      </c>
      <c r="Q3287" s="26">
        <v>3</v>
      </c>
      <c r="R3287" s="26">
        <v>1</v>
      </c>
      <c r="S3287" s="26">
        <v>2</v>
      </c>
      <c r="T3287" s="26">
        <v>0</v>
      </c>
      <c r="U3287" s="26">
        <v>3</v>
      </c>
      <c r="V3287" s="26">
        <v>1</v>
      </c>
      <c r="W3287" s="26"/>
    </row>
    <row r="3288" spans="1:23" x14ac:dyDescent="0.25">
      <c r="A3288" s="26" t="str">
        <f t="shared" si="645"/>
        <v>PREESCOLAR</v>
      </c>
      <c r="B3288" s="26" t="str">
        <f>"09PJN6047L"</f>
        <v>09PJN6047L</v>
      </c>
      <c r="C3288" s="26" t="s">
        <v>162</v>
      </c>
      <c r="D3288" s="26" t="str">
        <f>"MATUTINO"</f>
        <v>MATUTINO</v>
      </c>
      <c r="E3288" s="26" t="str">
        <f>"SUR 187 NO.12                                                                   "</f>
        <v xml:space="preserve">SUR 187 NO.12                                                                   </v>
      </c>
      <c r="F3288" s="26" t="str">
        <f>"MAGDALENA MIXHUCA EX-EJIDO                                                                                                                  "</f>
        <v xml:space="preserve">MAGDALENA MIXHUCA EX-EJIDO                                                                                                                  </v>
      </c>
      <c r="G3288" s="26" t="str">
        <f>"IZTACALCO                                                                       "</f>
        <v xml:space="preserve">IZTACALCO                                                                       </v>
      </c>
      <c r="H3288" s="26" t="str">
        <f>"238"</f>
        <v>238</v>
      </c>
      <c r="I3288" s="26" t="str">
        <f t="shared" si="641"/>
        <v>00</v>
      </c>
      <c r="J3288" s="26" t="str">
        <f>"35 "</f>
        <v xml:space="preserve">35 </v>
      </c>
      <c r="K3288" s="26" t="str">
        <f>"NP"</f>
        <v>NP</v>
      </c>
      <c r="L3288" s="26" t="str">
        <f>"DGOSE"</f>
        <v>DGOSE</v>
      </c>
      <c r="M3288" s="26" t="str">
        <f t="shared" si="644"/>
        <v>PARTICULAR</v>
      </c>
      <c r="N3288" s="26">
        <v>6</v>
      </c>
      <c r="O3288" s="26">
        <v>1</v>
      </c>
      <c r="P3288" s="26">
        <v>5</v>
      </c>
      <c r="Q3288" s="26">
        <v>1</v>
      </c>
      <c r="R3288" s="26">
        <v>1</v>
      </c>
      <c r="S3288" s="26">
        <v>1</v>
      </c>
      <c r="T3288" s="26">
        <v>3</v>
      </c>
      <c r="U3288" s="26">
        <v>5</v>
      </c>
      <c r="V3288" s="26">
        <v>1</v>
      </c>
      <c r="W3288" s="26"/>
    </row>
    <row r="3289" spans="1:23" x14ac:dyDescent="0.25">
      <c r="A3289" s="26" t="str">
        <f t="shared" si="645"/>
        <v>PREESCOLAR</v>
      </c>
      <c r="B3289" s="26" t="str">
        <f>"09PJN6048K"</f>
        <v>09PJN6048K</v>
      </c>
      <c r="C3289" s="26" t="str">
        <f>"IZKALOTL                                                                                            "</f>
        <v xml:space="preserve">IZKALOTL                                                                                            </v>
      </c>
      <c r="D3289" s="26" t="str">
        <f>"MATUTINO"</f>
        <v>MATUTINO</v>
      </c>
      <c r="E3289" s="26" t="str">
        <f>"TRIPOLI NO. 1010                                                                "</f>
        <v xml:space="preserve">TRIPOLI NO. 1010                                                                </v>
      </c>
      <c r="F3289" s="26" t="str">
        <f>"GENERAL PEDRO MARIA ANAYA                                                                                                                   "</f>
        <v xml:space="preserve">GENERAL PEDRO MARIA ANAYA                                                                                                                   </v>
      </c>
      <c r="G3289" s="26" t="str">
        <f>"BENITO JUAREZ                                                                   "</f>
        <v xml:space="preserve">BENITO JUAREZ                                                                   </v>
      </c>
      <c r="H3289" s="26" t="str">
        <f>"087"</f>
        <v>087</v>
      </c>
      <c r="I3289" s="26" t="str">
        <f t="shared" si="641"/>
        <v>00</v>
      </c>
      <c r="J3289" s="26" t="str">
        <f>"33 "</f>
        <v xml:space="preserve">33 </v>
      </c>
      <c r="K3289" s="26" t="str">
        <f>"EP"</f>
        <v>EP</v>
      </c>
      <c r="L3289" s="26" t="str">
        <f>"DGOSE"</f>
        <v>DGOSE</v>
      </c>
      <c r="M3289" s="26" t="str">
        <f t="shared" si="644"/>
        <v>PARTICULAR</v>
      </c>
      <c r="N3289" s="26">
        <v>12</v>
      </c>
      <c r="O3289" s="26">
        <v>2</v>
      </c>
      <c r="P3289" s="26">
        <v>10</v>
      </c>
      <c r="Q3289" s="26">
        <v>1</v>
      </c>
      <c r="R3289" s="26">
        <v>1</v>
      </c>
      <c r="S3289" s="26">
        <v>1</v>
      </c>
      <c r="T3289" s="26">
        <v>5</v>
      </c>
      <c r="U3289" s="26">
        <v>7</v>
      </c>
      <c r="V3289" s="26">
        <v>1</v>
      </c>
      <c r="W3289" s="26"/>
    </row>
    <row r="3290" spans="1:23" x14ac:dyDescent="0.25">
      <c r="A3290" s="26" t="str">
        <f t="shared" si="645"/>
        <v>PREESCOLAR</v>
      </c>
      <c r="B3290" s="26" t="str">
        <f>"09PJN6049J"</f>
        <v>09PJN6049J</v>
      </c>
      <c r="C3290" s="26" t="str">
        <f>"RAINBOW MULTICULTURAL GARDEN                                                                        "</f>
        <v xml:space="preserve">RAINBOW MULTICULTURAL GARDEN                                                                        </v>
      </c>
      <c r="D3290" s="26" t="str">
        <f>"MATUTINO"</f>
        <v>MATUTINO</v>
      </c>
      <c r="E3290" s="26" t="str">
        <f>"TALLER DE CAOSULAS NO. 13                                                       "</f>
        <v xml:space="preserve">TALLER DE CAOSULAS NO. 13                                                       </v>
      </c>
      <c r="F3290" s="26" t="str">
        <f>"LOMAS DE CHAMIZAL                                                                                                                           "</f>
        <v xml:space="preserve">LOMAS DE CHAMIZAL                                                                                                                           </v>
      </c>
      <c r="G3290" s="26" t="str">
        <f>"CUAJIMALPA DE MORELOS                                                           "</f>
        <v xml:space="preserve">CUAJIMALPA DE MORELOS                                                           </v>
      </c>
      <c r="H3290" s="26" t="str">
        <f>"089"</f>
        <v>089</v>
      </c>
      <c r="I3290" s="26" t="str">
        <f t="shared" si="641"/>
        <v>00</v>
      </c>
      <c r="J3290" s="26" t="str">
        <f>"33 "</f>
        <v xml:space="preserve">33 </v>
      </c>
      <c r="K3290" s="26" t="str">
        <f>"EP"</f>
        <v>EP</v>
      </c>
      <c r="L3290" s="26" t="str">
        <f>"DGOSE"</f>
        <v>DGOSE</v>
      </c>
      <c r="M3290" s="26" t="str">
        <f t="shared" si="644"/>
        <v>PARTICULAR</v>
      </c>
      <c r="N3290" s="26">
        <v>2</v>
      </c>
      <c r="O3290" s="26">
        <v>1</v>
      </c>
      <c r="P3290" s="26">
        <v>1</v>
      </c>
      <c r="Q3290" s="26">
        <v>2</v>
      </c>
      <c r="R3290" s="26">
        <v>1</v>
      </c>
      <c r="S3290" s="26">
        <v>1</v>
      </c>
      <c r="T3290" s="26">
        <v>0</v>
      </c>
      <c r="U3290" s="26">
        <v>2</v>
      </c>
      <c r="V3290" s="26">
        <v>1</v>
      </c>
      <c r="W3290" s="26"/>
    </row>
    <row r="3291" spans="1:23" x14ac:dyDescent="0.25">
      <c r="A3291" s="26" t="str">
        <f t="shared" si="645"/>
        <v>PREESCOLAR</v>
      </c>
      <c r="B3291" s="26" t="str">
        <f>"09PJN6050Z"</f>
        <v>09PJN6050Z</v>
      </c>
      <c r="C3291" s="26" t="str">
        <f>"COLEGIO VERER                                                                                       "</f>
        <v xml:space="preserve">COLEGIO VERER                                                                                       </v>
      </c>
      <c r="D3291" s="26" t="str">
        <f>"MATUTINO"</f>
        <v>MATUTINO</v>
      </c>
      <c r="E3291" s="26" t="str">
        <f>"ZEMPOALA NO 157                                                                 "</f>
        <v xml:space="preserve">ZEMPOALA NO 157                                                                 </v>
      </c>
      <c r="F3291" s="26" t="str">
        <f>"NARVARTE                                                                                                                                    "</f>
        <v xml:space="preserve">NARVARTE                                                                                                                                    </v>
      </c>
      <c r="G3291" s="26" t="str">
        <f>"BENITO JUAREZ                                                                   "</f>
        <v xml:space="preserve">BENITO JUAREZ                                                                   </v>
      </c>
      <c r="H3291" s="26" t="str">
        <f>"029"</f>
        <v>029</v>
      </c>
      <c r="I3291" s="26" t="str">
        <f t="shared" si="641"/>
        <v>00</v>
      </c>
      <c r="J3291" s="26" t="str">
        <f>"33 "</f>
        <v xml:space="preserve">33 </v>
      </c>
      <c r="K3291" s="26" t="str">
        <f>"EP"</f>
        <v>EP</v>
      </c>
      <c r="L3291" s="26" t="str">
        <f>"DGOSE"</f>
        <v>DGOSE</v>
      </c>
      <c r="M3291" s="26" t="str">
        <f t="shared" si="644"/>
        <v>PARTICULAR</v>
      </c>
      <c r="N3291" s="26">
        <v>8</v>
      </c>
      <c r="O3291" s="26">
        <v>2</v>
      </c>
      <c r="P3291" s="26">
        <v>6</v>
      </c>
      <c r="Q3291" s="26">
        <v>2</v>
      </c>
      <c r="R3291" s="26">
        <v>1</v>
      </c>
      <c r="S3291" s="26">
        <v>2</v>
      </c>
      <c r="T3291" s="26">
        <v>5</v>
      </c>
      <c r="U3291" s="26">
        <v>8</v>
      </c>
      <c r="V3291" s="26">
        <v>1</v>
      </c>
      <c r="W3291" s="26"/>
    </row>
    <row r="3292" spans="1:23" x14ac:dyDescent="0.25">
      <c r="A3292" s="26" t="s">
        <v>3971</v>
      </c>
      <c r="B3292" s="26" t="s">
        <v>177</v>
      </c>
      <c r="C3292" s="26" t="s">
        <v>178</v>
      </c>
      <c r="D3292" s="26" t="s">
        <v>179</v>
      </c>
      <c r="E3292" s="26" t="s">
        <v>180</v>
      </c>
      <c r="F3292" s="26" t="s">
        <v>181</v>
      </c>
      <c r="G3292" s="26" t="s">
        <v>182</v>
      </c>
      <c r="H3292" s="26" t="s">
        <v>183</v>
      </c>
      <c r="I3292" s="26" t="s">
        <v>184</v>
      </c>
      <c r="J3292" s="26" t="s">
        <v>185</v>
      </c>
      <c r="K3292" s="26" t="s">
        <v>186</v>
      </c>
      <c r="L3292" s="26" t="s">
        <v>79</v>
      </c>
      <c r="M3292" s="26" t="s">
        <v>77</v>
      </c>
      <c r="N3292" s="26">
        <v>83</v>
      </c>
      <c r="O3292" s="26">
        <v>39</v>
      </c>
      <c r="P3292" s="26">
        <v>44</v>
      </c>
      <c r="Q3292" s="26">
        <v>5</v>
      </c>
      <c r="R3292" s="26">
        <v>0</v>
      </c>
      <c r="S3292" s="26">
        <v>11</v>
      </c>
      <c r="T3292" s="26">
        <v>0</v>
      </c>
      <c r="U3292" s="26">
        <v>11</v>
      </c>
      <c r="V3292" s="26">
        <v>0</v>
      </c>
      <c r="W3292" s="26" t="s">
        <v>218</v>
      </c>
    </row>
    <row r="3293" spans="1:23" x14ac:dyDescent="0.25">
      <c r="A3293" s="26" t="s">
        <v>3971</v>
      </c>
      <c r="B3293" s="26" t="s">
        <v>187</v>
      </c>
      <c r="C3293" s="26" t="s">
        <v>188</v>
      </c>
      <c r="D3293" s="26" t="s">
        <v>179</v>
      </c>
      <c r="E3293" s="26" t="s">
        <v>189</v>
      </c>
      <c r="F3293" s="26" t="s">
        <v>190</v>
      </c>
      <c r="G3293" s="26" t="s">
        <v>191</v>
      </c>
      <c r="H3293" s="26" t="s">
        <v>192</v>
      </c>
      <c r="I3293" s="26" t="s">
        <v>184</v>
      </c>
      <c r="J3293" s="26" t="s">
        <v>193</v>
      </c>
      <c r="K3293" s="26" t="s">
        <v>186</v>
      </c>
      <c r="L3293" s="26" t="s">
        <v>79</v>
      </c>
      <c r="M3293" s="26" t="s">
        <v>77</v>
      </c>
      <c r="N3293" s="26">
        <v>54</v>
      </c>
      <c r="O3293" s="26">
        <v>32</v>
      </c>
      <c r="P3293" s="26">
        <v>22</v>
      </c>
      <c r="Q3293" s="26">
        <v>3</v>
      </c>
      <c r="R3293" s="26">
        <v>0</v>
      </c>
      <c r="S3293" s="26">
        <v>7</v>
      </c>
      <c r="T3293" s="26">
        <v>0</v>
      </c>
      <c r="U3293" s="26">
        <v>7</v>
      </c>
      <c r="V3293" s="26">
        <v>0</v>
      </c>
      <c r="W3293" s="26" t="s">
        <v>218</v>
      </c>
    </row>
    <row r="3294" spans="1:23" x14ac:dyDescent="0.25">
      <c r="A3294" s="26" t="s">
        <v>3971</v>
      </c>
      <c r="B3294" s="26" t="s">
        <v>194</v>
      </c>
      <c r="C3294" s="26" t="s">
        <v>195</v>
      </c>
      <c r="D3294" s="26" t="s">
        <v>179</v>
      </c>
      <c r="E3294" s="26" t="s">
        <v>196</v>
      </c>
      <c r="F3294" s="26" t="s">
        <v>197</v>
      </c>
      <c r="G3294" s="26" t="s">
        <v>198</v>
      </c>
      <c r="H3294" s="26" t="s">
        <v>199</v>
      </c>
      <c r="I3294" s="26" t="s">
        <v>184</v>
      </c>
      <c r="J3294" s="26" t="s">
        <v>193</v>
      </c>
      <c r="K3294" s="26" t="s">
        <v>186</v>
      </c>
      <c r="L3294" s="26" t="s">
        <v>79</v>
      </c>
      <c r="M3294" s="26" t="s">
        <v>77</v>
      </c>
      <c r="N3294" s="26">
        <v>49</v>
      </c>
      <c r="O3294" s="26">
        <v>28</v>
      </c>
      <c r="P3294" s="26">
        <v>21</v>
      </c>
      <c r="Q3294" s="26">
        <v>4</v>
      </c>
      <c r="R3294" s="26">
        <v>0</v>
      </c>
      <c r="S3294" s="26">
        <v>8</v>
      </c>
      <c r="T3294" s="26">
        <v>0</v>
      </c>
      <c r="U3294" s="26">
        <v>8</v>
      </c>
      <c r="V3294" s="26">
        <v>0</v>
      </c>
      <c r="W3294" s="26" t="s">
        <v>218</v>
      </c>
    </row>
    <row r="3295" spans="1:23" x14ac:dyDescent="0.25">
      <c r="A3295" s="26" t="s">
        <v>3971</v>
      </c>
      <c r="B3295" s="26" t="s">
        <v>200</v>
      </c>
      <c r="C3295" s="26" t="s">
        <v>201</v>
      </c>
      <c r="D3295" s="26" t="s">
        <v>179</v>
      </c>
      <c r="E3295" s="26" t="s">
        <v>202</v>
      </c>
      <c r="F3295" s="26" t="s">
        <v>203</v>
      </c>
      <c r="G3295" s="26" t="s">
        <v>204</v>
      </c>
      <c r="H3295" s="26" t="s">
        <v>205</v>
      </c>
      <c r="I3295" s="26" t="s">
        <v>184</v>
      </c>
      <c r="J3295" s="26" t="s">
        <v>185</v>
      </c>
      <c r="K3295" s="26" t="s">
        <v>186</v>
      </c>
      <c r="L3295" s="26" t="s">
        <v>79</v>
      </c>
      <c r="M3295" s="26" t="s">
        <v>77</v>
      </c>
      <c r="N3295" s="26">
        <v>69</v>
      </c>
      <c r="O3295" s="26">
        <v>35</v>
      </c>
      <c r="P3295" s="26">
        <v>34</v>
      </c>
      <c r="Q3295" s="26">
        <v>5</v>
      </c>
      <c r="R3295" s="26">
        <v>0</v>
      </c>
      <c r="S3295" s="26">
        <v>11</v>
      </c>
      <c r="T3295" s="26">
        <v>0</v>
      </c>
      <c r="U3295" s="26">
        <v>11</v>
      </c>
      <c r="V3295" s="26">
        <v>0</v>
      </c>
      <c r="W3295" s="26" t="s">
        <v>218</v>
      </c>
    </row>
    <row r="3296" spans="1:23" x14ac:dyDescent="0.25">
      <c r="A3296" s="26" t="s">
        <v>3971</v>
      </c>
      <c r="B3296" s="26" t="s">
        <v>206</v>
      </c>
      <c r="C3296" s="26" t="s">
        <v>207</v>
      </c>
      <c r="D3296" s="26" t="s">
        <v>179</v>
      </c>
      <c r="E3296" s="26" t="s">
        <v>208</v>
      </c>
      <c r="F3296" s="26" t="s">
        <v>209</v>
      </c>
      <c r="G3296" s="26" t="s">
        <v>210</v>
      </c>
      <c r="H3296" s="26" t="s">
        <v>211</v>
      </c>
      <c r="I3296" s="26" t="s">
        <v>184</v>
      </c>
      <c r="J3296" s="26" t="s">
        <v>185</v>
      </c>
      <c r="K3296" s="26" t="s">
        <v>186</v>
      </c>
      <c r="L3296" s="26" t="s">
        <v>79</v>
      </c>
      <c r="M3296" s="26" t="s">
        <v>77</v>
      </c>
      <c r="N3296" s="26">
        <v>104</v>
      </c>
      <c r="O3296" s="26">
        <v>70</v>
      </c>
      <c r="P3296" s="26">
        <v>34</v>
      </c>
      <c r="Q3296" s="26">
        <v>4</v>
      </c>
      <c r="R3296" s="26">
        <v>0</v>
      </c>
      <c r="S3296" s="26">
        <v>9</v>
      </c>
      <c r="T3296" s="26">
        <v>0</v>
      </c>
      <c r="U3296" s="26">
        <v>9</v>
      </c>
      <c r="V3296" s="26">
        <v>0</v>
      </c>
      <c r="W3296" s="26" t="s">
        <v>218</v>
      </c>
    </row>
    <row r="3297" spans="1:23" x14ac:dyDescent="0.25">
      <c r="A3297" s="26" t="s">
        <v>3971</v>
      </c>
      <c r="B3297" s="26" t="s">
        <v>212</v>
      </c>
      <c r="C3297" s="26" t="s">
        <v>213</v>
      </c>
      <c r="D3297" s="26" t="s">
        <v>179</v>
      </c>
      <c r="E3297" s="26" t="s">
        <v>214</v>
      </c>
      <c r="F3297" s="26" t="s">
        <v>215</v>
      </c>
      <c r="G3297" s="26" t="s">
        <v>210</v>
      </c>
      <c r="H3297" s="26" t="s">
        <v>211</v>
      </c>
      <c r="I3297" s="26" t="s">
        <v>184</v>
      </c>
      <c r="J3297" s="26" t="s">
        <v>185</v>
      </c>
      <c r="K3297" s="26" t="s">
        <v>186</v>
      </c>
      <c r="L3297" s="26" t="s">
        <v>79</v>
      </c>
      <c r="M3297" s="26" t="s">
        <v>77</v>
      </c>
      <c r="N3297" s="26">
        <v>38</v>
      </c>
      <c r="O3297" s="26">
        <v>18</v>
      </c>
      <c r="P3297" s="26">
        <v>20</v>
      </c>
      <c r="Q3297" s="26">
        <v>3</v>
      </c>
      <c r="R3297" s="26">
        <v>0</v>
      </c>
      <c r="S3297" s="26">
        <v>7</v>
      </c>
      <c r="T3297" s="26">
        <v>0</v>
      </c>
      <c r="U3297" s="26">
        <v>7</v>
      </c>
      <c r="V3297" s="26">
        <v>0</v>
      </c>
      <c r="W3297" s="26" t="s">
        <v>218</v>
      </c>
    </row>
    <row r="3298" spans="1:23" x14ac:dyDescent="0.25">
      <c r="A3298" s="26" t="s">
        <v>3971</v>
      </c>
      <c r="B3298" s="26" t="s">
        <v>216</v>
      </c>
      <c r="C3298" s="26" t="s">
        <v>217</v>
      </c>
      <c r="D3298" s="26" t="s">
        <v>218</v>
      </c>
      <c r="E3298" s="26" t="s">
        <v>219</v>
      </c>
      <c r="F3298" s="26" t="s">
        <v>220</v>
      </c>
      <c r="G3298" s="26" t="s">
        <v>182</v>
      </c>
      <c r="H3298" s="26" t="s">
        <v>221</v>
      </c>
      <c r="I3298" s="26" t="s">
        <v>184</v>
      </c>
      <c r="J3298" s="26" t="s">
        <v>185</v>
      </c>
      <c r="K3298" s="26" t="s">
        <v>186</v>
      </c>
      <c r="L3298" s="26" t="s">
        <v>79</v>
      </c>
      <c r="M3298" s="26" t="s">
        <v>77</v>
      </c>
      <c r="N3298" s="26">
        <v>82</v>
      </c>
      <c r="O3298" s="26">
        <v>42</v>
      </c>
      <c r="P3298" s="26">
        <v>40</v>
      </c>
      <c r="Q3298" s="26">
        <v>5</v>
      </c>
      <c r="R3298" s="26">
        <v>0</v>
      </c>
      <c r="S3298" s="26">
        <v>24</v>
      </c>
      <c r="T3298" s="26">
        <v>0</v>
      </c>
      <c r="U3298" s="26">
        <v>24</v>
      </c>
      <c r="V3298" s="26">
        <v>0</v>
      </c>
      <c r="W3298" s="26" t="s">
        <v>218</v>
      </c>
    </row>
    <row r="3299" spans="1:23" x14ac:dyDescent="0.25">
      <c r="A3299" s="26" t="s">
        <v>3971</v>
      </c>
      <c r="B3299" s="26" t="s">
        <v>222</v>
      </c>
      <c r="C3299" s="26" t="s">
        <v>223</v>
      </c>
      <c r="D3299" s="26" t="s">
        <v>179</v>
      </c>
      <c r="E3299" s="26" t="s">
        <v>224</v>
      </c>
      <c r="F3299" s="26" t="s">
        <v>225</v>
      </c>
      <c r="G3299" s="26" t="s">
        <v>226</v>
      </c>
      <c r="H3299" s="26" t="s">
        <v>227</v>
      </c>
      <c r="I3299" s="26" t="s">
        <v>184</v>
      </c>
      <c r="J3299" s="26" t="s">
        <v>193</v>
      </c>
      <c r="K3299" s="26" t="s">
        <v>186</v>
      </c>
      <c r="L3299" s="26" t="s">
        <v>79</v>
      </c>
      <c r="M3299" s="26" t="s">
        <v>77</v>
      </c>
      <c r="N3299" s="26">
        <v>47</v>
      </c>
      <c r="O3299" s="26">
        <v>25</v>
      </c>
      <c r="P3299" s="26">
        <v>22</v>
      </c>
      <c r="Q3299" s="26">
        <v>4</v>
      </c>
      <c r="R3299" s="26">
        <v>0</v>
      </c>
      <c r="S3299" s="26">
        <v>12</v>
      </c>
      <c r="T3299" s="26">
        <v>0</v>
      </c>
      <c r="U3299" s="26">
        <v>12</v>
      </c>
      <c r="V3299" s="26">
        <v>0</v>
      </c>
      <c r="W3299" s="26" t="s">
        <v>218</v>
      </c>
    </row>
    <row r="3300" spans="1:23" x14ac:dyDescent="0.25">
      <c r="A3300" s="26" t="s">
        <v>3971</v>
      </c>
      <c r="B3300" s="26" t="s">
        <v>228</v>
      </c>
      <c r="C3300" s="26" t="s">
        <v>229</v>
      </c>
      <c r="D3300" s="26" t="s">
        <v>179</v>
      </c>
      <c r="E3300" s="26" t="s">
        <v>230</v>
      </c>
      <c r="F3300" s="26" t="s">
        <v>231</v>
      </c>
      <c r="G3300" s="26" t="s">
        <v>198</v>
      </c>
      <c r="H3300" s="26" t="s">
        <v>199</v>
      </c>
      <c r="I3300" s="26" t="s">
        <v>184</v>
      </c>
      <c r="J3300" s="26" t="s">
        <v>193</v>
      </c>
      <c r="K3300" s="26" t="s">
        <v>186</v>
      </c>
      <c r="L3300" s="26" t="s">
        <v>79</v>
      </c>
      <c r="M3300" s="26" t="s">
        <v>77</v>
      </c>
      <c r="N3300" s="26">
        <v>60</v>
      </c>
      <c r="O3300" s="26">
        <v>28</v>
      </c>
      <c r="P3300" s="26">
        <v>32</v>
      </c>
      <c r="Q3300" s="26">
        <v>4</v>
      </c>
      <c r="R3300" s="26">
        <v>0</v>
      </c>
      <c r="S3300" s="26">
        <v>11</v>
      </c>
      <c r="T3300" s="26">
        <v>0</v>
      </c>
      <c r="U3300" s="26">
        <v>11</v>
      </c>
      <c r="V3300" s="26">
        <v>0</v>
      </c>
      <c r="W3300" s="26" t="s">
        <v>218</v>
      </c>
    </row>
    <row r="3301" spans="1:23" x14ac:dyDescent="0.25">
      <c r="A3301" s="26" t="s">
        <v>3971</v>
      </c>
      <c r="B3301" s="26" t="s">
        <v>236</v>
      </c>
      <c r="C3301" s="26" t="s">
        <v>237</v>
      </c>
      <c r="D3301" s="26" t="s">
        <v>179</v>
      </c>
      <c r="E3301" s="26" t="s">
        <v>238</v>
      </c>
      <c r="F3301" s="26" t="s">
        <v>239</v>
      </c>
      <c r="G3301" s="26" t="s">
        <v>198</v>
      </c>
      <c r="H3301" s="26" t="s">
        <v>227</v>
      </c>
      <c r="I3301" s="26" t="s">
        <v>184</v>
      </c>
      <c r="J3301" s="26" t="s">
        <v>193</v>
      </c>
      <c r="K3301" s="26" t="s">
        <v>186</v>
      </c>
      <c r="L3301" s="26" t="s">
        <v>79</v>
      </c>
      <c r="M3301" s="26" t="s">
        <v>77</v>
      </c>
      <c r="N3301" s="26">
        <v>50</v>
      </c>
      <c r="O3301" s="26">
        <v>21</v>
      </c>
      <c r="P3301" s="26">
        <v>29</v>
      </c>
      <c r="Q3301" s="26">
        <v>3</v>
      </c>
      <c r="R3301" s="26">
        <v>0</v>
      </c>
      <c r="S3301" s="26">
        <v>6</v>
      </c>
      <c r="T3301" s="26">
        <v>0</v>
      </c>
      <c r="U3301" s="26">
        <v>6</v>
      </c>
      <c r="V3301" s="26">
        <v>0</v>
      </c>
      <c r="W3301" s="26" t="s">
        <v>218</v>
      </c>
    </row>
    <row r="3302" spans="1:23" x14ac:dyDescent="0.25">
      <c r="A3302" s="26" t="s">
        <v>3971</v>
      </c>
      <c r="B3302" s="26" t="s">
        <v>240</v>
      </c>
      <c r="C3302" s="26" t="s">
        <v>241</v>
      </c>
      <c r="D3302" s="26" t="s">
        <v>179</v>
      </c>
      <c r="E3302" s="26" t="s">
        <v>242</v>
      </c>
      <c r="F3302" s="26" t="s">
        <v>243</v>
      </c>
      <c r="G3302" s="26" t="s">
        <v>210</v>
      </c>
      <c r="H3302" s="26" t="s">
        <v>211</v>
      </c>
      <c r="I3302" s="26" t="s">
        <v>184</v>
      </c>
      <c r="J3302" s="26" t="s">
        <v>185</v>
      </c>
      <c r="K3302" s="26" t="s">
        <v>186</v>
      </c>
      <c r="L3302" s="26" t="s">
        <v>79</v>
      </c>
      <c r="M3302" s="26" t="s">
        <v>77</v>
      </c>
      <c r="N3302" s="26">
        <v>125</v>
      </c>
      <c r="O3302" s="26">
        <v>70</v>
      </c>
      <c r="P3302" s="26">
        <v>55</v>
      </c>
      <c r="Q3302" s="26">
        <v>5</v>
      </c>
      <c r="R3302" s="26">
        <v>0</v>
      </c>
      <c r="S3302" s="26">
        <v>18</v>
      </c>
      <c r="T3302" s="26">
        <v>0</v>
      </c>
      <c r="U3302" s="26">
        <v>18</v>
      </c>
      <c r="V3302" s="26">
        <v>0</v>
      </c>
      <c r="W3302" s="26" t="s">
        <v>218</v>
      </c>
    </row>
    <row r="3303" spans="1:23" x14ac:dyDescent="0.25">
      <c r="A3303" s="26" t="s">
        <v>3971</v>
      </c>
      <c r="B3303" s="26" t="s">
        <v>244</v>
      </c>
      <c r="C3303" s="26" t="s">
        <v>245</v>
      </c>
      <c r="D3303" s="26" t="s">
        <v>179</v>
      </c>
      <c r="E3303" s="26" t="s">
        <v>246</v>
      </c>
      <c r="F3303" s="26" t="s">
        <v>247</v>
      </c>
      <c r="G3303" s="26" t="s">
        <v>198</v>
      </c>
      <c r="H3303" s="26" t="s">
        <v>199</v>
      </c>
      <c r="I3303" s="26" t="s">
        <v>184</v>
      </c>
      <c r="J3303" s="26" t="s">
        <v>193</v>
      </c>
      <c r="K3303" s="26" t="s">
        <v>186</v>
      </c>
      <c r="L3303" s="26" t="s">
        <v>79</v>
      </c>
      <c r="M3303" s="26" t="s">
        <v>77</v>
      </c>
      <c r="N3303" s="26">
        <v>48</v>
      </c>
      <c r="O3303" s="26">
        <v>25</v>
      </c>
      <c r="P3303" s="26">
        <v>23</v>
      </c>
      <c r="Q3303" s="26">
        <v>3</v>
      </c>
      <c r="R3303" s="26">
        <v>0</v>
      </c>
      <c r="S3303" s="26">
        <v>6</v>
      </c>
      <c r="T3303" s="26">
        <v>0</v>
      </c>
      <c r="U3303" s="26">
        <v>6</v>
      </c>
      <c r="V3303" s="26">
        <v>0</v>
      </c>
      <c r="W3303" s="26" t="s">
        <v>218</v>
      </c>
    </row>
    <row r="3304" spans="1:23" x14ac:dyDescent="0.25">
      <c r="A3304" s="26" t="s">
        <v>3971</v>
      </c>
      <c r="B3304" s="26" t="s">
        <v>248</v>
      </c>
      <c r="C3304" s="26" t="s">
        <v>249</v>
      </c>
      <c r="D3304" s="26" t="s">
        <v>179</v>
      </c>
      <c r="E3304" s="26" t="s">
        <v>250</v>
      </c>
      <c r="F3304" s="26" t="s">
        <v>251</v>
      </c>
      <c r="G3304" s="26" t="s">
        <v>252</v>
      </c>
      <c r="H3304" s="26" t="s">
        <v>192</v>
      </c>
      <c r="I3304" s="26" t="s">
        <v>184</v>
      </c>
      <c r="J3304" s="26" t="s">
        <v>193</v>
      </c>
      <c r="K3304" s="26" t="s">
        <v>186</v>
      </c>
      <c r="L3304" s="26" t="s">
        <v>79</v>
      </c>
      <c r="M3304" s="26" t="s">
        <v>77</v>
      </c>
      <c r="N3304" s="26">
        <v>62</v>
      </c>
      <c r="O3304" s="26">
        <v>29</v>
      </c>
      <c r="P3304" s="26">
        <v>33</v>
      </c>
      <c r="Q3304" s="26">
        <v>4</v>
      </c>
      <c r="R3304" s="26">
        <v>0</v>
      </c>
      <c r="S3304" s="26">
        <v>8</v>
      </c>
      <c r="T3304" s="26">
        <v>0</v>
      </c>
      <c r="U3304" s="26">
        <v>8</v>
      </c>
      <c r="V3304" s="26">
        <v>0</v>
      </c>
      <c r="W3304" s="26" t="s">
        <v>218</v>
      </c>
    </row>
    <row r="3305" spans="1:23" x14ac:dyDescent="0.25">
      <c r="A3305" s="26" t="s">
        <v>3971</v>
      </c>
      <c r="B3305" s="26" t="s">
        <v>253</v>
      </c>
      <c r="C3305" s="26" t="s">
        <v>254</v>
      </c>
      <c r="D3305" s="26" t="s">
        <v>179</v>
      </c>
      <c r="E3305" s="26" t="s">
        <v>255</v>
      </c>
      <c r="F3305" s="26" t="s">
        <v>256</v>
      </c>
      <c r="G3305" s="26" t="s">
        <v>204</v>
      </c>
      <c r="H3305" s="26" t="s">
        <v>205</v>
      </c>
      <c r="I3305" s="26" t="s">
        <v>184</v>
      </c>
      <c r="J3305" s="26" t="s">
        <v>185</v>
      </c>
      <c r="K3305" s="26" t="s">
        <v>186</v>
      </c>
      <c r="L3305" s="26" t="s">
        <v>79</v>
      </c>
      <c r="M3305" s="26" t="s">
        <v>77</v>
      </c>
      <c r="N3305" s="26">
        <v>65</v>
      </c>
      <c r="O3305" s="26">
        <v>37</v>
      </c>
      <c r="P3305" s="26">
        <v>28</v>
      </c>
      <c r="Q3305" s="26">
        <v>4</v>
      </c>
      <c r="R3305" s="26">
        <v>0</v>
      </c>
      <c r="S3305" s="26">
        <v>7</v>
      </c>
      <c r="T3305" s="26">
        <v>0</v>
      </c>
      <c r="U3305" s="26">
        <v>7</v>
      </c>
      <c r="V3305" s="26">
        <v>0</v>
      </c>
      <c r="W3305" s="26" t="s">
        <v>218</v>
      </c>
    </row>
    <row r="3306" spans="1:23" x14ac:dyDescent="0.25">
      <c r="A3306" s="26" t="s">
        <v>3971</v>
      </c>
      <c r="B3306" s="26" t="s">
        <v>257</v>
      </c>
      <c r="C3306" s="26" t="s">
        <v>258</v>
      </c>
      <c r="D3306" s="26" t="s">
        <v>179</v>
      </c>
      <c r="E3306" s="26" t="s">
        <v>259</v>
      </c>
      <c r="F3306" s="26" t="s">
        <v>260</v>
      </c>
      <c r="G3306" s="26" t="s">
        <v>198</v>
      </c>
      <c r="H3306" s="26" t="s">
        <v>199</v>
      </c>
      <c r="I3306" s="26" t="s">
        <v>184</v>
      </c>
      <c r="J3306" s="26" t="s">
        <v>193</v>
      </c>
      <c r="K3306" s="26" t="s">
        <v>186</v>
      </c>
      <c r="L3306" s="26" t="s">
        <v>79</v>
      </c>
      <c r="M3306" s="26" t="s">
        <v>77</v>
      </c>
      <c r="N3306" s="26">
        <v>42</v>
      </c>
      <c r="O3306" s="26">
        <v>24</v>
      </c>
      <c r="P3306" s="26">
        <v>18</v>
      </c>
      <c r="Q3306" s="26">
        <v>3</v>
      </c>
      <c r="R3306" s="26">
        <v>0</v>
      </c>
      <c r="S3306" s="26">
        <v>7</v>
      </c>
      <c r="T3306" s="26">
        <v>0</v>
      </c>
      <c r="U3306" s="26">
        <v>7</v>
      </c>
      <c r="V3306" s="26">
        <v>0</v>
      </c>
      <c r="W3306" s="26" t="s">
        <v>218</v>
      </c>
    </row>
    <row r="3307" spans="1:23" x14ac:dyDescent="0.25">
      <c r="A3307" s="26" t="s">
        <v>3971</v>
      </c>
      <c r="B3307" s="26" t="s">
        <v>261</v>
      </c>
      <c r="C3307" s="26" t="s">
        <v>262</v>
      </c>
      <c r="D3307" s="26" t="s">
        <v>179</v>
      </c>
      <c r="E3307" s="26" t="s">
        <v>263</v>
      </c>
      <c r="F3307" s="26" t="s">
        <v>264</v>
      </c>
      <c r="G3307" s="26" t="s">
        <v>265</v>
      </c>
      <c r="H3307" s="26" t="s">
        <v>205</v>
      </c>
      <c r="I3307" s="26" t="s">
        <v>184</v>
      </c>
      <c r="J3307" s="26" t="s">
        <v>185</v>
      </c>
      <c r="K3307" s="26" t="s">
        <v>186</v>
      </c>
      <c r="L3307" s="26" t="s">
        <v>79</v>
      </c>
      <c r="M3307" s="26" t="s">
        <v>77</v>
      </c>
      <c r="N3307" s="26">
        <v>44</v>
      </c>
      <c r="O3307" s="26">
        <v>17</v>
      </c>
      <c r="P3307" s="26">
        <v>27</v>
      </c>
      <c r="Q3307" s="26">
        <v>4</v>
      </c>
      <c r="R3307" s="26">
        <v>0</v>
      </c>
      <c r="S3307" s="26">
        <v>10</v>
      </c>
      <c r="T3307" s="26">
        <v>0</v>
      </c>
      <c r="U3307" s="26">
        <v>10</v>
      </c>
      <c r="V3307" s="26">
        <v>0</v>
      </c>
      <c r="W3307" s="26" t="s">
        <v>218</v>
      </c>
    </row>
    <row r="3308" spans="1:23" x14ac:dyDescent="0.25">
      <c r="A3308" s="26" t="s">
        <v>3971</v>
      </c>
      <c r="B3308" s="26" t="s">
        <v>266</v>
      </c>
      <c r="C3308" s="26" t="s">
        <v>267</v>
      </c>
      <c r="D3308" s="26" t="s">
        <v>179</v>
      </c>
      <c r="E3308" s="26" t="s">
        <v>268</v>
      </c>
      <c r="F3308" s="26" t="s">
        <v>269</v>
      </c>
      <c r="G3308" s="26" t="s">
        <v>210</v>
      </c>
      <c r="H3308" s="26" t="s">
        <v>211</v>
      </c>
      <c r="I3308" s="26" t="s">
        <v>184</v>
      </c>
      <c r="J3308" s="26" t="s">
        <v>185</v>
      </c>
      <c r="K3308" s="26" t="s">
        <v>186</v>
      </c>
      <c r="L3308" s="26" t="s">
        <v>79</v>
      </c>
      <c r="M3308" s="26" t="s">
        <v>77</v>
      </c>
      <c r="N3308" s="26">
        <v>98</v>
      </c>
      <c r="O3308" s="26">
        <v>46</v>
      </c>
      <c r="P3308" s="26">
        <v>52</v>
      </c>
      <c r="Q3308" s="26">
        <v>4</v>
      </c>
      <c r="R3308" s="26">
        <v>0</v>
      </c>
      <c r="S3308" s="26">
        <v>12</v>
      </c>
      <c r="T3308" s="26">
        <v>0</v>
      </c>
      <c r="U3308" s="26">
        <v>12</v>
      </c>
      <c r="V3308" s="26">
        <v>0</v>
      </c>
      <c r="W3308" s="26" t="s">
        <v>218</v>
      </c>
    </row>
    <row r="3309" spans="1:23" x14ac:dyDescent="0.25">
      <c r="A3309" s="26" t="s">
        <v>3971</v>
      </c>
      <c r="B3309" s="26" t="s">
        <v>270</v>
      </c>
      <c r="C3309" s="26" t="s">
        <v>271</v>
      </c>
      <c r="D3309" s="26" t="s">
        <v>179</v>
      </c>
      <c r="E3309" s="26" t="s">
        <v>272</v>
      </c>
      <c r="F3309" s="26" t="s">
        <v>273</v>
      </c>
      <c r="G3309" s="26" t="s">
        <v>182</v>
      </c>
      <c r="H3309" s="26" t="s">
        <v>221</v>
      </c>
      <c r="I3309" s="26" t="s">
        <v>184</v>
      </c>
      <c r="J3309" s="26" t="s">
        <v>185</v>
      </c>
      <c r="K3309" s="26" t="s">
        <v>186</v>
      </c>
      <c r="L3309" s="26" t="s">
        <v>79</v>
      </c>
      <c r="M3309" s="26" t="s">
        <v>77</v>
      </c>
      <c r="N3309" s="26">
        <v>153</v>
      </c>
      <c r="O3309" s="26">
        <v>83</v>
      </c>
      <c r="P3309" s="26">
        <v>70</v>
      </c>
      <c r="Q3309" s="26">
        <v>6</v>
      </c>
      <c r="R3309" s="26">
        <v>0</v>
      </c>
      <c r="S3309" s="26">
        <v>16</v>
      </c>
      <c r="T3309" s="26">
        <v>0</v>
      </c>
      <c r="U3309" s="26">
        <v>16</v>
      </c>
      <c r="V3309" s="26">
        <v>0</v>
      </c>
      <c r="W3309" s="26" t="s">
        <v>218</v>
      </c>
    </row>
    <row r="3310" spans="1:23" x14ac:dyDescent="0.25">
      <c r="A3310" s="26" t="s">
        <v>3971</v>
      </c>
      <c r="B3310" s="26" t="s">
        <v>274</v>
      </c>
      <c r="C3310" s="26" t="s">
        <v>275</v>
      </c>
      <c r="D3310" s="26" t="s">
        <v>179</v>
      </c>
      <c r="E3310" s="26" t="s">
        <v>276</v>
      </c>
      <c r="F3310" s="26" t="s">
        <v>277</v>
      </c>
      <c r="G3310" s="26" t="s">
        <v>278</v>
      </c>
      <c r="H3310" s="26" t="s">
        <v>183</v>
      </c>
      <c r="I3310" s="26" t="s">
        <v>184</v>
      </c>
      <c r="J3310" s="26" t="s">
        <v>185</v>
      </c>
      <c r="K3310" s="26" t="s">
        <v>186</v>
      </c>
      <c r="L3310" s="26" t="s">
        <v>79</v>
      </c>
      <c r="M3310" s="26" t="s">
        <v>77</v>
      </c>
      <c r="N3310" s="26">
        <v>93</v>
      </c>
      <c r="O3310" s="26">
        <v>47</v>
      </c>
      <c r="P3310" s="26">
        <v>46</v>
      </c>
      <c r="Q3310" s="26">
        <v>6</v>
      </c>
      <c r="R3310" s="26">
        <v>0</v>
      </c>
      <c r="S3310" s="26">
        <v>15</v>
      </c>
      <c r="T3310" s="26">
        <v>0</v>
      </c>
      <c r="U3310" s="26">
        <v>15</v>
      </c>
      <c r="V3310" s="26">
        <v>0</v>
      </c>
      <c r="W3310" s="26" t="s">
        <v>218</v>
      </c>
    </row>
    <row r="3311" spans="1:23" x14ac:dyDescent="0.25">
      <c r="A3311" s="26" t="s">
        <v>3971</v>
      </c>
      <c r="B3311" s="26" t="s">
        <v>279</v>
      </c>
      <c r="C3311" s="26" t="s">
        <v>280</v>
      </c>
      <c r="D3311" s="26" t="s">
        <v>218</v>
      </c>
      <c r="E3311" s="26" t="s">
        <v>281</v>
      </c>
      <c r="F3311" s="26" t="s">
        <v>282</v>
      </c>
      <c r="G3311" s="26" t="s">
        <v>265</v>
      </c>
      <c r="H3311" s="26" t="s">
        <v>221</v>
      </c>
      <c r="I3311" s="26" t="s">
        <v>184</v>
      </c>
      <c r="J3311" s="26" t="s">
        <v>185</v>
      </c>
      <c r="K3311" s="26" t="s">
        <v>186</v>
      </c>
      <c r="L3311" s="26" t="s">
        <v>79</v>
      </c>
      <c r="M3311" s="26" t="s">
        <v>77</v>
      </c>
      <c r="N3311" s="26">
        <v>157</v>
      </c>
      <c r="O3311" s="26">
        <v>88</v>
      </c>
      <c r="P3311" s="26">
        <v>69</v>
      </c>
      <c r="Q3311" s="26">
        <v>6</v>
      </c>
      <c r="R3311" s="26">
        <v>0</v>
      </c>
      <c r="S3311" s="26">
        <v>30</v>
      </c>
      <c r="T3311" s="26">
        <v>0</v>
      </c>
      <c r="U3311" s="26">
        <v>30</v>
      </c>
      <c r="V3311" s="26">
        <v>0</v>
      </c>
      <c r="W3311" s="26" t="s">
        <v>218</v>
      </c>
    </row>
    <row r="3312" spans="1:23" x14ac:dyDescent="0.25">
      <c r="A3312" s="26" t="s">
        <v>3971</v>
      </c>
      <c r="B3312" s="26" t="s">
        <v>283</v>
      </c>
      <c r="C3312" s="26" t="s">
        <v>284</v>
      </c>
      <c r="D3312" s="26" t="s">
        <v>218</v>
      </c>
      <c r="E3312" s="26" t="s">
        <v>4000</v>
      </c>
      <c r="F3312" s="26" t="s">
        <v>277</v>
      </c>
      <c r="G3312" s="26" t="s">
        <v>278</v>
      </c>
      <c r="H3312" s="26" t="s">
        <v>183</v>
      </c>
      <c r="I3312" s="26" t="s">
        <v>184</v>
      </c>
      <c r="J3312" s="26" t="s">
        <v>185</v>
      </c>
      <c r="K3312" s="26" t="s">
        <v>186</v>
      </c>
      <c r="L3312" s="26" t="s">
        <v>79</v>
      </c>
      <c r="M3312" s="26" t="s">
        <v>77</v>
      </c>
      <c r="N3312" s="26">
        <v>188</v>
      </c>
      <c r="O3312" s="26">
        <v>107</v>
      </c>
      <c r="P3312" s="26">
        <v>81</v>
      </c>
      <c r="Q3312" s="26">
        <v>6</v>
      </c>
      <c r="R3312" s="26">
        <v>0</v>
      </c>
      <c r="S3312" s="26">
        <v>25</v>
      </c>
      <c r="T3312" s="26">
        <v>0</v>
      </c>
      <c r="U3312" s="26">
        <v>25</v>
      </c>
      <c r="V3312" s="26">
        <v>0</v>
      </c>
      <c r="W3312" s="26" t="s">
        <v>218</v>
      </c>
    </row>
    <row r="3313" spans="1:23" x14ac:dyDescent="0.25">
      <c r="A3313" s="26" t="s">
        <v>3971</v>
      </c>
      <c r="B3313" s="26" t="s">
        <v>285</v>
      </c>
      <c r="C3313" s="26" t="s">
        <v>286</v>
      </c>
      <c r="D3313" s="26" t="s">
        <v>179</v>
      </c>
      <c r="E3313" s="26" t="s">
        <v>287</v>
      </c>
      <c r="F3313" s="26" t="s">
        <v>288</v>
      </c>
      <c r="G3313" s="26" t="s">
        <v>204</v>
      </c>
      <c r="H3313" s="26" t="s">
        <v>205</v>
      </c>
      <c r="I3313" s="26" t="s">
        <v>184</v>
      </c>
      <c r="J3313" s="26" t="s">
        <v>185</v>
      </c>
      <c r="K3313" s="26" t="s">
        <v>186</v>
      </c>
      <c r="L3313" s="26" t="s">
        <v>79</v>
      </c>
      <c r="M3313" s="26" t="s">
        <v>77</v>
      </c>
      <c r="N3313" s="26">
        <v>52</v>
      </c>
      <c r="O3313" s="26">
        <v>29</v>
      </c>
      <c r="P3313" s="26">
        <v>23</v>
      </c>
      <c r="Q3313" s="26">
        <v>4</v>
      </c>
      <c r="R3313" s="26">
        <v>0</v>
      </c>
      <c r="S3313" s="26">
        <v>7</v>
      </c>
      <c r="T3313" s="26">
        <v>0</v>
      </c>
      <c r="U3313" s="26">
        <v>7</v>
      </c>
      <c r="V3313" s="26">
        <v>0</v>
      </c>
      <c r="W3313" s="26" t="s">
        <v>218</v>
      </c>
    </row>
    <row r="3314" spans="1:23" x14ac:dyDescent="0.25">
      <c r="A3314" s="26" t="s">
        <v>3971</v>
      </c>
      <c r="B3314" s="26" t="s">
        <v>289</v>
      </c>
      <c r="C3314" s="26" t="s">
        <v>290</v>
      </c>
      <c r="D3314" s="26" t="s">
        <v>218</v>
      </c>
      <c r="E3314" s="26" t="s">
        <v>291</v>
      </c>
      <c r="F3314" s="26" t="s">
        <v>292</v>
      </c>
      <c r="G3314" s="26" t="s">
        <v>293</v>
      </c>
      <c r="H3314" s="26" t="s">
        <v>294</v>
      </c>
      <c r="I3314" s="26" t="s">
        <v>184</v>
      </c>
      <c r="J3314" s="26" t="s">
        <v>295</v>
      </c>
      <c r="K3314" s="26" t="s">
        <v>296</v>
      </c>
      <c r="L3314" s="26" t="s">
        <v>80</v>
      </c>
      <c r="M3314" s="26" t="s">
        <v>77</v>
      </c>
      <c r="N3314" s="26">
        <v>126</v>
      </c>
      <c r="O3314" s="26">
        <v>71</v>
      </c>
      <c r="P3314" s="26">
        <v>55</v>
      </c>
      <c r="Q3314" s="26">
        <v>6</v>
      </c>
      <c r="R3314" s="26">
        <v>0</v>
      </c>
      <c r="S3314" s="26">
        <v>18</v>
      </c>
      <c r="T3314" s="26">
        <v>0</v>
      </c>
      <c r="U3314" s="26">
        <v>18</v>
      </c>
      <c r="V3314" s="26">
        <v>0</v>
      </c>
      <c r="W3314" s="26" t="s">
        <v>218</v>
      </c>
    </row>
    <row r="3315" spans="1:23" x14ac:dyDescent="0.25">
      <c r="A3315" s="26" t="s">
        <v>3971</v>
      </c>
      <c r="B3315" s="26" t="s">
        <v>297</v>
      </c>
      <c r="C3315" s="26" t="s">
        <v>298</v>
      </c>
      <c r="D3315" s="26" t="s">
        <v>179</v>
      </c>
      <c r="E3315" s="26" t="s">
        <v>299</v>
      </c>
      <c r="F3315" s="26" t="s">
        <v>300</v>
      </c>
      <c r="G3315" s="26" t="s">
        <v>198</v>
      </c>
      <c r="H3315" s="26" t="s">
        <v>301</v>
      </c>
      <c r="I3315" s="26" t="s">
        <v>184</v>
      </c>
      <c r="J3315" s="26" t="s">
        <v>193</v>
      </c>
      <c r="K3315" s="26" t="s">
        <v>186</v>
      </c>
      <c r="L3315" s="26" t="s">
        <v>79</v>
      </c>
      <c r="M3315" s="26" t="s">
        <v>77</v>
      </c>
      <c r="N3315" s="26">
        <v>85</v>
      </c>
      <c r="O3315" s="26">
        <v>45</v>
      </c>
      <c r="P3315" s="26">
        <v>40</v>
      </c>
      <c r="Q3315" s="26">
        <v>5</v>
      </c>
      <c r="R3315" s="26">
        <v>0</v>
      </c>
      <c r="S3315" s="26">
        <v>11</v>
      </c>
      <c r="T3315" s="26">
        <v>0</v>
      </c>
      <c r="U3315" s="26">
        <v>11</v>
      </c>
      <c r="V3315" s="26">
        <v>0</v>
      </c>
      <c r="W3315" s="26" t="s">
        <v>218</v>
      </c>
    </row>
    <row r="3316" spans="1:23" x14ac:dyDescent="0.25">
      <c r="A3316" s="26" t="s">
        <v>3971</v>
      </c>
      <c r="B3316" s="26" t="s">
        <v>302</v>
      </c>
      <c r="C3316" s="26" t="s">
        <v>303</v>
      </c>
      <c r="D3316" s="26" t="s">
        <v>218</v>
      </c>
      <c r="E3316" s="26" t="s">
        <v>304</v>
      </c>
      <c r="F3316" s="26" t="s">
        <v>305</v>
      </c>
      <c r="G3316" s="26" t="s">
        <v>226</v>
      </c>
      <c r="H3316" s="26" t="s">
        <v>192</v>
      </c>
      <c r="I3316" s="26" t="s">
        <v>184</v>
      </c>
      <c r="J3316" s="26" t="s">
        <v>193</v>
      </c>
      <c r="K3316" s="26" t="s">
        <v>186</v>
      </c>
      <c r="L3316" s="26" t="s">
        <v>79</v>
      </c>
      <c r="M3316" s="26" t="s">
        <v>77</v>
      </c>
      <c r="N3316" s="26">
        <v>123</v>
      </c>
      <c r="O3316" s="26">
        <v>59</v>
      </c>
      <c r="P3316" s="26">
        <v>64</v>
      </c>
      <c r="Q3316" s="26">
        <v>5</v>
      </c>
      <c r="R3316" s="26">
        <v>0</v>
      </c>
      <c r="S3316" s="26">
        <v>20</v>
      </c>
      <c r="T3316" s="26">
        <v>0</v>
      </c>
      <c r="U3316" s="26">
        <v>20</v>
      </c>
      <c r="V3316" s="26">
        <v>0</v>
      </c>
      <c r="W3316" s="26" t="s">
        <v>218</v>
      </c>
    </row>
    <row r="3317" spans="1:23" x14ac:dyDescent="0.25">
      <c r="A3317" s="26" t="s">
        <v>3971</v>
      </c>
      <c r="B3317" s="26" t="s">
        <v>306</v>
      </c>
      <c r="C3317" s="26" t="s">
        <v>307</v>
      </c>
      <c r="D3317" s="26" t="s">
        <v>179</v>
      </c>
      <c r="E3317" s="26" t="s">
        <v>308</v>
      </c>
      <c r="F3317" s="26" t="s">
        <v>309</v>
      </c>
      <c r="G3317" s="26" t="s">
        <v>226</v>
      </c>
      <c r="H3317" s="26" t="s">
        <v>227</v>
      </c>
      <c r="I3317" s="26" t="s">
        <v>184</v>
      </c>
      <c r="J3317" s="26" t="s">
        <v>193</v>
      </c>
      <c r="K3317" s="26" t="s">
        <v>186</v>
      </c>
      <c r="L3317" s="26" t="s">
        <v>79</v>
      </c>
      <c r="M3317" s="26" t="s">
        <v>77</v>
      </c>
      <c r="N3317" s="26">
        <v>109</v>
      </c>
      <c r="O3317" s="26">
        <v>59</v>
      </c>
      <c r="P3317" s="26">
        <v>50</v>
      </c>
      <c r="Q3317" s="26">
        <v>5</v>
      </c>
      <c r="R3317" s="26">
        <v>0</v>
      </c>
      <c r="S3317" s="26">
        <v>13</v>
      </c>
      <c r="T3317" s="26">
        <v>0</v>
      </c>
      <c r="U3317" s="26">
        <v>13</v>
      </c>
      <c r="V3317" s="26">
        <v>0</v>
      </c>
      <c r="W3317" s="26" t="s">
        <v>218</v>
      </c>
    </row>
    <row r="3318" spans="1:23" x14ac:dyDescent="0.25">
      <c r="A3318" s="26" t="s">
        <v>3971</v>
      </c>
      <c r="B3318" s="26" t="s">
        <v>310</v>
      </c>
      <c r="C3318" s="26" t="s">
        <v>311</v>
      </c>
      <c r="D3318" s="26" t="s">
        <v>218</v>
      </c>
      <c r="E3318" s="26" t="s">
        <v>312</v>
      </c>
      <c r="F3318" s="26" t="s">
        <v>313</v>
      </c>
      <c r="G3318" s="26" t="s">
        <v>182</v>
      </c>
      <c r="H3318" s="26" t="s">
        <v>221</v>
      </c>
      <c r="I3318" s="26" t="s">
        <v>184</v>
      </c>
      <c r="J3318" s="26" t="s">
        <v>185</v>
      </c>
      <c r="K3318" s="26" t="s">
        <v>186</v>
      </c>
      <c r="L3318" s="26" t="s">
        <v>79</v>
      </c>
      <c r="M3318" s="26" t="s">
        <v>77</v>
      </c>
      <c r="N3318" s="26">
        <v>139</v>
      </c>
      <c r="O3318" s="26">
        <v>70</v>
      </c>
      <c r="P3318" s="26">
        <v>69</v>
      </c>
      <c r="Q3318" s="26">
        <v>8</v>
      </c>
      <c r="R3318" s="26">
        <v>0</v>
      </c>
      <c r="S3318" s="26">
        <v>22</v>
      </c>
      <c r="T3318" s="26">
        <v>0</v>
      </c>
      <c r="U3318" s="26">
        <v>22</v>
      </c>
      <c r="V3318" s="26">
        <v>0</v>
      </c>
      <c r="W3318" s="26" t="s">
        <v>218</v>
      </c>
    </row>
    <row r="3319" spans="1:23" x14ac:dyDescent="0.25">
      <c r="A3319" s="26" t="s">
        <v>3971</v>
      </c>
      <c r="B3319" s="26" t="s">
        <v>314</v>
      </c>
      <c r="C3319" s="26" t="s">
        <v>315</v>
      </c>
      <c r="D3319" s="26" t="s">
        <v>179</v>
      </c>
      <c r="E3319" s="26" t="s">
        <v>316</v>
      </c>
      <c r="F3319" s="26" t="s">
        <v>317</v>
      </c>
      <c r="G3319" s="26" t="s">
        <v>191</v>
      </c>
      <c r="H3319" s="26" t="s">
        <v>301</v>
      </c>
      <c r="I3319" s="26" t="s">
        <v>184</v>
      </c>
      <c r="J3319" s="26" t="s">
        <v>193</v>
      </c>
      <c r="K3319" s="26" t="s">
        <v>186</v>
      </c>
      <c r="L3319" s="26" t="s">
        <v>79</v>
      </c>
      <c r="M3319" s="26" t="s">
        <v>77</v>
      </c>
      <c r="N3319" s="26">
        <v>100</v>
      </c>
      <c r="O3319" s="26">
        <v>44</v>
      </c>
      <c r="P3319" s="26">
        <v>56</v>
      </c>
      <c r="Q3319" s="26">
        <v>4</v>
      </c>
      <c r="R3319" s="26">
        <v>0</v>
      </c>
      <c r="S3319" s="26">
        <v>12</v>
      </c>
      <c r="T3319" s="26">
        <v>0</v>
      </c>
      <c r="U3319" s="26">
        <v>12</v>
      </c>
      <c r="V3319" s="26">
        <v>0</v>
      </c>
      <c r="W3319" s="26" t="s">
        <v>218</v>
      </c>
    </row>
    <row r="3320" spans="1:23" x14ac:dyDescent="0.25">
      <c r="A3320" s="26" t="s">
        <v>3971</v>
      </c>
      <c r="B3320" s="26" t="s">
        <v>318</v>
      </c>
      <c r="C3320" s="26" t="s">
        <v>319</v>
      </c>
      <c r="D3320" s="26" t="s">
        <v>179</v>
      </c>
      <c r="E3320" s="26" t="s">
        <v>0</v>
      </c>
      <c r="F3320" s="26" t="s">
        <v>320</v>
      </c>
      <c r="G3320" s="26" t="s">
        <v>265</v>
      </c>
      <c r="H3320" s="26" t="s">
        <v>321</v>
      </c>
      <c r="I3320" s="26" t="s">
        <v>184</v>
      </c>
      <c r="J3320" s="26" t="s">
        <v>322</v>
      </c>
      <c r="K3320" s="26" t="s">
        <v>186</v>
      </c>
      <c r="L3320" s="26" t="s">
        <v>79</v>
      </c>
      <c r="M3320" s="26" t="s">
        <v>77</v>
      </c>
      <c r="N3320" s="26">
        <v>58</v>
      </c>
      <c r="O3320" s="26">
        <v>28</v>
      </c>
      <c r="P3320" s="26">
        <v>30</v>
      </c>
      <c r="Q3320" s="26">
        <v>4</v>
      </c>
      <c r="R3320" s="26">
        <v>0</v>
      </c>
      <c r="S3320" s="26">
        <v>11</v>
      </c>
      <c r="T3320" s="26">
        <v>0</v>
      </c>
      <c r="U3320" s="26">
        <v>11</v>
      </c>
      <c r="V3320" s="26">
        <v>0</v>
      </c>
      <c r="W3320" s="26"/>
    </row>
    <row r="3321" spans="1:23" x14ac:dyDescent="0.25">
      <c r="A3321" s="26" t="s">
        <v>3971</v>
      </c>
      <c r="B3321" s="26" t="s">
        <v>323</v>
      </c>
      <c r="C3321" s="26" t="s">
        <v>324</v>
      </c>
      <c r="D3321" s="26" t="s">
        <v>179</v>
      </c>
      <c r="E3321" s="26" t="s">
        <v>325</v>
      </c>
      <c r="F3321" s="26" t="s">
        <v>326</v>
      </c>
      <c r="G3321" s="26" t="s">
        <v>210</v>
      </c>
      <c r="H3321" s="26" t="s">
        <v>327</v>
      </c>
      <c r="I3321" s="26" t="s">
        <v>184</v>
      </c>
      <c r="J3321" s="26" t="s">
        <v>322</v>
      </c>
      <c r="K3321" s="26" t="s">
        <v>186</v>
      </c>
      <c r="L3321" s="26" t="s">
        <v>79</v>
      </c>
      <c r="M3321" s="26" t="s">
        <v>77</v>
      </c>
      <c r="N3321" s="26">
        <v>80</v>
      </c>
      <c r="O3321" s="26">
        <v>27</v>
      </c>
      <c r="P3321" s="26">
        <v>53</v>
      </c>
      <c r="Q3321" s="26">
        <v>5</v>
      </c>
      <c r="R3321" s="26">
        <v>0</v>
      </c>
      <c r="S3321" s="26">
        <v>17</v>
      </c>
      <c r="T3321" s="26">
        <v>0</v>
      </c>
      <c r="U3321" s="26">
        <v>17</v>
      </c>
      <c r="V3321" s="26">
        <v>0</v>
      </c>
      <c r="W3321" s="26"/>
    </row>
    <row r="3322" spans="1:23" x14ac:dyDescent="0.25">
      <c r="A3322" s="26" t="s">
        <v>3971</v>
      </c>
      <c r="B3322" s="26" t="s">
        <v>328</v>
      </c>
      <c r="C3322" s="26" t="s">
        <v>329</v>
      </c>
      <c r="D3322" s="26" t="s">
        <v>179</v>
      </c>
      <c r="E3322" s="26" t="s">
        <v>330</v>
      </c>
      <c r="F3322" s="26" t="s">
        <v>331</v>
      </c>
      <c r="G3322" s="26" t="s">
        <v>210</v>
      </c>
      <c r="H3322" s="26" t="s">
        <v>332</v>
      </c>
      <c r="I3322" s="26" t="s">
        <v>184</v>
      </c>
      <c r="J3322" s="26" t="s">
        <v>322</v>
      </c>
      <c r="K3322" s="26" t="s">
        <v>186</v>
      </c>
      <c r="L3322" s="26" t="s">
        <v>79</v>
      </c>
      <c r="M3322" s="26" t="s">
        <v>77</v>
      </c>
      <c r="N3322" s="26">
        <v>52</v>
      </c>
      <c r="O3322" s="26">
        <v>29</v>
      </c>
      <c r="P3322" s="26">
        <v>23</v>
      </c>
      <c r="Q3322" s="26">
        <v>3</v>
      </c>
      <c r="R3322" s="26">
        <v>0</v>
      </c>
      <c r="S3322" s="26">
        <v>12</v>
      </c>
      <c r="T3322" s="26">
        <v>0</v>
      </c>
      <c r="U3322" s="26">
        <v>12</v>
      </c>
      <c r="V3322" s="26">
        <v>0</v>
      </c>
      <c r="W3322" s="26"/>
    </row>
    <row r="3323" spans="1:23" x14ac:dyDescent="0.25">
      <c r="A3323" s="26" t="s">
        <v>3971</v>
      </c>
      <c r="B3323" s="26" t="s">
        <v>333</v>
      </c>
      <c r="C3323" s="26" t="s">
        <v>334</v>
      </c>
      <c r="D3323" s="26" t="s">
        <v>179</v>
      </c>
      <c r="E3323" s="26" t="s">
        <v>335</v>
      </c>
      <c r="F3323" s="26" t="s">
        <v>282</v>
      </c>
      <c r="G3323" s="26" t="s">
        <v>265</v>
      </c>
      <c r="H3323" s="26" t="s">
        <v>321</v>
      </c>
      <c r="I3323" s="26" t="s">
        <v>184</v>
      </c>
      <c r="J3323" s="26" t="s">
        <v>322</v>
      </c>
      <c r="K3323" s="26" t="s">
        <v>186</v>
      </c>
      <c r="L3323" s="26" t="s">
        <v>79</v>
      </c>
      <c r="M3323" s="26" t="s">
        <v>77</v>
      </c>
      <c r="N3323" s="26">
        <v>60</v>
      </c>
      <c r="O3323" s="26">
        <v>40</v>
      </c>
      <c r="P3323" s="26">
        <v>20</v>
      </c>
      <c r="Q3323" s="26">
        <v>3</v>
      </c>
      <c r="R3323" s="26">
        <v>0</v>
      </c>
      <c r="S3323" s="26">
        <v>9</v>
      </c>
      <c r="T3323" s="26">
        <v>0</v>
      </c>
      <c r="U3323" s="26">
        <v>9</v>
      </c>
      <c r="V3323" s="26">
        <v>0</v>
      </c>
      <c r="W3323" s="26"/>
    </row>
    <row r="3324" spans="1:23" x14ac:dyDescent="0.25">
      <c r="A3324" s="26" t="s">
        <v>3971</v>
      </c>
      <c r="B3324" s="26" t="s">
        <v>336</v>
      </c>
      <c r="C3324" s="26" t="s">
        <v>337</v>
      </c>
      <c r="D3324" s="26" t="s">
        <v>179</v>
      </c>
      <c r="E3324" s="26" t="s">
        <v>338</v>
      </c>
      <c r="F3324" s="26" t="s">
        <v>326</v>
      </c>
      <c r="G3324" s="26" t="s">
        <v>210</v>
      </c>
      <c r="H3324" s="26" t="s">
        <v>327</v>
      </c>
      <c r="I3324" s="26" t="s">
        <v>184</v>
      </c>
      <c r="J3324" s="26" t="s">
        <v>322</v>
      </c>
      <c r="K3324" s="26" t="s">
        <v>186</v>
      </c>
      <c r="L3324" s="26" t="s">
        <v>79</v>
      </c>
      <c r="M3324" s="26" t="s">
        <v>77</v>
      </c>
      <c r="N3324" s="26">
        <v>74</v>
      </c>
      <c r="O3324" s="26">
        <v>35</v>
      </c>
      <c r="P3324" s="26">
        <v>39</v>
      </c>
      <c r="Q3324" s="26">
        <v>4</v>
      </c>
      <c r="R3324" s="26">
        <v>0</v>
      </c>
      <c r="S3324" s="26">
        <v>18</v>
      </c>
      <c r="T3324" s="26">
        <v>0</v>
      </c>
      <c r="U3324" s="26">
        <v>18</v>
      </c>
      <c r="V3324" s="26">
        <v>0</v>
      </c>
      <c r="W3324" s="26"/>
    </row>
    <row r="3325" spans="1:23" x14ac:dyDescent="0.25">
      <c r="A3325" s="26" t="s">
        <v>3971</v>
      </c>
      <c r="B3325" s="26" t="s">
        <v>339</v>
      </c>
      <c r="C3325" s="26" t="s">
        <v>340</v>
      </c>
      <c r="D3325" s="26" t="s">
        <v>218</v>
      </c>
      <c r="E3325" s="26" t="s">
        <v>341</v>
      </c>
      <c r="F3325" s="26" t="s">
        <v>342</v>
      </c>
      <c r="G3325" s="26" t="s">
        <v>210</v>
      </c>
      <c r="H3325" s="26" t="s">
        <v>327</v>
      </c>
      <c r="I3325" s="26" t="s">
        <v>184</v>
      </c>
      <c r="J3325" s="26" t="s">
        <v>322</v>
      </c>
      <c r="K3325" s="26" t="s">
        <v>186</v>
      </c>
      <c r="L3325" s="26" t="s">
        <v>79</v>
      </c>
      <c r="M3325" s="26" t="s">
        <v>77</v>
      </c>
      <c r="N3325" s="26">
        <v>53</v>
      </c>
      <c r="O3325" s="26">
        <v>32</v>
      </c>
      <c r="P3325" s="26">
        <v>21</v>
      </c>
      <c r="Q3325" s="26">
        <v>3</v>
      </c>
      <c r="R3325" s="26">
        <v>0</v>
      </c>
      <c r="S3325" s="26">
        <v>15</v>
      </c>
      <c r="T3325" s="26">
        <v>0</v>
      </c>
      <c r="U3325" s="26">
        <v>15</v>
      </c>
      <c r="V3325" s="26">
        <v>0</v>
      </c>
      <c r="W3325" s="26"/>
    </row>
    <row r="3326" spans="1:23" x14ac:dyDescent="0.25">
      <c r="A3326" s="26" t="s">
        <v>3971</v>
      </c>
      <c r="B3326" s="26" t="s">
        <v>343</v>
      </c>
      <c r="C3326" s="26" t="s">
        <v>344</v>
      </c>
      <c r="D3326" s="26" t="s">
        <v>179</v>
      </c>
      <c r="E3326" s="26" t="s">
        <v>345</v>
      </c>
      <c r="F3326" s="26" t="s">
        <v>346</v>
      </c>
      <c r="G3326" s="26" t="s">
        <v>252</v>
      </c>
      <c r="H3326" s="26" t="s">
        <v>192</v>
      </c>
      <c r="I3326" s="26" t="s">
        <v>184</v>
      </c>
      <c r="J3326" s="26" t="s">
        <v>193</v>
      </c>
      <c r="K3326" s="26" t="s">
        <v>186</v>
      </c>
      <c r="L3326" s="26" t="s">
        <v>79</v>
      </c>
      <c r="M3326" s="26" t="s">
        <v>77</v>
      </c>
      <c r="N3326" s="26">
        <v>102</v>
      </c>
      <c r="O3326" s="26">
        <v>55</v>
      </c>
      <c r="P3326" s="26">
        <v>47</v>
      </c>
      <c r="Q3326" s="26">
        <v>5</v>
      </c>
      <c r="R3326" s="26">
        <v>0</v>
      </c>
      <c r="S3326" s="26">
        <v>13</v>
      </c>
      <c r="T3326" s="26">
        <v>0</v>
      </c>
      <c r="U3326" s="26">
        <v>13</v>
      </c>
      <c r="V3326" s="26">
        <v>0</v>
      </c>
      <c r="W3326" s="26" t="s">
        <v>218</v>
      </c>
    </row>
    <row r="3327" spans="1:23" x14ac:dyDescent="0.25">
      <c r="A3327" s="26" t="s">
        <v>3971</v>
      </c>
      <c r="B3327" s="26" t="s">
        <v>347</v>
      </c>
      <c r="C3327" s="26" t="s">
        <v>348</v>
      </c>
      <c r="D3327" s="26" t="s">
        <v>218</v>
      </c>
      <c r="E3327" s="26" t="s">
        <v>349</v>
      </c>
      <c r="F3327" s="26" t="s">
        <v>350</v>
      </c>
      <c r="G3327" s="26" t="s">
        <v>293</v>
      </c>
      <c r="H3327" s="26" t="s">
        <v>351</v>
      </c>
      <c r="I3327" s="26" t="s">
        <v>184</v>
      </c>
      <c r="J3327" s="26" t="s">
        <v>295</v>
      </c>
      <c r="K3327" s="26" t="s">
        <v>296</v>
      </c>
      <c r="L3327" s="26" t="s">
        <v>80</v>
      </c>
      <c r="M3327" s="26" t="s">
        <v>77</v>
      </c>
      <c r="N3327" s="26">
        <v>68</v>
      </c>
      <c r="O3327" s="26">
        <v>39</v>
      </c>
      <c r="P3327" s="26">
        <v>29</v>
      </c>
      <c r="Q3327" s="26">
        <v>3</v>
      </c>
      <c r="R3327" s="26">
        <v>0</v>
      </c>
      <c r="S3327" s="26">
        <v>10</v>
      </c>
      <c r="T3327" s="26">
        <v>0</v>
      </c>
      <c r="U3327" s="26">
        <v>10</v>
      </c>
      <c r="V3327" s="26">
        <v>0</v>
      </c>
      <c r="W3327" s="26" t="s">
        <v>218</v>
      </c>
    </row>
    <row r="3328" spans="1:23" x14ac:dyDescent="0.25">
      <c r="A3328" s="26" t="s">
        <v>3971</v>
      </c>
      <c r="B3328" s="26" t="s">
        <v>352</v>
      </c>
      <c r="C3328" s="26" t="s">
        <v>353</v>
      </c>
      <c r="D3328" s="26" t="s">
        <v>218</v>
      </c>
      <c r="E3328" s="26" t="s">
        <v>354</v>
      </c>
      <c r="F3328" s="26" t="s">
        <v>355</v>
      </c>
      <c r="G3328" s="26" t="s">
        <v>293</v>
      </c>
      <c r="H3328" s="26" t="s">
        <v>301</v>
      </c>
      <c r="I3328" s="26" t="s">
        <v>184</v>
      </c>
      <c r="J3328" s="26" t="s">
        <v>295</v>
      </c>
      <c r="K3328" s="26" t="s">
        <v>296</v>
      </c>
      <c r="L3328" s="26" t="s">
        <v>80</v>
      </c>
      <c r="M3328" s="26" t="s">
        <v>77</v>
      </c>
      <c r="N3328" s="26">
        <v>143</v>
      </c>
      <c r="O3328" s="26">
        <v>74</v>
      </c>
      <c r="P3328" s="26">
        <v>69</v>
      </c>
      <c r="Q3328" s="26">
        <v>5</v>
      </c>
      <c r="R3328" s="26">
        <v>0</v>
      </c>
      <c r="S3328" s="26">
        <v>12</v>
      </c>
      <c r="T3328" s="26">
        <v>0</v>
      </c>
      <c r="U3328" s="26">
        <v>12</v>
      </c>
      <c r="V3328" s="26">
        <v>0</v>
      </c>
      <c r="W3328" s="26" t="s">
        <v>218</v>
      </c>
    </row>
    <row r="3329" spans="1:23" x14ac:dyDescent="0.25">
      <c r="A3329" s="26" t="s">
        <v>3971</v>
      </c>
      <c r="B3329" s="26" t="s">
        <v>356</v>
      </c>
      <c r="C3329" s="26" t="s">
        <v>357</v>
      </c>
      <c r="D3329" s="26" t="s">
        <v>179</v>
      </c>
      <c r="E3329" s="26" t="s">
        <v>358</v>
      </c>
      <c r="F3329" s="26" t="s">
        <v>282</v>
      </c>
      <c r="G3329" s="26" t="s">
        <v>265</v>
      </c>
      <c r="H3329" s="26" t="s">
        <v>359</v>
      </c>
      <c r="I3329" s="26" t="s">
        <v>184</v>
      </c>
      <c r="J3329" s="26" t="s">
        <v>322</v>
      </c>
      <c r="K3329" s="26" t="s">
        <v>360</v>
      </c>
      <c r="L3329" s="26" t="s">
        <v>79</v>
      </c>
      <c r="M3329" s="26" t="s">
        <v>77</v>
      </c>
      <c r="N3329" s="26">
        <v>53</v>
      </c>
      <c r="O3329" s="26">
        <v>26</v>
      </c>
      <c r="P3329" s="26">
        <v>27</v>
      </c>
      <c r="Q3329" s="26">
        <v>3</v>
      </c>
      <c r="R3329" s="26">
        <v>0</v>
      </c>
      <c r="S3329" s="26">
        <v>7</v>
      </c>
      <c r="T3329" s="26">
        <v>0</v>
      </c>
      <c r="U3329" s="26">
        <v>7</v>
      </c>
      <c r="V3329" s="26">
        <v>0</v>
      </c>
      <c r="W3329" s="26"/>
    </row>
    <row r="3330" spans="1:23" x14ac:dyDescent="0.25">
      <c r="A3330" s="26" t="s">
        <v>3971</v>
      </c>
      <c r="B3330" s="26" t="s">
        <v>361</v>
      </c>
      <c r="C3330" s="26" t="s">
        <v>362</v>
      </c>
      <c r="D3330" s="26" t="s">
        <v>218</v>
      </c>
      <c r="E3330" s="26" t="s">
        <v>363</v>
      </c>
      <c r="F3330" s="26" t="s">
        <v>364</v>
      </c>
      <c r="G3330" s="26" t="s">
        <v>210</v>
      </c>
      <c r="H3330" s="26" t="s">
        <v>365</v>
      </c>
      <c r="I3330" s="26" t="s">
        <v>184</v>
      </c>
      <c r="J3330" s="26" t="s">
        <v>322</v>
      </c>
      <c r="K3330" s="26" t="s">
        <v>360</v>
      </c>
      <c r="L3330" s="26" t="s">
        <v>79</v>
      </c>
      <c r="M3330" s="26" t="s">
        <v>77</v>
      </c>
      <c r="N3330" s="26">
        <v>159</v>
      </c>
      <c r="O3330" s="26">
        <v>86</v>
      </c>
      <c r="P3330" s="26">
        <v>73</v>
      </c>
      <c r="Q3330" s="26">
        <v>6</v>
      </c>
      <c r="R3330" s="26">
        <v>0</v>
      </c>
      <c r="S3330" s="26">
        <v>20</v>
      </c>
      <c r="T3330" s="26">
        <v>0</v>
      </c>
      <c r="U3330" s="26">
        <v>20</v>
      </c>
      <c r="V3330" s="26">
        <v>0</v>
      </c>
      <c r="W3330" s="26"/>
    </row>
    <row r="3331" spans="1:23" x14ac:dyDescent="0.25">
      <c r="A3331" s="26" t="s">
        <v>3971</v>
      </c>
      <c r="B3331" s="26" t="s">
        <v>366</v>
      </c>
      <c r="C3331" s="26" t="s">
        <v>367</v>
      </c>
      <c r="D3331" s="26" t="s">
        <v>218</v>
      </c>
      <c r="E3331" s="26" t="s">
        <v>368</v>
      </c>
      <c r="F3331" s="26" t="s">
        <v>369</v>
      </c>
      <c r="G3331" s="26" t="s">
        <v>182</v>
      </c>
      <c r="H3331" s="26" t="s">
        <v>370</v>
      </c>
      <c r="I3331" s="26" t="s">
        <v>184</v>
      </c>
      <c r="J3331" s="26" t="s">
        <v>322</v>
      </c>
      <c r="K3331" s="26" t="s">
        <v>360</v>
      </c>
      <c r="L3331" s="26" t="s">
        <v>79</v>
      </c>
      <c r="M3331" s="26" t="s">
        <v>77</v>
      </c>
      <c r="N3331" s="26">
        <v>110</v>
      </c>
      <c r="O3331" s="26">
        <v>64</v>
      </c>
      <c r="P3331" s="26">
        <v>46</v>
      </c>
      <c r="Q3331" s="26">
        <v>6</v>
      </c>
      <c r="R3331" s="26">
        <v>0</v>
      </c>
      <c r="S3331" s="26">
        <v>11</v>
      </c>
      <c r="T3331" s="26">
        <v>0</v>
      </c>
      <c r="U3331" s="26">
        <v>11</v>
      </c>
      <c r="V3331" s="26">
        <v>0</v>
      </c>
      <c r="W3331" s="26"/>
    </row>
    <row r="3332" spans="1:23" x14ac:dyDescent="0.25">
      <c r="A3332" s="26" t="s">
        <v>3971</v>
      </c>
      <c r="B3332" s="26" t="s">
        <v>371</v>
      </c>
      <c r="C3332" s="26" t="s">
        <v>372</v>
      </c>
      <c r="D3332" s="26" t="s">
        <v>218</v>
      </c>
      <c r="E3332" s="26" t="s">
        <v>373</v>
      </c>
      <c r="F3332" s="26" t="s">
        <v>247</v>
      </c>
      <c r="G3332" s="26" t="s">
        <v>198</v>
      </c>
      <c r="H3332" s="26" t="s">
        <v>374</v>
      </c>
      <c r="I3332" s="26" t="s">
        <v>184</v>
      </c>
      <c r="J3332" s="26" t="s">
        <v>375</v>
      </c>
      <c r="K3332" s="26" t="s">
        <v>360</v>
      </c>
      <c r="L3332" s="26" t="s">
        <v>79</v>
      </c>
      <c r="M3332" s="26" t="s">
        <v>77</v>
      </c>
      <c r="N3332" s="26">
        <v>40</v>
      </c>
      <c r="O3332" s="26">
        <v>23</v>
      </c>
      <c r="P3332" s="26">
        <v>17</v>
      </c>
      <c r="Q3332" s="26">
        <v>5</v>
      </c>
      <c r="R3332" s="26">
        <v>0</v>
      </c>
      <c r="S3332" s="26">
        <v>10</v>
      </c>
      <c r="T3332" s="26">
        <v>0</v>
      </c>
      <c r="U3332" s="26">
        <v>10</v>
      </c>
      <c r="V3332" s="26">
        <v>0</v>
      </c>
      <c r="W3332" s="26"/>
    </row>
    <row r="3333" spans="1:23" x14ac:dyDescent="0.25">
      <c r="A3333" s="26" t="s">
        <v>3971</v>
      </c>
      <c r="B3333" s="26" t="s">
        <v>376</v>
      </c>
      <c r="C3333" s="26" t="s">
        <v>377</v>
      </c>
      <c r="D3333" s="26" t="s">
        <v>179</v>
      </c>
      <c r="E3333" s="26" t="s">
        <v>378</v>
      </c>
      <c r="F3333" s="26" t="s">
        <v>379</v>
      </c>
      <c r="G3333" s="26" t="s">
        <v>182</v>
      </c>
      <c r="H3333" s="26" t="s">
        <v>380</v>
      </c>
      <c r="I3333" s="26" t="s">
        <v>184</v>
      </c>
      <c r="J3333" s="26" t="s">
        <v>322</v>
      </c>
      <c r="K3333" s="26" t="s">
        <v>381</v>
      </c>
      <c r="L3333" s="26" t="s">
        <v>79</v>
      </c>
      <c r="M3333" s="26" t="s">
        <v>77</v>
      </c>
      <c r="N3333" s="26">
        <v>58</v>
      </c>
      <c r="O3333" s="26">
        <v>35</v>
      </c>
      <c r="P3333" s="26">
        <v>23</v>
      </c>
      <c r="Q3333" s="26">
        <v>6</v>
      </c>
      <c r="R3333" s="26">
        <v>0</v>
      </c>
      <c r="S3333" s="26">
        <v>12</v>
      </c>
      <c r="T3333" s="26">
        <v>0</v>
      </c>
      <c r="U3333" s="26">
        <v>12</v>
      </c>
      <c r="V3333" s="26">
        <v>0</v>
      </c>
      <c r="W3333" s="26"/>
    </row>
    <row r="3334" spans="1:23" x14ac:dyDescent="0.25">
      <c r="A3334" s="26" t="s">
        <v>3971</v>
      </c>
      <c r="B3334" s="26" t="s">
        <v>382</v>
      </c>
      <c r="C3334" s="26" t="s">
        <v>383</v>
      </c>
      <c r="D3334" s="26" t="s">
        <v>179</v>
      </c>
      <c r="E3334" s="26" t="s">
        <v>384</v>
      </c>
      <c r="F3334" s="26" t="s">
        <v>385</v>
      </c>
      <c r="G3334" s="26" t="s">
        <v>198</v>
      </c>
      <c r="H3334" s="26" t="s">
        <v>386</v>
      </c>
      <c r="I3334" s="26" t="s">
        <v>184</v>
      </c>
      <c r="J3334" s="26" t="s">
        <v>375</v>
      </c>
      <c r="K3334" s="26" t="s">
        <v>381</v>
      </c>
      <c r="L3334" s="26" t="s">
        <v>79</v>
      </c>
      <c r="M3334" s="26" t="s">
        <v>77</v>
      </c>
      <c r="N3334" s="26">
        <v>27</v>
      </c>
      <c r="O3334" s="26">
        <v>12</v>
      </c>
      <c r="P3334" s="26">
        <v>15</v>
      </c>
      <c r="Q3334" s="26">
        <v>3</v>
      </c>
      <c r="R3334" s="26">
        <v>0</v>
      </c>
      <c r="S3334" s="26">
        <v>7</v>
      </c>
      <c r="T3334" s="26">
        <v>0</v>
      </c>
      <c r="U3334" s="26">
        <v>7</v>
      </c>
      <c r="V3334" s="26">
        <v>0</v>
      </c>
      <c r="W3334" s="26"/>
    </row>
    <row r="3335" spans="1:23" x14ac:dyDescent="0.25">
      <c r="A3335" s="26" t="s">
        <v>3971</v>
      </c>
      <c r="B3335" s="26" t="s">
        <v>387</v>
      </c>
      <c r="C3335" s="26" t="s">
        <v>388</v>
      </c>
      <c r="D3335" s="26" t="s">
        <v>179</v>
      </c>
      <c r="E3335" s="26" t="s">
        <v>4001</v>
      </c>
      <c r="F3335" s="26" t="s">
        <v>389</v>
      </c>
      <c r="G3335" s="26" t="s">
        <v>182</v>
      </c>
      <c r="H3335" s="26" t="s">
        <v>390</v>
      </c>
      <c r="I3335" s="26" t="s">
        <v>184</v>
      </c>
      <c r="J3335" s="26" t="s">
        <v>322</v>
      </c>
      <c r="K3335" s="26" t="s">
        <v>381</v>
      </c>
      <c r="L3335" s="26" t="s">
        <v>79</v>
      </c>
      <c r="M3335" s="26" t="s">
        <v>77</v>
      </c>
      <c r="N3335" s="26">
        <v>2</v>
      </c>
      <c r="O3335" s="26">
        <v>2</v>
      </c>
      <c r="P3335" s="26">
        <v>0</v>
      </c>
      <c r="Q3335" s="26">
        <v>1</v>
      </c>
      <c r="R3335" s="26">
        <v>0</v>
      </c>
      <c r="S3335" s="26">
        <v>3</v>
      </c>
      <c r="T3335" s="26">
        <v>0</v>
      </c>
      <c r="U3335" s="26">
        <v>3</v>
      </c>
      <c r="V3335" s="26">
        <v>0</v>
      </c>
      <c r="W3335" s="26"/>
    </row>
    <row r="3336" spans="1:23" x14ac:dyDescent="0.25">
      <c r="A3336" s="26" t="s">
        <v>3971</v>
      </c>
      <c r="B3336" s="26" t="s">
        <v>391</v>
      </c>
      <c r="C3336" s="26" t="s">
        <v>392</v>
      </c>
      <c r="D3336" s="26" t="s">
        <v>179</v>
      </c>
      <c r="E3336" s="26" t="s">
        <v>393</v>
      </c>
      <c r="F3336" s="26" t="s">
        <v>394</v>
      </c>
      <c r="G3336" s="26" t="s">
        <v>198</v>
      </c>
      <c r="H3336" s="26" t="s">
        <v>395</v>
      </c>
      <c r="I3336" s="26" t="s">
        <v>184</v>
      </c>
      <c r="J3336" s="26" t="s">
        <v>375</v>
      </c>
      <c r="K3336" s="26" t="s">
        <v>360</v>
      </c>
      <c r="L3336" s="26" t="s">
        <v>79</v>
      </c>
      <c r="M3336" s="26" t="s">
        <v>77</v>
      </c>
      <c r="N3336" s="26">
        <v>47</v>
      </c>
      <c r="O3336" s="26">
        <v>28</v>
      </c>
      <c r="P3336" s="26">
        <v>19</v>
      </c>
      <c r="Q3336" s="26">
        <v>3</v>
      </c>
      <c r="R3336" s="26">
        <v>0</v>
      </c>
      <c r="S3336" s="26">
        <v>5</v>
      </c>
      <c r="T3336" s="26">
        <v>0</v>
      </c>
      <c r="U3336" s="26">
        <v>5</v>
      </c>
      <c r="V3336" s="26">
        <v>0</v>
      </c>
      <c r="W3336" s="26"/>
    </row>
    <row r="3337" spans="1:23" x14ac:dyDescent="0.25">
      <c r="A3337" s="26" t="s">
        <v>3971</v>
      </c>
      <c r="B3337" s="26" t="s">
        <v>396</v>
      </c>
      <c r="C3337" s="26" t="s">
        <v>397</v>
      </c>
      <c r="D3337" s="26" t="s">
        <v>218</v>
      </c>
      <c r="E3337" s="26" t="s">
        <v>398</v>
      </c>
      <c r="F3337" s="26" t="s">
        <v>379</v>
      </c>
      <c r="G3337" s="26" t="s">
        <v>182</v>
      </c>
      <c r="H3337" s="26" t="s">
        <v>399</v>
      </c>
      <c r="I3337" s="26" t="s">
        <v>184</v>
      </c>
      <c r="J3337" s="26" t="s">
        <v>322</v>
      </c>
      <c r="K3337" s="26" t="s">
        <v>360</v>
      </c>
      <c r="L3337" s="26" t="s">
        <v>79</v>
      </c>
      <c r="M3337" s="26" t="s">
        <v>77</v>
      </c>
      <c r="N3337" s="26">
        <v>106</v>
      </c>
      <c r="O3337" s="26">
        <v>55</v>
      </c>
      <c r="P3337" s="26">
        <v>51</v>
      </c>
      <c r="Q3337" s="26">
        <v>6</v>
      </c>
      <c r="R3337" s="26">
        <v>0</v>
      </c>
      <c r="S3337" s="26">
        <v>16</v>
      </c>
      <c r="T3337" s="26">
        <v>0</v>
      </c>
      <c r="U3337" s="26">
        <v>16</v>
      </c>
      <c r="V3337" s="26">
        <v>0</v>
      </c>
      <c r="W3337" s="26"/>
    </row>
    <row r="3338" spans="1:23" x14ac:dyDescent="0.25">
      <c r="A3338" s="26" t="s">
        <v>3971</v>
      </c>
      <c r="B3338" s="26" t="s">
        <v>400</v>
      </c>
      <c r="C3338" s="26" t="s">
        <v>401</v>
      </c>
      <c r="D3338" s="26" t="s">
        <v>179</v>
      </c>
      <c r="E3338" s="26" t="s">
        <v>402</v>
      </c>
      <c r="F3338" s="26" t="s">
        <v>247</v>
      </c>
      <c r="G3338" s="26" t="s">
        <v>198</v>
      </c>
      <c r="H3338" s="26" t="s">
        <v>403</v>
      </c>
      <c r="I3338" s="26" t="s">
        <v>184</v>
      </c>
      <c r="J3338" s="26" t="s">
        <v>375</v>
      </c>
      <c r="K3338" s="26" t="s">
        <v>360</v>
      </c>
      <c r="L3338" s="26" t="s">
        <v>79</v>
      </c>
      <c r="M3338" s="26" t="s">
        <v>77</v>
      </c>
      <c r="N3338" s="26">
        <v>71</v>
      </c>
      <c r="O3338" s="26">
        <v>34</v>
      </c>
      <c r="P3338" s="26">
        <v>37</v>
      </c>
      <c r="Q3338" s="26">
        <v>4</v>
      </c>
      <c r="R3338" s="26">
        <v>0</v>
      </c>
      <c r="S3338" s="26">
        <v>18</v>
      </c>
      <c r="T3338" s="26">
        <v>0</v>
      </c>
      <c r="U3338" s="26">
        <v>18</v>
      </c>
      <c r="V3338" s="26">
        <v>0</v>
      </c>
      <c r="W3338" s="26"/>
    </row>
    <row r="3339" spans="1:23" x14ac:dyDescent="0.25">
      <c r="A3339" s="26" t="s">
        <v>3971</v>
      </c>
      <c r="B3339" s="26" t="s">
        <v>404</v>
      </c>
      <c r="C3339" s="26" t="s">
        <v>405</v>
      </c>
      <c r="D3339" s="26" t="s">
        <v>179</v>
      </c>
      <c r="E3339" s="26" t="s">
        <v>406</v>
      </c>
      <c r="F3339" s="26" t="s">
        <v>407</v>
      </c>
      <c r="G3339" s="26" t="s">
        <v>278</v>
      </c>
      <c r="H3339" s="26" t="s">
        <v>408</v>
      </c>
      <c r="I3339" s="26" t="s">
        <v>184</v>
      </c>
      <c r="J3339" s="26" t="s">
        <v>375</v>
      </c>
      <c r="K3339" s="26" t="s">
        <v>360</v>
      </c>
      <c r="L3339" s="26" t="s">
        <v>79</v>
      </c>
      <c r="M3339" s="26" t="s">
        <v>77</v>
      </c>
      <c r="N3339" s="26">
        <v>53</v>
      </c>
      <c r="O3339" s="26">
        <v>27</v>
      </c>
      <c r="P3339" s="26">
        <v>26</v>
      </c>
      <c r="Q3339" s="26">
        <v>3</v>
      </c>
      <c r="R3339" s="26">
        <v>0</v>
      </c>
      <c r="S3339" s="26">
        <v>6</v>
      </c>
      <c r="T3339" s="26">
        <v>0</v>
      </c>
      <c r="U3339" s="26">
        <v>6</v>
      </c>
      <c r="V3339" s="26">
        <v>0</v>
      </c>
      <c r="W3339" s="26"/>
    </row>
    <row r="3340" spans="1:23" x14ac:dyDescent="0.25">
      <c r="A3340" s="26" t="s">
        <v>3971</v>
      </c>
      <c r="B3340" s="26" t="s">
        <v>409</v>
      </c>
      <c r="C3340" s="26" t="s">
        <v>410</v>
      </c>
      <c r="D3340" s="26" t="s">
        <v>179</v>
      </c>
      <c r="E3340" s="26" t="s">
        <v>411</v>
      </c>
      <c r="F3340" s="26" t="s">
        <v>412</v>
      </c>
      <c r="G3340" s="26" t="s">
        <v>413</v>
      </c>
      <c r="H3340" s="26" t="s">
        <v>414</v>
      </c>
      <c r="I3340" s="26" t="s">
        <v>184</v>
      </c>
      <c r="J3340" s="26" t="s">
        <v>375</v>
      </c>
      <c r="K3340" s="26" t="s">
        <v>360</v>
      </c>
      <c r="L3340" s="26" t="s">
        <v>79</v>
      </c>
      <c r="M3340" s="26" t="s">
        <v>77</v>
      </c>
      <c r="N3340" s="26">
        <v>38</v>
      </c>
      <c r="O3340" s="26">
        <v>17</v>
      </c>
      <c r="P3340" s="26">
        <v>21</v>
      </c>
      <c r="Q3340" s="26">
        <v>3</v>
      </c>
      <c r="R3340" s="26">
        <v>0</v>
      </c>
      <c r="S3340" s="26">
        <v>6</v>
      </c>
      <c r="T3340" s="26">
        <v>0</v>
      </c>
      <c r="U3340" s="26">
        <v>6</v>
      </c>
      <c r="V3340" s="26">
        <v>0</v>
      </c>
      <c r="W3340" s="26"/>
    </row>
    <row r="3341" spans="1:23" x14ac:dyDescent="0.25">
      <c r="A3341" s="26" t="s">
        <v>3971</v>
      </c>
      <c r="B3341" s="26" t="s">
        <v>415</v>
      </c>
      <c r="C3341" s="26" t="s">
        <v>416</v>
      </c>
      <c r="D3341" s="26" t="s">
        <v>218</v>
      </c>
      <c r="E3341" s="26" t="s">
        <v>417</v>
      </c>
      <c r="F3341" s="26" t="s">
        <v>247</v>
      </c>
      <c r="G3341" s="26" t="s">
        <v>198</v>
      </c>
      <c r="H3341" s="26" t="s">
        <v>403</v>
      </c>
      <c r="I3341" s="26" t="s">
        <v>184</v>
      </c>
      <c r="J3341" s="26" t="s">
        <v>375</v>
      </c>
      <c r="K3341" s="26" t="s">
        <v>360</v>
      </c>
      <c r="L3341" s="26" t="s">
        <v>79</v>
      </c>
      <c r="M3341" s="26" t="s">
        <v>77</v>
      </c>
      <c r="N3341" s="26">
        <v>110</v>
      </c>
      <c r="O3341" s="26">
        <v>61</v>
      </c>
      <c r="P3341" s="26">
        <v>49</v>
      </c>
      <c r="Q3341" s="26">
        <v>7</v>
      </c>
      <c r="R3341" s="26">
        <v>0</v>
      </c>
      <c r="S3341" s="26">
        <v>19</v>
      </c>
      <c r="T3341" s="26">
        <v>0</v>
      </c>
      <c r="U3341" s="26">
        <v>19</v>
      </c>
      <c r="V3341" s="26">
        <v>0</v>
      </c>
      <c r="W3341" s="26"/>
    </row>
    <row r="3342" spans="1:23" x14ac:dyDescent="0.25">
      <c r="A3342" s="26" t="s">
        <v>3971</v>
      </c>
      <c r="B3342" s="26" t="s">
        <v>418</v>
      </c>
      <c r="C3342" s="26" t="s">
        <v>419</v>
      </c>
      <c r="D3342" s="26" t="s">
        <v>218</v>
      </c>
      <c r="E3342" s="26" t="s">
        <v>420</v>
      </c>
      <c r="F3342" s="26" t="s">
        <v>220</v>
      </c>
      <c r="G3342" s="26" t="s">
        <v>182</v>
      </c>
      <c r="H3342" s="26" t="s">
        <v>421</v>
      </c>
      <c r="I3342" s="26" t="s">
        <v>184</v>
      </c>
      <c r="J3342" s="26" t="s">
        <v>322</v>
      </c>
      <c r="K3342" s="26" t="s">
        <v>360</v>
      </c>
      <c r="L3342" s="26" t="s">
        <v>79</v>
      </c>
      <c r="M3342" s="26" t="s">
        <v>77</v>
      </c>
      <c r="N3342" s="26">
        <v>76</v>
      </c>
      <c r="O3342" s="26">
        <v>46</v>
      </c>
      <c r="P3342" s="26">
        <v>30</v>
      </c>
      <c r="Q3342" s="26">
        <v>3</v>
      </c>
      <c r="R3342" s="26">
        <v>0</v>
      </c>
      <c r="S3342" s="26">
        <v>7</v>
      </c>
      <c r="T3342" s="26">
        <v>0</v>
      </c>
      <c r="U3342" s="26">
        <v>7</v>
      </c>
      <c r="V3342" s="26">
        <v>0</v>
      </c>
      <c r="W3342" s="26"/>
    </row>
    <row r="3343" spans="1:23" x14ac:dyDescent="0.25">
      <c r="A3343" s="26" t="s">
        <v>3971</v>
      </c>
      <c r="B3343" s="26" t="s">
        <v>422</v>
      </c>
      <c r="C3343" s="26" t="s">
        <v>423</v>
      </c>
      <c r="D3343" s="26" t="s">
        <v>218</v>
      </c>
      <c r="E3343" s="26" t="s">
        <v>424</v>
      </c>
      <c r="F3343" s="26" t="s">
        <v>425</v>
      </c>
      <c r="G3343" s="26" t="s">
        <v>191</v>
      </c>
      <c r="H3343" s="26" t="s">
        <v>426</v>
      </c>
      <c r="I3343" s="26" t="s">
        <v>184</v>
      </c>
      <c r="J3343" s="26" t="s">
        <v>427</v>
      </c>
      <c r="K3343" s="26" t="s">
        <v>360</v>
      </c>
      <c r="L3343" s="26" t="s">
        <v>79</v>
      </c>
      <c r="M3343" s="26" t="s">
        <v>77</v>
      </c>
      <c r="N3343" s="26">
        <v>131</v>
      </c>
      <c r="O3343" s="26">
        <v>71</v>
      </c>
      <c r="P3343" s="26">
        <v>60</v>
      </c>
      <c r="Q3343" s="26">
        <v>6</v>
      </c>
      <c r="R3343" s="26">
        <v>0</v>
      </c>
      <c r="S3343" s="26">
        <v>18</v>
      </c>
      <c r="T3343" s="26">
        <v>0</v>
      </c>
      <c r="U3343" s="26">
        <v>18</v>
      </c>
      <c r="V3343" s="26">
        <v>0</v>
      </c>
      <c r="W3343" s="26"/>
    </row>
    <row r="3344" spans="1:23" x14ac:dyDescent="0.25">
      <c r="A3344" s="26" t="s">
        <v>3971</v>
      </c>
      <c r="B3344" s="26" t="s">
        <v>428</v>
      </c>
      <c r="C3344" s="26" t="s">
        <v>429</v>
      </c>
      <c r="D3344" s="26" t="s">
        <v>179</v>
      </c>
      <c r="E3344" s="26" t="s">
        <v>430</v>
      </c>
      <c r="F3344" s="26" t="s">
        <v>247</v>
      </c>
      <c r="G3344" s="26" t="s">
        <v>198</v>
      </c>
      <c r="H3344" s="26" t="s">
        <v>431</v>
      </c>
      <c r="I3344" s="26" t="s">
        <v>184</v>
      </c>
      <c r="J3344" s="26" t="s">
        <v>375</v>
      </c>
      <c r="K3344" s="26" t="s">
        <v>360</v>
      </c>
      <c r="L3344" s="26" t="s">
        <v>79</v>
      </c>
      <c r="M3344" s="26" t="s">
        <v>77</v>
      </c>
      <c r="N3344" s="26">
        <v>25</v>
      </c>
      <c r="O3344" s="26">
        <v>11</v>
      </c>
      <c r="P3344" s="26">
        <v>14</v>
      </c>
      <c r="Q3344" s="26">
        <v>3</v>
      </c>
      <c r="R3344" s="26">
        <v>0</v>
      </c>
      <c r="S3344" s="26">
        <v>3</v>
      </c>
      <c r="T3344" s="26">
        <v>0</v>
      </c>
      <c r="U3344" s="26">
        <v>3</v>
      </c>
      <c r="V3344" s="26">
        <v>0</v>
      </c>
      <c r="W3344" s="26"/>
    </row>
    <row r="3345" spans="1:23" x14ac:dyDescent="0.25">
      <c r="A3345" s="26" t="s">
        <v>3971</v>
      </c>
      <c r="B3345" s="26" t="s">
        <v>432</v>
      </c>
      <c r="C3345" s="26" t="s">
        <v>433</v>
      </c>
      <c r="D3345" s="26" t="s">
        <v>179</v>
      </c>
      <c r="E3345" s="26" t="s">
        <v>434</v>
      </c>
      <c r="F3345" s="26" t="s">
        <v>435</v>
      </c>
      <c r="G3345" s="26" t="s">
        <v>413</v>
      </c>
      <c r="H3345" s="26" t="s">
        <v>436</v>
      </c>
      <c r="I3345" s="26" t="s">
        <v>184</v>
      </c>
      <c r="J3345" s="26" t="s">
        <v>375</v>
      </c>
      <c r="K3345" s="26" t="s">
        <v>360</v>
      </c>
      <c r="L3345" s="26" t="s">
        <v>79</v>
      </c>
      <c r="M3345" s="26" t="s">
        <v>77</v>
      </c>
      <c r="N3345" s="26">
        <v>18</v>
      </c>
      <c r="O3345" s="26">
        <v>7</v>
      </c>
      <c r="P3345" s="26">
        <v>11</v>
      </c>
      <c r="Q3345" s="26">
        <v>2</v>
      </c>
      <c r="R3345" s="26">
        <v>0</v>
      </c>
      <c r="S3345" s="26">
        <v>8</v>
      </c>
      <c r="T3345" s="26">
        <v>0</v>
      </c>
      <c r="U3345" s="26">
        <v>8</v>
      </c>
      <c r="V3345" s="26">
        <v>0</v>
      </c>
      <c r="W3345" s="26"/>
    </row>
    <row r="3346" spans="1:23" x14ac:dyDescent="0.25">
      <c r="A3346" s="26" t="s">
        <v>3971</v>
      </c>
      <c r="B3346" s="26" t="s">
        <v>437</v>
      </c>
      <c r="C3346" s="26" t="s">
        <v>438</v>
      </c>
      <c r="D3346" s="26" t="s">
        <v>179</v>
      </c>
      <c r="E3346" s="26" t="s">
        <v>439</v>
      </c>
      <c r="F3346" s="26" t="s">
        <v>181</v>
      </c>
      <c r="G3346" s="26" t="s">
        <v>182</v>
      </c>
      <c r="H3346" s="26" t="s">
        <v>440</v>
      </c>
      <c r="I3346" s="26" t="s">
        <v>184</v>
      </c>
      <c r="J3346" s="26" t="s">
        <v>322</v>
      </c>
      <c r="K3346" s="26" t="s">
        <v>360</v>
      </c>
      <c r="L3346" s="26" t="s">
        <v>79</v>
      </c>
      <c r="M3346" s="26" t="s">
        <v>77</v>
      </c>
      <c r="N3346" s="26">
        <v>35</v>
      </c>
      <c r="O3346" s="26">
        <v>20</v>
      </c>
      <c r="P3346" s="26">
        <v>15</v>
      </c>
      <c r="Q3346" s="26">
        <v>2</v>
      </c>
      <c r="R3346" s="26">
        <v>0</v>
      </c>
      <c r="S3346" s="26">
        <v>1</v>
      </c>
      <c r="T3346" s="26">
        <v>0</v>
      </c>
      <c r="U3346" s="26">
        <v>1</v>
      </c>
      <c r="V3346" s="26">
        <v>0</v>
      </c>
      <c r="W3346" s="26"/>
    </row>
    <row r="3347" spans="1:23" x14ac:dyDescent="0.25">
      <c r="A3347" s="26" t="s">
        <v>3971</v>
      </c>
      <c r="B3347" s="26" t="s">
        <v>441</v>
      </c>
      <c r="C3347" s="26" t="s">
        <v>442</v>
      </c>
      <c r="D3347" s="26" t="s">
        <v>218</v>
      </c>
      <c r="E3347" s="26" t="s">
        <v>443</v>
      </c>
      <c r="F3347" s="26" t="s">
        <v>444</v>
      </c>
      <c r="G3347" s="26" t="s">
        <v>265</v>
      </c>
      <c r="H3347" s="26" t="s">
        <v>445</v>
      </c>
      <c r="I3347" s="26" t="s">
        <v>184</v>
      </c>
      <c r="J3347" s="26" t="s">
        <v>322</v>
      </c>
      <c r="K3347" s="26" t="s">
        <v>360</v>
      </c>
      <c r="L3347" s="26" t="s">
        <v>79</v>
      </c>
      <c r="M3347" s="26" t="s">
        <v>77</v>
      </c>
      <c r="N3347" s="26">
        <v>33</v>
      </c>
      <c r="O3347" s="26">
        <v>14</v>
      </c>
      <c r="P3347" s="26">
        <v>19</v>
      </c>
      <c r="Q3347" s="26">
        <v>2</v>
      </c>
      <c r="R3347" s="26">
        <v>0</v>
      </c>
      <c r="S3347" s="26">
        <v>7</v>
      </c>
      <c r="T3347" s="26">
        <v>0</v>
      </c>
      <c r="U3347" s="26">
        <v>7</v>
      </c>
      <c r="V3347" s="26">
        <v>0</v>
      </c>
      <c r="W3347" s="26"/>
    </row>
    <row r="3348" spans="1:23" x14ac:dyDescent="0.25">
      <c r="A3348" s="26" t="s">
        <v>3971</v>
      </c>
      <c r="B3348" s="26" t="s">
        <v>446</v>
      </c>
      <c r="C3348" s="26" t="s">
        <v>447</v>
      </c>
      <c r="D3348" s="26" t="s">
        <v>218</v>
      </c>
      <c r="E3348" s="26" t="s">
        <v>448</v>
      </c>
      <c r="F3348" s="26" t="s">
        <v>449</v>
      </c>
      <c r="G3348" s="26" t="s">
        <v>198</v>
      </c>
      <c r="H3348" s="26" t="s">
        <v>395</v>
      </c>
      <c r="I3348" s="26" t="s">
        <v>184</v>
      </c>
      <c r="J3348" s="26" t="s">
        <v>375</v>
      </c>
      <c r="K3348" s="26" t="s">
        <v>360</v>
      </c>
      <c r="L3348" s="26" t="s">
        <v>79</v>
      </c>
      <c r="M3348" s="26" t="s">
        <v>77</v>
      </c>
      <c r="N3348" s="26">
        <v>26</v>
      </c>
      <c r="O3348" s="26">
        <v>11</v>
      </c>
      <c r="P3348" s="26">
        <v>15</v>
      </c>
      <c r="Q3348" s="26">
        <v>2</v>
      </c>
      <c r="R3348" s="26">
        <v>0</v>
      </c>
      <c r="S3348" s="26">
        <v>4</v>
      </c>
      <c r="T3348" s="26">
        <v>0</v>
      </c>
      <c r="U3348" s="26">
        <v>4</v>
      </c>
      <c r="V3348" s="26">
        <v>0</v>
      </c>
      <c r="W3348" s="26"/>
    </row>
    <row r="3349" spans="1:23" x14ac:dyDescent="0.25">
      <c r="A3349" s="26" t="s">
        <v>3971</v>
      </c>
      <c r="B3349" s="26" t="s">
        <v>450</v>
      </c>
      <c r="C3349" s="26" t="s">
        <v>451</v>
      </c>
      <c r="D3349" s="26" t="s">
        <v>218</v>
      </c>
      <c r="E3349" s="26" t="s">
        <v>452</v>
      </c>
      <c r="F3349" s="26" t="s">
        <v>453</v>
      </c>
      <c r="G3349" s="26" t="s">
        <v>265</v>
      </c>
      <c r="H3349" s="26" t="s">
        <v>445</v>
      </c>
      <c r="I3349" s="26" t="s">
        <v>184</v>
      </c>
      <c r="J3349" s="26" t="s">
        <v>322</v>
      </c>
      <c r="K3349" s="26" t="s">
        <v>360</v>
      </c>
      <c r="L3349" s="26" t="s">
        <v>79</v>
      </c>
      <c r="M3349" s="26" t="s">
        <v>77</v>
      </c>
      <c r="N3349" s="26">
        <v>52</v>
      </c>
      <c r="O3349" s="26">
        <v>26</v>
      </c>
      <c r="P3349" s="26">
        <v>26</v>
      </c>
      <c r="Q3349" s="26">
        <v>6</v>
      </c>
      <c r="R3349" s="26">
        <v>0</v>
      </c>
      <c r="S3349" s="26">
        <v>10</v>
      </c>
      <c r="T3349" s="26">
        <v>0</v>
      </c>
      <c r="U3349" s="26">
        <v>10</v>
      </c>
      <c r="V3349" s="26">
        <v>0</v>
      </c>
      <c r="W3349" s="26"/>
    </row>
    <row r="3350" spans="1:23" x14ac:dyDescent="0.25">
      <c r="A3350" s="26" t="s">
        <v>3971</v>
      </c>
      <c r="B3350" s="26" t="s">
        <v>454</v>
      </c>
      <c r="C3350" s="26" t="s">
        <v>455</v>
      </c>
      <c r="D3350" s="26" t="s">
        <v>218</v>
      </c>
      <c r="E3350" s="26" t="s">
        <v>456</v>
      </c>
      <c r="F3350" s="26" t="s">
        <v>457</v>
      </c>
      <c r="G3350" s="26" t="s">
        <v>182</v>
      </c>
      <c r="H3350" s="26" t="s">
        <v>390</v>
      </c>
      <c r="I3350" s="26" t="s">
        <v>184</v>
      </c>
      <c r="J3350" s="26" t="s">
        <v>322</v>
      </c>
      <c r="K3350" s="26" t="s">
        <v>360</v>
      </c>
      <c r="L3350" s="26" t="s">
        <v>79</v>
      </c>
      <c r="M3350" s="26" t="s">
        <v>77</v>
      </c>
      <c r="N3350" s="26">
        <v>71</v>
      </c>
      <c r="O3350" s="26">
        <v>32</v>
      </c>
      <c r="P3350" s="26">
        <v>39</v>
      </c>
      <c r="Q3350" s="26">
        <v>3</v>
      </c>
      <c r="R3350" s="26">
        <v>0</v>
      </c>
      <c r="S3350" s="26">
        <v>9</v>
      </c>
      <c r="T3350" s="26">
        <v>0</v>
      </c>
      <c r="U3350" s="26">
        <v>9</v>
      </c>
      <c r="V3350" s="26">
        <v>0</v>
      </c>
      <c r="W3350" s="26"/>
    </row>
    <row r="3351" spans="1:23" x14ac:dyDescent="0.25">
      <c r="A3351" s="26" t="s">
        <v>3971</v>
      </c>
      <c r="B3351" s="26" t="s">
        <v>458</v>
      </c>
      <c r="C3351" s="26" t="s">
        <v>459</v>
      </c>
      <c r="D3351" s="26" t="s">
        <v>218</v>
      </c>
      <c r="E3351" s="26" t="s">
        <v>460</v>
      </c>
      <c r="F3351" s="26" t="s">
        <v>457</v>
      </c>
      <c r="G3351" s="26" t="s">
        <v>182</v>
      </c>
      <c r="H3351" s="26" t="s">
        <v>461</v>
      </c>
      <c r="I3351" s="26" t="s">
        <v>184</v>
      </c>
      <c r="J3351" s="26" t="s">
        <v>322</v>
      </c>
      <c r="K3351" s="26" t="s">
        <v>360</v>
      </c>
      <c r="L3351" s="26" t="s">
        <v>79</v>
      </c>
      <c r="M3351" s="26" t="s">
        <v>77</v>
      </c>
      <c r="N3351" s="26">
        <v>64</v>
      </c>
      <c r="O3351" s="26">
        <v>36</v>
      </c>
      <c r="P3351" s="26">
        <v>28</v>
      </c>
      <c r="Q3351" s="26">
        <v>3</v>
      </c>
      <c r="R3351" s="26">
        <v>0</v>
      </c>
      <c r="S3351" s="26">
        <v>7</v>
      </c>
      <c r="T3351" s="26">
        <v>0</v>
      </c>
      <c r="U3351" s="26">
        <v>7</v>
      </c>
      <c r="V3351" s="26">
        <v>0</v>
      </c>
      <c r="W3351" s="26"/>
    </row>
    <row r="3352" spans="1:23" x14ac:dyDescent="0.25">
      <c r="A3352" s="26" t="s">
        <v>3971</v>
      </c>
      <c r="B3352" s="26" t="s">
        <v>462</v>
      </c>
      <c r="C3352" s="26" t="s">
        <v>463</v>
      </c>
      <c r="D3352" s="26" t="s">
        <v>218</v>
      </c>
      <c r="E3352" s="26" t="s">
        <v>464</v>
      </c>
      <c r="F3352" s="26" t="s">
        <v>465</v>
      </c>
      <c r="G3352" s="26" t="s">
        <v>413</v>
      </c>
      <c r="H3352" s="26" t="s">
        <v>466</v>
      </c>
      <c r="I3352" s="26" t="s">
        <v>184</v>
      </c>
      <c r="J3352" s="26" t="s">
        <v>375</v>
      </c>
      <c r="K3352" s="26" t="s">
        <v>360</v>
      </c>
      <c r="L3352" s="26" t="s">
        <v>79</v>
      </c>
      <c r="M3352" s="26" t="s">
        <v>77</v>
      </c>
      <c r="N3352" s="26">
        <v>59</v>
      </c>
      <c r="O3352" s="26">
        <v>32</v>
      </c>
      <c r="P3352" s="26">
        <v>27</v>
      </c>
      <c r="Q3352" s="26">
        <v>3</v>
      </c>
      <c r="R3352" s="26">
        <v>0</v>
      </c>
      <c r="S3352" s="26">
        <v>8</v>
      </c>
      <c r="T3352" s="26">
        <v>0</v>
      </c>
      <c r="U3352" s="26">
        <v>8</v>
      </c>
      <c r="V3352" s="26">
        <v>0</v>
      </c>
      <c r="W3352" s="26"/>
    </row>
    <row r="3353" spans="1:23" x14ac:dyDescent="0.25">
      <c r="A3353" s="26" t="s">
        <v>3971</v>
      </c>
      <c r="B3353" s="26" t="s">
        <v>467</v>
      </c>
      <c r="C3353" s="26" t="s">
        <v>468</v>
      </c>
      <c r="D3353" s="26" t="s">
        <v>218</v>
      </c>
      <c r="E3353" s="26" t="s">
        <v>469</v>
      </c>
      <c r="F3353" s="26" t="s">
        <v>313</v>
      </c>
      <c r="G3353" s="26" t="s">
        <v>182</v>
      </c>
      <c r="H3353" s="26" t="s">
        <v>370</v>
      </c>
      <c r="I3353" s="26" t="s">
        <v>184</v>
      </c>
      <c r="J3353" s="26" t="s">
        <v>322</v>
      </c>
      <c r="K3353" s="26" t="s">
        <v>360</v>
      </c>
      <c r="L3353" s="26" t="s">
        <v>79</v>
      </c>
      <c r="M3353" s="26" t="s">
        <v>77</v>
      </c>
      <c r="N3353" s="26">
        <v>49</v>
      </c>
      <c r="O3353" s="26">
        <v>27</v>
      </c>
      <c r="P3353" s="26">
        <v>22</v>
      </c>
      <c r="Q3353" s="26">
        <v>3</v>
      </c>
      <c r="R3353" s="26">
        <v>0</v>
      </c>
      <c r="S3353" s="26">
        <v>8</v>
      </c>
      <c r="T3353" s="26">
        <v>0</v>
      </c>
      <c r="U3353" s="26">
        <v>8</v>
      </c>
      <c r="V3353" s="26">
        <v>0</v>
      </c>
      <c r="W3353" s="26"/>
    </row>
    <row r="3354" spans="1:23" x14ac:dyDescent="0.25">
      <c r="A3354" s="26" t="s">
        <v>3971</v>
      </c>
      <c r="B3354" s="26" t="s">
        <v>470</v>
      </c>
      <c r="C3354" s="26" t="s">
        <v>471</v>
      </c>
      <c r="D3354" s="26" t="s">
        <v>218</v>
      </c>
      <c r="E3354" s="26" t="s">
        <v>472</v>
      </c>
      <c r="F3354" s="26" t="s">
        <v>282</v>
      </c>
      <c r="G3354" s="26" t="s">
        <v>265</v>
      </c>
      <c r="H3354" s="26" t="s">
        <v>445</v>
      </c>
      <c r="I3354" s="26" t="s">
        <v>184</v>
      </c>
      <c r="J3354" s="26" t="s">
        <v>322</v>
      </c>
      <c r="K3354" s="26" t="s">
        <v>360</v>
      </c>
      <c r="L3354" s="26" t="s">
        <v>79</v>
      </c>
      <c r="M3354" s="26" t="s">
        <v>77</v>
      </c>
      <c r="N3354" s="26">
        <v>55</v>
      </c>
      <c r="O3354" s="26">
        <v>35</v>
      </c>
      <c r="P3354" s="26">
        <v>20</v>
      </c>
      <c r="Q3354" s="26">
        <v>3</v>
      </c>
      <c r="R3354" s="26">
        <v>0</v>
      </c>
      <c r="S3354" s="26">
        <v>6</v>
      </c>
      <c r="T3354" s="26">
        <v>0</v>
      </c>
      <c r="U3354" s="26">
        <v>6</v>
      </c>
      <c r="V3354" s="26">
        <v>0</v>
      </c>
      <c r="W3354" s="26"/>
    </row>
    <row r="3355" spans="1:23" x14ac:dyDescent="0.25">
      <c r="A3355" s="26" t="s">
        <v>3971</v>
      </c>
      <c r="B3355" s="26" t="s">
        <v>473</v>
      </c>
      <c r="C3355" s="26" t="s">
        <v>474</v>
      </c>
      <c r="D3355" s="26" t="s">
        <v>218</v>
      </c>
      <c r="E3355" s="26" t="s">
        <v>475</v>
      </c>
      <c r="F3355" s="26" t="s">
        <v>379</v>
      </c>
      <c r="G3355" s="26" t="s">
        <v>182</v>
      </c>
      <c r="H3355" s="26" t="s">
        <v>399</v>
      </c>
      <c r="I3355" s="26" t="s">
        <v>184</v>
      </c>
      <c r="J3355" s="26" t="s">
        <v>322</v>
      </c>
      <c r="K3355" s="26" t="s">
        <v>360</v>
      </c>
      <c r="L3355" s="26" t="s">
        <v>79</v>
      </c>
      <c r="M3355" s="26" t="s">
        <v>77</v>
      </c>
      <c r="N3355" s="26">
        <v>97</v>
      </c>
      <c r="O3355" s="26">
        <v>39</v>
      </c>
      <c r="P3355" s="26">
        <v>58</v>
      </c>
      <c r="Q3355" s="26">
        <v>3</v>
      </c>
      <c r="R3355" s="26">
        <v>0</v>
      </c>
      <c r="S3355" s="26">
        <v>8</v>
      </c>
      <c r="T3355" s="26">
        <v>0</v>
      </c>
      <c r="U3355" s="26">
        <v>8</v>
      </c>
      <c r="V3355" s="26">
        <v>0</v>
      </c>
      <c r="W3355" s="26"/>
    </row>
    <row r="3356" spans="1:23" x14ac:dyDescent="0.25">
      <c r="A3356" s="26" t="s">
        <v>3971</v>
      </c>
      <c r="B3356" s="26" t="s">
        <v>479</v>
      </c>
      <c r="C3356" s="26" t="s">
        <v>480</v>
      </c>
      <c r="D3356" s="26" t="s">
        <v>218</v>
      </c>
      <c r="E3356" s="26" t="s">
        <v>481</v>
      </c>
      <c r="F3356" s="26" t="s">
        <v>482</v>
      </c>
      <c r="G3356" s="26" t="s">
        <v>265</v>
      </c>
      <c r="H3356" s="26" t="s">
        <v>359</v>
      </c>
      <c r="I3356" s="26" t="s">
        <v>184</v>
      </c>
      <c r="J3356" s="26" t="s">
        <v>322</v>
      </c>
      <c r="K3356" s="26" t="s">
        <v>360</v>
      </c>
      <c r="L3356" s="26" t="s">
        <v>79</v>
      </c>
      <c r="M3356" s="26" t="s">
        <v>77</v>
      </c>
      <c r="N3356" s="26">
        <v>13</v>
      </c>
      <c r="O3356" s="26">
        <v>7</v>
      </c>
      <c r="P3356" s="26">
        <v>6</v>
      </c>
      <c r="Q3356" s="26">
        <v>2</v>
      </c>
      <c r="R3356" s="26">
        <v>0</v>
      </c>
      <c r="S3356" s="26">
        <v>1</v>
      </c>
      <c r="T3356" s="26">
        <v>0</v>
      </c>
      <c r="U3356" s="26">
        <v>1</v>
      </c>
      <c r="V3356" s="26">
        <v>0</v>
      </c>
      <c r="W3356" s="26"/>
    </row>
    <row r="3357" spans="1:23" x14ac:dyDescent="0.25">
      <c r="A3357" s="26" t="s">
        <v>3971</v>
      </c>
      <c r="B3357" s="26" t="s">
        <v>491</v>
      </c>
      <c r="C3357" s="26" t="s">
        <v>492</v>
      </c>
      <c r="D3357" s="26" t="s">
        <v>179</v>
      </c>
      <c r="E3357" s="26" t="s">
        <v>493</v>
      </c>
      <c r="F3357" s="26" t="s">
        <v>494</v>
      </c>
      <c r="G3357" s="26" t="s">
        <v>413</v>
      </c>
      <c r="H3357" s="26" t="s">
        <v>495</v>
      </c>
      <c r="I3357" s="26" t="s">
        <v>184</v>
      </c>
      <c r="J3357" s="26" t="s">
        <v>375</v>
      </c>
      <c r="K3357" s="26" t="s">
        <v>360</v>
      </c>
      <c r="L3357" s="26" t="s">
        <v>79</v>
      </c>
      <c r="M3357" s="26" t="s">
        <v>77</v>
      </c>
      <c r="N3357" s="26">
        <v>40</v>
      </c>
      <c r="O3357" s="26">
        <v>17</v>
      </c>
      <c r="P3357" s="26">
        <v>23</v>
      </c>
      <c r="Q3357" s="26">
        <v>3</v>
      </c>
      <c r="R3357" s="26">
        <v>0</v>
      </c>
      <c r="S3357" s="26">
        <v>9</v>
      </c>
      <c r="T3357" s="26">
        <v>0</v>
      </c>
      <c r="U3357" s="26">
        <v>9</v>
      </c>
      <c r="V3357" s="26">
        <v>0</v>
      </c>
      <c r="W3357" s="26"/>
    </row>
    <row r="3358" spans="1:23" x14ac:dyDescent="0.25">
      <c r="A3358" s="26" t="s">
        <v>3971</v>
      </c>
      <c r="B3358" s="26" t="s">
        <v>496</v>
      </c>
      <c r="C3358" s="26" t="s">
        <v>497</v>
      </c>
      <c r="D3358" s="26" t="s">
        <v>179</v>
      </c>
      <c r="E3358" s="26" t="s">
        <v>498</v>
      </c>
      <c r="F3358" s="26" t="s">
        <v>457</v>
      </c>
      <c r="G3358" s="26" t="s">
        <v>182</v>
      </c>
      <c r="H3358" s="26" t="s">
        <v>380</v>
      </c>
      <c r="I3358" s="26" t="s">
        <v>184</v>
      </c>
      <c r="J3358" s="26" t="s">
        <v>322</v>
      </c>
      <c r="K3358" s="26" t="s">
        <v>360</v>
      </c>
      <c r="L3358" s="26" t="s">
        <v>79</v>
      </c>
      <c r="M3358" s="26" t="s">
        <v>77</v>
      </c>
      <c r="N3358" s="26">
        <v>28</v>
      </c>
      <c r="O3358" s="26">
        <v>16</v>
      </c>
      <c r="P3358" s="26">
        <v>12</v>
      </c>
      <c r="Q3358" s="26">
        <v>3</v>
      </c>
      <c r="R3358" s="26">
        <v>0</v>
      </c>
      <c r="S3358" s="26">
        <v>6</v>
      </c>
      <c r="T3358" s="26">
        <v>0</v>
      </c>
      <c r="U3358" s="26">
        <v>6</v>
      </c>
      <c r="V3358" s="26">
        <v>0</v>
      </c>
      <c r="W3358" s="26"/>
    </row>
    <row r="3359" spans="1:23" x14ac:dyDescent="0.25">
      <c r="A3359" s="26" t="s">
        <v>3971</v>
      </c>
      <c r="B3359" s="26" t="s">
        <v>499</v>
      </c>
      <c r="C3359" s="26" t="s">
        <v>500</v>
      </c>
      <c r="D3359" s="26" t="s">
        <v>179</v>
      </c>
      <c r="E3359" s="26" t="s">
        <v>501</v>
      </c>
      <c r="F3359" s="26" t="s">
        <v>502</v>
      </c>
      <c r="G3359" s="26" t="s">
        <v>293</v>
      </c>
      <c r="H3359" s="26" t="s">
        <v>351</v>
      </c>
      <c r="I3359" s="26" t="s">
        <v>184</v>
      </c>
      <c r="J3359" s="26" t="s">
        <v>503</v>
      </c>
      <c r="K3359" s="26" t="s">
        <v>296</v>
      </c>
      <c r="L3359" s="26" t="s">
        <v>80</v>
      </c>
      <c r="M3359" s="26" t="s">
        <v>77</v>
      </c>
      <c r="N3359" s="26">
        <v>101</v>
      </c>
      <c r="O3359" s="26">
        <v>46</v>
      </c>
      <c r="P3359" s="26">
        <v>55</v>
      </c>
      <c r="Q3359" s="26">
        <v>6</v>
      </c>
      <c r="R3359" s="26">
        <v>0</v>
      </c>
      <c r="S3359" s="26">
        <v>3</v>
      </c>
      <c r="T3359" s="26">
        <v>0</v>
      </c>
      <c r="U3359" s="26">
        <v>3</v>
      </c>
      <c r="V3359" s="26">
        <v>0</v>
      </c>
      <c r="W3359" s="26"/>
    </row>
    <row r="3360" spans="1:23" x14ac:dyDescent="0.25">
      <c r="A3360" s="26" t="s">
        <v>3971</v>
      </c>
      <c r="B3360" s="26" t="s">
        <v>504</v>
      </c>
      <c r="C3360" s="26" t="s">
        <v>505</v>
      </c>
      <c r="D3360" s="26" t="s">
        <v>218</v>
      </c>
      <c r="E3360" s="26" t="s">
        <v>506</v>
      </c>
      <c r="F3360" s="26" t="s">
        <v>507</v>
      </c>
      <c r="G3360" s="26" t="s">
        <v>265</v>
      </c>
      <c r="H3360" s="26" t="s">
        <v>508</v>
      </c>
      <c r="I3360" s="26" t="s">
        <v>184</v>
      </c>
      <c r="J3360" s="26" t="s">
        <v>322</v>
      </c>
      <c r="K3360" s="26" t="s">
        <v>381</v>
      </c>
      <c r="L3360" s="26" t="s">
        <v>79</v>
      </c>
      <c r="M3360" s="26" t="s">
        <v>77</v>
      </c>
      <c r="N3360" s="26">
        <v>198</v>
      </c>
      <c r="O3360" s="26">
        <v>105</v>
      </c>
      <c r="P3360" s="26">
        <v>93</v>
      </c>
      <c r="Q3360" s="26">
        <v>9</v>
      </c>
      <c r="R3360" s="26">
        <v>0</v>
      </c>
      <c r="S3360" s="26">
        <v>28</v>
      </c>
      <c r="T3360" s="26">
        <v>0</v>
      </c>
      <c r="U3360" s="26">
        <v>28</v>
      </c>
      <c r="V3360" s="26">
        <v>0</v>
      </c>
      <c r="W3360" s="26"/>
    </row>
    <row r="3361" spans="1:23" x14ac:dyDescent="0.25">
      <c r="A3361" s="26" t="s">
        <v>3971</v>
      </c>
      <c r="B3361" s="26" t="s">
        <v>509</v>
      </c>
      <c r="C3361" s="26" t="s">
        <v>510</v>
      </c>
      <c r="D3361" s="26" t="s">
        <v>179</v>
      </c>
      <c r="E3361" s="26" t="s">
        <v>511</v>
      </c>
      <c r="F3361" s="26" t="s">
        <v>247</v>
      </c>
      <c r="G3361" s="26" t="s">
        <v>198</v>
      </c>
      <c r="H3361" s="26" t="s">
        <v>403</v>
      </c>
      <c r="I3361" s="26" t="s">
        <v>184</v>
      </c>
      <c r="J3361" s="26" t="s">
        <v>375</v>
      </c>
      <c r="K3361" s="26" t="s">
        <v>381</v>
      </c>
      <c r="L3361" s="26" t="s">
        <v>79</v>
      </c>
      <c r="M3361" s="26" t="s">
        <v>77</v>
      </c>
      <c r="N3361" s="26">
        <v>12</v>
      </c>
      <c r="O3361" s="26">
        <v>4</v>
      </c>
      <c r="P3361" s="26">
        <v>8</v>
      </c>
      <c r="Q3361" s="26">
        <v>3</v>
      </c>
      <c r="R3361" s="26">
        <v>0</v>
      </c>
      <c r="S3361" s="26">
        <v>9</v>
      </c>
      <c r="T3361" s="26">
        <v>0</v>
      </c>
      <c r="U3361" s="26">
        <v>9</v>
      </c>
      <c r="V3361" s="26">
        <v>0</v>
      </c>
      <c r="W3361" s="26"/>
    </row>
    <row r="3362" spans="1:23" x14ac:dyDescent="0.25">
      <c r="A3362" s="26" t="s">
        <v>3971</v>
      </c>
      <c r="B3362" s="26" t="s">
        <v>512</v>
      </c>
      <c r="C3362" s="26" t="s">
        <v>513</v>
      </c>
      <c r="D3362" s="26" t="s">
        <v>179</v>
      </c>
      <c r="E3362" s="26" t="s">
        <v>514</v>
      </c>
      <c r="F3362" s="26" t="s">
        <v>247</v>
      </c>
      <c r="G3362" s="26" t="s">
        <v>198</v>
      </c>
      <c r="H3362" s="26" t="s">
        <v>386</v>
      </c>
      <c r="I3362" s="26" t="s">
        <v>184</v>
      </c>
      <c r="J3362" s="26" t="s">
        <v>375</v>
      </c>
      <c r="K3362" s="26" t="s">
        <v>360</v>
      </c>
      <c r="L3362" s="26" t="s">
        <v>79</v>
      </c>
      <c r="M3362" s="26" t="s">
        <v>77</v>
      </c>
      <c r="N3362" s="26">
        <v>45</v>
      </c>
      <c r="O3362" s="26">
        <v>19</v>
      </c>
      <c r="P3362" s="26">
        <v>26</v>
      </c>
      <c r="Q3362" s="26">
        <v>3</v>
      </c>
      <c r="R3362" s="26">
        <v>0</v>
      </c>
      <c r="S3362" s="26">
        <v>7</v>
      </c>
      <c r="T3362" s="26">
        <v>0</v>
      </c>
      <c r="U3362" s="26">
        <v>7</v>
      </c>
      <c r="V3362" s="26">
        <v>0</v>
      </c>
      <c r="W3362" s="26"/>
    </row>
    <row r="3363" spans="1:23" x14ac:dyDescent="0.25">
      <c r="A3363" s="26" t="s">
        <v>3971</v>
      </c>
      <c r="B3363" s="26" t="s">
        <v>515</v>
      </c>
      <c r="C3363" s="26" t="s">
        <v>516</v>
      </c>
      <c r="D3363" s="26" t="s">
        <v>218</v>
      </c>
      <c r="E3363" s="26" t="s">
        <v>517</v>
      </c>
      <c r="F3363" s="26" t="s">
        <v>425</v>
      </c>
      <c r="G3363" s="26" t="s">
        <v>191</v>
      </c>
      <c r="H3363" s="26" t="s">
        <v>518</v>
      </c>
      <c r="I3363" s="26" t="s">
        <v>184</v>
      </c>
      <c r="J3363" s="26" t="s">
        <v>427</v>
      </c>
      <c r="K3363" s="26" t="s">
        <v>381</v>
      </c>
      <c r="L3363" s="26" t="s">
        <v>79</v>
      </c>
      <c r="M3363" s="26" t="s">
        <v>77</v>
      </c>
      <c r="N3363" s="26">
        <v>48</v>
      </c>
      <c r="O3363" s="26">
        <v>27</v>
      </c>
      <c r="P3363" s="26">
        <v>21</v>
      </c>
      <c r="Q3363" s="26">
        <v>3</v>
      </c>
      <c r="R3363" s="26">
        <v>0</v>
      </c>
      <c r="S3363" s="26">
        <v>10</v>
      </c>
      <c r="T3363" s="26">
        <v>0</v>
      </c>
      <c r="U3363" s="26">
        <v>10</v>
      </c>
      <c r="V3363" s="26">
        <v>0</v>
      </c>
      <c r="W3363" s="26"/>
    </row>
    <row r="3364" spans="1:23" x14ac:dyDescent="0.25">
      <c r="A3364" s="26" t="s">
        <v>3971</v>
      </c>
      <c r="B3364" s="26" t="s">
        <v>519</v>
      </c>
      <c r="C3364" s="26" t="s">
        <v>520</v>
      </c>
      <c r="D3364" s="26" t="s">
        <v>179</v>
      </c>
      <c r="E3364" s="26" t="s">
        <v>521</v>
      </c>
      <c r="F3364" s="26" t="s">
        <v>522</v>
      </c>
      <c r="G3364" s="26" t="s">
        <v>204</v>
      </c>
      <c r="H3364" s="26" t="s">
        <v>523</v>
      </c>
      <c r="I3364" s="26" t="s">
        <v>184</v>
      </c>
      <c r="J3364" s="26" t="s">
        <v>322</v>
      </c>
      <c r="K3364" s="26" t="s">
        <v>360</v>
      </c>
      <c r="L3364" s="26" t="s">
        <v>79</v>
      </c>
      <c r="M3364" s="26" t="s">
        <v>77</v>
      </c>
      <c r="N3364" s="26">
        <v>68</v>
      </c>
      <c r="O3364" s="26">
        <v>33</v>
      </c>
      <c r="P3364" s="26">
        <v>35</v>
      </c>
      <c r="Q3364" s="26">
        <v>3</v>
      </c>
      <c r="R3364" s="26">
        <v>0</v>
      </c>
      <c r="S3364" s="26">
        <v>12</v>
      </c>
      <c r="T3364" s="26">
        <v>0</v>
      </c>
      <c r="U3364" s="26">
        <v>12</v>
      </c>
      <c r="V3364" s="26">
        <v>0</v>
      </c>
      <c r="W3364" s="26"/>
    </row>
    <row r="3365" spans="1:23" x14ac:dyDescent="0.25">
      <c r="A3365" s="26" t="s">
        <v>3971</v>
      </c>
      <c r="B3365" s="26" t="s">
        <v>527</v>
      </c>
      <c r="C3365" s="26" t="s">
        <v>528</v>
      </c>
      <c r="D3365" s="26" t="s">
        <v>218</v>
      </c>
      <c r="E3365" s="26" t="s">
        <v>529</v>
      </c>
      <c r="F3365" s="26" t="s">
        <v>530</v>
      </c>
      <c r="G3365" s="26" t="s">
        <v>265</v>
      </c>
      <c r="H3365" s="26" t="s">
        <v>359</v>
      </c>
      <c r="I3365" s="26" t="s">
        <v>184</v>
      </c>
      <c r="J3365" s="26" t="s">
        <v>322</v>
      </c>
      <c r="K3365" s="26" t="s">
        <v>360</v>
      </c>
      <c r="L3365" s="26" t="s">
        <v>79</v>
      </c>
      <c r="M3365" s="26" t="s">
        <v>77</v>
      </c>
      <c r="N3365" s="26">
        <v>46</v>
      </c>
      <c r="O3365" s="26">
        <v>19</v>
      </c>
      <c r="P3365" s="26">
        <v>27</v>
      </c>
      <c r="Q3365" s="26">
        <v>3</v>
      </c>
      <c r="R3365" s="26">
        <v>0</v>
      </c>
      <c r="S3365" s="26">
        <v>8</v>
      </c>
      <c r="T3365" s="26">
        <v>0</v>
      </c>
      <c r="U3365" s="26">
        <v>8</v>
      </c>
      <c r="V3365" s="26">
        <v>0</v>
      </c>
      <c r="W3365" s="26"/>
    </row>
    <row r="3366" spans="1:23" x14ac:dyDescent="0.25">
      <c r="A3366" s="26" t="s">
        <v>3971</v>
      </c>
      <c r="B3366" s="26" t="s">
        <v>531</v>
      </c>
      <c r="C3366" s="26" t="s">
        <v>532</v>
      </c>
      <c r="D3366" s="26" t="s">
        <v>179</v>
      </c>
      <c r="E3366" s="26" t="s">
        <v>533</v>
      </c>
      <c r="F3366" s="26" t="s">
        <v>457</v>
      </c>
      <c r="G3366" s="26" t="s">
        <v>182</v>
      </c>
      <c r="H3366" s="26" t="s">
        <v>380</v>
      </c>
      <c r="I3366" s="26" t="s">
        <v>184</v>
      </c>
      <c r="J3366" s="26" t="s">
        <v>322</v>
      </c>
      <c r="K3366" s="26" t="s">
        <v>360</v>
      </c>
      <c r="L3366" s="26" t="s">
        <v>79</v>
      </c>
      <c r="M3366" s="26" t="s">
        <v>77</v>
      </c>
      <c r="N3366" s="26">
        <v>74</v>
      </c>
      <c r="O3366" s="26">
        <v>39</v>
      </c>
      <c r="P3366" s="26">
        <v>35</v>
      </c>
      <c r="Q3366" s="26">
        <v>5</v>
      </c>
      <c r="R3366" s="26">
        <v>0</v>
      </c>
      <c r="S3366" s="26">
        <v>11</v>
      </c>
      <c r="T3366" s="26">
        <v>0</v>
      </c>
      <c r="U3366" s="26">
        <v>11</v>
      </c>
      <c r="V3366" s="26">
        <v>0</v>
      </c>
      <c r="W3366" s="26"/>
    </row>
    <row r="3367" spans="1:23" x14ac:dyDescent="0.25">
      <c r="A3367" s="26" t="s">
        <v>3971</v>
      </c>
      <c r="B3367" s="26" t="s">
        <v>534</v>
      </c>
      <c r="C3367" s="26" t="s">
        <v>535</v>
      </c>
      <c r="D3367" s="26" t="s">
        <v>218</v>
      </c>
      <c r="E3367" s="26" t="s">
        <v>536</v>
      </c>
      <c r="F3367" s="26" t="s">
        <v>537</v>
      </c>
      <c r="G3367" s="26" t="s">
        <v>226</v>
      </c>
      <c r="H3367" s="26" t="s">
        <v>538</v>
      </c>
      <c r="I3367" s="26" t="s">
        <v>184</v>
      </c>
      <c r="J3367" s="26" t="s">
        <v>427</v>
      </c>
      <c r="K3367" s="26" t="s">
        <v>360</v>
      </c>
      <c r="L3367" s="26" t="s">
        <v>79</v>
      </c>
      <c r="M3367" s="26" t="s">
        <v>77</v>
      </c>
      <c r="N3367" s="26">
        <v>56</v>
      </c>
      <c r="O3367" s="26">
        <v>30</v>
      </c>
      <c r="P3367" s="26">
        <v>26</v>
      </c>
      <c r="Q3367" s="26">
        <v>3</v>
      </c>
      <c r="R3367" s="26">
        <v>0</v>
      </c>
      <c r="S3367" s="26">
        <v>8</v>
      </c>
      <c r="T3367" s="26">
        <v>0</v>
      </c>
      <c r="U3367" s="26">
        <v>8</v>
      </c>
      <c r="V3367" s="26">
        <v>0</v>
      </c>
      <c r="W3367" s="26"/>
    </row>
    <row r="3368" spans="1:23" x14ac:dyDescent="0.25">
      <c r="A3368" s="26" t="s">
        <v>3971</v>
      </c>
      <c r="B3368" s="26" t="s">
        <v>539</v>
      </c>
      <c r="C3368" s="26" t="s">
        <v>540</v>
      </c>
      <c r="D3368" s="26" t="s">
        <v>218</v>
      </c>
      <c r="E3368" s="26" t="s">
        <v>541</v>
      </c>
      <c r="F3368" s="26" t="s">
        <v>389</v>
      </c>
      <c r="G3368" s="26" t="s">
        <v>182</v>
      </c>
      <c r="H3368" s="26" t="s">
        <v>390</v>
      </c>
      <c r="I3368" s="26" t="s">
        <v>184</v>
      </c>
      <c r="J3368" s="26" t="s">
        <v>322</v>
      </c>
      <c r="K3368" s="26" t="s">
        <v>360</v>
      </c>
      <c r="L3368" s="26" t="s">
        <v>79</v>
      </c>
      <c r="M3368" s="26" t="s">
        <v>77</v>
      </c>
      <c r="N3368" s="26">
        <v>156</v>
      </c>
      <c r="O3368" s="26">
        <v>76</v>
      </c>
      <c r="P3368" s="26">
        <v>80</v>
      </c>
      <c r="Q3368" s="26">
        <v>10</v>
      </c>
      <c r="R3368" s="26">
        <v>0</v>
      </c>
      <c r="S3368" s="26">
        <v>20</v>
      </c>
      <c r="T3368" s="26">
        <v>0</v>
      </c>
      <c r="U3368" s="26">
        <v>20</v>
      </c>
      <c r="V3368" s="26">
        <v>0</v>
      </c>
      <c r="W3368" s="26"/>
    </row>
    <row r="3369" spans="1:23" x14ac:dyDescent="0.25">
      <c r="A3369" s="26" t="s">
        <v>3971</v>
      </c>
      <c r="B3369" s="26" t="s">
        <v>542</v>
      </c>
      <c r="C3369" s="26" t="s">
        <v>543</v>
      </c>
      <c r="D3369" s="26" t="s">
        <v>218</v>
      </c>
      <c r="E3369" s="26" t="s">
        <v>544</v>
      </c>
      <c r="F3369" s="26" t="s">
        <v>545</v>
      </c>
      <c r="G3369" s="26" t="s">
        <v>413</v>
      </c>
      <c r="H3369" s="26" t="s">
        <v>436</v>
      </c>
      <c r="I3369" s="26" t="s">
        <v>184</v>
      </c>
      <c r="J3369" s="26" t="s">
        <v>375</v>
      </c>
      <c r="K3369" s="26" t="s">
        <v>360</v>
      </c>
      <c r="L3369" s="26" t="s">
        <v>79</v>
      </c>
      <c r="M3369" s="26" t="s">
        <v>77</v>
      </c>
      <c r="N3369" s="26">
        <v>33</v>
      </c>
      <c r="O3369" s="26">
        <v>24</v>
      </c>
      <c r="P3369" s="26">
        <v>9</v>
      </c>
      <c r="Q3369" s="26">
        <v>2</v>
      </c>
      <c r="R3369" s="26">
        <v>0</v>
      </c>
      <c r="S3369" s="26">
        <v>1</v>
      </c>
      <c r="T3369" s="26">
        <v>0</v>
      </c>
      <c r="U3369" s="26">
        <v>1</v>
      </c>
      <c r="V3369" s="26">
        <v>0</v>
      </c>
      <c r="W3369" s="26"/>
    </row>
    <row r="3370" spans="1:23" x14ac:dyDescent="0.25">
      <c r="A3370" s="26" t="s">
        <v>3971</v>
      </c>
      <c r="B3370" s="26" t="s">
        <v>546</v>
      </c>
      <c r="C3370" s="26" t="s">
        <v>547</v>
      </c>
      <c r="D3370" s="26" t="s">
        <v>218</v>
      </c>
      <c r="E3370" s="26" t="s">
        <v>548</v>
      </c>
      <c r="F3370" s="26" t="s">
        <v>300</v>
      </c>
      <c r="G3370" s="26" t="s">
        <v>198</v>
      </c>
      <c r="H3370" s="26" t="s">
        <v>374</v>
      </c>
      <c r="I3370" s="26" t="s">
        <v>184</v>
      </c>
      <c r="J3370" s="26" t="s">
        <v>375</v>
      </c>
      <c r="K3370" s="26" t="s">
        <v>360</v>
      </c>
      <c r="L3370" s="26" t="s">
        <v>79</v>
      </c>
      <c r="M3370" s="26" t="s">
        <v>77</v>
      </c>
      <c r="N3370" s="26">
        <v>54</v>
      </c>
      <c r="O3370" s="26">
        <v>29</v>
      </c>
      <c r="P3370" s="26">
        <v>25</v>
      </c>
      <c r="Q3370" s="26">
        <v>2</v>
      </c>
      <c r="R3370" s="26">
        <v>0</v>
      </c>
      <c r="S3370" s="26">
        <v>1</v>
      </c>
      <c r="T3370" s="26">
        <v>0</v>
      </c>
      <c r="U3370" s="26">
        <v>1</v>
      </c>
      <c r="V3370" s="26">
        <v>0</v>
      </c>
      <c r="W3370" s="26"/>
    </row>
    <row r="3371" spans="1:23" x14ac:dyDescent="0.25">
      <c r="A3371" s="26" t="s">
        <v>3971</v>
      </c>
      <c r="B3371" s="26" t="s">
        <v>549</v>
      </c>
      <c r="C3371" s="26" t="s">
        <v>550</v>
      </c>
      <c r="D3371" s="26" t="s">
        <v>218</v>
      </c>
      <c r="E3371" s="26" t="s">
        <v>551</v>
      </c>
      <c r="F3371" s="26" t="s">
        <v>530</v>
      </c>
      <c r="G3371" s="26" t="s">
        <v>265</v>
      </c>
      <c r="H3371" s="26" t="s">
        <v>359</v>
      </c>
      <c r="I3371" s="26" t="s">
        <v>184</v>
      </c>
      <c r="J3371" s="26" t="s">
        <v>322</v>
      </c>
      <c r="K3371" s="26" t="s">
        <v>360</v>
      </c>
      <c r="L3371" s="26" t="s">
        <v>79</v>
      </c>
      <c r="M3371" s="26" t="s">
        <v>77</v>
      </c>
      <c r="N3371" s="26">
        <v>31</v>
      </c>
      <c r="O3371" s="26">
        <v>11</v>
      </c>
      <c r="P3371" s="26">
        <v>20</v>
      </c>
      <c r="Q3371" s="26">
        <v>2</v>
      </c>
      <c r="R3371" s="26">
        <v>0</v>
      </c>
      <c r="S3371" s="26">
        <v>2</v>
      </c>
      <c r="T3371" s="26">
        <v>0</v>
      </c>
      <c r="U3371" s="26">
        <v>2</v>
      </c>
      <c r="V3371" s="26">
        <v>0</v>
      </c>
      <c r="W3371" s="26"/>
    </row>
    <row r="3372" spans="1:23" x14ac:dyDescent="0.25">
      <c r="A3372" s="26" t="s">
        <v>3971</v>
      </c>
      <c r="B3372" s="26" t="s">
        <v>552</v>
      </c>
      <c r="C3372" s="26" t="s">
        <v>553</v>
      </c>
      <c r="D3372" s="26" t="s">
        <v>218</v>
      </c>
      <c r="E3372" s="26" t="s">
        <v>554</v>
      </c>
      <c r="F3372" s="26" t="s">
        <v>555</v>
      </c>
      <c r="G3372" s="26" t="s">
        <v>191</v>
      </c>
      <c r="H3372" s="26" t="s">
        <v>426</v>
      </c>
      <c r="I3372" s="26" t="s">
        <v>184</v>
      </c>
      <c r="J3372" s="26" t="s">
        <v>427</v>
      </c>
      <c r="K3372" s="26" t="s">
        <v>360</v>
      </c>
      <c r="L3372" s="26" t="s">
        <v>79</v>
      </c>
      <c r="M3372" s="26" t="s">
        <v>77</v>
      </c>
      <c r="N3372" s="26">
        <v>25</v>
      </c>
      <c r="O3372" s="26">
        <v>10</v>
      </c>
      <c r="P3372" s="26">
        <v>15</v>
      </c>
      <c r="Q3372" s="26">
        <v>2</v>
      </c>
      <c r="R3372" s="26">
        <v>0</v>
      </c>
      <c r="S3372" s="26">
        <v>1</v>
      </c>
      <c r="T3372" s="26">
        <v>0</v>
      </c>
      <c r="U3372" s="26">
        <v>1</v>
      </c>
      <c r="V3372" s="26">
        <v>0</v>
      </c>
      <c r="W3372" s="26"/>
    </row>
    <row r="3373" spans="1:23" x14ac:dyDescent="0.25">
      <c r="A3373" s="26" t="s">
        <v>3971</v>
      </c>
      <c r="B3373" s="26" t="s">
        <v>556</v>
      </c>
      <c r="C3373" s="26" t="s">
        <v>557</v>
      </c>
      <c r="D3373" s="26" t="s">
        <v>218</v>
      </c>
      <c r="E3373" s="26" t="s">
        <v>558</v>
      </c>
      <c r="F3373" s="26" t="s">
        <v>559</v>
      </c>
      <c r="G3373" s="26" t="s">
        <v>210</v>
      </c>
      <c r="H3373" s="26" t="s">
        <v>365</v>
      </c>
      <c r="I3373" s="26" t="s">
        <v>184</v>
      </c>
      <c r="J3373" s="26" t="s">
        <v>322</v>
      </c>
      <c r="K3373" s="26" t="s">
        <v>360</v>
      </c>
      <c r="L3373" s="26" t="s">
        <v>79</v>
      </c>
      <c r="M3373" s="26" t="s">
        <v>77</v>
      </c>
      <c r="N3373" s="26">
        <v>43</v>
      </c>
      <c r="O3373" s="26">
        <v>27</v>
      </c>
      <c r="P3373" s="26">
        <v>16</v>
      </c>
      <c r="Q3373" s="26">
        <v>2</v>
      </c>
      <c r="R3373" s="26">
        <v>0</v>
      </c>
      <c r="S3373" s="26">
        <v>1</v>
      </c>
      <c r="T3373" s="26">
        <v>0</v>
      </c>
      <c r="U3373" s="26">
        <v>1</v>
      </c>
      <c r="V3373" s="26">
        <v>0</v>
      </c>
      <c r="W3373" s="26"/>
    </row>
    <row r="3374" spans="1:23" x14ac:dyDescent="0.25">
      <c r="A3374" s="26" t="s">
        <v>3971</v>
      </c>
      <c r="B3374" s="26" t="s">
        <v>560</v>
      </c>
      <c r="C3374" s="26" t="s">
        <v>561</v>
      </c>
      <c r="D3374" s="26" t="s">
        <v>218</v>
      </c>
      <c r="E3374" s="26" t="s">
        <v>562</v>
      </c>
      <c r="F3374" s="26" t="s">
        <v>273</v>
      </c>
      <c r="G3374" s="26" t="s">
        <v>182</v>
      </c>
      <c r="H3374" s="26" t="s">
        <v>563</v>
      </c>
      <c r="I3374" s="26" t="s">
        <v>184</v>
      </c>
      <c r="J3374" s="26" t="s">
        <v>322</v>
      </c>
      <c r="K3374" s="26" t="s">
        <v>360</v>
      </c>
      <c r="L3374" s="26" t="s">
        <v>79</v>
      </c>
      <c r="M3374" s="26" t="s">
        <v>77</v>
      </c>
      <c r="N3374" s="26">
        <v>35</v>
      </c>
      <c r="O3374" s="26">
        <v>20</v>
      </c>
      <c r="P3374" s="26">
        <v>15</v>
      </c>
      <c r="Q3374" s="26">
        <v>5</v>
      </c>
      <c r="R3374" s="26">
        <v>0</v>
      </c>
      <c r="S3374" s="26">
        <v>18</v>
      </c>
      <c r="T3374" s="26">
        <v>0</v>
      </c>
      <c r="U3374" s="26">
        <v>18</v>
      </c>
      <c r="V3374" s="26">
        <v>0</v>
      </c>
      <c r="W3374" s="26"/>
    </row>
    <row r="3375" spans="1:23" x14ac:dyDescent="0.25">
      <c r="A3375" s="26" t="s">
        <v>3971</v>
      </c>
      <c r="B3375" s="26" t="s">
        <v>564</v>
      </c>
      <c r="C3375" s="26" t="s">
        <v>565</v>
      </c>
      <c r="D3375" s="26" t="s">
        <v>218</v>
      </c>
      <c r="E3375" s="26" t="s">
        <v>562</v>
      </c>
      <c r="F3375" s="26" t="s">
        <v>273</v>
      </c>
      <c r="G3375" s="26" t="s">
        <v>182</v>
      </c>
      <c r="H3375" s="26" t="s">
        <v>563</v>
      </c>
      <c r="I3375" s="26" t="s">
        <v>184</v>
      </c>
      <c r="J3375" s="26" t="s">
        <v>322</v>
      </c>
      <c r="K3375" s="26" t="s">
        <v>360</v>
      </c>
      <c r="L3375" s="26" t="s">
        <v>79</v>
      </c>
      <c r="M3375" s="26" t="s">
        <v>77</v>
      </c>
      <c r="N3375" s="26">
        <v>44</v>
      </c>
      <c r="O3375" s="26">
        <v>27</v>
      </c>
      <c r="P3375" s="26">
        <v>17</v>
      </c>
      <c r="Q3375" s="26">
        <v>5</v>
      </c>
      <c r="R3375" s="26">
        <v>0</v>
      </c>
      <c r="S3375" s="26">
        <v>4</v>
      </c>
      <c r="T3375" s="26">
        <v>0</v>
      </c>
      <c r="U3375" s="26">
        <v>4</v>
      </c>
      <c r="V3375" s="26">
        <v>0</v>
      </c>
      <c r="W3375" s="26"/>
    </row>
    <row r="3376" spans="1:23" x14ac:dyDescent="0.25">
      <c r="A3376" s="26" t="s">
        <v>3971</v>
      </c>
      <c r="B3376" s="26" t="s">
        <v>566</v>
      </c>
      <c r="C3376" s="26" t="s">
        <v>567</v>
      </c>
      <c r="D3376" s="26" t="s">
        <v>218</v>
      </c>
      <c r="E3376" s="26" t="s">
        <v>568</v>
      </c>
      <c r="F3376" s="26" t="s">
        <v>569</v>
      </c>
      <c r="G3376" s="26" t="s">
        <v>210</v>
      </c>
      <c r="H3376" s="26" t="s">
        <v>570</v>
      </c>
      <c r="I3376" s="26" t="s">
        <v>184</v>
      </c>
      <c r="J3376" s="26" t="s">
        <v>322</v>
      </c>
      <c r="K3376" s="26" t="s">
        <v>360</v>
      </c>
      <c r="L3376" s="26" t="s">
        <v>79</v>
      </c>
      <c r="M3376" s="26" t="s">
        <v>77</v>
      </c>
      <c r="N3376" s="26">
        <v>40</v>
      </c>
      <c r="O3376" s="26">
        <v>24</v>
      </c>
      <c r="P3376" s="26">
        <v>16</v>
      </c>
      <c r="Q3376" s="26">
        <v>2</v>
      </c>
      <c r="R3376" s="26">
        <v>0</v>
      </c>
      <c r="S3376" s="26">
        <v>1</v>
      </c>
      <c r="T3376" s="26">
        <v>0</v>
      </c>
      <c r="U3376" s="26">
        <v>1</v>
      </c>
      <c r="V3376" s="26">
        <v>0</v>
      </c>
      <c r="W3376" s="26"/>
    </row>
    <row r="3377" spans="1:23" x14ac:dyDescent="0.25">
      <c r="A3377" s="26" t="s">
        <v>3971</v>
      </c>
      <c r="B3377" s="26" t="s">
        <v>571</v>
      </c>
      <c r="C3377" s="26" t="s">
        <v>572</v>
      </c>
      <c r="D3377" s="26" t="s">
        <v>218</v>
      </c>
      <c r="E3377" s="26" t="s">
        <v>573</v>
      </c>
      <c r="F3377" s="26" t="s">
        <v>486</v>
      </c>
      <c r="G3377" s="26" t="s">
        <v>487</v>
      </c>
      <c r="H3377" s="26" t="s">
        <v>301</v>
      </c>
      <c r="I3377" s="26" t="s">
        <v>184</v>
      </c>
      <c r="J3377" s="26" t="s">
        <v>375</v>
      </c>
      <c r="K3377" s="26" t="s">
        <v>360</v>
      </c>
      <c r="L3377" s="26" t="s">
        <v>79</v>
      </c>
      <c r="M3377" s="26" t="s">
        <v>77</v>
      </c>
      <c r="N3377" s="26">
        <v>11</v>
      </c>
      <c r="O3377" s="26">
        <v>5</v>
      </c>
      <c r="P3377" s="26">
        <v>6</v>
      </c>
      <c r="Q3377" s="26">
        <v>2</v>
      </c>
      <c r="R3377" s="26">
        <v>0</v>
      </c>
      <c r="S3377" s="26">
        <v>1</v>
      </c>
      <c r="T3377" s="26">
        <v>0</v>
      </c>
      <c r="U3377" s="26">
        <v>1</v>
      </c>
      <c r="V3377" s="26">
        <v>0</v>
      </c>
      <c r="W3377" s="26"/>
    </row>
    <row r="3378" spans="1:23" x14ac:dyDescent="0.25">
      <c r="A3378" s="26" t="s">
        <v>3971</v>
      </c>
      <c r="B3378" s="26" t="s">
        <v>574</v>
      </c>
      <c r="C3378" s="26" t="s">
        <v>575</v>
      </c>
      <c r="D3378" s="26" t="s">
        <v>218</v>
      </c>
      <c r="E3378" s="26" t="s">
        <v>576</v>
      </c>
      <c r="F3378" s="26" t="s">
        <v>577</v>
      </c>
      <c r="G3378" s="26" t="s">
        <v>278</v>
      </c>
      <c r="H3378" s="26" t="s">
        <v>578</v>
      </c>
      <c r="I3378" s="26" t="s">
        <v>184</v>
      </c>
      <c r="J3378" s="26" t="s">
        <v>375</v>
      </c>
      <c r="K3378" s="26" t="s">
        <v>360</v>
      </c>
      <c r="L3378" s="26" t="s">
        <v>79</v>
      </c>
      <c r="M3378" s="26" t="s">
        <v>77</v>
      </c>
      <c r="N3378" s="26">
        <v>25</v>
      </c>
      <c r="O3378" s="26">
        <v>14</v>
      </c>
      <c r="P3378" s="26">
        <v>11</v>
      </c>
      <c r="Q3378" s="26">
        <v>2</v>
      </c>
      <c r="R3378" s="26">
        <v>0</v>
      </c>
      <c r="S3378" s="26">
        <v>2</v>
      </c>
      <c r="T3378" s="26">
        <v>0</v>
      </c>
      <c r="U3378" s="26">
        <v>2</v>
      </c>
      <c r="V3378" s="26">
        <v>0</v>
      </c>
      <c r="W3378" s="26"/>
    </row>
    <row r="3379" spans="1:23" x14ac:dyDescent="0.25">
      <c r="A3379" s="26" t="s">
        <v>3971</v>
      </c>
      <c r="B3379" s="26" t="s">
        <v>579</v>
      </c>
      <c r="C3379" s="26" t="s">
        <v>580</v>
      </c>
      <c r="D3379" s="26" t="s">
        <v>218</v>
      </c>
      <c r="E3379" s="26" t="s">
        <v>581</v>
      </c>
      <c r="F3379" s="26" t="s">
        <v>582</v>
      </c>
      <c r="G3379" s="26" t="s">
        <v>265</v>
      </c>
      <c r="H3379" s="26" t="s">
        <v>321</v>
      </c>
      <c r="I3379" s="26" t="s">
        <v>184</v>
      </c>
      <c r="J3379" s="26" t="s">
        <v>322</v>
      </c>
      <c r="K3379" s="26" t="s">
        <v>360</v>
      </c>
      <c r="L3379" s="26" t="s">
        <v>79</v>
      </c>
      <c r="M3379" s="26" t="s">
        <v>77</v>
      </c>
      <c r="N3379" s="26">
        <v>40</v>
      </c>
      <c r="O3379" s="26">
        <v>22</v>
      </c>
      <c r="P3379" s="26">
        <v>18</v>
      </c>
      <c r="Q3379" s="26">
        <v>2</v>
      </c>
      <c r="R3379" s="26">
        <v>0</v>
      </c>
      <c r="S3379" s="26">
        <v>1</v>
      </c>
      <c r="T3379" s="26">
        <v>0</v>
      </c>
      <c r="U3379" s="26">
        <v>1</v>
      </c>
      <c r="V3379" s="26">
        <v>0</v>
      </c>
      <c r="W3379" s="26"/>
    </row>
    <row r="3380" spans="1:23" x14ac:dyDescent="0.25">
      <c r="A3380" s="26" t="s">
        <v>3971</v>
      </c>
      <c r="B3380" s="26" t="s">
        <v>583</v>
      </c>
      <c r="C3380" s="26" t="s">
        <v>584</v>
      </c>
      <c r="D3380" s="26" t="s">
        <v>218</v>
      </c>
      <c r="E3380" s="26" t="s">
        <v>585</v>
      </c>
      <c r="F3380" s="26" t="s">
        <v>586</v>
      </c>
      <c r="G3380" s="26" t="s">
        <v>226</v>
      </c>
      <c r="H3380" s="26" t="s">
        <v>538</v>
      </c>
      <c r="I3380" s="26" t="s">
        <v>184</v>
      </c>
      <c r="J3380" s="26" t="s">
        <v>427</v>
      </c>
      <c r="K3380" s="26" t="s">
        <v>360</v>
      </c>
      <c r="L3380" s="26" t="s">
        <v>79</v>
      </c>
      <c r="M3380" s="26" t="s">
        <v>77</v>
      </c>
      <c r="N3380" s="26">
        <v>22</v>
      </c>
      <c r="O3380" s="26">
        <v>13</v>
      </c>
      <c r="P3380" s="26">
        <v>9</v>
      </c>
      <c r="Q3380" s="26">
        <v>2</v>
      </c>
      <c r="R3380" s="26">
        <v>0</v>
      </c>
      <c r="S3380" s="26">
        <v>1</v>
      </c>
      <c r="T3380" s="26">
        <v>0</v>
      </c>
      <c r="U3380" s="26">
        <v>1</v>
      </c>
      <c r="V3380" s="26">
        <v>0</v>
      </c>
      <c r="W3380" s="26"/>
    </row>
    <row r="3381" spans="1:23" x14ac:dyDescent="0.25">
      <c r="A3381" s="26" t="s">
        <v>3971</v>
      </c>
      <c r="B3381" s="26" t="s">
        <v>587</v>
      </c>
      <c r="C3381" s="26" t="s">
        <v>588</v>
      </c>
      <c r="D3381" s="26" t="s">
        <v>218</v>
      </c>
      <c r="E3381" s="26" t="s">
        <v>589</v>
      </c>
      <c r="F3381" s="26" t="s">
        <v>555</v>
      </c>
      <c r="G3381" s="26" t="s">
        <v>191</v>
      </c>
      <c r="H3381" s="26" t="s">
        <v>426</v>
      </c>
      <c r="I3381" s="26" t="s">
        <v>184</v>
      </c>
      <c r="J3381" s="26" t="s">
        <v>427</v>
      </c>
      <c r="K3381" s="26" t="s">
        <v>360</v>
      </c>
      <c r="L3381" s="26" t="s">
        <v>79</v>
      </c>
      <c r="M3381" s="26" t="s">
        <v>77</v>
      </c>
      <c r="N3381" s="26">
        <v>28</v>
      </c>
      <c r="O3381" s="26">
        <v>15</v>
      </c>
      <c r="P3381" s="26">
        <v>13</v>
      </c>
      <c r="Q3381" s="26">
        <v>2</v>
      </c>
      <c r="R3381" s="26">
        <v>0</v>
      </c>
      <c r="S3381" s="26">
        <v>2</v>
      </c>
      <c r="T3381" s="26">
        <v>0</v>
      </c>
      <c r="U3381" s="26">
        <v>2</v>
      </c>
      <c r="V3381" s="26">
        <v>0</v>
      </c>
      <c r="W3381" s="26"/>
    </row>
    <row r="3382" spans="1:23" x14ac:dyDescent="0.25">
      <c r="A3382" s="26" t="s">
        <v>3971</v>
      </c>
      <c r="B3382" s="26" t="s">
        <v>590</v>
      </c>
      <c r="C3382" s="26" t="s">
        <v>591</v>
      </c>
      <c r="D3382" s="26" t="s">
        <v>218</v>
      </c>
      <c r="E3382" s="26" t="s">
        <v>592</v>
      </c>
      <c r="F3382" s="26" t="s">
        <v>593</v>
      </c>
      <c r="G3382" s="26" t="s">
        <v>293</v>
      </c>
      <c r="H3382" s="26" t="s">
        <v>594</v>
      </c>
      <c r="I3382" s="26" t="s">
        <v>184</v>
      </c>
      <c r="J3382" s="26" t="s">
        <v>295</v>
      </c>
      <c r="K3382" s="26" t="s">
        <v>296</v>
      </c>
      <c r="L3382" s="26" t="s">
        <v>80</v>
      </c>
      <c r="M3382" s="26" t="s">
        <v>77</v>
      </c>
      <c r="N3382" s="26">
        <v>80</v>
      </c>
      <c r="O3382" s="26">
        <v>41</v>
      </c>
      <c r="P3382" s="26">
        <v>39</v>
      </c>
      <c r="Q3382" s="26">
        <v>3</v>
      </c>
      <c r="R3382" s="26">
        <v>0</v>
      </c>
      <c r="S3382" s="26">
        <v>2</v>
      </c>
      <c r="T3382" s="26">
        <v>0</v>
      </c>
      <c r="U3382" s="26">
        <v>2</v>
      </c>
      <c r="V3382" s="26">
        <v>0</v>
      </c>
      <c r="W3382" s="26"/>
    </row>
    <row r="3383" spans="1:23" x14ac:dyDescent="0.25">
      <c r="A3383" s="26" t="s">
        <v>3971</v>
      </c>
      <c r="B3383" s="26" t="s">
        <v>595</v>
      </c>
      <c r="C3383" s="26" t="s">
        <v>596</v>
      </c>
      <c r="D3383" s="26" t="s">
        <v>218</v>
      </c>
      <c r="E3383" s="26" t="s">
        <v>597</v>
      </c>
      <c r="F3383" s="26" t="s">
        <v>598</v>
      </c>
      <c r="G3383" s="26" t="s">
        <v>182</v>
      </c>
      <c r="H3383" s="26" t="s">
        <v>380</v>
      </c>
      <c r="I3383" s="26" t="s">
        <v>184</v>
      </c>
      <c r="J3383" s="26" t="s">
        <v>322</v>
      </c>
      <c r="K3383" s="26" t="s">
        <v>360</v>
      </c>
      <c r="L3383" s="26" t="s">
        <v>79</v>
      </c>
      <c r="M3383" s="26" t="s">
        <v>77</v>
      </c>
      <c r="N3383" s="26">
        <v>19</v>
      </c>
      <c r="O3383" s="26">
        <v>6</v>
      </c>
      <c r="P3383" s="26">
        <v>13</v>
      </c>
      <c r="Q3383" s="26">
        <v>2</v>
      </c>
      <c r="R3383" s="26">
        <v>0</v>
      </c>
      <c r="S3383" s="26">
        <v>8</v>
      </c>
      <c r="T3383" s="26">
        <v>0</v>
      </c>
      <c r="U3383" s="26">
        <v>8</v>
      </c>
      <c r="V3383" s="26">
        <v>0</v>
      </c>
      <c r="W3383" s="26"/>
    </row>
    <row r="3384" spans="1:23" x14ac:dyDescent="0.25">
      <c r="A3384" s="26" t="s">
        <v>3971</v>
      </c>
      <c r="B3384" s="26" t="s">
        <v>599</v>
      </c>
      <c r="C3384" s="26" t="s">
        <v>600</v>
      </c>
      <c r="D3384" s="26" t="s">
        <v>218</v>
      </c>
      <c r="E3384" s="26" t="s">
        <v>601</v>
      </c>
      <c r="F3384" s="26" t="s">
        <v>602</v>
      </c>
      <c r="G3384" s="26" t="s">
        <v>226</v>
      </c>
      <c r="H3384" s="26" t="s">
        <v>603</v>
      </c>
      <c r="I3384" s="26" t="s">
        <v>184</v>
      </c>
      <c r="J3384" s="26" t="s">
        <v>427</v>
      </c>
      <c r="K3384" s="26" t="s">
        <v>360</v>
      </c>
      <c r="L3384" s="26" t="s">
        <v>79</v>
      </c>
      <c r="M3384" s="26" t="s">
        <v>77</v>
      </c>
      <c r="N3384" s="26">
        <v>37</v>
      </c>
      <c r="O3384" s="26">
        <v>22</v>
      </c>
      <c r="P3384" s="26">
        <v>15</v>
      </c>
      <c r="Q3384" s="26">
        <v>2</v>
      </c>
      <c r="R3384" s="26">
        <v>0</v>
      </c>
      <c r="S3384" s="26">
        <v>2</v>
      </c>
      <c r="T3384" s="26">
        <v>0</v>
      </c>
      <c r="U3384" s="26">
        <v>2</v>
      </c>
      <c r="V3384" s="26">
        <v>0</v>
      </c>
      <c r="W3384" s="26"/>
    </row>
    <row r="3385" spans="1:23" x14ac:dyDescent="0.25">
      <c r="A3385" s="26" t="s">
        <v>3971</v>
      </c>
      <c r="B3385" s="26" t="s">
        <v>604</v>
      </c>
      <c r="C3385" s="26" t="s">
        <v>605</v>
      </c>
      <c r="D3385" s="26" t="s">
        <v>218</v>
      </c>
      <c r="E3385" s="26" t="s">
        <v>606</v>
      </c>
      <c r="F3385" s="26" t="s">
        <v>607</v>
      </c>
      <c r="G3385" s="26" t="s">
        <v>198</v>
      </c>
      <c r="H3385" s="26" t="s">
        <v>431</v>
      </c>
      <c r="I3385" s="26" t="s">
        <v>184</v>
      </c>
      <c r="J3385" s="26" t="s">
        <v>375</v>
      </c>
      <c r="K3385" s="26" t="s">
        <v>360</v>
      </c>
      <c r="L3385" s="26" t="s">
        <v>79</v>
      </c>
      <c r="M3385" s="26" t="s">
        <v>77</v>
      </c>
      <c r="N3385" s="26">
        <v>27</v>
      </c>
      <c r="O3385" s="26">
        <v>19</v>
      </c>
      <c r="P3385" s="26">
        <v>8</v>
      </c>
      <c r="Q3385" s="26">
        <v>2</v>
      </c>
      <c r="R3385" s="26">
        <v>0</v>
      </c>
      <c r="S3385" s="26">
        <v>2</v>
      </c>
      <c r="T3385" s="26">
        <v>0</v>
      </c>
      <c r="U3385" s="26">
        <v>2</v>
      </c>
      <c r="V3385" s="26">
        <v>0</v>
      </c>
      <c r="W3385" s="26"/>
    </row>
    <row r="3386" spans="1:23" x14ac:dyDescent="0.25">
      <c r="A3386" s="26" t="s">
        <v>3971</v>
      </c>
      <c r="B3386" s="26" t="s">
        <v>608</v>
      </c>
      <c r="C3386" s="26" t="s">
        <v>609</v>
      </c>
      <c r="D3386" s="26" t="s">
        <v>218</v>
      </c>
      <c r="E3386" s="26" t="s">
        <v>610</v>
      </c>
      <c r="F3386" s="26" t="s">
        <v>220</v>
      </c>
      <c r="G3386" s="26" t="s">
        <v>182</v>
      </c>
      <c r="H3386" s="26" t="s">
        <v>563</v>
      </c>
      <c r="I3386" s="26" t="s">
        <v>184</v>
      </c>
      <c r="J3386" s="26" t="s">
        <v>322</v>
      </c>
      <c r="K3386" s="26" t="s">
        <v>360</v>
      </c>
      <c r="L3386" s="26" t="s">
        <v>79</v>
      </c>
      <c r="M3386" s="26" t="s">
        <v>77</v>
      </c>
      <c r="N3386" s="26">
        <v>12</v>
      </c>
      <c r="O3386" s="26">
        <v>6</v>
      </c>
      <c r="P3386" s="26">
        <v>6</v>
      </c>
      <c r="Q3386" s="26">
        <v>2</v>
      </c>
      <c r="R3386" s="26">
        <v>0</v>
      </c>
      <c r="S3386" s="26">
        <v>1</v>
      </c>
      <c r="T3386" s="26">
        <v>0</v>
      </c>
      <c r="U3386" s="26">
        <v>1</v>
      </c>
      <c r="V3386" s="26">
        <v>0</v>
      </c>
      <c r="W3386" s="26"/>
    </row>
    <row r="3387" spans="1:23" x14ac:dyDescent="0.25">
      <c r="A3387" s="26" t="s">
        <v>3971</v>
      </c>
      <c r="B3387" s="26" t="s">
        <v>611</v>
      </c>
      <c r="C3387" s="26" t="s">
        <v>612</v>
      </c>
      <c r="D3387" s="26" t="s">
        <v>218</v>
      </c>
      <c r="E3387" s="26" t="s">
        <v>613</v>
      </c>
      <c r="F3387" s="26" t="s">
        <v>614</v>
      </c>
      <c r="G3387" s="26" t="s">
        <v>413</v>
      </c>
      <c r="H3387" s="26" t="s">
        <v>466</v>
      </c>
      <c r="I3387" s="26" t="s">
        <v>184</v>
      </c>
      <c r="J3387" s="26" t="s">
        <v>375</v>
      </c>
      <c r="K3387" s="26" t="s">
        <v>360</v>
      </c>
      <c r="L3387" s="26" t="s">
        <v>79</v>
      </c>
      <c r="M3387" s="26" t="s">
        <v>77</v>
      </c>
      <c r="N3387" s="26">
        <v>33</v>
      </c>
      <c r="O3387" s="26">
        <v>20</v>
      </c>
      <c r="P3387" s="26">
        <v>13</v>
      </c>
      <c r="Q3387" s="26">
        <v>2</v>
      </c>
      <c r="R3387" s="26">
        <v>0</v>
      </c>
      <c r="S3387" s="26">
        <v>7</v>
      </c>
      <c r="T3387" s="26">
        <v>0</v>
      </c>
      <c r="U3387" s="26">
        <v>7</v>
      </c>
      <c r="V3387" s="26">
        <v>0</v>
      </c>
      <c r="W3387" s="26"/>
    </row>
    <row r="3388" spans="1:23" x14ac:dyDescent="0.25">
      <c r="A3388" s="26" t="s">
        <v>3971</v>
      </c>
      <c r="B3388" s="26" t="s">
        <v>615</v>
      </c>
      <c r="C3388" s="26" t="s">
        <v>616</v>
      </c>
      <c r="D3388" s="26" t="s">
        <v>218</v>
      </c>
      <c r="E3388" s="26" t="s">
        <v>617</v>
      </c>
      <c r="F3388" s="26" t="s">
        <v>618</v>
      </c>
      <c r="G3388" s="26" t="s">
        <v>182</v>
      </c>
      <c r="H3388" s="26" t="s">
        <v>390</v>
      </c>
      <c r="I3388" s="26" t="s">
        <v>184</v>
      </c>
      <c r="J3388" s="26" t="s">
        <v>322</v>
      </c>
      <c r="K3388" s="26" t="s">
        <v>360</v>
      </c>
      <c r="L3388" s="26" t="s">
        <v>79</v>
      </c>
      <c r="M3388" s="26" t="s">
        <v>77</v>
      </c>
      <c r="N3388" s="26">
        <v>12</v>
      </c>
      <c r="O3388" s="26">
        <v>7</v>
      </c>
      <c r="P3388" s="26">
        <v>5</v>
      </c>
      <c r="Q3388" s="26">
        <v>2</v>
      </c>
      <c r="R3388" s="26">
        <v>0</v>
      </c>
      <c r="S3388" s="26">
        <v>8</v>
      </c>
      <c r="T3388" s="26">
        <v>0</v>
      </c>
      <c r="U3388" s="26">
        <v>8</v>
      </c>
      <c r="V3388" s="26">
        <v>0</v>
      </c>
      <c r="W3388" s="26"/>
    </row>
    <row r="3389" spans="1:23" x14ac:dyDescent="0.25">
      <c r="A3389" s="26" t="s">
        <v>3971</v>
      </c>
      <c r="B3389" s="26" t="s">
        <v>619</v>
      </c>
      <c r="C3389" s="26" t="s">
        <v>620</v>
      </c>
      <c r="D3389" s="26" t="s">
        <v>218</v>
      </c>
      <c r="E3389" s="26" t="s">
        <v>621</v>
      </c>
      <c r="F3389" s="26" t="s">
        <v>622</v>
      </c>
      <c r="G3389" s="26" t="s">
        <v>278</v>
      </c>
      <c r="H3389" s="26" t="s">
        <v>623</v>
      </c>
      <c r="I3389" s="26" t="s">
        <v>184</v>
      </c>
      <c r="J3389" s="26" t="s">
        <v>375</v>
      </c>
      <c r="K3389" s="26" t="s">
        <v>360</v>
      </c>
      <c r="L3389" s="26" t="s">
        <v>79</v>
      </c>
      <c r="M3389" s="26" t="s">
        <v>77</v>
      </c>
      <c r="N3389" s="26">
        <v>34</v>
      </c>
      <c r="O3389" s="26">
        <v>17</v>
      </c>
      <c r="P3389" s="26">
        <v>17</v>
      </c>
      <c r="Q3389" s="26">
        <v>2</v>
      </c>
      <c r="R3389" s="26">
        <v>0</v>
      </c>
      <c r="S3389" s="26">
        <v>6</v>
      </c>
      <c r="T3389" s="26">
        <v>0</v>
      </c>
      <c r="U3389" s="26">
        <v>6</v>
      </c>
      <c r="V3389" s="26">
        <v>0</v>
      </c>
      <c r="W3389" s="26"/>
    </row>
    <row r="3390" spans="1:23" x14ac:dyDescent="0.25">
      <c r="A3390" s="26" t="s">
        <v>3971</v>
      </c>
      <c r="B3390" s="26" t="s">
        <v>624</v>
      </c>
      <c r="C3390" s="26" t="s">
        <v>625</v>
      </c>
      <c r="D3390" s="26" t="s">
        <v>218</v>
      </c>
      <c r="E3390" s="26" t="s">
        <v>626</v>
      </c>
      <c r="F3390" s="26" t="s">
        <v>394</v>
      </c>
      <c r="G3390" s="26" t="s">
        <v>198</v>
      </c>
      <c r="H3390" s="26" t="s">
        <v>403</v>
      </c>
      <c r="I3390" s="26" t="s">
        <v>184</v>
      </c>
      <c r="J3390" s="26" t="s">
        <v>375</v>
      </c>
      <c r="K3390" s="26" t="s">
        <v>360</v>
      </c>
      <c r="L3390" s="26" t="s">
        <v>79</v>
      </c>
      <c r="M3390" s="26" t="s">
        <v>77</v>
      </c>
      <c r="N3390" s="26">
        <v>34</v>
      </c>
      <c r="O3390" s="26">
        <v>17</v>
      </c>
      <c r="P3390" s="26">
        <v>17</v>
      </c>
      <c r="Q3390" s="26">
        <v>2</v>
      </c>
      <c r="R3390" s="26">
        <v>0</v>
      </c>
      <c r="S3390" s="26">
        <v>9</v>
      </c>
      <c r="T3390" s="26">
        <v>0</v>
      </c>
      <c r="U3390" s="26">
        <v>9</v>
      </c>
      <c r="V3390" s="26">
        <v>0</v>
      </c>
      <c r="W3390" s="26"/>
    </row>
    <row r="3391" spans="1:23" x14ac:dyDescent="0.25">
      <c r="A3391" s="26" t="s">
        <v>3971</v>
      </c>
      <c r="B3391" s="26" t="s">
        <v>627</v>
      </c>
      <c r="C3391" s="26" t="s">
        <v>628</v>
      </c>
      <c r="D3391" s="26" t="s">
        <v>218</v>
      </c>
      <c r="E3391" s="26" t="s">
        <v>629</v>
      </c>
      <c r="F3391" s="26" t="s">
        <v>598</v>
      </c>
      <c r="G3391" s="26" t="s">
        <v>182</v>
      </c>
      <c r="H3391" s="26" t="s">
        <v>461</v>
      </c>
      <c r="I3391" s="26" t="s">
        <v>184</v>
      </c>
      <c r="J3391" s="26" t="s">
        <v>322</v>
      </c>
      <c r="K3391" s="26" t="s">
        <v>360</v>
      </c>
      <c r="L3391" s="26" t="s">
        <v>79</v>
      </c>
      <c r="M3391" s="26" t="s">
        <v>77</v>
      </c>
      <c r="N3391" s="26">
        <v>19</v>
      </c>
      <c r="O3391" s="26">
        <v>9</v>
      </c>
      <c r="P3391" s="26">
        <v>10</v>
      </c>
      <c r="Q3391" s="26">
        <v>2</v>
      </c>
      <c r="R3391" s="26">
        <v>0</v>
      </c>
      <c r="S3391" s="26">
        <v>2</v>
      </c>
      <c r="T3391" s="26">
        <v>0</v>
      </c>
      <c r="U3391" s="26">
        <v>2</v>
      </c>
      <c r="V3391" s="26">
        <v>0</v>
      </c>
      <c r="W3391" s="26"/>
    </row>
    <row r="3392" spans="1:23" x14ac:dyDescent="0.25">
      <c r="A3392" s="26" t="s">
        <v>3971</v>
      </c>
      <c r="B3392" s="26" t="s">
        <v>630</v>
      </c>
      <c r="C3392" s="26" t="s">
        <v>631</v>
      </c>
      <c r="D3392" s="26" t="s">
        <v>218</v>
      </c>
      <c r="E3392" s="26" t="s">
        <v>632</v>
      </c>
      <c r="F3392" s="26" t="s">
        <v>379</v>
      </c>
      <c r="G3392" s="26" t="s">
        <v>182</v>
      </c>
      <c r="H3392" s="26" t="s">
        <v>563</v>
      </c>
      <c r="I3392" s="26" t="s">
        <v>184</v>
      </c>
      <c r="J3392" s="26" t="s">
        <v>322</v>
      </c>
      <c r="K3392" s="26" t="s">
        <v>360</v>
      </c>
      <c r="L3392" s="26" t="s">
        <v>79</v>
      </c>
      <c r="M3392" s="26" t="s">
        <v>77</v>
      </c>
      <c r="N3392" s="26">
        <v>21</v>
      </c>
      <c r="O3392" s="26">
        <v>9</v>
      </c>
      <c r="P3392" s="26">
        <v>12</v>
      </c>
      <c r="Q3392" s="26">
        <v>2</v>
      </c>
      <c r="R3392" s="26">
        <v>0</v>
      </c>
      <c r="S3392" s="26">
        <v>1</v>
      </c>
      <c r="T3392" s="26">
        <v>0</v>
      </c>
      <c r="U3392" s="26">
        <v>1</v>
      </c>
      <c r="V3392" s="26">
        <v>0</v>
      </c>
      <c r="W3392" s="26"/>
    </row>
    <row r="3393" spans="1:23" x14ac:dyDescent="0.25">
      <c r="A3393" s="26" t="s">
        <v>3971</v>
      </c>
      <c r="B3393" s="26" t="s">
        <v>633</v>
      </c>
      <c r="C3393" s="26" t="s">
        <v>634</v>
      </c>
      <c r="D3393" s="26" t="s">
        <v>218</v>
      </c>
      <c r="E3393" s="26" t="s">
        <v>635</v>
      </c>
      <c r="F3393" s="26" t="s">
        <v>636</v>
      </c>
      <c r="G3393" s="26" t="s">
        <v>637</v>
      </c>
      <c r="H3393" s="26" t="s">
        <v>638</v>
      </c>
      <c r="I3393" s="26" t="s">
        <v>184</v>
      </c>
      <c r="J3393" s="26" t="s">
        <v>427</v>
      </c>
      <c r="K3393" s="26" t="s">
        <v>360</v>
      </c>
      <c r="L3393" s="26" t="s">
        <v>79</v>
      </c>
      <c r="M3393" s="26" t="s">
        <v>77</v>
      </c>
      <c r="N3393" s="26">
        <v>31</v>
      </c>
      <c r="O3393" s="26">
        <v>19</v>
      </c>
      <c r="P3393" s="26">
        <v>12</v>
      </c>
      <c r="Q3393" s="26">
        <v>2</v>
      </c>
      <c r="R3393" s="26">
        <v>0</v>
      </c>
      <c r="S3393" s="26">
        <v>5</v>
      </c>
      <c r="T3393" s="26">
        <v>0</v>
      </c>
      <c r="U3393" s="26">
        <v>5</v>
      </c>
      <c r="V3393" s="26">
        <v>0</v>
      </c>
      <c r="W3393" s="26"/>
    </row>
    <row r="3394" spans="1:23" x14ac:dyDescent="0.25">
      <c r="A3394" s="26" t="s">
        <v>3971</v>
      </c>
      <c r="B3394" s="26" t="s">
        <v>639</v>
      </c>
      <c r="C3394" s="26" t="s">
        <v>640</v>
      </c>
      <c r="D3394" s="26" t="s">
        <v>218</v>
      </c>
      <c r="E3394" s="26" t="s">
        <v>641</v>
      </c>
      <c r="F3394" s="26" t="s">
        <v>642</v>
      </c>
      <c r="G3394" s="26" t="s">
        <v>204</v>
      </c>
      <c r="H3394" s="26" t="s">
        <v>643</v>
      </c>
      <c r="I3394" s="26" t="s">
        <v>184</v>
      </c>
      <c r="J3394" s="26" t="s">
        <v>322</v>
      </c>
      <c r="K3394" s="26" t="s">
        <v>360</v>
      </c>
      <c r="L3394" s="26" t="s">
        <v>79</v>
      </c>
      <c r="M3394" s="26" t="s">
        <v>77</v>
      </c>
      <c r="N3394" s="26">
        <v>27</v>
      </c>
      <c r="O3394" s="26">
        <v>19</v>
      </c>
      <c r="P3394" s="26">
        <v>8</v>
      </c>
      <c r="Q3394" s="26">
        <v>2</v>
      </c>
      <c r="R3394" s="26">
        <v>0</v>
      </c>
      <c r="S3394" s="26">
        <v>6</v>
      </c>
      <c r="T3394" s="26">
        <v>0</v>
      </c>
      <c r="U3394" s="26">
        <v>6</v>
      </c>
      <c r="V3394" s="26">
        <v>0</v>
      </c>
      <c r="W3394" s="26"/>
    </row>
    <row r="3395" spans="1:23" x14ac:dyDescent="0.25">
      <c r="A3395" s="26" t="s">
        <v>3971</v>
      </c>
      <c r="B3395" s="26" t="s">
        <v>644</v>
      </c>
      <c r="C3395" s="26" t="s">
        <v>645</v>
      </c>
      <c r="D3395" s="26" t="s">
        <v>179</v>
      </c>
      <c r="E3395" s="26" t="s">
        <v>646</v>
      </c>
      <c r="F3395" s="26" t="s">
        <v>369</v>
      </c>
      <c r="G3395" s="26" t="s">
        <v>182</v>
      </c>
      <c r="H3395" s="26" t="s">
        <v>370</v>
      </c>
      <c r="I3395" s="26" t="s">
        <v>184</v>
      </c>
      <c r="J3395" s="26" t="s">
        <v>322</v>
      </c>
      <c r="K3395" s="26" t="s">
        <v>360</v>
      </c>
      <c r="L3395" s="26" t="s">
        <v>79</v>
      </c>
      <c r="M3395" s="26" t="s">
        <v>77</v>
      </c>
      <c r="N3395" s="26">
        <v>30</v>
      </c>
      <c r="O3395" s="26">
        <v>16</v>
      </c>
      <c r="P3395" s="26">
        <v>14</v>
      </c>
      <c r="Q3395" s="26">
        <v>3</v>
      </c>
      <c r="R3395" s="26">
        <v>0</v>
      </c>
      <c r="S3395" s="26">
        <v>4</v>
      </c>
      <c r="T3395" s="26">
        <v>0</v>
      </c>
      <c r="U3395" s="26">
        <v>4</v>
      </c>
      <c r="V3395" s="26">
        <v>0</v>
      </c>
      <c r="W3395" s="26"/>
    </row>
    <row r="3396" spans="1:23" x14ac:dyDescent="0.25">
      <c r="A3396" s="26" t="s">
        <v>3971</v>
      </c>
      <c r="B3396" s="26" t="s">
        <v>647</v>
      </c>
      <c r="C3396" s="26" t="s">
        <v>648</v>
      </c>
      <c r="D3396" s="26" t="s">
        <v>179</v>
      </c>
      <c r="E3396" s="26" t="s">
        <v>649</v>
      </c>
      <c r="F3396" s="26" t="s">
        <v>650</v>
      </c>
      <c r="G3396" s="26" t="s">
        <v>651</v>
      </c>
      <c r="H3396" s="26" t="s">
        <v>652</v>
      </c>
      <c r="I3396" s="26" t="s">
        <v>184</v>
      </c>
      <c r="J3396" s="26" t="s">
        <v>427</v>
      </c>
      <c r="K3396" s="26" t="s">
        <v>360</v>
      </c>
      <c r="L3396" s="26" t="s">
        <v>79</v>
      </c>
      <c r="M3396" s="26" t="s">
        <v>77</v>
      </c>
      <c r="N3396" s="26">
        <v>139</v>
      </c>
      <c r="O3396" s="26">
        <v>70</v>
      </c>
      <c r="P3396" s="26">
        <v>69</v>
      </c>
      <c r="Q3396" s="26">
        <v>6</v>
      </c>
      <c r="R3396" s="26">
        <v>0</v>
      </c>
      <c r="S3396" s="26">
        <v>7</v>
      </c>
      <c r="T3396" s="26">
        <v>0</v>
      </c>
      <c r="U3396" s="26">
        <v>7</v>
      </c>
      <c r="V3396" s="26">
        <v>0</v>
      </c>
      <c r="W3396" s="26"/>
    </row>
    <row r="3397" spans="1:23" x14ac:dyDescent="0.25">
      <c r="A3397" s="26" t="s">
        <v>3971</v>
      </c>
      <c r="B3397" s="26" t="s">
        <v>653</v>
      </c>
      <c r="C3397" s="26" t="s">
        <v>654</v>
      </c>
      <c r="D3397" s="26" t="s">
        <v>179</v>
      </c>
      <c r="E3397" s="26" t="s">
        <v>655</v>
      </c>
      <c r="F3397" s="26" t="s">
        <v>656</v>
      </c>
      <c r="G3397" s="26" t="s">
        <v>637</v>
      </c>
      <c r="H3397" s="26" t="s">
        <v>657</v>
      </c>
      <c r="I3397" s="26" t="s">
        <v>184</v>
      </c>
      <c r="J3397" s="26" t="s">
        <v>427</v>
      </c>
      <c r="K3397" s="26" t="s">
        <v>360</v>
      </c>
      <c r="L3397" s="26" t="s">
        <v>79</v>
      </c>
      <c r="M3397" s="26" t="s">
        <v>77</v>
      </c>
      <c r="N3397" s="26">
        <v>23</v>
      </c>
      <c r="O3397" s="26">
        <v>11</v>
      </c>
      <c r="P3397" s="26">
        <v>12</v>
      </c>
      <c r="Q3397" s="26">
        <v>1</v>
      </c>
      <c r="R3397" s="26">
        <v>0</v>
      </c>
      <c r="S3397" s="26">
        <v>2</v>
      </c>
      <c r="T3397" s="26">
        <v>0</v>
      </c>
      <c r="U3397" s="26">
        <v>2</v>
      </c>
      <c r="V3397" s="26">
        <v>0</v>
      </c>
      <c r="W3397" s="26"/>
    </row>
    <row r="3398" spans="1:23" x14ac:dyDescent="0.25">
      <c r="A3398" s="26" t="s">
        <v>3971</v>
      </c>
      <c r="B3398" s="26" t="s">
        <v>658</v>
      </c>
      <c r="C3398" s="26" t="s">
        <v>659</v>
      </c>
      <c r="D3398" s="26" t="s">
        <v>179</v>
      </c>
      <c r="E3398" s="26" t="s">
        <v>660</v>
      </c>
      <c r="F3398" s="26" t="s">
        <v>661</v>
      </c>
      <c r="G3398" s="26" t="s">
        <v>662</v>
      </c>
      <c r="H3398" s="26" t="s">
        <v>663</v>
      </c>
      <c r="I3398" s="26" t="s">
        <v>184</v>
      </c>
      <c r="J3398" s="26" t="s">
        <v>427</v>
      </c>
      <c r="K3398" s="26" t="s">
        <v>360</v>
      </c>
      <c r="L3398" s="26" t="s">
        <v>79</v>
      </c>
      <c r="M3398" s="26" t="s">
        <v>77</v>
      </c>
      <c r="N3398" s="26">
        <v>76</v>
      </c>
      <c r="O3398" s="26">
        <v>34</v>
      </c>
      <c r="P3398" s="26">
        <v>42</v>
      </c>
      <c r="Q3398" s="26">
        <v>5</v>
      </c>
      <c r="R3398" s="26">
        <v>0</v>
      </c>
      <c r="S3398" s="26">
        <v>6</v>
      </c>
      <c r="T3398" s="26">
        <v>0</v>
      </c>
      <c r="U3398" s="26">
        <v>6</v>
      </c>
      <c r="V3398" s="26">
        <v>0</v>
      </c>
      <c r="W3398" s="26"/>
    </row>
    <row r="3399" spans="1:23" x14ac:dyDescent="0.25">
      <c r="A3399" s="26" t="s">
        <v>3971</v>
      </c>
      <c r="B3399" s="26" t="s">
        <v>664</v>
      </c>
      <c r="C3399" s="26" t="s">
        <v>665</v>
      </c>
      <c r="D3399" s="26" t="s">
        <v>179</v>
      </c>
      <c r="E3399" s="26" t="s">
        <v>666</v>
      </c>
      <c r="F3399" s="26" t="s">
        <v>667</v>
      </c>
      <c r="G3399" s="26" t="s">
        <v>662</v>
      </c>
      <c r="H3399" s="26" t="s">
        <v>663</v>
      </c>
      <c r="I3399" s="26" t="s">
        <v>184</v>
      </c>
      <c r="J3399" s="26" t="s">
        <v>427</v>
      </c>
      <c r="K3399" s="26" t="s">
        <v>360</v>
      </c>
      <c r="L3399" s="26" t="s">
        <v>79</v>
      </c>
      <c r="M3399" s="26" t="s">
        <v>77</v>
      </c>
      <c r="N3399" s="26">
        <v>47</v>
      </c>
      <c r="O3399" s="26">
        <v>19</v>
      </c>
      <c r="P3399" s="26">
        <v>28</v>
      </c>
      <c r="Q3399" s="26">
        <v>3</v>
      </c>
      <c r="R3399" s="26">
        <v>0</v>
      </c>
      <c r="S3399" s="26">
        <v>4</v>
      </c>
      <c r="T3399" s="26">
        <v>0</v>
      </c>
      <c r="U3399" s="26">
        <v>4</v>
      </c>
      <c r="V3399" s="26">
        <v>0</v>
      </c>
      <c r="W3399" s="26"/>
    </row>
    <row r="3400" spans="1:23" x14ac:dyDescent="0.25">
      <c r="A3400" s="26" t="s">
        <v>3971</v>
      </c>
      <c r="B3400" s="26" t="s">
        <v>668</v>
      </c>
      <c r="C3400" s="26" t="s">
        <v>669</v>
      </c>
      <c r="D3400" s="26" t="s">
        <v>179</v>
      </c>
      <c r="E3400" s="26" t="s">
        <v>670</v>
      </c>
      <c r="F3400" s="26" t="s">
        <v>671</v>
      </c>
      <c r="G3400" s="26" t="s">
        <v>191</v>
      </c>
      <c r="H3400" s="26" t="s">
        <v>518</v>
      </c>
      <c r="I3400" s="26" t="s">
        <v>184</v>
      </c>
      <c r="J3400" s="26" t="s">
        <v>427</v>
      </c>
      <c r="K3400" s="26" t="s">
        <v>360</v>
      </c>
      <c r="L3400" s="26" t="s">
        <v>79</v>
      </c>
      <c r="M3400" s="26" t="s">
        <v>77</v>
      </c>
      <c r="N3400" s="26">
        <v>39</v>
      </c>
      <c r="O3400" s="26">
        <v>23</v>
      </c>
      <c r="P3400" s="26">
        <v>16</v>
      </c>
      <c r="Q3400" s="26">
        <v>3</v>
      </c>
      <c r="R3400" s="26">
        <v>0</v>
      </c>
      <c r="S3400" s="26">
        <v>5</v>
      </c>
      <c r="T3400" s="26">
        <v>0</v>
      </c>
      <c r="U3400" s="26">
        <v>5</v>
      </c>
      <c r="V3400" s="26">
        <v>0</v>
      </c>
      <c r="W3400" s="26"/>
    </row>
    <row r="3401" spans="1:23" x14ac:dyDescent="0.25">
      <c r="A3401" s="26" t="s">
        <v>3971</v>
      </c>
      <c r="B3401" s="26" t="s">
        <v>672</v>
      </c>
      <c r="C3401" s="26" t="s">
        <v>673</v>
      </c>
      <c r="D3401" s="26" t="s">
        <v>179</v>
      </c>
      <c r="E3401" s="26" t="s">
        <v>674</v>
      </c>
      <c r="F3401" s="26" t="s">
        <v>675</v>
      </c>
      <c r="G3401" s="26" t="s">
        <v>676</v>
      </c>
      <c r="H3401" s="26" t="s">
        <v>677</v>
      </c>
      <c r="I3401" s="26" t="s">
        <v>184</v>
      </c>
      <c r="J3401" s="26" t="s">
        <v>375</v>
      </c>
      <c r="K3401" s="26" t="s">
        <v>360</v>
      </c>
      <c r="L3401" s="26" t="s">
        <v>79</v>
      </c>
      <c r="M3401" s="26" t="s">
        <v>77</v>
      </c>
      <c r="N3401" s="26">
        <v>72</v>
      </c>
      <c r="O3401" s="26">
        <v>32</v>
      </c>
      <c r="P3401" s="26">
        <v>40</v>
      </c>
      <c r="Q3401" s="26">
        <v>3</v>
      </c>
      <c r="R3401" s="26">
        <v>0</v>
      </c>
      <c r="S3401" s="26">
        <v>6</v>
      </c>
      <c r="T3401" s="26">
        <v>0</v>
      </c>
      <c r="U3401" s="26">
        <v>6</v>
      </c>
      <c r="V3401" s="26">
        <v>0</v>
      </c>
      <c r="W3401" s="26"/>
    </row>
    <row r="3402" spans="1:23" x14ac:dyDescent="0.25">
      <c r="A3402" s="26" t="s">
        <v>3971</v>
      </c>
      <c r="B3402" s="26" t="s">
        <v>678</v>
      </c>
      <c r="C3402" s="26" t="s">
        <v>679</v>
      </c>
      <c r="D3402" s="26" t="s">
        <v>179</v>
      </c>
      <c r="E3402" s="26" t="s">
        <v>680</v>
      </c>
      <c r="F3402" s="26" t="s">
        <v>681</v>
      </c>
      <c r="G3402" s="26" t="s">
        <v>252</v>
      </c>
      <c r="H3402" s="26" t="s">
        <v>682</v>
      </c>
      <c r="I3402" s="26" t="s">
        <v>184</v>
      </c>
      <c r="J3402" s="26" t="s">
        <v>427</v>
      </c>
      <c r="K3402" s="26" t="s">
        <v>360</v>
      </c>
      <c r="L3402" s="26" t="s">
        <v>79</v>
      </c>
      <c r="M3402" s="26" t="s">
        <v>77</v>
      </c>
      <c r="N3402" s="26">
        <v>70</v>
      </c>
      <c r="O3402" s="26">
        <v>41</v>
      </c>
      <c r="P3402" s="26">
        <v>29</v>
      </c>
      <c r="Q3402" s="26">
        <v>4</v>
      </c>
      <c r="R3402" s="26">
        <v>0</v>
      </c>
      <c r="S3402" s="26">
        <v>12</v>
      </c>
      <c r="T3402" s="26">
        <v>0</v>
      </c>
      <c r="U3402" s="26">
        <v>12</v>
      </c>
      <c r="V3402" s="26">
        <v>0</v>
      </c>
      <c r="W3402" s="26"/>
    </row>
    <row r="3403" spans="1:23" x14ac:dyDescent="0.25">
      <c r="A3403" s="26" t="s">
        <v>3971</v>
      </c>
      <c r="B3403" s="26" t="s">
        <v>683</v>
      </c>
      <c r="C3403" s="26" t="s">
        <v>684</v>
      </c>
      <c r="D3403" s="26" t="s">
        <v>179</v>
      </c>
      <c r="E3403" s="26" t="s">
        <v>685</v>
      </c>
      <c r="F3403" s="26" t="s">
        <v>686</v>
      </c>
      <c r="G3403" s="26" t="s">
        <v>293</v>
      </c>
      <c r="H3403" s="26" t="s">
        <v>687</v>
      </c>
      <c r="I3403" s="26" t="s">
        <v>184</v>
      </c>
      <c r="J3403" s="26" t="s">
        <v>295</v>
      </c>
      <c r="K3403" s="26" t="s">
        <v>296</v>
      </c>
      <c r="L3403" s="26" t="s">
        <v>80</v>
      </c>
      <c r="M3403" s="26" t="s">
        <v>77</v>
      </c>
      <c r="N3403" s="26">
        <v>66</v>
      </c>
      <c r="O3403" s="26">
        <v>32</v>
      </c>
      <c r="P3403" s="26">
        <v>34</v>
      </c>
      <c r="Q3403" s="26">
        <v>4</v>
      </c>
      <c r="R3403" s="26">
        <v>0</v>
      </c>
      <c r="S3403" s="26">
        <v>4</v>
      </c>
      <c r="T3403" s="26">
        <v>0</v>
      </c>
      <c r="U3403" s="26">
        <v>4</v>
      </c>
      <c r="V3403" s="26">
        <v>0</v>
      </c>
      <c r="W3403" s="26"/>
    </row>
    <row r="3404" spans="1:23" x14ac:dyDescent="0.25">
      <c r="A3404" s="26" t="s">
        <v>3971</v>
      </c>
      <c r="B3404" s="26" t="s">
        <v>688</v>
      </c>
      <c r="C3404" s="26" t="s">
        <v>689</v>
      </c>
      <c r="D3404" s="26" t="s">
        <v>179</v>
      </c>
      <c r="E3404" s="26" t="s">
        <v>690</v>
      </c>
      <c r="F3404" s="26" t="s">
        <v>691</v>
      </c>
      <c r="G3404" s="26" t="s">
        <v>293</v>
      </c>
      <c r="H3404" s="26" t="s">
        <v>594</v>
      </c>
      <c r="I3404" s="26" t="s">
        <v>184</v>
      </c>
      <c r="J3404" s="26" t="s">
        <v>295</v>
      </c>
      <c r="K3404" s="26" t="s">
        <v>296</v>
      </c>
      <c r="L3404" s="26" t="s">
        <v>80</v>
      </c>
      <c r="M3404" s="26" t="s">
        <v>77</v>
      </c>
      <c r="N3404" s="26">
        <v>45</v>
      </c>
      <c r="O3404" s="26">
        <v>15</v>
      </c>
      <c r="P3404" s="26">
        <v>30</v>
      </c>
      <c r="Q3404" s="26">
        <v>3</v>
      </c>
      <c r="R3404" s="26">
        <v>0</v>
      </c>
      <c r="S3404" s="26">
        <v>3</v>
      </c>
      <c r="T3404" s="26">
        <v>0</v>
      </c>
      <c r="U3404" s="26">
        <v>3</v>
      </c>
      <c r="V3404" s="26">
        <v>0</v>
      </c>
      <c r="W3404" s="26"/>
    </row>
    <row r="3405" spans="1:23" x14ac:dyDescent="0.25">
      <c r="A3405" s="26" t="s">
        <v>3971</v>
      </c>
      <c r="B3405" s="26" t="s">
        <v>692</v>
      </c>
      <c r="C3405" s="26" t="s">
        <v>693</v>
      </c>
      <c r="D3405" s="26" t="s">
        <v>179</v>
      </c>
      <c r="E3405" s="26" t="s">
        <v>694</v>
      </c>
      <c r="F3405" s="26" t="s">
        <v>695</v>
      </c>
      <c r="G3405" s="26" t="s">
        <v>293</v>
      </c>
      <c r="H3405" s="26" t="s">
        <v>301</v>
      </c>
      <c r="I3405" s="26" t="s">
        <v>184</v>
      </c>
      <c r="J3405" s="26" t="s">
        <v>696</v>
      </c>
      <c r="K3405" s="26" t="s">
        <v>296</v>
      </c>
      <c r="L3405" s="26" t="s">
        <v>80</v>
      </c>
      <c r="M3405" s="26" t="s">
        <v>77</v>
      </c>
      <c r="N3405" s="26">
        <v>61</v>
      </c>
      <c r="O3405" s="26">
        <v>33</v>
      </c>
      <c r="P3405" s="26">
        <v>28</v>
      </c>
      <c r="Q3405" s="26">
        <v>3</v>
      </c>
      <c r="R3405" s="26">
        <v>0</v>
      </c>
      <c r="S3405" s="26">
        <v>3</v>
      </c>
      <c r="T3405" s="26">
        <v>0</v>
      </c>
      <c r="U3405" s="26">
        <v>3</v>
      </c>
      <c r="V3405" s="26">
        <v>0</v>
      </c>
      <c r="W3405" s="26"/>
    </row>
    <row r="3406" spans="1:23" x14ac:dyDescent="0.25">
      <c r="A3406" s="26" t="s">
        <v>3971</v>
      </c>
      <c r="B3406" s="26" t="s">
        <v>697</v>
      </c>
      <c r="C3406" s="26" t="s">
        <v>698</v>
      </c>
      <c r="D3406" s="26" t="s">
        <v>179</v>
      </c>
      <c r="E3406" s="26" t="s">
        <v>699</v>
      </c>
      <c r="F3406" s="26" t="s">
        <v>700</v>
      </c>
      <c r="G3406" s="26" t="s">
        <v>293</v>
      </c>
      <c r="H3406" s="26" t="s">
        <v>594</v>
      </c>
      <c r="I3406" s="26" t="s">
        <v>184</v>
      </c>
      <c r="J3406" s="26" t="s">
        <v>295</v>
      </c>
      <c r="K3406" s="26" t="s">
        <v>296</v>
      </c>
      <c r="L3406" s="26" t="s">
        <v>80</v>
      </c>
      <c r="M3406" s="26" t="s">
        <v>77</v>
      </c>
      <c r="N3406" s="26">
        <v>27</v>
      </c>
      <c r="O3406" s="26">
        <v>20</v>
      </c>
      <c r="P3406" s="26">
        <v>7</v>
      </c>
      <c r="Q3406" s="26">
        <v>2</v>
      </c>
      <c r="R3406" s="26">
        <v>0</v>
      </c>
      <c r="S3406" s="26">
        <v>2</v>
      </c>
      <c r="T3406" s="26">
        <v>0</v>
      </c>
      <c r="U3406" s="26">
        <v>2</v>
      </c>
      <c r="V3406" s="26">
        <v>0</v>
      </c>
      <c r="W3406" s="26"/>
    </row>
    <row r="3407" spans="1:23" x14ac:dyDescent="0.25">
      <c r="A3407" s="26" t="s">
        <v>3971</v>
      </c>
      <c r="B3407" s="26" t="s">
        <v>705</v>
      </c>
      <c r="C3407" s="26" t="s">
        <v>706</v>
      </c>
      <c r="D3407" s="26" t="s">
        <v>179</v>
      </c>
      <c r="E3407" s="26" t="s">
        <v>707</v>
      </c>
      <c r="F3407" s="26" t="s">
        <v>708</v>
      </c>
      <c r="G3407" s="26" t="s">
        <v>293</v>
      </c>
      <c r="H3407" s="26" t="s">
        <v>351</v>
      </c>
      <c r="I3407" s="26" t="s">
        <v>184</v>
      </c>
      <c r="J3407" s="26" t="s">
        <v>503</v>
      </c>
      <c r="K3407" s="26" t="s">
        <v>296</v>
      </c>
      <c r="L3407" s="26" t="s">
        <v>80</v>
      </c>
      <c r="M3407" s="26" t="s">
        <v>77</v>
      </c>
      <c r="N3407" s="26">
        <v>40</v>
      </c>
      <c r="O3407" s="26">
        <v>22</v>
      </c>
      <c r="P3407" s="26">
        <v>18</v>
      </c>
      <c r="Q3407" s="26">
        <v>3</v>
      </c>
      <c r="R3407" s="26">
        <v>0</v>
      </c>
      <c r="S3407" s="26">
        <v>3</v>
      </c>
      <c r="T3407" s="26">
        <v>0</v>
      </c>
      <c r="U3407" s="26">
        <v>3</v>
      </c>
      <c r="V3407" s="26">
        <v>0</v>
      </c>
      <c r="W3407" s="26"/>
    </row>
    <row r="3408" spans="1:23" x14ac:dyDescent="0.25">
      <c r="A3408" s="26" t="s">
        <v>3971</v>
      </c>
      <c r="B3408" s="26" t="s">
        <v>709</v>
      </c>
      <c r="C3408" s="26" t="s">
        <v>710</v>
      </c>
      <c r="D3408" s="26" t="s">
        <v>179</v>
      </c>
      <c r="E3408" s="26" t="s">
        <v>711</v>
      </c>
      <c r="F3408" s="26" t="s">
        <v>712</v>
      </c>
      <c r="G3408" s="26" t="s">
        <v>293</v>
      </c>
      <c r="H3408" s="26" t="s">
        <v>594</v>
      </c>
      <c r="I3408" s="26" t="s">
        <v>184</v>
      </c>
      <c r="J3408" s="26" t="s">
        <v>295</v>
      </c>
      <c r="K3408" s="26" t="s">
        <v>296</v>
      </c>
      <c r="L3408" s="26" t="s">
        <v>80</v>
      </c>
      <c r="M3408" s="26" t="s">
        <v>77</v>
      </c>
      <c r="N3408" s="26">
        <v>49</v>
      </c>
      <c r="O3408" s="26">
        <v>22</v>
      </c>
      <c r="P3408" s="26">
        <v>27</v>
      </c>
      <c r="Q3408" s="26">
        <v>3</v>
      </c>
      <c r="R3408" s="26">
        <v>0</v>
      </c>
      <c r="S3408" s="26">
        <v>3</v>
      </c>
      <c r="T3408" s="26">
        <v>0</v>
      </c>
      <c r="U3408" s="26">
        <v>3</v>
      </c>
      <c r="V3408" s="26">
        <v>0</v>
      </c>
      <c r="W3408" s="26"/>
    </row>
    <row r="3409" spans="1:23" x14ac:dyDescent="0.25">
      <c r="A3409" s="26" t="s">
        <v>3971</v>
      </c>
      <c r="B3409" s="26" t="s">
        <v>713</v>
      </c>
      <c r="C3409" s="26" t="s">
        <v>714</v>
      </c>
      <c r="D3409" s="26" t="s">
        <v>179</v>
      </c>
      <c r="E3409" s="26" t="s">
        <v>715</v>
      </c>
      <c r="F3409" s="26" t="s">
        <v>716</v>
      </c>
      <c r="G3409" s="26" t="s">
        <v>413</v>
      </c>
      <c r="H3409" s="26" t="s">
        <v>495</v>
      </c>
      <c r="I3409" s="26" t="s">
        <v>184</v>
      </c>
      <c r="J3409" s="26" t="s">
        <v>375</v>
      </c>
      <c r="K3409" s="26" t="s">
        <v>360</v>
      </c>
      <c r="L3409" s="26" t="s">
        <v>79</v>
      </c>
      <c r="M3409" s="26" t="s">
        <v>77</v>
      </c>
      <c r="N3409" s="26">
        <v>88</v>
      </c>
      <c r="O3409" s="26">
        <v>42</v>
      </c>
      <c r="P3409" s="26">
        <v>46</v>
      </c>
      <c r="Q3409" s="26">
        <v>6</v>
      </c>
      <c r="R3409" s="26">
        <v>0</v>
      </c>
      <c r="S3409" s="26">
        <v>11</v>
      </c>
      <c r="T3409" s="26">
        <v>0</v>
      </c>
      <c r="U3409" s="26">
        <v>11</v>
      </c>
      <c r="V3409" s="26">
        <v>0</v>
      </c>
      <c r="W3409" s="26"/>
    </row>
    <row r="3410" spans="1:23" x14ac:dyDescent="0.25">
      <c r="A3410" s="26" t="s">
        <v>3971</v>
      </c>
      <c r="B3410" s="26" t="s">
        <v>717</v>
      </c>
      <c r="C3410" s="26" t="s">
        <v>718</v>
      </c>
      <c r="D3410" s="26" t="s">
        <v>179</v>
      </c>
      <c r="E3410" s="26" t="s">
        <v>719</v>
      </c>
      <c r="F3410" s="26" t="s">
        <v>720</v>
      </c>
      <c r="G3410" s="26" t="s">
        <v>293</v>
      </c>
      <c r="H3410" s="26" t="s">
        <v>594</v>
      </c>
      <c r="I3410" s="26" t="s">
        <v>184</v>
      </c>
      <c r="J3410" s="26" t="s">
        <v>295</v>
      </c>
      <c r="K3410" s="26" t="s">
        <v>296</v>
      </c>
      <c r="L3410" s="26" t="s">
        <v>80</v>
      </c>
      <c r="M3410" s="26" t="s">
        <v>77</v>
      </c>
      <c r="N3410" s="26">
        <v>29</v>
      </c>
      <c r="O3410" s="26">
        <v>20</v>
      </c>
      <c r="P3410" s="26">
        <v>9</v>
      </c>
      <c r="Q3410" s="26">
        <v>3</v>
      </c>
      <c r="R3410" s="26">
        <v>0</v>
      </c>
      <c r="S3410" s="26">
        <v>3</v>
      </c>
      <c r="T3410" s="26">
        <v>0</v>
      </c>
      <c r="U3410" s="26">
        <v>3</v>
      </c>
      <c r="V3410" s="26">
        <v>0</v>
      </c>
      <c r="W3410" s="26"/>
    </row>
    <row r="3411" spans="1:23" x14ac:dyDescent="0.25">
      <c r="A3411" s="26" t="s">
        <v>3971</v>
      </c>
      <c r="B3411" s="26" t="s">
        <v>721</v>
      </c>
      <c r="C3411" s="26" t="s">
        <v>722</v>
      </c>
      <c r="D3411" s="26" t="s">
        <v>179</v>
      </c>
      <c r="E3411" s="26" t="s">
        <v>723</v>
      </c>
      <c r="F3411" s="26" t="s">
        <v>724</v>
      </c>
      <c r="G3411" s="26" t="s">
        <v>198</v>
      </c>
      <c r="H3411" s="26" t="s">
        <v>431</v>
      </c>
      <c r="I3411" s="26" t="s">
        <v>184</v>
      </c>
      <c r="J3411" s="26" t="s">
        <v>375</v>
      </c>
      <c r="K3411" s="26" t="s">
        <v>360</v>
      </c>
      <c r="L3411" s="26" t="s">
        <v>79</v>
      </c>
      <c r="M3411" s="26" t="s">
        <v>77</v>
      </c>
      <c r="N3411" s="26">
        <v>94</v>
      </c>
      <c r="O3411" s="26">
        <v>56</v>
      </c>
      <c r="P3411" s="26">
        <v>38</v>
      </c>
      <c r="Q3411" s="26">
        <v>5</v>
      </c>
      <c r="R3411" s="26">
        <v>0</v>
      </c>
      <c r="S3411" s="26">
        <v>7</v>
      </c>
      <c r="T3411" s="26">
        <v>0</v>
      </c>
      <c r="U3411" s="26">
        <v>7</v>
      </c>
      <c r="V3411" s="26">
        <v>0</v>
      </c>
      <c r="W3411" s="26"/>
    </row>
    <row r="3412" spans="1:23" x14ac:dyDescent="0.25">
      <c r="A3412" s="26" t="s">
        <v>3971</v>
      </c>
      <c r="B3412" s="26" t="s">
        <v>725</v>
      </c>
      <c r="C3412" s="26" t="s">
        <v>726</v>
      </c>
      <c r="D3412" s="26" t="s">
        <v>218</v>
      </c>
      <c r="E3412" s="26" t="s">
        <v>727</v>
      </c>
      <c r="F3412" s="26" t="s">
        <v>197</v>
      </c>
      <c r="G3412" s="26" t="s">
        <v>198</v>
      </c>
      <c r="H3412" s="26" t="s">
        <v>386</v>
      </c>
      <c r="I3412" s="26" t="s">
        <v>184</v>
      </c>
      <c r="J3412" s="26" t="s">
        <v>375</v>
      </c>
      <c r="K3412" s="26" t="s">
        <v>360</v>
      </c>
      <c r="L3412" s="26" t="s">
        <v>79</v>
      </c>
      <c r="M3412" s="26" t="s">
        <v>77</v>
      </c>
      <c r="N3412" s="26">
        <v>69</v>
      </c>
      <c r="O3412" s="26">
        <v>39</v>
      </c>
      <c r="P3412" s="26">
        <v>30</v>
      </c>
      <c r="Q3412" s="26">
        <v>3</v>
      </c>
      <c r="R3412" s="26">
        <v>0</v>
      </c>
      <c r="S3412" s="26">
        <v>6</v>
      </c>
      <c r="T3412" s="26">
        <v>0</v>
      </c>
      <c r="U3412" s="26">
        <v>6</v>
      </c>
      <c r="V3412" s="26">
        <v>0</v>
      </c>
      <c r="W3412" s="26"/>
    </row>
    <row r="3413" spans="1:23" x14ac:dyDescent="0.25">
      <c r="A3413" s="26" t="s">
        <v>3971</v>
      </c>
      <c r="B3413" s="26" t="s">
        <v>728</v>
      </c>
      <c r="C3413" s="26" t="s">
        <v>729</v>
      </c>
      <c r="D3413" s="26" t="s">
        <v>218</v>
      </c>
      <c r="E3413" s="26" t="s">
        <v>730</v>
      </c>
      <c r="F3413" s="26" t="s">
        <v>731</v>
      </c>
      <c r="G3413" s="26" t="s">
        <v>198</v>
      </c>
      <c r="H3413" s="26" t="s">
        <v>403</v>
      </c>
      <c r="I3413" s="26" t="s">
        <v>184</v>
      </c>
      <c r="J3413" s="26" t="s">
        <v>375</v>
      </c>
      <c r="K3413" s="26" t="s">
        <v>360</v>
      </c>
      <c r="L3413" s="26" t="s">
        <v>79</v>
      </c>
      <c r="M3413" s="26" t="s">
        <v>77</v>
      </c>
      <c r="N3413" s="26">
        <v>68</v>
      </c>
      <c r="O3413" s="26">
        <v>31</v>
      </c>
      <c r="P3413" s="26">
        <v>37</v>
      </c>
      <c r="Q3413" s="26">
        <v>3</v>
      </c>
      <c r="R3413" s="26">
        <v>0</v>
      </c>
      <c r="S3413" s="26">
        <v>6</v>
      </c>
      <c r="T3413" s="26">
        <v>0</v>
      </c>
      <c r="U3413" s="26">
        <v>6</v>
      </c>
      <c r="V3413" s="26">
        <v>0</v>
      </c>
      <c r="W3413" s="26"/>
    </row>
    <row r="3414" spans="1:23" x14ac:dyDescent="0.25">
      <c r="A3414" s="26" t="s">
        <v>3971</v>
      </c>
      <c r="B3414" s="26" t="s">
        <v>732</v>
      </c>
      <c r="C3414" s="26" t="s">
        <v>733</v>
      </c>
      <c r="D3414" s="26" t="s">
        <v>179</v>
      </c>
      <c r="E3414" s="26" t="s">
        <v>2</v>
      </c>
      <c r="F3414" s="26" t="s">
        <v>734</v>
      </c>
      <c r="G3414" s="26" t="s">
        <v>198</v>
      </c>
      <c r="H3414" s="26" t="s">
        <v>431</v>
      </c>
      <c r="I3414" s="26" t="s">
        <v>184</v>
      </c>
      <c r="J3414" s="26" t="s">
        <v>375</v>
      </c>
      <c r="K3414" s="26" t="s">
        <v>360</v>
      </c>
      <c r="L3414" s="26" t="s">
        <v>79</v>
      </c>
      <c r="M3414" s="26" t="s">
        <v>77</v>
      </c>
      <c r="N3414" s="26">
        <v>80</v>
      </c>
      <c r="O3414" s="26">
        <v>45</v>
      </c>
      <c r="P3414" s="26">
        <v>35</v>
      </c>
      <c r="Q3414" s="26">
        <v>4</v>
      </c>
      <c r="R3414" s="26">
        <v>0</v>
      </c>
      <c r="S3414" s="26">
        <v>5</v>
      </c>
      <c r="T3414" s="26">
        <v>0</v>
      </c>
      <c r="U3414" s="26">
        <v>5</v>
      </c>
      <c r="V3414" s="26">
        <v>0</v>
      </c>
      <c r="W3414" s="26"/>
    </row>
    <row r="3415" spans="1:23" x14ac:dyDescent="0.25">
      <c r="A3415" s="26" t="s">
        <v>3971</v>
      </c>
      <c r="B3415" s="26" t="s">
        <v>735</v>
      </c>
      <c r="C3415" s="26" t="s">
        <v>736</v>
      </c>
      <c r="D3415" s="26" t="s">
        <v>179</v>
      </c>
      <c r="E3415" s="26" t="s">
        <v>737</v>
      </c>
      <c r="F3415" s="26" t="s">
        <v>247</v>
      </c>
      <c r="G3415" s="26" t="s">
        <v>198</v>
      </c>
      <c r="H3415" s="26" t="s">
        <v>386</v>
      </c>
      <c r="I3415" s="26" t="s">
        <v>184</v>
      </c>
      <c r="J3415" s="26" t="s">
        <v>375</v>
      </c>
      <c r="K3415" s="26" t="s">
        <v>360</v>
      </c>
      <c r="L3415" s="26" t="s">
        <v>79</v>
      </c>
      <c r="M3415" s="26" t="s">
        <v>77</v>
      </c>
      <c r="N3415" s="26">
        <v>54</v>
      </c>
      <c r="O3415" s="26">
        <v>28</v>
      </c>
      <c r="P3415" s="26">
        <v>26</v>
      </c>
      <c r="Q3415" s="26">
        <v>3</v>
      </c>
      <c r="R3415" s="26">
        <v>0</v>
      </c>
      <c r="S3415" s="26">
        <v>4</v>
      </c>
      <c r="T3415" s="26">
        <v>0</v>
      </c>
      <c r="U3415" s="26">
        <v>4</v>
      </c>
      <c r="V3415" s="26">
        <v>0</v>
      </c>
      <c r="W3415" s="26"/>
    </row>
    <row r="3416" spans="1:23" x14ac:dyDescent="0.25">
      <c r="A3416" s="26" t="s">
        <v>3971</v>
      </c>
      <c r="B3416" s="26" t="s">
        <v>738</v>
      </c>
      <c r="C3416" s="26" t="s">
        <v>739</v>
      </c>
      <c r="D3416" s="26" t="s">
        <v>179</v>
      </c>
      <c r="E3416" s="26" t="s">
        <v>740</v>
      </c>
      <c r="F3416" s="26" t="s">
        <v>741</v>
      </c>
      <c r="G3416" s="26" t="s">
        <v>265</v>
      </c>
      <c r="H3416" s="26" t="s">
        <v>508</v>
      </c>
      <c r="I3416" s="26" t="s">
        <v>184</v>
      </c>
      <c r="J3416" s="26" t="s">
        <v>322</v>
      </c>
      <c r="K3416" s="26" t="s">
        <v>360</v>
      </c>
      <c r="L3416" s="26" t="s">
        <v>79</v>
      </c>
      <c r="M3416" s="26" t="s">
        <v>77</v>
      </c>
      <c r="N3416" s="26">
        <v>34</v>
      </c>
      <c r="O3416" s="26">
        <v>18</v>
      </c>
      <c r="P3416" s="26">
        <v>16</v>
      </c>
      <c r="Q3416" s="26">
        <v>3</v>
      </c>
      <c r="R3416" s="26">
        <v>0</v>
      </c>
      <c r="S3416" s="26">
        <v>3</v>
      </c>
      <c r="T3416" s="26">
        <v>0</v>
      </c>
      <c r="U3416" s="26">
        <v>3</v>
      </c>
      <c r="V3416" s="26">
        <v>0</v>
      </c>
      <c r="W3416" s="26"/>
    </row>
    <row r="3417" spans="1:23" x14ac:dyDescent="0.25">
      <c r="A3417" s="26" t="s">
        <v>3971</v>
      </c>
      <c r="B3417" s="26" t="s">
        <v>742</v>
      </c>
      <c r="C3417" s="26" t="s">
        <v>743</v>
      </c>
      <c r="D3417" s="26" t="s">
        <v>179</v>
      </c>
      <c r="E3417" s="26" t="s">
        <v>744</v>
      </c>
      <c r="F3417" s="26" t="s">
        <v>745</v>
      </c>
      <c r="G3417" s="26" t="s">
        <v>265</v>
      </c>
      <c r="H3417" s="26" t="s">
        <v>526</v>
      </c>
      <c r="I3417" s="26" t="s">
        <v>184</v>
      </c>
      <c r="J3417" s="26" t="s">
        <v>322</v>
      </c>
      <c r="K3417" s="26" t="s">
        <v>360</v>
      </c>
      <c r="L3417" s="26" t="s">
        <v>79</v>
      </c>
      <c r="M3417" s="26" t="s">
        <v>77</v>
      </c>
      <c r="N3417" s="26">
        <v>55</v>
      </c>
      <c r="O3417" s="26">
        <v>35</v>
      </c>
      <c r="P3417" s="26">
        <v>20</v>
      </c>
      <c r="Q3417" s="26">
        <v>3</v>
      </c>
      <c r="R3417" s="26">
        <v>0</v>
      </c>
      <c r="S3417" s="26">
        <v>3</v>
      </c>
      <c r="T3417" s="26">
        <v>0</v>
      </c>
      <c r="U3417" s="26">
        <v>3</v>
      </c>
      <c r="V3417" s="26">
        <v>0</v>
      </c>
      <c r="W3417" s="26"/>
    </row>
    <row r="3418" spans="1:23" x14ac:dyDescent="0.25">
      <c r="A3418" s="26" t="s">
        <v>3971</v>
      </c>
      <c r="B3418" s="26" t="s">
        <v>746</v>
      </c>
      <c r="C3418" s="26" t="s">
        <v>747</v>
      </c>
      <c r="D3418" s="26" t="s">
        <v>179</v>
      </c>
      <c r="E3418" s="26" t="s">
        <v>748</v>
      </c>
      <c r="F3418" s="26" t="s">
        <v>749</v>
      </c>
      <c r="G3418" s="26" t="s">
        <v>265</v>
      </c>
      <c r="H3418" s="26" t="s">
        <v>526</v>
      </c>
      <c r="I3418" s="26" t="s">
        <v>184</v>
      </c>
      <c r="J3418" s="26" t="s">
        <v>322</v>
      </c>
      <c r="K3418" s="26" t="s">
        <v>360</v>
      </c>
      <c r="L3418" s="26" t="s">
        <v>79</v>
      </c>
      <c r="M3418" s="26" t="s">
        <v>77</v>
      </c>
      <c r="N3418" s="26">
        <v>44</v>
      </c>
      <c r="O3418" s="26">
        <v>24</v>
      </c>
      <c r="P3418" s="26">
        <v>20</v>
      </c>
      <c r="Q3418" s="26">
        <v>3</v>
      </c>
      <c r="R3418" s="26">
        <v>0</v>
      </c>
      <c r="S3418" s="26">
        <v>3</v>
      </c>
      <c r="T3418" s="26">
        <v>0</v>
      </c>
      <c r="U3418" s="26">
        <v>3</v>
      </c>
      <c r="V3418" s="26">
        <v>0</v>
      </c>
      <c r="W3418" s="26"/>
    </row>
    <row r="3419" spans="1:23" x14ac:dyDescent="0.25">
      <c r="A3419" s="26" t="s">
        <v>3971</v>
      </c>
      <c r="B3419" s="26" t="s">
        <v>750</v>
      </c>
      <c r="C3419" s="26" t="s">
        <v>751</v>
      </c>
      <c r="D3419" s="26" t="s">
        <v>179</v>
      </c>
      <c r="E3419" s="26" t="s">
        <v>752</v>
      </c>
      <c r="F3419" s="26" t="s">
        <v>745</v>
      </c>
      <c r="G3419" s="26" t="s">
        <v>265</v>
      </c>
      <c r="H3419" s="26" t="s">
        <v>321</v>
      </c>
      <c r="I3419" s="26" t="s">
        <v>184</v>
      </c>
      <c r="J3419" s="26" t="s">
        <v>322</v>
      </c>
      <c r="K3419" s="26" t="s">
        <v>360</v>
      </c>
      <c r="L3419" s="26" t="s">
        <v>79</v>
      </c>
      <c r="M3419" s="26" t="s">
        <v>77</v>
      </c>
      <c r="N3419" s="26">
        <v>62</v>
      </c>
      <c r="O3419" s="26">
        <v>31</v>
      </c>
      <c r="P3419" s="26">
        <v>31</v>
      </c>
      <c r="Q3419" s="26">
        <v>4</v>
      </c>
      <c r="R3419" s="26">
        <v>0</v>
      </c>
      <c r="S3419" s="26">
        <v>4</v>
      </c>
      <c r="T3419" s="26">
        <v>0</v>
      </c>
      <c r="U3419" s="26">
        <v>4</v>
      </c>
      <c r="V3419" s="26">
        <v>0</v>
      </c>
      <c r="W3419" s="26"/>
    </row>
    <row r="3420" spans="1:23" x14ac:dyDescent="0.25">
      <c r="A3420" s="26" t="s">
        <v>3971</v>
      </c>
      <c r="B3420" s="26" t="s">
        <v>753</v>
      </c>
      <c r="C3420" s="26" t="s">
        <v>754</v>
      </c>
      <c r="D3420" s="26" t="s">
        <v>179</v>
      </c>
      <c r="E3420" s="26" t="s">
        <v>755</v>
      </c>
      <c r="F3420" s="26" t="s">
        <v>444</v>
      </c>
      <c r="G3420" s="26" t="s">
        <v>265</v>
      </c>
      <c r="H3420" s="26" t="s">
        <v>756</v>
      </c>
      <c r="I3420" s="26" t="s">
        <v>184</v>
      </c>
      <c r="J3420" s="26" t="s">
        <v>322</v>
      </c>
      <c r="K3420" s="26" t="s">
        <v>360</v>
      </c>
      <c r="L3420" s="26" t="s">
        <v>79</v>
      </c>
      <c r="M3420" s="26" t="s">
        <v>77</v>
      </c>
      <c r="N3420" s="26">
        <v>52</v>
      </c>
      <c r="O3420" s="26">
        <v>26</v>
      </c>
      <c r="P3420" s="26">
        <v>26</v>
      </c>
      <c r="Q3420" s="26">
        <v>4</v>
      </c>
      <c r="R3420" s="26">
        <v>0</v>
      </c>
      <c r="S3420" s="26">
        <v>5</v>
      </c>
      <c r="T3420" s="26">
        <v>0</v>
      </c>
      <c r="U3420" s="26">
        <v>5</v>
      </c>
      <c r="V3420" s="26">
        <v>0</v>
      </c>
      <c r="W3420" s="26"/>
    </row>
    <row r="3421" spans="1:23" x14ac:dyDescent="0.25">
      <c r="A3421" s="26" t="s">
        <v>3971</v>
      </c>
      <c r="B3421" s="26" t="s">
        <v>757</v>
      </c>
      <c r="C3421" s="26" t="s">
        <v>758</v>
      </c>
      <c r="D3421" s="26" t="s">
        <v>179</v>
      </c>
      <c r="E3421" s="26" t="s">
        <v>759</v>
      </c>
      <c r="F3421" s="26" t="s">
        <v>760</v>
      </c>
      <c r="G3421" s="26" t="s">
        <v>265</v>
      </c>
      <c r="H3421" s="26" t="s">
        <v>756</v>
      </c>
      <c r="I3421" s="26" t="s">
        <v>184</v>
      </c>
      <c r="J3421" s="26" t="s">
        <v>322</v>
      </c>
      <c r="K3421" s="26" t="s">
        <v>360</v>
      </c>
      <c r="L3421" s="26" t="s">
        <v>79</v>
      </c>
      <c r="M3421" s="26" t="s">
        <v>77</v>
      </c>
      <c r="N3421" s="26">
        <v>87</v>
      </c>
      <c r="O3421" s="26">
        <v>33</v>
      </c>
      <c r="P3421" s="26">
        <v>54</v>
      </c>
      <c r="Q3421" s="26">
        <v>6</v>
      </c>
      <c r="R3421" s="26">
        <v>0</v>
      </c>
      <c r="S3421" s="26">
        <v>7</v>
      </c>
      <c r="T3421" s="26">
        <v>0</v>
      </c>
      <c r="U3421" s="26">
        <v>7</v>
      </c>
      <c r="V3421" s="26">
        <v>0</v>
      </c>
      <c r="W3421" s="26"/>
    </row>
    <row r="3422" spans="1:23" x14ac:dyDescent="0.25">
      <c r="A3422" s="26" t="s">
        <v>3971</v>
      </c>
      <c r="B3422" s="26" t="s">
        <v>761</v>
      </c>
      <c r="C3422" s="26" t="s">
        <v>762</v>
      </c>
      <c r="D3422" s="26" t="s">
        <v>179</v>
      </c>
      <c r="E3422" s="26" t="s">
        <v>763</v>
      </c>
      <c r="F3422" s="26" t="s">
        <v>764</v>
      </c>
      <c r="G3422" s="26" t="s">
        <v>265</v>
      </c>
      <c r="H3422" s="26" t="s">
        <v>756</v>
      </c>
      <c r="I3422" s="26" t="s">
        <v>184</v>
      </c>
      <c r="J3422" s="26" t="s">
        <v>322</v>
      </c>
      <c r="K3422" s="26" t="s">
        <v>360</v>
      </c>
      <c r="L3422" s="26" t="s">
        <v>79</v>
      </c>
      <c r="M3422" s="26" t="s">
        <v>77</v>
      </c>
      <c r="N3422" s="26">
        <v>35</v>
      </c>
      <c r="O3422" s="26">
        <v>21</v>
      </c>
      <c r="P3422" s="26">
        <v>14</v>
      </c>
      <c r="Q3422" s="26">
        <v>3</v>
      </c>
      <c r="R3422" s="26">
        <v>0</v>
      </c>
      <c r="S3422" s="26">
        <v>3</v>
      </c>
      <c r="T3422" s="26">
        <v>0</v>
      </c>
      <c r="U3422" s="26">
        <v>3</v>
      </c>
      <c r="V3422" s="26">
        <v>0</v>
      </c>
      <c r="W3422" s="26"/>
    </row>
    <row r="3423" spans="1:23" x14ac:dyDescent="0.25">
      <c r="A3423" s="26" t="s">
        <v>3971</v>
      </c>
      <c r="B3423" s="26" t="s">
        <v>765</v>
      </c>
      <c r="C3423" s="26" t="s">
        <v>766</v>
      </c>
      <c r="D3423" s="26" t="s">
        <v>179</v>
      </c>
      <c r="E3423" s="26" t="s">
        <v>767</v>
      </c>
      <c r="F3423" s="26" t="s">
        <v>768</v>
      </c>
      <c r="G3423" s="26" t="s">
        <v>265</v>
      </c>
      <c r="H3423" s="26" t="s">
        <v>508</v>
      </c>
      <c r="I3423" s="26" t="s">
        <v>184</v>
      </c>
      <c r="J3423" s="26" t="s">
        <v>322</v>
      </c>
      <c r="K3423" s="26" t="s">
        <v>360</v>
      </c>
      <c r="L3423" s="26" t="s">
        <v>79</v>
      </c>
      <c r="M3423" s="26" t="s">
        <v>77</v>
      </c>
      <c r="N3423" s="26">
        <v>31</v>
      </c>
      <c r="O3423" s="26">
        <v>13</v>
      </c>
      <c r="P3423" s="26">
        <v>18</v>
      </c>
      <c r="Q3423" s="26">
        <v>3</v>
      </c>
      <c r="R3423" s="26">
        <v>0</v>
      </c>
      <c r="S3423" s="26">
        <v>3</v>
      </c>
      <c r="T3423" s="26">
        <v>0</v>
      </c>
      <c r="U3423" s="26">
        <v>3</v>
      </c>
      <c r="V3423" s="26">
        <v>0</v>
      </c>
      <c r="W3423" s="26"/>
    </row>
    <row r="3424" spans="1:23" x14ac:dyDescent="0.25">
      <c r="A3424" s="26" t="s">
        <v>3971</v>
      </c>
      <c r="B3424" s="26" t="s">
        <v>769</v>
      </c>
      <c r="C3424" s="26" t="s">
        <v>770</v>
      </c>
      <c r="D3424" s="26" t="s">
        <v>179</v>
      </c>
      <c r="E3424" s="26" t="s">
        <v>771</v>
      </c>
      <c r="F3424" s="26" t="s">
        <v>444</v>
      </c>
      <c r="G3424" s="26" t="s">
        <v>265</v>
      </c>
      <c r="H3424" s="26" t="s">
        <v>321</v>
      </c>
      <c r="I3424" s="26" t="s">
        <v>184</v>
      </c>
      <c r="J3424" s="26" t="s">
        <v>322</v>
      </c>
      <c r="K3424" s="26" t="s">
        <v>360</v>
      </c>
      <c r="L3424" s="26" t="s">
        <v>79</v>
      </c>
      <c r="M3424" s="26" t="s">
        <v>77</v>
      </c>
      <c r="N3424" s="26">
        <v>58</v>
      </c>
      <c r="O3424" s="26">
        <v>38</v>
      </c>
      <c r="P3424" s="26">
        <v>20</v>
      </c>
      <c r="Q3424" s="26">
        <v>4</v>
      </c>
      <c r="R3424" s="26">
        <v>0</v>
      </c>
      <c r="S3424" s="26">
        <v>4</v>
      </c>
      <c r="T3424" s="26">
        <v>0</v>
      </c>
      <c r="U3424" s="26">
        <v>4</v>
      </c>
      <c r="V3424" s="26">
        <v>0</v>
      </c>
      <c r="W3424" s="26"/>
    </row>
    <row r="3425" spans="1:23" x14ac:dyDescent="0.25">
      <c r="A3425" s="26" t="s">
        <v>3971</v>
      </c>
      <c r="B3425" s="26" t="s">
        <v>772</v>
      </c>
      <c r="C3425" s="26" t="s">
        <v>773</v>
      </c>
      <c r="D3425" s="26" t="s">
        <v>179</v>
      </c>
      <c r="E3425" s="26" t="s">
        <v>774</v>
      </c>
      <c r="F3425" s="26" t="s">
        <v>775</v>
      </c>
      <c r="G3425" s="26" t="s">
        <v>265</v>
      </c>
      <c r="H3425" s="26" t="s">
        <v>321</v>
      </c>
      <c r="I3425" s="26" t="s">
        <v>184</v>
      </c>
      <c r="J3425" s="26" t="s">
        <v>322</v>
      </c>
      <c r="K3425" s="26" t="s">
        <v>360</v>
      </c>
      <c r="L3425" s="26" t="s">
        <v>79</v>
      </c>
      <c r="M3425" s="26" t="s">
        <v>77</v>
      </c>
      <c r="N3425" s="26">
        <v>49</v>
      </c>
      <c r="O3425" s="26">
        <v>22</v>
      </c>
      <c r="P3425" s="26">
        <v>27</v>
      </c>
      <c r="Q3425" s="26">
        <v>4</v>
      </c>
      <c r="R3425" s="26">
        <v>0</v>
      </c>
      <c r="S3425" s="26">
        <v>5</v>
      </c>
      <c r="T3425" s="26">
        <v>0</v>
      </c>
      <c r="U3425" s="26">
        <v>5</v>
      </c>
      <c r="V3425" s="26">
        <v>0</v>
      </c>
      <c r="W3425" s="26"/>
    </row>
    <row r="3426" spans="1:23" x14ac:dyDescent="0.25">
      <c r="A3426" s="26" t="s">
        <v>3971</v>
      </c>
      <c r="B3426" s="26" t="s">
        <v>776</v>
      </c>
      <c r="C3426" s="26" t="s">
        <v>777</v>
      </c>
      <c r="D3426" s="26" t="s">
        <v>179</v>
      </c>
      <c r="E3426" s="26" t="s">
        <v>778</v>
      </c>
      <c r="F3426" s="26" t="s">
        <v>779</v>
      </c>
      <c r="G3426" s="26" t="s">
        <v>265</v>
      </c>
      <c r="H3426" s="26" t="s">
        <v>756</v>
      </c>
      <c r="I3426" s="26" t="s">
        <v>184</v>
      </c>
      <c r="J3426" s="26" t="s">
        <v>322</v>
      </c>
      <c r="K3426" s="26" t="s">
        <v>360</v>
      </c>
      <c r="L3426" s="26" t="s">
        <v>79</v>
      </c>
      <c r="M3426" s="26" t="s">
        <v>77</v>
      </c>
      <c r="N3426" s="26">
        <v>85</v>
      </c>
      <c r="O3426" s="26">
        <v>41</v>
      </c>
      <c r="P3426" s="26">
        <v>44</v>
      </c>
      <c r="Q3426" s="26">
        <v>7</v>
      </c>
      <c r="R3426" s="26">
        <v>0</v>
      </c>
      <c r="S3426" s="26">
        <v>7</v>
      </c>
      <c r="T3426" s="26">
        <v>0</v>
      </c>
      <c r="U3426" s="26">
        <v>7</v>
      </c>
      <c r="V3426" s="26">
        <v>0</v>
      </c>
      <c r="W3426" s="26"/>
    </row>
    <row r="3427" spans="1:23" x14ac:dyDescent="0.25">
      <c r="A3427" s="26" t="s">
        <v>3971</v>
      </c>
      <c r="B3427" s="26" t="s">
        <v>780</v>
      </c>
      <c r="C3427" s="26" t="s">
        <v>781</v>
      </c>
      <c r="D3427" s="26" t="s">
        <v>179</v>
      </c>
      <c r="E3427" s="26" t="s">
        <v>782</v>
      </c>
      <c r="F3427" s="26" t="s">
        <v>783</v>
      </c>
      <c r="G3427" s="26" t="s">
        <v>265</v>
      </c>
      <c r="H3427" s="26" t="s">
        <v>756</v>
      </c>
      <c r="I3427" s="26" t="s">
        <v>184</v>
      </c>
      <c r="J3427" s="26" t="s">
        <v>322</v>
      </c>
      <c r="K3427" s="26" t="s">
        <v>360</v>
      </c>
      <c r="L3427" s="26" t="s">
        <v>79</v>
      </c>
      <c r="M3427" s="26" t="s">
        <v>77</v>
      </c>
      <c r="N3427" s="26">
        <v>48</v>
      </c>
      <c r="O3427" s="26">
        <v>17</v>
      </c>
      <c r="P3427" s="26">
        <v>31</v>
      </c>
      <c r="Q3427" s="26">
        <v>5</v>
      </c>
      <c r="R3427" s="26">
        <v>0</v>
      </c>
      <c r="S3427" s="26">
        <v>5</v>
      </c>
      <c r="T3427" s="26">
        <v>0</v>
      </c>
      <c r="U3427" s="26">
        <v>5</v>
      </c>
      <c r="V3427" s="26">
        <v>0</v>
      </c>
      <c r="W3427" s="26"/>
    </row>
    <row r="3428" spans="1:23" x14ac:dyDescent="0.25">
      <c r="A3428" s="26" t="s">
        <v>3971</v>
      </c>
      <c r="B3428" s="26" t="s">
        <v>784</v>
      </c>
      <c r="C3428" s="26" t="s">
        <v>785</v>
      </c>
      <c r="D3428" s="26" t="s">
        <v>179</v>
      </c>
      <c r="E3428" s="26" t="s">
        <v>3</v>
      </c>
      <c r="F3428" s="26" t="s">
        <v>786</v>
      </c>
      <c r="G3428" s="26" t="s">
        <v>413</v>
      </c>
      <c r="H3428" s="26" t="s">
        <v>787</v>
      </c>
      <c r="I3428" s="26" t="s">
        <v>184</v>
      </c>
      <c r="J3428" s="26" t="s">
        <v>375</v>
      </c>
      <c r="K3428" s="26" t="s">
        <v>360</v>
      </c>
      <c r="L3428" s="26" t="s">
        <v>79</v>
      </c>
      <c r="M3428" s="26" t="s">
        <v>77</v>
      </c>
      <c r="N3428" s="26">
        <v>87</v>
      </c>
      <c r="O3428" s="26">
        <v>37</v>
      </c>
      <c r="P3428" s="26">
        <v>50</v>
      </c>
      <c r="Q3428" s="26">
        <v>3</v>
      </c>
      <c r="R3428" s="26">
        <v>0</v>
      </c>
      <c r="S3428" s="26">
        <v>6</v>
      </c>
      <c r="T3428" s="26">
        <v>0</v>
      </c>
      <c r="U3428" s="26">
        <v>6</v>
      </c>
      <c r="V3428" s="26">
        <v>0</v>
      </c>
      <c r="W3428" s="26"/>
    </row>
    <row r="3429" spans="1:23" x14ac:dyDescent="0.25">
      <c r="A3429" s="26" t="s">
        <v>3971</v>
      </c>
      <c r="B3429" s="26" t="s">
        <v>788</v>
      </c>
      <c r="C3429" s="26" t="s">
        <v>789</v>
      </c>
      <c r="D3429" s="26" t="s">
        <v>179</v>
      </c>
      <c r="E3429" s="26" t="s">
        <v>790</v>
      </c>
      <c r="F3429" s="26" t="s">
        <v>273</v>
      </c>
      <c r="G3429" s="26" t="s">
        <v>413</v>
      </c>
      <c r="H3429" s="26" t="s">
        <v>414</v>
      </c>
      <c r="I3429" s="26" t="s">
        <v>184</v>
      </c>
      <c r="J3429" s="26" t="s">
        <v>375</v>
      </c>
      <c r="K3429" s="26" t="s">
        <v>360</v>
      </c>
      <c r="L3429" s="26" t="s">
        <v>79</v>
      </c>
      <c r="M3429" s="26" t="s">
        <v>77</v>
      </c>
      <c r="N3429" s="26">
        <v>94</v>
      </c>
      <c r="O3429" s="26">
        <v>48</v>
      </c>
      <c r="P3429" s="26">
        <v>46</v>
      </c>
      <c r="Q3429" s="26">
        <v>3</v>
      </c>
      <c r="R3429" s="26">
        <v>0</v>
      </c>
      <c r="S3429" s="26">
        <v>9</v>
      </c>
      <c r="T3429" s="26">
        <v>0</v>
      </c>
      <c r="U3429" s="26">
        <v>9</v>
      </c>
      <c r="V3429" s="26">
        <v>0</v>
      </c>
      <c r="W3429" s="26"/>
    </row>
    <row r="3430" spans="1:23" x14ac:dyDescent="0.25">
      <c r="A3430" s="26" t="s">
        <v>3971</v>
      </c>
      <c r="B3430" s="26" t="s">
        <v>791</v>
      </c>
      <c r="C3430" s="26" t="s">
        <v>792</v>
      </c>
      <c r="D3430" s="26" t="s">
        <v>179</v>
      </c>
      <c r="E3430" s="26" t="s">
        <v>4002</v>
      </c>
      <c r="F3430" s="26" t="s">
        <v>793</v>
      </c>
      <c r="G3430" s="26" t="s">
        <v>413</v>
      </c>
      <c r="H3430" s="26" t="s">
        <v>414</v>
      </c>
      <c r="I3430" s="26" t="s">
        <v>184</v>
      </c>
      <c r="J3430" s="26" t="s">
        <v>375</v>
      </c>
      <c r="K3430" s="26" t="s">
        <v>360</v>
      </c>
      <c r="L3430" s="26" t="s">
        <v>79</v>
      </c>
      <c r="M3430" s="26" t="s">
        <v>77</v>
      </c>
      <c r="N3430" s="26">
        <v>70</v>
      </c>
      <c r="O3430" s="26">
        <v>38</v>
      </c>
      <c r="P3430" s="26">
        <v>32</v>
      </c>
      <c r="Q3430" s="26">
        <v>3</v>
      </c>
      <c r="R3430" s="26">
        <v>0</v>
      </c>
      <c r="S3430" s="26">
        <v>6</v>
      </c>
      <c r="T3430" s="26">
        <v>0</v>
      </c>
      <c r="U3430" s="26">
        <v>6</v>
      </c>
      <c r="V3430" s="26">
        <v>0</v>
      </c>
      <c r="W3430" s="26"/>
    </row>
    <row r="3431" spans="1:23" x14ac:dyDescent="0.25">
      <c r="A3431" s="26" t="s">
        <v>3971</v>
      </c>
      <c r="B3431" s="26" t="s">
        <v>794</v>
      </c>
      <c r="C3431" s="26" t="s">
        <v>795</v>
      </c>
      <c r="D3431" s="26" t="s">
        <v>179</v>
      </c>
      <c r="E3431" s="26" t="s">
        <v>796</v>
      </c>
      <c r="F3431" s="26" t="s">
        <v>614</v>
      </c>
      <c r="G3431" s="26" t="s">
        <v>413</v>
      </c>
      <c r="H3431" s="26" t="s">
        <v>466</v>
      </c>
      <c r="I3431" s="26" t="s">
        <v>184</v>
      </c>
      <c r="J3431" s="26" t="s">
        <v>375</v>
      </c>
      <c r="K3431" s="26" t="s">
        <v>360</v>
      </c>
      <c r="L3431" s="26" t="s">
        <v>79</v>
      </c>
      <c r="M3431" s="26" t="s">
        <v>77</v>
      </c>
      <c r="N3431" s="26">
        <v>59</v>
      </c>
      <c r="O3431" s="26">
        <v>33</v>
      </c>
      <c r="P3431" s="26">
        <v>26</v>
      </c>
      <c r="Q3431" s="26">
        <v>3</v>
      </c>
      <c r="R3431" s="26">
        <v>0</v>
      </c>
      <c r="S3431" s="26">
        <v>6</v>
      </c>
      <c r="T3431" s="26">
        <v>0</v>
      </c>
      <c r="U3431" s="26">
        <v>6</v>
      </c>
      <c r="V3431" s="26">
        <v>0</v>
      </c>
      <c r="W3431" s="26"/>
    </row>
    <row r="3432" spans="1:23" x14ac:dyDescent="0.25">
      <c r="A3432" s="26" t="s">
        <v>3971</v>
      </c>
      <c r="B3432" s="26" t="s">
        <v>797</v>
      </c>
      <c r="C3432" s="26" t="s">
        <v>798</v>
      </c>
      <c r="D3432" s="26" t="s">
        <v>218</v>
      </c>
      <c r="E3432" s="26" t="s">
        <v>799</v>
      </c>
      <c r="F3432" s="26" t="s">
        <v>800</v>
      </c>
      <c r="G3432" s="26" t="s">
        <v>413</v>
      </c>
      <c r="H3432" s="26" t="s">
        <v>466</v>
      </c>
      <c r="I3432" s="26" t="s">
        <v>184</v>
      </c>
      <c r="J3432" s="26" t="s">
        <v>375</v>
      </c>
      <c r="K3432" s="26" t="s">
        <v>360</v>
      </c>
      <c r="L3432" s="26" t="s">
        <v>79</v>
      </c>
      <c r="M3432" s="26" t="s">
        <v>77</v>
      </c>
      <c r="N3432" s="26">
        <v>156</v>
      </c>
      <c r="O3432" s="26">
        <v>83</v>
      </c>
      <c r="P3432" s="26">
        <v>73</v>
      </c>
      <c r="Q3432" s="26">
        <v>7</v>
      </c>
      <c r="R3432" s="26">
        <v>0</v>
      </c>
      <c r="S3432" s="26">
        <v>12</v>
      </c>
      <c r="T3432" s="26">
        <v>0</v>
      </c>
      <c r="U3432" s="26">
        <v>12</v>
      </c>
      <c r="V3432" s="26">
        <v>0</v>
      </c>
      <c r="W3432" s="26"/>
    </row>
    <row r="3433" spans="1:23" x14ac:dyDescent="0.25">
      <c r="A3433" s="26" t="s">
        <v>3971</v>
      </c>
      <c r="B3433" s="26" t="s">
        <v>801</v>
      </c>
      <c r="C3433" s="26" t="s">
        <v>802</v>
      </c>
      <c r="D3433" s="26" t="s">
        <v>179</v>
      </c>
      <c r="E3433" s="26" t="s">
        <v>803</v>
      </c>
      <c r="F3433" s="26" t="s">
        <v>800</v>
      </c>
      <c r="G3433" s="26" t="s">
        <v>413</v>
      </c>
      <c r="H3433" s="26" t="s">
        <v>495</v>
      </c>
      <c r="I3433" s="26" t="s">
        <v>184</v>
      </c>
      <c r="J3433" s="26" t="s">
        <v>375</v>
      </c>
      <c r="K3433" s="26" t="s">
        <v>360</v>
      </c>
      <c r="L3433" s="26" t="s">
        <v>79</v>
      </c>
      <c r="M3433" s="26" t="s">
        <v>77</v>
      </c>
      <c r="N3433" s="26">
        <v>59</v>
      </c>
      <c r="O3433" s="26">
        <v>27</v>
      </c>
      <c r="P3433" s="26">
        <v>32</v>
      </c>
      <c r="Q3433" s="26">
        <v>3</v>
      </c>
      <c r="R3433" s="26">
        <v>0</v>
      </c>
      <c r="S3433" s="26">
        <v>5</v>
      </c>
      <c r="T3433" s="26">
        <v>0</v>
      </c>
      <c r="U3433" s="26">
        <v>5</v>
      </c>
      <c r="V3433" s="26">
        <v>0</v>
      </c>
      <c r="W3433" s="26"/>
    </row>
    <row r="3434" spans="1:23" x14ac:dyDescent="0.25">
      <c r="A3434" s="26" t="s">
        <v>3971</v>
      </c>
      <c r="B3434" s="26" t="s">
        <v>804</v>
      </c>
      <c r="C3434" s="26" t="s">
        <v>805</v>
      </c>
      <c r="D3434" s="26" t="s">
        <v>179</v>
      </c>
      <c r="E3434" s="26" t="s">
        <v>806</v>
      </c>
      <c r="F3434" s="26" t="s">
        <v>807</v>
      </c>
      <c r="G3434" s="26" t="s">
        <v>413</v>
      </c>
      <c r="H3434" s="26" t="s">
        <v>787</v>
      </c>
      <c r="I3434" s="26" t="s">
        <v>184</v>
      </c>
      <c r="J3434" s="26" t="s">
        <v>375</v>
      </c>
      <c r="K3434" s="26" t="s">
        <v>360</v>
      </c>
      <c r="L3434" s="26" t="s">
        <v>79</v>
      </c>
      <c r="M3434" s="26" t="s">
        <v>77</v>
      </c>
      <c r="N3434" s="26">
        <v>60</v>
      </c>
      <c r="O3434" s="26">
        <v>31</v>
      </c>
      <c r="P3434" s="26">
        <v>29</v>
      </c>
      <c r="Q3434" s="26">
        <v>4</v>
      </c>
      <c r="R3434" s="26">
        <v>0</v>
      </c>
      <c r="S3434" s="26">
        <v>10</v>
      </c>
      <c r="T3434" s="26">
        <v>0</v>
      </c>
      <c r="U3434" s="26">
        <v>10</v>
      </c>
      <c r="V3434" s="26">
        <v>0</v>
      </c>
      <c r="W3434" s="26"/>
    </row>
    <row r="3435" spans="1:23" x14ac:dyDescent="0.25">
      <c r="A3435" s="26" t="s">
        <v>3971</v>
      </c>
      <c r="B3435" s="26" t="s">
        <v>808</v>
      </c>
      <c r="C3435" s="26" t="s">
        <v>809</v>
      </c>
      <c r="D3435" s="26" t="s">
        <v>179</v>
      </c>
      <c r="E3435" s="26" t="s">
        <v>810</v>
      </c>
      <c r="F3435" s="26" t="s">
        <v>811</v>
      </c>
      <c r="G3435" s="26" t="s">
        <v>413</v>
      </c>
      <c r="H3435" s="26" t="s">
        <v>787</v>
      </c>
      <c r="I3435" s="26" t="s">
        <v>184</v>
      </c>
      <c r="J3435" s="26" t="s">
        <v>375</v>
      </c>
      <c r="K3435" s="26" t="s">
        <v>360</v>
      </c>
      <c r="L3435" s="26" t="s">
        <v>79</v>
      </c>
      <c r="M3435" s="26" t="s">
        <v>77</v>
      </c>
      <c r="N3435" s="26">
        <v>42</v>
      </c>
      <c r="O3435" s="26">
        <v>22</v>
      </c>
      <c r="P3435" s="26">
        <v>20</v>
      </c>
      <c r="Q3435" s="26">
        <v>3</v>
      </c>
      <c r="R3435" s="26">
        <v>0</v>
      </c>
      <c r="S3435" s="26">
        <v>3</v>
      </c>
      <c r="T3435" s="26">
        <v>0</v>
      </c>
      <c r="U3435" s="26">
        <v>3</v>
      </c>
      <c r="V3435" s="26">
        <v>0</v>
      </c>
      <c r="W3435" s="26"/>
    </row>
    <row r="3436" spans="1:23" x14ac:dyDescent="0.25">
      <c r="A3436" s="26" t="s">
        <v>3971</v>
      </c>
      <c r="B3436" s="26" t="s">
        <v>812</v>
      </c>
      <c r="C3436" s="26" t="s">
        <v>813</v>
      </c>
      <c r="D3436" s="26" t="s">
        <v>179</v>
      </c>
      <c r="E3436" s="26" t="s">
        <v>814</v>
      </c>
      <c r="F3436" s="26" t="s">
        <v>815</v>
      </c>
      <c r="G3436" s="26" t="s">
        <v>413</v>
      </c>
      <c r="H3436" s="26" t="s">
        <v>787</v>
      </c>
      <c r="I3436" s="26" t="s">
        <v>184</v>
      </c>
      <c r="J3436" s="26" t="s">
        <v>375</v>
      </c>
      <c r="K3436" s="26" t="s">
        <v>360</v>
      </c>
      <c r="L3436" s="26" t="s">
        <v>79</v>
      </c>
      <c r="M3436" s="26" t="s">
        <v>77</v>
      </c>
      <c r="N3436" s="26">
        <v>12</v>
      </c>
      <c r="O3436" s="26">
        <v>4</v>
      </c>
      <c r="P3436" s="26">
        <v>8</v>
      </c>
      <c r="Q3436" s="26">
        <v>2</v>
      </c>
      <c r="R3436" s="26">
        <v>0</v>
      </c>
      <c r="S3436" s="26">
        <v>2</v>
      </c>
      <c r="T3436" s="26">
        <v>0</v>
      </c>
      <c r="U3436" s="26">
        <v>2</v>
      </c>
      <c r="V3436" s="26">
        <v>0</v>
      </c>
      <c r="W3436" s="26"/>
    </row>
    <row r="3437" spans="1:23" x14ac:dyDescent="0.25">
      <c r="A3437" s="26" t="s">
        <v>3971</v>
      </c>
      <c r="B3437" s="26" t="s">
        <v>816</v>
      </c>
      <c r="C3437" s="26" t="s">
        <v>817</v>
      </c>
      <c r="D3437" s="26" t="s">
        <v>179</v>
      </c>
      <c r="E3437" s="26" t="s">
        <v>818</v>
      </c>
      <c r="F3437" s="26" t="s">
        <v>819</v>
      </c>
      <c r="G3437" s="26" t="s">
        <v>413</v>
      </c>
      <c r="H3437" s="26" t="s">
        <v>787</v>
      </c>
      <c r="I3437" s="26" t="s">
        <v>184</v>
      </c>
      <c r="J3437" s="26" t="s">
        <v>375</v>
      </c>
      <c r="K3437" s="26" t="s">
        <v>360</v>
      </c>
      <c r="L3437" s="26" t="s">
        <v>79</v>
      </c>
      <c r="M3437" s="26" t="s">
        <v>77</v>
      </c>
      <c r="N3437" s="26">
        <v>44</v>
      </c>
      <c r="O3437" s="26">
        <v>23</v>
      </c>
      <c r="P3437" s="26">
        <v>21</v>
      </c>
      <c r="Q3437" s="26">
        <v>3</v>
      </c>
      <c r="R3437" s="26">
        <v>0</v>
      </c>
      <c r="S3437" s="26">
        <v>4</v>
      </c>
      <c r="T3437" s="26">
        <v>0</v>
      </c>
      <c r="U3437" s="26">
        <v>4</v>
      </c>
      <c r="V3437" s="26">
        <v>0</v>
      </c>
      <c r="W3437" s="26"/>
    </row>
    <row r="3438" spans="1:23" x14ac:dyDescent="0.25">
      <c r="A3438" s="26" t="s">
        <v>3971</v>
      </c>
      <c r="B3438" s="26" t="s">
        <v>820</v>
      </c>
      <c r="C3438" s="26" t="s">
        <v>821</v>
      </c>
      <c r="D3438" s="26" t="s">
        <v>179</v>
      </c>
      <c r="E3438" s="26" t="s">
        <v>822</v>
      </c>
      <c r="F3438" s="26" t="s">
        <v>823</v>
      </c>
      <c r="G3438" s="26" t="s">
        <v>413</v>
      </c>
      <c r="H3438" s="26" t="s">
        <v>436</v>
      </c>
      <c r="I3438" s="26" t="s">
        <v>184</v>
      </c>
      <c r="J3438" s="26" t="s">
        <v>375</v>
      </c>
      <c r="K3438" s="26" t="s">
        <v>360</v>
      </c>
      <c r="L3438" s="26" t="s">
        <v>79</v>
      </c>
      <c r="M3438" s="26" t="s">
        <v>77</v>
      </c>
      <c r="N3438" s="26">
        <v>102</v>
      </c>
      <c r="O3438" s="26">
        <v>46</v>
      </c>
      <c r="P3438" s="26">
        <v>56</v>
      </c>
      <c r="Q3438" s="26">
        <v>5</v>
      </c>
      <c r="R3438" s="26">
        <v>0</v>
      </c>
      <c r="S3438" s="26">
        <v>9</v>
      </c>
      <c r="T3438" s="26">
        <v>0</v>
      </c>
      <c r="U3438" s="26">
        <v>9</v>
      </c>
      <c r="V3438" s="26">
        <v>0</v>
      </c>
      <c r="W3438" s="26"/>
    </row>
    <row r="3439" spans="1:23" x14ac:dyDescent="0.25">
      <c r="A3439" s="26" t="s">
        <v>3971</v>
      </c>
      <c r="B3439" s="26" t="s">
        <v>824</v>
      </c>
      <c r="C3439" s="26" t="s">
        <v>825</v>
      </c>
      <c r="D3439" s="26" t="s">
        <v>179</v>
      </c>
      <c r="E3439" s="26" t="s">
        <v>826</v>
      </c>
      <c r="F3439" s="26" t="s">
        <v>827</v>
      </c>
      <c r="G3439" s="26" t="s">
        <v>226</v>
      </c>
      <c r="H3439" s="26" t="s">
        <v>828</v>
      </c>
      <c r="I3439" s="26" t="s">
        <v>184</v>
      </c>
      <c r="J3439" s="26" t="s">
        <v>427</v>
      </c>
      <c r="K3439" s="26" t="s">
        <v>360</v>
      </c>
      <c r="L3439" s="26" t="s">
        <v>79</v>
      </c>
      <c r="M3439" s="26" t="s">
        <v>77</v>
      </c>
      <c r="N3439" s="26">
        <v>71</v>
      </c>
      <c r="O3439" s="26">
        <v>38</v>
      </c>
      <c r="P3439" s="26">
        <v>33</v>
      </c>
      <c r="Q3439" s="26">
        <v>4</v>
      </c>
      <c r="R3439" s="26">
        <v>0</v>
      </c>
      <c r="S3439" s="26">
        <v>4</v>
      </c>
      <c r="T3439" s="26">
        <v>0</v>
      </c>
      <c r="U3439" s="26">
        <v>4</v>
      </c>
      <c r="V3439" s="26">
        <v>0</v>
      </c>
      <c r="W3439" s="26"/>
    </row>
    <row r="3440" spans="1:23" x14ac:dyDescent="0.25">
      <c r="A3440" s="26" t="s">
        <v>3971</v>
      </c>
      <c r="B3440" s="26" t="s">
        <v>829</v>
      </c>
      <c r="C3440" s="26" t="s">
        <v>830</v>
      </c>
      <c r="D3440" s="26" t="s">
        <v>179</v>
      </c>
      <c r="E3440" s="26" t="s">
        <v>831</v>
      </c>
      <c r="F3440" s="26" t="s">
        <v>832</v>
      </c>
      <c r="G3440" s="26" t="s">
        <v>226</v>
      </c>
      <c r="H3440" s="26" t="s">
        <v>833</v>
      </c>
      <c r="I3440" s="26" t="s">
        <v>184</v>
      </c>
      <c r="J3440" s="26" t="s">
        <v>427</v>
      </c>
      <c r="K3440" s="26" t="s">
        <v>360</v>
      </c>
      <c r="L3440" s="26" t="s">
        <v>79</v>
      </c>
      <c r="M3440" s="26" t="s">
        <v>77</v>
      </c>
      <c r="N3440" s="26">
        <v>31</v>
      </c>
      <c r="O3440" s="26">
        <v>15</v>
      </c>
      <c r="P3440" s="26">
        <v>16</v>
      </c>
      <c r="Q3440" s="26">
        <v>3</v>
      </c>
      <c r="R3440" s="26">
        <v>0</v>
      </c>
      <c r="S3440" s="26">
        <v>3</v>
      </c>
      <c r="T3440" s="26">
        <v>0</v>
      </c>
      <c r="U3440" s="26">
        <v>3</v>
      </c>
      <c r="V3440" s="26">
        <v>0</v>
      </c>
      <c r="W3440" s="26"/>
    </row>
    <row r="3441" spans="1:23" x14ac:dyDescent="0.25">
      <c r="A3441" s="26" t="s">
        <v>3971</v>
      </c>
      <c r="B3441" s="26" t="s">
        <v>834</v>
      </c>
      <c r="C3441" s="26" t="s">
        <v>835</v>
      </c>
      <c r="D3441" s="26" t="s">
        <v>179</v>
      </c>
      <c r="E3441" s="26" t="s">
        <v>836</v>
      </c>
      <c r="F3441" s="26" t="s">
        <v>837</v>
      </c>
      <c r="G3441" s="26" t="s">
        <v>226</v>
      </c>
      <c r="H3441" s="26" t="s">
        <v>833</v>
      </c>
      <c r="I3441" s="26" t="s">
        <v>184</v>
      </c>
      <c r="J3441" s="26" t="s">
        <v>427</v>
      </c>
      <c r="K3441" s="26" t="s">
        <v>360</v>
      </c>
      <c r="L3441" s="26" t="s">
        <v>79</v>
      </c>
      <c r="M3441" s="26" t="s">
        <v>77</v>
      </c>
      <c r="N3441" s="26">
        <v>29</v>
      </c>
      <c r="O3441" s="26">
        <v>14</v>
      </c>
      <c r="P3441" s="26">
        <v>15</v>
      </c>
      <c r="Q3441" s="26">
        <v>3</v>
      </c>
      <c r="R3441" s="26">
        <v>0</v>
      </c>
      <c r="S3441" s="26">
        <v>3</v>
      </c>
      <c r="T3441" s="26">
        <v>0</v>
      </c>
      <c r="U3441" s="26">
        <v>3</v>
      </c>
      <c r="V3441" s="26">
        <v>0</v>
      </c>
      <c r="W3441" s="26"/>
    </row>
    <row r="3442" spans="1:23" x14ac:dyDescent="0.25">
      <c r="A3442" s="26" t="s">
        <v>3971</v>
      </c>
      <c r="B3442" s="26" t="s">
        <v>838</v>
      </c>
      <c r="C3442" s="26" t="s">
        <v>839</v>
      </c>
      <c r="D3442" s="26" t="s">
        <v>179</v>
      </c>
      <c r="E3442" s="26" t="s">
        <v>840</v>
      </c>
      <c r="F3442" s="26" t="s">
        <v>586</v>
      </c>
      <c r="G3442" s="26" t="s">
        <v>226</v>
      </c>
      <c r="H3442" s="26" t="s">
        <v>538</v>
      </c>
      <c r="I3442" s="26" t="s">
        <v>184</v>
      </c>
      <c r="J3442" s="26" t="s">
        <v>427</v>
      </c>
      <c r="K3442" s="26" t="s">
        <v>360</v>
      </c>
      <c r="L3442" s="26" t="s">
        <v>79</v>
      </c>
      <c r="M3442" s="26" t="s">
        <v>77</v>
      </c>
      <c r="N3442" s="26">
        <v>46</v>
      </c>
      <c r="O3442" s="26">
        <v>15</v>
      </c>
      <c r="P3442" s="26">
        <v>31</v>
      </c>
      <c r="Q3442" s="26">
        <v>3</v>
      </c>
      <c r="R3442" s="26">
        <v>0</v>
      </c>
      <c r="S3442" s="26">
        <v>3</v>
      </c>
      <c r="T3442" s="26">
        <v>0</v>
      </c>
      <c r="U3442" s="26">
        <v>3</v>
      </c>
      <c r="V3442" s="26">
        <v>0</v>
      </c>
      <c r="W3442" s="26"/>
    </row>
    <row r="3443" spans="1:23" x14ac:dyDescent="0.25">
      <c r="A3443" s="26" t="s">
        <v>3971</v>
      </c>
      <c r="B3443" s="26" t="s">
        <v>841</v>
      </c>
      <c r="C3443" s="26" t="s">
        <v>842</v>
      </c>
      <c r="D3443" s="26" t="s">
        <v>179</v>
      </c>
      <c r="E3443" s="26" t="s">
        <v>843</v>
      </c>
      <c r="F3443" s="26" t="s">
        <v>844</v>
      </c>
      <c r="G3443" s="26" t="s">
        <v>226</v>
      </c>
      <c r="H3443" s="26" t="s">
        <v>828</v>
      </c>
      <c r="I3443" s="26" t="s">
        <v>184</v>
      </c>
      <c r="J3443" s="26" t="s">
        <v>427</v>
      </c>
      <c r="K3443" s="26" t="s">
        <v>360</v>
      </c>
      <c r="L3443" s="26" t="s">
        <v>79</v>
      </c>
      <c r="M3443" s="26" t="s">
        <v>77</v>
      </c>
      <c r="N3443" s="26">
        <v>85</v>
      </c>
      <c r="O3443" s="26">
        <v>44</v>
      </c>
      <c r="P3443" s="26">
        <v>41</v>
      </c>
      <c r="Q3443" s="26">
        <v>6</v>
      </c>
      <c r="R3443" s="26">
        <v>0</v>
      </c>
      <c r="S3443" s="26">
        <v>6</v>
      </c>
      <c r="T3443" s="26">
        <v>0</v>
      </c>
      <c r="U3443" s="26">
        <v>6</v>
      </c>
      <c r="V3443" s="26">
        <v>0</v>
      </c>
      <c r="W3443" s="26"/>
    </row>
    <row r="3444" spans="1:23" x14ac:dyDescent="0.25">
      <c r="A3444" s="26" t="s">
        <v>3971</v>
      </c>
      <c r="B3444" s="26" t="s">
        <v>845</v>
      </c>
      <c r="C3444" s="26" t="s">
        <v>846</v>
      </c>
      <c r="D3444" s="26" t="s">
        <v>179</v>
      </c>
      <c r="E3444" s="26" t="s">
        <v>847</v>
      </c>
      <c r="F3444" s="26" t="s">
        <v>848</v>
      </c>
      <c r="G3444" s="26" t="s">
        <v>226</v>
      </c>
      <c r="H3444" s="26" t="s">
        <v>538</v>
      </c>
      <c r="I3444" s="26" t="s">
        <v>184</v>
      </c>
      <c r="J3444" s="26" t="s">
        <v>427</v>
      </c>
      <c r="K3444" s="26" t="s">
        <v>360</v>
      </c>
      <c r="L3444" s="26" t="s">
        <v>79</v>
      </c>
      <c r="M3444" s="26" t="s">
        <v>77</v>
      </c>
      <c r="N3444" s="26">
        <v>56</v>
      </c>
      <c r="O3444" s="26">
        <v>29</v>
      </c>
      <c r="P3444" s="26">
        <v>27</v>
      </c>
      <c r="Q3444" s="26">
        <v>3</v>
      </c>
      <c r="R3444" s="26">
        <v>0</v>
      </c>
      <c r="S3444" s="26">
        <v>3</v>
      </c>
      <c r="T3444" s="26">
        <v>0</v>
      </c>
      <c r="U3444" s="26">
        <v>3</v>
      </c>
      <c r="V3444" s="26">
        <v>0</v>
      </c>
      <c r="W3444" s="26"/>
    </row>
    <row r="3445" spans="1:23" x14ac:dyDescent="0.25">
      <c r="A3445" s="26" t="s">
        <v>3971</v>
      </c>
      <c r="B3445" s="26" t="s">
        <v>849</v>
      </c>
      <c r="C3445" s="26" t="s">
        <v>850</v>
      </c>
      <c r="D3445" s="26" t="s">
        <v>179</v>
      </c>
      <c r="E3445" s="26" t="s">
        <v>851</v>
      </c>
      <c r="F3445" s="26" t="s">
        <v>852</v>
      </c>
      <c r="G3445" s="26" t="s">
        <v>226</v>
      </c>
      <c r="H3445" s="26" t="s">
        <v>833</v>
      </c>
      <c r="I3445" s="26" t="s">
        <v>184</v>
      </c>
      <c r="J3445" s="26" t="s">
        <v>427</v>
      </c>
      <c r="K3445" s="26" t="s">
        <v>360</v>
      </c>
      <c r="L3445" s="26" t="s">
        <v>79</v>
      </c>
      <c r="M3445" s="26" t="s">
        <v>77</v>
      </c>
      <c r="N3445" s="26">
        <v>49</v>
      </c>
      <c r="O3445" s="26">
        <v>33</v>
      </c>
      <c r="P3445" s="26">
        <v>16</v>
      </c>
      <c r="Q3445" s="26">
        <v>3</v>
      </c>
      <c r="R3445" s="26">
        <v>0</v>
      </c>
      <c r="S3445" s="26">
        <v>3</v>
      </c>
      <c r="T3445" s="26">
        <v>0</v>
      </c>
      <c r="U3445" s="26">
        <v>3</v>
      </c>
      <c r="V3445" s="26">
        <v>0</v>
      </c>
      <c r="W3445" s="26"/>
    </row>
    <row r="3446" spans="1:23" x14ac:dyDescent="0.25">
      <c r="A3446" s="26" t="s">
        <v>3971</v>
      </c>
      <c r="B3446" s="26" t="s">
        <v>853</v>
      </c>
      <c r="C3446" s="26" t="s">
        <v>854</v>
      </c>
      <c r="D3446" s="26" t="s">
        <v>179</v>
      </c>
      <c r="E3446" s="26" t="s">
        <v>855</v>
      </c>
      <c r="F3446" s="26" t="s">
        <v>832</v>
      </c>
      <c r="G3446" s="26" t="s">
        <v>226</v>
      </c>
      <c r="H3446" s="26" t="s">
        <v>538</v>
      </c>
      <c r="I3446" s="26" t="s">
        <v>184</v>
      </c>
      <c r="J3446" s="26" t="s">
        <v>427</v>
      </c>
      <c r="K3446" s="26" t="s">
        <v>360</v>
      </c>
      <c r="L3446" s="26" t="s">
        <v>79</v>
      </c>
      <c r="M3446" s="26" t="s">
        <v>77</v>
      </c>
      <c r="N3446" s="26">
        <v>124</v>
      </c>
      <c r="O3446" s="26">
        <v>63</v>
      </c>
      <c r="P3446" s="26">
        <v>61</v>
      </c>
      <c r="Q3446" s="26">
        <v>6</v>
      </c>
      <c r="R3446" s="26">
        <v>0</v>
      </c>
      <c r="S3446" s="26">
        <v>6</v>
      </c>
      <c r="T3446" s="26">
        <v>0</v>
      </c>
      <c r="U3446" s="26">
        <v>6</v>
      </c>
      <c r="V3446" s="26">
        <v>0</v>
      </c>
      <c r="W3446" s="26"/>
    </row>
    <row r="3447" spans="1:23" x14ac:dyDescent="0.25">
      <c r="A3447" s="26" t="s">
        <v>3971</v>
      </c>
      <c r="B3447" s="26" t="s">
        <v>856</v>
      </c>
      <c r="C3447" s="26" t="s">
        <v>857</v>
      </c>
      <c r="D3447" s="26" t="s">
        <v>179</v>
      </c>
      <c r="E3447" s="26" t="s">
        <v>858</v>
      </c>
      <c r="F3447" s="26" t="s">
        <v>844</v>
      </c>
      <c r="G3447" s="26" t="s">
        <v>226</v>
      </c>
      <c r="H3447" s="26" t="s">
        <v>828</v>
      </c>
      <c r="I3447" s="26" t="s">
        <v>184</v>
      </c>
      <c r="J3447" s="26" t="s">
        <v>427</v>
      </c>
      <c r="K3447" s="26" t="s">
        <v>360</v>
      </c>
      <c r="L3447" s="26" t="s">
        <v>79</v>
      </c>
      <c r="M3447" s="26" t="s">
        <v>77</v>
      </c>
      <c r="N3447" s="26">
        <v>62</v>
      </c>
      <c r="O3447" s="26">
        <v>27</v>
      </c>
      <c r="P3447" s="26">
        <v>35</v>
      </c>
      <c r="Q3447" s="26">
        <v>3</v>
      </c>
      <c r="R3447" s="26">
        <v>0</v>
      </c>
      <c r="S3447" s="26">
        <v>4</v>
      </c>
      <c r="T3447" s="26">
        <v>0</v>
      </c>
      <c r="U3447" s="26">
        <v>4</v>
      </c>
      <c r="V3447" s="26">
        <v>0</v>
      </c>
      <c r="W3447" s="26"/>
    </row>
    <row r="3448" spans="1:23" x14ac:dyDescent="0.25">
      <c r="A3448" s="26" t="s">
        <v>3971</v>
      </c>
      <c r="B3448" s="26" t="s">
        <v>859</v>
      </c>
      <c r="C3448" s="26" t="s">
        <v>860</v>
      </c>
      <c r="D3448" s="26" t="s">
        <v>179</v>
      </c>
      <c r="E3448" s="26" t="s">
        <v>861</v>
      </c>
      <c r="F3448" s="26" t="s">
        <v>862</v>
      </c>
      <c r="G3448" s="26" t="s">
        <v>226</v>
      </c>
      <c r="H3448" s="26" t="s">
        <v>828</v>
      </c>
      <c r="I3448" s="26" t="s">
        <v>184</v>
      </c>
      <c r="J3448" s="26" t="s">
        <v>427</v>
      </c>
      <c r="K3448" s="26" t="s">
        <v>360</v>
      </c>
      <c r="L3448" s="26" t="s">
        <v>79</v>
      </c>
      <c r="M3448" s="26" t="s">
        <v>77</v>
      </c>
      <c r="N3448" s="26">
        <v>78</v>
      </c>
      <c r="O3448" s="26">
        <v>42</v>
      </c>
      <c r="P3448" s="26">
        <v>36</v>
      </c>
      <c r="Q3448" s="26">
        <v>4</v>
      </c>
      <c r="R3448" s="26">
        <v>0</v>
      </c>
      <c r="S3448" s="26">
        <v>3</v>
      </c>
      <c r="T3448" s="26">
        <v>0</v>
      </c>
      <c r="U3448" s="26">
        <v>3</v>
      </c>
      <c r="V3448" s="26">
        <v>0</v>
      </c>
      <c r="W3448" s="26"/>
    </row>
    <row r="3449" spans="1:23" x14ac:dyDescent="0.25">
      <c r="A3449" s="26" t="s">
        <v>3971</v>
      </c>
      <c r="B3449" s="26" t="s">
        <v>863</v>
      </c>
      <c r="C3449" s="26" t="s">
        <v>864</v>
      </c>
      <c r="D3449" s="26" t="s">
        <v>179</v>
      </c>
      <c r="E3449" s="26" t="s">
        <v>865</v>
      </c>
      <c r="F3449" s="26" t="s">
        <v>866</v>
      </c>
      <c r="G3449" s="26" t="s">
        <v>226</v>
      </c>
      <c r="H3449" s="26" t="s">
        <v>833</v>
      </c>
      <c r="I3449" s="26" t="s">
        <v>184</v>
      </c>
      <c r="J3449" s="26" t="s">
        <v>427</v>
      </c>
      <c r="K3449" s="26" t="s">
        <v>360</v>
      </c>
      <c r="L3449" s="26" t="s">
        <v>79</v>
      </c>
      <c r="M3449" s="26" t="s">
        <v>77</v>
      </c>
      <c r="N3449" s="26">
        <v>68</v>
      </c>
      <c r="O3449" s="26">
        <v>32</v>
      </c>
      <c r="P3449" s="26">
        <v>36</v>
      </c>
      <c r="Q3449" s="26">
        <v>5</v>
      </c>
      <c r="R3449" s="26">
        <v>0</v>
      </c>
      <c r="S3449" s="26">
        <v>5</v>
      </c>
      <c r="T3449" s="26">
        <v>0</v>
      </c>
      <c r="U3449" s="26">
        <v>5</v>
      </c>
      <c r="V3449" s="26">
        <v>0</v>
      </c>
      <c r="W3449" s="26"/>
    </row>
    <row r="3450" spans="1:23" x14ac:dyDescent="0.25">
      <c r="A3450" s="26" t="s">
        <v>3971</v>
      </c>
      <c r="B3450" s="26" t="s">
        <v>867</v>
      </c>
      <c r="C3450" s="26" t="s">
        <v>868</v>
      </c>
      <c r="D3450" s="26" t="s">
        <v>179</v>
      </c>
      <c r="E3450" s="26" t="s">
        <v>869</v>
      </c>
      <c r="F3450" s="26" t="s">
        <v>870</v>
      </c>
      <c r="G3450" s="26" t="s">
        <v>226</v>
      </c>
      <c r="H3450" s="26" t="s">
        <v>603</v>
      </c>
      <c r="I3450" s="26" t="s">
        <v>184</v>
      </c>
      <c r="J3450" s="26" t="s">
        <v>427</v>
      </c>
      <c r="K3450" s="26" t="s">
        <v>360</v>
      </c>
      <c r="L3450" s="26" t="s">
        <v>79</v>
      </c>
      <c r="M3450" s="26" t="s">
        <v>77</v>
      </c>
      <c r="N3450" s="26">
        <v>68</v>
      </c>
      <c r="O3450" s="26">
        <v>39</v>
      </c>
      <c r="P3450" s="26">
        <v>29</v>
      </c>
      <c r="Q3450" s="26">
        <v>4</v>
      </c>
      <c r="R3450" s="26">
        <v>0</v>
      </c>
      <c r="S3450" s="26">
        <v>4</v>
      </c>
      <c r="T3450" s="26">
        <v>0</v>
      </c>
      <c r="U3450" s="26">
        <v>4</v>
      </c>
      <c r="V3450" s="26">
        <v>0</v>
      </c>
      <c r="W3450" s="26"/>
    </row>
    <row r="3451" spans="1:23" x14ac:dyDescent="0.25">
      <c r="A3451" s="26" t="s">
        <v>3971</v>
      </c>
      <c r="B3451" s="26" t="s">
        <v>871</v>
      </c>
      <c r="C3451" s="26" t="s">
        <v>872</v>
      </c>
      <c r="D3451" s="26" t="s">
        <v>179</v>
      </c>
      <c r="E3451" s="26" t="s">
        <v>873</v>
      </c>
      <c r="F3451" s="26" t="s">
        <v>827</v>
      </c>
      <c r="G3451" s="26" t="s">
        <v>226</v>
      </c>
      <c r="H3451" s="26" t="s">
        <v>828</v>
      </c>
      <c r="I3451" s="26" t="s">
        <v>184</v>
      </c>
      <c r="J3451" s="26" t="s">
        <v>427</v>
      </c>
      <c r="K3451" s="26" t="s">
        <v>360</v>
      </c>
      <c r="L3451" s="26" t="s">
        <v>79</v>
      </c>
      <c r="M3451" s="26" t="s">
        <v>77</v>
      </c>
      <c r="N3451" s="26">
        <v>85</v>
      </c>
      <c r="O3451" s="26">
        <v>40</v>
      </c>
      <c r="P3451" s="26">
        <v>45</v>
      </c>
      <c r="Q3451" s="26">
        <v>5</v>
      </c>
      <c r="R3451" s="26">
        <v>0</v>
      </c>
      <c r="S3451" s="26">
        <v>5</v>
      </c>
      <c r="T3451" s="26">
        <v>0</v>
      </c>
      <c r="U3451" s="26">
        <v>5</v>
      </c>
      <c r="V3451" s="26">
        <v>0</v>
      </c>
      <c r="W3451" s="26"/>
    </row>
    <row r="3452" spans="1:23" x14ac:dyDescent="0.25">
      <c r="A3452" s="26" t="s">
        <v>3971</v>
      </c>
      <c r="B3452" s="26" t="s">
        <v>874</v>
      </c>
      <c r="C3452" s="26" t="s">
        <v>875</v>
      </c>
      <c r="D3452" s="26" t="s">
        <v>179</v>
      </c>
      <c r="E3452" s="26" t="s">
        <v>876</v>
      </c>
      <c r="F3452" s="26" t="s">
        <v>309</v>
      </c>
      <c r="G3452" s="26" t="s">
        <v>226</v>
      </c>
      <c r="H3452" s="26" t="s">
        <v>538</v>
      </c>
      <c r="I3452" s="26" t="s">
        <v>184</v>
      </c>
      <c r="J3452" s="26" t="s">
        <v>427</v>
      </c>
      <c r="K3452" s="26" t="s">
        <v>360</v>
      </c>
      <c r="L3452" s="26" t="s">
        <v>79</v>
      </c>
      <c r="M3452" s="26" t="s">
        <v>77</v>
      </c>
      <c r="N3452" s="26">
        <v>28</v>
      </c>
      <c r="O3452" s="26">
        <v>13</v>
      </c>
      <c r="P3452" s="26">
        <v>15</v>
      </c>
      <c r="Q3452" s="26">
        <v>3</v>
      </c>
      <c r="R3452" s="26">
        <v>0</v>
      </c>
      <c r="S3452" s="26">
        <v>3</v>
      </c>
      <c r="T3452" s="26">
        <v>0</v>
      </c>
      <c r="U3452" s="26">
        <v>3</v>
      </c>
      <c r="V3452" s="26">
        <v>0</v>
      </c>
      <c r="W3452" s="26"/>
    </row>
    <row r="3453" spans="1:23" x14ac:dyDescent="0.25">
      <c r="A3453" s="26" t="s">
        <v>3971</v>
      </c>
      <c r="B3453" s="26" t="s">
        <v>877</v>
      </c>
      <c r="C3453" s="26" t="s">
        <v>878</v>
      </c>
      <c r="D3453" s="26" t="s">
        <v>179</v>
      </c>
      <c r="E3453" s="26" t="s">
        <v>879</v>
      </c>
      <c r="F3453" s="26" t="s">
        <v>880</v>
      </c>
      <c r="G3453" s="26" t="s">
        <v>210</v>
      </c>
      <c r="H3453" s="26" t="s">
        <v>881</v>
      </c>
      <c r="I3453" s="26" t="s">
        <v>184</v>
      </c>
      <c r="J3453" s="26" t="s">
        <v>322</v>
      </c>
      <c r="K3453" s="26" t="s">
        <v>360</v>
      </c>
      <c r="L3453" s="26" t="s">
        <v>79</v>
      </c>
      <c r="M3453" s="26" t="s">
        <v>77</v>
      </c>
      <c r="N3453" s="26">
        <v>18</v>
      </c>
      <c r="O3453" s="26">
        <v>6</v>
      </c>
      <c r="P3453" s="26">
        <v>12</v>
      </c>
      <c r="Q3453" s="26">
        <v>1</v>
      </c>
      <c r="R3453" s="26">
        <v>0</v>
      </c>
      <c r="S3453" s="26">
        <v>2</v>
      </c>
      <c r="T3453" s="26">
        <v>0</v>
      </c>
      <c r="U3453" s="26">
        <v>2</v>
      </c>
      <c r="V3453" s="26">
        <v>0</v>
      </c>
      <c r="W3453" s="26"/>
    </row>
    <row r="3454" spans="1:23" x14ac:dyDescent="0.25">
      <c r="A3454" s="26" t="s">
        <v>3971</v>
      </c>
      <c r="B3454" s="26" t="s">
        <v>882</v>
      </c>
      <c r="C3454" s="26" t="s">
        <v>883</v>
      </c>
      <c r="D3454" s="26" t="s">
        <v>179</v>
      </c>
      <c r="E3454" s="26" t="s">
        <v>884</v>
      </c>
      <c r="F3454" s="26" t="s">
        <v>885</v>
      </c>
      <c r="G3454" s="26" t="s">
        <v>210</v>
      </c>
      <c r="H3454" s="26" t="s">
        <v>886</v>
      </c>
      <c r="I3454" s="26" t="s">
        <v>184</v>
      </c>
      <c r="J3454" s="26" t="s">
        <v>322</v>
      </c>
      <c r="K3454" s="26" t="s">
        <v>360</v>
      </c>
      <c r="L3454" s="26" t="s">
        <v>79</v>
      </c>
      <c r="M3454" s="26" t="s">
        <v>77</v>
      </c>
      <c r="N3454" s="26">
        <v>12</v>
      </c>
      <c r="O3454" s="26">
        <v>8</v>
      </c>
      <c r="P3454" s="26">
        <v>4</v>
      </c>
      <c r="Q3454" s="26">
        <v>2</v>
      </c>
      <c r="R3454" s="26">
        <v>0</v>
      </c>
      <c r="S3454" s="26">
        <v>3</v>
      </c>
      <c r="T3454" s="26">
        <v>0</v>
      </c>
      <c r="U3454" s="26">
        <v>3</v>
      </c>
      <c r="V3454" s="26">
        <v>0</v>
      </c>
      <c r="W3454" s="26"/>
    </row>
    <row r="3455" spans="1:23" x14ac:dyDescent="0.25">
      <c r="A3455" s="26" t="s">
        <v>3971</v>
      </c>
      <c r="B3455" s="26" t="s">
        <v>887</v>
      </c>
      <c r="C3455" s="26" t="s">
        <v>888</v>
      </c>
      <c r="D3455" s="26" t="s">
        <v>179</v>
      </c>
      <c r="E3455" s="26" t="s">
        <v>889</v>
      </c>
      <c r="F3455" s="26" t="s">
        <v>890</v>
      </c>
      <c r="G3455" s="26" t="s">
        <v>210</v>
      </c>
      <c r="H3455" s="26" t="s">
        <v>570</v>
      </c>
      <c r="I3455" s="26" t="s">
        <v>184</v>
      </c>
      <c r="J3455" s="26" t="s">
        <v>322</v>
      </c>
      <c r="K3455" s="26" t="s">
        <v>360</v>
      </c>
      <c r="L3455" s="26" t="s">
        <v>79</v>
      </c>
      <c r="M3455" s="26" t="s">
        <v>77</v>
      </c>
      <c r="N3455" s="26">
        <v>51</v>
      </c>
      <c r="O3455" s="26">
        <v>29</v>
      </c>
      <c r="P3455" s="26">
        <v>22</v>
      </c>
      <c r="Q3455" s="26">
        <v>3</v>
      </c>
      <c r="R3455" s="26">
        <v>0</v>
      </c>
      <c r="S3455" s="26">
        <v>4</v>
      </c>
      <c r="T3455" s="26">
        <v>0</v>
      </c>
      <c r="U3455" s="26">
        <v>4</v>
      </c>
      <c r="V3455" s="26">
        <v>0</v>
      </c>
      <c r="W3455" s="26"/>
    </row>
    <row r="3456" spans="1:23" x14ac:dyDescent="0.25">
      <c r="A3456" s="26" t="s">
        <v>3971</v>
      </c>
      <c r="B3456" s="26" t="s">
        <v>891</v>
      </c>
      <c r="C3456" s="26" t="s">
        <v>892</v>
      </c>
      <c r="D3456" s="26" t="s">
        <v>179</v>
      </c>
      <c r="E3456" s="26" t="s">
        <v>893</v>
      </c>
      <c r="F3456" s="26" t="s">
        <v>342</v>
      </c>
      <c r="G3456" s="26" t="s">
        <v>210</v>
      </c>
      <c r="H3456" s="26" t="s">
        <v>365</v>
      </c>
      <c r="I3456" s="26" t="s">
        <v>184</v>
      </c>
      <c r="J3456" s="26" t="s">
        <v>322</v>
      </c>
      <c r="K3456" s="26" t="s">
        <v>360</v>
      </c>
      <c r="L3456" s="26" t="s">
        <v>79</v>
      </c>
      <c r="M3456" s="26" t="s">
        <v>77</v>
      </c>
      <c r="N3456" s="26">
        <v>10</v>
      </c>
      <c r="O3456" s="26">
        <v>4</v>
      </c>
      <c r="P3456" s="26">
        <v>6</v>
      </c>
      <c r="Q3456" s="26">
        <v>2</v>
      </c>
      <c r="R3456" s="26">
        <v>0</v>
      </c>
      <c r="S3456" s="26">
        <v>2</v>
      </c>
      <c r="T3456" s="26">
        <v>0</v>
      </c>
      <c r="U3456" s="26">
        <v>2</v>
      </c>
      <c r="V3456" s="26">
        <v>0</v>
      </c>
      <c r="W3456" s="26"/>
    </row>
    <row r="3457" spans="1:23" x14ac:dyDescent="0.25">
      <c r="A3457" s="26" t="s">
        <v>3971</v>
      </c>
      <c r="B3457" s="26" t="s">
        <v>894</v>
      </c>
      <c r="C3457" s="26" t="s">
        <v>895</v>
      </c>
      <c r="D3457" s="26" t="s">
        <v>179</v>
      </c>
      <c r="E3457" s="26" t="s">
        <v>896</v>
      </c>
      <c r="F3457" s="26" t="s">
        <v>897</v>
      </c>
      <c r="G3457" s="26" t="s">
        <v>210</v>
      </c>
      <c r="H3457" s="26" t="s">
        <v>570</v>
      </c>
      <c r="I3457" s="26" t="s">
        <v>184</v>
      </c>
      <c r="J3457" s="26" t="s">
        <v>322</v>
      </c>
      <c r="K3457" s="26" t="s">
        <v>360</v>
      </c>
      <c r="L3457" s="26" t="s">
        <v>79</v>
      </c>
      <c r="M3457" s="26" t="s">
        <v>77</v>
      </c>
      <c r="N3457" s="26">
        <v>26</v>
      </c>
      <c r="O3457" s="26">
        <v>12</v>
      </c>
      <c r="P3457" s="26">
        <v>14</v>
      </c>
      <c r="Q3457" s="26">
        <v>2</v>
      </c>
      <c r="R3457" s="26">
        <v>0</v>
      </c>
      <c r="S3457" s="26">
        <v>4</v>
      </c>
      <c r="T3457" s="26">
        <v>0</v>
      </c>
      <c r="U3457" s="26">
        <v>4</v>
      </c>
      <c r="V3457" s="26">
        <v>0</v>
      </c>
      <c r="W3457" s="26"/>
    </row>
    <row r="3458" spans="1:23" x14ac:dyDescent="0.25">
      <c r="A3458" s="26" t="s">
        <v>3971</v>
      </c>
      <c r="B3458" s="26" t="s">
        <v>898</v>
      </c>
      <c r="C3458" s="26" t="s">
        <v>899</v>
      </c>
      <c r="D3458" s="26" t="s">
        <v>179</v>
      </c>
      <c r="E3458" s="26" t="s">
        <v>900</v>
      </c>
      <c r="F3458" s="26" t="s">
        <v>901</v>
      </c>
      <c r="G3458" s="26" t="s">
        <v>210</v>
      </c>
      <c r="H3458" s="26" t="s">
        <v>332</v>
      </c>
      <c r="I3458" s="26" t="s">
        <v>184</v>
      </c>
      <c r="J3458" s="26" t="s">
        <v>322</v>
      </c>
      <c r="K3458" s="26" t="s">
        <v>360</v>
      </c>
      <c r="L3458" s="26" t="s">
        <v>79</v>
      </c>
      <c r="M3458" s="26" t="s">
        <v>77</v>
      </c>
      <c r="N3458" s="26">
        <v>22</v>
      </c>
      <c r="O3458" s="26">
        <v>14</v>
      </c>
      <c r="P3458" s="26">
        <v>8</v>
      </c>
      <c r="Q3458" s="26">
        <v>3</v>
      </c>
      <c r="R3458" s="26">
        <v>0</v>
      </c>
      <c r="S3458" s="26">
        <v>3</v>
      </c>
      <c r="T3458" s="26">
        <v>0</v>
      </c>
      <c r="U3458" s="26">
        <v>3</v>
      </c>
      <c r="V3458" s="26">
        <v>0</v>
      </c>
      <c r="W3458" s="26"/>
    </row>
    <row r="3459" spans="1:23" x14ac:dyDescent="0.25">
      <c r="A3459" s="26" t="s">
        <v>3971</v>
      </c>
      <c r="B3459" s="26" t="s">
        <v>902</v>
      </c>
      <c r="C3459" s="26" t="s">
        <v>903</v>
      </c>
      <c r="D3459" s="26" t="s">
        <v>179</v>
      </c>
      <c r="E3459" s="26" t="s">
        <v>904</v>
      </c>
      <c r="F3459" s="26" t="s">
        <v>905</v>
      </c>
      <c r="G3459" s="26" t="s">
        <v>210</v>
      </c>
      <c r="H3459" s="26" t="s">
        <v>570</v>
      </c>
      <c r="I3459" s="26" t="s">
        <v>184</v>
      </c>
      <c r="J3459" s="26" t="s">
        <v>322</v>
      </c>
      <c r="K3459" s="26" t="s">
        <v>360</v>
      </c>
      <c r="L3459" s="26" t="s">
        <v>79</v>
      </c>
      <c r="M3459" s="26" t="s">
        <v>77</v>
      </c>
      <c r="N3459" s="26">
        <v>34</v>
      </c>
      <c r="O3459" s="26">
        <v>18</v>
      </c>
      <c r="P3459" s="26">
        <v>16</v>
      </c>
      <c r="Q3459" s="26">
        <v>2</v>
      </c>
      <c r="R3459" s="26">
        <v>0</v>
      </c>
      <c r="S3459" s="26">
        <v>4</v>
      </c>
      <c r="T3459" s="26">
        <v>0</v>
      </c>
      <c r="U3459" s="26">
        <v>4</v>
      </c>
      <c r="V3459" s="26">
        <v>0</v>
      </c>
      <c r="W3459" s="26"/>
    </row>
    <row r="3460" spans="1:23" x14ac:dyDescent="0.25">
      <c r="A3460" s="26" t="s">
        <v>3971</v>
      </c>
      <c r="B3460" s="26" t="s">
        <v>906</v>
      </c>
      <c r="C3460" s="26" t="s">
        <v>907</v>
      </c>
      <c r="D3460" s="26" t="s">
        <v>179</v>
      </c>
      <c r="E3460" s="26" t="s">
        <v>908</v>
      </c>
      <c r="F3460" s="26" t="s">
        <v>909</v>
      </c>
      <c r="G3460" s="26" t="s">
        <v>210</v>
      </c>
      <c r="H3460" s="26" t="s">
        <v>886</v>
      </c>
      <c r="I3460" s="26" t="s">
        <v>184</v>
      </c>
      <c r="J3460" s="26" t="s">
        <v>322</v>
      </c>
      <c r="K3460" s="26" t="s">
        <v>360</v>
      </c>
      <c r="L3460" s="26" t="s">
        <v>79</v>
      </c>
      <c r="M3460" s="26" t="s">
        <v>77</v>
      </c>
      <c r="N3460" s="26">
        <v>27</v>
      </c>
      <c r="O3460" s="26">
        <v>19</v>
      </c>
      <c r="P3460" s="26">
        <v>8</v>
      </c>
      <c r="Q3460" s="26">
        <v>2</v>
      </c>
      <c r="R3460" s="26">
        <v>0</v>
      </c>
      <c r="S3460" s="26">
        <v>4</v>
      </c>
      <c r="T3460" s="26">
        <v>0</v>
      </c>
      <c r="U3460" s="26">
        <v>4</v>
      </c>
      <c r="V3460" s="26">
        <v>0</v>
      </c>
      <c r="W3460" s="26"/>
    </row>
    <row r="3461" spans="1:23" x14ac:dyDescent="0.25">
      <c r="A3461" s="26" t="s">
        <v>3971</v>
      </c>
      <c r="B3461" s="26" t="s">
        <v>910</v>
      </c>
      <c r="C3461" s="26" t="s">
        <v>911</v>
      </c>
      <c r="D3461" s="26" t="s">
        <v>179</v>
      </c>
      <c r="E3461" s="26" t="s">
        <v>912</v>
      </c>
      <c r="F3461" s="26" t="s">
        <v>913</v>
      </c>
      <c r="G3461" s="26" t="s">
        <v>210</v>
      </c>
      <c r="H3461" s="26" t="s">
        <v>332</v>
      </c>
      <c r="I3461" s="26" t="s">
        <v>184</v>
      </c>
      <c r="J3461" s="26" t="s">
        <v>322</v>
      </c>
      <c r="K3461" s="26" t="s">
        <v>360</v>
      </c>
      <c r="L3461" s="26" t="s">
        <v>79</v>
      </c>
      <c r="M3461" s="26" t="s">
        <v>77</v>
      </c>
      <c r="N3461" s="26">
        <v>25</v>
      </c>
      <c r="O3461" s="26">
        <v>10</v>
      </c>
      <c r="P3461" s="26">
        <v>15</v>
      </c>
      <c r="Q3461" s="26">
        <v>2</v>
      </c>
      <c r="R3461" s="26">
        <v>0</v>
      </c>
      <c r="S3461" s="26">
        <v>2</v>
      </c>
      <c r="T3461" s="26">
        <v>0</v>
      </c>
      <c r="U3461" s="26">
        <v>2</v>
      </c>
      <c r="V3461" s="26">
        <v>0</v>
      </c>
      <c r="W3461" s="26"/>
    </row>
    <row r="3462" spans="1:23" x14ac:dyDescent="0.25">
      <c r="A3462" s="26" t="s">
        <v>3971</v>
      </c>
      <c r="B3462" s="26" t="s">
        <v>914</v>
      </c>
      <c r="C3462" s="26" t="s">
        <v>915</v>
      </c>
      <c r="D3462" s="26" t="s">
        <v>179</v>
      </c>
      <c r="E3462" s="26" t="s">
        <v>916</v>
      </c>
      <c r="F3462" s="26" t="s">
        <v>917</v>
      </c>
      <c r="G3462" s="26" t="s">
        <v>210</v>
      </c>
      <c r="H3462" s="26" t="s">
        <v>570</v>
      </c>
      <c r="I3462" s="26" t="s">
        <v>184</v>
      </c>
      <c r="J3462" s="26" t="s">
        <v>322</v>
      </c>
      <c r="K3462" s="26" t="s">
        <v>360</v>
      </c>
      <c r="L3462" s="26" t="s">
        <v>79</v>
      </c>
      <c r="M3462" s="26" t="s">
        <v>77</v>
      </c>
      <c r="N3462" s="26">
        <v>34</v>
      </c>
      <c r="O3462" s="26">
        <v>20</v>
      </c>
      <c r="P3462" s="26">
        <v>14</v>
      </c>
      <c r="Q3462" s="26">
        <v>2</v>
      </c>
      <c r="R3462" s="26">
        <v>0</v>
      </c>
      <c r="S3462" s="26">
        <v>2</v>
      </c>
      <c r="T3462" s="26">
        <v>0</v>
      </c>
      <c r="U3462" s="26">
        <v>2</v>
      </c>
      <c r="V3462" s="26">
        <v>0</v>
      </c>
      <c r="W3462" s="26"/>
    </row>
    <row r="3463" spans="1:23" x14ac:dyDescent="0.25">
      <c r="A3463" s="26" t="s">
        <v>3971</v>
      </c>
      <c r="B3463" s="26" t="s">
        <v>918</v>
      </c>
      <c r="C3463" s="26" t="s">
        <v>919</v>
      </c>
      <c r="D3463" s="26" t="s">
        <v>179</v>
      </c>
      <c r="E3463" s="26" t="s">
        <v>920</v>
      </c>
      <c r="F3463" s="26" t="s">
        <v>921</v>
      </c>
      <c r="G3463" s="26" t="s">
        <v>210</v>
      </c>
      <c r="H3463" s="26" t="s">
        <v>886</v>
      </c>
      <c r="I3463" s="26" t="s">
        <v>184</v>
      </c>
      <c r="J3463" s="26" t="s">
        <v>322</v>
      </c>
      <c r="K3463" s="26" t="s">
        <v>360</v>
      </c>
      <c r="L3463" s="26" t="s">
        <v>79</v>
      </c>
      <c r="M3463" s="26" t="s">
        <v>77</v>
      </c>
      <c r="N3463" s="26">
        <v>25</v>
      </c>
      <c r="O3463" s="26">
        <v>9</v>
      </c>
      <c r="P3463" s="26">
        <v>16</v>
      </c>
      <c r="Q3463" s="26">
        <v>2</v>
      </c>
      <c r="R3463" s="26">
        <v>0</v>
      </c>
      <c r="S3463" s="26">
        <v>3</v>
      </c>
      <c r="T3463" s="26">
        <v>0</v>
      </c>
      <c r="U3463" s="26">
        <v>3</v>
      </c>
      <c r="V3463" s="26">
        <v>0</v>
      </c>
      <c r="W3463" s="26"/>
    </row>
    <row r="3464" spans="1:23" x14ac:dyDescent="0.25">
      <c r="A3464" s="26" t="s">
        <v>3971</v>
      </c>
      <c r="B3464" s="26" t="s">
        <v>922</v>
      </c>
      <c r="C3464" s="26" t="s">
        <v>923</v>
      </c>
      <c r="D3464" s="26" t="s">
        <v>179</v>
      </c>
      <c r="E3464" s="26" t="s">
        <v>924</v>
      </c>
      <c r="F3464" s="26" t="s">
        <v>925</v>
      </c>
      <c r="G3464" s="26" t="s">
        <v>487</v>
      </c>
      <c r="H3464" s="26" t="s">
        <v>926</v>
      </c>
      <c r="I3464" s="26" t="s">
        <v>184</v>
      </c>
      <c r="J3464" s="26" t="s">
        <v>375</v>
      </c>
      <c r="K3464" s="26" t="s">
        <v>360</v>
      </c>
      <c r="L3464" s="26" t="s">
        <v>79</v>
      </c>
      <c r="M3464" s="26" t="s">
        <v>77</v>
      </c>
      <c r="N3464" s="26">
        <v>59</v>
      </c>
      <c r="O3464" s="26">
        <v>28</v>
      </c>
      <c r="P3464" s="26">
        <v>31</v>
      </c>
      <c r="Q3464" s="26">
        <v>3</v>
      </c>
      <c r="R3464" s="26">
        <v>0</v>
      </c>
      <c r="S3464" s="26">
        <v>6</v>
      </c>
      <c r="T3464" s="26">
        <v>0</v>
      </c>
      <c r="U3464" s="26">
        <v>6</v>
      </c>
      <c r="V3464" s="26">
        <v>0</v>
      </c>
      <c r="W3464" s="26"/>
    </row>
    <row r="3465" spans="1:23" x14ac:dyDescent="0.25">
      <c r="A3465" s="26" t="s">
        <v>3971</v>
      </c>
      <c r="B3465" s="26" t="s">
        <v>927</v>
      </c>
      <c r="C3465" s="26" t="s">
        <v>795</v>
      </c>
      <c r="D3465" s="26" t="s">
        <v>179</v>
      </c>
      <c r="E3465" s="26" t="s">
        <v>928</v>
      </c>
      <c r="F3465" s="26" t="s">
        <v>929</v>
      </c>
      <c r="G3465" s="26" t="s">
        <v>487</v>
      </c>
      <c r="H3465" s="26" t="s">
        <v>926</v>
      </c>
      <c r="I3465" s="26" t="s">
        <v>184</v>
      </c>
      <c r="J3465" s="26" t="s">
        <v>375</v>
      </c>
      <c r="K3465" s="26" t="s">
        <v>360</v>
      </c>
      <c r="L3465" s="26" t="s">
        <v>79</v>
      </c>
      <c r="M3465" s="26" t="s">
        <v>77</v>
      </c>
      <c r="N3465" s="26">
        <v>71</v>
      </c>
      <c r="O3465" s="26">
        <v>22</v>
      </c>
      <c r="P3465" s="26">
        <v>49</v>
      </c>
      <c r="Q3465" s="26">
        <v>3</v>
      </c>
      <c r="R3465" s="26">
        <v>0</v>
      </c>
      <c r="S3465" s="26">
        <v>3</v>
      </c>
      <c r="T3465" s="26">
        <v>0</v>
      </c>
      <c r="U3465" s="26">
        <v>3</v>
      </c>
      <c r="V3465" s="26">
        <v>0</v>
      </c>
      <c r="W3465" s="26"/>
    </row>
    <row r="3466" spans="1:23" x14ac:dyDescent="0.25">
      <c r="A3466" s="26" t="s">
        <v>3971</v>
      </c>
      <c r="B3466" s="26" t="s">
        <v>930</v>
      </c>
      <c r="C3466" s="26" t="s">
        <v>931</v>
      </c>
      <c r="D3466" s="26" t="s">
        <v>179</v>
      </c>
      <c r="E3466" s="26" t="s">
        <v>932</v>
      </c>
      <c r="F3466" s="26" t="s">
        <v>933</v>
      </c>
      <c r="G3466" s="26" t="s">
        <v>487</v>
      </c>
      <c r="H3466" s="26" t="s">
        <v>351</v>
      </c>
      <c r="I3466" s="26" t="s">
        <v>184</v>
      </c>
      <c r="J3466" s="26" t="s">
        <v>375</v>
      </c>
      <c r="K3466" s="26" t="s">
        <v>360</v>
      </c>
      <c r="L3466" s="26" t="s">
        <v>79</v>
      </c>
      <c r="M3466" s="26" t="s">
        <v>77</v>
      </c>
      <c r="N3466" s="26">
        <v>66</v>
      </c>
      <c r="O3466" s="26">
        <v>30</v>
      </c>
      <c r="P3466" s="26">
        <v>36</v>
      </c>
      <c r="Q3466" s="26">
        <v>3</v>
      </c>
      <c r="R3466" s="26">
        <v>0</v>
      </c>
      <c r="S3466" s="26">
        <v>3</v>
      </c>
      <c r="T3466" s="26">
        <v>0</v>
      </c>
      <c r="U3466" s="26">
        <v>3</v>
      </c>
      <c r="V3466" s="26">
        <v>0</v>
      </c>
      <c r="W3466" s="26"/>
    </row>
    <row r="3467" spans="1:23" x14ac:dyDescent="0.25">
      <c r="A3467" s="26" t="s">
        <v>3971</v>
      </c>
      <c r="B3467" s="26" t="s">
        <v>934</v>
      </c>
      <c r="C3467" s="26" t="s">
        <v>935</v>
      </c>
      <c r="D3467" s="26" t="s">
        <v>179</v>
      </c>
      <c r="E3467" s="26" t="s">
        <v>936</v>
      </c>
      <c r="F3467" s="26" t="s">
        <v>937</v>
      </c>
      <c r="G3467" s="26" t="s">
        <v>487</v>
      </c>
      <c r="H3467" s="26" t="s">
        <v>351</v>
      </c>
      <c r="I3467" s="26" t="s">
        <v>184</v>
      </c>
      <c r="J3467" s="26" t="s">
        <v>375</v>
      </c>
      <c r="K3467" s="26" t="s">
        <v>360</v>
      </c>
      <c r="L3467" s="26" t="s">
        <v>79</v>
      </c>
      <c r="M3467" s="26" t="s">
        <v>77</v>
      </c>
      <c r="N3467" s="26">
        <v>57</v>
      </c>
      <c r="O3467" s="26">
        <v>25</v>
      </c>
      <c r="P3467" s="26">
        <v>32</v>
      </c>
      <c r="Q3467" s="26">
        <v>3</v>
      </c>
      <c r="R3467" s="26">
        <v>0</v>
      </c>
      <c r="S3467" s="26">
        <v>4</v>
      </c>
      <c r="T3467" s="26">
        <v>0</v>
      </c>
      <c r="U3467" s="26">
        <v>4</v>
      </c>
      <c r="V3467" s="26">
        <v>0</v>
      </c>
      <c r="W3467" s="26"/>
    </row>
    <row r="3468" spans="1:23" x14ac:dyDescent="0.25">
      <c r="A3468" s="26" t="s">
        <v>3971</v>
      </c>
      <c r="B3468" s="26" t="s">
        <v>938</v>
      </c>
      <c r="C3468" s="26" t="s">
        <v>939</v>
      </c>
      <c r="D3468" s="26" t="s">
        <v>179</v>
      </c>
      <c r="E3468" s="26" t="s">
        <v>940</v>
      </c>
      <c r="F3468" s="26" t="s">
        <v>941</v>
      </c>
      <c r="G3468" s="26" t="s">
        <v>487</v>
      </c>
      <c r="H3468" s="26" t="s">
        <v>294</v>
      </c>
      <c r="I3468" s="26" t="s">
        <v>184</v>
      </c>
      <c r="J3468" s="26" t="s">
        <v>375</v>
      </c>
      <c r="K3468" s="26" t="s">
        <v>360</v>
      </c>
      <c r="L3468" s="26" t="s">
        <v>79</v>
      </c>
      <c r="M3468" s="26" t="s">
        <v>77</v>
      </c>
      <c r="N3468" s="26">
        <v>43</v>
      </c>
      <c r="O3468" s="26">
        <v>27</v>
      </c>
      <c r="P3468" s="26">
        <v>16</v>
      </c>
      <c r="Q3468" s="26">
        <v>3</v>
      </c>
      <c r="R3468" s="26">
        <v>0</v>
      </c>
      <c r="S3468" s="26">
        <v>3</v>
      </c>
      <c r="T3468" s="26">
        <v>0</v>
      </c>
      <c r="U3468" s="26">
        <v>3</v>
      </c>
      <c r="V3468" s="26">
        <v>0</v>
      </c>
      <c r="W3468" s="26"/>
    </row>
    <row r="3469" spans="1:23" x14ac:dyDescent="0.25">
      <c r="A3469" s="26" t="s">
        <v>3971</v>
      </c>
      <c r="B3469" s="26" t="s">
        <v>942</v>
      </c>
      <c r="C3469" s="26" t="s">
        <v>943</v>
      </c>
      <c r="D3469" s="26" t="s">
        <v>179</v>
      </c>
      <c r="E3469" s="26" t="s">
        <v>944</v>
      </c>
      <c r="F3469" s="26" t="s">
        <v>945</v>
      </c>
      <c r="G3469" s="26" t="s">
        <v>487</v>
      </c>
      <c r="H3469" s="26" t="s">
        <v>926</v>
      </c>
      <c r="I3469" s="26" t="s">
        <v>184</v>
      </c>
      <c r="J3469" s="26" t="s">
        <v>375</v>
      </c>
      <c r="K3469" s="26" t="s">
        <v>360</v>
      </c>
      <c r="L3469" s="26" t="s">
        <v>79</v>
      </c>
      <c r="M3469" s="26" t="s">
        <v>77</v>
      </c>
      <c r="N3469" s="26">
        <v>73</v>
      </c>
      <c r="O3469" s="26">
        <v>39</v>
      </c>
      <c r="P3469" s="26">
        <v>34</v>
      </c>
      <c r="Q3469" s="26">
        <v>3</v>
      </c>
      <c r="R3469" s="26">
        <v>0</v>
      </c>
      <c r="S3469" s="26">
        <v>3</v>
      </c>
      <c r="T3469" s="26">
        <v>0</v>
      </c>
      <c r="U3469" s="26">
        <v>3</v>
      </c>
      <c r="V3469" s="26">
        <v>0</v>
      </c>
      <c r="W3469" s="26"/>
    </row>
    <row r="3470" spans="1:23" x14ac:dyDescent="0.25">
      <c r="A3470" s="26" t="s">
        <v>3971</v>
      </c>
      <c r="B3470" s="26" t="s">
        <v>946</v>
      </c>
      <c r="C3470" s="26" t="s">
        <v>947</v>
      </c>
      <c r="D3470" s="26" t="s">
        <v>179</v>
      </c>
      <c r="E3470" s="26" t="s">
        <v>948</v>
      </c>
      <c r="F3470" s="26" t="s">
        <v>949</v>
      </c>
      <c r="G3470" s="26" t="s">
        <v>413</v>
      </c>
      <c r="H3470" s="26" t="s">
        <v>414</v>
      </c>
      <c r="I3470" s="26" t="s">
        <v>184</v>
      </c>
      <c r="J3470" s="26" t="s">
        <v>375</v>
      </c>
      <c r="K3470" s="26" t="s">
        <v>360</v>
      </c>
      <c r="L3470" s="26" t="s">
        <v>79</v>
      </c>
      <c r="M3470" s="26" t="s">
        <v>77</v>
      </c>
      <c r="N3470" s="26">
        <v>152</v>
      </c>
      <c r="O3470" s="26">
        <v>65</v>
      </c>
      <c r="P3470" s="26">
        <v>87</v>
      </c>
      <c r="Q3470" s="26">
        <v>8</v>
      </c>
      <c r="R3470" s="26">
        <v>0</v>
      </c>
      <c r="S3470" s="26">
        <v>12</v>
      </c>
      <c r="T3470" s="26">
        <v>0</v>
      </c>
      <c r="U3470" s="26">
        <v>12</v>
      </c>
      <c r="V3470" s="26">
        <v>0</v>
      </c>
      <c r="W3470" s="26"/>
    </row>
    <row r="3471" spans="1:23" x14ac:dyDescent="0.25">
      <c r="A3471" s="26" t="s">
        <v>3971</v>
      </c>
      <c r="B3471" s="26" t="s">
        <v>950</v>
      </c>
      <c r="C3471" s="26" t="s">
        <v>951</v>
      </c>
      <c r="D3471" s="26" t="s">
        <v>179</v>
      </c>
      <c r="E3471" s="26" t="s">
        <v>952</v>
      </c>
      <c r="F3471" s="26" t="s">
        <v>313</v>
      </c>
      <c r="G3471" s="26" t="s">
        <v>182</v>
      </c>
      <c r="H3471" s="26" t="s">
        <v>421</v>
      </c>
      <c r="I3471" s="26" t="s">
        <v>184</v>
      </c>
      <c r="J3471" s="26" t="s">
        <v>322</v>
      </c>
      <c r="K3471" s="26" t="s">
        <v>360</v>
      </c>
      <c r="L3471" s="26" t="s">
        <v>79</v>
      </c>
      <c r="M3471" s="26" t="s">
        <v>77</v>
      </c>
      <c r="N3471" s="26">
        <v>56</v>
      </c>
      <c r="O3471" s="26">
        <v>29</v>
      </c>
      <c r="P3471" s="26">
        <v>27</v>
      </c>
      <c r="Q3471" s="26">
        <v>3</v>
      </c>
      <c r="R3471" s="26">
        <v>0</v>
      </c>
      <c r="S3471" s="26">
        <v>3</v>
      </c>
      <c r="T3471" s="26">
        <v>0</v>
      </c>
      <c r="U3471" s="26">
        <v>3</v>
      </c>
      <c r="V3471" s="26">
        <v>0</v>
      </c>
      <c r="W3471" s="26"/>
    </row>
    <row r="3472" spans="1:23" x14ac:dyDescent="0.25">
      <c r="A3472" s="26" t="s">
        <v>3971</v>
      </c>
      <c r="B3472" s="26" t="s">
        <v>953</v>
      </c>
      <c r="C3472" s="26" t="s">
        <v>954</v>
      </c>
      <c r="D3472" s="26" t="s">
        <v>179</v>
      </c>
      <c r="E3472" s="26" t="s">
        <v>955</v>
      </c>
      <c r="F3472" s="26" t="s">
        <v>956</v>
      </c>
      <c r="G3472" s="26" t="s">
        <v>182</v>
      </c>
      <c r="H3472" s="26" t="s">
        <v>440</v>
      </c>
      <c r="I3472" s="26" t="s">
        <v>184</v>
      </c>
      <c r="J3472" s="26" t="s">
        <v>322</v>
      </c>
      <c r="K3472" s="26" t="s">
        <v>360</v>
      </c>
      <c r="L3472" s="26" t="s">
        <v>79</v>
      </c>
      <c r="M3472" s="26" t="s">
        <v>77</v>
      </c>
      <c r="N3472" s="26">
        <v>54</v>
      </c>
      <c r="O3472" s="26">
        <v>28</v>
      </c>
      <c r="P3472" s="26">
        <v>26</v>
      </c>
      <c r="Q3472" s="26">
        <v>3</v>
      </c>
      <c r="R3472" s="26">
        <v>0</v>
      </c>
      <c r="S3472" s="26">
        <v>4</v>
      </c>
      <c r="T3472" s="26">
        <v>0</v>
      </c>
      <c r="U3472" s="26">
        <v>4</v>
      </c>
      <c r="V3472" s="26">
        <v>0</v>
      </c>
      <c r="W3472" s="26"/>
    </row>
    <row r="3473" spans="1:23" x14ac:dyDescent="0.25">
      <c r="A3473" s="26" t="s">
        <v>3971</v>
      </c>
      <c r="B3473" s="26" t="s">
        <v>957</v>
      </c>
      <c r="C3473" s="26" t="s">
        <v>958</v>
      </c>
      <c r="D3473" s="26" t="s">
        <v>179</v>
      </c>
      <c r="E3473" s="26" t="s">
        <v>959</v>
      </c>
      <c r="F3473" s="26" t="s">
        <v>457</v>
      </c>
      <c r="G3473" s="26" t="s">
        <v>182</v>
      </c>
      <c r="H3473" s="26" t="s">
        <v>461</v>
      </c>
      <c r="I3473" s="26" t="s">
        <v>184</v>
      </c>
      <c r="J3473" s="26" t="s">
        <v>322</v>
      </c>
      <c r="K3473" s="26" t="s">
        <v>360</v>
      </c>
      <c r="L3473" s="26" t="s">
        <v>79</v>
      </c>
      <c r="M3473" s="26" t="s">
        <v>77</v>
      </c>
      <c r="N3473" s="26">
        <v>86</v>
      </c>
      <c r="O3473" s="26">
        <v>52</v>
      </c>
      <c r="P3473" s="26">
        <v>34</v>
      </c>
      <c r="Q3473" s="26">
        <v>4</v>
      </c>
      <c r="R3473" s="26">
        <v>0</v>
      </c>
      <c r="S3473" s="26">
        <v>6</v>
      </c>
      <c r="T3473" s="26">
        <v>0</v>
      </c>
      <c r="U3473" s="26">
        <v>6</v>
      </c>
      <c r="V3473" s="26">
        <v>0</v>
      </c>
      <c r="W3473" s="26"/>
    </row>
    <row r="3474" spans="1:23" x14ac:dyDescent="0.25">
      <c r="A3474" s="26" t="s">
        <v>3971</v>
      </c>
      <c r="B3474" s="26" t="s">
        <v>960</v>
      </c>
      <c r="C3474" s="26" t="s">
        <v>961</v>
      </c>
      <c r="D3474" s="26" t="s">
        <v>179</v>
      </c>
      <c r="E3474" s="26" t="s">
        <v>962</v>
      </c>
      <c r="F3474" s="26" t="s">
        <v>963</v>
      </c>
      <c r="G3474" s="26" t="s">
        <v>182</v>
      </c>
      <c r="H3474" s="26" t="s">
        <v>380</v>
      </c>
      <c r="I3474" s="26" t="s">
        <v>184</v>
      </c>
      <c r="J3474" s="26" t="s">
        <v>322</v>
      </c>
      <c r="K3474" s="26" t="s">
        <v>360</v>
      </c>
      <c r="L3474" s="26" t="s">
        <v>79</v>
      </c>
      <c r="M3474" s="26" t="s">
        <v>77</v>
      </c>
      <c r="N3474" s="26">
        <v>60</v>
      </c>
      <c r="O3474" s="26">
        <v>27</v>
      </c>
      <c r="P3474" s="26">
        <v>33</v>
      </c>
      <c r="Q3474" s="26">
        <v>3</v>
      </c>
      <c r="R3474" s="26">
        <v>0</v>
      </c>
      <c r="S3474" s="26">
        <v>4</v>
      </c>
      <c r="T3474" s="26">
        <v>0</v>
      </c>
      <c r="U3474" s="26">
        <v>4</v>
      </c>
      <c r="V3474" s="26">
        <v>0</v>
      </c>
      <c r="W3474" s="26"/>
    </row>
    <row r="3475" spans="1:23" x14ac:dyDescent="0.25">
      <c r="A3475" s="26" t="s">
        <v>3971</v>
      </c>
      <c r="B3475" s="26" t="s">
        <v>964</v>
      </c>
      <c r="C3475" s="26" t="s">
        <v>965</v>
      </c>
      <c r="D3475" s="26" t="s">
        <v>179</v>
      </c>
      <c r="E3475" s="26" t="s">
        <v>966</v>
      </c>
      <c r="F3475" s="26" t="s">
        <v>967</v>
      </c>
      <c r="G3475" s="26" t="s">
        <v>182</v>
      </c>
      <c r="H3475" s="26" t="s">
        <v>370</v>
      </c>
      <c r="I3475" s="26" t="s">
        <v>184</v>
      </c>
      <c r="J3475" s="26" t="s">
        <v>322</v>
      </c>
      <c r="K3475" s="26" t="s">
        <v>360</v>
      </c>
      <c r="L3475" s="26" t="s">
        <v>79</v>
      </c>
      <c r="M3475" s="26" t="s">
        <v>77</v>
      </c>
      <c r="N3475" s="26">
        <v>58</v>
      </c>
      <c r="O3475" s="26">
        <v>28</v>
      </c>
      <c r="P3475" s="26">
        <v>30</v>
      </c>
      <c r="Q3475" s="26">
        <v>3</v>
      </c>
      <c r="R3475" s="26">
        <v>0</v>
      </c>
      <c r="S3475" s="26">
        <v>5</v>
      </c>
      <c r="T3475" s="26">
        <v>0</v>
      </c>
      <c r="U3475" s="26">
        <v>5</v>
      </c>
      <c r="V3475" s="26">
        <v>0</v>
      </c>
      <c r="W3475" s="26"/>
    </row>
    <row r="3476" spans="1:23" x14ac:dyDescent="0.25">
      <c r="A3476" s="26" t="s">
        <v>3971</v>
      </c>
      <c r="B3476" s="26" t="s">
        <v>968</v>
      </c>
      <c r="C3476" s="26" t="s">
        <v>969</v>
      </c>
      <c r="D3476" s="26" t="s">
        <v>179</v>
      </c>
      <c r="E3476" s="26" t="s">
        <v>970</v>
      </c>
      <c r="F3476" s="26" t="s">
        <v>313</v>
      </c>
      <c r="G3476" s="26" t="s">
        <v>182</v>
      </c>
      <c r="H3476" s="26" t="s">
        <v>421</v>
      </c>
      <c r="I3476" s="26" t="s">
        <v>184</v>
      </c>
      <c r="J3476" s="26" t="s">
        <v>322</v>
      </c>
      <c r="K3476" s="26" t="s">
        <v>360</v>
      </c>
      <c r="L3476" s="26" t="s">
        <v>79</v>
      </c>
      <c r="M3476" s="26" t="s">
        <v>77</v>
      </c>
      <c r="N3476" s="26">
        <v>43</v>
      </c>
      <c r="O3476" s="26">
        <v>32</v>
      </c>
      <c r="P3476" s="26">
        <v>11</v>
      </c>
      <c r="Q3476" s="26">
        <v>3</v>
      </c>
      <c r="R3476" s="26">
        <v>0</v>
      </c>
      <c r="S3476" s="26">
        <v>3</v>
      </c>
      <c r="T3476" s="26">
        <v>0</v>
      </c>
      <c r="U3476" s="26">
        <v>3</v>
      </c>
      <c r="V3476" s="26">
        <v>0</v>
      </c>
      <c r="W3476" s="26"/>
    </row>
    <row r="3477" spans="1:23" x14ac:dyDescent="0.25">
      <c r="A3477" s="26" t="s">
        <v>3971</v>
      </c>
      <c r="B3477" s="26" t="s">
        <v>971</v>
      </c>
      <c r="C3477" s="26" t="s">
        <v>972</v>
      </c>
      <c r="D3477" s="26" t="s">
        <v>179</v>
      </c>
      <c r="E3477" s="26" t="s">
        <v>973</v>
      </c>
      <c r="F3477" s="26" t="s">
        <v>598</v>
      </c>
      <c r="G3477" s="26" t="s">
        <v>182</v>
      </c>
      <c r="H3477" s="26" t="s">
        <v>974</v>
      </c>
      <c r="I3477" s="26" t="s">
        <v>184</v>
      </c>
      <c r="J3477" s="26" t="s">
        <v>322</v>
      </c>
      <c r="K3477" s="26" t="s">
        <v>360</v>
      </c>
      <c r="L3477" s="26" t="s">
        <v>79</v>
      </c>
      <c r="M3477" s="26" t="s">
        <v>77</v>
      </c>
      <c r="N3477" s="26">
        <v>56</v>
      </c>
      <c r="O3477" s="26">
        <v>30</v>
      </c>
      <c r="P3477" s="26">
        <v>26</v>
      </c>
      <c r="Q3477" s="26">
        <v>3</v>
      </c>
      <c r="R3477" s="26">
        <v>0</v>
      </c>
      <c r="S3477" s="26">
        <v>3</v>
      </c>
      <c r="T3477" s="26">
        <v>0</v>
      </c>
      <c r="U3477" s="26">
        <v>3</v>
      </c>
      <c r="V3477" s="26">
        <v>0</v>
      </c>
      <c r="W3477" s="26"/>
    </row>
    <row r="3478" spans="1:23" x14ac:dyDescent="0.25">
      <c r="A3478" s="26" t="s">
        <v>3971</v>
      </c>
      <c r="B3478" s="26" t="s">
        <v>975</v>
      </c>
      <c r="C3478" s="26" t="s">
        <v>976</v>
      </c>
      <c r="D3478" s="26" t="s">
        <v>179</v>
      </c>
      <c r="E3478" s="26" t="s">
        <v>977</v>
      </c>
      <c r="F3478" s="26" t="s">
        <v>978</v>
      </c>
      <c r="G3478" s="26" t="s">
        <v>182</v>
      </c>
      <c r="H3478" s="26" t="s">
        <v>421</v>
      </c>
      <c r="I3478" s="26" t="s">
        <v>184</v>
      </c>
      <c r="J3478" s="26" t="s">
        <v>322</v>
      </c>
      <c r="K3478" s="26" t="s">
        <v>360</v>
      </c>
      <c r="L3478" s="26" t="s">
        <v>79</v>
      </c>
      <c r="M3478" s="26" t="s">
        <v>77</v>
      </c>
      <c r="N3478" s="26">
        <v>52</v>
      </c>
      <c r="O3478" s="26">
        <v>30</v>
      </c>
      <c r="P3478" s="26">
        <v>22</v>
      </c>
      <c r="Q3478" s="26">
        <v>3</v>
      </c>
      <c r="R3478" s="26">
        <v>0</v>
      </c>
      <c r="S3478" s="26">
        <v>3</v>
      </c>
      <c r="T3478" s="26">
        <v>0</v>
      </c>
      <c r="U3478" s="26">
        <v>3</v>
      </c>
      <c r="V3478" s="26">
        <v>0</v>
      </c>
      <c r="W3478" s="26"/>
    </row>
    <row r="3479" spans="1:23" x14ac:dyDescent="0.25">
      <c r="A3479" s="26" t="s">
        <v>3971</v>
      </c>
      <c r="B3479" s="26" t="s">
        <v>979</v>
      </c>
      <c r="C3479" s="26" t="s">
        <v>980</v>
      </c>
      <c r="D3479" s="26" t="s">
        <v>179</v>
      </c>
      <c r="E3479" s="26" t="s">
        <v>981</v>
      </c>
      <c r="F3479" s="26" t="s">
        <v>982</v>
      </c>
      <c r="G3479" s="26" t="s">
        <v>182</v>
      </c>
      <c r="H3479" s="26" t="s">
        <v>421</v>
      </c>
      <c r="I3479" s="26" t="s">
        <v>184</v>
      </c>
      <c r="J3479" s="26" t="s">
        <v>322</v>
      </c>
      <c r="K3479" s="26" t="s">
        <v>360</v>
      </c>
      <c r="L3479" s="26" t="s">
        <v>79</v>
      </c>
      <c r="M3479" s="26" t="s">
        <v>77</v>
      </c>
      <c r="N3479" s="26">
        <v>55</v>
      </c>
      <c r="O3479" s="26">
        <v>30</v>
      </c>
      <c r="P3479" s="26">
        <v>25</v>
      </c>
      <c r="Q3479" s="26">
        <v>3</v>
      </c>
      <c r="R3479" s="26">
        <v>0</v>
      </c>
      <c r="S3479" s="26">
        <v>4</v>
      </c>
      <c r="T3479" s="26">
        <v>0</v>
      </c>
      <c r="U3479" s="26">
        <v>4</v>
      </c>
      <c r="V3479" s="26">
        <v>0</v>
      </c>
      <c r="W3479" s="26"/>
    </row>
    <row r="3480" spans="1:23" x14ac:dyDescent="0.25">
      <c r="A3480" s="26" t="s">
        <v>3971</v>
      </c>
      <c r="B3480" s="26" t="s">
        <v>983</v>
      </c>
      <c r="C3480" s="26" t="s">
        <v>984</v>
      </c>
      <c r="D3480" s="26" t="s">
        <v>179</v>
      </c>
      <c r="E3480" s="26" t="s">
        <v>985</v>
      </c>
      <c r="F3480" s="26" t="s">
        <v>598</v>
      </c>
      <c r="G3480" s="26" t="s">
        <v>182</v>
      </c>
      <c r="H3480" s="26" t="s">
        <v>390</v>
      </c>
      <c r="I3480" s="26" t="s">
        <v>184</v>
      </c>
      <c r="J3480" s="26" t="s">
        <v>322</v>
      </c>
      <c r="K3480" s="26" t="s">
        <v>360</v>
      </c>
      <c r="L3480" s="26" t="s">
        <v>79</v>
      </c>
      <c r="M3480" s="26" t="s">
        <v>77</v>
      </c>
      <c r="N3480" s="26">
        <v>48</v>
      </c>
      <c r="O3480" s="26">
        <v>27</v>
      </c>
      <c r="P3480" s="26">
        <v>21</v>
      </c>
      <c r="Q3480" s="26">
        <v>3</v>
      </c>
      <c r="R3480" s="26">
        <v>0</v>
      </c>
      <c r="S3480" s="26">
        <v>3</v>
      </c>
      <c r="T3480" s="26">
        <v>0</v>
      </c>
      <c r="U3480" s="26">
        <v>3</v>
      </c>
      <c r="V3480" s="26">
        <v>0</v>
      </c>
      <c r="W3480" s="26"/>
    </row>
    <row r="3481" spans="1:23" x14ac:dyDescent="0.25">
      <c r="A3481" s="26" t="s">
        <v>3971</v>
      </c>
      <c r="B3481" s="26" t="s">
        <v>986</v>
      </c>
      <c r="C3481" s="26" t="s">
        <v>987</v>
      </c>
      <c r="D3481" s="26" t="s">
        <v>179</v>
      </c>
      <c r="E3481" s="26" t="s">
        <v>988</v>
      </c>
      <c r="F3481" s="26" t="s">
        <v>989</v>
      </c>
      <c r="G3481" s="26" t="s">
        <v>182</v>
      </c>
      <c r="H3481" s="26" t="s">
        <v>461</v>
      </c>
      <c r="I3481" s="26" t="s">
        <v>184</v>
      </c>
      <c r="J3481" s="26" t="s">
        <v>322</v>
      </c>
      <c r="K3481" s="26" t="s">
        <v>360</v>
      </c>
      <c r="L3481" s="26" t="s">
        <v>79</v>
      </c>
      <c r="M3481" s="26" t="s">
        <v>77</v>
      </c>
      <c r="N3481" s="26">
        <v>37</v>
      </c>
      <c r="O3481" s="26">
        <v>23</v>
      </c>
      <c r="P3481" s="26">
        <v>14</v>
      </c>
      <c r="Q3481" s="26">
        <v>3</v>
      </c>
      <c r="R3481" s="26">
        <v>0</v>
      </c>
      <c r="S3481" s="26">
        <v>3</v>
      </c>
      <c r="T3481" s="26">
        <v>0</v>
      </c>
      <c r="U3481" s="26">
        <v>3</v>
      </c>
      <c r="V3481" s="26">
        <v>0</v>
      </c>
      <c r="W3481" s="26"/>
    </row>
    <row r="3482" spans="1:23" x14ac:dyDescent="0.25">
      <c r="A3482" s="26" t="s">
        <v>3971</v>
      </c>
      <c r="B3482" s="26" t="s">
        <v>990</v>
      </c>
      <c r="C3482" s="26" t="s">
        <v>991</v>
      </c>
      <c r="D3482" s="26" t="s">
        <v>179</v>
      </c>
      <c r="E3482" s="26" t="s">
        <v>992</v>
      </c>
      <c r="F3482" s="26" t="s">
        <v>598</v>
      </c>
      <c r="G3482" s="26" t="s">
        <v>182</v>
      </c>
      <c r="H3482" s="26" t="s">
        <v>974</v>
      </c>
      <c r="I3482" s="26" t="s">
        <v>184</v>
      </c>
      <c r="J3482" s="26" t="s">
        <v>322</v>
      </c>
      <c r="K3482" s="26" t="s">
        <v>360</v>
      </c>
      <c r="L3482" s="26" t="s">
        <v>79</v>
      </c>
      <c r="M3482" s="26" t="s">
        <v>77</v>
      </c>
      <c r="N3482" s="26">
        <v>70</v>
      </c>
      <c r="O3482" s="26">
        <v>33</v>
      </c>
      <c r="P3482" s="26">
        <v>37</v>
      </c>
      <c r="Q3482" s="26">
        <v>3</v>
      </c>
      <c r="R3482" s="26">
        <v>0</v>
      </c>
      <c r="S3482" s="26">
        <v>6</v>
      </c>
      <c r="T3482" s="26">
        <v>0</v>
      </c>
      <c r="U3482" s="26">
        <v>6</v>
      </c>
      <c r="V3482" s="26">
        <v>0</v>
      </c>
      <c r="W3482" s="26"/>
    </row>
    <row r="3483" spans="1:23" x14ac:dyDescent="0.25">
      <c r="A3483" s="26" t="s">
        <v>3971</v>
      </c>
      <c r="B3483" s="26" t="s">
        <v>993</v>
      </c>
      <c r="C3483" s="26" t="s">
        <v>994</v>
      </c>
      <c r="D3483" s="26" t="s">
        <v>179</v>
      </c>
      <c r="E3483" s="26" t="s">
        <v>995</v>
      </c>
      <c r="F3483" s="26" t="s">
        <v>457</v>
      </c>
      <c r="G3483" s="26" t="s">
        <v>182</v>
      </c>
      <c r="H3483" s="26" t="s">
        <v>461</v>
      </c>
      <c r="I3483" s="26" t="s">
        <v>184</v>
      </c>
      <c r="J3483" s="26" t="s">
        <v>322</v>
      </c>
      <c r="K3483" s="26" t="s">
        <v>360</v>
      </c>
      <c r="L3483" s="26" t="s">
        <v>79</v>
      </c>
      <c r="M3483" s="26" t="s">
        <v>77</v>
      </c>
      <c r="N3483" s="26">
        <v>35</v>
      </c>
      <c r="O3483" s="26">
        <v>20</v>
      </c>
      <c r="P3483" s="26">
        <v>15</v>
      </c>
      <c r="Q3483" s="26">
        <v>3</v>
      </c>
      <c r="R3483" s="26">
        <v>0</v>
      </c>
      <c r="S3483" s="26">
        <v>3</v>
      </c>
      <c r="T3483" s="26">
        <v>0</v>
      </c>
      <c r="U3483" s="26">
        <v>3</v>
      </c>
      <c r="V3483" s="26">
        <v>0</v>
      </c>
      <c r="W3483" s="26"/>
    </row>
    <row r="3484" spans="1:23" x14ac:dyDescent="0.25">
      <c r="A3484" s="26" t="s">
        <v>3971</v>
      </c>
      <c r="B3484" s="26" t="s">
        <v>996</v>
      </c>
      <c r="C3484" s="26" t="s">
        <v>997</v>
      </c>
      <c r="D3484" s="26" t="s">
        <v>179</v>
      </c>
      <c r="E3484" s="26" t="s">
        <v>998</v>
      </c>
      <c r="F3484" s="26" t="s">
        <v>963</v>
      </c>
      <c r="G3484" s="26" t="s">
        <v>182</v>
      </c>
      <c r="H3484" s="26" t="s">
        <v>440</v>
      </c>
      <c r="I3484" s="26" t="s">
        <v>184</v>
      </c>
      <c r="J3484" s="26" t="s">
        <v>322</v>
      </c>
      <c r="K3484" s="26" t="s">
        <v>360</v>
      </c>
      <c r="L3484" s="26" t="s">
        <v>79</v>
      </c>
      <c r="M3484" s="26" t="s">
        <v>77</v>
      </c>
      <c r="N3484" s="26">
        <v>47</v>
      </c>
      <c r="O3484" s="26">
        <v>23</v>
      </c>
      <c r="P3484" s="26">
        <v>24</v>
      </c>
      <c r="Q3484" s="26">
        <v>3</v>
      </c>
      <c r="R3484" s="26">
        <v>0</v>
      </c>
      <c r="S3484" s="26">
        <v>4</v>
      </c>
      <c r="T3484" s="26">
        <v>0</v>
      </c>
      <c r="U3484" s="26">
        <v>4</v>
      </c>
      <c r="V3484" s="26">
        <v>0</v>
      </c>
      <c r="W3484" s="26"/>
    </row>
    <row r="3485" spans="1:23" x14ac:dyDescent="0.25">
      <c r="A3485" s="26" t="s">
        <v>3971</v>
      </c>
      <c r="B3485" s="26" t="s">
        <v>999</v>
      </c>
      <c r="C3485" s="26" t="s">
        <v>1000</v>
      </c>
      <c r="D3485" s="26" t="s">
        <v>179</v>
      </c>
      <c r="E3485" s="26" t="s">
        <v>1001</v>
      </c>
      <c r="F3485" s="26" t="s">
        <v>598</v>
      </c>
      <c r="G3485" s="26" t="s">
        <v>182</v>
      </c>
      <c r="H3485" s="26" t="s">
        <v>974</v>
      </c>
      <c r="I3485" s="26" t="s">
        <v>184</v>
      </c>
      <c r="J3485" s="26" t="s">
        <v>322</v>
      </c>
      <c r="K3485" s="26" t="s">
        <v>360</v>
      </c>
      <c r="L3485" s="26" t="s">
        <v>79</v>
      </c>
      <c r="M3485" s="26" t="s">
        <v>77</v>
      </c>
      <c r="N3485" s="26">
        <v>65</v>
      </c>
      <c r="O3485" s="26">
        <v>29</v>
      </c>
      <c r="P3485" s="26">
        <v>36</v>
      </c>
      <c r="Q3485" s="26">
        <v>3</v>
      </c>
      <c r="R3485" s="26">
        <v>0</v>
      </c>
      <c r="S3485" s="26">
        <v>6</v>
      </c>
      <c r="T3485" s="26">
        <v>0</v>
      </c>
      <c r="U3485" s="26">
        <v>6</v>
      </c>
      <c r="V3485" s="26">
        <v>0</v>
      </c>
      <c r="W3485" s="26"/>
    </row>
    <row r="3486" spans="1:23" x14ac:dyDescent="0.25">
      <c r="A3486" s="26" t="s">
        <v>3971</v>
      </c>
      <c r="B3486" s="26" t="s">
        <v>1002</v>
      </c>
      <c r="C3486" s="26" t="s">
        <v>1003</v>
      </c>
      <c r="D3486" s="26" t="s">
        <v>179</v>
      </c>
      <c r="E3486" s="26" t="s">
        <v>1004</v>
      </c>
      <c r="F3486" s="26" t="s">
        <v>273</v>
      </c>
      <c r="G3486" s="26" t="s">
        <v>182</v>
      </c>
      <c r="H3486" s="26" t="s">
        <v>563</v>
      </c>
      <c r="I3486" s="26" t="s">
        <v>184</v>
      </c>
      <c r="J3486" s="26" t="s">
        <v>322</v>
      </c>
      <c r="K3486" s="26" t="s">
        <v>360</v>
      </c>
      <c r="L3486" s="26" t="s">
        <v>79</v>
      </c>
      <c r="M3486" s="26" t="s">
        <v>77</v>
      </c>
      <c r="N3486" s="26">
        <v>137</v>
      </c>
      <c r="O3486" s="26">
        <v>70</v>
      </c>
      <c r="P3486" s="26">
        <v>67</v>
      </c>
      <c r="Q3486" s="26">
        <v>6</v>
      </c>
      <c r="R3486" s="26">
        <v>0</v>
      </c>
      <c r="S3486" s="26">
        <v>12</v>
      </c>
      <c r="T3486" s="26">
        <v>0</v>
      </c>
      <c r="U3486" s="26">
        <v>12</v>
      </c>
      <c r="V3486" s="26">
        <v>0</v>
      </c>
      <c r="W3486" s="26"/>
    </row>
    <row r="3487" spans="1:23" x14ac:dyDescent="0.25">
      <c r="A3487" s="26" t="s">
        <v>3971</v>
      </c>
      <c r="B3487" s="26" t="s">
        <v>1005</v>
      </c>
      <c r="C3487" s="26" t="s">
        <v>1006</v>
      </c>
      <c r="D3487" s="26" t="s">
        <v>179</v>
      </c>
      <c r="E3487" s="26" t="s">
        <v>1007</v>
      </c>
      <c r="F3487" s="26" t="s">
        <v>598</v>
      </c>
      <c r="G3487" s="26" t="s">
        <v>182</v>
      </c>
      <c r="H3487" s="26" t="s">
        <v>380</v>
      </c>
      <c r="I3487" s="26" t="s">
        <v>184</v>
      </c>
      <c r="J3487" s="26" t="s">
        <v>322</v>
      </c>
      <c r="K3487" s="26" t="s">
        <v>360</v>
      </c>
      <c r="L3487" s="26" t="s">
        <v>79</v>
      </c>
      <c r="M3487" s="26" t="s">
        <v>77</v>
      </c>
      <c r="N3487" s="26">
        <v>75</v>
      </c>
      <c r="O3487" s="26">
        <v>32</v>
      </c>
      <c r="P3487" s="26">
        <v>43</v>
      </c>
      <c r="Q3487" s="26">
        <v>3</v>
      </c>
      <c r="R3487" s="26">
        <v>0</v>
      </c>
      <c r="S3487" s="26">
        <v>6</v>
      </c>
      <c r="T3487" s="26">
        <v>0</v>
      </c>
      <c r="U3487" s="26">
        <v>6</v>
      </c>
      <c r="V3487" s="26">
        <v>0</v>
      </c>
      <c r="W3487" s="26"/>
    </row>
    <row r="3488" spans="1:23" x14ac:dyDescent="0.25">
      <c r="A3488" s="26" t="s">
        <v>3971</v>
      </c>
      <c r="B3488" s="26" t="s">
        <v>1008</v>
      </c>
      <c r="C3488" s="26" t="s">
        <v>1009</v>
      </c>
      <c r="D3488" s="26" t="s">
        <v>179</v>
      </c>
      <c r="E3488" s="26" t="s">
        <v>1010</v>
      </c>
      <c r="F3488" s="26" t="s">
        <v>379</v>
      </c>
      <c r="G3488" s="26" t="s">
        <v>182</v>
      </c>
      <c r="H3488" s="26" t="s">
        <v>563</v>
      </c>
      <c r="I3488" s="26" t="s">
        <v>184</v>
      </c>
      <c r="J3488" s="26" t="s">
        <v>322</v>
      </c>
      <c r="K3488" s="26" t="s">
        <v>360</v>
      </c>
      <c r="L3488" s="26" t="s">
        <v>79</v>
      </c>
      <c r="M3488" s="26" t="s">
        <v>77</v>
      </c>
      <c r="N3488" s="26">
        <v>66</v>
      </c>
      <c r="O3488" s="26">
        <v>38</v>
      </c>
      <c r="P3488" s="26">
        <v>28</v>
      </c>
      <c r="Q3488" s="26">
        <v>3</v>
      </c>
      <c r="R3488" s="26">
        <v>0</v>
      </c>
      <c r="S3488" s="26">
        <v>6</v>
      </c>
      <c r="T3488" s="26">
        <v>0</v>
      </c>
      <c r="U3488" s="26">
        <v>6</v>
      </c>
      <c r="V3488" s="26">
        <v>0</v>
      </c>
      <c r="W3488" s="26"/>
    </row>
    <row r="3489" spans="1:23" x14ac:dyDescent="0.25">
      <c r="A3489" s="26" t="s">
        <v>3971</v>
      </c>
      <c r="B3489" s="26" t="s">
        <v>1011</v>
      </c>
      <c r="C3489" s="26" t="s">
        <v>1012</v>
      </c>
      <c r="D3489" s="26" t="s">
        <v>179</v>
      </c>
      <c r="E3489" s="26" t="s">
        <v>1013</v>
      </c>
      <c r="F3489" s="26" t="s">
        <v>1014</v>
      </c>
      <c r="G3489" s="26" t="s">
        <v>204</v>
      </c>
      <c r="H3489" s="26" t="s">
        <v>643</v>
      </c>
      <c r="I3489" s="26" t="s">
        <v>184</v>
      </c>
      <c r="J3489" s="26" t="s">
        <v>322</v>
      </c>
      <c r="K3489" s="26" t="s">
        <v>360</v>
      </c>
      <c r="L3489" s="26" t="s">
        <v>79</v>
      </c>
      <c r="M3489" s="26" t="s">
        <v>77</v>
      </c>
      <c r="N3489" s="26">
        <v>51</v>
      </c>
      <c r="O3489" s="26">
        <v>27</v>
      </c>
      <c r="P3489" s="26">
        <v>24</v>
      </c>
      <c r="Q3489" s="26">
        <v>3</v>
      </c>
      <c r="R3489" s="26">
        <v>0</v>
      </c>
      <c r="S3489" s="26">
        <v>3</v>
      </c>
      <c r="T3489" s="26">
        <v>0</v>
      </c>
      <c r="U3489" s="26">
        <v>3</v>
      </c>
      <c r="V3489" s="26">
        <v>0</v>
      </c>
      <c r="W3489" s="26"/>
    </row>
    <row r="3490" spans="1:23" x14ac:dyDescent="0.25">
      <c r="A3490" s="26" t="s">
        <v>3971</v>
      </c>
      <c r="B3490" s="26" t="s">
        <v>1015</v>
      </c>
      <c r="C3490" s="26" t="s">
        <v>648</v>
      </c>
      <c r="D3490" s="26" t="s">
        <v>179</v>
      </c>
      <c r="E3490" s="26" t="s">
        <v>1016</v>
      </c>
      <c r="F3490" s="26" t="s">
        <v>1017</v>
      </c>
      <c r="G3490" s="26" t="s">
        <v>204</v>
      </c>
      <c r="H3490" s="26" t="s">
        <v>643</v>
      </c>
      <c r="I3490" s="26" t="s">
        <v>184</v>
      </c>
      <c r="J3490" s="26" t="s">
        <v>322</v>
      </c>
      <c r="K3490" s="26" t="s">
        <v>360</v>
      </c>
      <c r="L3490" s="26" t="s">
        <v>79</v>
      </c>
      <c r="M3490" s="26" t="s">
        <v>77</v>
      </c>
      <c r="N3490" s="26">
        <v>35</v>
      </c>
      <c r="O3490" s="26">
        <v>18</v>
      </c>
      <c r="P3490" s="26">
        <v>17</v>
      </c>
      <c r="Q3490" s="26">
        <v>3</v>
      </c>
      <c r="R3490" s="26">
        <v>0</v>
      </c>
      <c r="S3490" s="26">
        <v>2</v>
      </c>
      <c r="T3490" s="26">
        <v>0</v>
      </c>
      <c r="U3490" s="26">
        <v>2</v>
      </c>
      <c r="V3490" s="26">
        <v>0</v>
      </c>
      <c r="W3490" s="26"/>
    </row>
    <row r="3491" spans="1:23" x14ac:dyDescent="0.25">
      <c r="A3491" s="26" t="s">
        <v>3971</v>
      </c>
      <c r="B3491" s="26" t="s">
        <v>1018</v>
      </c>
      <c r="C3491" s="26" t="s">
        <v>1019</v>
      </c>
      <c r="D3491" s="26" t="s">
        <v>179</v>
      </c>
      <c r="E3491" s="26" t="s">
        <v>1020</v>
      </c>
      <c r="F3491" s="26" t="s">
        <v>1021</v>
      </c>
      <c r="G3491" s="26" t="s">
        <v>204</v>
      </c>
      <c r="H3491" s="26" t="s">
        <v>643</v>
      </c>
      <c r="I3491" s="26" t="s">
        <v>184</v>
      </c>
      <c r="J3491" s="26" t="s">
        <v>322</v>
      </c>
      <c r="K3491" s="26" t="s">
        <v>360</v>
      </c>
      <c r="L3491" s="26" t="s">
        <v>79</v>
      </c>
      <c r="M3491" s="26" t="s">
        <v>77</v>
      </c>
      <c r="N3491" s="26">
        <v>32</v>
      </c>
      <c r="O3491" s="26">
        <v>16</v>
      </c>
      <c r="P3491" s="26">
        <v>16</v>
      </c>
      <c r="Q3491" s="26">
        <v>3</v>
      </c>
      <c r="R3491" s="26">
        <v>0</v>
      </c>
      <c r="S3491" s="26">
        <v>3</v>
      </c>
      <c r="T3491" s="26">
        <v>0</v>
      </c>
      <c r="U3491" s="26">
        <v>3</v>
      </c>
      <c r="V3491" s="26">
        <v>0</v>
      </c>
      <c r="W3491" s="26"/>
    </row>
    <row r="3492" spans="1:23" x14ac:dyDescent="0.25">
      <c r="A3492" s="26" t="s">
        <v>3971</v>
      </c>
      <c r="B3492" s="26" t="s">
        <v>1022</v>
      </c>
      <c r="C3492" s="26" t="s">
        <v>1023</v>
      </c>
      <c r="D3492" s="26" t="s">
        <v>179</v>
      </c>
      <c r="E3492" s="26" t="s">
        <v>1024</v>
      </c>
      <c r="F3492" s="26" t="s">
        <v>1025</v>
      </c>
      <c r="G3492" s="26" t="s">
        <v>204</v>
      </c>
      <c r="H3492" s="26" t="s">
        <v>1026</v>
      </c>
      <c r="I3492" s="26" t="s">
        <v>184</v>
      </c>
      <c r="J3492" s="26" t="s">
        <v>322</v>
      </c>
      <c r="K3492" s="26" t="s">
        <v>360</v>
      </c>
      <c r="L3492" s="26" t="s">
        <v>79</v>
      </c>
      <c r="M3492" s="26" t="s">
        <v>77</v>
      </c>
      <c r="N3492" s="26">
        <v>15</v>
      </c>
      <c r="O3492" s="26">
        <v>10</v>
      </c>
      <c r="P3492" s="26">
        <v>5</v>
      </c>
      <c r="Q3492" s="26">
        <v>2</v>
      </c>
      <c r="R3492" s="26">
        <v>0</v>
      </c>
      <c r="S3492" s="26">
        <v>2</v>
      </c>
      <c r="T3492" s="26">
        <v>0</v>
      </c>
      <c r="U3492" s="26">
        <v>2</v>
      </c>
      <c r="V3492" s="26">
        <v>0</v>
      </c>
      <c r="W3492" s="26"/>
    </row>
    <row r="3493" spans="1:23" x14ac:dyDescent="0.25">
      <c r="A3493" s="26" t="s">
        <v>3971</v>
      </c>
      <c r="B3493" s="26" t="s">
        <v>1027</v>
      </c>
      <c r="C3493" s="26" t="s">
        <v>1028</v>
      </c>
      <c r="D3493" s="26" t="s">
        <v>179</v>
      </c>
      <c r="E3493" s="26" t="s">
        <v>1029</v>
      </c>
      <c r="F3493" s="26" t="s">
        <v>1030</v>
      </c>
      <c r="G3493" s="26" t="s">
        <v>204</v>
      </c>
      <c r="H3493" s="26" t="s">
        <v>1026</v>
      </c>
      <c r="I3493" s="26" t="s">
        <v>184</v>
      </c>
      <c r="J3493" s="26" t="s">
        <v>322</v>
      </c>
      <c r="K3493" s="26" t="s">
        <v>360</v>
      </c>
      <c r="L3493" s="26" t="s">
        <v>79</v>
      </c>
      <c r="M3493" s="26" t="s">
        <v>77</v>
      </c>
      <c r="N3493" s="26">
        <v>38</v>
      </c>
      <c r="O3493" s="26">
        <v>16</v>
      </c>
      <c r="P3493" s="26">
        <v>22</v>
      </c>
      <c r="Q3493" s="26">
        <v>3</v>
      </c>
      <c r="R3493" s="26">
        <v>0</v>
      </c>
      <c r="S3493" s="26">
        <v>4</v>
      </c>
      <c r="T3493" s="26">
        <v>0</v>
      </c>
      <c r="U3493" s="26">
        <v>4</v>
      </c>
      <c r="V3493" s="26">
        <v>0</v>
      </c>
      <c r="W3493" s="26"/>
    </row>
    <row r="3494" spans="1:23" x14ac:dyDescent="0.25">
      <c r="A3494" s="26" t="s">
        <v>3971</v>
      </c>
      <c r="B3494" s="26" t="s">
        <v>1031</v>
      </c>
      <c r="C3494" s="26" t="s">
        <v>1032</v>
      </c>
      <c r="D3494" s="26" t="s">
        <v>179</v>
      </c>
      <c r="E3494" s="26" t="s">
        <v>1033</v>
      </c>
      <c r="F3494" s="26" t="s">
        <v>1034</v>
      </c>
      <c r="G3494" s="26" t="s">
        <v>204</v>
      </c>
      <c r="H3494" s="26" t="s">
        <v>643</v>
      </c>
      <c r="I3494" s="26" t="s">
        <v>184</v>
      </c>
      <c r="J3494" s="26" t="s">
        <v>322</v>
      </c>
      <c r="K3494" s="26" t="s">
        <v>360</v>
      </c>
      <c r="L3494" s="26" t="s">
        <v>79</v>
      </c>
      <c r="M3494" s="26" t="s">
        <v>77</v>
      </c>
      <c r="N3494" s="26">
        <v>40</v>
      </c>
      <c r="O3494" s="26">
        <v>19</v>
      </c>
      <c r="P3494" s="26">
        <v>21</v>
      </c>
      <c r="Q3494" s="26">
        <v>3</v>
      </c>
      <c r="R3494" s="26">
        <v>0</v>
      </c>
      <c r="S3494" s="26">
        <v>3</v>
      </c>
      <c r="T3494" s="26">
        <v>0</v>
      </c>
      <c r="U3494" s="26">
        <v>3</v>
      </c>
      <c r="V3494" s="26">
        <v>0</v>
      </c>
      <c r="W3494" s="26"/>
    </row>
    <row r="3495" spans="1:23" x14ac:dyDescent="0.25">
      <c r="A3495" s="26" t="s">
        <v>3971</v>
      </c>
      <c r="B3495" s="26" t="s">
        <v>1035</v>
      </c>
      <c r="C3495" s="26" t="s">
        <v>1036</v>
      </c>
      <c r="D3495" s="26" t="s">
        <v>179</v>
      </c>
      <c r="E3495" s="26" t="s">
        <v>1037</v>
      </c>
      <c r="F3495" s="26" t="s">
        <v>1038</v>
      </c>
      <c r="G3495" s="26" t="s">
        <v>204</v>
      </c>
      <c r="H3495" s="26" t="s">
        <v>1026</v>
      </c>
      <c r="I3495" s="26" t="s">
        <v>184</v>
      </c>
      <c r="J3495" s="26" t="s">
        <v>322</v>
      </c>
      <c r="K3495" s="26" t="s">
        <v>360</v>
      </c>
      <c r="L3495" s="26" t="s">
        <v>79</v>
      </c>
      <c r="M3495" s="26" t="s">
        <v>77</v>
      </c>
      <c r="N3495" s="26">
        <v>32</v>
      </c>
      <c r="O3495" s="26">
        <v>16</v>
      </c>
      <c r="P3495" s="26">
        <v>16</v>
      </c>
      <c r="Q3495" s="26">
        <v>3</v>
      </c>
      <c r="R3495" s="26">
        <v>0</v>
      </c>
      <c r="S3495" s="26">
        <v>4</v>
      </c>
      <c r="T3495" s="26">
        <v>0</v>
      </c>
      <c r="U3495" s="26">
        <v>4</v>
      </c>
      <c r="V3495" s="26">
        <v>0</v>
      </c>
      <c r="W3495" s="26"/>
    </row>
    <row r="3496" spans="1:23" x14ac:dyDescent="0.25">
      <c r="A3496" s="26" t="s">
        <v>3971</v>
      </c>
      <c r="B3496" s="26" t="s">
        <v>1039</v>
      </c>
      <c r="C3496" s="26" t="s">
        <v>1040</v>
      </c>
      <c r="D3496" s="26" t="s">
        <v>179</v>
      </c>
      <c r="E3496" s="26" t="s">
        <v>1041</v>
      </c>
      <c r="F3496" s="26" t="s">
        <v>1042</v>
      </c>
      <c r="G3496" s="26" t="s">
        <v>204</v>
      </c>
      <c r="H3496" s="26" t="s">
        <v>1026</v>
      </c>
      <c r="I3496" s="26" t="s">
        <v>184</v>
      </c>
      <c r="J3496" s="26" t="s">
        <v>322</v>
      </c>
      <c r="K3496" s="26" t="s">
        <v>360</v>
      </c>
      <c r="L3496" s="26" t="s">
        <v>79</v>
      </c>
      <c r="M3496" s="26" t="s">
        <v>77</v>
      </c>
      <c r="N3496" s="26">
        <v>28</v>
      </c>
      <c r="O3496" s="26">
        <v>12</v>
      </c>
      <c r="P3496" s="26">
        <v>16</v>
      </c>
      <c r="Q3496" s="26">
        <v>3</v>
      </c>
      <c r="R3496" s="26">
        <v>0</v>
      </c>
      <c r="S3496" s="26">
        <v>3</v>
      </c>
      <c r="T3496" s="26">
        <v>0</v>
      </c>
      <c r="U3496" s="26">
        <v>3</v>
      </c>
      <c r="V3496" s="26">
        <v>0</v>
      </c>
      <c r="W3496" s="26"/>
    </row>
    <row r="3497" spans="1:23" x14ac:dyDescent="0.25">
      <c r="A3497" s="26" t="s">
        <v>3971</v>
      </c>
      <c r="B3497" s="26" t="s">
        <v>1043</v>
      </c>
      <c r="C3497" s="26" t="s">
        <v>1044</v>
      </c>
      <c r="D3497" s="26" t="s">
        <v>179</v>
      </c>
      <c r="E3497" s="26" t="s">
        <v>1045</v>
      </c>
      <c r="F3497" s="26" t="s">
        <v>231</v>
      </c>
      <c r="G3497" s="26" t="s">
        <v>198</v>
      </c>
      <c r="H3497" s="26" t="s">
        <v>395</v>
      </c>
      <c r="I3497" s="26" t="s">
        <v>184</v>
      </c>
      <c r="J3497" s="26" t="s">
        <v>375</v>
      </c>
      <c r="K3497" s="26" t="s">
        <v>381</v>
      </c>
      <c r="L3497" s="26" t="s">
        <v>79</v>
      </c>
      <c r="M3497" s="26" t="s">
        <v>77</v>
      </c>
      <c r="N3497" s="26">
        <v>41</v>
      </c>
      <c r="O3497" s="26">
        <v>26</v>
      </c>
      <c r="P3497" s="26">
        <v>15</v>
      </c>
      <c r="Q3497" s="26">
        <v>4</v>
      </c>
      <c r="R3497" s="26">
        <v>0</v>
      </c>
      <c r="S3497" s="26">
        <v>10</v>
      </c>
      <c r="T3497" s="26">
        <v>0</v>
      </c>
      <c r="U3497" s="26">
        <v>10</v>
      </c>
      <c r="V3497" s="26">
        <v>0</v>
      </c>
      <c r="W3497" s="26"/>
    </row>
    <row r="3498" spans="1:23" x14ac:dyDescent="0.25">
      <c r="A3498" s="26" t="s">
        <v>3971</v>
      </c>
      <c r="B3498" s="26" t="s">
        <v>1046</v>
      </c>
      <c r="C3498" s="26" t="s">
        <v>1047</v>
      </c>
      <c r="D3498" s="26" t="s">
        <v>218</v>
      </c>
      <c r="E3498" s="26" t="s">
        <v>1048</v>
      </c>
      <c r="F3498" s="26" t="s">
        <v>1049</v>
      </c>
      <c r="G3498" s="26" t="s">
        <v>413</v>
      </c>
      <c r="H3498" s="26" t="s">
        <v>466</v>
      </c>
      <c r="I3498" s="26" t="s">
        <v>184</v>
      </c>
      <c r="J3498" s="26" t="s">
        <v>375</v>
      </c>
      <c r="K3498" s="26" t="s">
        <v>360</v>
      </c>
      <c r="L3498" s="26" t="s">
        <v>79</v>
      </c>
      <c r="M3498" s="26" t="s">
        <v>77</v>
      </c>
      <c r="N3498" s="26">
        <v>125</v>
      </c>
      <c r="O3498" s="26">
        <v>65</v>
      </c>
      <c r="P3498" s="26">
        <v>60</v>
      </c>
      <c r="Q3498" s="26">
        <v>6</v>
      </c>
      <c r="R3498" s="26">
        <v>0</v>
      </c>
      <c r="S3498" s="26">
        <v>12</v>
      </c>
      <c r="T3498" s="26">
        <v>0</v>
      </c>
      <c r="U3498" s="26">
        <v>12</v>
      </c>
      <c r="V3498" s="26">
        <v>0</v>
      </c>
      <c r="W3498" s="26"/>
    </row>
    <row r="3499" spans="1:23" x14ac:dyDescent="0.25">
      <c r="A3499" s="26" t="s">
        <v>3971</v>
      </c>
      <c r="B3499" s="26" t="s">
        <v>1050</v>
      </c>
      <c r="C3499" s="26" t="s">
        <v>1051</v>
      </c>
      <c r="D3499" s="26" t="s">
        <v>179</v>
      </c>
      <c r="E3499" s="26" t="s">
        <v>1052</v>
      </c>
      <c r="F3499" s="26" t="s">
        <v>457</v>
      </c>
      <c r="G3499" s="26" t="s">
        <v>182</v>
      </c>
      <c r="H3499" s="26" t="s">
        <v>380</v>
      </c>
      <c r="I3499" s="26" t="s">
        <v>184</v>
      </c>
      <c r="J3499" s="26" t="s">
        <v>322</v>
      </c>
      <c r="K3499" s="26" t="s">
        <v>360</v>
      </c>
      <c r="L3499" s="26" t="s">
        <v>79</v>
      </c>
      <c r="M3499" s="26" t="s">
        <v>77</v>
      </c>
      <c r="N3499" s="26">
        <v>44</v>
      </c>
      <c r="O3499" s="26">
        <v>23</v>
      </c>
      <c r="P3499" s="26">
        <v>21</v>
      </c>
      <c r="Q3499" s="26">
        <v>3</v>
      </c>
      <c r="R3499" s="26">
        <v>0</v>
      </c>
      <c r="S3499" s="26">
        <v>9</v>
      </c>
      <c r="T3499" s="26">
        <v>0</v>
      </c>
      <c r="U3499" s="26">
        <v>9</v>
      </c>
      <c r="V3499" s="26">
        <v>0</v>
      </c>
      <c r="W3499" s="26"/>
    </row>
    <row r="3500" spans="1:23" x14ac:dyDescent="0.25">
      <c r="A3500" s="26" t="s">
        <v>3971</v>
      </c>
      <c r="B3500" s="26" t="s">
        <v>1053</v>
      </c>
      <c r="C3500" s="26" t="s">
        <v>1054</v>
      </c>
      <c r="D3500" s="26" t="s">
        <v>218</v>
      </c>
      <c r="E3500" s="26" t="s">
        <v>1055</v>
      </c>
      <c r="F3500" s="26" t="s">
        <v>598</v>
      </c>
      <c r="G3500" s="26" t="s">
        <v>182</v>
      </c>
      <c r="H3500" s="26" t="s">
        <v>370</v>
      </c>
      <c r="I3500" s="26" t="s">
        <v>184</v>
      </c>
      <c r="J3500" s="26" t="s">
        <v>322</v>
      </c>
      <c r="K3500" s="26" t="s">
        <v>360</v>
      </c>
      <c r="L3500" s="26" t="s">
        <v>79</v>
      </c>
      <c r="M3500" s="26" t="s">
        <v>77</v>
      </c>
      <c r="N3500" s="26">
        <v>174</v>
      </c>
      <c r="O3500" s="26">
        <v>81</v>
      </c>
      <c r="P3500" s="26">
        <v>93</v>
      </c>
      <c r="Q3500" s="26">
        <v>9</v>
      </c>
      <c r="R3500" s="26">
        <v>0</v>
      </c>
      <c r="S3500" s="26">
        <v>26</v>
      </c>
      <c r="T3500" s="26">
        <v>0</v>
      </c>
      <c r="U3500" s="26">
        <v>26</v>
      </c>
      <c r="V3500" s="26">
        <v>0</v>
      </c>
      <c r="W3500" s="26"/>
    </row>
    <row r="3501" spans="1:23" x14ac:dyDescent="0.25">
      <c r="A3501" s="26" t="s">
        <v>3971</v>
      </c>
      <c r="B3501" s="26" t="s">
        <v>1056</v>
      </c>
      <c r="C3501" s="26" t="s">
        <v>1057</v>
      </c>
      <c r="D3501" s="26" t="s">
        <v>218</v>
      </c>
      <c r="E3501" s="26" t="s">
        <v>1058</v>
      </c>
      <c r="F3501" s="26" t="s">
        <v>444</v>
      </c>
      <c r="G3501" s="26" t="s">
        <v>265</v>
      </c>
      <c r="H3501" s="26" t="s">
        <v>359</v>
      </c>
      <c r="I3501" s="26" t="s">
        <v>184</v>
      </c>
      <c r="J3501" s="26" t="s">
        <v>322</v>
      </c>
      <c r="K3501" s="26" t="s">
        <v>360</v>
      </c>
      <c r="L3501" s="26" t="s">
        <v>79</v>
      </c>
      <c r="M3501" s="26" t="s">
        <v>77</v>
      </c>
      <c r="N3501" s="26">
        <v>37</v>
      </c>
      <c r="O3501" s="26">
        <v>17</v>
      </c>
      <c r="P3501" s="26">
        <v>20</v>
      </c>
      <c r="Q3501" s="26">
        <v>3</v>
      </c>
      <c r="R3501" s="26">
        <v>0</v>
      </c>
      <c r="S3501" s="26">
        <v>7</v>
      </c>
      <c r="T3501" s="26">
        <v>0</v>
      </c>
      <c r="U3501" s="26">
        <v>7</v>
      </c>
      <c r="V3501" s="26">
        <v>0</v>
      </c>
      <c r="W3501" s="26"/>
    </row>
    <row r="3502" spans="1:23" x14ac:dyDescent="0.25">
      <c r="A3502" s="26" t="s">
        <v>3971</v>
      </c>
      <c r="B3502" s="26" t="s">
        <v>1062</v>
      </c>
      <c r="C3502" s="26" t="s">
        <v>1063</v>
      </c>
      <c r="D3502" s="26" t="s">
        <v>179</v>
      </c>
      <c r="E3502" s="26" t="s">
        <v>1064</v>
      </c>
      <c r="F3502" s="26" t="s">
        <v>300</v>
      </c>
      <c r="G3502" s="26" t="s">
        <v>198</v>
      </c>
      <c r="H3502" s="26" t="s">
        <v>374</v>
      </c>
      <c r="I3502" s="26" t="s">
        <v>184</v>
      </c>
      <c r="J3502" s="26" t="s">
        <v>375</v>
      </c>
      <c r="K3502" s="26" t="s">
        <v>360</v>
      </c>
      <c r="L3502" s="26" t="s">
        <v>79</v>
      </c>
      <c r="M3502" s="26" t="s">
        <v>77</v>
      </c>
      <c r="N3502" s="26">
        <v>81</v>
      </c>
      <c r="O3502" s="26">
        <v>40</v>
      </c>
      <c r="P3502" s="26">
        <v>41</v>
      </c>
      <c r="Q3502" s="26">
        <v>4</v>
      </c>
      <c r="R3502" s="26">
        <v>0</v>
      </c>
      <c r="S3502" s="26">
        <v>12</v>
      </c>
      <c r="T3502" s="26">
        <v>0</v>
      </c>
      <c r="U3502" s="26">
        <v>12</v>
      </c>
      <c r="V3502" s="26">
        <v>0</v>
      </c>
      <c r="W3502" s="26"/>
    </row>
    <row r="3503" spans="1:23" x14ac:dyDescent="0.25">
      <c r="A3503" s="26" t="s">
        <v>3971</v>
      </c>
      <c r="B3503" s="26" t="s">
        <v>1065</v>
      </c>
      <c r="C3503" s="26" t="s">
        <v>1066</v>
      </c>
      <c r="D3503" s="26" t="s">
        <v>218</v>
      </c>
      <c r="E3503" s="26" t="s">
        <v>1067</v>
      </c>
      <c r="F3503" s="26" t="s">
        <v>1068</v>
      </c>
      <c r="G3503" s="26" t="s">
        <v>210</v>
      </c>
      <c r="H3503" s="26" t="s">
        <v>1069</v>
      </c>
      <c r="I3503" s="26" t="s">
        <v>184</v>
      </c>
      <c r="J3503" s="26" t="s">
        <v>322</v>
      </c>
      <c r="K3503" s="26" t="s">
        <v>360</v>
      </c>
      <c r="L3503" s="26" t="s">
        <v>79</v>
      </c>
      <c r="M3503" s="26" t="s">
        <v>77</v>
      </c>
      <c r="N3503" s="26">
        <v>38</v>
      </c>
      <c r="O3503" s="26">
        <v>23</v>
      </c>
      <c r="P3503" s="26">
        <v>15</v>
      </c>
      <c r="Q3503" s="26">
        <v>3</v>
      </c>
      <c r="R3503" s="26">
        <v>0</v>
      </c>
      <c r="S3503" s="26">
        <v>5</v>
      </c>
      <c r="T3503" s="26">
        <v>0</v>
      </c>
      <c r="U3503" s="26">
        <v>5</v>
      </c>
      <c r="V3503" s="26">
        <v>0</v>
      </c>
      <c r="W3503" s="26"/>
    </row>
    <row r="3504" spans="1:23" x14ac:dyDescent="0.25">
      <c r="A3504" s="26" t="s">
        <v>3971</v>
      </c>
      <c r="B3504" s="26" t="s">
        <v>1074</v>
      </c>
      <c r="C3504" s="26" t="s">
        <v>1075</v>
      </c>
      <c r="D3504" s="26" t="s">
        <v>218</v>
      </c>
      <c r="E3504" s="26" t="s">
        <v>1076</v>
      </c>
      <c r="F3504" s="26" t="s">
        <v>949</v>
      </c>
      <c r="G3504" s="26" t="s">
        <v>413</v>
      </c>
      <c r="H3504" s="26" t="s">
        <v>495</v>
      </c>
      <c r="I3504" s="26" t="s">
        <v>184</v>
      </c>
      <c r="J3504" s="26" t="s">
        <v>375</v>
      </c>
      <c r="K3504" s="26" t="s">
        <v>360</v>
      </c>
      <c r="L3504" s="26" t="s">
        <v>79</v>
      </c>
      <c r="M3504" s="26" t="s">
        <v>77</v>
      </c>
      <c r="N3504" s="26">
        <v>39</v>
      </c>
      <c r="O3504" s="26">
        <v>21</v>
      </c>
      <c r="P3504" s="26">
        <v>18</v>
      </c>
      <c r="Q3504" s="26">
        <v>3</v>
      </c>
      <c r="R3504" s="26">
        <v>0</v>
      </c>
      <c r="S3504" s="26">
        <v>7</v>
      </c>
      <c r="T3504" s="26">
        <v>0</v>
      </c>
      <c r="U3504" s="26">
        <v>7</v>
      </c>
      <c r="V3504" s="26">
        <v>0</v>
      </c>
      <c r="W3504" s="26"/>
    </row>
    <row r="3505" spans="1:23" x14ac:dyDescent="0.25">
      <c r="A3505" s="26" t="s">
        <v>3971</v>
      </c>
      <c r="B3505" s="26" t="s">
        <v>1077</v>
      </c>
      <c r="C3505" s="26" t="s">
        <v>1078</v>
      </c>
      <c r="D3505" s="26" t="s">
        <v>218</v>
      </c>
      <c r="E3505" s="26" t="s">
        <v>1079</v>
      </c>
      <c r="F3505" s="26" t="s">
        <v>231</v>
      </c>
      <c r="G3505" s="26" t="s">
        <v>198</v>
      </c>
      <c r="H3505" s="26" t="s">
        <v>386</v>
      </c>
      <c r="I3505" s="26" t="s">
        <v>184</v>
      </c>
      <c r="J3505" s="26" t="s">
        <v>375</v>
      </c>
      <c r="K3505" s="26" t="s">
        <v>360</v>
      </c>
      <c r="L3505" s="26" t="s">
        <v>79</v>
      </c>
      <c r="M3505" s="26" t="s">
        <v>77</v>
      </c>
      <c r="N3505" s="26">
        <v>85</v>
      </c>
      <c r="O3505" s="26">
        <v>47</v>
      </c>
      <c r="P3505" s="26">
        <v>38</v>
      </c>
      <c r="Q3505" s="26">
        <v>6</v>
      </c>
      <c r="R3505" s="26">
        <v>0</v>
      </c>
      <c r="S3505" s="26">
        <v>21</v>
      </c>
      <c r="T3505" s="26">
        <v>0</v>
      </c>
      <c r="U3505" s="26">
        <v>21</v>
      </c>
      <c r="V3505" s="26">
        <v>0</v>
      </c>
      <c r="W3505" s="26"/>
    </row>
    <row r="3506" spans="1:23" x14ac:dyDescent="0.25">
      <c r="A3506" s="26" t="s">
        <v>3971</v>
      </c>
      <c r="B3506" s="26" t="s">
        <v>1080</v>
      </c>
      <c r="C3506" s="26" t="s">
        <v>1081</v>
      </c>
      <c r="D3506" s="26" t="s">
        <v>218</v>
      </c>
      <c r="E3506" s="26" t="s">
        <v>1082</v>
      </c>
      <c r="F3506" s="26" t="s">
        <v>598</v>
      </c>
      <c r="G3506" s="26" t="s">
        <v>182</v>
      </c>
      <c r="H3506" s="26" t="s">
        <v>390</v>
      </c>
      <c r="I3506" s="26" t="s">
        <v>184</v>
      </c>
      <c r="J3506" s="26" t="s">
        <v>322</v>
      </c>
      <c r="K3506" s="26" t="s">
        <v>360</v>
      </c>
      <c r="L3506" s="26" t="s">
        <v>79</v>
      </c>
      <c r="M3506" s="26" t="s">
        <v>77</v>
      </c>
      <c r="N3506" s="26">
        <v>11</v>
      </c>
      <c r="O3506" s="26">
        <v>8</v>
      </c>
      <c r="P3506" s="26">
        <v>3</v>
      </c>
      <c r="Q3506" s="26">
        <v>3</v>
      </c>
      <c r="R3506" s="26">
        <v>0</v>
      </c>
      <c r="S3506" s="26">
        <v>5</v>
      </c>
      <c r="T3506" s="26">
        <v>0</v>
      </c>
      <c r="U3506" s="26">
        <v>5</v>
      </c>
      <c r="V3506" s="26">
        <v>0</v>
      </c>
      <c r="W3506" s="26"/>
    </row>
    <row r="3507" spans="1:23" x14ac:dyDescent="0.25">
      <c r="A3507" s="26" t="s">
        <v>3971</v>
      </c>
      <c r="B3507" s="26" t="s">
        <v>1083</v>
      </c>
      <c r="C3507" s="26" t="s">
        <v>1084</v>
      </c>
      <c r="D3507" s="26" t="s">
        <v>179</v>
      </c>
      <c r="E3507" s="26" t="s">
        <v>1085</v>
      </c>
      <c r="F3507" s="26" t="s">
        <v>1086</v>
      </c>
      <c r="G3507" s="26" t="s">
        <v>487</v>
      </c>
      <c r="H3507" s="26" t="s">
        <v>294</v>
      </c>
      <c r="I3507" s="26" t="s">
        <v>184</v>
      </c>
      <c r="J3507" s="26" t="s">
        <v>375</v>
      </c>
      <c r="K3507" s="26" t="s">
        <v>360</v>
      </c>
      <c r="L3507" s="26" t="s">
        <v>79</v>
      </c>
      <c r="M3507" s="26" t="s">
        <v>77</v>
      </c>
      <c r="N3507" s="26">
        <v>69</v>
      </c>
      <c r="O3507" s="26">
        <v>32</v>
      </c>
      <c r="P3507" s="26">
        <v>37</v>
      </c>
      <c r="Q3507" s="26">
        <v>4</v>
      </c>
      <c r="R3507" s="26">
        <v>0</v>
      </c>
      <c r="S3507" s="26">
        <v>6</v>
      </c>
      <c r="T3507" s="26">
        <v>0</v>
      </c>
      <c r="U3507" s="26">
        <v>6</v>
      </c>
      <c r="V3507" s="26">
        <v>0</v>
      </c>
      <c r="W3507" s="26"/>
    </row>
    <row r="3508" spans="1:23" x14ac:dyDescent="0.25">
      <c r="A3508" s="26" t="s">
        <v>3971</v>
      </c>
      <c r="B3508" s="26" t="s">
        <v>1087</v>
      </c>
      <c r="C3508" s="26" t="s">
        <v>1088</v>
      </c>
      <c r="D3508" s="26" t="s">
        <v>179</v>
      </c>
      <c r="E3508" s="26" t="s">
        <v>1089</v>
      </c>
      <c r="F3508" s="26" t="s">
        <v>1014</v>
      </c>
      <c r="G3508" s="26" t="s">
        <v>204</v>
      </c>
      <c r="H3508" s="26" t="s">
        <v>643</v>
      </c>
      <c r="I3508" s="26" t="s">
        <v>184</v>
      </c>
      <c r="J3508" s="26" t="s">
        <v>322</v>
      </c>
      <c r="K3508" s="26" t="s">
        <v>360</v>
      </c>
      <c r="L3508" s="26" t="s">
        <v>79</v>
      </c>
      <c r="M3508" s="26" t="s">
        <v>77</v>
      </c>
      <c r="N3508" s="26">
        <v>54</v>
      </c>
      <c r="O3508" s="26">
        <v>27</v>
      </c>
      <c r="P3508" s="26">
        <v>27</v>
      </c>
      <c r="Q3508" s="26">
        <v>3</v>
      </c>
      <c r="R3508" s="26">
        <v>0</v>
      </c>
      <c r="S3508" s="26">
        <v>3</v>
      </c>
      <c r="T3508" s="26">
        <v>0</v>
      </c>
      <c r="U3508" s="26">
        <v>3</v>
      </c>
      <c r="V3508" s="26">
        <v>0</v>
      </c>
      <c r="W3508" s="26"/>
    </row>
    <row r="3509" spans="1:23" x14ac:dyDescent="0.25">
      <c r="A3509" s="26" t="s">
        <v>3971</v>
      </c>
      <c r="B3509" s="26" t="s">
        <v>1090</v>
      </c>
      <c r="C3509" s="26" t="s">
        <v>1091</v>
      </c>
      <c r="D3509" s="26" t="s">
        <v>179</v>
      </c>
      <c r="E3509" s="26" t="s">
        <v>1092</v>
      </c>
      <c r="F3509" s="26" t="s">
        <v>848</v>
      </c>
      <c r="G3509" s="26" t="s">
        <v>226</v>
      </c>
      <c r="H3509" s="26" t="s">
        <v>538</v>
      </c>
      <c r="I3509" s="26" t="s">
        <v>184</v>
      </c>
      <c r="J3509" s="26" t="s">
        <v>427</v>
      </c>
      <c r="K3509" s="26" t="s">
        <v>360</v>
      </c>
      <c r="L3509" s="26" t="s">
        <v>79</v>
      </c>
      <c r="M3509" s="26" t="s">
        <v>77</v>
      </c>
      <c r="N3509" s="26">
        <v>71</v>
      </c>
      <c r="O3509" s="26">
        <v>30</v>
      </c>
      <c r="P3509" s="26">
        <v>41</v>
      </c>
      <c r="Q3509" s="26">
        <v>4</v>
      </c>
      <c r="R3509" s="26">
        <v>0</v>
      </c>
      <c r="S3509" s="26">
        <v>4</v>
      </c>
      <c r="T3509" s="26">
        <v>0</v>
      </c>
      <c r="U3509" s="26">
        <v>4</v>
      </c>
      <c r="V3509" s="26">
        <v>0</v>
      </c>
      <c r="W3509" s="26"/>
    </row>
    <row r="3510" spans="1:23" x14ac:dyDescent="0.25">
      <c r="A3510" s="26" t="s">
        <v>3971</v>
      </c>
      <c r="B3510" s="26" t="s">
        <v>1093</v>
      </c>
      <c r="C3510" s="26" t="s">
        <v>1094</v>
      </c>
      <c r="D3510" s="26" t="s">
        <v>218</v>
      </c>
      <c r="E3510" s="26" t="s">
        <v>1095</v>
      </c>
      <c r="F3510" s="26" t="s">
        <v>1096</v>
      </c>
      <c r="G3510" s="26" t="s">
        <v>676</v>
      </c>
      <c r="H3510" s="26" t="s">
        <v>687</v>
      </c>
      <c r="I3510" s="26" t="s">
        <v>184</v>
      </c>
      <c r="J3510" s="26" t="s">
        <v>375</v>
      </c>
      <c r="K3510" s="26" t="s">
        <v>360</v>
      </c>
      <c r="L3510" s="26" t="s">
        <v>79</v>
      </c>
      <c r="M3510" s="26" t="s">
        <v>77</v>
      </c>
      <c r="N3510" s="26">
        <v>70</v>
      </c>
      <c r="O3510" s="26">
        <v>35</v>
      </c>
      <c r="P3510" s="26">
        <v>35</v>
      </c>
      <c r="Q3510" s="26">
        <v>4</v>
      </c>
      <c r="R3510" s="26">
        <v>0</v>
      </c>
      <c r="S3510" s="26">
        <v>7</v>
      </c>
      <c r="T3510" s="26">
        <v>0</v>
      </c>
      <c r="U3510" s="26">
        <v>7</v>
      </c>
      <c r="V3510" s="26">
        <v>0</v>
      </c>
      <c r="W3510" s="26"/>
    </row>
    <row r="3511" spans="1:23" x14ac:dyDescent="0.25">
      <c r="A3511" s="26" t="s">
        <v>3971</v>
      </c>
      <c r="B3511" s="26" t="s">
        <v>1097</v>
      </c>
      <c r="C3511" s="26" t="s">
        <v>1098</v>
      </c>
      <c r="D3511" s="26" t="s">
        <v>179</v>
      </c>
      <c r="E3511" s="26" t="s">
        <v>1099</v>
      </c>
      <c r="F3511" s="26" t="s">
        <v>577</v>
      </c>
      <c r="G3511" s="26" t="s">
        <v>278</v>
      </c>
      <c r="H3511" s="26" t="s">
        <v>578</v>
      </c>
      <c r="I3511" s="26" t="s">
        <v>184</v>
      </c>
      <c r="J3511" s="26" t="s">
        <v>375</v>
      </c>
      <c r="K3511" s="26" t="s">
        <v>360</v>
      </c>
      <c r="L3511" s="26" t="s">
        <v>79</v>
      </c>
      <c r="M3511" s="26" t="s">
        <v>77</v>
      </c>
      <c r="N3511" s="26">
        <v>54</v>
      </c>
      <c r="O3511" s="26">
        <v>30</v>
      </c>
      <c r="P3511" s="26">
        <v>24</v>
      </c>
      <c r="Q3511" s="26">
        <v>3</v>
      </c>
      <c r="R3511" s="26">
        <v>0</v>
      </c>
      <c r="S3511" s="26">
        <v>3</v>
      </c>
      <c r="T3511" s="26">
        <v>0</v>
      </c>
      <c r="U3511" s="26">
        <v>3</v>
      </c>
      <c r="V3511" s="26">
        <v>0</v>
      </c>
      <c r="W3511" s="26"/>
    </row>
    <row r="3512" spans="1:23" x14ac:dyDescent="0.25">
      <c r="A3512" s="26" t="s">
        <v>3971</v>
      </c>
      <c r="B3512" s="26" t="s">
        <v>1100</v>
      </c>
      <c r="C3512" s="26" t="s">
        <v>1101</v>
      </c>
      <c r="D3512" s="26" t="s">
        <v>179</v>
      </c>
      <c r="E3512" s="26" t="s">
        <v>1102</v>
      </c>
      <c r="F3512" s="26" t="s">
        <v>1103</v>
      </c>
      <c r="G3512" s="26" t="s">
        <v>278</v>
      </c>
      <c r="H3512" s="26" t="s">
        <v>623</v>
      </c>
      <c r="I3512" s="26" t="s">
        <v>184</v>
      </c>
      <c r="J3512" s="26" t="s">
        <v>375</v>
      </c>
      <c r="K3512" s="26" t="s">
        <v>360</v>
      </c>
      <c r="L3512" s="26" t="s">
        <v>79</v>
      </c>
      <c r="M3512" s="26" t="s">
        <v>77</v>
      </c>
      <c r="N3512" s="26">
        <v>45</v>
      </c>
      <c r="O3512" s="26">
        <v>24</v>
      </c>
      <c r="P3512" s="26">
        <v>21</v>
      </c>
      <c r="Q3512" s="26">
        <v>3</v>
      </c>
      <c r="R3512" s="26">
        <v>0</v>
      </c>
      <c r="S3512" s="26">
        <v>3</v>
      </c>
      <c r="T3512" s="26">
        <v>0</v>
      </c>
      <c r="U3512" s="26">
        <v>3</v>
      </c>
      <c r="V3512" s="26">
        <v>0</v>
      </c>
      <c r="W3512" s="26"/>
    </row>
    <row r="3513" spans="1:23" x14ac:dyDescent="0.25">
      <c r="A3513" s="26" t="s">
        <v>3971</v>
      </c>
      <c r="B3513" s="26" t="s">
        <v>1104</v>
      </c>
      <c r="C3513" s="26" t="s">
        <v>1105</v>
      </c>
      <c r="D3513" s="26" t="s">
        <v>179</v>
      </c>
      <c r="E3513" s="26" t="s">
        <v>1106</v>
      </c>
      <c r="F3513" s="26" t="s">
        <v>1107</v>
      </c>
      <c r="G3513" s="26" t="s">
        <v>278</v>
      </c>
      <c r="H3513" s="26" t="s">
        <v>408</v>
      </c>
      <c r="I3513" s="26" t="s">
        <v>184</v>
      </c>
      <c r="J3513" s="26" t="s">
        <v>375</v>
      </c>
      <c r="K3513" s="26" t="s">
        <v>360</v>
      </c>
      <c r="L3513" s="26" t="s">
        <v>79</v>
      </c>
      <c r="M3513" s="26" t="s">
        <v>77</v>
      </c>
      <c r="N3513" s="26">
        <v>37</v>
      </c>
      <c r="O3513" s="26">
        <v>20</v>
      </c>
      <c r="P3513" s="26">
        <v>17</v>
      </c>
      <c r="Q3513" s="26">
        <v>3</v>
      </c>
      <c r="R3513" s="26">
        <v>0</v>
      </c>
      <c r="S3513" s="26">
        <v>3</v>
      </c>
      <c r="T3513" s="26">
        <v>0</v>
      </c>
      <c r="U3513" s="26">
        <v>3</v>
      </c>
      <c r="V3513" s="26">
        <v>0</v>
      </c>
      <c r="W3513" s="26"/>
    </row>
    <row r="3514" spans="1:23" x14ac:dyDescent="0.25">
      <c r="A3514" s="26" t="s">
        <v>3971</v>
      </c>
      <c r="B3514" s="26" t="s">
        <v>1108</v>
      </c>
      <c r="C3514" s="26" t="s">
        <v>1109</v>
      </c>
      <c r="D3514" s="26" t="s">
        <v>179</v>
      </c>
      <c r="E3514" s="26" t="s">
        <v>1110</v>
      </c>
      <c r="F3514" s="26" t="s">
        <v>1111</v>
      </c>
      <c r="G3514" s="26" t="s">
        <v>278</v>
      </c>
      <c r="H3514" s="26" t="s">
        <v>408</v>
      </c>
      <c r="I3514" s="26" t="s">
        <v>184</v>
      </c>
      <c r="J3514" s="26" t="s">
        <v>375</v>
      </c>
      <c r="K3514" s="26" t="s">
        <v>360</v>
      </c>
      <c r="L3514" s="26" t="s">
        <v>79</v>
      </c>
      <c r="M3514" s="26" t="s">
        <v>77</v>
      </c>
      <c r="N3514" s="26">
        <v>43</v>
      </c>
      <c r="O3514" s="26">
        <v>22</v>
      </c>
      <c r="P3514" s="26">
        <v>21</v>
      </c>
      <c r="Q3514" s="26">
        <v>3</v>
      </c>
      <c r="R3514" s="26">
        <v>0</v>
      </c>
      <c r="S3514" s="26">
        <v>3</v>
      </c>
      <c r="T3514" s="26">
        <v>0</v>
      </c>
      <c r="U3514" s="26">
        <v>3</v>
      </c>
      <c r="V3514" s="26">
        <v>0</v>
      </c>
      <c r="W3514" s="26"/>
    </row>
    <row r="3515" spans="1:23" x14ac:dyDescent="0.25">
      <c r="A3515" s="26" t="s">
        <v>3971</v>
      </c>
      <c r="B3515" s="26" t="s">
        <v>1112</v>
      </c>
      <c r="C3515" s="26" t="s">
        <v>1113</v>
      </c>
      <c r="D3515" s="26" t="s">
        <v>218</v>
      </c>
      <c r="E3515" s="26" t="s">
        <v>1114</v>
      </c>
      <c r="F3515" s="26" t="s">
        <v>1115</v>
      </c>
      <c r="G3515" s="26" t="s">
        <v>278</v>
      </c>
      <c r="H3515" s="26" t="s">
        <v>408</v>
      </c>
      <c r="I3515" s="26" t="s">
        <v>184</v>
      </c>
      <c r="J3515" s="26" t="s">
        <v>375</v>
      </c>
      <c r="K3515" s="26" t="s">
        <v>360</v>
      </c>
      <c r="L3515" s="26" t="s">
        <v>79</v>
      </c>
      <c r="M3515" s="26" t="s">
        <v>77</v>
      </c>
      <c r="N3515" s="26">
        <v>38</v>
      </c>
      <c r="O3515" s="26">
        <v>17</v>
      </c>
      <c r="P3515" s="26">
        <v>21</v>
      </c>
      <c r="Q3515" s="26">
        <v>3</v>
      </c>
      <c r="R3515" s="26">
        <v>0</v>
      </c>
      <c r="S3515" s="26">
        <v>3</v>
      </c>
      <c r="T3515" s="26">
        <v>0</v>
      </c>
      <c r="U3515" s="26">
        <v>3</v>
      </c>
      <c r="V3515" s="26">
        <v>0</v>
      </c>
      <c r="W3515" s="26"/>
    </row>
    <row r="3516" spans="1:23" x14ac:dyDescent="0.25">
      <c r="A3516" s="26" t="s">
        <v>3971</v>
      </c>
      <c r="B3516" s="26" t="s">
        <v>1116</v>
      </c>
      <c r="C3516" s="26" t="s">
        <v>1117</v>
      </c>
      <c r="D3516" s="26" t="s">
        <v>179</v>
      </c>
      <c r="E3516" s="26" t="s">
        <v>1118</v>
      </c>
      <c r="F3516" s="26" t="s">
        <v>577</v>
      </c>
      <c r="G3516" s="26" t="s">
        <v>278</v>
      </c>
      <c r="H3516" s="26" t="s">
        <v>578</v>
      </c>
      <c r="I3516" s="26" t="s">
        <v>184</v>
      </c>
      <c r="J3516" s="26" t="s">
        <v>375</v>
      </c>
      <c r="K3516" s="26" t="s">
        <v>360</v>
      </c>
      <c r="L3516" s="26" t="s">
        <v>79</v>
      </c>
      <c r="M3516" s="26" t="s">
        <v>77</v>
      </c>
      <c r="N3516" s="26">
        <v>61</v>
      </c>
      <c r="O3516" s="26">
        <v>29</v>
      </c>
      <c r="P3516" s="26">
        <v>32</v>
      </c>
      <c r="Q3516" s="26">
        <v>3</v>
      </c>
      <c r="R3516" s="26">
        <v>0</v>
      </c>
      <c r="S3516" s="26">
        <v>5</v>
      </c>
      <c r="T3516" s="26">
        <v>0</v>
      </c>
      <c r="U3516" s="26">
        <v>5</v>
      </c>
      <c r="V3516" s="26">
        <v>0</v>
      </c>
      <c r="W3516" s="26"/>
    </row>
    <row r="3517" spans="1:23" x14ac:dyDescent="0.25">
      <c r="A3517" s="26" t="s">
        <v>3971</v>
      </c>
      <c r="B3517" s="26" t="s">
        <v>1119</v>
      </c>
      <c r="C3517" s="26" t="s">
        <v>1120</v>
      </c>
      <c r="D3517" s="26" t="s">
        <v>218</v>
      </c>
      <c r="E3517" s="26" t="s">
        <v>1121</v>
      </c>
      <c r="F3517" s="26" t="s">
        <v>1122</v>
      </c>
      <c r="G3517" s="26" t="s">
        <v>278</v>
      </c>
      <c r="H3517" s="26" t="s">
        <v>408</v>
      </c>
      <c r="I3517" s="26" t="s">
        <v>184</v>
      </c>
      <c r="J3517" s="26" t="s">
        <v>375</v>
      </c>
      <c r="K3517" s="26" t="s">
        <v>360</v>
      </c>
      <c r="L3517" s="26" t="s">
        <v>79</v>
      </c>
      <c r="M3517" s="26" t="s">
        <v>77</v>
      </c>
      <c r="N3517" s="26">
        <v>40</v>
      </c>
      <c r="O3517" s="26">
        <v>15</v>
      </c>
      <c r="P3517" s="26">
        <v>25</v>
      </c>
      <c r="Q3517" s="26">
        <v>3</v>
      </c>
      <c r="R3517" s="26">
        <v>0</v>
      </c>
      <c r="S3517" s="26">
        <v>3</v>
      </c>
      <c r="T3517" s="26">
        <v>0</v>
      </c>
      <c r="U3517" s="26">
        <v>3</v>
      </c>
      <c r="V3517" s="26">
        <v>0</v>
      </c>
      <c r="W3517" s="26"/>
    </row>
    <row r="3518" spans="1:23" x14ac:dyDescent="0.25">
      <c r="A3518" s="26" t="s">
        <v>3971</v>
      </c>
      <c r="B3518" s="26" t="s">
        <v>1123</v>
      </c>
      <c r="C3518" s="26" t="s">
        <v>1124</v>
      </c>
      <c r="D3518" s="26" t="s">
        <v>179</v>
      </c>
      <c r="E3518" s="26" t="s">
        <v>1125</v>
      </c>
      <c r="F3518" s="26" t="s">
        <v>1126</v>
      </c>
      <c r="G3518" s="26" t="s">
        <v>278</v>
      </c>
      <c r="H3518" s="26" t="s">
        <v>578</v>
      </c>
      <c r="I3518" s="26" t="s">
        <v>184</v>
      </c>
      <c r="J3518" s="26" t="s">
        <v>375</v>
      </c>
      <c r="K3518" s="26" t="s">
        <v>360</v>
      </c>
      <c r="L3518" s="26" t="s">
        <v>79</v>
      </c>
      <c r="M3518" s="26" t="s">
        <v>77</v>
      </c>
      <c r="N3518" s="26">
        <v>46</v>
      </c>
      <c r="O3518" s="26">
        <v>21</v>
      </c>
      <c r="P3518" s="26">
        <v>25</v>
      </c>
      <c r="Q3518" s="26">
        <v>3</v>
      </c>
      <c r="R3518" s="26">
        <v>0</v>
      </c>
      <c r="S3518" s="26">
        <v>3</v>
      </c>
      <c r="T3518" s="26">
        <v>0</v>
      </c>
      <c r="U3518" s="26">
        <v>3</v>
      </c>
      <c r="V3518" s="26">
        <v>0</v>
      </c>
      <c r="W3518" s="26"/>
    </row>
    <row r="3519" spans="1:23" x14ac:dyDescent="0.25">
      <c r="A3519" s="26" t="s">
        <v>3971</v>
      </c>
      <c r="B3519" s="26" t="s">
        <v>1127</v>
      </c>
      <c r="C3519" s="26" t="s">
        <v>1128</v>
      </c>
      <c r="D3519" s="26" t="s">
        <v>179</v>
      </c>
      <c r="E3519" s="26" t="s">
        <v>1129</v>
      </c>
      <c r="F3519" s="26" t="s">
        <v>622</v>
      </c>
      <c r="G3519" s="26" t="s">
        <v>278</v>
      </c>
      <c r="H3519" s="26" t="s">
        <v>408</v>
      </c>
      <c r="I3519" s="26" t="s">
        <v>184</v>
      </c>
      <c r="J3519" s="26" t="s">
        <v>375</v>
      </c>
      <c r="K3519" s="26" t="s">
        <v>360</v>
      </c>
      <c r="L3519" s="26" t="s">
        <v>79</v>
      </c>
      <c r="M3519" s="26" t="s">
        <v>77</v>
      </c>
      <c r="N3519" s="26">
        <v>41</v>
      </c>
      <c r="O3519" s="26">
        <v>21</v>
      </c>
      <c r="P3519" s="26">
        <v>20</v>
      </c>
      <c r="Q3519" s="26">
        <v>3</v>
      </c>
      <c r="R3519" s="26">
        <v>0</v>
      </c>
      <c r="S3519" s="26">
        <v>3</v>
      </c>
      <c r="T3519" s="26">
        <v>0</v>
      </c>
      <c r="U3519" s="26">
        <v>3</v>
      </c>
      <c r="V3519" s="26">
        <v>0</v>
      </c>
      <c r="W3519" s="26"/>
    </row>
    <row r="3520" spans="1:23" x14ac:dyDescent="0.25">
      <c r="A3520" s="26" t="s">
        <v>3971</v>
      </c>
      <c r="B3520" s="26" t="s">
        <v>1130</v>
      </c>
      <c r="C3520" s="26" t="s">
        <v>1131</v>
      </c>
      <c r="D3520" s="26" t="s">
        <v>179</v>
      </c>
      <c r="E3520" s="26" t="s">
        <v>1132</v>
      </c>
      <c r="F3520" s="26" t="s">
        <v>1133</v>
      </c>
      <c r="G3520" s="26" t="s">
        <v>278</v>
      </c>
      <c r="H3520" s="26" t="s">
        <v>623</v>
      </c>
      <c r="I3520" s="26" t="s">
        <v>184</v>
      </c>
      <c r="J3520" s="26" t="s">
        <v>375</v>
      </c>
      <c r="K3520" s="26" t="s">
        <v>360</v>
      </c>
      <c r="L3520" s="26" t="s">
        <v>79</v>
      </c>
      <c r="M3520" s="26" t="s">
        <v>77</v>
      </c>
      <c r="N3520" s="26">
        <v>47</v>
      </c>
      <c r="O3520" s="26">
        <v>21</v>
      </c>
      <c r="P3520" s="26">
        <v>26</v>
      </c>
      <c r="Q3520" s="26">
        <v>3</v>
      </c>
      <c r="R3520" s="26">
        <v>0</v>
      </c>
      <c r="S3520" s="26">
        <v>3</v>
      </c>
      <c r="T3520" s="26">
        <v>0</v>
      </c>
      <c r="U3520" s="26">
        <v>3</v>
      </c>
      <c r="V3520" s="26">
        <v>0</v>
      </c>
      <c r="W3520" s="26"/>
    </row>
    <row r="3521" spans="1:23" x14ac:dyDescent="0.25">
      <c r="A3521" s="26" t="s">
        <v>3971</v>
      </c>
      <c r="B3521" s="26" t="s">
        <v>1134</v>
      </c>
      <c r="C3521" s="26" t="s">
        <v>1135</v>
      </c>
      <c r="D3521" s="26" t="s">
        <v>179</v>
      </c>
      <c r="E3521" s="26" t="s">
        <v>1136</v>
      </c>
      <c r="F3521" s="26" t="s">
        <v>292</v>
      </c>
      <c r="G3521" s="26" t="s">
        <v>293</v>
      </c>
      <c r="H3521" s="26" t="s">
        <v>594</v>
      </c>
      <c r="I3521" s="26" t="s">
        <v>184</v>
      </c>
      <c r="J3521" s="26" t="s">
        <v>295</v>
      </c>
      <c r="K3521" s="26" t="s">
        <v>296</v>
      </c>
      <c r="L3521" s="26" t="s">
        <v>80</v>
      </c>
      <c r="M3521" s="26" t="s">
        <v>77</v>
      </c>
      <c r="N3521" s="26">
        <v>64</v>
      </c>
      <c r="O3521" s="26">
        <v>36</v>
      </c>
      <c r="P3521" s="26">
        <v>28</v>
      </c>
      <c r="Q3521" s="26">
        <v>3</v>
      </c>
      <c r="R3521" s="26">
        <v>0</v>
      </c>
      <c r="S3521" s="26">
        <v>4</v>
      </c>
      <c r="T3521" s="26">
        <v>0</v>
      </c>
      <c r="U3521" s="26">
        <v>4</v>
      </c>
      <c r="V3521" s="26">
        <v>0</v>
      </c>
      <c r="W3521" s="26"/>
    </row>
    <row r="3522" spans="1:23" x14ac:dyDescent="0.25">
      <c r="A3522" s="26" t="s">
        <v>3971</v>
      </c>
      <c r="B3522" s="26" t="s">
        <v>1137</v>
      </c>
      <c r="C3522" s="26" t="s">
        <v>1138</v>
      </c>
      <c r="D3522" s="26" t="s">
        <v>218</v>
      </c>
      <c r="E3522" s="26" t="s">
        <v>1139</v>
      </c>
      <c r="F3522" s="26" t="s">
        <v>1140</v>
      </c>
      <c r="G3522" s="26" t="s">
        <v>293</v>
      </c>
      <c r="H3522" s="26" t="s">
        <v>594</v>
      </c>
      <c r="I3522" s="26" t="s">
        <v>184</v>
      </c>
      <c r="J3522" s="26" t="s">
        <v>295</v>
      </c>
      <c r="K3522" s="26" t="s">
        <v>296</v>
      </c>
      <c r="L3522" s="26" t="s">
        <v>80</v>
      </c>
      <c r="M3522" s="26" t="s">
        <v>77</v>
      </c>
      <c r="N3522" s="26">
        <v>56</v>
      </c>
      <c r="O3522" s="26">
        <v>26</v>
      </c>
      <c r="P3522" s="26">
        <v>30</v>
      </c>
      <c r="Q3522" s="26">
        <v>3</v>
      </c>
      <c r="R3522" s="26">
        <v>0</v>
      </c>
      <c r="S3522" s="26">
        <v>3</v>
      </c>
      <c r="T3522" s="26">
        <v>0</v>
      </c>
      <c r="U3522" s="26">
        <v>3</v>
      </c>
      <c r="V3522" s="26">
        <v>0</v>
      </c>
      <c r="W3522" s="26"/>
    </row>
    <row r="3523" spans="1:23" x14ac:dyDescent="0.25">
      <c r="A3523" s="26" t="s">
        <v>3971</v>
      </c>
      <c r="B3523" s="26" t="s">
        <v>1141</v>
      </c>
      <c r="C3523" s="26" t="s">
        <v>1142</v>
      </c>
      <c r="D3523" s="26" t="s">
        <v>179</v>
      </c>
      <c r="E3523" s="26" t="s">
        <v>1143</v>
      </c>
      <c r="F3523" s="26" t="s">
        <v>1144</v>
      </c>
      <c r="G3523" s="26" t="s">
        <v>293</v>
      </c>
      <c r="H3523" s="26" t="s">
        <v>294</v>
      </c>
      <c r="I3523" s="26" t="s">
        <v>184</v>
      </c>
      <c r="J3523" s="26" t="s">
        <v>1145</v>
      </c>
      <c r="K3523" s="26" t="s">
        <v>296</v>
      </c>
      <c r="L3523" s="26" t="s">
        <v>80</v>
      </c>
      <c r="M3523" s="26" t="s">
        <v>77</v>
      </c>
      <c r="N3523" s="26">
        <v>44</v>
      </c>
      <c r="O3523" s="26">
        <v>21</v>
      </c>
      <c r="P3523" s="26">
        <v>23</v>
      </c>
      <c r="Q3523" s="26">
        <v>3</v>
      </c>
      <c r="R3523" s="26">
        <v>0</v>
      </c>
      <c r="S3523" s="26">
        <v>3</v>
      </c>
      <c r="T3523" s="26">
        <v>0</v>
      </c>
      <c r="U3523" s="26">
        <v>3</v>
      </c>
      <c r="V3523" s="26">
        <v>0</v>
      </c>
      <c r="W3523" s="26"/>
    </row>
    <row r="3524" spans="1:23" x14ac:dyDescent="0.25">
      <c r="A3524" s="26" t="s">
        <v>3971</v>
      </c>
      <c r="B3524" s="26" t="s">
        <v>1146</v>
      </c>
      <c r="C3524" s="26" t="s">
        <v>1147</v>
      </c>
      <c r="D3524" s="26" t="s">
        <v>179</v>
      </c>
      <c r="E3524" s="26" t="s">
        <v>1148</v>
      </c>
      <c r="F3524" s="26" t="s">
        <v>292</v>
      </c>
      <c r="G3524" s="26" t="s">
        <v>293</v>
      </c>
      <c r="H3524" s="26" t="s">
        <v>594</v>
      </c>
      <c r="I3524" s="26" t="s">
        <v>184</v>
      </c>
      <c r="J3524" s="26" t="s">
        <v>295</v>
      </c>
      <c r="K3524" s="26" t="s">
        <v>296</v>
      </c>
      <c r="L3524" s="26" t="s">
        <v>80</v>
      </c>
      <c r="M3524" s="26" t="s">
        <v>77</v>
      </c>
      <c r="N3524" s="26">
        <v>63</v>
      </c>
      <c r="O3524" s="26">
        <v>30</v>
      </c>
      <c r="P3524" s="26">
        <v>33</v>
      </c>
      <c r="Q3524" s="26">
        <v>4</v>
      </c>
      <c r="R3524" s="26">
        <v>0</v>
      </c>
      <c r="S3524" s="26">
        <v>4</v>
      </c>
      <c r="T3524" s="26">
        <v>0</v>
      </c>
      <c r="U3524" s="26">
        <v>4</v>
      </c>
      <c r="V3524" s="26">
        <v>0</v>
      </c>
      <c r="W3524" s="26"/>
    </row>
    <row r="3525" spans="1:23" x14ac:dyDescent="0.25">
      <c r="A3525" s="26" t="s">
        <v>3971</v>
      </c>
      <c r="B3525" s="26" t="s">
        <v>1149</v>
      </c>
      <c r="C3525" s="26" t="s">
        <v>1150</v>
      </c>
      <c r="D3525" s="26" t="s">
        <v>179</v>
      </c>
      <c r="E3525" s="26" t="s">
        <v>1151</v>
      </c>
      <c r="F3525" s="26" t="s">
        <v>1152</v>
      </c>
      <c r="G3525" s="26" t="s">
        <v>293</v>
      </c>
      <c r="H3525" s="26" t="s">
        <v>294</v>
      </c>
      <c r="I3525" s="26" t="s">
        <v>184</v>
      </c>
      <c r="J3525" s="26" t="s">
        <v>1145</v>
      </c>
      <c r="K3525" s="26" t="s">
        <v>296</v>
      </c>
      <c r="L3525" s="26" t="s">
        <v>80</v>
      </c>
      <c r="M3525" s="26" t="s">
        <v>77</v>
      </c>
      <c r="N3525" s="26">
        <v>61</v>
      </c>
      <c r="O3525" s="26">
        <v>30</v>
      </c>
      <c r="P3525" s="26">
        <v>31</v>
      </c>
      <c r="Q3525" s="26">
        <v>3</v>
      </c>
      <c r="R3525" s="26">
        <v>0</v>
      </c>
      <c r="S3525" s="26">
        <v>3</v>
      </c>
      <c r="T3525" s="26">
        <v>0</v>
      </c>
      <c r="U3525" s="26">
        <v>3</v>
      </c>
      <c r="V3525" s="26">
        <v>0</v>
      </c>
      <c r="W3525" s="26"/>
    </row>
    <row r="3526" spans="1:23" x14ac:dyDescent="0.25">
      <c r="A3526" s="26" t="s">
        <v>3971</v>
      </c>
      <c r="B3526" s="26" t="s">
        <v>1156</v>
      </c>
      <c r="C3526" s="26" t="s">
        <v>854</v>
      </c>
      <c r="D3526" s="26" t="s">
        <v>179</v>
      </c>
      <c r="E3526" s="26" t="s">
        <v>1157</v>
      </c>
      <c r="F3526" s="26" t="s">
        <v>749</v>
      </c>
      <c r="G3526" s="26" t="s">
        <v>265</v>
      </c>
      <c r="H3526" s="26" t="s">
        <v>526</v>
      </c>
      <c r="I3526" s="26" t="s">
        <v>184</v>
      </c>
      <c r="J3526" s="26" t="s">
        <v>322</v>
      </c>
      <c r="K3526" s="26" t="s">
        <v>360</v>
      </c>
      <c r="L3526" s="26" t="s">
        <v>79</v>
      </c>
      <c r="M3526" s="26" t="s">
        <v>77</v>
      </c>
      <c r="N3526" s="26">
        <v>38</v>
      </c>
      <c r="O3526" s="26">
        <v>14</v>
      </c>
      <c r="P3526" s="26">
        <v>24</v>
      </c>
      <c r="Q3526" s="26">
        <v>3</v>
      </c>
      <c r="R3526" s="26">
        <v>0</v>
      </c>
      <c r="S3526" s="26">
        <v>3</v>
      </c>
      <c r="T3526" s="26">
        <v>0</v>
      </c>
      <c r="U3526" s="26">
        <v>3</v>
      </c>
      <c r="V3526" s="26">
        <v>0</v>
      </c>
      <c r="W3526" s="26"/>
    </row>
    <row r="3527" spans="1:23" x14ac:dyDescent="0.25">
      <c r="A3527" s="26" t="s">
        <v>3971</v>
      </c>
      <c r="B3527" s="26" t="s">
        <v>1158</v>
      </c>
      <c r="C3527" s="26" t="s">
        <v>1159</v>
      </c>
      <c r="D3527" s="26" t="s">
        <v>179</v>
      </c>
      <c r="E3527" s="26" t="s">
        <v>1160</v>
      </c>
      <c r="F3527" s="26" t="s">
        <v>760</v>
      </c>
      <c r="G3527" s="26" t="s">
        <v>265</v>
      </c>
      <c r="H3527" s="26" t="s">
        <v>756</v>
      </c>
      <c r="I3527" s="26" t="s">
        <v>184</v>
      </c>
      <c r="J3527" s="26" t="s">
        <v>322</v>
      </c>
      <c r="K3527" s="26" t="s">
        <v>360</v>
      </c>
      <c r="L3527" s="26" t="s">
        <v>79</v>
      </c>
      <c r="M3527" s="26" t="s">
        <v>77</v>
      </c>
      <c r="N3527" s="26">
        <v>118</v>
      </c>
      <c r="O3527" s="26">
        <v>57</v>
      </c>
      <c r="P3527" s="26">
        <v>61</v>
      </c>
      <c r="Q3527" s="26">
        <v>8</v>
      </c>
      <c r="R3527" s="26">
        <v>0</v>
      </c>
      <c r="S3527" s="26">
        <v>8</v>
      </c>
      <c r="T3527" s="26">
        <v>0</v>
      </c>
      <c r="U3527" s="26">
        <v>8</v>
      </c>
      <c r="V3527" s="26">
        <v>0</v>
      </c>
      <c r="W3527" s="26"/>
    </row>
    <row r="3528" spans="1:23" x14ac:dyDescent="0.25">
      <c r="A3528" s="26" t="s">
        <v>3971</v>
      </c>
      <c r="B3528" s="26" t="s">
        <v>1161</v>
      </c>
      <c r="C3528" s="26" t="s">
        <v>1162</v>
      </c>
      <c r="D3528" s="26" t="s">
        <v>179</v>
      </c>
      <c r="E3528" s="26" t="s">
        <v>1163</v>
      </c>
      <c r="F3528" s="26" t="s">
        <v>1164</v>
      </c>
      <c r="G3528" s="26" t="s">
        <v>265</v>
      </c>
      <c r="H3528" s="26" t="s">
        <v>321</v>
      </c>
      <c r="I3528" s="26" t="s">
        <v>184</v>
      </c>
      <c r="J3528" s="26" t="s">
        <v>322</v>
      </c>
      <c r="K3528" s="26" t="s">
        <v>360</v>
      </c>
      <c r="L3528" s="26" t="s">
        <v>79</v>
      </c>
      <c r="M3528" s="26" t="s">
        <v>77</v>
      </c>
      <c r="N3528" s="26">
        <v>39</v>
      </c>
      <c r="O3528" s="26">
        <v>27</v>
      </c>
      <c r="P3528" s="26">
        <v>12</v>
      </c>
      <c r="Q3528" s="26">
        <v>3</v>
      </c>
      <c r="R3528" s="26">
        <v>0</v>
      </c>
      <c r="S3528" s="26">
        <v>3</v>
      </c>
      <c r="T3528" s="26">
        <v>0</v>
      </c>
      <c r="U3528" s="26">
        <v>3</v>
      </c>
      <c r="V3528" s="26">
        <v>0</v>
      </c>
      <c r="W3528" s="26"/>
    </row>
    <row r="3529" spans="1:23" x14ac:dyDescent="0.25">
      <c r="A3529" s="26" t="s">
        <v>3971</v>
      </c>
      <c r="B3529" s="26" t="s">
        <v>1165</v>
      </c>
      <c r="C3529" s="26" t="s">
        <v>1166</v>
      </c>
      <c r="D3529" s="26" t="s">
        <v>179</v>
      </c>
      <c r="E3529" s="26" t="s">
        <v>1167</v>
      </c>
      <c r="F3529" s="26" t="s">
        <v>1168</v>
      </c>
      <c r="G3529" s="26" t="s">
        <v>265</v>
      </c>
      <c r="H3529" s="26" t="s">
        <v>321</v>
      </c>
      <c r="I3529" s="26" t="s">
        <v>184</v>
      </c>
      <c r="J3529" s="26" t="s">
        <v>322</v>
      </c>
      <c r="K3529" s="26" t="s">
        <v>360</v>
      </c>
      <c r="L3529" s="26" t="s">
        <v>79</v>
      </c>
      <c r="M3529" s="26" t="s">
        <v>77</v>
      </c>
      <c r="N3529" s="26">
        <v>62</v>
      </c>
      <c r="O3529" s="26">
        <v>27</v>
      </c>
      <c r="P3529" s="26">
        <v>35</v>
      </c>
      <c r="Q3529" s="26">
        <v>4</v>
      </c>
      <c r="R3529" s="26">
        <v>0</v>
      </c>
      <c r="S3529" s="26">
        <v>6</v>
      </c>
      <c r="T3529" s="26">
        <v>0</v>
      </c>
      <c r="U3529" s="26">
        <v>6</v>
      </c>
      <c r="V3529" s="26">
        <v>0</v>
      </c>
      <c r="W3529" s="26"/>
    </row>
    <row r="3530" spans="1:23" x14ac:dyDescent="0.25">
      <c r="A3530" s="26" t="s">
        <v>3971</v>
      </c>
      <c r="B3530" s="26" t="s">
        <v>1169</v>
      </c>
      <c r="C3530" s="26" t="s">
        <v>1170</v>
      </c>
      <c r="D3530" s="26" t="s">
        <v>179</v>
      </c>
      <c r="E3530" s="26" t="s">
        <v>1171</v>
      </c>
      <c r="F3530" s="26" t="s">
        <v>1172</v>
      </c>
      <c r="G3530" s="26" t="s">
        <v>662</v>
      </c>
      <c r="H3530" s="26" t="s">
        <v>663</v>
      </c>
      <c r="I3530" s="26" t="s">
        <v>184</v>
      </c>
      <c r="J3530" s="26" t="s">
        <v>427</v>
      </c>
      <c r="K3530" s="26" t="s">
        <v>360</v>
      </c>
      <c r="L3530" s="26" t="s">
        <v>79</v>
      </c>
      <c r="M3530" s="26" t="s">
        <v>77</v>
      </c>
      <c r="N3530" s="26">
        <v>60</v>
      </c>
      <c r="O3530" s="26">
        <v>40</v>
      </c>
      <c r="P3530" s="26">
        <v>20</v>
      </c>
      <c r="Q3530" s="26">
        <v>6</v>
      </c>
      <c r="R3530" s="26">
        <v>0</v>
      </c>
      <c r="S3530" s="26">
        <v>7</v>
      </c>
      <c r="T3530" s="26">
        <v>0</v>
      </c>
      <c r="U3530" s="26">
        <v>7</v>
      </c>
      <c r="V3530" s="26">
        <v>0</v>
      </c>
      <c r="W3530" s="26"/>
    </row>
    <row r="3531" spans="1:23" x14ac:dyDescent="0.25">
      <c r="A3531" s="26" t="s">
        <v>3971</v>
      </c>
      <c r="B3531" s="26" t="s">
        <v>1173</v>
      </c>
      <c r="C3531" s="26" t="s">
        <v>1174</v>
      </c>
      <c r="D3531" s="26" t="s">
        <v>179</v>
      </c>
      <c r="E3531" s="26" t="s">
        <v>1175</v>
      </c>
      <c r="F3531" s="26" t="s">
        <v>190</v>
      </c>
      <c r="G3531" s="26" t="s">
        <v>191</v>
      </c>
      <c r="H3531" s="26" t="s">
        <v>518</v>
      </c>
      <c r="I3531" s="26" t="s">
        <v>184</v>
      </c>
      <c r="J3531" s="26" t="s">
        <v>427</v>
      </c>
      <c r="K3531" s="26" t="s">
        <v>360</v>
      </c>
      <c r="L3531" s="26" t="s">
        <v>79</v>
      </c>
      <c r="M3531" s="26" t="s">
        <v>77</v>
      </c>
      <c r="N3531" s="26">
        <v>58</v>
      </c>
      <c r="O3531" s="26">
        <v>22</v>
      </c>
      <c r="P3531" s="26">
        <v>36</v>
      </c>
      <c r="Q3531" s="26">
        <v>3</v>
      </c>
      <c r="R3531" s="26">
        <v>0</v>
      </c>
      <c r="S3531" s="26">
        <v>6</v>
      </c>
      <c r="T3531" s="26">
        <v>0</v>
      </c>
      <c r="U3531" s="26">
        <v>6</v>
      </c>
      <c r="V3531" s="26">
        <v>0</v>
      </c>
      <c r="W3531" s="26"/>
    </row>
    <row r="3532" spans="1:23" x14ac:dyDescent="0.25">
      <c r="A3532" s="26" t="s">
        <v>3971</v>
      </c>
      <c r="B3532" s="26" t="s">
        <v>1176</v>
      </c>
      <c r="C3532" s="26" t="s">
        <v>1177</v>
      </c>
      <c r="D3532" s="26" t="s">
        <v>218</v>
      </c>
      <c r="E3532" s="26" t="s">
        <v>1178</v>
      </c>
      <c r="F3532" s="26" t="s">
        <v>1179</v>
      </c>
      <c r="G3532" s="26" t="s">
        <v>182</v>
      </c>
      <c r="H3532" s="26" t="s">
        <v>370</v>
      </c>
      <c r="I3532" s="26" t="s">
        <v>184</v>
      </c>
      <c r="J3532" s="26" t="s">
        <v>322</v>
      </c>
      <c r="K3532" s="26" t="s">
        <v>360</v>
      </c>
      <c r="L3532" s="26" t="s">
        <v>79</v>
      </c>
      <c r="M3532" s="26" t="s">
        <v>77</v>
      </c>
      <c r="N3532" s="26">
        <v>105</v>
      </c>
      <c r="O3532" s="26">
        <v>47</v>
      </c>
      <c r="P3532" s="26">
        <v>58</v>
      </c>
      <c r="Q3532" s="26">
        <v>5</v>
      </c>
      <c r="R3532" s="26">
        <v>0</v>
      </c>
      <c r="S3532" s="26">
        <v>15</v>
      </c>
      <c r="T3532" s="26">
        <v>0</v>
      </c>
      <c r="U3532" s="26">
        <v>15</v>
      </c>
      <c r="V3532" s="26">
        <v>0</v>
      </c>
      <c r="W3532" s="26"/>
    </row>
    <row r="3533" spans="1:23" x14ac:dyDescent="0.25">
      <c r="A3533" s="26" t="s">
        <v>3971</v>
      </c>
      <c r="B3533" s="26" t="s">
        <v>1180</v>
      </c>
      <c r="C3533" s="26" t="s">
        <v>1181</v>
      </c>
      <c r="D3533" s="26" t="s">
        <v>218</v>
      </c>
      <c r="E3533" s="26" t="s">
        <v>1182</v>
      </c>
      <c r="F3533" s="26" t="s">
        <v>247</v>
      </c>
      <c r="G3533" s="26" t="s">
        <v>198</v>
      </c>
      <c r="H3533" s="26" t="s">
        <v>395</v>
      </c>
      <c r="I3533" s="26" t="s">
        <v>184</v>
      </c>
      <c r="J3533" s="26" t="s">
        <v>375</v>
      </c>
      <c r="K3533" s="26" t="s">
        <v>360</v>
      </c>
      <c r="L3533" s="26" t="s">
        <v>79</v>
      </c>
      <c r="M3533" s="26" t="s">
        <v>77</v>
      </c>
      <c r="N3533" s="26">
        <v>87</v>
      </c>
      <c r="O3533" s="26">
        <v>44</v>
      </c>
      <c r="P3533" s="26">
        <v>43</v>
      </c>
      <c r="Q3533" s="26">
        <v>5</v>
      </c>
      <c r="R3533" s="26">
        <v>0</v>
      </c>
      <c r="S3533" s="26">
        <v>3</v>
      </c>
      <c r="T3533" s="26">
        <v>0</v>
      </c>
      <c r="U3533" s="26">
        <v>3</v>
      </c>
      <c r="V3533" s="26">
        <v>0</v>
      </c>
      <c r="W3533" s="26"/>
    </row>
    <row r="3534" spans="1:23" x14ac:dyDescent="0.25">
      <c r="A3534" s="26" t="s">
        <v>3971</v>
      </c>
      <c r="B3534" s="26" t="s">
        <v>1183</v>
      </c>
      <c r="C3534" s="26" t="s">
        <v>1184</v>
      </c>
      <c r="D3534" s="26" t="s">
        <v>218</v>
      </c>
      <c r="E3534" s="26" t="s">
        <v>1185</v>
      </c>
      <c r="F3534" s="26" t="s">
        <v>1025</v>
      </c>
      <c r="G3534" s="26" t="s">
        <v>204</v>
      </c>
      <c r="H3534" s="26" t="s">
        <v>1026</v>
      </c>
      <c r="I3534" s="26" t="s">
        <v>184</v>
      </c>
      <c r="J3534" s="26" t="s">
        <v>322</v>
      </c>
      <c r="K3534" s="26" t="s">
        <v>360</v>
      </c>
      <c r="L3534" s="26" t="s">
        <v>79</v>
      </c>
      <c r="M3534" s="26" t="s">
        <v>77</v>
      </c>
      <c r="N3534" s="26">
        <v>180</v>
      </c>
      <c r="O3534" s="26">
        <v>95</v>
      </c>
      <c r="P3534" s="26">
        <v>85</v>
      </c>
      <c r="Q3534" s="26">
        <v>5</v>
      </c>
      <c r="R3534" s="26">
        <v>0</v>
      </c>
      <c r="S3534" s="26">
        <v>30</v>
      </c>
      <c r="T3534" s="26">
        <v>0</v>
      </c>
      <c r="U3534" s="26">
        <v>30</v>
      </c>
      <c r="V3534" s="26">
        <v>0</v>
      </c>
      <c r="W3534" s="26"/>
    </row>
    <row r="3535" spans="1:23" x14ac:dyDescent="0.25">
      <c r="A3535" s="26" t="s">
        <v>3971</v>
      </c>
      <c r="B3535" s="26" t="s">
        <v>1186</v>
      </c>
      <c r="C3535" s="26" t="s">
        <v>1187</v>
      </c>
      <c r="D3535" s="26" t="s">
        <v>218</v>
      </c>
      <c r="E3535" s="26" t="s">
        <v>1188</v>
      </c>
      <c r="F3535" s="26" t="s">
        <v>1189</v>
      </c>
      <c r="G3535" s="26" t="s">
        <v>487</v>
      </c>
      <c r="H3535" s="26" t="s">
        <v>926</v>
      </c>
      <c r="I3535" s="26" t="s">
        <v>184</v>
      </c>
      <c r="J3535" s="26" t="s">
        <v>375</v>
      </c>
      <c r="K3535" s="26" t="s">
        <v>360</v>
      </c>
      <c r="L3535" s="26" t="s">
        <v>79</v>
      </c>
      <c r="M3535" s="26" t="s">
        <v>77</v>
      </c>
      <c r="N3535" s="26">
        <v>31</v>
      </c>
      <c r="O3535" s="26">
        <v>18</v>
      </c>
      <c r="P3535" s="26">
        <v>13</v>
      </c>
      <c r="Q3535" s="26">
        <v>5</v>
      </c>
      <c r="R3535" s="26">
        <v>0</v>
      </c>
      <c r="S3535" s="26">
        <v>2</v>
      </c>
      <c r="T3535" s="26">
        <v>0</v>
      </c>
      <c r="U3535" s="26">
        <v>2</v>
      </c>
      <c r="V3535" s="26">
        <v>0</v>
      </c>
      <c r="W3535" s="26"/>
    </row>
    <row r="3536" spans="1:23" x14ac:dyDescent="0.25">
      <c r="A3536" s="26" t="s">
        <v>3971</v>
      </c>
      <c r="B3536" s="26" t="s">
        <v>1190</v>
      </c>
      <c r="C3536" s="26" t="s">
        <v>1191</v>
      </c>
      <c r="D3536" s="26" t="s">
        <v>218</v>
      </c>
      <c r="E3536" s="26" t="s">
        <v>1192</v>
      </c>
      <c r="F3536" s="26" t="s">
        <v>1193</v>
      </c>
      <c r="G3536" s="26" t="s">
        <v>637</v>
      </c>
      <c r="H3536" s="26" t="s">
        <v>638</v>
      </c>
      <c r="I3536" s="26" t="s">
        <v>184</v>
      </c>
      <c r="J3536" s="26" t="s">
        <v>427</v>
      </c>
      <c r="K3536" s="26" t="s">
        <v>360</v>
      </c>
      <c r="L3536" s="26" t="s">
        <v>79</v>
      </c>
      <c r="M3536" s="26" t="s">
        <v>77</v>
      </c>
      <c r="N3536" s="26">
        <v>36</v>
      </c>
      <c r="O3536" s="26">
        <v>18</v>
      </c>
      <c r="P3536" s="26">
        <v>18</v>
      </c>
      <c r="Q3536" s="26">
        <v>5</v>
      </c>
      <c r="R3536" s="26">
        <v>0</v>
      </c>
      <c r="S3536" s="26">
        <v>2</v>
      </c>
      <c r="T3536" s="26">
        <v>0</v>
      </c>
      <c r="U3536" s="26">
        <v>2</v>
      </c>
      <c r="V3536" s="26">
        <v>0</v>
      </c>
      <c r="W3536" s="26"/>
    </row>
    <row r="3537" spans="1:23" x14ac:dyDescent="0.25">
      <c r="A3537" s="26" t="s">
        <v>3971</v>
      </c>
      <c r="B3537" s="26" t="s">
        <v>1194</v>
      </c>
      <c r="C3537" s="26" t="s">
        <v>1195</v>
      </c>
      <c r="D3537" s="26" t="s">
        <v>218</v>
      </c>
      <c r="E3537" s="26" t="s">
        <v>1196</v>
      </c>
      <c r="F3537" s="26" t="s">
        <v>1073</v>
      </c>
      <c r="G3537" s="26" t="s">
        <v>182</v>
      </c>
      <c r="H3537" s="26" t="s">
        <v>461</v>
      </c>
      <c r="I3537" s="26" t="s">
        <v>184</v>
      </c>
      <c r="J3537" s="26" t="s">
        <v>322</v>
      </c>
      <c r="K3537" s="26" t="s">
        <v>360</v>
      </c>
      <c r="L3537" s="26" t="s">
        <v>79</v>
      </c>
      <c r="M3537" s="26" t="s">
        <v>77</v>
      </c>
      <c r="N3537" s="26">
        <v>71</v>
      </c>
      <c r="O3537" s="26">
        <v>38</v>
      </c>
      <c r="P3537" s="26">
        <v>33</v>
      </c>
      <c r="Q3537" s="26">
        <v>5</v>
      </c>
      <c r="R3537" s="26">
        <v>0</v>
      </c>
      <c r="S3537" s="26">
        <v>4</v>
      </c>
      <c r="T3537" s="26">
        <v>0</v>
      </c>
      <c r="U3537" s="26">
        <v>4</v>
      </c>
      <c r="V3537" s="26">
        <v>0</v>
      </c>
      <c r="W3537" s="26"/>
    </row>
    <row r="3538" spans="1:23" x14ac:dyDescent="0.25">
      <c r="A3538" s="26" t="s">
        <v>3971</v>
      </c>
      <c r="B3538" s="26" t="s">
        <v>1197</v>
      </c>
      <c r="C3538" s="26" t="s">
        <v>1198</v>
      </c>
      <c r="D3538" s="26" t="s">
        <v>179</v>
      </c>
      <c r="E3538" s="26" t="s">
        <v>1199</v>
      </c>
      <c r="F3538" s="26" t="s">
        <v>379</v>
      </c>
      <c r="G3538" s="26" t="s">
        <v>182</v>
      </c>
      <c r="H3538" s="26" t="s">
        <v>399</v>
      </c>
      <c r="I3538" s="26" t="s">
        <v>184</v>
      </c>
      <c r="J3538" s="26" t="s">
        <v>322</v>
      </c>
      <c r="K3538" s="26" t="s">
        <v>360</v>
      </c>
      <c r="L3538" s="26" t="s">
        <v>79</v>
      </c>
      <c r="M3538" s="26" t="s">
        <v>77</v>
      </c>
      <c r="N3538" s="26">
        <v>95</v>
      </c>
      <c r="O3538" s="26">
        <v>44</v>
      </c>
      <c r="P3538" s="26">
        <v>51</v>
      </c>
      <c r="Q3538" s="26">
        <v>6</v>
      </c>
      <c r="R3538" s="26">
        <v>0</v>
      </c>
      <c r="S3538" s="26">
        <v>11</v>
      </c>
      <c r="T3538" s="26">
        <v>0</v>
      </c>
      <c r="U3538" s="26">
        <v>11</v>
      </c>
      <c r="V3538" s="26">
        <v>0</v>
      </c>
      <c r="W3538" s="26"/>
    </row>
    <row r="3539" spans="1:23" x14ac:dyDescent="0.25">
      <c r="A3539" s="26" t="s">
        <v>3971</v>
      </c>
      <c r="B3539" s="26" t="s">
        <v>1200</v>
      </c>
      <c r="C3539" s="26" t="s">
        <v>1201</v>
      </c>
      <c r="D3539" s="26" t="s">
        <v>179</v>
      </c>
      <c r="E3539" s="26" t="s">
        <v>1202</v>
      </c>
      <c r="F3539" s="26" t="s">
        <v>260</v>
      </c>
      <c r="G3539" s="26" t="s">
        <v>198</v>
      </c>
      <c r="H3539" s="26" t="s">
        <v>431</v>
      </c>
      <c r="I3539" s="26" t="s">
        <v>184</v>
      </c>
      <c r="J3539" s="26" t="s">
        <v>375</v>
      </c>
      <c r="K3539" s="26" t="s">
        <v>360</v>
      </c>
      <c r="L3539" s="26" t="s">
        <v>79</v>
      </c>
      <c r="M3539" s="26" t="s">
        <v>77</v>
      </c>
      <c r="N3539" s="26">
        <v>23</v>
      </c>
      <c r="O3539" s="26">
        <v>10</v>
      </c>
      <c r="P3539" s="26">
        <v>13</v>
      </c>
      <c r="Q3539" s="26">
        <v>3</v>
      </c>
      <c r="R3539" s="26">
        <v>0</v>
      </c>
      <c r="S3539" s="26">
        <v>6</v>
      </c>
      <c r="T3539" s="26">
        <v>0</v>
      </c>
      <c r="U3539" s="26">
        <v>6</v>
      </c>
      <c r="V3539" s="26">
        <v>0</v>
      </c>
      <c r="W3539" s="26"/>
    </row>
    <row r="3540" spans="1:23" x14ac:dyDescent="0.25">
      <c r="A3540" s="26" t="s">
        <v>3971</v>
      </c>
      <c r="B3540" s="26" t="s">
        <v>1203</v>
      </c>
      <c r="C3540" s="26" t="s">
        <v>1204</v>
      </c>
      <c r="D3540" s="26" t="s">
        <v>179</v>
      </c>
      <c r="E3540" s="26" t="s">
        <v>1205</v>
      </c>
      <c r="F3540" s="26" t="s">
        <v>231</v>
      </c>
      <c r="G3540" s="26" t="s">
        <v>198</v>
      </c>
      <c r="H3540" s="26" t="s">
        <v>403</v>
      </c>
      <c r="I3540" s="26" t="s">
        <v>184</v>
      </c>
      <c r="J3540" s="26" t="s">
        <v>375</v>
      </c>
      <c r="K3540" s="26" t="s">
        <v>360</v>
      </c>
      <c r="L3540" s="26" t="s">
        <v>79</v>
      </c>
      <c r="M3540" s="26" t="s">
        <v>77</v>
      </c>
      <c r="N3540" s="26">
        <v>26</v>
      </c>
      <c r="O3540" s="26">
        <v>14</v>
      </c>
      <c r="P3540" s="26">
        <v>12</v>
      </c>
      <c r="Q3540" s="26">
        <v>3</v>
      </c>
      <c r="R3540" s="26">
        <v>0</v>
      </c>
      <c r="S3540" s="26">
        <v>3</v>
      </c>
      <c r="T3540" s="26">
        <v>0</v>
      </c>
      <c r="U3540" s="26">
        <v>3</v>
      </c>
      <c r="V3540" s="26">
        <v>0</v>
      </c>
      <c r="W3540" s="26"/>
    </row>
    <row r="3541" spans="1:23" x14ac:dyDescent="0.25">
      <c r="A3541" s="26" t="s">
        <v>3971</v>
      </c>
      <c r="B3541" s="26" t="s">
        <v>1206</v>
      </c>
      <c r="C3541" s="26" t="s">
        <v>1207</v>
      </c>
      <c r="D3541" s="26" t="s">
        <v>218</v>
      </c>
      <c r="E3541" s="26" t="s">
        <v>1208</v>
      </c>
      <c r="F3541" s="26" t="s">
        <v>1209</v>
      </c>
      <c r="G3541" s="26" t="s">
        <v>210</v>
      </c>
      <c r="H3541" s="26" t="s">
        <v>1069</v>
      </c>
      <c r="I3541" s="26" t="s">
        <v>184</v>
      </c>
      <c r="J3541" s="26" t="s">
        <v>322</v>
      </c>
      <c r="K3541" s="26" t="s">
        <v>360</v>
      </c>
      <c r="L3541" s="26" t="s">
        <v>79</v>
      </c>
      <c r="M3541" s="26" t="s">
        <v>77</v>
      </c>
      <c r="N3541" s="26">
        <v>43</v>
      </c>
      <c r="O3541" s="26">
        <v>20</v>
      </c>
      <c r="P3541" s="26">
        <v>23</v>
      </c>
      <c r="Q3541" s="26">
        <v>2</v>
      </c>
      <c r="R3541" s="26">
        <v>0</v>
      </c>
      <c r="S3541" s="26">
        <v>1</v>
      </c>
      <c r="T3541" s="26">
        <v>0</v>
      </c>
      <c r="U3541" s="26">
        <v>1</v>
      </c>
      <c r="V3541" s="26">
        <v>0</v>
      </c>
      <c r="W3541" s="26"/>
    </row>
    <row r="3542" spans="1:23" x14ac:dyDescent="0.25">
      <c r="A3542" s="26" t="s">
        <v>3971</v>
      </c>
      <c r="B3542" s="26" t="s">
        <v>1210</v>
      </c>
      <c r="C3542" s="26" t="s">
        <v>1211</v>
      </c>
      <c r="D3542" s="26" t="s">
        <v>218</v>
      </c>
      <c r="E3542" s="26" t="s">
        <v>1212</v>
      </c>
      <c r="F3542" s="26" t="s">
        <v>1209</v>
      </c>
      <c r="G3542" s="26" t="s">
        <v>210</v>
      </c>
      <c r="H3542" s="26" t="s">
        <v>1069</v>
      </c>
      <c r="I3542" s="26" t="s">
        <v>184</v>
      </c>
      <c r="J3542" s="26" t="s">
        <v>322</v>
      </c>
      <c r="K3542" s="26" t="s">
        <v>360</v>
      </c>
      <c r="L3542" s="26" t="s">
        <v>79</v>
      </c>
      <c r="M3542" s="26" t="s">
        <v>77</v>
      </c>
      <c r="N3542" s="26">
        <v>46</v>
      </c>
      <c r="O3542" s="26">
        <v>17</v>
      </c>
      <c r="P3542" s="26">
        <v>29</v>
      </c>
      <c r="Q3542" s="26">
        <v>2</v>
      </c>
      <c r="R3542" s="26">
        <v>0</v>
      </c>
      <c r="S3542" s="26">
        <v>1</v>
      </c>
      <c r="T3542" s="26">
        <v>0</v>
      </c>
      <c r="U3542" s="26">
        <v>1</v>
      </c>
      <c r="V3542" s="26">
        <v>0</v>
      </c>
      <c r="W3542" s="26"/>
    </row>
    <row r="3543" spans="1:23" x14ac:dyDescent="0.25">
      <c r="A3543" s="26" t="s">
        <v>3971</v>
      </c>
      <c r="B3543" s="26" t="s">
        <v>1213</v>
      </c>
      <c r="C3543" s="26" t="s">
        <v>1214</v>
      </c>
      <c r="D3543" s="26" t="s">
        <v>179</v>
      </c>
      <c r="E3543" s="26" t="s">
        <v>1215</v>
      </c>
      <c r="F3543" s="26" t="s">
        <v>220</v>
      </c>
      <c r="G3543" s="26" t="s">
        <v>182</v>
      </c>
      <c r="H3543" s="26" t="s">
        <v>563</v>
      </c>
      <c r="I3543" s="26" t="s">
        <v>184</v>
      </c>
      <c r="J3543" s="26" t="s">
        <v>322</v>
      </c>
      <c r="K3543" s="26" t="s">
        <v>360</v>
      </c>
      <c r="L3543" s="26" t="s">
        <v>79</v>
      </c>
      <c r="M3543" s="26" t="s">
        <v>77</v>
      </c>
      <c r="N3543" s="26">
        <v>51</v>
      </c>
      <c r="O3543" s="26">
        <v>20</v>
      </c>
      <c r="P3543" s="26">
        <v>31</v>
      </c>
      <c r="Q3543" s="26">
        <v>3</v>
      </c>
      <c r="R3543" s="26">
        <v>0</v>
      </c>
      <c r="S3543" s="26">
        <v>6</v>
      </c>
      <c r="T3543" s="26">
        <v>0</v>
      </c>
      <c r="U3543" s="26">
        <v>6</v>
      </c>
      <c r="V3543" s="26">
        <v>0</v>
      </c>
      <c r="W3543" s="26"/>
    </row>
    <row r="3544" spans="1:23" x14ac:dyDescent="0.25">
      <c r="A3544" s="26" t="s">
        <v>3971</v>
      </c>
      <c r="B3544" s="26" t="s">
        <v>1216</v>
      </c>
      <c r="C3544" s="26" t="s">
        <v>1217</v>
      </c>
      <c r="D3544" s="26" t="s">
        <v>179</v>
      </c>
      <c r="E3544" s="26" t="s">
        <v>1218</v>
      </c>
      <c r="F3544" s="26" t="s">
        <v>1219</v>
      </c>
      <c r="G3544" s="26" t="s">
        <v>278</v>
      </c>
      <c r="H3544" s="26" t="s">
        <v>623</v>
      </c>
      <c r="I3544" s="26" t="s">
        <v>184</v>
      </c>
      <c r="J3544" s="26" t="s">
        <v>375</v>
      </c>
      <c r="K3544" s="26" t="s">
        <v>360</v>
      </c>
      <c r="L3544" s="26" t="s">
        <v>79</v>
      </c>
      <c r="M3544" s="26" t="s">
        <v>77</v>
      </c>
      <c r="N3544" s="26">
        <v>26</v>
      </c>
      <c r="O3544" s="26">
        <v>17</v>
      </c>
      <c r="P3544" s="26">
        <v>9</v>
      </c>
      <c r="Q3544" s="26">
        <v>3</v>
      </c>
      <c r="R3544" s="26">
        <v>0</v>
      </c>
      <c r="S3544" s="26">
        <v>4</v>
      </c>
      <c r="T3544" s="26">
        <v>0</v>
      </c>
      <c r="U3544" s="26">
        <v>4</v>
      </c>
      <c r="V3544" s="26">
        <v>0</v>
      </c>
      <c r="W3544" s="26"/>
    </row>
    <row r="3545" spans="1:23" x14ac:dyDescent="0.25">
      <c r="A3545" s="26" t="s">
        <v>3971</v>
      </c>
      <c r="B3545" s="26" t="s">
        <v>1220</v>
      </c>
      <c r="C3545" s="26" t="s">
        <v>1221</v>
      </c>
      <c r="D3545" s="26" t="s">
        <v>218</v>
      </c>
      <c r="E3545" s="26" t="s">
        <v>1222</v>
      </c>
      <c r="F3545" s="26" t="s">
        <v>1126</v>
      </c>
      <c r="G3545" s="26" t="s">
        <v>278</v>
      </c>
      <c r="H3545" s="26" t="s">
        <v>578</v>
      </c>
      <c r="I3545" s="26" t="s">
        <v>184</v>
      </c>
      <c r="J3545" s="26" t="s">
        <v>375</v>
      </c>
      <c r="K3545" s="26" t="s">
        <v>360</v>
      </c>
      <c r="L3545" s="26" t="s">
        <v>79</v>
      </c>
      <c r="M3545" s="26" t="s">
        <v>77</v>
      </c>
      <c r="N3545" s="26">
        <v>52</v>
      </c>
      <c r="O3545" s="26">
        <v>26</v>
      </c>
      <c r="P3545" s="26">
        <v>26</v>
      </c>
      <c r="Q3545" s="26">
        <v>5</v>
      </c>
      <c r="R3545" s="26">
        <v>0</v>
      </c>
      <c r="S3545" s="26">
        <v>18</v>
      </c>
      <c r="T3545" s="26">
        <v>0</v>
      </c>
      <c r="U3545" s="26">
        <v>18</v>
      </c>
      <c r="V3545" s="26">
        <v>0</v>
      </c>
      <c r="W3545" s="26"/>
    </row>
    <row r="3546" spans="1:23" x14ac:dyDescent="0.25">
      <c r="A3546" s="26" t="s">
        <v>3971</v>
      </c>
      <c r="B3546" s="26" t="s">
        <v>1223</v>
      </c>
      <c r="C3546" s="26" t="s">
        <v>1224</v>
      </c>
      <c r="D3546" s="26" t="s">
        <v>218</v>
      </c>
      <c r="E3546" s="26" t="s">
        <v>1225</v>
      </c>
      <c r="F3546" s="26" t="s">
        <v>967</v>
      </c>
      <c r="G3546" s="26" t="s">
        <v>182</v>
      </c>
      <c r="H3546" s="26" t="s">
        <v>370</v>
      </c>
      <c r="I3546" s="26" t="s">
        <v>184</v>
      </c>
      <c r="J3546" s="26" t="s">
        <v>322</v>
      </c>
      <c r="K3546" s="26" t="s">
        <v>360</v>
      </c>
      <c r="L3546" s="26" t="s">
        <v>79</v>
      </c>
      <c r="M3546" s="26" t="s">
        <v>77</v>
      </c>
      <c r="N3546" s="26">
        <v>27</v>
      </c>
      <c r="O3546" s="26">
        <v>13</v>
      </c>
      <c r="P3546" s="26">
        <v>14</v>
      </c>
      <c r="Q3546" s="26">
        <v>2</v>
      </c>
      <c r="R3546" s="26">
        <v>0</v>
      </c>
      <c r="S3546" s="26">
        <v>1</v>
      </c>
      <c r="T3546" s="26">
        <v>0</v>
      </c>
      <c r="U3546" s="26">
        <v>1</v>
      </c>
      <c r="V3546" s="26">
        <v>0</v>
      </c>
      <c r="W3546" s="26"/>
    </row>
    <row r="3547" spans="1:23" x14ac:dyDescent="0.25">
      <c r="A3547" s="26" t="s">
        <v>3971</v>
      </c>
      <c r="B3547" s="26" t="s">
        <v>1226</v>
      </c>
      <c r="C3547" s="26" t="s">
        <v>1227</v>
      </c>
      <c r="D3547" s="26" t="s">
        <v>179</v>
      </c>
      <c r="E3547" s="26" t="s">
        <v>1228</v>
      </c>
      <c r="F3547" s="26" t="s">
        <v>181</v>
      </c>
      <c r="G3547" s="26" t="s">
        <v>182</v>
      </c>
      <c r="H3547" s="26" t="s">
        <v>440</v>
      </c>
      <c r="I3547" s="26" t="s">
        <v>184</v>
      </c>
      <c r="J3547" s="26" t="s">
        <v>322</v>
      </c>
      <c r="K3547" s="26" t="s">
        <v>360</v>
      </c>
      <c r="L3547" s="26" t="s">
        <v>79</v>
      </c>
      <c r="M3547" s="26" t="s">
        <v>77</v>
      </c>
      <c r="N3547" s="26">
        <v>134</v>
      </c>
      <c r="O3547" s="26">
        <v>70</v>
      </c>
      <c r="P3547" s="26">
        <v>64</v>
      </c>
      <c r="Q3547" s="26">
        <v>6</v>
      </c>
      <c r="R3547" s="26">
        <v>0</v>
      </c>
      <c r="S3547" s="26">
        <v>33</v>
      </c>
      <c r="T3547" s="26">
        <v>0</v>
      </c>
      <c r="U3547" s="26">
        <v>33</v>
      </c>
      <c r="V3547" s="26">
        <v>0</v>
      </c>
      <c r="W3547" s="26"/>
    </row>
    <row r="3548" spans="1:23" x14ac:dyDescent="0.25">
      <c r="A3548" s="26" t="s">
        <v>3971</v>
      </c>
      <c r="B3548" s="26" t="s">
        <v>1255</v>
      </c>
      <c r="C3548" s="26" t="s">
        <v>1256</v>
      </c>
      <c r="D3548" s="26" t="s">
        <v>218</v>
      </c>
      <c r="E3548" s="26" t="s">
        <v>1257</v>
      </c>
      <c r="F3548" s="26" t="s">
        <v>1258</v>
      </c>
      <c r="G3548" s="26" t="s">
        <v>293</v>
      </c>
      <c r="H3548" s="26" t="s">
        <v>351</v>
      </c>
      <c r="I3548" s="26" t="s">
        <v>1259</v>
      </c>
      <c r="J3548" s="26" t="s">
        <v>503</v>
      </c>
      <c r="K3548" s="26" t="s">
        <v>296</v>
      </c>
      <c r="L3548" s="26" t="s">
        <v>80</v>
      </c>
      <c r="M3548" s="26" t="s">
        <v>77</v>
      </c>
      <c r="N3548" s="26">
        <v>48</v>
      </c>
      <c r="O3548" s="26">
        <v>19</v>
      </c>
      <c r="P3548" s="26">
        <v>29</v>
      </c>
      <c r="Q3548" s="26">
        <v>3</v>
      </c>
      <c r="R3548" s="26">
        <v>0</v>
      </c>
      <c r="S3548" s="26">
        <v>3</v>
      </c>
      <c r="T3548" s="26">
        <v>0</v>
      </c>
      <c r="U3548" s="26">
        <v>3</v>
      </c>
      <c r="V3548" s="26">
        <v>0</v>
      </c>
      <c r="W3548" s="26"/>
    </row>
    <row r="3549" spans="1:23" x14ac:dyDescent="0.25">
      <c r="A3549" s="26" t="s">
        <v>3971</v>
      </c>
      <c r="B3549" s="26" t="s">
        <v>1260</v>
      </c>
      <c r="C3549" s="26" t="s">
        <v>1261</v>
      </c>
      <c r="D3549" s="26" t="s">
        <v>218</v>
      </c>
      <c r="E3549" s="26" t="s">
        <v>1262</v>
      </c>
      <c r="F3549" s="26" t="s">
        <v>1263</v>
      </c>
      <c r="G3549" s="26" t="s">
        <v>293</v>
      </c>
      <c r="H3549" s="26" t="s">
        <v>294</v>
      </c>
      <c r="I3549" s="26" t="s">
        <v>1259</v>
      </c>
      <c r="J3549" s="26" t="s">
        <v>1145</v>
      </c>
      <c r="K3549" s="26" t="s">
        <v>296</v>
      </c>
      <c r="L3549" s="26" t="s">
        <v>80</v>
      </c>
      <c r="M3549" s="26" t="s">
        <v>77</v>
      </c>
      <c r="N3549" s="26">
        <v>51</v>
      </c>
      <c r="O3549" s="26">
        <v>23</v>
      </c>
      <c r="P3549" s="26">
        <v>28</v>
      </c>
      <c r="Q3549" s="26">
        <v>3</v>
      </c>
      <c r="R3549" s="26">
        <v>0</v>
      </c>
      <c r="S3549" s="26">
        <v>4</v>
      </c>
      <c r="T3549" s="26">
        <v>0</v>
      </c>
      <c r="U3549" s="26">
        <v>4</v>
      </c>
      <c r="V3549" s="26">
        <v>0</v>
      </c>
      <c r="W3549" s="26"/>
    </row>
    <row r="3550" spans="1:23" x14ac:dyDescent="0.25">
      <c r="A3550" s="26" t="s">
        <v>3971</v>
      </c>
      <c r="B3550" s="26" t="s">
        <v>1264</v>
      </c>
      <c r="C3550" s="26" t="s">
        <v>1265</v>
      </c>
      <c r="D3550" s="26" t="s">
        <v>218</v>
      </c>
      <c r="E3550" s="26" t="s">
        <v>1266</v>
      </c>
      <c r="F3550" s="26" t="s">
        <v>1267</v>
      </c>
      <c r="G3550" s="26" t="s">
        <v>293</v>
      </c>
      <c r="H3550" s="26" t="s">
        <v>294</v>
      </c>
      <c r="I3550" s="26" t="s">
        <v>1259</v>
      </c>
      <c r="J3550" s="26" t="s">
        <v>1145</v>
      </c>
      <c r="K3550" s="26" t="s">
        <v>296</v>
      </c>
      <c r="L3550" s="26" t="s">
        <v>80</v>
      </c>
      <c r="M3550" s="26" t="s">
        <v>77</v>
      </c>
      <c r="N3550" s="26">
        <v>48</v>
      </c>
      <c r="O3550" s="26">
        <v>22</v>
      </c>
      <c r="P3550" s="26">
        <v>26</v>
      </c>
      <c r="Q3550" s="26">
        <v>3</v>
      </c>
      <c r="R3550" s="26">
        <v>0</v>
      </c>
      <c r="S3550" s="26">
        <v>1</v>
      </c>
      <c r="T3550" s="26">
        <v>0</v>
      </c>
      <c r="U3550" s="26">
        <v>1</v>
      </c>
      <c r="V3550" s="26">
        <v>0</v>
      </c>
      <c r="W3550" s="26"/>
    </row>
    <row r="3551" spans="1:23" x14ac:dyDescent="0.25">
      <c r="A3551" s="26" t="s">
        <v>3971</v>
      </c>
      <c r="B3551" s="26" t="s">
        <v>1300</v>
      </c>
      <c r="C3551" s="26" t="s">
        <v>1301</v>
      </c>
      <c r="D3551" s="26" t="s">
        <v>179</v>
      </c>
      <c r="E3551" s="26" t="s">
        <v>1302</v>
      </c>
      <c r="F3551" s="26" t="s">
        <v>815</v>
      </c>
      <c r="G3551" s="26" t="s">
        <v>413</v>
      </c>
      <c r="H3551" s="26" t="s">
        <v>787</v>
      </c>
      <c r="I3551" s="26" t="s">
        <v>184</v>
      </c>
      <c r="J3551" s="26" t="s">
        <v>375</v>
      </c>
      <c r="K3551" s="26" t="s">
        <v>360</v>
      </c>
      <c r="L3551" s="26" t="s">
        <v>79</v>
      </c>
      <c r="M3551" s="26" t="s">
        <v>77</v>
      </c>
      <c r="N3551" s="26">
        <v>50</v>
      </c>
      <c r="O3551" s="26">
        <v>22</v>
      </c>
      <c r="P3551" s="26">
        <v>28</v>
      </c>
      <c r="Q3551" s="26">
        <v>3</v>
      </c>
      <c r="R3551" s="26">
        <v>0</v>
      </c>
      <c r="S3551" s="26">
        <v>7</v>
      </c>
      <c r="T3551" s="26">
        <v>0</v>
      </c>
      <c r="U3551" s="26">
        <v>7</v>
      </c>
      <c r="V3551" s="26">
        <v>0</v>
      </c>
      <c r="W3551" s="26"/>
    </row>
    <row r="3552" spans="1:23" x14ac:dyDescent="0.25">
      <c r="A3552" s="26" t="s">
        <v>3971</v>
      </c>
      <c r="B3552" s="26" t="s">
        <v>1308</v>
      </c>
      <c r="C3552" s="26" t="s">
        <v>1309</v>
      </c>
      <c r="D3552" s="26" t="s">
        <v>179</v>
      </c>
      <c r="E3552" s="26" t="s">
        <v>1310</v>
      </c>
      <c r="F3552" s="26" t="s">
        <v>243</v>
      </c>
      <c r="G3552" s="26" t="s">
        <v>210</v>
      </c>
      <c r="H3552" s="26" t="s">
        <v>332</v>
      </c>
      <c r="I3552" s="26" t="s">
        <v>184</v>
      </c>
      <c r="J3552" s="26" t="s">
        <v>322</v>
      </c>
      <c r="K3552" s="26" t="s">
        <v>381</v>
      </c>
      <c r="L3552" s="26" t="s">
        <v>79</v>
      </c>
      <c r="M3552" s="26" t="s">
        <v>77</v>
      </c>
      <c r="N3552" s="26">
        <v>29</v>
      </c>
      <c r="O3552" s="26">
        <v>15</v>
      </c>
      <c r="P3552" s="26">
        <v>14</v>
      </c>
      <c r="Q3552" s="26">
        <v>3</v>
      </c>
      <c r="R3552" s="26">
        <v>0</v>
      </c>
      <c r="S3552" s="26">
        <v>6</v>
      </c>
      <c r="T3552" s="26">
        <v>0</v>
      </c>
      <c r="U3552" s="26">
        <v>6</v>
      </c>
      <c r="V3552" s="26">
        <v>0</v>
      </c>
      <c r="W3552" s="26"/>
    </row>
    <row r="3553" spans="1:23" x14ac:dyDescent="0.25">
      <c r="A3553" s="26" t="s">
        <v>3971</v>
      </c>
      <c r="B3553" s="26" t="s">
        <v>1311</v>
      </c>
      <c r="C3553" s="26" t="s">
        <v>1312</v>
      </c>
      <c r="D3553" s="26" t="s">
        <v>179</v>
      </c>
      <c r="E3553" s="26" t="s">
        <v>1313</v>
      </c>
      <c r="F3553" s="26" t="s">
        <v>231</v>
      </c>
      <c r="G3553" s="26" t="s">
        <v>198</v>
      </c>
      <c r="H3553" s="26" t="s">
        <v>395</v>
      </c>
      <c r="I3553" s="26" t="s">
        <v>184</v>
      </c>
      <c r="J3553" s="26" t="s">
        <v>375</v>
      </c>
      <c r="K3553" s="26" t="s">
        <v>360</v>
      </c>
      <c r="L3553" s="26" t="s">
        <v>79</v>
      </c>
      <c r="M3553" s="26" t="s">
        <v>77</v>
      </c>
      <c r="N3553" s="26">
        <v>45</v>
      </c>
      <c r="O3553" s="26">
        <v>18</v>
      </c>
      <c r="P3553" s="26">
        <v>27</v>
      </c>
      <c r="Q3553" s="26">
        <v>4</v>
      </c>
      <c r="R3553" s="26">
        <v>0</v>
      </c>
      <c r="S3553" s="26">
        <v>8</v>
      </c>
      <c r="T3553" s="26">
        <v>0</v>
      </c>
      <c r="U3553" s="26">
        <v>8</v>
      </c>
      <c r="V3553" s="26">
        <v>0</v>
      </c>
      <c r="W3553" s="26"/>
    </row>
    <row r="3554" spans="1:23" x14ac:dyDescent="0.25">
      <c r="A3554" s="26" t="s">
        <v>3971</v>
      </c>
      <c r="B3554" s="26" t="s">
        <v>1316</v>
      </c>
      <c r="C3554" s="26" t="s">
        <v>1317</v>
      </c>
      <c r="D3554" s="26" t="s">
        <v>179</v>
      </c>
      <c r="E3554" s="26" t="s">
        <v>4003</v>
      </c>
      <c r="F3554" s="26" t="s">
        <v>282</v>
      </c>
      <c r="G3554" s="26" t="s">
        <v>265</v>
      </c>
      <c r="H3554" s="26" t="s">
        <v>756</v>
      </c>
      <c r="I3554" s="26" t="s">
        <v>184</v>
      </c>
      <c r="J3554" s="26" t="s">
        <v>322</v>
      </c>
      <c r="K3554" s="26" t="s">
        <v>360</v>
      </c>
      <c r="L3554" s="26" t="s">
        <v>79</v>
      </c>
      <c r="M3554" s="26" t="s">
        <v>77</v>
      </c>
      <c r="N3554" s="26">
        <v>40</v>
      </c>
      <c r="O3554" s="26">
        <v>20</v>
      </c>
      <c r="P3554" s="26">
        <v>20</v>
      </c>
      <c r="Q3554" s="26">
        <v>3</v>
      </c>
      <c r="R3554" s="26">
        <v>0</v>
      </c>
      <c r="S3554" s="26">
        <v>5</v>
      </c>
      <c r="T3554" s="26">
        <v>0</v>
      </c>
      <c r="U3554" s="26">
        <v>5</v>
      </c>
      <c r="V3554" s="26">
        <v>0</v>
      </c>
      <c r="W3554" s="26"/>
    </row>
    <row r="3555" spans="1:23" x14ac:dyDescent="0.25">
      <c r="A3555" s="26" t="s">
        <v>3971</v>
      </c>
      <c r="B3555" s="26" t="s">
        <v>1318</v>
      </c>
      <c r="C3555" s="26" t="s">
        <v>1319</v>
      </c>
      <c r="D3555" s="26" t="s">
        <v>179</v>
      </c>
      <c r="E3555" s="26" t="s">
        <v>1320</v>
      </c>
      <c r="F3555" s="26" t="s">
        <v>800</v>
      </c>
      <c r="G3555" s="26" t="s">
        <v>413</v>
      </c>
      <c r="H3555" s="26" t="s">
        <v>495</v>
      </c>
      <c r="I3555" s="26" t="s">
        <v>184</v>
      </c>
      <c r="J3555" s="26" t="s">
        <v>375</v>
      </c>
      <c r="K3555" s="26" t="s">
        <v>360</v>
      </c>
      <c r="L3555" s="26" t="s">
        <v>79</v>
      </c>
      <c r="M3555" s="26" t="s">
        <v>77</v>
      </c>
      <c r="N3555" s="26">
        <v>90</v>
      </c>
      <c r="O3555" s="26">
        <v>51</v>
      </c>
      <c r="P3555" s="26">
        <v>39</v>
      </c>
      <c r="Q3555" s="26">
        <v>6</v>
      </c>
      <c r="R3555" s="26">
        <v>0</v>
      </c>
      <c r="S3555" s="26">
        <v>24</v>
      </c>
      <c r="T3555" s="26">
        <v>0</v>
      </c>
      <c r="U3555" s="26">
        <v>24</v>
      </c>
      <c r="V3555" s="26">
        <v>0</v>
      </c>
      <c r="W3555" s="26"/>
    </row>
    <row r="3556" spans="1:23" x14ac:dyDescent="0.25">
      <c r="A3556" s="26" t="s">
        <v>3971</v>
      </c>
      <c r="B3556" s="26" t="s">
        <v>1321</v>
      </c>
      <c r="C3556" s="26" t="s">
        <v>1322</v>
      </c>
      <c r="D3556" s="26" t="s">
        <v>218</v>
      </c>
      <c r="E3556" s="26" t="s">
        <v>4</v>
      </c>
      <c r="F3556" s="26" t="s">
        <v>444</v>
      </c>
      <c r="G3556" s="26" t="s">
        <v>265</v>
      </c>
      <c r="H3556" s="26" t="s">
        <v>526</v>
      </c>
      <c r="I3556" s="26" t="s">
        <v>184</v>
      </c>
      <c r="J3556" s="26" t="s">
        <v>322</v>
      </c>
      <c r="K3556" s="26" t="s">
        <v>360</v>
      </c>
      <c r="L3556" s="26" t="s">
        <v>79</v>
      </c>
      <c r="M3556" s="26" t="s">
        <v>77</v>
      </c>
      <c r="N3556" s="26">
        <v>135</v>
      </c>
      <c r="O3556" s="26">
        <v>64</v>
      </c>
      <c r="P3556" s="26">
        <v>71</v>
      </c>
      <c r="Q3556" s="26">
        <v>5</v>
      </c>
      <c r="R3556" s="26">
        <v>0</v>
      </c>
      <c r="S3556" s="26">
        <v>15</v>
      </c>
      <c r="T3556" s="26">
        <v>0</v>
      </c>
      <c r="U3556" s="26">
        <v>15</v>
      </c>
      <c r="V3556" s="26">
        <v>0</v>
      </c>
      <c r="W3556" s="26"/>
    </row>
    <row r="3557" spans="1:23" x14ac:dyDescent="0.25">
      <c r="A3557" s="26" t="s">
        <v>3971</v>
      </c>
      <c r="B3557" s="26" t="s">
        <v>1323</v>
      </c>
      <c r="C3557" s="26" t="s">
        <v>1324</v>
      </c>
      <c r="D3557" s="26" t="s">
        <v>179</v>
      </c>
      <c r="E3557" s="26" t="s">
        <v>1325</v>
      </c>
      <c r="F3557" s="26" t="s">
        <v>598</v>
      </c>
      <c r="G3557" s="26" t="s">
        <v>182</v>
      </c>
      <c r="H3557" s="26" t="s">
        <v>390</v>
      </c>
      <c r="I3557" s="26" t="s">
        <v>184</v>
      </c>
      <c r="J3557" s="26" t="s">
        <v>322</v>
      </c>
      <c r="K3557" s="26" t="s">
        <v>360</v>
      </c>
      <c r="L3557" s="26" t="s">
        <v>79</v>
      </c>
      <c r="M3557" s="26" t="s">
        <v>77</v>
      </c>
      <c r="N3557" s="26">
        <v>68</v>
      </c>
      <c r="O3557" s="26">
        <v>32</v>
      </c>
      <c r="P3557" s="26">
        <v>36</v>
      </c>
      <c r="Q3557" s="26">
        <v>5</v>
      </c>
      <c r="R3557" s="26">
        <v>0</v>
      </c>
      <c r="S3557" s="26">
        <v>11</v>
      </c>
      <c r="T3557" s="26">
        <v>0</v>
      </c>
      <c r="U3557" s="26">
        <v>11</v>
      </c>
      <c r="V3557" s="26">
        <v>0</v>
      </c>
      <c r="W3557" s="26"/>
    </row>
    <row r="3558" spans="1:23" x14ac:dyDescent="0.25">
      <c r="A3558" s="26" t="s">
        <v>3971</v>
      </c>
      <c r="B3558" s="26" t="s">
        <v>1326</v>
      </c>
      <c r="C3558" s="26" t="s">
        <v>1327</v>
      </c>
      <c r="D3558" s="26" t="s">
        <v>179</v>
      </c>
      <c r="E3558" s="26" t="s">
        <v>1328</v>
      </c>
      <c r="F3558" s="26" t="s">
        <v>716</v>
      </c>
      <c r="G3558" s="26" t="s">
        <v>413</v>
      </c>
      <c r="H3558" s="26" t="s">
        <v>495</v>
      </c>
      <c r="I3558" s="26" t="s">
        <v>184</v>
      </c>
      <c r="J3558" s="26" t="s">
        <v>375</v>
      </c>
      <c r="K3558" s="26" t="s">
        <v>360</v>
      </c>
      <c r="L3558" s="26" t="s">
        <v>79</v>
      </c>
      <c r="M3558" s="26" t="s">
        <v>77</v>
      </c>
      <c r="N3558" s="26">
        <v>110</v>
      </c>
      <c r="O3558" s="26">
        <v>59</v>
      </c>
      <c r="P3558" s="26">
        <v>51</v>
      </c>
      <c r="Q3558" s="26">
        <v>6</v>
      </c>
      <c r="R3558" s="26">
        <v>0</v>
      </c>
      <c r="S3558" s="26">
        <v>14</v>
      </c>
      <c r="T3558" s="26">
        <v>0</v>
      </c>
      <c r="U3558" s="26">
        <v>14</v>
      </c>
      <c r="V3558" s="26">
        <v>0</v>
      </c>
      <c r="W3558" s="26"/>
    </row>
    <row r="3559" spans="1:23" x14ac:dyDescent="0.25">
      <c r="A3559" s="26" t="s">
        <v>3971</v>
      </c>
      <c r="B3559" s="26" t="s">
        <v>1329</v>
      </c>
      <c r="C3559" s="26" t="s">
        <v>1330</v>
      </c>
      <c r="D3559" s="26" t="s">
        <v>179</v>
      </c>
      <c r="E3559" s="26" t="s">
        <v>1331</v>
      </c>
      <c r="F3559" s="26" t="s">
        <v>1332</v>
      </c>
      <c r="G3559" s="26" t="s">
        <v>226</v>
      </c>
      <c r="H3559" s="26" t="s">
        <v>833</v>
      </c>
      <c r="I3559" s="26" t="s">
        <v>184</v>
      </c>
      <c r="J3559" s="26" t="s">
        <v>427</v>
      </c>
      <c r="K3559" s="26" t="s">
        <v>360</v>
      </c>
      <c r="L3559" s="26" t="s">
        <v>79</v>
      </c>
      <c r="M3559" s="26" t="s">
        <v>77</v>
      </c>
      <c r="N3559" s="26">
        <v>64</v>
      </c>
      <c r="O3559" s="26">
        <v>33</v>
      </c>
      <c r="P3559" s="26">
        <v>31</v>
      </c>
      <c r="Q3559" s="26">
        <v>3</v>
      </c>
      <c r="R3559" s="26">
        <v>0</v>
      </c>
      <c r="S3559" s="26">
        <v>4</v>
      </c>
      <c r="T3559" s="26">
        <v>0</v>
      </c>
      <c r="U3559" s="26">
        <v>4</v>
      </c>
      <c r="V3559" s="26">
        <v>0</v>
      </c>
      <c r="W3559" s="26"/>
    </row>
    <row r="3560" spans="1:23" x14ac:dyDescent="0.25">
      <c r="A3560" s="26" t="s">
        <v>3971</v>
      </c>
      <c r="B3560" s="26" t="s">
        <v>1333</v>
      </c>
      <c r="C3560" s="26" t="s">
        <v>1334</v>
      </c>
      <c r="D3560" s="26" t="s">
        <v>179</v>
      </c>
      <c r="E3560" s="26" t="s">
        <v>1335</v>
      </c>
      <c r="F3560" s="26" t="s">
        <v>1336</v>
      </c>
      <c r="G3560" s="26" t="s">
        <v>210</v>
      </c>
      <c r="H3560" s="26" t="s">
        <v>886</v>
      </c>
      <c r="I3560" s="26" t="s">
        <v>184</v>
      </c>
      <c r="J3560" s="26" t="s">
        <v>322</v>
      </c>
      <c r="K3560" s="26" t="s">
        <v>360</v>
      </c>
      <c r="L3560" s="26" t="s">
        <v>79</v>
      </c>
      <c r="M3560" s="26" t="s">
        <v>77</v>
      </c>
      <c r="N3560" s="26">
        <v>18</v>
      </c>
      <c r="O3560" s="26">
        <v>5</v>
      </c>
      <c r="P3560" s="26">
        <v>13</v>
      </c>
      <c r="Q3560" s="26">
        <v>3</v>
      </c>
      <c r="R3560" s="26">
        <v>0</v>
      </c>
      <c r="S3560" s="26">
        <v>6</v>
      </c>
      <c r="T3560" s="26">
        <v>0</v>
      </c>
      <c r="U3560" s="26">
        <v>6</v>
      </c>
      <c r="V3560" s="26">
        <v>0</v>
      </c>
      <c r="W3560" s="26"/>
    </row>
    <row r="3561" spans="1:23" x14ac:dyDescent="0.25">
      <c r="A3561" s="26" t="s">
        <v>3971</v>
      </c>
      <c r="B3561" s="26" t="s">
        <v>1337</v>
      </c>
      <c r="C3561" s="26" t="s">
        <v>1338</v>
      </c>
      <c r="D3561" s="26" t="s">
        <v>179</v>
      </c>
      <c r="E3561" s="26" t="s">
        <v>1339</v>
      </c>
      <c r="F3561" s="26" t="s">
        <v>577</v>
      </c>
      <c r="G3561" s="26" t="s">
        <v>278</v>
      </c>
      <c r="H3561" s="26" t="s">
        <v>578</v>
      </c>
      <c r="I3561" s="26" t="s">
        <v>184</v>
      </c>
      <c r="J3561" s="26" t="s">
        <v>375</v>
      </c>
      <c r="K3561" s="26" t="s">
        <v>360</v>
      </c>
      <c r="L3561" s="26" t="s">
        <v>79</v>
      </c>
      <c r="M3561" s="26" t="s">
        <v>77</v>
      </c>
      <c r="N3561" s="26">
        <v>33</v>
      </c>
      <c r="O3561" s="26">
        <v>16</v>
      </c>
      <c r="P3561" s="26">
        <v>17</v>
      </c>
      <c r="Q3561" s="26">
        <v>3</v>
      </c>
      <c r="R3561" s="26">
        <v>0</v>
      </c>
      <c r="S3561" s="26">
        <v>3</v>
      </c>
      <c r="T3561" s="26">
        <v>0</v>
      </c>
      <c r="U3561" s="26">
        <v>3</v>
      </c>
      <c r="V3561" s="26">
        <v>0</v>
      </c>
      <c r="W3561" s="26"/>
    </row>
    <row r="3562" spans="1:23" x14ac:dyDescent="0.25">
      <c r="A3562" s="26" t="s">
        <v>3971</v>
      </c>
      <c r="B3562" s="26" t="s">
        <v>1340</v>
      </c>
      <c r="C3562" s="26" t="s">
        <v>1341</v>
      </c>
      <c r="D3562" s="26" t="s">
        <v>179</v>
      </c>
      <c r="E3562" s="26" t="s">
        <v>1342</v>
      </c>
      <c r="F3562" s="26" t="s">
        <v>1343</v>
      </c>
      <c r="G3562" s="26" t="s">
        <v>293</v>
      </c>
      <c r="H3562" s="26" t="s">
        <v>294</v>
      </c>
      <c r="I3562" s="26" t="s">
        <v>184</v>
      </c>
      <c r="J3562" s="26" t="s">
        <v>1145</v>
      </c>
      <c r="K3562" s="26" t="s">
        <v>296</v>
      </c>
      <c r="L3562" s="26" t="s">
        <v>80</v>
      </c>
      <c r="M3562" s="26" t="s">
        <v>77</v>
      </c>
      <c r="N3562" s="26">
        <v>66</v>
      </c>
      <c r="O3562" s="26">
        <v>38</v>
      </c>
      <c r="P3562" s="26">
        <v>28</v>
      </c>
      <c r="Q3562" s="26">
        <v>4</v>
      </c>
      <c r="R3562" s="26">
        <v>0</v>
      </c>
      <c r="S3562" s="26">
        <v>4</v>
      </c>
      <c r="T3562" s="26">
        <v>0</v>
      </c>
      <c r="U3562" s="26">
        <v>4</v>
      </c>
      <c r="V3562" s="26">
        <v>0</v>
      </c>
      <c r="W3562" s="26"/>
    </row>
    <row r="3563" spans="1:23" x14ac:dyDescent="0.25">
      <c r="A3563" s="26" t="s">
        <v>3971</v>
      </c>
      <c r="B3563" s="26" t="s">
        <v>1344</v>
      </c>
      <c r="C3563" s="26" t="s">
        <v>1345</v>
      </c>
      <c r="D3563" s="26" t="s">
        <v>179</v>
      </c>
      <c r="E3563" s="26" t="s">
        <v>1346</v>
      </c>
      <c r="F3563" s="26" t="s">
        <v>555</v>
      </c>
      <c r="G3563" s="26" t="s">
        <v>191</v>
      </c>
      <c r="H3563" s="26" t="s">
        <v>1347</v>
      </c>
      <c r="I3563" s="26" t="s">
        <v>184</v>
      </c>
      <c r="J3563" s="26" t="s">
        <v>427</v>
      </c>
      <c r="K3563" s="26" t="s">
        <v>360</v>
      </c>
      <c r="L3563" s="26" t="s">
        <v>79</v>
      </c>
      <c r="M3563" s="26" t="s">
        <v>77</v>
      </c>
      <c r="N3563" s="26">
        <v>72</v>
      </c>
      <c r="O3563" s="26">
        <v>38</v>
      </c>
      <c r="P3563" s="26">
        <v>34</v>
      </c>
      <c r="Q3563" s="26">
        <v>4</v>
      </c>
      <c r="R3563" s="26">
        <v>0</v>
      </c>
      <c r="S3563" s="26">
        <v>10</v>
      </c>
      <c r="T3563" s="26">
        <v>0</v>
      </c>
      <c r="U3563" s="26">
        <v>10</v>
      </c>
      <c r="V3563" s="26">
        <v>0</v>
      </c>
      <c r="W3563" s="26"/>
    </row>
    <row r="3564" spans="1:23" x14ac:dyDescent="0.25">
      <c r="A3564" s="26" t="s">
        <v>3971</v>
      </c>
      <c r="B3564" s="26" t="s">
        <v>1348</v>
      </c>
      <c r="C3564" s="26" t="s">
        <v>1349</v>
      </c>
      <c r="D3564" s="26" t="s">
        <v>179</v>
      </c>
      <c r="E3564" s="26" t="s">
        <v>1350</v>
      </c>
      <c r="F3564" s="26" t="s">
        <v>1351</v>
      </c>
      <c r="G3564" s="26" t="s">
        <v>413</v>
      </c>
      <c r="H3564" s="26" t="s">
        <v>414</v>
      </c>
      <c r="I3564" s="26" t="s">
        <v>184</v>
      </c>
      <c r="J3564" s="26" t="s">
        <v>375</v>
      </c>
      <c r="K3564" s="26" t="s">
        <v>360</v>
      </c>
      <c r="L3564" s="26" t="s">
        <v>79</v>
      </c>
      <c r="M3564" s="26" t="s">
        <v>77</v>
      </c>
      <c r="N3564" s="26">
        <v>59</v>
      </c>
      <c r="O3564" s="26">
        <v>30</v>
      </c>
      <c r="P3564" s="26">
        <v>29</v>
      </c>
      <c r="Q3564" s="26">
        <v>3</v>
      </c>
      <c r="R3564" s="26">
        <v>0</v>
      </c>
      <c r="S3564" s="26">
        <v>5</v>
      </c>
      <c r="T3564" s="26">
        <v>0</v>
      </c>
      <c r="U3564" s="26">
        <v>5</v>
      </c>
      <c r="V3564" s="26">
        <v>0</v>
      </c>
      <c r="W3564" s="26"/>
    </row>
    <row r="3565" spans="1:23" x14ac:dyDescent="0.25">
      <c r="A3565" s="26" t="s">
        <v>3971</v>
      </c>
      <c r="B3565" s="26" t="s">
        <v>1352</v>
      </c>
      <c r="C3565" s="26" t="s">
        <v>1353</v>
      </c>
      <c r="D3565" s="26" t="s">
        <v>179</v>
      </c>
      <c r="E3565" s="26" t="s">
        <v>1354</v>
      </c>
      <c r="F3565" s="26" t="s">
        <v>1355</v>
      </c>
      <c r="G3565" s="26" t="s">
        <v>413</v>
      </c>
      <c r="H3565" s="26" t="s">
        <v>436</v>
      </c>
      <c r="I3565" s="26" t="s">
        <v>184</v>
      </c>
      <c r="J3565" s="26" t="s">
        <v>375</v>
      </c>
      <c r="K3565" s="26" t="s">
        <v>360</v>
      </c>
      <c r="L3565" s="26" t="s">
        <v>79</v>
      </c>
      <c r="M3565" s="26" t="s">
        <v>77</v>
      </c>
      <c r="N3565" s="26">
        <v>123</v>
      </c>
      <c r="O3565" s="26">
        <v>59</v>
      </c>
      <c r="P3565" s="26">
        <v>64</v>
      </c>
      <c r="Q3565" s="26">
        <v>6</v>
      </c>
      <c r="R3565" s="26">
        <v>0</v>
      </c>
      <c r="S3565" s="26">
        <v>12</v>
      </c>
      <c r="T3565" s="26">
        <v>0</v>
      </c>
      <c r="U3565" s="26">
        <v>12</v>
      </c>
      <c r="V3565" s="26">
        <v>0</v>
      </c>
      <c r="W3565" s="26"/>
    </row>
    <row r="3566" spans="1:23" x14ac:dyDescent="0.25">
      <c r="A3566" s="26" t="s">
        <v>3971</v>
      </c>
      <c r="B3566" s="26" t="s">
        <v>1356</v>
      </c>
      <c r="C3566" s="26" t="s">
        <v>1357</v>
      </c>
      <c r="D3566" s="26" t="s">
        <v>218</v>
      </c>
      <c r="E3566" s="26" t="s">
        <v>1358</v>
      </c>
      <c r="F3566" s="26" t="s">
        <v>1179</v>
      </c>
      <c r="G3566" s="26" t="s">
        <v>182</v>
      </c>
      <c r="H3566" s="26" t="s">
        <v>440</v>
      </c>
      <c r="I3566" s="26" t="s">
        <v>184</v>
      </c>
      <c r="J3566" s="26" t="s">
        <v>322</v>
      </c>
      <c r="K3566" s="26" t="s">
        <v>360</v>
      </c>
      <c r="L3566" s="26" t="s">
        <v>79</v>
      </c>
      <c r="M3566" s="26" t="s">
        <v>77</v>
      </c>
      <c r="N3566" s="26">
        <v>106</v>
      </c>
      <c r="O3566" s="26">
        <v>43</v>
      </c>
      <c r="P3566" s="26">
        <v>63</v>
      </c>
      <c r="Q3566" s="26">
        <v>5</v>
      </c>
      <c r="R3566" s="26">
        <v>0</v>
      </c>
      <c r="S3566" s="26">
        <v>4</v>
      </c>
      <c r="T3566" s="26">
        <v>0</v>
      </c>
      <c r="U3566" s="26">
        <v>4</v>
      </c>
      <c r="V3566" s="26">
        <v>0</v>
      </c>
      <c r="W3566" s="26"/>
    </row>
    <row r="3567" spans="1:23" x14ac:dyDescent="0.25">
      <c r="A3567" s="26" t="s">
        <v>3971</v>
      </c>
      <c r="B3567" s="26" t="s">
        <v>1359</v>
      </c>
      <c r="C3567" s="26" t="s">
        <v>1360</v>
      </c>
      <c r="D3567" s="26" t="s">
        <v>218</v>
      </c>
      <c r="E3567" s="26" t="s">
        <v>1361</v>
      </c>
      <c r="F3567" s="26" t="s">
        <v>1164</v>
      </c>
      <c r="G3567" s="26" t="s">
        <v>265</v>
      </c>
      <c r="H3567" s="26" t="s">
        <v>445</v>
      </c>
      <c r="I3567" s="26" t="s">
        <v>184</v>
      </c>
      <c r="J3567" s="26" t="s">
        <v>322</v>
      </c>
      <c r="K3567" s="26" t="s">
        <v>360</v>
      </c>
      <c r="L3567" s="26" t="s">
        <v>79</v>
      </c>
      <c r="M3567" s="26" t="s">
        <v>77</v>
      </c>
      <c r="N3567" s="26">
        <v>28</v>
      </c>
      <c r="O3567" s="26">
        <v>18</v>
      </c>
      <c r="P3567" s="26">
        <v>10</v>
      </c>
      <c r="Q3567" s="26">
        <v>2</v>
      </c>
      <c r="R3567" s="26">
        <v>0</v>
      </c>
      <c r="S3567" s="26">
        <v>3</v>
      </c>
      <c r="T3567" s="26">
        <v>0</v>
      </c>
      <c r="U3567" s="26">
        <v>3</v>
      </c>
      <c r="V3567" s="26">
        <v>0</v>
      </c>
      <c r="W3567" s="26"/>
    </row>
    <row r="3568" spans="1:23" x14ac:dyDescent="0.25">
      <c r="A3568" s="26" t="s">
        <v>3971</v>
      </c>
      <c r="B3568" s="26" t="s">
        <v>1362</v>
      </c>
      <c r="C3568" s="26" t="s">
        <v>1363</v>
      </c>
      <c r="D3568" s="26" t="s">
        <v>218</v>
      </c>
      <c r="E3568" s="26" t="s">
        <v>1364</v>
      </c>
      <c r="F3568" s="26" t="s">
        <v>1365</v>
      </c>
      <c r="G3568" s="26" t="s">
        <v>210</v>
      </c>
      <c r="H3568" s="26" t="s">
        <v>570</v>
      </c>
      <c r="I3568" s="26" t="s">
        <v>184</v>
      </c>
      <c r="J3568" s="26" t="s">
        <v>322</v>
      </c>
      <c r="K3568" s="26" t="s">
        <v>360</v>
      </c>
      <c r="L3568" s="26" t="s">
        <v>79</v>
      </c>
      <c r="M3568" s="26" t="s">
        <v>77</v>
      </c>
      <c r="N3568" s="26">
        <v>25</v>
      </c>
      <c r="O3568" s="26">
        <v>11</v>
      </c>
      <c r="P3568" s="26">
        <v>14</v>
      </c>
      <c r="Q3568" s="26">
        <v>2</v>
      </c>
      <c r="R3568" s="26">
        <v>0</v>
      </c>
      <c r="S3568" s="26">
        <v>1</v>
      </c>
      <c r="T3568" s="26">
        <v>0</v>
      </c>
      <c r="U3568" s="26">
        <v>1</v>
      </c>
      <c r="V3568" s="26">
        <v>0</v>
      </c>
      <c r="W3568" s="26"/>
    </row>
    <row r="3569" spans="1:23" x14ac:dyDescent="0.25">
      <c r="A3569" s="26" t="s">
        <v>3971</v>
      </c>
      <c r="B3569" s="26" t="s">
        <v>1373</v>
      </c>
      <c r="C3569" s="26" t="s">
        <v>1374</v>
      </c>
      <c r="D3569" s="26" t="s">
        <v>179</v>
      </c>
      <c r="E3569" s="26" t="s">
        <v>1375</v>
      </c>
      <c r="F3569" s="26" t="s">
        <v>379</v>
      </c>
      <c r="G3569" s="26" t="s">
        <v>182</v>
      </c>
      <c r="H3569" s="26" t="s">
        <v>421</v>
      </c>
      <c r="I3569" s="26" t="s">
        <v>184</v>
      </c>
      <c r="J3569" s="26" t="s">
        <v>322</v>
      </c>
      <c r="K3569" s="26" t="s">
        <v>381</v>
      </c>
      <c r="L3569" s="26" t="s">
        <v>79</v>
      </c>
      <c r="M3569" s="26" t="s">
        <v>77</v>
      </c>
      <c r="N3569" s="26">
        <v>41</v>
      </c>
      <c r="O3569" s="26">
        <v>25</v>
      </c>
      <c r="P3569" s="26">
        <v>16</v>
      </c>
      <c r="Q3569" s="26">
        <v>3</v>
      </c>
      <c r="R3569" s="26">
        <v>0</v>
      </c>
      <c r="S3569" s="26">
        <v>11</v>
      </c>
      <c r="T3569" s="26">
        <v>0</v>
      </c>
      <c r="U3569" s="26">
        <v>11</v>
      </c>
      <c r="V3569" s="26">
        <v>0</v>
      </c>
      <c r="W3569" s="26"/>
    </row>
    <row r="3570" spans="1:23" x14ac:dyDescent="0.25">
      <c r="A3570" s="26" t="s">
        <v>3971</v>
      </c>
      <c r="B3570" s="26" t="s">
        <v>1376</v>
      </c>
      <c r="C3570" s="26" t="s">
        <v>1377</v>
      </c>
      <c r="D3570" s="26" t="s">
        <v>218</v>
      </c>
      <c r="E3570" s="26" t="s">
        <v>1378</v>
      </c>
      <c r="F3570" s="26" t="s">
        <v>260</v>
      </c>
      <c r="G3570" s="26" t="s">
        <v>198</v>
      </c>
      <c r="H3570" s="26" t="s">
        <v>403</v>
      </c>
      <c r="I3570" s="26" t="s">
        <v>184</v>
      </c>
      <c r="J3570" s="26" t="s">
        <v>375</v>
      </c>
      <c r="K3570" s="26" t="s">
        <v>360</v>
      </c>
      <c r="L3570" s="26" t="s">
        <v>79</v>
      </c>
      <c r="M3570" s="26" t="s">
        <v>77</v>
      </c>
      <c r="N3570" s="26">
        <v>28</v>
      </c>
      <c r="O3570" s="26">
        <v>14</v>
      </c>
      <c r="P3570" s="26">
        <v>14</v>
      </c>
      <c r="Q3570" s="26">
        <v>3</v>
      </c>
      <c r="R3570" s="26">
        <v>0</v>
      </c>
      <c r="S3570" s="26">
        <v>5</v>
      </c>
      <c r="T3570" s="26">
        <v>0</v>
      </c>
      <c r="U3570" s="26">
        <v>5</v>
      </c>
      <c r="V3570" s="26">
        <v>0</v>
      </c>
      <c r="W3570" s="26"/>
    </row>
    <row r="3571" spans="1:23" x14ac:dyDescent="0.25">
      <c r="A3571" s="26" t="s">
        <v>3971</v>
      </c>
      <c r="B3571" s="26" t="s">
        <v>1379</v>
      </c>
      <c r="C3571" s="26" t="s">
        <v>1380</v>
      </c>
      <c r="D3571" s="26" t="s">
        <v>179</v>
      </c>
      <c r="E3571" s="26" t="s">
        <v>1381</v>
      </c>
      <c r="F3571" s="26" t="s">
        <v>264</v>
      </c>
      <c r="G3571" s="26" t="s">
        <v>265</v>
      </c>
      <c r="H3571" s="26" t="s">
        <v>359</v>
      </c>
      <c r="I3571" s="26" t="s">
        <v>184</v>
      </c>
      <c r="J3571" s="26" t="s">
        <v>322</v>
      </c>
      <c r="K3571" s="26" t="s">
        <v>360</v>
      </c>
      <c r="L3571" s="26" t="s">
        <v>79</v>
      </c>
      <c r="M3571" s="26" t="s">
        <v>77</v>
      </c>
      <c r="N3571" s="26">
        <v>29</v>
      </c>
      <c r="O3571" s="26">
        <v>15</v>
      </c>
      <c r="P3571" s="26">
        <v>14</v>
      </c>
      <c r="Q3571" s="26">
        <v>3</v>
      </c>
      <c r="R3571" s="26">
        <v>0</v>
      </c>
      <c r="S3571" s="26">
        <v>6</v>
      </c>
      <c r="T3571" s="26">
        <v>0</v>
      </c>
      <c r="U3571" s="26">
        <v>6</v>
      </c>
      <c r="V3571" s="26">
        <v>0</v>
      </c>
      <c r="W3571" s="26"/>
    </row>
    <row r="3572" spans="1:23" x14ac:dyDescent="0.25">
      <c r="A3572" s="26" t="s">
        <v>3971</v>
      </c>
      <c r="B3572" s="26" t="s">
        <v>1382</v>
      </c>
      <c r="C3572" s="26" t="s">
        <v>1383</v>
      </c>
      <c r="D3572" s="26" t="s">
        <v>218</v>
      </c>
      <c r="E3572" s="26" t="s">
        <v>1384</v>
      </c>
      <c r="F3572" s="26" t="s">
        <v>1385</v>
      </c>
      <c r="G3572" s="26" t="s">
        <v>226</v>
      </c>
      <c r="H3572" s="26" t="s">
        <v>828</v>
      </c>
      <c r="I3572" s="26" t="s">
        <v>184</v>
      </c>
      <c r="J3572" s="26" t="s">
        <v>427</v>
      </c>
      <c r="K3572" s="26" t="s">
        <v>360</v>
      </c>
      <c r="L3572" s="26" t="s">
        <v>79</v>
      </c>
      <c r="M3572" s="26" t="s">
        <v>77</v>
      </c>
      <c r="N3572" s="26">
        <v>82</v>
      </c>
      <c r="O3572" s="26">
        <v>40</v>
      </c>
      <c r="P3572" s="26">
        <v>42</v>
      </c>
      <c r="Q3572" s="26">
        <v>4</v>
      </c>
      <c r="R3572" s="26">
        <v>0</v>
      </c>
      <c r="S3572" s="26">
        <v>4</v>
      </c>
      <c r="T3572" s="26">
        <v>0</v>
      </c>
      <c r="U3572" s="26">
        <v>4</v>
      </c>
      <c r="V3572" s="26">
        <v>0</v>
      </c>
      <c r="W3572" s="26"/>
    </row>
    <row r="3573" spans="1:23" x14ac:dyDescent="0.25">
      <c r="A3573" s="26" t="s">
        <v>3971</v>
      </c>
      <c r="B3573" s="26" t="s">
        <v>1386</v>
      </c>
      <c r="C3573" s="26" t="s">
        <v>1387</v>
      </c>
      <c r="D3573" s="26" t="s">
        <v>179</v>
      </c>
      <c r="E3573" s="26" t="s">
        <v>1388</v>
      </c>
      <c r="F3573" s="26" t="s">
        <v>457</v>
      </c>
      <c r="G3573" s="26" t="s">
        <v>182</v>
      </c>
      <c r="H3573" s="26" t="s">
        <v>380</v>
      </c>
      <c r="I3573" s="26" t="s">
        <v>184</v>
      </c>
      <c r="J3573" s="26" t="s">
        <v>322</v>
      </c>
      <c r="K3573" s="26" t="s">
        <v>360</v>
      </c>
      <c r="L3573" s="26" t="s">
        <v>79</v>
      </c>
      <c r="M3573" s="26" t="s">
        <v>77</v>
      </c>
      <c r="N3573" s="26">
        <v>66</v>
      </c>
      <c r="O3573" s="26">
        <v>37</v>
      </c>
      <c r="P3573" s="26">
        <v>29</v>
      </c>
      <c r="Q3573" s="26">
        <v>5</v>
      </c>
      <c r="R3573" s="26">
        <v>0</v>
      </c>
      <c r="S3573" s="26">
        <v>11</v>
      </c>
      <c r="T3573" s="26">
        <v>0</v>
      </c>
      <c r="U3573" s="26">
        <v>11</v>
      </c>
      <c r="V3573" s="26">
        <v>0</v>
      </c>
      <c r="W3573" s="26"/>
    </row>
    <row r="3574" spans="1:23" x14ac:dyDescent="0.25">
      <c r="A3574" s="26" t="s">
        <v>3971</v>
      </c>
      <c r="B3574" s="26" t="s">
        <v>1389</v>
      </c>
      <c r="C3574" s="26" t="s">
        <v>1390</v>
      </c>
      <c r="D3574" s="26" t="s">
        <v>179</v>
      </c>
      <c r="E3574" s="26" t="s">
        <v>1391</v>
      </c>
      <c r="F3574" s="26" t="s">
        <v>1392</v>
      </c>
      <c r="G3574" s="26" t="s">
        <v>293</v>
      </c>
      <c r="H3574" s="26" t="s">
        <v>594</v>
      </c>
      <c r="I3574" s="26" t="s">
        <v>184</v>
      </c>
      <c r="J3574" s="26" t="s">
        <v>295</v>
      </c>
      <c r="K3574" s="26" t="s">
        <v>296</v>
      </c>
      <c r="L3574" s="26" t="s">
        <v>80</v>
      </c>
      <c r="M3574" s="26" t="s">
        <v>77</v>
      </c>
      <c r="N3574" s="26">
        <v>58</v>
      </c>
      <c r="O3574" s="26">
        <v>32</v>
      </c>
      <c r="P3574" s="26">
        <v>26</v>
      </c>
      <c r="Q3574" s="26">
        <v>4</v>
      </c>
      <c r="R3574" s="26">
        <v>0</v>
      </c>
      <c r="S3574" s="26">
        <v>4</v>
      </c>
      <c r="T3574" s="26">
        <v>0</v>
      </c>
      <c r="U3574" s="26">
        <v>4</v>
      </c>
      <c r="V3574" s="26">
        <v>0</v>
      </c>
      <c r="W3574" s="26"/>
    </row>
    <row r="3575" spans="1:23" x14ac:dyDescent="0.25">
      <c r="A3575" s="26" t="s">
        <v>3971</v>
      </c>
      <c r="B3575" s="26" t="s">
        <v>1393</v>
      </c>
      <c r="C3575" s="26" t="s">
        <v>1394</v>
      </c>
      <c r="D3575" s="26" t="s">
        <v>179</v>
      </c>
      <c r="E3575" s="26" t="s">
        <v>1395</v>
      </c>
      <c r="F3575" s="26" t="s">
        <v>1140</v>
      </c>
      <c r="G3575" s="26" t="s">
        <v>293</v>
      </c>
      <c r="H3575" s="26" t="s">
        <v>594</v>
      </c>
      <c r="I3575" s="26" t="s">
        <v>184</v>
      </c>
      <c r="J3575" s="26" t="s">
        <v>295</v>
      </c>
      <c r="K3575" s="26" t="s">
        <v>296</v>
      </c>
      <c r="L3575" s="26" t="s">
        <v>80</v>
      </c>
      <c r="M3575" s="26" t="s">
        <v>77</v>
      </c>
      <c r="N3575" s="26">
        <v>54</v>
      </c>
      <c r="O3575" s="26">
        <v>31</v>
      </c>
      <c r="P3575" s="26">
        <v>23</v>
      </c>
      <c r="Q3575" s="26">
        <v>3</v>
      </c>
      <c r="R3575" s="26">
        <v>0</v>
      </c>
      <c r="S3575" s="26">
        <v>3</v>
      </c>
      <c r="T3575" s="26">
        <v>0</v>
      </c>
      <c r="U3575" s="26">
        <v>3</v>
      </c>
      <c r="V3575" s="26">
        <v>0</v>
      </c>
      <c r="W3575" s="26"/>
    </row>
    <row r="3576" spans="1:23" x14ac:dyDescent="0.25">
      <c r="A3576" s="26" t="s">
        <v>3971</v>
      </c>
      <c r="B3576" s="26" t="s">
        <v>1396</v>
      </c>
      <c r="C3576" s="26" t="s">
        <v>1397</v>
      </c>
      <c r="D3576" s="26" t="s">
        <v>179</v>
      </c>
      <c r="E3576" s="26" t="s">
        <v>1398</v>
      </c>
      <c r="F3576" s="26" t="s">
        <v>1399</v>
      </c>
      <c r="G3576" s="26" t="s">
        <v>662</v>
      </c>
      <c r="H3576" s="26" t="s">
        <v>663</v>
      </c>
      <c r="I3576" s="26" t="s">
        <v>184</v>
      </c>
      <c r="J3576" s="26" t="s">
        <v>427</v>
      </c>
      <c r="K3576" s="26" t="s">
        <v>360</v>
      </c>
      <c r="L3576" s="26" t="s">
        <v>79</v>
      </c>
      <c r="M3576" s="26" t="s">
        <v>77</v>
      </c>
      <c r="N3576" s="26">
        <v>71</v>
      </c>
      <c r="O3576" s="26">
        <v>35</v>
      </c>
      <c r="P3576" s="26">
        <v>36</v>
      </c>
      <c r="Q3576" s="26">
        <v>5</v>
      </c>
      <c r="R3576" s="26">
        <v>0</v>
      </c>
      <c r="S3576" s="26">
        <v>5</v>
      </c>
      <c r="T3576" s="26">
        <v>0</v>
      </c>
      <c r="U3576" s="26">
        <v>5</v>
      </c>
      <c r="V3576" s="26">
        <v>0</v>
      </c>
      <c r="W3576" s="26"/>
    </row>
    <row r="3577" spans="1:23" x14ac:dyDescent="0.25">
      <c r="A3577" s="26" t="s">
        <v>3971</v>
      </c>
      <c r="B3577" s="26" t="s">
        <v>1400</v>
      </c>
      <c r="C3577" s="26" t="s">
        <v>1401</v>
      </c>
      <c r="D3577" s="26" t="s">
        <v>179</v>
      </c>
      <c r="E3577" s="26" t="s">
        <v>1402</v>
      </c>
      <c r="F3577" s="26" t="s">
        <v>1403</v>
      </c>
      <c r="G3577" s="26" t="s">
        <v>662</v>
      </c>
      <c r="H3577" s="26" t="s">
        <v>663</v>
      </c>
      <c r="I3577" s="26" t="s">
        <v>184</v>
      </c>
      <c r="J3577" s="26" t="s">
        <v>427</v>
      </c>
      <c r="K3577" s="26" t="s">
        <v>360</v>
      </c>
      <c r="L3577" s="26" t="s">
        <v>79</v>
      </c>
      <c r="M3577" s="26" t="s">
        <v>77</v>
      </c>
      <c r="N3577" s="26">
        <v>59</v>
      </c>
      <c r="O3577" s="26">
        <v>32</v>
      </c>
      <c r="P3577" s="26">
        <v>27</v>
      </c>
      <c r="Q3577" s="26">
        <v>5</v>
      </c>
      <c r="R3577" s="26">
        <v>0</v>
      </c>
      <c r="S3577" s="26">
        <v>6</v>
      </c>
      <c r="T3577" s="26">
        <v>0</v>
      </c>
      <c r="U3577" s="26">
        <v>6</v>
      </c>
      <c r="V3577" s="26">
        <v>0</v>
      </c>
      <c r="W3577" s="26"/>
    </row>
    <row r="3578" spans="1:23" x14ac:dyDescent="0.25">
      <c r="A3578" s="26" t="s">
        <v>3971</v>
      </c>
      <c r="B3578" s="26" t="s">
        <v>1404</v>
      </c>
      <c r="C3578" s="26" t="s">
        <v>1405</v>
      </c>
      <c r="D3578" s="26" t="s">
        <v>218</v>
      </c>
      <c r="E3578" s="26" t="s">
        <v>1406</v>
      </c>
      <c r="F3578" s="26" t="s">
        <v>1407</v>
      </c>
      <c r="G3578" s="26" t="s">
        <v>210</v>
      </c>
      <c r="H3578" s="26" t="s">
        <v>365</v>
      </c>
      <c r="I3578" s="26" t="s">
        <v>184</v>
      </c>
      <c r="J3578" s="26" t="s">
        <v>322</v>
      </c>
      <c r="K3578" s="26" t="s">
        <v>360</v>
      </c>
      <c r="L3578" s="26" t="s">
        <v>79</v>
      </c>
      <c r="M3578" s="26" t="s">
        <v>77</v>
      </c>
      <c r="N3578" s="26">
        <v>142</v>
      </c>
      <c r="O3578" s="26">
        <v>77</v>
      </c>
      <c r="P3578" s="26">
        <v>65</v>
      </c>
      <c r="Q3578" s="26">
        <v>6</v>
      </c>
      <c r="R3578" s="26">
        <v>0</v>
      </c>
      <c r="S3578" s="26">
        <v>13</v>
      </c>
      <c r="T3578" s="26">
        <v>0</v>
      </c>
      <c r="U3578" s="26">
        <v>13</v>
      </c>
      <c r="V3578" s="26">
        <v>0</v>
      </c>
      <c r="W3578" s="26"/>
    </row>
    <row r="3579" spans="1:23" x14ac:dyDescent="0.25">
      <c r="A3579" s="26" t="s">
        <v>3971</v>
      </c>
      <c r="B3579" s="26" t="s">
        <v>1408</v>
      </c>
      <c r="C3579" s="26" t="s">
        <v>1409</v>
      </c>
      <c r="D3579" s="26" t="s">
        <v>179</v>
      </c>
      <c r="E3579" s="26" t="s">
        <v>1410</v>
      </c>
      <c r="F3579" s="26" t="s">
        <v>305</v>
      </c>
      <c r="G3579" s="26" t="s">
        <v>226</v>
      </c>
      <c r="H3579" s="26" t="s">
        <v>828</v>
      </c>
      <c r="I3579" s="26" t="s">
        <v>184</v>
      </c>
      <c r="J3579" s="26" t="s">
        <v>427</v>
      </c>
      <c r="K3579" s="26" t="s">
        <v>360</v>
      </c>
      <c r="L3579" s="26" t="s">
        <v>79</v>
      </c>
      <c r="M3579" s="26" t="s">
        <v>77</v>
      </c>
      <c r="N3579" s="26">
        <v>71</v>
      </c>
      <c r="O3579" s="26">
        <v>30</v>
      </c>
      <c r="P3579" s="26">
        <v>41</v>
      </c>
      <c r="Q3579" s="26">
        <v>5</v>
      </c>
      <c r="R3579" s="26">
        <v>0</v>
      </c>
      <c r="S3579" s="26">
        <v>10</v>
      </c>
      <c r="T3579" s="26">
        <v>0</v>
      </c>
      <c r="U3579" s="26">
        <v>10</v>
      </c>
      <c r="V3579" s="26">
        <v>0</v>
      </c>
      <c r="W3579" s="26"/>
    </row>
    <row r="3580" spans="1:23" x14ac:dyDescent="0.25">
      <c r="A3580" s="26" t="s">
        <v>3971</v>
      </c>
      <c r="B3580" s="26" t="s">
        <v>1411</v>
      </c>
      <c r="C3580" s="26" t="s">
        <v>1412</v>
      </c>
      <c r="D3580" s="26" t="s">
        <v>179</v>
      </c>
      <c r="E3580" s="26" t="s">
        <v>1413</v>
      </c>
      <c r="F3580" s="26" t="s">
        <v>1414</v>
      </c>
      <c r="G3580" s="26" t="s">
        <v>265</v>
      </c>
      <c r="H3580" s="26" t="s">
        <v>445</v>
      </c>
      <c r="I3580" s="26" t="s">
        <v>184</v>
      </c>
      <c r="J3580" s="26" t="s">
        <v>322</v>
      </c>
      <c r="K3580" s="26" t="s">
        <v>360</v>
      </c>
      <c r="L3580" s="26" t="s">
        <v>79</v>
      </c>
      <c r="M3580" s="26" t="s">
        <v>77</v>
      </c>
      <c r="N3580" s="26">
        <v>27</v>
      </c>
      <c r="O3580" s="26">
        <v>15</v>
      </c>
      <c r="P3580" s="26">
        <v>12</v>
      </c>
      <c r="Q3580" s="26">
        <v>3</v>
      </c>
      <c r="R3580" s="26">
        <v>0</v>
      </c>
      <c r="S3580" s="26">
        <v>5</v>
      </c>
      <c r="T3580" s="26">
        <v>0</v>
      </c>
      <c r="U3580" s="26">
        <v>5</v>
      </c>
      <c r="V3580" s="26">
        <v>0</v>
      </c>
      <c r="W3580" s="26"/>
    </row>
    <row r="3581" spans="1:23" x14ac:dyDescent="0.25">
      <c r="A3581" s="26" t="s">
        <v>3971</v>
      </c>
      <c r="B3581" s="26" t="s">
        <v>1415</v>
      </c>
      <c r="C3581" s="26" t="s">
        <v>1416</v>
      </c>
      <c r="D3581" s="26" t="s">
        <v>218</v>
      </c>
      <c r="E3581" s="26" t="s">
        <v>1417</v>
      </c>
      <c r="F3581" s="26" t="s">
        <v>1418</v>
      </c>
      <c r="G3581" s="26" t="s">
        <v>293</v>
      </c>
      <c r="H3581" s="26" t="s">
        <v>351</v>
      </c>
      <c r="I3581" s="26" t="s">
        <v>1259</v>
      </c>
      <c r="J3581" s="26" t="s">
        <v>503</v>
      </c>
      <c r="K3581" s="26" t="s">
        <v>296</v>
      </c>
      <c r="L3581" s="26" t="s">
        <v>80</v>
      </c>
      <c r="M3581" s="26" t="s">
        <v>77</v>
      </c>
      <c r="N3581" s="26">
        <v>41</v>
      </c>
      <c r="O3581" s="26">
        <v>18</v>
      </c>
      <c r="P3581" s="26">
        <v>23</v>
      </c>
      <c r="Q3581" s="26">
        <v>3</v>
      </c>
      <c r="R3581" s="26">
        <v>0</v>
      </c>
      <c r="S3581" s="26">
        <v>2</v>
      </c>
      <c r="T3581" s="26">
        <v>0</v>
      </c>
      <c r="U3581" s="26">
        <v>2</v>
      </c>
      <c r="V3581" s="26">
        <v>0</v>
      </c>
      <c r="W3581" s="26"/>
    </row>
    <row r="3582" spans="1:23" x14ac:dyDescent="0.25">
      <c r="A3582" s="26" t="s">
        <v>3971</v>
      </c>
      <c r="B3582" s="26" t="s">
        <v>1419</v>
      </c>
      <c r="C3582" s="26" t="s">
        <v>743</v>
      </c>
      <c r="D3582" s="26" t="s">
        <v>179</v>
      </c>
      <c r="E3582" s="26" t="s">
        <v>1420</v>
      </c>
      <c r="F3582" s="26" t="s">
        <v>1030</v>
      </c>
      <c r="G3582" s="26" t="s">
        <v>204</v>
      </c>
      <c r="H3582" s="26" t="s">
        <v>523</v>
      </c>
      <c r="I3582" s="26" t="s">
        <v>184</v>
      </c>
      <c r="J3582" s="26" t="s">
        <v>322</v>
      </c>
      <c r="K3582" s="26" t="s">
        <v>360</v>
      </c>
      <c r="L3582" s="26" t="s">
        <v>79</v>
      </c>
      <c r="M3582" s="26" t="s">
        <v>77</v>
      </c>
      <c r="N3582" s="26">
        <v>62</v>
      </c>
      <c r="O3582" s="26">
        <v>28</v>
      </c>
      <c r="P3582" s="26">
        <v>34</v>
      </c>
      <c r="Q3582" s="26">
        <v>3</v>
      </c>
      <c r="R3582" s="26">
        <v>0</v>
      </c>
      <c r="S3582" s="26">
        <v>2</v>
      </c>
      <c r="T3582" s="26">
        <v>0</v>
      </c>
      <c r="U3582" s="26">
        <v>2</v>
      </c>
      <c r="V3582" s="26">
        <v>0</v>
      </c>
      <c r="W3582" s="26"/>
    </row>
    <row r="3583" spans="1:23" x14ac:dyDescent="0.25">
      <c r="A3583" s="26" t="s">
        <v>3971</v>
      </c>
      <c r="B3583" s="26" t="s">
        <v>1421</v>
      </c>
      <c r="C3583" s="26" t="s">
        <v>817</v>
      </c>
      <c r="D3583" s="26" t="s">
        <v>218</v>
      </c>
      <c r="E3583" s="26" t="s">
        <v>1422</v>
      </c>
      <c r="F3583" s="26" t="s">
        <v>1423</v>
      </c>
      <c r="G3583" s="26" t="s">
        <v>204</v>
      </c>
      <c r="H3583" s="26" t="s">
        <v>1026</v>
      </c>
      <c r="I3583" s="26" t="s">
        <v>184</v>
      </c>
      <c r="J3583" s="26" t="s">
        <v>322</v>
      </c>
      <c r="K3583" s="26" t="s">
        <v>360</v>
      </c>
      <c r="L3583" s="26" t="s">
        <v>79</v>
      </c>
      <c r="M3583" s="26" t="s">
        <v>77</v>
      </c>
      <c r="N3583" s="26">
        <v>40</v>
      </c>
      <c r="O3583" s="26">
        <v>20</v>
      </c>
      <c r="P3583" s="26">
        <v>20</v>
      </c>
      <c r="Q3583" s="26">
        <v>3</v>
      </c>
      <c r="R3583" s="26">
        <v>0</v>
      </c>
      <c r="S3583" s="26">
        <v>4</v>
      </c>
      <c r="T3583" s="26">
        <v>0</v>
      </c>
      <c r="U3583" s="26">
        <v>4</v>
      </c>
      <c r="V3583" s="26">
        <v>0</v>
      </c>
      <c r="W3583" s="26"/>
    </row>
    <row r="3584" spans="1:23" x14ac:dyDescent="0.25">
      <c r="A3584" s="26" t="s">
        <v>3971</v>
      </c>
      <c r="B3584" s="26" t="s">
        <v>1424</v>
      </c>
      <c r="C3584" s="26" t="s">
        <v>1425</v>
      </c>
      <c r="D3584" s="26" t="s">
        <v>218</v>
      </c>
      <c r="E3584" s="26" t="s">
        <v>1426</v>
      </c>
      <c r="F3584" s="26" t="s">
        <v>1427</v>
      </c>
      <c r="G3584" s="26" t="s">
        <v>204</v>
      </c>
      <c r="H3584" s="26" t="s">
        <v>523</v>
      </c>
      <c r="I3584" s="26" t="s">
        <v>184</v>
      </c>
      <c r="J3584" s="26" t="s">
        <v>322</v>
      </c>
      <c r="K3584" s="26" t="s">
        <v>360</v>
      </c>
      <c r="L3584" s="26" t="s">
        <v>79</v>
      </c>
      <c r="M3584" s="26" t="s">
        <v>77</v>
      </c>
      <c r="N3584" s="26">
        <v>32</v>
      </c>
      <c r="O3584" s="26">
        <v>15</v>
      </c>
      <c r="P3584" s="26">
        <v>17</v>
      </c>
      <c r="Q3584" s="26">
        <v>2</v>
      </c>
      <c r="R3584" s="26">
        <v>0</v>
      </c>
      <c r="S3584" s="26">
        <v>2</v>
      </c>
      <c r="T3584" s="26">
        <v>0</v>
      </c>
      <c r="U3584" s="26">
        <v>2</v>
      </c>
      <c r="V3584" s="26">
        <v>0</v>
      </c>
      <c r="W3584" s="26"/>
    </row>
    <row r="3585" spans="1:23" x14ac:dyDescent="0.25">
      <c r="A3585" s="26" t="s">
        <v>3971</v>
      </c>
      <c r="B3585" s="26" t="s">
        <v>1428</v>
      </c>
      <c r="C3585" s="26" t="s">
        <v>1429</v>
      </c>
      <c r="D3585" s="26" t="s">
        <v>179</v>
      </c>
      <c r="E3585" s="26" t="s">
        <v>1430</v>
      </c>
      <c r="F3585" s="26" t="s">
        <v>602</v>
      </c>
      <c r="G3585" s="26" t="s">
        <v>226</v>
      </c>
      <c r="H3585" s="26" t="s">
        <v>603</v>
      </c>
      <c r="I3585" s="26" t="s">
        <v>184</v>
      </c>
      <c r="J3585" s="26" t="s">
        <v>427</v>
      </c>
      <c r="K3585" s="26" t="s">
        <v>360</v>
      </c>
      <c r="L3585" s="26" t="s">
        <v>79</v>
      </c>
      <c r="M3585" s="26" t="s">
        <v>77</v>
      </c>
      <c r="N3585" s="26">
        <v>53</v>
      </c>
      <c r="O3585" s="26">
        <v>17</v>
      </c>
      <c r="P3585" s="26">
        <v>36</v>
      </c>
      <c r="Q3585" s="26">
        <v>3</v>
      </c>
      <c r="R3585" s="26">
        <v>0</v>
      </c>
      <c r="S3585" s="26">
        <v>3</v>
      </c>
      <c r="T3585" s="26">
        <v>0</v>
      </c>
      <c r="U3585" s="26">
        <v>3</v>
      </c>
      <c r="V3585" s="26">
        <v>0</v>
      </c>
      <c r="W3585" s="26"/>
    </row>
    <row r="3586" spans="1:23" x14ac:dyDescent="0.25">
      <c r="A3586" s="26" t="s">
        <v>3971</v>
      </c>
      <c r="B3586" s="26" t="s">
        <v>1431</v>
      </c>
      <c r="C3586" s="26" t="s">
        <v>1432</v>
      </c>
      <c r="D3586" s="26" t="s">
        <v>179</v>
      </c>
      <c r="E3586" s="26" t="s">
        <v>1433</v>
      </c>
      <c r="F3586" s="26" t="s">
        <v>1434</v>
      </c>
      <c r="G3586" s="26" t="s">
        <v>226</v>
      </c>
      <c r="H3586" s="26" t="s">
        <v>603</v>
      </c>
      <c r="I3586" s="26" t="s">
        <v>184</v>
      </c>
      <c r="J3586" s="26" t="s">
        <v>427</v>
      </c>
      <c r="K3586" s="26" t="s">
        <v>360</v>
      </c>
      <c r="L3586" s="26" t="s">
        <v>79</v>
      </c>
      <c r="M3586" s="26" t="s">
        <v>77</v>
      </c>
      <c r="N3586" s="26">
        <v>80</v>
      </c>
      <c r="O3586" s="26">
        <v>47</v>
      </c>
      <c r="P3586" s="26">
        <v>33</v>
      </c>
      <c r="Q3586" s="26">
        <v>6</v>
      </c>
      <c r="R3586" s="26">
        <v>0</v>
      </c>
      <c r="S3586" s="26">
        <v>11</v>
      </c>
      <c r="T3586" s="26">
        <v>0</v>
      </c>
      <c r="U3586" s="26">
        <v>11</v>
      </c>
      <c r="V3586" s="26">
        <v>0</v>
      </c>
      <c r="W3586" s="26"/>
    </row>
    <row r="3587" spans="1:23" x14ac:dyDescent="0.25">
      <c r="A3587" s="26" t="s">
        <v>3971</v>
      </c>
      <c r="B3587" s="26" t="s">
        <v>1435</v>
      </c>
      <c r="C3587" s="26" t="s">
        <v>1436</v>
      </c>
      <c r="D3587" s="26" t="s">
        <v>179</v>
      </c>
      <c r="E3587" s="26" t="s">
        <v>1437</v>
      </c>
      <c r="F3587" s="26" t="s">
        <v>1438</v>
      </c>
      <c r="G3587" s="26" t="s">
        <v>252</v>
      </c>
      <c r="H3587" s="26" t="s">
        <v>1439</v>
      </c>
      <c r="I3587" s="26" t="s">
        <v>184</v>
      </c>
      <c r="J3587" s="26" t="s">
        <v>427</v>
      </c>
      <c r="K3587" s="26" t="s">
        <v>360</v>
      </c>
      <c r="L3587" s="26" t="s">
        <v>79</v>
      </c>
      <c r="M3587" s="26" t="s">
        <v>77</v>
      </c>
      <c r="N3587" s="26">
        <v>73</v>
      </c>
      <c r="O3587" s="26">
        <v>36</v>
      </c>
      <c r="P3587" s="26">
        <v>37</v>
      </c>
      <c r="Q3587" s="26">
        <v>3</v>
      </c>
      <c r="R3587" s="26">
        <v>0</v>
      </c>
      <c r="S3587" s="26">
        <v>8</v>
      </c>
      <c r="T3587" s="26">
        <v>0</v>
      </c>
      <c r="U3587" s="26">
        <v>8</v>
      </c>
      <c r="V3587" s="26">
        <v>0</v>
      </c>
      <c r="W3587" s="26"/>
    </row>
    <row r="3588" spans="1:23" x14ac:dyDescent="0.25">
      <c r="A3588" s="26" t="s">
        <v>3971</v>
      </c>
      <c r="B3588" s="26" t="s">
        <v>1440</v>
      </c>
      <c r="C3588" s="26" t="s">
        <v>1441</v>
      </c>
      <c r="D3588" s="26" t="s">
        <v>179</v>
      </c>
      <c r="E3588" s="26" t="s">
        <v>4004</v>
      </c>
      <c r="F3588" s="26" t="s">
        <v>1442</v>
      </c>
      <c r="G3588" s="26" t="s">
        <v>413</v>
      </c>
      <c r="H3588" s="26" t="s">
        <v>414</v>
      </c>
      <c r="I3588" s="26" t="s">
        <v>184</v>
      </c>
      <c r="J3588" s="26" t="s">
        <v>375</v>
      </c>
      <c r="K3588" s="26" t="s">
        <v>360</v>
      </c>
      <c r="L3588" s="26" t="s">
        <v>79</v>
      </c>
      <c r="M3588" s="26" t="s">
        <v>77</v>
      </c>
      <c r="N3588" s="26">
        <v>106</v>
      </c>
      <c r="O3588" s="26">
        <v>48</v>
      </c>
      <c r="P3588" s="26">
        <v>58</v>
      </c>
      <c r="Q3588" s="26">
        <v>6</v>
      </c>
      <c r="R3588" s="26">
        <v>0</v>
      </c>
      <c r="S3588" s="26">
        <v>11</v>
      </c>
      <c r="T3588" s="26">
        <v>0</v>
      </c>
      <c r="U3588" s="26">
        <v>11</v>
      </c>
      <c r="V3588" s="26">
        <v>0</v>
      </c>
      <c r="W3588" s="26"/>
    </row>
    <row r="3589" spans="1:23" x14ac:dyDescent="0.25">
      <c r="A3589" s="26" t="s">
        <v>3971</v>
      </c>
      <c r="B3589" s="26" t="s">
        <v>1443</v>
      </c>
      <c r="C3589" s="26" t="s">
        <v>1444</v>
      </c>
      <c r="D3589" s="26" t="s">
        <v>179</v>
      </c>
      <c r="E3589" s="26" t="s">
        <v>1445</v>
      </c>
      <c r="F3589" s="26" t="s">
        <v>1446</v>
      </c>
      <c r="G3589" s="26" t="s">
        <v>226</v>
      </c>
      <c r="H3589" s="26" t="s">
        <v>603</v>
      </c>
      <c r="I3589" s="26" t="s">
        <v>184</v>
      </c>
      <c r="J3589" s="26" t="s">
        <v>427</v>
      </c>
      <c r="K3589" s="26" t="s">
        <v>360</v>
      </c>
      <c r="L3589" s="26" t="s">
        <v>79</v>
      </c>
      <c r="M3589" s="26" t="s">
        <v>77</v>
      </c>
      <c r="N3589" s="26">
        <v>152</v>
      </c>
      <c r="O3589" s="26">
        <v>79</v>
      </c>
      <c r="P3589" s="26">
        <v>73</v>
      </c>
      <c r="Q3589" s="26">
        <v>6</v>
      </c>
      <c r="R3589" s="26">
        <v>0</v>
      </c>
      <c r="S3589" s="26">
        <v>6</v>
      </c>
      <c r="T3589" s="26">
        <v>0</v>
      </c>
      <c r="U3589" s="26">
        <v>6</v>
      </c>
      <c r="V3589" s="26">
        <v>0</v>
      </c>
      <c r="W3589" s="26"/>
    </row>
    <row r="3590" spans="1:23" x14ac:dyDescent="0.25">
      <c r="A3590" s="26" t="s">
        <v>3971</v>
      </c>
      <c r="B3590" s="26" t="s">
        <v>1447</v>
      </c>
      <c r="C3590" s="26" t="s">
        <v>1448</v>
      </c>
      <c r="D3590" s="26" t="s">
        <v>218</v>
      </c>
      <c r="E3590" s="26" t="s">
        <v>4</v>
      </c>
      <c r="F3590" s="26" t="s">
        <v>444</v>
      </c>
      <c r="G3590" s="26" t="s">
        <v>265</v>
      </c>
      <c r="H3590" s="26" t="s">
        <v>526</v>
      </c>
      <c r="I3590" s="26" t="s">
        <v>184</v>
      </c>
      <c r="J3590" s="26" t="s">
        <v>322</v>
      </c>
      <c r="K3590" s="26" t="s">
        <v>360</v>
      </c>
      <c r="L3590" s="26" t="s">
        <v>79</v>
      </c>
      <c r="M3590" s="26" t="s">
        <v>77</v>
      </c>
      <c r="N3590" s="26">
        <v>145</v>
      </c>
      <c r="O3590" s="26">
        <v>66</v>
      </c>
      <c r="P3590" s="26">
        <v>79</v>
      </c>
      <c r="Q3590" s="26">
        <v>5</v>
      </c>
      <c r="R3590" s="26">
        <v>0</v>
      </c>
      <c r="S3590" s="26">
        <v>15</v>
      </c>
      <c r="T3590" s="26">
        <v>0</v>
      </c>
      <c r="U3590" s="26">
        <v>15</v>
      </c>
      <c r="V3590" s="26">
        <v>0</v>
      </c>
      <c r="W3590" s="26"/>
    </row>
    <row r="3591" spans="1:23" x14ac:dyDescent="0.25">
      <c r="A3591" s="26" t="s">
        <v>3971</v>
      </c>
      <c r="B3591" s="26" t="s">
        <v>1449</v>
      </c>
      <c r="C3591" s="26" t="s">
        <v>1450</v>
      </c>
      <c r="D3591" s="26" t="s">
        <v>179</v>
      </c>
      <c r="E3591" s="26" t="s">
        <v>1451</v>
      </c>
      <c r="F3591" s="26" t="s">
        <v>457</v>
      </c>
      <c r="G3591" s="26" t="s">
        <v>182</v>
      </c>
      <c r="H3591" s="26" t="s">
        <v>380</v>
      </c>
      <c r="I3591" s="26" t="s">
        <v>184</v>
      </c>
      <c r="J3591" s="26" t="s">
        <v>322</v>
      </c>
      <c r="K3591" s="26" t="s">
        <v>360</v>
      </c>
      <c r="L3591" s="26" t="s">
        <v>79</v>
      </c>
      <c r="M3591" s="26" t="s">
        <v>77</v>
      </c>
      <c r="N3591" s="26">
        <v>35</v>
      </c>
      <c r="O3591" s="26">
        <v>23</v>
      </c>
      <c r="P3591" s="26">
        <v>12</v>
      </c>
      <c r="Q3591" s="26">
        <v>3</v>
      </c>
      <c r="R3591" s="26">
        <v>0</v>
      </c>
      <c r="S3591" s="26">
        <v>7</v>
      </c>
      <c r="T3591" s="26">
        <v>0</v>
      </c>
      <c r="U3591" s="26">
        <v>7</v>
      </c>
      <c r="V3591" s="26">
        <v>0</v>
      </c>
      <c r="W3591" s="26"/>
    </row>
    <row r="3592" spans="1:23" x14ac:dyDescent="0.25">
      <c r="A3592" s="26" t="s">
        <v>3971</v>
      </c>
      <c r="B3592" s="26" t="s">
        <v>1452</v>
      </c>
      <c r="C3592" s="26" t="s">
        <v>1453</v>
      </c>
      <c r="D3592" s="26" t="s">
        <v>218</v>
      </c>
      <c r="E3592" s="26" t="s">
        <v>1454</v>
      </c>
      <c r="F3592" s="26" t="s">
        <v>1455</v>
      </c>
      <c r="G3592" s="26" t="s">
        <v>293</v>
      </c>
      <c r="H3592" s="26" t="s">
        <v>301</v>
      </c>
      <c r="I3592" s="26" t="s">
        <v>1259</v>
      </c>
      <c r="J3592" s="26" t="s">
        <v>696</v>
      </c>
      <c r="K3592" s="26" t="s">
        <v>296</v>
      </c>
      <c r="L3592" s="26" t="s">
        <v>80</v>
      </c>
      <c r="M3592" s="26" t="s">
        <v>77</v>
      </c>
      <c r="N3592" s="26">
        <v>194</v>
      </c>
      <c r="O3592" s="26">
        <v>95</v>
      </c>
      <c r="P3592" s="26">
        <v>99</v>
      </c>
      <c r="Q3592" s="26">
        <v>9</v>
      </c>
      <c r="R3592" s="26">
        <v>0</v>
      </c>
      <c r="S3592" s="26">
        <v>25</v>
      </c>
      <c r="T3592" s="26">
        <v>0</v>
      </c>
      <c r="U3592" s="26">
        <v>25</v>
      </c>
      <c r="V3592" s="26">
        <v>0</v>
      </c>
      <c r="W3592" s="26"/>
    </row>
    <row r="3593" spans="1:23" x14ac:dyDescent="0.25">
      <c r="A3593" s="26" t="s">
        <v>3971</v>
      </c>
      <c r="B3593" s="26" t="s">
        <v>1456</v>
      </c>
      <c r="C3593" s="26" t="s">
        <v>1457</v>
      </c>
      <c r="D3593" s="26" t="s">
        <v>179</v>
      </c>
      <c r="E3593" s="26" t="s">
        <v>1458</v>
      </c>
      <c r="F3593" s="26" t="s">
        <v>379</v>
      </c>
      <c r="G3593" s="26" t="s">
        <v>182</v>
      </c>
      <c r="H3593" s="26" t="s">
        <v>399</v>
      </c>
      <c r="I3593" s="26" t="s">
        <v>184</v>
      </c>
      <c r="J3593" s="26" t="s">
        <v>322</v>
      </c>
      <c r="K3593" s="26" t="s">
        <v>360</v>
      </c>
      <c r="L3593" s="26" t="s">
        <v>79</v>
      </c>
      <c r="M3593" s="26" t="s">
        <v>77</v>
      </c>
      <c r="N3593" s="26">
        <v>51</v>
      </c>
      <c r="O3593" s="26">
        <v>30</v>
      </c>
      <c r="P3593" s="26">
        <v>21</v>
      </c>
      <c r="Q3593" s="26">
        <v>3</v>
      </c>
      <c r="R3593" s="26">
        <v>0</v>
      </c>
      <c r="S3593" s="26">
        <v>7</v>
      </c>
      <c r="T3593" s="26">
        <v>0</v>
      </c>
      <c r="U3593" s="26">
        <v>7</v>
      </c>
      <c r="V3593" s="26">
        <v>0</v>
      </c>
      <c r="W3593" s="26"/>
    </row>
    <row r="3594" spans="1:23" x14ac:dyDescent="0.25">
      <c r="A3594" s="26" t="s">
        <v>3971</v>
      </c>
      <c r="B3594" s="26" t="s">
        <v>1459</v>
      </c>
      <c r="C3594" s="26" t="s">
        <v>1460</v>
      </c>
      <c r="D3594" s="26" t="s">
        <v>179</v>
      </c>
      <c r="E3594" s="26" t="s">
        <v>1461</v>
      </c>
      <c r="F3594" s="26" t="s">
        <v>1462</v>
      </c>
      <c r="G3594" s="26" t="s">
        <v>278</v>
      </c>
      <c r="H3594" s="26" t="s">
        <v>408</v>
      </c>
      <c r="I3594" s="26" t="s">
        <v>184</v>
      </c>
      <c r="J3594" s="26" t="s">
        <v>375</v>
      </c>
      <c r="K3594" s="26" t="s">
        <v>360</v>
      </c>
      <c r="L3594" s="26" t="s">
        <v>79</v>
      </c>
      <c r="M3594" s="26" t="s">
        <v>77</v>
      </c>
      <c r="N3594" s="26">
        <v>93</v>
      </c>
      <c r="O3594" s="26">
        <v>52</v>
      </c>
      <c r="P3594" s="26">
        <v>41</v>
      </c>
      <c r="Q3594" s="26">
        <v>5</v>
      </c>
      <c r="R3594" s="26">
        <v>0</v>
      </c>
      <c r="S3594" s="26">
        <v>5</v>
      </c>
      <c r="T3594" s="26">
        <v>0</v>
      </c>
      <c r="U3594" s="26">
        <v>5</v>
      </c>
      <c r="V3594" s="26">
        <v>0</v>
      </c>
      <c r="W3594" s="26"/>
    </row>
    <row r="3595" spans="1:23" x14ac:dyDescent="0.25">
      <c r="A3595" s="26" t="s">
        <v>3971</v>
      </c>
      <c r="B3595" s="26" t="s">
        <v>1463</v>
      </c>
      <c r="C3595" s="26" t="s">
        <v>1464</v>
      </c>
      <c r="D3595" s="26" t="s">
        <v>179</v>
      </c>
      <c r="E3595" s="26" t="s">
        <v>1465</v>
      </c>
      <c r="F3595" s="26" t="s">
        <v>1466</v>
      </c>
      <c r="G3595" s="26" t="s">
        <v>182</v>
      </c>
      <c r="H3595" s="26" t="s">
        <v>421</v>
      </c>
      <c r="I3595" s="26" t="s">
        <v>184</v>
      </c>
      <c r="J3595" s="26" t="s">
        <v>322</v>
      </c>
      <c r="K3595" s="26" t="s">
        <v>360</v>
      </c>
      <c r="L3595" s="26" t="s">
        <v>79</v>
      </c>
      <c r="M3595" s="26" t="s">
        <v>77</v>
      </c>
      <c r="N3595" s="26">
        <v>90</v>
      </c>
      <c r="O3595" s="26">
        <v>42</v>
      </c>
      <c r="P3595" s="26">
        <v>48</v>
      </c>
      <c r="Q3595" s="26">
        <v>5</v>
      </c>
      <c r="R3595" s="26">
        <v>0</v>
      </c>
      <c r="S3595" s="26">
        <v>6</v>
      </c>
      <c r="T3595" s="26">
        <v>0</v>
      </c>
      <c r="U3595" s="26">
        <v>6</v>
      </c>
      <c r="V3595" s="26">
        <v>0</v>
      </c>
      <c r="W3595" s="26"/>
    </row>
    <row r="3596" spans="1:23" x14ac:dyDescent="0.25">
      <c r="A3596" s="26" t="s">
        <v>3971</v>
      </c>
      <c r="B3596" s="26" t="s">
        <v>1467</v>
      </c>
      <c r="C3596" s="26" t="s">
        <v>1468</v>
      </c>
      <c r="D3596" s="26" t="s">
        <v>179</v>
      </c>
      <c r="E3596" s="26" t="s">
        <v>1469</v>
      </c>
      <c r="F3596" s="26" t="s">
        <v>1470</v>
      </c>
      <c r="G3596" s="26" t="s">
        <v>413</v>
      </c>
      <c r="H3596" s="26" t="s">
        <v>466</v>
      </c>
      <c r="I3596" s="26" t="s">
        <v>184</v>
      </c>
      <c r="J3596" s="26" t="s">
        <v>375</v>
      </c>
      <c r="K3596" s="26" t="s">
        <v>360</v>
      </c>
      <c r="L3596" s="26" t="s">
        <v>79</v>
      </c>
      <c r="M3596" s="26" t="s">
        <v>77</v>
      </c>
      <c r="N3596" s="26">
        <v>50</v>
      </c>
      <c r="O3596" s="26">
        <v>29</v>
      </c>
      <c r="P3596" s="26">
        <v>21</v>
      </c>
      <c r="Q3596" s="26">
        <v>3</v>
      </c>
      <c r="R3596" s="26">
        <v>0</v>
      </c>
      <c r="S3596" s="26">
        <v>10</v>
      </c>
      <c r="T3596" s="26">
        <v>0</v>
      </c>
      <c r="U3596" s="26">
        <v>10</v>
      </c>
      <c r="V3596" s="26">
        <v>0</v>
      </c>
      <c r="W3596" s="26"/>
    </row>
    <row r="3597" spans="1:23" x14ac:dyDescent="0.25">
      <c r="A3597" s="26" t="s">
        <v>3971</v>
      </c>
      <c r="B3597" s="26" t="s">
        <v>1471</v>
      </c>
      <c r="C3597" s="26" t="s">
        <v>1472</v>
      </c>
      <c r="D3597" s="26" t="s">
        <v>179</v>
      </c>
      <c r="E3597" s="26" t="s">
        <v>1473</v>
      </c>
      <c r="F3597" s="26" t="s">
        <v>963</v>
      </c>
      <c r="G3597" s="26" t="s">
        <v>182</v>
      </c>
      <c r="H3597" s="26" t="s">
        <v>440</v>
      </c>
      <c r="I3597" s="26" t="s">
        <v>184</v>
      </c>
      <c r="J3597" s="26" t="s">
        <v>322</v>
      </c>
      <c r="K3597" s="26" t="s">
        <v>360</v>
      </c>
      <c r="L3597" s="26" t="s">
        <v>79</v>
      </c>
      <c r="M3597" s="26" t="s">
        <v>77</v>
      </c>
      <c r="N3597" s="26">
        <v>29</v>
      </c>
      <c r="O3597" s="26">
        <v>16</v>
      </c>
      <c r="P3597" s="26">
        <v>13</v>
      </c>
      <c r="Q3597" s="26">
        <v>5</v>
      </c>
      <c r="R3597" s="26">
        <v>0</v>
      </c>
      <c r="S3597" s="26">
        <v>9</v>
      </c>
      <c r="T3597" s="26">
        <v>0</v>
      </c>
      <c r="U3597" s="26">
        <v>9</v>
      </c>
      <c r="V3597" s="26">
        <v>0</v>
      </c>
      <c r="W3597" s="26"/>
    </row>
    <row r="3598" spans="1:23" x14ac:dyDescent="0.25">
      <c r="A3598" s="26" t="s">
        <v>3971</v>
      </c>
      <c r="B3598" s="26" t="s">
        <v>1474</v>
      </c>
      <c r="C3598" s="26" t="s">
        <v>1475</v>
      </c>
      <c r="D3598" s="26" t="s">
        <v>218</v>
      </c>
      <c r="E3598" s="26" t="s">
        <v>1476</v>
      </c>
      <c r="F3598" s="26" t="s">
        <v>555</v>
      </c>
      <c r="G3598" s="26" t="s">
        <v>191</v>
      </c>
      <c r="H3598" s="26" t="s">
        <v>426</v>
      </c>
      <c r="I3598" s="26" t="s">
        <v>184</v>
      </c>
      <c r="J3598" s="26" t="s">
        <v>427</v>
      </c>
      <c r="K3598" s="26" t="s">
        <v>360</v>
      </c>
      <c r="L3598" s="26" t="s">
        <v>79</v>
      </c>
      <c r="M3598" s="26" t="s">
        <v>77</v>
      </c>
      <c r="N3598" s="26">
        <v>75</v>
      </c>
      <c r="O3598" s="26">
        <v>29</v>
      </c>
      <c r="P3598" s="26">
        <v>46</v>
      </c>
      <c r="Q3598" s="26">
        <v>3</v>
      </c>
      <c r="R3598" s="26">
        <v>0</v>
      </c>
      <c r="S3598" s="26">
        <v>8</v>
      </c>
      <c r="T3598" s="26">
        <v>0</v>
      </c>
      <c r="U3598" s="26">
        <v>8</v>
      </c>
      <c r="V3598" s="26">
        <v>0</v>
      </c>
      <c r="W3598" s="26"/>
    </row>
    <row r="3599" spans="1:23" x14ac:dyDescent="0.25">
      <c r="A3599" s="26" t="s">
        <v>3971</v>
      </c>
      <c r="B3599" s="26" t="s">
        <v>1477</v>
      </c>
      <c r="C3599" s="26" t="s">
        <v>1478</v>
      </c>
      <c r="D3599" s="26" t="s">
        <v>218</v>
      </c>
      <c r="E3599" s="26" t="s">
        <v>1479</v>
      </c>
      <c r="F3599" s="26" t="s">
        <v>1480</v>
      </c>
      <c r="G3599" s="26" t="s">
        <v>226</v>
      </c>
      <c r="H3599" s="26" t="s">
        <v>833</v>
      </c>
      <c r="I3599" s="26" t="s">
        <v>184</v>
      </c>
      <c r="J3599" s="26" t="s">
        <v>427</v>
      </c>
      <c r="K3599" s="26" t="s">
        <v>360</v>
      </c>
      <c r="L3599" s="26" t="s">
        <v>79</v>
      </c>
      <c r="M3599" s="26" t="s">
        <v>77</v>
      </c>
      <c r="N3599" s="26">
        <v>15</v>
      </c>
      <c r="O3599" s="26">
        <v>7</v>
      </c>
      <c r="P3599" s="26">
        <v>8</v>
      </c>
      <c r="Q3599" s="26">
        <v>2</v>
      </c>
      <c r="R3599" s="26">
        <v>0</v>
      </c>
      <c r="S3599" s="26">
        <v>1</v>
      </c>
      <c r="T3599" s="26">
        <v>0</v>
      </c>
      <c r="U3599" s="26">
        <v>1</v>
      </c>
      <c r="V3599" s="26">
        <v>0</v>
      </c>
      <c r="W3599" s="26"/>
    </row>
    <row r="3600" spans="1:23" x14ac:dyDescent="0.25">
      <c r="A3600" s="26" t="s">
        <v>3971</v>
      </c>
      <c r="B3600" s="26" t="s">
        <v>1481</v>
      </c>
      <c r="C3600" s="26" t="s">
        <v>1482</v>
      </c>
      <c r="D3600" s="26" t="s">
        <v>218</v>
      </c>
      <c r="E3600" s="26" t="s">
        <v>1483</v>
      </c>
      <c r="F3600" s="26" t="s">
        <v>1179</v>
      </c>
      <c r="G3600" s="26" t="s">
        <v>182</v>
      </c>
      <c r="H3600" s="26" t="s">
        <v>370</v>
      </c>
      <c r="I3600" s="26" t="s">
        <v>184</v>
      </c>
      <c r="J3600" s="26" t="s">
        <v>322</v>
      </c>
      <c r="K3600" s="26" t="s">
        <v>360</v>
      </c>
      <c r="L3600" s="26" t="s">
        <v>79</v>
      </c>
      <c r="M3600" s="26" t="s">
        <v>77</v>
      </c>
      <c r="N3600" s="26">
        <v>22</v>
      </c>
      <c r="O3600" s="26">
        <v>12</v>
      </c>
      <c r="P3600" s="26">
        <v>10</v>
      </c>
      <c r="Q3600" s="26">
        <v>5</v>
      </c>
      <c r="R3600" s="26">
        <v>0</v>
      </c>
      <c r="S3600" s="26">
        <v>10</v>
      </c>
      <c r="T3600" s="26">
        <v>0</v>
      </c>
      <c r="U3600" s="26">
        <v>10</v>
      </c>
      <c r="V3600" s="26">
        <v>0</v>
      </c>
      <c r="W3600" s="26"/>
    </row>
    <row r="3601" spans="1:23" x14ac:dyDescent="0.25">
      <c r="A3601" s="26" t="s">
        <v>3971</v>
      </c>
      <c r="B3601" s="26" t="s">
        <v>1484</v>
      </c>
      <c r="C3601" s="26" t="s">
        <v>1485</v>
      </c>
      <c r="D3601" s="26" t="s">
        <v>179</v>
      </c>
      <c r="E3601" s="26" t="s">
        <v>4005</v>
      </c>
      <c r="F3601" s="26" t="s">
        <v>4011</v>
      </c>
      <c r="G3601" s="26" t="s">
        <v>413</v>
      </c>
      <c r="H3601" s="26" t="s">
        <v>787</v>
      </c>
      <c r="I3601" s="26" t="s">
        <v>184</v>
      </c>
      <c r="J3601" s="26" t="s">
        <v>375</v>
      </c>
      <c r="K3601" s="26" t="s">
        <v>360</v>
      </c>
      <c r="L3601" s="26" t="s">
        <v>79</v>
      </c>
      <c r="M3601" s="26" t="s">
        <v>77</v>
      </c>
      <c r="N3601" s="26">
        <v>61</v>
      </c>
      <c r="O3601" s="26">
        <v>26</v>
      </c>
      <c r="P3601" s="26">
        <v>35</v>
      </c>
      <c r="Q3601" s="26">
        <v>3</v>
      </c>
      <c r="R3601" s="26">
        <v>0</v>
      </c>
      <c r="S3601" s="26">
        <v>6</v>
      </c>
      <c r="T3601" s="26">
        <v>0</v>
      </c>
      <c r="U3601" s="26">
        <v>6</v>
      </c>
      <c r="V3601" s="26">
        <v>0</v>
      </c>
      <c r="W3601" s="26"/>
    </row>
    <row r="3602" spans="1:23" x14ac:dyDescent="0.25">
      <c r="A3602" s="26" t="s">
        <v>3971</v>
      </c>
      <c r="B3602" s="26" t="s">
        <v>1486</v>
      </c>
      <c r="C3602" s="26" t="s">
        <v>1487</v>
      </c>
      <c r="D3602" s="26" t="s">
        <v>179</v>
      </c>
      <c r="E3602" s="26" t="s">
        <v>1488</v>
      </c>
      <c r="F3602" s="26" t="s">
        <v>1489</v>
      </c>
      <c r="G3602" s="26" t="s">
        <v>191</v>
      </c>
      <c r="H3602" s="26" t="s">
        <v>1347</v>
      </c>
      <c r="I3602" s="26" t="s">
        <v>184</v>
      </c>
      <c r="J3602" s="26" t="s">
        <v>427</v>
      </c>
      <c r="K3602" s="26" t="s">
        <v>360</v>
      </c>
      <c r="L3602" s="26" t="s">
        <v>79</v>
      </c>
      <c r="M3602" s="26" t="s">
        <v>77</v>
      </c>
      <c r="N3602" s="26">
        <v>51</v>
      </c>
      <c r="O3602" s="26">
        <v>22</v>
      </c>
      <c r="P3602" s="26">
        <v>29</v>
      </c>
      <c r="Q3602" s="26">
        <v>3</v>
      </c>
      <c r="R3602" s="26">
        <v>0</v>
      </c>
      <c r="S3602" s="26">
        <v>8</v>
      </c>
      <c r="T3602" s="26">
        <v>0</v>
      </c>
      <c r="U3602" s="26">
        <v>8</v>
      </c>
      <c r="V3602" s="26">
        <v>0</v>
      </c>
      <c r="W3602" s="26"/>
    </row>
    <row r="3603" spans="1:23" x14ac:dyDescent="0.25">
      <c r="A3603" s="26" t="s">
        <v>3971</v>
      </c>
      <c r="B3603" s="26" t="s">
        <v>1490</v>
      </c>
      <c r="C3603" s="26" t="s">
        <v>1491</v>
      </c>
      <c r="D3603" s="26" t="s">
        <v>179</v>
      </c>
      <c r="E3603" s="26" t="s">
        <v>1492</v>
      </c>
      <c r="F3603" s="26" t="s">
        <v>636</v>
      </c>
      <c r="G3603" s="26" t="s">
        <v>637</v>
      </c>
      <c r="H3603" s="26" t="s">
        <v>657</v>
      </c>
      <c r="I3603" s="26" t="s">
        <v>184</v>
      </c>
      <c r="J3603" s="26" t="s">
        <v>427</v>
      </c>
      <c r="K3603" s="26" t="s">
        <v>360</v>
      </c>
      <c r="L3603" s="26" t="s">
        <v>79</v>
      </c>
      <c r="M3603" s="26" t="s">
        <v>77</v>
      </c>
      <c r="N3603" s="26">
        <v>41</v>
      </c>
      <c r="O3603" s="26">
        <v>19</v>
      </c>
      <c r="P3603" s="26">
        <v>22</v>
      </c>
      <c r="Q3603" s="26">
        <v>2</v>
      </c>
      <c r="R3603" s="26">
        <v>0</v>
      </c>
      <c r="S3603" s="26">
        <v>6</v>
      </c>
      <c r="T3603" s="26">
        <v>0</v>
      </c>
      <c r="U3603" s="26">
        <v>6</v>
      </c>
      <c r="V3603" s="26">
        <v>0</v>
      </c>
      <c r="W3603" s="26"/>
    </row>
    <row r="3604" spans="1:23" x14ac:dyDescent="0.25">
      <c r="A3604" s="26" t="s">
        <v>3971</v>
      </c>
      <c r="B3604" s="26" t="s">
        <v>1493</v>
      </c>
      <c r="C3604" s="26" t="s">
        <v>1494</v>
      </c>
      <c r="D3604" s="26" t="s">
        <v>218</v>
      </c>
      <c r="E3604" s="26" t="s">
        <v>1495</v>
      </c>
      <c r="F3604" s="26" t="s">
        <v>870</v>
      </c>
      <c r="G3604" s="26" t="s">
        <v>226</v>
      </c>
      <c r="H3604" s="26" t="s">
        <v>603</v>
      </c>
      <c r="I3604" s="26" t="s">
        <v>184</v>
      </c>
      <c r="J3604" s="26" t="s">
        <v>427</v>
      </c>
      <c r="K3604" s="26" t="s">
        <v>381</v>
      </c>
      <c r="L3604" s="26" t="s">
        <v>79</v>
      </c>
      <c r="M3604" s="26" t="s">
        <v>77</v>
      </c>
      <c r="N3604" s="26">
        <v>272</v>
      </c>
      <c r="O3604" s="26">
        <v>127</v>
      </c>
      <c r="P3604" s="26">
        <v>145</v>
      </c>
      <c r="Q3604" s="26">
        <v>9</v>
      </c>
      <c r="R3604" s="26">
        <v>0</v>
      </c>
      <c r="S3604" s="26">
        <v>22</v>
      </c>
      <c r="T3604" s="26">
        <v>0</v>
      </c>
      <c r="U3604" s="26">
        <v>22</v>
      </c>
      <c r="V3604" s="26">
        <v>0</v>
      </c>
      <c r="W3604" s="26"/>
    </row>
    <row r="3605" spans="1:23" x14ac:dyDescent="0.25">
      <c r="A3605" s="26" t="s">
        <v>3971</v>
      </c>
      <c r="B3605" s="26" t="s">
        <v>1496</v>
      </c>
      <c r="C3605" s="26" t="s">
        <v>1497</v>
      </c>
      <c r="D3605" s="26" t="s">
        <v>179</v>
      </c>
      <c r="E3605" s="26" t="s">
        <v>1498</v>
      </c>
      <c r="F3605" s="26" t="s">
        <v>1499</v>
      </c>
      <c r="G3605" s="26" t="s">
        <v>413</v>
      </c>
      <c r="H3605" s="26" t="s">
        <v>787</v>
      </c>
      <c r="I3605" s="26" t="s">
        <v>184</v>
      </c>
      <c r="J3605" s="26" t="s">
        <v>375</v>
      </c>
      <c r="K3605" s="26" t="s">
        <v>360</v>
      </c>
      <c r="L3605" s="26" t="s">
        <v>79</v>
      </c>
      <c r="M3605" s="26" t="s">
        <v>77</v>
      </c>
      <c r="N3605" s="26">
        <v>72</v>
      </c>
      <c r="O3605" s="26">
        <v>39</v>
      </c>
      <c r="P3605" s="26">
        <v>33</v>
      </c>
      <c r="Q3605" s="26">
        <v>3</v>
      </c>
      <c r="R3605" s="26">
        <v>0</v>
      </c>
      <c r="S3605" s="26">
        <v>4</v>
      </c>
      <c r="T3605" s="26">
        <v>0</v>
      </c>
      <c r="U3605" s="26">
        <v>4</v>
      </c>
      <c r="V3605" s="26">
        <v>0</v>
      </c>
      <c r="W3605" s="26"/>
    </row>
    <row r="3606" spans="1:23" x14ac:dyDescent="0.25">
      <c r="A3606" s="26" t="s">
        <v>3971</v>
      </c>
      <c r="B3606" s="26" t="s">
        <v>1500</v>
      </c>
      <c r="C3606" s="26" t="s">
        <v>1501</v>
      </c>
      <c r="D3606" s="26" t="s">
        <v>218</v>
      </c>
      <c r="E3606" s="26" t="s">
        <v>1502</v>
      </c>
      <c r="F3606" s="26" t="s">
        <v>502</v>
      </c>
      <c r="G3606" s="26" t="s">
        <v>293</v>
      </c>
      <c r="H3606" s="26" t="s">
        <v>351</v>
      </c>
      <c r="I3606" s="26" t="s">
        <v>1259</v>
      </c>
      <c r="J3606" s="26" t="s">
        <v>503</v>
      </c>
      <c r="K3606" s="26" t="s">
        <v>296</v>
      </c>
      <c r="L3606" s="26" t="s">
        <v>80</v>
      </c>
      <c r="M3606" s="26" t="s">
        <v>77</v>
      </c>
      <c r="N3606" s="26">
        <v>36</v>
      </c>
      <c r="O3606" s="26">
        <v>21</v>
      </c>
      <c r="P3606" s="26">
        <v>15</v>
      </c>
      <c r="Q3606" s="26">
        <v>3</v>
      </c>
      <c r="R3606" s="26">
        <v>0</v>
      </c>
      <c r="S3606" s="26">
        <v>8</v>
      </c>
      <c r="T3606" s="26">
        <v>0</v>
      </c>
      <c r="U3606" s="26">
        <v>8</v>
      </c>
      <c r="V3606" s="26">
        <v>0</v>
      </c>
      <c r="W3606" s="26"/>
    </row>
    <row r="3607" spans="1:23" x14ac:dyDescent="0.25">
      <c r="A3607" s="26" t="s">
        <v>3971</v>
      </c>
      <c r="B3607" s="26" t="s">
        <v>1503</v>
      </c>
      <c r="C3607" s="26" t="s">
        <v>1504</v>
      </c>
      <c r="D3607" s="26" t="s">
        <v>179</v>
      </c>
      <c r="E3607" s="26" t="s">
        <v>4006</v>
      </c>
      <c r="F3607" s="26" t="s">
        <v>1505</v>
      </c>
      <c r="G3607" s="26" t="s">
        <v>293</v>
      </c>
      <c r="H3607" s="26" t="s">
        <v>1506</v>
      </c>
      <c r="I3607" s="26" t="s">
        <v>1259</v>
      </c>
      <c r="J3607" s="26" t="s">
        <v>503</v>
      </c>
      <c r="K3607" s="26" t="s">
        <v>296</v>
      </c>
      <c r="L3607" s="26" t="s">
        <v>80</v>
      </c>
      <c r="M3607" s="26" t="s">
        <v>77</v>
      </c>
      <c r="N3607" s="26">
        <v>109</v>
      </c>
      <c r="O3607" s="26">
        <v>50</v>
      </c>
      <c r="P3607" s="26">
        <v>59</v>
      </c>
      <c r="Q3607" s="26">
        <v>3</v>
      </c>
      <c r="R3607" s="26">
        <v>0</v>
      </c>
      <c r="S3607" s="26">
        <v>5</v>
      </c>
      <c r="T3607" s="26">
        <v>0</v>
      </c>
      <c r="U3607" s="26">
        <v>5</v>
      </c>
      <c r="V3607" s="26">
        <v>0</v>
      </c>
      <c r="W3607" s="26"/>
    </row>
    <row r="3608" spans="1:23" x14ac:dyDescent="0.25">
      <c r="A3608" s="26" t="s">
        <v>3971</v>
      </c>
      <c r="B3608" s="26" t="s">
        <v>1507</v>
      </c>
      <c r="C3608" s="26" t="s">
        <v>1508</v>
      </c>
      <c r="D3608" s="26" t="s">
        <v>218</v>
      </c>
      <c r="E3608" s="26" t="s">
        <v>1509</v>
      </c>
      <c r="F3608" s="26" t="s">
        <v>1267</v>
      </c>
      <c r="G3608" s="26" t="s">
        <v>293</v>
      </c>
      <c r="H3608" s="26" t="s">
        <v>294</v>
      </c>
      <c r="I3608" s="26" t="s">
        <v>1259</v>
      </c>
      <c r="J3608" s="26" t="s">
        <v>1145</v>
      </c>
      <c r="K3608" s="26" t="s">
        <v>296</v>
      </c>
      <c r="L3608" s="26" t="s">
        <v>80</v>
      </c>
      <c r="M3608" s="26" t="s">
        <v>77</v>
      </c>
      <c r="N3608" s="26">
        <v>173</v>
      </c>
      <c r="O3608" s="26">
        <v>84</v>
      </c>
      <c r="P3608" s="26">
        <v>89</v>
      </c>
      <c r="Q3608" s="26">
        <v>6</v>
      </c>
      <c r="R3608" s="26">
        <v>0</v>
      </c>
      <c r="S3608" s="26">
        <v>16</v>
      </c>
      <c r="T3608" s="26">
        <v>0</v>
      </c>
      <c r="U3608" s="26">
        <v>16</v>
      </c>
      <c r="V3608" s="26">
        <v>0</v>
      </c>
      <c r="W3608" s="26"/>
    </row>
    <row r="3609" spans="1:23" x14ac:dyDescent="0.25">
      <c r="A3609" s="26" t="s">
        <v>3971</v>
      </c>
      <c r="B3609" s="26" t="s">
        <v>1510</v>
      </c>
      <c r="C3609" s="26" t="s">
        <v>1511</v>
      </c>
      <c r="D3609" s="26" t="s">
        <v>218</v>
      </c>
      <c r="E3609" s="26" t="s">
        <v>1512</v>
      </c>
      <c r="F3609" s="26" t="s">
        <v>457</v>
      </c>
      <c r="G3609" s="26" t="s">
        <v>182</v>
      </c>
      <c r="H3609" s="26" t="s">
        <v>461</v>
      </c>
      <c r="I3609" s="26" t="s">
        <v>184</v>
      </c>
      <c r="J3609" s="26" t="s">
        <v>322</v>
      </c>
      <c r="K3609" s="26" t="s">
        <v>360</v>
      </c>
      <c r="L3609" s="26" t="s">
        <v>79</v>
      </c>
      <c r="M3609" s="26" t="s">
        <v>77</v>
      </c>
      <c r="N3609" s="26">
        <v>17</v>
      </c>
      <c r="O3609" s="26">
        <v>13</v>
      </c>
      <c r="P3609" s="26">
        <v>4</v>
      </c>
      <c r="Q3609" s="26">
        <v>1</v>
      </c>
      <c r="R3609" s="26">
        <v>0</v>
      </c>
      <c r="S3609" s="26">
        <v>2</v>
      </c>
      <c r="T3609" s="26">
        <v>0</v>
      </c>
      <c r="U3609" s="26">
        <v>2</v>
      </c>
      <c r="V3609" s="26">
        <v>0</v>
      </c>
      <c r="W3609" s="26"/>
    </row>
    <row r="3610" spans="1:23" x14ac:dyDescent="0.25">
      <c r="A3610" s="26" t="s">
        <v>3971</v>
      </c>
      <c r="B3610" s="26" t="s">
        <v>1513</v>
      </c>
      <c r="C3610" s="26" t="s">
        <v>1514</v>
      </c>
      <c r="D3610" s="26" t="s">
        <v>179</v>
      </c>
      <c r="E3610" s="26" t="s">
        <v>1515</v>
      </c>
      <c r="F3610" s="26" t="s">
        <v>1103</v>
      </c>
      <c r="G3610" s="26" t="s">
        <v>278</v>
      </c>
      <c r="H3610" s="26" t="s">
        <v>623</v>
      </c>
      <c r="I3610" s="26" t="s">
        <v>184</v>
      </c>
      <c r="J3610" s="26" t="s">
        <v>375</v>
      </c>
      <c r="K3610" s="26" t="s">
        <v>360</v>
      </c>
      <c r="L3610" s="26" t="s">
        <v>79</v>
      </c>
      <c r="M3610" s="26" t="s">
        <v>77</v>
      </c>
      <c r="N3610" s="26">
        <v>78</v>
      </c>
      <c r="O3610" s="26">
        <v>39</v>
      </c>
      <c r="P3610" s="26">
        <v>39</v>
      </c>
      <c r="Q3610" s="26">
        <v>5</v>
      </c>
      <c r="R3610" s="26">
        <v>0</v>
      </c>
      <c r="S3610" s="26">
        <v>11</v>
      </c>
      <c r="T3610" s="26">
        <v>0</v>
      </c>
      <c r="U3610" s="26">
        <v>11</v>
      </c>
      <c r="V3610" s="26">
        <v>0</v>
      </c>
      <c r="W3610" s="26"/>
    </row>
    <row r="3611" spans="1:23" x14ac:dyDescent="0.25">
      <c r="A3611" s="26" t="s">
        <v>3971</v>
      </c>
      <c r="B3611" s="26" t="s">
        <v>1516</v>
      </c>
      <c r="C3611" s="26" t="s">
        <v>1517</v>
      </c>
      <c r="D3611" s="26" t="s">
        <v>179</v>
      </c>
      <c r="E3611" s="26" t="s">
        <v>1518</v>
      </c>
      <c r="F3611" s="26" t="s">
        <v>779</v>
      </c>
      <c r="G3611" s="26" t="s">
        <v>265</v>
      </c>
      <c r="H3611" s="26" t="s">
        <v>321</v>
      </c>
      <c r="I3611" s="26" t="s">
        <v>184</v>
      </c>
      <c r="J3611" s="26" t="s">
        <v>322</v>
      </c>
      <c r="K3611" s="26" t="s">
        <v>360</v>
      </c>
      <c r="L3611" s="26" t="s">
        <v>79</v>
      </c>
      <c r="M3611" s="26" t="s">
        <v>77</v>
      </c>
      <c r="N3611" s="26">
        <v>61</v>
      </c>
      <c r="O3611" s="26">
        <v>28</v>
      </c>
      <c r="P3611" s="26">
        <v>33</v>
      </c>
      <c r="Q3611" s="26">
        <v>4</v>
      </c>
      <c r="R3611" s="26">
        <v>0</v>
      </c>
      <c r="S3611" s="26">
        <v>4</v>
      </c>
      <c r="T3611" s="26">
        <v>0</v>
      </c>
      <c r="U3611" s="26">
        <v>4</v>
      </c>
      <c r="V3611" s="26">
        <v>0</v>
      </c>
      <c r="W3611" s="26"/>
    </row>
    <row r="3612" spans="1:23" x14ac:dyDescent="0.25">
      <c r="A3612" s="26" t="s">
        <v>3971</v>
      </c>
      <c r="B3612" s="26" t="s">
        <v>1519</v>
      </c>
      <c r="C3612" s="26" t="s">
        <v>1520</v>
      </c>
      <c r="D3612" s="26" t="s">
        <v>179</v>
      </c>
      <c r="E3612" s="26" t="s">
        <v>1521</v>
      </c>
      <c r="F3612" s="26" t="s">
        <v>1522</v>
      </c>
      <c r="G3612" s="26" t="s">
        <v>265</v>
      </c>
      <c r="H3612" s="26" t="s">
        <v>508</v>
      </c>
      <c r="I3612" s="26" t="s">
        <v>184</v>
      </c>
      <c r="J3612" s="26" t="s">
        <v>322</v>
      </c>
      <c r="K3612" s="26" t="s">
        <v>360</v>
      </c>
      <c r="L3612" s="26" t="s">
        <v>79</v>
      </c>
      <c r="M3612" s="26" t="s">
        <v>77</v>
      </c>
      <c r="N3612" s="26">
        <v>46</v>
      </c>
      <c r="O3612" s="26">
        <v>24</v>
      </c>
      <c r="P3612" s="26">
        <v>22</v>
      </c>
      <c r="Q3612" s="26">
        <v>3</v>
      </c>
      <c r="R3612" s="26">
        <v>0</v>
      </c>
      <c r="S3612" s="26">
        <v>3</v>
      </c>
      <c r="T3612" s="26">
        <v>0</v>
      </c>
      <c r="U3612" s="26">
        <v>3</v>
      </c>
      <c r="V3612" s="26">
        <v>0</v>
      </c>
      <c r="W3612" s="26"/>
    </row>
    <row r="3613" spans="1:23" x14ac:dyDescent="0.25">
      <c r="A3613" s="26" t="s">
        <v>3971</v>
      </c>
      <c r="B3613" s="26" t="s">
        <v>1523</v>
      </c>
      <c r="C3613" s="26" t="s">
        <v>1524</v>
      </c>
      <c r="D3613" s="26" t="s">
        <v>179</v>
      </c>
      <c r="E3613" s="26" t="s">
        <v>1525</v>
      </c>
      <c r="F3613" s="26" t="s">
        <v>1526</v>
      </c>
      <c r="G3613" s="26" t="s">
        <v>293</v>
      </c>
      <c r="H3613" s="26" t="s">
        <v>294</v>
      </c>
      <c r="I3613" s="26" t="s">
        <v>1259</v>
      </c>
      <c r="J3613" s="26" t="s">
        <v>295</v>
      </c>
      <c r="K3613" s="26" t="s">
        <v>296</v>
      </c>
      <c r="L3613" s="26" t="s">
        <v>80</v>
      </c>
      <c r="M3613" s="26" t="s">
        <v>77</v>
      </c>
      <c r="N3613" s="26">
        <v>77</v>
      </c>
      <c r="O3613" s="26">
        <v>40</v>
      </c>
      <c r="P3613" s="26">
        <v>37</v>
      </c>
      <c r="Q3613" s="26">
        <v>3</v>
      </c>
      <c r="R3613" s="26">
        <v>0</v>
      </c>
      <c r="S3613" s="26">
        <v>9</v>
      </c>
      <c r="T3613" s="26">
        <v>0</v>
      </c>
      <c r="U3613" s="26">
        <v>9</v>
      </c>
      <c r="V3613" s="26">
        <v>0</v>
      </c>
      <c r="W3613" s="26"/>
    </row>
    <row r="3614" spans="1:23" x14ac:dyDescent="0.25">
      <c r="A3614" s="26" t="s">
        <v>3971</v>
      </c>
      <c r="B3614" s="26" t="s">
        <v>1527</v>
      </c>
      <c r="C3614" s="26" t="s">
        <v>1528</v>
      </c>
      <c r="D3614" s="26" t="s">
        <v>218</v>
      </c>
      <c r="E3614" s="26" t="s">
        <v>1529</v>
      </c>
      <c r="F3614" s="26" t="s">
        <v>671</v>
      </c>
      <c r="G3614" s="26" t="s">
        <v>191</v>
      </c>
      <c r="H3614" s="26" t="s">
        <v>426</v>
      </c>
      <c r="I3614" s="26" t="s">
        <v>184</v>
      </c>
      <c r="J3614" s="26" t="s">
        <v>427</v>
      </c>
      <c r="K3614" s="26" t="s">
        <v>360</v>
      </c>
      <c r="L3614" s="26" t="s">
        <v>79</v>
      </c>
      <c r="M3614" s="26" t="s">
        <v>77</v>
      </c>
      <c r="N3614" s="26">
        <v>49</v>
      </c>
      <c r="O3614" s="26">
        <v>26</v>
      </c>
      <c r="P3614" s="26">
        <v>23</v>
      </c>
      <c r="Q3614" s="26">
        <v>3</v>
      </c>
      <c r="R3614" s="26">
        <v>0</v>
      </c>
      <c r="S3614" s="26">
        <v>7</v>
      </c>
      <c r="T3614" s="26">
        <v>0</v>
      </c>
      <c r="U3614" s="26">
        <v>7</v>
      </c>
      <c r="V3614" s="26">
        <v>0</v>
      </c>
      <c r="W3614" s="26"/>
    </row>
    <row r="3615" spans="1:23" x14ac:dyDescent="0.25">
      <c r="A3615" s="26" t="s">
        <v>3971</v>
      </c>
      <c r="B3615" s="26" t="s">
        <v>1530</v>
      </c>
      <c r="C3615" s="26" t="s">
        <v>1531</v>
      </c>
      <c r="D3615" s="26" t="s">
        <v>179</v>
      </c>
      <c r="E3615" s="26" t="s">
        <v>1532</v>
      </c>
      <c r="F3615" s="26" t="s">
        <v>1179</v>
      </c>
      <c r="G3615" s="26" t="s">
        <v>182</v>
      </c>
      <c r="H3615" s="26" t="s">
        <v>399</v>
      </c>
      <c r="I3615" s="26" t="s">
        <v>184</v>
      </c>
      <c r="J3615" s="26" t="s">
        <v>322</v>
      </c>
      <c r="K3615" s="26" t="s">
        <v>360</v>
      </c>
      <c r="L3615" s="26" t="s">
        <v>79</v>
      </c>
      <c r="M3615" s="26" t="s">
        <v>77</v>
      </c>
      <c r="N3615" s="26">
        <v>19</v>
      </c>
      <c r="O3615" s="26">
        <v>11</v>
      </c>
      <c r="P3615" s="26">
        <v>8</v>
      </c>
      <c r="Q3615" s="26">
        <v>2</v>
      </c>
      <c r="R3615" s="26">
        <v>0</v>
      </c>
      <c r="S3615" s="26">
        <v>1</v>
      </c>
      <c r="T3615" s="26">
        <v>0</v>
      </c>
      <c r="U3615" s="26">
        <v>1</v>
      </c>
      <c r="V3615" s="26">
        <v>0</v>
      </c>
      <c r="W3615" s="26"/>
    </row>
    <row r="3616" spans="1:23" x14ac:dyDescent="0.25">
      <c r="A3616" s="26" t="s">
        <v>3971</v>
      </c>
      <c r="B3616" s="26" t="s">
        <v>1533</v>
      </c>
      <c r="C3616" s="26" t="s">
        <v>1534</v>
      </c>
      <c r="D3616" s="26" t="s">
        <v>179</v>
      </c>
      <c r="E3616" s="26" t="s">
        <v>1535</v>
      </c>
      <c r="F3616" s="26" t="s">
        <v>1536</v>
      </c>
      <c r="G3616" s="26" t="s">
        <v>676</v>
      </c>
      <c r="H3616" s="26" t="s">
        <v>687</v>
      </c>
      <c r="I3616" s="26" t="s">
        <v>184</v>
      </c>
      <c r="J3616" s="26" t="s">
        <v>375</v>
      </c>
      <c r="K3616" s="26" t="s">
        <v>360</v>
      </c>
      <c r="L3616" s="26" t="s">
        <v>79</v>
      </c>
      <c r="M3616" s="26" t="s">
        <v>77</v>
      </c>
      <c r="N3616" s="26">
        <v>95</v>
      </c>
      <c r="O3616" s="26">
        <v>42</v>
      </c>
      <c r="P3616" s="26">
        <v>53</v>
      </c>
      <c r="Q3616" s="26">
        <v>5</v>
      </c>
      <c r="R3616" s="26">
        <v>0</v>
      </c>
      <c r="S3616" s="26">
        <v>10</v>
      </c>
      <c r="T3616" s="26">
        <v>0</v>
      </c>
      <c r="U3616" s="26">
        <v>10</v>
      </c>
      <c r="V3616" s="26">
        <v>0</v>
      </c>
      <c r="W3616" s="26"/>
    </row>
    <row r="3617" spans="1:23" x14ac:dyDescent="0.25">
      <c r="A3617" s="26" t="s">
        <v>3971</v>
      </c>
      <c r="B3617" s="26" t="s">
        <v>1537</v>
      </c>
      <c r="C3617" s="26" t="s">
        <v>821</v>
      </c>
      <c r="D3617" s="26" t="s">
        <v>179</v>
      </c>
      <c r="E3617" s="26" t="s">
        <v>1538</v>
      </c>
      <c r="F3617" s="26" t="s">
        <v>1096</v>
      </c>
      <c r="G3617" s="26" t="s">
        <v>676</v>
      </c>
      <c r="H3617" s="26" t="s">
        <v>687</v>
      </c>
      <c r="I3617" s="26" t="s">
        <v>184</v>
      </c>
      <c r="J3617" s="26" t="s">
        <v>375</v>
      </c>
      <c r="K3617" s="26" t="s">
        <v>360</v>
      </c>
      <c r="L3617" s="26" t="s">
        <v>79</v>
      </c>
      <c r="M3617" s="26" t="s">
        <v>77</v>
      </c>
      <c r="N3617" s="26">
        <v>99</v>
      </c>
      <c r="O3617" s="26">
        <v>47</v>
      </c>
      <c r="P3617" s="26">
        <v>52</v>
      </c>
      <c r="Q3617" s="26">
        <v>3</v>
      </c>
      <c r="R3617" s="26">
        <v>0</v>
      </c>
      <c r="S3617" s="26">
        <v>6</v>
      </c>
      <c r="T3617" s="26">
        <v>0</v>
      </c>
      <c r="U3617" s="26">
        <v>6</v>
      </c>
      <c r="V3617" s="26">
        <v>0</v>
      </c>
      <c r="W3617" s="26"/>
    </row>
    <row r="3618" spans="1:23" x14ac:dyDescent="0.25">
      <c r="A3618" s="26" t="s">
        <v>3971</v>
      </c>
      <c r="B3618" s="26" t="s">
        <v>1541</v>
      </c>
      <c r="C3618" s="26" t="s">
        <v>1542</v>
      </c>
      <c r="D3618" s="26" t="s">
        <v>179</v>
      </c>
      <c r="E3618" s="26" t="s">
        <v>1543</v>
      </c>
      <c r="F3618" s="26" t="s">
        <v>734</v>
      </c>
      <c r="G3618" s="26" t="s">
        <v>198</v>
      </c>
      <c r="H3618" s="26" t="s">
        <v>431</v>
      </c>
      <c r="I3618" s="26" t="s">
        <v>184</v>
      </c>
      <c r="J3618" s="26" t="s">
        <v>375</v>
      </c>
      <c r="K3618" s="26" t="s">
        <v>360</v>
      </c>
      <c r="L3618" s="26" t="s">
        <v>79</v>
      </c>
      <c r="M3618" s="26" t="s">
        <v>77</v>
      </c>
      <c r="N3618" s="26">
        <v>82</v>
      </c>
      <c r="O3618" s="26">
        <v>42</v>
      </c>
      <c r="P3618" s="26">
        <v>40</v>
      </c>
      <c r="Q3618" s="26">
        <v>5</v>
      </c>
      <c r="R3618" s="26">
        <v>0</v>
      </c>
      <c r="S3618" s="26">
        <v>14</v>
      </c>
      <c r="T3618" s="26">
        <v>0</v>
      </c>
      <c r="U3618" s="26">
        <v>14</v>
      </c>
      <c r="V3618" s="26">
        <v>0</v>
      </c>
      <c r="W3618" s="26"/>
    </row>
    <row r="3619" spans="1:23" x14ac:dyDescent="0.25">
      <c r="A3619" s="26" t="s">
        <v>3971</v>
      </c>
      <c r="B3619" s="26" t="s">
        <v>1544</v>
      </c>
      <c r="C3619" s="26" t="s">
        <v>1545</v>
      </c>
      <c r="D3619" s="26" t="s">
        <v>218</v>
      </c>
      <c r="E3619" s="26" t="s">
        <v>1546</v>
      </c>
      <c r="F3619" s="26" t="s">
        <v>457</v>
      </c>
      <c r="G3619" s="26" t="s">
        <v>182</v>
      </c>
      <c r="H3619" s="26" t="s">
        <v>461</v>
      </c>
      <c r="I3619" s="26" t="s">
        <v>184</v>
      </c>
      <c r="J3619" s="26" t="s">
        <v>322</v>
      </c>
      <c r="K3619" s="26" t="s">
        <v>360</v>
      </c>
      <c r="L3619" s="26" t="s">
        <v>79</v>
      </c>
      <c r="M3619" s="26" t="s">
        <v>77</v>
      </c>
      <c r="N3619" s="26">
        <v>20</v>
      </c>
      <c r="O3619" s="26">
        <v>11</v>
      </c>
      <c r="P3619" s="26">
        <v>9</v>
      </c>
      <c r="Q3619" s="26">
        <v>2</v>
      </c>
      <c r="R3619" s="26">
        <v>0</v>
      </c>
      <c r="S3619" s="26">
        <v>1</v>
      </c>
      <c r="T3619" s="26">
        <v>0</v>
      </c>
      <c r="U3619" s="26">
        <v>1</v>
      </c>
      <c r="V3619" s="26">
        <v>0</v>
      </c>
      <c r="W3619" s="26"/>
    </row>
    <row r="3620" spans="1:23" x14ac:dyDescent="0.25">
      <c r="A3620" s="26" t="s">
        <v>3971</v>
      </c>
      <c r="B3620" s="26" t="s">
        <v>1547</v>
      </c>
      <c r="C3620" s="26" t="s">
        <v>1548</v>
      </c>
      <c r="D3620" s="26" t="s">
        <v>179</v>
      </c>
      <c r="E3620" s="26" t="s">
        <v>1549</v>
      </c>
      <c r="F3620" s="26" t="s">
        <v>598</v>
      </c>
      <c r="G3620" s="26" t="s">
        <v>182</v>
      </c>
      <c r="H3620" s="26" t="s">
        <v>974</v>
      </c>
      <c r="I3620" s="26" t="s">
        <v>184</v>
      </c>
      <c r="J3620" s="26" t="s">
        <v>322</v>
      </c>
      <c r="K3620" s="26" t="s">
        <v>360</v>
      </c>
      <c r="L3620" s="26" t="s">
        <v>79</v>
      </c>
      <c r="M3620" s="26" t="s">
        <v>77</v>
      </c>
      <c r="N3620" s="26">
        <v>73</v>
      </c>
      <c r="O3620" s="26">
        <v>37</v>
      </c>
      <c r="P3620" s="26">
        <v>36</v>
      </c>
      <c r="Q3620" s="26">
        <v>3</v>
      </c>
      <c r="R3620" s="26">
        <v>0</v>
      </c>
      <c r="S3620" s="26">
        <v>4</v>
      </c>
      <c r="T3620" s="26">
        <v>0</v>
      </c>
      <c r="U3620" s="26">
        <v>4</v>
      </c>
      <c r="V3620" s="26">
        <v>0</v>
      </c>
      <c r="W3620" s="26"/>
    </row>
    <row r="3621" spans="1:23" x14ac:dyDescent="0.25">
      <c r="A3621" s="26" t="s">
        <v>3971</v>
      </c>
      <c r="B3621" s="26" t="s">
        <v>1550</v>
      </c>
      <c r="C3621" s="26" t="s">
        <v>1551</v>
      </c>
      <c r="D3621" s="26" t="s">
        <v>179</v>
      </c>
      <c r="E3621" s="26" t="s">
        <v>1552</v>
      </c>
      <c r="F3621" s="26" t="s">
        <v>1553</v>
      </c>
      <c r="G3621" s="26" t="s">
        <v>210</v>
      </c>
      <c r="H3621" s="26" t="s">
        <v>881</v>
      </c>
      <c r="I3621" s="26" t="s">
        <v>184</v>
      </c>
      <c r="J3621" s="26" t="s">
        <v>322</v>
      </c>
      <c r="K3621" s="26" t="s">
        <v>360</v>
      </c>
      <c r="L3621" s="26" t="s">
        <v>79</v>
      </c>
      <c r="M3621" s="26" t="s">
        <v>77</v>
      </c>
      <c r="N3621" s="26">
        <v>76</v>
      </c>
      <c r="O3621" s="26">
        <v>34</v>
      </c>
      <c r="P3621" s="26">
        <v>42</v>
      </c>
      <c r="Q3621" s="26">
        <v>5</v>
      </c>
      <c r="R3621" s="26">
        <v>0</v>
      </c>
      <c r="S3621" s="26">
        <v>10</v>
      </c>
      <c r="T3621" s="26">
        <v>0</v>
      </c>
      <c r="U3621" s="26">
        <v>10</v>
      </c>
      <c r="V3621" s="26">
        <v>0</v>
      </c>
      <c r="W3621" s="26"/>
    </row>
    <row r="3622" spans="1:23" x14ac:dyDescent="0.25">
      <c r="A3622" s="26" t="s">
        <v>3971</v>
      </c>
      <c r="B3622" s="26" t="s">
        <v>1554</v>
      </c>
      <c r="C3622" s="26" t="s">
        <v>1555</v>
      </c>
      <c r="D3622" s="26" t="s">
        <v>179</v>
      </c>
      <c r="E3622" s="26" t="s">
        <v>1556</v>
      </c>
      <c r="F3622" s="26" t="s">
        <v>1557</v>
      </c>
      <c r="G3622" s="26" t="s">
        <v>210</v>
      </c>
      <c r="H3622" s="26" t="s">
        <v>881</v>
      </c>
      <c r="I3622" s="26" t="s">
        <v>184</v>
      </c>
      <c r="J3622" s="26" t="s">
        <v>322</v>
      </c>
      <c r="K3622" s="26" t="s">
        <v>360</v>
      </c>
      <c r="L3622" s="26" t="s">
        <v>79</v>
      </c>
      <c r="M3622" s="26" t="s">
        <v>77</v>
      </c>
      <c r="N3622" s="26">
        <v>49</v>
      </c>
      <c r="O3622" s="26">
        <v>25</v>
      </c>
      <c r="P3622" s="26">
        <v>24</v>
      </c>
      <c r="Q3622" s="26">
        <v>5</v>
      </c>
      <c r="R3622" s="26">
        <v>0</v>
      </c>
      <c r="S3622" s="26">
        <v>5</v>
      </c>
      <c r="T3622" s="26">
        <v>0</v>
      </c>
      <c r="U3622" s="26">
        <v>5</v>
      </c>
      <c r="V3622" s="26">
        <v>0</v>
      </c>
      <c r="W3622" s="26"/>
    </row>
    <row r="3623" spans="1:23" x14ac:dyDescent="0.25">
      <c r="A3623" s="26" t="s">
        <v>3971</v>
      </c>
      <c r="B3623" s="26" t="s">
        <v>1558</v>
      </c>
      <c r="C3623" s="26" t="s">
        <v>1559</v>
      </c>
      <c r="D3623" s="26" t="s">
        <v>179</v>
      </c>
      <c r="E3623" s="26" t="s">
        <v>1560</v>
      </c>
      <c r="F3623" s="26" t="s">
        <v>1561</v>
      </c>
      <c r="G3623" s="26" t="s">
        <v>210</v>
      </c>
      <c r="H3623" s="26" t="s">
        <v>1296</v>
      </c>
      <c r="I3623" s="26" t="s">
        <v>184</v>
      </c>
      <c r="J3623" s="26" t="s">
        <v>322</v>
      </c>
      <c r="K3623" s="26" t="s">
        <v>360</v>
      </c>
      <c r="L3623" s="26" t="s">
        <v>79</v>
      </c>
      <c r="M3623" s="26" t="s">
        <v>77</v>
      </c>
      <c r="N3623" s="26">
        <v>28</v>
      </c>
      <c r="O3623" s="26">
        <v>16</v>
      </c>
      <c r="P3623" s="26">
        <v>12</v>
      </c>
      <c r="Q3623" s="26">
        <v>3</v>
      </c>
      <c r="R3623" s="26">
        <v>0</v>
      </c>
      <c r="S3623" s="26">
        <v>3</v>
      </c>
      <c r="T3623" s="26">
        <v>0</v>
      </c>
      <c r="U3623" s="26">
        <v>3</v>
      </c>
      <c r="V3623" s="26">
        <v>0</v>
      </c>
      <c r="W3623" s="26"/>
    </row>
    <row r="3624" spans="1:23" x14ac:dyDescent="0.25">
      <c r="A3624" s="26" t="s">
        <v>3971</v>
      </c>
      <c r="B3624" s="26" t="s">
        <v>1562</v>
      </c>
      <c r="C3624" s="26" t="s">
        <v>1563</v>
      </c>
      <c r="D3624" s="26" t="s">
        <v>179</v>
      </c>
      <c r="E3624" s="26" t="s">
        <v>1564</v>
      </c>
      <c r="F3624" s="26" t="s">
        <v>1565</v>
      </c>
      <c r="G3624" s="26" t="s">
        <v>210</v>
      </c>
      <c r="H3624" s="26" t="s">
        <v>881</v>
      </c>
      <c r="I3624" s="26" t="s">
        <v>184</v>
      </c>
      <c r="J3624" s="26" t="s">
        <v>322</v>
      </c>
      <c r="K3624" s="26" t="s">
        <v>360</v>
      </c>
      <c r="L3624" s="26" t="s">
        <v>79</v>
      </c>
      <c r="M3624" s="26" t="s">
        <v>77</v>
      </c>
      <c r="N3624" s="26">
        <v>35</v>
      </c>
      <c r="O3624" s="26">
        <v>19</v>
      </c>
      <c r="P3624" s="26">
        <v>16</v>
      </c>
      <c r="Q3624" s="26">
        <v>2</v>
      </c>
      <c r="R3624" s="26">
        <v>0</v>
      </c>
      <c r="S3624" s="26">
        <v>3</v>
      </c>
      <c r="T3624" s="26">
        <v>0</v>
      </c>
      <c r="U3624" s="26">
        <v>3</v>
      </c>
      <c r="V3624" s="26">
        <v>0</v>
      </c>
      <c r="W3624" s="26"/>
    </row>
    <row r="3625" spans="1:23" x14ac:dyDescent="0.25">
      <c r="A3625" s="26" t="s">
        <v>3971</v>
      </c>
      <c r="B3625" s="26" t="s">
        <v>1566</v>
      </c>
      <c r="C3625" s="26" t="s">
        <v>1567</v>
      </c>
      <c r="D3625" s="26" t="s">
        <v>179</v>
      </c>
      <c r="E3625" s="26" t="s">
        <v>1568</v>
      </c>
      <c r="F3625" s="26" t="s">
        <v>1569</v>
      </c>
      <c r="G3625" s="26" t="s">
        <v>413</v>
      </c>
      <c r="H3625" s="26" t="s">
        <v>436</v>
      </c>
      <c r="I3625" s="26" t="s">
        <v>184</v>
      </c>
      <c r="J3625" s="26" t="s">
        <v>375</v>
      </c>
      <c r="K3625" s="26" t="s">
        <v>360</v>
      </c>
      <c r="L3625" s="26" t="s">
        <v>79</v>
      </c>
      <c r="M3625" s="26" t="s">
        <v>77</v>
      </c>
      <c r="N3625" s="26">
        <v>60</v>
      </c>
      <c r="O3625" s="26">
        <v>31</v>
      </c>
      <c r="P3625" s="26">
        <v>29</v>
      </c>
      <c r="Q3625" s="26">
        <v>3</v>
      </c>
      <c r="R3625" s="26">
        <v>0</v>
      </c>
      <c r="S3625" s="26">
        <v>6</v>
      </c>
      <c r="T3625" s="26">
        <v>0</v>
      </c>
      <c r="U3625" s="26">
        <v>6</v>
      </c>
      <c r="V3625" s="26">
        <v>0</v>
      </c>
      <c r="W3625" s="26"/>
    </row>
    <row r="3626" spans="1:23" x14ac:dyDescent="0.25">
      <c r="A3626" s="26" t="s">
        <v>3971</v>
      </c>
      <c r="B3626" s="26" t="s">
        <v>1570</v>
      </c>
      <c r="C3626" s="26" t="s">
        <v>1571</v>
      </c>
      <c r="D3626" s="26" t="s">
        <v>218</v>
      </c>
      <c r="E3626" s="26" t="s">
        <v>1572</v>
      </c>
      <c r="F3626" s="26" t="s">
        <v>949</v>
      </c>
      <c r="G3626" s="26" t="s">
        <v>413</v>
      </c>
      <c r="H3626" s="26" t="s">
        <v>466</v>
      </c>
      <c r="I3626" s="26" t="s">
        <v>184</v>
      </c>
      <c r="J3626" s="26" t="s">
        <v>375</v>
      </c>
      <c r="K3626" s="26" t="s">
        <v>360</v>
      </c>
      <c r="L3626" s="26" t="s">
        <v>79</v>
      </c>
      <c r="M3626" s="26" t="s">
        <v>77</v>
      </c>
      <c r="N3626" s="26">
        <v>85</v>
      </c>
      <c r="O3626" s="26">
        <v>46</v>
      </c>
      <c r="P3626" s="26">
        <v>39</v>
      </c>
      <c r="Q3626" s="26">
        <v>4</v>
      </c>
      <c r="R3626" s="26">
        <v>0</v>
      </c>
      <c r="S3626" s="26">
        <v>10</v>
      </c>
      <c r="T3626" s="26">
        <v>0</v>
      </c>
      <c r="U3626" s="26">
        <v>10</v>
      </c>
      <c r="V3626" s="26">
        <v>0</v>
      </c>
      <c r="W3626" s="26"/>
    </row>
    <row r="3627" spans="1:23" x14ac:dyDescent="0.25">
      <c r="A3627" s="26" t="s">
        <v>3971</v>
      </c>
      <c r="B3627" s="26" t="s">
        <v>1573</v>
      </c>
      <c r="C3627" s="26" t="s">
        <v>1574</v>
      </c>
      <c r="D3627" s="26" t="s">
        <v>179</v>
      </c>
      <c r="E3627" s="26" t="s">
        <v>1575</v>
      </c>
      <c r="F3627" s="26" t="s">
        <v>614</v>
      </c>
      <c r="G3627" s="26" t="s">
        <v>413</v>
      </c>
      <c r="H3627" s="26" t="s">
        <v>466</v>
      </c>
      <c r="I3627" s="26" t="s">
        <v>184</v>
      </c>
      <c r="J3627" s="26" t="s">
        <v>375</v>
      </c>
      <c r="K3627" s="26" t="s">
        <v>360</v>
      </c>
      <c r="L3627" s="26" t="s">
        <v>79</v>
      </c>
      <c r="M3627" s="26" t="s">
        <v>77</v>
      </c>
      <c r="N3627" s="26">
        <v>85</v>
      </c>
      <c r="O3627" s="26">
        <v>46</v>
      </c>
      <c r="P3627" s="26">
        <v>39</v>
      </c>
      <c r="Q3627" s="26">
        <v>4</v>
      </c>
      <c r="R3627" s="26">
        <v>0</v>
      </c>
      <c r="S3627" s="26">
        <v>10</v>
      </c>
      <c r="T3627" s="26">
        <v>0</v>
      </c>
      <c r="U3627" s="26">
        <v>10</v>
      </c>
      <c r="V3627" s="26">
        <v>0</v>
      </c>
      <c r="W3627" s="26"/>
    </row>
    <row r="3628" spans="1:23" x14ac:dyDescent="0.25">
      <c r="A3628" s="26" t="s">
        <v>3971</v>
      </c>
      <c r="B3628" s="26" t="s">
        <v>1576</v>
      </c>
      <c r="C3628" s="26" t="s">
        <v>1577</v>
      </c>
      <c r="D3628" s="26" t="s">
        <v>179</v>
      </c>
      <c r="E3628" s="26" t="s">
        <v>1578</v>
      </c>
      <c r="F3628" s="26" t="s">
        <v>1579</v>
      </c>
      <c r="G3628" s="26" t="s">
        <v>487</v>
      </c>
      <c r="H3628" s="26" t="s">
        <v>926</v>
      </c>
      <c r="I3628" s="26" t="s">
        <v>184</v>
      </c>
      <c r="J3628" s="26" t="s">
        <v>375</v>
      </c>
      <c r="K3628" s="26" t="s">
        <v>360</v>
      </c>
      <c r="L3628" s="26" t="s">
        <v>79</v>
      </c>
      <c r="M3628" s="26" t="s">
        <v>77</v>
      </c>
      <c r="N3628" s="26">
        <v>58</v>
      </c>
      <c r="O3628" s="26">
        <v>27</v>
      </c>
      <c r="P3628" s="26">
        <v>31</v>
      </c>
      <c r="Q3628" s="26">
        <v>4</v>
      </c>
      <c r="R3628" s="26">
        <v>0</v>
      </c>
      <c r="S3628" s="26">
        <v>4</v>
      </c>
      <c r="T3628" s="26">
        <v>0</v>
      </c>
      <c r="U3628" s="26">
        <v>4</v>
      </c>
      <c r="V3628" s="26">
        <v>0</v>
      </c>
      <c r="W3628" s="26"/>
    </row>
    <row r="3629" spans="1:23" x14ac:dyDescent="0.25">
      <c r="A3629" s="26" t="s">
        <v>3971</v>
      </c>
      <c r="B3629" s="26" t="s">
        <v>1580</v>
      </c>
      <c r="C3629" s="26" t="s">
        <v>1581</v>
      </c>
      <c r="D3629" s="26" t="s">
        <v>179</v>
      </c>
      <c r="E3629" s="26" t="s">
        <v>1582</v>
      </c>
      <c r="F3629" s="26" t="s">
        <v>1355</v>
      </c>
      <c r="G3629" s="26" t="s">
        <v>413</v>
      </c>
      <c r="H3629" s="26" t="s">
        <v>436</v>
      </c>
      <c r="I3629" s="26" t="s">
        <v>184</v>
      </c>
      <c r="J3629" s="26" t="s">
        <v>375</v>
      </c>
      <c r="K3629" s="26" t="s">
        <v>360</v>
      </c>
      <c r="L3629" s="26" t="s">
        <v>79</v>
      </c>
      <c r="M3629" s="26" t="s">
        <v>77</v>
      </c>
      <c r="N3629" s="26">
        <v>69</v>
      </c>
      <c r="O3629" s="26">
        <v>42</v>
      </c>
      <c r="P3629" s="26">
        <v>27</v>
      </c>
      <c r="Q3629" s="26">
        <v>3</v>
      </c>
      <c r="R3629" s="26">
        <v>0</v>
      </c>
      <c r="S3629" s="26">
        <v>5</v>
      </c>
      <c r="T3629" s="26">
        <v>0</v>
      </c>
      <c r="U3629" s="26">
        <v>5</v>
      </c>
      <c r="V3629" s="26">
        <v>0</v>
      </c>
      <c r="W3629" s="26"/>
    </row>
    <row r="3630" spans="1:23" x14ac:dyDescent="0.25">
      <c r="A3630" s="26" t="s">
        <v>3971</v>
      </c>
      <c r="B3630" s="26" t="s">
        <v>1583</v>
      </c>
      <c r="C3630" s="26" t="s">
        <v>1584</v>
      </c>
      <c r="D3630" s="26" t="s">
        <v>179</v>
      </c>
      <c r="E3630" s="26" t="s">
        <v>1585</v>
      </c>
      <c r="F3630" s="26" t="s">
        <v>1586</v>
      </c>
      <c r="G3630" s="26" t="s">
        <v>210</v>
      </c>
      <c r="H3630" s="26" t="s">
        <v>1296</v>
      </c>
      <c r="I3630" s="26" t="s">
        <v>184</v>
      </c>
      <c r="J3630" s="26" t="s">
        <v>322</v>
      </c>
      <c r="K3630" s="26" t="s">
        <v>360</v>
      </c>
      <c r="L3630" s="26" t="s">
        <v>79</v>
      </c>
      <c r="M3630" s="26" t="s">
        <v>77</v>
      </c>
      <c r="N3630" s="26">
        <v>105</v>
      </c>
      <c r="O3630" s="26">
        <v>45</v>
      </c>
      <c r="P3630" s="26">
        <v>60</v>
      </c>
      <c r="Q3630" s="26">
        <v>7</v>
      </c>
      <c r="R3630" s="26">
        <v>0</v>
      </c>
      <c r="S3630" s="26">
        <v>14</v>
      </c>
      <c r="T3630" s="26">
        <v>0</v>
      </c>
      <c r="U3630" s="26">
        <v>14</v>
      </c>
      <c r="V3630" s="26">
        <v>0</v>
      </c>
      <c r="W3630" s="26"/>
    </row>
    <row r="3631" spans="1:23" x14ac:dyDescent="0.25">
      <c r="A3631" s="26" t="s">
        <v>3971</v>
      </c>
      <c r="B3631" s="26" t="s">
        <v>1587</v>
      </c>
      <c r="C3631" s="26" t="s">
        <v>1588</v>
      </c>
      <c r="D3631" s="26" t="s">
        <v>179</v>
      </c>
      <c r="E3631" s="26" t="s">
        <v>1589</v>
      </c>
      <c r="F3631" s="26" t="s">
        <v>681</v>
      </c>
      <c r="G3631" s="26" t="s">
        <v>293</v>
      </c>
      <c r="H3631" s="26" t="s">
        <v>301</v>
      </c>
      <c r="I3631" s="26" t="s">
        <v>184</v>
      </c>
      <c r="J3631" s="26" t="s">
        <v>696</v>
      </c>
      <c r="K3631" s="26" t="s">
        <v>296</v>
      </c>
      <c r="L3631" s="26" t="s">
        <v>80</v>
      </c>
      <c r="M3631" s="26" t="s">
        <v>77</v>
      </c>
      <c r="N3631" s="26">
        <v>68</v>
      </c>
      <c r="O3631" s="26">
        <v>33</v>
      </c>
      <c r="P3631" s="26">
        <v>35</v>
      </c>
      <c r="Q3631" s="26">
        <v>5</v>
      </c>
      <c r="R3631" s="26">
        <v>0</v>
      </c>
      <c r="S3631" s="26">
        <v>5</v>
      </c>
      <c r="T3631" s="26">
        <v>0</v>
      </c>
      <c r="U3631" s="26">
        <v>5</v>
      </c>
      <c r="V3631" s="26">
        <v>0</v>
      </c>
      <c r="W3631" s="26"/>
    </row>
    <row r="3632" spans="1:23" x14ac:dyDescent="0.25">
      <c r="A3632" s="26" t="s">
        <v>3971</v>
      </c>
      <c r="B3632" s="26" t="s">
        <v>1590</v>
      </c>
      <c r="C3632" s="26" t="s">
        <v>1591</v>
      </c>
      <c r="D3632" s="26" t="s">
        <v>179</v>
      </c>
      <c r="E3632" s="26" t="s">
        <v>1592</v>
      </c>
      <c r="F3632" s="26" t="s">
        <v>1593</v>
      </c>
      <c r="G3632" s="26" t="s">
        <v>191</v>
      </c>
      <c r="H3632" s="26" t="s">
        <v>1347</v>
      </c>
      <c r="I3632" s="26" t="s">
        <v>184</v>
      </c>
      <c r="J3632" s="26" t="s">
        <v>427</v>
      </c>
      <c r="K3632" s="26" t="s">
        <v>360</v>
      </c>
      <c r="L3632" s="26" t="s">
        <v>79</v>
      </c>
      <c r="M3632" s="26" t="s">
        <v>77</v>
      </c>
      <c r="N3632" s="26">
        <v>65</v>
      </c>
      <c r="O3632" s="26">
        <v>33</v>
      </c>
      <c r="P3632" s="26">
        <v>32</v>
      </c>
      <c r="Q3632" s="26">
        <v>4</v>
      </c>
      <c r="R3632" s="26">
        <v>0</v>
      </c>
      <c r="S3632" s="26">
        <v>4</v>
      </c>
      <c r="T3632" s="26">
        <v>0</v>
      </c>
      <c r="U3632" s="26">
        <v>4</v>
      </c>
      <c r="V3632" s="26">
        <v>0</v>
      </c>
      <c r="W3632" s="26"/>
    </row>
    <row r="3633" spans="1:23" x14ac:dyDescent="0.25">
      <c r="A3633" s="26" t="s">
        <v>3971</v>
      </c>
      <c r="B3633" s="26" t="s">
        <v>1594</v>
      </c>
      <c r="C3633" s="26" t="s">
        <v>1387</v>
      </c>
      <c r="D3633" s="26" t="s">
        <v>179</v>
      </c>
      <c r="E3633" s="26" t="s">
        <v>1595</v>
      </c>
      <c r="F3633" s="26" t="s">
        <v>1596</v>
      </c>
      <c r="G3633" s="26" t="s">
        <v>210</v>
      </c>
      <c r="H3633" s="26" t="s">
        <v>886</v>
      </c>
      <c r="I3633" s="26" t="s">
        <v>184</v>
      </c>
      <c r="J3633" s="26" t="s">
        <v>322</v>
      </c>
      <c r="K3633" s="26" t="s">
        <v>360</v>
      </c>
      <c r="L3633" s="26" t="s">
        <v>79</v>
      </c>
      <c r="M3633" s="26" t="s">
        <v>77</v>
      </c>
      <c r="N3633" s="26">
        <v>53</v>
      </c>
      <c r="O3633" s="26">
        <v>24</v>
      </c>
      <c r="P3633" s="26">
        <v>29</v>
      </c>
      <c r="Q3633" s="26">
        <v>5</v>
      </c>
      <c r="R3633" s="26">
        <v>0</v>
      </c>
      <c r="S3633" s="26">
        <v>9</v>
      </c>
      <c r="T3633" s="26">
        <v>0</v>
      </c>
      <c r="U3633" s="26">
        <v>9</v>
      </c>
      <c r="V3633" s="26">
        <v>0</v>
      </c>
      <c r="W3633" s="26"/>
    </row>
    <row r="3634" spans="1:23" x14ac:dyDescent="0.25">
      <c r="A3634" s="26" t="s">
        <v>3971</v>
      </c>
      <c r="B3634" s="26" t="s">
        <v>1597</v>
      </c>
      <c r="C3634" s="26" t="s">
        <v>1598</v>
      </c>
      <c r="D3634" s="26" t="s">
        <v>179</v>
      </c>
      <c r="E3634" s="26" t="s">
        <v>1599</v>
      </c>
      <c r="F3634" s="26" t="s">
        <v>598</v>
      </c>
      <c r="G3634" s="26" t="s">
        <v>182</v>
      </c>
      <c r="H3634" s="26" t="s">
        <v>974</v>
      </c>
      <c r="I3634" s="26" t="s">
        <v>184</v>
      </c>
      <c r="J3634" s="26" t="s">
        <v>322</v>
      </c>
      <c r="K3634" s="26" t="s">
        <v>360</v>
      </c>
      <c r="L3634" s="26" t="s">
        <v>79</v>
      </c>
      <c r="M3634" s="26" t="s">
        <v>77</v>
      </c>
      <c r="N3634" s="26">
        <v>64</v>
      </c>
      <c r="O3634" s="26">
        <v>34</v>
      </c>
      <c r="P3634" s="26">
        <v>30</v>
      </c>
      <c r="Q3634" s="26">
        <v>3</v>
      </c>
      <c r="R3634" s="26">
        <v>0</v>
      </c>
      <c r="S3634" s="26">
        <v>3</v>
      </c>
      <c r="T3634" s="26">
        <v>0</v>
      </c>
      <c r="U3634" s="26">
        <v>3</v>
      </c>
      <c r="V3634" s="26">
        <v>0</v>
      </c>
      <c r="W3634" s="26"/>
    </row>
    <row r="3635" spans="1:23" x14ac:dyDescent="0.25">
      <c r="A3635" s="26" t="s">
        <v>3971</v>
      </c>
      <c r="B3635" s="26" t="s">
        <v>1600</v>
      </c>
      <c r="C3635" s="26" t="s">
        <v>1601</v>
      </c>
      <c r="D3635" s="26" t="s">
        <v>179</v>
      </c>
      <c r="E3635" s="26" t="s">
        <v>1602</v>
      </c>
      <c r="F3635" s="26" t="s">
        <v>1462</v>
      </c>
      <c r="G3635" s="26" t="s">
        <v>278</v>
      </c>
      <c r="H3635" s="26" t="s">
        <v>408</v>
      </c>
      <c r="I3635" s="26" t="s">
        <v>184</v>
      </c>
      <c r="J3635" s="26" t="s">
        <v>375</v>
      </c>
      <c r="K3635" s="26" t="s">
        <v>360</v>
      </c>
      <c r="L3635" s="26" t="s">
        <v>79</v>
      </c>
      <c r="M3635" s="26" t="s">
        <v>77</v>
      </c>
      <c r="N3635" s="26">
        <v>49</v>
      </c>
      <c r="O3635" s="26">
        <v>26</v>
      </c>
      <c r="P3635" s="26">
        <v>23</v>
      </c>
      <c r="Q3635" s="26">
        <v>3</v>
      </c>
      <c r="R3635" s="26">
        <v>0</v>
      </c>
      <c r="S3635" s="26">
        <v>3</v>
      </c>
      <c r="T3635" s="26">
        <v>0</v>
      </c>
      <c r="U3635" s="26">
        <v>3</v>
      </c>
      <c r="V3635" s="26">
        <v>0</v>
      </c>
      <c r="W3635" s="26"/>
    </row>
    <row r="3636" spans="1:23" x14ac:dyDescent="0.25">
      <c r="A3636" s="26" t="s">
        <v>3971</v>
      </c>
      <c r="B3636" s="26" t="s">
        <v>1603</v>
      </c>
      <c r="C3636" s="26" t="s">
        <v>1604</v>
      </c>
      <c r="D3636" s="26" t="s">
        <v>179</v>
      </c>
      <c r="E3636" s="26" t="s">
        <v>1605</v>
      </c>
      <c r="F3636" s="26" t="s">
        <v>1606</v>
      </c>
      <c r="G3636" s="26" t="s">
        <v>293</v>
      </c>
      <c r="H3636" s="26" t="s">
        <v>594</v>
      </c>
      <c r="I3636" s="26" t="s">
        <v>184</v>
      </c>
      <c r="J3636" s="26" t="s">
        <v>295</v>
      </c>
      <c r="K3636" s="26" t="s">
        <v>296</v>
      </c>
      <c r="L3636" s="26" t="s">
        <v>80</v>
      </c>
      <c r="M3636" s="26" t="s">
        <v>77</v>
      </c>
      <c r="N3636" s="26">
        <v>48</v>
      </c>
      <c r="O3636" s="26">
        <v>30</v>
      </c>
      <c r="P3636" s="26">
        <v>18</v>
      </c>
      <c r="Q3636" s="26">
        <v>3</v>
      </c>
      <c r="R3636" s="26">
        <v>0</v>
      </c>
      <c r="S3636" s="26">
        <v>3</v>
      </c>
      <c r="T3636" s="26">
        <v>0</v>
      </c>
      <c r="U3636" s="26">
        <v>3</v>
      </c>
      <c r="V3636" s="26">
        <v>0</v>
      </c>
      <c r="W3636" s="26"/>
    </row>
    <row r="3637" spans="1:23" x14ac:dyDescent="0.25">
      <c r="A3637" s="26" t="s">
        <v>3971</v>
      </c>
      <c r="B3637" s="26" t="s">
        <v>1607</v>
      </c>
      <c r="C3637" s="26" t="s">
        <v>1608</v>
      </c>
      <c r="D3637" s="26" t="s">
        <v>179</v>
      </c>
      <c r="E3637" s="26" t="s">
        <v>1609</v>
      </c>
      <c r="F3637" s="26" t="s">
        <v>1610</v>
      </c>
      <c r="G3637" s="26" t="s">
        <v>293</v>
      </c>
      <c r="H3637" s="26" t="s">
        <v>351</v>
      </c>
      <c r="I3637" s="26" t="s">
        <v>184</v>
      </c>
      <c r="J3637" s="26" t="s">
        <v>503</v>
      </c>
      <c r="K3637" s="26" t="s">
        <v>296</v>
      </c>
      <c r="L3637" s="26" t="s">
        <v>80</v>
      </c>
      <c r="M3637" s="26" t="s">
        <v>77</v>
      </c>
      <c r="N3637" s="26">
        <v>66</v>
      </c>
      <c r="O3637" s="26">
        <v>28</v>
      </c>
      <c r="P3637" s="26">
        <v>38</v>
      </c>
      <c r="Q3637" s="26">
        <v>3</v>
      </c>
      <c r="R3637" s="26">
        <v>0</v>
      </c>
      <c r="S3637" s="26">
        <v>4</v>
      </c>
      <c r="T3637" s="26">
        <v>0</v>
      </c>
      <c r="U3637" s="26">
        <v>4</v>
      </c>
      <c r="V3637" s="26">
        <v>0</v>
      </c>
      <c r="W3637" s="26"/>
    </row>
    <row r="3638" spans="1:23" x14ac:dyDescent="0.25">
      <c r="A3638" s="26" t="s">
        <v>3971</v>
      </c>
      <c r="B3638" s="26" t="s">
        <v>1611</v>
      </c>
      <c r="C3638" s="26" t="s">
        <v>648</v>
      </c>
      <c r="D3638" s="26" t="s">
        <v>179</v>
      </c>
      <c r="E3638" s="26" t="s">
        <v>1612</v>
      </c>
      <c r="F3638" s="26" t="s">
        <v>522</v>
      </c>
      <c r="G3638" s="26" t="s">
        <v>293</v>
      </c>
      <c r="H3638" s="26" t="s">
        <v>301</v>
      </c>
      <c r="I3638" s="26" t="s">
        <v>184</v>
      </c>
      <c r="J3638" s="26" t="s">
        <v>696</v>
      </c>
      <c r="K3638" s="26" t="s">
        <v>296</v>
      </c>
      <c r="L3638" s="26" t="s">
        <v>80</v>
      </c>
      <c r="M3638" s="26" t="s">
        <v>77</v>
      </c>
      <c r="N3638" s="26">
        <v>54</v>
      </c>
      <c r="O3638" s="26">
        <v>25</v>
      </c>
      <c r="P3638" s="26">
        <v>29</v>
      </c>
      <c r="Q3638" s="26">
        <v>3</v>
      </c>
      <c r="R3638" s="26">
        <v>0</v>
      </c>
      <c r="S3638" s="26">
        <v>4</v>
      </c>
      <c r="T3638" s="26">
        <v>0</v>
      </c>
      <c r="U3638" s="26">
        <v>4</v>
      </c>
      <c r="V3638" s="26">
        <v>0</v>
      </c>
      <c r="W3638" s="26"/>
    </row>
    <row r="3639" spans="1:23" x14ac:dyDescent="0.25">
      <c r="A3639" s="26" t="s">
        <v>3971</v>
      </c>
      <c r="B3639" s="26" t="s">
        <v>1613</v>
      </c>
      <c r="C3639" s="26" t="s">
        <v>1614</v>
      </c>
      <c r="D3639" s="26" t="s">
        <v>179</v>
      </c>
      <c r="E3639" s="26" t="s">
        <v>1615</v>
      </c>
      <c r="F3639" s="26" t="s">
        <v>1086</v>
      </c>
      <c r="G3639" s="26" t="s">
        <v>487</v>
      </c>
      <c r="H3639" s="26" t="s">
        <v>1307</v>
      </c>
      <c r="I3639" s="26" t="s">
        <v>184</v>
      </c>
      <c r="J3639" s="26" t="s">
        <v>375</v>
      </c>
      <c r="K3639" s="26" t="s">
        <v>360</v>
      </c>
      <c r="L3639" s="26" t="s">
        <v>79</v>
      </c>
      <c r="M3639" s="26" t="s">
        <v>77</v>
      </c>
      <c r="N3639" s="26">
        <v>61</v>
      </c>
      <c r="O3639" s="26">
        <v>27</v>
      </c>
      <c r="P3639" s="26">
        <v>34</v>
      </c>
      <c r="Q3639" s="26">
        <v>4</v>
      </c>
      <c r="R3639" s="26">
        <v>0</v>
      </c>
      <c r="S3639" s="26">
        <v>8</v>
      </c>
      <c r="T3639" s="26">
        <v>0</v>
      </c>
      <c r="U3639" s="26">
        <v>8</v>
      </c>
      <c r="V3639" s="26">
        <v>0</v>
      </c>
      <c r="W3639" s="26"/>
    </row>
    <row r="3640" spans="1:23" x14ac:dyDescent="0.25">
      <c r="A3640" s="26" t="s">
        <v>3971</v>
      </c>
      <c r="B3640" s="26" t="s">
        <v>1616</v>
      </c>
      <c r="C3640" s="26" t="s">
        <v>1617</v>
      </c>
      <c r="D3640" s="26" t="s">
        <v>179</v>
      </c>
      <c r="E3640" s="26" t="s">
        <v>1618</v>
      </c>
      <c r="F3640" s="26" t="s">
        <v>577</v>
      </c>
      <c r="G3640" s="26" t="s">
        <v>278</v>
      </c>
      <c r="H3640" s="26" t="s">
        <v>623</v>
      </c>
      <c r="I3640" s="26" t="s">
        <v>184</v>
      </c>
      <c r="J3640" s="26" t="s">
        <v>375</v>
      </c>
      <c r="K3640" s="26" t="s">
        <v>360</v>
      </c>
      <c r="L3640" s="26" t="s">
        <v>79</v>
      </c>
      <c r="M3640" s="26" t="s">
        <v>77</v>
      </c>
      <c r="N3640" s="26">
        <v>141</v>
      </c>
      <c r="O3640" s="26">
        <v>72</v>
      </c>
      <c r="P3640" s="26">
        <v>69</v>
      </c>
      <c r="Q3640" s="26">
        <v>6</v>
      </c>
      <c r="R3640" s="26">
        <v>0</v>
      </c>
      <c r="S3640" s="26">
        <v>7</v>
      </c>
      <c r="T3640" s="26">
        <v>0</v>
      </c>
      <c r="U3640" s="26">
        <v>7</v>
      </c>
      <c r="V3640" s="26">
        <v>0</v>
      </c>
      <c r="W3640" s="26"/>
    </row>
    <row r="3641" spans="1:23" x14ac:dyDescent="0.25">
      <c r="A3641" s="26" t="s">
        <v>3971</v>
      </c>
      <c r="B3641" s="26" t="s">
        <v>1619</v>
      </c>
      <c r="C3641" s="26" t="s">
        <v>1620</v>
      </c>
      <c r="D3641" s="26" t="s">
        <v>179</v>
      </c>
      <c r="E3641" s="26" t="s">
        <v>1621</v>
      </c>
      <c r="F3641" s="26" t="s">
        <v>1622</v>
      </c>
      <c r="G3641" s="26" t="s">
        <v>637</v>
      </c>
      <c r="H3641" s="26" t="s">
        <v>638</v>
      </c>
      <c r="I3641" s="26" t="s">
        <v>184</v>
      </c>
      <c r="J3641" s="26" t="s">
        <v>427</v>
      </c>
      <c r="K3641" s="26" t="s">
        <v>360</v>
      </c>
      <c r="L3641" s="26" t="s">
        <v>79</v>
      </c>
      <c r="M3641" s="26" t="s">
        <v>77</v>
      </c>
      <c r="N3641" s="26">
        <v>56</v>
      </c>
      <c r="O3641" s="26">
        <v>24</v>
      </c>
      <c r="P3641" s="26">
        <v>32</v>
      </c>
      <c r="Q3641" s="26">
        <v>3</v>
      </c>
      <c r="R3641" s="26">
        <v>0</v>
      </c>
      <c r="S3641" s="26">
        <v>6</v>
      </c>
      <c r="T3641" s="26">
        <v>0</v>
      </c>
      <c r="U3641" s="26">
        <v>6</v>
      </c>
      <c r="V3641" s="26">
        <v>0</v>
      </c>
      <c r="W3641" s="26"/>
    </row>
    <row r="3642" spans="1:23" x14ac:dyDescent="0.25">
      <c r="A3642" s="26" t="s">
        <v>3971</v>
      </c>
      <c r="B3642" s="26" t="s">
        <v>1623</v>
      </c>
      <c r="C3642" s="26" t="s">
        <v>1624</v>
      </c>
      <c r="D3642" s="26" t="s">
        <v>179</v>
      </c>
      <c r="E3642" s="26" t="s">
        <v>1625</v>
      </c>
      <c r="F3642" s="26" t="s">
        <v>1626</v>
      </c>
      <c r="G3642" s="26" t="s">
        <v>487</v>
      </c>
      <c r="H3642" s="26" t="s">
        <v>926</v>
      </c>
      <c r="I3642" s="26" t="s">
        <v>184</v>
      </c>
      <c r="J3642" s="26" t="s">
        <v>322</v>
      </c>
      <c r="K3642" s="26" t="s">
        <v>360</v>
      </c>
      <c r="L3642" s="26" t="s">
        <v>79</v>
      </c>
      <c r="M3642" s="26" t="s">
        <v>77</v>
      </c>
      <c r="N3642" s="26">
        <v>90</v>
      </c>
      <c r="O3642" s="26">
        <v>45</v>
      </c>
      <c r="P3642" s="26">
        <v>45</v>
      </c>
      <c r="Q3642" s="26">
        <v>4</v>
      </c>
      <c r="R3642" s="26">
        <v>0</v>
      </c>
      <c r="S3642" s="26">
        <v>4</v>
      </c>
      <c r="T3642" s="26">
        <v>0</v>
      </c>
      <c r="U3642" s="26">
        <v>4</v>
      </c>
      <c r="V3642" s="26">
        <v>0</v>
      </c>
      <c r="W3642" s="26"/>
    </row>
    <row r="3643" spans="1:23" x14ac:dyDescent="0.25">
      <c r="A3643" s="26" t="s">
        <v>3971</v>
      </c>
      <c r="B3643" s="26" t="s">
        <v>1627</v>
      </c>
      <c r="C3643" s="26" t="s">
        <v>1628</v>
      </c>
      <c r="D3643" s="26" t="s">
        <v>179</v>
      </c>
      <c r="E3643" s="26" t="s">
        <v>1629</v>
      </c>
      <c r="F3643" s="26" t="s">
        <v>1630</v>
      </c>
      <c r="G3643" s="26" t="s">
        <v>210</v>
      </c>
      <c r="H3643" s="26" t="s">
        <v>881</v>
      </c>
      <c r="I3643" s="26" t="s">
        <v>184</v>
      </c>
      <c r="J3643" s="26" t="s">
        <v>322</v>
      </c>
      <c r="K3643" s="26" t="s">
        <v>360</v>
      </c>
      <c r="L3643" s="26" t="s">
        <v>79</v>
      </c>
      <c r="M3643" s="26" t="s">
        <v>77</v>
      </c>
      <c r="N3643" s="26">
        <v>34</v>
      </c>
      <c r="O3643" s="26">
        <v>18</v>
      </c>
      <c r="P3643" s="26">
        <v>16</v>
      </c>
      <c r="Q3643" s="26">
        <v>3</v>
      </c>
      <c r="R3643" s="26">
        <v>0</v>
      </c>
      <c r="S3643" s="26">
        <v>4</v>
      </c>
      <c r="T3643" s="26">
        <v>0</v>
      </c>
      <c r="U3643" s="26">
        <v>4</v>
      </c>
      <c r="V3643" s="26">
        <v>0</v>
      </c>
      <c r="W3643" s="26"/>
    </row>
    <row r="3644" spans="1:23" x14ac:dyDescent="0.25">
      <c r="A3644" s="26" t="s">
        <v>3971</v>
      </c>
      <c r="B3644" s="26" t="s">
        <v>1631</v>
      </c>
      <c r="C3644" s="26" t="s">
        <v>1632</v>
      </c>
      <c r="D3644" s="26" t="s">
        <v>179</v>
      </c>
      <c r="E3644" s="26" t="s">
        <v>1633</v>
      </c>
      <c r="F3644" s="26" t="s">
        <v>1634</v>
      </c>
      <c r="G3644" s="26" t="s">
        <v>651</v>
      </c>
      <c r="H3644" s="26" t="s">
        <v>652</v>
      </c>
      <c r="I3644" s="26" t="s">
        <v>184</v>
      </c>
      <c r="J3644" s="26" t="s">
        <v>427</v>
      </c>
      <c r="K3644" s="26" t="s">
        <v>360</v>
      </c>
      <c r="L3644" s="26" t="s">
        <v>79</v>
      </c>
      <c r="M3644" s="26" t="s">
        <v>77</v>
      </c>
      <c r="N3644" s="26">
        <v>94</v>
      </c>
      <c r="O3644" s="26">
        <v>44</v>
      </c>
      <c r="P3644" s="26">
        <v>50</v>
      </c>
      <c r="Q3644" s="26">
        <v>5</v>
      </c>
      <c r="R3644" s="26">
        <v>0</v>
      </c>
      <c r="S3644" s="26">
        <v>5</v>
      </c>
      <c r="T3644" s="26">
        <v>0</v>
      </c>
      <c r="U3644" s="26">
        <v>5</v>
      </c>
      <c r="V3644" s="26">
        <v>0</v>
      </c>
      <c r="W3644" s="26"/>
    </row>
    <row r="3645" spans="1:23" x14ac:dyDescent="0.25">
      <c r="A3645" s="26" t="s">
        <v>3971</v>
      </c>
      <c r="B3645" s="26" t="s">
        <v>1635</v>
      </c>
      <c r="C3645" s="26" t="s">
        <v>1636</v>
      </c>
      <c r="D3645" s="26" t="s">
        <v>179</v>
      </c>
      <c r="E3645" s="26" t="s">
        <v>1637</v>
      </c>
      <c r="F3645" s="26" t="s">
        <v>1638</v>
      </c>
      <c r="G3645" s="26" t="s">
        <v>651</v>
      </c>
      <c r="H3645" s="26" t="s">
        <v>652</v>
      </c>
      <c r="I3645" s="26" t="s">
        <v>184</v>
      </c>
      <c r="J3645" s="26" t="s">
        <v>427</v>
      </c>
      <c r="K3645" s="26" t="s">
        <v>360</v>
      </c>
      <c r="L3645" s="26" t="s">
        <v>79</v>
      </c>
      <c r="M3645" s="26" t="s">
        <v>77</v>
      </c>
      <c r="N3645" s="26">
        <v>45</v>
      </c>
      <c r="O3645" s="26">
        <v>22</v>
      </c>
      <c r="P3645" s="26">
        <v>23</v>
      </c>
      <c r="Q3645" s="26">
        <v>3</v>
      </c>
      <c r="R3645" s="26">
        <v>0</v>
      </c>
      <c r="S3645" s="26">
        <v>3</v>
      </c>
      <c r="T3645" s="26">
        <v>0</v>
      </c>
      <c r="U3645" s="26">
        <v>3</v>
      </c>
      <c r="V3645" s="26">
        <v>0</v>
      </c>
      <c r="W3645" s="26"/>
    </row>
    <row r="3646" spans="1:23" x14ac:dyDescent="0.25">
      <c r="A3646" s="26" t="s">
        <v>3971</v>
      </c>
      <c r="B3646" s="26" t="s">
        <v>1639</v>
      </c>
      <c r="C3646" s="26" t="s">
        <v>1640</v>
      </c>
      <c r="D3646" s="26" t="s">
        <v>179</v>
      </c>
      <c r="E3646" s="26" t="s">
        <v>1641</v>
      </c>
      <c r="F3646" s="26" t="s">
        <v>1642</v>
      </c>
      <c r="G3646" s="26" t="s">
        <v>651</v>
      </c>
      <c r="H3646" s="26" t="s">
        <v>652</v>
      </c>
      <c r="I3646" s="26" t="s">
        <v>184</v>
      </c>
      <c r="J3646" s="26" t="s">
        <v>427</v>
      </c>
      <c r="K3646" s="26" t="s">
        <v>360</v>
      </c>
      <c r="L3646" s="26" t="s">
        <v>79</v>
      </c>
      <c r="M3646" s="26" t="s">
        <v>77</v>
      </c>
      <c r="N3646" s="26">
        <v>77</v>
      </c>
      <c r="O3646" s="26">
        <v>43</v>
      </c>
      <c r="P3646" s="26">
        <v>34</v>
      </c>
      <c r="Q3646" s="26">
        <v>3</v>
      </c>
      <c r="R3646" s="26">
        <v>0</v>
      </c>
      <c r="S3646" s="26">
        <v>6</v>
      </c>
      <c r="T3646" s="26">
        <v>0</v>
      </c>
      <c r="U3646" s="26">
        <v>6</v>
      </c>
      <c r="V3646" s="26">
        <v>0</v>
      </c>
      <c r="W3646" s="26"/>
    </row>
    <row r="3647" spans="1:23" x14ac:dyDescent="0.25">
      <c r="A3647" s="26" t="s">
        <v>3971</v>
      </c>
      <c r="B3647" s="26" t="s">
        <v>1643</v>
      </c>
      <c r="C3647" s="26" t="s">
        <v>1644</v>
      </c>
      <c r="D3647" s="26" t="s">
        <v>179</v>
      </c>
      <c r="E3647" s="26" t="s">
        <v>1645</v>
      </c>
      <c r="F3647" s="26" t="s">
        <v>1646</v>
      </c>
      <c r="G3647" s="26" t="s">
        <v>651</v>
      </c>
      <c r="H3647" s="26" t="s">
        <v>652</v>
      </c>
      <c r="I3647" s="26" t="s">
        <v>184</v>
      </c>
      <c r="J3647" s="26" t="s">
        <v>427</v>
      </c>
      <c r="K3647" s="26" t="s">
        <v>360</v>
      </c>
      <c r="L3647" s="26" t="s">
        <v>79</v>
      </c>
      <c r="M3647" s="26" t="s">
        <v>77</v>
      </c>
      <c r="N3647" s="26">
        <v>43</v>
      </c>
      <c r="O3647" s="26">
        <v>21</v>
      </c>
      <c r="P3647" s="26">
        <v>22</v>
      </c>
      <c r="Q3647" s="26">
        <v>3</v>
      </c>
      <c r="R3647" s="26">
        <v>0</v>
      </c>
      <c r="S3647" s="26">
        <v>4</v>
      </c>
      <c r="T3647" s="26">
        <v>0</v>
      </c>
      <c r="U3647" s="26">
        <v>4</v>
      </c>
      <c r="V3647" s="26">
        <v>0</v>
      </c>
      <c r="W3647" s="26"/>
    </row>
    <row r="3648" spans="1:23" x14ac:dyDescent="0.25">
      <c r="A3648" s="26" t="s">
        <v>3971</v>
      </c>
      <c r="B3648" s="26" t="s">
        <v>1647</v>
      </c>
      <c r="C3648" s="26" t="s">
        <v>1648</v>
      </c>
      <c r="D3648" s="26" t="s">
        <v>179</v>
      </c>
      <c r="E3648" s="26" t="s">
        <v>1649</v>
      </c>
      <c r="F3648" s="26" t="s">
        <v>1179</v>
      </c>
      <c r="G3648" s="26" t="s">
        <v>182</v>
      </c>
      <c r="H3648" s="26" t="s">
        <v>380</v>
      </c>
      <c r="I3648" s="26" t="s">
        <v>184</v>
      </c>
      <c r="J3648" s="26" t="s">
        <v>322</v>
      </c>
      <c r="K3648" s="26" t="s">
        <v>360</v>
      </c>
      <c r="L3648" s="26" t="s">
        <v>79</v>
      </c>
      <c r="M3648" s="26" t="s">
        <v>77</v>
      </c>
      <c r="N3648" s="26">
        <v>37</v>
      </c>
      <c r="O3648" s="26">
        <v>20</v>
      </c>
      <c r="P3648" s="26">
        <v>17</v>
      </c>
      <c r="Q3648" s="26">
        <v>4</v>
      </c>
      <c r="R3648" s="26">
        <v>0</v>
      </c>
      <c r="S3648" s="26">
        <v>11</v>
      </c>
      <c r="T3648" s="26">
        <v>0</v>
      </c>
      <c r="U3648" s="26">
        <v>11</v>
      </c>
      <c r="V3648" s="26">
        <v>0</v>
      </c>
      <c r="W3648" s="26"/>
    </row>
    <row r="3649" spans="1:23" x14ac:dyDescent="0.25">
      <c r="A3649" s="26" t="s">
        <v>3971</v>
      </c>
      <c r="B3649" s="26" t="s">
        <v>1650</v>
      </c>
      <c r="C3649" s="26" t="s">
        <v>1651</v>
      </c>
      <c r="D3649" s="26" t="s">
        <v>179</v>
      </c>
      <c r="E3649" s="26" t="s">
        <v>1652</v>
      </c>
      <c r="F3649" s="26" t="s">
        <v>1653</v>
      </c>
      <c r="G3649" s="26" t="s">
        <v>210</v>
      </c>
      <c r="H3649" s="26" t="s">
        <v>1296</v>
      </c>
      <c r="I3649" s="26" t="s">
        <v>184</v>
      </c>
      <c r="J3649" s="26" t="s">
        <v>322</v>
      </c>
      <c r="K3649" s="26" t="s">
        <v>360</v>
      </c>
      <c r="L3649" s="26" t="s">
        <v>79</v>
      </c>
      <c r="M3649" s="26" t="s">
        <v>77</v>
      </c>
      <c r="N3649" s="26">
        <v>60</v>
      </c>
      <c r="O3649" s="26">
        <v>24</v>
      </c>
      <c r="P3649" s="26">
        <v>36</v>
      </c>
      <c r="Q3649" s="26">
        <v>2</v>
      </c>
      <c r="R3649" s="26">
        <v>0</v>
      </c>
      <c r="S3649" s="26">
        <v>8</v>
      </c>
      <c r="T3649" s="26">
        <v>0</v>
      </c>
      <c r="U3649" s="26">
        <v>8</v>
      </c>
      <c r="V3649" s="26">
        <v>0</v>
      </c>
      <c r="W3649" s="26"/>
    </row>
    <row r="3650" spans="1:23" x14ac:dyDescent="0.25">
      <c r="A3650" s="26" t="s">
        <v>3971</v>
      </c>
      <c r="B3650" s="26" t="s">
        <v>1654</v>
      </c>
      <c r="C3650" s="26" t="s">
        <v>1655</v>
      </c>
      <c r="D3650" s="26" t="s">
        <v>179</v>
      </c>
      <c r="E3650" s="26" t="s">
        <v>1656</v>
      </c>
      <c r="F3650" s="26" t="s">
        <v>1657</v>
      </c>
      <c r="G3650" s="26" t="s">
        <v>651</v>
      </c>
      <c r="H3650" s="26" t="s">
        <v>652</v>
      </c>
      <c r="I3650" s="26" t="s">
        <v>184</v>
      </c>
      <c r="J3650" s="26" t="s">
        <v>427</v>
      </c>
      <c r="K3650" s="26" t="s">
        <v>360</v>
      </c>
      <c r="L3650" s="26" t="s">
        <v>79</v>
      </c>
      <c r="M3650" s="26" t="s">
        <v>77</v>
      </c>
      <c r="N3650" s="26">
        <v>49</v>
      </c>
      <c r="O3650" s="26">
        <v>28</v>
      </c>
      <c r="P3650" s="26">
        <v>21</v>
      </c>
      <c r="Q3650" s="26">
        <v>3</v>
      </c>
      <c r="R3650" s="26">
        <v>0</v>
      </c>
      <c r="S3650" s="26">
        <v>3</v>
      </c>
      <c r="T3650" s="26">
        <v>0</v>
      </c>
      <c r="U3650" s="26">
        <v>3</v>
      </c>
      <c r="V3650" s="26">
        <v>0</v>
      </c>
      <c r="W3650" s="26"/>
    </row>
    <row r="3651" spans="1:23" x14ac:dyDescent="0.25">
      <c r="A3651" s="26" t="s">
        <v>3971</v>
      </c>
      <c r="B3651" s="26" t="s">
        <v>1658</v>
      </c>
      <c r="C3651" s="26" t="s">
        <v>1659</v>
      </c>
      <c r="D3651" s="26" t="s">
        <v>179</v>
      </c>
      <c r="E3651" s="26" t="s">
        <v>1660</v>
      </c>
      <c r="F3651" s="26" t="s">
        <v>1661</v>
      </c>
      <c r="G3651" s="26" t="s">
        <v>651</v>
      </c>
      <c r="H3651" s="26" t="s">
        <v>652</v>
      </c>
      <c r="I3651" s="26" t="s">
        <v>184</v>
      </c>
      <c r="J3651" s="26" t="s">
        <v>427</v>
      </c>
      <c r="K3651" s="26" t="s">
        <v>360</v>
      </c>
      <c r="L3651" s="26" t="s">
        <v>79</v>
      </c>
      <c r="M3651" s="26" t="s">
        <v>77</v>
      </c>
      <c r="N3651" s="26">
        <v>80</v>
      </c>
      <c r="O3651" s="26">
        <v>40</v>
      </c>
      <c r="P3651" s="26">
        <v>40</v>
      </c>
      <c r="Q3651" s="26">
        <v>5</v>
      </c>
      <c r="R3651" s="26">
        <v>0</v>
      </c>
      <c r="S3651" s="26">
        <v>5</v>
      </c>
      <c r="T3651" s="26">
        <v>0</v>
      </c>
      <c r="U3651" s="26">
        <v>5</v>
      </c>
      <c r="V3651" s="26">
        <v>0</v>
      </c>
      <c r="W3651" s="26"/>
    </row>
    <row r="3652" spans="1:23" x14ac:dyDescent="0.25">
      <c r="A3652" s="26" t="s">
        <v>3971</v>
      </c>
      <c r="B3652" s="26" t="s">
        <v>1662</v>
      </c>
      <c r="C3652" s="26" t="s">
        <v>1663</v>
      </c>
      <c r="D3652" s="26" t="s">
        <v>218</v>
      </c>
      <c r="E3652" s="26" t="s">
        <v>1664</v>
      </c>
      <c r="F3652" s="26" t="s">
        <v>1665</v>
      </c>
      <c r="G3652" s="26" t="s">
        <v>293</v>
      </c>
      <c r="H3652" s="26" t="s">
        <v>594</v>
      </c>
      <c r="I3652" s="26" t="s">
        <v>184</v>
      </c>
      <c r="J3652" s="26" t="s">
        <v>295</v>
      </c>
      <c r="K3652" s="26" t="s">
        <v>296</v>
      </c>
      <c r="L3652" s="26" t="s">
        <v>80</v>
      </c>
      <c r="M3652" s="26" t="s">
        <v>77</v>
      </c>
      <c r="N3652" s="26">
        <v>75</v>
      </c>
      <c r="O3652" s="26">
        <v>38</v>
      </c>
      <c r="P3652" s="26">
        <v>37</v>
      </c>
      <c r="Q3652" s="26">
        <v>5</v>
      </c>
      <c r="R3652" s="26">
        <v>0</v>
      </c>
      <c r="S3652" s="26">
        <v>7</v>
      </c>
      <c r="T3652" s="26">
        <v>0</v>
      </c>
      <c r="U3652" s="26">
        <v>7</v>
      </c>
      <c r="V3652" s="26">
        <v>0</v>
      </c>
      <c r="W3652" s="26"/>
    </row>
    <row r="3653" spans="1:23" x14ac:dyDescent="0.25">
      <c r="A3653" s="26" t="s">
        <v>3971</v>
      </c>
      <c r="B3653" s="26" t="s">
        <v>1666</v>
      </c>
      <c r="C3653" s="26" t="s">
        <v>1667</v>
      </c>
      <c r="D3653" s="26" t="s">
        <v>218</v>
      </c>
      <c r="E3653" s="26" t="s">
        <v>1668</v>
      </c>
      <c r="F3653" s="26" t="s">
        <v>1669</v>
      </c>
      <c r="G3653" s="26" t="s">
        <v>293</v>
      </c>
      <c r="H3653" s="26" t="s">
        <v>351</v>
      </c>
      <c r="I3653" s="26" t="s">
        <v>184</v>
      </c>
      <c r="J3653" s="26" t="s">
        <v>503</v>
      </c>
      <c r="K3653" s="26" t="s">
        <v>296</v>
      </c>
      <c r="L3653" s="26" t="s">
        <v>80</v>
      </c>
      <c r="M3653" s="26" t="s">
        <v>77</v>
      </c>
      <c r="N3653" s="26">
        <v>88</v>
      </c>
      <c r="O3653" s="26">
        <v>51</v>
      </c>
      <c r="P3653" s="26">
        <v>37</v>
      </c>
      <c r="Q3653" s="26">
        <v>6</v>
      </c>
      <c r="R3653" s="26">
        <v>0</v>
      </c>
      <c r="S3653" s="26">
        <v>6</v>
      </c>
      <c r="T3653" s="26">
        <v>0</v>
      </c>
      <c r="U3653" s="26">
        <v>6</v>
      </c>
      <c r="V3653" s="26">
        <v>0</v>
      </c>
      <c r="W3653" s="26"/>
    </row>
    <row r="3654" spans="1:23" x14ac:dyDescent="0.25">
      <c r="A3654" s="26" t="s">
        <v>3971</v>
      </c>
      <c r="B3654" s="26" t="s">
        <v>1670</v>
      </c>
      <c r="C3654" s="26" t="s">
        <v>1671</v>
      </c>
      <c r="D3654" s="26" t="s">
        <v>218</v>
      </c>
      <c r="E3654" s="26" t="s">
        <v>1672</v>
      </c>
      <c r="F3654" s="26" t="s">
        <v>1673</v>
      </c>
      <c r="G3654" s="26" t="s">
        <v>293</v>
      </c>
      <c r="H3654" s="26" t="s">
        <v>301</v>
      </c>
      <c r="I3654" s="26" t="s">
        <v>184</v>
      </c>
      <c r="J3654" s="26" t="s">
        <v>696</v>
      </c>
      <c r="K3654" s="26" t="s">
        <v>296</v>
      </c>
      <c r="L3654" s="26" t="s">
        <v>80</v>
      </c>
      <c r="M3654" s="26" t="s">
        <v>77</v>
      </c>
      <c r="N3654" s="26">
        <v>80</v>
      </c>
      <c r="O3654" s="26">
        <v>36</v>
      </c>
      <c r="P3654" s="26">
        <v>44</v>
      </c>
      <c r="Q3654" s="26">
        <v>5</v>
      </c>
      <c r="R3654" s="26">
        <v>0</v>
      </c>
      <c r="S3654" s="26">
        <v>7</v>
      </c>
      <c r="T3654" s="26">
        <v>0</v>
      </c>
      <c r="U3654" s="26">
        <v>7</v>
      </c>
      <c r="V3654" s="26">
        <v>0</v>
      </c>
      <c r="W3654" s="26"/>
    </row>
    <row r="3655" spans="1:23" x14ac:dyDescent="0.25">
      <c r="A3655" s="26" t="s">
        <v>3971</v>
      </c>
      <c r="B3655" s="26" t="s">
        <v>1674</v>
      </c>
      <c r="C3655" s="26" t="s">
        <v>1675</v>
      </c>
      <c r="D3655" s="26" t="s">
        <v>218</v>
      </c>
      <c r="E3655" s="26" t="s">
        <v>1676</v>
      </c>
      <c r="F3655" s="26" t="s">
        <v>1677</v>
      </c>
      <c r="G3655" s="26" t="s">
        <v>293</v>
      </c>
      <c r="H3655" s="26" t="s">
        <v>594</v>
      </c>
      <c r="I3655" s="26" t="s">
        <v>184</v>
      </c>
      <c r="J3655" s="26" t="s">
        <v>295</v>
      </c>
      <c r="K3655" s="26" t="s">
        <v>296</v>
      </c>
      <c r="L3655" s="26" t="s">
        <v>80</v>
      </c>
      <c r="M3655" s="26" t="s">
        <v>77</v>
      </c>
      <c r="N3655" s="26">
        <v>32</v>
      </c>
      <c r="O3655" s="26">
        <v>15</v>
      </c>
      <c r="P3655" s="26">
        <v>17</v>
      </c>
      <c r="Q3655" s="26">
        <v>3</v>
      </c>
      <c r="R3655" s="26">
        <v>0</v>
      </c>
      <c r="S3655" s="26">
        <v>3</v>
      </c>
      <c r="T3655" s="26">
        <v>0</v>
      </c>
      <c r="U3655" s="26">
        <v>3</v>
      </c>
      <c r="V3655" s="26">
        <v>0</v>
      </c>
      <c r="W3655" s="26"/>
    </row>
    <row r="3656" spans="1:23" x14ac:dyDescent="0.25">
      <c r="A3656" s="26" t="s">
        <v>3971</v>
      </c>
      <c r="B3656" s="26" t="s">
        <v>1678</v>
      </c>
      <c r="C3656" s="26" t="s">
        <v>1679</v>
      </c>
      <c r="D3656" s="26" t="s">
        <v>179</v>
      </c>
      <c r="E3656" s="26" t="s">
        <v>1680</v>
      </c>
      <c r="F3656" s="26" t="s">
        <v>1681</v>
      </c>
      <c r="G3656" s="26" t="s">
        <v>210</v>
      </c>
      <c r="H3656" s="26" t="s">
        <v>881</v>
      </c>
      <c r="I3656" s="26" t="s">
        <v>184</v>
      </c>
      <c r="J3656" s="26" t="s">
        <v>322</v>
      </c>
      <c r="K3656" s="26" t="s">
        <v>360</v>
      </c>
      <c r="L3656" s="26" t="s">
        <v>79</v>
      </c>
      <c r="M3656" s="26" t="s">
        <v>77</v>
      </c>
      <c r="N3656" s="26">
        <v>48</v>
      </c>
      <c r="O3656" s="26">
        <v>23</v>
      </c>
      <c r="P3656" s="26">
        <v>25</v>
      </c>
      <c r="Q3656" s="26">
        <v>3</v>
      </c>
      <c r="R3656" s="26">
        <v>0</v>
      </c>
      <c r="S3656" s="26">
        <v>6</v>
      </c>
      <c r="T3656" s="26">
        <v>0</v>
      </c>
      <c r="U3656" s="26">
        <v>6</v>
      </c>
      <c r="V3656" s="26">
        <v>0</v>
      </c>
      <c r="W3656" s="26"/>
    </row>
    <row r="3657" spans="1:23" x14ac:dyDescent="0.25">
      <c r="A3657" s="26" t="s">
        <v>3971</v>
      </c>
      <c r="B3657" s="26" t="s">
        <v>1682</v>
      </c>
      <c r="C3657" s="26" t="s">
        <v>1683</v>
      </c>
      <c r="D3657" s="26" t="s">
        <v>179</v>
      </c>
      <c r="E3657" s="26" t="s">
        <v>1684</v>
      </c>
      <c r="F3657" s="26" t="s">
        <v>243</v>
      </c>
      <c r="G3657" s="26" t="s">
        <v>210</v>
      </c>
      <c r="H3657" s="26" t="s">
        <v>332</v>
      </c>
      <c r="I3657" s="26" t="s">
        <v>184</v>
      </c>
      <c r="J3657" s="26" t="s">
        <v>322</v>
      </c>
      <c r="K3657" s="26" t="s">
        <v>360</v>
      </c>
      <c r="L3657" s="26" t="s">
        <v>79</v>
      </c>
      <c r="M3657" s="26" t="s">
        <v>77</v>
      </c>
      <c r="N3657" s="26">
        <v>56</v>
      </c>
      <c r="O3657" s="26">
        <v>31</v>
      </c>
      <c r="P3657" s="26">
        <v>25</v>
      </c>
      <c r="Q3657" s="26">
        <v>4</v>
      </c>
      <c r="R3657" s="26">
        <v>0</v>
      </c>
      <c r="S3657" s="26">
        <v>6</v>
      </c>
      <c r="T3657" s="26">
        <v>0</v>
      </c>
      <c r="U3657" s="26">
        <v>6</v>
      </c>
      <c r="V3657" s="26">
        <v>0</v>
      </c>
      <c r="W3657" s="26"/>
    </row>
    <row r="3658" spans="1:23" x14ac:dyDescent="0.25">
      <c r="A3658" s="26" t="s">
        <v>3971</v>
      </c>
      <c r="B3658" s="26" t="s">
        <v>1685</v>
      </c>
      <c r="C3658" s="26" t="s">
        <v>1686</v>
      </c>
      <c r="D3658" s="26" t="s">
        <v>179</v>
      </c>
      <c r="E3658" s="26" t="s">
        <v>1687</v>
      </c>
      <c r="F3658" s="26" t="s">
        <v>1688</v>
      </c>
      <c r="G3658" s="26" t="s">
        <v>487</v>
      </c>
      <c r="H3658" s="26" t="s">
        <v>1307</v>
      </c>
      <c r="I3658" s="26" t="s">
        <v>184</v>
      </c>
      <c r="J3658" s="26" t="s">
        <v>375</v>
      </c>
      <c r="K3658" s="26" t="s">
        <v>360</v>
      </c>
      <c r="L3658" s="26" t="s">
        <v>79</v>
      </c>
      <c r="M3658" s="26" t="s">
        <v>77</v>
      </c>
      <c r="N3658" s="26">
        <v>80</v>
      </c>
      <c r="O3658" s="26">
        <v>40</v>
      </c>
      <c r="P3658" s="26">
        <v>40</v>
      </c>
      <c r="Q3658" s="26">
        <v>3</v>
      </c>
      <c r="R3658" s="26">
        <v>0</v>
      </c>
      <c r="S3658" s="26">
        <v>4</v>
      </c>
      <c r="T3658" s="26">
        <v>0</v>
      </c>
      <c r="U3658" s="26">
        <v>4</v>
      </c>
      <c r="V3658" s="26">
        <v>0</v>
      </c>
      <c r="W3658" s="26"/>
    </row>
    <row r="3659" spans="1:23" x14ac:dyDescent="0.25">
      <c r="A3659" s="26" t="s">
        <v>3971</v>
      </c>
      <c r="B3659" s="26" t="s">
        <v>1689</v>
      </c>
      <c r="C3659" s="26" t="s">
        <v>1690</v>
      </c>
      <c r="D3659" s="26" t="s">
        <v>179</v>
      </c>
      <c r="E3659" s="26" t="s">
        <v>1691</v>
      </c>
      <c r="F3659" s="26" t="s">
        <v>1692</v>
      </c>
      <c r="G3659" s="26" t="s">
        <v>487</v>
      </c>
      <c r="H3659" s="26" t="s">
        <v>1693</v>
      </c>
      <c r="I3659" s="26" t="s">
        <v>184</v>
      </c>
      <c r="J3659" s="26" t="s">
        <v>375</v>
      </c>
      <c r="K3659" s="26" t="s">
        <v>360</v>
      </c>
      <c r="L3659" s="26" t="s">
        <v>79</v>
      </c>
      <c r="M3659" s="26" t="s">
        <v>77</v>
      </c>
      <c r="N3659" s="26">
        <v>62</v>
      </c>
      <c r="O3659" s="26">
        <v>32</v>
      </c>
      <c r="P3659" s="26">
        <v>30</v>
      </c>
      <c r="Q3659" s="26">
        <v>3</v>
      </c>
      <c r="R3659" s="26">
        <v>0</v>
      </c>
      <c r="S3659" s="26">
        <v>4</v>
      </c>
      <c r="T3659" s="26">
        <v>0</v>
      </c>
      <c r="U3659" s="26">
        <v>4</v>
      </c>
      <c r="V3659" s="26">
        <v>0</v>
      </c>
      <c r="W3659" s="26"/>
    </row>
    <row r="3660" spans="1:23" x14ac:dyDescent="0.25">
      <c r="A3660" s="26" t="s">
        <v>3971</v>
      </c>
      <c r="B3660" s="26" t="s">
        <v>1694</v>
      </c>
      <c r="C3660" s="26" t="s">
        <v>1695</v>
      </c>
      <c r="D3660" s="26" t="s">
        <v>179</v>
      </c>
      <c r="E3660" s="26" t="s">
        <v>1696</v>
      </c>
      <c r="F3660" s="26" t="s">
        <v>1697</v>
      </c>
      <c r="G3660" s="26" t="s">
        <v>487</v>
      </c>
      <c r="H3660" s="26" t="s">
        <v>1693</v>
      </c>
      <c r="I3660" s="26" t="s">
        <v>184</v>
      </c>
      <c r="J3660" s="26" t="s">
        <v>375</v>
      </c>
      <c r="K3660" s="26" t="s">
        <v>360</v>
      </c>
      <c r="L3660" s="26" t="s">
        <v>79</v>
      </c>
      <c r="M3660" s="26" t="s">
        <v>77</v>
      </c>
      <c r="N3660" s="26">
        <v>45</v>
      </c>
      <c r="O3660" s="26">
        <v>33</v>
      </c>
      <c r="P3660" s="26">
        <v>12</v>
      </c>
      <c r="Q3660" s="26">
        <v>3</v>
      </c>
      <c r="R3660" s="26">
        <v>0</v>
      </c>
      <c r="S3660" s="26">
        <v>4</v>
      </c>
      <c r="T3660" s="26">
        <v>0</v>
      </c>
      <c r="U3660" s="26">
        <v>4</v>
      </c>
      <c r="V3660" s="26">
        <v>0</v>
      </c>
      <c r="W3660" s="26"/>
    </row>
    <row r="3661" spans="1:23" x14ac:dyDescent="0.25">
      <c r="A3661" s="26" t="s">
        <v>3971</v>
      </c>
      <c r="B3661" s="26" t="s">
        <v>1698</v>
      </c>
      <c r="C3661" s="26" t="s">
        <v>1699</v>
      </c>
      <c r="D3661" s="26" t="s">
        <v>179</v>
      </c>
      <c r="E3661" s="26" t="s">
        <v>1700</v>
      </c>
      <c r="F3661" s="26" t="s">
        <v>1701</v>
      </c>
      <c r="G3661" s="26" t="s">
        <v>487</v>
      </c>
      <c r="H3661" s="26" t="s">
        <v>351</v>
      </c>
      <c r="I3661" s="26" t="s">
        <v>184</v>
      </c>
      <c r="J3661" s="26" t="s">
        <v>375</v>
      </c>
      <c r="K3661" s="26" t="s">
        <v>360</v>
      </c>
      <c r="L3661" s="26" t="s">
        <v>79</v>
      </c>
      <c r="M3661" s="26" t="s">
        <v>77</v>
      </c>
      <c r="N3661" s="26">
        <v>69</v>
      </c>
      <c r="O3661" s="26">
        <v>35</v>
      </c>
      <c r="P3661" s="26">
        <v>34</v>
      </c>
      <c r="Q3661" s="26">
        <v>4</v>
      </c>
      <c r="R3661" s="26">
        <v>0</v>
      </c>
      <c r="S3661" s="26">
        <v>4</v>
      </c>
      <c r="T3661" s="26">
        <v>0</v>
      </c>
      <c r="U3661" s="26">
        <v>4</v>
      </c>
      <c r="V3661" s="26">
        <v>0</v>
      </c>
      <c r="W3661" s="26"/>
    </row>
    <row r="3662" spans="1:23" x14ac:dyDescent="0.25">
      <c r="A3662" s="26" t="s">
        <v>3971</v>
      </c>
      <c r="B3662" s="26" t="s">
        <v>1702</v>
      </c>
      <c r="C3662" s="26" t="s">
        <v>1703</v>
      </c>
      <c r="D3662" s="26" t="s">
        <v>179</v>
      </c>
      <c r="E3662" s="26" t="s">
        <v>1704</v>
      </c>
      <c r="F3662" s="26" t="s">
        <v>1705</v>
      </c>
      <c r="G3662" s="26" t="s">
        <v>487</v>
      </c>
      <c r="H3662" s="26" t="s">
        <v>351</v>
      </c>
      <c r="I3662" s="26" t="s">
        <v>184</v>
      </c>
      <c r="J3662" s="26" t="s">
        <v>375</v>
      </c>
      <c r="K3662" s="26" t="s">
        <v>360</v>
      </c>
      <c r="L3662" s="26" t="s">
        <v>79</v>
      </c>
      <c r="M3662" s="26" t="s">
        <v>77</v>
      </c>
      <c r="N3662" s="26">
        <v>84</v>
      </c>
      <c r="O3662" s="26">
        <v>41</v>
      </c>
      <c r="P3662" s="26">
        <v>43</v>
      </c>
      <c r="Q3662" s="26">
        <v>4</v>
      </c>
      <c r="R3662" s="26">
        <v>0</v>
      </c>
      <c r="S3662" s="26">
        <v>5</v>
      </c>
      <c r="T3662" s="26">
        <v>0</v>
      </c>
      <c r="U3662" s="26">
        <v>5</v>
      </c>
      <c r="V3662" s="26">
        <v>0</v>
      </c>
      <c r="W3662" s="26"/>
    </row>
    <row r="3663" spans="1:23" x14ac:dyDescent="0.25">
      <c r="A3663" s="26" t="s">
        <v>3971</v>
      </c>
      <c r="B3663" s="26" t="s">
        <v>1706</v>
      </c>
      <c r="C3663" s="26" t="s">
        <v>1707</v>
      </c>
      <c r="D3663" s="26" t="s">
        <v>179</v>
      </c>
      <c r="E3663" s="26" t="s">
        <v>1708</v>
      </c>
      <c r="F3663" s="26" t="s">
        <v>1709</v>
      </c>
      <c r="G3663" s="26" t="s">
        <v>252</v>
      </c>
      <c r="H3663" s="26" t="s">
        <v>682</v>
      </c>
      <c r="I3663" s="26" t="s">
        <v>184</v>
      </c>
      <c r="J3663" s="26" t="s">
        <v>427</v>
      </c>
      <c r="K3663" s="26" t="s">
        <v>360</v>
      </c>
      <c r="L3663" s="26" t="s">
        <v>79</v>
      </c>
      <c r="M3663" s="26" t="s">
        <v>77</v>
      </c>
      <c r="N3663" s="26">
        <v>143</v>
      </c>
      <c r="O3663" s="26">
        <v>67</v>
      </c>
      <c r="P3663" s="26">
        <v>76</v>
      </c>
      <c r="Q3663" s="26">
        <v>6</v>
      </c>
      <c r="R3663" s="26">
        <v>0</v>
      </c>
      <c r="S3663" s="26">
        <v>11</v>
      </c>
      <c r="T3663" s="26">
        <v>0</v>
      </c>
      <c r="U3663" s="26">
        <v>11</v>
      </c>
      <c r="V3663" s="26">
        <v>0</v>
      </c>
      <c r="W3663" s="26"/>
    </row>
    <row r="3664" spans="1:23" x14ac:dyDescent="0.25">
      <c r="A3664" s="26" t="s">
        <v>3971</v>
      </c>
      <c r="B3664" s="26" t="s">
        <v>1710</v>
      </c>
      <c r="C3664" s="26" t="s">
        <v>1711</v>
      </c>
      <c r="D3664" s="26" t="s">
        <v>218</v>
      </c>
      <c r="E3664" s="26" t="s">
        <v>1712</v>
      </c>
      <c r="F3664" s="26" t="s">
        <v>282</v>
      </c>
      <c r="G3664" s="26" t="s">
        <v>204</v>
      </c>
      <c r="H3664" s="26" t="s">
        <v>643</v>
      </c>
      <c r="I3664" s="26" t="s">
        <v>184</v>
      </c>
      <c r="J3664" s="26" t="s">
        <v>322</v>
      </c>
      <c r="K3664" s="26" t="s">
        <v>360</v>
      </c>
      <c r="L3664" s="26" t="s">
        <v>79</v>
      </c>
      <c r="M3664" s="26" t="s">
        <v>77</v>
      </c>
      <c r="N3664" s="26">
        <v>123</v>
      </c>
      <c r="O3664" s="26">
        <v>57</v>
      </c>
      <c r="P3664" s="26">
        <v>66</v>
      </c>
      <c r="Q3664" s="26">
        <v>8</v>
      </c>
      <c r="R3664" s="26">
        <v>0</v>
      </c>
      <c r="S3664" s="26">
        <v>10</v>
      </c>
      <c r="T3664" s="26">
        <v>0</v>
      </c>
      <c r="U3664" s="26">
        <v>10</v>
      </c>
      <c r="V3664" s="26">
        <v>0</v>
      </c>
      <c r="W3664" s="26"/>
    </row>
    <row r="3665" spans="1:23" x14ac:dyDescent="0.25">
      <c r="A3665" s="26" t="s">
        <v>3971</v>
      </c>
      <c r="B3665" s="26" t="s">
        <v>1713</v>
      </c>
      <c r="C3665" s="26" t="s">
        <v>1714</v>
      </c>
      <c r="D3665" s="26" t="s">
        <v>179</v>
      </c>
      <c r="E3665" s="26" t="s">
        <v>4007</v>
      </c>
      <c r="F3665" s="26" t="s">
        <v>1258</v>
      </c>
      <c r="G3665" s="26" t="s">
        <v>293</v>
      </c>
      <c r="H3665" s="26" t="s">
        <v>351</v>
      </c>
      <c r="I3665" s="26" t="s">
        <v>184</v>
      </c>
      <c r="J3665" s="26" t="s">
        <v>503</v>
      </c>
      <c r="K3665" s="26" t="s">
        <v>296</v>
      </c>
      <c r="L3665" s="26" t="s">
        <v>80</v>
      </c>
      <c r="M3665" s="26" t="s">
        <v>77</v>
      </c>
      <c r="N3665" s="26">
        <v>65</v>
      </c>
      <c r="O3665" s="26">
        <v>37</v>
      </c>
      <c r="P3665" s="26">
        <v>28</v>
      </c>
      <c r="Q3665" s="26">
        <v>4</v>
      </c>
      <c r="R3665" s="26">
        <v>0</v>
      </c>
      <c r="S3665" s="26">
        <v>4</v>
      </c>
      <c r="T3665" s="26">
        <v>0</v>
      </c>
      <c r="U3665" s="26">
        <v>4</v>
      </c>
      <c r="V3665" s="26">
        <v>0</v>
      </c>
      <c r="W3665" s="26"/>
    </row>
    <row r="3666" spans="1:23" x14ac:dyDescent="0.25">
      <c r="A3666" s="26" t="s">
        <v>3971</v>
      </c>
      <c r="B3666" s="26" t="s">
        <v>1715</v>
      </c>
      <c r="C3666" s="26" t="s">
        <v>1716</v>
      </c>
      <c r="D3666" s="26" t="s">
        <v>179</v>
      </c>
      <c r="E3666" s="26" t="s">
        <v>1717</v>
      </c>
      <c r="F3666" s="26" t="s">
        <v>1718</v>
      </c>
      <c r="G3666" s="26" t="s">
        <v>293</v>
      </c>
      <c r="H3666" s="26" t="s">
        <v>351</v>
      </c>
      <c r="I3666" s="26" t="s">
        <v>184</v>
      </c>
      <c r="J3666" s="26" t="s">
        <v>503</v>
      </c>
      <c r="K3666" s="26" t="s">
        <v>296</v>
      </c>
      <c r="L3666" s="26" t="s">
        <v>80</v>
      </c>
      <c r="M3666" s="26" t="s">
        <v>77</v>
      </c>
      <c r="N3666" s="26">
        <v>90</v>
      </c>
      <c r="O3666" s="26">
        <v>49</v>
      </c>
      <c r="P3666" s="26">
        <v>41</v>
      </c>
      <c r="Q3666" s="26">
        <v>6</v>
      </c>
      <c r="R3666" s="26">
        <v>0</v>
      </c>
      <c r="S3666" s="26">
        <v>6</v>
      </c>
      <c r="T3666" s="26">
        <v>0</v>
      </c>
      <c r="U3666" s="26">
        <v>6</v>
      </c>
      <c r="V3666" s="26">
        <v>0</v>
      </c>
      <c r="W3666" s="26"/>
    </row>
    <row r="3667" spans="1:23" x14ac:dyDescent="0.25">
      <c r="A3667" s="26" t="s">
        <v>3971</v>
      </c>
      <c r="B3667" s="26" t="s">
        <v>1719</v>
      </c>
      <c r="C3667" s="26" t="s">
        <v>1720</v>
      </c>
      <c r="D3667" s="26" t="s">
        <v>218</v>
      </c>
      <c r="E3667" s="26" t="s">
        <v>1721</v>
      </c>
      <c r="F3667" s="26" t="s">
        <v>251</v>
      </c>
      <c r="G3667" s="26" t="s">
        <v>252</v>
      </c>
      <c r="H3667" s="26" t="s">
        <v>1439</v>
      </c>
      <c r="I3667" s="26" t="s">
        <v>184</v>
      </c>
      <c r="J3667" s="26" t="s">
        <v>427</v>
      </c>
      <c r="K3667" s="26" t="s">
        <v>360</v>
      </c>
      <c r="L3667" s="26" t="s">
        <v>79</v>
      </c>
      <c r="M3667" s="26" t="s">
        <v>77</v>
      </c>
      <c r="N3667" s="26">
        <v>57</v>
      </c>
      <c r="O3667" s="26">
        <v>33</v>
      </c>
      <c r="P3667" s="26">
        <v>24</v>
      </c>
      <c r="Q3667" s="26">
        <v>3</v>
      </c>
      <c r="R3667" s="26">
        <v>0</v>
      </c>
      <c r="S3667" s="26">
        <v>6</v>
      </c>
      <c r="T3667" s="26">
        <v>0</v>
      </c>
      <c r="U3667" s="26">
        <v>6</v>
      </c>
      <c r="V3667" s="26">
        <v>0</v>
      </c>
      <c r="W3667" s="26"/>
    </row>
    <row r="3668" spans="1:23" x14ac:dyDescent="0.25">
      <c r="A3668" s="26" t="s">
        <v>3971</v>
      </c>
      <c r="B3668" s="26" t="s">
        <v>1722</v>
      </c>
      <c r="C3668" s="26" t="s">
        <v>1723</v>
      </c>
      <c r="D3668" s="26" t="s">
        <v>218</v>
      </c>
      <c r="E3668" s="26" t="s">
        <v>1724</v>
      </c>
      <c r="F3668" s="26" t="s">
        <v>1725</v>
      </c>
      <c r="G3668" s="26" t="s">
        <v>252</v>
      </c>
      <c r="H3668" s="26" t="s">
        <v>1439</v>
      </c>
      <c r="I3668" s="26" t="s">
        <v>184</v>
      </c>
      <c r="J3668" s="26" t="s">
        <v>427</v>
      </c>
      <c r="K3668" s="26" t="s">
        <v>360</v>
      </c>
      <c r="L3668" s="26" t="s">
        <v>79</v>
      </c>
      <c r="M3668" s="26" t="s">
        <v>77</v>
      </c>
      <c r="N3668" s="26">
        <v>42</v>
      </c>
      <c r="O3668" s="26">
        <v>25</v>
      </c>
      <c r="P3668" s="26">
        <v>17</v>
      </c>
      <c r="Q3668" s="26">
        <v>3</v>
      </c>
      <c r="R3668" s="26">
        <v>0</v>
      </c>
      <c r="S3668" s="26">
        <v>7</v>
      </c>
      <c r="T3668" s="26">
        <v>0</v>
      </c>
      <c r="U3668" s="26">
        <v>7</v>
      </c>
      <c r="V3668" s="26">
        <v>0</v>
      </c>
      <c r="W3668" s="26"/>
    </row>
    <row r="3669" spans="1:23" x14ac:dyDescent="0.25">
      <c r="A3669" s="26" t="s">
        <v>3971</v>
      </c>
      <c r="B3669" s="26" t="s">
        <v>1726</v>
      </c>
      <c r="C3669" s="26" t="s">
        <v>1727</v>
      </c>
      <c r="D3669" s="26" t="s">
        <v>218</v>
      </c>
      <c r="E3669" s="26" t="s">
        <v>1728</v>
      </c>
      <c r="F3669" s="26" t="s">
        <v>1729</v>
      </c>
      <c r="G3669" s="26" t="s">
        <v>252</v>
      </c>
      <c r="H3669" s="26" t="s">
        <v>682</v>
      </c>
      <c r="I3669" s="26" t="s">
        <v>184</v>
      </c>
      <c r="J3669" s="26" t="s">
        <v>427</v>
      </c>
      <c r="K3669" s="26" t="s">
        <v>360</v>
      </c>
      <c r="L3669" s="26" t="s">
        <v>79</v>
      </c>
      <c r="M3669" s="26" t="s">
        <v>77</v>
      </c>
      <c r="N3669" s="26">
        <v>72</v>
      </c>
      <c r="O3669" s="26">
        <v>37</v>
      </c>
      <c r="P3669" s="26">
        <v>35</v>
      </c>
      <c r="Q3669" s="26">
        <v>3</v>
      </c>
      <c r="R3669" s="26">
        <v>0</v>
      </c>
      <c r="S3669" s="26">
        <v>8</v>
      </c>
      <c r="T3669" s="26">
        <v>0</v>
      </c>
      <c r="U3669" s="26">
        <v>8</v>
      </c>
      <c r="V3669" s="26">
        <v>0</v>
      </c>
      <c r="W3669" s="26"/>
    </row>
    <row r="3670" spans="1:23" x14ac:dyDescent="0.25">
      <c r="A3670" s="26" t="s">
        <v>3971</v>
      </c>
      <c r="B3670" s="26" t="s">
        <v>1730</v>
      </c>
      <c r="C3670" s="26" t="s">
        <v>1731</v>
      </c>
      <c r="D3670" s="26" t="s">
        <v>218</v>
      </c>
      <c r="E3670" s="26" t="s">
        <v>1732</v>
      </c>
      <c r="F3670" s="26" t="s">
        <v>1733</v>
      </c>
      <c r="G3670" s="26" t="s">
        <v>252</v>
      </c>
      <c r="H3670" s="26" t="s">
        <v>1439</v>
      </c>
      <c r="I3670" s="26" t="s">
        <v>184</v>
      </c>
      <c r="J3670" s="26" t="s">
        <v>427</v>
      </c>
      <c r="K3670" s="26" t="s">
        <v>360</v>
      </c>
      <c r="L3670" s="26" t="s">
        <v>79</v>
      </c>
      <c r="M3670" s="26" t="s">
        <v>77</v>
      </c>
      <c r="N3670" s="26">
        <v>84</v>
      </c>
      <c r="O3670" s="26">
        <v>37</v>
      </c>
      <c r="P3670" s="26">
        <v>47</v>
      </c>
      <c r="Q3670" s="26">
        <v>3</v>
      </c>
      <c r="R3670" s="26">
        <v>0</v>
      </c>
      <c r="S3670" s="26">
        <v>6</v>
      </c>
      <c r="T3670" s="26">
        <v>0</v>
      </c>
      <c r="U3670" s="26">
        <v>6</v>
      </c>
      <c r="V3670" s="26">
        <v>0</v>
      </c>
      <c r="W3670" s="26"/>
    </row>
    <row r="3671" spans="1:23" x14ac:dyDescent="0.25">
      <c r="A3671" s="26" t="s">
        <v>3971</v>
      </c>
      <c r="B3671" s="26" t="s">
        <v>1734</v>
      </c>
      <c r="C3671" s="26" t="s">
        <v>1735</v>
      </c>
      <c r="D3671" s="26" t="s">
        <v>218</v>
      </c>
      <c r="E3671" s="26" t="s">
        <v>1736</v>
      </c>
      <c r="F3671" s="26" t="s">
        <v>1737</v>
      </c>
      <c r="G3671" s="26" t="s">
        <v>293</v>
      </c>
      <c r="H3671" s="26" t="s">
        <v>594</v>
      </c>
      <c r="I3671" s="26" t="s">
        <v>184</v>
      </c>
      <c r="J3671" s="26" t="s">
        <v>295</v>
      </c>
      <c r="K3671" s="26" t="s">
        <v>296</v>
      </c>
      <c r="L3671" s="26" t="s">
        <v>80</v>
      </c>
      <c r="M3671" s="26" t="s">
        <v>77</v>
      </c>
      <c r="N3671" s="26">
        <v>83</v>
      </c>
      <c r="O3671" s="26">
        <v>47</v>
      </c>
      <c r="P3671" s="26">
        <v>36</v>
      </c>
      <c r="Q3671" s="26">
        <v>7</v>
      </c>
      <c r="R3671" s="26">
        <v>0</v>
      </c>
      <c r="S3671" s="26">
        <v>8</v>
      </c>
      <c r="T3671" s="26">
        <v>0</v>
      </c>
      <c r="U3671" s="26">
        <v>8</v>
      </c>
      <c r="V3671" s="26">
        <v>0</v>
      </c>
      <c r="W3671" s="26"/>
    </row>
    <row r="3672" spans="1:23" x14ac:dyDescent="0.25">
      <c r="A3672" s="26" t="s">
        <v>3971</v>
      </c>
      <c r="B3672" s="26" t="s">
        <v>1738</v>
      </c>
      <c r="C3672" s="26" t="s">
        <v>1739</v>
      </c>
      <c r="D3672" s="26" t="s">
        <v>218</v>
      </c>
      <c r="E3672" s="26" t="s">
        <v>1740</v>
      </c>
      <c r="F3672" s="26" t="s">
        <v>1741</v>
      </c>
      <c r="G3672" s="26" t="s">
        <v>293</v>
      </c>
      <c r="H3672" s="26" t="s">
        <v>351</v>
      </c>
      <c r="I3672" s="26" t="s">
        <v>184</v>
      </c>
      <c r="J3672" s="26" t="s">
        <v>503</v>
      </c>
      <c r="K3672" s="26" t="s">
        <v>296</v>
      </c>
      <c r="L3672" s="26" t="s">
        <v>80</v>
      </c>
      <c r="M3672" s="26" t="s">
        <v>77</v>
      </c>
      <c r="N3672" s="26">
        <v>60</v>
      </c>
      <c r="O3672" s="26">
        <v>21</v>
      </c>
      <c r="P3672" s="26">
        <v>39</v>
      </c>
      <c r="Q3672" s="26">
        <v>4</v>
      </c>
      <c r="R3672" s="26">
        <v>0</v>
      </c>
      <c r="S3672" s="26">
        <v>4</v>
      </c>
      <c r="T3672" s="26">
        <v>0</v>
      </c>
      <c r="U3672" s="26">
        <v>4</v>
      </c>
      <c r="V3672" s="26">
        <v>0</v>
      </c>
      <c r="W3672" s="26"/>
    </row>
    <row r="3673" spans="1:23" x14ac:dyDescent="0.25">
      <c r="A3673" s="26" t="s">
        <v>3971</v>
      </c>
      <c r="B3673" s="26" t="s">
        <v>1742</v>
      </c>
      <c r="C3673" s="26" t="s">
        <v>1743</v>
      </c>
      <c r="D3673" s="26" t="s">
        <v>218</v>
      </c>
      <c r="E3673" s="26" t="s">
        <v>1744</v>
      </c>
      <c r="F3673" s="26" t="s">
        <v>1745</v>
      </c>
      <c r="G3673" s="26" t="s">
        <v>293</v>
      </c>
      <c r="H3673" s="26" t="s">
        <v>594</v>
      </c>
      <c r="I3673" s="26" t="s">
        <v>184</v>
      </c>
      <c r="J3673" s="26" t="s">
        <v>295</v>
      </c>
      <c r="K3673" s="26" t="s">
        <v>296</v>
      </c>
      <c r="L3673" s="26" t="s">
        <v>80</v>
      </c>
      <c r="M3673" s="26" t="s">
        <v>77</v>
      </c>
      <c r="N3673" s="26">
        <v>132</v>
      </c>
      <c r="O3673" s="26">
        <v>67</v>
      </c>
      <c r="P3673" s="26">
        <v>65</v>
      </c>
      <c r="Q3673" s="26">
        <v>7</v>
      </c>
      <c r="R3673" s="26">
        <v>0</v>
      </c>
      <c r="S3673" s="26">
        <v>7</v>
      </c>
      <c r="T3673" s="26">
        <v>0</v>
      </c>
      <c r="U3673" s="26">
        <v>7</v>
      </c>
      <c r="V3673" s="26">
        <v>0</v>
      </c>
      <c r="W3673" s="26"/>
    </row>
    <row r="3674" spans="1:23" x14ac:dyDescent="0.25">
      <c r="A3674" s="26" t="s">
        <v>3971</v>
      </c>
      <c r="B3674" s="26" t="s">
        <v>1746</v>
      </c>
      <c r="C3674" s="26" t="s">
        <v>1747</v>
      </c>
      <c r="D3674" s="26" t="s">
        <v>179</v>
      </c>
      <c r="E3674" s="26" t="s">
        <v>1748</v>
      </c>
      <c r="F3674" s="26" t="s">
        <v>1749</v>
      </c>
      <c r="G3674" s="26" t="s">
        <v>487</v>
      </c>
      <c r="H3674" s="26" t="s">
        <v>926</v>
      </c>
      <c r="I3674" s="26" t="s">
        <v>184</v>
      </c>
      <c r="J3674" s="26" t="s">
        <v>375</v>
      </c>
      <c r="K3674" s="26" t="s">
        <v>360</v>
      </c>
      <c r="L3674" s="26" t="s">
        <v>79</v>
      </c>
      <c r="M3674" s="26" t="s">
        <v>77</v>
      </c>
      <c r="N3674" s="26">
        <v>64</v>
      </c>
      <c r="O3674" s="26">
        <v>29</v>
      </c>
      <c r="P3674" s="26">
        <v>35</v>
      </c>
      <c r="Q3674" s="26">
        <v>4</v>
      </c>
      <c r="R3674" s="26">
        <v>0</v>
      </c>
      <c r="S3674" s="26">
        <v>5</v>
      </c>
      <c r="T3674" s="26">
        <v>0</v>
      </c>
      <c r="U3674" s="26">
        <v>5</v>
      </c>
      <c r="V3674" s="26">
        <v>0</v>
      </c>
      <c r="W3674" s="26"/>
    </row>
    <row r="3675" spans="1:23" x14ac:dyDescent="0.25">
      <c r="A3675" s="26" t="s">
        <v>3971</v>
      </c>
      <c r="B3675" s="26" t="s">
        <v>1750</v>
      </c>
      <c r="C3675" s="26" t="s">
        <v>1751</v>
      </c>
      <c r="D3675" s="26" t="s">
        <v>179</v>
      </c>
      <c r="E3675" s="26" t="s">
        <v>1752</v>
      </c>
      <c r="F3675" s="26" t="s">
        <v>1753</v>
      </c>
      <c r="G3675" s="26" t="s">
        <v>487</v>
      </c>
      <c r="H3675" s="26" t="s">
        <v>1693</v>
      </c>
      <c r="I3675" s="26" t="s">
        <v>184</v>
      </c>
      <c r="J3675" s="26" t="s">
        <v>375</v>
      </c>
      <c r="K3675" s="26" t="s">
        <v>360</v>
      </c>
      <c r="L3675" s="26" t="s">
        <v>79</v>
      </c>
      <c r="M3675" s="26" t="s">
        <v>77</v>
      </c>
      <c r="N3675" s="26">
        <v>37</v>
      </c>
      <c r="O3675" s="26">
        <v>19</v>
      </c>
      <c r="P3675" s="26">
        <v>18</v>
      </c>
      <c r="Q3675" s="26">
        <v>3</v>
      </c>
      <c r="R3675" s="26">
        <v>0</v>
      </c>
      <c r="S3675" s="26">
        <v>3</v>
      </c>
      <c r="T3675" s="26">
        <v>0</v>
      </c>
      <c r="U3675" s="26">
        <v>3</v>
      </c>
      <c r="V3675" s="26">
        <v>0</v>
      </c>
      <c r="W3675" s="26"/>
    </row>
    <row r="3676" spans="1:23" x14ac:dyDescent="0.25">
      <c r="A3676" s="26" t="s">
        <v>3971</v>
      </c>
      <c r="B3676" s="26" t="s">
        <v>1754</v>
      </c>
      <c r="C3676" s="26" t="s">
        <v>1755</v>
      </c>
      <c r="D3676" s="26" t="s">
        <v>179</v>
      </c>
      <c r="E3676" s="26" t="s">
        <v>1756</v>
      </c>
      <c r="F3676" s="26" t="s">
        <v>1757</v>
      </c>
      <c r="G3676" s="26" t="s">
        <v>487</v>
      </c>
      <c r="H3676" s="26" t="s">
        <v>351</v>
      </c>
      <c r="I3676" s="26" t="s">
        <v>184</v>
      </c>
      <c r="J3676" s="26" t="s">
        <v>375</v>
      </c>
      <c r="K3676" s="26" t="s">
        <v>360</v>
      </c>
      <c r="L3676" s="26" t="s">
        <v>79</v>
      </c>
      <c r="M3676" s="26" t="s">
        <v>77</v>
      </c>
      <c r="N3676" s="26">
        <v>114</v>
      </c>
      <c r="O3676" s="26">
        <v>64</v>
      </c>
      <c r="P3676" s="26">
        <v>50</v>
      </c>
      <c r="Q3676" s="26">
        <v>7</v>
      </c>
      <c r="R3676" s="26">
        <v>0</v>
      </c>
      <c r="S3676" s="26">
        <v>8</v>
      </c>
      <c r="T3676" s="26">
        <v>0</v>
      </c>
      <c r="U3676" s="26">
        <v>8</v>
      </c>
      <c r="V3676" s="26">
        <v>0</v>
      </c>
      <c r="W3676" s="26"/>
    </row>
    <row r="3677" spans="1:23" x14ac:dyDescent="0.25">
      <c r="A3677" s="26" t="s">
        <v>3971</v>
      </c>
      <c r="B3677" s="26" t="s">
        <v>1758</v>
      </c>
      <c r="C3677" s="26" t="s">
        <v>1759</v>
      </c>
      <c r="D3677" s="26" t="s">
        <v>179</v>
      </c>
      <c r="E3677" s="26" t="s">
        <v>1760</v>
      </c>
      <c r="F3677" s="26" t="s">
        <v>1761</v>
      </c>
      <c r="G3677" s="26" t="s">
        <v>676</v>
      </c>
      <c r="H3677" s="26" t="s">
        <v>677</v>
      </c>
      <c r="I3677" s="26" t="s">
        <v>184</v>
      </c>
      <c r="J3677" s="26" t="s">
        <v>375</v>
      </c>
      <c r="K3677" s="26" t="s">
        <v>360</v>
      </c>
      <c r="L3677" s="26" t="s">
        <v>79</v>
      </c>
      <c r="M3677" s="26" t="s">
        <v>77</v>
      </c>
      <c r="N3677" s="26">
        <v>64</v>
      </c>
      <c r="O3677" s="26">
        <v>35</v>
      </c>
      <c r="P3677" s="26">
        <v>29</v>
      </c>
      <c r="Q3677" s="26">
        <v>3</v>
      </c>
      <c r="R3677" s="26">
        <v>0</v>
      </c>
      <c r="S3677" s="26">
        <v>6</v>
      </c>
      <c r="T3677" s="26">
        <v>0</v>
      </c>
      <c r="U3677" s="26">
        <v>6</v>
      </c>
      <c r="V3677" s="26">
        <v>0</v>
      </c>
      <c r="W3677" s="26"/>
    </row>
    <row r="3678" spans="1:23" x14ac:dyDescent="0.25">
      <c r="A3678" s="26" t="s">
        <v>3971</v>
      </c>
      <c r="B3678" s="26" t="s">
        <v>1762</v>
      </c>
      <c r="C3678" s="26" t="s">
        <v>1763</v>
      </c>
      <c r="D3678" s="26" t="s">
        <v>179</v>
      </c>
      <c r="E3678" s="26" t="s">
        <v>1764</v>
      </c>
      <c r="F3678" s="26" t="s">
        <v>1765</v>
      </c>
      <c r="G3678" s="26" t="s">
        <v>676</v>
      </c>
      <c r="H3678" s="26" t="s">
        <v>677</v>
      </c>
      <c r="I3678" s="26" t="s">
        <v>184</v>
      </c>
      <c r="J3678" s="26" t="s">
        <v>375</v>
      </c>
      <c r="K3678" s="26" t="s">
        <v>360</v>
      </c>
      <c r="L3678" s="26" t="s">
        <v>79</v>
      </c>
      <c r="M3678" s="26" t="s">
        <v>77</v>
      </c>
      <c r="N3678" s="26">
        <v>60</v>
      </c>
      <c r="O3678" s="26">
        <v>29</v>
      </c>
      <c r="P3678" s="26">
        <v>31</v>
      </c>
      <c r="Q3678" s="26">
        <v>3</v>
      </c>
      <c r="R3678" s="26">
        <v>0</v>
      </c>
      <c r="S3678" s="26">
        <v>6</v>
      </c>
      <c r="T3678" s="26">
        <v>0</v>
      </c>
      <c r="U3678" s="26">
        <v>6</v>
      </c>
      <c r="V3678" s="26">
        <v>0</v>
      </c>
      <c r="W3678" s="26"/>
    </row>
    <row r="3679" spans="1:23" x14ac:dyDescent="0.25">
      <c r="A3679" s="26" t="s">
        <v>3971</v>
      </c>
      <c r="B3679" s="26" t="s">
        <v>1766</v>
      </c>
      <c r="C3679" s="26" t="s">
        <v>1767</v>
      </c>
      <c r="D3679" s="26" t="s">
        <v>179</v>
      </c>
      <c r="E3679" s="26" t="s">
        <v>1768</v>
      </c>
      <c r="F3679" s="26" t="s">
        <v>1769</v>
      </c>
      <c r="G3679" s="26" t="s">
        <v>204</v>
      </c>
      <c r="H3679" s="26" t="s">
        <v>1026</v>
      </c>
      <c r="I3679" s="26" t="s">
        <v>184</v>
      </c>
      <c r="J3679" s="26" t="s">
        <v>322</v>
      </c>
      <c r="K3679" s="26" t="s">
        <v>360</v>
      </c>
      <c r="L3679" s="26" t="s">
        <v>79</v>
      </c>
      <c r="M3679" s="26" t="s">
        <v>77</v>
      </c>
      <c r="N3679" s="26">
        <v>30</v>
      </c>
      <c r="O3679" s="26">
        <v>13</v>
      </c>
      <c r="P3679" s="26">
        <v>17</v>
      </c>
      <c r="Q3679" s="26">
        <v>3</v>
      </c>
      <c r="R3679" s="26">
        <v>0</v>
      </c>
      <c r="S3679" s="26">
        <v>3</v>
      </c>
      <c r="T3679" s="26">
        <v>0</v>
      </c>
      <c r="U3679" s="26">
        <v>3</v>
      </c>
      <c r="V3679" s="26">
        <v>0</v>
      </c>
      <c r="W3679" s="26"/>
    </row>
    <row r="3680" spans="1:23" x14ac:dyDescent="0.25">
      <c r="A3680" s="26" t="s">
        <v>3971</v>
      </c>
      <c r="B3680" s="26" t="s">
        <v>1770</v>
      </c>
      <c r="C3680" s="26" t="s">
        <v>1771</v>
      </c>
      <c r="D3680" s="26" t="s">
        <v>218</v>
      </c>
      <c r="E3680" s="26" t="s">
        <v>1772</v>
      </c>
      <c r="F3680" s="26" t="s">
        <v>1773</v>
      </c>
      <c r="G3680" s="26" t="s">
        <v>293</v>
      </c>
      <c r="H3680" s="26" t="s">
        <v>1506</v>
      </c>
      <c r="I3680" s="26" t="s">
        <v>1259</v>
      </c>
      <c r="J3680" s="26" t="s">
        <v>696</v>
      </c>
      <c r="K3680" s="26" t="s">
        <v>296</v>
      </c>
      <c r="L3680" s="26" t="s">
        <v>80</v>
      </c>
      <c r="M3680" s="26" t="s">
        <v>77</v>
      </c>
      <c r="N3680" s="26">
        <v>41</v>
      </c>
      <c r="O3680" s="26">
        <v>24</v>
      </c>
      <c r="P3680" s="26">
        <v>17</v>
      </c>
      <c r="Q3680" s="26">
        <v>1</v>
      </c>
      <c r="R3680" s="26">
        <v>0</v>
      </c>
      <c r="S3680" s="26">
        <v>4</v>
      </c>
      <c r="T3680" s="26">
        <v>0</v>
      </c>
      <c r="U3680" s="26">
        <v>4</v>
      </c>
      <c r="V3680" s="26">
        <v>0</v>
      </c>
      <c r="W3680" s="26"/>
    </row>
    <row r="3681" spans="1:23" x14ac:dyDescent="0.25">
      <c r="A3681" s="26" t="s">
        <v>3971</v>
      </c>
      <c r="B3681" s="26" t="s">
        <v>1774</v>
      </c>
      <c r="C3681" s="26" t="s">
        <v>1775</v>
      </c>
      <c r="D3681" s="26" t="s">
        <v>179</v>
      </c>
      <c r="E3681" s="26" t="s">
        <v>1776</v>
      </c>
      <c r="F3681" s="26" t="s">
        <v>1777</v>
      </c>
      <c r="G3681" s="26" t="s">
        <v>662</v>
      </c>
      <c r="H3681" s="26" t="s">
        <v>1778</v>
      </c>
      <c r="I3681" s="26" t="s">
        <v>184</v>
      </c>
      <c r="J3681" s="26" t="s">
        <v>427</v>
      </c>
      <c r="K3681" s="26" t="s">
        <v>360</v>
      </c>
      <c r="L3681" s="26" t="s">
        <v>79</v>
      </c>
      <c r="M3681" s="26" t="s">
        <v>77</v>
      </c>
      <c r="N3681" s="26">
        <v>62</v>
      </c>
      <c r="O3681" s="26">
        <v>34</v>
      </c>
      <c r="P3681" s="26">
        <v>28</v>
      </c>
      <c r="Q3681" s="26">
        <v>6</v>
      </c>
      <c r="R3681" s="26">
        <v>0</v>
      </c>
      <c r="S3681" s="26">
        <v>6</v>
      </c>
      <c r="T3681" s="26">
        <v>0</v>
      </c>
      <c r="U3681" s="26">
        <v>6</v>
      </c>
      <c r="V3681" s="26">
        <v>0</v>
      </c>
      <c r="W3681" s="26"/>
    </row>
    <row r="3682" spans="1:23" x14ac:dyDescent="0.25">
      <c r="A3682" s="26" t="s">
        <v>3971</v>
      </c>
      <c r="B3682" s="26" t="s">
        <v>1779</v>
      </c>
      <c r="C3682" s="26" t="s">
        <v>1780</v>
      </c>
      <c r="D3682" s="26" t="s">
        <v>179</v>
      </c>
      <c r="E3682" s="26" t="s">
        <v>1781</v>
      </c>
      <c r="F3682" s="26" t="s">
        <v>317</v>
      </c>
      <c r="G3682" s="26" t="s">
        <v>191</v>
      </c>
      <c r="H3682" s="26" t="s">
        <v>1347</v>
      </c>
      <c r="I3682" s="26" t="s">
        <v>184</v>
      </c>
      <c r="J3682" s="26" t="s">
        <v>427</v>
      </c>
      <c r="K3682" s="26" t="s">
        <v>360</v>
      </c>
      <c r="L3682" s="26" t="s">
        <v>79</v>
      </c>
      <c r="M3682" s="26" t="s">
        <v>77</v>
      </c>
      <c r="N3682" s="26">
        <v>95</v>
      </c>
      <c r="O3682" s="26">
        <v>56</v>
      </c>
      <c r="P3682" s="26">
        <v>39</v>
      </c>
      <c r="Q3682" s="26">
        <v>4</v>
      </c>
      <c r="R3682" s="26">
        <v>0</v>
      </c>
      <c r="S3682" s="26">
        <v>11</v>
      </c>
      <c r="T3682" s="26">
        <v>0</v>
      </c>
      <c r="U3682" s="26">
        <v>11</v>
      </c>
      <c r="V3682" s="26">
        <v>0</v>
      </c>
      <c r="W3682" s="26"/>
    </row>
    <row r="3683" spans="1:23" x14ac:dyDescent="0.25">
      <c r="A3683" s="26" t="s">
        <v>3971</v>
      </c>
      <c r="B3683" s="26" t="s">
        <v>1782</v>
      </c>
      <c r="C3683" s="26" t="s">
        <v>1783</v>
      </c>
      <c r="D3683" s="26" t="s">
        <v>179</v>
      </c>
      <c r="E3683" s="26" t="s">
        <v>1784</v>
      </c>
      <c r="F3683" s="26" t="s">
        <v>1785</v>
      </c>
      <c r="G3683" s="26" t="s">
        <v>637</v>
      </c>
      <c r="H3683" s="26" t="s">
        <v>657</v>
      </c>
      <c r="I3683" s="26" t="s">
        <v>184</v>
      </c>
      <c r="J3683" s="26" t="s">
        <v>427</v>
      </c>
      <c r="K3683" s="26" t="s">
        <v>360</v>
      </c>
      <c r="L3683" s="26" t="s">
        <v>79</v>
      </c>
      <c r="M3683" s="26" t="s">
        <v>77</v>
      </c>
      <c r="N3683" s="26">
        <v>24</v>
      </c>
      <c r="O3683" s="26">
        <v>12</v>
      </c>
      <c r="P3683" s="26">
        <v>12</v>
      </c>
      <c r="Q3683" s="26">
        <v>2</v>
      </c>
      <c r="R3683" s="26">
        <v>0</v>
      </c>
      <c r="S3683" s="26">
        <v>2</v>
      </c>
      <c r="T3683" s="26">
        <v>0</v>
      </c>
      <c r="U3683" s="26">
        <v>2</v>
      </c>
      <c r="V3683" s="26">
        <v>0</v>
      </c>
      <c r="W3683" s="26"/>
    </row>
    <row r="3684" spans="1:23" x14ac:dyDescent="0.25">
      <c r="A3684" s="26" t="s">
        <v>3971</v>
      </c>
      <c r="B3684" s="26" t="s">
        <v>1786</v>
      </c>
      <c r="C3684" s="26" t="s">
        <v>1787</v>
      </c>
      <c r="D3684" s="26" t="s">
        <v>179</v>
      </c>
      <c r="E3684" s="26" t="s">
        <v>1788</v>
      </c>
      <c r="F3684" s="26" t="s">
        <v>1789</v>
      </c>
      <c r="G3684" s="26" t="s">
        <v>662</v>
      </c>
      <c r="H3684" s="26" t="s">
        <v>1778</v>
      </c>
      <c r="I3684" s="26" t="s">
        <v>184</v>
      </c>
      <c r="J3684" s="26" t="s">
        <v>427</v>
      </c>
      <c r="K3684" s="26" t="s">
        <v>360</v>
      </c>
      <c r="L3684" s="26" t="s">
        <v>79</v>
      </c>
      <c r="M3684" s="26" t="s">
        <v>77</v>
      </c>
      <c r="N3684" s="26">
        <v>56</v>
      </c>
      <c r="O3684" s="26">
        <v>30</v>
      </c>
      <c r="P3684" s="26">
        <v>26</v>
      </c>
      <c r="Q3684" s="26">
        <v>4</v>
      </c>
      <c r="R3684" s="26">
        <v>0</v>
      </c>
      <c r="S3684" s="26">
        <v>5</v>
      </c>
      <c r="T3684" s="26">
        <v>0</v>
      </c>
      <c r="U3684" s="26">
        <v>5</v>
      </c>
      <c r="V3684" s="26">
        <v>0</v>
      </c>
      <c r="W3684" s="26"/>
    </row>
    <row r="3685" spans="1:23" x14ac:dyDescent="0.25">
      <c r="A3685" s="26" t="s">
        <v>3971</v>
      </c>
      <c r="B3685" s="26" t="s">
        <v>1790</v>
      </c>
      <c r="C3685" s="26" t="s">
        <v>669</v>
      </c>
      <c r="D3685" s="26" t="s">
        <v>179</v>
      </c>
      <c r="E3685" s="26" t="s">
        <v>1791</v>
      </c>
      <c r="F3685" s="26" t="s">
        <v>671</v>
      </c>
      <c r="G3685" s="26" t="s">
        <v>662</v>
      </c>
      <c r="H3685" s="26" t="s">
        <v>1778</v>
      </c>
      <c r="I3685" s="26" t="s">
        <v>184</v>
      </c>
      <c r="J3685" s="26" t="s">
        <v>427</v>
      </c>
      <c r="K3685" s="26" t="s">
        <v>360</v>
      </c>
      <c r="L3685" s="26" t="s">
        <v>79</v>
      </c>
      <c r="M3685" s="26" t="s">
        <v>77</v>
      </c>
      <c r="N3685" s="26">
        <v>155</v>
      </c>
      <c r="O3685" s="26">
        <v>78</v>
      </c>
      <c r="P3685" s="26">
        <v>77</v>
      </c>
      <c r="Q3685" s="26">
        <v>8</v>
      </c>
      <c r="R3685" s="26">
        <v>0</v>
      </c>
      <c r="S3685" s="26">
        <v>12</v>
      </c>
      <c r="T3685" s="26">
        <v>0</v>
      </c>
      <c r="U3685" s="26">
        <v>12</v>
      </c>
      <c r="V3685" s="26">
        <v>0</v>
      </c>
      <c r="W3685" s="26"/>
    </row>
    <row r="3686" spans="1:23" x14ac:dyDescent="0.25">
      <c r="A3686" s="26" t="s">
        <v>3971</v>
      </c>
      <c r="B3686" s="26" t="s">
        <v>1792</v>
      </c>
      <c r="C3686" s="26" t="s">
        <v>1793</v>
      </c>
      <c r="D3686" s="26" t="s">
        <v>179</v>
      </c>
      <c r="E3686" s="26" t="s">
        <v>1794</v>
      </c>
      <c r="F3686" s="26" t="s">
        <v>598</v>
      </c>
      <c r="G3686" s="26" t="s">
        <v>182</v>
      </c>
      <c r="H3686" s="26" t="s">
        <v>380</v>
      </c>
      <c r="I3686" s="26" t="s">
        <v>184</v>
      </c>
      <c r="J3686" s="26" t="s">
        <v>322</v>
      </c>
      <c r="K3686" s="26" t="s">
        <v>381</v>
      </c>
      <c r="L3686" s="26" t="s">
        <v>79</v>
      </c>
      <c r="M3686" s="26" t="s">
        <v>77</v>
      </c>
      <c r="N3686" s="26">
        <v>37</v>
      </c>
      <c r="O3686" s="26">
        <v>18</v>
      </c>
      <c r="P3686" s="26">
        <v>19</v>
      </c>
      <c r="Q3686" s="26">
        <v>3</v>
      </c>
      <c r="R3686" s="26">
        <v>0</v>
      </c>
      <c r="S3686" s="26">
        <v>7</v>
      </c>
      <c r="T3686" s="26">
        <v>0</v>
      </c>
      <c r="U3686" s="26">
        <v>7</v>
      </c>
      <c r="V3686" s="26">
        <v>0</v>
      </c>
      <c r="W3686" s="26"/>
    </row>
    <row r="3687" spans="1:23" x14ac:dyDescent="0.25">
      <c r="A3687" s="26" t="s">
        <v>3971</v>
      </c>
      <c r="B3687" s="26" t="s">
        <v>1795</v>
      </c>
      <c r="C3687" s="26" t="s">
        <v>1796</v>
      </c>
      <c r="D3687" s="26" t="s">
        <v>218</v>
      </c>
      <c r="E3687" s="26" t="s">
        <v>1797</v>
      </c>
      <c r="F3687" s="26" t="s">
        <v>1798</v>
      </c>
      <c r="G3687" s="26" t="s">
        <v>265</v>
      </c>
      <c r="H3687" s="26" t="s">
        <v>508</v>
      </c>
      <c r="I3687" s="26" t="s">
        <v>184</v>
      </c>
      <c r="J3687" s="26" t="s">
        <v>322</v>
      </c>
      <c r="K3687" s="26" t="s">
        <v>381</v>
      </c>
      <c r="L3687" s="26" t="s">
        <v>79</v>
      </c>
      <c r="M3687" s="26" t="s">
        <v>77</v>
      </c>
      <c r="N3687" s="26">
        <v>214</v>
      </c>
      <c r="O3687" s="26">
        <v>122</v>
      </c>
      <c r="P3687" s="26">
        <v>92</v>
      </c>
      <c r="Q3687" s="26">
        <v>9</v>
      </c>
      <c r="R3687" s="26">
        <v>0</v>
      </c>
      <c r="S3687" s="26">
        <v>30</v>
      </c>
      <c r="T3687" s="26">
        <v>0</v>
      </c>
      <c r="U3687" s="26">
        <v>30</v>
      </c>
      <c r="V3687" s="26">
        <v>0</v>
      </c>
      <c r="W3687" s="26"/>
    </row>
    <row r="3688" spans="1:23" x14ac:dyDescent="0.25">
      <c r="A3688" s="26" t="s">
        <v>3971</v>
      </c>
      <c r="B3688" s="26" t="s">
        <v>1799</v>
      </c>
      <c r="C3688" s="26" t="s">
        <v>1800</v>
      </c>
      <c r="D3688" s="26" t="s">
        <v>218</v>
      </c>
      <c r="E3688" s="26" t="s">
        <v>1801</v>
      </c>
      <c r="F3688" s="26" t="s">
        <v>1802</v>
      </c>
      <c r="G3688" s="26" t="s">
        <v>265</v>
      </c>
      <c r="H3688" s="26" t="s">
        <v>508</v>
      </c>
      <c r="I3688" s="26" t="s">
        <v>184</v>
      </c>
      <c r="J3688" s="26" t="s">
        <v>322</v>
      </c>
      <c r="K3688" s="26" t="s">
        <v>381</v>
      </c>
      <c r="L3688" s="26" t="s">
        <v>79</v>
      </c>
      <c r="M3688" s="26" t="s">
        <v>77</v>
      </c>
      <c r="N3688" s="26">
        <v>235</v>
      </c>
      <c r="O3688" s="26">
        <v>115</v>
      </c>
      <c r="P3688" s="26">
        <v>120</v>
      </c>
      <c r="Q3688" s="26">
        <v>9</v>
      </c>
      <c r="R3688" s="26">
        <v>0</v>
      </c>
      <c r="S3688" s="26">
        <v>27</v>
      </c>
      <c r="T3688" s="26">
        <v>0</v>
      </c>
      <c r="U3688" s="26">
        <v>27</v>
      </c>
      <c r="V3688" s="26">
        <v>0</v>
      </c>
      <c r="W3688" s="26"/>
    </row>
    <row r="3689" spans="1:23" x14ac:dyDescent="0.25">
      <c r="A3689" s="26" t="s">
        <v>3971</v>
      </c>
      <c r="B3689" s="26" t="s">
        <v>1803</v>
      </c>
      <c r="C3689" s="26" t="s">
        <v>1804</v>
      </c>
      <c r="D3689" s="26" t="s">
        <v>179</v>
      </c>
      <c r="E3689" s="26" t="s">
        <v>1805</v>
      </c>
      <c r="F3689" s="26" t="s">
        <v>1806</v>
      </c>
      <c r="G3689" s="26" t="s">
        <v>676</v>
      </c>
      <c r="H3689" s="26" t="s">
        <v>677</v>
      </c>
      <c r="I3689" s="26" t="s">
        <v>184</v>
      </c>
      <c r="J3689" s="26" t="s">
        <v>375</v>
      </c>
      <c r="K3689" s="26" t="s">
        <v>360</v>
      </c>
      <c r="L3689" s="26" t="s">
        <v>79</v>
      </c>
      <c r="M3689" s="26" t="s">
        <v>77</v>
      </c>
      <c r="N3689" s="26">
        <v>58</v>
      </c>
      <c r="O3689" s="26">
        <v>37</v>
      </c>
      <c r="P3689" s="26">
        <v>21</v>
      </c>
      <c r="Q3689" s="26">
        <v>3</v>
      </c>
      <c r="R3689" s="26">
        <v>0</v>
      </c>
      <c r="S3689" s="26">
        <v>5</v>
      </c>
      <c r="T3689" s="26">
        <v>0</v>
      </c>
      <c r="U3689" s="26">
        <v>5</v>
      </c>
      <c r="V3689" s="26">
        <v>0</v>
      </c>
      <c r="W3689" s="26"/>
    </row>
    <row r="3690" spans="1:23" x14ac:dyDescent="0.25">
      <c r="A3690" s="26" t="s">
        <v>3971</v>
      </c>
      <c r="B3690" s="26" t="s">
        <v>1807</v>
      </c>
      <c r="C3690" s="26" t="s">
        <v>1808</v>
      </c>
      <c r="D3690" s="26" t="s">
        <v>179</v>
      </c>
      <c r="E3690" s="26" t="s">
        <v>1809</v>
      </c>
      <c r="F3690" s="26" t="s">
        <v>1810</v>
      </c>
      <c r="G3690" s="26" t="s">
        <v>265</v>
      </c>
      <c r="H3690" s="26" t="s">
        <v>321</v>
      </c>
      <c r="I3690" s="26" t="s">
        <v>184</v>
      </c>
      <c r="J3690" s="26" t="s">
        <v>322</v>
      </c>
      <c r="K3690" s="26" t="s">
        <v>360</v>
      </c>
      <c r="L3690" s="26" t="s">
        <v>79</v>
      </c>
      <c r="M3690" s="26" t="s">
        <v>77</v>
      </c>
      <c r="N3690" s="26">
        <v>55</v>
      </c>
      <c r="O3690" s="26">
        <v>31</v>
      </c>
      <c r="P3690" s="26">
        <v>24</v>
      </c>
      <c r="Q3690" s="26">
        <v>4</v>
      </c>
      <c r="R3690" s="26">
        <v>0</v>
      </c>
      <c r="S3690" s="26">
        <v>4</v>
      </c>
      <c r="T3690" s="26">
        <v>0</v>
      </c>
      <c r="U3690" s="26">
        <v>4</v>
      </c>
      <c r="V3690" s="26">
        <v>0</v>
      </c>
      <c r="W3690" s="26"/>
    </row>
    <row r="3691" spans="1:23" x14ac:dyDescent="0.25">
      <c r="A3691" s="26" t="s">
        <v>3971</v>
      </c>
      <c r="B3691" s="26" t="s">
        <v>1811</v>
      </c>
      <c r="C3691" s="26" t="s">
        <v>1812</v>
      </c>
      <c r="D3691" s="26" t="s">
        <v>179</v>
      </c>
      <c r="E3691" s="26" t="s">
        <v>1813</v>
      </c>
      <c r="F3691" s="26" t="s">
        <v>1499</v>
      </c>
      <c r="G3691" s="26" t="s">
        <v>413</v>
      </c>
      <c r="H3691" s="26" t="s">
        <v>495</v>
      </c>
      <c r="I3691" s="26" t="s">
        <v>184</v>
      </c>
      <c r="J3691" s="26" t="s">
        <v>375</v>
      </c>
      <c r="K3691" s="26" t="s">
        <v>360</v>
      </c>
      <c r="L3691" s="26" t="s">
        <v>79</v>
      </c>
      <c r="M3691" s="26" t="s">
        <v>77</v>
      </c>
      <c r="N3691" s="26">
        <v>159</v>
      </c>
      <c r="O3691" s="26">
        <v>92</v>
      </c>
      <c r="P3691" s="26">
        <v>67</v>
      </c>
      <c r="Q3691" s="26">
        <v>8</v>
      </c>
      <c r="R3691" s="26">
        <v>0</v>
      </c>
      <c r="S3691" s="26">
        <v>15</v>
      </c>
      <c r="T3691" s="26">
        <v>0</v>
      </c>
      <c r="U3691" s="26">
        <v>15</v>
      </c>
      <c r="V3691" s="26">
        <v>0</v>
      </c>
      <c r="W3691" s="26"/>
    </row>
    <row r="3692" spans="1:23" x14ac:dyDescent="0.25">
      <c r="A3692" s="26" t="s">
        <v>3971</v>
      </c>
      <c r="B3692" s="26" t="s">
        <v>1814</v>
      </c>
      <c r="C3692" s="26" t="s">
        <v>1815</v>
      </c>
      <c r="D3692" s="26" t="s">
        <v>179</v>
      </c>
      <c r="E3692" s="26" t="s">
        <v>1816</v>
      </c>
      <c r="F3692" s="26" t="s">
        <v>282</v>
      </c>
      <c r="G3692" s="26" t="s">
        <v>204</v>
      </c>
      <c r="H3692" s="26" t="s">
        <v>643</v>
      </c>
      <c r="I3692" s="26" t="s">
        <v>184</v>
      </c>
      <c r="J3692" s="26" t="s">
        <v>322</v>
      </c>
      <c r="K3692" s="26" t="s">
        <v>360</v>
      </c>
      <c r="L3692" s="26" t="s">
        <v>79</v>
      </c>
      <c r="M3692" s="26" t="s">
        <v>77</v>
      </c>
      <c r="N3692" s="26">
        <v>49</v>
      </c>
      <c r="O3692" s="26">
        <v>25</v>
      </c>
      <c r="P3692" s="26">
        <v>24</v>
      </c>
      <c r="Q3692" s="26">
        <v>3</v>
      </c>
      <c r="R3692" s="26">
        <v>0</v>
      </c>
      <c r="S3692" s="26">
        <v>5</v>
      </c>
      <c r="T3692" s="26">
        <v>0</v>
      </c>
      <c r="U3692" s="26">
        <v>5</v>
      </c>
      <c r="V3692" s="26">
        <v>0</v>
      </c>
      <c r="W3692" s="26"/>
    </row>
    <row r="3693" spans="1:23" x14ac:dyDescent="0.25">
      <c r="A3693" s="26" t="s">
        <v>3971</v>
      </c>
      <c r="B3693" s="26" t="s">
        <v>1817</v>
      </c>
      <c r="C3693" s="26" t="s">
        <v>1818</v>
      </c>
      <c r="D3693" s="26" t="s">
        <v>179</v>
      </c>
      <c r="E3693" s="26" t="s">
        <v>1819</v>
      </c>
      <c r="F3693" s="26" t="s">
        <v>1820</v>
      </c>
      <c r="G3693" s="26" t="s">
        <v>265</v>
      </c>
      <c r="H3693" s="26" t="s">
        <v>321</v>
      </c>
      <c r="I3693" s="26" t="s">
        <v>184</v>
      </c>
      <c r="J3693" s="26" t="s">
        <v>322</v>
      </c>
      <c r="K3693" s="26" t="s">
        <v>360</v>
      </c>
      <c r="L3693" s="26" t="s">
        <v>79</v>
      </c>
      <c r="M3693" s="26" t="s">
        <v>77</v>
      </c>
      <c r="N3693" s="26">
        <v>55</v>
      </c>
      <c r="O3693" s="26">
        <v>32</v>
      </c>
      <c r="P3693" s="26">
        <v>23</v>
      </c>
      <c r="Q3693" s="26">
        <v>4</v>
      </c>
      <c r="R3693" s="26">
        <v>0</v>
      </c>
      <c r="S3693" s="26">
        <v>4</v>
      </c>
      <c r="T3693" s="26">
        <v>0</v>
      </c>
      <c r="U3693" s="26">
        <v>4</v>
      </c>
      <c r="V3693" s="26">
        <v>0</v>
      </c>
      <c r="W3693" s="26"/>
    </row>
    <row r="3694" spans="1:23" x14ac:dyDescent="0.25">
      <c r="A3694" s="26" t="s">
        <v>3971</v>
      </c>
      <c r="B3694" s="26" t="s">
        <v>1835</v>
      </c>
      <c r="C3694" s="26" t="s">
        <v>1836</v>
      </c>
      <c r="D3694" s="26" t="s">
        <v>179</v>
      </c>
      <c r="E3694" s="26" t="s">
        <v>1837</v>
      </c>
      <c r="F3694" s="26" t="s">
        <v>1168</v>
      </c>
      <c r="G3694" s="26" t="s">
        <v>265</v>
      </c>
      <c r="H3694" s="26" t="s">
        <v>508</v>
      </c>
      <c r="I3694" s="26" t="s">
        <v>184</v>
      </c>
      <c r="J3694" s="26" t="s">
        <v>322</v>
      </c>
      <c r="K3694" s="26" t="s">
        <v>186</v>
      </c>
      <c r="L3694" s="26" t="s">
        <v>79</v>
      </c>
      <c r="M3694" s="26" t="s">
        <v>78</v>
      </c>
      <c r="N3694" s="26">
        <v>35</v>
      </c>
      <c r="O3694" s="26">
        <v>20</v>
      </c>
      <c r="P3694" s="26">
        <v>15</v>
      </c>
      <c r="Q3694" s="26">
        <v>2</v>
      </c>
      <c r="R3694" s="26">
        <v>0</v>
      </c>
      <c r="S3694" s="26">
        <v>4</v>
      </c>
      <c r="T3694" s="26">
        <v>0</v>
      </c>
      <c r="U3694" s="26">
        <v>4</v>
      </c>
      <c r="V3694" s="26">
        <v>0</v>
      </c>
      <c r="W3694" s="26"/>
    </row>
    <row r="3695" spans="1:23" x14ac:dyDescent="0.25">
      <c r="A3695" s="26" t="s">
        <v>3971</v>
      </c>
      <c r="B3695" s="26" t="s">
        <v>1846</v>
      </c>
      <c r="C3695" s="26" t="s">
        <v>1847</v>
      </c>
      <c r="D3695" s="26" t="s">
        <v>179</v>
      </c>
      <c r="E3695" s="26" t="s">
        <v>1848</v>
      </c>
      <c r="F3695" s="26" t="s">
        <v>1258</v>
      </c>
      <c r="G3695" s="26" t="s">
        <v>293</v>
      </c>
      <c r="H3695" s="26" t="s">
        <v>1506</v>
      </c>
      <c r="I3695" s="26" t="s">
        <v>1259</v>
      </c>
      <c r="J3695" s="26" t="s">
        <v>1145</v>
      </c>
      <c r="K3695" s="26" t="s">
        <v>296</v>
      </c>
      <c r="L3695" s="26" t="s">
        <v>80</v>
      </c>
      <c r="M3695" s="26" t="s">
        <v>78</v>
      </c>
      <c r="N3695" s="26">
        <v>10</v>
      </c>
      <c r="O3695" s="26">
        <v>4</v>
      </c>
      <c r="P3695" s="26">
        <v>6</v>
      </c>
      <c r="Q3695" s="26">
        <v>1</v>
      </c>
      <c r="R3695" s="26">
        <v>0</v>
      </c>
      <c r="S3695" s="26">
        <v>1</v>
      </c>
      <c r="T3695" s="26">
        <v>0</v>
      </c>
      <c r="U3695" s="26">
        <v>1</v>
      </c>
      <c r="V3695" s="26">
        <v>0</v>
      </c>
      <c r="W3695" s="26"/>
    </row>
    <row r="3696" spans="1:23" x14ac:dyDescent="0.25">
      <c r="A3696" s="26" t="s">
        <v>3971</v>
      </c>
      <c r="B3696" s="26" t="s">
        <v>1865</v>
      </c>
      <c r="C3696" s="26" t="s">
        <v>1866</v>
      </c>
      <c r="D3696" s="26" t="s">
        <v>218</v>
      </c>
      <c r="E3696" s="26" t="s">
        <v>1867</v>
      </c>
      <c r="F3696" s="26" t="s">
        <v>1868</v>
      </c>
      <c r="G3696" s="26" t="s">
        <v>293</v>
      </c>
      <c r="H3696" s="26" t="s">
        <v>1506</v>
      </c>
      <c r="I3696" s="26" t="s">
        <v>1259</v>
      </c>
      <c r="J3696" s="26" t="s">
        <v>503</v>
      </c>
      <c r="K3696" s="26" t="s">
        <v>296</v>
      </c>
      <c r="L3696" s="26" t="s">
        <v>80</v>
      </c>
      <c r="M3696" s="26" t="s">
        <v>78</v>
      </c>
      <c r="N3696" s="26">
        <v>30</v>
      </c>
      <c r="O3696" s="26">
        <v>18</v>
      </c>
      <c r="P3696" s="26">
        <v>12</v>
      </c>
      <c r="Q3696" s="26">
        <v>1</v>
      </c>
      <c r="R3696" s="26">
        <v>0</v>
      </c>
      <c r="S3696" s="26">
        <v>2</v>
      </c>
      <c r="T3696" s="26">
        <v>0</v>
      </c>
      <c r="U3696" s="26">
        <v>2</v>
      </c>
      <c r="V3696" s="26">
        <v>0</v>
      </c>
      <c r="W3696" s="26"/>
    </row>
    <row r="3697" spans="1:23" x14ac:dyDescent="0.25">
      <c r="A3697" s="26" t="s">
        <v>3971</v>
      </c>
      <c r="B3697" s="26" t="s">
        <v>1879</v>
      </c>
      <c r="C3697" s="26" t="s">
        <v>1880</v>
      </c>
      <c r="D3697" s="26" t="s">
        <v>218</v>
      </c>
      <c r="E3697" s="26" t="s">
        <v>1881</v>
      </c>
      <c r="F3697" s="26" t="s">
        <v>555</v>
      </c>
      <c r="G3697" s="26" t="s">
        <v>191</v>
      </c>
      <c r="H3697" s="26" t="s">
        <v>518</v>
      </c>
      <c r="I3697" s="26" t="s">
        <v>184</v>
      </c>
      <c r="J3697" s="26" t="s">
        <v>427</v>
      </c>
      <c r="K3697" s="26" t="s">
        <v>186</v>
      </c>
      <c r="L3697" s="26" t="s">
        <v>79</v>
      </c>
      <c r="M3697" s="26" t="s">
        <v>78</v>
      </c>
      <c r="N3697" s="26">
        <v>38</v>
      </c>
      <c r="O3697" s="26">
        <v>20</v>
      </c>
      <c r="P3697" s="26">
        <v>18</v>
      </c>
      <c r="Q3697" s="26">
        <v>1</v>
      </c>
      <c r="R3697" s="26">
        <v>0</v>
      </c>
      <c r="S3697" s="26">
        <v>4</v>
      </c>
      <c r="T3697" s="26">
        <v>0</v>
      </c>
      <c r="U3697" s="26">
        <v>4</v>
      </c>
      <c r="V3697" s="26">
        <v>0</v>
      </c>
      <c r="W3697" s="26"/>
    </row>
    <row r="3698" spans="1:23" x14ac:dyDescent="0.25">
      <c r="A3698" s="26" t="s">
        <v>3971</v>
      </c>
      <c r="B3698" s="26" t="s">
        <v>1918</v>
      </c>
      <c r="C3698" s="26" t="s">
        <v>1919</v>
      </c>
      <c r="D3698" s="26" t="s">
        <v>179</v>
      </c>
      <c r="E3698" s="26" t="s">
        <v>1920</v>
      </c>
      <c r="F3698" s="26" t="s">
        <v>1164</v>
      </c>
      <c r="G3698" s="26" t="s">
        <v>265</v>
      </c>
      <c r="H3698" s="26" t="s">
        <v>359</v>
      </c>
      <c r="I3698" s="26" t="s">
        <v>184</v>
      </c>
      <c r="J3698" s="26" t="s">
        <v>322</v>
      </c>
      <c r="K3698" s="26" t="s">
        <v>186</v>
      </c>
      <c r="L3698" s="26" t="s">
        <v>79</v>
      </c>
      <c r="M3698" s="26" t="s">
        <v>78</v>
      </c>
      <c r="N3698" s="26">
        <v>11</v>
      </c>
      <c r="O3698" s="26">
        <v>7</v>
      </c>
      <c r="P3698" s="26">
        <v>4</v>
      </c>
      <c r="Q3698" s="26">
        <v>1</v>
      </c>
      <c r="R3698" s="26">
        <v>0</v>
      </c>
      <c r="S3698" s="26">
        <v>3</v>
      </c>
      <c r="T3698" s="26">
        <v>0</v>
      </c>
      <c r="U3698" s="26">
        <v>3</v>
      </c>
      <c r="V3698" s="26">
        <v>0</v>
      </c>
      <c r="W3698" s="26"/>
    </row>
    <row r="3699" spans="1:23" x14ac:dyDescent="0.25">
      <c r="A3699" s="26" t="s">
        <v>3971</v>
      </c>
      <c r="B3699" s="26" t="s">
        <v>1931</v>
      </c>
      <c r="C3699" s="26" t="s">
        <v>1932</v>
      </c>
      <c r="D3699" s="26" t="s">
        <v>179</v>
      </c>
      <c r="E3699" s="26" t="s">
        <v>1933</v>
      </c>
      <c r="F3699" s="26" t="s">
        <v>1934</v>
      </c>
      <c r="G3699" s="26" t="s">
        <v>293</v>
      </c>
      <c r="H3699" s="26" t="s">
        <v>1506</v>
      </c>
      <c r="I3699" s="26" t="s">
        <v>1259</v>
      </c>
      <c r="J3699" s="26" t="s">
        <v>295</v>
      </c>
      <c r="K3699" s="26" t="s">
        <v>296</v>
      </c>
      <c r="L3699" s="26" t="s">
        <v>80</v>
      </c>
      <c r="M3699" s="26" t="s">
        <v>78</v>
      </c>
      <c r="N3699" s="26">
        <v>16</v>
      </c>
      <c r="O3699" s="26">
        <v>7</v>
      </c>
      <c r="P3699" s="26">
        <v>9</v>
      </c>
      <c r="Q3699" s="26">
        <v>1</v>
      </c>
      <c r="R3699" s="26">
        <v>0</v>
      </c>
      <c r="S3699" s="26">
        <v>2</v>
      </c>
      <c r="T3699" s="26">
        <v>0</v>
      </c>
      <c r="U3699" s="26">
        <v>2</v>
      </c>
      <c r="V3699" s="26">
        <v>0</v>
      </c>
      <c r="W3699" s="26"/>
    </row>
    <row r="3700" spans="1:23" x14ac:dyDescent="0.25">
      <c r="A3700" s="26" t="s">
        <v>3971</v>
      </c>
      <c r="B3700" s="26" t="s">
        <v>1935</v>
      </c>
      <c r="C3700" s="26" t="s">
        <v>1936</v>
      </c>
      <c r="D3700" s="26" t="s">
        <v>179</v>
      </c>
      <c r="E3700" s="26" t="s">
        <v>1937</v>
      </c>
      <c r="F3700" s="26" t="s">
        <v>1414</v>
      </c>
      <c r="G3700" s="26" t="s">
        <v>265</v>
      </c>
      <c r="H3700" s="26" t="s">
        <v>526</v>
      </c>
      <c r="I3700" s="26" t="s">
        <v>184</v>
      </c>
      <c r="J3700" s="26" t="s">
        <v>322</v>
      </c>
      <c r="K3700" s="26" t="s">
        <v>186</v>
      </c>
      <c r="L3700" s="26" t="s">
        <v>79</v>
      </c>
      <c r="M3700" s="26" t="s">
        <v>78</v>
      </c>
      <c r="N3700" s="26">
        <v>45</v>
      </c>
      <c r="O3700" s="26">
        <v>23</v>
      </c>
      <c r="P3700" s="26">
        <v>22</v>
      </c>
      <c r="Q3700" s="26">
        <v>3</v>
      </c>
      <c r="R3700" s="26">
        <v>0</v>
      </c>
      <c r="S3700" s="26">
        <v>6</v>
      </c>
      <c r="T3700" s="26">
        <v>0</v>
      </c>
      <c r="U3700" s="26">
        <v>6</v>
      </c>
      <c r="V3700" s="26">
        <v>0</v>
      </c>
      <c r="W3700" s="26"/>
    </row>
    <row r="3701" spans="1:23" x14ac:dyDescent="0.25">
      <c r="A3701" s="26" t="s">
        <v>3971</v>
      </c>
      <c r="B3701" s="26" t="s">
        <v>1941</v>
      </c>
      <c r="C3701" s="26" t="s">
        <v>1942</v>
      </c>
      <c r="D3701" s="26" t="s">
        <v>218</v>
      </c>
      <c r="E3701" s="26" t="s">
        <v>1943</v>
      </c>
      <c r="F3701" s="26" t="s">
        <v>941</v>
      </c>
      <c r="G3701" s="26" t="s">
        <v>487</v>
      </c>
      <c r="H3701" s="26" t="s">
        <v>294</v>
      </c>
      <c r="I3701" s="26" t="s">
        <v>184</v>
      </c>
      <c r="J3701" s="26" t="s">
        <v>375</v>
      </c>
      <c r="K3701" s="26" t="s">
        <v>186</v>
      </c>
      <c r="L3701" s="26" t="s">
        <v>79</v>
      </c>
      <c r="M3701" s="26" t="s">
        <v>78</v>
      </c>
      <c r="N3701" s="26">
        <v>39</v>
      </c>
      <c r="O3701" s="26">
        <v>22</v>
      </c>
      <c r="P3701" s="26">
        <v>17</v>
      </c>
      <c r="Q3701" s="26">
        <v>2</v>
      </c>
      <c r="R3701" s="26">
        <v>0</v>
      </c>
      <c r="S3701" s="26">
        <v>6</v>
      </c>
      <c r="T3701" s="26">
        <v>0</v>
      </c>
      <c r="U3701" s="26">
        <v>6</v>
      </c>
      <c r="V3701" s="26">
        <v>0</v>
      </c>
      <c r="W3701" s="26"/>
    </row>
    <row r="3702" spans="1:23" x14ac:dyDescent="0.25">
      <c r="A3702" s="26" t="s">
        <v>3971</v>
      </c>
      <c r="B3702" s="26" t="s">
        <v>1952</v>
      </c>
      <c r="C3702" s="26" t="s">
        <v>1953</v>
      </c>
      <c r="D3702" s="26" t="s">
        <v>179</v>
      </c>
      <c r="E3702" s="26" t="s">
        <v>1954</v>
      </c>
      <c r="F3702" s="26" t="s">
        <v>1253</v>
      </c>
      <c r="G3702" s="26" t="s">
        <v>662</v>
      </c>
      <c r="H3702" s="26" t="s">
        <v>1254</v>
      </c>
      <c r="I3702" s="26" t="s">
        <v>184</v>
      </c>
      <c r="J3702" s="26" t="s">
        <v>427</v>
      </c>
      <c r="K3702" s="26" t="s">
        <v>186</v>
      </c>
      <c r="L3702" s="26" t="s">
        <v>79</v>
      </c>
      <c r="M3702" s="26" t="s">
        <v>78</v>
      </c>
      <c r="N3702" s="26">
        <v>1</v>
      </c>
      <c r="O3702" s="26">
        <v>1</v>
      </c>
      <c r="P3702" s="26">
        <v>0</v>
      </c>
      <c r="Q3702" s="26">
        <v>1</v>
      </c>
      <c r="R3702" s="26">
        <v>0</v>
      </c>
      <c r="S3702" s="26">
        <v>2</v>
      </c>
      <c r="T3702" s="26">
        <v>0</v>
      </c>
      <c r="U3702" s="26">
        <v>2</v>
      </c>
      <c r="V3702" s="26">
        <v>0</v>
      </c>
      <c r="W3702" s="26"/>
    </row>
    <row r="3703" spans="1:23" x14ac:dyDescent="0.25">
      <c r="A3703" s="26" t="s">
        <v>3971</v>
      </c>
      <c r="B3703" s="26" t="s">
        <v>1955</v>
      </c>
      <c r="C3703" s="26" t="s">
        <v>1956</v>
      </c>
      <c r="D3703" s="26" t="s">
        <v>179</v>
      </c>
      <c r="E3703" s="26" t="s">
        <v>1957</v>
      </c>
      <c r="F3703" s="26" t="s">
        <v>1789</v>
      </c>
      <c r="G3703" s="26" t="s">
        <v>662</v>
      </c>
      <c r="H3703" s="26" t="s">
        <v>1254</v>
      </c>
      <c r="I3703" s="26" t="s">
        <v>184</v>
      </c>
      <c r="J3703" s="26" t="s">
        <v>427</v>
      </c>
      <c r="K3703" s="26" t="s">
        <v>1895</v>
      </c>
      <c r="L3703" s="26" t="s">
        <v>79</v>
      </c>
      <c r="M3703" s="26" t="s">
        <v>78</v>
      </c>
      <c r="N3703" s="26">
        <v>33</v>
      </c>
      <c r="O3703" s="26">
        <v>13</v>
      </c>
      <c r="P3703" s="26">
        <v>20</v>
      </c>
      <c r="Q3703" s="26">
        <v>2</v>
      </c>
      <c r="R3703" s="26">
        <v>0</v>
      </c>
      <c r="S3703" s="26">
        <v>4</v>
      </c>
      <c r="T3703" s="26">
        <v>0</v>
      </c>
      <c r="U3703" s="26">
        <v>4</v>
      </c>
      <c r="V3703" s="26">
        <v>0</v>
      </c>
      <c r="W3703" s="26"/>
    </row>
    <row r="3704" spans="1:23" x14ac:dyDescent="0.25">
      <c r="A3704" s="26" t="s">
        <v>3971</v>
      </c>
      <c r="B3704" s="26" t="s">
        <v>1970</v>
      </c>
      <c r="C3704" s="26" t="s">
        <v>1971</v>
      </c>
      <c r="D3704" s="26" t="s">
        <v>179</v>
      </c>
      <c r="E3704" s="26" t="s">
        <v>1972</v>
      </c>
      <c r="F3704" s="26" t="s">
        <v>309</v>
      </c>
      <c r="G3704" s="26" t="s">
        <v>226</v>
      </c>
      <c r="H3704" s="26" t="s">
        <v>538</v>
      </c>
      <c r="I3704" s="26" t="s">
        <v>184</v>
      </c>
      <c r="J3704" s="26" t="s">
        <v>427</v>
      </c>
      <c r="K3704" s="26" t="s">
        <v>186</v>
      </c>
      <c r="L3704" s="26" t="s">
        <v>79</v>
      </c>
      <c r="M3704" s="26" t="s">
        <v>78</v>
      </c>
      <c r="N3704" s="26">
        <v>16</v>
      </c>
      <c r="O3704" s="26">
        <v>7</v>
      </c>
      <c r="P3704" s="26">
        <v>9</v>
      </c>
      <c r="Q3704" s="26">
        <v>1</v>
      </c>
      <c r="R3704" s="26">
        <v>0</v>
      </c>
      <c r="S3704" s="26">
        <v>2</v>
      </c>
      <c r="T3704" s="26">
        <v>0</v>
      </c>
      <c r="U3704" s="26">
        <v>2</v>
      </c>
      <c r="V3704" s="26">
        <v>0</v>
      </c>
      <c r="W3704" s="26"/>
    </row>
    <row r="3705" spans="1:23" x14ac:dyDescent="0.25">
      <c r="A3705" s="26" t="s">
        <v>3971</v>
      </c>
      <c r="B3705" s="26" t="s">
        <v>1973</v>
      </c>
      <c r="C3705" s="26" t="s">
        <v>1974</v>
      </c>
      <c r="D3705" s="26" t="s">
        <v>218</v>
      </c>
      <c r="E3705" s="26" t="s">
        <v>1975</v>
      </c>
      <c r="F3705" s="26" t="s">
        <v>852</v>
      </c>
      <c r="G3705" s="26" t="s">
        <v>226</v>
      </c>
      <c r="H3705" s="26" t="s">
        <v>538</v>
      </c>
      <c r="I3705" s="26" t="s">
        <v>184</v>
      </c>
      <c r="J3705" s="26" t="s">
        <v>427</v>
      </c>
      <c r="K3705" s="26" t="s">
        <v>186</v>
      </c>
      <c r="L3705" s="26" t="s">
        <v>79</v>
      </c>
      <c r="M3705" s="26" t="s">
        <v>78</v>
      </c>
      <c r="N3705" s="26">
        <v>28</v>
      </c>
      <c r="O3705" s="26">
        <v>14</v>
      </c>
      <c r="P3705" s="26">
        <v>14</v>
      </c>
      <c r="Q3705" s="26">
        <v>1</v>
      </c>
      <c r="R3705" s="26">
        <v>0</v>
      </c>
      <c r="S3705" s="26">
        <v>1</v>
      </c>
      <c r="T3705" s="26">
        <v>0</v>
      </c>
      <c r="U3705" s="26">
        <v>1</v>
      </c>
      <c r="V3705" s="26">
        <v>0</v>
      </c>
      <c r="W3705" s="26"/>
    </row>
    <row r="3706" spans="1:23" x14ac:dyDescent="0.25">
      <c r="A3706" s="26" t="s">
        <v>3971</v>
      </c>
      <c r="B3706" s="26" t="s">
        <v>1976</v>
      </c>
      <c r="C3706" s="26" t="s">
        <v>1977</v>
      </c>
      <c r="D3706" s="26" t="s">
        <v>218</v>
      </c>
      <c r="E3706" s="26" t="s">
        <v>1978</v>
      </c>
      <c r="F3706" s="26" t="s">
        <v>1979</v>
      </c>
      <c r="G3706" s="26" t="s">
        <v>293</v>
      </c>
      <c r="H3706" s="26" t="s">
        <v>1506</v>
      </c>
      <c r="I3706" s="26" t="s">
        <v>1259</v>
      </c>
      <c r="J3706" s="26" t="s">
        <v>295</v>
      </c>
      <c r="K3706" s="26" t="s">
        <v>296</v>
      </c>
      <c r="L3706" s="26" t="s">
        <v>80</v>
      </c>
      <c r="M3706" s="26" t="s">
        <v>78</v>
      </c>
      <c r="N3706" s="26">
        <v>53</v>
      </c>
      <c r="O3706" s="26">
        <v>35</v>
      </c>
      <c r="P3706" s="26">
        <v>18</v>
      </c>
      <c r="Q3706" s="26">
        <v>2</v>
      </c>
      <c r="R3706" s="26">
        <v>0</v>
      </c>
      <c r="S3706" s="26">
        <v>5</v>
      </c>
      <c r="T3706" s="26">
        <v>0</v>
      </c>
      <c r="U3706" s="26">
        <v>5</v>
      </c>
      <c r="V3706" s="26">
        <v>0</v>
      </c>
      <c r="W3706" s="26"/>
    </row>
    <row r="3707" spans="1:23" x14ac:dyDescent="0.25">
      <c r="A3707" s="26" t="s">
        <v>3971</v>
      </c>
      <c r="B3707" s="26" t="s">
        <v>1980</v>
      </c>
      <c r="C3707" s="26" t="s">
        <v>1981</v>
      </c>
      <c r="D3707" s="26" t="s">
        <v>218</v>
      </c>
      <c r="E3707" s="26" t="s">
        <v>1982</v>
      </c>
      <c r="F3707" s="26" t="s">
        <v>243</v>
      </c>
      <c r="G3707" s="26" t="s">
        <v>210</v>
      </c>
      <c r="H3707" s="26" t="s">
        <v>332</v>
      </c>
      <c r="I3707" s="26" t="s">
        <v>184</v>
      </c>
      <c r="J3707" s="26" t="s">
        <v>322</v>
      </c>
      <c r="K3707" s="26" t="s">
        <v>186</v>
      </c>
      <c r="L3707" s="26" t="s">
        <v>79</v>
      </c>
      <c r="M3707" s="26" t="s">
        <v>78</v>
      </c>
      <c r="N3707" s="26">
        <v>14</v>
      </c>
      <c r="O3707" s="26">
        <v>7</v>
      </c>
      <c r="P3707" s="26">
        <v>7</v>
      </c>
      <c r="Q3707" s="26">
        <v>1</v>
      </c>
      <c r="R3707" s="26">
        <v>0</v>
      </c>
      <c r="S3707" s="26">
        <v>3</v>
      </c>
      <c r="T3707" s="26">
        <v>0</v>
      </c>
      <c r="U3707" s="26">
        <v>3</v>
      </c>
      <c r="V3707" s="26">
        <v>0</v>
      </c>
      <c r="W3707" s="26"/>
    </row>
    <row r="3708" spans="1:23" x14ac:dyDescent="0.25">
      <c r="A3708" s="26" t="s">
        <v>3971</v>
      </c>
      <c r="B3708" s="26" t="s">
        <v>1983</v>
      </c>
      <c r="C3708" s="26" t="s">
        <v>1984</v>
      </c>
      <c r="D3708" s="26" t="s">
        <v>218</v>
      </c>
      <c r="E3708" s="26" t="s">
        <v>1985</v>
      </c>
      <c r="F3708" s="26" t="s">
        <v>1986</v>
      </c>
      <c r="G3708" s="26" t="s">
        <v>293</v>
      </c>
      <c r="H3708" s="26" t="s">
        <v>1506</v>
      </c>
      <c r="I3708" s="26" t="s">
        <v>1259</v>
      </c>
      <c r="J3708" s="26" t="s">
        <v>295</v>
      </c>
      <c r="K3708" s="26" t="s">
        <v>296</v>
      </c>
      <c r="L3708" s="26" t="s">
        <v>80</v>
      </c>
      <c r="M3708" s="26" t="s">
        <v>78</v>
      </c>
      <c r="N3708" s="26">
        <v>79</v>
      </c>
      <c r="O3708" s="26">
        <v>47</v>
      </c>
      <c r="P3708" s="26">
        <v>32</v>
      </c>
      <c r="Q3708" s="26">
        <v>3</v>
      </c>
      <c r="R3708" s="26">
        <v>0</v>
      </c>
      <c r="S3708" s="26">
        <v>2</v>
      </c>
      <c r="T3708" s="26">
        <v>0</v>
      </c>
      <c r="U3708" s="26">
        <v>2</v>
      </c>
      <c r="V3708" s="26">
        <v>0</v>
      </c>
      <c r="W3708" s="26"/>
    </row>
    <row r="3709" spans="1:23" x14ac:dyDescent="0.25">
      <c r="A3709" s="26" t="s">
        <v>3971</v>
      </c>
      <c r="B3709" s="26" t="s">
        <v>1999</v>
      </c>
      <c r="C3709" s="26" t="s">
        <v>2000</v>
      </c>
      <c r="D3709" s="26" t="s">
        <v>218</v>
      </c>
      <c r="E3709" s="26" t="s">
        <v>2001</v>
      </c>
      <c r="F3709" s="26" t="s">
        <v>2002</v>
      </c>
      <c r="G3709" s="26" t="s">
        <v>210</v>
      </c>
      <c r="H3709" s="26" t="s">
        <v>1069</v>
      </c>
      <c r="I3709" s="26" t="s">
        <v>184</v>
      </c>
      <c r="J3709" s="26" t="s">
        <v>322</v>
      </c>
      <c r="K3709" s="26" t="s">
        <v>1895</v>
      </c>
      <c r="L3709" s="26" t="s">
        <v>79</v>
      </c>
      <c r="M3709" s="26" t="s">
        <v>78</v>
      </c>
      <c r="N3709" s="26">
        <v>22</v>
      </c>
      <c r="O3709" s="26">
        <v>14</v>
      </c>
      <c r="P3709" s="26">
        <v>8</v>
      </c>
      <c r="Q3709" s="26">
        <v>1</v>
      </c>
      <c r="R3709" s="26">
        <v>0</v>
      </c>
      <c r="S3709" s="26">
        <v>4</v>
      </c>
      <c r="T3709" s="26">
        <v>0</v>
      </c>
      <c r="U3709" s="26">
        <v>4</v>
      </c>
      <c r="V3709" s="26">
        <v>0</v>
      </c>
      <c r="W3709" s="26"/>
    </row>
    <row r="3710" spans="1:23" x14ac:dyDescent="0.25">
      <c r="A3710" s="26" t="s">
        <v>3971</v>
      </c>
      <c r="B3710" s="26" t="s">
        <v>2003</v>
      </c>
      <c r="C3710" s="26" t="s">
        <v>2004</v>
      </c>
      <c r="D3710" s="26" t="s">
        <v>218</v>
      </c>
      <c r="E3710" s="26" t="s">
        <v>2005</v>
      </c>
      <c r="F3710" s="26" t="s">
        <v>326</v>
      </c>
      <c r="G3710" s="26" t="s">
        <v>210</v>
      </c>
      <c r="H3710" s="26" t="s">
        <v>327</v>
      </c>
      <c r="I3710" s="26" t="s">
        <v>184</v>
      </c>
      <c r="J3710" s="26" t="s">
        <v>322</v>
      </c>
      <c r="K3710" s="26" t="s">
        <v>186</v>
      </c>
      <c r="L3710" s="26" t="s">
        <v>79</v>
      </c>
      <c r="M3710" s="26" t="s">
        <v>78</v>
      </c>
      <c r="N3710" s="26">
        <v>14</v>
      </c>
      <c r="O3710" s="26">
        <v>8</v>
      </c>
      <c r="P3710" s="26">
        <v>6</v>
      </c>
      <c r="Q3710" s="26">
        <v>1</v>
      </c>
      <c r="R3710" s="26">
        <v>0</v>
      </c>
      <c r="S3710" s="26">
        <v>3</v>
      </c>
      <c r="T3710" s="26">
        <v>0</v>
      </c>
      <c r="U3710" s="26">
        <v>3</v>
      </c>
      <c r="V3710" s="26">
        <v>0</v>
      </c>
      <c r="W3710" s="26"/>
    </row>
    <row r="3711" spans="1:23" x14ac:dyDescent="0.25">
      <c r="A3711" s="26" t="s">
        <v>3971</v>
      </c>
      <c r="B3711" s="26" t="s">
        <v>2006</v>
      </c>
      <c r="C3711" s="26" t="s">
        <v>2007</v>
      </c>
      <c r="D3711" s="26" t="s">
        <v>218</v>
      </c>
      <c r="E3711" s="26" t="s">
        <v>2008</v>
      </c>
      <c r="F3711" s="26" t="s">
        <v>300</v>
      </c>
      <c r="G3711" s="26" t="s">
        <v>198</v>
      </c>
      <c r="H3711" s="26" t="s">
        <v>374</v>
      </c>
      <c r="I3711" s="26" t="s">
        <v>184</v>
      </c>
      <c r="J3711" s="26" t="s">
        <v>375</v>
      </c>
      <c r="K3711" s="26" t="s">
        <v>186</v>
      </c>
      <c r="L3711" s="26" t="s">
        <v>79</v>
      </c>
      <c r="M3711" s="26" t="s">
        <v>78</v>
      </c>
      <c r="N3711" s="26">
        <v>43</v>
      </c>
      <c r="O3711" s="26">
        <v>23</v>
      </c>
      <c r="P3711" s="26">
        <v>20</v>
      </c>
      <c r="Q3711" s="26">
        <v>2</v>
      </c>
      <c r="R3711" s="26">
        <v>0</v>
      </c>
      <c r="S3711" s="26">
        <v>3</v>
      </c>
      <c r="T3711" s="26">
        <v>0</v>
      </c>
      <c r="U3711" s="26">
        <v>3</v>
      </c>
      <c r="V3711" s="26">
        <v>0</v>
      </c>
      <c r="W3711" s="26"/>
    </row>
    <row r="3712" spans="1:23" x14ac:dyDescent="0.25">
      <c r="A3712" s="26" t="s">
        <v>3971</v>
      </c>
      <c r="B3712" s="26" t="s">
        <v>2009</v>
      </c>
      <c r="C3712" s="26" t="s">
        <v>2010</v>
      </c>
      <c r="D3712" s="26" t="s">
        <v>179</v>
      </c>
      <c r="E3712" s="26" t="s">
        <v>2011</v>
      </c>
      <c r="F3712" s="26" t="s">
        <v>2012</v>
      </c>
      <c r="G3712" s="26" t="s">
        <v>191</v>
      </c>
      <c r="H3712" s="26" t="s">
        <v>518</v>
      </c>
      <c r="I3712" s="26" t="s">
        <v>184</v>
      </c>
      <c r="J3712" s="26" t="s">
        <v>427</v>
      </c>
      <c r="K3712" s="26" t="s">
        <v>186</v>
      </c>
      <c r="L3712" s="26" t="s">
        <v>79</v>
      </c>
      <c r="M3712" s="26" t="s">
        <v>78</v>
      </c>
      <c r="N3712" s="26">
        <v>42</v>
      </c>
      <c r="O3712" s="26">
        <v>27</v>
      </c>
      <c r="P3712" s="26">
        <v>15</v>
      </c>
      <c r="Q3712" s="26">
        <v>2</v>
      </c>
      <c r="R3712" s="26">
        <v>0</v>
      </c>
      <c r="S3712" s="26">
        <v>5</v>
      </c>
      <c r="T3712" s="26">
        <v>0</v>
      </c>
      <c r="U3712" s="26">
        <v>5</v>
      </c>
      <c r="V3712" s="26">
        <v>0</v>
      </c>
      <c r="W3712" s="26"/>
    </row>
    <row r="3713" spans="1:23" x14ac:dyDescent="0.25">
      <c r="A3713" s="26" t="s">
        <v>3971</v>
      </c>
      <c r="B3713" s="26" t="s">
        <v>2029</v>
      </c>
      <c r="C3713" s="26" t="s">
        <v>2030</v>
      </c>
      <c r="D3713" s="26" t="s">
        <v>218</v>
      </c>
      <c r="E3713" s="26" t="s">
        <v>2031</v>
      </c>
      <c r="F3713" s="26" t="s">
        <v>2032</v>
      </c>
      <c r="G3713" s="26" t="s">
        <v>676</v>
      </c>
      <c r="H3713" s="26" t="s">
        <v>687</v>
      </c>
      <c r="I3713" s="26" t="s">
        <v>184</v>
      </c>
      <c r="J3713" s="26" t="s">
        <v>375</v>
      </c>
      <c r="K3713" s="26" t="s">
        <v>186</v>
      </c>
      <c r="L3713" s="26" t="s">
        <v>79</v>
      </c>
      <c r="M3713" s="26" t="s">
        <v>78</v>
      </c>
      <c r="N3713" s="26">
        <v>43</v>
      </c>
      <c r="O3713" s="26">
        <v>24</v>
      </c>
      <c r="P3713" s="26">
        <v>19</v>
      </c>
      <c r="Q3713" s="26">
        <v>2</v>
      </c>
      <c r="R3713" s="26">
        <v>0</v>
      </c>
      <c r="S3713" s="26">
        <v>5</v>
      </c>
      <c r="T3713" s="26">
        <v>0</v>
      </c>
      <c r="U3713" s="26">
        <v>5</v>
      </c>
      <c r="V3713" s="26">
        <v>0</v>
      </c>
      <c r="W3713" s="26"/>
    </row>
    <row r="3714" spans="1:23" x14ac:dyDescent="0.25">
      <c r="A3714" s="26" t="s">
        <v>3971</v>
      </c>
      <c r="B3714" s="26" t="s">
        <v>2064</v>
      </c>
      <c r="C3714" s="26" t="s">
        <v>2065</v>
      </c>
      <c r="D3714" s="26" t="s">
        <v>218</v>
      </c>
      <c r="E3714" s="26" t="s">
        <v>2066</v>
      </c>
      <c r="F3714" s="26" t="s">
        <v>2067</v>
      </c>
      <c r="G3714" s="26" t="s">
        <v>487</v>
      </c>
      <c r="H3714" s="26" t="s">
        <v>1307</v>
      </c>
      <c r="I3714" s="26" t="s">
        <v>184</v>
      </c>
      <c r="J3714" s="26" t="s">
        <v>375</v>
      </c>
      <c r="K3714" s="26" t="s">
        <v>186</v>
      </c>
      <c r="L3714" s="26" t="s">
        <v>79</v>
      </c>
      <c r="M3714" s="26" t="s">
        <v>78</v>
      </c>
      <c r="N3714" s="26">
        <v>63</v>
      </c>
      <c r="O3714" s="26">
        <v>31</v>
      </c>
      <c r="P3714" s="26">
        <v>32</v>
      </c>
      <c r="Q3714" s="26">
        <v>2</v>
      </c>
      <c r="R3714" s="26">
        <v>0</v>
      </c>
      <c r="S3714" s="26">
        <v>6</v>
      </c>
      <c r="T3714" s="26">
        <v>0</v>
      </c>
      <c r="U3714" s="26">
        <v>6</v>
      </c>
      <c r="V3714" s="26">
        <v>0</v>
      </c>
      <c r="W3714" s="26"/>
    </row>
    <row r="3715" spans="1:23" x14ac:dyDescent="0.25">
      <c r="A3715" s="26" t="s">
        <v>3971</v>
      </c>
      <c r="B3715" s="26" t="s">
        <v>2074</v>
      </c>
      <c r="C3715" s="26" t="s">
        <v>2075</v>
      </c>
      <c r="D3715" s="26" t="s">
        <v>2076</v>
      </c>
      <c r="E3715" s="26" t="s">
        <v>2077</v>
      </c>
      <c r="F3715" s="26" t="s">
        <v>2078</v>
      </c>
      <c r="G3715" s="26" t="s">
        <v>293</v>
      </c>
      <c r="H3715" s="26" t="s">
        <v>1506</v>
      </c>
      <c r="I3715" s="26" t="s">
        <v>184</v>
      </c>
      <c r="J3715" s="26" t="s">
        <v>1145</v>
      </c>
      <c r="K3715" s="26" t="s">
        <v>296</v>
      </c>
      <c r="L3715" s="26" t="s">
        <v>80</v>
      </c>
      <c r="M3715" s="26" t="s">
        <v>78</v>
      </c>
      <c r="N3715" s="26">
        <v>32</v>
      </c>
      <c r="O3715" s="26">
        <v>20</v>
      </c>
      <c r="P3715" s="26">
        <v>12</v>
      </c>
      <c r="Q3715" s="26">
        <v>1</v>
      </c>
      <c r="R3715" s="26">
        <v>0</v>
      </c>
      <c r="S3715" s="26">
        <v>3</v>
      </c>
      <c r="T3715" s="26">
        <v>0</v>
      </c>
      <c r="U3715" s="26">
        <v>3</v>
      </c>
      <c r="V3715" s="26">
        <v>0</v>
      </c>
      <c r="W3715" s="26"/>
    </row>
    <row r="3716" spans="1:23" x14ac:dyDescent="0.25">
      <c r="A3716" s="26" t="s">
        <v>3971</v>
      </c>
      <c r="B3716" s="26" t="s">
        <v>2083</v>
      </c>
      <c r="C3716" s="26" t="s">
        <v>2084</v>
      </c>
      <c r="D3716" s="26" t="s">
        <v>218</v>
      </c>
      <c r="E3716" s="26" t="s">
        <v>2085</v>
      </c>
      <c r="F3716" s="26" t="s">
        <v>1894</v>
      </c>
      <c r="G3716" s="26" t="s">
        <v>265</v>
      </c>
      <c r="H3716" s="26" t="s">
        <v>359</v>
      </c>
      <c r="I3716" s="26" t="s">
        <v>184</v>
      </c>
      <c r="J3716" s="26" t="s">
        <v>322</v>
      </c>
      <c r="K3716" s="26" t="s">
        <v>186</v>
      </c>
      <c r="L3716" s="26" t="s">
        <v>79</v>
      </c>
      <c r="M3716" s="26" t="s">
        <v>78</v>
      </c>
      <c r="N3716" s="26">
        <v>28</v>
      </c>
      <c r="O3716" s="26">
        <v>13</v>
      </c>
      <c r="P3716" s="26">
        <v>15</v>
      </c>
      <c r="Q3716" s="26">
        <v>2</v>
      </c>
      <c r="R3716" s="26">
        <v>0</v>
      </c>
      <c r="S3716" s="26">
        <v>4</v>
      </c>
      <c r="T3716" s="26">
        <v>0</v>
      </c>
      <c r="U3716" s="26">
        <v>4</v>
      </c>
      <c r="V3716" s="26">
        <v>0</v>
      </c>
      <c r="W3716" s="26"/>
    </row>
    <row r="3717" spans="1:23" x14ac:dyDescent="0.25">
      <c r="A3717" s="26" t="s">
        <v>3971</v>
      </c>
      <c r="B3717" s="26" t="s">
        <v>2086</v>
      </c>
      <c r="C3717" s="26" t="s">
        <v>2087</v>
      </c>
      <c r="D3717" s="26" t="s">
        <v>179</v>
      </c>
      <c r="E3717" s="26" t="s">
        <v>2088</v>
      </c>
      <c r="F3717" s="26" t="s">
        <v>2089</v>
      </c>
      <c r="G3717" s="26" t="s">
        <v>265</v>
      </c>
      <c r="H3717" s="26" t="s">
        <v>445</v>
      </c>
      <c r="I3717" s="26" t="s">
        <v>184</v>
      </c>
      <c r="J3717" s="26" t="s">
        <v>322</v>
      </c>
      <c r="K3717" s="26" t="s">
        <v>186</v>
      </c>
      <c r="L3717" s="26" t="s">
        <v>79</v>
      </c>
      <c r="M3717" s="26" t="s">
        <v>78</v>
      </c>
      <c r="N3717" s="26">
        <v>19</v>
      </c>
      <c r="O3717" s="26">
        <v>12</v>
      </c>
      <c r="P3717" s="26">
        <v>7</v>
      </c>
      <c r="Q3717" s="26">
        <v>1</v>
      </c>
      <c r="R3717" s="26">
        <v>0</v>
      </c>
      <c r="S3717" s="26">
        <v>2</v>
      </c>
      <c r="T3717" s="26">
        <v>0</v>
      </c>
      <c r="U3717" s="26">
        <v>2</v>
      </c>
      <c r="V3717" s="26">
        <v>0</v>
      </c>
      <c r="W3717" s="26"/>
    </row>
    <row r="3718" spans="1:23" x14ac:dyDescent="0.25">
      <c r="A3718" s="26" t="s">
        <v>3971</v>
      </c>
      <c r="B3718" s="26" t="s">
        <v>2096</v>
      </c>
      <c r="C3718" s="26" t="s">
        <v>2097</v>
      </c>
      <c r="D3718" s="26" t="s">
        <v>218</v>
      </c>
      <c r="E3718" s="26" t="s">
        <v>2098</v>
      </c>
      <c r="F3718" s="26" t="s">
        <v>2099</v>
      </c>
      <c r="G3718" s="26" t="s">
        <v>210</v>
      </c>
      <c r="H3718" s="26" t="s">
        <v>332</v>
      </c>
      <c r="I3718" s="26" t="s">
        <v>184</v>
      </c>
      <c r="J3718" s="26" t="s">
        <v>322</v>
      </c>
      <c r="K3718" s="26" t="s">
        <v>186</v>
      </c>
      <c r="L3718" s="26" t="s">
        <v>79</v>
      </c>
      <c r="M3718" s="26" t="s">
        <v>78</v>
      </c>
      <c r="N3718" s="26">
        <v>19</v>
      </c>
      <c r="O3718" s="26">
        <v>12</v>
      </c>
      <c r="P3718" s="26">
        <v>7</v>
      </c>
      <c r="Q3718" s="26">
        <v>1</v>
      </c>
      <c r="R3718" s="26">
        <v>0</v>
      </c>
      <c r="S3718" s="26">
        <v>3</v>
      </c>
      <c r="T3718" s="26">
        <v>0</v>
      </c>
      <c r="U3718" s="26">
        <v>3</v>
      </c>
      <c r="V3718" s="26">
        <v>0</v>
      </c>
      <c r="W3718" s="26"/>
    </row>
    <row r="3719" spans="1:23" x14ac:dyDescent="0.25">
      <c r="A3719" s="26" t="s">
        <v>3971</v>
      </c>
      <c r="B3719" s="26" t="s">
        <v>2104</v>
      </c>
      <c r="C3719" s="26" t="s">
        <v>2105</v>
      </c>
      <c r="D3719" s="26" t="s">
        <v>179</v>
      </c>
      <c r="E3719" s="26" t="s">
        <v>2106</v>
      </c>
      <c r="F3719" s="26" t="s">
        <v>2107</v>
      </c>
      <c r="G3719" s="26" t="s">
        <v>226</v>
      </c>
      <c r="H3719" s="26" t="s">
        <v>833</v>
      </c>
      <c r="I3719" s="26" t="s">
        <v>184</v>
      </c>
      <c r="J3719" s="26" t="s">
        <v>427</v>
      </c>
      <c r="K3719" s="26" t="s">
        <v>186</v>
      </c>
      <c r="L3719" s="26" t="s">
        <v>79</v>
      </c>
      <c r="M3719" s="26" t="s">
        <v>78</v>
      </c>
      <c r="N3719" s="26">
        <v>26</v>
      </c>
      <c r="O3719" s="26">
        <v>13</v>
      </c>
      <c r="P3719" s="26">
        <v>13</v>
      </c>
      <c r="Q3719" s="26">
        <v>1</v>
      </c>
      <c r="R3719" s="26">
        <v>0</v>
      </c>
      <c r="S3719" s="26">
        <v>3</v>
      </c>
      <c r="T3719" s="26">
        <v>0</v>
      </c>
      <c r="U3719" s="26">
        <v>3</v>
      </c>
      <c r="V3719" s="26">
        <v>0</v>
      </c>
      <c r="W3719" s="26"/>
    </row>
    <row r="3720" spans="1:23" x14ac:dyDescent="0.25">
      <c r="A3720" s="26" t="s">
        <v>3971</v>
      </c>
      <c r="B3720" s="26" t="s">
        <v>2182</v>
      </c>
      <c r="C3720" s="26" t="s">
        <v>2183</v>
      </c>
      <c r="D3720" s="26" t="s">
        <v>179</v>
      </c>
      <c r="E3720" s="26" t="s">
        <v>2184</v>
      </c>
      <c r="F3720" s="26" t="s">
        <v>2185</v>
      </c>
      <c r="G3720" s="26" t="s">
        <v>210</v>
      </c>
      <c r="H3720" s="26" t="s">
        <v>886</v>
      </c>
      <c r="I3720" s="26" t="s">
        <v>184</v>
      </c>
      <c r="J3720" s="26" t="s">
        <v>322</v>
      </c>
      <c r="K3720" s="26" t="s">
        <v>186</v>
      </c>
      <c r="L3720" s="26" t="s">
        <v>79</v>
      </c>
      <c r="M3720" s="26" t="s">
        <v>78</v>
      </c>
      <c r="N3720" s="26">
        <v>31</v>
      </c>
      <c r="O3720" s="26">
        <v>20</v>
      </c>
      <c r="P3720" s="26">
        <v>11</v>
      </c>
      <c r="Q3720" s="26">
        <v>2</v>
      </c>
      <c r="R3720" s="26">
        <v>0</v>
      </c>
      <c r="S3720" s="26">
        <v>7</v>
      </c>
      <c r="T3720" s="26">
        <v>0</v>
      </c>
      <c r="U3720" s="26">
        <v>7</v>
      </c>
      <c r="V3720" s="26">
        <v>0</v>
      </c>
      <c r="W3720" s="26"/>
    </row>
    <row r="3721" spans="1:23" x14ac:dyDescent="0.25">
      <c r="A3721" s="26" t="s">
        <v>3971</v>
      </c>
      <c r="B3721" s="26" t="s">
        <v>2203</v>
      </c>
      <c r="C3721" s="26" t="s">
        <v>2204</v>
      </c>
      <c r="D3721" s="26" t="s">
        <v>218</v>
      </c>
      <c r="E3721" s="26" t="s">
        <v>2205</v>
      </c>
      <c r="F3721" s="26" t="s">
        <v>331</v>
      </c>
      <c r="G3721" s="26" t="s">
        <v>210</v>
      </c>
      <c r="H3721" s="26" t="s">
        <v>332</v>
      </c>
      <c r="I3721" s="26" t="s">
        <v>184</v>
      </c>
      <c r="J3721" s="26" t="s">
        <v>322</v>
      </c>
      <c r="K3721" s="26" t="s">
        <v>186</v>
      </c>
      <c r="L3721" s="26" t="s">
        <v>79</v>
      </c>
      <c r="M3721" s="26" t="s">
        <v>78</v>
      </c>
      <c r="N3721" s="26">
        <v>20</v>
      </c>
      <c r="O3721" s="26">
        <v>11</v>
      </c>
      <c r="P3721" s="26">
        <v>9</v>
      </c>
      <c r="Q3721" s="26">
        <v>2</v>
      </c>
      <c r="R3721" s="26">
        <v>0</v>
      </c>
      <c r="S3721" s="26">
        <v>1</v>
      </c>
      <c r="T3721" s="26">
        <v>0</v>
      </c>
      <c r="U3721" s="26">
        <v>1</v>
      </c>
      <c r="V3721" s="26">
        <v>0</v>
      </c>
      <c r="W3721" s="26"/>
    </row>
    <row r="3722" spans="1:23" x14ac:dyDescent="0.25">
      <c r="A3722" s="26" t="s">
        <v>3971</v>
      </c>
      <c r="B3722" s="26" t="s">
        <v>2226</v>
      </c>
      <c r="C3722" s="26" t="s">
        <v>2227</v>
      </c>
      <c r="D3722" s="26" t="s">
        <v>218</v>
      </c>
      <c r="E3722" s="26" t="s">
        <v>2228</v>
      </c>
      <c r="F3722" s="26" t="s">
        <v>704</v>
      </c>
      <c r="G3722" s="26" t="s">
        <v>293</v>
      </c>
      <c r="H3722" s="26" t="s">
        <v>1506</v>
      </c>
      <c r="I3722" s="26" t="s">
        <v>1259</v>
      </c>
      <c r="J3722" s="26" t="s">
        <v>696</v>
      </c>
      <c r="K3722" s="26" t="s">
        <v>296</v>
      </c>
      <c r="L3722" s="26" t="s">
        <v>80</v>
      </c>
      <c r="M3722" s="26" t="s">
        <v>78</v>
      </c>
      <c r="N3722" s="26">
        <v>48</v>
      </c>
      <c r="O3722" s="26">
        <v>14</v>
      </c>
      <c r="P3722" s="26">
        <v>34</v>
      </c>
      <c r="Q3722" s="26">
        <v>2</v>
      </c>
      <c r="R3722" s="26">
        <v>0</v>
      </c>
      <c r="S3722" s="26">
        <v>5</v>
      </c>
      <c r="T3722" s="26">
        <v>0</v>
      </c>
      <c r="U3722" s="26">
        <v>5</v>
      </c>
      <c r="V3722" s="26">
        <v>0</v>
      </c>
      <c r="W3722" s="26"/>
    </row>
    <row r="3723" spans="1:23" x14ac:dyDescent="0.25">
      <c r="A3723" s="26" t="s">
        <v>3971</v>
      </c>
      <c r="B3723" s="26" t="s">
        <v>2232</v>
      </c>
      <c r="C3723" s="26" t="s">
        <v>2233</v>
      </c>
      <c r="D3723" s="26" t="s">
        <v>218</v>
      </c>
      <c r="E3723" s="26" t="s">
        <v>2234</v>
      </c>
      <c r="F3723" s="26" t="s">
        <v>1789</v>
      </c>
      <c r="G3723" s="26" t="s">
        <v>662</v>
      </c>
      <c r="H3723" s="26" t="s">
        <v>1254</v>
      </c>
      <c r="I3723" s="26" t="s">
        <v>184</v>
      </c>
      <c r="J3723" s="26" t="s">
        <v>427</v>
      </c>
      <c r="K3723" s="26" t="s">
        <v>186</v>
      </c>
      <c r="L3723" s="26" t="s">
        <v>79</v>
      </c>
      <c r="M3723" s="26" t="s">
        <v>78</v>
      </c>
      <c r="N3723" s="26">
        <v>13</v>
      </c>
      <c r="O3723" s="26">
        <v>6</v>
      </c>
      <c r="P3723" s="26">
        <v>7</v>
      </c>
      <c r="Q3723" s="26">
        <v>1</v>
      </c>
      <c r="R3723" s="26">
        <v>0</v>
      </c>
      <c r="S3723" s="26">
        <v>3</v>
      </c>
      <c r="T3723" s="26">
        <v>0</v>
      </c>
      <c r="U3723" s="26">
        <v>3</v>
      </c>
      <c r="V3723" s="26">
        <v>0</v>
      </c>
      <c r="W3723" s="26"/>
    </row>
    <row r="3724" spans="1:23" x14ac:dyDescent="0.25">
      <c r="A3724" s="26" t="s">
        <v>3971</v>
      </c>
      <c r="B3724" s="26" t="s">
        <v>2245</v>
      </c>
      <c r="C3724" s="26" t="s">
        <v>2246</v>
      </c>
      <c r="D3724" s="26" t="s">
        <v>218</v>
      </c>
      <c r="E3724" s="26" t="s">
        <v>2247</v>
      </c>
      <c r="F3724" s="26" t="s">
        <v>2002</v>
      </c>
      <c r="G3724" s="26" t="s">
        <v>210</v>
      </c>
      <c r="H3724" s="26" t="s">
        <v>1069</v>
      </c>
      <c r="I3724" s="26" t="s">
        <v>184</v>
      </c>
      <c r="J3724" s="26" t="s">
        <v>322</v>
      </c>
      <c r="K3724" s="26" t="s">
        <v>186</v>
      </c>
      <c r="L3724" s="26" t="s">
        <v>79</v>
      </c>
      <c r="M3724" s="26" t="s">
        <v>78</v>
      </c>
      <c r="N3724" s="26">
        <v>37</v>
      </c>
      <c r="O3724" s="26">
        <v>11</v>
      </c>
      <c r="P3724" s="26">
        <v>26</v>
      </c>
      <c r="Q3724" s="26">
        <v>1</v>
      </c>
      <c r="R3724" s="26">
        <v>0</v>
      </c>
      <c r="S3724" s="26">
        <v>4</v>
      </c>
      <c r="T3724" s="26">
        <v>0</v>
      </c>
      <c r="U3724" s="26">
        <v>4</v>
      </c>
      <c r="V3724" s="26">
        <v>0</v>
      </c>
      <c r="W3724" s="26"/>
    </row>
    <row r="3725" spans="1:23" x14ac:dyDescent="0.25">
      <c r="A3725" s="26" t="s">
        <v>3971</v>
      </c>
      <c r="B3725" s="26" t="s">
        <v>2255</v>
      </c>
      <c r="C3725" s="26" t="s">
        <v>2256</v>
      </c>
      <c r="D3725" s="26" t="s">
        <v>218</v>
      </c>
      <c r="E3725" s="26" t="s">
        <v>2257</v>
      </c>
      <c r="F3725" s="26" t="s">
        <v>2089</v>
      </c>
      <c r="G3725" s="26" t="s">
        <v>265</v>
      </c>
      <c r="H3725" s="26" t="s">
        <v>359</v>
      </c>
      <c r="I3725" s="26" t="s">
        <v>184</v>
      </c>
      <c r="J3725" s="26" t="s">
        <v>322</v>
      </c>
      <c r="K3725" s="26" t="s">
        <v>186</v>
      </c>
      <c r="L3725" s="26" t="s">
        <v>79</v>
      </c>
      <c r="M3725" s="26" t="s">
        <v>78</v>
      </c>
      <c r="N3725" s="26">
        <v>35</v>
      </c>
      <c r="O3725" s="26">
        <v>17</v>
      </c>
      <c r="P3725" s="26">
        <v>18</v>
      </c>
      <c r="Q3725" s="26">
        <v>2</v>
      </c>
      <c r="R3725" s="26">
        <v>0</v>
      </c>
      <c r="S3725" s="26">
        <v>3</v>
      </c>
      <c r="T3725" s="26">
        <v>0</v>
      </c>
      <c r="U3725" s="26">
        <v>3</v>
      </c>
      <c r="V3725" s="26">
        <v>0</v>
      </c>
      <c r="W3725" s="26"/>
    </row>
    <row r="3726" spans="1:23" x14ac:dyDescent="0.25">
      <c r="A3726" s="26" t="s">
        <v>3971</v>
      </c>
      <c r="B3726" s="26" t="s">
        <v>2258</v>
      </c>
      <c r="C3726" s="26" t="s">
        <v>2246</v>
      </c>
      <c r="D3726" s="26" t="s">
        <v>218</v>
      </c>
      <c r="E3726" s="26" t="s">
        <v>2259</v>
      </c>
      <c r="F3726" s="26" t="s">
        <v>2260</v>
      </c>
      <c r="G3726" s="26" t="s">
        <v>265</v>
      </c>
      <c r="H3726" s="26" t="s">
        <v>445</v>
      </c>
      <c r="I3726" s="26" t="s">
        <v>184</v>
      </c>
      <c r="J3726" s="26" t="s">
        <v>322</v>
      </c>
      <c r="K3726" s="26" t="s">
        <v>186</v>
      </c>
      <c r="L3726" s="26" t="s">
        <v>79</v>
      </c>
      <c r="M3726" s="26" t="s">
        <v>78</v>
      </c>
      <c r="N3726" s="26">
        <v>22</v>
      </c>
      <c r="O3726" s="26">
        <v>11</v>
      </c>
      <c r="P3726" s="26">
        <v>11</v>
      </c>
      <c r="Q3726" s="26">
        <v>1</v>
      </c>
      <c r="R3726" s="26">
        <v>0</v>
      </c>
      <c r="S3726" s="26">
        <v>2</v>
      </c>
      <c r="T3726" s="26">
        <v>0</v>
      </c>
      <c r="U3726" s="26">
        <v>2</v>
      </c>
      <c r="V3726" s="26">
        <v>0</v>
      </c>
      <c r="W3726" s="26"/>
    </row>
    <row r="3727" spans="1:23" x14ac:dyDescent="0.25">
      <c r="A3727" s="26" t="s">
        <v>3971</v>
      </c>
      <c r="B3727" s="26" t="s">
        <v>2261</v>
      </c>
      <c r="C3727" s="26" t="s">
        <v>2262</v>
      </c>
      <c r="D3727" s="26" t="s">
        <v>218</v>
      </c>
      <c r="E3727" s="26" t="s">
        <v>2263</v>
      </c>
      <c r="F3727" s="26" t="s">
        <v>2089</v>
      </c>
      <c r="G3727" s="26" t="s">
        <v>265</v>
      </c>
      <c r="H3727" s="26" t="s">
        <v>508</v>
      </c>
      <c r="I3727" s="26" t="s">
        <v>184</v>
      </c>
      <c r="J3727" s="26" t="s">
        <v>322</v>
      </c>
      <c r="K3727" s="26" t="s">
        <v>186</v>
      </c>
      <c r="L3727" s="26" t="s">
        <v>79</v>
      </c>
      <c r="M3727" s="26" t="s">
        <v>78</v>
      </c>
      <c r="N3727" s="26">
        <v>31</v>
      </c>
      <c r="O3727" s="26">
        <v>17</v>
      </c>
      <c r="P3727" s="26">
        <v>14</v>
      </c>
      <c r="Q3727" s="26">
        <v>2</v>
      </c>
      <c r="R3727" s="26">
        <v>0</v>
      </c>
      <c r="S3727" s="26">
        <v>3</v>
      </c>
      <c r="T3727" s="26">
        <v>0</v>
      </c>
      <c r="U3727" s="26">
        <v>3</v>
      </c>
      <c r="V3727" s="26">
        <v>0</v>
      </c>
      <c r="W3727" s="26"/>
    </row>
    <row r="3728" spans="1:23" x14ac:dyDescent="0.25">
      <c r="A3728" s="26" t="s">
        <v>3971</v>
      </c>
      <c r="B3728" s="26" t="s">
        <v>2278</v>
      </c>
      <c r="C3728" s="26" t="s">
        <v>2279</v>
      </c>
      <c r="D3728" s="26" t="s">
        <v>218</v>
      </c>
      <c r="E3728" s="26" t="s">
        <v>2280</v>
      </c>
      <c r="F3728" s="26" t="s">
        <v>326</v>
      </c>
      <c r="G3728" s="26" t="s">
        <v>210</v>
      </c>
      <c r="H3728" s="26" t="s">
        <v>327</v>
      </c>
      <c r="I3728" s="26" t="s">
        <v>184</v>
      </c>
      <c r="J3728" s="26" t="s">
        <v>322</v>
      </c>
      <c r="K3728" s="26" t="s">
        <v>186</v>
      </c>
      <c r="L3728" s="26" t="s">
        <v>79</v>
      </c>
      <c r="M3728" s="26" t="s">
        <v>78</v>
      </c>
      <c r="N3728" s="26">
        <v>15</v>
      </c>
      <c r="O3728" s="26">
        <v>10</v>
      </c>
      <c r="P3728" s="26">
        <v>5</v>
      </c>
      <c r="Q3728" s="26">
        <v>2</v>
      </c>
      <c r="R3728" s="26">
        <v>0</v>
      </c>
      <c r="S3728" s="26">
        <v>1</v>
      </c>
      <c r="T3728" s="26">
        <v>0</v>
      </c>
      <c r="U3728" s="26">
        <v>1</v>
      </c>
      <c r="V3728" s="26">
        <v>0</v>
      </c>
      <c r="W3728" s="26"/>
    </row>
    <row r="3729" spans="1:24" x14ac:dyDescent="0.25">
      <c r="A3729" s="26" t="s">
        <v>3971</v>
      </c>
      <c r="B3729" s="26" t="s">
        <v>2281</v>
      </c>
      <c r="C3729" s="26" t="s">
        <v>2282</v>
      </c>
      <c r="D3729" s="26" t="s">
        <v>218</v>
      </c>
      <c r="E3729" s="26" t="s">
        <v>2283</v>
      </c>
      <c r="F3729" s="26" t="s">
        <v>326</v>
      </c>
      <c r="G3729" s="26" t="s">
        <v>210</v>
      </c>
      <c r="H3729" s="26" t="s">
        <v>327</v>
      </c>
      <c r="I3729" s="26" t="s">
        <v>184</v>
      </c>
      <c r="J3729" s="26" t="s">
        <v>322</v>
      </c>
      <c r="K3729" s="26" t="s">
        <v>186</v>
      </c>
      <c r="L3729" s="26" t="s">
        <v>79</v>
      </c>
      <c r="M3729" s="26" t="s">
        <v>78</v>
      </c>
      <c r="N3729" s="26">
        <v>46</v>
      </c>
      <c r="O3729" s="26">
        <v>26</v>
      </c>
      <c r="P3729" s="26">
        <v>20</v>
      </c>
      <c r="Q3729" s="26">
        <v>2</v>
      </c>
      <c r="R3729" s="26">
        <v>0</v>
      </c>
      <c r="S3729" s="26">
        <v>4</v>
      </c>
      <c r="T3729" s="26">
        <v>0</v>
      </c>
      <c r="U3729" s="26">
        <v>4</v>
      </c>
      <c r="V3729" s="26">
        <v>0</v>
      </c>
      <c r="W3729" s="26"/>
    </row>
    <row r="3730" spans="1:24" x14ac:dyDescent="0.25">
      <c r="A3730" s="26" t="s">
        <v>3971</v>
      </c>
      <c r="B3730" s="26" t="s">
        <v>2379</v>
      </c>
      <c r="C3730" s="26" t="s">
        <v>2380</v>
      </c>
      <c r="D3730" s="26" t="s">
        <v>218</v>
      </c>
      <c r="E3730" s="26" t="s">
        <v>2381</v>
      </c>
      <c r="F3730" s="26" t="s">
        <v>2060</v>
      </c>
      <c r="G3730" s="26" t="s">
        <v>226</v>
      </c>
      <c r="H3730" s="26" t="s">
        <v>603</v>
      </c>
      <c r="I3730" s="26" t="s">
        <v>184</v>
      </c>
      <c r="J3730" s="26" t="s">
        <v>427</v>
      </c>
      <c r="K3730" s="26" t="s">
        <v>2382</v>
      </c>
      <c r="L3730" s="26" t="s">
        <v>79</v>
      </c>
      <c r="M3730" s="26" t="s">
        <v>76</v>
      </c>
      <c r="N3730" s="26">
        <v>14</v>
      </c>
      <c r="O3730" s="26">
        <v>5</v>
      </c>
      <c r="P3730" s="26">
        <v>9</v>
      </c>
      <c r="Q3730" s="26">
        <v>1</v>
      </c>
      <c r="R3730" s="26">
        <v>0</v>
      </c>
      <c r="S3730" s="26">
        <v>2</v>
      </c>
      <c r="T3730" s="26">
        <v>0</v>
      </c>
      <c r="U3730" s="26">
        <v>2</v>
      </c>
      <c r="V3730" s="26">
        <v>0</v>
      </c>
      <c r="W3730" s="26"/>
    </row>
    <row r="3731" spans="1:24" x14ac:dyDescent="0.25">
      <c r="A3731" s="26" t="s">
        <v>3971</v>
      </c>
      <c r="B3731" s="26" t="s">
        <v>2383</v>
      </c>
      <c r="C3731" s="26" t="s">
        <v>2384</v>
      </c>
      <c r="D3731" s="26" t="s">
        <v>179</v>
      </c>
      <c r="E3731" s="26" t="s">
        <v>2385</v>
      </c>
      <c r="F3731" s="26" t="s">
        <v>313</v>
      </c>
      <c r="G3731" s="26" t="s">
        <v>182</v>
      </c>
      <c r="H3731" s="26" t="s">
        <v>399</v>
      </c>
      <c r="I3731" s="26" t="s">
        <v>184</v>
      </c>
      <c r="J3731" s="26" t="s">
        <v>322</v>
      </c>
      <c r="K3731" s="26" t="s">
        <v>2382</v>
      </c>
      <c r="L3731" s="26" t="s">
        <v>79</v>
      </c>
      <c r="M3731" s="26" t="s">
        <v>76</v>
      </c>
      <c r="N3731" s="26">
        <v>36</v>
      </c>
      <c r="O3731" s="26">
        <v>18</v>
      </c>
      <c r="P3731" s="26">
        <v>18</v>
      </c>
      <c r="Q3731" s="26">
        <v>3</v>
      </c>
      <c r="R3731" s="26">
        <v>0</v>
      </c>
      <c r="S3731" s="26">
        <v>14</v>
      </c>
      <c r="T3731" s="26">
        <v>0</v>
      </c>
      <c r="U3731" s="26">
        <v>14</v>
      </c>
      <c r="V3731" s="26">
        <v>0</v>
      </c>
      <c r="W3731" s="26"/>
    </row>
    <row r="3732" spans="1:24" x14ac:dyDescent="0.25">
      <c r="A3732" s="26" t="s">
        <v>3971</v>
      </c>
      <c r="B3732" s="26" t="s">
        <v>2386</v>
      </c>
      <c r="C3732" s="26" t="s">
        <v>2387</v>
      </c>
      <c r="D3732" s="26" t="s">
        <v>218</v>
      </c>
      <c r="E3732" s="26" t="s">
        <v>2388</v>
      </c>
      <c r="F3732" s="26" t="s">
        <v>1014</v>
      </c>
      <c r="G3732" s="26" t="s">
        <v>204</v>
      </c>
      <c r="H3732" s="26" t="s">
        <v>523</v>
      </c>
      <c r="I3732" s="26" t="s">
        <v>184</v>
      </c>
      <c r="J3732" s="26" t="s">
        <v>322</v>
      </c>
      <c r="K3732" s="26" t="s">
        <v>2382</v>
      </c>
      <c r="L3732" s="26" t="s">
        <v>79</v>
      </c>
      <c r="M3732" s="26" t="s">
        <v>76</v>
      </c>
      <c r="N3732" s="26">
        <v>117</v>
      </c>
      <c r="O3732" s="26">
        <v>63</v>
      </c>
      <c r="P3732" s="26">
        <v>54</v>
      </c>
      <c r="Q3732" s="26">
        <v>5</v>
      </c>
      <c r="R3732" s="26">
        <v>0</v>
      </c>
      <c r="S3732" s="26">
        <v>13</v>
      </c>
      <c r="T3732" s="26">
        <v>0</v>
      </c>
      <c r="U3732" s="26">
        <v>13</v>
      </c>
      <c r="V3732" s="26">
        <v>0</v>
      </c>
      <c r="W3732" s="26"/>
    </row>
    <row r="3733" spans="1:24" x14ac:dyDescent="0.25">
      <c r="A3733" s="26" t="s">
        <v>3971</v>
      </c>
      <c r="B3733" s="26" t="s">
        <v>2389</v>
      </c>
      <c r="C3733" s="26" t="s">
        <v>2390</v>
      </c>
      <c r="D3733" s="26" t="s">
        <v>218</v>
      </c>
      <c r="E3733" s="26" t="s">
        <v>2391</v>
      </c>
      <c r="F3733" s="26" t="s">
        <v>1709</v>
      </c>
      <c r="G3733" s="26" t="s">
        <v>293</v>
      </c>
      <c r="H3733" s="26" t="s">
        <v>594</v>
      </c>
      <c r="I3733" s="26" t="s">
        <v>1259</v>
      </c>
      <c r="J3733" s="26" t="s">
        <v>295</v>
      </c>
      <c r="K3733" s="26" t="s">
        <v>296</v>
      </c>
      <c r="L3733" s="26" t="s">
        <v>80</v>
      </c>
      <c r="M3733" s="26" t="s">
        <v>76</v>
      </c>
      <c r="N3733" s="26">
        <v>93</v>
      </c>
      <c r="O3733" s="26">
        <v>48</v>
      </c>
      <c r="P3733" s="26">
        <v>45</v>
      </c>
      <c r="Q3733" s="26">
        <v>6</v>
      </c>
      <c r="R3733" s="26">
        <v>0</v>
      </c>
      <c r="S3733" s="26">
        <v>15</v>
      </c>
      <c r="T3733" s="26">
        <v>0</v>
      </c>
      <c r="U3733" s="26">
        <v>15</v>
      </c>
      <c r="V3733" s="26">
        <v>0</v>
      </c>
      <c r="W3733" s="26"/>
    </row>
    <row r="3734" spans="1:24" x14ac:dyDescent="0.25">
      <c r="A3734" s="26" t="s">
        <v>3971</v>
      </c>
      <c r="B3734" s="26" t="s">
        <v>2392</v>
      </c>
      <c r="C3734" s="26" t="s">
        <v>2393</v>
      </c>
      <c r="D3734" s="26" t="s">
        <v>218</v>
      </c>
      <c r="E3734" s="26" t="s">
        <v>2394</v>
      </c>
      <c r="F3734" s="26" t="s">
        <v>2395</v>
      </c>
      <c r="G3734" s="26" t="s">
        <v>293</v>
      </c>
      <c r="H3734" s="26" t="s">
        <v>294</v>
      </c>
      <c r="I3734" s="26" t="s">
        <v>1259</v>
      </c>
      <c r="J3734" s="26" t="s">
        <v>1145</v>
      </c>
      <c r="K3734" s="26" t="s">
        <v>296</v>
      </c>
      <c r="L3734" s="26" t="s">
        <v>80</v>
      </c>
      <c r="M3734" s="26" t="s">
        <v>76</v>
      </c>
      <c r="N3734" s="26">
        <v>60</v>
      </c>
      <c r="O3734" s="26">
        <v>32</v>
      </c>
      <c r="P3734" s="26">
        <v>28</v>
      </c>
      <c r="Q3734" s="26">
        <v>3</v>
      </c>
      <c r="R3734" s="26">
        <v>0</v>
      </c>
      <c r="S3734" s="26">
        <v>12</v>
      </c>
      <c r="T3734" s="26">
        <v>0</v>
      </c>
      <c r="U3734" s="26">
        <v>12</v>
      </c>
      <c r="V3734" s="26">
        <v>0</v>
      </c>
      <c r="W3734" s="26"/>
    </row>
    <row r="3735" spans="1:24" x14ac:dyDescent="0.25">
      <c r="A3735" s="26" t="s">
        <v>3971</v>
      </c>
      <c r="B3735" s="26" t="s">
        <v>2396</v>
      </c>
      <c r="C3735" s="26" t="s">
        <v>2397</v>
      </c>
      <c r="D3735" s="26" t="s">
        <v>218</v>
      </c>
      <c r="E3735" s="26" t="s">
        <v>2398</v>
      </c>
      <c r="F3735" s="26" t="s">
        <v>2399</v>
      </c>
      <c r="G3735" s="26" t="s">
        <v>226</v>
      </c>
      <c r="H3735" s="26" t="s">
        <v>603</v>
      </c>
      <c r="I3735" s="26" t="s">
        <v>184</v>
      </c>
      <c r="J3735" s="26" t="s">
        <v>427</v>
      </c>
      <c r="K3735" s="26" t="s">
        <v>2382</v>
      </c>
      <c r="L3735" s="26" t="s">
        <v>79</v>
      </c>
      <c r="M3735" s="26" t="s">
        <v>76</v>
      </c>
      <c r="N3735" s="26">
        <v>88</v>
      </c>
      <c r="O3735" s="26">
        <v>43</v>
      </c>
      <c r="P3735" s="26">
        <v>45</v>
      </c>
      <c r="Q3735" s="26">
        <v>6</v>
      </c>
      <c r="R3735" s="26">
        <v>0</v>
      </c>
      <c r="S3735" s="26">
        <v>15</v>
      </c>
      <c r="T3735" s="26">
        <v>0</v>
      </c>
      <c r="U3735" s="26">
        <v>15</v>
      </c>
      <c r="V3735" s="26">
        <v>0</v>
      </c>
      <c r="W3735" s="26"/>
    </row>
    <row r="3736" spans="1:24" x14ac:dyDescent="0.25">
      <c r="A3736" s="27" t="s">
        <v>3983</v>
      </c>
      <c r="V3736" s="28"/>
      <c r="W3736" s="28"/>
      <c r="X3736" s="28"/>
    </row>
    <row r="3737" spans="1:24" x14ac:dyDescent="0.25">
      <c r="A3737" s="27" t="s">
        <v>3984</v>
      </c>
      <c r="V3737" s="28"/>
      <c r="W3737" s="28"/>
      <c r="X3737" s="2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249"/>
  <sheetViews>
    <sheetView showGridLines="0" workbookViewId="0"/>
  </sheetViews>
  <sheetFormatPr baseColWidth="10" defaultRowHeight="15" x14ac:dyDescent="0.25"/>
  <cols>
    <col min="5" max="6" width="11.42578125" customWidth="1"/>
  </cols>
  <sheetData>
    <row r="1" spans="1:23" x14ac:dyDescent="0.25">
      <c r="A1" s="24" t="str">
        <f>"NIVEL"</f>
        <v>NIVEL</v>
      </c>
      <c r="B1" s="24" t="str">
        <f>"CLAVECCT"</f>
        <v>CLAVECCT</v>
      </c>
      <c r="C1" s="24" t="str">
        <f>"NOMBRE_CT"</f>
        <v>NOMBRE_CT</v>
      </c>
      <c r="D1" s="24" t="str">
        <f>"TURNO"</f>
        <v>TURNO</v>
      </c>
      <c r="E1" s="24" t="str">
        <f>"DOMICILIO"</f>
        <v>DOMICILIO</v>
      </c>
      <c r="F1" s="24" t="str">
        <f>"COLONIA"</f>
        <v>COLONIA</v>
      </c>
      <c r="G1" s="24" t="str">
        <f>"DELEGACION"</f>
        <v>DELEGACION</v>
      </c>
      <c r="H1" s="24" t="str">
        <f>"ZONA"</f>
        <v>ZONA</v>
      </c>
      <c r="I1" s="24" t="str">
        <f>"SECTOR"</f>
        <v>SECTOR</v>
      </c>
      <c r="J1" s="24" t="str">
        <f>"DIRSERVREG"</f>
        <v>DIRSERVREG</v>
      </c>
      <c r="K1" s="24" t="str">
        <f>"DEPNORMTVA"</f>
        <v>DEPNORMTVA</v>
      </c>
      <c r="L1" s="24" t="str">
        <f>"DIR_GRAL"</f>
        <v>DIR_GRAL</v>
      </c>
      <c r="M1" s="24" t="str">
        <f>"SOSTENIMIENTO"</f>
        <v>SOSTENIMIENTO</v>
      </c>
      <c r="N1" s="24" t="str">
        <f>"ALUMNOS"</f>
        <v>ALUMNOS</v>
      </c>
      <c r="O1" s="24" t="str">
        <f>"HOMBRES"</f>
        <v>HOMBRES</v>
      </c>
      <c r="P1" s="24" t="str">
        <f>"MUJERES"</f>
        <v>MUJERES</v>
      </c>
      <c r="Q1" s="24" t="str">
        <f>"GRUPOS"</f>
        <v>GRUPOS</v>
      </c>
      <c r="R1" s="24" t="str">
        <f>"DIRECTORES"</f>
        <v>DIRECTORES</v>
      </c>
      <c r="S1" s="24" t="str">
        <f>"DOCENTES"</f>
        <v>DOCENTES</v>
      </c>
      <c r="T1" s="24" t="str">
        <f>"APOYO"</f>
        <v>APOYO</v>
      </c>
      <c r="U1" s="24" t="str">
        <f>"TOTAL"</f>
        <v>TOTAL</v>
      </c>
      <c r="V1" s="24" t="str">
        <f>"ESCUELAS"</f>
        <v>ESCUELAS</v>
      </c>
      <c r="W1" s="25" t="s">
        <v>75</v>
      </c>
    </row>
    <row r="2" spans="1:23" x14ac:dyDescent="0.25">
      <c r="A2" s="26" t="str">
        <f t="shared" ref="A2:A65" si="0">"PRIMARIA"</f>
        <v>PRIMARIA</v>
      </c>
      <c r="B2" s="26" t="str">
        <f>"09DAL0009J"</f>
        <v>09DAL0009J</v>
      </c>
      <c r="C2" s="26" t="str">
        <f>"ESCUELA NACIONAL DE DANZA CLASICA Y CONTEMPORANEA                                                   "</f>
        <v xml:space="preserve">ESCUELA NACIONAL DE DANZA CLASICA Y CONTEMPORANEA                                                   </v>
      </c>
      <c r="D2" s="26" t="str">
        <f>"TIEMPO COMPLETO"</f>
        <v>TIEMPO COMPLETO</v>
      </c>
      <c r="E2" s="26" t="str">
        <f>"AV RIO CHURUBUSCO ESQ CALZ DE TLALPAN                                           "</f>
        <v xml:space="preserve">AV RIO CHURUBUSCO ESQ CALZ DE TLALPAN                                           </v>
      </c>
      <c r="F2" s="26" t="str">
        <f>"COUNTRY CLUB CHURUBUSCO                                                                                                                     "</f>
        <v xml:space="preserve">COUNTRY CLUB CHURUBUSCO                                                                                                                     </v>
      </c>
      <c r="G2" s="26" t="str">
        <f>"COYOACAN                                                                        "</f>
        <v xml:space="preserve">COYOACAN                                                                        </v>
      </c>
      <c r="H2" s="26" t="str">
        <f>"001"</f>
        <v>001</v>
      </c>
      <c r="I2" s="26" t="str">
        <f t="shared" ref="I2:I65" si="1">"00"</f>
        <v>00</v>
      </c>
      <c r="J2" s="26" t="str">
        <f>"92 "</f>
        <v xml:space="preserve">92 </v>
      </c>
      <c r="K2" s="26" t="str">
        <f>"AL"</f>
        <v>AL</v>
      </c>
      <c r="L2" s="26" t="str">
        <f>"INBA"</f>
        <v>INBA</v>
      </c>
      <c r="M2" s="26" t="str">
        <f t="shared" ref="M2:M65" si="2">"FEDERAL"</f>
        <v>FEDERAL</v>
      </c>
      <c r="N2" s="26">
        <v>11</v>
      </c>
      <c r="O2" s="26">
        <v>4</v>
      </c>
      <c r="P2" s="26">
        <v>7</v>
      </c>
      <c r="Q2" s="26">
        <v>2</v>
      </c>
      <c r="R2" s="26">
        <v>1</v>
      </c>
      <c r="S2" s="26">
        <v>2</v>
      </c>
      <c r="T2" s="26">
        <v>5</v>
      </c>
      <c r="U2" s="26">
        <v>8</v>
      </c>
      <c r="V2" s="26">
        <v>1</v>
      </c>
      <c r="W2" s="26"/>
    </row>
    <row r="3" spans="1:23" x14ac:dyDescent="0.25">
      <c r="A3" s="26" t="str">
        <f t="shared" si="0"/>
        <v>PRIMARIA</v>
      </c>
      <c r="B3" s="26" t="str">
        <f>"09DBN0006J"</f>
        <v>09DBN0006J</v>
      </c>
      <c r="C3" s="26" t="str">
        <f>"ANTONIO DE MENDOZA                                                                                  "</f>
        <v xml:space="preserve">ANTONIO DE MENDOZA                                                                                  </v>
      </c>
      <c r="D3" s="26" t="str">
        <f t="shared" ref="D3:D65" si="3">"NOCTURNO"</f>
        <v>NOCTURNO</v>
      </c>
      <c r="E3" s="26" t="str">
        <f>"AV SUR 16 No 1234                                                               "</f>
        <v xml:space="preserve">AV SUR 16 No 1234                                                               </v>
      </c>
      <c r="F3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3" s="26" t="str">
        <f>"IZTACALCO                                                                       "</f>
        <v xml:space="preserve">IZTACALCO                                                                       </v>
      </c>
      <c r="H3" s="26" t="str">
        <f>"821"</f>
        <v>821</v>
      </c>
      <c r="I3" s="26" t="str">
        <f t="shared" si="1"/>
        <v>00</v>
      </c>
      <c r="J3" s="26" t="str">
        <f>"43 "</f>
        <v xml:space="preserve">43 </v>
      </c>
      <c r="K3" s="26" t="str">
        <f t="shared" ref="K3:K39" si="4">"PR"</f>
        <v>PR</v>
      </c>
      <c r="L3" s="26" t="str">
        <f t="shared" ref="L3:L39" si="5">"DGOSE"</f>
        <v>DGOSE</v>
      </c>
      <c r="M3" s="26" t="str">
        <f t="shared" si="2"/>
        <v>FEDERAL</v>
      </c>
      <c r="N3" s="26">
        <v>24</v>
      </c>
      <c r="O3" s="26">
        <v>7</v>
      </c>
      <c r="P3" s="26">
        <v>17</v>
      </c>
      <c r="Q3" s="26">
        <v>6</v>
      </c>
      <c r="R3" s="26">
        <v>1</v>
      </c>
      <c r="S3" s="26">
        <v>2</v>
      </c>
      <c r="T3" s="26">
        <v>1</v>
      </c>
      <c r="U3" s="26">
        <v>4</v>
      </c>
      <c r="V3" s="26">
        <v>1</v>
      </c>
      <c r="W3" s="26"/>
    </row>
    <row r="4" spans="1:23" x14ac:dyDescent="0.25">
      <c r="A4" s="26" t="str">
        <f t="shared" si="0"/>
        <v>PRIMARIA</v>
      </c>
      <c r="B4" s="26" t="str">
        <f>"09DBN0007I"</f>
        <v>09DBN0007I</v>
      </c>
      <c r="C4" s="26" t="str">
        <f>"ESTADO DE PUEBLA                                                                                    "</f>
        <v xml:space="preserve">ESTADO DE PUEBLA                                                                                    </v>
      </c>
      <c r="D4" s="26" t="str">
        <f t="shared" si="3"/>
        <v>NOCTURNO</v>
      </c>
      <c r="E4" s="26" t="str">
        <f>"PLAZA AVIACION No 4                                                             "</f>
        <v xml:space="preserve">PLAZA AVIACION No 4                                                             </v>
      </c>
      <c r="F4" s="26" t="str">
        <f>"MOCTEZUMA 1A SECCION                                                                                                                        "</f>
        <v xml:space="preserve">MOCTEZUMA 1A SECCION                                                                                                                        </v>
      </c>
      <c r="G4" s="26" t="str">
        <f>"VENUSTIANO CARRANZA                                                             "</f>
        <v xml:space="preserve">VENUSTIANO CARRANZA                                                             </v>
      </c>
      <c r="H4" s="26" t="str">
        <f>"816"</f>
        <v>816</v>
      </c>
      <c r="I4" s="26" t="str">
        <f t="shared" si="1"/>
        <v>00</v>
      </c>
      <c r="J4" s="26" t="str">
        <f>"43 "</f>
        <v xml:space="preserve">43 </v>
      </c>
      <c r="K4" s="26" t="str">
        <f t="shared" si="4"/>
        <v>PR</v>
      </c>
      <c r="L4" s="26" t="str">
        <f t="shared" si="5"/>
        <v>DGOSE</v>
      </c>
      <c r="M4" s="26" t="str">
        <f t="shared" si="2"/>
        <v>FEDERAL</v>
      </c>
      <c r="N4" s="26">
        <v>20</v>
      </c>
      <c r="O4" s="26">
        <v>6</v>
      </c>
      <c r="P4" s="26">
        <v>14</v>
      </c>
      <c r="Q4" s="26">
        <v>6</v>
      </c>
      <c r="R4" s="26">
        <v>0</v>
      </c>
      <c r="S4" s="26">
        <v>1</v>
      </c>
      <c r="T4" s="26">
        <v>1</v>
      </c>
      <c r="U4" s="26">
        <v>2</v>
      </c>
      <c r="V4" s="26">
        <v>1</v>
      </c>
      <c r="W4" s="26"/>
    </row>
    <row r="5" spans="1:23" x14ac:dyDescent="0.25">
      <c r="A5" s="26" t="str">
        <f t="shared" si="0"/>
        <v>PRIMARIA</v>
      </c>
      <c r="B5" s="26" t="str">
        <f>"09DBN0008H"</f>
        <v>09DBN0008H</v>
      </c>
      <c r="C5" s="26" t="str">
        <f>"ESTADO DE MEXICO                                                                                    "</f>
        <v xml:space="preserve">ESTADO DE MEXICO                                                                                    </v>
      </c>
      <c r="D5" s="26" t="str">
        <f t="shared" si="3"/>
        <v>NOCTURNO</v>
      </c>
      <c r="E5" s="26" t="str">
        <f>"MARTIRES DE CHICAGO Y FELIX GOMEZ S.N.                                          "</f>
        <v xml:space="preserve">MARTIRES DE CHICAGO Y FELIX GOMEZ S.N.                                          </v>
      </c>
      <c r="F5" s="26" t="str">
        <f>"PRIMERO DE MAYO                                                                                                                             "</f>
        <v xml:space="preserve">PRIMERO DE MAYO                                                                                                                             </v>
      </c>
      <c r="G5" s="26" t="str">
        <f>"VENUSTIANO CARRANZA                                                             "</f>
        <v xml:space="preserve">VENUSTIANO CARRANZA                                                             </v>
      </c>
      <c r="H5" s="26" t="str">
        <f>"816"</f>
        <v>816</v>
      </c>
      <c r="I5" s="26" t="str">
        <f t="shared" si="1"/>
        <v>00</v>
      </c>
      <c r="J5" s="26" t="str">
        <f>"43 "</f>
        <v xml:space="preserve">43 </v>
      </c>
      <c r="K5" s="26" t="str">
        <f t="shared" si="4"/>
        <v>PR</v>
      </c>
      <c r="L5" s="26" t="str">
        <f t="shared" si="5"/>
        <v>DGOSE</v>
      </c>
      <c r="M5" s="26" t="str">
        <f t="shared" si="2"/>
        <v>FEDERAL</v>
      </c>
      <c r="N5" s="26">
        <v>15</v>
      </c>
      <c r="O5" s="26">
        <v>6</v>
      </c>
      <c r="P5" s="26">
        <v>9</v>
      </c>
      <c r="Q5" s="26">
        <v>5</v>
      </c>
      <c r="R5" s="26">
        <v>0</v>
      </c>
      <c r="S5" s="26">
        <v>1</v>
      </c>
      <c r="T5" s="26">
        <v>1</v>
      </c>
      <c r="U5" s="26">
        <v>2</v>
      </c>
      <c r="V5" s="26">
        <v>1</v>
      </c>
      <c r="W5" s="26"/>
    </row>
    <row r="6" spans="1:23" x14ac:dyDescent="0.25">
      <c r="A6" s="26" t="str">
        <f t="shared" si="0"/>
        <v>PRIMARIA</v>
      </c>
      <c r="B6" s="26" t="str">
        <f>"09DBN0011V"</f>
        <v>09DBN0011V</v>
      </c>
      <c r="C6" s="26" t="str">
        <f>"CHAPULTEPEC                                                                                         "</f>
        <v xml:space="preserve">CHAPULTEPEC                                                                                         </v>
      </c>
      <c r="D6" s="26" t="str">
        <f t="shared" si="3"/>
        <v>NOCTURNO</v>
      </c>
      <c r="E6" s="26" t="str">
        <f>"PASEO DE LA REFORMA NO 125                                                      "</f>
        <v xml:space="preserve">PASEO DE LA REFORMA NO 125                                                      </v>
      </c>
      <c r="F6" s="26" t="str">
        <f>"LOMAS DE CHAPULTEPEC                                                                                                                        "</f>
        <v xml:space="preserve">LOMAS DE CHAPULTEPEC                                                                                                                        </v>
      </c>
      <c r="G6" s="26" t="str">
        <f>"MIGUEL HIDALGO                                                                  "</f>
        <v xml:space="preserve">MIGUEL HIDALGO                                                                  </v>
      </c>
      <c r="H6" s="26" t="str">
        <f>"809"</f>
        <v>809</v>
      </c>
      <c r="I6" s="26" t="str">
        <f t="shared" si="1"/>
        <v>00</v>
      </c>
      <c r="J6" s="26" t="str">
        <f>"42 "</f>
        <v xml:space="preserve">42 </v>
      </c>
      <c r="K6" s="26" t="str">
        <f t="shared" si="4"/>
        <v>PR</v>
      </c>
      <c r="L6" s="26" t="str">
        <f t="shared" si="5"/>
        <v>DGOSE</v>
      </c>
      <c r="M6" s="26" t="str">
        <f t="shared" si="2"/>
        <v>FEDERAL</v>
      </c>
      <c r="N6" s="26">
        <v>18</v>
      </c>
      <c r="O6" s="26">
        <v>4</v>
      </c>
      <c r="P6" s="26">
        <v>14</v>
      </c>
      <c r="Q6" s="26">
        <v>3</v>
      </c>
      <c r="R6" s="26">
        <v>1</v>
      </c>
      <c r="S6" s="26">
        <v>3</v>
      </c>
      <c r="T6" s="26">
        <v>2</v>
      </c>
      <c r="U6" s="26">
        <v>6</v>
      </c>
      <c r="V6" s="26">
        <v>1</v>
      </c>
      <c r="W6" s="26"/>
    </row>
    <row r="7" spans="1:23" x14ac:dyDescent="0.25">
      <c r="A7" s="26" t="str">
        <f t="shared" si="0"/>
        <v>PRIMARIA</v>
      </c>
      <c r="B7" s="26" t="str">
        <f>"09DBN0015R"</f>
        <v>09DBN0015R</v>
      </c>
      <c r="C7" s="26" t="str">
        <f>"CENTRO URBANO PRESIDENTE ALEMAN                                                                     "</f>
        <v xml:space="preserve">CENTRO URBANO PRESIDENTE ALEMAN                                                                     </v>
      </c>
      <c r="D7" s="26" t="str">
        <f t="shared" si="3"/>
        <v>NOCTURNO</v>
      </c>
      <c r="E7" s="26" t="str">
        <f>"AV COYOACAN No 1328                                                             "</f>
        <v xml:space="preserve">AV COYOACAN No 1328                                                             </v>
      </c>
      <c r="F7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7" s="26" t="str">
        <f>"BENITO JUAREZ                                                                   "</f>
        <v xml:space="preserve">BENITO JUAREZ                                                                   </v>
      </c>
      <c r="H7" s="26" t="str">
        <f>"820"</f>
        <v>820</v>
      </c>
      <c r="I7" s="26" t="str">
        <f t="shared" si="1"/>
        <v>00</v>
      </c>
      <c r="J7" s="26" t="str">
        <f>"43 "</f>
        <v xml:space="preserve">43 </v>
      </c>
      <c r="K7" s="26" t="str">
        <f t="shared" si="4"/>
        <v>PR</v>
      </c>
      <c r="L7" s="26" t="str">
        <f t="shared" si="5"/>
        <v>DGOSE</v>
      </c>
      <c r="M7" s="26" t="str">
        <f t="shared" si="2"/>
        <v>FEDERAL</v>
      </c>
      <c r="N7" s="26">
        <v>20</v>
      </c>
      <c r="O7" s="26">
        <v>8</v>
      </c>
      <c r="P7" s="26">
        <v>12</v>
      </c>
      <c r="Q7" s="26">
        <v>5</v>
      </c>
      <c r="R7" s="26">
        <v>1</v>
      </c>
      <c r="S7" s="26">
        <v>2</v>
      </c>
      <c r="T7" s="26">
        <v>1</v>
      </c>
      <c r="U7" s="26">
        <v>4</v>
      </c>
      <c r="V7" s="26">
        <v>1</v>
      </c>
      <c r="W7" s="26"/>
    </row>
    <row r="8" spans="1:23" x14ac:dyDescent="0.25">
      <c r="A8" s="26" t="str">
        <f t="shared" si="0"/>
        <v>PRIMARIA</v>
      </c>
      <c r="B8" s="26" t="str">
        <f>"09DBN0017P"</f>
        <v>09DBN0017P</v>
      </c>
      <c r="C8" s="26" t="str">
        <f>"ANTONIO GARCIA CUBAS                                                                                "</f>
        <v xml:space="preserve">ANTONIO GARCIA CUBAS                                                                                </v>
      </c>
      <c r="D8" s="26" t="str">
        <f t="shared" si="3"/>
        <v>NOCTURNO</v>
      </c>
      <c r="E8" s="26" t="str">
        <f>"CALZ DE LA VIGA NO 865                                                          "</f>
        <v xml:space="preserve">CALZ DE LA VIGA NO 865                                                          </v>
      </c>
      <c r="F8" s="26" t="str">
        <f>"IZTACALCO                                                                                                                                   "</f>
        <v xml:space="preserve">IZTACALCO                                                                                                                                   </v>
      </c>
      <c r="G8" s="26" t="str">
        <f>"IZTACALCO                                                                       "</f>
        <v xml:space="preserve">IZTACALCO                                                                       </v>
      </c>
      <c r="H8" s="26" t="str">
        <f>"821"</f>
        <v>821</v>
      </c>
      <c r="I8" s="26" t="str">
        <f t="shared" si="1"/>
        <v>00</v>
      </c>
      <c r="J8" s="26" t="str">
        <f>"43 "</f>
        <v xml:space="preserve">43 </v>
      </c>
      <c r="K8" s="26" t="str">
        <f t="shared" si="4"/>
        <v>PR</v>
      </c>
      <c r="L8" s="26" t="str">
        <f t="shared" si="5"/>
        <v>DGOSE</v>
      </c>
      <c r="M8" s="26" t="str">
        <f t="shared" si="2"/>
        <v>FEDERAL</v>
      </c>
      <c r="N8" s="26">
        <v>40</v>
      </c>
      <c r="O8" s="26">
        <v>12</v>
      </c>
      <c r="P8" s="26">
        <v>28</v>
      </c>
      <c r="Q8" s="26">
        <v>6</v>
      </c>
      <c r="R8" s="26">
        <v>1</v>
      </c>
      <c r="S8" s="26">
        <v>2</v>
      </c>
      <c r="T8" s="26">
        <v>1</v>
      </c>
      <c r="U8" s="26">
        <v>4</v>
      </c>
      <c r="V8" s="26">
        <v>1</v>
      </c>
      <c r="W8" s="26"/>
    </row>
    <row r="9" spans="1:23" x14ac:dyDescent="0.25">
      <c r="A9" s="26" t="str">
        <f t="shared" si="0"/>
        <v>PRIMARIA</v>
      </c>
      <c r="B9" s="26" t="str">
        <f>"09DBN0019N"</f>
        <v>09DBN0019N</v>
      </c>
      <c r="C9" s="26" t="str">
        <f>"PRESIDENTE MIGUEL ALEMAN                                                                            "</f>
        <v xml:space="preserve">PRESIDENTE MIGUEL ALEMAN                                                                            </v>
      </c>
      <c r="D9" s="26" t="str">
        <f t="shared" si="3"/>
        <v>NOCTURNO</v>
      </c>
      <c r="E9" s="26" t="str">
        <f>"LAZARO CARDENAS NO 726                                                          "</f>
        <v xml:space="preserve">LAZARO CARDENAS NO 726                                                          </v>
      </c>
      <c r="F9" s="26" t="str">
        <f>"POSTAL                                                                                                                                      "</f>
        <v xml:space="preserve">POSTAL                                                                                                                                      </v>
      </c>
      <c r="G9" s="26" t="str">
        <f>"BENITO JUAREZ                                                                   "</f>
        <v xml:space="preserve">BENITO JUAREZ                                                                   </v>
      </c>
      <c r="H9" s="26" t="str">
        <f>"819"</f>
        <v>819</v>
      </c>
      <c r="I9" s="26" t="str">
        <f t="shared" si="1"/>
        <v>00</v>
      </c>
      <c r="J9" s="26" t="str">
        <f>"43 "</f>
        <v xml:space="preserve">43 </v>
      </c>
      <c r="K9" s="26" t="str">
        <f t="shared" si="4"/>
        <v>PR</v>
      </c>
      <c r="L9" s="26" t="str">
        <f t="shared" si="5"/>
        <v>DGOSE</v>
      </c>
      <c r="M9" s="26" t="str">
        <f t="shared" si="2"/>
        <v>FEDERAL</v>
      </c>
      <c r="N9" s="26">
        <v>24</v>
      </c>
      <c r="O9" s="26">
        <v>5</v>
      </c>
      <c r="P9" s="26">
        <v>19</v>
      </c>
      <c r="Q9" s="26">
        <v>6</v>
      </c>
      <c r="R9" s="26">
        <v>0</v>
      </c>
      <c r="S9" s="26">
        <v>2</v>
      </c>
      <c r="T9" s="26">
        <v>1</v>
      </c>
      <c r="U9" s="26">
        <v>3</v>
      </c>
      <c r="V9" s="26">
        <v>1</v>
      </c>
      <c r="W9" s="26"/>
    </row>
    <row r="10" spans="1:23" x14ac:dyDescent="0.25">
      <c r="A10" s="26" t="str">
        <f t="shared" si="0"/>
        <v>PRIMARIA</v>
      </c>
      <c r="B10" s="26" t="str">
        <f>"09DBN0024Z"</f>
        <v>09DBN0024Z</v>
      </c>
      <c r="C10" s="26" t="str">
        <f>"ANGEL ALBINO CORZO                                                                                  "</f>
        <v xml:space="preserve">ANGEL ALBINO CORZO                                                                                  </v>
      </c>
      <c r="D10" s="26" t="str">
        <f t="shared" si="3"/>
        <v>NOCTURNO</v>
      </c>
      <c r="E10" s="26" t="str">
        <f>"BOLIVAR NO 628                                                                  "</f>
        <v xml:space="preserve">BOLIVAR NO 628                                                                  </v>
      </c>
      <c r="F10" s="26" t="str">
        <f>"ALAMOS                                                                                                                                      "</f>
        <v xml:space="preserve">ALAMOS                                                                                                                                      </v>
      </c>
      <c r="G10" s="26" t="str">
        <f>"BENITO JUAREZ                                                                   "</f>
        <v xml:space="preserve">BENITO JUAREZ                                                                   </v>
      </c>
      <c r="H10" s="26" t="str">
        <f>"819"</f>
        <v>819</v>
      </c>
      <c r="I10" s="26" t="str">
        <f t="shared" si="1"/>
        <v>00</v>
      </c>
      <c r="J10" s="26" t="str">
        <f>"43 "</f>
        <v xml:space="preserve">43 </v>
      </c>
      <c r="K10" s="26" t="str">
        <f t="shared" si="4"/>
        <v>PR</v>
      </c>
      <c r="L10" s="26" t="str">
        <f t="shared" si="5"/>
        <v>DGOSE</v>
      </c>
      <c r="M10" s="26" t="str">
        <f t="shared" si="2"/>
        <v>FEDERAL</v>
      </c>
      <c r="N10" s="26">
        <v>26</v>
      </c>
      <c r="O10" s="26">
        <v>8</v>
      </c>
      <c r="P10" s="26">
        <v>18</v>
      </c>
      <c r="Q10" s="26">
        <v>6</v>
      </c>
      <c r="R10" s="26">
        <v>1</v>
      </c>
      <c r="S10" s="26">
        <v>3</v>
      </c>
      <c r="T10" s="26">
        <v>4</v>
      </c>
      <c r="U10" s="26">
        <v>8</v>
      </c>
      <c r="V10" s="26">
        <v>1</v>
      </c>
      <c r="W10" s="26"/>
    </row>
    <row r="11" spans="1:23" x14ac:dyDescent="0.25">
      <c r="A11" s="26" t="str">
        <f t="shared" si="0"/>
        <v>PRIMARIA</v>
      </c>
      <c r="B11" s="26" t="str">
        <f>"09DBN0025Y"</f>
        <v>09DBN0025Y</v>
      </c>
      <c r="C11" s="26" t="str">
        <f>"CARLOS A. CARRILLO                                                                                  "</f>
        <v xml:space="preserve">CARLOS A. CARRILLO                                                                                  </v>
      </c>
      <c r="D11" s="26" t="str">
        <f t="shared" si="3"/>
        <v>NOCTURNO</v>
      </c>
      <c r="E11" s="26" t="str">
        <f>"MUNICIPIO LIBRE NO 1301                                                         "</f>
        <v xml:space="preserve">MUNICIPIO LIBRE NO 1301                                                         </v>
      </c>
      <c r="F11" s="26" t="str">
        <f>"BENITO JUAREZ                                                                                                                               "</f>
        <v xml:space="preserve">BENITO JUAREZ                                                                                                                               </v>
      </c>
      <c r="G11" s="26" t="str">
        <f>"BENITO JUAREZ                                                                   "</f>
        <v xml:space="preserve">BENITO JUAREZ                                                                   </v>
      </c>
      <c r="H11" s="26" t="str">
        <f>"820"</f>
        <v>820</v>
      </c>
      <c r="I11" s="26" t="str">
        <f t="shared" si="1"/>
        <v>00</v>
      </c>
      <c r="J11" s="26" t="str">
        <f>"43 "</f>
        <v xml:space="preserve">43 </v>
      </c>
      <c r="K11" s="26" t="str">
        <f t="shared" si="4"/>
        <v>PR</v>
      </c>
      <c r="L11" s="26" t="str">
        <f t="shared" si="5"/>
        <v>DGOSE</v>
      </c>
      <c r="M11" s="26" t="str">
        <f t="shared" si="2"/>
        <v>FEDERAL</v>
      </c>
      <c r="N11" s="26">
        <v>31</v>
      </c>
      <c r="O11" s="26">
        <v>12</v>
      </c>
      <c r="P11" s="26">
        <v>19</v>
      </c>
      <c r="Q11" s="26">
        <v>6</v>
      </c>
      <c r="R11" s="26">
        <v>1</v>
      </c>
      <c r="S11" s="26">
        <v>3</v>
      </c>
      <c r="T11" s="26">
        <v>2</v>
      </c>
      <c r="U11" s="26">
        <v>6</v>
      </c>
      <c r="V11" s="26">
        <v>1</v>
      </c>
      <c r="W11" s="26"/>
    </row>
    <row r="12" spans="1:23" x14ac:dyDescent="0.25">
      <c r="A12" s="26" t="str">
        <f t="shared" si="0"/>
        <v>PRIMARIA</v>
      </c>
      <c r="B12" s="26" t="str">
        <f>"09DBN0027W"</f>
        <v>09DBN0027W</v>
      </c>
      <c r="C12" s="26" t="str">
        <f>"VEINTE DE NOVIEMBRE                                                                                 "</f>
        <v xml:space="preserve">VEINTE DE NOVIEMBRE                                                                                 </v>
      </c>
      <c r="D12" s="26" t="str">
        <f t="shared" si="3"/>
        <v>NOCTURNO</v>
      </c>
      <c r="E12" s="26" t="str">
        <f>"SERAPIO RENDON NO 48                                                            "</f>
        <v xml:space="preserve">SERAPIO RENDON NO 48                                                            </v>
      </c>
      <c r="F12" s="26" t="str">
        <f>"SAN RAFAEL                                                                                                                                  "</f>
        <v xml:space="preserve">SAN RAFAEL                                                                                                                                  </v>
      </c>
      <c r="G12" s="26" t="str">
        <f>"CUAUHTEMOC                                                                      "</f>
        <v xml:space="preserve">CUAUHTEMOC                                                                      </v>
      </c>
      <c r="H12" s="26" t="str">
        <f>"803"</f>
        <v>803</v>
      </c>
      <c r="I12" s="26" t="str">
        <f t="shared" si="1"/>
        <v>00</v>
      </c>
      <c r="J12" s="26" t="str">
        <f t="shared" ref="J12:J28" si="6">"42 "</f>
        <v xml:space="preserve">42 </v>
      </c>
      <c r="K12" s="26" t="str">
        <f t="shared" si="4"/>
        <v>PR</v>
      </c>
      <c r="L12" s="26" t="str">
        <f t="shared" si="5"/>
        <v>DGOSE</v>
      </c>
      <c r="M12" s="26" t="str">
        <f t="shared" si="2"/>
        <v>FEDERAL</v>
      </c>
      <c r="N12" s="26">
        <v>25</v>
      </c>
      <c r="O12" s="26">
        <v>11</v>
      </c>
      <c r="P12" s="26">
        <v>14</v>
      </c>
      <c r="Q12" s="26">
        <v>3</v>
      </c>
      <c r="R12" s="26">
        <v>1</v>
      </c>
      <c r="S12" s="26">
        <v>3</v>
      </c>
      <c r="T12" s="26">
        <v>3</v>
      </c>
      <c r="U12" s="26">
        <v>7</v>
      </c>
      <c r="V12" s="26">
        <v>1</v>
      </c>
      <c r="W12" s="26"/>
    </row>
    <row r="13" spans="1:23" x14ac:dyDescent="0.25">
      <c r="A13" s="26" t="str">
        <f t="shared" si="0"/>
        <v>PRIMARIA</v>
      </c>
      <c r="B13" s="26" t="str">
        <f>"09DBN0029U"</f>
        <v>09DBN0029U</v>
      </c>
      <c r="C13" s="26" t="str">
        <f>"ARTICULO 27                                                                                         "</f>
        <v xml:space="preserve">ARTICULO 27                                                                                         </v>
      </c>
      <c r="D13" s="26" t="str">
        <f t="shared" si="3"/>
        <v>NOCTURNO</v>
      </c>
      <c r="E13" s="26" t="str">
        <f>"AV 17 DE MAYO Y MONTEVIDEO                                                      "</f>
        <v xml:space="preserve">AV 17 DE MAYO Y MONTEVIDEO                                                      </v>
      </c>
      <c r="F13" s="26" t="str">
        <f>"SAN BARTOLO ATEPEHUACAN                                                                                                                     "</f>
        <v xml:space="preserve">SAN BARTOLO ATEPEHUACAN                                                                                                                     </v>
      </c>
      <c r="G13" s="26" t="str">
        <f t="shared" ref="G13:G19" si="7">"GUSTAVO A. MADERO                                                               "</f>
        <v xml:space="preserve">GUSTAVO A. MADERO                                                               </v>
      </c>
      <c r="H13" s="26" t="str">
        <f>"811"</f>
        <v>811</v>
      </c>
      <c r="I13" s="26" t="str">
        <f t="shared" si="1"/>
        <v>00</v>
      </c>
      <c r="J13" s="26" t="str">
        <f t="shared" si="6"/>
        <v xml:space="preserve">42 </v>
      </c>
      <c r="K13" s="26" t="str">
        <f t="shared" si="4"/>
        <v>PR</v>
      </c>
      <c r="L13" s="26" t="str">
        <f t="shared" si="5"/>
        <v>DGOSE</v>
      </c>
      <c r="M13" s="26" t="str">
        <f t="shared" si="2"/>
        <v>FEDERAL</v>
      </c>
      <c r="N13" s="26">
        <v>19</v>
      </c>
      <c r="O13" s="26">
        <v>2</v>
      </c>
      <c r="P13" s="26">
        <v>17</v>
      </c>
      <c r="Q13" s="26">
        <v>3</v>
      </c>
      <c r="R13" s="26">
        <v>1</v>
      </c>
      <c r="S13" s="26">
        <v>3</v>
      </c>
      <c r="T13" s="26">
        <v>1</v>
      </c>
      <c r="U13" s="26">
        <v>5</v>
      </c>
      <c r="V13" s="26">
        <v>1</v>
      </c>
      <c r="W13" s="26"/>
    </row>
    <row r="14" spans="1:23" x14ac:dyDescent="0.25">
      <c r="A14" s="26" t="str">
        <f t="shared" si="0"/>
        <v>PRIMARIA</v>
      </c>
      <c r="B14" s="26" t="str">
        <f>"09DBN0030J"</f>
        <v>09DBN0030J</v>
      </c>
      <c r="C14" s="26" t="str">
        <f>"MAESTRO CARLOS GONZALEZ PEÑA                                                                        "</f>
        <v xml:space="preserve">MAESTRO CARLOS GONZALEZ PEÑA                                                                        </v>
      </c>
      <c r="D14" s="26" t="str">
        <f t="shared" si="3"/>
        <v>NOCTURNO</v>
      </c>
      <c r="E14" s="26" t="str">
        <f>"0RIENTE 153 NO 3708 Y NORTE 72                                                  "</f>
        <v xml:space="preserve">0RIENTE 153 NO 3708 Y NORTE 72                                                  </v>
      </c>
      <c r="F14" s="26" t="str">
        <f>"MARTIRES DE RIO BLANCO                                                                                                                      "</f>
        <v xml:space="preserve">MARTIRES DE RIO BLANCO                                                                                                                      </v>
      </c>
      <c r="G14" s="26" t="str">
        <f t="shared" si="7"/>
        <v xml:space="preserve">GUSTAVO A. MADERO                                                               </v>
      </c>
      <c r="H14" s="26" t="str">
        <f>"814"</f>
        <v>814</v>
      </c>
      <c r="I14" s="26" t="str">
        <f t="shared" si="1"/>
        <v>00</v>
      </c>
      <c r="J14" s="26" t="str">
        <f t="shared" si="6"/>
        <v xml:space="preserve">42 </v>
      </c>
      <c r="K14" s="26" t="str">
        <f t="shared" si="4"/>
        <v>PR</v>
      </c>
      <c r="L14" s="26" t="str">
        <f t="shared" si="5"/>
        <v>DGOSE</v>
      </c>
      <c r="M14" s="26" t="str">
        <f t="shared" si="2"/>
        <v>FEDERAL</v>
      </c>
      <c r="N14" s="26">
        <v>21</v>
      </c>
      <c r="O14" s="26">
        <v>5</v>
      </c>
      <c r="P14" s="26">
        <v>16</v>
      </c>
      <c r="Q14" s="26">
        <v>5</v>
      </c>
      <c r="R14" s="26">
        <v>1</v>
      </c>
      <c r="S14" s="26">
        <v>3</v>
      </c>
      <c r="T14" s="26">
        <v>1</v>
      </c>
      <c r="U14" s="26">
        <v>5</v>
      </c>
      <c r="V14" s="26">
        <v>1</v>
      </c>
      <c r="W14" s="26"/>
    </row>
    <row r="15" spans="1:23" x14ac:dyDescent="0.25">
      <c r="A15" s="26" t="str">
        <f t="shared" si="0"/>
        <v>PRIMARIA</v>
      </c>
      <c r="B15" s="26" t="str">
        <f>"09DBN0032H"</f>
        <v>09DBN0032H</v>
      </c>
      <c r="C15" s="26" t="str">
        <f>"MTRA. GUADALUPE NUÑEZ Y PARRA                                                                       "</f>
        <v xml:space="preserve">MTRA. GUADALUPE NUÑEZ Y PARRA                                                                       </v>
      </c>
      <c r="D15" s="26" t="str">
        <f t="shared" si="3"/>
        <v>NOCTURNO</v>
      </c>
      <c r="E15" s="26" t="str">
        <f>"CALZ MISTERIOS NO 795                                                           "</f>
        <v xml:space="preserve">CALZ MISTERIOS NO 795                                                           </v>
      </c>
      <c r="F15" s="26" t="str">
        <f>"GUSTAVO A. MADERO                                                                                                                           "</f>
        <v xml:space="preserve">GUSTAVO A. MADERO                                                                                                                           </v>
      </c>
      <c r="G15" s="26" t="str">
        <f t="shared" si="7"/>
        <v xml:space="preserve">GUSTAVO A. MADERO                                                               </v>
      </c>
      <c r="H15" s="26" t="str">
        <f>"813"</f>
        <v>813</v>
      </c>
      <c r="I15" s="26" t="str">
        <f t="shared" si="1"/>
        <v>00</v>
      </c>
      <c r="J15" s="26" t="str">
        <f t="shared" si="6"/>
        <v xml:space="preserve">42 </v>
      </c>
      <c r="K15" s="26" t="str">
        <f t="shared" si="4"/>
        <v>PR</v>
      </c>
      <c r="L15" s="26" t="str">
        <f t="shared" si="5"/>
        <v>DGOSE</v>
      </c>
      <c r="M15" s="26" t="str">
        <f t="shared" si="2"/>
        <v>FEDERAL</v>
      </c>
      <c r="N15" s="26">
        <v>18</v>
      </c>
      <c r="O15" s="26">
        <v>6</v>
      </c>
      <c r="P15" s="26">
        <v>12</v>
      </c>
      <c r="Q15" s="26">
        <v>5</v>
      </c>
      <c r="R15" s="26">
        <v>1</v>
      </c>
      <c r="S15" s="26">
        <v>3</v>
      </c>
      <c r="T15" s="26">
        <v>2</v>
      </c>
      <c r="U15" s="26">
        <v>6</v>
      </c>
      <c r="V15" s="26">
        <v>1</v>
      </c>
      <c r="W15" s="26"/>
    </row>
    <row r="16" spans="1:23" x14ac:dyDescent="0.25">
      <c r="A16" s="26" t="str">
        <f t="shared" si="0"/>
        <v>PRIMARIA</v>
      </c>
      <c r="B16" s="26" t="str">
        <f>"09DBN0033G"</f>
        <v>09DBN0033G</v>
      </c>
      <c r="C16" s="26" t="str">
        <f>"GENERACION 21-22                                                                                    "</f>
        <v xml:space="preserve">GENERACION 21-22                                                                                    </v>
      </c>
      <c r="D16" s="26" t="str">
        <f t="shared" si="3"/>
        <v>NOCTURNO</v>
      </c>
      <c r="E16" s="26" t="str">
        <f>"PONIENTE 112 Y AV IPN S/N                                                       "</f>
        <v xml:space="preserve">PONIENTE 112 Y AV IPN S/N                                                       </v>
      </c>
      <c r="F16" s="26" t="str">
        <f>"TLACAMACA                                                                                                                                   "</f>
        <v xml:space="preserve">TLACAMACA                                                                                                                                   </v>
      </c>
      <c r="G16" s="26" t="str">
        <f t="shared" si="7"/>
        <v xml:space="preserve">GUSTAVO A. MADERO                                                               </v>
      </c>
      <c r="H16" s="26" t="str">
        <f>"813"</f>
        <v>813</v>
      </c>
      <c r="I16" s="26" t="str">
        <f t="shared" si="1"/>
        <v>00</v>
      </c>
      <c r="J16" s="26" t="str">
        <f t="shared" si="6"/>
        <v xml:space="preserve">42 </v>
      </c>
      <c r="K16" s="26" t="str">
        <f t="shared" si="4"/>
        <v>PR</v>
      </c>
      <c r="L16" s="26" t="str">
        <f t="shared" si="5"/>
        <v>DGOSE</v>
      </c>
      <c r="M16" s="26" t="str">
        <f t="shared" si="2"/>
        <v>FEDERAL</v>
      </c>
      <c r="N16" s="26">
        <v>21</v>
      </c>
      <c r="O16" s="26">
        <v>8</v>
      </c>
      <c r="P16" s="26">
        <v>13</v>
      </c>
      <c r="Q16" s="26">
        <v>4</v>
      </c>
      <c r="R16" s="26">
        <v>0</v>
      </c>
      <c r="S16" s="26">
        <v>4</v>
      </c>
      <c r="T16" s="26">
        <v>0</v>
      </c>
      <c r="U16" s="26">
        <v>4</v>
      </c>
      <c r="V16" s="26">
        <v>1</v>
      </c>
      <c r="W16" s="26"/>
    </row>
    <row r="17" spans="1:23" x14ac:dyDescent="0.25">
      <c r="A17" s="26" t="str">
        <f t="shared" si="0"/>
        <v>PRIMARIA</v>
      </c>
      <c r="B17" s="26" t="str">
        <f>"09DBN0034F"</f>
        <v>09DBN0034F</v>
      </c>
      <c r="C17" s="26" t="str">
        <f>"WINSTON CHURCHILL                                                                                   "</f>
        <v xml:space="preserve">WINSTON CHURCHILL                                                                                   </v>
      </c>
      <c r="D17" s="26" t="str">
        <f t="shared" si="3"/>
        <v>NOCTURNO</v>
      </c>
      <c r="E17" s="26" t="str">
        <f>"AV 563 PLAZA 10                                                                 "</f>
        <v xml:space="preserve">AV 563 PLAZA 10                                                                 </v>
      </c>
      <c r="F17" s="26" t="str">
        <f>"UNIDAD SAN JUAN DE ARAGON                                                                                                                   "</f>
        <v xml:space="preserve">UNIDAD SAN JUAN DE ARAGON                                                                                                                   </v>
      </c>
      <c r="G17" s="26" t="str">
        <f t="shared" si="7"/>
        <v xml:space="preserve">GUSTAVO A. MADERO                                                               </v>
      </c>
      <c r="H17" s="26" t="str">
        <f>"814"</f>
        <v>814</v>
      </c>
      <c r="I17" s="26" t="str">
        <f t="shared" si="1"/>
        <v>00</v>
      </c>
      <c r="J17" s="26" t="str">
        <f t="shared" si="6"/>
        <v xml:space="preserve">42 </v>
      </c>
      <c r="K17" s="26" t="str">
        <f t="shared" si="4"/>
        <v>PR</v>
      </c>
      <c r="L17" s="26" t="str">
        <f t="shared" si="5"/>
        <v>DGOSE</v>
      </c>
      <c r="M17" s="26" t="str">
        <f t="shared" si="2"/>
        <v>FEDERAL</v>
      </c>
      <c r="N17" s="26">
        <v>20</v>
      </c>
      <c r="O17" s="26">
        <v>8</v>
      </c>
      <c r="P17" s="26">
        <v>12</v>
      </c>
      <c r="Q17" s="26">
        <v>3</v>
      </c>
      <c r="R17" s="26">
        <v>1</v>
      </c>
      <c r="S17" s="26">
        <v>3</v>
      </c>
      <c r="T17" s="26">
        <v>2</v>
      </c>
      <c r="U17" s="26">
        <v>6</v>
      </c>
      <c r="V17" s="26">
        <v>1</v>
      </c>
      <c r="W17" s="26"/>
    </row>
    <row r="18" spans="1:23" x14ac:dyDescent="0.25">
      <c r="A18" s="26" t="str">
        <f t="shared" si="0"/>
        <v>PRIMARIA</v>
      </c>
      <c r="B18" s="26" t="str">
        <f>"09DBN0036D"</f>
        <v>09DBN0036D</v>
      </c>
      <c r="C18" s="26" t="str">
        <f>"EMILIANO ZAPATA                                                                                     "</f>
        <v xml:space="preserve">EMILIANO ZAPATA                                                                                     </v>
      </c>
      <c r="D18" s="26" t="str">
        <f t="shared" si="3"/>
        <v>NOCTURNO</v>
      </c>
      <c r="E18" s="26" t="str">
        <f>"FUNDIDORA DE MONTERREY NO 179                                                   "</f>
        <v xml:space="preserve">FUNDIDORA DE MONTERREY NO 179                                                   </v>
      </c>
      <c r="F18" s="26" t="str">
        <f>"INDUSTRIAL                                                                                                                                  "</f>
        <v xml:space="preserve">INDUSTRIAL                                                                                                                                  </v>
      </c>
      <c r="G18" s="26" t="str">
        <f t="shared" si="7"/>
        <v xml:space="preserve">GUSTAVO A. MADERO                                                               </v>
      </c>
      <c r="H18" s="26" t="str">
        <f>"813"</f>
        <v>813</v>
      </c>
      <c r="I18" s="26" t="str">
        <f t="shared" si="1"/>
        <v>00</v>
      </c>
      <c r="J18" s="26" t="str">
        <f t="shared" si="6"/>
        <v xml:space="preserve">42 </v>
      </c>
      <c r="K18" s="26" t="str">
        <f t="shared" si="4"/>
        <v>PR</v>
      </c>
      <c r="L18" s="26" t="str">
        <f t="shared" si="5"/>
        <v>DGOSE</v>
      </c>
      <c r="M18" s="26" t="str">
        <f t="shared" si="2"/>
        <v>FEDERAL</v>
      </c>
      <c r="N18" s="26">
        <v>18</v>
      </c>
      <c r="O18" s="26">
        <v>2</v>
      </c>
      <c r="P18" s="26">
        <v>16</v>
      </c>
      <c r="Q18" s="26">
        <v>5</v>
      </c>
      <c r="R18" s="26">
        <v>1</v>
      </c>
      <c r="S18" s="26">
        <v>3</v>
      </c>
      <c r="T18" s="26">
        <v>2</v>
      </c>
      <c r="U18" s="26">
        <v>6</v>
      </c>
      <c r="V18" s="26">
        <v>1</v>
      </c>
      <c r="W18" s="26"/>
    </row>
    <row r="19" spans="1:23" x14ac:dyDescent="0.25">
      <c r="A19" s="26" t="str">
        <f t="shared" si="0"/>
        <v>PRIMARIA</v>
      </c>
      <c r="B19" s="26" t="str">
        <f>"09DBN0038B"</f>
        <v>09DBN0038B</v>
      </c>
      <c r="C19" s="26" t="str">
        <f>"PROFR. MELITON GUZMAN ROMERO                                                                        "</f>
        <v xml:space="preserve">PROFR. MELITON GUZMAN ROMERO                                                                        </v>
      </c>
      <c r="D19" s="26" t="str">
        <f t="shared" si="3"/>
        <v>NOCTURNO</v>
      </c>
      <c r="E19" s="26" t="str">
        <f>"PROLG. TURQUESA NO 30                                                           "</f>
        <v xml:space="preserve">PROLG. TURQUESA NO 30                                                           </v>
      </c>
      <c r="F19" s="26" t="str">
        <f>"ESTRELLA                                                                                                                                    "</f>
        <v xml:space="preserve">ESTRELLA                                                                                                                                    </v>
      </c>
      <c r="G19" s="26" t="str">
        <f t="shared" si="7"/>
        <v xml:space="preserve">GUSTAVO A. MADERO                                                               </v>
      </c>
      <c r="H19" s="26" t="str">
        <f>"813"</f>
        <v>813</v>
      </c>
      <c r="I19" s="26" t="str">
        <f t="shared" si="1"/>
        <v>00</v>
      </c>
      <c r="J19" s="26" t="str">
        <f t="shared" si="6"/>
        <v xml:space="preserve">42 </v>
      </c>
      <c r="K19" s="26" t="str">
        <f t="shared" si="4"/>
        <v>PR</v>
      </c>
      <c r="L19" s="26" t="str">
        <f t="shared" si="5"/>
        <v>DGOSE</v>
      </c>
      <c r="M19" s="26" t="str">
        <f t="shared" si="2"/>
        <v>FEDERAL</v>
      </c>
      <c r="N19" s="26">
        <v>20</v>
      </c>
      <c r="O19" s="26">
        <v>3</v>
      </c>
      <c r="P19" s="26">
        <v>17</v>
      </c>
      <c r="Q19" s="26">
        <v>4</v>
      </c>
      <c r="R19" s="26">
        <v>1</v>
      </c>
      <c r="S19" s="26">
        <v>3</v>
      </c>
      <c r="T19" s="26">
        <v>1</v>
      </c>
      <c r="U19" s="26">
        <v>5</v>
      </c>
      <c r="V19" s="26">
        <v>1</v>
      </c>
      <c r="W19" s="26"/>
    </row>
    <row r="20" spans="1:23" x14ac:dyDescent="0.25">
      <c r="A20" s="26" t="str">
        <f t="shared" si="0"/>
        <v>PRIMARIA</v>
      </c>
      <c r="B20" s="26" t="str">
        <f>"09DBN0039A"</f>
        <v>09DBN0039A</v>
      </c>
      <c r="C20" s="26" t="str">
        <f>"DR. HECTOR PEREZ MARTINEZ                                                                           "</f>
        <v xml:space="preserve">DR. HECTOR PEREZ MARTINEZ                                                                           </v>
      </c>
      <c r="D20" s="26" t="str">
        <f t="shared" si="3"/>
        <v>NOCTURNO</v>
      </c>
      <c r="E20" s="26" t="str">
        <f>"YAQUIS NO 2                                                                     "</f>
        <v xml:space="preserve">YAQUIS NO 2                                                                     </v>
      </c>
      <c r="F20" s="26" t="str">
        <f>"LA RAZA                                                                                                                                     "</f>
        <v xml:space="preserve">LA RAZA                                                                                                                                     </v>
      </c>
      <c r="G20" s="26" t="str">
        <f>"AZCAPOTZALCO                                                                    "</f>
        <v xml:space="preserve">AZCAPOTZALCO                                                                    </v>
      </c>
      <c r="H20" s="26" t="str">
        <f>"802"</f>
        <v>802</v>
      </c>
      <c r="I20" s="26" t="str">
        <f t="shared" si="1"/>
        <v>00</v>
      </c>
      <c r="J20" s="26" t="str">
        <f t="shared" si="6"/>
        <v xml:space="preserve">42 </v>
      </c>
      <c r="K20" s="26" t="str">
        <f t="shared" si="4"/>
        <v>PR</v>
      </c>
      <c r="L20" s="26" t="str">
        <f t="shared" si="5"/>
        <v>DGOSE</v>
      </c>
      <c r="M20" s="26" t="str">
        <f t="shared" si="2"/>
        <v>FEDERAL</v>
      </c>
      <c r="N20" s="26">
        <v>27</v>
      </c>
      <c r="O20" s="26">
        <v>10</v>
      </c>
      <c r="P20" s="26">
        <v>17</v>
      </c>
      <c r="Q20" s="26">
        <v>3</v>
      </c>
      <c r="R20" s="26">
        <v>1</v>
      </c>
      <c r="S20" s="26">
        <v>3</v>
      </c>
      <c r="T20" s="26">
        <v>1</v>
      </c>
      <c r="U20" s="26">
        <v>5</v>
      </c>
      <c r="V20" s="26">
        <v>1</v>
      </c>
      <c r="W20" s="26"/>
    </row>
    <row r="21" spans="1:23" x14ac:dyDescent="0.25">
      <c r="A21" s="26" t="str">
        <f t="shared" si="0"/>
        <v>PRIMARIA</v>
      </c>
      <c r="B21" s="26" t="str">
        <f>"09DBN0040Q"</f>
        <v>09DBN0040Q</v>
      </c>
      <c r="C21" s="26" t="str">
        <f>"ESTADO DE JALISCO                                                                                   "</f>
        <v xml:space="preserve">ESTADO DE JALISCO                                                                                   </v>
      </c>
      <c r="D21" s="26" t="str">
        <f t="shared" si="3"/>
        <v>NOCTURNO</v>
      </c>
      <c r="E21" s="26" t="str">
        <f>"AV CENTRAL SUR NO 560                                                           "</f>
        <v xml:space="preserve">AV CENTRAL SUR NO 560                                                           </v>
      </c>
      <c r="F21" s="26" t="str">
        <f>"PRO  HOGAR                                                                                                                                  "</f>
        <v xml:space="preserve">PRO  HOGAR                                                                                                                                  </v>
      </c>
      <c r="G21" s="26" t="str">
        <f>"AZCAPOTZALCO                                                                    "</f>
        <v xml:space="preserve">AZCAPOTZALCO                                                                    </v>
      </c>
      <c r="H21" s="26" t="str">
        <f>"802"</f>
        <v>802</v>
      </c>
      <c r="I21" s="26" t="str">
        <f t="shared" si="1"/>
        <v>00</v>
      </c>
      <c r="J21" s="26" t="str">
        <f t="shared" si="6"/>
        <v xml:space="preserve">42 </v>
      </c>
      <c r="K21" s="26" t="str">
        <f t="shared" si="4"/>
        <v>PR</v>
      </c>
      <c r="L21" s="26" t="str">
        <f t="shared" si="5"/>
        <v>DGOSE</v>
      </c>
      <c r="M21" s="26" t="str">
        <f t="shared" si="2"/>
        <v>FEDERAL</v>
      </c>
      <c r="N21" s="26">
        <v>30</v>
      </c>
      <c r="O21" s="26">
        <v>10</v>
      </c>
      <c r="P21" s="26">
        <v>20</v>
      </c>
      <c r="Q21" s="26">
        <v>3</v>
      </c>
      <c r="R21" s="26">
        <v>1</v>
      </c>
      <c r="S21" s="26">
        <v>3</v>
      </c>
      <c r="T21" s="26">
        <v>2</v>
      </c>
      <c r="U21" s="26">
        <v>6</v>
      </c>
      <c r="V21" s="26">
        <v>1</v>
      </c>
      <c r="W21" s="26"/>
    </row>
    <row r="22" spans="1:23" x14ac:dyDescent="0.25">
      <c r="A22" s="26" t="str">
        <f t="shared" si="0"/>
        <v>PRIMARIA</v>
      </c>
      <c r="B22" s="26" t="str">
        <f>"09DBN0042O"</f>
        <v>09DBN0042O</v>
      </c>
      <c r="C22" s="26" t="str">
        <f>"ESTADO DE NUEVO LEON                                                                                "</f>
        <v xml:space="preserve">ESTADO DE NUEVO LEON                                                                                </v>
      </c>
      <c r="D22" s="26" t="str">
        <f t="shared" si="3"/>
        <v>NOCTURNO</v>
      </c>
      <c r="E22" s="26" t="str">
        <f>"NILO Y TEXCOCO S/N                                                              "</f>
        <v xml:space="preserve">NILO Y TEXCOCO S/N                                                              </v>
      </c>
      <c r="F22" s="26" t="str">
        <f>"CLAVERIA                                                                                                                                    "</f>
        <v xml:space="preserve">CLAVERIA                                                                                                                                    </v>
      </c>
      <c r="G22" s="26" t="str">
        <f>"AZCAPOTZALCO                                                                    "</f>
        <v xml:space="preserve">AZCAPOTZALCO                                                                    </v>
      </c>
      <c r="H22" s="26" t="str">
        <f>"802"</f>
        <v>802</v>
      </c>
      <c r="I22" s="26" t="str">
        <f t="shared" si="1"/>
        <v>00</v>
      </c>
      <c r="J22" s="26" t="str">
        <f t="shared" si="6"/>
        <v xml:space="preserve">42 </v>
      </c>
      <c r="K22" s="26" t="str">
        <f t="shared" si="4"/>
        <v>PR</v>
      </c>
      <c r="L22" s="26" t="str">
        <f t="shared" si="5"/>
        <v>DGOSE</v>
      </c>
      <c r="M22" s="26" t="str">
        <f t="shared" si="2"/>
        <v>FEDERAL</v>
      </c>
      <c r="N22" s="26">
        <v>27</v>
      </c>
      <c r="O22" s="26">
        <v>6</v>
      </c>
      <c r="P22" s="26">
        <v>21</v>
      </c>
      <c r="Q22" s="26">
        <v>3</v>
      </c>
      <c r="R22" s="26">
        <v>1</v>
      </c>
      <c r="S22" s="26">
        <v>2</v>
      </c>
      <c r="T22" s="26">
        <v>2</v>
      </c>
      <c r="U22" s="26">
        <v>5</v>
      </c>
      <c r="V22" s="26">
        <v>1</v>
      </c>
      <c r="W22" s="26"/>
    </row>
    <row r="23" spans="1:23" x14ac:dyDescent="0.25">
      <c r="A23" s="26" t="str">
        <f t="shared" si="0"/>
        <v>PRIMARIA</v>
      </c>
      <c r="B23" s="26" t="str">
        <f>"09DBN0043N"</f>
        <v>09DBN0043N</v>
      </c>
      <c r="C23" s="26" t="str">
        <f>"JOSE ROSAS MORENO                                                                                   "</f>
        <v xml:space="preserve">JOSE ROSAS MORENO                                                                                   </v>
      </c>
      <c r="D23" s="26" t="str">
        <f t="shared" si="3"/>
        <v>NOCTURNO</v>
      </c>
      <c r="E23" s="26" t="str">
        <f>"AV AZCAPOTZALCO NO 574                                                          "</f>
        <v xml:space="preserve">AV AZCAPOTZALCO NO 574                                                          </v>
      </c>
      <c r="F23" s="26" t="str">
        <f>"AZCAPOTZALCO                                                                                                                                "</f>
        <v xml:space="preserve">AZCAPOTZALCO                                                                                                                                </v>
      </c>
      <c r="G23" s="26" t="str">
        <f>"AZCAPOTZALCO                                                                    "</f>
        <v xml:space="preserve">AZCAPOTZALCO                                                                    </v>
      </c>
      <c r="H23" s="26" t="str">
        <f>"801"</f>
        <v>801</v>
      </c>
      <c r="I23" s="26" t="str">
        <f t="shared" si="1"/>
        <v>00</v>
      </c>
      <c r="J23" s="26" t="str">
        <f t="shared" si="6"/>
        <v xml:space="preserve">42 </v>
      </c>
      <c r="K23" s="26" t="str">
        <f t="shared" si="4"/>
        <v>PR</v>
      </c>
      <c r="L23" s="26" t="str">
        <f t="shared" si="5"/>
        <v>DGOSE</v>
      </c>
      <c r="M23" s="26" t="str">
        <f t="shared" si="2"/>
        <v>FEDERAL</v>
      </c>
      <c r="N23" s="26">
        <v>20</v>
      </c>
      <c r="O23" s="26">
        <v>9</v>
      </c>
      <c r="P23" s="26">
        <v>11</v>
      </c>
      <c r="Q23" s="26">
        <v>3</v>
      </c>
      <c r="R23" s="26">
        <v>1</v>
      </c>
      <c r="S23" s="26">
        <v>3</v>
      </c>
      <c r="T23" s="26">
        <v>2</v>
      </c>
      <c r="U23" s="26">
        <v>6</v>
      </c>
      <c r="V23" s="26">
        <v>1</v>
      </c>
      <c r="W23" s="26"/>
    </row>
    <row r="24" spans="1:23" x14ac:dyDescent="0.25">
      <c r="A24" s="26" t="str">
        <f t="shared" si="0"/>
        <v>PRIMARIA</v>
      </c>
      <c r="B24" s="26" t="str">
        <f>"09DBN0045L"</f>
        <v>09DBN0045L</v>
      </c>
      <c r="C24" s="26" t="str">
        <f>"BENITO JUAREZ                                                                                       "</f>
        <v xml:space="preserve">BENITO JUAREZ                                                                                       </v>
      </c>
      <c r="D24" s="26" t="str">
        <f t="shared" si="3"/>
        <v>NOCTURNO</v>
      </c>
      <c r="E24" s="26" t="str">
        <f>"JALAPA NO 272                                                                   "</f>
        <v xml:space="preserve">JALAPA NO 272                                                                   </v>
      </c>
      <c r="F24" s="26" t="str">
        <f>"ROMA SUR                                                                                                                                    "</f>
        <v xml:space="preserve">ROMA SUR                                                                                                                                    </v>
      </c>
      <c r="G24" s="26" t="str">
        <f>"CUAUHTEMOC                                                                      "</f>
        <v xml:space="preserve">CUAUHTEMOC                                                                      </v>
      </c>
      <c r="H24" s="26" t="str">
        <f>"806"</f>
        <v>806</v>
      </c>
      <c r="I24" s="26" t="str">
        <f t="shared" si="1"/>
        <v>00</v>
      </c>
      <c r="J24" s="26" t="str">
        <f t="shared" si="6"/>
        <v xml:space="preserve">42 </v>
      </c>
      <c r="K24" s="26" t="str">
        <f t="shared" si="4"/>
        <v>PR</v>
      </c>
      <c r="L24" s="26" t="str">
        <f t="shared" si="5"/>
        <v>DGOSE</v>
      </c>
      <c r="M24" s="26" t="str">
        <f t="shared" si="2"/>
        <v>FEDERAL</v>
      </c>
      <c r="N24" s="26">
        <v>31</v>
      </c>
      <c r="O24" s="26">
        <v>9</v>
      </c>
      <c r="P24" s="26">
        <v>22</v>
      </c>
      <c r="Q24" s="26">
        <v>3</v>
      </c>
      <c r="R24" s="26">
        <v>1</v>
      </c>
      <c r="S24" s="26">
        <v>3</v>
      </c>
      <c r="T24" s="26">
        <v>3</v>
      </c>
      <c r="U24" s="26">
        <v>7</v>
      </c>
      <c r="V24" s="26">
        <v>1</v>
      </c>
      <c r="W24" s="26"/>
    </row>
    <row r="25" spans="1:23" x14ac:dyDescent="0.25">
      <c r="A25" s="26" t="str">
        <f t="shared" si="0"/>
        <v>PRIMARIA</v>
      </c>
      <c r="B25" s="26" t="str">
        <f>"09DBN0048I"</f>
        <v>09DBN0048I</v>
      </c>
      <c r="C25" s="26" t="str">
        <f>"MEXICO                                                                                              "</f>
        <v xml:space="preserve">MEXICO                                                                                              </v>
      </c>
      <c r="D25" s="26" t="str">
        <f t="shared" si="3"/>
        <v>NOCTURNO</v>
      </c>
      <c r="E25" s="26" t="str">
        <f>"LAGOS ERNE Y TRASIMENO S/N                                                      "</f>
        <v xml:space="preserve">LAGOS ERNE Y TRASIMENO S/N                                                      </v>
      </c>
      <c r="F25" s="26" t="str">
        <f>"PENSIL                                                                                                                                      "</f>
        <v xml:space="preserve">PENSIL                                                                                                                                      </v>
      </c>
      <c r="G25" s="26" t="str">
        <f>"MIGUEL HIDALGO                                                                  "</f>
        <v xml:space="preserve">MIGUEL HIDALGO                                                                  </v>
      </c>
      <c r="H25" s="26" t="str">
        <f>"808"</f>
        <v>808</v>
      </c>
      <c r="I25" s="26" t="str">
        <f t="shared" si="1"/>
        <v>00</v>
      </c>
      <c r="J25" s="26" t="str">
        <f t="shared" si="6"/>
        <v xml:space="preserve">42 </v>
      </c>
      <c r="K25" s="26" t="str">
        <f t="shared" si="4"/>
        <v>PR</v>
      </c>
      <c r="L25" s="26" t="str">
        <f t="shared" si="5"/>
        <v>DGOSE</v>
      </c>
      <c r="M25" s="26" t="str">
        <f t="shared" si="2"/>
        <v>FEDERAL</v>
      </c>
      <c r="N25" s="26">
        <v>24</v>
      </c>
      <c r="O25" s="26">
        <v>5</v>
      </c>
      <c r="P25" s="26">
        <v>19</v>
      </c>
      <c r="Q25" s="26">
        <v>3</v>
      </c>
      <c r="R25" s="26">
        <v>1</v>
      </c>
      <c r="S25" s="26">
        <v>3</v>
      </c>
      <c r="T25" s="26">
        <v>1</v>
      </c>
      <c r="U25" s="26">
        <v>5</v>
      </c>
      <c r="V25" s="26">
        <v>1</v>
      </c>
      <c r="W25" s="26"/>
    </row>
    <row r="26" spans="1:23" x14ac:dyDescent="0.25">
      <c r="A26" s="26" t="str">
        <f t="shared" si="0"/>
        <v>PRIMARIA</v>
      </c>
      <c r="B26" s="26" t="str">
        <f>"09DBN0050X"</f>
        <v>09DBN0050X</v>
      </c>
      <c r="C26" s="26" t="str">
        <f>"ESTADO DE HIDALGO                                                                                   "</f>
        <v xml:space="preserve">ESTADO DE HIDALGO                                                                                   </v>
      </c>
      <c r="D26" s="26" t="str">
        <f t="shared" si="3"/>
        <v>NOCTURNO</v>
      </c>
      <c r="E26" s="26" t="str">
        <f>"AV MARINA NACIONAL NO 222                                                       "</f>
        <v xml:space="preserve">AV MARINA NACIONAL NO 222                                                       </v>
      </c>
      <c r="F26" s="26" t="str">
        <f>"ANAHUAC I                                                                                                                                   "</f>
        <v xml:space="preserve">ANAHUAC I                                                                                                                                   </v>
      </c>
      <c r="G26" s="26" t="str">
        <f>"MIGUEL HIDALGO                                                                  "</f>
        <v xml:space="preserve">MIGUEL HIDALGO                                                                  </v>
      </c>
      <c r="H26" s="26" t="str">
        <f>"808"</f>
        <v>808</v>
      </c>
      <c r="I26" s="26" t="str">
        <f t="shared" si="1"/>
        <v>00</v>
      </c>
      <c r="J26" s="26" t="str">
        <f t="shared" si="6"/>
        <v xml:space="preserve">42 </v>
      </c>
      <c r="K26" s="26" t="str">
        <f t="shared" si="4"/>
        <v>PR</v>
      </c>
      <c r="L26" s="26" t="str">
        <f t="shared" si="5"/>
        <v>DGOSE</v>
      </c>
      <c r="M26" s="26" t="str">
        <f t="shared" si="2"/>
        <v>FEDERAL</v>
      </c>
      <c r="N26" s="26">
        <v>15</v>
      </c>
      <c r="O26" s="26">
        <v>1</v>
      </c>
      <c r="P26" s="26">
        <v>14</v>
      </c>
      <c r="Q26" s="26">
        <v>3</v>
      </c>
      <c r="R26" s="26">
        <v>1</v>
      </c>
      <c r="S26" s="26">
        <v>3</v>
      </c>
      <c r="T26" s="26">
        <v>1</v>
      </c>
      <c r="U26" s="26">
        <v>5</v>
      </c>
      <c r="V26" s="26">
        <v>1</v>
      </c>
      <c r="W26" s="26"/>
    </row>
    <row r="27" spans="1:23" x14ac:dyDescent="0.25">
      <c r="A27" s="26" t="str">
        <f t="shared" si="0"/>
        <v>PRIMARIA</v>
      </c>
      <c r="B27" s="26" t="str">
        <f>"09DBN0051W"</f>
        <v>09DBN0051W</v>
      </c>
      <c r="C27" s="26" t="str">
        <f>"ESTADO DE GUERRERO                                                                                  "</f>
        <v xml:space="preserve">ESTADO DE GUERRERO                                                                                  </v>
      </c>
      <c r="D27" s="26" t="str">
        <f t="shared" si="3"/>
        <v>NOCTURNO</v>
      </c>
      <c r="E27" s="26" t="str">
        <f>"LAGOS ONTARIO Y WINNIPEG                                                        "</f>
        <v xml:space="preserve">LAGOS ONTARIO Y WINNIPEG                                                        </v>
      </c>
      <c r="F27" s="26" t="str">
        <f>"LEGARIA                                                                                                                                     "</f>
        <v xml:space="preserve">LEGARIA                                                                                                                                     </v>
      </c>
      <c r="G27" s="26" t="str">
        <f>"MIGUEL HIDALGO                                                                  "</f>
        <v xml:space="preserve">MIGUEL HIDALGO                                                                  </v>
      </c>
      <c r="H27" s="26" t="str">
        <f>"808"</f>
        <v>808</v>
      </c>
      <c r="I27" s="26" t="str">
        <f t="shared" si="1"/>
        <v>00</v>
      </c>
      <c r="J27" s="26" t="str">
        <f t="shared" si="6"/>
        <v xml:space="preserve">42 </v>
      </c>
      <c r="K27" s="26" t="str">
        <f t="shared" si="4"/>
        <v>PR</v>
      </c>
      <c r="L27" s="26" t="str">
        <f t="shared" si="5"/>
        <v>DGOSE</v>
      </c>
      <c r="M27" s="26" t="str">
        <f t="shared" si="2"/>
        <v>FEDERAL</v>
      </c>
      <c r="N27" s="26">
        <v>25</v>
      </c>
      <c r="O27" s="26">
        <v>6</v>
      </c>
      <c r="P27" s="26">
        <v>19</v>
      </c>
      <c r="Q27" s="26">
        <v>3</v>
      </c>
      <c r="R27" s="26">
        <v>0</v>
      </c>
      <c r="S27" s="26">
        <v>3</v>
      </c>
      <c r="T27" s="26">
        <v>1</v>
      </c>
      <c r="U27" s="26">
        <v>4</v>
      </c>
      <c r="V27" s="26">
        <v>1</v>
      </c>
      <c r="W27" s="26"/>
    </row>
    <row r="28" spans="1:23" x14ac:dyDescent="0.25">
      <c r="A28" s="26" t="str">
        <f t="shared" si="0"/>
        <v>PRIMARIA</v>
      </c>
      <c r="B28" s="26" t="str">
        <f>"09DBN0053U"</f>
        <v>09DBN0053U</v>
      </c>
      <c r="C28" s="26" t="str">
        <f>"INSURGENTE MORELOS                                                                                  "</f>
        <v xml:space="preserve">INSURGENTE MORELOS                                                                                  </v>
      </c>
      <c r="D28" s="26" t="str">
        <f t="shared" si="3"/>
        <v>NOCTURNO</v>
      </c>
      <c r="E28" s="26" t="str">
        <f>"5 DE FEBRERO S/N Y CAMPOS                                                       "</f>
        <v xml:space="preserve">5 DE FEBRERO S/N Y CAMPOS                                                       </v>
      </c>
      <c r="F28" s="26" t="str">
        <f>"GUSTAVO A. MADERO                                                                                                                           "</f>
        <v xml:space="preserve">GUSTAVO A. MADERO                                                                                                                           </v>
      </c>
      <c r="G28" s="26" t="str">
        <f>"GUSTAVO A. MADERO                                                               "</f>
        <v xml:space="preserve">GUSTAVO A. MADERO                                                               </v>
      </c>
      <c r="H28" s="26" t="str">
        <f>"813"</f>
        <v>813</v>
      </c>
      <c r="I28" s="26" t="str">
        <f t="shared" si="1"/>
        <v>00</v>
      </c>
      <c r="J28" s="26" t="str">
        <f t="shared" si="6"/>
        <v xml:space="preserve">42 </v>
      </c>
      <c r="K28" s="26" t="str">
        <f t="shared" si="4"/>
        <v>PR</v>
      </c>
      <c r="L28" s="26" t="str">
        <f t="shared" si="5"/>
        <v>DGOSE</v>
      </c>
      <c r="M28" s="26" t="str">
        <f t="shared" si="2"/>
        <v>FEDERAL</v>
      </c>
      <c r="N28" s="26">
        <v>30</v>
      </c>
      <c r="O28" s="26">
        <v>9</v>
      </c>
      <c r="P28" s="26">
        <v>21</v>
      </c>
      <c r="Q28" s="26">
        <v>5</v>
      </c>
      <c r="R28" s="26">
        <v>1</v>
      </c>
      <c r="S28" s="26">
        <v>3</v>
      </c>
      <c r="T28" s="26">
        <v>0</v>
      </c>
      <c r="U28" s="26">
        <v>4</v>
      </c>
      <c r="V28" s="26">
        <v>1</v>
      </c>
      <c r="W28" s="26"/>
    </row>
    <row r="29" spans="1:23" x14ac:dyDescent="0.25">
      <c r="A29" s="26" t="str">
        <f t="shared" si="0"/>
        <v>PRIMARIA</v>
      </c>
      <c r="B29" s="26" t="str">
        <f>"09DBN0055S"</f>
        <v>09DBN0055S</v>
      </c>
      <c r="C29" s="26" t="str">
        <f>"HISPANO AMERICA                                                                                     "</f>
        <v xml:space="preserve">HISPANO AMERICA                                                                                     </v>
      </c>
      <c r="D29" s="26" t="str">
        <f t="shared" si="3"/>
        <v>NOCTURNO</v>
      </c>
      <c r="E29" s="26" t="str">
        <f>"INDIANA NO 91                                                                   "</f>
        <v xml:space="preserve">INDIANA NO 91                                                                   </v>
      </c>
      <c r="F29" s="26" t="str">
        <f>"NAPOLES                                                                                                                                     "</f>
        <v xml:space="preserve">NAPOLES                                                                                                                                     </v>
      </c>
      <c r="G29" s="26" t="str">
        <f>"BENITO JUAREZ                                                                   "</f>
        <v xml:space="preserve">BENITO JUAREZ                                                                   </v>
      </c>
      <c r="H29" s="26" t="str">
        <f>"818"</f>
        <v>818</v>
      </c>
      <c r="I29" s="26" t="str">
        <f t="shared" si="1"/>
        <v>00</v>
      </c>
      <c r="J29" s="26" t="str">
        <f>"43 "</f>
        <v xml:space="preserve">43 </v>
      </c>
      <c r="K29" s="26" t="str">
        <f t="shared" si="4"/>
        <v>PR</v>
      </c>
      <c r="L29" s="26" t="str">
        <f t="shared" si="5"/>
        <v>DGOSE</v>
      </c>
      <c r="M29" s="26" t="str">
        <f t="shared" si="2"/>
        <v>FEDERAL</v>
      </c>
      <c r="N29" s="26">
        <v>20</v>
      </c>
      <c r="O29" s="26">
        <v>5</v>
      </c>
      <c r="P29" s="26">
        <v>15</v>
      </c>
      <c r="Q29" s="26">
        <v>6</v>
      </c>
      <c r="R29" s="26">
        <v>0</v>
      </c>
      <c r="S29" s="26">
        <v>3</v>
      </c>
      <c r="T29" s="26">
        <v>0</v>
      </c>
      <c r="U29" s="26">
        <v>3</v>
      </c>
      <c r="V29" s="26">
        <v>1</v>
      </c>
      <c r="W29" s="26"/>
    </row>
    <row r="30" spans="1:23" x14ac:dyDescent="0.25">
      <c r="A30" s="26" t="str">
        <f t="shared" si="0"/>
        <v>PRIMARIA</v>
      </c>
      <c r="B30" s="26" t="str">
        <f>"09DBN0056R"</f>
        <v>09DBN0056R</v>
      </c>
      <c r="C30" s="26" t="str">
        <f>"REPUBLICA DE COSTA RICA                                                                             "</f>
        <v xml:space="preserve">REPUBLICA DE COSTA RICA                                                                             </v>
      </c>
      <c r="D30" s="26" t="str">
        <f t="shared" si="3"/>
        <v>NOCTURNO</v>
      </c>
      <c r="E30" s="26" t="str">
        <f>"VICENTE EGUIA NO 32                                                             "</f>
        <v xml:space="preserve">VICENTE EGUIA NO 32                                                             </v>
      </c>
      <c r="F30" s="26" t="str">
        <f>"SAN MIGUEL CHAPULTEPEC                                                                                                                      "</f>
        <v xml:space="preserve">SAN MIGUEL CHAPULTEPEC                                                                                                                      </v>
      </c>
      <c r="G30" s="26" t="str">
        <f>"MIGUEL HIDALGO                                                                  "</f>
        <v xml:space="preserve">MIGUEL HIDALGO                                                                  </v>
      </c>
      <c r="H30" s="26" t="str">
        <f>"810"</f>
        <v>810</v>
      </c>
      <c r="I30" s="26" t="str">
        <f t="shared" si="1"/>
        <v>00</v>
      </c>
      <c r="J30" s="26" t="str">
        <f>"42 "</f>
        <v xml:space="preserve">42 </v>
      </c>
      <c r="K30" s="26" t="str">
        <f t="shared" si="4"/>
        <v>PR</v>
      </c>
      <c r="L30" s="26" t="str">
        <f t="shared" si="5"/>
        <v>DGOSE</v>
      </c>
      <c r="M30" s="26" t="str">
        <f t="shared" si="2"/>
        <v>FEDERAL</v>
      </c>
      <c r="N30" s="26">
        <v>20</v>
      </c>
      <c r="O30" s="26">
        <v>7</v>
      </c>
      <c r="P30" s="26">
        <v>13</v>
      </c>
      <c r="Q30" s="26">
        <v>3</v>
      </c>
      <c r="R30" s="26">
        <v>1</v>
      </c>
      <c r="S30" s="26">
        <v>3</v>
      </c>
      <c r="T30" s="26">
        <v>1</v>
      </c>
      <c r="U30" s="26">
        <v>5</v>
      </c>
      <c r="V30" s="26">
        <v>1</v>
      </c>
      <c r="W30" s="26"/>
    </row>
    <row r="31" spans="1:23" x14ac:dyDescent="0.25">
      <c r="A31" s="26" t="str">
        <f t="shared" si="0"/>
        <v>PRIMARIA</v>
      </c>
      <c r="B31" s="26" t="str">
        <f>"09DBN0062B"</f>
        <v>09DBN0062B</v>
      </c>
      <c r="C31" s="26" t="str">
        <f>"ENRIQUE DE OLAVARRIA Y FERRARI                                                                      "</f>
        <v xml:space="preserve">ENRIQUE DE OLAVARRIA Y FERRARI                                                                      </v>
      </c>
      <c r="D31" s="26" t="str">
        <f t="shared" si="3"/>
        <v>NOCTURNO</v>
      </c>
      <c r="E31" s="26" t="str">
        <f>"AV REVOLUCION NO 906                                                            "</f>
        <v xml:space="preserve">AV REVOLUCION NO 906                                                            </v>
      </c>
      <c r="F31" s="26" t="str">
        <f>"MIXCOAC                                                                                                                                     "</f>
        <v xml:space="preserve">MIXCOAC                                                                                                                                     </v>
      </c>
      <c r="G31" s="26" t="str">
        <f>"BENITO JUAREZ                                                                   "</f>
        <v xml:space="preserve">BENITO JUAREZ                                                                   </v>
      </c>
      <c r="H31" s="26" t="str">
        <f>"818"</f>
        <v>818</v>
      </c>
      <c r="I31" s="26" t="str">
        <f t="shared" si="1"/>
        <v>00</v>
      </c>
      <c r="J31" s="26" t="str">
        <f>"43 "</f>
        <v xml:space="preserve">43 </v>
      </c>
      <c r="K31" s="26" t="str">
        <f t="shared" si="4"/>
        <v>PR</v>
      </c>
      <c r="L31" s="26" t="str">
        <f t="shared" si="5"/>
        <v>DGOSE</v>
      </c>
      <c r="M31" s="26" t="str">
        <f t="shared" si="2"/>
        <v>FEDERAL</v>
      </c>
      <c r="N31" s="26">
        <v>32</v>
      </c>
      <c r="O31" s="26">
        <v>8</v>
      </c>
      <c r="P31" s="26">
        <v>24</v>
      </c>
      <c r="Q31" s="26">
        <v>6</v>
      </c>
      <c r="R31" s="26">
        <v>1</v>
      </c>
      <c r="S31" s="26">
        <v>3</v>
      </c>
      <c r="T31" s="26">
        <v>1</v>
      </c>
      <c r="U31" s="26">
        <v>5</v>
      </c>
      <c r="V31" s="26">
        <v>1</v>
      </c>
      <c r="W31" s="26"/>
    </row>
    <row r="32" spans="1:23" x14ac:dyDescent="0.25">
      <c r="A32" s="26" t="str">
        <f t="shared" si="0"/>
        <v>PRIMARIA</v>
      </c>
      <c r="B32" s="26" t="str">
        <f>"09DBN0063A"</f>
        <v>09DBN0063A</v>
      </c>
      <c r="C32" s="26" t="str">
        <f>"ESTADOS UNIDOS DE AMERICA                                                                           "</f>
        <v xml:space="preserve">ESTADOS UNIDOS DE AMERICA                                                                           </v>
      </c>
      <c r="D32" s="26" t="str">
        <f t="shared" si="3"/>
        <v>NOCTURNO</v>
      </c>
      <c r="E32" s="26" t="str">
        <f>"FCO DEL PASO Y TRONCOSO S/N                                                     "</f>
        <v xml:space="preserve">FCO DEL PASO Y TRONCOSO S/N                                                     </v>
      </c>
      <c r="F32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32" s="26" t="str">
        <f>"VENUSTIANO CARRANZA                                                             "</f>
        <v xml:space="preserve">VENUSTIANO CARRANZA                                                             </v>
      </c>
      <c r="H32" s="26" t="str">
        <f>"816"</f>
        <v>816</v>
      </c>
      <c r="I32" s="26" t="str">
        <f t="shared" si="1"/>
        <v>00</v>
      </c>
      <c r="J32" s="26" t="str">
        <f>"43 "</f>
        <v xml:space="preserve">43 </v>
      </c>
      <c r="K32" s="26" t="str">
        <f t="shared" si="4"/>
        <v>PR</v>
      </c>
      <c r="L32" s="26" t="str">
        <f t="shared" si="5"/>
        <v>DGOSE</v>
      </c>
      <c r="M32" s="26" t="str">
        <f t="shared" si="2"/>
        <v>FEDERAL</v>
      </c>
      <c r="N32" s="26">
        <v>17</v>
      </c>
      <c r="O32" s="26">
        <v>6</v>
      </c>
      <c r="P32" s="26">
        <v>11</v>
      </c>
      <c r="Q32" s="26">
        <v>6</v>
      </c>
      <c r="R32" s="26">
        <v>1</v>
      </c>
      <c r="S32" s="26">
        <v>1</v>
      </c>
      <c r="T32" s="26">
        <v>1</v>
      </c>
      <c r="U32" s="26">
        <v>3</v>
      </c>
      <c r="V32" s="26">
        <v>1</v>
      </c>
      <c r="W32" s="26"/>
    </row>
    <row r="33" spans="1:23" x14ac:dyDescent="0.25">
      <c r="A33" s="26" t="str">
        <f t="shared" si="0"/>
        <v>PRIMARIA</v>
      </c>
      <c r="B33" s="26" t="str">
        <f>"09DBN0065Z"</f>
        <v>09DBN0065Z</v>
      </c>
      <c r="C33" s="26" t="str">
        <f>"GUADALUPE VICTORIA                                                                                  "</f>
        <v xml:space="preserve">GUADALUPE VICTORIA                                                                                  </v>
      </c>
      <c r="D33" s="26" t="str">
        <f t="shared" si="3"/>
        <v>NOCTURNO</v>
      </c>
      <c r="E33" s="26" t="str">
        <f>"FELIPE VILLANUEVA NO 18                                                         "</f>
        <v xml:space="preserve">FELIPE VILLANUEVA NO 18                                                         </v>
      </c>
      <c r="F33" s="26" t="str">
        <f>"GUADALUPE INN                                                                                                                               "</f>
        <v xml:space="preserve">GUADALUPE INN                                                                                                                               </v>
      </c>
      <c r="G33" s="26" t="str">
        <f>"ALVARO OBREGON                                                                  "</f>
        <v xml:space="preserve">ALVARO OBREGON                                                                  </v>
      </c>
      <c r="H33" s="26" t="str">
        <f>"817"</f>
        <v>817</v>
      </c>
      <c r="I33" s="26" t="str">
        <f t="shared" si="1"/>
        <v>00</v>
      </c>
      <c r="J33" s="26" t="str">
        <f>"43 "</f>
        <v xml:space="preserve">43 </v>
      </c>
      <c r="K33" s="26" t="str">
        <f t="shared" si="4"/>
        <v>PR</v>
      </c>
      <c r="L33" s="26" t="str">
        <f t="shared" si="5"/>
        <v>DGOSE</v>
      </c>
      <c r="M33" s="26" t="str">
        <f t="shared" si="2"/>
        <v>FEDERAL</v>
      </c>
      <c r="N33" s="26">
        <v>50</v>
      </c>
      <c r="O33" s="26">
        <v>8</v>
      </c>
      <c r="P33" s="26">
        <v>42</v>
      </c>
      <c r="Q33" s="26">
        <v>6</v>
      </c>
      <c r="R33" s="26">
        <v>1</v>
      </c>
      <c r="S33" s="26">
        <v>5</v>
      </c>
      <c r="T33" s="26">
        <v>3</v>
      </c>
      <c r="U33" s="26">
        <v>9</v>
      </c>
      <c r="V33" s="26">
        <v>1</v>
      </c>
      <c r="W33" s="26"/>
    </row>
    <row r="34" spans="1:23" x14ac:dyDescent="0.25">
      <c r="A34" s="26" t="str">
        <f t="shared" si="0"/>
        <v>PRIMARIA</v>
      </c>
      <c r="B34" s="26" t="str">
        <f>"09DBN0066Y"</f>
        <v>09DBN0066Y</v>
      </c>
      <c r="C34" s="26" t="str">
        <f>"LIC. GABRIEL RAMOS MILLAN                                                                           "</f>
        <v xml:space="preserve">LIC. GABRIEL RAMOS MILLAN                                                                           </v>
      </c>
      <c r="D34" s="26" t="str">
        <f t="shared" si="3"/>
        <v>NOCTURNO</v>
      </c>
      <c r="E34" s="26" t="str">
        <f>"CALZADA DE TLALPAN NO 2822                                                      "</f>
        <v xml:space="preserve">CALZADA DE TLALPAN NO 2822                                                      </v>
      </c>
      <c r="F34" s="26" t="str">
        <f>"SAN PABLO TEPETLAPA EJIDO                                                                                                                   "</f>
        <v xml:space="preserve">SAN PABLO TEPETLAPA EJIDO                                                                                                                   </v>
      </c>
      <c r="G34" s="26" t="str">
        <f>"COYOACAN                                                                        "</f>
        <v xml:space="preserve">COYOACAN                                                                        </v>
      </c>
      <c r="H34" s="26" t="str">
        <f>"823"</f>
        <v>823</v>
      </c>
      <c r="I34" s="26" t="str">
        <f t="shared" si="1"/>
        <v>00</v>
      </c>
      <c r="J34" s="26" t="str">
        <f>"45 "</f>
        <v xml:space="preserve">45 </v>
      </c>
      <c r="K34" s="26" t="str">
        <f t="shared" si="4"/>
        <v>PR</v>
      </c>
      <c r="L34" s="26" t="str">
        <f t="shared" si="5"/>
        <v>DGOSE</v>
      </c>
      <c r="M34" s="26" t="str">
        <f t="shared" si="2"/>
        <v>FEDERAL</v>
      </c>
      <c r="N34" s="26">
        <v>12</v>
      </c>
      <c r="O34" s="26">
        <v>6</v>
      </c>
      <c r="P34" s="26">
        <v>6</v>
      </c>
      <c r="Q34" s="26">
        <v>6</v>
      </c>
      <c r="R34" s="26">
        <v>0</v>
      </c>
      <c r="S34" s="26">
        <v>2</v>
      </c>
      <c r="T34" s="26">
        <v>0</v>
      </c>
      <c r="U34" s="26">
        <v>2</v>
      </c>
      <c r="V34" s="26">
        <v>1</v>
      </c>
      <c r="W34" s="26"/>
    </row>
    <row r="35" spans="1:23" x14ac:dyDescent="0.25">
      <c r="A35" s="26" t="str">
        <f t="shared" si="0"/>
        <v>PRIMARIA</v>
      </c>
      <c r="B35" s="26" t="str">
        <f>"09DBN0068W"</f>
        <v>09DBN0068W</v>
      </c>
      <c r="C35" s="26" t="str">
        <f>"ESTATUTO JURIDICO                                                                                   "</f>
        <v xml:space="preserve">ESTATUTO JURIDICO                                                                                   </v>
      </c>
      <c r="D35" s="26" t="str">
        <f t="shared" si="3"/>
        <v>NOCTURNO</v>
      </c>
      <c r="E35" s="26" t="str">
        <f>"JACARANDAS Y COPA DE ORO                                                        "</f>
        <v xml:space="preserve">JACARANDAS Y COPA DE ORO                                                        </v>
      </c>
      <c r="F35" s="26" t="str">
        <f>"CIUDAD JARDIN                                                                                                                               "</f>
        <v xml:space="preserve">CIUDAD JARDIN                                                                                                                               </v>
      </c>
      <c r="G35" s="26" t="str">
        <f>"COYOACAN                                                                        "</f>
        <v xml:space="preserve">COYOACAN                                                                        </v>
      </c>
      <c r="H35" s="26" t="str">
        <f>"823"</f>
        <v>823</v>
      </c>
      <c r="I35" s="26" t="str">
        <f t="shared" si="1"/>
        <v>00</v>
      </c>
      <c r="J35" s="26" t="str">
        <f>"45 "</f>
        <v xml:space="preserve">45 </v>
      </c>
      <c r="K35" s="26" t="str">
        <f t="shared" si="4"/>
        <v>PR</v>
      </c>
      <c r="L35" s="26" t="str">
        <f t="shared" si="5"/>
        <v>DGOSE</v>
      </c>
      <c r="M35" s="26" t="str">
        <f t="shared" si="2"/>
        <v>FEDERAL</v>
      </c>
      <c r="N35" s="26">
        <v>12</v>
      </c>
      <c r="O35" s="26">
        <v>6</v>
      </c>
      <c r="P35" s="26">
        <v>6</v>
      </c>
      <c r="Q35" s="26">
        <v>6</v>
      </c>
      <c r="R35" s="26">
        <v>0</v>
      </c>
      <c r="S35" s="26">
        <v>2</v>
      </c>
      <c r="T35" s="26">
        <v>0</v>
      </c>
      <c r="U35" s="26">
        <v>2</v>
      </c>
      <c r="V35" s="26">
        <v>1</v>
      </c>
      <c r="W35" s="26"/>
    </row>
    <row r="36" spans="1:23" x14ac:dyDescent="0.25">
      <c r="A36" s="26" t="str">
        <f t="shared" si="0"/>
        <v>PRIMARIA</v>
      </c>
      <c r="B36" s="26" t="str">
        <f>"09DBN0069V"</f>
        <v>09DBN0069V</v>
      </c>
      <c r="C36" s="26" t="str">
        <f>"IGANCIO RODRIGUEZ GALVAN                                                                            "</f>
        <v xml:space="preserve">IGANCIO RODRIGUEZ GALVAN                                                                            </v>
      </c>
      <c r="D36" s="26" t="str">
        <f t="shared" si="3"/>
        <v>NOCTURNO</v>
      </c>
      <c r="E36" s="26" t="str">
        <f>"MAGISTERIO NACIONAL Y MORELOS NO 118                                            "</f>
        <v xml:space="preserve">MAGISTERIO NACIONAL Y MORELOS NO 118                                            </v>
      </c>
      <c r="F36" s="26" t="str">
        <f>"TLALPAN                                                                                                                                     "</f>
        <v xml:space="preserve">TLALPAN                                                                                                                                     </v>
      </c>
      <c r="G36" s="26" t="str">
        <f>"TLALPAN                                                                         "</f>
        <v xml:space="preserve">TLALPAN                                                                         </v>
      </c>
      <c r="H36" s="26" t="str">
        <f>"826"</f>
        <v>826</v>
      </c>
      <c r="I36" s="26" t="str">
        <f t="shared" si="1"/>
        <v>00</v>
      </c>
      <c r="J36" s="26" t="str">
        <f>"45 "</f>
        <v xml:space="preserve">45 </v>
      </c>
      <c r="K36" s="26" t="str">
        <f t="shared" si="4"/>
        <v>PR</v>
      </c>
      <c r="L36" s="26" t="str">
        <f t="shared" si="5"/>
        <v>DGOSE</v>
      </c>
      <c r="M36" s="26" t="str">
        <f t="shared" si="2"/>
        <v>FEDERAL</v>
      </c>
      <c r="N36" s="26">
        <v>17</v>
      </c>
      <c r="O36" s="26">
        <v>6</v>
      </c>
      <c r="P36" s="26">
        <v>11</v>
      </c>
      <c r="Q36" s="26">
        <v>6</v>
      </c>
      <c r="R36" s="26">
        <v>0</v>
      </c>
      <c r="S36" s="26">
        <v>2</v>
      </c>
      <c r="T36" s="26">
        <v>1</v>
      </c>
      <c r="U36" s="26">
        <v>3</v>
      </c>
      <c r="V36" s="26">
        <v>1</v>
      </c>
      <c r="W36" s="26"/>
    </row>
    <row r="37" spans="1:23" x14ac:dyDescent="0.25">
      <c r="A37" s="26" t="str">
        <f t="shared" si="0"/>
        <v>PRIMARIA</v>
      </c>
      <c r="B37" s="26" t="str">
        <f>"09DBN0070K"</f>
        <v>09DBN0070K</v>
      </c>
      <c r="C37" s="26" t="str">
        <f>"XOCHIMILCO                                                                                          "</f>
        <v xml:space="preserve">XOCHIMILCO                                                                                          </v>
      </c>
      <c r="D37" s="26" t="str">
        <f t="shared" si="3"/>
        <v>NOCTURNO</v>
      </c>
      <c r="E37" s="26" t="str">
        <f>"SELVA Y AVENIDA MORELOS S/N                                                     "</f>
        <v xml:space="preserve">SELVA Y AVENIDA MORELOS S/N                                                     </v>
      </c>
      <c r="F37" s="26" t="str">
        <f>"SAN PEDRO                                                                                                                                   "</f>
        <v xml:space="preserve">SAN PEDRO                                                                                                                                   </v>
      </c>
      <c r="G37" s="26" t="str">
        <f>"XOCHIMILCO                                                                      "</f>
        <v xml:space="preserve">XOCHIMILCO                                                                      </v>
      </c>
      <c r="H37" s="26" t="str">
        <f>"826"</f>
        <v>826</v>
      </c>
      <c r="I37" s="26" t="str">
        <f t="shared" si="1"/>
        <v>00</v>
      </c>
      <c r="J37" s="26" t="str">
        <f>"45 "</f>
        <v xml:space="preserve">45 </v>
      </c>
      <c r="K37" s="26" t="str">
        <f t="shared" si="4"/>
        <v>PR</v>
      </c>
      <c r="L37" s="26" t="str">
        <f t="shared" si="5"/>
        <v>DGOSE</v>
      </c>
      <c r="M37" s="26" t="str">
        <f t="shared" si="2"/>
        <v>FEDERAL</v>
      </c>
      <c r="N37" s="26">
        <v>17</v>
      </c>
      <c r="O37" s="26">
        <v>5</v>
      </c>
      <c r="P37" s="26">
        <v>12</v>
      </c>
      <c r="Q37" s="26">
        <v>6</v>
      </c>
      <c r="R37" s="26">
        <v>1</v>
      </c>
      <c r="S37" s="26">
        <v>3</v>
      </c>
      <c r="T37" s="26">
        <v>1</v>
      </c>
      <c r="U37" s="26">
        <v>5</v>
      </c>
      <c r="V37" s="26">
        <v>1</v>
      </c>
      <c r="W37" s="26"/>
    </row>
    <row r="38" spans="1:23" x14ac:dyDescent="0.25">
      <c r="A38" s="26" t="str">
        <f t="shared" si="0"/>
        <v>PRIMARIA</v>
      </c>
      <c r="B38" s="26" t="str">
        <f>"09DBN0072I"</f>
        <v>09DBN0072I</v>
      </c>
      <c r="C38" s="26" t="str">
        <f>"FRANCISCO GARCIA SALINAS                                                                            "</f>
        <v xml:space="preserve">FRANCISCO GARCIA SALINAS                                                                            </v>
      </c>
      <c r="D38" s="26" t="str">
        <f t="shared" si="3"/>
        <v>NOCTURNO</v>
      </c>
      <c r="E38" s="26" t="str">
        <f>"CALZ DE LA VIGA NO 97                                                           "</f>
        <v xml:space="preserve">CALZ DE LA VIGA NO 97                                                           </v>
      </c>
      <c r="F38" s="26" t="str">
        <f>"ESPERANZA                                                                                                                                   "</f>
        <v xml:space="preserve">ESPERANZA                                                                                                                                   </v>
      </c>
      <c r="G38" s="26" t="str">
        <f>"CUAUHTEMOC                                                                      "</f>
        <v xml:space="preserve">CUAUHTEMOC                                                                      </v>
      </c>
      <c r="H38" s="26" t="str">
        <f>"807"</f>
        <v>807</v>
      </c>
      <c r="I38" s="26" t="str">
        <f t="shared" si="1"/>
        <v>00</v>
      </c>
      <c r="J38" s="26" t="str">
        <f>"42 "</f>
        <v xml:space="preserve">42 </v>
      </c>
      <c r="K38" s="26" t="str">
        <f t="shared" si="4"/>
        <v>PR</v>
      </c>
      <c r="L38" s="26" t="str">
        <f t="shared" si="5"/>
        <v>DGOSE</v>
      </c>
      <c r="M38" s="26" t="str">
        <f t="shared" si="2"/>
        <v>FEDERAL</v>
      </c>
      <c r="N38" s="26">
        <v>29</v>
      </c>
      <c r="O38" s="26">
        <v>18</v>
      </c>
      <c r="P38" s="26">
        <v>11</v>
      </c>
      <c r="Q38" s="26">
        <v>3</v>
      </c>
      <c r="R38" s="26">
        <v>1</v>
      </c>
      <c r="S38" s="26">
        <v>3</v>
      </c>
      <c r="T38" s="26">
        <v>2</v>
      </c>
      <c r="U38" s="26">
        <v>6</v>
      </c>
      <c r="V38" s="26">
        <v>1</v>
      </c>
      <c r="W38" s="26"/>
    </row>
    <row r="39" spans="1:23" x14ac:dyDescent="0.25">
      <c r="A39" s="26" t="str">
        <f t="shared" si="0"/>
        <v>PRIMARIA</v>
      </c>
      <c r="B39" s="26" t="str">
        <f>"09DBN0073H"</f>
        <v>09DBN0073H</v>
      </c>
      <c r="C39" s="26" t="str">
        <f>"MANUEL M. PONCE                                                                                     "</f>
        <v xml:space="preserve">MANUEL M. PONCE                                                                                     </v>
      </c>
      <c r="D39" s="26" t="str">
        <f t="shared" si="3"/>
        <v>NOCTURNO</v>
      </c>
      <c r="E39" s="26" t="str">
        <f>"AV. DEL PEÑON SIN NUMERO                                                        "</f>
        <v xml:space="preserve">AV. DEL PEÑON SIN NUMERO                                                        </v>
      </c>
      <c r="F39" s="26" t="str">
        <f>"AZTECA                                                                                                                                      "</f>
        <v xml:space="preserve">AZTECA                                                                                                                                      </v>
      </c>
      <c r="G39" s="26" t="str">
        <f>"VENUSTIANO CARRANZA                                                             "</f>
        <v xml:space="preserve">VENUSTIANO CARRANZA                                                             </v>
      </c>
      <c r="H39" s="26" t="str">
        <f>"815"</f>
        <v>815</v>
      </c>
      <c r="I39" s="26" t="str">
        <f t="shared" si="1"/>
        <v>00</v>
      </c>
      <c r="J39" s="26" t="str">
        <f>"43 "</f>
        <v xml:space="preserve">43 </v>
      </c>
      <c r="K39" s="26" t="str">
        <f t="shared" si="4"/>
        <v>PR</v>
      </c>
      <c r="L39" s="26" t="str">
        <f t="shared" si="5"/>
        <v>DGOSE</v>
      </c>
      <c r="M39" s="26" t="str">
        <f t="shared" si="2"/>
        <v>FEDERAL</v>
      </c>
      <c r="N39" s="26">
        <v>17</v>
      </c>
      <c r="O39" s="26">
        <v>6</v>
      </c>
      <c r="P39" s="26">
        <v>11</v>
      </c>
      <c r="Q39" s="26">
        <v>6</v>
      </c>
      <c r="R39" s="26">
        <v>0</v>
      </c>
      <c r="S39" s="26">
        <v>1</v>
      </c>
      <c r="T39" s="26">
        <v>1</v>
      </c>
      <c r="U39" s="26">
        <v>2</v>
      </c>
      <c r="V39" s="26">
        <v>1</v>
      </c>
      <c r="W39" s="26"/>
    </row>
    <row r="40" spans="1:23" x14ac:dyDescent="0.25">
      <c r="A40" s="26" t="str">
        <f t="shared" si="0"/>
        <v>PRIMARIA</v>
      </c>
      <c r="B40" s="26" t="str">
        <f>"09DBN0074G"</f>
        <v>09DBN0074G</v>
      </c>
      <c r="C40" s="26" t="str">
        <f>"ENRIQUE LAUBSCHER                                                                                   "</f>
        <v xml:space="preserve">ENRIQUE LAUBSCHER                                                                                   </v>
      </c>
      <c r="D40" s="26" t="str">
        <f t="shared" si="3"/>
        <v>NOCTURNO</v>
      </c>
      <c r="E40" s="26" t="str">
        <f>"MANUEL GONZALEZ NO. 134                                                         "</f>
        <v xml:space="preserve">MANUEL GONZALEZ NO. 134                                                         </v>
      </c>
      <c r="F40" s="26" t="str">
        <f>"SAN LUCAS                                                                                                                                   "</f>
        <v xml:space="preserve">SAN LUCAS                                                                                                                                   </v>
      </c>
      <c r="G40" s="26" t="str">
        <f>"IZTAPALAPA                                                                      "</f>
        <v xml:space="preserve">IZTAPALAPA                                                                      </v>
      </c>
      <c r="H40" s="26" t="str">
        <f>"070"</f>
        <v>070</v>
      </c>
      <c r="I40" s="26" t="str">
        <f t="shared" si="1"/>
        <v>00</v>
      </c>
      <c r="J40" s="26" t="str">
        <f>"63 "</f>
        <v xml:space="preserve">63 </v>
      </c>
      <c r="K40" s="26" t="str">
        <f>"IZ"</f>
        <v>IZ</v>
      </c>
      <c r="L40" s="26" t="str">
        <f>"DGSEI"</f>
        <v>DGSEI</v>
      </c>
      <c r="M40" s="26" t="str">
        <f t="shared" si="2"/>
        <v>FEDERAL</v>
      </c>
      <c r="N40" s="26">
        <v>35</v>
      </c>
      <c r="O40" s="26">
        <v>13</v>
      </c>
      <c r="P40" s="26">
        <v>22</v>
      </c>
      <c r="Q40" s="26">
        <v>6</v>
      </c>
      <c r="R40" s="26">
        <v>0</v>
      </c>
      <c r="S40" s="26">
        <v>6</v>
      </c>
      <c r="T40" s="26">
        <v>1</v>
      </c>
      <c r="U40" s="26">
        <v>7</v>
      </c>
      <c r="V40" s="26">
        <v>1</v>
      </c>
      <c r="W40" s="26"/>
    </row>
    <row r="41" spans="1:23" x14ac:dyDescent="0.25">
      <c r="A41" s="26" t="str">
        <f t="shared" si="0"/>
        <v>PRIMARIA</v>
      </c>
      <c r="B41" s="26" t="str">
        <f>"09DBN0075F"</f>
        <v>09DBN0075F</v>
      </c>
      <c r="C41" s="26" t="str">
        <f>"HOLANDA                                                                                             "</f>
        <v xml:space="preserve">HOLANDA                                                                                             </v>
      </c>
      <c r="D41" s="26" t="str">
        <f t="shared" si="3"/>
        <v>NOCTURNO</v>
      </c>
      <c r="E41" s="26" t="str">
        <f>"CAMPESINOS Y CULTIVOS NO. 111                                                   "</f>
        <v xml:space="preserve">CAMPESINOS Y CULTIVOS NO. 111                                                   </v>
      </c>
      <c r="F41" s="26" t="str">
        <f>"PROGRESO DEL SUR                                                                                                                            "</f>
        <v xml:space="preserve">PROGRESO DEL SUR                                                                                                                            </v>
      </c>
      <c r="G41" s="26" t="str">
        <f>"IZTAPALAPA                                                                      "</f>
        <v xml:space="preserve">IZTAPALAPA                                                                      </v>
      </c>
      <c r="H41" s="26" t="str">
        <f>"070"</f>
        <v>070</v>
      </c>
      <c r="I41" s="26" t="str">
        <f t="shared" si="1"/>
        <v>00</v>
      </c>
      <c r="J41" s="26" t="str">
        <f>"63 "</f>
        <v xml:space="preserve">63 </v>
      </c>
      <c r="K41" s="26" t="str">
        <f>"IZ"</f>
        <v>IZ</v>
      </c>
      <c r="L41" s="26" t="str">
        <f>"DGSEI"</f>
        <v>DGSEI</v>
      </c>
      <c r="M41" s="26" t="str">
        <f t="shared" si="2"/>
        <v>FEDERAL</v>
      </c>
      <c r="N41" s="26">
        <v>22</v>
      </c>
      <c r="O41" s="26">
        <v>7</v>
      </c>
      <c r="P41" s="26">
        <v>15</v>
      </c>
      <c r="Q41" s="26">
        <v>6</v>
      </c>
      <c r="R41" s="26">
        <v>1</v>
      </c>
      <c r="S41" s="26">
        <v>6</v>
      </c>
      <c r="T41" s="26">
        <v>0</v>
      </c>
      <c r="U41" s="26">
        <v>7</v>
      </c>
      <c r="V41" s="26">
        <v>1</v>
      </c>
      <c r="W41" s="26"/>
    </row>
    <row r="42" spans="1:23" x14ac:dyDescent="0.25">
      <c r="A42" s="26" t="str">
        <f t="shared" si="0"/>
        <v>PRIMARIA</v>
      </c>
      <c r="B42" s="26" t="str">
        <f>"09DBN0077D"</f>
        <v>09DBN0077D</v>
      </c>
      <c r="C42" s="26" t="str">
        <f>"PROFR. ANTONIO BARBOSA HELDT                                                                        "</f>
        <v xml:space="preserve">PROFR. ANTONIO BARBOSA HELDT                                                                        </v>
      </c>
      <c r="D42" s="26" t="str">
        <f t="shared" si="3"/>
        <v>NOCTURNO</v>
      </c>
      <c r="E42" s="26" t="str">
        <f>"AV. ANDRES MOLINA ENRIQUEZ NO. 520                                              "</f>
        <v xml:space="preserve">AV. ANDRES MOLINA ENRIQUEZ NO. 520                                              </v>
      </c>
      <c r="F42" s="26" t="str">
        <f>"SAN ANDRES TETEPILCO                                                                                                                        "</f>
        <v xml:space="preserve">SAN ANDRES TETEPILCO                                                                                                                        </v>
      </c>
      <c r="G42" s="26" t="str">
        <f>"IZTAPALAPA                                                                      "</f>
        <v xml:space="preserve">IZTAPALAPA                                                                      </v>
      </c>
      <c r="H42" s="26" t="str">
        <f>"070"</f>
        <v>070</v>
      </c>
      <c r="I42" s="26" t="str">
        <f t="shared" si="1"/>
        <v>00</v>
      </c>
      <c r="J42" s="26" t="str">
        <f>"63 "</f>
        <v xml:space="preserve">63 </v>
      </c>
      <c r="K42" s="26" t="str">
        <f>"IZ"</f>
        <v>IZ</v>
      </c>
      <c r="L42" s="26" t="str">
        <f>"DGSEI"</f>
        <v>DGSEI</v>
      </c>
      <c r="M42" s="26" t="str">
        <f t="shared" si="2"/>
        <v>FEDERAL</v>
      </c>
      <c r="N42" s="26">
        <v>18</v>
      </c>
      <c r="O42" s="26">
        <v>7</v>
      </c>
      <c r="P42" s="26">
        <v>11</v>
      </c>
      <c r="Q42" s="26">
        <v>5</v>
      </c>
      <c r="R42" s="26">
        <v>0</v>
      </c>
      <c r="S42" s="26">
        <v>5</v>
      </c>
      <c r="T42" s="26">
        <v>0</v>
      </c>
      <c r="U42" s="26">
        <v>5</v>
      </c>
      <c r="V42" s="26">
        <v>1</v>
      </c>
      <c r="W42" s="26"/>
    </row>
    <row r="43" spans="1:23" x14ac:dyDescent="0.25">
      <c r="A43" s="26" t="str">
        <f t="shared" si="0"/>
        <v>PRIMARIA</v>
      </c>
      <c r="B43" s="26" t="str">
        <f>"09DBN0078C"</f>
        <v>09DBN0078C</v>
      </c>
      <c r="C43" s="26" t="str">
        <f>"BANDERA NACIONAL                                                                                    "</f>
        <v xml:space="preserve">BANDERA NACIONAL                                                                                    </v>
      </c>
      <c r="D43" s="26" t="str">
        <f t="shared" si="3"/>
        <v>NOCTURNO</v>
      </c>
      <c r="E43" s="26" t="str">
        <f>"ORIENTE 178 Y SUR 107-A NO. 228                                                 "</f>
        <v xml:space="preserve">ORIENTE 178 Y SUR 107-A NO. 228                                                 </v>
      </c>
      <c r="F43" s="26" t="str">
        <f>"MEXICALTZINGO                                                                                                                               "</f>
        <v xml:space="preserve">MEXICALTZINGO                                                                                                                               </v>
      </c>
      <c r="G43" s="26" t="str">
        <f>"IZTAPALAPA                                                                      "</f>
        <v xml:space="preserve">IZTAPALAPA                                                                      </v>
      </c>
      <c r="H43" s="26" t="str">
        <f>"070"</f>
        <v>070</v>
      </c>
      <c r="I43" s="26" t="str">
        <f t="shared" si="1"/>
        <v>00</v>
      </c>
      <c r="J43" s="26" t="str">
        <f>"63 "</f>
        <v xml:space="preserve">63 </v>
      </c>
      <c r="K43" s="26" t="str">
        <f>"IZ"</f>
        <v>IZ</v>
      </c>
      <c r="L43" s="26" t="str">
        <f>"DGSEI"</f>
        <v>DGSEI</v>
      </c>
      <c r="M43" s="26" t="str">
        <f t="shared" si="2"/>
        <v>FEDERAL</v>
      </c>
      <c r="N43" s="26">
        <v>15</v>
      </c>
      <c r="O43" s="26">
        <v>5</v>
      </c>
      <c r="P43" s="26">
        <v>10</v>
      </c>
      <c r="Q43" s="26">
        <v>4</v>
      </c>
      <c r="R43" s="26">
        <v>1</v>
      </c>
      <c r="S43" s="26">
        <v>4</v>
      </c>
      <c r="T43" s="26">
        <v>1</v>
      </c>
      <c r="U43" s="26">
        <v>6</v>
      </c>
      <c r="V43" s="26">
        <v>1</v>
      </c>
      <c r="W43" s="26"/>
    </row>
    <row r="44" spans="1:23" x14ac:dyDescent="0.25">
      <c r="A44" s="26" t="str">
        <f t="shared" si="0"/>
        <v>PRIMARIA</v>
      </c>
      <c r="B44" s="26" t="str">
        <f>"09DBN0079B"</f>
        <v>09DBN0079B</v>
      </c>
      <c r="C44" s="26" t="str">
        <f>"NICOLAS BRAVO                                                                                       "</f>
        <v xml:space="preserve">NICOLAS BRAVO                                                                                       </v>
      </c>
      <c r="D44" s="26" t="str">
        <f t="shared" si="3"/>
        <v>NOCTURNO</v>
      </c>
      <c r="E44" s="26" t="str">
        <f>"AV EJIDO Y BENITO JUAREZ S/N                                                    "</f>
        <v xml:space="preserve">AV EJIDO Y BENITO JUAREZ S/N                                                    </v>
      </c>
      <c r="F44" s="26" t="str">
        <f>"25 DE JULIO                                                                                                                                 "</f>
        <v xml:space="preserve">25 DE JULIO                                                                                                                                 </v>
      </c>
      <c r="G44" s="26" t="str">
        <f>"GUSTAVO A. MADERO                                                               "</f>
        <v xml:space="preserve">GUSTAVO A. MADERO                                                               </v>
      </c>
      <c r="H44" s="26" t="str">
        <f>"812"</f>
        <v>812</v>
      </c>
      <c r="I44" s="26" t="str">
        <f t="shared" si="1"/>
        <v>00</v>
      </c>
      <c r="J44" s="26" t="str">
        <f>"42 "</f>
        <v xml:space="preserve">42 </v>
      </c>
      <c r="K44" s="26" t="str">
        <f t="shared" ref="K44:K63" si="8">"PR"</f>
        <v>PR</v>
      </c>
      <c r="L44" s="26" t="str">
        <f t="shared" ref="L44:L63" si="9">"DGOSE"</f>
        <v>DGOSE</v>
      </c>
      <c r="M44" s="26" t="str">
        <f t="shared" si="2"/>
        <v>FEDERAL</v>
      </c>
      <c r="N44" s="26">
        <v>21</v>
      </c>
      <c r="O44" s="26">
        <v>10</v>
      </c>
      <c r="P44" s="26">
        <v>11</v>
      </c>
      <c r="Q44" s="26">
        <v>6</v>
      </c>
      <c r="R44" s="26">
        <v>1</v>
      </c>
      <c r="S44" s="26">
        <v>3</v>
      </c>
      <c r="T44" s="26">
        <v>2</v>
      </c>
      <c r="U44" s="26">
        <v>6</v>
      </c>
      <c r="V44" s="26">
        <v>1</v>
      </c>
      <c r="W44" s="26"/>
    </row>
    <row r="45" spans="1:23" x14ac:dyDescent="0.25">
      <c r="A45" s="26" t="str">
        <f t="shared" si="0"/>
        <v>PRIMARIA</v>
      </c>
      <c r="B45" s="26" t="str">
        <f>"09DBN0080R"</f>
        <v>09DBN0080R</v>
      </c>
      <c r="C45" s="26" t="str">
        <f>"BERNAL DIAZ DEL CASTILLO                                                                            "</f>
        <v xml:space="preserve">BERNAL DIAZ DEL CASTILLO                                                                            </v>
      </c>
      <c r="D45" s="26" t="str">
        <f t="shared" si="3"/>
        <v>NOCTURNO</v>
      </c>
      <c r="E45" s="26" t="str">
        <f>"CALZ VALLEJO NO 1111                                                            "</f>
        <v xml:space="preserve">CALZ VALLEJO NO 1111                                                            </v>
      </c>
      <c r="F45" s="26" t="str">
        <f>"UNIDAD HABITACIONAL VALLEJO LA PATE                                                                                                         "</f>
        <v xml:space="preserve">UNIDAD HABITACIONAL VALLEJO LA PATE                                                                                                         </v>
      </c>
      <c r="G45" s="26" t="str">
        <f>"GUSTAVO A. MADERO                                                               "</f>
        <v xml:space="preserve">GUSTAVO A. MADERO                                                               </v>
      </c>
      <c r="H45" s="26" t="str">
        <f>"811"</f>
        <v>811</v>
      </c>
      <c r="I45" s="26" t="str">
        <f t="shared" si="1"/>
        <v>00</v>
      </c>
      <c r="J45" s="26" t="str">
        <f>"42 "</f>
        <v xml:space="preserve">42 </v>
      </c>
      <c r="K45" s="26" t="str">
        <f t="shared" si="8"/>
        <v>PR</v>
      </c>
      <c r="L45" s="26" t="str">
        <f t="shared" si="9"/>
        <v>DGOSE</v>
      </c>
      <c r="M45" s="26" t="str">
        <f t="shared" si="2"/>
        <v>FEDERAL</v>
      </c>
      <c r="N45" s="26">
        <v>26</v>
      </c>
      <c r="O45" s="26">
        <v>6</v>
      </c>
      <c r="P45" s="26">
        <v>20</v>
      </c>
      <c r="Q45" s="26">
        <v>5</v>
      </c>
      <c r="R45" s="26">
        <v>1</v>
      </c>
      <c r="S45" s="26">
        <v>3</v>
      </c>
      <c r="T45" s="26">
        <v>1</v>
      </c>
      <c r="U45" s="26">
        <v>5</v>
      </c>
      <c r="V45" s="26">
        <v>1</v>
      </c>
      <c r="W45" s="26"/>
    </row>
    <row r="46" spans="1:23" x14ac:dyDescent="0.25">
      <c r="A46" s="26" t="str">
        <f t="shared" si="0"/>
        <v>PRIMARIA</v>
      </c>
      <c r="B46" s="26" t="str">
        <f>"09DBN0086L"</f>
        <v>09DBN0086L</v>
      </c>
      <c r="C46" s="26" t="str">
        <f>"PRIMERO DE MAYO                                                                                     "</f>
        <v xml:space="preserve">PRIMERO DE MAYO                                                                                     </v>
      </c>
      <c r="D46" s="26" t="str">
        <f t="shared" si="3"/>
        <v>NOCTURNO</v>
      </c>
      <c r="E46" s="26" t="str">
        <f>"LAS FUENTES 16                                                                  "</f>
        <v xml:space="preserve">LAS FUENTES 16                                                                  </v>
      </c>
      <c r="F46" s="26" t="str">
        <f>"TORIELLO GUERRA                                                                                                                             "</f>
        <v xml:space="preserve">TORIELLO GUERRA                                                                                                                             </v>
      </c>
      <c r="G46" s="26" t="str">
        <f>"TLALPAN                                                                         "</f>
        <v xml:space="preserve">TLALPAN                                                                         </v>
      </c>
      <c r="H46" s="26" t="str">
        <f>"826"</f>
        <v>826</v>
      </c>
      <c r="I46" s="26" t="str">
        <f t="shared" si="1"/>
        <v>00</v>
      </c>
      <c r="J46" s="26" t="str">
        <f>"45 "</f>
        <v xml:space="preserve">45 </v>
      </c>
      <c r="K46" s="26" t="str">
        <f t="shared" si="8"/>
        <v>PR</v>
      </c>
      <c r="L46" s="26" t="str">
        <f t="shared" si="9"/>
        <v>DGOSE</v>
      </c>
      <c r="M46" s="26" t="str">
        <f t="shared" si="2"/>
        <v>FEDERAL</v>
      </c>
      <c r="N46" s="26">
        <v>19</v>
      </c>
      <c r="O46" s="26">
        <v>5</v>
      </c>
      <c r="P46" s="26">
        <v>14</v>
      </c>
      <c r="Q46" s="26">
        <v>19</v>
      </c>
      <c r="R46" s="26">
        <v>1</v>
      </c>
      <c r="S46" s="26">
        <v>2</v>
      </c>
      <c r="T46" s="26">
        <v>0</v>
      </c>
      <c r="U46" s="26">
        <v>3</v>
      </c>
      <c r="V46" s="26">
        <v>1</v>
      </c>
      <c r="W46" s="26"/>
    </row>
    <row r="47" spans="1:23" x14ac:dyDescent="0.25">
      <c r="A47" s="26" t="str">
        <f t="shared" si="0"/>
        <v>PRIMARIA</v>
      </c>
      <c r="B47" s="26" t="str">
        <f>"09DBN0090Y"</f>
        <v>09DBN0090Y</v>
      </c>
      <c r="C47" s="26" t="str">
        <f>"ESTADO DE MICHOACAN                                                                                 "</f>
        <v xml:space="preserve">ESTADO DE MICHOACAN                                                                                 </v>
      </c>
      <c r="D47" s="26" t="str">
        <f t="shared" si="3"/>
        <v>NOCTURNO</v>
      </c>
      <c r="E47" s="26" t="str">
        <f>"PROLG PLOMEROS S/N                                                              "</f>
        <v xml:space="preserve">PROLG PLOMEROS S/N                                                              </v>
      </c>
      <c r="F47" s="26" t="str">
        <f>"MICHOACANA                                                                                                                                  "</f>
        <v xml:space="preserve">MICHOACANA                                                                                                                                  </v>
      </c>
      <c r="G47" s="26" t="str">
        <f>"VENUSTIANO CARRANZA                                                             "</f>
        <v xml:space="preserve">VENUSTIANO CARRANZA                                                             </v>
      </c>
      <c r="H47" s="26" t="str">
        <f>"815"</f>
        <v>815</v>
      </c>
      <c r="I47" s="26" t="str">
        <f t="shared" si="1"/>
        <v>00</v>
      </c>
      <c r="J47" s="26" t="str">
        <f>"43 "</f>
        <v xml:space="preserve">43 </v>
      </c>
      <c r="K47" s="26" t="str">
        <f t="shared" si="8"/>
        <v>PR</v>
      </c>
      <c r="L47" s="26" t="str">
        <f t="shared" si="9"/>
        <v>DGOSE</v>
      </c>
      <c r="M47" s="26" t="str">
        <f t="shared" si="2"/>
        <v>FEDERAL</v>
      </c>
      <c r="N47" s="26">
        <v>29</v>
      </c>
      <c r="O47" s="26">
        <v>13</v>
      </c>
      <c r="P47" s="26">
        <v>16</v>
      </c>
      <c r="Q47" s="26">
        <v>6</v>
      </c>
      <c r="R47" s="26">
        <v>1</v>
      </c>
      <c r="S47" s="26">
        <v>1</v>
      </c>
      <c r="T47" s="26">
        <v>2</v>
      </c>
      <c r="U47" s="26">
        <v>4</v>
      </c>
      <c r="V47" s="26">
        <v>1</v>
      </c>
      <c r="W47" s="26"/>
    </row>
    <row r="48" spans="1:23" x14ac:dyDescent="0.25">
      <c r="A48" s="26" t="str">
        <f t="shared" si="0"/>
        <v>PRIMARIA</v>
      </c>
      <c r="B48" s="26" t="str">
        <f>"09DBN0091X"</f>
        <v>09DBN0091X</v>
      </c>
      <c r="C48" s="26" t="str">
        <f>"FELIPE CARRILLO PUERTO                                                                              "</f>
        <v xml:space="preserve">FELIPE CARRILLO PUERTO                                                                              </v>
      </c>
      <c r="D48" s="26" t="str">
        <f t="shared" si="3"/>
        <v>NOCTURNO</v>
      </c>
      <c r="E48" s="26" t="str">
        <f>"CALZ DE GUADALUPE NO 155                                                        "</f>
        <v xml:space="preserve">CALZ DE GUADALUPE NO 155                                                        </v>
      </c>
      <c r="F48" s="26" t="str">
        <f>"VALLE GOMEZ                                                                                                                                 "</f>
        <v xml:space="preserve">VALLE GOMEZ                                                                                                                                 </v>
      </c>
      <c r="G48" s="26" t="str">
        <f t="shared" ref="G48:G53" si="10">"CUAUHTEMOC                                                                      "</f>
        <v xml:space="preserve">CUAUHTEMOC                                                                      </v>
      </c>
      <c r="H48" s="26" t="str">
        <f>"803"</f>
        <v>803</v>
      </c>
      <c r="I48" s="26" t="str">
        <f t="shared" si="1"/>
        <v>00</v>
      </c>
      <c r="J48" s="26" t="str">
        <f t="shared" ref="J48:J56" si="11">"42 "</f>
        <v xml:space="preserve">42 </v>
      </c>
      <c r="K48" s="26" t="str">
        <f t="shared" si="8"/>
        <v>PR</v>
      </c>
      <c r="L48" s="26" t="str">
        <f t="shared" si="9"/>
        <v>DGOSE</v>
      </c>
      <c r="M48" s="26" t="str">
        <f t="shared" si="2"/>
        <v>FEDERAL</v>
      </c>
      <c r="N48" s="26">
        <v>27</v>
      </c>
      <c r="O48" s="26">
        <v>7</v>
      </c>
      <c r="P48" s="26">
        <v>20</v>
      </c>
      <c r="Q48" s="26">
        <v>3</v>
      </c>
      <c r="R48" s="26">
        <v>0</v>
      </c>
      <c r="S48" s="26">
        <v>3</v>
      </c>
      <c r="T48" s="26">
        <v>2</v>
      </c>
      <c r="U48" s="26">
        <v>5</v>
      </c>
      <c r="V48" s="26">
        <v>1</v>
      </c>
      <c r="W48" s="26"/>
    </row>
    <row r="49" spans="1:23" x14ac:dyDescent="0.25">
      <c r="A49" s="26" t="str">
        <f t="shared" si="0"/>
        <v>PRIMARIA</v>
      </c>
      <c r="B49" s="26" t="str">
        <f>"09DBN0093V"</f>
        <v>09DBN0093V</v>
      </c>
      <c r="C49" s="26" t="str">
        <f>"MEXICO LIBRE                                                                                        "</f>
        <v xml:space="preserve">MEXICO LIBRE                                                                                        </v>
      </c>
      <c r="D49" s="26" t="str">
        <f t="shared" si="3"/>
        <v>NOCTURNO</v>
      </c>
      <c r="E49" s="26" t="str">
        <f>"REGINA NO 86                                                                    "</f>
        <v xml:space="preserve">REGINA NO 86                                                                    </v>
      </c>
      <c r="F49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49" s="26" t="str">
        <f t="shared" si="10"/>
        <v xml:space="preserve">CUAUHTEMOC                                                                      </v>
      </c>
      <c r="H49" s="26" t="str">
        <f>"807"</f>
        <v>807</v>
      </c>
      <c r="I49" s="26" t="str">
        <f t="shared" si="1"/>
        <v>00</v>
      </c>
      <c r="J49" s="26" t="str">
        <f t="shared" si="11"/>
        <v xml:space="preserve">42 </v>
      </c>
      <c r="K49" s="26" t="str">
        <f t="shared" si="8"/>
        <v>PR</v>
      </c>
      <c r="L49" s="26" t="str">
        <f t="shared" si="9"/>
        <v>DGOSE</v>
      </c>
      <c r="M49" s="26" t="str">
        <f t="shared" si="2"/>
        <v>FEDERAL</v>
      </c>
      <c r="N49" s="26">
        <v>27</v>
      </c>
      <c r="O49" s="26">
        <v>7</v>
      </c>
      <c r="P49" s="26">
        <v>20</v>
      </c>
      <c r="Q49" s="26">
        <v>3</v>
      </c>
      <c r="R49" s="26">
        <v>1</v>
      </c>
      <c r="S49" s="26">
        <v>3</v>
      </c>
      <c r="T49" s="26">
        <v>2</v>
      </c>
      <c r="U49" s="26">
        <v>6</v>
      </c>
      <c r="V49" s="26">
        <v>1</v>
      </c>
      <c r="W49" s="26"/>
    </row>
    <row r="50" spans="1:23" x14ac:dyDescent="0.25">
      <c r="A50" s="26" t="str">
        <f t="shared" si="0"/>
        <v>PRIMARIA</v>
      </c>
      <c r="B50" s="26" t="str">
        <f>"09DBN0094U"</f>
        <v>09DBN0094U</v>
      </c>
      <c r="C50" s="26" t="str">
        <f>"PABLO MORENO                                                                                        "</f>
        <v xml:space="preserve">PABLO MORENO                                                                                        </v>
      </c>
      <c r="D50" s="26" t="str">
        <f t="shared" si="3"/>
        <v>NOCTURNO</v>
      </c>
      <c r="E50" s="26" t="str">
        <f>"REP DE BOLIVIA NO 12                                                            "</f>
        <v xml:space="preserve">REP DE BOLIVIA NO 12                                                            </v>
      </c>
      <c r="F50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50" s="26" t="str">
        <f t="shared" si="10"/>
        <v xml:space="preserve">CUAUHTEMOC                                                                      </v>
      </c>
      <c r="H50" s="26" t="str">
        <f>"806"</f>
        <v>806</v>
      </c>
      <c r="I50" s="26" t="str">
        <f t="shared" si="1"/>
        <v>00</v>
      </c>
      <c r="J50" s="26" t="str">
        <f t="shared" si="11"/>
        <v xml:space="preserve">42 </v>
      </c>
      <c r="K50" s="26" t="str">
        <f t="shared" si="8"/>
        <v>PR</v>
      </c>
      <c r="L50" s="26" t="str">
        <f t="shared" si="9"/>
        <v>DGOSE</v>
      </c>
      <c r="M50" s="26" t="str">
        <f t="shared" si="2"/>
        <v>FEDERAL</v>
      </c>
      <c r="N50" s="26">
        <v>29</v>
      </c>
      <c r="O50" s="26">
        <v>16</v>
      </c>
      <c r="P50" s="26">
        <v>13</v>
      </c>
      <c r="Q50" s="26">
        <v>3</v>
      </c>
      <c r="R50" s="26">
        <v>1</v>
      </c>
      <c r="S50" s="26">
        <v>3</v>
      </c>
      <c r="T50" s="26">
        <v>2</v>
      </c>
      <c r="U50" s="26">
        <v>6</v>
      </c>
      <c r="V50" s="26">
        <v>1</v>
      </c>
      <c r="W50" s="26"/>
    </row>
    <row r="51" spans="1:23" x14ac:dyDescent="0.25">
      <c r="A51" s="26" t="str">
        <f t="shared" si="0"/>
        <v>PRIMARIA</v>
      </c>
      <c r="B51" s="26" t="str">
        <f>"09DBN0097R"</f>
        <v>09DBN0097R</v>
      </c>
      <c r="C51" s="26" t="str">
        <f>"JOSE MARIA PINO SUAREZ                                                                              "</f>
        <v xml:space="preserve">JOSE MARIA PINO SUAREZ                                                                              </v>
      </c>
      <c r="D51" s="26" t="str">
        <f t="shared" si="3"/>
        <v>NOCTURNO</v>
      </c>
      <c r="E51" s="26" t="str">
        <f>"CONSTANCIA  35                                                                  "</f>
        <v xml:space="preserve">CONSTANCIA  35                                                                  </v>
      </c>
      <c r="F51" s="26" t="str">
        <f>"MORELOS                                                                                                                                     "</f>
        <v xml:space="preserve">MORELOS                                                                                                                                     </v>
      </c>
      <c r="G51" s="26" t="str">
        <f t="shared" si="10"/>
        <v xml:space="preserve">CUAUHTEMOC                                                                      </v>
      </c>
      <c r="H51" s="26" t="str">
        <f>"806"</f>
        <v>806</v>
      </c>
      <c r="I51" s="26" t="str">
        <f t="shared" si="1"/>
        <v>00</v>
      </c>
      <c r="J51" s="26" t="str">
        <f t="shared" si="11"/>
        <v xml:space="preserve">42 </v>
      </c>
      <c r="K51" s="26" t="str">
        <f t="shared" si="8"/>
        <v>PR</v>
      </c>
      <c r="L51" s="26" t="str">
        <f t="shared" si="9"/>
        <v>DGOSE</v>
      </c>
      <c r="M51" s="26" t="str">
        <f t="shared" si="2"/>
        <v>FEDERAL</v>
      </c>
      <c r="N51" s="26">
        <v>29</v>
      </c>
      <c r="O51" s="26">
        <v>10</v>
      </c>
      <c r="P51" s="26">
        <v>19</v>
      </c>
      <c r="Q51" s="26">
        <v>3</v>
      </c>
      <c r="R51" s="26">
        <v>1</v>
      </c>
      <c r="S51" s="26">
        <v>3</v>
      </c>
      <c r="T51" s="26">
        <v>2</v>
      </c>
      <c r="U51" s="26">
        <v>6</v>
      </c>
      <c r="V51" s="26">
        <v>1</v>
      </c>
      <c r="W51" s="26"/>
    </row>
    <row r="52" spans="1:23" x14ac:dyDescent="0.25">
      <c r="A52" s="26" t="str">
        <f t="shared" si="0"/>
        <v>PRIMARIA</v>
      </c>
      <c r="B52" s="26" t="str">
        <f>"09DBN0099P"</f>
        <v>09DBN0099P</v>
      </c>
      <c r="C52" s="26" t="str">
        <f>"FRANCISCO GINER DE LOS RIOS                                                                         "</f>
        <v xml:space="preserve">FRANCISCO GINER DE LOS RIOS                                                                         </v>
      </c>
      <c r="D52" s="26" t="str">
        <f t="shared" si="3"/>
        <v>NOCTURNO</v>
      </c>
      <c r="E52" s="26" t="str">
        <f>"ISABEL LA CATOLICA NO 370                                                       "</f>
        <v xml:space="preserve">ISABEL LA CATOLICA NO 370                                                       </v>
      </c>
      <c r="F52" s="26" t="str">
        <f>"OBRERA                                                                                                                                      "</f>
        <v xml:space="preserve">OBRERA                                                                                                                                      </v>
      </c>
      <c r="G52" s="26" t="str">
        <f t="shared" si="10"/>
        <v xml:space="preserve">CUAUHTEMOC                                                                      </v>
      </c>
      <c r="H52" s="26" t="str">
        <f>"807"</f>
        <v>807</v>
      </c>
      <c r="I52" s="26" t="str">
        <f t="shared" si="1"/>
        <v>00</v>
      </c>
      <c r="J52" s="26" t="str">
        <f t="shared" si="11"/>
        <v xml:space="preserve">42 </v>
      </c>
      <c r="K52" s="26" t="str">
        <f t="shared" si="8"/>
        <v>PR</v>
      </c>
      <c r="L52" s="26" t="str">
        <f t="shared" si="9"/>
        <v>DGOSE</v>
      </c>
      <c r="M52" s="26" t="str">
        <f t="shared" si="2"/>
        <v>FEDERAL</v>
      </c>
      <c r="N52" s="26">
        <v>28</v>
      </c>
      <c r="O52" s="26">
        <v>10</v>
      </c>
      <c r="P52" s="26">
        <v>18</v>
      </c>
      <c r="Q52" s="26">
        <v>3</v>
      </c>
      <c r="R52" s="26">
        <v>1</v>
      </c>
      <c r="S52" s="26">
        <v>3</v>
      </c>
      <c r="T52" s="26">
        <v>1</v>
      </c>
      <c r="U52" s="26">
        <v>5</v>
      </c>
      <c r="V52" s="26">
        <v>1</v>
      </c>
      <c r="W52" s="26"/>
    </row>
    <row r="53" spans="1:23" x14ac:dyDescent="0.25">
      <c r="A53" s="26" t="str">
        <f t="shared" si="0"/>
        <v>PRIMARIA</v>
      </c>
      <c r="B53" s="26" t="str">
        <f>"09DBN0101N"</f>
        <v>09DBN0101N</v>
      </c>
      <c r="C53" s="26" t="str">
        <f>"GABINO BARREDA                                                                                      "</f>
        <v xml:space="preserve">GABINO BARREDA                                                                                      </v>
      </c>
      <c r="D53" s="26" t="str">
        <f t="shared" si="3"/>
        <v>NOCTURNO</v>
      </c>
      <c r="E53" s="26" t="str">
        <f>"ALHONDIGA Y SOLEDAD                                                             "</f>
        <v xml:space="preserve">ALHONDIGA Y SOLEDAD                                                             </v>
      </c>
      <c r="F53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53" s="26" t="str">
        <f t="shared" si="10"/>
        <v xml:space="preserve">CUAUHTEMOC                                                                      </v>
      </c>
      <c r="H53" s="26" t="str">
        <f>"806"</f>
        <v>806</v>
      </c>
      <c r="I53" s="26" t="str">
        <f t="shared" si="1"/>
        <v>00</v>
      </c>
      <c r="J53" s="26" t="str">
        <f t="shared" si="11"/>
        <v xml:space="preserve">42 </v>
      </c>
      <c r="K53" s="26" t="str">
        <f t="shared" si="8"/>
        <v>PR</v>
      </c>
      <c r="L53" s="26" t="str">
        <f t="shared" si="9"/>
        <v>DGOSE</v>
      </c>
      <c r="M53" s="26" t="str">
        <f t="shared" si="2"/>
        <v>FEDERAL</v>
      </c>
      <c r="N53" s="26">
        <v>26</v>
      </c>
      <c r="O53" s="26">
        <v>4</v>
      </c>
      <c r="P53" s="26">
        <v>22</v>
      </c>
      <c r="Q53" s="26">
        <v>3</v>
      </c>
      <c r="R53" s="26">
        <v>1</v>
      </c>
      <c r="S53" s="26">
        <v>3</v>
      </c>
      <c r="T53" s="26">
        <v>1</v>
      </c>
      <c r="U53" s="26">
        <v>5</v>
      </c>
      <c r="V53" s="26">
        <v>1</v>
      </c>
      <c r="W53" s="26"/>
    </row>
    <row r="54" spans="1:23" x14ac:dyDescent="0.25">
      <c r="A54" s="26" t="str">
        <f t="shared" si="0"/>
        <v>PRIMARIA</v>
      </c>
      <c r="B54" s="26" t="str">
        <f>"09DBN0110V"</f>
        <v>09DBN0110V</v>
      </c>
      <c r="C54" s="26" t="str">
        <f>"PRESIDENTE PASCUAL ORTIZ RUBIO                                                                      "</f>
        <v xml:space="preserve">PRESIDENTE PASCUAL ORTIZ RUBIO                                                                      </v>
      </c>
      <c r="D54" s="26" t="str">
        <f t="shared" si="3"/>
        <v>NOCTURNO</v>
      </c>
      <c r="E54" s="26" t="str">
        <f>"CALZ. TICOMAN NO 159                                                            "</f>
        <v xml:space="preserve">CALZ. TICOMAN NO 159                                                            </v>
      </c>
      <c r="F54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54" s="26" t="str">
        <f>"GUSTAVO A. MADERO                                                               "</f>
        <v xml:space="preserve">GUSTAVO A. MADERO                                                               </v>
      </c>
      <c r="H54" s="26" t="str">
        <f>"811"</f>
        <v>811</v>
      </c>
      <c r="I54" s="26" t="str">
        <f t="shared" si="1"/>
        <v>00</v>
      </c>
      <c r="J54" s="26" t="str">
        <f t="shared" si="11"/>
        <v xml:space="preserve">42 </v>
      </c>
      <c r="K54" s="26" t="str">
        <f t="shared" si="8"/>
        <v>PR</v>
      </c>
      <c r="L54" s="26" t="str">
        <f t="shared" si="9"/>
        <v>DGOSE</v>
      </c>
      <c r="M54" s="26" t="str">
        <f t="shared" si="2"/>
        <v>FEDERAL</v>
      </c>
      <c r="N54" s="26">
        <v>14</v>
      </c>
      <c r="O54" s="26">
        <v>8</v>
      </c>
      <c r="P54" s="26">
        <v>6</v>
      </c>
      <c r="Q54" s="26">
        <v>5</v>
      </c>
      <c r="R54" s="26">
        <v>1</v>
      </c>
      <c r="S54" s="26">
        <v>3</v>
      </c>
      <c r="T54" s="26">
        <v>1</v>
      </c>
      <c r="U54" s="26">
        <v>5</v>
      </c>
      <c r="V54" s="26">
        <v>1</v>
      </c>
      <c r="W54" s="26"/>
    </row>
    <row r="55" spans="1:23" x14ac:dyDescent="0.25">
      <c r="A55" s="26" t="str">
        <f t="shared" si="0"/>
        <v>PRIMARIA</v>
      </c>
      <c r="B55" s="26" t="str">
        <f>"09DBN0111U"</f>
        <v>09DBN0111U</v>
      </c>
      <c r="C55" s="26" t="str">
        <f>"SIXTO NIETO ROJAS                                                                                   "</f>
        <v xml:space="preserve">SIXTO NIETO ROJAS                                                                                   </v>
      </c>
      <c r="D55" s="26" t="str">
        <f t="shared" si="3"/>
        <v>NOCTURNO</v>
      </c>
      <c r="E55" s="26" t="str">
        <f>"NORTE 84 NO 4538                                                                "</f>
        <v xml:space="preserve">NORTE 84 NO 4538                                                                </v>
      </c>
      <c r="F55" s="26" t="str">
        <f>"NUEVA TENOCHTITLAN                                                                                                                          "</f>
        <v xml:space="preserve">NUEVA TENOCHTITLAN                                                                                                                          </v>
      </c>
      <c r="G55" s="26" t="str">
        <f>"GUSTAVO A. MADERO                                                               "</f>
        <v xml:space="preserve">GUSTAVO A. MADERO                                                               </v>
      </c>
      <c r="H55" s="26" t="str">
        <f>"814"</f>
        <v>814</v>
      </c>
      <c r="I55" s="26" t="str">
        <f t="shared" si="1"/>
        <v>00</v>
      </c>
      <c r="J55" s="26" t="str">
        <f t="shared" si="11"/>
        <v xml:space="preserve">42 </v>
      </c>
      <c r="K55" s="26" t="str">
        <f t="shared" si="8"/>
        <v>PR</v>
      </c>
      <c r="L55" s="26" t="str">
        <f t="shared" si="9"/>
        <v>DGOSE</v>
      </c>
      <c r="M55" s="26" t="str">
        <f t="shared" si="2"/>
        <v>FEDERAL</v>
      </c>
      <c r="N55" s="26">
        <v>22</v>
      </c>
      <c r="O55" s="26">
        <v>7</v>
      </c>
      <c r="P55" s="26">
        <v>15</v>
      </c>
      <c r="Q55" s="26">
        <v>4</v>
      </c>
      <c r="R55" s="26">
        <v>1</v>
      </c>
      <c r="S55" s="26">
        <v>3</v>
      </c>
      <c r="T55" s="26">
        <v>1</v>
      </c>
      <c r="U55" s="26">
        <v>5</v>
      </c>
      <c r="V55" s="26">
        <v>1</v>
      </c>
      <c r="W55" s="26"/>
    </row>
    <row r="56" spans="1:23" x14ac:dyDescent="0.25">
      <c r="A56" s="26" t="str">
        <f t="shared" si="0"/>
        <v>PRIMARIA</v>
      </c>
      <c r="B56" s="26" t="str">
        <f>"09DBN0112T"</f>
        <v>09DBN0112T</v>
      </c>
      <c r="C56" s="26" t="str">
        <f>"PROFRA. ELMIRA ROCHA GARCIA                                                                         "</f>
        <v xml:space="preserve">PROFRA. ELMIRA ROCHA GARCIA                                                                         </v>
      </c>
      <c r="D56" s="26" t="str">
        <f t="shared" si="3"/>
        <v>NOCTURNO</v>
      </c>
      <c r="E56" s="26" t="str">
        <f>"OSA MAYOR S/N SECTOR 1 D                                                        "</f>
        <v xml:space="preserve">OSA MAYOR S/N SECTOR 1 D                                                        </v>
      </c>
      <c r="F56" s="26" t="str">
        <f>"UNIDAD INFONAVIT EL ROSARIO                                                                                                                 "</f>
        <v xml:space="preserve">UNIDAD INFONAVIT EL ROSARIO                                                                                                                 </v>
      </c>
      <c r="G56" s="26" t="str">
        <f>"AZCAPOTZALCO                                                                    "</f>
        <v xml:space="preserve">AZCAPOTZALCO                                                                    </v>
      </c>
      <c r="H56" s="26" t="str">
        <f>"801"</f>
        <v>801</v>
      </c>
      <c r="I56" s="26" t="str">
        <f t="shared" si="1"/>
        <v>00</v>
      </c>
      <c r="J56" s="26" t="str">
        <f t="shared" si="11"/>
        <v xml:space="preserve">42 </v>
      </c>
      <c r="K56" s="26" t="str">
        <f t="shared" si="8"/>
        <v>PR</v>
      </c>
      <c r="L56" s="26" t="str">
        <f t="shared" si="9"/>
        <v>DGOSE</v>
      </c>
      <c r="M56" s="26" t="str">
        <f t="shared" si="2"/>
        <v>FEDERAL</v>
      </c>
      <c r="N56" s="26">
        <v>20</v>
      </c>
      <c r="O56" s="26">
        <v>11</v>
      </c>
      <c r="P56" s="26">
        <v>9</v>
      </c>
      <c r="Q56" s="26">
        <v>3</v>
      </c>
      <c r="R56" s="26">
        <v>1</v>
      </c>
      <c r="S56" s="26">
        <v>3</v>
      </c>
      <c r="T56" s="26">
        <v>3</v>
      </c>
      <c r="U56" s="26">
        <v>7</v>
      </c>
      <c r="V56" s="26">
        <v>1</v>
      </c>
      <c r="W56" s="26"/>
    </row>
    <row r="57" spans="1:23" x14ac:dyDescent="0.25">
      <c r="A57" s="26" t="str">
        <f t="shared" si="0"/>
        <v>PRIMARIA</v>
      </c>
      <c r="B57" s="26" t="str">
        <f>"09DBN0113S"</f>
        <v>09DBN0113S</v>
      </c>
      <c r="C57" s="26" t="str">
        <f>"LIC. PROTASIO TAGLE                                                                                 "</f>
        <v xml:space="preserve">LIC. PROTASIO TAGLE                                                                                 </v>
      </c>
      <c r="D57" s="26" t="str">
        <f t="shared" si="3"/>
        <v>NOCTURNO</v>
      </c>
      <c r="E57" s="26" t="str">
        <f>"AV CENTENARIO NO 28                                                             "</f>
        <v xml:space="preserve">AV CENTENARIO NO 28                                                             </v>
      </c>
      <c r="F57" s="26" t="str">
        <f>"DEL CARMEN                                                                                                                                  "</f>
        <v xml:space="preserve">DEL CARMEN                                                                                                                                  </v>
      </c>
      <c r="G57" s="26" t="str">
        <f>"COYOACAN                                                                        "</f>
        <v xml:space="preserve">COYOACAN                                                                        </v>
      </c>
      <c r="H57" s="26" t="str">
        <f>"823"</f>
        <v>823</v>
      </c>
      <c r="I57" s="26" t="str">
        <f t="shared" si="1"/>
        <v>00</v>
      </c>
      <c r="J57" s="26" t="str">
        <f>"45 "</f>
        <v xml:space="preserve">45 </v>
      </c>
      <c r="K57" s="26" t="str">
        <f t="shared" si="8"/>
        <v>PR</v>
      </c>
      <c r="L57" s="26" t="str">
        <f t="shared" si="9"/>
        <v>DGOSE</v>
      </c>
      <c r="M57" s="26" t="str">
        <f t="shared" si="2"/>
        <v>FEDERAL</v>
      </c>
      <c r="N57" s="26">
        <v>12</v>
      </c>
      <c r="O57" s="26">
        <v>6</v>
      </c>
      <c r="P57" s="26">
        <v>6</v>
      </c>
      <c r="Q57" s="26">
        <v>6</v>
      </c>
      <c r="R57" s="26">
        <v>0</v>
      </c>
      <c r="S57" s="26">
        <v>2</v>
      </c>
      <c r="T57" s="26">
        <v>0</v>
      </c>
      <c r="U57" s="26">
        <v>2</v>
      </c>
      <c r="V57" s="26">
        <v>1</v>
      </c>
      <c r="W57" s="26"/>
    </row>
    <row r="58" spans="1:23" x14ac:dyDescent="0.25">
      <c r="A58" s="26" t="str">
        <f t="shared" si="0"/>
        <v>PRIMARIA</v>
      </c>
      <c r="B58" s="26" t="str">
        <f>"09DBN0116P"</f>
        <v>09DBN0116P</v>
      </c>
      <c r="C58" s="26" t="str">
        <f>"CLUB DE LEONES NUMERO 2                                                                             "</f>
        <v xml:space="preserve">CLUB DE LEONES NUMERO 2                                                                             </v>
      </c>
      <c r="D58" s="26" t="str">
        <f t="shared" si="3"/>
        <v>NOCTURNO</v>
      </c>
      <c r="E58" s="26" t="str">
        <f>"FLORINES Y PUERTO ARTURO S/N                                                    "</f>
        <v xml:space="preserve">FLORINES Y PUERTO ARTURO S/N                                                    </v>
      </c>
      <c r="F58" s="26" t="str">
        <f>"AQUILES SERDAN                                                                                                                              "</f>
        <v xml:space="preserve">AQUILES SERDAN                                                                                                                              </v>
      </c>
      <c r="G58" s="26" t="str">
        <f>"VENUSTIANO CARRANZA                                                             "</f>
        <v xml:space="preserve">VENUSTIANO CARRANZA                                                             </v>
      </c>
      <c r="H58" s="26" t="str">
        <f>"816"</f>
        <v>816</v>
      </c>
      <c r="I58" s="26" t="str">
        <f t="shared" si="1"/>
        <v>00</v>
      </c>
      <c r="J58" s="26" t="str">
        <f>"43 "</f>
        <v xml:space="preserve">43 </v>
      </c>
      <c r="K58" s="26" t="str">
        <f t="shared" si="8"/>
        <v>PR</v>
      </c>
      <c r="L58" s="26" t="str">
        <f t="shared" si="9"/>
        <v>DGOSE</v>
      </c>
      <c r="M58" s="26" t="str">
        <f t="shared" si="2"/>
        <v>FEDERAL</v>
      </c>
      <c r="N58" s="26">
        <v>13</v>
      </c>
      <c r="O58" s="26">
        <v>1</v>
      </c>
      <c r="P58" s="26">
        <v>12</v>
      </c>
      <c r="Q58" s="26">
        <v>5</v>
      </c>
      <c r="R58" s="26">
        <v>0</v>
      </c>
      <c r="S58" s="26">
        <v>1</v>
      </c>
      <c r="T58" s="26">
        <v>1</v>
      </c>
      <c r="U58" s="26">
        <v>2</v>
      </c>
      <c r="V58" s="26">
        <v>1</v>
      </c>
      <c r="W58" s="26"/>
    </row>
    <row r="59" spans="1:23" x14ac:dyDescent="0.25">
      <c r="A59" s="26" t="str">
        <f t="shared" si="0"/>
        <v>PRIMARIA</v>
      </c>
      <c r="B59" s="26" t="str">
        <f>"09DBN0117O"</f>
        <v>09DBN0117O</v>
      </c>
      <c r="C59" s="26" t="str">
        <f>"TEZOZOMOC                                                                                           "</f>
        <v xml:space="preserve">TEZOZOMOC                                                                                           </v>
      </c>
      <c r="D59" s="26" t="str">
        <f t="shared" si="3"/>
        <v>NOCTURNO</v>
      </c>
      <c r="E59" s="26" t="str">
        <f>"AV EDUARDO MOLINA NO 1722                                                       "</f>
        <v xml:space="preserve">AV EDUARDO MOLINA NO 1722                                                       </v>
      </c>
      <c r="F59" s="26" t="str">
        <f>"VASCO DE QUIROGA                                                                                                                            "</f>
        <v xml:space="preserve">VASCO DE QUIROGA                                                                                                                            </v>
      </c>
      <c r="G59" s="26" t="str">
        <f>"GUSTAVO A. MADERO                                                               "</f>
        <v xml:space="preserve">GUSTAVO A. MADERO                                                               </v>
      </c>
      <c r="H59" s="26" t="str">
        <f>"812"</f>
        <v>812</v>
      </c>
      <c r="I59" s="26" t="str">
        <f t="shared" si="1"/>
        <v>00</v>
      </c>
      <c r="J59" s="26" t="str">
        <f>"42 "</f>
        <v xml:space="preserve">42 </v>
      </c>
      <c r="K59" s="26" t="str">
        <f t="shared" si="8"/>
        <v>PR</v>
      </c>
      <c r="L59" s="26" t="str">
        <f t="shared" si="9"/>
        <v>DGOSE</v>
      </c>
      <c r="M59" s="26" t="str">
        <f t="shared" si="2"/>
        <v>FEDERAL</v>
      </c>
      <c r="N59" s="26">
        <v>28</v>
      </c>
      <c r="O59" s="26">
        <v>5</v>
      </c>
      <c r="P59" s="26">
        <v>23</v>
      </c>
      <c r="Q59" s="26">
        <v>6</v>
      </c>
      <c r="R59" s="26">
        <v>1</v>
      </c>
      <c r="S59" s="26">
        <v>4</v>
      </c>
      <c r="T59" s="26">
        <v>1</v>
      </c>
      <c r="U59" s="26">
        <v>6</v>
      </c>
      <c r="V59" s="26">
        <v>1</v>
      </c>
      <c r="W59" s="26"/>
    </row>
    <row r="60" spans="1:23" x14ac:dyDescent="0.25">
      <c r="A60" s="26" t="str">
        <f t="shared" si="0"/>
        <v>PRIMARIA</v>
      </c>
      <c r="B60" s="26" t="str">
        <f>"09DBN0118N"</f>
        <v>09DBN0118N</v>
      </c>
      <c r="C60" s="26" t="str">
        <f>"PROFR. CANDIDO JARAMILLO GONZALEZ                                                                   "</f>
        <v xml:space="preserve">PROFR. CANDIDO JARAMILLO GONZALEZ                                                                   </v>
      </c>
      <c r="D60" s="26" t="str">
        <f t="shared" si="3"/>
        <v>NOCTURNO</v>
      </c>
      <c r="E60" s="26" t="str">
        <f>"CALZ TAXQUEÑA NO 1811                                                           "</f>
        <v xml:space="preserve">CALZ TAXQUEÑA NO 1811                                                           </v>
      </c>
      <c r="F60" s="26" t="str">
        <f>"SAN FRANCISCO CULHUACAN                                                                                                                     "</f>
        <v xml:space="preserve">SAN FRANCISCO CULHUACAN                                                                                                                     </v>
      </c>
      <c r="G60" s="26" t="str">
        <f>"COYOACAN                                                                        "</f>
        <v xml:space="preserve">COYOACAN                                                                        </v>
      </c>
      <c r="H60" s="26" t="str">
        <f>"823"</f>
        <v>823</v>
      </c>
      <c r="I60" s="26" t="str">
        <f t="shared" si="1"/>
        <v>00</v>
      </c>
      <c r="J60" s="26" t="str">
        <f>"45 "</f>
        <v xml:space="preserve">45 </v>
      </c>
      <c r="K60" s="26" t="str">
        <f t="shared" si="8"/>
        <v>PR</v>
      </c>
      <c r="L60" s="26" t="str">
        <f t="shared" si="9"/>
        <v>DGOSE</v>
      </c>
      <c r="M60" s="26" t="str">
        <f t="shared" si="2"/>
        <v>FEDERAL</v>
      </c>
      <c r="N60" s="26">
        <v>12</v>
      </c>
      <c r="O60" s="26">
        <v>6</v>
      </c>
      <c r="P60" s="26">
        <v>6</v>
      </c>
      <c r="Q60" s="26">
        <v>6</v>
      </c>
      <c r="R60" s="26">
        <v>0</v>
      </c>
      <c r="S60" s="26">
        <v>2</v>
      </c>
      <c r="T60" s="26">
        <v>0</v>
      </c>
      <c r="U60" s="26">
        <v>2</v>
      </c>
      <c r="V60" s="26">
        <v>1</v>
      </c>
      <c r="W60" s="26"/>
    </row>
    <row r="61" spans="1:23" x14ac:dyDescent="0.25">
      <c r="A61" s="26" t="str">
        <f t="shared" si="0"/>
        <v>PRIMARIA</v>
      </c>
      <c r="B61" s="26" t="str">
        <f>"09DBN0119M"</f>
        <v>09DBN0119M</v>
      </c>
      <c r="C61" s="26" t="str">
        <f>"MTRO. LUIS CHAVEZ OROZCO                                                                            "</f>
        <v xml:space="preserve">MTRO. LUIS CHAVEZ OROZCO                                                                            </v>
      </c>
      <c r="D61" s="26" t="str">
        <f t="shared" si="3"/>
        <v>NOCTURNO</v>
      </c>
      <c r="E61" s="26" t="str">
        <f>"SUR 163 Y OTE 110                                                               "</f>
        <v xml:space="preserve">SUR 163 Y OTE 110                                                               </v>
      </c>
      <c r="F61" s="26" t="str">
        <f>"GABRIEL RAMOS MILLAN                                                                                                                        "</f>
        <v xml:space="preserve">GABRIEL RAMOS MILLAN                                                                                                                        </v>
      </c>
      <c r="G61" s="26" t="str">
        <f>"IZTACALCO                                                                       "</f>
        <v xml:space="preserve">IZTACALCO                                                                       </v>
      </c>
      <c r="H61" s="26" t="str">
        <f>"821"</f>
        <v>821</v>
      </c>
      <c r="I61" s="26" t="str">
        <f t="shared" si="1"/>
        <v>00</v>
      </c>
      <c r="J61" s="26" t="str">
        <f>"43 "</f>
        <v xml:space="preserve">43 </v>
      </c>
      <c r="K61" s="26" t="str">
        <f t="shared" si="8"/>
        <v>PR</v>
      </c>
      <c r="L61" s="26" t="str">
        <f t="shared" si="9"/>
        <v>DGOSE</v>
      </c>
      <c r="M61" s="26" t="str">
        <f t="shared" si="2"/>
        <v>FEDERAL</v>
      </c>
      <c r="N61" s="26">
        <v>32</v>
      </c>
      <c r="O61" s="26">
        <v>16</v>
      </c>
      <c r="P61" s="26">
        <v>16</v>
      </c>
      <c r="Q61" s="26">
        <v>6</v>
      </c>
      <c r="R61" s="26">
        <v>1</v>
      </c>
      <c r="S61" s="26">
        <v>2</v>
      </c>
      <c r="T61" s="26">
        <v>1</v>
      </c>
      <c r="U61" s="26">
        <v>4</v>
      </c>
      <c r="V61" s="26">
        <v>1</v>
      </c>
      <c r="W61" s="26"/>
    </row>
    <row r="62" spans="1:23" x14ac:dyDescent="0.25">
      <c r="A62" s="26" t="str">
        <f t="shared" si="0"/>
        <v>PRIMARIA</v>
      </c>
      <c r="B62" s="26" t="str">
        <f>"09DBN0121A"</f>
        <v>09DBN0121A</v>
      </c>
      <c r="C62" s="26" t="str">
        <f>"DR. BELISARIO DOMINGUEZ                                                                             "</f>
        <v xml:space="preserve">DR. BELISARIO DOMINGUEZ                                                                             </v>
      </c>
      <c r="D62" s="26" t="str">
        <f t="shared" si="3"/>
        <v>NOCTURNO</v>
      </c>
      <c r="E62" s="26" t="str">
        <f>"HEROES NO 25                                                                    "</f>
        <v xml:space="preserve">HEROES NO 25                                                                    </v>
      </c>
      <c r="F62" s="26" t="str">
        <f>"GUERRERO                                                                                                                                    "</f>
        <v xml:space="preserve">GUERRERO                                                                                                                                    </v>
      </c>
      <c r="G62" s="26" t="str">
        <f>"CUAUHTEMOC                                                                      "</f>
        <v xml:space="preserve">CUAUHTEMOC                                                                      </v>
      </c>
      <c r="H62" s="26" t="str">
        <f>"803"</f>
        <v>803</v>
      </c>
      <c r="I62" s="26" t="str">
        <f t="shared" si="1"/>
        <v>00</v>
      </c>
      <c r="J62" s="26" t="str">
        <f>"42 "</f>
        <v xml:space="preserve">42 </v>
      </c>
      <c r="K62" s="26" t="str">
        <f t="shared" si="8"/>
        <v>PR</v>
      </c>
      <c r="L62" s="26" t="str">
        <f t="shared" si="9"/>
        <v>DGOSE</v>
      </c>
      <c r="M62" s="26" t="str">
        <f t="shared" si="2"/>
        <v>FEDERAL</v>
      </c>
      <c r="N62" s="26">
        <v>30</v>
      </c>
      <c r="O62" s="26">
        <v>9</v>
      </c>
      <c r="P62" s="26">
        <v>21</v>
      </c>
      <c r="Q62" s="26">
        <v>3</v>
      </c>
      <c r="R62" s="26">
        <v>1</v>
      </c>
      <c r="S62" s="26">
        <v>3</v>
      </c>
      <c r="T62" s="26">
        <v>2</v>
      </c>
      <c r="U62" s="26">
        <v>6</v>
      </c>
      <c r="V62" s="26">
        <v>1</v>
      </c>
      <c r="W62" s="26"/>
    </row>
    <row r="63" spans="1:23" x14ac:dyDescent="0.25">
      <c r="A63" s="26" t="str">
        <f t="shared" si="0"/>
        <v>PRIMARIA</v>
      </c>
      <c r="B63" s="26" t="str">
        <f>"09DBN0123Z"</f>
        <v>09DBN0123Z</v>
      </c>
      <c r="C63" s="26" t="str">
        <f>"ING. JUAN DE DIOS BATIZ                                                                             "</f>
        <v xml:space="preserve">ING. JUAN DE DIOS BATIZ                                                                             </v>
      </c>
      <c r="D63" s="26" t="str">
        <f t="shared" si="3"/>
        <v>NOCTURNO</v>
      </c>
      <c r="E63" s="26" t="str">
        <f>"AV DE LA CIMA Y RIO SAN JAVIER                                                  "</f>
        <v xml:space="preserve">AV DE LA CIMA Y RIO SAN JAVIER                                                  </v>
      </c>
      <c r="F63" s="26" t="str">
        <f>"ACUEDUCTO DE GUADALUPE                                                                                                                      "</f>
        <v xml:space="preserve">ACUEDUCTO DE GUADALUPE                                                                                                                      </v>
      </c>
      <c r="G63" s="26" t="str">
        <f>"GUSTAVO A. MADERO                                                               "</f>
        <v xml:space="preserve">GUSTAVO A. MADERO                                                               </v>
      </c>
      <c r="H63" s="26" t="str">
        <f>"811"</f>
        <v>811</v>
      </c>
      <c r="I63" s="26" t="str">
        <f t="shared" si="1"/>
        <v>00</v>
      </c>
      <c r="J63" s="26" t="str">
        <f>"42 "</f>
        <v xml:space="preserve">42 </v>
      </c>
      <c r="K63" s="26" t="str">
        <f t="shared" si="8"/>
        <v>PR</v>
      </c>
      <c r="L63" s="26" t="str">
        <f t="shared" si="9"/>
        <v>DGOSE</v>
      </c>
      <c r="M63" s="26" t="str">
        <f t="shared" si="2"/>
        <v>FEDERAL</v>
      </c>
      <c r="N63" s="26">
        <v>29</v>
      </c>
      <c r="O63" s="26">
        <v>6</v>
      </c>
      <c r="P63" s="26">
        <v>23</v>
      </c>
      <c r="Q63" s="26">
        <v>4</v>
      </c>
      <c r="R63" s="26">
        <v>1</v>
      </c>
      <c r="S63" s="26">
        <v>3</v>
      </c>
      <c r="T63" s="26">
        <v>1</v>
      </c>
      <c r="U63" s="26">
        <v>5</v>
      </c>
      <c r="V63" s="26">
        <v>1</v>
      </c>
      <c r="W63" s="26"/>
    </row>
    <row r="64" spans="1:23" x14ac:dyDescent="0.25">
      <c r="A64" s="26" t="str">
        <f t="shared" si="0"/>
        <v>PRIMARIA</v>
      </c>
      <c r="B64" s="26" t="str">
        <f>"09DBN0136C"</f>
        <v>09DBN0136C</v>
      </c>
      <c r="C64" s="26" t="str">
        <f>"VIRGILIO URIBE                                                                                      "</f>
        <v xml:space="preserve">VIRGILIO URIBE                                                                                      </v>
      </c>
      <c r="D64" s="26" t="str">
        <f t="shared" si="3"/>
        <v>NOCTURNO</v>
      </c>
      <c r="E64" s="26" t="str">
        <f>"CALZ. SAN JUANICO NO. 20                                                        "</f>
        <v xml:space="preserve">CALZ. SAN JUANICO NO. 20                                                        </v>
      </c>
      <c r="F64" s="26" t="str">
        <f>"SAN JUANICO MEXTIPAC                                                                                                                        "</f>
        <v xml:space="preserve">SAN JUANICO MEXTIPAC                                                                                                                        </v>
      </c>
      <c r="G64" s="26" t="str">
        <f>"IZTAPALAPA                                                                      "</f>
        <v xml:space="preserve">IZTAPALAPA                                                                      </v>
      </c>
      <c r="H64" s="26" t="str">
        <f>"070"</f>
        <v>070</v>
      </c>
      <c r="I64" s="26" t="str">
        <f t="shared" si="1"/>
        <v>00</v>
      </c>
      <c r="J64" s="26" t="str">
        <f>"63 "</f>
        <v xml:space="preserve">63 </v>
      </c>
      <c r="K64" s="26" t="str">
        <f>"IZ"</f>
        <v>IZ</v>
      </c>
      <c r="L64" s="26" t="str">
        <f>"DGSEI"</f>
        <v>DGSEI</v>
      </c>
      <c r="M64" s="26" t="str">
        <f t="shared" si="2"/>
        <v>FEDERAL</v>
      </c>
      <c r="N64" s="26">
        <v>18</v>
      </c>
      <c r="O64" s="26">
        <v>3</v>
      </c>
      <c r="P64" s="26">
        <v>15</v>
      </c>
      <c r="Q64" s="26">
        <v>5</v>
      </c>
      <c r="R64" s="26">
        <v>1</v>
      </c>
      <c r="S64" s="26">
        <v>2</v>
      </c>
      <c r="T64" s="26">
        <v>0</v>
      </c>
      <c r="U64" s="26">
        <v>3</v>
      </c>
      <c r="V64" s="26">
        <v>1</v>
      </c>
      <c r="W64" s="26"/>
    </row>
    <row r="65" spans="1:23" x14ac:dyDescent="0.25">
      <c r="A65" s="26" t="str">
        <f t="shared" si="0"/>
        <v>PRIMARIA</v>
      </c>
      <c r="B65" s="26" t="str">
        <f>"09DBN0137B"</f>
        <v>09DBN0137B</v>
      </c>
      <c r="C65" s="26" t="str">
        <f>"INGENIERO MIGUEL BERNARD                                                                            "</f>
        <v xml:space="preserve">INGENIERO MIGUEL BERNARD                                                                            </v>
      </c>
      <c r="D65" s="26" t="str">
        <f t="shared" si="3"/>
        <v>NOCTURNO</v>
      </c>
      <c r="E65" s="26" t="str">
        <f>"AVENIDA HIDALGO NO 4                                                            "</f>
        <v xml:space="preserve">AVENIDA HIDALGO NO 4                                                            </v>
      </c>
      <c r="F65" s="26" t="str">
        <f>"SAN GREGORIO ATLAPULCO                                                                                                                      "</f>
        <v xml:space="preserve">SAN GREGORIO ATLAPULCO                                                                                                                      </v>
      </c>
      <c r="G65" s="26" t="str">
        <f>"XOCHIMILCO                                                                      "</f>
        <v xml:space="preserve">XOCHIMILCO                                                                      </v>
      </c>
      <c r="H65" s="26" t="str">
        <f>"826"</f>
        <v>826</v>
      </c>
      <c r="I65" s="26" t="str">
        <f t="shared" si="1"/>
        <v>00</v>
      </c>
      <c r="J65" s="26" t="str">
        <f>"45 "</f>
        <v xml:space="preserve">45 </v>
      </c>
      <c r="K65" s="26" t="str">
        <f>"PR"</f>
        <v>PR</v>
      </c>
      <c r="L65" s="26" t="str">
        <f>"DGOSE"</f>
        <v>DGOSE</v>
      </c>
      <c r="M65" s="26" t="str">
        <f t="shared" si="2"/>
        <v>FEDERAL</v>
      </c>
      <c r="N65" s="26">
        <v>19</v>
      </c>
      <c r="O65" s="26">
        <v>7</v>
      </c>
      <c r="P65" s="26">
        <v>12</v>
      </c>
      <c r="Q65" s="26">
        <v>6</v>
      </c>
      <c r="R65" s="26">
        <v>0</v>
      </c>
      <c r="S65" s="26">
        <v>2</v>
      </c>
      <c r="T65" s="26">
        <v>1</v>
      </c>
      <c r="U65" s="26">
        <v>3</v>
      </c>
      <c r="V65" s="26">
        <v>1</v>
      </c>
      <c r="W65" s="26"/>
    </row>
    <row r="66" spans="1:23" x14ac:dyDescent="0.25">
      <c r="A66" s="26" t="str">
        <f t="shared" ref="A66:A129" si="12">"PRIMARIA"</f>
        <v>PRIMARIA</v>
      </c>
      <c r="B66" s="26" t="str">
        <f>"09DIX0001O"</f>
        <v>09DIX0001O</v>
      </c>
      <c r="C66" s="26" t="str">
        <f>"GERTRUDIS BOCANEGRA DE LAZO DE LA VEGA                                                              "</f>
        <v xml:space="preserve">GERTRUDIS BOCANEGRA DE LAZO DE LA VEGA                                                              </v>
      </c>
      <c r="D66" s="26" t="str">
        <f t="shared" ref="D66:D76" si="13">"TIEMPO COMPLETO"</f>
        <v>TIEMPO COMPLETO</v>
      </c>
      <c r="E66" s="26" t="str">
        <f>"ADOLFO PRIETO NO. 1128                                                          "</f>
        <v xml:space="preserve">ADOLFO PRIETO NO. 1128                                                          </v>
      </c>
      <c r="F66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66" s="26" t="str">
        <f>"BENITO JUAREZ                                                                   "</f>
        <v xml:space="preserve">BENITO JUAREZ                                                                   </v>
      </c>
      <c r="H66" s="26" t="str">
        <f>"410"</f>
        <v>410</v>
      </c>
      <c r="I66" s="26" t="str">
        <f t="shared" ref="I66:I129" si="14">"00"</f>
        <v>00</v>
      </c>
      <c r="J66" s="26" t="str">
        <f>"44 "</f>
        <v xml:space="preserve">44 </v>
      </c>
      <c r="K66" s="26" t="str">
        <f>"PR"</f>
        <v>PR</v>
      </c>
      <c r="L66" s="26" t="str">
        <f>"DGOSE"</f>
        <v>DGOSE</v>
      </c>
      <c r="M66" s="26" t="str">
        <f t="shared" ref="M66:M129" si="15">"FEDERAL"</f>
        <v>FEDERAL</v>
      </c>
      <c r="N66" s="26">
        <v>255</v>
      </c>
      <c r="O66" s="26">
        <v>58</v>
      </c>
      <c r="P66" s="26">
        <v>197</v>
      </c>
      <c r="Q66" s="26">
        <v>10</v>
      </c>
      <c r="R66" s="26">
        <v>1</v>
      </c>
      <c r="S66" s="26">
        <v>10</v>
      </c>
      <c r="T66" s="26">
        <v>85</v>
      </c>
      <c r="U66" s="26">
        <v>96</v>
      </c>
      <c r="V66" s="26">
        <v>1</v>
      </c>
      <c r="W66" s="26" t="s">
        <v>218</v>
      </c>
    </row>
    <row r="67" spans="1:23" x14ac:dyDescent="0.25">
      <c r="A67" s="26" t="str">
        <f t="shared" si="12"/>
        <v>PRIMARIA</v>
      </c>
      <c r="B67" s="26" t="str">
        <f>"09DIX0002N"</f>
        <v>09DIX0002N</v>
      </c>
      <c r="C67" s="26" t="str">
        <f>"EJERCITO MEXICANO                                                                                   "</f>
        <v xml:space="preserve">EJERCITO MEXICANO                                                                                   </v>
      </c>
      <c r="D67" s="26" t="str">
        <f t="shared" si="13"/>
        <v>TIEMPO COMPLETO</v>
      </c>
      <c r="E67" s="26" t="str">
        <f>"CALZ AZCAPOTZALCO LA VILLA 269                                                  "</f>
        <v xml:space="preserve">CALZ AZCAPOTZALCO LA VILLA 269                                                  </v>
      </c>
      <c r="F67" s="26" t="str">
        <f>"SANTA CATARINA                                                                                                                              "</f>
        <v xml:space="preserve">SANTA CATARINA                                                                                                                              </v>
      </c>
      <c r="G67" s="26" t="str">
        <f>"AZCAPOTZALCO                                                                    "</f>
        <v xml:space="preserve">AZCAPOTZALCO                                                                    </v>
      </c>
      <c r="H67" s="26" t="str">
        <f>"103"</f>
        <v>103</v>
      </c>
      <c r="I67" s="26" t="str">
        <f t="shared" si="14"/>
        <v>00</v>
      </c>
      <c r="J67" s="26" t="str">
        <f>"41 "</f>
        <v xml:space="preserve">41 </v>
      </c>
      <c r="K67" s="26" t="str">
        <f>"PR"</f>
        <v>PR</v>
      </c>
      <c r="L67" s="26" t="str">
        <f>"DGOSE"</f>
        <v>DGOSE</v>
      </c>
      <c r="M67" s="26" t="str">
        <f t="shared" si="15"/>
        <v>FEDERAL</v>
      </c>
      <c r="N67" s="26">
        <v>380</v>
      </c>
      <c r="O67" s="26">
        <v>240</v>
      </c>
      <c r="P67" s="26">
        <v>140</v>
      </c>
      <c r="Q67" s="26">
        <v>15</v>
      </c>
      <c r="R67" s="26">
        <v>0</v>
      </c>
      <c r="S67" s="26">
        <v>15</v>
      </c>
      <c r="T67" s="26">
        <v>110</v>
      </c>
      <c r="U67" s="26">
        <v>125</v>
      </c>
      <c r="V67" s="26">
        <v>1</v>
      </c>
      <c r="W67" s="26" t="s">
        <v>218</v>
      </c>
    </row>
    <row r="68" spans="1:23" x14ac:dyDescent="0.25">
      <c r="A68" s="26" t="str">
        <f t="shared" si="12"/>
        <v>PRIMARIA</v>
      </c>
      <c r="B68" s="26" t="str">
        <f>"09DIX0017P"</f>
        <v>09DIX0017P</v>
      </c>
      <c r="C68" s="26" t="str">
        <f>"FRANCISCO I. MADERO                                                                                 "</f>
        <v xml:space="preserve">FRANCISCO I. MADERO                                                                                 </v>
      </c>
      <c r="D68" s="26" t="str">
        <f t="shared" si="13"/>
        <v>TIEMPO COMPLETO</v>
      </c>
      <c r="E68" s="26" t="str">
        <f>"AV. PROLONGACION CIRCUNVALACION NUMERO 87                                       "</f>
        <v xml:space="preserve">AV. PROLONGACION CIRCUNVALACION NUMERO 87                                       </v>
      </c>
      <c r="F68" s="26" t="str">
        <f>"MORELOS                                                                                                                                     "</f>
        <v xml:space="preserve">MORELOS                                                                                                                                     </v>
      </c>
      <c r="G68" s="26" t="str">
        <f>"VENUSTIANO CARRANZA                                                             "</f>
        <v xml:space="preserve">VENUSTIANO CARRANZA                                                             </v>
      </c>
      <c r="H68" s="26" t="str">
        <f>"420"</f>
        <v>420</v>
      </c>
      <c r="I68" s="26" t="str">
        <f t="shared" si="14"/>
        <v>00</v>
      </c>
      <c r="J68" s="26" t="str">
        <f>"44 "</f>
        <v xml:space="preserve">44 </v>
      </c>
      <c r="K68" s="26" t="str">
        <f>"PR"</f>
        <v>PR</v>
      </c>
      <c r="L68" s="26" t="str">
        <f>"DGOSE"</f>
        <v>DGOSE</v>
      </c>
      <c r="M68" s="26" t="str">
        <f t="shared" si="15"/>
        <v>FEDERAL</v>
      </c>
      <c r="N68" s="26">
        <v>527</v>
      </c>
      <c r="O68" s="26">
        <v>281</v>
      </c>
      <c r="P68" s="26">
        <v>246</v>
      </c>
      <c r="Q68" s="26">
        <v>16</v>
      </c>
      <c r="R68" s="26">
        <v>1</v>
      </c>
      <c r="S68" s="26">
        <v>16</v>
      </c>
      <c r="T68" s="26">
        <v>123</v>
      </c>
      <c r="U68" s="26">
        <v>140</v>
      </c>
      <c r="V68" s="26">
        <v>1</v>
      </c>
      <c r="W68" s="26" t="s">
        <v>218</v>
      </c>
    </row>
    <row r="69" spans="1:23" x14ac:dyDescent="0.25">
      <c r="A69" s="26" t="str">
        <f t="shared" si="12"/>
        <v>PRIMARIA</v>
      </c>
      <c r="B69" s="26" t="str">
        <f>"09DIX0028V"</f>
        <v>09DIX0028V</v>
      </c>
      <c r="C69" s="26" t="str">
        <f>"GRAL. LAZARO CARDENAS                                                                               "</f>
        <v xml:space="preserve">GRAL. LAZARO CARDENAS                                                                               </v>
      </c>
      <c r="D69" s="26" t="str">
        <f t="shared" si="13"/>
        <v>TIEMPO COMPLETO</v>
      </c>
      <c r="E69" s="26" t="str">
        <f>"PACHICALCO S/N                                                                  "</f>
        <v xml:space="preserve">PACHICALCO S/N                                                                  </v>
      </c>
      <c r="F69" s="26" t="str">
        <f>"SAN IGNACIO                                                                                                                                 "</f>
        <v xml:space="preserve">SAN IGNACIO                                                                                                                                 </v>
      </c>
      <c r="G69" s="26" t="str">
        <f>"IZTAPALAPA                                                                      "</f>
        <v xml:space="preserve">IZTAPALAPA                                                                      </v>
      </c>
      <c r="H69" s="26" t="str">
        <f>"004"</f>
        <v>004</v>
      </c>
      <c r="I69" s="26" t="str">
        <f t="shared" si="14"/>
        <v>00</v>
      </c>
      <c r="J69" s="26" t="str">
        <f>"61 "</f>
        <v xml:space="preserve">61 </v>
      </c>
      <c r="K69" s="26" t="str">
        <f>"IZ"</f>
        <v>IZ</v>
      </c>
      <c r="L69" s="26" t="str">
        <f>"DGSEI"</f>
        <v>DGSEI</v>
      </c>
      <c r="M69" s="26" t="str">
        <f t="shared" si="15"/>
        <v>FEDERAL</v>
      </c>
      <c r="N69" s="26">
        <v>376</v>
      </c>
      <c r="O69" s="26">
        <v>178</v>
      </c>
      <c r="P69" s="26">
        <v>198</v>
      </c>
      <c r="Q69" s="26">
        <v>12</v>
      </c>
      <c r="R69" s="26">
        <v>1</v>
      </c>
      <c r="S69" s="26">
        <v>12</v>
      </c>
      <c r="T69" s="26">
        <v>36</v>
      </c>
      <c r="U69" s="26">
        <v>49</v>
      </c>
      <c r="V69" s="26">
        <v>1</v>
      </c>
      <c r="W69" s="26" t="s">
        <v>218</v>
      </c>
    </row>
    <row r="70" spans="1:23" x14ac:dyDescent="0.25">
      <c r="A70" s="26" t="str">
        <f t="shared" si="12"/>
        <v>PRIMARIA</v>
      </c>
      <c r="B70" s="26" t="str">
        <f>"09DIX0030J"</f>
        <v>09DIX0030J</v>
      </c>
      <c r="C70" s="26" t="str">
        <f>"ESCUELA DE PARTICIPACION SOCIAL NUMERO 1                                                            "</f>
        <v xml:space="preserve">ESCUELA DE PARTICIPACION SOCIAL NUMERO 1                                                            </v>
      </c>
      <c r="D70" s="26" t="str">
        <f t="shared" si="13"/>
        <v>TIEMPO COMPLETO</v>
      </c>
      <c r="E70" s="26" t="str">
        <f>"DR JIMENEZ NUM 75                                                               "</f>
        <v xml:space="preserve">DR JIMENEZ NUM 75                                                               </v>
      </c>
      <c r="F70" s="26" t="str">
        <f>"DOCTORES                                                                                                                                    "</f>
        <v xml:space="preserve">DOCTORES                                                                                                                                    </v>
      </c>
      <c r="G70" s="26" t="str">
        <f>"CUAUHTEMOC                                                                      "</f>
        <v xml:space="preserve">CUAUHTEMOC                                                                      </v>
      </c>
      <c r="H70" s="26" t="str">
        <f>"128"</f>
        <v>128</v>
      </c>
      <c r="I70" s="26" t="str">
        <f t="shared" si="14"/>
        <v>00</v>
      </c>
      <c r="J70" s="26" t="str">
        <f>"41 "</f>
        <v xml:space="preserve">41 </v>
      </c>
      <c r="K70" s="26" t="str">
        <f t="shared" ref="K70:K77" si="16">"PR"</f>
        <v>PR</v>
      </c>
      <c r="L70" s="26" t="str">
        <f t="shared" ref="L70:L77" si="17">"DGOSE"</f>
        <v>DGOSE</v>
      </c>
      <c r="M70" s="26" t="str">
        <f t="shared" si="15"/>
        <v>FEDERAL</v>
      </c>
      <c r="N70" s="26">
        <v>322</v>
      </c>
      <c r="O70" s="26">
        <v>158</v>
      </c>
      <c r="P70" s="26">
        <v>164</v>
      </c>
      <c r="Q70" s="26">
        <v>17</v>
      </c>
      <c r="R70" s="26">
        <v>1</v>
      </c>
      <c r="S70" s="26">
        <v>17</v>
      </c>
      <c r="T70" s="26">
        <v>55</v>
      </c>
      <c r="U70" s="26">
        <v>73</v>
      </c>
      <c r="V70" s="26">
        <v>1</v>
      </c>
      <c r="W70" s="26" t="s">
        <v>218</v>
      </c>
    </row>
    <row r="71" spans="1:23" x14ac:dyDescent="0.25">
      <c r="A71" s="26" t="str">
        <f t="shared" si="12"/>
        <v>PRIMARIA</v>
      </c>
      <c r="B71" s="26" t="str">
        <f>"09DIX0031I"</f>
        <v>09DIX0031I</v>
      </c>
      <c r="C71" s="26" t="str">
        <f>"ESCUELA DE PARTICIPACION SOCIAL NUMERO 3                                                            "</f>
        <v xml:space="preserve">ESCUELA DE PARTICIPACION SOCIAL NUMERO 3                                                            </v>
      </c>
      <c r="D71" s="26" t="str">
        <f t="shared" si="13"/>
        <v>TIEMPO COMPLETO</v>
      </c>
      <c r="E71" s="26" t="str">
        <f>"AV DEL RECREO S/N                                                               "</f>
        <v xml:space="preserve">AV DEL RECREO S/N                                                               </v>
      </c>
      <c r="F71" s="26" t="str">
        <f>"JUVENTINO ROSAS                                                                                                                             "</f>
        <v xml:space="preserve">JUVENTINO ROSAS                                                                                                                             </v>
      </c>
      <c r="G71" s="26" t="str">
        <f>"IZTACALCO                                                                       "</f>
        <v xml:space="preserve">IZTACALCO                                                                       </v>
      </c>
      <c r="H71" s="26" t="str">
        <f>"430"</f>
        <v>430</v>
      </c>
      <c r="I71" s="26" t="str">
        <f t="shared" si="14"/>
        <v>00</v>
      </c>
      <c r="J71" s="26" t="str">
        <f>"44 "</f>
        <v xml:space="preserve">44 </v>
      </c>
      <c r="K71" s="26" t="str">
        <f t="shared" si="16"/>
        <v>PR</v>
      </c>
      <c r="L71" s="26" t="str">
        <f t="shared" si="17"/>
        <v>DGOSE</v>
      </c>
      <c r="M71" s="26" t="str">
        <f t="shared" si="15"/>
        <v>FEDERAL</v>
      </c>
      <c r="N71" s="26">
        <v>265</v>
      </c>
      <c r="O71" s="26">
        <v>136</v>
      </c>
      <c r="P71" s="26">
        <v>129</v>
      </c>
      <c r="Q71" s="26">
        <v>9</v>
      </c>
      <c r="R71" s="26">
        <v>1</v>
      </c>
      <c r="S71" s="26">
        <v>9</v>
      </c>
      <c r="T71" s="26">
        <v>43</v>
      </c>
      <c r="U71" s="26">
        <v>53</v>
      </c>
      <c r="V71" s="26">
        <v>1</v>
      </c>
      <c r="W71" s="26" t="s">
        <v>218</v>
      </c>
    </row>
    <row r="72" spans="1:23" x14ac:dyDescent="0.25">
      <c r="A72" s="26" t="str">
        <f t="shared" si="12"/>
        <v>PRIMARIA</v>
      </c>
      <c r="B72" s="26" t="str">
        <f>"09DIX0032H"</f>
        <v>09DIX0032H</v>
      </c>
      <c r="C72" s="26" t="str">
        <f>"ESCUELA DE PARTICIPACION SOCIAL NUMERO 4                                                            "</f>
        <v xml:space="preserve">ESCUELA DE PARTICIPACION SOCIAL NUMERO 4                                                            </v>
      </c>
      <c r="D72" s="26" t="str">
        <f t="shared" si="13"/>
        <v>TIEMPO COMPLETO</v>
      </c>
      <c r="E72" s="26" t="str">
        <f>"PLOMO NO 100                                                                    "</f>
        <v xml:space="preserve">PLOMO NO 100                                                                    </v>
      </c>
      <c r="F72" s="26" t="str">
        <f>"VALLE GOMEZ                                                                                                                                 "</f>
        <v xml:space="preserve">VALLE GOMEZ                                                                                                                                 </v>
      </c>
      <c r="G72" s="26" t="str">
        <f>"VENUSTIANO CARRANZA                                                             "</f>
        <v xml:space="preserve">VENUSTIANO CARRANZA                                                             </v>
      </c>
      <c r="H72" s="26" t="str">
        <f>"418"</f>
        <v>418</v>
      </c>
      <c r="I72" s="26" t="str">
        <f t="shared" si="14"/>
        <v>00</v>
      </c>
      <c r="J72" s="26" t="str">
        <f>"44 "</f>
        <v xml:space="preserve">44 </v>
      </c>
      <c r="K72" s="26" t="str">
        <f t="shared" si="16"/>
        <v>PR</v>
      </c>
      <c r="L72" s="26" t="str">
        <f t="shared" si="17"/>
        <v>DGOSE</v>
      </c>
      <c r="M72" s="26" t="str">
        <f t="shared" si="15"/>
        <v>FEDERAL</v>
      </c>
      <c r="N72" s="26">
        <v>252</v>
      </c>
      <c r="O72" s="26">
        <v>144</v>
      </c>
      <c r="P72" s="26">
        <v>108</v>
      </c>
      <c r="Q72" s="26">
        <v>12</v>
      </c>
      <c r="R72" s="26">
        <v>1</v>
      </c>
      <c r="S72" s="26">
        <v>12</v>
      </c>
      <c r="T72" s="26">
        <v>48</v>
      </c>
      <c r="U72" s="26">
        <v>61</v>
      </c>
      <c r="V72" s="26">
        <v>1</v>
      </c>
      <c r="W72" s="26" t="s">
        <v>218</v>
      </c>
    </row>
    <row r="73" spans="1:23" x14ac:dyDescent="0.25">
      <c r="A73" s="26" t="str">
        <f t="shared" si="12"/>
        <v>PRIMARIA</v>
      </c>
      <c r="B73" s="26" t="str">
        <f>"09DIX0033G"</f>
        <v>09DIX0033G</v>
      </c>
      <c r="C73" s="26" t="str">
        <f>"ESCUELA DE PARTICIPACION SOCIAL NUMERO 7                                                            "</f>
        <v xml:space="preserve">ESCUELA DE PARTICIPACION SOCIAL NUMERO 7                                                            </v>
      </c>
      <c r="D73" s="26" t="str">
        <f t="shared" si="13"/>
        <v>TIEMPO COMPLETO</v>
      </c>
      <c r="E73" s="26" t="str">
        <f>"SANTA CRUZ CACALCO 9                                                            "</f>
        <v xml:space="preserve">SANTA CRUZ CACALCO 9                                                            </v>
      </c>
      <c r="F73" s="26" t="str">
        <f>"MEXICO NUEVO                                                                                                                                "</f>
        <v xml:space="preserve">MEXICO NUEVO                                                                                                                                </v>
      </c>
      <c r="G73" s="26" t="str">
        <f>"MIGUEL HIDALGO                                                                  "</f>
        <v xml:space="preserve">MIGUEL HIDALGO                                                                  </v>
      </c>
      <c r="H73" s="26" t="str">
        <f>"113"</f>
        <v>113</v>
      </c>
      <c r="I73" s="26" t="str">
        <f t="shared" si="14"/>
        <v>00</v>
      </c>
      <c r="J73" s="26" t="str">
        <f>"41 "</f>
        <v xml:space="preserve">41 </v>
      </c>
      <c r="K73" s="26" t="str">
        <f t="shared" si="16"/>
        <v>PR</v>
      </c>
      <c r="L73" s="26" t="str">
        <f t="shared" si="17"/>
        <v>DGOSE</v>
      </c>
      <c r="M73" s="26" t="str">
        <f t="shared" si="15"/>
        <v>FEDERAL</v>
      </c>
      <c r="N73" s="26">
        <v>341</v>
      </c>
      <c r="O73" s="26">
        <v>175</v>
      </c>
      <c r="P73" s="26">
        <v>166</v>
      </c>
      <c r="Q73" s="26">
        <v>14</v>
      </c>
      <c r="R73" s="26">
        <v>1</v>
      </c>
      <c r="S73" s="26">
        <v>14</v>
      </c>
      <c r="T73" s="26">
        <v>46</v>
      </c>
      <c r="U73" s="26">
        <v>61</v>
      </c>
      <c r="V73" s="26">
        <v>1</v>
      </c>
      <c r="W73" s="26" t="s">
        <v>218</v>
      </c>
    </row>
    <row r="74" spans="1:23" x14ac:dyDescent="0.25">
      <c r="A74" s="26" t="str">
        <f t="shared" si="12"/>
        <v>PRIMARIA</v>
      </c>
      <c r="B74" s="26" t="str">
        <f>"09DIX0034F"</f>
        <v>09DIX0034F</v>
      </c>
      <c r="C74" s="26" t="str">
        <f>"ESCUELA DE PARTICIPACION SOCIAL NUMERO 2                                                            "</f>
        <v xml:space="preserve">ESCUELA DE PARTICIPACION SOCIAL NUMERO 2                                                            </v>
      </c>
      <c r="D74" s="26" t="str">
        <f t="shared" si="13"/>
        <v>TIEMPO COMPLETO</v>
      </c>
      <c r="E74" s="26" t="str">
        <f>"ECONOMIA NUM 8                                                                  "</f>
        <v xml:space="preserve">ECONOMIA NUM 8                                                                  </v>
      </c>
      <c r="F74" s="26" t="str">
        <f>"FEDERAL                                                                                                                                     "</f>
        <v xml:space="preserve">FEDERAL                                                                                                                                     </v>
      </c>
      <c r="G74" s="26" t="str">
        <f>"VENUSTIANO CARRANZA                                                             "</f>
        <v xml:space="preserve">VENUSTIANO CARRANZA                                                             </v>
      </c>
      <c r="H74" s="26" t="str">
        <f>"426"</f>
        <v>426</v>
      </c>
      <c r="I74" s="26" t="str">
        <f t="shared" si="14"/>
        <v>00</v>
      </c>
      <c r="J74" s="26" t="str">
        <f>"44 "</f>
        <v xml:space="preserve">44 </v>
      </c>
      <c r="K74" s="26" t="str">
        <f t="shared" si="16"/>
        <v>PR</v>
      </c>
      <c r="L74" s="26" t="str">
        <f t="shared" si="17"/>
        <v>DGOSE</v>
      </c>
      <c r="M74" s="26" t="str">
        <f t="shared" si="15"/>
        <v>FEDERAL</v>
      </c>
      <c r="N74" s="26">
        <v>280</v>
      </c>
      <c r="O74" s="26">
        <v>137</v>
      </c>
      <c r="P74" s="26">
        <v>143</v>
      </c>
      <c r="Q74" s="26">
        <v>10</v>
      </c>
      <c r="R74" s="26">
        <v>1</v>
      </c>
      <c r="S74" s="26">
        <v>10</v>
      </c>
      <c r="T74" s="26">
        <v>46</v>
      </c>
      <c r="U74" s="26">
        <v>57</v>
      </c>
      <c r="V74" s="26">
        <v>1</v>
      </c>
      <c r="W74" s="26" t="s">
        <v>218</v>
      </c>
    </row>
    <row r="75" spans="1:23" x14ac:dyDescent="0.25">
      <c r="A75" s="26" t="str">
        <f t="shared" si="12"/>
        <v>PRIMARIA</v>
      </c>
      <c r="B75" s="26" t="str">
        <f>"09DIX0035E"</f>
        <v>09DIX0035E</v>
      </c>
      <c r="C75" s="26" t="str">
        <f>"ESCUELA DE PARTICIPACION SOCIAL NUMERO 5                                                            "</f>
        <v xml:space="preserve">ESCUELA DE PARTICIPACION SOCIAL NUMERO 5                                                            </v>
      </c>
      <c r="D75" s="26" t="str">
        <f t="shared" si="13"/>
        <v>TIEMPO COMPLETO</v>
      </c>
      <c r="E75" s="26" t="str">
        <f>"AV SAN FERNANDO NUM 12                                                          "</f>
        <v xml:space="preserve">AV SAN FERNANDO NUM 12                                                          </v>
      </c>
      <c r="F75" s="26" t="str">
        <f>"TLALPAN                                                                                                                                     "</f>
        <v xml:space="preserve">TLALPAN                                                                                                                                     </v>
      </c>
      <c r="G75" s="26" t="str">
        <f>"TLALPAN                                                                         "</f>
        <v xml:space="preserve">TLALPAN                                                                         </v>
      </c>
      <c r="H75" s="26" t="str">
        <f>"446"</f>
        <v>446</v>
      </c>
      <c r="I75" s="26" t="str">
        <f t="shared" si="14"/>
        <v>00</v>
      </c>
      <c r="J75" s="26" t="str">
        <f>"44 "</f>
        <v xml:space="preserve">44 </v>
      </c>
      <c r="K75" s="26" t="str">
        <f t="shared" si="16"/>
        <v>PR</v>
      </c>
      <c r="L75" s="26" t="str">
        <f t="shared" si="17"/>
        <v>DGOSE</v>
      </c>
      <c r="M75" s="26" t="str">
        <f t="shared" si="15"/>
        <v>FEDERAL</v>
      </c>
      <c r="N75" s="26">
        <v>324</v>
      </c>
      <c r="O75" s="26">
        <v>166</v>
      </c>
      <c r="P75" s="26">
        <v>158</v>
      </c>
      <c r="Q75" s="26">
        <v>12</v>
      </c>
      <c r="R75" s="26">
        <v>1</v>
      </c>
      <c r="S75" s="26">
        <v>12</v>
      </c>
      <c r="T75" s="26">
        <v>51</v>
      </c>
      <c r="U75" s="26">
        <v>64</v>
      </c>
      <c r="V75" s="26">
        <v>1</v>
      </c>
      <c r="W75" s="26" t="s">
        <v>218</v>
      </c>
    </row>
    <row r="76" spans="1:23" x14ac:dyDescent="0.25">
      <c r="A76" s="26" t="str">
        <f t="shared" si="12"/>
        <v>PRIMARIA</v>
      </c>
      <c r="B76" s="26" t="str">
        <f>"09DIX0036D"</f>
        <v>09DIX0036D</v>
      </c>
      <c r="C76" s="26" t="str">
        <f>"ESCUELA DE PARTICIPACION SOCIAL NUMERO 6                                                            "</f>
        <v xml:space="preserve">ESCUELA DE PARTICIPACION SOCIAL NUMERO 6                                                            </v>
      </c>
      <c r="D76" s="26" t="str">
        <f t="shared" si="13"/>
        <v>TIEMPO COMPLETO</v>
      </c>
      <c r="E76" s="26" t="str">
        <f>"JOSE ANTONIO TORRES NO 745                                                      "</f>
        <v xml:space="preserve">JOSE ANTONIO TORRES NO 745                                                      </v>
      </c>
      <c r="F76" s="26" t="str">
        <f>"ASTURIAS                                                                                                                                    "</f>
        <v xml:space="preserve">ASTURIAS                                                                                                                                    </v>
      </c>
      <c r="G76" s="26" t="str">
        <f>"CUAUHTEMOC                                                                      "</f>
        <v xml:space="preserve">CUAUHTEMOC                                                                      </v>
      </c>
      <c r="H76" s="26" t="str">
        <f>"128"</f>
        <v>128</v>
      </c>
      <c r="I76" s="26" t="str">
        <f t="shared" si="14"/>
        <v>00</v>
      </c>
      <c r="J76" s="26" t="str">
        <f>"41 "</f>
        <v xml:space="preserve">41 </v>
      </c>
      <c r="K76" s="26" t="str">
        <f t="shared" si="16"/>
        <v>PR</v>
      </c>
      <c r="L76" s="26" t="str">
        <f t="shared" si="17"/>
        <v>DGOSE</v>
      </c>
      <c r="M76" s="26" t="str">
        <f t="shared" si="15"/>
        <v>FEDERAL</v>
      </c>
      <c r="N76" s="26">
        <v>314</v>
      </c>
      <c r="O76" s="26">
        <v>154</v>
      </c>
      <c r="P76" s="26">
        <v>160</v>
      </c>
      <c r="Q76" s="26">
        <v>16</v>
      </c>
      <c r="R76" s="26">
        <v>1</v>
      </c>
      <c r="S76" s="26">
        <v>16</v>
      </c>
      <c r="T76" s="26">
        <v>60</v>
      </c>
      <c r="U76" s="26">
        <v>77</v>
      </c>
      <c r="V76" s="26">
        <v>1</v>
      </c>
      <c r="W76" s="26" t="s">
        <v>218</v>
      </c>
    </row>
    <row r="77" spans="1:23" x14ac:dyDescent="0.25">
      <c r="A77" s="26" t="str">
        <f t="shared" si="12"/>
        <v>PRIMARIA</v>
      </c>
      <c r="B77" s="26" t="str">
        <f>"09DPR0001N"</f>
        <v>09DPR0001N</v>
      </c>
      <c r="C77" s="26" t="str">
        <f>"ANICETO CASTELLANOS URRUTIA                                                                         "</f>
        <v xml:space="preserve">ANICETO CASTELLANOS URRUTIA                                                                         </v>
      </c>
      <c r="D77" s="26" t="str">
        <f>"MATUTINO"</f>
        <v>MATUTINO</v>
      </c>
      <c r="E77" s="26" t="str">
        <f>"JOSE TARTINI S/N                                                                "</f>
        <v xml:space="preserve">JOSE TARTINI S/N                                                                </v>
      </c>
      <c r="F77" s="26" t="str">
        <f>"MIGUEL HIDALGO                                                                                                                              "</f>
        <v xml:space="preserve">MIGUEL HIDALGO                                                                                                                              </v>
      </c>
      <c r="G77" s="26" t="str">
        <f>"TLAHUAC                                                                         "</f>
        <v xml:space="preserve">TLAHUAC                                                                         </v>
      </c>
      <c r="H77" s="26" t="str">
        <f>"552"</f>
        <v>552</v>
      </c>
      <c r="I77" s="26" t="str">
        <f t="shared" si="14"/>
        <v>00</v>
      </c>
      <c r="J77" s="26" t="str">
        <f>"45 "</f>
        <v xml:space="preserve">45 </v>
      </c>
      <c r="K77" s="26" t="str">
        <f t="shared" si="16"/>
        <v>PR</v>
      </c>
      <c r="L77" s="26" t="str">
        <f t="shared" si="17"/>
        <v>DGOSE</v>
      </c>
      <c r="M77" s="26" t="str">
        <f t="shared" si="15"/>
        <v>FEDERAL</v>
      </c>
      <c r="N77" s="26">
        <v>587</v>
      </c>
      <c r="O77" s="26">
        <v>305</v>
      </c>
      <c r="P77" s="26">
        <v>282</v>
      </c>
      <c r="Q77" s="26">
        <v>15</v>
      </c>
      <c r="R77" s="26">
        <v>1</v>
      </c>
      <c r="S77" s="26">
        <v>15</v>
      </c>
      <c r="T77" s="26">
        <v>8</v>
      </c>
      <c r="U77" s="26">
        <v>24</v>
      </c>
      <c r="V77" s="26">
        <v>1</v>
      </c>
      <c r="W77" s="26"/>
    </row>
    <row r="78" spans="1:23" x14ac:dyDescent="0.25">
      <c r="A78" s="26" t="str">
        <f t="shared" si="12"/>
        <v>PRIMARIA</v>
      </c>
      <c r="B78" s="26" t="str">
        <f>"09DPR0003L"</f>
        <v>09DPR0003L</v>
      </c>
      <c r="C78" s="26" t="str">
        <f>"EFRAIN HUERTA                                                                                       "</f>
        <v xml:space="preserve">EFRAIN HUERTA                                                                                       </v>
      </c>
      <c r="D78" s="26" t="str">
        <f>"VESPERTINO"</f>
        <v>VESPERTINO</v>
      </c>
      <c r="E78" s="26" t="str">
        <f>"AV. CUAUHTEMOC NO. 191                                                          "</f>
        <v xml:space="preserve">AV. CUAUHTEMOC NO. 191                                                          </v>
      </c>
      <c r="F78" s="26" t="str">
        <f>"EL MOLINO TEZONCO                                                                                                                           "</f>
        <v xml:space="preserve">EL MOLINO TEZONCO                                                                                                                           </v>
      </c>
      <c r="G78" s="26" t="str">
        <f>"IZTAPALAPA                                                                      "</f>
        <v xml:space="preserve">IZTAPALAPA                                                                      </v>
      </c>
      <c r="H78" s="26" t="str">
        <f>"050"</f>
        <v>050</v>
      </c>
      <c r="I78" s="26" t="str">
        <f t="shared" si="14"/>
        <v>00</v>
      </c>
      <c r="J78" s="26" t="str">
        <f>"63 "</f>
        <v xml:space="preserve">63 </v>
      </c>
      <c r="K78" s="26" t="str">
        <f>"IZ"</f>
        <v>IZ</v>
      </c>
      <c r="L78" s="26" t="str">
        <f>"DGSEI"</f>
        <v>DGSEI</v>
      </c>
      <c r="M78" s="26" t="str">
        <f t="shared" si="15"/>
        <v>FEDERAL</v>
      </c>
      <c r="N78" s="26">
        <v>505</v>
      </c>
      <c r="O78" s="26">
        <v>260</v>
      </c>
      <c r="P78" s="26">
        <v>245</v>
      </c>
      <c r="Q78" s="26">
        <v>38</v>
      </c>
      <c r="R78" s="26">
        <v>2</v>
      </c>
      <c r="S78" s="26">
        <v>38</v>
      </c>
      <c r="T78" s="26">
        <v>16</v>
      </c>
      <c r="U78" s="26">
        <v>56</v>
      </c>
      <c r="V78" s="26">
        <v>1</v>
      </c>
      <c r="W78" s="26"/>
    </row>
    <row r="79" spans="1:23" x14ac:dyDescent="0.25">
      <c r="A79" s="26" t="str">
        <f t="shared" si="12"/>
        <v>PRIMARIA</v>
      </c>
      <c r="B79" s="26" t="str">
        <f>"09DPR0004K"</f>
        <v>09DPR0004K</v>
      </c>
      <c r="C79" s="26" t="str">
        <f>"PROFRA. HERMINIA ORDOÑEZ TORRES                                                                     "</f>
        <v xml:space="preserve">PROFRA. HERMINIA ORDOÑEZ TORRES                                                                     </v>
      </c>
      <c r="D79" s="26" t="str">
        <f>"MATUTINO"</f>
        <v>MATUTINO</v>
      </c>
      <c r="E79" s="26" t="str">
        <f>"2A CDA. DE TABACHINES                                                           "</f>
        <v xml:space="preserve">2A CDA. DE TABACHINES                                                           </v>
      </c>
      <c r="F79" s="26" t="str">
        <f>"SAN MARCOS                                                                                                                                  "</f>
        <v xml:space="preserve">SAN MARCOS                                                                                                                                  </v>
      </c>
      <c r="G79" s="26" t="str">
        <f>"XOCHIMILCO                                                                      "</f>
        <v xml:space="preserve">XOCHIMILCO                                                                      </v>
      </c>
      <c r="H79" s="26" t="str">
        <f>"535"</f>
        <v>535</v>
      </c>
      <c r="I79" s="26" t="str">
        <f t="shared" si="14"/>
        <v>00</v>
      </c>
      <c r="J79" s="26" t="str">
        <f>"45 "</f>
        <v xml:space="preserve">45 </v>
      </c>
      <c r="K79" s="26" t="str">
        <f>"PR"</f>
        <v>PR</v>
      </c>
      <c r="L79" s="26" t="str">
        <f>"DGOSE"</f>
        <v>DGOSE</v>
      </c>
      <c r="M79" s="26" t="str">
        <f t="shared" si="15"/>
        <v>FEDERAL</v>
      </c>
      <c r="N79" s="26">
        <v>426</v>
      </c>
      <c r="O79" s="26">
        <v>206</v>
      </c>
      <c r="P79" s="26">
        <v>220</v>
      </c>
      <c r="Q79" s="26">
        <v>13</v>
      </c>
      <c r="R79" s="26">
        <v>1</v>
      </c>
      <c r="S79" s="26">
        <v>12</v>
      </c>
      <c r="T79" s="26">
        <v>9</v>
      </c>
      <c r="U79" s="26">
        <v>22</v>
      </c>
      <c r="V79" s="26">
        <v>1</v>
      </c>
      <c r="W79" s="26"/>
    </row>
    <row r="80" spans="1:23" x14ac:dyDescent="0.25">
      <c r="A80" s="26" t="str">
        <f t="shared" si="12"/>
        <v>PRIMARIA</v>
      </c>
      <c r="B80" s="26" t="str">
        <f>"09DPR0005J"</f>
        <v>09DPR0005J</v>
      </c>
      <c r="C80" s="26" t="str">
        <f>"PROFR. ANTONIO CEDEÑO                                                                               "</f>
        <v xml:space="preserve">PROFR. ANTONIO CEDEÑO                                                                               </v>
      </c>
      <c r="D80" s="26" t="str">
        <f>"VESPERTINO"</f>
        <v>VESPERTINO</v>
      </c>
      <c r="E80" s="26" t="str">
        <f>"CANAL DE SUEZ NO. 83                                                            "</f>
        <v xml:space="preserve">CANAL DE SUEZ NO. 83                                                            </v>
      </c>
      <c r="F80" s="26" t="str">
        <f>"CARLOS HANK GONZALEZ                                                                                                                        "</f>
        <v xml:space="preserve">CARLOS HANK GONZALEZ                                                                                                                        </v>
      </c>
      <c r="G80" s="26" t="str">
        <f>"IZTAPALAPA                                                                      "</f>
        <v xml:space="preserve">IZTAPALAPA                                                                      </v>
      </c>
      <c r="H80" s="26" t="str">
        <f>"055"</f>
        <v>055</v>
      </c>
      <c r="I80" s="26" t="str">
        <f t="shared" si="14"/>
        <v>00</v>
      </c>
      <c r="J80" s="26" t="str">
        <f>"64 "</f>
        <v xml:space="preserve">64 </v>
      </c>
      <c r="K80" s="26" t="str">
        <f>"IZ"</f>
        <v>IZ</v>
      </c>
      <c r="L80" s="26" t="str">
        <f>"DGSEI"</f>
        <v>DGSEI</v>
      </c>
      <c r="M80" s="26" t="str">
        <f t="shared" si="15"/>
        <v>FEDERAL</v>
      </c>
      <c r="N80" s="26">
        <v>491</v>
      </c>
      <c r="O80" s="26">
        <v>223</v>
      </c>
      <c r="P80" s="26">
        <v>268</v>
      </c>
      <c r="Q80" s="26">
        <v>15</v>
      </c>
      <c r="R80" s="26">
        <v>1</v>
      </c>
      <c r="S80" s="26">
        <v>15</v>
      </c>
      <c r="T80" s="26">
        <v>7</v>
      </c>
      <c r="U80" s="26">
        <v>23</v>
      </c>
      <c r="V80" s="26">
        <v>1</v>
      </c>
      <c r="W80" s="26"/>
    </row>
    <row r="81" spans="1:23" x14ac:dyDescent="0.25">
      <c r="A81" s="26" t="str">
        <f t="shared" si="12"/>
        <v>PRIMARIA</v>
      </c>
      <c r="B81" s="26" t="str">
        <f>"09DPR0006I"</f>
        <v>09DPR0006I</v>
      </c>
      <c r="C81" s="26" t="str">
        <f>"JOSE MA. RODRIGUEZ COS                                                                              "</f>
        <v xml:space="preserve">JOSE MA. RODRIGUEZ COS                                                                              </v>
      </c>
      <c r="D81" s="26" t="str">
        <f>"MATUTINO"</f>
        <v>MATUTINO</v>
      </c>
      <c r="E81" s="26" t="str">
        <f>"VILLA ELOISA NO. 20                                                             "</f>
        <v xml:space="preserve">VILLA ELOISA NO. 20                                                             </v>
      </c>
      <c r="F81" s="26" t="str">
        <f>"DESARROLLO URBANO QUETZALCOATL                                                                                                              "</f>
        <v xml:space="preserve">DESARROLLO URBANO QUETZALCOATL                                                                                                              </v>
      </c>
      <c r="G81" s="26" t="str">
        <f>"IZTAPALAPA                                                                      "</f>
        <v xml:space="preserve">IZTAPALAPA                                                                      </v>
      </c>
      <c r="H81" s="26" t="str">
        <f>"052"</f>
        <v>052</v>
      </c>
      <c r="I81" s="26" t="str">
        <f t="shared" si="14"/>
        <v>00</v>
      </c>
      <c r="J81" s="26" t="str">
        <f>"64 "</f>
        <v xml:space="preserve">64 </v>
      </c>
      <c r="K81" s="26" t="str">
        <f>"IZ"</f>
        <v>IZ</v>
      </c>
      <c r="L81" s="26" t="str">
        <f>"DGSEI"</f>
        <v>DGSEI</v>
      </c>
      <c r="M81" s="26" t="str">
        <f t="shared" si="15"/>
        <v>FEDERAL</v>
      </c>
      <c r="N81" s="26">
        <v>718</v>
      </c>
      <c r="O81" s="26">
        <v>376</v>
      </c>
      <c r="P81" s="26">
        <v>342</v>
      </c>
      <c r="Q81" s="26">
        <v>18</v>
      </c>
      <c r="R81" s="26">
        <v>1</v>
      </c>
      <c r="S81" s="26">
        <v>18</v>
      </c>
      <c r="T81" s="26">
        <v>7</v>
      </c>
      <c r="U81" s="26">
        <v>26</v>
      </c>
      <c r="V81" s="26">
        <v>1</v>
      </c>
      <c r="W81" s="26"/>
    </row>
    <row r="82" spans="1:23" x14ac:dyDescent="0.25">
      <c r="A82" s="26" t="str">
        <f t="shared" si="12"/>
        <v>PRIMARIA</v>
      </c>
      <c r="B82" s="26" t="str">
        <f>"09DPR0007H"</f>
        <v>09DPR0007H</v>
      </c>
      <c r="C82" s="26" t="str">
        <f>"PROFR. CARLOS ESPINOSA ROMERO                                                                       "</f>
        <v xml:space="preserve">PROFR. CARLOS ESPINOSA ROMERO                                                                       </v>
      </c>
      <c r="D82" s="26" t="str">
        <f>"MATUTINO"</f>
        <v>MATUTINO</v>
      </c>
      <c r="E82" s="26" t="str">
        <f>"AV. JOSE LOPEZ PORTILLO NO. 19                                                  "</f>
        <v xml:space="preserve">AV. JOSE LOPEZ PORTILLO NO. 19                                                  </v>
      </c>
      <c r="F82" s="26" t="str">
        <f>"PRESIDENTES DE MEXICO                                                                                                                       "</f>
        <v xml:space="preserve">PRESIDENTES DE MEXICO                                                                                                                       </v>
      </c>
      <c r="G82" s="26" t="str">
        <f>"IZTAPALAPA                                                                      "</f>
        <v xml:space="preserve">IZTAPALAPA                                                                      </v>
      </c>
      <c r="H82" s="26" t="str">
        <f>"057"</f>
        <v>057</v>
      </c>
      <c r="I82" s="26" t="str">
        <f t="shared" si="14"/>
        <v>00</v>
      </c>
      <c r="J82" s="26" t="str">
        <f>"64 "</f>
        <v xml:space="preserve">64 </v>
      </c>
      <c r="K82" s="26" t="str">
        <f>"IZ"</f>
        <v>IZ</v>
      </c>
      <c r="L82" s="26" t="str">
        <f>"DGSEI"</f>
        <v>DGSEI</v>
      </c>
      <c r="M82" s="26" t="str">
        <f t="shared" si="15"/>
        <v>FEDERAL</v>
      </c>
      <c r="N82" s="26">
        <v>374</v>
      </c>
      <c r="O82" s="26">
        <v>205</v>
      </c>
      <c r="P82" s="26">
        <v>169</v>
      </c>
      <c r="Q82" s="26">
        <v>12</v>
      </c>
      <c r="R82" s="26">
        <v>1</v>
      </c>
      <c r="S82" s="26">
        <v>12</v>
      </c>
      <c r="T82" s="26">
        <v>5</v>
      </c>
      <c r="U82" s="26">
        <v>18</v>
      </c>
      <c r="V82" s="26">
        <v>1</v>
      </c>
      <c r="W82" s="26"/>
    </row>
    <row r="83" spans="1:23" x14ac:dyDescent="0.25">
      <c r="A83" s="26" t="str">
        <f t="shared" si="12"/>
        <v>PRIMARIA</v>
      </c>
      <c r="B83" s="26" t="str">
        <f>"09DPR0008G"</f>
        <v>09DPR0008G</v>
      </c>
      <c r="C83" s="26" t="str">
        <f>"PROFR. RAMON DURAND                                                                                 "</f>
        <v xml:space="preserve">PROFR. RAMON DURAND                                                                                 </v>
      </c>
      <c r="D83" s="26" t="str">
        <f>"VESPERTINO"</f>
        <v>VESPERTINO</v>
      </c>
      <c r="E83" s="26" t="str">
        <f>"CDA TIZAR S/N                                                                   "</f>
        <v xml:space="preserve">CDA TIZAR S/N                                                                   </v>
      </c>
      <c r="F83" s="26" t="str">
        <f>"PEDREGAL DE SANTO DOMINGO                                                                                                                   "</f>
        <v xml:space="preserve">PEDREGAL DE SANTO DOMINGO                                                                                                                   </v>
      </c>
      <c r="G83" s="26" t="str">
        <f>"COYOACAN                                                                        "</f>
        <v xml:space="preserve">COYOACAN                                                                        </v>
      </c>
      <c r="H83" s="26" t="str">
        <f>"505"</f>
        <v>505</v>
      </c>
      <c r="I83" s="26" t="str">
        <f t="shared" si="14"/>
        <v>00</v>
      </c>
      <c r="J83" s="26" t="str">
        <f>"45 "</f>
        <v xml:space="preserve">45 </v>
      </c>
      <c r="K83" s="26" t="str">
        <f>"PR"</f>
        <v>PR</v>
      </c>
      <c r="L83" s="26" t="str">
        <f>"DGOSE"</f>
        <v>DGOSE</v>
      </c>
      <c r="M83" s="26" t="str">
        <f t="shared" si="15"/>
        <v>FEDERAL</v>
      </c>
      <c r="N83" s="26">
        <v>77</v>
      </c>
      <c r="O83" s="26">
        <v>44</v>
      </c>
      <c r="P83" s="26">
        <v>33</v>
      </c>
      <c r="Q83" s="26">
        <v>9</v>
      </c>
      <c r="R83" s="26">
        <v>1</v>
      </c>
      <c r="S83" s="26">
        <v>7</v>
      </c>
      <c r="T83" s="26">
        <v>7</v>
      </c>
      <c r="U83" s="26">
        <v>15</v>
      </c>
      <c r="V83" s="26">
        <v>1</v>
      </c>
      <c r="W83" s="26"/>
    </row>
    <row r="84" spans="1:23" x14ac:dyDescent="0.25">
      <c r="A84" s="26" t="str">
        <f t="shared" si="12"/>
        <v>PRIMARIA</v>
      </c>
      <c r="B84" s="26" t="str">
        <f>"09DPR0009F"</f>
        <v>09DPR0009F</v>
      </c>
      <c r="C84" s="26" t="str">
        <f>"PROFR. MANUEL RAFAEL GUTIERREZ                                                                      "</f>
        <v xml:space="preserve">PROFR. MANUEL RAFAEL GUTIERREZ                                                                      </v>
      </c>
      <c r="D84" s="26" t="str">
        <f>"VESPERTINO"</f>
        <v>VESPERTINO</v>
      </c>
      <c r="E84" s="26" t="str">
        <f>"MAR DE LA CRISIS S/N Y MONTES APENINOS                                          "</f>
        <v xml:space="preserve">MAR DE LA CRISIS S/N Y MONTES APENINOS                                          </v>
      </c>
      <c r="F84" s="26" t="str">
        <f>"SELENE                                                                                                                                      "</f>
        <v xml:space="preserve">SELENE                                                                                                                                      </v>
      </c>
      <c r="G84" s="26" t="str">
        <f>"TLAHUAC                                                                         "</f>
        <v xml:space="preserve">TLAHUAC                                                                         </v>
      </c>
      <c r="H84" s="26" t="str">
        <f>"555"</f>
        <v>555</v>
      </c>
      <c r="I84" s="26" t="str">
        <f t="shared" si="14"/>
        <v>00</v>
      </c>
      <c r="J84" s="26" t="str">
        <f>"45 "</f>
        <v xml:space="preserve">45 </v>
      </c>
      <c r="K84" s="26" t="str">
        <f>"PR"</f>
        <v>PR</v>
      </c>
      <c r="L84" s="26" t="str">
        <f>"DGOSE"</f>
        <v>DGOSE</v>
      </c>
      <c r="M84" s="26" t="str">
        <f t="shared" si="15"/>
        <v>FEDERAL</v>
      </c>
      <c r="N84" s="26">
        <v>387</v>
      </c>
      <c r="O84" s="26">
        <v>199</v>
      </c>
      <c r="P84" s="26">
        <v>188</v>
      </c>
      <c r="Q84" s="26">
        <v>13</v>
      </c>
      <c r="R84" s="26">
        <v>1</v>
      </c>
      <c r="S84" s="26">
        <v>13</v>
      </c>
      <c r="T84" s="26">
        <v>6</v>
      </c>
      <c r="U84" s="26">
        <v>20</v>
      </c>
      <c r="V84" s="26">
        <v>1</v>
      </c>
      <c r="W84" s="26"/>
    </row>
    <row r="85" spans="1:23" x14ac:dyDescent="0.25">
      <c r="A85" s="26" t="str">
        <f t="shared" si="12"/>
        <v>PRIMARIA</v>
      </c>
      <c r="B85" s="26" t="str">
        <f>"09DPR0010V"</f>
        <v>09DPR0010V</v>
      </c>
      <c r="C85" s="26" t="str">
        <f>"PROFR. VICENTE MORA                                                                                 "</f>
        <v xml:space="preserve">PROFR. VICENTE MORA                                                                                 </v>
      </c>
      <c r="D85" s="26" t="str">
        <f>"VESPERTINO"</f>
        <v>VESPERTINO</v>
      </c>
      <c r="E85" s="26" t="str">
        <f>"CALLE 12 S/N ENTRE LA 22 Y LA 23                                                "</f>
        <v xml:space="preserve">CALLE 12 S/N ENTRE LA 22 Y LA 23                                                </v>
      </c>
      <c r="F85" s="26" t="str">
        <f>"JOSE LOPEZ PORTILLO                                                                                                                         "</f>
        <v xml:space="preserve">JOSE LOPEZ PORTILLO                                                                                                                         </v>
      </c>
      <c r="G85" s="26" t="str">
        <f>"IZTAPALAPA                                                                      "</f>
        <v xml:space="preserve">IZTAPALAPA                                                                      </v>
      </c>
      <c r="H85" s="26" t="str">
        <f>"049"</f>
        <v>049</v>
      </c>
      <c r="I85" s="26" t="str">
        <f t="shared" si="14"/>
        <v>00</v>
      </c>
      <c r="J85" s="26" t="str">
        <f>"63 "</f>
        <v xml:space="preserve">63 </v>
      </c>
      <c r="K85" s="26" t="str">
        <f>"IZ"</f>
        <v>IZ</v>
      </c>
      <c r="L85" s="26" t="str">
        <f>"DGSEI"</f>
        <v>DGSEI</v>
      </c>
      <c r="M85" s="26" t="str">
        <f t="shared" si="15"/>
        <v>FEDERAL</v>
      </c>
      <c r="N85" s="26">
        <v>375</v>
      </c>
      <c r="O85" s="26">
        <v>197</v>
      </c>
      <c r="P85" s="26">
        <v>178</v>
      </c>
      <c r="Q85" s="26">
        <v>18</v>
      </c>
      <c r="R85" s="26">
        <v>1</v>
      </c>
      <c r="S85" s="26">
        <v>18</v>
      </c>
      <c r="T85" s="26">
        <v>5</v>
      </c>
      <c r="U85" s="26">
        <v>24</v>
      </c>
      <c r="V85" s="26">
        <v>1</v>
      </c>
      <c r="W85" s="26"/>
    </row>
    <row r="86" spans="1:23" x14ac:dyDescent="0.25">
      <c r="A86" s="26" t="str">
        <f t="shared" si="12"/>
        <v>PRIMARIA</v>
      </c>
      <c r="B86" s="26" t="str">
        <f>"09DPR0011U"</f>
        <v>09DPR0011U</v>
      </c>
      <c r="C86" s="26" t="str">
        <f>"PROFR. CARITINO MALDONADO PEREZ                                                                     "</f>
        <v xml:space="preserve">PROFR. CARITINO MALDONADO PEREZ                                                                     </v>
      </c>
      <c r="D86" s="26" t="str">
        <f>"VESPERTINO"</f>
        <v>VESPERTINO</v>
      </c>
      <c r="E86" s="26" t="str">
        <f>"XOCHIMILCO TULYEHUALCO Y 16 SEPT                                                "</f>
        <v xml:space="preserve">XOCHIMILCO TULYEHUALCO Y 16 SEPT                                                </v>
      </c>
      <c r="F86" s="26" t="str">
        <f>"SANTA MARIA NATIVITAS                                                                                                                       "</f>
        <v xml:space="preserve">SANTA MARIA NATIVITAS                                                                                                                       </v>
      </c>
      <c r="G86" s="26" t="str">
        <f>"XOCHIMILCO                                                                      "</f>
        <v xml:space="preserve">XOCHIMILCO                                                                      </v>
      </c>
      <c r="H86" s="26" t="str">
        <f>"539"</f>
        <v>539</v>
      </c>
      <c r="I86" s="26" t="str">
        <f t="shared" si="14"/>
        <v>00</v>
      </c>
      <c r="J86" s="26" t="str">
        <f>"45 "</f>
        <v xml:space="preserve">45 </v>
      </c>
      <c r="K86" s="26" t="str">
        <f t="shared" ref="K86:K97" si="18">"PR"</f>
        <v>PR</v>
      </c>
      <c r="L86" s="26" t="str">
        <f t="shared" ref="L86:L97" si="19">"DGOSE"</f>
        <v>DGOSE</v>
      </c>
      <c r="M86" s="26" t="str">
        <f t="shared" si="15"/>
        <v>FEDERAL</v>
      </c>
      <c r="N86" s="26">
        <v>279</v>
      </c>
      <c r="O86" s="26">
        <v>138</v>
      </c>
      <c r="P86" s="26">
        <v>141</v>
      </c>
      <c r="Q86" s="26">
        <v>16</v>
      </c>
      <c r="R86" s="26">
        <v>1</v>
      </c>
      <c r="S86" s="26">
        <v>11</v>
      </c>
      <c r="T86" s="26">
        <v>7</v>
      </c>
      <c r="U86" s="26">
        <v>19</v>
      </c>
      <c r="V86" s="26">
        <v>1</v>
      </c>
      <c r="W86" s="26"/>
    </row>
    <row r="87" spans="1:23" x14ac:dyDescent="0.25">
      <c r="A87" s="26" t="str">
        <f t="shared" si="12"/>
        <v>PRIMARIA</v>
      </c>
      <c r="B87" s="26" t="str">
        <f>"09DPR0012T"</f>
        <v>09DPR0012T</v>
      </c>
      <c r="C87" s="26" t="str">
        <f>"SALVADOR  HERMOSO NAJERA                                                                            "</f>
        <v xml:space="preserve">SALVADOR  HERMOSO NAJERA                                                                            </v>
      </c>
      <c r="D87" s="26" t="str">
        <f>"VESPERTINO"</f>
        <v>VESPERTINO</v>
      </c>
      <c r="E87" s="26" t="str">
        <f>"FLAUTA MAGICA MANZANA 171 LOTE 10                                               "</f>
        <v xml:space="preserve">FLAUTA MAGICA MANZANA 171 LOTE 10                                               </v>
      </c>
      <c r="F87" s="26" t="str">
        <f>"MIGUEL HIDALGO                                                                                                                              "</f>
        <v xml:space="preserve">MIGUEL HIDALGO                                                                                                                              </v>
      </c>
      <c r="G87" s="26" t="str">
        <f>"TLAHUAC                                                                         "</f>
        <v xml:space="preserve">TLAHUAC                                                                         </v>
      </c>
      <c r="H87" s="26" t="str">
        <f>"552"</f>
        <v>552</v>
      </c>
      <c r="I87" s="26" t="str">
        <f t="shared" si="14"/>
        <v>00</v>
      </c>
      <c r="J87" s="26" t="str">
        <f>"45 "</f>
        <v xml:space="preserve">45 </v>
      </c>
      <c r="K87" s="26" t="str">
        <f t="shared" si="18"/>
        <v>PR</v>
      </c>
      <c r="L87" s="26" t="str">
        <f t="shared" si="19"/>
        <v>DGOSE</v>
      </c>
      <c r="M87" s="26" t="str">
        <f t="shared" si="15"/>
        <v>FEDERAL</v>
      </c>
      <c r="N87" s="26">
        <v>209</v>
      </c>
      <c r="O87" s="26">
        <v>96</v>
      </c>
      <c r="P87" s="26">
        <v>113</v>
      </c>
      <c r="Q87" s="26">
        <v>6</v>
      </c>
      <c r="R87" s="26">
        <v>1</v>
      </c>
      <c r="S87" s="26">
        <v>6</v>
      </c>
      <c r="T87" s="26">
        <v>3</v>
      </c>
      <c r="U87" s="26">
        <v>10</v>
      </c>
      <c r="V87" s="26">
        <v>1</v>
      </c>
      <c r="W87" s="26"/>
    </row>
    <row r="88" spans="1:23" x14ac:dyDescent="0.25">
      <c r="A88" s="26" t="str">
        <f t="shared" si="12"/>
        <v>PRIMARIA</v>
      </c>
      <c r="B88" s="26" t="str">
        <f>"09DPR0013S"</f>
        <v>09DPR0013S</v>
      </c>
      <c r="C88" s="26" t="str">
        <f>"PROFR. LAUREANO JIMENEZ Y CORIA                                                                     "</f>
        <v xml:space="preserve">PROFR. LAUREANO JIMENEZ Y CORIA                                                                     </v>
      </c>
      <c r="D88" s="26" t="str">
        <f>"MATUTINO"</f>
        <v>MATUTINO</v>
      </c>
      <c r="E88" s="26" t="str">
        <f>"AV MIGUEL BERNARD NUM 41                                                        "</f>
        <v xml:space="preserve">AV MIGUEL BERNARD NUM 41                                                        </v>
      </c>
      <c r="F88" s="26" t="str">
        <f>"LA PURISIMA TICOMAN                                                                                                                         "</f>
        <v xml:space="preserve">LA PURISIMA TICOMAN                                                                                                                         </v>
      </c>
      <c r="G88" s="26" t="str">
        <f>"GUSTAVO A. MADERO                                                               "</f>
        <v xml:space="preserve">GUSTAVO A. MADERO                                                               </v>
      </c>
      <c r="H88" s="26" t="str">
        <f>"236"</f>
        <v>236</v>
      </c>
      <c r="I88" s="26" t="str">
        <f t="shared" si="14"/>
        <v>00</v>
      </c>
      <c r="J88" s="26" t="str">
        <f>"42 "</f>
        <v xml:space="preserve">42 </v>
      </c>
      <c r="K88" s="26" t="str">
        <f t="shared" si="18"/>
        <v>PR</v>
      </c>
      <c r="L88" s="26" t="str">
        <f t="shared" si="19"/>
        <v>DGOSE</v>
      </c>
      <c r="M88" s="26" t="str">
        <f t="shared" si="15"/>
        <v>FEDERAL</v>
      </c>
      <c r="N88" s="26">
        <v>364</v>
      </c>
      <c r="O88" s="26">
        <v>186</v>
      </c>
      <c r="P88" s="26">
        <v>178</v>
      </c>
      <c r="Q88" s="26">
        <v>12</v>
      </c>
      <c r="R88" s="26">
        <v>1</v>
      </c>
      <c r="S88" s="26">
        <v>12</v>
      </c>
      <c r="T88" s="26">
        <v>11</v>
      </c>
      <c r="U88" s="26">
        <v>24</v>
      </c>
      <c r="V88" s="26">
        <v>1</v>
      </c>
      <c r="W88" s="26"/>
    </row>
    <row r="89" spans="1:23" x14ac:dyDescent="0.25">
      <c r="A89" s="26" t="str">
        <f t="shared" si="12"/>
        <v>PRIMARIA</v>
      </c>
      <c r="B89" s="26" t="str">
        <f>"09DPR0014R"</f>
        <v>09DPR0014R</v>
      </c>
      <c r="C89" s="26" t="str">
        <f>"JUAN PABLO GALEANA                                                                                  "</f>
        <v xml:space="preserve">JUAN PABLO GALEANA                                                                                  </v>
      </c>
      <c r="D89" s="26" t="str">
        <f>"TIEMPO COMPLETO"</f>
        <v>TIEMPO COMPLETO</v>
      </c>
      <c r="E89" s="26" t="str">
        <f>"ABELARDO L. RODRIGUEZ Y AMAPOLAS S/N                                            "</f>
        <v xml:space="preserve">ABELARDO L. RODRIGUEZ Y AMAPOLAS S/N                                            </v>
      </c>
      <c r="F89" s="26" t="str">
        <f>"MALACATES                                                                                                                                   "</f>
        <v xml:space="preserve">MALACATES                                                                                                                                   </v>
      </c>
      <c r="G89" s="26" t="str">
        <f>"GUSTAVO A. MADERO                                                               "</f>
        <v xml:space="preserve">GUSTAVO A. MADERO                                                               </v>
      </c>
      <c r="H89" s="26" t="str">
        <f>"131"</f>
        <v>131</v>
      </c>
      <c r="I89" s="26" t="str">
        <f t="shared" si="14"/>
        <v>00</v>
      </c>
      <c r="J89" s="26" t="str">
        <f>"41 "</f>
        <v xml:space="preserve">41 </v>
      </c>
      <c r="K89" s="26" t="str">
        <f t="shared" si="18"/>
        <v>PR</v>
      </c>
      <c r="L89" s="26" t="str">
        <f t="shared" si="19"/>
        <v>DGOSE</v>
      </c>
      <c r="M89" s="26" t="str">
        <f t="shared" si="15"/>
        <v>FEDERAL</v>
      </c>
      <c r="N89" s="26">
        <v>488</v>
      </c>
      <c r="O89" s="26">
        <v>245</v>
      </c>
      <c r="P89" s="26">
        <v>243</v>
      </c>
      <c r="Q89" s="26">
        <v>16</v>
      </c>
      <c r="R89" s="26">
        <v>1</v>
      </c>
      <c r="S89" s="26">
        <v>16</v>
      </c>
      <c r="T89" s="26">
        <v>12</v>
      </c>
      <c r="U89" s="26">
        <v>29</v>
      </c>
      <c r="V89" s="26">
        <v>1</v>
      </c>
      <c r="W89" s="26" t="s">
        <v>218</v>
      </c>
    </row>
    <row r="90" spans="1:23" x14ac:dyDescent="0.25">
      <c r="A90" s="26" t="str">
        <f t="shared" si="12"/>
        <v>PRIMARIA</v>
      </c>
      <c r="B90" s="26" t="str">
        <f>"09DPR0015Q"</f>
        <v>09DPR0015Q</v>
      </c>
      <c r="C90" s="26" t="str">
        <f>"NICOLAS LEON                                                                                        "</f>
        <v xml:space="preserve">NICOLAS LEON                                                                                        </v>
      </c>
      <c r="D90" s="26" t="str">
        <f>"VESPERTINO"</f>
        <v>VESPERTINO</v>
      </c>
      <c r="E90" s="26" t="str">
        <f>"MAR DE LOS VAPORES Y CRATER                                                     "</f>
        <v xml:space="preserve">MAR DE LOS VAPORES Y CRATER                                                     </v>
      </c>
      <c r="F90" s="26" t="str">
        <f>"SELENE AMPLIACION                                                                                                                           "</f>
        <v xml:space="preserve">SELENE AMPLIACION                                                                                                                           </v>
      </c>
      <c r="G90" s="26" t="str">
        <f>"TLAHUAC                                                                         "</f>
        <v xml:space="preserve">TLAHUAC                                                                         </v>
      </c>
      <c r="H90" s="26" t="str">
        <f>"555"</f>
        <v>555</v>
      </c>
      <c r="I90" s="26" t="str">
        <f t="shared" si="14"/>
        <v>00</v>
      </c>
      <c r="J90" s="26" t="str">
        <f>"45 "</f>
        <v xml:space="preserve">45 </v>
      </c>
      <c r="K90" s="26" t="str">
        <f t="shared" si="18"/>
        <v>PR</v>
      </c>
      <c r="L90" s="26" t="str">
        <f t="shared" si="19"/>
        <v>DGOSE</v>
      </c>
      <c r="M90" s="26" t="str">
        <f t="shared" si="15"/>
        <v>FEDERAL</v>
      </c>
      <c r="N90" s="26">
        <v>353</v>
      </c>
      <c r="O90" s="26">
        <v>175</v>
      </c>
      <c r="P90" s="26">
        <v>178</v>
      </c>
      <c r="Q90" s="26">
        <v>17</v>
      </c>
      <c r="R90" s="26">
        <v>1</v>
      </c>
      <c r="S90" s="26">
        <v>14</v>
      </c>
      <c r="T90" s="26">
        <v>8</v>
      </c>
      <c r="U90" s="26">
        <v>23</v>
      </c>
      <c r="V90" s="26">
        <v>1</v>
      </c>
      <c r="W90" s="26"/>
    </row>
    <row r="91" spans="1:23" x14ac:dyDescent="0.25">
      <c r="A91" s="26" t="str">
        <f t="shared" si="12"/>
        <v>PRIMARIA</v>
      </c>
      <c r="B91" s="26" t="str">
        <f>"09DPR0017O"</f>
        <v>09DPR0017O</v>
      </c>
      <c r="C91" s="26" t="str">
        <f>"NICOLAS LEON                                                                                        "</f>
        <v xml:space="preserve">NICOLAS LEON                                                                                        </v>
      </c>
      <c r="D91" s="26" t="str">
        <f>"MATUTINO"</f>
        <v>MATUTINO</v>
      </c>
      <c r="E91" s="26" t="str">
        <f>"MAR DE LOS VAPORES Y CRATER                                                     "</f>
        <v xml:space="preserve">MAR DE LOS VAPORES Y CRATER                                                     </v>
      </c>
      <c r="F91" s="26" t="str">
        <f>"SELENE AMPLIACION                                                                                                                           "</f>
        <v xml:space="preserve">SELENE AMPLIACION                                                                                                                           </v>
      </c>
      <c r="G91" s="26" t="str">
        <f>"TLAHUAC                                                                         "</f>
        <v xml:space="preserve">TLAHUAC                                                                         </v>
      </c>
      <c r="H91" s="26" t="str">
        <f>"555"</f>
        <v>555</v>
      </c>
      <c r="I91" s="26" t="str">
        <f t="shared" si="14"/>
        <v>00</v>
      </c>
      <c r="J91" s="26" t="str">
        <f>"45 "</f>
        <v xml:space="preserve">45 </v>
      </c>
      <c r="K91" s="26" t="str">
        <f t="shared" si="18"/>
        <v>PR</v>
      </c>
      <c r="L91" s="26" t="str">
        <f t="shared" si="19"/>
        <v>DGOSE</v>
      </c>
      <c r="M91" s="26" t="str">
        <f t="shared" si="15"/>
        <v>FEDERAL</v>
      </c>
      <c r="N91" s="26">
        <v>450</v>
      </c>
      <c r="O91" s="26">
        <v>225</v>
      </c>
      <c r="P91" s="26">
        <v>225</v>
      </c>
      <c r="Q91" s="26">
        <v>12</v>
      </c>
      <c r="R91" s="26">
        <v>1</v>
      </c>
      <c r="S91" s="26">
        <v>12</v>
      </c>
      <c r="T91" s="26">
        <v>5</v>
      </c>
      <c r="U91" s="26">
        <v>18</v>
      </c>
      <c r="V91" s="26">
        <v>1</v>
      </c>
      <c r="W91" s="26"/>
    </row>
    <row r="92" spans="1:23" x14ac:dyDescent="0.25">
      <c r="A92" s="26" t="str">
        <f t="shared" si="12"/>
        <v>PRIMARIA</v>
      </c>
      <c r="B92" s="26" t="str">
        <f>"09DPR0018N"</f>
        <v>09DPR0018N</v>
      </c>
      <c r="C92" s="26" t="str">
        <f>"JULIO DE LA FUENTE                                                                                  "</f>
        <v xml:space="preserve">JULIO DE LA FUENTE                                                                                  </v>
      </c>
      <c r="D92" s="26" t="str">
        <f>"MATUTINO"</f>
        <v>MATUTINO</v>
      </c>
      <c r="E92" s="26" t="str">
        <f>"CALLE SIRENA S/N                                                                "</f>
        <v xml:space="preserve">CALLE SIRENA S/N                                                                </v>
      </c>
      <c r="F92" s="26" t="str">
        <f>"DEL MAR                                                                                                                                     "</f>
        <v xml:space="preserve">DEL MAR                                                                                                                                     </v>
      </c>
      <c r="G92" s="26" t="str">
        <f>"TLAHUAC                                                                         "</f>
        <v xml:space="preserve">TLAHUAC                                                                         </v>
      </c>
      <c r="H92" s="26" t="str">
        <f>"551"</f>
        <v>551</v>
      </c>
      <c r="I92" s="26" t="str">
        <f t="shared" si="14"/>
        <v>00</v>
      </c>
      <c r="J92" s="26" t="str">
        <f>"45 "</f>
        <v xml:space="preserve">45 </v>
      </c>
      <c r="K92" s="26" t="str">
        <f t="shared" si="18"/>
        <v>PR</v>
      </c>
      <c r="L92" s="26" t="str">
        <f t="shared" si="19"/>
        <v>DGOSE</v>
      </c>
      <c r="M92" s="26" t="str">
        <f t="shared" si="15"/>
        <v>FEDERAL</v>
      </c>
      <c r="N92" s="26">
        <v>514</v>
      </c>
      <c r="O92" s="26">
        <v>244</v>
      </c>
      <c r="P92" s="26">
        <v>270</v>
      </c>
      <c r="Q92" s="26">
        <v>12</v>
      </c>
      <c r="R92" s="26">
        <v>1</v>
      </c>
      <c r="S92" s="26">
        <v>12</v>
      </c>
      <c r="T92" s="26">
        <v>6</v>
      </c>
      <c r="U92" s="26">
        <v>19</v>
      </c>
      <c r="V92" s="26">
        <v>1</v>
      </c>
      <c r="W92" s="26"/>
    </row>
    <row r="93" spans="1:23" x14ac:dyDescent="0.25">
      <c r="A93" s="26" t="str">
        <f t="shared" si="12"/>
        <v>PRIMARIA</v>
      </c>
      <c r="B93" s="26" t="str">
        <f>"09DPR0019M"</f>
        <v>09DPR0019M</v>
      </c>
      <c r="C93" s="26" t="str">
        <f>"DANIEL COSIO VILLEGAS                                                                               "</f>
        <v xml:space="preserve">DANIEL COSIO VILLEGAS                                                                               </v>
      </c>
      <c r="D93" s="26" t="str">
        <f>"MATUTINO"</f>
        <v>MATUTINO</v>
      </c>
      <c r="E93" s="26" t="str">
        <f>"AV. CECILIO ACOSTA S/N                                                          "</f>
        <v xml:space="preserve">AV. CECILIO ACOSTA S/N                                                          </v>
      </c>
      <c r="F93" s="26" t="str">
        <f>"SANTIAGO ZAPOTITLAN                                                                                                                         "</f>
        <v xml:space="preserve">SANTIAGO ZAPOTITLAN                                                                                                                         </v>
      </c>
      <c r="G93" s="26" t="str">
        <f>"TLAHUAC                                                                         "</f>
        <v xml:space="preserve">TLAHUAC                                                                         </v>
      </c>
      <c r="H93" s="26" t="str">
        <f>"546"</f>
        <v>546</v>
      </c>
      <c r="I93" s="26" t="str">
        <f t="shared" si="14"/>
        <v>00</v>
      </c>
      <c r="J93" s="26" t="str">
        <f>"45 "</f>
        <v xml:space="preserve">45 </v>
      </c>
      <c r="K93" s="26" t="str">
        <f t="shared" si="18"/>
        <v>PR</v>
      </c>
      <c r="L93" s="26" t="str">
        <f t="shared" si="19"/>
        <v>DGOSE</v>
      </c>
      <c r="M93" s="26" t="str">
        <f t="shared" si="15"/>
        <v>FEDERAL</v>
      </c>
      <c r="N93" s="26">
        <v>651</v>
      </c>
      <c r="O93" s="26">
        <v>303</v>
      </c>
      <c r="P93" s="26">
        <v>348</v>
      </c>
      <c r="Q93" s="26">
        <v>20</v>
      </c>
      <c r="R93" s="26">
        <v>1</v>
      </c>
      <c r="S93" s="26">
        <v>18</v>
      </c>
      <c r="T93" s="26">
        <v>8</v>
      </c>
      <c r="U93" s="26">
        <v>27</v>
      </c>
      <c r="V93" s="26">
        <v>1</v>
      </c>
      <c r="W93" s="26"/>
    </row>
    <row r="94" spans="1:23" x14ac:dyDescent="0.25">
      <c r="A94" s="26" t="str">
        <f t="shared" si="12"/>
        <v>PRIMARIA</v>
      </c>
      <c r="B94" s="26" t="str">
        <f>"09DPR0020B"</f>
        <v>09DPR0020B</v>
      </c>
      <c r="C94" s="26" t="str">
        <f>"SITIO DE CUAUTLA                                                                                    "</f>
        <v xml:space="preserve">SITIO DE CUAUTLA                                                                                    </v>
      </c>
      <c r="D94" s="26" t="str">
        <f>"JORNADA AMPLIADA"</f>
        <v>JORNADA AMPLIADA</v>
      </c>
      <c r="E94" s="26" t="str">
        <f>"MARGARITAS NUM 103                                                              "</f>
        <v xml:space="preserve">MARGARITAS NUM 103                                                              </v>
      </c>
      <c r="F94" s="26" t="str">
        <f>"LOMAS DE MEMETLA                                                                                                                            "</f>
        <v xml:space="preserve">LOMAS DE MEMETLA                                                                                                                            </v>
      </c>
      <c r="G94" s="26" t="str">
        <f>"CUAJIMALPA DE MORELOS                                                           "</f>
        <v xml:space="preserve">CUAJIMALPA DE MORELOS                                                           </v>
      </c>
      <c r="H94" s="26" t="str">
        <f>"145"</f>
        <v>145</v>
      </c>
      <c r="I94" s="26" t="str">
        <f t="shared" si="14"/>
        <v>00</v>
      </c>
      <c r="J94" s="26" t="str">
        <f>"41 "</f>
        <v xml:space="preserve">41 </v>
      </c>
      <c r="K94" s="26" t="str">
        <f t="shared" si="18"/>
        <v>PR</v>
      </c>
      <c r="L94" s="26" t="str">
        <f t="shared" si="19"/>
        <v>DGOSE</v>
      </c>
      <c r="M94" s="26" t="str">
        <f t="shared" si="15"/>
        <v>FEDERAL</v>
      </c>
      <c r="N94" s="26">
        <v>417</v>
      </c>
      <c r="O94" s="26">
        <v>215</v>
      </c>
      <c r="P94" s="26">
        <v>202</v>
      </c>
      <c r="Q94" s="26">
        <v>14</v>
      </c>
      <c r="R94" s="26">
        <v>1</v>
      </c>
      <c r="S94" s="26">
        <v>14</v>
      </c>
      <c r="T94" s="26">
        <v>9</v>
      </c>
      <c r="U94" s="26">
        <v>24</v>
      </c>
      <c r="V94" s="26">
        <v>1</v>
      </c>
      <c r="W94" s="26" t="s">
        <v>2076</v>
      </c>
    </row>
    <row r="95" spans="1:23" x14ac:dyDescent="0.25">
      <c r="A95" s="26" t="str">
        <f t="shared" si="12"/>
        <v>PRIMARIA</v>
      </c>
      <c r="B95" s="26" t="str">
        <f>"09DPR0021A"</f>
        <v>09DPR0021A</v>
      </c>
      <c r="C95" s="26" t="str">
        <f>"PROFRA. LEONOR LEAÑOS NAVARRO                                                                       "</f>
        <v xml:space="preserve">PROFRA. LEONOR LEAÑOS NAVARRO                                                                       </v>
      </c>
      <c r="D95" s="26" t="str">
        <f>"MATUTINO"</f>
        <v>MATUTINO</v>
      </c>
      <c r="E95" s="26" t="str">
        <f>"CARBONERO Y PARCELA                                                             "</f>
        <v xml:space="preserve">CARBONERO Y PARCELA                                                             </v>
      </c>
      <c r="F95" s="26" t="str">
        <f>"LOMAS DE SAN BERNABE                                                                                                                        "</f>
        <v xml:space="preserve">LOMAS DE SAN BERNABE                                                                                                                        </v>
      </c>
      <c r="G95" s="26" t="str">
        <f>"LA MAGDALENA CONTRERAS                                                          "</f>
        <v xml:space="preserve">LA MAGDALENA CONTRERAS                                                          </v>
      </c>
      <c r="H95" s="26" t="str">
        <f>"334"</f>
        <v>334</v>
      </c>
      <c r="I95" s="26" t="str">
        <f t="shared" si="14"/>
        <v>00</v>
      </c>
      <c r="J95" s="26" t="str">
        <f>"43 "</f>
        <v xml:space="preserve">43 </v>
      </c>
      <c r="K95" s="26" t="str">
        <f t="shared" si="18"/>
        <v>PR</v>
      </c>
      <c r="L95" s="26" t="str">
        <f t="shared" si="19"/>
        <v>DGOSE</v>
      </c>
      <c r="M95" s="26" t="str">
        <f t="shared" si="15"/>
        <v>FEDERAL</v>
      </c>
      <c r="N95" s="26">
        <v>498</v>
      </c>
      <c r="O95" s="26">
        <v>250</v>
      </c>
      <c r="P95" s="26">
        <v>248</v>
      </c>
      <c r="Q95" s="26">
        <v>14</v>
      </c>
      <c r="R95" s="26">
        <v>1</v>
      </c>
      <c r="S95" s="26">
        <v>13</v>
      </c>
      <c r="T95" s="26">
        <v>6</v>
      </c>
      <c r="U95" s="26">
        <v>20</v>
      </c>
      <c r="V95" s="26">
        <v>1</v>
      </c>
      <c r="W95" s="26"/>
    </row>
    <row r="96" spans="1:23" x14ac:dyDescent="0.25">
      <c r="A96" s="26" t="str">
        <f t="shared" si="12"/>
        <v>PRIMARIA</v>
      </c>
      <c r="B96" s="26" t="str">
        <f>"09DPR0022Z"</f>
        <v>09DPR0022Z</v>
      </c>
      <c r="C96" s="26" t="str">
        <f>"PROFR. LUIS AUDIRAC GALVEZ                                                                          "</f>
        <v xml:space="preserve">PROFR. LUIS AUDIRAC GALVEZ                                                                          </v>
      </c>
      <c r="D96" s="26" t="str">
        <f>"MATUTINO"</f>
        <v>MATUTINO</v>
      </c>
      <c r="E96" s="26" t="str">
        <f>"AV DIAZ ORDAZ Y NICOLAS BRAVO                                                   "</f>
        <v xml:space="preserve">AV DIAZ ORDAZ Y NICOLAS BRAVO                                                   </v>
      </c>
      <c r="F96" s="26" t="str">
        <f>"JALALPA AMPLIACION                                                                                                                          "</f>
        <v xml:space="preserve">JALALPA AMPLIACION                                                                                                                          </v>
      </c>
      <c r="G96" s="26" t="str">
        <f>"ALVARO OBREGON                                                                  "</f>
        <v xml:space="preserve">ALVARO OBREGON                                                                  </v>
      </c>
      <c r="H96" s="26" t="str">
        <f>"316"</f>
        <v>316</v>
      </c>
      <c r="I96" s="26" t="str">
        <f t="shared" si="14"/>
        <v>00</v>
      </c>
      <c r="J96" s="26" t="str">
        <f>"43 "</f>
        <v xml:space="preserve">43 </v>
      </c>
      <c r="K96" s="26" t="str">
        <f t="shared" si="18"/>
        <v>PR</v>
      </c>
      <c r="L96" s="26" t="str">
        <f t="shared" si="19"/>
        <v>DGOSE</v>
      </c>
      <c r="M96" s="26" t="str">
        <f t="shared" si="15"/>
        <v>FEDERAL</v>
      </c>
      <c r="N96" s="26">
        <v>384</v>
      </c>
      <c r="O96" s="26">
        <v>191</v>
      </c>
      <c r="P96" s="26">
        <v>193</v>
      </c>
      <c r="Q96" s="26">
        <v>11</v>
      </c>
      <c r="R96" s="26">
        <v>1</v>
      </c>
      <c r="S96" s="26">
        <v>11</v>
      </c>
      <c r="T96" s="26">
        <v>5</v>
      </c>
      <c r="U96" s="26">
        <v>17</v>
      </c>
      <c r="V96" s="26">
        <v>1</v>
      </c>
      <c r="W96" s="26"/>
    </row>
    <row r="97" spans="1:23" x14ac:dyDescent="0.25">
      <c r="A97" s="26" t="str">
        <f t="shared" si="12"/>
        <v>PRIMARIA</v>
      </c>
      <c r="B97" s="26" t="str">
        <f>"09DPR0027V"</f>
        <v>09DPR0027V</v>
      </c>
      <c r="C97" s="26" t="str">
        <f>"PRESIDENTE VICENTE ROCAFUERTE                                                                       "</f>
        <v xml:space="preserve">PRESIDENTE VICENTE ROCAFUERTE                                                                       </v>
      </c>
      <c r="D97" s="26" t="str">
        <f>"VESPERTINO"</f>
        <v>VESPERTINO</v>
      </c>
      <c r="E97" s="26" t="str">
        <f>"COXCOX S/N                                                                      "</f>
        <v xml:space="preserve">COXCOX S/N                                                                      </v>
      </c>
      <c r="F97" s="26" t="str">
        <f>"ARENAL 2A SECCION                                                                                                                           "</f>
        <v xml:space="preserve">ARENAL 2A SECCION                                                                                                                           </v>
      </c>
      <c r="G97" s="26" t="str">
        <f>"VENUSTIANO CARRANZA                                                             "</f>
        <v xml:space="preserve">VENUSTIANO CARRANZA                                                             </v>
      </c>
      <c r="H97" s="26" t="str">
        <f>"353"</f>
        <v>353</v>
      </c>
      <c r="I97" s="26" t="str">
        <f t="shared" si="14"/>
        <v>00</v>
      </c>
      <c r="J97" s="26" t="str">
        <f>"43 "</f>
        <v xml:space="preserve">43 </v>
      </c>
      <c r="K97" s="26" t="str">
        <f t="shared" si="18"/>
        <v>PR</v>
      </c>
      <c r="L97" s="26" t="str">
        <f t="shared" si="19"/>
        <v>DGOSE</v>
      </c>
      <c r="M97" s="26" t="str">
        <f t="shared" si="15"/>
        <v>FEDERAL</v>
      </c>
      <c r="N97" s="26">
        <v>108</v>
      </c>
      <c r="O97" s="26">
        <v>63</v>
      </c>
      <c r="P97" s="26">
        <v>45</v>
      </c>
      <c r="Q97" s="26">
        <v>6</v>
      </c>
      <c r="R97" s="26">
        <v>1</v>
      </c>
      <c r="S97" s="26">
        <v>6</v>
      </c>
      <c r="T97" s="26">
        <v>5</v>
      </c>
      <c r="U97" s="26">
        <v>12</v>
      </c>
      <c r="V97" s="26">
        <v>1</v>
      </c>
      <c r="W97" s="26"/>
    </row>
    <row r="98" spans="1:23" x14ac:dyDescent="0.25">
      <c r="A98" s="26" t="str">
        <f t="shared" si="12"/>
        <v>PRIMARIA</v>
      </c>
      <c r="B98" s="26" t="str">
        <f>"09DPR0029T"</f>
        <v>09DPR0029T</v>
      </c>
      <c r="C98" s="26" t="str">
        <f>"PROFRA. ALICIA MARTINEZ MONTOYA                                                                     "</f>
        <v xml:space="preserve">PROFRA. ALICIA MARTINEZ MONTOYA                                                                     </v>
      </c>
      <c r="D98" s="26" t="str">
        <f>"MATUTINO"</f>
        <v>MATUTINO</v>
      </c>
      <c r="E98" s="26" t="str">
        <f>"LUIS GARCIA NO. 85                                                              "</f>
        <v xml:space="preserve">LUIS GARCIA NO. 85                                                              </v>
      </c>
      <c r="F98" s="26" t="str">
        <f>"SANTA MARTHA ACATITLA                                                                                                                       "</f>
        <v xml:space="preserve">SANTA MARTHA ACATITLA                                                                                                                       </v>
      </c>
      <c r="G98" s="26" t="str">
        <f>"IZTAPALAPA                                                                      "</f>
        <v xml:space="preserve">IZTAPALAPA                                                                      </v>
      </c>
      <c r="H98" s="26" t="str">
        <f>"022"</f>
        <v>022</v>
      </c>
      <c r="I98" s="26" t="str">
        <f t="shared" si="14"/>
        <v>00</v>
      </c>
      <c r="J98" s="26" t="str">
        <f>"62 "</f>
        <v xml:space="preserve">62 </v>
      </c>
      <c r="K98" s="26" t="str">
        <f>"IZ"</f>
        <v>IZ</v>
      </c>
      <c r="L98" s="26" t="str">
        <f>"DGSEI"</f>
        <v>DGSEI</v>
      </c>
      <c r="M98" s="26" t="str">
        <f t="shared" si="15"/>
        <v>FEDERAL</v>
      </c>
      <c r="N98" s="26">
        <v>413</v>
      </c>
      <c r="O98" s="26">
        <v>214</v>
      </c>
      <c r="P98" s="26">
        <v>199</v>
      </c>
      <c r="Q98" s="26">
        <v>13</v>
      </c>
      <c r="R98" s="26">
        <v>1</v>
      </c>
      <c r="S98" s="26">
        <v>13</v>
      </c>
      <c r="T98" s="26">
        <v>7</v>
      </c>
      <c r="U98" s="26">
        <v>21</v>
      </c>
      <c r="V98" s="26">
        <v>1</v>
      </c>
      <c r="W98" s="26"/>
    </row>
    <row r="99" spans="1:23" x14ac:dyDescent="0.25">
      <c r="A99" s="26" t="str">
        <f t="shared" si="12"/>
        <v>PRIMARIA</v>
      </c>
      <c r="B99" s="26" t="str">
        <f>"09DPR0030I"</f>
        <v>09DPR0030I</v>
      </c>
      <c r="C99" s="26" t="str">
        <f>"ENRIQUE GARCIA GALLEGOS                                                                             "</f>
        <v xml:space="preserve">ENRIQUE GARCIA GALLEGOS                                                                             </v>
      </c>
      <c r="D99" s="26" t="str">
        <f>"VESPERTINO"</f>
        <v>VESPERTINO</v>
      </c>
      <c r="E99" s="26" t="str">
        <f>"LATERAL RIO CHURUBUSCO NO. 2                                                    "</f>
        <v xml:space="preserve">LATERAL RIO CHURUBUSCO NO. 2                                                    </v>
      </c>
      <c r="F99" s="26" t="str">
        <f>"SAN JOSE ACULCO                                                                                                                             "</f>
        <v xml:space="preserve">SAN JOSE ACULCO                                                                                                                             </v>
      </c>
      <c r="G99" s="26" t="str">
        <f>"IZTAPALAPA                                                                      "</f>
        <v xml:space="preserve">IZTAPALAPA                                                                      </v>
      </c>
      <c r="H99" s="26" t="str">
        <f>"037"</f>
        <v>037</v>
      </c>
      <c r="I99" s="26" t="str">
        <f t="shared" si="14"/>
        <v>00</v>
      </c>
      <c r="J99" s="26" t="str">
        <f>"63 "</f>
        <v xml:space="preserve">63 </v>
      </c>
      <c r="K99" s="26" t="str">
        <f>"IZ"</f>
        <v>IZ</v>
      </c>
      <c r="L99" s="26" t="str">
        <f>"DGSEI"</f>
        <v>DGSEI</v>
      </c>
      <c r="M99" s="26" t="str">
        <f t="shared" si="15"/>
        <v>FEDERAL</v>
      </c>
      <c r="N99" s="26">
        <v>257</v>
      </c>
      <c r="O99" s="26">
        <v>125</v>
      </c>
      <c r="P99" s="26">
        <v>132</v>
      </c>
      <c r="Q99" s="26">
        <v>11</v>
      </c>
      <c r="R99" s="26">
        <v>1</v>
      </c>
      <c r="S99" s="26">
        <v>10</v>
      </c>
      <c r="T99" s="26">
        <v>4</v>
      </c>
      <c r="U99" s="26">
        <v>15</v>
      </c>
      <c r="V99" s="26">
        <v>1</v>
      </c>
      <c r="W99" s="26"/>
    </row>
    <row r="100" spans="1:23" x14ac:dyDescent="0.25">
      <c r="A100" s="26" t="str">
        <f t="shared" si="12"/>
        <v>PRIMARIA</v>
      </c>
      <c r="B100" s="26" t="str">
        <f>"09DPR0032G"</f>
        <v>09DPR0032G</v>
      </c>
      <c r="C100" s="26" t="str">
        <f>"CAJEME                                                                                              "</f>
        <v xml:space="preserve">CAJEME                                                                                              </v>
      </c>
      <c r="D100" s="26" t="str">
        <f>"VESPERTINO"</f>
        <v>VESPERTINO</v>
      </c>
      <c r="E100" s="26" t="str">
        <f>"MORELOS 10                                                                      "</f>
        <v xml:space="preserve">MORELOS 10                                                                      </v>
      </c>
      <c r="F100" s="26" t="str">
        <f>"SAN ANDRES TOTOLTEPEC                                                                                                                       "</f>
        <v xml:space="preserve">SAN ANDRES TOTOLTEPEC                                                                                                                       </v>
      </c>
      <c r="G100" s="26" t="str">
        <f>"TLALPAN                                                                         "</f>
        <v xml:space="preserve">TLALPAN                                                                         </v>
      </c>
      <c r="H100" s="26" t="str">
        <f>"529"</f>
        <v>529</v>
      </c>
      <c r="I100" s="26" t="str">
        <f t="shared" si="14"/>
        <v>00</v>
      </c>
      <c r="J100" s="26" t="str">
        <f>"45 "</f>
        <v xml:space="preserve">45 </v>
      </c>
      <c r="K100" s="26" t="str">
        <f>"PR"</f>
        <v>PR</v>
      </c>
      <c r="L100" s="26" t="str">
        <f>"DGOSE"</f>
        <v>DGOSE</v>
      </c>
      <c r="M100" s="26" t="str">
        <f t="shared" si="15"/>
        <v>FEDERAL</v>
      </c>
      <c r="N100" s="26">
        <v>227</v>
      </c>
      <c r="O100" s="26">
        <v>106</v>
      </c>
      <c r="P100" s="26">
        <v>121</v>
      </c>
      <c r="Q100" s="26">
        <v>7</v>
      </c>
      <c r="R100" s="26">
        <v>1</v>
      </c>
      <c r="S100" s="26">
        <v>7</v>
      </c>
      <c r="T100" s="26">
        <v>6</v>
      </c>
      <c r="U100" s="26">
        <v>14</v>
      </c>
      <c r="V100" s="26">
        <v>1</v>
      </c>
      <c r="W100" s="26"/>
    </row>
    <row r="101" spans="1:23" x14ac:dyDescent="0.25">
      <c r="A101" s="26" t="str">
        <f t="shared" si="12"/>
        <v>PRIMARIA</v>
      </c>
      <c r="B101" s="26" t="str">
        <f>"09DPR0033F"</f>
        <v>09DPR0033F</v>
      </c>
      <c r="C101" s="26" t="str">
        <f>"JOSE INES NOVELO                                                                                    "</f>
        <v xml:space="preserve">JOSE INES NOVELO                                                                                    </v>
      </c>
      <c r="D101" s="26" t="str">
        <f>"MATUTINO"</f>
        <v>MATUTINO</v>
      </c>
      <c r="E101" s="26" t="str">
        <f>"1A CERRADA PTO MAZATLAN S/N                                                     "</f>
        <v xml:space="preserve">1A CERRADA PTO MAZATLAN S/N                                                     </v>
      </c>
      <c r="F101" s="26" t="str">
        <f>"PILOTO ADOLFO LOPEZ MATEOS                                                                                                                  "</f>
        <v xml:space="preserve">PILOTO ADOLFO LOPEZ MATEOS                                                                                                                  </v>
      </c>
      <c r="G101" s="26" t="str">
        <f>"ALVARO OBREGON                                                                  "</f>
        <v xml:space="preserve">ALVARO OBREGON                                                                  </v>
      </c>
      <c r="H101" s="26" t="str">
        <f>"315"</f>
        <v>315</v>
      </c>
      <c r="I101" s="26" t="str">
        <f t="shared" si="14"/>
        <v>00</v>
      </c>
      <c r="J101" s="26" t="str">
        <f>"43 "</f>
        <v xml:space="preserve">43 </v>
      </c>
      <c r="K101" s="26" t="str">
        <f>"PR"</f>
        <v>PR</v>
      </c>
      <c r="L101" s="26" t="str">
        <f>"DGOSE"</f>
        <v>DGOSE</v>
      </c>
      <c r="M101" s="26" t="str">
        <f t="shared" si="15"/>
        <v>FEDERAL</v>
      </c>
      <c r="N101" s="26">
        <v>406</v>
      </c>
      <c r="O101" s="26">
        <v>198</v>
      </c>
      <c r="P101" s="26">
        <v>208</v>
      </c>
      <c r="Q101" s="26">
        <v>12</v>
      </c>
      <c r="R101" s="26">
        <v>1</v>
      </c>
      <c r="S101" s="26">
        <v>12</v>
      </c>
      <c r="T101" s="26">
        <v>6</v>
      </c>
      <c r="U101" s="26">
        <v>19</v>
      </c>
      <c r="V101" s="26">
        <v>1</v>
      </c>
      <c r="W101" s="26"/>
    </row>
    <row r="102" spans="1:23" x14ac:dyDescent="0.25">
      <c r="A102" s="26" t="str">
        <f t="shared" si="12"/>
        <v>PRIMARIA</v>
      </c>
      <c r="B102" s="26" t="str">
        <f>"09DPR0034E"</f>
        <v>09DPR0034E</v>
      </c>
      <c r="C102" s="26" t="str">
        <f>"INDIRA GANDHI                                                                                       "</f>
        <v xml:space="preserve">INDIRA GANDHI                                                                                       </v>
      </c>
      <c r="D102" s="26" t="str">
        <f>"MATUTINO"</f>
        <v>MATUTINO</v>
      </c>
      <c r="E102" s="26" t="str">
        <f>"YUCALPETEN NUM 197                                                              "</f>
        <v xml:space="preserve">YUCALPETEN NUM 197                                                              </v>
      </c>
      <c r="F102" s="26" t="str">
        <f>"HEROES DE PADIERNA                                                                                                                          "</f>
        <v xml:space="preserve">HEROES DE PADIERNA                                                                                                                          </v>
      </c>
      <c r="G102" s="26" t="str">
        <f>"TLALPAN                                                                         "</f>
        <v xml:space="preserve">TLALPAN                                                                         </v>
      </c>
      <c r="H102" s="26" t="str">
        <f>"513"</f>
        <v>513</v>
      </c>
      <c r="I102" s="26" t="str">
        <f t="shared" si="14"/>
        <v>00</v>
      </c>
      <c r="J102" s="26" t="str">
        <f>"45 "</f>
        <v xml:space="preserve">45 </v>
      </c>
      <c r="K102" s="26" t="str">
        <f>"PR"</f>
        <v>PR</v>
      </c>
      <c r="L102" s="26" t="str">
        <f>"DGOSE"</f>
        <v>DGOSE</v>
      </c>
      <c r="M102" s="26" t="str">
        <f t="shared" si="15"/>
        <v>FEDERAL</v>
      </c>
      <c r="N102" s="26">
        <v>496</v>
      </c>
      <c r="O102" s="26">
        <v>238</v>
      </c>
      <c r="P102" s="26">
        <v>258</v>
      </c>
      <c r="Q102" s="26">
        <v>13</v>
      </c>
      <c r="R102" s="26">
        <v>1</v>
      </c>
      <c r="S102" s="26">
        <v>13</v>
      </c>
      <c r="T102" s="26">
        <v>6</v>
      </c>
      <c r="U102" s="26">
        <v>20</v>
      </c>
      <c r="V102" s="26">
        <v>1</v>
      </c>
      <c r="W102" s="26"/>
    </row>
    <row r="103" spans="1:23" x14ac:dyDescent="0.25">
      <c r="A103" s="26" t="str">
        <f t="shared" si="12"/>
        <v>PRIMARIA</v>
      </c>
      <c r="B103" s="26" t="str">
        <f>"09DPR0035D"</f>
        <v>09DPR0035D</v>
      </c>
      <c r="C103" s="26" t="str">
        <f>"PROFR. HERMILO ZAVALZA DEL VALLE                                                                    "</f>
        <v xml:space="preserve">PROFR. HERMILO ZAVALZA DEL VALLE                                                                    </v>
      </c>
      <c r="D103" s="26" t="str">
        <f>"VESPERTINO"</f>
        <v>VESPERTINO</v>
      </c>
      <c r="E103" s="26" t="str">
        <f>"YOBAIN NUM 659 Y BOLONCHEN                                                      "</f>
        <v xml:space="preserve">YOBAIN NUM 659 Y BOLONCHEN                                                      </v>
      </c>
      <c r="F103" s="26" t="str">
        <f>"CULTURA MAYA                                                                                                                                "</f>
        <v xml:space="preserve">CULTURA MAYA                                                                                                                                </v>
      </c>
      <c r="G103" s="26" t="str">
        <f>"TLALPAN                                                                         "</f>
        <v xml:space="preserve">TLALPAN                                                                         </v>
      </c>
      <c r="H103" s="26" t="str">
        <f>"516"</f>
        <v>516</v>
      </c>
      <c r="I103" s="26" t="str">
        <f t="shared" si="14"/>
        <v>00</v>
      </c>
      <c r="J103" s="26" t="str">
        <f>"45 "</f>
        <v xml:space="preserve">45 </v>
      </c>
      <c r="K103" s="26" t="str">
        <f>"PR"</f>
        <v>PR</v>
      </c>
      <c r="L103" s="26" t="str">
        <f>"DGOSE"</f>
        <v>DGOSE</v>
      </c>
      <c r="M103" s="26" t="str">
        <f t="shared" si="15"/>
        <v>FEDERAL</v>
      </c>
      <c r="N103" s="26">
        <v>278</v>
      </c>
      <c r="O103" s="26">
        <v>143</v>
      </c>
      <c r="P103" s="26">
        <v>135</v>
      </c>
      <c r="Q103" s="26">
        <v>12</v>
      </c>
      <c r="R103" s="26">
        <v>1</v>
      </c>
      <c r="S103" s="26">
        <v>12</v>
      </c>
      <c r="T103" s="26">
        <v>9</v>
      </c>
      <c r="U103" s="26">
        <v>22</v>
      </c>
      <c r="V103" s="26">
        <v>1</v>
      </c>
      <c r="W103" s="26"/>
    </row>
    <row r="104" spans="1:23" x14ac:dyDescent="0.25">
      <c r="A104" s="26" t="str">
        <f t="shared" si="12"/>
        <v>PRIMARIA</v>
      </c>
      <c r="B104" s="26" t="str">
        <f>"09DPR0036C"</f>
        <v>09DPR0036C</v>
      </c>
      <c r="C104" s="26" t="str">
        <f>"VINI CUBI                                                                                           "</f>
        <v xml:space="preserve">VINI CUBI                                                                                           </v>
      </c>
      <c r="D104" s="26" t="str">
        <f>"VESPERTINO"</f>
        <v>VESPERTINO</v>
      </c>
      <c r="E104" s="26" t="str">
        <f>"AV 16 DE SEPTIEMBRE 51                                                          "</f>
        <v xml:space="preserve">AV 16 DE SEPTIEMBRE 51                                                          </v>
      </c>
      <c r="F104" s="26" t="str">
        <f>"CONTADERO                                                                                                                                   "</f>
        <v xml:space="preserve">CONTADERO                                                                                                                                   </v>
      </c>
      <c r="G104" s="26" t="str">
        <f>"CUAJIMALPA DE MORELOS                                                           "</f>
        <v xml:space="preserve">CUAJIMALPA DE MORELOS                                                           </v>
      </c>
      <c r="H104" s="26" t="str">
        <f>"304"</f>
        <v>304</v>
      </c>
      <c r="I104" s="26" t="str">
        <f t="shared" si="14"/>
        <v>00</v>
      </c>
      <c r="J104" s="26" t="str">
        <f>"43 "</f>
        <v xml:space="preserve">43 </v>
      </c>
      <c r="K104" s="26" t="str">
        <f>"PR"</f>
        <v>PR</v>
      </c>
      <c r="L104" s="26" t="str">
        <f>"DGOSE"</f>
        <v>DGOSE</v>
      </c>
      <c r="M104" s="26" t="str">
        <f t="shared" si="15"/>
        <v>FEDERAL</v>
      </c>
      <c r="N104" s="26">
        <v>283</v>
      </c>
      <c r="O104" s="26">
        <v>154</v>
      </c>
      <c r="P104" s="26">
        <v>129</v>
      </c>
      <c r="Q104" s="26">
        <v>12</v>
      </c>
      <c r="R104" s="26">
        <v>1</v>
      </c>
      <c r="S104" s="26">
        <v>12</v>
      </c>
      <c r="T104" s="26">
        <v>7</v>
      </c>
      <c r="U104" s="26">
        <v>20</v>
      </c>
      <c r="V104" s="26">
        <v>1</v>
      </c>
      <c r="W104" s="26"/>
    </row>
    <row r="105" spans="1:23" x14ac:dyDescent="0.25">
      <c r="A105" s="26" t="str">
        <f t="shared" si="12"/>
        <v>PRIMARIA</v>
      </c>
      <c r="B105" s="26" t="str">
        <f>"09DPR0037B"</f>
        <v>09DPR0037B</v>
      </c>
      <c r="C105" s="26" t="str">
        <f>"CESAR VALLEJO                                                                                       "</f>
        <v xml:space="preserve">CESAR VALLEJO                                                                                       </v>
      </c>
      <c r="D105" s="26" t="str">
        <f>"TIEMPO COMPLETO"</f>
        <v>TIEMPO COMPLETO</v>
      </c>
      <c r="E105" s="26" t="str">
        <f>"CIHUATL S/N                                                                     "</f>
        <v xml:space="preserve">CIHUATL S/N                                                                     </v>
      </c>
      <c r="F105" s="26" t="str">
        <f>"RICARDO FLORES MAGON                                                                                                                        "</f>
        <v xml:space="preserve">RICARDO FLORES MAGON                                                                                                                        </v>
      </c>
      <c r="G105" s="26" t="str">
        <f>"IZTAPALAPA                                                                      "</f>
        <v xml:space="preserve">IZTAPALAPA                                                                      </v>
      </c>
      <c r="H105" s="26" t="str">
        <f>"004"</f>
        <v>004</v>
      </c>
      <c r="I105" s="26" t="str">
        <f t="shared" si="14"/>
        <v>00</v>
      </c>
      <c r="J105" s="26" t="str">
        <f>"61 "</f>
        <v xml:space="preserve">61 </v>
      </c>
      <c r="K105" s="26" t="str">
        <f>"IZ"</f>
        <v>IZ</v>
      </c>
      <c r="L105" s="26" t="str">
        <f>"DGSEI"</f>
        <v>DGSEI</v>
      </c>
      <c r="M105" s="26" t="str">
        <f t="shared" si="15"/>
        <v>FEDERAL</v>
      </c>
      <c r="N105" s="26">
        <v>259</v>
      </c>
      <c r="O105" s="26">
        <v>123</v>
      </c>
      <c r="P105" s="26">
        <v>136</v>
      </c>
      <c r="Q105" s="26">
        <v>14</v>
      </c>
      <c r="R105" s="26">
        <v>2</v>
      </c>
      <c r="S105" s="26">
        <v>14</v>
      </c>
      <c r="T105" s="26">
        <v>14</v>
      </c>
      <c r="U105" s="26">
        <v>30</v>
      </c>
      <c r="V105" s="26">
        <v>1</v>
      </c>
      <c r="W105" s="26" t="s">
        <v>218</v>
      </c>
    </row>
    <row r="106" spans="1:23" x14ac:dyDescent="0.25">
      <c r="A106" s="26" t="str">
        <f t="shared" si="12"/>
        <v>PRIMARIA</v>
      </c>
      <c r="B106" s="26" t="str">
        <f>"09DPR0038A"</f>
        <v>09DPR0038A</v>
      </c>
      <c r="C106" s="26" t="str">
        <f>"PROFRA. EMMA GODOY                                                                                  "</f>
        <v xml:space="preserve">PROFRA. EMMA GODOY                                                                                  </v>
      </c>
      <c r="D106" s="26" t="str">
        <f>"JORNADA AMPLIADA"</f>
        <v>JORNADA AMPLIADA</v>
      </c>
      <c r="E106" s="26" t="str">
        <f>"FERROCARRIL CENTRAL Y RABAUL 594                                                "</f>
        <v xml:space="preserve">FERROCARRIL CENTRAL Y RABAUL 594                                                </v>
      </c>
      <c r="F106" s="26" t="str">
        <f>"HOGARES FERROCARRILEROS                                                                                                                     "</f>
        <v xml:space="preserve">HOGARES FERROCARRILEROS                                                                                                                     </v>
      </c>
      <c r="G106" s="26" t="str">
        <f>"AZCAPOTZALCO                                                                    "</f>
        <v xml:space="preserve">AZCAPOTZALCO                                                                    </v>
      </c>
      <c r="H106" s="26" t="str">
        <f>"106"</f>
        <v>106</v>
      </c>
      <c r="I106" s="26" t="str">
        <f t="shared" si="14"/>
        <v>00</v>
      </c>
      <c r="J106" s="26" t="str">
        <f>"41 "</f>
        <v xml:space="preserve">41 </v>
      </c>
      <c r="K106" s="26" t="str">
        <f t="shared" ref="K106:K112" si="20">"PR"</f>
        <v>PR</v>
      </c>
      <c r="L106" s="26" t="str">
        <f t="shared" ref="L106:L112" si="21">"DGOSE"</f>
        <v>DGOSE</v>
      </c>
      <c r="M106" s="26" t="str">
        <f t="shared" si="15"/>
        <v>FEDERAL</v>
      </c>
      <c r="N106" s="26">
        <v>200</v>
      </c>
      <c r="O106" s="26">
        <v>99</v>
      </c>
      <c r="P106" s="26">
        <v>101</v>
      </c>
      <c r="Q106" s="26">
        <v>8</v>
      </c>
      <c r="R106" s="26">
        <v>1</v>
      </c>
      <c r="S106" s="26">
        <v>8</v>
      </c>
      <c r="T106" s="26">
        <v>8</v>
      </c>
      <c r="U106" s="26">
        <v>17</v>
      </c>
      <c r="V106" s="26">
        <v>1</v>
      </c>
      <c r="W106" s="26" t="s">
        <v>2076</v>
      </c>
    </row>
    <row r="107" spans="1:23" x14ac:dyDescent="0.25">
      <c r="A107" s="26" t="str">
        <f t="shared" si="12"/>
        <v>PRIMARIA</v>
      </c>
      <c r="B107" s="26" t="str">
        <f>"09DPR0039Z"</f>
        <v>09DPR0039Z</v>
      </c>
      <c r="C107" s="26" t="str">
        <f>"13 DE SEPTIEMBRE DE 1847                                                                            "</f>
        <v xml:space="preserve">13 DE SEPTIEMBRE DE 1847                                                                            </v>
      </c>
      <c r="D107" s="26" t="str">
        <f>"TIEMPO COMPLETO"</f>
        <v>TIEMPO COMPLETO</v>
      </c>
      <c r="E107" s="26" t="str">
        <f>"FRANCISCO SANCHEZ DIAZ S/N                                                      "</f>
        <v xml:space="preserve">FRANCISCO SANCHEZ DIAZ S/N                                                      </v>
      </c>
      <c r="F107" s="26" t="str">
        <f>"SAN PEDRO XALPA                                                                                                                             "</f>
        <v xml:space="preserve">SAN PEDRO XALPA                                                                                                                             </v>
      </c>
      <c r="G107" s="26" t="str">
        <f>"AZCAPOTZALCO                                                                    "</f>
        <v xml:space="preserve">AZCAPOTZALCO                                                                    </v>
      </c>
      <c r="H107" s="26" t="str">
        <f>"102"</f>
        <v>102</v>
      </c>
      <c r="I107" s="26" t="str">
        <f t="shared" si="14"/>
        <v>00</v>
      </c>
      <c r="J107" s="26" t="str">
        <f>"41 "</f>
        <v xml:space="preserve">41 </v>
      </c>
      <c r="K107" s="26" t="str">
        <f t="shared" si="20"/>
        <v>PR</v>
      </c>
      <c r="L107" s="26" t="str">
        <f t="shared" si="21"/>
        <v>DGOSE</v>
      </c>
      <c r="M107" s="26" t="str">
        <f t="shared" si="15"/>
        <v>FEDERAL</v>
      </c>
      <c r="N107" s="26">
        <v>388</v>
      </c>
      <c r="O107" s="26">
        <v>180</v>
      </c>
      <c r="P107" s="26">
        <v>208</v>
      </c>
      <c r="Q107" s="26">
        <v>13</v>
      </c>
      <c r="R107" s="26">
        <v>1</v>
      </c>
      <c r="S107" s="26">
        <v>13</v>
      </c>
      <c r="T107" s="26">
        <v>12</v>
      </c>
      <c r="U107" s="26">
        <v>26</v>
      </c>
      <c r="V107" s="26">
        <v>1</v>
      </c>
      <c r="W107" s="26" t="s">
        <v>218</v>
      </c>
    </row>
    <row r="108" spans="1:23" x14ac:dyDescent="0.25">
      <c r="A108" s="26" t="str">
        <f t="shared" si="12"/>
        <v>PRIMARIA</v>
      </c>
      <c r="B108" s="26" t="str">
        <f>"09DPR0040P"</f>
        <v>09DPR0040P</v>
      </c>
      <c r="C108" s="26" t="str">
        <f>"FLAVIO GUTIERREZ ZACARIAS                                                                           "</f>
        <v xml:space="preserve">FLAVIO GUTIERREZ ZACARIAS                                                                           </v>
      </c>
      <c r="D108" s="26" t="str">
        <f>"VESPERTINO"</f>
        <v>VESPERTINO</v>
      </c>
      <c r="E108" s="26" t="str">
        <f>"AV. HIDALGO S/N                                                                 "</f>
        <v xml:space="preserve">AV. HIDALGO S/N                                                                 </v>
      </c>
      <c r="F108" s="26" t="str">
        <f>"CAÑADA                                                                                                                                      "</f>
        <v xml:space="preserve">CAÑADA                                                                                                                                      </v>
      </c>
      <c r="G108" s="26" t="str">
        <f>"ALVARO OBREGON                                                                  "</f>
        <v xml:space="preserve">ALVARO OBREGON                                                                  </v>
      </c>
      <c r="H108" s="26" t="str">
        <f>"316"</f>
        <v>316</v>
      </c>
      <c r="I108" s="26" t="str">
        <f t="shared" si="14"/>
        <v>00</v>
      </c>
      <c r="J108" s="26" t="str">
        <f>"43 "</f>
        <v xml:space="preserve">43 </v>
      </c>
      <c r="K108" s="26" t="str">
        <f t="shared" si="20"/>
        <v>PR</v>
      </c>
      <c r="L108" s="26" t="str">
        <f t="shared" si="21"/>
        <v>DGOSE</v>
      </c>
      <c r="M108" s="26" t="str">
        <f t="shared" si="15"/>
        <v>FEDERAL</v>
      </c>
      <c r="N108" s="26">
        <v>151</v>
      </c>
      <c r="O108" s="26">
        <v>74</v>
      </c>
      <c r="P108" s="26">
        <v>77</v>
      </c>
      <c r="Q108" s="26">
        <v>7</v>
      </c>
      <c r="R108" s="26">
        <v>1</v>
      </c>
      <c r="S108" s="26">
        <v>7</v>
      </c>
      <c r="T108" s="26">
        <v>5</v>
      </c>
      <c r="U108" s="26">
        <v>13</v>
      </c>
      <c r="V108" s="26">
        <v>1</v>
      </c>
      <c r="W108" s="26"/>
    </row>
    <row r="109" spans="1:23" x14ac:dyDescent="0.25">
      <c r="A109" s="26" t="str">
        <f t="shared" si="12"/>
        <v>PRIMARIA</v>
      </c>
      <c r="B109" s="26" t="str">
        <f>"09DPR0043M"</f>
        <v>09DPR0043M</v>
      </c>
      <c r="C109" s="26" t="str">
        <f>"CARLOS MARIA BUSTAMANTE                                                                             "</f>
        <v xml:space="preserve">CARLOS MARIA BUSTAMANTE                                                                             </v>
      </c>
      <c r="D109" s="26" t="str">
        <f>"VESPERTINO"</f>
        <v>VESPERTINO</v>
      </c>
      <c r="E109" s="26" t="str">
        <f>"CERRADA DE ENCINO NUM 39                                                        "</f>
        <v xml:space="preserve">CERRADA DE ENCINO NUM 39                                                        </v>
      </c>
      <c r="F109" s="26" t="str">
        <f>"GRANJAS DE NAVIDAD                                                                                                                          "</f>
        <v xml:space="preserve">GRANJAS DE NAVIDAD                                                                                                                          </v>
      </c>
      <c r="G109" s="26" t="str">
        <f>"CUAJIMALPA DE MORELOS                                                           "</f>
        <v xml:space="preserve">CUAJIMALPA DE MORELOS                                                           </v>
      </c>
      <c r="H109" s="26" t="str">
        <f>"301"</f>
        <v>301</v>
      </c>
      <c r="I109" s="26" t="str">
        <f t="shared" si="14"/>
        <v>00</v>
      </c>
      <c r="J109" s="26" t="str">
        <f>"43 "</f>
        <v xml:space="preserve">43 </v>
      </c>
      <c r="K109" s="26" t="str">
        <f t="shared" si="20"/>
        <v>PR</v>
      </c>
      <c r="L109" s="26" t="str">
        <f t="shared" si="21"/>
        <v>DGOSE</v>
      </c>
      <c r="M109" s="26" t="str">
        <f t="shared" si="15"/>
        <v>FEDERAL</v>
      </c>
      <c r="N109" s="26">
        <v>384</v>
      </c>
      <c r="O109" s="26">
        <v>211</v>
      </c>
      <c r="P109" s="26">
        <v>173</v>
      </c>
      <c r="Q109" s="26">
        <v>12</v>
      </c>
      <c r="R109" s="26">
        <v>1</v>
      </c>
      <c r="S109" s="26">
        <v>12</v>
      </c>
      <c r="T109" s="26">
        <v>5</v>
      </c>
      <c r="U109" s="26">
        <v>18</v>
      </c>
      <c r="V109" s="26">
        <v>1</v>
      </c>
      <c r="W109" s="26"/>
    </row>
    <row r="110" spans="1:23" x14ac:dyDescent="0.25">
      <c r="A110" s="26" t="str">
        <f t="shared" si="12"/>
        <v>PRIMARIA</v>
      </c>
      <c r="B110" s="26" t="str">
        <f>"09DPR0044L"</f>
        <v>09DPR0044L</v>
      </c>
      <c r="C110" s="26" t="str">
        <f>"CATALINA CARDONA NAVA                                                                               "</f>
        <v xml:space="preserve">CATALINA CARDONA NAVA                                                                               </v>
      </c>
      <c r="D110" s="26" t="str">
        <f>"JORNADA AMPLIADA"</f>
        <v>JORNADA AMPLIADA</v>
      </c>
      <c r="E110" s="26" t="str">
        <f>"INDEPENDENCIA NUM 26                                                            "</f>
        <v xml:space="preserve">INDEPENDENCIA NUM 26                                                            </v>
      </c>
      <c r="F110" s="26" t="str">
        <f>"SAN NICOLAS TOTOLAPAN                                                                                                                       "</f>
        <v xml:space="preserve">SAN NICOLAS TOTOLAPAN                                                                                                                       </v>
      </c>
      <c r="G110" s="26" t="str">
        <f>"LA MAGDALENA CONTRERAS                                                          "</f>
        <v xml:space="preserve">LA MAGDALENA CONTRERAS                                                          </v>
      </c>
      <c r="H110" s="26" t="str">
        <f>"408"</f>
        <v>408</v>
      </c>
      <c r="I110" s="26" t="str">
        <f t="shared" si="14"/>
        <v>00</v>
      </c>
      <c r="J110" s="26" t="str">
        <f>"44 "</f>
        <v xml:space="preserve">44 </v>
      </c>
      <c r="K110" s="26" t="str">
        <f t="shared" si="20"/>
        <v>PR</v>
      </c>
      <c r="L110" s="26" t="str">
        <f t="shared" si="21"/>
        <v>DGOSE</v>
      </c>
      <c r="M110" s="26" t="str">
        <f t="shared" si="15"/>
        <v>FEDERAL</v>
      </c>
      <c r="N110" s="26">
        <v>191</v>
      </c>
      <c r="O110" s="26">
        <v>86</v>
      </c>
      <c r="P110" s="26">
        <v>105</v>
      </c>
      <c r="Q110" s="26">
        <v>6</v>
      </c>
      <c r="R110" s="26">
        <v>1</v>
      </c>
      <c r="S110" s="26">
        <v>5</v>
      </c>
      <c r="T110" s="26">
        <v>6</v>
      </c>
      <c r="U110" s="26">
        <v>12</v>
      </c>
      <c r="V110" s="26">
        <v>1</v>
      </c>
      <c r="W110" s="26" t="s">
        <v>2076</v>
      </c>
    </row>
    <row r="111" spans="1:23" x14ac:dyDescent="0.25">
      <c r="A111" s="26" t="str">
        <f t="shared" si="12"/>
        <v>PRIMARIA</v>
      </c>
      <c r="B111" s="26" t="str">
        <f>"09DPR0045K"</f>
        <v>09DPR0045K</v>
      </c>
      <c r="C111" s="26" t="str">
        <f>"PROFR. JOSE S. BENITEZ                                                                              "</f>
        <v xml:space="preserve">PROFR. JOSE S. BENITEZ                                                                              </v>
      </c>
      <c r="D111" s="26" t="str">
        <f>"JORNADA AMPLIADA"</f>
        <v>JORNADA AMPLIADA</v>
      </c>
      <c r="E111" s="26" t="str">
        <f>"ADOLFO DE LA HUERTA 131                                                         "</f>
        <v xml:space="preserve">ADOLFO DE LA HUERTA 131                                                         </v>
      </c>
      <c r="F111" s="26" t="str">
        <f>"MIGUEL HIDALGO AMPLIACION                                                                                                                   "</f>
        <v xml:space="preserve">MIGUEL HIDALGO AMPLIACION                                                                                                                   </v>
      </c>
      <c r="G111" s="26" t="str">
        <f>"TLALPAN                                                                         "</f>
        <v xml:space="preserve">TLALPAN                                                                         </v>
      </c>
      <c r="H111" s="26" t="str">
        <f>"444"</f>
        <v>444</v>
      </c>
      <c r="I111" s="26" t="str">
        <f t="shared" si="14"/>
        <v>00</v>
      </c>
      <c r="J111" s="26" t="str">
        <f>"44 "</f>
        <v xml:space="preserve">44 </v>
      </c>
      <c r="K111" s="26" t="str">
        <f t="shared" si="20"/>
        <v>PR</v>
      </c>
      <c r="L111" s="26" t="str">
        <f t="shared" si="21"/>
        <v>DGOSE</v>
      </c>
      <c r="M111" s="26" t="str">
        <f t="shared" si="15"/>
        <v>FEDERAL</v>
      </c>
      <c r="N111" s="26">
        <v>566</v>
      </c>
      <c r="O111" s="26">
        <v>282</v>
      </c>
      <c r="P111" s="26">
        <v>284</v>
      </c>
      <c r="Q111" s="26">
        <v>17</v>
      </c>
      <c r="R111" s="26">
        <v>1</v>
      </c>
      <c r="S111" s="26">
        <v>14</v>
      </c>
      <c r="T111" s="26">
        <v>13</v>
      </c>
      <c r="U111" s="26">
        <v>28</v>
      </c>
      <c r="V111" s="26">
        <v>1</v>
      </c>
      <c r="W111" s="26" t="s">
        <v>2076</v>
      </c>
    </row>
    <row r="112" spans="1:23" x14ac:dyDescent="0.25">
      <c r="A112" s="26" t="str">
        <f t="shared" si="12"/>
        <v>PRIMARIA</v>
      </c>
      <c r="B112" s="26" t="str">
        <f>"09DPR0046J"</f>
        <v>09DPR0046J</v>
      </c>
      <c r="C112" s="26" t="str">
        <f>"GUSTAVO BAZ PRADA                                                                                   "</f>
        <v xml:space="preserve">GUSTAVO BAZ PRADA                                                                                   </v>
      </c>
      <c r="D112" s="26" t="str">
        <f>"MATUTINO"</f>
        <v>MATUTINO</v>
      </c>
      <c r="E112" s="26" t="str">
        <f>"DURAZNO NUM 128                                                                 "</f>
        <v xml:space="preserve">DURAZNO NUM 128                                                                 </v>
      </c>
      <c r="F112" s="26" t="str">
        <f>"DOS DE OCTUBRE                                                                                                                              "</f>
        <v xml:space="preserve">DOS DE OCTUBRE                                                                                                                              </v>
      </c>
      <c r="G112" s="26" t="str">
        <f>"TLALPAN                                                                         "</f>
        <v xml:space="preserve">TLALPAN                                                                         </v>
      </c>
      <c r="H112" s="26" t="str">
        <f>"515"</f>
        <v>515</v>
      </c>
      <c r="I112" s="26" t="str">
        <f t="shared" si="14"/>
        <v>00</v>
      </c>
      <c r="J112" s="26" t="str">
        <f>"45 "</f>
        <v xml:space="preserve">45 </v>
      </c>
      <c r="K112" s="26" t="str">
        <f t="shared" si="20"/>
        <v>PR</v>
      </c>
      <c r="L112" s="26" t="str">
        <f t="shared" si="21"/>
        <v>DGOSE</v>
      </c>
      <c r="M112" s="26" t="str">
        <f t="shared" si="15"/>
        <v>FEDERAL</v>
      </c>
      <c r="N112" s="26">
        <v>618</v>
      </c>
      <c r="O112" s="26">
        <v>307</v>
      </c>
      <c r="P112" s="26">
        <v>311</v>
      </c>
      <c r="Q112" s="26">
        <v>18</v>
      </c>
      <c r="R112" s="26">
        <v>0</v>
      </c>
      <c r="S112" s="26">
        <v>18</v>
      </c>
      <c r="T112" s="26">
        <v>8</v>
      </c>
      <c r="U112" s="26">
        <v>26</v>
      </c>
      <c r="V112" s="26">
        <v>1</v>
      </c>
      <c r="W112" s="26"/>
    </row>
    <row r="113" spans="1:23" x14ac:dyDescent="0.25">
      <c r="A113" s="26" t="str">
        <f t="shared" si="12"/>
        <v>PRIMARIA</v>
      </c>
      <c r="B113" s="26" t="str">
        <f>"09DPR0047I"</f>
        <v>09DPR0047I</v>
      </c>
      <c r="C113" s="26" t="str">
        <f>"PROFR. BRUNO MARTINEZ                                                                               "</f>
        <v xml:space="preserve">PROFR. BRUNO MARTINEZ                                                                               </v>
      </c>
      <c r="D113" s="26" t="str">
        <f>"VESPERTINO"</f>
        <v>VESPERTINO</v>
      </c>
      <c r="E113" s="26" t="str">
        <f>"TRIGO Y CALABAZAS S/N.                                                          "</f>
        <v xml:space="preserve">TRIGO Y CALABAZAS S/N.                                                          </v>
      </c>
      <c r="F113" s="26" t="str">
        <f>"TENORIOS                                                                                                                                    "</f>
        <v xml:space="preserve">TENORIOS                                                                                                                                    </v>
      </c>
      <c r="G113" s="26" t="str">
        <f>"IZTAPALAPA                                                                      "</f>
        <v xml:space="preserve">IZTAPALAPA                                                                      </v>
      </c>
      <c r="H113" s="26" t="str">
        <f>"062"</f>
        <v>062</v>
      </c>
      <c r="I113" s="26" t="str">
        <f t="shared" si="14"/>
        <v>00</v>
      </c>
      <c r="J113" s="26" t="str">
        <f>"64 "</f>
        <v xml:space="preserve">64 </v>
      </c>
      <c r="K113" s="26" t="str">
        <f>"IZ"</f>
        <v>IZ</v>
      </c>
      <c r="L113" s="26" t="str">
        <f>"DGSEI"</f>
        <v>DGSEI</v>
      </c>
      <c r="M113" s="26" t="str">
        <f t="shared" si="15"/>
        <v>FEDERAL</v>
      </c>
      <c r="N113" s="26">
        <v>456</v>
      </c>
      <c r="O113" s="26">
        <v>228</v>
      </c>
      <c r="P113" s="26">
        <v>228</v>
      </c>
      <c r="Q113" s="26">
        <v>17</v>
      </c>
      <c r="R113" s="26">
        <v>1</v>
      </c>
      <c r="S113" s="26">
        <v>17</v>
      </c>
      <c r="T113" s="26">
        <v>6</v>
      </c>
      <c r="U113" s="26">
        <v>24</v>
      </c>
      <c r="V113" s="26">
        <v>1</v>
      </c>
      <c r="W113" s="26"/>
    </row>
    <row r="114" spans="1:23" x14ac:dyDescent="0.25">
      <c r="A114" s="26" t="str">
        <f t="shared" si="12"/>
        <v>PRIMARIA</v>
      </c>
      <c r="B114" s="26" t="str">
        <f>"09DPR0048H"</f>
        <v>09DPR0048H</v>
      </c>
      <c r="C114" s="26" t="str">
        <f>"MAESTRO RICARDO SALGADO CORRAL                                                                      "</f>
        <v xml:space="preserve">MAESTRO RICARDO SALGADO CORRAL                                                                      </v>
      </c>
      <c r="D114" s="26" t="str">
        <f>"TIEMPO COMPLETO"</f>
        <v>TIEMPO COMPLETO</v>
      </c>
      <c r="E114" s="26" t="str">
        <f>"1ER RETORNO DE CANDELARIA PEREZ S/N                                             "</f>
        <v xml:space="preserve">1ER RETORNO DE CANDELARIA PEREZ S/N                                             </v>
      </c>
      <c r="F114" s="26" t="str">
        <f>"UNIDAD HABITACIONAL CTM NUEVE                                                                                                               "</f>
        <v xml:space="preserve">UNIDAD HABITACIONAL CTM NUEVE                                                                                                               </v>
      </c>
      <c r="G114" s="26" t="str">
        <f>"COYOACAN                                                                        "</f>
        <v xml:space="preserve">COYOACAN                                                                        </v>
      </c>
      <c r="H114" s="26" t="str">
        <f>"443"</f>
        <v>443</v>
      </c>
      <c r="I114" s="26" t="str">
        <f t="shared" si="14"/>
        <v>00</v>
      </c>
      <c r="J114" s="26" t="str">
        <f>"44 "</f>
        <v xml:space="preserve">44 </v>
      </c>
      <c r="K114" s="26" t="str">
        <f>"PR"</f>
        <v>PR</v>
      </c>
      <c r="L114" s="26" t="str">
        <f>"DGOSE"</f>
        <v>DGOSE</v>
      </c>
      <c r="M114" s="26" t="str">
        <f t="shared" si="15"/>
        <v>FEDERAL</v>
      </c>
      <c r="N114" s="26">
        <v>563</v>
      </c>
      <c r="O114" s="26">
        <v>278</v>
      </c>
      <c r="P114" s="26">
        <v>285</v>
      </c>
      <c r="Q114" s="26">
        <v>18</v>
      </c>
      <c r="R114" s="26">
        <v>1</v>
      </c>
      <c r="S114" s="26">
        <v>17</v>
      </c>
      <c r="T114" s="26">
        <v>17</v>
      </c>
      <c r="U114" s="26">
        <v>35</v>
      </c>
      <c r="V114" s="26">
        <v>1</v>
      </c>
      <c r="W114" s="26" t="s">
        <v>218</v>
      </c>
    </row>
    <row r="115" spans="1:23" x14ac:dyDescent="0.25">
      <c r="A115" s="26" t="str">
        <f t="shared" si="12"/>
        <v>PRIMARIA</v>
      </c>
      <c r="B115" s="26" t="str">
        <f>"09DPR0049G"</f>
        <v>09DPR0049G</v>
      </c>
      <c r="C115" s="26" t="str">
        <f>"PROFR. CARLOS SANDOVAL SEVILLA                                                                      "</f>
        <v xml:space="preserve">PROFR. CARLOS SANDOVAL SEVILLA                                                                      </v>
      </c>
      <c r="D115" s="26" t="str">
        <f>"JORNADA AMPLIADA"</f>
        <v>JORNADA AMPLIADA</v>
      </c>
      <c r="E115" s="26" t="str">
        <f>"CTO. MIXTECO NO. 85 Y ESQ. SOTO MARINA                                          "</f>
        <v xml:space="preserve">CTO. MIXTECO NO. 85 Y ESQ. SOTO MARINA                                          </v>
      </c>
      <c r="F115" s="26" t="str">
        <f>"PASEOS DE CHURUBUSCO                                                                                                                        "</f>
        <v xml:space="preserve">PASEOS DE CHURUBUSCO                                                                                                                        </v>
      </c>
      <c r="G115" s="26" t="str">
        <f>"IZTAPALAPA                                                                      "</f>
        <v xml:space="preserve">IZTAPALAPA                                                                      </v>
      </c>
      <c r="H115" s="26" t="str">
        <f>"005"</f>
        <v>005</v>
      </c>
      <c r="I115" s="26" t="str">
        <f t="shared" si="14"/>
        <v>00</v>
      </c>
      <c r="J115" s="26" t="str">
        <f>"61 "</f>
        <v xml:space="preserve">61 </v>
      </c>
      <c r="K115" s="26" t="str">
        <f>"IZ"</f>
        <v>IZ</v>
      </c>
      <c r="L115" s="26" t="str">
        <f>"DGSEI"</f>
        <v>DGSEI</v>
      </c>
      <c r="M115" s="26" t="str">
        <f t="shared" si="15"/>
        <v>FEDERAL</v>
      </c>
      <c r="N115" s="26">
        <v>457</v>
      </c>
      <c r="O115" s="26">
        <v>220</v>
      </c>
      <c r="P115" s="26">
        <v>237</v>
      </c>
      <c r="Q115" s="26">
        <v>12</v>
      </c>
      <c r="R115" s="26">
        <v>1</v>
      </c>
      <c r="S115" s="26">
        <v>12</v>
      </c>
      <c r="T115" s="26">
        <v>10</v>
      </c>
      <c r="U115" s="26">
        <v>23</v>
      </c>
      <c r="V115" s="26">
        <v>1</v>
      </c>
      <c r="W115" s="26" t="s">
        <v>2076</v>
      </c>
    </row>
    <row r="116" spans="1:23" x14ac:dyDescent="0.25">
      <c r="A116" s="26" t="str">
        <f t="shared" si="12"/>
        <v>PRIMARIA</v>
      </c>
      <c r="B116" s="26" t="str">
        <f>"09DPR0050W"</f>
        <v>09DPR0050W</v>
      </c>
      <c r="C116" s="26" t="str">
        <f>"PROFR. LUIS G. RAMIREZ VALADEZ                                                                      "</f>
        <v xml:space="preserve">PROFR. LUIS G. RAMIREZ VALADEZ                                                                      </v>
      </c>
      <c r="D116" s="26" t="str">
        <f>"TIEMPO COMPLETO"</f>
        <v>TIEMPO COMPLETO</v>
      </c>
      <c r="E116" s="26" t="str">
        <f>"ARIEL NO. 39 ENTRE SATELITE Y CANAL                                             "</f>
        <v xml:space="preserve">ARIEL NO. 39 ENTRE SATELITE Y CANAL                                             </v>
      </c>
      <c r="F116" s="26" t="str">
        <f>"SIDERAL                                                                                                                                     "</f>
        <v xml:space="preserve">SIDERAL                                                                                                                                     </v>
      </c>
      <c r="G116" s="26" t="str">
        <f>"IZTAPALAPA                                                                      "</f>
        <v xml:space="preserve">IZTAPALAPA                                                                      </v>
      </c>
      <c r="H116" s="26" t="str">
        <f>"005"</f>
        <v>005</v>
      </c>
      <c r="I116" s="26" t="str">
        <f t="shared" si="14"/>
        <v>00</v>
      </c>
      <c r="J116" s="26" t="str">
        <f>"61 "</f>
        <v xml:space="preserve">61 </v>
      </c>
      <c r="K116" s="26" t="str">
        <f>"IZ"</f>
        <v>IZ</v>
      </c>
      <c r="L116" s="26" t="str">
        <f>"DGSEI"</f>
        <v>DGSEI</v>
      </c>
      <c r="M116" s="26" t="str">
        <f t="shared" si="15"/>
        <v>FEDERAL</v>
      </c>
      <c r="N116" s="26">
        <v>219</v>
      </c>
      <c r="O116" s="26">
        <v>113</v>
      </c>
      <c r="P116" s="26">
        <v>106</v>
      </c>
      <c r="Q116" s="26">
        <v>6</v>
      </c>
      <c r="R116" s="26">
        <v>1</v>
      </c>
      <c r="S116" s="26">
        <v>6</v>
      </c>
      <c r="T116" s="26">
        <v>8</v>
      </c>
      <c r="U116" s="26">
        <v>15</v>
      </c>
      <c r="V116" s="26">
        <v>1</v>
      </c>
      <c r="W116" s="26" t="s">
        <v>218</v>
      </c>
    </row>
    <row r="117" spans="1:23" x14ac:dyDescent="0.25">
      <c r="A117" s="26" t="str">
        <f t="shared" si="12"/>
        <v>PRIMARIA</v>
      </c>
      <c r="B117" s="26" t="str">
        <f>"09DPR0051V"</f>
        <v>09DPR0051V</v>
      </c>
      <c r="C117" s="26" t="str">
        <f>"GENARO GARCIA                                                                                       "</f>
        <v xml:space="preserve">GENARO GARCIA                                                                                       </v>
      </c>
      <c r="D117" s="26" t="str">
        <f>"MATUTINO"</f>
        <v>MATUTINO</v>
      </c>
      <c r="E117" s="26" t="str">
        <f>"CANDELABROS NO. 1                                                               "</f>
        <v xml:space="preserve">CANDELABROS NO. 1                                                               </v>
      </c>
      <c r="F117" s="26" t="str">
        <f>"SAN LORENZO TEZONCO                                                                                                                         "</f>
        <v xml:space="preserve">SAN LORENZO TEZONCO                                                                                                                         </v>
      </c>
      <c r="G117" s="26" t="str">
        <f>"IZTAPALAPA                                                                      "</f>
        <v xml:space="preserve">IZTAPALAPA                                                                      </v>
      </c>
      <c r="H117" s="26" t="str">
        <f>"048"</f>
        <v>048</v>
      </c>
      <c r="I117" s="26" t="str">
        <f t="shared" si="14"/>
        <v>00</v>
      </c>
      <c r="J117" s="26" t="str">
        <f>"63 "</f>
        <v xml:space="preserve">63 </v>
      </c>
      <c r="K117" s="26" t="str">
        <f>"IZ"</f>
        <v>IZ</v>
      </c>
      <c r="L117" s="26" t="str">
        <f>"DGSEI"</f>
        <v>DGSEI</v>
      </c>
      <c r="M117" s="26" t="str">
        <f t="shared" si="15"/>
        <v>FEDERAL</v>
      </c>
      <c r="N117" s="26">
        <v>649</v>
      </c>
      <c r="O117" s="26">
        <v>327</v>
      </c>
      <c r="P117" s="26">
        <v>322</v>
      </c>
      <c r="Q117" s="26">
        <v>15</v>
      </c>
      <c r="R117" s="26">
        <v>1</v>
      </c>
      <c r="S117" s="26">
        <v>15</v>
      </c>
      <c r="T117" s="26">
        <v>7</v>
      </c>
      <c r="U117" s="26">
        <v>23</v>
      </c>
      <c r="V117" s="26">
        <v>1</v>
      </c>
      <c r="W117" s="26"/>
    </row>
    <row r="118" spans="1:23" x14ac:dyDescent="0.25">
      <c r="A118" s="26" t="str">
        <f t="shared" si="12"/>
        <v>PRIMARIA</v>
      </c>
      <c r="B118" s="26" t="str">
        <f>"09DPR0052U"</f>
        <v>09DPR0052U</v>
      </c>
      <c r="C118" s="26" t="str">
        <f>"ROSA VILLANUEVA RAMOS                                                                               "</f>
        <v xml:space="preserve">ROSA VILLANUEVA RAMOS                                                                               </v>
      </c>
      <c r="D118" s="26" t="str">
        <f>"MATUTINO"</f>
        <v>MATUTINO</v>
      </c>
      <c r="E118" s="26" t="str">
        <f>"BARRANCA SECA S/N                                                               "</f>
        <v xml:space="preserve">BARRANCA SECA S/N                                                               </v>
      </c>
      <c r="F118" s="26" t="str">
        <f>"SAN ANTONIO TECOMITL                                                                                                                        "</f>
        <v xml:space="preserve">SAN ANTONIO TECOMITL                                                                                                                        </v>
      </c>
      <c r="G118" s="26" t="str">
        <f>"MILPA ALTA                                                                      "</f>
        <v xml:space="preserve">MILPA ALTA                                                                      </v>
      </c>
      <c r="H118" s="26" t="str">
        <f>"561"</f>
        <v>561</v>
      </c>
      <c r="I118" s="26" t="str">
        <f t="shared" si="14"/>
        <v>00</v>
      </c>
      <c r="J118" s="26" t="str">
        <f>"45 "</f>
        <v xml:space="preserve">45 </v>
      </c>
      <c r="K118" s="26" t="str">
        <f>"PR"</f>
        <v>PR</v>
      </c>
      <c r="L118" s="26" t="str">
        <f>"DGOSE"</f>
        <v>DGOSE</v>
      </c>
      <c r="M118" s="26" t="str">
        <f t="shared" si="15"/>
        <v>FEDERAL</v>
      </c>
      <c r="N118" s="26">
        <v>722</v>
      </c>
      <c r="O118" s="26">
        <v>384</v>
      </c>
      <c r="P118" s="26">
        <v>338</v>
      </c>
      <c r="Q118" s="26">
        <v>20</v>
      </c>
      <c r="R118" s="26">
        <v>1</v>
      </c>
      <c r="S118" s="26">
        <v>20</v>
      </c>
      <c r="T118" s="26">
        <v>7</v>
      </c>
      <c r="U118" s="26">
        <v>28</v>
      </c>
      <c r="V118" s="26">
        <v>1</v>
      </c>
      <c r="W118" s="26"/>
    </row>
    <row r="119" spans="1:23" x14ac:dyDescent="0.25">
      <c r="A119" s="26" t="str">
        <f t="shared" si="12"/>
        <v>PRIMARIA</v>
      </c>
      <c r="B119" s="26" t="str">
        <f>"09DPR0053T"</f>
        <v>09DPR0053T</v>
      </c>
      <c r="C119" s="26" t="str">
        <f>"PROFR. ENRIQUE GONZALEZ APARICIO                                                                    "</f>
        <v xml:space="preserve">PROFR. ENRIQUE GONZALEZ APARICIO                                                                    </v>
      </c>
      <c r="D119" s="26" t="str">
        <f>"MATUTINO"</f>
        <v>MATUTINO</v>
      </c>
      <c r="E119" s="26" t="str">
        <f>"AV. DE LAS TORRES NO. 1                                                         "</f>
        <v xml:space="preserve">AV. DE LAS TORRES NO. 1                                                         </v>
      </c>
      <c r="F119" s="26" t="str">
        <f>"SAN MIGUEL TEOTONGO                                                                                                                         "</f>
        <v xml:space="preserve">SAN MIGUEL TEOTONGO                                                                                                                         </v>
      </c>
      <c r="G119" s="26" t="str">
        <f>"IZTAPALAPA                                                                      "</f>
        <v xml:space="preserve">IZTAPALAPA                                                                      </v>
      </c>
      <c r="H119" s="26" t="str">
        <f>"066"</f>
        <v>066</v>
      </c>
      <c r="I119" s="26" t="str">
        <f t="shared" si="14"/>
        <v>00</v>
      </c>
      <c r="J119" s="26" t="str">
        <f>"64 "</f>
        <v xml:space="preserve">64 </v>
      </c>
      <c r="K119" s="26" t="str">
        <f>"IZ"</f>
        <v>IZ</v>
      </c>
      <c r="L119" s="26" t="str">
        <f>"DGSEI"</f>
        <v>DGSEI</v>
      </c>
      <c r="M119" s="26" t="str">
        <f t="shared" si="15"/>
        <v>FEDERAL</v>
      </c>
      <c r="N119" s="26">
        <v>429</v>
      </c>
      <c r="O119" s="26">
        <v>214</v>
      </c>
      <c r="P119" s="26">
        <v>215</v>
      </c>
      <c r="Q119" s="26">
        <v>12</v>
      </c>
      <c r="R119" s="26">
        <v>1</v>
      </c>
      <c r="S119" s="26">
        <v>12</v>
      </c>
      <c r="T119" s="26">
        <v>6</v>
      </c>
      <c r="U119" s="26">
        <v>19</v>
      </c>
      <c r="V119" s="26">
        <v>1</v>
      </c>
      <c r="W119" s="26"/>
    </row>
    <row r="120" spans="1:23" x14ac:dyDescent="0.25">
      <c r="A120" s="26" t="str">
        <f t="shared" si="12"/>
        <v>PRIMARIA</v>
      </c>
      <c r="B120" s="26" t="str">
        <f>"09DPR0054S"</f>
        <v>09DPR0054S</v>
      </c>
      <c r="C120" s="26" t="str">
        <f>"PROFR. MARCELINO RENTERIA                                                                           "</f>
        <v xml:space="preserve">PROFR. MARCELINO RENTERIA                                                                           </v>
      </c>
      <c r="D120" s="26" t="str">
        <f>"MATUTINO"</f>
        <v>MATUTINO</v>
      </c>
      <c r="E120" s="26" t="str">
        <f>"SOL NO. 2 ESQ. LOPEZ PORTILLO                                                   "</f>
        <v xml:space="preserve">SOL NO. 2 ESQ. LOPEZ PORTILLO                                                   </v>
      </c>
      <c r="F120" s="26" t="str">
        <f>"CONSEJO AGRARISTA MEXICANO                                                                                                                  "</f>
        <v xml:space="preserve">CONSEJO AGRARISTA MEXICANO                                                                                                                  </v>
      </c>
      <c r="G120" s="26" t="str">
        <f>"IZTAPALAPA                                                                      "</f>
        <v xml:space="preserve">IZTAPALAPA                                                                      </v>
      </c>
      <c r="H120" s="26" t="str">
        <f>"056"</f>
        <v>056</v>
      </c>
      <c r="I120" s="26" t="str">
        <f t="shared" si="14"/>
        <v>00</v>
      </c>
      <c r="J120" s="26" t="str">
        <f>"64 "</f>
        <v xml:space="preserve">64 </v>
      </c>
      <c r="K120" s="26" t="str">
        <f>"IZ"</f>
        <v>IZ</v>
      </c>
      <c r="L120" s="26" t="str">
        <f>"DGSEI"</f>
        <v>DGSEI</v>
      </c>
      <c r="M120" s="26" t="str">
        <f t="shared" si="15"/>
        <v>FEDERAL</v>
      </c>
      <c r="N120" s="26">
        <v>697</v>
      </c>
      <c r="O120" s="26">
        <v>337</v>
      </c>
      <c r="P120" s="26">
        <v>360</v>
      </c>
      <c r="Q120" s="26">
        <v>18</v>
      </c>
      <c r="R120" s="26">
        <v>1</v>
      </c>
      <c r="S120" s="26">
        <v>17</v>
      </c>
      <c r="T120" s="26">
        <v>9</v>
      </c>
      <c r="U120" s="26">
        <v>27</v>
      </c>
      <c r="V120" s="26">
        <v>1</v>
      </c>
      <c r="W120" s="26"/>
    </row>
    <row r="121" spans="1:23" x14ac:dyDescent="0.25">
      <c r="A121" s="26" t="str">
        <f t="shared" si="12"/>
        <v>PRIMARIA</v>
      </c>
      <c r="B121" s="26" t="str">
        <f>"09DPR0056Q"</f>
        <v>09DPR0056Q</v>
      </c>
      <c r="C121" s="26" t="str">
        <f>"JESUS NARVAEZ GALDEANO                                                                              "</f>
        <v xml:space="preserve">JESUS NARVAEZ GALDEANO                                                                              </v>
      </c>
      <c r="D121" s="26" t="str">
        <f>"MATUTINO"</f>
        <v>MATUTINO</v>
      </c>
      <c r="E121" s="26" t="str">
        <f>"GREGORIO SOSA NO. 19                                                            "</f>
        <v xml:space="preserve">GREGORIO SOSA NO. 19                                                            </v>
      </c>
      <c r="F121" s="26" t="str">
        <f>"CONSEJO AGRARISTA MEXICANO                                                                                                                  "</f>
        <v xml:space="preserve">CONSEJO AGRARISTA MEXICANO                                                                                                                  </v>
      </c>
      <c r="G121" s="26" t="str">
        <f>"IZTAPALAPA                                                                      "</f>
        <v xml:space="preserve">IZTAPALAPA                                                                      </v>
      </c>
      <c r="H121" s="26" t="str">
        <f>"057"</f>
        <v>057</v>
      </c>
      <c r="I121" s="26" t="str">
        <f t="shared" si="14"/>
        <v>00</v>
      </c>
      <c r="J121" s="26" t="str">
        <f>"64 "</f>
        <v xml:space="preserve">64 </v>
      </c>
      <c r="K121" s="26" t="str">
        <f>"IZ"</f>
        <v>IZ</v>
      </c>
      <c r="L121" s="26" t="str">
        <f>"DGSEI"</f>
        <v>DGSEI</v>
      </c>
      <c r="M121" s="26" t="str">
        <f t="shared" si="15"/>
        <v>FEDERAL</v>
      </c>
      <c r="N121" s="26">
        <v>661</v>
      </c>
      <c r="O121" s="26">
        <v>309</v>
      </c>
      <c r="P121" s="26">
        <v>352</v>
      </c>
      <c r="Q121" s="26">
        <v>18</v>
      </c>
      <c r="R121" s="26">
        <v>1</v>
      </c>
      <c r="S121" s="26">
        <v>18</v>
      </c>
      <c r="T121" s="26">
        <v>7</v>
      </c>
      <c r="U121" s="26">
        <v>26</v>
      </c>
      <c r="V121" s="26">
        <v>1</v>
      </c>
      <c r="W121" s="26"/>
    </row>
    <row r="122" spans="1:23" x14ac:dyDescent="0.25">
      <c r="A122" s="26" t="str">
        <f t="shared" si="12"/>
        <v>PRIMARIA</v>
      </c>
      <c r="B122" s="26" t="str">
        <f>"09DPR0057P"</f>
        <v>09DPR0057P</v>
      </c>
      <c r="C122" s="26" t="str">
        <f>"MARIANO ESCOBEDO                                                                                    "</f>
        <v xml:space="preserve">MARIANO ESCOBEDO                                                                                    </v>
      </c>
      <c r="D122" s="26" t="str">
        <f>"VESPERTINO"</f>
        <v>VESPERTINO</v>
      </c>
      <c r="E122" s="26" t="str">
        <f>"AV DEL ROSAL S/N                                                                "</f>
        <v xml:space="preserve">AV DEL ROSAL S/N                                                                </v>
      </c>
      <c r="F122" s="26" t="str">
        <f>"TEPEACA                                                                                                                                     "</f>
        <v xml:space="preserve">TEPEACA                                                                                                                                     </v>
      </c>
      <c r="G122" s="26" t="str">
        <f>"ALVARO OBREGON                                                                  "</f>
        <v xml:space="preserve">ALVARO OBREGON                                                                  </v>
      </c>
      <c r="H122" s="26" t="str">
        <f>"324"</f>
        <v>324</v>
      </c>
      <c r="I122" s="26" t="str">
        <f t="shared" si="14"/>
        <v>00</v>
      </c>
      <c r="J122" s="26" t="str">
        <f>"43 "</f>
        <v xml:space="preserve">43 </v>
      </c>
      <c r="K122" s="26" t="str">
        <f>"PR"</f>
        <v>PR</v>
      </c>
      <c r="L122" s="26" t="str">
        <f>"DGOSE"</f>
        <v>DGOSE</v>
      </c>
      <c r="M122" s="26" t="str">
        <f t="shared" si="15"/>
        <v>FEDERAL</v>
      </c>
      <c r="N122" s="26">
        <v>332</v>
      </c>
      <c r="O122" s="26">
        <v>164</v>
      </c>
      <c r="P122" s="26">
        <v>168</v>
      </c>
      <c r="Q122" s="26">
        <v>10</v>
      </c>
      <c r="R122" s="26">
        <v>1</v>
      </c>
      <c r="S122" s="26">
        <v>9</v>
      </c>
      <c r="T122" s="26">
        <v>5</v>
      </c>
      <c r="U122" s="26">
        <v>15</v>
      </c>
      <c r="V122" s="26">
        <v>1</v>
      </c>
      <c r="W122" s="26"/>
    </row>
    <row r="123" spans="1:23" x14ac:dyDescent="0.25">
      <c r="A123" s="26" t="str">
        <f t="shared" si="12"/>
        <v>PRIMARIA</v>
      </c>
      <c r="B123" s="26" t="str">
        <f>"09DPR0059N"</f>
        <v>09DPR0059N</v>
      </c>
      <c r="C123" s="26" t="str">
        <f>"DOMINGO MARTINEZ PAREDEZ                                                                            "</f>
        <v xml:space="preserve">DOMINGO MARTINEZ PAREDEZ                                                                            </v>
      </c>
      <c r="D123" s="26" t="str">
        <f>"MATUTINO"</f>
        <v>MATUTINO</v>
      </c>
      <c r="E123" s="26" t="str">
        <f>"YOBAIN Y HOLPECHEN S/N                                                          "</f>
        <v xml:space="preserve">YOBAIN Y HOLPECHEN S/N                                                          </v>
      </c>
      <c r="F123" s="26" t="str">
        <f>"CULTURA MAYA                                                                                                                                "</f>
        <v xml:space="preserve">CULTURA MAYA                                                                                                                                </v>
      </c>
      <c r="G123" s="26" t="str">
        <f>"TLALPAN                                                                         "</f>
        <v xml:space="preserve">TLALPAN                                                                         </v>
      </c>
      <c r="H123" s="26" t="str">
        <f>"516"</f>
        <v>516</v>
      </c>
      <c r="I123" s="26" t="str">
        <f t="shared" si="14"/>
        <v>00</v>
      </c>
      <c r="J123" s="26" t="str">
        <f>"45 "</f>
        <v xml:space="preserve">45 </v>
      </c>
      <c r="K123" s="26" t="str">
        <f>"PR"</f>
        <v>PR</v>
      </c>
      <c r="L123" s="26" t="str">
        <f>"DGOSE"</f>
        <v>DGOSE</v>
      </c>
      <c r="M123" s="26" t="str">
        <f t="shared" si="15"/>
        <v>FEDERAL</v>
      </c>
      <c r="N123" s="26">
        <v>462</v>
      </c>
      <c r="O123" s="26">
        <v>239</v>
      </c>
      <c r="P123" s="26">
        <v>223</v>
      </c>
      <c r="Q123" s="26">
        <v>12</v>
      </c>
      <c r="R123" s="26">
        <v>1</v>
      </c>
      <c r="S123" s="26">
        <v>11</v>
      </c>
      <c r="T123" s="26">
        <v>7</v>
      </c>
      <c r="U123" s="26">
        <v>19</v>
      </c>
      <c r="V123" s="26">
        <v>1</v>
      </c>
      <c r="W123" s="26"/>
    </row>
    <row r="124" spans="1:23" x14ac:dyDescent="0.25">
      <c r="A124" s="26" t="str">
        <f t="shared" si="12"/>
        <v>PRIMARIA</v>
      </c>
      <c r="B124" s="26" t="str">
        <f>"09DPR0100N"</f>
        <v>09DPR0100N</v>
      </c>
      <c r="C124" s="26" t="str">
        <f>"TLAMATINI                                                                                           "</f>
        <v xml:space="preserve">TLAMATINI                                                                                           </v>
      </c>
      <c r="D124" s="26" t="str">
        <f>"JORNADA AMPLIADA"</f>
        <v>JORNADA AMPLIADA</v>
      </c>
      <c r="E124" s="26" t="str">
        <f>"AV MEXICO 68                                                                    "</f>
        <v xml:space="preserve">AV MEXICO 68                                                                    </v>
      </c>
      <c r="F124" s="26" t="str">
        <f>"PEDREGAL DE CARRASCO                                                                                                                        "</f>
        <v xml:space="preserve">PEDREGAL DE CARRASCO                                                                                                                        </v>
      </c>
      <c r="G124" s="26" t="str">
        <f>"COYOACAN                                                                        "</f>
        <v xml:space="preserve">COYOACAN                                                                        </v>
      </c>
      <c r="H124" s="26" t="str">
        <f>"438"</f>
        <v>438</v>
      </c>
      <c r="I124" s="26" t="str">
        <f t="shared" si="14"/>
        <v>00</v>
      </c>
      <c r="J124" s="26" t="str">
        <f>"44 "</f>
        <v xml:space="preserve">44 </v>
      </c>
      <c r="K124" s="26" t="str">
        <f>"PR"</f>
        <v>PR</v>
      </c>
      <c r="L124" s="26" t="str">
        <f>"DGOSE"</f>
        <v>DGOSE</v>
      </c>
      <c r="M124" s="26" t="str">
        <f t="shared" si="15"/>
        <v>FEDERAL</v>
      </c>
      <c r="N124" s="26">
        <v>614</v>
      </c>
      <c r="O124" s="26">
        <v>287</v>
      </c>
      <c r="P124" s="26">
        <v>327</v>
      </c>
      <c r="Q124" s="26">
        <v>18</v>
      </c>
      <c r="R124" s="26">
        <v>1</v>
      </c>
      <c r="S124" s="26">
        <v>18</v>
      </c>
      <c r="T124" s="26">
        <v>11</v>
      </c>
      <c r="U124" s="26">
        <v>30</v>
      </c>
      <c r="V124" s="26">
        <v>1</v>
      </c>
      <c r="W124" s="26" t="s">
        <v>2076</v>
      </c>
    </row>
    <row r="125" spans="1:23" x14ac:dyDescent="0.25">
      <c r="A125" s="26" t="str">
        <f t="shared" si="12"/>
        <v>PRIMARIA</v>
      </c>
      <c r="B125" s="26" t="str">
        <f>"09DPR0101M"</f>
        <v>09DPR0101M</v>
      </c>
      <c r="C125" s="26" t="str">
        <f>"PROFR. FRANCISCO JAVIER LILLY HUERTA                                                                "</f>
        <v xml:space="preserve">PROFR. FRANCISCO JAVIER LILLY HUERTA                                                                </v>
      </c>
      <c r="D125" s="26" t="str">
        <f>"MATUTINO"</f>
        <v>MATUTINO</v>
      </c>
      <c r="E125" s="26" t="str">
        <f>"AND DOLORES MANUELA MEDINA Y DOLORES GRO                                        "</f>
        <v xml:space="preserve">AND DOLORES MANUELA MEDINA Y DOLORES GRO                                        </v>
      </c>
      <c r="F125" s="26" t="str">
        <f>"UNIDAD HABITACIONAL SAN FRANCISCO C                                                                                                         "</f>
        <v xml:space="preserve">UNIDAD HABITACIONAL SAN FRANCISCO C                                                                                                         </v>
      </c>
      <c r="G125" s="26" t="str">
        <f>"COYOACAN                                                                        "</f>
        <v xml:space="preserve">COYOACAN                                                                        </v>
      </c>
      <c r="H125" s="26" t="str">
        <f>"510"</f>
        <v>510</v>
      </c>
      <c r="I125" s="26" t="str">
        <f t="shared" si="14"/>
        <v>00</v>
      </c>
      <c r="J125" s="26" t="str">
        <f>"45 "</f>
        <v xml:space="preserve">45 </v>
      </c>
      <c r="K125" s="26" t="str">
        <f>"PR"</f>
        <v>PR</v>
      </c>
      <c r="L125" s="26" t="str">
        <f>"DGOSE"</f>
        <v>DGOSE</v>
      </c>
      <c r="M125" s="26" t="str">
        <f t="shared" si="15"/>
        <v>FEDERAL</v>
      </c>
      <c r="N125" s="26">
        <v>415</v>
      </c>
      <c r="O125" s="26">
        <v>219</v>
      </c>
      <c r="P125" s="26">
        <v>196</v>
      </c>
      <c r="Q125" s="26">
        <v>17</v>
      </c>
      <c r="R125" s="26">
        <v>1</v>
      </c>
      <c r="S125" s="26">
        <v>17</v>
      </c>
      <c r="T125" s="26">
        <v>7</v>
      </c>
      <c r="U125" s="26">
        <v>25</v>
      </c>
      <c r="V125" s="26">
        <v>1</v>
      </c>
      <c r="W125" s="26"/>
    </row>
    <row r="126" spans="1:23" x14ac:dyDescent="0.25">
      <c r="A126" s="26" t="str">
        <f t="shared" si="12"/>
        <v>PRIMARIA</v>
      </c>
      <c r="B126" s="26" t="str">
        <f>"09DPR0102L"</f>
        <v>09DPR0102L</v>
      </c>
      <c r="C126" s="26" t="str">
        <f>"EFRAIN HUERTA                                                                                       "</f>
        <v xml:space="preserve">EFRAIN HUERTA                                                                                       </v>
      </c>
      <c r="D126" s="26" t="str">
        <f>"MATUTINO"</f>
        <v>MATUTINO</v>
      </c>
      <c r="E126" s="26" t="str">
        <f>"AV. CUAUHTEMOC NO. 191                                                          "</f>
        <v xml:space="preserve">AV. CUAUHTEMOC NO. 191                                                          </v>
      </c>
      <c r="F126" s="26" t="str">
        <f>"EL MOLINO TEZONCO                                                                                                                           "</f>
        <v xml:space="preserve">EL MOLINO TEZONCO                                                                                                                           </v>
      </c>
      <c r="G126" s="26" t="str">
        <f>"IZTAPALAPA                                                                      "</f>
        <v xml:space="preserve">IZTAPALAPA                                                                      </v>
      </c>
      <c r="H126" s="26" t="str">
        <f>"050"</f>
        <v>050</v>
      </c>
      <c r="I126" s="26" t="str">
        <f t="shared" si="14"/>
        <v>00</v>
      </c>
      <c r="J126" s="26" t="str">
        <f>"63 "</f>
        <v xml:space="preserve">63 </v>
      </c>
      <c r="K126" s="26" t="str">
        <f>"IZ"</f>
        <v>IZ</v>
      </c>
      <c r="L126" s="26" t="str">
        <f>"DGSEI"</f>
        <v>DGSEI</v>
      </c>
      <c r="M126" s="26" t="str">
        <f t="shared" si="15"/>
        <v>FEDERAL</v>
      </c>
      <c r="N126" s="26">
        <v>651</v>
      </c>
      <c r="O126" s="26">
        <v>335</v>
      </c>
      <c r="P126" s="26">
        <v>316</v>
      </c>
      <c r="Q126" s="26">
        <v>39</v>
      </c>
      <c r="R126" s="26">
        <v>2</v>
      </c>
      <c r="S126" s="26">
        <v>39</v>
      </c>
      <c r="T126" s="26">
        <v>15</v>
      </c>
      <c r="U126" s="26">
        <v>56</v>
      </c>
      <c r="V126" s="26">
        <v>1</v>
      </c>
      <c r="W126" s="26"/>
    </row>
    <row r="127" spans="1:23" x14ac:dyDescent="0.25">
      <c r="A127" s="26" t="str">
        <f t="shared" si="12"/>
        <v>PRIMARIA</v>
      </c>
      <c r="B127" s="26" t="str">
        <f>"09DPR0103K"</f>
        <v>09DPR0103K</v>
      </c>
      <c r="C127" s="26" t="str">
        <f>"PROFR. ANTONIO CEDEÑO                                                                               "</f>
        <v xml:space="preserve">PROFR. ANTONIO CEDEÑO                                                                               </v>
      </c>
      <c r="D127" s="26" t="str">
        <f>"MATUTINO"</f>
        <v>MATUTINO</v>
      </c>
      <c r="E127" s="26" t="str">
        <f>"CANAL DE SUEZ NO. 83                                                            "</f>
        <v xml:space="preserve">CANAL DE SUEZ NO. 83                                                            </v>
      </c>
      <c r="F127" s="26" t="str">
        <f>"CARLOS HANK GONZALEZ                                                                                                                        "</f>
        <v xml:space="preserve">CARLOS HANK GONZALEZ                                                                                                                        </v>
      </c>
      <c r="G127" s="26" t="str">
        <f>"IZTAPALAPA                                                                      "</f>
        <v xml:space="preserve">IZTAPALAPA                                                                      </v>
      </c>
      <c r="H127" s="26" t="str">
        <f>"055"</f>
        <v>055</v>
      </c>
      <c r="I127" s="26" t="str">
        <f t="shared" si="14"/>
        <v>00</v>
      </c>
      <c r="J127" s="26" t="str">
        <f>"64 "</f>
        <v xml:space="preserve">64 </v>
      </c>
      <c r="K127" s="26" t="str">
        <f>"IZ"</f>
        <v>IZ</v>
      </c>
      <c r="L127" s="26" t="str">
        <f>"DGSEI"</f>
        <v>DGSEI</v>
      </c>
      <c r="M127" s="26" t="str">
        <f t="shared" si="15"/>
        <v>FEDERAL</v>
      </c>
      <c r="N127" s="26">
        <v>579</v>
      </c>
      <c r="O127" s="26">
        <v>294</v>
      </c>
      <c r="P127" s="26">
        <v>285</v>
      </c>
      <c r="Q127" s="26">
        <v>15</v>
      </c>
      <c r="R127" s="26">
        <v>1</v>
      </c>
      <c r="S127" s="26">
        <v>15</v>
      </c>
      <c r="T127" s="26">
        <v>8</v>
      </c>
      <c r="U127" s="26">
        <v>24</v>
      </c>
      <c r="V127" s="26">
        <v>1</v>
      </c>
      <c r="W127" s="26"/>
    </row>
    <row r="128" spans="1:23" x14ac:dyDescent="0.25">
      <c r="A128" s="26" t="str">
        <f t="shared" si="12"/>
        <v>PRIMARIA</v>
      </c>
      <c r="B128" s="26" t="str">
        <f>"09DPR0105I"</f>
        <v>09DPR0105I</v>
      </c>
      <c r="C128" s="26" t="str">
        <f>"PROFR. BRUNO MARTINEZ                                                                               "</f>
        <v xml:space="preserve">PROFR. BRUNO MARTINEZ                                                                               </v>
      </c>
      <c r="D128" s="26" t="str">
        <f>"MATUTINO"</f>
        <v>MATUTINO</v>
      </c>
      <c r="E128" s="26" t="str">
        <f>"TRIGO Y CALABAZAS S/N.                                                          "</f>
        <v xml:space="preserve">TRIGO Y CALABAZAS S/N.                                                          </v>
      </c>
      <c r="F128" s="26" t="str">
        <f>"TENORIOS                                                                                                                                    "</f>
        <v xml:space="preserve">TENORIOS                                                                                                                                    </v>
      </c>
      <c r="G128" s="26" t="str">
        <f>"IZTAPALAPA                                                                      "</f>
        <v xml:space="preserve">IZTAPALAPA                                                                      </v>
      </c>
      <c r="H128" s="26" t="str">
        <f>"062"</f>
        <v>062</v>
      </c>
      <c r="I128" s="26" t="str">
        <f t="shared" si="14"/>
        <v>00</v>
      </c>
      <c r="J128" s="26" t="str">
        <f>"64 "</f>
        <v xml:space="preserve">64 </v>
      </c>
      <c r="K128" s="26" t="str">
        <f>"IZ"</f>
        <v>IZ</v>
      </c>
      <c r="L128" s="26" t="str">
        <f>"DGSEI"</f>
        <v>DGSEI</v>
      </c>
      <c r="M128" s="26" t="str">
        <f t="shared" si="15"/>
        <v>FEDERAL</v>
      </c>
      <c r="N128" s="26">
        <v>600</v>
      </c>
      <c r="O128" s="26">
        <v>296</v>
      </c>
      <c r="P128" s="26">
        <v>304</v>
      </c>
      <c r="Q128" s="26">
        <v>17</v>
      </c>
      <c r="R128" s="26">
        <v>1</v>
      </c>
      <c r="S128" s="26">
        <v>17</v>
      </c>
      <c r="T128" s="26">
        <v>8</v>
      </c>
      <c r="U128" s="26">
        <v>26</v>
      </c>
      <c r="V128" s="26">
        <v>1</v>
      </c>
      <c r="W128" s="26"/>
    </row>
    <row r="129" spans="1:23" x14ac:dyDescent="0.25">
      <c r="A129" s="26" t="str">
        <f t="shared" si="12"/>
        <v>PRIMARIA</v>
      </c>
      <c r="B129" s="26" t="str">
        <f>"09DPR0107G"</f>
        <v>09DPR0107G</v>
      </c>
      <c r="C129" s="26" t="str">
        <f>"PROFR. MANUEL ALCALA MARTIN                                                                         "</f>
        <v xml:space="preserve">PROFR. MANUEL ALCALA MARTIN                                                                         </v>
      </c>
      <c r="D129" s="26" t="str">
        <f>"MATUTINO"</f>
        <v>MATUTINO</v>
      </c>
      <c r="E129" s="26" t="str">
        <f>"FELIPE MONTERO NO. 3                                                            "</f>
        <v xml:space="preserve">FELIPE MONTERO NO. 3                                                            </v>
      </c>
      <c r="F129" s="26" t="str">
        <f>"PARAJE SAN JUAN                                                                                                                             "</f>
        <v xml:space="preserve">PARAJE SAN JUAN                                                                                                                             </v>
      </c>
      <c r="G129" s="26" t="str">
        <f>"IZTAPALAPA                                                                      "</f>
        <v xml:space="preserve">IZTAPALAPA                                                                      </v>
      </c>
      <c r="H129" s="26" t="str">
        <f>"046"</f>
        <v>046</v>
      </c>
      <c r="I129" s="26" t="str">
        <f t="shared" si="14"/>
        <v>00</v>
      </c>
      <c r="J129" s="26" t="str">
        <f>"63 "</f>
        <v xml:space="preserve">63 </v>
      </c>
      <c r="K129" s="26" t="str">
        <f>"IZ"</f>
        <v>IZ</v>
      </c>
      <c r="L129" s="26" t="str">
        <f>"DGSEI"</f>
        <v>DGSEI</v>
      </c>
      <c r="M129" s="26" t="str">
        <f t="shared" si="15"/>
        <v>FEDERAL</v>
      </c>
      <c r="N129" s="26">
        <v>367</v>
      </c>
      <c r="O129" s="26">
        <v>195</v>
      </c>
      <c r="P129" s="26">
        <v>172</v>
      </c>
      <c r="Q129" s="26">
        <v>12</v>
      </c>
      <c r="R129" s="26">
        <v>1</v>
      </c>
      <c r="S129" s="26">
        <v>12</v>
      </c>
      <c r="T129" s="26">
        <v>9</v>
      </c>
      <c r="U129" s="26">
        <v>22</v>
      </c>
      <c r="V129" s="26">
        <v>1</v>
      </c>
      <c r="W129" s="26"/>
    </row>
    <row r="130" spans="1:23" x14ac:dyDescent="0.25">
      <c r="A130" s="26" t="str">
        <f t="shared" ref="A130:A193" si="22">"PRIMARIA"</f>
        <v>PRIMARIA</v>
      </c>
      <c r="B130" s="26" t="str">
        <f>"09DPR0108F"</f>
        <v>09DPR0108F</v>
      </c>
      <c r="C130" s="26" t="str">
        <f>"PROFR. MANUEL AGUILAR SAENZ                                                                         "</f>
        <v xml:space="preserve">PROFR. MANUEL AGUILAR SAENZ                                                                         </v>
      </c>
      <c r="D130" s="26" t="str">
        <f>"TIEMPO COMPLETO"</f>
        <v>TIEMPO COMPLETO</v>
      </c>
      <c r="E130" s="26" t="str">
        <f>"2DA. CDA. DE JOSE M. FLORES NO. 50                                              "</f>
        <v xml:space="preserve">2DA. CDA. DE JOSE M. FLORES NO. 50                                              </v>
      </c>
      <c r="F130" s="26" t="str">
        <f>"UNIDAD HABITACIONAL VICENTE GUERRER                                                                                                         "</f>
        <v xml:space="preserve">UNIDAD HABITACIONAL VICENTE GUERRER                                                                                                         </v>
      </c>
      <c r="G130" s="26" t="str">
        <f>"IZTAPALAPA                                                                      "</f>
        <v xml:space="preserve">IZTAPALAPA                                                                      </v>
      </c>
      <c r="H130" s="26" t="str">
        <f>"010"</f>
        <v>010</v>
      </c>
      <c r="I130" s="26" t="str">
        <f t="shared" ref="I130:I193" si="23">"00"</f>
        <v>00</v>
      </c>
      <c r="J130" s="26" t="str">
        <f>"61 "</f>
        <v xml:space="preserve">61 </v>
      </c>
      <c r="K130" s="26" t="str">
        <f>"IZ"</f>
        <v>IZ</v>
      </c>
      <c r="L130" s="26" t="str">
        <f>"DGSEI"</f>
        <v>DGSEI</v>
      </c>
      <c r="M130" s="26" t="str">
        <f t="shared" ref="M130:M193" si="24">"FEDERAL"</f>
        <v>FEDERAL</v>
      </c>
      <c r="N130" s="26">
        <v>401</v>
      </c>
      <c r="O130" s="26">
        <v>220</v>
      </c>
      <c r="P130" s="26">
        <v>181</v>
      </c>
      <c r="Q130" s="26">
        <v>12</v>
      </c>
      <c r="R130" s="26">
        <v>1</v>
      </c>
      <c r="S130" s="26">
        <v>12</v>
      </c>
      <c r="T130" s="26">
        <v>10</v>
      </c>
      <c r="U130" s="26">
        <v>23</v>
      </c>
      <c r="V130" s="26">
        <v>1</v>
      </c>
      <c r="W130" s="26" t="s">
        <v>218</v>
      </c>
    </row>
    <row r="131" spans="1:23" x14ac:dyDescent="0.25">
      <c r="A131" s="26" t="str">
        <f t="shared" si="22"/>
        <v>PRIMARIA</v>
      </c>
      <c r="B131" s="26" t="str">
        <f>"09DPR0109E"</f>
        <v>09DPR0109E</v>
      </c>
      <c r="C131" s="26" t="str">
        <f>"PROFR. MANUEL RAFAEL GUTIERREZ                                                                      "</f>
        <v xml:space="preserve">PROFR. MANUEL RAFAEL GUTIERREZ                                                                      </v>
      </c>
      <c r="D131" s="26" t="str">
        <f>"MATUTINO"</f>
        <v>MATUTINO</v>
      </c>
      <c r="E131" s="26" t="str">
        <f>"MAR DE LAS CRISIS Y MONTES APENINOS                                             "</f>
        <v xml:space="preserve">MAR DE LAS CRISIS Y MONTES APENINOS                                             </v>
      </c>
      <c r="F131" s="26" t="str">
        <f>"SELENE                                                                                                                                      "</f>
        <v xml:space="preserve">SELENE                                                                                                                                      </v>
      </c>
      <c r="G131" s="26" t="str">
        <f>"TLAHUAC                                                                         "</f>
        <v xml:space="preserve">TLAHUAC                                                                         </v>
      </c>
      <c r="H131" s="26" t="str">
        <f>"555"</f>
        <v>555</v>
      </c>
      <c r="I131" s="26" t="str">
        <f t="shared" si="23"/>
        <v>00</v>
      </c>
      <c r="J131" s="26" t="str">
        <f>"45 "</f>
        <v xml:space="preserve">45 </v>
      </c>
      <c r="K131" s="26" t="str">
        <f>"PR"</f>
        <v>PR</v>
      </c>
      <c r="L131" s="26" t="str">
        <f>"DGOSE"</f>
        <v>DGOSE</v>
      </c>
      <c r="M131" s="26" t="str">
        <f t="shared" si="24"/>
        <v>FEDERAL</v>
      </c>
      <c r="N131" s="26">
        <v>527</v>
      </c>
      <c r="O131" s="26">
        <v>260</v>
      </c>
      <c r="P131" s="26">
        <v>267</v>
      </c>
      <c r="Q131" s="26">
        <v>15</v>
      </c>
      <c r="R131" s="26">
        <v>1</v>
      </c>
      <c r="S131" s="26">
        <v>15</v>
      </c>
      <c r="T131" s="26">
        <v>8</v>
      </c>
      <c r="U131" s="26">
        <v>24</v>
      </c>
      <c r="V131" s="26">
        <v>1</v>
      </c>
      <c r="W131" s="26"/>
    </row>
    <row r="132" spans="1:23" x14ac:dyDescent="0.25">
      <c r="A132" s="26" t="str">
        <f t="shared" si="22"/>
        <v>PRIMARIA</v>
      </c>
      <c r="B132" s="26" t="str">
        <f>"09DPR0110U"</f>
        <v>09DPR0110U</v>
      </c>
      <c r="C132" s="26" t="str">
        <f>"PROFR. EFRAIN BONILLA MANZANO                                                                       "</f>
        <v xml:space="preserve">PROFR. EFRAIN BONILLA MANZANO                                                                       </v>
      </c>
      <c r="D132" s="26" t="str">
        <f>"MATUTINO"</f>
        <v>MATUTINO</v>
      </c>
      <c r="E132" s="26" t="str">
        <f>"FRANCISCO I. MADERO NO. 4                                                       "</f>
        <v xml:space="preserve">FRANCISCO I. MADERO NO. 4                                                       </v>
      </c>
      <c r="F132" s="26" t="str">
        <f>"SANTA MARTHA ACATITLA                                                                                                                       "</f>
        <v xml:space="preserve">SANTA MARTHA ACATITLA                                                                                                                       </v>
      </c>
      <c r="G132" s="26" t="str">
        <f>"IZTAPALAPA                                                                      "</f>
        <v xml:space="preserve">IZTAPALAPA                                                                      </v>
      </c>
      <c r="H132" s="26" t="str">
        <f>"026"</f>
        <v>026</v>
      </c>
      <c r="I132" s="26" t="str">
        <f t="shared" si="23"/>
        <v>00</v>
      </c>
      <c r="J132" s="26" t="str">
        <f>"62 "</f>
        <v xml:space="preserve">62 </v>
      </c>
      <c r="K132" s="26" t="str">
        <f>"IZ"</f>
        <v>IZ</v>
      </c>
      <c r="L132" s="26" t="str">
        <f>"DGSEI"</f>
        <v>DGSEI</v>
      </c>
      <c r="M132" s="26" t="str">
        <f t="shared" si="24"/>
        <v>FEDERAL</v>
      </c>
      <c r="N132" s="26">
        <v>215</v>
      </c>
      <c r="O132" s="26">
        <v>106</v>
      </c>
      <c r="P132" s="26">
        <v>109</v>
      </c>
      <c r="Q132" s="26">
        <v>6</v>
      </c>
      <c r="R132" s="26">
        <v>1</v>
      </c>
      <c r="S132" s="26">
        <v>6</v>
      </c>
      <c r="T132" s="26">
        <v>3</v>
      </c>
      <c r="U132" s="26">
        <v>10</v>
      </c>
      <c r="V132" s="26">
        <v>1</v>
      </c>
      <c r="W132" s="26"/>
    </row>
    <row r="133" spans="1:23" x14ac:dyDescent="0.25">
      <c r="A133" s="26" t="str">
        <f t="shared" si="22"/>
        <v>PRIMARIA</v>
      </c>
      <c r="B133" s="26" t="str">
        <f>"09DPR0111T"</f>
        <v>09DPR0111T</v>
      </c>
      <c r="C133" s="26" t="str">
        <f>"PROFRA. COLUMBA RIVERA                                                                              "</f>
        <v xml:space="preserve">PROFRA. COLUMBA RIVERA                                                                              </v>
      </c>
      <c r="D133" s="26" t="str">
        <f>"JORNADA AMPLIADA"</f>
        <v>JORNADA AMPLIADA</v>
      </c>
      <c r="E133" s="26" t="str">
        <f>"CONSTITUCION DE APATZINGAN NO. 65                                               "</f>
        <v xml:space="preserve">CONSTITUCION DE APATZINGAN NO. 65                                               </v>
      </c>
      <c r="F133" s="26" t="str">
        <f>"UNIDAD HABITACIONAL EJERCITO CONSTI                                                                                                         "</f>
        <v xml:space="preserve">UNIDAD HABITACIONAL EJERCITO CONSTI                                                                                                         </v>
      </c>
      <c r="G133" s="26" t="str">
        <f>"IZTAPALAPA                                                                      "</f>
        <v xml:space="preserve">IZTAPALAPA                                                                      </v>
      </c>
      <c r="H133" s="26" t="str">
        <f>"006"</f>
        <v>006</v>
      </c>
      <c r="I133" s="26" t="str">
        <f t="shared" si="23"/>
        <v>00</v>
      </c>
      <c r="J133" s="26" t="str">
        <f>"61 "</f>
        <v xml:space="preserve">61 </v>
      </c>
      <c r="K133" s="26" t="str">
        <f>"IZ"</f>
        <v>IZ</v>
      </c>
      <c r="L133" s="26" t="str">
        <f>"DGSEI"</f>
        <v>DGSEI</v>
      </c>
      <c r="M133" s="26" t="str">
        <f t="shared" si="24"/>
        <v>FEDERAL</v>
      </c>
      <c r="N133" s="26">
        <v>469</v>
      </c>
      <c r="O133" s="26">
        <v>228</v>
      </c>
      <c r="P133" s="26">
        <v>241</v>
      </c>
      <c r="Q133" s="26">
        <v>13</v>
      </c>
      <c r="R133" s="26">
        <v>1</v>
      </c>
      <c r="S133" s="26">
        <v>13</v>
      </c>
      <c r="T133" s="26">
        <v>8</v>
      </c>
      <c r="U133" s="26">
        <v>22</v>
      </c>
      <c r="V133" s="26">
        <v>1</v>
      </c>
      <c r="W133" s="26" t="s">
        <v>2076</v>
      </c>
    </row>
    <row r="134" spans="1:23" x14ac:dyDescent="0.25">
      <c r="A134" s="26" t="str">
        <f t="shared" si="22"/>
        <v>PRIMARIA</v>
      </c>
      <c r="B134" s="26" t="str">
        <f>"09DPR0112S"</f>
        <v>09DPR0112S</v>
      </c>
      <c r="C134" s="26" t="str">
        <f>"PROFR. RAMIRO SANCHEZ LOPEZ                                                                         "</f>
        <v xml:space="preserve">PROFR. RAMIRO SANCHEZ LOPEZ                                                                         </v>
      </c>
      <c r="D134" s="26" t="str">
        <f>"MATUTINO"</f>
        <v>MATUTINO</v>
      </c>
      <c r="E134" s="26" t="str">
        <f>"ORQUIDEA Y AV. MINAS S/N.                                                       "</f>
        <v xml:space="preserve">ORQUIDEA Y AV. MINAS S/N.                                                       </v>
      </c>
      <c r="F134" s="26" t="str">
        <f>"BUENAVISTA                                                                                                                                  "</f>
        <v xml:space="preserve">BUENAVISTA                                                                                                                                  </v>
      </c>
      <c r="G134" s="26" t="str">
        <f>"IZTAPALAPA                                                                      "</f>
        <v xml:space="preserve">IZTAPALAPA                                                                      </v>
      </c>
      <c r="H134" s="26" t="str">
        <f>"060"</f>
        <v>060</v>
      </c>
      <c r="I134" s="26" t="str">
        <f t="shared" si="23"/>
        <v>00</v>
      </c>
      <c r="J134" s="26" t="str">
        <f>"64 "</f>
        <v xml:space="preserve">64 </v>
      </c>
      <c r="K134" s="26" t="str">
        <f>"IZ"</f>
        <v>IZ</v>
      </c>
      <c r="L134" s="26" t="str">
        <f>"DGSEI"</f>
        <v>DGSEI</v>
      </c>
      <c r="M134" s="26" t="str">
        <f t="shared" si="24"/>
        <v>FEDERAL</v>
      </c>
      <c r="N134" s="26">
        <v>775</v>
      </c>
      <c r="O134" s="26">
        <v>402</v>
      </c>
      <c r="P134" s="26">
        <v>373</v>
      </c>
      <c r="Q134" s="26">
        <v>20</v>
      </c>
      <c r="R134" s="26">
        <v>1</v>
      </c>
      <c r="S134" s="26">
        <v>20</v>
      </c>
      <c r="T134" s="26">
        <v>7</v>
      </c>
      <c r="U134" s="26">
        <v>28</v>
      </c>
      <c r="V134" s="26">
        <v>1</v>
      </c>
      <c r="W134" s="26"/>
    </row>
    <row r="135" spans="1:23" x14ac:dyDescent="0.25">
      <c r="A135" s="26" t="str">
        <f t="shared" si="22"/>
        <v>PRIMARIA</v>
      </c>
      <c r="B135" s="26" t="str">
        <f>"09DPR0113R"</f>
        <v>09DPR0113R</v>
      </c>
      <c r="C135" s="26" t="str">
        <f>"J. CONCEPCION RIVERA                                                                                "</f>
        <v xml:space="preserve">J. CONCEPCION RIVERA                                                                                </v>
      </c>
      <c r="D135" s="26" t="str">
        <f>"TIEMPO COMPLETO"</f>
        <v>TIEMPO COMPLETO</v>
      </c>
      <c r="E135" s="26" t="str">
        <f>"20 DE NOVIEMBRE No. 35                                                          "</f>
        <v xml:space="preserve">20 DE NOVIEMBRE No. 35                                                          </v>
      </c>
      <c r="F135" s="26" t="str">
        <f>"SANTA MARIA AZTAHUACAN                                                                                                                      "</f>
        <v xml:space="preserve">SANTA MARIA AZTAHUACAN                                                                                                                      </v>
      </c>
      <c r="G135" s="26" t="str">
        <f>"IZTAPALAPA                                                                      "</f>
        <v xml:space="preserve">IZTAPALAPA                                                                      </v>
      </c>
      <c r="H135" s="26" t="str">
        <f>"010"</f>
        <v>010</v>
      </c>
      <c r="I135" s="26" t="str">
        <f t="shared" si="23"/>
        <v>00</v>
      </c>
      <c r="J135" s="26" t="str">
        <f>"61 "</f>
        <v xml:space="preserve">61 </v>
      </c>
      <c r="K135" s="26" t="str">
        <f>"IZ"</f>
        <v>IZ</v>
      </c>
      <c r="L135" s="26" t="str">
        <f>"DGSEI"</f>
        <v>DGSEI</v>
      </c>
      <c r="M135" s="26" t="str">
        <f t="shared" si="24"/>
        <v>FEDERAL</v>
      </c>
      <c r="N135" s="26">
        <v>416</v>
      </c>
      <c r="O135" s="26">
        <v>228</v>
      </c>
      <c r="P135" s="26">
        <v>188</v>
      </c>
      <c r="Q135" s="26">
        <v>12</v>
      </c>
      <c r="R135" s="26">
        <v>1</v>
      </c>
      <c r="S135" s="26">
        <v>12</v>
      </c>
      <c r="T135" s="26">
        <v>13</v>
      </c>
      <c r="U135" s="26">
        <v>26</v>
      </c>
      <c r="V135" s="26">
        <v>1</v>
      </c>
      <c r="W135" s="26" t="s">
        <v>218</v>
      </c>
    </row>
    <row r="136" spans="1:23" x14ac:dyDescent="0.25">
      <c r="A136" s="26" t="str">
        <f t="shared" si="22"/>
        <v>PRIMARIA</v>
      </c>
      <c r="B136" s="26" t="str">
        <f>"09DPR0116O"</f>
        <v>09DPR0116O</v>
      </c>
      <c r="C136" s="26" t="str">
        <f>"MEXITLI                                                                                             "</f>
        <v xml:space="preserve">MEXITLI                                                                                             </v>
      </c>
      <c r="D136" s="26" t="str">
        <f>"VESPERTINO"</f>
        <v>VESPERTINO</v>
      </c>
      <c r="E136" s="26" t="str">
        <f>"CAMPO COBO Y CHILAPILLA                                                         "</f>
        <v xml:space="preserve">CAMPO COBO Y CHILAPILLA                                                         </v>
      </c>
      <c r="F136" s="26" t="str">
        <f>"SANTIAGO AHUIZOTLA                                                                                                                          "</f>
        <v xml:space="preserve">SANTIAGO AHUIZOTLA                                                                                                                          </v>
      </c>
      <c r="G136" s="26" t="str">
        <f>"AZCAPOTZALCO                                                                    "</f>
        <v xml:space="preserve">AZCAPOTZALCO                                                                    </v>
      </c>
      <c r="H136" s="26" t="str">
        <f>"203"</f>
        <v>203</v>
      </c>
      <c r="I136" s="26" t="str">
        <f t="shared" si="23"/>
        <v>00</v>
      </c>
      <c r="J136" s="26" t="str">
        <f>"42 "</f>
        <v xml:space="preserve">42 </v>
      </c>
      <c r="K136" s="26" t="str">
        <f>"PR"</f>
        <v>PR</v>
      </c>
      <c r="L136" s="26" t="str">
        <f>"DGOSE"</f>
        <v>DGOSE</v>
      </c>
      <c r="M136" s="26" t="str">
        <f t="shared" si="24"/>
        <v>FEDERAL</v>
      </c>
      <c r="N136" s="26">
        <v>59</v>
      </c>
      <c r="O136" s="26">
        <v>29</v>
      </c>
      <c r="P136" s="26">
        <v>30</v>
      </c>
      <c r="Q136" s="26">
        <v>4</v>
      </c>
      <c r="R136" s="26">
        <v>1</v>
      </c>
      <c r="S136" s="26">
        <v>3</v>
      </c>
      <c r="T136" s="26">
        <v>7</v>
      </c>
      <c r="U136" s="26">
        <v>11</v>
      </c>
      <c r="V136" s="26">
        <v>1</v>
      </c>
      <c r="W136" s="26"/>
    </row>
    <row r="137" spans="1:23" x14ac:dyDescent="0.25">
      <c r="A137" s="26" t="str">
        <f t="shared" si="22"/>
        <v>PRIMARIA</v>
      </c>
      <c r="B137" s="26" t="str">
        <f>"09DPR0117N"</f>
        <v>09DPR0117N</v>
      </c>
      <c r="C137" s="26" t="str">
        <f>"LIC. ADOLFO LOPEZ MATEOS                                                                            "</f>
        <v xml:space="preserve">LIC. ADOLFO LOPEZ MATEOS                                                                            </v>
      </c>
      <c r="D137" s="26" t="str">
        <f>"JORNADA AMPLIADA"</f>
        <v>JORNADA AMPLIADA</v>
      </c>
      <c r="E137" s="26" t="str">
        <f>"FRANCISCO SARABIA 318                                                           "</f>
        <v xml:space="preserve">FRANCISCO SARABIA 318                                                           </v>
      </c>
      <c r="F137" s="26" t="str">
        <f>"LA PROVIDENCIA                                                                                                                              "</f>
        <v xml:space="preserve">LA PROVIDENCIA                                                                                                                              </v>
      </c>
      <c r="G137" s="26" t="str">
        <f>"AZCAPOTZALCO                                                                    "</f>
        <v xml:space="preserve">AZCAPOTZALCO                                                                    </v>
      </c>
      <c r="H137" s="26" t="str">
        <f>"101"</f>
        <v>101</v>
      </c>
      <c r="I137" s="26" t="str">
        <f t="shared" si="23"/>
        <v>00</v>
      </c>
      <c r="J137" s="26" t="str">
        <f>"41 "</f>
        <v xml:space="preserve">41 </v>
      </c>
      <c r="K137" s="26" t="str">
        <f>"PR"</f>
        <v>PR</v>
      </c>
      <c r="L137" s="26" t="str">
        <f>"DGOSE"</f>
        <v>DGOSE</v>
      </c>
      <c r="M137" s="26" t="str">
        <f t="shared" si="24"/>
        <v>FEDERAL</v>
      </c>
      <c r="N137" s="26">
        <v>377</v>
      </c>
      <c r="O137" s="26">
        <v>203</v>
      </c>
      <c r="P137" s="26">
        <v>174</v>
      </c>
      <c r="Q137" s="26">
        <v>12</v>
      </c>
      <c r="R137" s="26">
        <v>1</v>
      </c>
      <c r="S137" s="26">
        <v>12</v>
      </c>
      <c r="T137" s="26">
        <v>7</v>
      </c>
      <c r="U137" s="26">
        <v>20</v>
      </c>
      <c r="V137" s="26">
        <v>1</v>
      </c>
      <c r="W137" s="26" t="s">
        <v>2076</v>
      </c>
    </row>
    <row r="138" spans="1:23" x14ac:dyDescent="0.25">
      <c r="A138" s="26" t="str">
        <f t="shared" si="22"/>
        <v>PRIMARIA</v>
      </c>
      <c r="B138" s="26" t="str">
        <f>"09DPR0118M"</f>
        <v>09DPR0118M</v>
      </c>
      <c r="C138" s="26" t="str">
        <f>"FAJA DE ORO                                                                                         "</f>
        <v xml:space="preserve">FAJA DE ORO                                                                                         </v>
      </c>
      <c r="D138" s="26" t="str">
        <f>"JORNADA AMPLIADA"</f>
        <v>JORNADA AMPLIADA</v>
      </c>
      <c r="E138" s="26" t="str">
        <f>"HACIENDA DE LA CASTAÑEDA S/N                                                    "</f>
        <v xml:space="preserve">HACIENDA DE LA CASTAÑEDA S/N                                                    </v>
      </c>
      <c r="F138" s="26" t="str">
        <f>"PRADOS DEL ROSARIO                                                                                                                          "</f>
        <v xml:space="preserve">PRADOS DEL ROSARIO                                                                                                                          </v>
      </c>
      <c r="G138" s="26" t="str">
        <f>"AZCAPOTZALCO                                                                    "</f>
        <v xml:space="preserve">AZCAPOTZALCO                                                                    </v>
      </c>
      <c r="H138" s="26" t="str">
        <f>"101"</f>
        <v>101</v>
      </c>
      <c r="I138" s="26" t="str">
        <f t="shared" si="23"/>
        <v>00</v>
      </c>
      <c r="J138" s="26" t="str">
        <f>"41 "</f>
        <v xml:space="preserve">41 </v>
      </c>
      <c r="K138" s="26" t="str">
        <f>"PR"</f>
        <v>PR</v>
      </c>
      <c r="L138" s="26" t="str">
        <f>"DGOSE"</f>
        <v>DGOSE</v>
      </c>
      <c r="M138" s="26" t="str">
        <f t="shared" si="24"/>
        <v>FEDERAL</v>
      </c>
      <c r="N138" s="26">
        <v>438</v>
      </c>
      <c r="O138" s="26">
        <v>222</v>
      </c>
      <c r="P138" s="26">
        <v>216</v>
      </c>
      <c r="Q138" s="26">
        <v>14</v>
      </c>
      <c r="R138" s="26">
        <v>1</v>
      </c>
      <c r="S138" s="26">
        <v>14</v>
      </c>
      <c r="T138" s="26">
        <v>11</v>
      </c>
      <c r="U138" s="26">
        <v>26</v>
      </c>
      <c r="V138" s="26">
        <v>1</v>
      </c>
      <c r="W138" s="26" t="s">
        <v>2076</v>
      </c>
    </row>
    <row r="139" spans="1:23" x14ac:dyDescent="0.25">
      <c r="A139" s="26" t="str">
        <f t="shared" si="22"/>
        <v>PRIMARIA</v>
      </c>
      <c r="B139" s="26" t="str">
        <f>"09DPR0119L"</f>
        <v>09DPR0119L</v>
      </c>
      <c r="C139" s="26" t="str">
        <f>"JOSE RUBEN ROMERO                                                                                   "</f>
        <v xml:space="preserve">JOSE RUBEN ROMERO                                                                                   </v>
      </c>
      <c r="D139" s="26" t="str">
        <f>"MATUTINO"</f>
        <v>MATUTINO</v>
      </c>
      <c r="E139" s="26" t="str">
        <f>"CALLE 6 NO 333                                                                  "</f>
        <v xml:space="preserve">CALLE 6 NO 333                                                                  </v>
      </c>
      <c r="F139" s="26" t="str">
        <f>"AGRICOLA PANTITLAN                                                                                                                          "</f>
        <v xml:space="preserve">AGRICOLA PANTITLAN                                                                                                                          </v>
      </c>
      <c r="G139" s="26" t="str">
        <f>"IZTACALCO                                                                       "</f>
        <v xml:space="preserve">IZTACALCO                                                                       </v>
      </c>
      <c r="H139" s="26" t="str">
        <f>"354"</f>
        <v>354</v>
      </c>
      <c r="I139" s="26" t="str">
        <f t="shared" si="23"/>
        <v>00</v>
      </c>
      <c r="J139" s="26" t="str">
        <f>"43 "</f>
        <v xml:space="preserve">43 </v>
      </c>
      <c r="K139" s="26" t="str">
        <f>"PR"</f>
        <v>PR</v>
      </c>
      <c r="L139" s="26" t="str">
        <f>"DGOSE"</f>
        <v>DGOSE</v>
      </c>
      <c r="M139" s="26" t="str">
        <f t="shared" si="24"/>
        <v>FEDERAL</v>
      </c>
      <c r="N139" s="26">
        <v>539</v>
      </c>
      <c r="O139" s="26">
        <v>264</v>
      </c>
      <c r="P139" s="26">
        <v>275</v>
      </c>
      <c r="Q139" s="26">
        <v>18</v>
      </c>
      <c r="R139" s="26">
        <v>1</v>
      </c>
      <c r="S139" s="26">
        <v>18</v>
      </c>
      <c r="T139" s="26">
        <v>9</v>
      </c>
      <c r="U139" s="26">
        <v>28</v>
      </c>
      <c r="V139" s="26">
        <v>1</v>
      </c>
      <c r="W139" s="26"/>
    </row>
    <row r="140" spans="1:23" x14ac:dyDescent="0.25">
      <c r="A140" s="26" t="str">
        <f t="shared" si="22"/>
        <v>PRIMARIA</v>
      </c>
      <c r="B140" s="26" t="str">
        <f>"09DPR0120A"</f>
        <v>09DPR0120A</v>
      </c>
      <c r="C140" s="26" t="str">
        <f>"PABLO PICASSO                                                                                       "</f>
        <v xml:space="preserve">PABLO PICASSO                                                                                       </v>
      </c>
      <c r="D140" s="26" t="str">
        <f>"MATUTINO"</f>
        <v>MATUTINO</v>
      </c>
      <c r="E140" s="26" t="str">
        <f>"URSULO GALVAN NO. 76                                                            "</f>
        <v xml:space="preserve">URSULO GALVAN NO. 76                                                            </v>
      </c>
      <c r="F140" s="26" t="str">
        <f>"SANTA CRUZ MEYEHUALCO                                                                                                                       "</f>
        <v xml:space="preserve">SANTA CRUZ MEYEHUALCO                                                                                                                       </v>
      </c>
      <c r="G140" s="26" t="str">
        <f>"IZTAPALAPA                                                                      "</f>
        <v xml:space="preserve">IZTAPALAPA                                                                      </v>
      </c>
      <c r="H140" s="26" t="str">
        <f>"054"</f>
        <v>054</v>
      </c>
      <c r="I140" s="26" t="str">
        <f t="shared" si="23"/>
        <v>00</v>
      </c>
      <c r="J140" s="26" t="str">
        <f>"64 "</f>
        <v xml:space="preserve">64 </v>
      </c>
      <c r="K140" s="26" t="str">
        <f>"IZ"</f>
        <v>IZ</v>
      </c>
      <c r="L140" s="26" t="str">
        <f>"DGSEI"</f>
        <v>DGSEI</v>
      </c>
      <c r="M140" s="26" t="str">
        <f t="shared" si="24"/>
        <v>FEDERAL</v>
      </c>
      <c r="N140" s="26">
        <v>447</v>
      </c>
      <c r="O140" s="26">
        <v>212</v>
      </c>
      <c r="P140" s="26">
        <v>235</v>
      </c>
      <c r="Q140" s="26">
        <v>12</v>
      </c>
      <c r="R140" s="26">
        <v>1</v>
      </c>
      <c r="S140" s="26">
        <v>11</v>
      </c>
      <c r="T140" s="26">
        <v>6</v>
      </c>
      <c r="U140" s="26">
        <v>18</v>
      </c>
      <c r="V140" s="26">
        <v>1</v>
      </c>
      <c r="W140" s="26"/>
    </row>
    <row r="141" spans="1:23" x14ac:dyDescent="0.25">
      <c r="A141" s="26" t="str">
        <f t="shared" si="22"/>
        <v>PRIMARIA</v>
      </c>
      <c r="B141" s="26" t="str">
        <f>"09DPR0121Z"</f>
        <v>09DPR0121Z</v>
      </c>
      <c r="C141" s="26" t="str">
        <f>"PROFR. RAMON ESPINOSA VILLANUEVA                                                                    "</f>
        <v xml:space="preserve">PROFR. RAMON ESPINOSA VILLANUEVA                                                                    </v>
      </c>
      <c r="D141" s="26" t="str">
        <f>"TIEMPO COMPLETO"</f>
        <v>TIEMPO COMPLETO</v>
      </c>
      <c r="E141" s="26" t="str">
        <f>"CALLE 3 S/N Y CARRIL                                                            "</f>
        <v xml:space="preserve">CALLE 3 S/N Y CARRIL                                                            </v>
      </c>
      <c r="F141" s="26" t="str">
        <f>"SAN JUAN XALPA                                                                                                                              "</f>
        <v xml:space="preserve">SAN JUAN XALPA                                                                                                                              </v>
      </c>
      <c r="G141" s="26" t="str">
        <f>"IZTAPALAPA                                                                      "</f>
        <v xml:space="preserve">IZTAPALAPA                                                                      </v>
      </c>
      <c r="H141" s="26" t="str">
        <f>"009"</f>
        <v>009</v>
      </c>
      <c r="I141" s="26" t="str">
        <f t="shared" si="23"/>
        <v>00</v>
      </c>
      <c r="J141" s="26" t="str">
        <f>"61 "</f>
        <v xml:space="preserve">61 </v>
      </c>
      <c r="K141" s="26" t="str">
        <f>"IZ"</f>
        <v>IZ</v>
      </c>
      <c r="L141" s="26" t="str">
        <f>"DGSEI"</f>
        <v>DGSEI</v>
      </c>
      <c r="M141" s="26" t="str">
        <f t="shared" si="24"/>
        <v>FEDERAL</v>
      </c>
      <c r="N141" s="26">
        <v>393</v>
      </c>
      <c r="O141" s="26">
        <v>197</v>
      </c>
      <c r="P141" s="26">
        <v>196</v>
      </c>
      <c r="Q141" s="26">
        <v>13</v>
      </c>
      <c r="R141" s="26">
        <v>1</v>
      </c>
      <c r="S141" s="26">
        <v>13</v>
      </c>
      <c r="T141" s="26">
        <v>12</v>
      </c>
      <c r="U141" s="26">
        <v>26</v>
      </c>
      <c r="V141" s="26">
        <v>1</v>
      </c>
      <c r="W141" s="26" t="s">
        <v>218</v>
      </c>
    </row>
    <row r="142" spans="1:23" x14ac:dyDescent="0.25">
      <c r="A142" s="26" t="str">
        <f t="shared" si="22"/>
        <v>PRIMARIA</v>
      </c>
      <c r="B142" s="26" t="str">
        <f>"09DPR0122Z"</f>
        <v>09DPR0122Z</v>
      </c>
      <c r="C142" s="26" t="str">
        <f>"PRESIDENTE VICENTE ROCAFUERTE                                                                       "</f>
        <v xml:space="preserve">PRESIDENTE VICENTE ROCAFUERTE                                                                       </v>
      </c>
      <c r="D142" s="26" t="str">
        <f>"MATUTINO"</f>
        <v>MATUTINO</v>
      </c>
      <c r="E142" s="26" t="str">
        <f>"COXCOX S/N                                                                      "</f>
        <v xml:space="preserve">COXCOX S/N                                                                      </v>
      </c>
      <c r="F142" s="26" t="str">
        <f>"ARENAL 2A SECCION                                                                                                                           "</f>
        <v xml:space="preserve">ARENAL 2A SECCION                                                                                                                           </v>
      </c>
      <c r="G142" s="26" t="str">
        <f>"VENUSTIANO CARRANZA                                                             "</f>
        <v xml:space="preserve">VENUSTIANO CARRANZA                                                             </v>
      </c>
      <c r="H142" s="26" t="str">
        <f>"353"</f>
        <v>353</v>
      </c>
      <c r="I142" s="26" t="str">
        <f t="shared" si="23"/>
        <v>00</v>
      </c>
      <c r="J142" s="26" t="str">
        <f>"43 "</f>
        <v xml:space="preserve">43 </v>
      </c>
      <c r="K142" s="26" t="str">
        <f>"PR"</f>
        <v>PR</v>
      </c>
      <c r="L142" s="26" t="str">
        <f>"DGOSE"</f>
        <v>DGOSE</v>
      </c>
      <c r="M142" s="26" t="str">
        <f t="shared" si="24"/>
        <v>FEDERAL</v>
      </c>
      <c r="N142" s="26">
        <v>575</v>
      </c>
      <c r="O142" s="26">
        <v>289</v>
      </c>
      <c r="P142" s="26">
        <v>286</v>
      </c>
      <c r="Q142" s="26">
        <v>18</v>
      </c>
      <c r="R142" s="26">
        <v>1</v>
      </c>
      <c r="S142" s="26">
        <v>18</v>
      </c>
      <c r="T142" s="26">
        <v>10</v>
      </c>
      <c r="U142" s="26">
        <v>29</v>
      </c>
      <c r="V142" s="26">
        <v>1</v>
      </c>
      <c r="W142" s="26"/>
    </row>
    <row r="143" spans="1:23" x14ac:dyDescent="0.25">
      <c r="A143" s="26" t="str">
        <f t="shared" si="22"/>
        <v>PRIMARIA</v>
      </c>
      <c r="B143" s="26" t="str">
        <f>"09DPR0123Y"</f>
        <v>09DPR0123Y</v>
      </c>
      <c r="C143" s="26" t="str">
        <f>"PROFR. RAMON DURAND                                                                                 "</f>
        <v xml:space="preserve">PROFR. RAMON DURAND                                                                                 </v>
      </c>
      <c r="D143" s="26" t="str">
        <f>"MATUTINO"</f>
        <v>MATUTINO</v>
      </c>
      <c r="E143" s="26" t="str">
        <f>"CERRADA TIZAR SN.                                                               "</f>
        <v xml:space="preserve">CERRADA TIZAR SN.                                                               </v>
      </c>
      <c r="F143" s="26" t="str">
        <f>"PEDREGAL DE SANTO DOMINGO                                                                                                                   "</f>
        <v xml:space="preserve">PEDREGAL DE SANTO DOMINGO                                                                                                                   </v>
      </c>
      <c r="G143" s="26" t="str">
        <f>"COYOACAN                                                                        "</f>
        <v xml:space="preserve">COYOACAN                                                                        </v>
      </c>
      <c r="H143" s="26" t="str">
        <f>"505"</f>
        <v>505</v>
      </c>
      <c r="I143" s="26" t="str">
        <f t="shared" si="23"/>
        <v>00</v>
      </c>
      <c r="J143" s="26" t="str">
        <f>"45 "</f>
        <v xml:space="preserve">45 </v>
      </c>
      <c r="K143" s="26" t="str">
        <f>"PR"</f>
        <v>PR</v>
      </c>
      <c r="L143" s="26" t="str">
        <f>"DGOSE"</f>
        <v>DGOSE</v>
      </c>
      <c r="M143" s="26" t="str">
        <f t="shared" si="24"/>
        <v>FEDERAL</v>
      </c>
      <c r="N143" s="26">
        <v>320</v>
      </c>
      <c r="O143" s="26">
        <v>162</v>
      </c>
      <c r="P143" s="26">
        <v>158</v>
      </c>
      <c r="Q143" s="26">
        <v>12</v>
      </c>
      <c r="R143" s="26">
        <v>1</v>
      </c>
      <c r="S143" s="26">
        <v>12</v>
      </c>
      <c r="T143" s="26">
        <v>8</v>
      </c>
      <c r="U143" s="26">
        <v>21</v>
      </c>
      <c r="V143" s="26">
        <v>1</v>
      </c>
      <c r="W143" s="26"/>
    </row>
    <row r="144" spans="1:23" x14ac:dyDescent="0.25">
      <c r="A144" s="26" t="str">
        <f t="shared" si="22"/>
        <v>PRIMARIA</v>
      </c>
      <c r="B144" s="26" t="str">
        <f>"09DPR0124X"</f>
        <v>09DPR0124X</v>
      </c>
      <c r="C144" s="26" t="str">
        <f>"PROFR. JOSE GUADALUPE AGUILERA                                                                      "</f>
        <v xml:space="preserve">PROFR. JOSE GUADALUPE AGUILERA                                                                      </v>
      </c>
      <c r="D144" s="26" t="str">
        <f>"JORNADA AMPLIADA"</f>
        <v>JORNADA AMPLIADA</v>
      </c>
      <c r="E144" s="26" t="str">
        <f>"VAINILLA NUM 304                                                                "</f>
        <v xml:space="preserve">VAINILLA NUM 304                                                                </v>
      </c>
      <c r="F144" s="26" t="str">
        <f>"GRANJAS MEXICO                                                                                                                              "</f>
        <v xml:space="preserve">GRANJAS MEXICO                                                                                                                              </v>
      </c>
      <c r="G144" s="26" t="str">
        <f>"IZTACALCO                                                                       "</f>
        <v xml:space="preserve">IZTACALCO                                                                       </v>
      </c>
      <c r="H144" s="26" t="str">
        <f>"427"</f>
        <v>427</v>
      </c>
      <c r="I144" s="26" t="str">
        <f t="shared" si="23"/>
        <v>00</v>
      </c>
      <c r="J144" s="26" t="str">
        <f>"44 "</f>
        <v xml:space="preserve">44 </v>
      </c>
      <c r="K144" s="26" t="str">
        <f>"PR"</f>
        <v>PR</v>
      </c>
      <c r="L144" s="26" t="str">
        <f>"DGOSE"</f>
        <v>DGOSE</v>
      </c>
      <c r="M144" s="26" t="str">
        <f t="shared" si="24"/>
        <v>FEDERAL</v>
      </c>
      <c r="N144" s="26">
        <v>187</v>
      </c>
      <c r="O144" s="26">
        <v>74</v>
      </c>
      <c r="P144" s="26">
        <v>113</v>
      </c>
      <c r="Q144" s="26">
        <v>6</v>
      </c>
      <c r="R144" s="26">
        <v>1</v>
      </c>
      <c r="S144" s="26">
        <v>6</v>
      </c>
      <c r="T144" s="26">
        <v>9</v>
      </c>
      <c r="U144" s="26">
        <v>16</v>
      </c>
      <c r="V144" s="26">
        <v>1</v>
      </c>
      <c r="W144" s="26" t="s">
        <v>2076</v>
      </c>
    </row>
    <row r="145" spans="1:23" x14ac:dyDescent="0.25">
      <c r="A145" s="26" t="str">
        <f t="shared" si="22"/>
        <v>PRIMARIA</v>
      </c>
      <c r="B145" s="26" t="str">
        <f>"09DPR0125W"</f>
        <v>09DPR0125W</v>
      </c>
      <c r="C145" s="26" t="str">
        <f>"PROFR. VICENTE V. YBARRA                                                                            "</f>
        <v xml:space="preserve">PROFR. VICENTE V. YBARRA                                                                            </v>
      </c>
      <c r="D145" s="26" t="str">
        <f>"MATUTINO"</f>
        <v>MATUTINO</v>
      </c>
      <c r="E145" s="26" t="str">
        <f>"HELIOTROPO ESQ GALEANA S/N                                                      "</f>
        <v xml:space="preserve">HELIOTROPO ESQ GALEANA S/N                                                      </v>
      </c>
      <c r="F145" s="26" t="str">
        <f>"XALTOCAN                                                                                                                                    "</f>
        <v xml:space="preserve">XALTOCAN                                                                                                                                    </v>
      </c>
      <c r="G145" s="26" t="str">
        <f>"XOCHIMILCO                                                                      "</f>
        <v xml:space="preserve">XOCHIMILCO                                                                      </v>
      </c>
      <c r="H145" s="26" t="str">
        <f>"538"</f>
        <v>538</v>
      </c>
      <c r="I145" s="26" t="str">
        <f t="shared" si="23"/>
        <v>00</v>
      </c>
      <c r="J145" s="26" t="str">
        <f>"45 "</f>
        <v xml:space="preserve">45 </v>
      </c>
      <c r="K145" s="26" t="str">
        <f>"PR"</f>
        <v>PR</v>
      </c>
      <c r="L145" s="26" t="str">
        <f>"DGOSE"</f>
        <v>DGOSE</v>
      </c>
      <c r="M145" s="26" t="str">
        <f t="shared" si="24"/>
        <v>FEDERAL</v>
      </c>
      <c r="N145" s="26">
        <v>458</v>
      </c>
      <c r="O145" s="26">
        <v>223</v>
      </c>
      <c r="P145" s="26">
        <v>235</v>
      </c>
      <c r="Q145" s="26">
        <v>12</v>
      </c>
      <c r="R145" s="26">
        <v>1</v>
      </c>
      <c r="S145" s="26">
        <v>12</v>
      </c>
      <c r="T145" s="26">
        <v>12</v>
      </c>
      <c r="U145" s="26">
        <v>25</v>
      </c>
      <c r="V145" s="26">
        <v>1</v>
      </c>
      <c r="W145" s="26"/>
    </row>
    <row r="146" spans="1:23" x14ac:dyDescent="0.25">
      <c r="A146" s="26" t="str">
        <f t="shared" si="22"/>
        <v>PRIMARIA</v>
      </c>
      <c r="B146" s="26" t="str">
        <f>"09DPR0126V"</f>
        <v>09DPR0126V</v>
      </c>
      <c r="C146" s="26" t="str">
        <f>"ESTEFANIA CASTAÑEDA                                                                                 "</f>
        <v xml:space="preserve">ESTEFANIA CASTAÑEDA                                                                                 </v>
      </c>
      <c r="D146" s="26" t="str">
        <f>"MATUTINO"</f>
        <v>MATUTINO</v>
      </c>
      <c r="E146" s="26" t="str">
        <f>"CARLOTA ARMERO S/N                                                              "</f>
        <v xml:space="preserve">CARLOTA ARMERO S/N                                                              </v>
      </c>
      <c r="F146" s="26" t="str">
        <f>"UNIDAD HABITACIONAL C T M                                                                                                                   "</f>
        <v xml:space="preserve">UNIDAD HABITACIONAL C T M                                                                                                                   </v>
      </c>
      <c r="G146" s="26" t="str">
        <f>"COYOACAN                                                                        "</f>
        <v xml:space="preserve">COYOACAN                                                                        </v>
      </c>
      <c r="H146" s="26" t="str">
        <f>"566"</f>
        <v>566</v>
      </c>
      <c r="I146" s="26" t="str">
        <f t="shared" si="23"/>
        <v>00</v>
      </c>
      <c r="J146" s="26" t="str">
        <f>"45 "</f>
        <v xml:space="preserve">45 </v>
      </c>
      <c r="K146" s="26" t="str">
        <f>"PR"</f>
        <v>PR</v>
      </c>
      <c r="L146" s="26" t="str">
        <f>"DGOSE"</f>
        <v>DGOSE</v>
      </c>
      <c r="M146" s="26" t="str">
        <f t="shared" si="24"/>
        <v>FEDERAL</v>
      </c>
      <c r="N146" s="26">
        <v>430</v>
      </c>
      <c r="O146" s="26">
        <v>240</v>
      </c>
      <c r="P146" s="26">
        <v>190</v>
      </c>
      <c r="Q146" s="26">
        <v>18</v>
      </c>
      <c r="R146" s="26">
        <v>1</v>
      </c>
      <c r="S146" s="26">
        <v>18</v>
      </c>
      <c r="T146" s="26">
        <v>9</v>
      </c>
      <c r="U146" s="26">
        <v>28</v>
      </c>
      <c r="V146" s="26">
        <v>1</v>
      </c>
      <c r="W146" s="26"/>
    </row>
    <row r="147" spans="1:23" x14ac:dyDescent="0.25">
      <c r="A147" s="26" t="str">
        <f t="shared" si="22"/>
        <v>PRIMARIA</v>
      </c>
      <c r="B147" s="26" t="str">
        <f>"09DPR0127U"</f>
        <v>09DPR0127U</v>
      </c>
      <c r="C147" s="26" t="str">
        <f>"PROFR. JOSE GONZALEZ VILLASEÑOR                                                                     "</f>
        <v xml:space="preserve">PROFR. JOSE GONZALEZ VILLASEÑOR                                                                     </v>
      </c>
      <c r="D147" s="26" t="str">
        <f>"MATUTINO"</f>
        <v>MATUTINO</v>
      </c>
      <c r="E147" s="26" t="str">
        <f>"JUSTO SIERRA NO. 8                                                              "</f>
        <v xml:space="preserve">JUSTO SIERRA NO. 8                                                              </v>
      </c>
      <c r="F147" s="26" t="str">
        <f>"LOMAS DE SANTA CRUZ                                                                                                                         "</f>
        <v xml:space="preserve">LOMAS DE SANTA CRUZ                                                                                                                         </v>
      </c>
      <c r="G147" s="26" t="str">
        <f>"IZTAPALAPA                                                                      "</f>
        <v xml:space="preserve">IZTAPALAPA                                                                      </v>
      </c>
      <c r="H147" s="26" t="str">
        <f>"052"</f>
        <v>052</v>
      </c>
      <c r="I147" s="26" t="str">
        <f t="shared" si="23"/>
        <v>00</v>
      </c>
      <c r="J147" s="26" t="str">
        <f>"64 "</f>
        <v xml:space="preserve">64 </v>
      </c>
      <c r="K147" s="26" t="str">
        <f>"IZ"</f>
        <v>IZ</v>
      </c>
      <c r="L147" s="26" t="str">
        <f>"DGSEI"</f>
        <v>DGSEI</v>
      </c>
      <c r="M147" s="26" t="str">
        <f t="shared" si="24"/>
        <v>FEDERAL</v>
      </c>
      <c r="N147" s="26">
        <v>866</v>
      </c>
      <c r="O147" s="26">
        <v>441</v>
      </c>
      <c r="P147" s="26">
        <v>425</v>
      </c>
      <c r="Q147" s="26">
        <v>21</v>
      </c>
      <c r="R147" s="26">
        <v>1</v>
      </c>
      <c r="S147" s="26">
        <v>21</v>
      </c>
      <c r="T147" s="26">
        <v>8</v>
      </c>
      <c r="U147" s="26">
        <v>30</v>
      </c>
      <c r="V147" s="26">
        <v>1</v>
      </c>
      <c r="W147" s="26"/>
    </row>
    <row r="148" spans="1:23" x14ac:dyDescent="0.25">
      <c r="A148" s="26" t="str">
        <f t="shared" si="22"/>
        <v>PRIMARIA</v>
      </c>
      <c r="B148" s="26" t="str">
        <f>"09DPR0128T"</f>
        <v>09DPR0128T</v>
      </c>
      <c r="C148" s="26" t="str">
        <f>"PROFR. AVELINO BOLAÑOS PALACIOS                                                                     "</f>
        <v xml:space="preserve">PROFR. AVELINO BOLAÑOS PALACIOS                                                                     </v>
      </c>
      <c r="D148" s="26" t="str">
        <f>"JORNADA AMPLIADA"</f>
        <v>JORNADA AMPLIADA</v>
      </c>
      <c r="E148" s="26" t="str">
        <f>"1A. PVDA. DE ROSA ZARAGOZA S/N                                                  "</f>
        <v xml:space="preserve">1A. PVDA. DE ROSA ZARAGOZA S/N                                                  </v>
      </c>
      <c r="F148" s="26" t="str">
        <f>"UNIDAD HABITACIONAL CTM SEIS                                                                                                                "</f>
        <v xml:space="preserve">UNIDAD HABITACIONAL CTM SEIS                                                                                                                </v>
      </c>
      <c r="G148" s="26" t="str">
        <f>"COYOACAN                                                                        "</f>
        <v xml:space="preserve">COYOACAN                                                                        </v>
      </c>
      <c r="H148" s="26" t="str">
        <f>"441"</f>
        <v>441</v>
      </c>
      <c r="I148" s="26" t="str">
        <f t="shared" si="23"/>
        <v>00</v>
      </c>
      <c r="J148" s="26" t="str">
        <f>"44 "</f>
        <v xml:space="preserve">44 </v>
      </c>
      <c r="K148" s="26" t="str">
        <f t="shared" ref="K148:K153" si="25">"PR"</f>
        <v>PR</v>
      </c>
      <c r="L148" s="26" t="str">
        <f t="shared" ref="L148:L153" si="26">"DGOSE"</f>
        <v>DGOSE</v>
      </c>
      <c r="M148" s="26" t="str">
        <f t="shared" si="24"/>
        <v>FEDERAL</v>
      </c>
      <c r="N148" s="26">
        <v>470</v>
      </c>
      <c r="O148" s="26">
        <v>226</v>
      </c>
      <c r="P148" s="26">
        <v>244</v>
      </c>
      <c r="Q148" s="26">
        <v>16</v>
      </c>
      <c r="R148" s="26">
        <v>1</v>
      </c>
      <c r="S148" s="26">
        <v>16</v>
      </c>
      <c r="T148" s="26">
        <v>11</v>
      </c>
      <c r="U148" s="26">
        <v>28</v>
      </c>
      <c r="V148" s="26">
        <v>1</v>
      </c>
      <c r="W148" s="26" t="s">
        <v>2076</v>
      </c>
    </row>
    <row r="149" spans="1:23" x14ac:dyDescent="0.25">
      <c r="A149" s="26" t="str">
        <f t="shared" si="22"/>
        <v>PRIMARIA</v>
      </c>
      <c r="B149" s="26" t="str">
        <f>"09DPR0129S"</f>
        <v>09DPR0129S</v>
      </c>
      <c r="C149" s="26" t="str">
        <f>"PROFRA. AURORA LOPEZ VELARDE BERUMEN                                                                "</f>
        <v xml:space="preserve">PROFRA. AURORA LOPEZ VELARDE BERUMEN                                                                </v>
      </c>
      <c r="D149" s="26" t="str">
        <f>"MATUTINO"</f>
        <v>MATUTINO</v>
      </c>
      <c r="E149" s="26" t="str">
        <f>"PERIFERICO SUR 7666                                                             "</f>
        <v xml:space="preserve">PERIFERICO SUR 7666                                                             </v>
      </c>
      <c r="F149" s="26" t="str">
        <f>"GRANJAS COAPA                                                                                                                               "</f>
        <v xml:space="preserve">GRANJAS COAPA                                                                                                                               </v>
      </c>
      <c r="G149" s="26" t="str">
        <f>"TLALPAN                                                                         "</f>
        <v xml:space="preserve">TLALPAN                                                                         </v>
      </c>
      <c r="H149" s="26" t="str">
        <f>"526"</f>
        <v>526</v>
      </c>
      <c r="I149" s="26" t="str">
        <f t="shared" si="23"/>
        <v>00</v>
      </c>
      <c r="J149" s="26" t="str">
        <f>"45 "</f>
        <v xml:space="preserve">45 </v>
      </c>
      <c r="K149" s="26" t="str">
        <f t="shared" si="25"/>
        <v>PR</v>
      </c>
      <c r="L149" s="26" t="str">
        <f t="shared" si="26"/>
        <v>DGOSE</v>
      </c>
      <c r="M149" s="26" t="str">
        <f t="shared" si="24"/>
        <v>FEDERAL</v>
      </c>
      <c r="N149" s="26">
        <v>466</v>
      </c>
      <c r="O149" s="26">
        <v>231</v>
      </c>
      <c r="P149" s="26">
        <v>235</v>
      </c>
      <c r="Q149" s="26">
        <v>13</v>
      </c>
      <c r="R149" s="26">
        <v>1</v>
      </c>
      <c r="S149" s="26">
        <v>13</v>
      </c>
      <c r="T149" s="26">
        <v>9</v>
      </c>
      <c r="U149" s="26">
        <v>23</v>
      </c>
      <c r="V149" s="26">
        <v>1</v>
      </c>
      <c r="W149" s="26"/>
    </row>
    <row r="150" spans="1:23" x14ac:dyDescent="0.25">
      <c r="A150" s="26" t="str">
        <f t="shared" si="22"/>
        <v>PRIMARIA</v>
      </c>
      <c r="B150" s="26" t="str">
        <f>"09DPR0130H"</f>
        <v>09DPR0130H</v>
      </c>
      <c r="C150" s="26" t="str">
        <f>"PROFRA. VIRGINIA RIVERA LOZANO                                                                      "</f>
        <v xml:space="preserve">PROFRA. VIRGINIA RIVERA LOZANO                                                                      </v>
      </c>
      <c r="D150" s="26" t="str">
        <f>"VESPERTINO"</f>
        <v>VESPERTINO</v>
      </c>
      <c r="E150" s="26" t="str">
        <f>"AV. ROMULO O FARRIL S/N                                                         "</f>
        <v xml:space="preserve">AV. ROMULO O FARRIL S/N                                                         </v>
      </c>
      <c r="F150" s="26" t="str">
        <f>"LAS AGUILAS AMPLIACION                                                                                                                      "</f>
        <v xml:space="preserve">LAS AGUILAS AMPLIACION                                                                                                                      </v>
      </c>
      <c r="G150" s="26" t="str">
        <f>"ALVARO OBREGON                                                                  "</f>
        <v xml:space="preserve">ALVARO OBREGON                                                                  </v>
      </c>
      <c r="H150" s="26" t="str">
        <f>"321"</f>
        <v>321</v>
      </c>
      <c r="I150" s="26" t="str">
        <f t="shared" si="23"/>
        <v>00</v>
      </c>
      <c r="J150" s="26" t="str">
        <f>"43 "</f>
        <v xml:space="preserve">43 </v>
      </c>
      <c r="K150" s="26" t="str">
        <f t="shared" si="25"/>
        <v>PR</v>
      </c>
      <c r="L150" s="26" t="str">
        <f t="shared" si="26"/>
        <v>DGOSE</v>
      </c>
      <c r="M150" s="26" t="str">
        <f t="shared" si="24"/>
        <v>FEDERAL</v>
      </c>
      <c r="N150" s="26">
        <v>144</v>
      </c>
      <c r="O150" s="26">
        <v>81</v>
      </c>
      <c r="P150" s="26">
        <v>63</v>
      </c>
      <c r="Q150" s="26">
        <v>6</v>
      </c>
      <c r="R150" s="26">
        <v>1</v>
      </c>
      <c r="S150" s="26">
        <v>6</v>
      </c>
      <c r="T150" s="26">
        <v>4</v>
      </c>
      <c r="U150" s="26">
        <v>11</v>
      </c>
      <c r="V150" s="26">
        <v>1</v>
      </c>
      <c r="W150" s="26"/>
    </row>
    <row r="151" spans="1:23" x14ac:dyDescent="0.25">
      <c r="A151" s="26" t="str">
        <f t="shared" si="22"/>
        <v>PRIMARIA</v>
      </c>
      <c r="B151" s="26" t="str">
        <f>"09DPR0131G"</f>
        <v>09DPR0131G</v>
      </c>
      <c r="C151" s="26" t="str">
        <f>"EFRAIN HUERTA                                                                                       "</f>
        <v xml:space="preserve">EFRAIN HUERTA                                                                                       </v>
      </c>
      <c r="D151" s="26" t="str">
        <f>"MATUTINO"</f>
        <v>MATUTINO</v>
      </c>
      <c r="E151" s="26" t="str">
        <f>"ALCANFORES SIN NO.                                                              "</f>
        <v xml:space="preserve">ALCANFORES SIN NO.                                                              </v>
      </c>
      <c r="F151" s="26" t="str">
        <f>"LOMAS DE LA HERA                                                                                                                            "</f>
        <v xml:space="preserve">LOMAS DE LA HERA                                                                                                                            </v>
      </c>
      <c r="G151" s="26" t="str">
        <f>"ALVARO OBREGON                                                                  "</f>
        <v xml:space="preserve">ALVARO OBREGON                                                                  </v>
      </c>
      <c r="H151" s="26" t="str">
        <f>"329"</f>
        <v>329</v>
      </c>
      <c r="I151" s="26" t="str">
        <f t="shared" si="23"/>
        <v>00</v>
      </c>
      <c r="J151" s="26" t="str">
        <f>"43 "</f>
        <v xml:space="preserve">43 </v>
      </c>
      <c r="K151" s="26" t="str">
        <f t="shared" si="25"/>
        <v>PR</v>
      </c>
      <c r="L151" s="26" t="str">
        <f t="shared" si="26"/>
        <v>DGOSE</v>
      </c>
      <c r="M151" s="26" t="str">
        <f t="shared" si="24"/>
        <v>FEDERAL</v>
      </c>
      <c r="N151" s="26">
        <v>609</v>
      </c>
      <c r="O151" s="26">
        <v>294</v>
      </c>
      <c r="P151" s="26">
        <v>315</v>
      </c>
      <c r="Q151" s="26">
        <v>17</v>
      </c>
      <c r="R151" s="26">
        <v>1</v>
      </c>
      <c r="S151" s="26">
        <v>17</v>
      </c>
      <c r="T151" s="26">
        <v>8</v>
      </c>
      <c r="U151" s="26">
        <v>26</v>
      </c>
      <c r="V151" s="26">
        <v>1</v>
      </c>
      <c r="W151" s="26"/>
    </row>
    <row r="152" spans="1:23" x14ac:dyDescent="0.25">
      <c r="A152" s="26" t="str">
        <f t="shared" si="22"/>
        <v>PRIMARIA</v>
      </c>
      <c r="B152" s="26" t="str">
        <f>"09DPR0134D"</f>
        <v>09DPR0134D</v>
      </c>
      <c r="C152" s="26" t="str">
        <f>"AURELIO HIDALGO                                                                                     "</f>
        <v xml:space="preserve">AURELIO HIDALGO                                                                                     </v>
      </c>
      <c r="D152" s="26" t="str">
        <f>"MATUTINO"</f>
        <v>MATUTINO</v>
      </c>
      <c r="E152" s="26" t="str">
        <f>"ORQUIDEA S/N                                                                    "</f>
        <v xml:space="preserve">ORQUIDEA S/N                                                                    </v>
      </c>
      <c r="F152" s="26" t="str">
        <f>"TORRES DE POTRERO                                                                                                                           "</f>
        <v xml:space="preserve">TORRES DE POTRERO                                                                                                                           </v>
      </c>
      <c r="G152" s="26" t="str">
        <f>"ALVARO OBREGON                                                                  "</f>
        <v xml:space="preserve">ALVARO OBREGON                                                                  </v>
      </c>
      <c r="H152" s="26" t="str">
        <f>"329"</f>
        <v>329</v>
      </c>
      <c r="I152" s="26" t="str">
        <f t="shared" si="23"/>
        <v>00</v>
      </c>
      <c r="J152" s="26" t="str">
        <f>"43 "</f>
        <v xml:space="preserve">43 </v>
      </c>
      <c r="K152" s="26" t="str">
        <f t="shared" si="25"/>
        <v>PR</v>
      </c>
      <c r="L152" s="26" t="str">
        <f t="shared" si="26"/>
        <v>DGOSE</v>
      </c>
      <c r="M152" s="26" t="str">
        <f t="shared" si="24"/>
        <v>FEDERAL</v>
      </c>
      <c r="N152" s="26">
        <v>623</v>
      </c>
      <c r="O152" s="26">
        <v>301</v>
      </c>
      <c r="P152" s="26">
        <v>322</v>
      </c>
      <c r="Q152" s="26">
        <v>17</v>
      </c>
      <c r="R152" s="26">
        <v>1</v>
      </c>
      <c r="S152" s="26">
        <v>17</v>
      </c>
      <c r="T152" s="26">
        <v>11</v>
      </c>
      <c r="U152" s="26">
        <v>29</v>
      </c>
      <c r="V152" s="26">
        <v>1</v>
      </c>
      <c r="W152" s="26"/>
    </row>
    <row r="153" spans="1:23" x14ac:dyDescent="0.25">
      <c r="A153" s="26" t="str">
        <f t="shared" si="22"/>
        <v>PRIMARIA</v>
      </c>
      <c r="B153" s="26" t="str">
        <f>"09DPR0135C"</f>
        <v>09DPR0135C</v>
      </c>
      <c r="C153" s="26" t="str">
        <f>"MAESTRO JOSE GUADALUPE NAJERA JIMENEZ                                                               "</f>
        <v xml:space="preserve">MAESTRO JOSE GUADALUPE NAJERA JIMENEZ                                                               </v>
      </c>
      <c r="D153" s="26" t="str">
        <f>"JORNADA AMPLIADA"</f>
        <v>JORNADA AMPLIADA</v>
      </c>
      <c r="E153" s="26" t="str">
        <f>"HIDALGO NUM. 41                                                                 "</f>
        <v xml:space="preserve">HIDALGO NUM. 41                                                                 </v>
      </c>
      <c r="F153" s="26" t="str">
        <f>"SAN FRANCISCO CULHUACAN                                                                                                                     "</f>
        <v xml:space="preserve">SAN FRANCISCO CULHUACAN                                                                                                                     </v>
      </c>
      <c r="G153" s="26" t="str">
        <f>"COYOACAN                                                                        "</f>
        <v xml:space="preserve">COYOACAN                                                                        </v>
      </c>
      <c r="H153" s="26" t="str">
        <f>"439"</f>
        <v>439</v>
      </c>
      <c r="I153" s="26" t="str">
        <f t="shared" si="23"/>
        <v>00</v>
      </c>
      <c r="J153" s="26" t="str">
        <f>"44 "</f>
        <v xml:space="preserve">44 </v>
      </c>
      <c r="K153" s="26" t="str">
        <f t="shared" si="25"/>
        <v>PR</v>
      </c>
      <c r="L153" s="26" t="str">
        <f t="shared" si="26"/>
        <v>DGOSE</v>
      </c>
      <c r="M153" s="26" t="str">
        <f t="shared" si="24"/>
        <v>FEDERAL</v>
      </c>
      <c r="N153" s="26">
        <v>190</v>
      </c>
      <c r="O153" s="26">
        <v>94</v>
      </c>
      <c r="P153" s="26">
        <v>96</v>
      </c>
      <c r="Q153" s="26">
        <v>6</v>
      </c>
      <c r="R153" s="26">
        <v>1</v>
      </c>
      <c r="S153" s="26">
        <v>6</v>
      </c>
      <c r="T153" s="26">
        <v>8</v>
      </c>
      <c r="U153" s="26">
        <v>15</v>
      </c>
      <c r="V153" s="26">
        <v>1</v>
      </c>
      <c r="W153" s="26" t="s">
        <v>2076</v>
      </c>
    </row>
    <row r="154" spans="1:23" x14ac:dyDescent="0.25">
      <c r="A154" s="26" t="str">
        <f t="shared" si="22"/>
        <v>PRIMARIA</v>
      </c>
      <c r="B154" s="26" t="str">
        <f>"09DPR0137A"</f>
        <v>09DPR0137A</v>
      </c>
      <c r="C154" s="26" t="str">
        <f>"PROFR. RAMIRO SANCHEZ LOPEZ                                                                         "</f>
        <v xml:space="preserve">PROFR. RAMIRO SANCHEZ LOPEZ                                                                         </v>
      </c>
      <c r="D154" s="26" t="str">
        <f>"VESPERTINO"</f>
        <v>VESPERTINO</v>
      </c>
      <c r="E154" s="26" t="str">
        <f>"ORQUIDEA Y AV. MINAS S/N.                                                       "</f>
        <v xml:space="preserve">ORQUIDEA Y AV. MINAS S/N.                                                       </v>
      </c>
      <c r="F154" s="26" t="str">
        <f>"BUENAVISTA                                                                                                                                  "</f>
        <v xml:space="preserve">BUENAVISTA                                                                                                                                  </v>
      </c>
      <c r="G154" s="26" t="str">
        <f>"IZTAPALAPA                                                                      "</f>
        <v xml:space="preserve">IZTAPALAPA                                                                      </v>
      </c>
      <c r="H154" s="26" t="str">
        <f>"060"</f>
        <v>060</v>
      </c>
      <c r="I154" s="26" t="str">
        <f t="shared" si="23"/>
        <v>00</v>
      </c>
      <c r="J154" s="26" t="str">
        <f>"64 "</f>
        <v xml:space="preserve">64 </v>
      </c>
      <c r="K154" s="26" t="str">
        <f>"IZ"</f>
        <v>IZ</v>
      </c>
      <c r="L154" s="26" t="str">
        <f>"DGSEI"</f>
        <v>DGSEI</v>
      </c>
      <c r="M154" s="26" t="str">
        <f t="shared" si="24"/>
        <v>FEDERAL</v>
      </c>
      <c r="N154" s="26">
        <v>618</v>
      </c>
      <c r="O154" s="26">
        <v>301</v>
      </c>
      <c r="P154" s="26">
        <v>317</v>
      </c>
      <c r="Q154" s="26">
        <v>20</v>
      </c>
      <c r="R154" s="26">
        <v>1</v>
      </c>
      <c r="S154" s="26">
        <v>20</v>
      </c>
      <c r="T154" s="26">
        <v>7</v>
      </c>
      <c r="U154" s="26">
        <v>28</v>
      </c>
      <c r="V154" s="26">
        <v>1</v>
      </c>
      <c r="W154" s="26"/>
    </row>
    <row r="155" spans="1:23" x14ac:dyDescent="0.25">
      <c r="A155" s="26" t="str">
        <f t="shared" si="22"/>
        <v>PRIMARIA</v>
      </c>
      <c r="B155" s="26" t="str">
        <f>"09DPR0138Z"</f>
        <v>09DPR0138Z</v>
      </c>
      <c r="C155" s="26" t="str">
        <f>"PROFR. FERNANDO BROM ROJAS                                                                          "</f>
        <v xml:space="preserve">PROFR. FERNANDO BROM ROJAS                                                                          </v>
      </c>
      <c r="D155" s="26" t="str">
        <f>"JORNADA AMPLIADA"</f>
        <v>JORNADA AMPLIADA</v>
      </c>
      <c r="E155" s="26" t="str">
        <f>"ANDADOR No. 1 Y TEPETLAPA                                                       "</f>
        <v xml:space="preserve">ANDADOR No. 1 Y TEPETLAPA                                                       </v>
      </c>
      <c r="F155" s="26" t="str">
        <f>"UNIDAD HABITACIONAL ALIANZA POPULAR                                                                                                         "</f>
        <v xml:space="preserve">UNIDAD HABITACIONAL ALIANZA POPULAR                                                                                                         </v>
      </c>
      <c r="G155" s="26" t="str">
        <f>"COYOACAN                                                                        "</f>
        <v xml:space="preserve">COYOACAN                                                                        </v>
      </c>
      <c r="H155" s="26" t="str">
        <f>"441"</f>
        <v>441</v>
      </c>
      <c r="I155" s="26" t="str">
        <f t="shared" si="23"/>
        <v>00</v>
      </c>
      <c r="J155" s="26" t="str">
        <f>"44 "</f>
        <v xml:space="preserve">44 </v>
      </c>
      <c r="K155" s="26" t="str">
        <f>"PR"</f>
        <v>PR</v>
      </c>
      <c r="L155" s="26" t="str">
        <f>"DGOSE"</f>
        <v>DGOSE</v>
      </c>
      <c r="M155" s="26" t="str">
        <f t="shared" si="24"/>
        <v>FEDERAL</v>
      </c>
      <c r="N155" s="26">
        <v>328</v>
      </c>
      <c r="O155" s="26">
        <v>159</v>
      </c>
      <c r="P155" s="26">
        <v>169</v>
      </c>
      <c r="Q155" s="26">
        <v>12</v>
      </c>
      <c r="R155" s="26">
        <v>1</v>
      </c>
      <c r="S155" s="26">
        <v>12</v>
      </c>
      <c r="T155" s="26">
        <v>9</v>
      </c>
      <c r="U155" s="26">
        <v>22</v>
      </c>
      <c r="V155" s="26">
        <v>1</v>
      </c>
      <c r="W155" s="26" t="s">
        <v>2076</v>
      </c>
    </row>
    <row r="156" spans="1:23" x14ac:dyDescent="0.25">
      <c r="A156" s="26" t="str">
        <f t="shared" si="22"/>
        <v>PRIMARIA</v>
      </c>
      <c r="B156" s="26" t="str">
        <f>"09DPR0139Z"</f>
        <v>09DPR0139Z</v>
      </c>
      <c r="C156" s="26" t="str">
        <f>"ESTEFANIA CASTAÑEDA                                                                                 "</f>
        <v xml:space="preserve">ESTEFANIA CASTAÑEDA                                                                                 </v>
      </c>
      <c r="D156" s="26" t="str">
        <f>"VESPERTINO"</f>
        <v>VESPERTINO</v>
      </c>
      <c r="E156" s="26" t="str">
        <f>"CARLOTA ARMERO SN.                                                              "</f>
        <v xml:space="preserve">CARLOTA ARMERO SN.                                                              </v>
      </c>
      <c r="F156" s="26" t="str">
        <f>"UNIDAD HABITACIONAL C T M                                                                                                                   "</f>
        <v xml:space="preserve">UNIDAD HABITACIONAL C T M                                                                                                                   </v>
      </c>
      <c r="G156" s="26" t="str">
        <f>"COYOACAN                                                                        "</f>
        <v xml:space="preserve">COYOACAN                                                                        </v>
      </c>
      <c r="H156" s="26" t="str">
        <f>"566"</f>
        <v>566</v>
      </c>
      <c r="I156" s="26" t="str">
        <f t="shared" si="23"/>
        <v>00</v>
      </c>
      <c r="J156" s="26" t="str">
        <f>"45 "</f>
        <v xml:space="preserve">45 </v>
      </c>
      <c r="K156" s="26" t="str">
        <f>"PR"</f>
        <v>PR</v>
      </c>
      <c r="L156" s="26" t="str">
        <f>"DGOSE"</f>
        <v>DGOSE</v>
      </c>
      <c r="M156" s="26" t="str">
        <f t="shared" si="24"/>
        <v>FEDERAL</v>
      </c>
      <c r="N156" s="26">
        <v>140</v>
      </c>
      <c r="O156" s="26">
        <v>72</v>
      </c>
      <c r="P156" s="26">
        <v>68</v>
      </c>
      <c r="Q156" s="26">
        <v>6</v>
      </c>
      <c r="R156" s="26">
        <v>1</v>
      </c>
      <c r="S156" s="26">
        <v>6</v>
      </c>
      <c r="T156" s="26">
        <v>7</v>
      </c>
      <c r="U156" s="26">
        <v>14</v>
      </c>
      <c r="V156" s="26">
        <v>1</v>
      </c>
      <c r="W156" s="26"/>
    </row>
    <row r="157" spans="1:23" x14ac:dyDescent="0.25">
      <c r="A157" s="26" t="str">
        <f t="shared" si="22"/>
        <v>PRIMARIA</v>
      </c>
      <c r="B157" s="26" t="str">
        <f>"09DPR0141N"</f>
        <v>09DPR0141N</v>
      </c>
      <c r="C157" s="26" t="str">
        <f>"PROFR. JOSE GONZALEZ VILLASEÑOR                                                                     "</f>
        <v xml:space="preserve">PROFR. JOSE GONZALEZ VILLASEÑOR                                                                     </v>
      </c>
      <c r="D157" s="26" t="str">
        <f>"VESPERTINO"</f>
        <v>VESPERTINO</v>
      </c>
      <c r="E157" s="26" t="str">
        <f>"JUSTO SIERRA NO. 8                                                              "</f>
        <v xml:space="preserve">JUSTO SIERRA NO. 8                                                              </v>
      </c>
      <c r="F157" s="26" t="str">
        <f>"LOMAS DE SANTA CRUZ                                                                                                                         "</f>
        <v xml:space="preserve">LOMAS DE SANTA CRUZ                                                                                                                         </v>
      </c>
      <c r="G157" s="26" t="str">
        <f>"IZTAPALAPA                                                                      "</f>
        <v xml:space="preserve">IZTAPALAPA                                                                      </v>
      </c>
      <c r="H157" s="26" t="str">
        <f>"052"</f>
        <v>052</v>
      </c>
      <c r="I157" s="26" t="str">
        <f t="shared" si="23"/>
        <v>00</v>
      </c>
      <c r="J157" s="26" t="str">
        <f>"64 "</f>
        <v xml:space="preserve">64 </v>
      </c>
      <c r="K157" s="26" t="str">
        <f>"IZ"</f>
        <v>IZ</v>
      </c>
      <c r="L157" s="26" t="str">
        <f>"DGSEI"</f>
        <v>DGSEI</v>
      </c>
      <c r="M157" s="26" t="str">
        <f t="shared" si="24"/>
        <v>FEDERAL</v>
      </c>
      <c r="N157" s="26">
        <v>779</v>
      </c>
      <c r="O157" s="26">
        <v>397</v>
      </c>
      <c r="P157" s="26">
        <v>382</v>
      </c>
      <c r="Q157" s="26">
        <v>21</v>
      </c>
      <c r="R157" s="26">
        <v>1</v>
      </c>
      <c r="S157" s="26">
        <v>19</v>
      </c>
      <c r="T157" s="26">
        <v>8</v>
      </c>
      <c r="U157" s="26">
        <v>28</v>
      </c>
      <c r="V157" s="26">
        <v>1</v>
      </c>
      <c r="W157" s="26"/>
    </row>
    <row r="158" spans="1:23" x14ac:dyDescent="0.25">
      <c r="A158" s="26" t="str">
        <f t="shared" si="22"/>
        <v>PRIMARIA</v>
      </c>
      <c r="B158" s="26" t="str">
        <f>"09DPR0142M"</f>
        <v>09DPR0142M</v>
      </c>
      <c r="C158" s="26" t="str">
        <f>"PROFRA. MARIA EPIGMENIA ARRIAGA SALGADO                                                             "</f>
        <v xml:space="preserve">PROFRA. MARIA EPIGMENIA ARRIAGA SALGADO                                                             </v>
      </c>
      <c r="D158" s="26" t="str">
        <f>"JORNADA AMPLIADA"</f>
        <v>JORNADA AMPLIADA</v>
      </c>
      <c r="E158" s="26" t="str">
        <f>"2 RET ROSARIO CASTELLANOS S/N MZA L                                             "</f>
        <v xml:space="preserve">2 RET ROSARIO CASTELLANOS S/N MZA L                                             </v>
      </c>
      <c r="F158" s="26" t="str">
        <f>"UNIDAD HABITACIONAL CTM NUEVE                                                                                                               "</f>
        <v xml:space="preserve">UNIDAD HABITACIONAL CTM NUEVE                                                                                                               </v>
      </c>
      <c r="G158" s="26" t="str">
        <f>"COYOACAN                                                                        "</f>
        <v xml:space="preserve">COYOACAN                                                                        </v>
      </c>
      <c r="H158" s="26" t="str">
        <f>"443"</f>
        <v>443</v>
      </c>
      <c r="I158" s="26" t="str">
        <f t="shared" si="23"/>
        <v>00</v>
      </c>
      <c r="J158" s="26" t="str">
        <f>"44 "</f>
        <v xml:space="preserve">44 </v>
      </c>
      <c r="K158" s="26" t="str">
        <f>"PR"</f>
        <v>PR</v>
      </c>
      <c r="L158" s="26" t="str">
        <f>"DGOSE"</f>
        <v>DGOSE</v>
      </c>
      <c r="M158" s="26" t="str">
        <f t="shared" si="24"/>
        <v>FEDERAL</v>
      </c>
      <c r="N158" s="26">
        <v>521</v>
      </c>
      <c r="O158" s="26">
        <v>270</v>
      </c>
      <c r="P158" s="26">
        <v>251</v>
      </c>
      <c r="Q158" s="26">
        <v>17</v>
      </c>
      <c r="R158" s="26">
        <v>1</v>
      </c>
      <c r="S158" s="26">
        <v>16</v>
      </c>
      <c r="T158" s="26">
        <v>13</v>
      </c>
      <c r="U158" s="26">
        <v>30</v>
      </c>
      <c r="V158" s="26">
        <v>1</v>
      </c>
      <c r="W158" s="26" t="s">
        <v>2076</v>
      </c>
    </row>
    <row r="159" spans="1:23" x14ac:dyDescent="0.25">
      <c r="A159" s="26" t="str">
        <f t="shared" si="22"/>
        <v>PRIMARIA</v>
      </c>
      <c r="B159" s="26" t="str">
        <f>"09DPR0143L"</f>
        <v>09DPR0143L</v>
      </c>
      <c r="C159" s="26" t="str">
        <f>"ESPERANZA VILLASANA HEREDIA                                                                         "</f>
        <v xml:space="preserve">ESPERANZA VILLASANA HEREDIA                                                                         </v>
      </c>
      <c r="D159" s="26" t="str">
        <f>"TIEMPO COMPLETO"</f>
        <v>TIEMPO COMPLETO</v>
      </c>
      <c r="E159" s="26" t="str">
        <f>"PARALELA 7 S/N CAM REAL A TOLUCA                                                "</f>
        <v xml:space="preserve">PARALELA 7 S/N CAM REAL A TOLUCA                                                </v>
      </c>
      <c r="F159" s="26" t="str">
        <f>"JOSE MARIA PINO SUAREZ                                                                                                                      "</f>
        <v xml:space="preserve">JOSE MARIA PINO SUAREZ                                                                                                                      </v>
      </c>
      <c r="G159" s="26" t="str">
        <f>"ALVARO OBREGON                                                                  "</f>
        <v xml:space="preserve">ALVARO OBREGON                                                                  </v>
      </c>
      <c r="H159" s="26" t="str">
        <f>"400"</f>
        <v>400</v>
      </c>
      <c r="I159" s="26" t="str">
        <f t="shared" si="23"/>
        <v>00</v>
      </c>
      <c r="J159" s="26" t="str">
        <f>"44 "</f>
        <v xml:space="preserve">44 </v>
      </c>
      <c r="K159" s="26" t="str">
        <f>"PR"</f>
        <v>PR</v>
      </c>
      <c r="L159" s="26" t="str">
        <f>"DGOSE"</f>
        <v>DGOSE</v>
      </c>
      <c r="M159" s="26" t="str">
        <f t="shared" si="24"/>
        <v>FEDERAL</v>
      </c>
      <c r="N159" s="26">
        <v>362</v>
      </c>
      <c r="O159" s="26">
        <v>195</v>
      </c>
      <c r="P159" s="26">
        <v>167</v>
      </c>
      <c r="Q159" s="26">
        <v>12</v>
      </c>
      <c r="R159" s="26">
        <v>0</v>
      </c>
      <c r="S159" s="26">
        <v>11</v>
      </c>
      <c r="T159" s="26">
        <v>10</v>
      </c>
      <c r="U159" s="26">
        <v>21</v>
      </c>
      <c r="V159" s="26">
        <v>1</v>
      </c>
      <c r="W159" s="26" t="s">
        <v>218</v>
      </c>
    </row>
    <row r="160" spans="1:23" x14ac:dyDescent="0.25">
      <c r="A160" s="26" t="str">
        <f t="shared" si="22"/>
        <v>PRIMARIA</v>
      </c>
      <c r="B160" s="26" t="str">
        <f>"09DPR0144K"</f>
        <v>09DPR0144K</v>
      </c>
      <c r="C160" s="26" t="str">
        <f>"CARLOS MARIA BUSTAMANTE                                                                             "</f>
        <v xml:space="preserve">CARLOS MARIA BUSTAMANTE                                                                             </v>
      </c>
      <c r="D160" s="26" t="str">
        <f>"MATUTINO"</f>
        <v>MATUTINO</v>
      </c>
      <c r="E160" s="26" t="str">
        <f>"CERRADA DE ENCINO NUM 39                                                        "</f>
        <v xml:space="preserve">CERRADA DE ENCINO NUM 39                                                        </v>
      </c>
      <c r="F160" s="26" t="str">
        <f>"GRANJAS DE NAVIDAD                                                                                                                          "</f>
        <v xml:space="preserve">GRANJAS DE NAVIDAD                                                                                                                          </v>
      </c>
      <c r="G160" s="26" t="str">
        <f>"CUAJIMALPA DE MORELOS                                                           "</f>
        <v xml:space="preserve">CUAJIMALPA DE MORELOS                                                           </v>
      </c>
      <c r="H160" s="26" t="str">
        <f>"301"</f>
        <v>301</v>
      </c>
      <c r="I160" s="26" t="str">
        <f t="shared" si="23"/>
        <v>00</v>
      </c>
      <c r="J160" s="26" t="str">
        <f>"43 "</f>
        <v xml:space="preserve">43 </v>
      </c>
      <c r="K160" s="26" t="str">
        <f>"PR"</f>
        <v>PR</v>
      </c>
      <c r="L160" s="26" t="str">
        <f>"DGOSE"</f>
        <v>DGOSE</v>
      </c>
      <c r="M160" s="26" t="str">
        <f t="shared" si="24"/>
        <v>FEDERAL</v>
      </c>
      <c r="N160" s="26">
        <v>620</v>
      </c>
      <c r="O160" s="26">
        <v>296</v>
      </c>
      <c r="P160" s="26">
        <v>324</v>
      </c>
      <c r="Q160" s="26">
        <v>18</v>
      </c>
      <c r="R160" s="26">
        <v>0</v>
      </c>
      <c r="S160" s="26">
        <v>18</v>
      </c>
      <c r="T160" s="26">
        <v>9</v>
      </c>
      <c r="U160" s="26">
        <v>27</v>
      </c>
      <c r="V160" s="26">
        <v>1</v>
      </c>
      <c r="W160" s="26"/>
    </row>
    <row r="161" spans="1:23" x14ac:dyDescent="0.25">
      <c r="A161" s="26" t="str">
        <f t="shared" si="22"/>
        <v>PRIMARIA</v>
      </c>
      <c r="B161" s="26" t="str">
        <f>"09DPR0145J"</f>
        <v>09DPR0145J</v>
      </c>
      <c r="C161" s="26" t="str">
        <f>"PROFRA. JOSEFINA TOLSA MARAÑON                                                                      "</f>
        <v xml:space="preserve">PROFRA. JOSEFINA TOLSA MARAÑON                                                                      </v>
      </c>
      <c r="D161" s="26" t="str">
        <f>"MATUTINO"</f>
        <v>MATUTINO</v>
      </c>
      <c r="E161" s="26" t="str">
        <f>"CDA. CORNELIO LARIOS S/N                                                        "</f>
        <v xml:space="preserve">CDA. CORNELIO LARIOS S/N                                                        </v>
      </c>
      <c r="F161" s="26" t="str">
        <f>"PALMATITLA                                                                                                                                  "</f>
        <v xml:space="preserve">PALMATITLA                                                                                                                                  </v>
      </c>
      <c r="G161" s="26" t="str">
        <f>"GUSTAVO A. MADERO                                                               "</f>
        <v xml:space="preserve">GUSTAVO A. MADERO                                                               </v>
      </c>
      <c r="H161" s="26" t="str">
        <f>"228"</f>
        <v>228</v>
      </c>
      <c r="I161" s="26" t="str">
        <f t="shared" si="23"/>
        <v>00</v>
      </c>
      <c r="J161" s="26" t="str">
        <f>"42 "</f>
        <v xml:space="preserve">42 </v>
      </c>
      <c r="K161" s="26" t="str">
        <f>"PR"</f>
        <v>PR</v>
      </c>
      <c r="L161" s="26" t="str">
        <f>"DGOSE"</f>
        <v>DGOSE</v>
      </c>
      <c r="M161" s="26" t="str">
        <f t="shared" si="24"/>
        <v>FEDERAL</v>
      </c>
      <c r="N161" s="26">
        <v>609</v>
      </c>
      <c r="O161" s="26">
        <v>284</v>
      </c>
      <c r="P161" s="26">
        <v>325</v>
      </c>
      <c r="Q161" s="26">
        <v>18</v>
      </c>
      <c r="R161" s="26">
        <v>1</v>
      </c>
      <c r="S161" s="26">
        <v>18</v>
      </c>
      <c r="T161" s="26">
        <v>11</v>
      </c>
      <c r="U161" s="26">
        <v>30</v>
      </c>
      <c r="V161" s="26">
        <v>1</v>
      </c>
      <c r="W161" s="26"/>
    </row>
    <row r="162" spans="1:23" x14ac:dyDescent="0.25">
      <c r="A162" s="26" t="str">
        <f t="shared" si="22"/>
        <v>PRIMARIA</v>
      </c>
      <c r="B162" s="26" t="str">
        <f>"09DPR0836V"</f>
        <v>09DPR0836V</v>
      </c>
      <c r="C162" s="26" t="str">
        <f>"PROFR. ANGEL SALAS BONILLA                                                                          "</f>
        <v xml:space="preserve">PROFR. ANGEL SALAS BONILLA                                                                          </v>
      </c>
      <c r="D162" s="26" t="str">
        <f>"VESPERTINO"</f>
        <v>VESPERTINO</v>
      </c>
      <c r="E162" s="26" t="str">
        <f>"VERGEL NO. 6                                                                    "</f>
        <v xml:space="preserve">VERGEL NO. 6                                                                    </v>
      </c>
      <c r="F162" s="26" t="str">
        <f>"SANTA CRUZ MEYEHUALCO                                                                                                                       "</f>
        <v xml:space="preserve">SANTA CRUZ MEYEHUALCO                                                                                                                       </v>
      </c>
      <c r="G162" s="26" t="str">
        <f>"IZTAPALAPA                                                                      "</f>
        <v xml:space="preserve">IZTAPALAPA                                                                      </v>
      </c>
      <c r="H162" s="26" t="str">
        <f>"054"</f>
        <v>054</v>
      </c>
      <c r="I162" s="26" t="str">
        <f t="shared" si="23"/>
        <v>00</v>
      </c>
      <c r="J162" s="26" t="str">
        <f>"64 "</f>
        <v xml:space="preserve">64 </v>
      </c>
      <c r="K162" s="26" t="str">
        <f>"IZ"</f>
        <v>IZ</v>
      </c>
      <c r="L162" s="26" t="str">
        <f>"DGSEI"</f>
        <v>DGSEI</v>
      </c>
      <c r="M162" s="26" t="str">
        <f t="shared" si="24"/>
        <v>FEDERAL</v>
      </c>
      <c r="N162" s="26">
        <v>258</v>
      </c>
      <c r="O162" s="26">
        <v>134</v>
      </c>
      <c r="P162" s="26">
        <v>124</v>
      </c>
      <c r="Q162" s="26">
        <v>11</v>
      </c>
      <c r="R162" s="26">
        <v>1</v>
      </c>
      <c r="S162" s="26">
        <v>11</v>
      </c>
      <c r="T162" s="26">
        <v>7</v>
      </c>
      <c r="U162" s="26">
        <v>19</v>
      </c>
      <c r="V162" s="26">
        <v>1</v>
      </c>
      <c r="W162" s="26"/>
    </row>
    <row r="163" spans="1:23" x14ac:dyDescent="0.25">
      <c r="A163" s="26" t="str">
        <f t="shared" si="22"/>
        <v>PRIMARIA</v>
      </c>
      <c r="B163" s="26" t="str">
        <f>"09DPR0837U"</f>
        <v>09DPR0837U</v>
      </c>
      <c r="C163" s="26" t="str">
        <f>"ESC. PRIM. ANEXA A LA BENM ""MANUEL M. ACOSTA""                                                       "</f>
        <v xml:space="preserve">ESC. PRIM. ANEXA A LA BENM "MANUEL M. ACOSTA"                                                       </v>
      </c>
      <c r="D163" s="26" t="str">
        <f>"VESPERTINO"</f>
        <v>VESPERTINO</v>
      </c>
      <c r="E163" s="26" t="str">
        <f>"CALZ. MEXICO TACUBA NUM 75                                                      "</f>
        <v xml:space="preserve">CALZ. MEXICO TACUBA NUM 75                                                      </v>
      </c>
      <c r="F163" s="26" t="str">
        <f>"UN HOGAR PARA NOSOTROS                                                                                                                      "</f>
        <v xml:space="preserve">UN HOGAR PARA NOSOTROS                                                                                                                      </v>
      </c>
      <c r="G163" s="26" t="str">
        <f>"MIGUEL HIDALGO                                                                  "</f>
        <v xml:space="preserve">MIGUEL HIDALGO                                                                  </v>
      </c>
      <c r="H163" s="26" t="str">
        <f>"001"</f>
        <v>001</v>
      </c>
      <c r="I163" s="26" t="str">
        <f t="shared" si="23"/>
        <v>00</v>
      </c>
      <c r="J163" s="26" t="str">
        <f>"91 "</f>
        <v xml:space="preserve">91 </v>
      </c>
      <c r="K163" s="26" t="str">
        <f>"EN"</f>
        <v>EN</v>
      </c>
      <c r="L163" s="26" t="str">
        <f>"DGENAM"</f>
        <v>DGENAM</v>
      </c>
      <c r="M163" s="26" t="str">
        <f t="shared" si="24"/>
        <v>FEDERAL</v>
      </c>
      <c r="N163" s="26">
        <v>147</v>
      </c>
      <c r="O163" s="26">
        <v>82</v>
      </c>
      <c r="P163" s="26">
        <v>65</v>
      </c>
      <c r="Q163" s="26">
        <v>6</v>
      </c>
      <c r="R163" s="26">
        <v>1</v>
      </c>
      <c r="S163" s="26">
        <v>6</v>
      </c>
      <c r="T163" s="26">
        <v>3</v>
      </c>
      <c r="U163" s="26">
        <v>10</v>
      </c>
      <c r="V163" s="26">
        <v>1</v>
      </c>
      <c r="W163" s="26"/>
    </row>
    <row r="164" spans="1:23" x14ac:dyDescent="0.25">
      <c r="A164" s="26" t="str">
        <f t="shared" si="22"/>
        <v>PRIMARIA</v>
      </c>
      <c r="B164" s="26" t="str">
        <f>"09DPR0839S"</f>
        <v>09DPR0839S</v>
      </c>
      <c r="C164" s="26" t="str">
        <f>"MURALISMO MEXICANO                                                                                  "</f>
        <v xml:space="preserve">MURALISMO MEXICANO                                                                                  </v>
      </c>
      <c r="D164" s="26" t="str">
        <f>"TIEMPO COMPLETO"</f>
        <v>TIEMPO COMPLETO</v>
      </c>
      <c r="E164" s="26" t="str">
        <f>"SUPER MANZANA 6 S/N                                                             "</f>
        <v xml:space="preserve">SUPER MANZANA 6 S/N                                                             </v>
      </c>
      <c r="F164" s="26" t="str">
        <f>"UNIDAD HABITACIONAL VICENTE GUERRER                                                                                                         "</f>
        <v xml:space="preserve">UNIDAD HABITACIONAL VICENTE GUERRER                                                                                                         </v>
      </c>
      <c r="G164" s="26" t="str">
        <f>"IZTAPALAPA                                                                      "</f>
        <v xml:space="preserve">IZTAPALAPA                                                                      </v>
      </c>
      <c r="H164" s="26" t="str">
        <f>"010"</f>
        <v>010</v>
      </c>
      <c r="I164" s="26" t="str">
        <f t="shared" si="23"/>
        <v>00</v>
      </c>
      <c r="J164" s="26" t="str">
        <f>"61 "</f>
        <v xml:space="preserve">61 </v>
      </c>
      <c r="K164" s="26" t="str">
        <f>"IZ"</f>
        <v>IZ</v>
      </c>
      <c r="L164" s="26" t="str">
        <f>"DGSEI"</f>
        <v>DGSEI</v>
      </c>
      <c r="M164" s="26" t="str">
        <f t="shared" si="24"/>
        <v>FEDERAL</v>
      </c>
      <c r="N164" s="26">
        <v>477</v>
      </c>
      <c r="O164" s="26">
        <v>221</v>
      </c>
      <c r="P164" s="26">
        <v>256</v>
      </c>
      <c r="Q164" s="26">
        <v>14</v>
      </c>
      <c r="R164" s="26">
        <v>0</v>
      </c>
      <c r="S164" s="26">
        <v>14</v>
      </c>
      <c r="T164" s="26">
        <v>11</v>
      </c>
      <c r="U164" s="26">
        <v>25</v>
      </c>
      <c r="V164" s="26">
        <v>1</v>
      </c>
      <c r="W164" s="26" t="s">
        <v>218</v>
      </c>
    </row>
    <row r="165" spans="1:23" x14ac:dyDescent="0.25">
      <c r="A165" s="26" t="str">
        <f t="shared" si="22"/>
        <v>PRIMARIA</v>
      </c>
      <c r="B165" s="26" t="str">
        <f>"09DPR0841G"</f>
        <v>09DPR0841G</v>
      </c>
      <c r="C165" s="26" t="str">
        <f>"GENERAL IGNACIO ZARAGOZA                                                                            "</f>
        <v xml:space="preserve">GENERAL IGNACIO ZARAGOZA                                                                            </v>
      </c>
      <c r="D165" s="26" t="str">
        <f>"TIEMPO COMPLETO"</f>
        <v>TIEMPO COMPLETO</v>
      </c>
      <c r="E165" s="26" t="str">
        <f>"INDEPENDENCIA S/N                                                               "</f>
        <v xml:space="preserve">INDEPENDENCIA S/N                                                               </v>
      </c>
      <c r="F165" s="26" t="str">
        <f>"LA ANGOSTURA                                                                                                                                "</f>
        <v xml:space="preserve">LA ANGOSTURA                                                                                                                                </v>
      </c>
      <c r="G165" s="26" t="str">
        <f>"ALVARO OBREGON                                                                  "</f>
        <v xml:space="preserve">ALVARO OBREGON                                                                  </v>
      </c>
      <c r="H165" s="26" t="str">
        <f>"406"</f>
        <v>406</v>
      </c>
      <c r="I165" s="26" t="str">
        <f t="shared" si="23"/>
        <v>00</v>
      </c>
      <c r="J165" s="26" t="str">
        <f>"44 "</f>
        <v xml:space="preserve">44 </v>
      </c>
      <c r="K165" s="26" t="str">
        <f t="shared" ref="K165:K175" si="27">"PR"</f>
        <v>PR</v>
      </c>
      <c r="L165" s="26" t="str">
        <f t="shared" ref="L165:L175" si="28">"DGOSE"</f>
        <v>DGOSE</v>
      </c>
      <c r="M165" s="26" t="str">
        <f t="shared" si="24"/>
        <v>FEDERAL</v>
      </c>
      <c r="N165" s="26">
        <v>449</v>
      </c>
      <c r="O165" s="26">
        <v>217</v>
      </c>
      <c r="P165" s="26">
        <v>232</v>
      </c>
      <c r="Q165" s="26">
        <v>14</v>
      </c>
      <c r="R165" s="26">
        <v>1</v>
      </c>
      <c r="S165" s="26">
        <v>14</v>
      </c>
      <c r="T165" s="26">
        <v>9</v>
      </c>
      <c r="U165" s="26">
        <v>24</v>
      </c>
      <c r="V165" s="26">
        <v>1</v>
      </c>
      <c r="W165" s="26" t="s">
        <v>218</v>
      </c>
    </row>
    <row r="166" spans="1:23" x14ac:dyDescent="0.25">
      <c r="A166" s="26" t="str">
        <f t="shared" si="22"/>
        <v>PRIMARIA</v>
      </c>
      <c r="B166" s="26" t="str">
        <f>"09DPR0843E"</f>
        <v>09DPR0843E</v>
      </c>
      <c r="C166" s="26" t="str">
        <f>"JUAN JACOBO ROUSSEAU                                                                                "</f>
        <v xml:space="preserve">JUAN JACOBO ROUSSEAU                                                                                </v>
      </c>
      <c r="D166" s="26" t="str">
        <f>"VESPERTINO"</f>
        <v>VESPERTINO</v>
      </c>
      <c r="E166" s="26" t="str">
        <f>"VOLCAN IZTACCIHUATL 90 Y AV. LOS PINOS                                          "</f>
        <v xml:space="preserve">VOLCAN IZTACCIHUATL 90 Y AV. LOS PINOS                                          </v>
      </c>
      <c r="F166" s="26" t="str">
        <f>"LA PRADERA                                                                                                                                  "</f>
        <v xml:space="preserve">LA PRADERA                                                                                                                                  </v>
      </c>
      <c r="G166" s="26" t="str">
        <f>"GUSTAVO A. MADERO                                                               "</f>
        <v xml:space="preserve">GUSTAVO A. MADERO                                                               </v>
      </c>
      <c r="H166" s="26" t="str">
        <f>"266"</f>
        <v>266</v>
      </c>
      <c r="I166" s="26" t="str">
        <f t="shared" si="23"/>
        <v>00</v>
      </c>
      <c r="J166" s="26" t="str">
        <f>"42 "</f>
        <v xml:space="preserve">42 </v>
      </c>
      <c r="K166" s="26" t="str">
        <f t="shared" si="27"/>
        <v>PR</v>
      </c>
      <c r="L166" s="26" t="str">
        <f t="shared" si="28"/>
        <v>DGOSE</v>
      </c>
      <c r="M166" s="26" t="str">
        <f t="shared" si="24"/>
        <v>FEDERAL</v>
      </c>
      <c r="N166" s="26">
        <v>116</v>
      </c>
      <c r="O166" s="26">
        <v>69</v>
      </c>
      <c r="P166" s="26">
        <v>47</v>
      </c>
      <c r="Q166" s="26">
        <v>10</v>
      </c>
      <c r="R166" s="26">
        <v>1</v>
      </c>
      <c r="S166" s="26">
        <v>7</v>
      </c>
      <c r="T166" s="26">
        <v>5</v>
      </c>
      <c r="U166" s="26">
        <v>13</v>
      </c>
      <c r="V166" s="26">
        <v>1</v>
      </c>
      <c r="W166" s="26"/>
    </row>
    <row r="167" spans="1:23" x14ac:dyDescent="0.25">
      <c r="A167" s="26" t="str">
        <f t="shared" si="22"/>
        <v>PRIMARIA</v>
      </c>
      <c r="B167" s="26" t="str">
        <f>"09DPR0844D"</f>
        <v>09DPR0844D</v>
      </c>
      <c r="C167" s="26" t="str">
        <f>"CORONEL ADALBERTO TEJEDA                                                                            "</f>
        <v xml:space="preserve">CORONEL ADALBERTO TEJEDA                                                                            </v>
      </c>
      <c r="D167" s="26" t="str">
        <f>"MATUTINO"</f>
        <v>MATUTINO</v>
      </c>
      <c r="E167" s="26" t="str">
        <f>"CALLE CENTRAL Y RIO TLALNEPANTLA S/N                                            "</f>
        <v xml:space="preserve">CALLE CENTRAL Y RIO TLALNEPANTLA S/N                                            </v>
      </c>
      <c r="F167" s="26" t="str">
        <f>"SAN JOSE DE LA ESCALERA                                                                                                                     "</f>
        <v xml:space="preserve">SAN JOSE DE LA ESCALERA                                                                                                                     </v>
      </c>
      <c r="G167" s="26" t="str">
        <f>"GUSTAVO A. MADERO                                                               "</f>
        <v xml:space="preserve">GUSTAVO A. MADERO                                                               </v>
      </c>
      <c r="H167" s="26" t="str">
        <f>"238"</f>
        <v>238</v>
      </c>
      <c r="I167" s="26" t="str">
        <f t="shared" si="23"/>
        <v>00</v>
      </c>
      <c r="J167" s="26" t="str">
        <f>"42 "</f>
        <v xml:space="preserve">42 </v>
      </c>
      <c r="K167" s="26" t="str">
        <f t="shared" si="27"/>
        <v>PR</v>
      </c>
      <c r="L167" s="26" t="str">
        <f t="shared" si="28"/>
        <v>DGOSE</v>
      </c>
      <c r="M167" s="26" t="str">
        <f t="shared" si="24"/>
        <v>FEDERAL</v>
      </c>
      <c r="N167" s="26">
        <v>234</v>
      </c>
      <c r="O167" s="26">
        <v>124</v>
      </c>
      <c r="P167" s="26">
        <v>110</v>
      </c>
      <c r="Q167" s="26">
        <v>10</v>
      </c>
      <c r="R167" s="26">
        <v>1</v>
      </c>
      <c r="S167" s="26">
        <v>10</v>
      </c>
      <c r="T167" s="26">
        <v>8</v>
      </c>
      <c r="U167" s="26">
        <v>19</v>
      </c>
      <c r="V167" s="26">
        <v>1</v>
      </c>
      <c r="W167" s="26"/>
    </row>
    <row r="168" spans="1:23" x14ac:dyDescent="0.25">
      <c r="A168" s="26" t="str">
        <f t="shared" si="22"/>
        <v>PRIMARIA</v>
      </c>
      <c r="B168" s="26" t="str">
        <f>"09DPR0846B"</f>
        <v>09DPR0846B</v>
      </c>
      <c r="C168" s="26" t="str">
        <f>"JOSE ARTURO PICHARDO                                                                                "</f>
        <v xml:space="preserve">JOSE ARTURO PICHARDO                                                                                </v>
      </c>
      <c r="D168" s="26" t="str">
        <f>"VESPERTINO"</f>
        <v>VESPERTINO</v>
      </c>
      <c r="E168" s="26" t="str">
        <f>"KM 21 1/2 CARR MEXICO TOLUCA                                                    "</f>
        <v xml:space="preserve">KM 21 1/2 CARR MEXICO TOLUCA                                                    </v>
      </c>
      <c r="F168" s="26" t="str">
        <f>"CONTADERO                                                                                                                                   "</f>
        <v xml:space="preserve">CONTADERO                                                                                                                                   </v>
      </c>
      <c r="G168" s="26" t="str">
        <f>"CUAJIMALPA DE MORELOS                                                           "</f>
        <v xml:space="preserve">CUAJIMALPA DE MORELOS                                                           </v>
      </c>
      <c r="H168" s="26" t="str">
        <f>"304"</f>
        <v>304</v>
      </c>
      <c r="I168" s="26" t="str">
        <f t="shared" si="23"/>
        <v>00</v>
      </c>
      <c r="J168" s="26" t="str">
        <f>"43 "</f>
        <v xml:space="preserve">43 </v>
      </c>
      <c r="K168" s="26" t="str">
        <f t="shared" si="27"/>
        <v>PR</v>
      </c>
      <c r="L168" s="26" t="str">
        <f t="shared" si="28"/>
        <v>DGOSE</v>
      </c>
      <c r="M168" s="26" t="str">
        <f t="shared" si="24"/>
        <v>FEDERAL</v>
      </c>
      <c r="N168" s="26">
        <v>384</v>
      </c>
      <c r="O168" s="26">
        <v>178</v>
      </c>
      <c r="P168" s="26">
        <v>206</v>
      </c>
      <c r="Q168" s="26">
        <v>16</v>
      </c>
      <c r="R168" s="26">
        <v>1</v>
      </c>
      <c r="S168" s="26">
        <v>16</v>
      </c>
      <c r="T168" s="26">
        <v>9</v>
      </c>
      <c r="U168" s="26">
        <v>26</v>
      </c>
      <c r="V168" s="26">
        <v>1</v>
      </c>
      <c r="W168" s="26"/>
    </row>
    <row r="169" spans="1:23" x14ac:dyDescent="0.25">
      <c r="A169" s="26" t="str">
        <f t="shared" si="22"/>
        <v>PRIMARIA</v>
      </c>
      <c r="B169" s="26" t="str">
        <f>"09DPR0847A"</f>
        <v>09DPR0847A</v>
      </c>
      <c r="C169" s="26" t="str">
        <f>"JOSE ARTURO PICHARDO                                                                                "</f>
        <v xml:space="preserve">JOSE ARTURO PICHARDO                                                                                </v>
      </c>
      <c r="D169" s="26" t="str">
        <f>"JORNADA AMPLIADA"</f>
        <v>JORNADA AMPLIADA</v>
      </c>
      <c r="E169" s="26" t="str">
        <f>"OTOÑO NO 46                                                                     "</f>
        <v xml:space="preserve">OTOÑO NO 46                                                                     </v>
      </c>
      <c r="F169" s="26" t="str">
        <f>"ANGEL ZIMBRON                                                                                                                               "</f>
        <v xml:space="preserve">ANGEL ZIMBRON                                                                                                                               </v>
      </c>
      <c r="G169" s="26" t="str">
        <f>"AZCAPOTZALCO                                                                    "</f>
        <v xml:space="preserve">AZCAPOTZALCO                                                                    </v>
      </c>
      <c r="H169" s="26" t="str">
        <f>"107"</f>
        <v>107</v>
      </c>
      <c r="I169" s="26" t="str">
        <f t="shared" si="23"/>
        <v>00</v>
      </c>
      <c r="J169" s="26" t="str">
        <f>"41 "</f>
        <v xml:space="preserve">41 </v>
      </c>
      <c r="K169" s="26" t="str">
        <f t="shared" si="27"/>
        <v>PR</v>
      </c>
      <c r="L169" s="26" t="str">
        <f t="shared" si="28"/>
        <v>DGOSE</v>
      </c>
      <c r="M169" s="26" t="str">
        <f t="shared" si="24"/>
        <v>FEDERAL</v>
      </c>
      <c r="N169" s="26">
        <v>333</v>
      </c>
      <c r="O169" s="26">
        <v>179</v>
      </c>
      <c r="P169" s="26">
        <v>154</v>
      </c>
      <c r="Q169" s="26">
        <v>13</v>
      </c>
      <c r="R169" s="26">
        <v>1</v>
      </c>
      <c r="S169" s="26">
        <v>13</v>
      </c>
      <c r="T169" s="26">
        <v>12</v>
      </c>
      <c r="U169" s="26">
        <v>26</v>
      </c>
      <c r="V169" s="26">
        <v>1</v>
      </c>
      <c r="W169" s="26" t="s">
        <v>2076</v>
      </c>
    </row>
    <row r="170" spans="1:23" x14ac:dyDescent="0.25">
      <c r="A170" s="26" t="str">
        <f t="shared" si="22"/>
        <v>PRIMARIA</v>
      </c>
      <c r="B170" s="26" t="str">
        <f>"09DPR0848Z"</f>
        <v>09DPR0848Z</v>
      </c>
      <c r="C170" s="26" t="str">
        <f>"AURELIO MALDONADO CEDILLO                                                                           "</f>
        <v xml:space="preserve">AURELIO MALDONADO CEDILLO                                                                           </v>
      </c>
      <c r="D170" s="26" t="str">
        <f>"VESPERTINO"</f>
        <v>VESPERTINO</v>
      </c>
      <c r="E170" s="26" t="str">
        <f>"MICHOACAN Y QUERETARO S/N                                                       "</f>
        <v xml:space="preserve">MICHOACAN Y QUERETARO S/N                                                       </v>
      </c>
      <c r="F170" s="26" t="str">
        <f>"CHALMA DE GUADALUPE                                                                                                                         "</f>
        <v xml:space="preserve">CHALMA DE GUADALUPE                                                                                                                         </v>
      </c>
      <c r="G170" s="26" t="str">
        <f>"GUSTAVO A. MADERO                                                               "</f>
        <v xml:space="preserve">GUSTAVO A. MADERO                                                               </v>
      </c>
      <c r="H170" s="26" t="str">
        <f>"232"</f>
        <v>232</v>
      </c>
      <c r="I170" s="26" t="str">
        <f t="shared" si="23"/>
        <v>00</v>
      </c>
      <c r="J170" s="26" t="str">
        <f>"42 "</f>
        <v xml:space="preserve">42 </v>
      </c>
      <c r="K170" s="26" t="str">
        <f t="shared" si="27"/>
        <v>PR</v>
      </c>
      <c r="L170" s="26" t="str">
        <f t="shared" si="28"/>
        <v>DGOSE</v>
      </c>
      <c r="M170" s="26" t="str">
        <f t="shared" si="24"/>
        <v>FEDERAL</v>
      </c>
      <c r="N170" s="26">
        <v>327</v>
      </c>
      <c r="O170" s="26">
        <v>170</v>
      </c>
      <c r="P170" s="26">
        <v>157</v>
      </c>
      <c r="Q170" s="26">
        <v>14</v>
      </c>
      <c r="R170" s="26">
        <v>1</v>
      </c>
      <c r="S170" s="26">
        <v>13</v>
      </c>
      <c r="T170" s="26">
        <v>9</v>
      </c>
      <c r="U170" s="26">
        <v>23</v>
      </c>
      <c r="V170" s="26">
        <v>1</v>
      </c>
      <c r="W170" s="26"/>
    </row>
    <row r="171" spans="1:23" x14ac:dyDescent="0.25">
      <c r="A171" s="26" t="str">
        <f t="shared" si="22"/>
        <v>PRIMARIA</v>
      </c>
      <c r="B171" s="26" t="str">
        <f>"09DPR0849Z"</f>
        <v>09DPR0849Z</v>
      </c>
      <c r="C171" s="26" t="str">
        <f>"JOSE AZUETA                                                                                         "</f>
        <v xml:space="preserve">JOSE AZUETA                                                                                         </v>
      </c>
      <c r="D171" s="26" t="str">
        <f>"TIEMPO COMPLETO"</f>
        <v>TIEMPO COMPLETO</v>
      </c>
      <c r="E171" s="26" t="str">
        <f>"PARQUE NACIONAL FUENTES BROTANTES NO.36                                         "</f>
        <v xml:space="preserve">PARQUE NACIONAL FUENTES BROTANTES NO.36                                         </v>
      </c>
      <c r="F171" s="26" t="str">
        <f>"TLALPAN                                                                                                                                     "</f>
        <v xml:space="preserve">TLALPAN                                                                                                                                     </v>
      </c>
      <c r="G171" s="26" t="str">
        <f>"TLALPAN                                                                         "</f>
        <v xml:space="preserve">TLALPAN                                                                         </v>
      </c>
      <c r="H171" s="26" t="str">
        <f>"444"</f>
        <v>444</v>
      </c>
      <c r="I171" s="26" t="str">
        <f t="shared" si="23"/>
        <v>00</v>
      </c>
      <c r="J171" s="26" t="str">
        <f>"44 "</f>
        <v xml:space="preserve">44 </v>
      </c>
      <c r="K171" s="26" t="str">
        <f t="shared" si="27"/>
        <v>PR</v>
      </c>
      <c r="L171" s="26" t="str">
        <f t="shared" si="28"/>
        <v>DGOSE</v>
      </c>
      <c r="M171" s="26" t="str">
        <f t="shared" si="24"/>
        <v>FEDERAL</v>
      </c>
      <c r="N171" s="26">
        <v>584</v>
      </c>
      <c r="O171" s="26">
        <v>302</v>
      </c>
      <c r="P171" s="26">
        <v>282</v>
      </c>
      <c r="Q171" s="26">
        <v>23</v>
      </c>
      <c r="R171" s="26">
        <v>1</v>
      </c>
      <c r="S171" s="26">
        <v>17</v>
      </c>
      <c r="T171" s="26">
        <v>17</v>
      </c>
      <c r="U171" s="26">
        <v>35</v>
      </c>
      <c r="V171" s="26">
        <v>1</v>
      </c>
      <c r="W171" s="26" t="s">
        <v>218</v>
      </c>
    </row>
    <row r="172" spans="1:23" x14ac:dyDescent="0.25">
      <c r="A172" s="26" t="str">
        <f t="shared" si="22"/>
        <v>PRIMARIA</v>
      </c>
      <c r="B172" s="26" t="str">
        <f>"09DPR0850O"</f>
        <v>09DPR0850O</v>
      </c>
      <c r="C172" s="26" t="str">
        <f>"GUSTAVO PEDRO MAHR                                                                                  "</f>
        <v xml:space="preserve">GUSTAVO PEDRO MAHR                                                                                  </v>
      </c>
      <c r="D172" s="26" t="str">
        <f>"MATUTINO"</f>
        <v>MATUTINO</v>
      </c>
      <c r="E172" s="26" t="str">
        <f>"ZARAGOZA NUM 231                                                                "</f>
        <v xml:space="preserve">ZARAGOZA NUM 231                                                                </v>
      </c>
      <c r="F172" s="26" t="str">
        <f>"GUERRERO                                                                                                                                    "</f>
        <v xml:space="preserve">GUERRERO                                                                                                                                    </v>
      </c>
      <c r="G172" s="26" t="str">
        <f>"CUAUHTEMOC                                                                      "</f>
        <v xml:space="preserve">CUAUHTEMOC                                                                      </v>
      </c>
      <c r="H172" s="26" t="str">
        <f>"218"</f>
        <v>218</v>
      </c>
      <c r="I172" s="26" t="str">
        <f t="shared" si="23"/>
        <v>00</v>
      </c>
      <c r="J172" s="26" t="str">
        <f>"42 "</f>
        <v xml:space="preserve">42 </v>
      </c>
      <c r="K172" s="26" t="str">
        <f t="shared" si="27"/>
        <v>PR</v>
      </c>
      <c r="L172" s="26" t="str">
        <f t="shared" si="28"/>
        <v>DGOSE</v>
      </c>
      <c r="M172" s="26" t="str">
        <f t="shared" si="24"/>
        <v>FEDERAL</v>
      </c>
      <c r="N172" s="26">
        <v>145</v>
      </c>
      <c r="O172" s="26">
        <v>74</v>
      </c>
      <c r="P172" s="26">
        <v>71</v>
      </c>
      <c r="Q172" s="26">
        <v>6</v>
      </c>
      <c r="R172" s="26">
        <v>1</v>
      </c>
      <c r="S172" s="26">
        <v>6</v>
      </c>
      <c r="T172" s="26">
        <v>4</v>
      </c>
      <c r="U172" s="26">
        <v>11</v>
      </c>
      <c r="V172" s="26">
        <v>1</v>
      </c>
      <c r="W172" s="26"/>
    </row>
    <row r="173" spans="1:23" x14ac:dyDescent="0.25">
      <c r="A173" s="26" t="str">
        <f t="shared" si="22"/>
        <v>PRIMARIA</v>
      </c>
      <c r="B173" s="26" t="str">
        <f>"09DPR0851N"</f>
        <v>09DPR0851N</v>
      </c>
      <c r="C173" s="26" t="str">
        <f>"MACHTITEOPAN                                                                                        "</f>
        <v xml:space="preserve">MACHTITEOPAN                                                                                        </v>
      </c>
      <c r="D173" s="26" t="str">
        <f>"JORNADA AMPLIADA"</f>
        <v>JORNADA AMPLIADA</v>
      </c>
      <c r="E173" s="26" t="str">
        <f>"AV XOCHITLAN SUR Y XOCHITLAN NTE                                                "</f>
        <v xml:space="preserve">AV XOCHITLAN SUR Y XOCHITLAN NTE                                                </v>
      </c>
      <c r="F173" s="26" t="str">
        <f>"ARENAL 4A SECCION                                                                                                                           "</f>
        <v xml:space="preserve">ARENAL 4A SECCION                                                                                                                           </v>
      </c>
      <c r="G173" s="26" t="str">
        <f>"VENUSTIANO CARRANZA                                                             "</f>
        <v xml:space="preserve">VENUSTIANO CARRANZA                                                             </v>
      </c>
      <c r="H173" s="26" t="str">
        <f>"426"</f>
        <v>426</v>
      </c>
      <c r="I173" s="26" t="str">
        <f t="shared" si="23"/>
        <v>00</v>
      </c>
      <c r="J173" s="26" t="str">
        <f>"44 "</f>
        <v xml:space="preserve">44 </v>
      </c>
      <c r="K173" s="26" t="str">
        <f t="shared" si="27"/>
        <v>PR</v>
      </c>
      <c r="L173" s="26" t="str">
        <f t="shared" si="28"/>
        <v>DGOSE</v>
      </c>
      <c r="M173" s="26" t="str">
        <f t="shared" si="24"/>
        <v>FEDERAL</v>
      </c>
      <c r="N173" s="26">
        <v>560</v>
      </c>
      <c r="O173" s="26">
        <v>291</v>
      </c>
      <c r="P173" s="26">
        <v>269</v>
      </c>
      <c r="Q173" s="26">
        <v>18</v>
      </c>
      <c r="R173" s="26">
        <v>1</v>
      </c>
      <c r="S173" s="26">
        <v>18</v>
      </c>
      <c r="T173" s="26">
        <v>12</v>
      </c>
      <c r="U173" s="26">
        <v>31</v>
      </c>
      <c r="V173" s="26">
        <v>1</v>
      </c>
      <c r="W173" s="26" t="s">
        <v>2076</v>
      </c>
    </row>
    <row r="174" spans="1:23" x14ac:dyDescent="0.25">
      <c r="A174" s="26" t="str">
        <f t="shared" si="22"/>
        <v>PRIMARIA</v>
      </c>
      <c r="B174" s="26" t="str">
        <f>"09DPR0855J"</f>
        <v>09DPR0855J</v>
      </c>
      <c r="C174" s="26" t="str">
        <f>"LIC. ALVARO GALVEZ Y FUENTES                                                                        "</f>
        <v xml:space="preserve">LIC. ALVARO GALVEZ Y FUENTES                                                                        </v>
      </c>
      <c r="D174" s="26" t="str">
        <f>"MATUTINO"</f>
        <v>MATUTINO</v>
      </c>
      <c r="E174" s="26" t="str">
        <f>"AVENIDA RIO CHURUBUSCO No 1606                                                   "</f>
        <v xml:space="preserve">AVENIDA RIO CHURUBUSCO No 1606                                                   </v>
      </c>
      <c r="F174" s="26" t="str">
        <f>"JUVENTINO ROSAS                                                                                                                             "</f>
        <v xml:space="preserve">JUVENTINO ROSAS                                                                                                                             </v>
      </c>
      <c r="G174" s="26" t="str">
        <f>"IZTACALCO                                                                       "</f>
        <v xml:space="preserve">IZTACALCO                                                                       </v>
      </c>
      <c r="H174" s="26" t="str">
        <f>"360"</f>
        <v>360</v>
      </c>
      <c r="I174" s="26" t="str">
        <f t="shared" si="23"/>
        <v>00</v>
      </c>
      <c r="J174" s="26" t="str">
        <f>"43 "</f>
        <v xml:space="preserve">43 </v>
      </c>
      <c r="K174" s="26" t="str">
        <f t="shared" si="27"/>
        <v>PR</v>
      </c>
      <c r="L174" s="26" t="str">
        <f t="shared" si="28"/>
        <v>DGOSE</v>
      </c>
      <c r="M174" s="26" t="str">
        <f t="shared" si="24"/>
        <v>FEDERAL</v>
      </c>
      <c r="N174" s="26">
        <v>458</v>
      </c>
      <c r="O174" s="26">
        <v>226</v>
      </c>
      <c r="P174" s="26">
        <v>232</v>
      </c>
      <c r="Q174" s="26">
        <v>16</v>
      </c>
      <c r="R174" s="26">
        <v>1</v>
      </c>
      <c r="S174" s="26">
        <v>16</v>
      </c>
      <c r="T174" s="26">
        <v>8</v>
      </c>
      <c r="U174" s="26">
        <v>25</v>
      </c>
      <c r="V174" s="26">
        <v>1</v>
      </c>
      <c r="W174" s="26"/>
    </row>
    <row r="175" spans="1:23" x14ac:dyDescent="0.25">
      <c r="A175" s="26" t="str">
        <f t="shared" si="22"/>
        <v>PRIMARIA</v>
      </c>
      <c r="B175" s="26" t="str">
        <f>"09DPR0857H"</f>
        <v>09DPR0857H</v>
      </c>
      <c r="C175" s="26" t="str">
        <f>"MTRA. GABRIELA MISTRAL                                                                              "</f>
        <v xml:space="preserve">MTRA. GABRIELA MISTRAL                                                                              </v>
      </c>
      <c r="D175" s="26" t="str">
        <f>"VESPERTINO"</f>
        <v>VESPERTINO</v>
      </c>
      <c r="E175" s="26" t="str">
        <f>"SAN HERMILO Y SAN VALENTIN                                                      "</f>
        <v xml:space="preserve">SAN HERMILO Y SAN VALENTIN                                                      </v>
      </c>
      <c r="F175" s="26" t="str">
        <f>"AJUSCO                                                                                                                                      "</f>
        <v xml:space="preserve">AJUSCO                                                                                                                                      </v>
      </c>
      <c r="G175" s="26" t="str">
        <f>"COYOACAN                                                                        "</f>
        <v xml:space="preserve">COYOACAN                                                                        </v>
      </c>
      <c r="H175" s="26" t="str">
        <f>"505"</f>
        <v>505</v>
      </c>
      <c r="I175" s="26" t="str">
        <f t="shared" si="23"/>
        <v>00</v>
      </c>
      <c r="J175" s="26" t="str">
        <f>"45 "</f>
        <v xml:space="preserve">45 </v>
      </c>
      <c r="K175" s="26" t="str">
        <f t="shared" si="27"/>
        <v>PR</v>
      </c>
      <c r="L175" s="26" t="str">
        <f t="shared" si="28"/>
        <v>DGOSE</v>
      </c>
      <c r="M175" s="26" t="str">
        <f t="shared" si="24"/>
        <v>FEDERAL</v>
      </c>
      <c r="N175" s="26">
        <v>119</v>
      </c>
      <c r="O175" s="26">
        <v>65</v>
      </c>
      <c r="P175" s="26">
        <v>54</v>
      </c>
      <c r="Q175" s="26">
        <v>6</v>
      </c>
      <c r="R175" s="26">
        <v>1</v>
      </c>
      <c r="S175" s="26">
        <v>6</v>
      </c>
      <c r="T175" s="26">
        <v>6</v>
      </c>
      <c r="U175" s="26">
        <v>13</v>
      </c>
      <c r="V175" s="26">
        <v>1</v>
      </c>
      <c r="W175" s="26"/>
    </row>
    <row r="176" spans="1:23" x14ac:dyDescent="0.25">
      <c r="A176" s="26" t="str">
        <f t="shared" si="22"/>
        <v>PRIMARIA</v>
      </c>
      <c r="B176" s="26" t="str">
        <f>"09DPR0858G"</f>
        <v>09DPR0858G</v>
      </c>
      <c r="C176" s="26" t="str">
        <f>"PROFR. ANGEL SALAS BONILLA                                                                          "</f>
        <v xml:space="preserve">PROFR. ANGEL SALAS BONILLA                                                                          </v>
      </c>
      <c r="D176" s="26" t="str">
        <f>"MATUTINO"</f>
        <v>MATUTINO</v>
      </c>
      <c r="E176" s="26" t="str">
        <f>"VERGEL NO. 6                                                                    "</f>
        <v xml:space="preserve">VERGEL NO. 6                                                                    </v>
      </c>
      <c r="F176" s="26" t="str">
        <f>"SANTA CRUZ MEYEHUALCO                                                                                                                       "</f>
        <v xml:space="preserve">SANTA CRUZ MEYEHUALCO                                                                                                                       </v>
      </c>
      <c r="G176" s="26" t="str">
        <f t="shared" ref="G176:G181" si="29">"IZTAPALAPA                                                                      "</f>
        <v xml:space="preserve">IZTAPALAPA                                                                      </v>
      </c>
      <c r="H176" s="26" t="str">
        <f>"054"</f>
        <v>054</v>
      </c>
      <c r="I176" s="26" t="str">
        <f t="shared" si="23"/>
        <v>00</v>
      </c>
      <c r="J176" s="26" t="str">
        <f>"64 "</f>
        <v xml:space="preserve">64 </v>
      </c>
      <c r="K176" s="26" t="str">
        <f t="shared" ref="K176:K181" si="30">"IZ"</f>
        <v>IZ</v>
      </c>
      <c r="L176" s="26" t="str">
        <f t="shared" ref="L176:L181" si="31">"DGSEI"</f>
        <v>DGSEI</v>
      </c>
      <c r="M176" s="26" t="str">
        <f t="shared" si="24"/>
        <v>FEDERAL</v>
      </c>
      <c r="N176" s="26">
        <v>701</v>
      </c>
      <c r="O176" s="26">
        <v>376</v>
      </c>
      <c r="P176" s="26">
        <v>325</v>
      </c>
      <c r="Q176" s="26">
        <v>19</v>
      </c>
      <c r="R176" s="26">
        <v>1</v>
      </c>
      <c r="S176" s="26">
        <v>18</v>
      </c>
      <c r="T176" s="26">
        <v>8</v>
      </c>
      <c r="U176" s="26">
        <v>27</v>
      </c>
      <c r="V176" s="26">
        <v>1</v>
      </c>
      <c r="W176" s="26"/>
    </row>
    <row r="177" spans="1:23" x14ac:dyDescent="0.25">
      <c r="A177" s="26" t="str">
        <f t="shared" si="22"/>
        <v>PRIMARIA</v>
      </c>
      <c r="B177" s="26" t="str">
        <f>"09DPR0859F"</f>
        <v>09DPR0859F</v>
      </c>
      <c r="C177" s="26" t="str">
        <f>"COPIAPO                                                                                             "</f>
        <v xml:space="preserve">COPIAPO                                                                                             </v>
      </c>
      <c r="D177" s="26" t="str">
        <f>"VESPERTINO"</f>
        <v>VESPERTINO</v>
      </c>
      <c r="E177" s="26" t="str">
        <f>"SUPER MANZANA 3 S/N                                                             "</f>
        <v xml:space="preserve">SUPER MANZANA 3 S/N                                                             </v>
      </c>
      <c r="F177" s="26" t="str">
        <f>"UNIDAD HABITACIONAL VICENTE GUERRER                                                                                                         "</f>
        <v xml:space="preserve">UNIDAD HABITACIONAL VICENTE GUERRER                                                                                                         </v>
      </c>
      <c r="G177" s="26" t="str">
        <f t="shared" si="29"/>
        <v xml:space="preserve">IZTAPALAPA                                                                      </v>
      </c>
      <c r="H177" s="26" t="str">
        <f>"016"</f>
        <v>016</v>
      </c>
      <c r="I177" s="26" t="str">
        <f t="shared" si="23"/>
        <v>00</v>
      </c>
      <c r="J177" s="26" t="str">
        <f>"62 "</f>
        <v xml:space="preserve">62 </v>
      </c>
      <c r="K177" s="26" t="str">
        <f t="shared" si="30"/>
        <v>IZ</v>
      </c>
      <c r="L177" s="26" t="str">
        <f t="shared" si="31"/>
        <v>DGSEI</v>
      </c>
      <c r="M177" s="26" t="str">
        <f t="shared" si="24"/>
        <v>FEDERAL</v>
      </c>
      <c r="N177" s="26">
        <v>198</v>
      </c>
      <c r="O177" s="26">
        <v>106</v>
      </c>
      <c r="P177" s="26">
        <v>92</v>
      </c>
      <c r="Q177" s="26">
        <v>8</v>
      </c>
      <c r="R177" s="26">
        <v>1</v>
      </c>
      <c r="S177" s="26">
        <v>8</v>
      </c>
      <c r="T177" s="26">
        <v>3</v>
      </c>
      <c r="U177" s="26">
        <v>12</v>
      </c>
      <c r="V177" s="26">
        <v>1</v>
      </c>
      <c r="W177" s="26"/>
    </row>
    <row r="178" spans="1:23" x14ac:dyDescent="0.25">
      <c r="A178" s="26" t="str">
        <f t="shared" si="22"/>
        <v>PRIMARIA</v>
      </c>
      <c r="B178" s="26" t="str">
        <f>"09DPR0860V"</f>
        <v>09DPR0860V</v>
      </c>
      <c r="C178" s="26" t="str">
        <f>"PROFR. LUIS ALVAREZ BARRET                                                                          "</f>
        <v xml:space="preserve">PROFR. LUIS ALVAREZ BARRET                                                                          </v>
      </c>
      <c r="D178" s="26" t="str">
        <f>"TIEMPO COMPLETO"</f>
        <v>TIEMPO COMPLETO</v>
      </c>
      <c r="E178" s="26" t="str">
        <f>"1RA. CERRADA DE GPE. MAGAÑA Y 2DA. C. DE J. RODRIGUEZ S-M7                      "</f>
        <v xml:space="preserve">1RA. CERRADA DE GPE. MAGAÑA Y 2DA. C. DE J. RODRIGUEZ S-M7                      </v>
      </c>
      <c r="F178" s="26" t="str">
        <f>"UNIDAD HABITACIONAL VICENTE GUERRER                                                                                                         "</f>
        <v xml:space="preserve">UNIDAD HABITACIONAL VICENTE GUERRER                                                                                                         </v>
      </c>
      <c r="G178" s="26" t="str">
        <f t="shared" si="29"/>
        <v xml:space="preserve">IZTAPALAPA                                                                      </v>
      </c>
      <c r="H178" s="26" t="str">
        <f>"007"</f>
        <v>007</v>
      </c>
      <c r="I178" s="26" t="str">
        <f t="shared" si="23"/>
        <v>00</v>
      </c>
      <c r="J178" s="26" t="str">
        <f>"61 "</f>
        <v xml:space="preserve">61 </v>
      </c>
      <c r="K178" s="26" t="str">
        <f t="shared" si="30"/>
        <v>IZ</v>
      </c>
      <c r="L178" s="26" t="str">
        <f t="shared" si="31"/>
        <v>DGSEI</v>
      </c>
      <c r="M178" s="26" t="str">
        <f t="shared" si="24"/>
        <v>FEDERAL</v>
      </c>
      <c r="N178" s="26">
        <v>379</v>
      </c>
      <c r="O178" s="26">
        <v>203</v>
      </c>
      <c r="P178" s="26">
        <v>176</v>
      </c>
      <c r="Q178" s="26">
        <v>12</v>
      </c>
      <c r="R178" s="26">
        <v>1</v>
      </c>
      <c r="S178" s="26">
        <v>12</v>
      </c>
      <c r="T178" s="26">
        <v>10</v>
      </c>
      <c r="U178" s="26">
        <v>23</v>
      </c>
      <c r="V178" s="26">
        <v>1</v>
      </c>
      <c r="W178" s="26" t="s">
        <v>218</v>
      </c>
    </row>
    <row r="179" spans="1:23" x14ac:dyDescent="0.25">
      <c r="A179" s="26" t="str">
        <f t="shared" si="22"/>
        <v>PRIMARIA</v>
      </c>
      <c r="B179" s="26" t="str">
        <f>"09DPR0861U"</f>
        <v>09DPR0861U</v>
      </c>
      <c r="C179" s="26" t="str">
        <f>"30 DE ABRIL                                                                                         "</f>
        <v xml:space="preserve">30 DE ABRIL                                                                                         </v>
      </c>
      <c r="D179" s="26" t="str">
        <f t="shared" ref="D179:D184" si="32">"MATUTINO"</f>
        <v>MATUTINO</v>
      </c>
      <c r="E179" s="26" t="str">
        <f>"AV. HIDALGO NO. 522                                                             "</f>
        <v xml:space="preserve">AV. HIDALGO NO. 522                                                             </v>
      </c>
      <c r="F179" s="26" t="str">
        <f>"PURISIMA                                                                                                                                    "</f>
        <v xml:space="preserve">PURISIMA                                                                                                                                    </v>
      </c>
      <c r="G179" s="26" t="str">
        <f t="shared" si="29"/>
        <v xml:space="preserve">IZTAPALAPA                                                                      </v>
      </c>
      <c r="H179" s="26" t="str">
        <f>"015"</f>
        <v>015</v>
      </c>
      <c r="I179" s="26" t="str">
        <f t="shared" si="23"/>
        <v>00</v>
      </c>
      <c r="J179" s="26" t="str">
        <f>"62 "</f>
        <v xml:space="preserve">62 </v>
      </c>
      <c r="K179" s="26" t="str">
        <f t="shared" si="30"/>
        <v>IZ</v>
      </c>
      <c r="L179" s="26" t="str">
        <f t="shared" si="31"/>
        <v>DGSEI</v>
      </c>
      <c r="M179" s="26" t="str">
        <f t="shared" si="24"/>
        <v>FEDERAL</v>
      </c>
      <c r="N179" s="26">
        <v>395</v>
      </c>
      <c r="O179" s="26">
        <v>211</v>
      </c>
      <c r="P179" s="26">
        <v>184</v>
      </c>
      <c r="Q179" s="26">
        <v>14</v>
      </c>
      <c r="R179" s="26">
        <v>1</v>
      </c>
      <c r="S179" s="26">
        <v>14</v>
      </c>
      <c r="T179" s="26">
        <v>8</v>
      </c>
      <c r="U179" s="26">
        <v>23</v>
      </c>
      <c r="V179" s="26">
        <v>1</v>
      </c>
      <c r="W179" s="26"/>
    </row>
    <row r="180" spans="1:23" x14ac:dyDescent="0.25">
      <c r="A180" s="26" t="str">
        <f t="shared" si="22"/>
        <v>PRIMARIA</v>
      </c>
      <c r="B180" s="26" t="str">
        <f>"09DPR0862T"</f>
        <v>09DPR0862T</v>
      </c>
      <c r="C180" s="26" t="str">
        <f>"VICENTE GUERRERO                                                                                    "</f>
        <v xml:space="preserve">VICENTE GUERRERO                                                                                    </v>
      </c>
      <c r="D180" s="26" t="str">
        <f t="shared" si="32"/>
        <v>MATUTINO</v>
      </c>
      <c r="E180" s="26" t="str">
        <f>"SUPER MANZANA 4 S/N.                                                            "</f>
        <v xml:space="preserve">SUPER MANZANA 4 S/N.                                                            </v>
      </c>
      <c r="F180" s="26" t="str">
        <f>"UNIDAD HABITACIONAL VICENTE GUERRER                                                                                                         "</f>
        <v xml:space="preserve">UNIDAD HABITACIONAL VICENTE GUERRER                                                                                                         </v>
      </c>
      <c r="G180" s="26" t="str">
        <f t="shared" si="29"/>
        <v xml:space="preserve">IZTAPALAPA                                                                      </v>
      </c>
      <c r="H180" s="26" t="str">
        <f>"016"</f>
        <v>016</v>
      </c>
      <c r="I180" s="26" t="str">
        <f t="shared" si="23"/>
        <v>00</v>
      </c>
      <c r="J180" s="26" t="str">
        <f>"62 "</f>
        <v xml:space="preserve">62 </v>
      </c>
      <c r="K180" s="26" t="str">
        <f t="shared" si="30"/>
        <v>IZ</v>
      </c>
      <c r="L180" s="26" t="str">
        <f t="shared" si="31"/>
        <v>DGSEI</v>
      </c>
      <c r="M180" s="26" t="str">
        <f t="shared" si="24"/>
        <v>FEDERAL</v>
      </c>
      <c r="N180" s="26">
        <v>421</v>
      </c>
      <c r="O180" s="26">
        <v>212</v>
      </c>
      <c r="P180" s="26">
        <v>209</v>
      </c>
      <c r="Q180" s="26">
        <v>17</v>
      </c>
      <c r="R180" s="26">
        <v>1</v>
      </c>
      <c r="S180" s="26">
        <v>17</v>
      </c>
      <c r="T180" s="26">
        <v>9</v>
      </c>
      <c r="U180" s="26">
        <v>27</v>
      </c>
      <c r="V180" s="26">
        <v>1</v>
      </c>
      <c r="W180" s="26"/>
    </row>
    <row r="181" spans="1:23" x14ac:dyDescent="0.25">
      <c r="A181" s="26" t="str">
        <f t="shared" si="22"/>
        <v>PRIMARIA</v>
      </c>
      <c r="B181" s="26" t="str">
        <f>"09DPR0863S"</f>
        <v>09DPR0863S</v>
      </c>
      <c r="C181" s="26" t="str">
        <f>"DR. PEDRO DE ALBA                                                                                   "</f>
        <v xml:space="preserve">DR. PEDRO DE ALBA                                                                                   </v>
      </c>
      <c r="D181" s="26" t="str">
        <f t="shared" si="32"/>
        <v>MATUTINO</v>
      </c>
      <c r="E181" s="26" t="str">
        <f>"TOLTECA 22 Y 26                                                                 "</f>
        <v xml:space="preserve">TOLTECA 22 Y 26                                                                 </v>
      </c>
      <c r="F181" s="26" t="str">
        <f>"SANTA BARBARA                                                                                                                               "</f>
        <v xml:space="preserve">SANTA BARBARA                                                                                                                               </v>
      </c>
      <c r="G181" s="26" t="str">
        <f t="shared" si="29"/>
        <v xml:space="preserve">IZTAPALAPA                                                                      </v>
      </c>
      <c r="H181" s="26" t="str">
        <f>"036"</f>
        <v>036</v>
      </c>
      <c r="I181" s="26" t="str">
        <f t="shared" si="23"/>
        <v>00</v>
      </c>
      <c r="J181" s="26" t="str">
        <f>"63 "</f>
        <v xml:space="preserve">63 </v>
      </c>
      <c r="K181" s="26" t="str">
        <f t="shared" si="30"/>
        <v>IZ</v>
      </c>
      <c r="L181" s="26" t="str">
        <f t="shared" si="31"/>
        <v>DGSEI</v>
      </c>
      <c r="M181" s="26" t="str">
        <f t="shared" si="24"/>
        <v>FEDERAL</v>
      </c>
      <c r="N181" s="26">
        <v>345</v>
      </c>
      <c r="O181" s="26">
        <v>173</v>
      </c>
      <c r="P181" s="26">
        <v>172</v>
      </c>
      <c r="Q181" s="26">
        <v>13</v>
      </c>
      <c r="R181" s="26">
        <v>1</v>
      </c>
      <c r="S181" s="26">
        <v>13</v>
      </c>
      <c r="T181" s="26">
        <v>7</v>
      </c>
      <c r="U181" s="26">
        <v>21</v>
      </c>
      <c r="V181" s="26">
        <v>1</v>
      </c>
      <c r="W181" s="26"/>
    </row>
    <row r="182" spans="1:23" x14ac:dyDescent="0.25">
      <c r="A182" s="26" t="str">
        <f t="shared" si="22"/>
        <v>PRIMARIA</v>
      </c>
      <c r="B182" s="26" t="str">
        <f>"09DPR0864R"</f>
        <v>09DPR0864R</v>
      </c>
      <c r="C182" s="26" t="str">
        <f>"MADRE MEXICANA                                                                                      "</f>
        <v xml:space="preserve">MADRE MEXICANA                                                                                      </v>
      </c>
      <c r="D182" s="26" t="str">
        <f t="shared" si="32"/>
        <v>MATUTINO</v>
      </c>
      <c r="E182" s="26" t="str">
        <f>"RAFAEL CHECA 59                                                                 "</f>
        <v xml:space="preserve">RAFAEL CHECA 59                                                                 </v>
      </c>
      <c r="F182" s="26" t="str">
        <f>"SANTA ROSA XOCHIAC                                                                                                                          "</f>
        <v xml:space="preserve">SANTA ROSA XOCHIAC                                                                                                                          </v>
      </c>
      <c r="G182" s="26" t="str">
        <f>"ALVARO OBREGON                                                                  "</f>
        <v xml:space="preserve">ALVARO OBREGON                                                                  </v>
      </c>
      <c r="H182" s="26" t="str">
        <f>"330"</f>
        <v>330</v>
      </c>
      <c r="I182" s="26" t="str">
        <f t="shared" si="23"/>
        <v>00</v>
      </c>
      <c r="J182" s="26" t="str">
        <f>"43 "</f>
        <v xml:space="preserve">43 </v>
      </c>
      <c r="K182" s="26" t="str">
        <f>"PR"</f>
        <v>PR</v>
      </c>
      <c r="L182" s="26" t="str">
        <f>"DGOSE"</f>
        <v>DGOSE</v>
      </c>
      <c r="M182" s="26" t="str">
        <f t="shared" si="24"/>
        <v>FEDERAL</v>
      </c>
      <c r="N182" s="26">
        <v>237</v>
      </c>
      <c r="O182" s="26">
        <v>123</v>
      </c>
      <c r="P182" s="26">
        <v>114</v>
      </c>
      <c r="Q182" s="26">
        <v>7</v>
      </c>
      <c r="R182" s="26">
        <v>1</v>
      </c>
      <c r="S182" s="26">
        <v>7</v>
      </c>
      <c r="T182" s="26">
        <v>4</v>
      </c>
      <c r="U182" s="26">
        <v>12</v>
      </c>
      <c r="V182" s="26">
        <v>1</v>
      </c>
      <c r="W182" s="26"/>
    </row>
    <row r="183" spans="1:23" x14ac:dyDescent="0.25">
      <c r="A183" s="26" t="str">
        <f t="shared" si="22"/>
        <v>PRIMARIA</v>
      </c>
      <c r="B183" s="26" t="str">
        <f>"09DPR0865Q"</f>
        <v>09DPR0865Q</v>
      </c>
      <c r="C183" s="26" t="str">
        <f>"RICARDO FLORES MAGON                                                                                "</f>
        <v xml:space="preserve">RICARDO FLORES MAGON                                                                                </v>
      </c>
      <c r="D183" s="26" t="str">
        <f t="shared" si="32"/>
        <v>MATUTINO</v>
      </c>
      <c r="E183" s="26" t="str">
        <f>"AV. TLAHUAC KM 23                                                               "</f>
        <v xml:space="preserve">AV. TLAHUAC KM 23                                                               </v>
      </c>
      <c r="F183" s="26" t="str">
        <f>"SANTIAGO ZAPOTITLAN                                                                                                                         "</f>
        <v xml:space="preserve">SANTIAGO ZAPOTITLAN                                                                                                                         </v>
      </c>
      <c r="G183" s="26" t="str">
        <f>"TLAHUAC                                                                         "</f>
        <v xml:space="preserve">TLAHUAC                                                                         </v>
      </c>
      <c r="H183" s="26" t="str">
        <f>"553"</f>
        <v>553</v>
      </c>
      <c r="I183" s="26" t="str">
        <f t="shared" si="23"/>
        <v>00</v>
      </c>
      <c r="J183" s="26" t="str">
        <f>"45 "</f>
        <v xml:space="preserve">45 </v>
      </c>
      <c r="K183" s="26" t="str">
        <f>"PR"</f>
        <v>PR</v>
      </c>
      <c r="L183" s="26" t="str">
        <f>"DGOSE"</f>
        <v>DGOSE</v>
      </c>
      <c r="M183" s="26" t="str">
        <f t="shared" si="24"/>
        <v>FEDERAL</v>
      </c>
      <c r="N183" s="26">
        <v>679</v>
      </c>
      <c r="O183" s="26">
        <v>346</v>
      </c>
      <c r="P183" s="26">
        <v>333</v>
      </c>
      <c r="Q183" s="26">
        <v>18</v>
      </c>
      <c r="R183" s="26">
        <v>1</v>
      </c>
      <c r="S183" s="26">
        <v>18</v>
      </c>
      <c r="T183" s="26">
        <v>9</v>
      </c>
      <c r="U183" s="26">
        <v>28</v>
      </c>
      <c r="V183" s="26">
        <v>1</v>
      </c>
      <c r="W183" s="26"/>
    </row>
    <row r="184" spans="1:23" x14ac:dyDescent="0.25">
      <c r="A184" s="26" t="str">
        <f t="shared" si="22"/>
        <v>PRIMARIA</v>
      </c>
      <c r="B184" s="26" t="str">
        <f>"09DPR0866P"</f>
        <v>09DPR0866P</v>
      </c>
      <c r="C184" s="26" t="str">
        <f>"RAMON MANTEROLA                                                                                     "</f>
        <v xml:space="preserve">RAMON MANTEROLA                                                                                     </v>
      </c>
      <c r="D184" s="26" t="str">
        <f t="shared" si="32"/>
        <v>MATUTINO</v>
      </c>
      <c r="E184" s="26" t="str">
        <f>"AV JUAREZ NUM 8                                                                 "</f>
        <v xml:space="preserve">AV JUAREZ NUM 8                                                                 </v>
      </c>
      <c r="F184" s="26" t="str">
        <f>"CUAJIMALPA                                                                                                                                  "</f>
        <v xml:space="preserve">CUAJIMALPA                                                                                                                                  </v>
      </c>
      <c r="G184" s="26" t="str">
        <f>"CUAJIMALPA DE MORELOS                                                           "</f>
        <v xml:space="preserve">CUAJIMALPA DE MORELOS                                                           </v>
      </c>
      <c r="H184" s="26" t="str">
        <f>"305"</f>
        <v>305</v>
      </c>
      <c r="I184" s="26" t="str">
        <f t="shared" si="23"/>
        <v>00</v>
      </c>
      <c r="J184" s="26" t="str">
        <f>"43 "</f>
        <v xml:space="preserve">43 </v>
      </c>
      <c r="K184" s="26" t="str">
        <f>"PR"</f>
        <v>PR</v>
      </c>
      <c r="L184" s="26" t="str">
        <f>"DGOSE"</f>
        <v>DGOSE</v>
      </c>
      <c r="M184" s="26" t="str">
        <f t="shared" si="24"/>
        <v>FEDERAL</v>
      </c>
      <c r="N184" s="26">
        <v>668</v>
      </c>
      <c r="O184" s="26">
        <v>324</v>
      </c>
      <c r="P184" s="26">
        <v>344</v>
      </c>
      <c r="Q184" s="26">
        <v>18</v>
      </c>
      <c r="R184" s="26">
        <v>1</v>
      </c>
      <c r="S184" s="26">
        <v>18</v>
      </c>
      <c r="T184" s="26">
        <v>10</v>
      </c>
      <c r="U184" s="26">
        <v>29</v>
      </c>
      <c r="V184" s="26">
        <v>1</v>
      </c>
      <c r="W184" s="26"/>
    </row>
    <row r="185" spans="1:23" x14ac:dyDescent="0.25">
      <c r="A185" s="26" t="str">
        <f t="shared" si="22"/>
        <v>PRIMARIA</v>
      </c>
      <c r="B185" s="26" t="str">
        <f>"09DPR0867O"</f>
        <v>09DPR0867O</v>
      </c>
      <c r="C185" s="26" t="str">
        <f>"LIC. FELIPE RIVERA                                                                                  "</f>
        <v xml:space="preserve">LIC. FELIPE RIVERA                                                                                  </v>
      </c>
      <c r="D185" s="26" t="str">
        <f>"JORNADA AMPLIADA"</f>
        <v>JORNADA AMPLIADA</v>
      </c>
      <c r="E185" s="26" t="str">
        <f>"AV. CENTRAL NUM. 89                                                             "</f>
        <v xml:space="preserve">AV. CENTRAL NUM. 89                                                             </v>
      </c>
      <c r="F185" s="26" t="str">
        <f>"BUENOS AIRES                                                                                                                                "</f>
        <v xml:space="preserve">BUENOS AIRES                                                                                                                                </v>
      </c>
      <c r="G185" s="26" t="str">
        <f>"CUAUHTEMOC                                                                      "</f>
        <v xml:space="preserve">CUAUHTEMOC                                                                      </v>
      </c>
      <c r="H185" s="26" t="str">
        <f>"126"</f>
        <v>126</v>
      </c>
      <c r="I185" s="26" t="str">
        <f t="shared" si="23"/>
        <v>00</v>
      </c>
      <c r="J185" s="26" t="str">
        <f>"41 "</f>
        <v xml:space="preserve">41 </v>
      </c>
      <c r="K185" s="26" t="str">
        <f>"PR"</f>
        <v>PR</v>
      </c>
      <c r="L185" s="26" t="str">
        <f>"DGOSE"</f>
        <v>DGOSE</v>
      </c>
      <c r="M185" s="26" t="str">
        <f t="shared" si="24"/>
        <v>FEDERAL</v>
      </c>
      <c r="N185" s="26">
        <v>160</v>
      </c>
      <c r="O185" s="26">
        <v>72</v>
      </c>
      <c r="P185" s="26">
        <v>88</v>
      </c>
      <c r="Q185" s="26">
        <v>6</v>
      </c>
      <c r="R185" s="26">
        <v>1</v>
      </c>
      <c r="S185" s="26">
        <v>6</v>
      </c>
      <c r="T185" s="26">
        <v>8</v>
      </c>
      <c r="U185" s="26">
        <v>15</v>
      </c>
      <c r="V185" s="26">
        <v>1</v>
      </c>
      <c r="W185" s="26" t="s">
        <v>2076</v>
      </c>
    </row>
    <row r="186" spans="1:23" x14ac:dyDescent="0.25">
      <c r="A186" s="26" t="str">
        <f t="shared" si="22"/>
        <v>PRIMARIA</v>
      </c>
      <c r="B186" s="26" t="str">
        <f>"09DPR0868N"</f>
        <v>09DPR0868N</v>
      </c>
      <c r="C186" s="26" t="str">
        <f>"NETZAHUALCOYOTL                                                                                     "</f>
        <v xml:space="preserve">NETZAHUALCOYOTL                                                                                     </v>
      </c>
      <c r="D186" s="26" t="str">
        <f>"VESPERTINO"</f>
        <v>VESPERTINO</v>
      </c>
      <c r="E186" s="26" t="str">
        <f>"ZAPOTECAS E IXTLIXOCHITL S/N                                                    "</f>
        <v xml:space="preserve">ZAPOTECAS E IXTLIXOCHITL S/N                                                    </v>
      </c>
      <c r="F186" s="26" t="str">
        <f>"AJUSCO                                                                                                                                      "</f>
        <v xml:space="preserve">AJUSCO                                                                                                                                      </v>
      </c>
      <c r="G186" s="26" t="str">
        <f>"COYOACAN                                                                        "</f>
        <v xml:space="preserve">COYOACAN                                                                        </v>
      </c>
      <c r="H186" s="26" t="str">
        <f>"504"</f>
        <v>504</v>
      </c>
      <c r="I186" s="26" t="str">
        <f t="shared" si="23"/>
        <v>00</v>
      </c>
      <c r="J186" s="26" t="str">
        <f>"45 "</f>
        <v xml:space="preserve">45 </v>
      </c>
      <c r="K186" s="26" t="str">
        <f>"PR"</f>
        <v>PR</v>
      </c>
      <c r="L186" s="26" t="str">
        <f>"DGOSE"</f>
        <v>DGOSE</v>
      </c>
      <c r="M186" s="26" t="str">
        <f t="shared" si="24"/>
        <v>FEDERAL</v>
      </c>
      <c r="N186" s="26">
        <v>203</v>
      </c>
      <c r="O186" s="26">
        <v>121</v>
      </c>
      <c r="P186" s="26">
        <v>82</v>
      </c>
      <c r="Q186" s="26">
        <v>11</v>
      </c>
      <c r="R186" s="26">
        <v>1</v>
      </c>
      <c r="S186" s="26">
        <v>11</v>
      </c>
      <c r="T186" s="26">
        <v>10</v>
      </c>
      <c r="U186" s="26">
        <v>22</v>
      </c>
      <c r="V186" s="26">
        <v>1</v>
      </c>
      <c r="W186" s="26"/>
    </row>
    <row r="187" spans="1:23" x14ac:dyDescent="0.25">
      <c r="A187" s="26" t="str">
        <f t="shared" si="22"/>
        <v>PRIMARIA</v>
      </c>
      <c r="B187" s="26" t="str">
        <f>"09DPR0869M"</f>
        <v>09DPR0869M</v>
      </c>
      <c r="C187" s="26" t="str">
        <f>"JOSE VASCONCELOS                                                                                    "</f>
        <v xml:space="preserve">JOSE VASCONCELOS                                                                                    </v>
      </c>
      <c r="D187" s="26" t="str">
        <f>"VESPERTINO"</f>
        <v>VESPERTINO</v>
      </c>
      <c r="E187" s="26" t="str">
        <f>"LIRIO NO. 14                                                                    "</f>
        <v xml:space="preserve">LIRIO NO. 14                                                                    </v>
      </c>
      <c r="F187" s="26" t="str">
        <f>"LOS ANGELES APANOAYA                                                                                                                        "</f>
        <v xml:space="preserve">LOS ANGELES APANOAYA                                                                                                                        </v>
      </c>
      <c r="G187" s="26" t="str">
        <f>"IZTAPALAPA                                                                      "</f>
        <v xml:space="preserve">IZTAPALAPA                                                                      </v>
      </c>
      <c r="H187" s="26" t="str">
        <f>"053"</f>
        <v>053</v>
      </c>
      <c r="I187" s="26" t="str">
        <f t="shared" si="23"/>
        <v>00</v>
      </c>
      <c r="J187" s="26" t="str">
        <f>"64 "</f>
        <v xml:space="preserve">64 </v>
      </c>
      <c r="K187" s="26" t="str">
        <f>"IZ"</f>
        <v>IZ</v>
      </c>
      <c r="L187" s="26" t="str">
        <f>"DGSEI"</f>
        <v>DGSEI</v>
      </c>
      <c r="M187" s="26" t="str">
        <f t="shared" si="24"/>
        <v>FEDERAL</v>
      </c>
      <c r="N187" s="26">
        <v>111</v>
      </c>
      <c r="O187" s="26">
        <v>60</v>
      </c>
      <c r="P187" s="26">
        <v>51</v>
      </c>
      <c r="Q187" s="26">
        <v>6</v>
      </c>
      <c r="R187" s="26">
        <v>1</v>
      </c>
      <c r="S187" s="26">
        <v>5</v>
      </c>
      <c r="T187" s="26">
        <v>4</v>
      </c>
      <c r="U187" s="26">
        <v>10</v>
      </c>
      <c r="V187" s="26">
        <v>1</v>
      </c>
      <c r="W187" s="26"/>
    </row>
    <row r="188" spans="1:23" x14ac:dyDescent="0.25">
      <c r="A188" s="26" t="str">
        <f t="shared" si="22"/>
        <v>PRIMARIA</v>
      </c>
      <c r="B188" s="26" t="str">
        <f>"09DPR0871A"</f>
        <v>09DPR0871A</v>
      </c>
      <c r="C188" s="26" t="str">
        <f>"JOSE VASCONCELOS                                                                                    "</f>
        <v xml:space="preserve">JOSE VASCONCELOS                                                                                    </v>
      </c>
      <c r="D188" s="26" t="str">
        <f>"MATUTINO"</f>
        <v>MATUTINO</v>
      </c>
      <c r="E188" s="26" t="str">
        <f>"LIRIO NO. 14                                                                    "</f>
        <v xml:space="preserve">LIRIO NO. 14                                                                    </v>
      </c>
      <c r="F188" s="26" t="str">
        <f>"LOS ANGELES APANOAYA                                                                                                                        "</f>
        <v xml:space="preserve">LOS ANGELES APANOAYA                                                                                                                        </v>
      </c>
      <c r="G188" s="26" t="str">
        <f>"IZTAPALAPA                                                                      "</f>
        <v xml:space="preserve">IZTAPALAPA                                                                      </v>
      </c>
      <c r="H188" s="26" t="str">
        <f>"053"</f>
        <v>053</v>
      </c>
      <c r="I188" s="26" t="str">
        <f t="shared" si="23"/>
        <v>00</v>
      </c>
      <c r="J188" s="26" t="str">
        <f>"64 "</f>
        <v xml:space="preserve">64 </v>
      </c>
      <c r="K188" s="26" t="str">
        <f>"IZ"</f>
        <v>IZ</v>
      </c>
      <c r="L188" s="26" t="str">
        <f>"DGSEI"</f>
        <v>DGSEI</v>
      </c>
      <c r="M188" s="26" t="str">
        <f t="shared" si="24"/>
        <v>FEDERAL</v>
      </c>
      <c r="N188" s="26">
        <v>432</v>
      </c>
      <c r="O188" s="26">
        <v>203</v>
      </c>
      <c r="P188" s="26">
        <v>229</v>
      </c>
      <c r="Q188" s="26">
        <v>18</v>
      </c>
      <c r="R188" s="26">
        <v>1</v>
      </c>
      <c r="S188" s="26">
        <v>18</v>
      </c>
      <c r="T188" s="26">
        <v>7</v>
      </c>
      <c r="U188" s="26">
        <v>26</v>
      </c>
      <c r="V188" s="26">
        <v>1</v>
      </c>
      <c r="W188" s="26"/>
    </row>
    <row r="189" spans="1:23" x14ac:dyDescent="0.25">
      <c r="A189" s="26" t="str">
        <f t="shared" si="22"/>
        <v>PRIMARIA</v>
      </c>
      <c r="B189" s="26" t="str">
        <f>"09DPR0873Z"</f>
        <v>09DPR0873Z</v>
      </c>
      <c r="C189" s="26" t="str">
        <f>"PROFRA. CARMEN DOMINGUEZ AGUIRRE                                                                    "</f>
        <v xml:space="preserve">PROFRA. CARMEN DOMINGUEZ AGUIRRE                                                                    </v>
      </c>
      <c r="D189" s="26" t="str">
        <f>"VESPERTINO"</f>
        <v>VESPERTINO</v>
      </c>
      <c r="E189" s="26" t="str">
        <f>"OLIN 37                                                                         "</f>
        <v xml:space="preserve">OLIN 37                                                                         </v>
      </c>
      <c r="F189" s="26" t="str">
        <f>"BARROS SIERRA                                                                                                                               "</f>
        <v xml:space="preserve">BARROS SIERRA                                                                                                                               </v>
      </c>
      <c r="G189" s="26" t="str">
        <f>"LA MAGDALENA CONTRERAS                                                          "</f>
        <v xml:space="preserve">LA MAGDALENA CONTRERAS                                                          </v>
      </c>
      <c r="H189" s="26" t="str">
        <f>"333"</f>
        <v>333</v>
      </c>
      <c r="I189" s="26" t="str">
        <f t="shared" si="23"/>
        <v>00</v>
      </c>
      <c r="J189" s="26" t="str">
        <f>"43 "</f>
        <v xml:space="preserve">43 </v>
      </c>
      <c r="K189" s="26" t="str">
        <f>"PR"</f>
        <v>PR</v>
      </c>
      <c r="L189" s="26" t="str">
        <f>"DGOSE"</f>
        <v>DGOSE</v>
      </c>
      <c r="M189" s="26" t="str">
        <f t="shared" si="24"/>
        <v>FEDERAL</v>
      </c>
      <c r="N189" s="26">
        <v>175</v>
      </c>
      <c r="O189" s="26">
        <v>88</v>
      </c>
      <c r="P189" s="26">
        <v>87</v>
      </c>
      <c r="Q189" s="26">
        <v>6</v>
      </c>
      <c r="R189" s="26">
        <v>1</v>
      </c>
      <c r="S189" s="26">
        <v>6</v>
      </c>
      <c r="T189" s="26">
        <v>3</v>
      </c>
      <c r="U189" s="26">
        <v>10</v>
      </c>
      <c r="V189" s="26">
        <v>1</v>
      </c>
      <c r="W189" s="26"/>
    </row>
    <row r="190" spans="1:23" x14ac:dyDescent="0.25">
      <c r="A190" s="26" t="str">
        <f t="shared" si="22"/>
        <v>PRIMARIA</v>
      </c>
      <c r="B190" s="26" t="str">
        <f>"09DPR0874Y"</f>
        <v>09DPR0874Y</v>
      </c>
      <c r="C190" s="26" t="str">
        <f>"PROFRA. CARMEN DOMINGUEZ AGUIRRE                                                                    "</f>
        <v xml:space="preserve">PROFRA. CARMEN DOMINGUEZ AGUIRRE                                                                    </v>
      </c>
      <c r="D190" s="26" t="str">
        <f>"MATUTINO"</f>
        <v>MATUTINO</v>
      </c>
      <c r="E190" s="26" t="str">
        <f>"OLIN 37                                                                         "</f>
        <v xml:space="preserve">OLIN 37                                                                         </v>
      </c>
      <c r="F190" s="26" t="str">
        <f>"BARROS SIERRA                                                                                                                               "</f>
        <v xml:space="preserve">BARROS SIERRA                                                                                                                               </v>
      </c>
      <c r="G190" s="26" t="str">
        <f>"LA MAGDALENA CONTRERAS                                                          "</f>
        <v xml:space="preserve">LA MAGDALENA CONTRERAS                                                          </v>
      </c>
      <c r="H190" s="26" t="str">
        <f>"333"</f>
        <v>333</v>
      </c>
      <c r="I190" s="26" t="str">
        <f t="shared" si="23"/>
        <v>00</v>
      </c>
      <c r="J190" s="26" t="str">
        <f>"43 "</f>
        <v xml:space="preserve">43 </v>
      </c>
      <c r="K190" s="26" t="str">
        <f>"PR"</f>
        <v>PR</v>
      </c>
      <c r="L190" s="26" t="str">
        <f>"DGOSE"</f>
        <v>DGOSE</v>
      </c>
      <c r="M190" s="26" t="str">
        <f t="shared" si="24"/>
        <v>FEDERAL</v>
      </c>
      <c r="N190" s="26">
        <v>189</v>
      </c>
      <c r="O190" s="26">
        <v>96</v>
      </c>
      <c r="P190" s="26">
        <v>93</v>
      </c>
      <c r="Q190" s="26">
        <v>6</v>
      </c>
      <c r="R190" s="26">
        <v>1</v>
      </c>
      <c r="S190" s="26">
        <v>6</v>
      </c>
      <c r="T190" s="26">
        <v>6</v>
      </c>
      <c r="U190" s="26">
        <v>13</v>
      </c>
      <c r="V190" s="26">
        <v>1</v>
      </c>
      <c r="W190" s="26"/>
    </row>
    <row r="191" spans="1:23" x14ac:dyDescent="0.25">
      <c r="A191" s="26" t="str">
        <f t="shared" si="22"/>
        <v>PRIMARIA</v>
      </c>
      <c r="B191" s="26" t="str">
        <f>"09DPR0875X"</f>
        <v>09DPR0875X</v>
      </c>
      <c r="C191" s="26" t="str">
        <f>"GEORGES CUISENAIRE                                                                                  "</f>
        <v xml:space="preserve">GEORGES CUISENAIRE                                                                                  </v>
      </c>
      <c r="D191" s="26" t="str">
        <f>"VESPERTINO"</f>
        <v>VESPERTINO</v>
      </c>
      <c r="E191" s="26" t="str">
        <f>"PRIV LOS ANGELES Y SOFIA EUGENIA                                                "</f>
        <v xml:space="preserve">PRIV LOS ANGELES Y SOFIA EUGENIA                                                </v>
      </c>
      <c r="F191" s="26" t="str">
        <f>"SANTA BARBARA                                                                                                                               "</f>
        <v xml:space="preserve">SANTA BARBARA                                                                                                                               </v>
      </c>
      <c r="G191" s="26" t="str">
        <f>"AZCAPOTZALCO                                                                    "</f>
        <v xml:space="preserve">AZCAPOTZALCO                                                                    </v>
      </c>
      <c r="H191" s="26" t="str">
        <f>"202"</f>
        <v>202</v>
      </c>
      <c r="I191" s="26" t="str">
        <f t="shared" si="23"/>
        <v>00</v>
      </c>
      <c r="J191" s="26" t="str">
        <f>"42 "</f>
        <v xml:space="preserve">42 </v>
      </c>
      <c r="K191" s="26" t="str">
        <f>"PR"</f>
        <v>PR</v>
      </c>
      <c r="L191" s="26" t="str">
        <f>"DGOSE"</f>
        <v>DGOSE</v>
      </c>
      <c r="M191" s="26" t="str">
        <f t="shared" si="24"/>
        <v>FEDERAL</v>
      </c>
      <c r="N191" s="26">
        <v>119</v>
      </c>
      <c r="O191" s="26">
        <v>65</v>
      </c>
      <c r="P191" s="26">
        <v>54</v>
      </c>
      <c r="Q191" s="26">
        <v>11</v>
      </c>
      <c r="R191" s="26">
        <v>1</v>
      </c>
      <c r="S191" s="26">
        <v>9</v>
      </c>
      <c r="T191" s="26">
        <v>9</v>
      </c>
      <c r="U191" s="26">
        <v>19</v>
      </c>
      <c r="V191" s="26">
        <v>1</v>
      </c>
      <c r="W191" s="26"/>
    </row>
    <row r="192" spans="1:23" x14ac:dyDescent="0.25">
      <c r="A192" s="26" t="str">
        <f t="shared" si="22"/>
        <v>PRIMARIA</v>
      </c>
      <c r="B192" s="26" t="str">
        <f>"09DPR0877V"</f>
        <v>09DPR0877V</v>
      </c>
      <c r="C192" s="26" t="str">
        <f>"LUIS PASTEUR                                                                                        "</f>
        <v xml:space="preserve">LUIS PASTEUR                                                                                        </v>
      </c>
      <c r="D192" s="26" t="str">
        <f>"VESPERTINO"</f>
        <v>VESPERTINO</v>
      </c>
      <c r="E192" s="26" t="str">
        <f>"AV. TEXCOCO S/N Y AV. SENTIMIENTO A LA NACION                                   "</f>
        <v xml:space="preserve">AV. TEXCOCO S/N Y AV. SENTIMIENTO A LA NACION                                   </v>
      </c>
      <c r="F192" s="26" t="str">
        <f>"LA COLMENA                                                                                                                                  "</f>
        <v xml:space="preserve">LA COLMENA                                                                                                                                  </v>
      </c>
      <c r="G192" s="26" t="str">
        <f>"IZTAPALAPA                                                                      "</f>
        <v xml:space="preserve">IZTAPALAPA                                                                      </v>
      </c>
      <c r="H192" s="26" t="str">
        <f>"031"</f>
        <v>031</v>
      </c>
      <c r="I192" s="26" t="str">
        <f t="shared" si="23"/>
        <v>00</v>
      </c>
      <c r="J192" s="26" t="str">
        <f>"62 "</f>
        <v xml:space="preserve">62 </v>
      </c>
      <c r="K192" s="26" t="str">
        <f>"IZ"</f>
        <v>IZ</v>
      </c>
      <c r="L192" s="26" t="str">
        <f>"DGSEI"</f>
        <v>DGSEI</v>
      </c>
      <c r="M192" s="26" t="str">
        <f t="shared" si="24"/>
        <v>FEDERAL</v>
      </c>
      <c r="N192" s="26">
        <v>268</v>
      </c>
      <c r="O192" s="26">
        <v>142</v>
      </c>
      <c r="P192" s="26">
        <v>126</v>
      </c>
      <c r="Q192" s="26">
        <v>12</v>
      </c>
      <c r="R192" s="26">
        <v>1</v>
      </c>
      <c r="S192" s="26">
        <v>11</v>
      </c>
      <c r="T192" s="26">
        <v>6</v>
      </c>
      <c r="U192" s="26">
        <v>18</v>
      </c>
      <c r="V192" s="26">
        <v>1</v>
      </c>
      <c r="W192" s="26"/>
    </row>
    <row r="193" spans="1:23" x14ac:dyDescent="0.25">
      <c r="A193" s="26" t="str">
        <f t="shared" si="22"/>
        <v>PRIMARIA</v>
      </c>
      <c r="B193" s="26" t="str">
        <f>"09DPR0878U"</f>
        <v>09DPR0878U</v>
      </c>
      <c r="C193" s="26" t="str">
        <f>"JOSEFINA RODRIGUEZ SOLIS GUDIÑO                                                                     "</f>
        <v xml:space="preserve">JOSEFINA RODRIGUEZ SOLIS GUDIÑO                                                                     </v>
      </c>
      <c r="D193" s="26" t="str">
        <f>"JORNADA AMPLIADA"</f>
        <v>JORNADA AMPLIADA</v>
      </c>
      <c r="E193" s="26" t="str">
        <f>"BENITO JUAREZ 1                                                                 "</f>
        <v xml:space="preserve">BENITO JUAREZ 1                                                                 </v>
      </c>
      <c r="F193" s="26" t="str">
        <f>"BARRIO NORTE                                                                                                                                "</f>
        <v xml:space="preserve">BARRIO NORTE                                                                                                                                </v>
      </c>
      <c r="G193" s="26" t="str">
        <f>"ALVARO OBREGON                                                                  "</f>
        <v xml:space="preserve">ALVARO OBREGON                                                                  </v>
      </c>
      <c r="H193" s="26" t="str">
        <f>"402"</f>
        <v>402</v>
      </c>
      <c r="I193" s="26" t="str">
        <f t="shared" si="23"/>
        <v>00</v>
      </c>
      <c r="J193" s="26" t="str">
        <f>"44 "</f>
        <v xml:space="preserve">44 </v>
      </c>
      <c r="K193" s="26" t="str">
        <f>"PR"</f>
        <v>PR</v>
      </c>
      <c r="L193" s="26" t="str">
        <f>"DGOSE"</f>
        <v>DGOSE</v>
      </c>
      <c r="M193" s="26" t="str">
        <f t="shared" si="24"/>
        <v>FEDERAL</v>
      </c>
      <c r="N193" s="26">
        <v>309</v>
      </c>
      <c r="O193" s="26">
        <v>160</v>
      </c>
      <c r="P193" s="26">
        <v>149</v>
      </c>
      <c r="Q193" s="26">
        <v>11</v>
      </c>
      <c r="R193" s="26">
        <v>1</v>
      </c>
      <c r="S193" s="26">
        <v>11</v>
      </c>
      <c r="T193" s="26">
        <v>9</v>
      </c>
      <c r="U193" s="26">
        <v>21</v>
      </c>
      <c r="V193" s="26">
        <v>1</v>
      </c>
      <c r="W193" s="26" t="s">
        <v>2076</v>
      </c>
    </row>
    <row r="194" spans="1:23" x14ac:dyDescent="0.25">
      <c r="A194" s="26" t="str">
        <f t="shared" ref="A194:A257" si="33">"PRIMARIA"</f>
        <v>PRIMARIA</v>
      </c>
      <c r="B194" s="26" t="str">
        <f>"09DPR0895K"</f>
        <v>09DPR0895K</v>
      </c>
      <c r="C194" s="26" t="str">
        <f>"VICENTE LOMBARDO TOLEDANO                                                                           "</f>
        <v xml:space="preserve">VICENTE LOMBARDO TOLEDANO                                                                           </v>
      </c>
      <c r="D194" s="26" t="str">
        <f>"MATUTINO"</f>
        <v>MATUTINO</v>
      </c>
      <c r="E194" s="26" t="str">
        <f>"M ALEMAN Y RUIZ CORTINES S/N                                                    "</f>
        <v xml:space="preserve">M ALEMAN Y RUIZ CORTINES S/N                                                    </v>
      </c>
      <c r="F194" s="26" t="str">
        <f>"BENITO JUAREZ                                                                                                                               "</f>
        <v xml:space="preserve">BENITO JUAREZ                                                                                                                               </v>
      </c>
      <c r="G194" s="26" t="str">
        <f>"GUSTAVO A. MADERO                                                               "</f>
        <v xml:space="preserve">GUSTAVO A. MADERO                                                               </v>
      </c>
      <c r="H194" s="26" t="str">
        <f>"234"</f>
        <v>234</v>
      </c>
      <c r="I194" s="26" t="str">
        <f t="shared" ref="I194:I257" si="34">"00"</f>
        <v>00</v>
      </c>
      <c r="J194" s="26" t="str">
        <f>"42 "</f>
        <v xml:space="preserve">42 </v>
      </c>
      <c r="K194" s="26" t="str">
        <f>"PR"</f>
        <v>PR</v>
      </c>
      <c r="L194" s="26" t="str">
        <f>"DGOSE"</f>
        <v>DGOSE</v>
      </c>
      <c r="M194" s="26" t="str">
        <f t="shared" ref="M194:M257" si="35">"FEDERAL"</f>
        <v>FEDERAL</v>
      </c>
      <c r="N194" s="26">
        <v>486</v>
      </c>
      <c r="O194" s="26">
        <v>247</v>
      </c>
      <c r="P194" s="26">
        <v>239</v>
      </c>
      <c r="Q194" s="26">
        <v>18</v>
      </c>
      <c r="R194" s="26">
        <v>1</v>
      </c>
      <c r="S194" s="26">
        <v>18</v>
      </c>
      <c r="T194" s="26">
        <v>10</v>
      </c>
      <c r="U194" s="26">
        <v>29</v>
      </c>
      <c r="V194" s="26">
        <v>1</v>
      </c>
      <c r="W194" s="26"/>
    </row>
    <row r="195" spans="1:23" x14ac:dyDescent="0.25">
      <c r="A195" s="26" t="str">
        <f t="shared" si="33"/>
        <v>PRIMARIA</v>
      </c>
      <c r="B195" s="26" t="str">
        <f>"09DPR0896J"</f>
        <v>09DPR0896J</v>
      </c>
      <c r="C195" s="26" t="str">
        <f>"REPUBLICA DE INDONESIA                                                                              "</f>
        <v xml:space="preserve">REPUBLICA DE INDONESIA                                                                              </v>
      </c>
      <c r="D195" s="26" t="str">
        <f>"VESPERTINO"</f>
        <v>VESPERTINO</v>
      </c>
      <c r="E195" s="26" t="str">
        <f>"CATARROJA NO. 78                                                                "</f>
        <v xml:space="preserve">CATARROJA NO. 78                                                                </v>
      </c>
      <c r="F195" s="26" t="str">
        <f>"CERRO DE LA ESTRELLA                                                                                                                        "</f>
        <v xml:space="preserve">CERRO DE LA ESTRELLA                                                                                                                        </v>
      </c>
      <c r="G195" s="26" t="str">
        <f>"IZTAPALAPA                                                                      "</f>
        <v xml:space="preserve">IZTAPALAPA                                                                      </v>
      </c>
      <c r="H195" s="26" t="str">
        <f>"044"</f>
        <v>044</v>
      </c>
      <c r="I195" s="26" t="str">
        <f t="shared" si="34"/>
        <v>00</v>
      </c>
      <c r="J195" s="26" t="str">
        <f>"63 "</f>
        <v xml:space="preserve">63 </v>
      </c>
      <c r="K195" s="26" t="str">
        <f>"IZ"</f>
        <v>IZ</v>
      </c>
      <c r="L195" s="26" t="str">
        <f>"DGSEI"</f>
        <v>DGSEI</v>
      </c>
      <c r="M195" s="26" t="str">
        <f t="shared" si="35"/>
        <v>FEDERAL</v>
      </c>
      <c r="N195" s="26">
        <v>183</v>
      </c>
      <c r="O195" s="26">
        <v>93</v>
      </c>
      <c r="P195" s="26">
        <v>90</v>
      </c>
      <c r="Q195" s="26">
        <v>12</v>
      </c>
      <c r="R195" s="26">
        <v>1</v>
      </c>
      <c r="S195" s="26">
        <v>12</v>
      </c>
      <c r="T195" s="26">
        <v>4</v>
      </c>
      <c r="U195" s="26">
        <v>17</v>
      </c>
      <c r="V195" s="26">
        <v>1</v>
      </c>
      <c r="W195" s="26"/>
    </row>
    <row r="196" spans="1:23" x14ac:dyDescent="0.25">
      <c r="A196" s="26" t="str">
        <f t="shared" si="33"/>
        <v>PRIMARIA</v>
      </c>
      <c r="B196" s="26" t="str">
        <f>"09DPR0898H"</f>
        <v>09DPR0898H</v>
      </c>
      <c r="C196" s="26" t="str">
        <f>"COPIAPO                                                                                             "</f>
        <v xml:space="preserve">COPIAPO                                                                                             </v>
      </c>
      <c r="D196" s="26" t="str">
        <f>"MATUTINO"</f>
        <v>MATUTINO</v>
      </c>
      <c r="E196" s="26" t="str">
        <f>"SUPER MANZANA 3 S/N                                                             "</f>
        <v xml:space="preserve">SUPER MANZANA 3 S/N                                                             </v>
      </c>
      <c r="F196" s="26" t="str">
        <f>"UNIDAD HABITACIONAL VICENTE GUERRER                                                                                                         "</f>
        <v xml:space="preserve">UNIDAD HABITACIONAL VICENTE GUERRER                                                                                                         </v>
      </c>
      <c r="G196" s="26" t="str">
        <f>"IZTAPALAPA                                                                      "</f>
        <v xml:space="preserve">IZTAPALAPA                                                                      </v>
      </c>
      <c r="H196" s="26" t="str">
        <f>"016"</f>
        <v>016</v>
      </c>
      <c r="I196" s="26" t="str">
        <f t="shared" si="34"/>
        <v>00</v>
      </c>
      <c r="J196" s="26" t="str">
        <f>"62 "</f>
        <v xml:space="preserve">62 </v>
      </c>
      <c r="K196" s="26" t="str">
        <f>"IZ"</f>
        <v>IZ</v>
      </c>
      <c r="L196" s="26" t="str">
        <f>"DGSEI"</f>
        <v>DGSEI</v>
      </c>
      <c r="M196" s="26" t="str">
        <f t="shared" si="35"/>
        <v>FEDERAL</v>
      </c>
      <c r="N196" s="26">
        <v>517</v>
      </c>
      <c r="O196" s="26">
        <v>254</v>
      </c>
      <c r="P196" s="26">
        <v>263</v>
      </c>
      <c r="Q196" s="26">
        <v>17</v>
      </c>
      <c r="R196" s="26">
        <v>1</v>
      </c>
      <c r="S196" s="26">
        <v>16</v>
      </c>
      <c r="T196" s="26">
        <v>5</v>
      </c>
      <c r="U196" s="26">
        <v>22</v>
      </c>
      <c r="V196" s="26">
        <v>1</v>
      </c>
      <c r="W196" s="26"/>
    </row>
    <row r="197" spans="1:23" x14ac:dyDescent="0.25">
      <c r="A197" s="26" t="str">
        <f t="shared" si="33"/>
        <v>PRIMARIA</v>
      </c>
      <c r="B197" s="26" t="str">
        <f>"09DPR0899G"</f>
        <v>09DPR0899G</v>
      </c>
      <c r="C197" s="26" t="str">
        <f>"ESTADO DE TLAXCALA                                                                                  "</f>
        <v xml:space="preserve">ESTADO DE TLAXCALA                                                                                  </v>
      </c>
      <c r="D197" s="26" t="str">
        <f>"MATUTINO"</f>
        <v>MATUTINO</v>
      </c>
      <c r="E197" s="26" t="str">
        <f>"ENRIQUE BORDES M ANGEL NO 4000                                                  "</f>
        <v xml:space="preserve">ENRIQUE BORDES M ANGEL NO 4000                                                  </v>
      </c>
      <c r="F197" s="26" t="str">
        <f>"ASTURIAS AMPLIACION                                                                                                                         "</f>
        <v xml:space="preserve">ASTURIAS AMPLIACION                                                                                                                         </v>
      </c>
      <c r="G197" s="26" t="str">
        <f>"CUAUHTEMOC                                                                      "</f>
        <v xml:space="preserve">CUAUHTEMOC                                                                      </v>
      </c>
      <c r="H197" s="26" t="str">
        <f>"225"</f>
        <v>225</v>
      </c>
      <c r="I197" s="26" t="str">
        <f t="shared" si="34"/>
        <v>00</v>
      </c>
      <c r="J197" s="26" t="str">
        <f>"42 "</f>
        <v xml:space="preserve">42 </v>
      </c>
      <c r="K197" s="26" t="str">
        <f t="shared" ref="K197:K204" si="36">"PR"</f>
        <v>PR</v>
      </c>
      <c r="L197" s="26" t="str">
        <f t="shared" ref="L197:L204" si="37">"DGOSE"</f>
        <v>DGOSE</v>
      </c>
      <c r="M197" s="26" t="str">
        <f t="shared" si="35"/>
        <v>FEDERAL</v>
      </c>
      <c r="N197" s="26">
        <v>140</v>
      </c>
      <c r="O197" s="26">
        <v>72</v>
      </c>
      <c r="P197" s="26">
        <v>68</v>
      </c>
      <c r="Q197" s="26">
        <v>6</v>
      </c>
      <c r="R197" s="26">
        <v>1</v>
      </c>
      <c r="S197" s="26">
        <v>6</v>
      </c>
      <c r="T197" s="26">
        <v>10</v>
      </c>
      <c r="U197" s="26">
        <v>17</v>
      </c>
      <c r="V197" s="26">
        <v>1</v>
      </c>
      <c r="W197" s="26"/>
    </row>
    <row r="198" spans="1:23" x14ac:dyDescent="0.25">
      <c r="A198" s="26" t="str">
        <f t="shared" si="33"/>
        <v>PRIMARIA</v>
      </c>
      <c r="B198" s="26" t="str">
        <f>"09DPR0901E"</f>
        <v>09DPR0901E</v>
      </c>
      <c r="C198" s="26" t="str">
        <f>"ESTADO DE YUCATAN                                                                                   "</f>
        <v xml:space="preserve">ESTADO DE YUCATAN                                                                                   </v>
      </c>
      <c r="D198" s="26" t="str">
        <f>"JORNADA AMPLIADA"</f>
        <v>JORNADA AMPLIADA</v>
      </c>
      <c r="E198" s="26" t="str">
        <f>"FCO. GONZALEZ BOCANEGRA NUM 14                                                  "</f>
        <v xml:space="preserve">FCO. GONZALEZ BOCANEGRA NUM 14                                                  </v>
      </c>
      <c r="F198" s="26" t="str">
        <f>"GUERRERO                                                                                                                                    "</f>
        <v xml:space="preserve">GUERRERO                                                                                                                                    </v>
      </c>
      <c r="G198" s="26" t="str">
        <f>"CUAUHTEMOC                                                                      "</f>
        <v xml:space="preserve">CUAUHTEMOC                                                                      </v>
      </c>
      <c r="H198" s="26" t="str">
        <f>"122"</f>
        <v>122</v>
      </c>
      <c r="I198" s="26" t="str">
        <f t="shared" si="34"/>
        <v>00</v>
      </c>
      <c r="J198" s="26" t="str">
        <f>"41 "</f>
        <v xml:space="preserve">41 </v>
      </c>
      <c r="K198" s="26" t="str">
        <f t="shared" si="36"/>
        <v>PR</v>
      </c>
      <c r="L198" s="26" t="str">
        <f t="shared" si="37"/>
        <v>DGOSE</v>
      </c>
      <c r="M198" s="26" t="str">
        <f t="shared" si="35"/>
        <v>FEDERAL</v>
      </c>
      <c r="N198" s="26">
        <v>348</v>
      </c>
      <c r="O198" s="26">
        <v>168</v>
      </c>
      <c r="P198" s="26">
        <v>180</v>
      </c>
      <c r="Q198" s="26">
        <v>12</v>
      </c>
      <c r="R198" s="26">
        <v>1</v>
      </c>
      <c r="S198" s="26">
        <v>12</v>
      </c>
      <c r="T198" s="26">
        <v>10</v>
      </c>
      <c r="U198" s="26">
        <v>23</v>
      </c>
      <c r="V198" s="26">
        <v>1</v>
      </c>
      <c r="W198" s="26" t="s">
        <v>2076</v>
      </c>
    </row>
    <row r="199" spans="1:23" x14ac:dyDescent="0.25">
      <c r="A199" s="26" t="str">
        <f t="shared" si="33"/>
        <v>PRIMARIA</v>
      </c>
      <c r="B199" s="26" t="str">
        <f>"09DPR0902D"</f>
        <v>09DPR0902D</v>
      </c>
      <c r="C199" s="26" t="str">
        <f>"ESTADO DE SINALOA                                                                                   "</f>
        <v xml:space="preserve">ESTADO DE SINALOA                                                                                   </v>
      </c>
      <c r="D199" s="26" t="str">
        <f>"MATUTINO"</f>
        <v>MATUTINO</v>
      </c>
      <c r="E199" s="26" t="str">
        <f>"CALZADA COYUYA No 22                                                            "</f>
        <v xml:space="preserve">CALZADA COYUYA No 22                                                            </v>
      </c>
      <c r="F199" s="26" t="str">
        <f>"LA CRUZ                                                                                                                                     "</f>
        <v xml:space="preserve">LA CRUZ                                                                                                                                     </v>
      </c>
      <c r="G199" s="26" t="str">
        <f>"IZTACALCO                                                                       "</f>
        <v xml:space="preserve">IZTACALCO                                                                       </v>
      </c>
      <c r="H199" s="26" t="str">
        <f>"362"</f>
        <v>362</v>
      </c>
      <c r="I199" s="26" t="str">
        <f t="shared" si="34"/>
        <v>00</v>
      </c>
      <c r="J199" s="26" t="str">
        <f>"43 "</f>
        <v xml:space="preserve">43 </v>
      </c>
      <c r="K199" s="26" t="str">
        <f t="shared" si="36"/>
        <v>PR</v>
      </c>
      <c r="L199" s="26" t="str">
        <f t="shared" si="37"/>
        <v>DGOSE</v>
      </c>
      <c r="M199" s="26" t="str">
        <f t="shared" si="35"/>
        <v>FEDERAL</v>
      </c>
      <c r="N199" s="26">
        <v>340</v>
      </c>
      <c r="O199" s="26">
        <v>170</v>
      </c>
      <c r="P199" s="26">
        <v>170</v>
      </c>
      <c r="Q199" s="26">
        <v>13</v>
      </c>
      <c r="R199" s="26">
        <v>1</v>
      </c>
      <c r="S199" s="26">
        <v>13</v>
      </c>
      <c r="T199" s="26">
        <v>9</v>
      </c>
      <c r="U199" s="26">
        <v>23</v>
      </c>
      <c r="V199" s="26">
        <v>1</v>
      </c>
      <c r="W199" s="26"/>
    </row>
    <row r="200" spans="1:23" x14ac:dyDescent="0.25">
      <c r="A200" s="26" t="str">
        <f t="shared" si="33"/>
        <v>PRIMARIA</v>
      </c>
      <c r="B200" s="26" t="str">
        <f>"09DPR0903C"</f>
        <v>09DPR0903C</v>
      </c>
      <c r="C200" s="26" t="str">
        <f>"ESTADO DE SONORA                                                                                    "</f>
        <v xml:space="preserve">ESTADO DE SONORA                                                                                    </v>
      </c>
      <c r="D200" s="26" t="str">
        <f>"JORNADA AMPLIADA"</f>
        <v>JORNADA AMPLIADA</v>
      </c>
      <c r="E200" s="26" t="str">
        <f>"WAGNER NUM 34                                                                   "</f>
        <v xml:space="preserve">WAGNER NUM 34                                                                   </v>
      </c>
      <c r="F200" s="26" t="str">
        <f>"EX-HIPODROMO DE PERALVILLO                                                                                                                  "</f>
        <v xml:space="preserve">EX-HIPODROMO DE PERALVILLO                                                                                                                  </v>
      </c>
      <c r="G200" s="26" t="str">
        <f>"CUAUHTEMOC                                                                      "</f>
        <v xml:space="preserve">CUAUHTEMOC                                                                      </v>
      </c>
      <c r="H200" s="26" t="str">
        <f>"119"</f>
        <v>119</v>
      </c>
      <c r="I200" s="26" t="str">
        <f t="shared" si="34"/>
        <v>00</v>
      </c>
      <c r="J200" s="26" t="str">
        <f>"41 "</f>
        <v xml:space="preserve">41 </v>
      </c>
      <c r="K200" s="26" t="str">
        <f t="shared" si="36"/>
        <v>PR</v>
      </c>
      <c r="L200" s="26" t="str">
        <f t="shared" si="37"/>
        <v>DGOSE</v>
      </c>
      <c r="M200" s="26" t="str">
        <f t="shared" si="35"/>
        <v>FEDERAL</v>
      </c>
      <c r="N200" s="26">
        <v>161</v>
      </c>
      <c r="O200" s="26">
        <v>84</v>
      </c>
      <c r="P200" s="26">
        <v>77</v>
      </c>
      <c r="Q200" s="26">
        <v>6</v>
      </c>
      <c r="R200" s="26">
        <v>1</v>
      </c>
      <c r="S200" s="26">
        <v>6</v>
      </c>
      <c r="T200" s="26">
        <v>7</v>
      </c>
      <c r="U200" s="26">
        <v>14</v>
      </c>
      <c r="V200" s="26">
        <v>1</v>
      </c>
      <c r="W200" s="26" t="s">
        <v>2076</v>
      </c>
    </row>
    <row r="201" spans="1:23" x14ac:dyDescent="0.25">
      <c r="A201" s="26" t="str">
        <f t="shared" si="33"/>
        <v>PRIMARIA</v>
      </c>
      <c r="B201" s="26" t="str">
        <f>"09DPR0904B"</f>
        <v>09DPR0904B</v>
      </c>
      <c r="C201" s="26" t="str">
        <f>"EMILIO BRAVO                                                                                        "</f>
        <v xml:space="preserve">EMILIO BRAVO                                                                                        </v>
      </c>
      <c r="D201" s="26" t="str">
        <f>"MATUTINO"</f>
        <v>MATUTINO</v>
      </c>
      <c r="E201" s="26" t="str">
        <f>"AV. EMILIANO ZAPATA S/N                                                         "</f>
        <v xml:space="preserve">AV. EMILIANO ZAPATA S/N                                                         </v>
      </c>
      <c r="F201" s="26" t="str">
        <f>"CUAUTEPEC DE MADERO                                                                                                                         "</f>
        <v xml:space="preserve">CUAUTEPEC DE MADERO                                                                                                                         </v>
      </c>
      <c r="G201" s="26" t="str">
        <f>"GUSTAVO A. MADERO                                                               "</f>
        <v xml:space="preserve">GUSTAVO A. MADERO                                                               </v>
      </c>
      <c r="H201" s="26" t="str">
        <f>"231"</f>
        <v>231</v>
      </c>
      <c r="I201" s="26" t="str">
        <f t="shared" si="34"/>
        <v>00</v>
      </c>
      <c r="J201" s="26" t="str">
        <f>"42 "</f>
        <v xml:space="preserve">42 </v>
      </c>
      <c r="K201" s="26" t="str">
        <f t="shared" si="36"/>
        <v>PR</v>
      </c>
      <c r="L201" s="26" t="str">
        <f t="shared" si="37"/>
        <v>DGOSE</v>
      </c>
      <c r="M201" s="26" t="str">
        <f t="shared" si="35"/>
        <v>FEDERAL</v>
      </c>
      <c r="N201" s="26">
        <v>681</v>
      </c>
      <c r="O201" s="26">
        <v>337</v>
      </c>
      <c r="P201" s="26">
        <v>344</v>
      </c>
      <c r="Q201" s="26">
        <v>21</v>
      </c>
      <c r="R201" s="26">
        <v>1</v>
      </c>
      <c r="S201" s="26">
        <v>21</v>
      </c>
      <c r="T201" s="26">
        <v>15</v>
      </c>
      <c r="U201" s="26">
        <v>37</v>
      </c>
      <c r="V201" s="26">
        <v>1</v>
      </c>
      <c r="W201" s="26"/>
    </row>
    <row r="202" spans="1:23" x14ac:dyDescent="0.25">
      <c r="A202" s="26" t="str">
        <f t="shared" si="33"/>
        <v>PRIMARIA</v>
      </c>
      <c r="B202" s="26" t="str">
        <f>"09DPR0905A"</f>
        <v>09DPR0905A</v>
      </c>
      <c r="C202" s="26" t="str">
        <f>"PROFRA. CARMEN COSGAYA RIVAS                                                                        "</f>
        <v xml:space="preserve">PROFRA. CARMEN COSGAYA RIVAS                                                                        </v>
      </c>
      <c r="D202" s="26" t="str">
        <f>"MATUTINO"</f>
        <v>MATUTINO</v>
      </c>
      <c r="E202" s="26" t="str">
        <f>"GUADALUPE VICTORIA S-N                                                          "</f>
        <v xml:space="preserve">GUADALUPE VICTORIA S-N                                                          </v>
      </c>
      <c r="F202" s="26" t="str">
        <f>"CUAUTEPEC DE MADERO                                                                                                                         "</f>
        <v xml:space="preserve">CUAUTEPEC DE MADERO                                                                                                                         </v>
      </c>
      <c r="G202" s="26" t="str">
        <f>"GUSTAVO A. MADERO                                                               "</f>
        <v xml:space="preserve">GUSTAVO A. MADERO                                                               </v>
      </c>
      <c r="H202" s="26" t="str">
        <f>"230"</f>
        <v>230</v>
      </c>
      <c r="I202" s="26" t="str">
        <f t="shared" si="34"/>
        <v>00</v>
      </c>
      <c r="J202" s="26" t="str">
        <f>"42 "</f>
        <v xml:space="preserve">42 </v>
      </c>
      <c r="K202" s="26" t="str">
        <f t="shared" si="36"/>
        <v>PR</v>
      </c>
      <c r="L202" s="26" t="str">
        <f t="shared" si="37"/>
        <v>DGOSE</v>
      </c>
      <c r="M202" s="26" t="str">
        <f t="shared" si="35"/>
        <v>FEDERAL</v>
      </c>
      <c r="N202" s="26">
        <v>621</v>
      </c>
      <c r="O202" s="26">
        <v>321</v>
      </c>
      <c r="P202" s="26">
        <v>300</v>
      </c>
      <c r="Q202" s="26">
        <v>20</v>
      </c>
      <c r="R202" s="26">
        <v>1</v>
      </c>
      <c r="S202" s="26">
        <v>20</v>
      </c>
      <c r="T202" s="26">
        <v>13</v>
      </c>
      <c r="U202" s="26">
        <v>34</v>
      </c>
      <c r="V202" s="26">
        <v>1</v>
      </c>
      <c r="W202" s="26"/>
    </row>
    <row r="203" spans="1:23" x14ac:dyDescent="0.25">
      <c r="A203" s="26" t="str">
        <f t="shared" si="33"/>
        <v>PRIMARIA</v>
      </c>
      <c r="B203" s="26" t="str">
        <f>"09DPR0906Z"</f>
        <v>09DPR0906Z</v>
      </c>
      <c r="C203" s="26" t="str">
        <f>"18 DE MARZO                                                                                         "</f>
        <v xml:space="preserve">18 DE MARZO                                                                                         </v>
      </c>
      <c r="D203" s="26" t="str">
        <f>"VESPERTINO"</f>
        <v>VESPERTINO</v>
      </c>
      <c r="E203" s="26" t="str">
        <f>"JOSE MA BUSTILLOS NO 60                                                         "</f>
        <v xml:space="preserve">JOSE MA BUSTILLOS NO 60                                                         </v>
      </c>
      <c r="F203" s="26" t="str">
        <f>"ALGARIN                                                                                                                                     "</f>
        <v xml:space="preserve">ALGARIN                                                                                                                                     </v>
      </c>
      <c r="G203" s="26" t="str">
        <f>"CUAUHTEMOC                                                                      "</f>
        <v xml:space="preserve">CUAUHTEMOC                                                                      </v>
      </c>
      <c r="H203" s="26" t="str">
        <f>"225"</f>
        <v>225</v>
      </c>
      <c r="I203" s="26" t="str">
        <f t="shared" si="34"/>
        <v>00</v>
      </c>
      <c r="J203" s="26" t="str">
        <f>"42 "</f>
        <v xml:space="preserve">42 </v>
      </c>
      <c r="K203" s="26" t="str">
        <f t="shared" si="36"/>
        <v>PR</v>
      </c>
      <c r="L203" s="26" t="str">
        <f t="shared" si="37"/>
        <v>DGOSE</v>
      </c>
      <c r="M203" s="26" t="str">
        <f t="shared" si="35"/>
        <v>FEDERAL</v>
      </c>
      <c r="N203" s="26">
        <v>76</v>
      </c>
      <c r="O203" s="26">
        <v>50</v>
      </c>
      <c r="P203" s="26">
        <v>26</v>
      </c>
      <c r="Q203" s="26">
        <v>5</v>
      </c>
      <c r="R203" s="26">
        <v>1</v>
      </c>
      <c r="S203" s="26">
        <v>5</v>
      </c>
      <c r="T203" s="26">
        <v>4</v>
      </c>
      <c r="U203" s="26">
        <v>10</v>
      </c>
      <c r="V203" s="26">
        <v>1</v>
      </c>
      <c r="W203" s="26"/>
    </row>
    <row r="204" spans="1:23" x14ac:dyDescent="0.25">
      <c r="A204" s="26" t="str">
        <f t="shared" si="33"/>
        <v>PRIMARIA</v>
      </c>
      <c r="B204" s="26" t="str">
        <f>"09DPR0907Z"</f>
        <v>09DPR0907Z</v>
      </c>
      <c r="C204" s="26" t="str">
        <f>"18 DE MARZO                                                                                         "</f>
        <v xml:space="preserve">18 DE MARZO                                                                                         </v>
      </c>
      <c r="D204" s="26" t="str">
        <f>"MATUTINO"</f>
        <v>MATUTINO</v>
      </c>
      <c r="E204" s="26" t="str">
        <f>"JOSE MA. BUSTILLOS NUM. 60                                                      "</f>
        <v xml:space="preserve">JOSE MA. BUSTILLOS NUM. 60                                                      </v>
      </c>
      <c r="F204" s="26" t="str">
        <f>"ALGARIN                                                                                                                                     "</f>
        <v xml:space="preserve">ALGARIN                                                                                                                                     </v>
      </c>
      <c r="G204" s="26" t="str">
        <f>"CUAUHTEMOC                                                                      "</f>
        <v xml:space="preserve">CUAUHTEMOC                                                                      </v>
      </c>
      <c r="H204" s="26" t="str">
        <f>"225"</f>
        <v>225</v>
      </c>
      <c r="I204" s="26" t="str">
        <f t="shared" si="34"/>
        <v>00</v>
      </c>
      <c r="J204" s="26" t="str">
        <f>"42 "</f>
        <v xml:space="preserve">42 </v>
      </c>
      <c r="K204" s="26" t="str">
        <f t="shared" si="36"/>
        <v>PR</v>
      </c>
      <c r="L204" s="26" t="str">
        <f t="shared" si="37"/>
        <v>DGOSE</v>
      </c>
      <c r="M204" s="26" t="str">
        <f t="shared" si="35"/>
        <v>FEDERAL</v>
      </c>
      <c r="N204" s="26">
        <v>203</v>
      </c>
      <c r="O204" s="26">
        <v>89</v>
      </c>
      <c r="P204" s="26">
        <v>114</v>
      </c>
      <c r="Q204" s="26">
        <v>6</v>
      </c>
      <c r="R204" s="26">
        <v>1</v>
      </c>
      <c r="S204" s="26">
        <v>6</v>
      </c>
      <c r="T204" s="26">
        <v>8</v>
      </c>
      <c r="U204" s="26">
        <v>15</v>
      </c>
      <c r="V204" s="26">
        <v>1</v>
      </c>
      <c r="W204" s="26"/>
    </row>
    <row r="205" spans="1:23" x14ac:dyDescent="0.25">
      <c r="A205" s="26" t="str">
        <f t="shared" si="33"/>
        <v>PRIMARIA</v>
      </c>
      <c r="B205" s="26" t="str">
        <f>"09DPR0908Y"</f>
        <v>09DPR0908Y</v>
      </c>
      <c r="C205" s="26" t="str">
        <f>"TLILALPACATL                                                                                        "</f>
        <v xml:space="preserve">TLILALPACATL                                                                                        </v>
      </c>
      <c r="D205" s="26" t="str">
        <f>"MATUTINO"</f>
        <v>MATUTINO</v>
      </c>
      <c r="E205" s="26" t="str">
        <f>"AV. MEXICO NO. 6                                                                "</f>
        <v xml:space="preserve">AV. MEXICO NO. 6                                                                </v>
      </c>
      <c r="F205" s="26" t="str">
        <f>"ACULCO                                                                                                                                      "</f>
        <v xml:space="preserve">ACULCO                                                                                                                                      </v>
      </c>
      <c r="G205" s="26" t="str">
        <f>"IZTAPALAPA                                                                      "</f>
        <v xml:space="preserve">IZTAPALAPA                                                                      </v>
      </c>
      <c r="H205" s="26" t="str">
        <f>"037"</f>
        <v>037</v>
      </c>
      <c r="I205" s="26" t="str">
        <f t="shared" si="34"/>
        <v>00</v>
      </c>
      <c r="J205" s="26" t="str">
        <f>"63 "</f>
        <v xml:space="preserve">63 </v>
      </c>
      <c r="K205" s="26" t="str">
        <f>"IZ"</f>
        <v>IZ</v>
      </c>
      <c r="L205" s="26" t="str">
        <f>"DGSEI"</f>
        <v>DGSEI</v>
      </c>
      <c r="M205" s="26" t="str">
        <f t="shared" si="35"/>
        <v>FEDERAL</v>
      </c>
      <c r="N205" s="26">
        <v>325</v>
      </c>
      <c r="O205" s="26">
        <v>180</v>
      </c>
      <c r="P205" s="26">
        <v>145</v>
      </c>
      <c r="Q205" s="26">
        <v>12</v>
      </c>
      <c r="R205" s="26">
        <v>1</v>
      </c>
      <c r="S205" s="26">
        <v>12</v>
      </c>
      <c r="T205" s="26">
        <v>7</v>
      </c>
      <c r="U205" s="26">
        <v>20</v>
      </c>
      <c r="V205" s="26">
        <v>1</v>
      </c>
      <c r="W205" s="26"/>
    </row>
    <row r="206" spans="1:23" x14ac:dyDescent="0.25">
      <c r="A206" s="26" t="str">
        <f t="shared" si="33"/>
        <v>PRIMARIA</v>
      </c>
      <c r="B206" s="26" t="str">
        <f>"09DPR0910M"</f>
        <v>09DPR0910M</v>
      </c>
      <c r="C206" s="26" t="str">
        <f>"REPUBLICA DE DAHOMEY                                                                                "</f>
        <v xml:space="preserve">REPUBLICA DE DAHOMEY                                                                                </v>
      </c>
      <c r="D206" s="26" t="str">
        <f>"MATUTINO"</f>
        <v>MATUTINO</v>
      </c>
      <c r="E206" s="26" t="str">
        <f>"ORIENTE 108 NO 2260                                                             "</f>
        <v xml:space="preserve">ORIENTE 108 NO 2260                                                             </v>
      </c>
      <c r="F206" s="26" t="str">
        <f>"JUVENTINO ROSAS                                                                                                                             "</f>
        <v xml:space="preserve">JUVENTINO ROSAS                                                                                                                             </v>
      </c>
      <c r="G206" s="26" t="str">
        <f>"IZTACALCO                                                                       "</f>
        <v xml:space="preserve">IZTACALCO                                                                       </v>
      </c>
      <c r="H206" s="26" t="str">
        <f>"359"</f>
        <v>359</v>
      </c>
      <c r="I206" s="26" t="str">
        <f t="shared" si="34"/>
        <v>00</v>
      </c>
      <c r="J206" s="26" t="str">
        <f>"43 "</f>
        <v xml:space="preserve">43 </v>
      </c>
      <c r="K206" s="26" t="str">
        <f t="shared" ref="K206:K239" si="38">"PR"</f>
        <v>PR</v>
      </c>
      <c r="L206" s="26" t="str">
        <f t="shared" ref="L206:L239" si="39">"DGOSE"</f>
        <v>DGOSE</v>
      </c>
      <c r="M206" s="26" t="str">
        <f t="shared" si="35"/>
        <v>FEDERAL</v>
      </c>
      <c r="N206" s="26">
        <v>406</v>
      </c>
      <c r="O206" s="26">
        <v>217</v>
      </c>
      <c r="P206" s="26">
        <v>189</v>
      </c>
      <c r="Q206" s="26">
        <v>16</v>
      </c>
      <c r="R206" s="26">
        <v>1</v>
      </c>
      <c r="S206" s="26">
        <v>16</v>
      </c>
      <c r="T206" s="26">
        <v>10</v>
      </c>
      <c r="U206" s="26">
        <v>27</v>
      </c>
      <c r="V206" s="26">
        <v>1</v>
      </c>
      <c r="W206" s="26"/>
    </row>
    <row r="207" spans="1:23" x14ac:dyDescent="0.25">
      <c r="A207" s="26" t="str">
        <f t="shared" si="33"/>
        <v>PRIMARIA</v>
      </c>
      <c r="B207" s="26" t="str">
        <f>"09DPR0911L"</f>
        <v>09DPR0911L</v>
      </c>
      <c r="C207" s="26" t="str">
        <f>"MAESTROS DE MEXICO                                                                                  "</f>
        <v xml:space="preserve">MAESTROS DE MEXICO                                                                                  </v>
      </c>
      <c r="D207" s="26" t="str">
        <f>"JORNADA AMPLIADA"</f>
        <v>JORNADA AMPLIADA</v>
      </c>
      <c r="E207" s="26" t="str">
        <f>"ORIENTE 110 NO 1999                                                             "</f>
        <v xml:space="preserve">ORIENTE 110 NO 1999                                                             </v>
      </c>
      <c r="F207" s="26" t="str">
        <f>"JUVENTINO ROSAS                                                                                                                             "</f>
        <v xml:space="preserve">JUVENTINO ROSAS                                                                                                                             </v>
      </c>
      <c r="G207" s="26" t="str">
        <f>"IZTACALCO                                                                       "</f>
        <v xml:space="preserve">IZTACALCO                                                                       </v>
      </c>
      <c r="H207" s="26" t="str">
        <f>"432"</f>
        <v>432</v>
      </c>
      <c r="I207" s="26" t="str">
        <f t="shared" si="34"/>
        <v>00</v>
      </c>
      <c r="J207" s="26" t="str">
        <f>"44 "</f>
        <v xml:space="preserve">44 </v>
      </c>
      <c r="K207" s="26" t="str">
        <f t="shared" si="38"/>
        <v>PR</v>
      </c>
      <c r="L207" s="26" t="str">
        <f t="shared" si="39"/>
        <v>DGOSE</v>
      </c>
      <c r="M207" s="26" t="str">
        <f t="shared" si="35"/>
        <v>FEDERAL</v>
      </c>
      <c r="N207" s="26">
        <v>281</v>
      </c>
      <c r="O207" s="26">
        <v>146</v>
      </c>
      <c r="P207" s="26">
        <v>135</v>
      </c>
      <c r="Q207" s="26">
        <v>10</v>
      </c>
      <c r="R207" s="26">
        <v>1</v>
      </c>
      <c r="S207" s="26">
        <v>10</v>
      </c>
      <c r="T207" s="26">
        <v>11</v>
      </c>
      <c r="U207" s="26">
        <v>22</v>
      </c>
      <c r="V207" s="26">
        <v>1</v>
      </c>
      <c r="W207" s="26" t="s">
        <v>2076</v>
      </c>
    </row>
    <row r="208" spans="1:23" x14ac:dyDescent="0.25">
      <c r="A208" s="26" t="str">
        <f t="shared" si="33"/>
        <v>PRIMARIA</v>
      </c>
      <c r="B208" s="26" t="str">
        <f>"09DPR0913J"</f>
        <v>09DPR0913J</v>
      </c>
      <c r="C208" s="26" t="str">
        <f>"LIC. ALFREDO V. BONFIL                                                                              "</f>
        <v xml:space="preserve">LIC. ALFREDO V. BONFIL                                                                              </v>
      </c>
      <c r="D208" s="26" t="str">
        <f>"TIEMPO COMPLETO"</f>
        <v>TIEMPO COMPLETO</v>
      </c>
      <c r="E208" s="26" t="str">
        <f>"ORIENTE 106 NO 3700                                                             "</f>
        <v xml:space="preserve">ORIENTE 106 NO 3700                                                             </v>
      </c>
      <c r="F208" s="26" t="str">
        <f>"GABRIEL RAMOS MILLAN                                                                                                                        "</f>
        <v xml:space="preserve">GABRIEL RAMOS MILLAN                                                                                                                        </v>
      </c>
      <c r="G208" s="26" t="str">
        <f>"IZTACALCO                                                                       "</f>
        <v xml:space="preserve">IZTACALCO                                                                       </v>
      </c>
      <c r="H208" s="26" t="str">
        <f>"427"</f>
        <v>427</v>
      </c>
      <c r="I208" s="26" t="str">
        <f t="shared" si="34"/>
        <v>00</v>
      </c>
      <c r="J208" s="26" t="str">
        <f>"44 "</f>
        <v xml:space="preserve">44 </v>
      </c>
      <c r="K208" s="26" t="str">
        <f t="shared" si="38"/>
        <v>PR</v>
      </c>
      <c r="L208" s="26" t="str">
        <f t="shared" si="39"/>
        <v>DGOSE</v>
      </c>
      <c r="M208" s="26" t="str">
        <f t="shared" si="35"/>
        <v>FEDERAL</v>
      </c>
      <c r="N208" s="26">
        <v>488</v>
      </c>
      <c r="O208" s="26">
        <v>252</v>
      </c>
      <c r="P208" s="26">
        <v>236</v>
      </c>
      <c r="Q208" s="26">
        <v>15</v>
      </c>
      <c r="R208" s="26">
        <v>1</v>
      </c>
      <c r="S208" s="26">
        <v>15</v>
      </c>
      <c r="T208" s="26">
        <v>17</v>
      </c>
      <c r="U208" s="26">
        <v>33</v>
      </c>
      <c r="V208" s="26">
        <v>1</v>
      </c>
      <c r="W208" s="26" t="s">
        <v>218</v>
      </c>
    </row>
    <row r="209" spans="1:23" x14ac:dyDescent="0.25">
      <c r="A209" s="26" t="str">
        <f t="shared" si="33"/>
        <v>PRIMARIA</v>
      </c>
      <c r="B209" s="26" t="str">
        <f>"09DPR0914I"</f>
        <v>09DPR0914I</v>
      </c>
      <c r="C209" s="26" t="str">
        <f>"GRAL. FELIPE BERRIOZABAL                                                                            "</f>
        <v xml:space="preserve">GRAL. FELIPE BERRIOZABAL                                                                            </v>
      </c>
      <c r="D209" s="26" t="str">
        <f>"MATUTINO"</f>
        <v>MATUTINO</v>
      </c>
      <c r="E209" s="26" t="str">
        <f>"GENERAL FELIPE BERRIOZABAL S/                                                   "</f>
        <v xml:space="preserve">GENERAL FELIPE BERRIOZABAL S/                                                   </v>
      </c>
      <c r="F209" s="26" t="str">
        <f>"GENERAL FELIPE BERRIOZABAL                                                                                                                  "</f>
        <v xml:space="preserve">GENERAL FELIPE BERRIOZABAL                                                                                                                  </v>
      </c>
      <c r="G209" s="26" t="str">
        <f>"GUSTAVO A. MADERO                                                               "</f>
        <v xml:space="preserve">GUSTAVO A. MADERO                                                               </v>
      </c>
      <c r="H209" s="26" t="str">
        <f>"228"</f>
        <v>228</v>
      </c>
      <c r="I209" s="26" t="str">
        <f t="shared" si="34"/>
        <v>00</v>
      </c>
      <c r="J209" s="26" t="str">
        <f>"42 "</f>
        <v xml:space="preserve">42 </v>
      </c>
      <c r="K209" s="26" t="str">
        <f t="shared" si="38"/>
        <v>PR</v>
      </c>
      <c r="L209" s="26" t="str">
        <f t="shared" si="39"/>
        <v>DGOSE</v>
      </c>
      <c r="M209" s="26" t="str">
        <f t="shared" si="35"/>
        <v>FEDERAL</v>
      </c>
      <c r="N209" s="26">
        <v>829</v>
      </c>
      <c r="O209" s="26">
        <v>438</v>
      </c>
      <c r="P209" s="26">
        <v>391</v>
      </c>
      <c r="Q209" s="26">
        <v>24</v>
      </c>
      <c r="R209" s="26">
        <v>1</v>
      </c>
      <c r="S209" s="26">
        <v>24</v>
      </c>
      <c r="T209" s="26">
        <v>13</v>
      </c>
      <c r="U209" s="26">
        <v>38</v>
      </c>
      <c r="V209" s="26">
        <v>1</v>
      </c>
      <c r="W209" s="26"/>
    </row>
    <row r="210" spans="1:23" x14ac:dyDescent="0.25">
      <c r="A210" s="26" t="str">
        <f t="shared" si="33"/>
        <v>PRIMARIA</v>
      </c>
      <c r="B210" s="26" t="str">
        <f>"09DPR0916G"</f>
        <v>09DPR0916G</v>
      </c>
      <c r="C210" s="26" t="str">
        <f>"GERTRUDIS ARMENDARIZ DE HIDALGO                                                                     "</f>
        <v xml:space="preserve">GERTRUDIS ARMENDARIZ DE HIDALGO                                                                     </v>
      </c>
      <c r="D210" s="26" t="str">
        <f>"VESPERTINO"</f>
        <v>VESPERTINO</v>
      </c>
      <c r="E210" s="26" t="str">
        <f>"CDA EMILIANO ZAPATA S/N                                                         "</f>
        <v xml:space="preserve">CDA EMILIANO ZAPATA S/N                                                         </v>
      </c>
      <c r="F210" s="26" t="str">
        <f>"CUAUTEPEC DE MADERO                                                                                                                         "</f>
        <v xml:space="preserve">CUAUTEPEC DE MADERO                                                                                                                         </v>
      </c>
      <c r="G210" s="26" t="str">
        <f>"GUSTAVO A. MADERO                                                               "</f>
        <v xml:space="preserve">GUSTAVO A. MADERO                                                               </v>
      </c>
      <c r="H210" s="26" t="str">
        <f>"231"</f>
        <v>231</v>
      </c>
      <c r="I210" s="26" t="str">
        <f t="shared" si="34"/>
        <v>00</v>
      </c>
      <c r="J210" s="26" t="str">
        <f>"42 "</f>
        <v xml:space="preserve">42 </v>
      </c>
      <c r="K210" s="26" t="str">
        <f t="shared" si="38"/>
        <v>PR</v>
      </c>
      <c r="L210" s="26" t="str">
        <f t="shared" si="39"/>
        <v>DGOSE</v>
      </c>
      <c r="M210" s="26" t="str">
        <f t="shared" si="35"/>
        <v>FEDERAL</v>
      </c>
      <c r="N210" s="26">
        <v>257</v>
      </c>
      <c r="O210" s="26">
        <v>120</v>
      </c>
      <c r="P210" s="26">
        <v>137</v>
      </c>
      <c r="Q210" s="26">
        <v>12</v>
      </c>
      <c r="R210" s="26">
        <v>1</v>
      </c>
      <c r="S210" s="26">
        <v>12</v>
      </c>
      <c r="T210" s="26">
        <v>9</v>
      </c>
      <c r="U210" s="26">
        <v>22</v>
      </c>
      <c r="V210" s="26">
        <v>1</v>
      </c>
      <c r="W210" s="26"/>
    </row>
    <row r="211" spans="1:23" x14ac:dyDescent="0.25">
      <c r="A211" s="26" t="str">
        <f t="shared" si="33"/>
        <v>PRIMARIA</v>
      </c>
      <c r="B211" s="26" t="str">
        <f>"09DPR0917F"</f>
        <v>09DPR0917F</v>
      </c>
      <c r="C211" s="26" t="str">
        <f>"SIMON BOLIVAR                                                                                       "</f>
        <v xml:space="preserve">SIMON BOLIVAR                                                                                       </v>
      </c>
      <c r="D211" s="26" t="str">
        <f>"JORNADA AMPLIADA"</f>
        <v>JORNADA AMPLIADA</v>
      </c>
      <c r="E211" s="26" t="str">
        <f>"BOLIVAR NUM. 162                                                                "</f>
        <v xml:space="preserve">BOLIVAR NUM. 162                                                                </v>
      </c>
      <c r="F211" s="26" t="str">
        <f>"OBRERA                                                                                                                                      "</f>
        <v xml:space="preserve">OBRERA                                                                                                                                      </v>
      </c>
      <c r="G211" s="26" t="str">
        <f>"CUAUHTEMOC                                                                      "</f>
        <v xml:space="preserve">CUAUHTEMOC                                                                      </v>
      </c>
      <c r="H211" s="26" t="str">
        <f>"130"</f>
        <v>130</v>
      </c>
      <c r="I211" s="26" t="str">
        <f t="shared" si="34"/>
        <v>00</v>
      </c>
      <c r="J211" s="26" t="str">
        <f>"41 "</f>
        <v xml:space="preserve">41 </v>
      </c>
      <c r="K211" s="26" t="str">
        <f t="shared" si="38"/>
        <v>PR</v>
      </c>
      <c r="L211" s="26" t="str">
        <f t="shared" si="39"/>
        <v>DGOSE</v>
      </c>
      <c r="M211" s="26" t="str">
        <f t="shared" si="35"/>
        <v>FEDERAL</v>
      </c>
      <c r="N211" s="26">
        <v>291</v>
      </c>
      <c r="O211" s="26">
        <v>132</v>
      </c>
      <c r="P211" s="26">
        <v>159</v>
      </c>
      <c r="Q211" s="26">
        <v>10</v>
      </c>
      <c r="R211" s="26">
        <v>1</v>
      </c>
      <c r="S211" s="26">
        <v>10</v>
      </c>
      <c r="T211" s="26">
        <v>9</v>
      </c>
      <c r="U211" s="26">
        <v>20</v>
      </c>
      <c r="V211" s="26">
        <v>1</v>
      </c>
      <c r="W211" s="26" t="s">
        <v>2076</v>
      </c>
    </row>
    <row r="212" spans="1:23" x14ac:dyDescent="0.25">
      <c r="A212" s="26" t="str">
        <f t="shared" si="33"/>
        <v>PRIMARIA</v>
      </c>
      <c r="B212" s="26" t="str">
        <f>"09DPR0918E"</f>
        <v>09DPR0918E</v>
      </c>
      <c r="C212" s="26" t="str">
        <f>"REPUBLICA DE RUANDA                                                                                 "</f>
        <v xml:space="preserve">REPUBLICA DE RUANDA                                                                                 </v>
      </c>
      <c r="D212" s="26" t="str">
        <f>"MATUTINO"</f>
        <v>MATUTINO</v>
      </c>
      <c r="E212" s="26" t="str">
        <f>"SUR 159 NO 1909                                                                 "</f>
        <v xml:space="preserve">SUR 159 NO 1909                                                                 </v>
      </c>
      <c r="F212" s="26" t="str">
        <f>"GABRIEL RAMOS MILLAN                                                                                                                        "</f>
        <v xml:space="preserve">GABRIEL RAMOS MILLAN                                                                                                                        </v>
      </c>
      <c r="G212" s="26" t="str">
        <f>"IZTACALCO                                                                       "</f>
        <v xml:space="preserve">IZTACALCO                                                                       </v>
      </c>
      <c r="H212" s="26" t="str">
        <f>"358"</f>
        <v>358</v>
      </c>
      <c r="I212" s="26" t="str">
        <f t="shared" si="34"/>
        <v>00</v>
      </c>
      <c r="J212" s="26" t="str">
        <f>"43 "</f>
        <v xml:space="preserve">43 </v>
      </c>
      <c r="K212" s="26" t="str">
        <f t="shared" si="38"/>
        <v>PR</v>
      </c>
      <c r="L212" s="26" t="str">
        <f t="shared" si="39"/>
        <v>DGOSE</v>
      </c>
      <c r="M212" s="26" t="str">
        <f t="shared" si="35"/>
        <v>FEDERAL</v>
      </c>
      <c r="N212" s="26">
        <v>255</v>
      </c>
      <c r="O212" s="26">
        <v>120</v>
      </c>
      <c r="P212" s="26">
        <v>135</v>
      </c>
      <c r="Q212" s="26">
        <v>10</v>
      </c>
      <c r="R212" s="26">
        <v>1</v>
      </c>
      <c r="S212" s="26">
        <v>10</v>
      </c>
      <c r="T212" s="26">
        <v>6</v>
      </c>
      <c r="U212" s="26">
        <v>17</v>
      </c>
      <c r="V212" s="26">
        <v>1</v>
      </c>
      <c r="W212" s="26"/>
    </row>
    <row r="213" spans="1:23" x14ac:dyDescent="0.25">
      <c r="A213" s="26" t="str">
        <f t="shared" si="33"/>
        <v>PRIMARIA</v>
      </c>
      <c r="B213" s="26" t="str">
        <f>"09DPR0921S"</f>
        <v>09DPR0921S</v>
      </c>
      <c r="C213" s="26" t="str">
        <f>"REPUBLICA FEDERAL DE ALEMANIA                                                                       "</f>
        <v xml:space="preserve">REPUBLICA FEDERAL DE ALEMANIA                                                                       </v>
      </c>
      <c r="D213" s="26" t="str">
        <f>"VESPERTINO"</f>
        <v>VESPERTINO</v>
      </c>
      <c r="E213" s="26" t="str">
        <f>"PLAZA BENITO JUAREZ NUM. 25                                                     "</f>
        <v xml:space="preserve">PLAZA BENITO JUAREZ NUM. 25                                                     </v>
      </c>
      <c r="F213" s="26" t="str">
        <f>"GABRIEL RAMOS MILLAN                                                                                                                        "</f>
        <v xml:space="preserve">GABRIEL RAMOS MILLAN                                                                                                                        </v>
      </c>
      <c r="G213" s="26" t="str">
        <f>"IZTACALCO                                                                       "</f>
        <v xml:space="preserve">IZTACALCO                                                                       </v>
      </c>
      <c r="H213" s="26" t="str">
        <f>"356"</f>
        <v>356</v>
      </c>
      <c r="I213" s="26" t="str">
        <f t="shared" si="34"/>
        <v>00</v>
      </c>
      <c r="J213" s="26" t="str">
        <f>"43 "</f>
        <v xml:space="preserve">43 </v>
      </c>
      <c r="K213" s="26" t="str">
        <f t="shared" si="38"/>
        <v>PR</v>
      </c>
      <c r="L213" s="26" t="str">
        <f t="shared" si="39"/>
        <v>DGOSE</v>
      </c>
      <c r="M213" s="26" t="str">
        <f t="shared" si="35"/>
        <v>FEDERAL</v>
      </c>
      <c r="N213" s="26">
        <v>296</v>
      </c>
      <c r="O213" s="26">
        <v>164</v>
      </c>
      <c r="P213" s="26">
        <v>132</v>
      </c>
      <c r="Q213" s="26">
        <v>14</v>
      </c>
      <c r="R213" s="26">
        <v>1</v>
      </c>
      <c r="S213" s="26">
        <v>14</v>
      </c>
      <c r="T213" s="26">
        <v>10</v>
      </c>
      <c r="U213" s="26">
        <v>25</v>
      </c>
      <c r="V213" s="26">
        <v>1</v>
      </c>
      <c r="W213" s="26"/>
    </row>
    <row r="214" spans="1:23" x14ac:dyDescent="0.25">
      <c r="A214" s="26" t="str">
        <f t="shared" si="33"/>
        <v>PRIMARIA</v>
      </c>
      <c r="B214" s="26" t="str">
        <f>"09DPR0922R"</f>
        <v>09DPR0922R</v>
      </c>
      <c r="C214" s="26" t="str">
        <f>"REPUBLICA POPULAR CHINA                                                                             "</f>
        <v xml:space="preserve">REPUBLICA POPULAR CHINA                                                                             </v>
      </c>
      <c r="D214" s="26" t="str">
        <f>"JORNADA AMPLIADA"</f>
        <v>JORNADA AMPLIADA</v>
      </c>
      <c r="E214" s="26" t="str">
        <f>"PLAZUELA DE LA REVOLUCION 16                                                    "</f>
        <v xml:space="preserve">PLAZUELA DE LA REVOLUCION 16                                                    </v>
      </c>
      <c r="F214" s="26" t="str">
        <f>"MAGDALENA MIXHUCA                                                                                                                           "</f>
        <v xml:space="preserve">MAGDALENA MIXHUCA                                                                                                                           </v>
      </c>
      <c r="G214" s="26" t="str">
        <f>"VENUSTIANO CARRANZA                                                             "</f>
        <v xml:space="preserve">VENUSTIANO CARRANZA                                                             </v>
      </c>
      <c r="H214" s="26" t="str">
        <f>"431"</f>
        <v>431</v>
      </c>
      <c r="I214" s="26" t="str">
        <f t="shared" si="34"/>
        <v>00</v>
      </c>
      <c r="J214" s="26" t="str">
        <f>"44 "</f>
        <v xml:space="preserve">44 </v>
      </c>
      <c r="K214" s="26" t="str">
        <f t="shared" si="38"/>
        <v>PR</v>
      </c>
      <c r="L214" s="26" t="str">
        <f t="shared" si="39"/>
        <v>DGOSE</v>
      </c>
      <c r="M214" s="26" t="str">
        <f t="shared" si="35"/>
        <v>FEDERAL</v>
      </c>
      <c r="N214" s="26">
        <v>161</v>
      </c>
      <c r="O214" s="26">
        <v>81</v>
      </c>
      <c r="P214" s="26">
        <v>80</v>
      </c>
      <c r="Q214" s="26">
        <v>6</v>
      </c>
      <c r="R214" s="26">
        <v>1</v>
      </c>
      <c r="S214" s="26">
        <v>6</v>
      </c>
      <c r="T214" s="26">
        <v>5</v>
      </c>
      <c r="U214" s="26">
        <v>12</v>
      </c>
      <c r="V214" s="26">
        <v>1</v>
      </c>
      <c r="W214" s="26" t="s">
        <v>2076</v>
      </c>
    </row>
    <row r="215" spans="1:23" x14ac:dyDescent="0.25">
      <c r="A215" s="26" t="str">
        <f t="shared" si="33"/>
        <v>PRIMARIA</v>
      </c>
      <c r="B215" s="26" t="str">
        <f>"09DPR0923Q"</f>
        <v>09DPR0923Q</v>
      </c>
      <c r="C215" s="26" t="str">
        <f>"REPUBLICA FEDERAL DE ALEMANIA                                                                       "</f>
        <v xml:space="preserve">REPUBLICA FEDERAL DE ALEMANIA                                                                       </v>
      </c>
      <c r="D215" s="26" t="str">
        <f>"MATUTINO"</f>
        <v>MATUTINO</v>
      </c>
      <c r="E215" s="26" t="str">
        <f>"PLAZA BENITO JUAREZ NUM. 25                                                     "</f>
        <v xml:space="preserve">PLAZA BENITO JUAREZ NUM. 25                                                     </v>
      </c>
      <c r="F215" s="26" t="str">
        <f>"GABRIEL RAMOS MILLAN                                                                                                                        "</f>
        <v xml:space="preserve">GABRIEL RAMOS MILLAN                                                                                                                        </v>
      </c>
      <c r="G215" s="26" t="str">
        <f>"IZTACALCO                                                                       "</f>
        <v xml:space="preserve">IZTACALCO                                                                       </v>
      </c>
      <c r="H215" s="26" t="str">
        <f>"356"</f>
        <v>356</v>
      </c>
      <c r="I215" s="26" t="str">
        <f t="shared" si="34"/>
        <v>00</v>
      </c>
      <c r="J215" s="26" t="str">
        <f>"43 "</f>
        <v xml:space="preserve">43 </v>
      </c>
      <c r="K215" s="26" t="str">
        <f t="shared" si="38"/>
        <v>PR</v>
      </c>
      <c r="L215" s="26" t="str">
        <f t="shared" si="39"/>
        <v>DGOSE</v>
      </c>
      <c r="M215" s="26" t="str">
        <f t="shared" si="35"/>
        <v>FEDERAL</v>
      </c>
      <c r="N215" s="26">
        <v>541</v>
      </c>
      <c r="O215" s="26">
        <v>277</v>
      </c>
      <c r="P215" s="26">
        <v>264</v>
      </c>
      <c r="Q215" s="26">
        <v>17</v>
      </c>
      <c r="R215" s="26">
        <v>1</v>
      </c>
      <c r="S215" s="26">
        <v>16</v>
      </c>
      <c r="T215" s="26">
        <v>7</v>
      </c>
      <c r="U215" s="26">
        <v>24</v>
      </c>
      <c r="V215" s="26">
        <v>1</v>
      </c>
      <c r="W215" s="26"/>
    </row>
    <row r="216" spans="1:23" x14ac:dyDescent="0.25">
      <c r="A216" s="26" t="str">
        <f t="shared" si="33"/>
        <v>PRIMARIA</v>
      </c>
      <c r="B216" s="26" t="str">
        <f>"09DPR0924P"</f>
        <v>09DPR0924P</v>
      </c>
      <c r="C216" s="26" t="str">
        <f>"REPUBLICA DE VENEZUELA                                                                              "</f>
        <v xml:space="preserve">REPUBLICA DE VENEZUELA                                                                              </v>
      </c>
      <c r="D216" s="26" t="str">
        <f>"JORNADA AMPLIADA"</f>
        <v>JORNADA AMPLIADA</v>
      </c>
      <c r="E216" s="26" t="str">
        <f>"SUR 117A NO 2209                                                                "</f>
        <v xml:space="preserve">SUR 117A NO 2209                                                                </v>
      </c>
      <c r="F216" s="26" t="str">
        <f>"JUVENTINO ROSAS                                                                                                                             "</f>
        <v xml:space="preserve">JUVENTINO ROSAS                                                                                                                             </v>
      </c>
      <c r="G216" s="26" t="str">
        <f>"IZTACALCO                                                                       "</f>
        <v xml:space="preserve">IZTACALCO                                                                       </v>
      </c>
      <c r="H216" s="26" t="str">
        <f>"430"</f>
        <v>430</v>
      </c>
      <c r="I216" s="26" t="str">
        <f t="shared" si="34"/>
        <v>00</v>
      </c>
      <c r="J216" s="26" t="str">
        <f>"44 "</f>
        <v xml:space="preserve">44 </v>
      </c>
      <c r="K216" s="26" t="str">
        <f t="shared" si="38"/>
        <v>PR</v>
      </c>
      <c r="L216" s="26" t="str">
        <f t="shared" si="39"/>
        <v>DGOSE</v>
      </c>
      <c r="M216" s="26" t="str">
        <f t="shared" si="35"/>
        <v>FEDERAL</v>
      </c>
      <c r="N216" s="26">
        <v>315</v>
      </c>
      <c r="O216" s="26">
        <v>160</v>
      </c>
      <c r="P216" s="26">
        <v>155</v>
      </c>
      <c r="Q216" s="26">
        <v>12</v>
      </c>
      <c r="R216" s="26">
        <v>1</v>
      </c>
      <c r="S216" s="26">
        <v>12</v>
      </c>
      <c r="T216" s="26">
        <v>11</v>
      </c>
      <c r="U216" s="26">
        <v>24</v>
      </c>
      <c r="V216" s="26">
        <v>1</v>
      </c>
      <c r="W216" s="26" t="s">
        <v>2076</v>
      </c>
    </row>
    <row r="217" spans="1:23" x14ac:dyDescent="0.25">
      <c r="A217" s="26" t="str">
        <f t="shared" si="33"/>
        <v>PRIMARIA</v>
      </c>
      <c r="B217" s="26" t="str">
        <f>"09DPR0928L"</f>
        <v>09DPR0928L</v>
      </c>
      <c r="C217" s="26" t="str">
        <f>"RAMON LOPEZ VELARDE                                                                                 "</f>
        <v xml:space="preserve">RAMON LOPEZ VELARDE                                                                                 </v>
      </c>
      <c r="D217" s="26" t="str">
        <f>"JORNADA AMPLIADA"</f>
        <v>JORNADA AMPLIADA</v>
      </c>
      <c r="E217" s="26" t="str">
        <f>"RAFAEL ANGEL DE LA PEÑA NUM 73                                                  "</f>
        <v xml:space="preserve">RAFAEL ANGEL DE LA PEÑA NUM 73                                                  </v>
      </c>
      <c r="F217" s="26" t="str">
        <f>"OBRERA                                                                                                                                      "</f>
        <v xml:space="preserve">OBRERA                                                                                                                                      </v>
      </c>
      <c r="G217" s="26" t="str">
        <f>"CUAUHTEMOC                                                                      "</f>
        <v xml:space="preserve">CUAUHTEMOC                                                                      </v>
      </c>
      <c r="H217" s="26" t="str">
        <f>"128"</f>
        <v>128</v>
      </c>
      <c r="I217" s="26" t="str">
        <f t="shared" si="34"/>
        <v>00</v>
      </c>
      <c r="J217" s="26" t="str">
        <f>"41 "</f>
        <v xml:space="preserve">41 </v>
      </c>
      <c r="K217" s="26" t="str">
        <f t="shared" si="38"/>
        <v>PR</v>
      </c>
      <c r="L217" s="26" t="str">
        <f t="shared" si="39"/>
        <v>DGOSE</v>
      </c>
      <c r="M217" s="26" t="str">
        <f t="shared" si="35"/>
        <v>FEDERAL</v>
      </c>
      <c r="N217" s="26">
        <v>208</v>
      </c>
      <c r="O217" s="26">
        <v>99</v>
      </c>
      <c r="P217" s="26">
        <v>109</v>
      </c>
      <c r="Q217" s="26">
        <v>7</v>
      </c>
      <c r="R217" s="26">
        <v>1</v>
      </c>
      <c r="S217" s="26">
        <v>7</v>
      </c>
      <c r="T217" s="26">
        <v>7</v>
      </c>
      <c r="U217" s="26">
        <v>15</v>
      </c>
      <c r="V217" s="26">
        <v>1</v>
      </c>
      <c r="W217" s="26" t="s">
        <v>2076</v>
      </c>
    </row>
    <row r="218" spans="1:23" x14ac:dyDescent="0.25">
      <c r="A218" s="26" t="str">
        <f t="shared" si="33"/>
        <v>PRIMARIA</v>
      </c>
      <c r="B218" s="26" t="str">
        <f>"09DPR0929K"</f>
        <v>09DPR0929K</v>
      </c>
      <c r="C218" s="26" t="str">
        <f>"QUETZALCOATL                                                                                        "</f>
        <v xml:space="preserve">QUETZALCOATL                                                                                        </v>
      </c>
      <c r="D218" s="26" t="str">
        <f>"MATUTINO"</f>
        <v>MATUTINO</v>
      </c>
      <c r="E218" s="26" t="str">
        <f>"RAMON ALDANA S/N                                                                "</f>
        <v xml:space="preserve">RAMON ALDANA S/N                                                                </v>
      </c>
      <c r="F218" s="26" t="str">
        <f>"PAULINO NAVARRO                                                                                                                             "</f>
        <v xml:space="preserve">PAULINO NAVARRO                                                                                                                             </v>
      </c>
      <c r="G218" s="26" t="str">
        <f>"CUAUHTEMOC                                                                      "</f>
        <v xml:space="preserve">CUAUHTEMOC                                                                      </v>
      </c>
      <c r="H218" s="26" t="str">
        <f>"225"</f>
        <v>225</v>
      </c>
      <c r="I218" s="26" t="str">
        <f t="shared" si="34"/>
        <v>00</v>
      </c>
      <c r="J218" s="26" t="str">
        <f>"42 "</f>
        <v xml:space="preserve">42 </v>
      </c>
      <c r="K218" s="26" t="str">
        <f t="shared" si="38"/>
        <v>PR</v>
      </c>
      <c r="L218" s="26" t="str">
        <f t="shared" si="39"/>
        <v>DGOSE</v>
      </c>
      <c r="M218" s="26" t="str">
        <f t="shared" si="35"/>
        <v>FEDERAL</v>
      </c>
      <c r="N218" s="26">
        <v>173</v>
      </c>
      <c r="O218" s="26">
        <v>87</v>
      </c>
      <c r="P218" s="26">
        <v>86</v>
      </c>
      <c r="Q218" s="26">
        <v>6</v>
      </c>
      <c r="R218" s="26">
        <v>1</v>
      </c>
      <c r="S218" s="26">
        <v>6</v>
      </c>
      <c r="T218" s="26">
        <v>7</v>
      </c>
      <c r="U218" s="26">
        <v>14</v>
      </c>
      <c r="V218" s="26">
        <v>1</v>
      </c>
      <c r="W218" s="26"/>
    </row>
    <row r="219" spans="1:23" x14ac:dyDescent="0.25">
      <c r="A219" s="26" t="str">
        <f t="shared" si="33"/>
        <v>PRIMARIA</v>
      </c>
      <c r="B219" s="26" t="str">
        <f>"09DPR0930Z"</f>
        <v>09DPR0930Z</v>
      </c>
      <c r="C219" s="26" t="str">
        <f>"QUETZALCOATL                                                                                        "</f>
        <v xml:space="preserve">QUETZALCOATL                                                                                        </v>
      </c>
      <c r="D219" s="26" t="str">
        <f>"MATUTINO"</f>
        <v>MATUTINO</v>
      </c>
      <c r="E219" s="26" t="str">
        <f>"AV. DEL TALLER NUM. 47                                                          "</f>
        <v xml:space="preserve">AV. DEL TALLER NUM. 47                                                          </v>
      </c>
      <c r="F219" s="26" t="str">
        <f>"PAULINO NAVARRO                                                                                                                             "</f>
        <v xml:space="preserve">PAULINO NAVARRO                                                                                                                             </v>
      </c>
      <c r="G219" s="26" t="str">
        <f>"CUAUHTEMOC                                                                      "</f>
        <v xml:space="preserve">CUAUHTEMOC                                                                      </v>
      </c>
      <c r="H219" s="26" t="str">
        <f>"225"</f>
        <v>225</v>
      </c>
      <c r="I219" s="26" t="str">
        <f t="shared" si="34"/>
        <v>00</v>
      </c>
      <c r="J219" s="26" t="str">
        <f>"42 "</f>
        <v xml:space="preserve">42 </v>
      </c>
      <c r="K219" s="26" t="str">
        <f t="shared" si="38"/>
        <v>PR</v>
      </c>
      <c r="L219" s="26" t="str">
        <f t="shared" si="39"/>
        <v>DGOSE</v>
      </c>
      <c r="M219" s="26" t="str">
        <f t="shared" si="35"/>
        <v>FEDERAL</v>
      </c>
      <c r="N219" s="26">
        <v>191</v>
      </c>
      <c r="O219" s="26">
        <v>90</v>
      </c>
      <c r="P219" s="26">
        <v>101</v>
      </c>
      <c r="Q219" s="26">
        <v>8</v>
      </c>
      <c r="R219" s="26">
        <v>1</v>
      </c>
      <c r="S219" s="26">
        <v>8</v>
      </c>
      <c r="T219" s="26">
        <v>8</v>
      </c>
      <c r="U219" s="26">
        <v>17</v>
      </c>
      <c r="V219" s="26">
        <v>1</v>
      </c>
      <c r="W219" s="26"/>
    </row>
    <row r="220" spans="1:23" x14ac:dyDescent="0.25">
      <c r="A220" s="26" t="str">
        <f t="shared" si="33"/>
        <v>PRIMARIA</v>
      </c>
      <c r="B220" s="26" t="str">
        <f>"09DPR0932Y"</f>
        <v>09DPR0932Y</v>
      </c>
      <c r="C220" s="26" t="str">
        <f>"QUETZALCOATL                                                                                        "</f>
        <v xml:space="preserve">QUETZALCOATL                                                                                        </v>
      </c>
      <c r="D220" s="26" t="str">
        <f>"VESPERTINO"</f>
        <v>VESPERTINO</v>
      </c>
      <c r="E220" s="26" t="str">
        <f>"AV DEL TALLER NUM 47                                                            "</f>
        <v xml:space="preserve">AV DEL TALLER NUM 47                                                            </v>
      </c>
      <c r="F220" s="26" t="str">
        <f>"PAULINO NAVARRO                                                                                                                             "</f>
        <v xml:space="preserve">PAULINO NAVARRO                                                                                                                             </v>
      </c>
      <c r="G220" s="26" t="str">
        <f>"CUAUHTEMOC                                                                      "</f>
        <v xml:space="preserve">CUAUHTEMOC                                                                      </v>
      </c>
      <c r="H220" s="26" t="str">
        <f>"225"</f>
        <v>225</v>
      </c>
      <c r="I220" s="26" t="str">
        <f t="shared" si="34"/>
        <v>00</v>
      </c>
      <c r="J220" s="26" t="str">
        <f>"42 "</f>
        <v xml:space="preserve">42 </v>
      </c>
      <c r="K220" s="26" t="str">
        <f t="shared" si="38"/>
        <v>PR</v>
      </c>
      <c r="L220" s="26" t="str">
        <f t="shared" si="39"/>
        <v>DGOSE</v>
      </c>
      <c r="M220" s="26" t="str">
        <f t="shared" si="35"/>
        <v>FEDERAL</v>
      </c>
      <c r="N220" s="26">
        <v>85</v>
      </c>
      <c r="O220" s="26">
        <v>48</v>
      </c>
      <c r="P220" s="26">
        <v>37</v>
      </c>
      <c r="Q220" s="26">
        <v>5</v>
      </c>
      <c r="R220" s="26">
        <v>1</v>
      </c>
      <c r="S220" s="26">
        <v>4</v>
      </c>
      <c r="T220" s="26">
        <v>6</v>
      </c>
      <c r="U220" s="26">
        <v>11</v>
      </c>
      <c r="V220" s="26">
        <v>1</v>
      </c>
      <c r="W220" s="26"/>
    </row>
    <row r="221" spans="1:23" x14ac:dyDescent="0.25">
      <c r="A221" s="26" t="str">
        <f t="shared" si="33"/>
        <v>PRIMARIA</v>
      </c>
      <c r="B221" s="26" t="str">
        <f>"09DPR0933X"</f>
        <v>09DPR0933X</v>
      </c>
      <c r="C221" s="26" t="str">
        <f>"PLAN DE ONCE AÑOS                                                                                   "</f>
        <v xml:space="preserve">PLAN DE ONCE AÑOS                                                                                   </v>
      </c>
      <c r="D221" s="26" t="str">
        <f>"MATUTINO"</f>
        <v>MATUTINO</v>
      </c>
      <c r="E221" s="26" t="str">
        <f>"JARDIN HIDALGO NUM. 4 BIS                                                       "</f>
        <v xml:space="preserve">JARDIN HIDALGO NUM. 4 BIS                                                       </v>
      </c>
      <c r="F221" s="26" t="str">
        <f>"LA ASUNCION BARRIO                                                                                                                          "</f>
        <v xml:space="preserve">LA ASUNCION BARRIO                                                                                                                          </v>
      </c>
      <c r="G221" s="26" t="str">
        <f>"IZTACALCO                                                                       "</f>
        <v xml:space="preserve">IZTACALCO                                                                       </v>
      </c>
      <c r="H221" s="26" t="str">
        <f>"362"</f>
        <v>362</v>
      </c>
      <c r="I221" s="26" t="str">
        <f t="shared" si="34"/>
        <v>00</v>
      </c>
      <c r="J221" s="26" t="str">
        <f>"43 "</f>
        <v xml:space="preserve">43 </v>
      </c>
      <c r="K221" s="26" t="str">
        <f t="shared" si="38"/>
        <v>PR</v>
      </c>
      <c r="L221" s="26" t="str">
        <f t="shared" si="39"/>
        <v>DGOSE</v>
      </c>
      <c r="M221" s="26" t="str">
        <f t="shared" si="35"/>
        <v>FEDERAL</v>
      </c>
      <c r="N221" s="26">
        <v>187</v>
      </c>
      <c r="O221" s="26">
        <v>102</v>
      </c>
      <c r="P221" s="26">
        <v>85</v>
      </c>
      <c r="Q221" s="26">
        <v>8</v>
      </c>
      <c r="R221" s="26">
        <v>1</v>
      </c>
      <c r="S221" s="26">
        <v>8</v>
      </c>
      <c r="T221" s="26">
        <v>6</v>
      </c>
      <c r="U221" s="26">
        <v>15</v>
      </c>
      <c r="V221" s="26">
        <v>1</v>
      </c>
      <c r="W221" s="26"/>
    </row>
    <row r="222" spans="1:23" x14ac:dyDescent="0.25">
      <c r="A222" s="26" t="str">
        <f t="shared" si="33"/>
        <v>PRIMARIA</v>
      </c>
      <c r="B222" s="26" t="str">
        <f>"09DPR0934W"</f>
        <v>09DPR0934W</v>
      </c>
      <c r="C222" s="26" t="str">
        <f>"PLAN DE ONCE AÑOS                                                                                   "</f>
        <v xml:space="preserve">PLAN DE ONCE AÑOS                                                                                   </v>
      </c>
      <c r="D222" s="26" t="str">
        <f>"VESPERTINO"</f>
        <v>VESPERTINO</v>
      </c>
      <c r="E222" s="26" t="str">
        <f>"JARDIN HIDALGO NUM. 4 BIS                                                       "</f>
        <v xml:space="preserve">JARDIN HIDALGO NUM. 4 BIS                                                       </v>
      </c>
      <c r="F222" s="26" t="str">
        <f>"LA ASUNCION BARRIO                                                                                                                          "</f>
        <v xml:space="preserve">LA ASUNCION BARRIO                                                                                                                          </v>
      </c>
      <c r="G222" s="26" t="str">
        <f>"IZTACALCO                                                                       "</f>
        <v xml:space="preserve">IZTACALCO                                                                       </v>
      </c>
      <c r="H222" s="26" t="str">
        <f>"362"</f>
        <v>362</v>
      </c>
      <c r="I222" s="26" t="str">
        <f t="shared" si="34"/>
        <v>00</v>
      </c>
      <c r="J222" s="26" t="str">
        <f>"43 "</f>
        <v xml:space="preserve">43 </v>
      </c>
      <c r="K222" s="26" t="str">
        <f t="shared" si="38"/>
        <v>PR</v>
      </c>
      <c r="L222" s="26" t="str">
        <f t="shared" si="39"/>
        <v>DGOSE</v>
      </c>
      <c r="M222" s="26" t="str">
        <f t="shared" si="35"/>
        <v>FEDERAL</v>
      </c>
      <c r="N222" s="26">
        <v>88</v>
      </c>
      <c r="O222" s="26">
        <v>45</v>
      </c>
      <c r="P222" s="26">
        <v>43</v>
      </c>
      <c r="Q222" s="26">
        <v>6</v>
      </c>
      <c r="R222" s="26">
        <v>1</v>
      </c>
      <c r="S222" s="26">
        <v>6</v>
      </c>
      <c r="T222" s="26">
        <v>4</v>
      </c>
      <c r="U222" s="26">
        <v>11</v>
      </c>
      <c r="V222" s="26">
        <v>1</v>
      </c>
      <c r="W222" s="26"/>
    </row>
    <row r="223" spans="1:23" x14ac:dyDescent="0.25">
      <c r="A223" s="26" t="str">
        <f t="shared" si="33"/>
        <v>PRIMARIA</v>
      </c>
      <c r="B223" s="26" t="str">
        <f>"09DPR0935V"</f>
        <v>09DPR0935V</v>
      </c>
      <c r="C223" s="26" t="str">
        <f>"JUVENTINO ROSAS                                                                                     "</f>
        <v xml:space="preserve">JUVENTINO ROSAS                                                                                     </v>
      </c>
      <c r="D223" s="26" t="str">
        <f>"VESPERTINO"</f>
        <v>VESPERTINO</v>
      </c>
      <c r="E223" s="26" t="str">
        <f>"JOSE MOJICA Y MIGUEL LERDO DE TEJADA S/N                                        "</f>
        <v xml:space="preserve">JOSE MOJICA Y MIGUEL LERDO DE TEJADA S/N                                        </v>
      </c>
      <c r="F223" s="26" t="str">
        <f>"LA FORESTAL                                                                                                                                 "</f>
        <v xml:space="preserve">LA FORESTAL                                                                                                                                 </v>
      </c>
      <c r="G223" s="26" t="str">
        <f>"GUSTAVO A. MADERO                                                               "</f>
        <v xml:space="preserve">GUSTAVO A. MADERO                                                               </v>
      </c>
      <c r="H223" s="26" t="str">
        <f>"227"</f>
        <v>227</v>
      </c>
      <c r="I223" s="26" t="str">
        <f t="shared" si="34"/>
        <v>00</v>
      </c>
      <c r="J223" s="26" t="str">
        <f>"42 "</f>
        <v xml:space="preserve">42 </v>
      </c>
      <c r="K223" s="26" t="str">
        <f t="shared" si="38"/>
        <v>PR</v>
      </c>
      <c r="L223" s="26" t="str">
        <f t="shared" si="39"/>
        <v>DGOSE</v>
      </c>
      <c r="M223" s="26" t="str">
        <f t="shared" si="35"/>
        <v>FEDERAL</v>
      </c>
      <c r="N223" s="26">
        <v>635</v>
      </c>
      <c r="O223" s="26">
        <v>309</v>
      </c>
      <c r="P223" s="26">
        <v>326</v>
      </c>
      <c r="Q223" s="26">
        <v>19</v>
      </c>
      <c r="R223" s="26">
        <v>1</v>
      </c>
      <c r="S223" s="26">
        <v>19</v>
      </c>
      <c r="T223" s="26">
        <v>13</v>
      </c>
      <c r="U223" s="26">
        <v>33</v>
      </c>
      <c r="V223" s="26">
        <v>1</v>
      </c>
      <c r="W223" s="26"/>
    </row>
    <row r="224" spans="1:23" x14ac:dyDescent="0.25">
      <c r="A224" s="26" t="str">
        <f t="shared" si="33"/>
        <v>PRIMARIA</v>
      </c>
      <c r="B224" s="26" t="str">
        <f>"09DPR0936U"</f>
        <v>09DPR0936U</v>
      </c>
      <c r="C224" s="26" t="str">
        <f>"MARGARITA MAZA DE JUAREZ                                                                            "</f>
        <v xml:space="preserve">MARGARITA MAZA DE JUAREZ                                                                            </v>
      </c>
      <c r="D224" s="26" t="str">
        <f>"JORNADA AMPLIADA"</f>
        <v>JORNADA AMPLIADA</v>
      </c>
      <c r="E224" s="26" t="str">
        <f>"GOMA NUM. 163 Y CENTENO                                                         "</f>
        <v xml:space="preserve">GOMA NUM. 163 Y CENTENO                                                         </v>
      </c>
      <c r="F224" s="26" t="str">
        <f>"GRANJAS MEXICO                                                                                                                              "</f>
        <v xml:space="preserve">GRANJAS MEXICO                                                                                                                              </v>
      </c>
      <c r="G224" s="26" t="str">
        <f>"IZTACALCO                                                                       "</f>
        <v xml:space="preserve">IZTACALCO                                                                       </v>
      </c>
      <c r="H224" s="26" t="str">
        <f>"430"</f>
        <v>430</v>
      </c>
      <c r="I224" s="26" t="str">
        <f t="shared" si="34"/>
        <v>00</v>
      </c>
      <c r="J224" s="26" t="str">
        <f>"44 "</f>
        <v xml:space="preserve">44 </v>
      </c>
      <c r="K224" s="26" t="str">
        <f t="shared" si="38"/>
        <v>PR</v>
      </c>
      <c r="L224" s="26" t="str">
        <f t="shared" si="39"/>
        <v>DGOSE</v>
      </c>
      <c r="M224" s="26" t="str">
        <f t="shared" si="35"/>
        <v>FEDERAL</v>
      </c>
      <c r="N224" s="26">
        <v>322</v>
      </c>
      <c r="O224" s="26">
        <v>161</v>
      </c>
      <c r="P224" s="26">
        <v>161</v>
      </c>
      <c r="Q224" s="26">
        <v>12</v>
      </c>
      <c r="R224" s="26">
        <v>1</v>
      </c>
      <c r="S224" s="26">
        <v>12</v>
      </c>
      <c r="T224" s="26">
        <v>12</v>
      </c>
      <c r="U224" s="26">
        <v>25</v>
      </c>
      <c r="V224" s="26">
        <v>1</v>
      </c>
      <c r="W224" s="26" t="s">
        <v>2076</v>
      </c>
    </row>
    <row r="225" spans="1:23" x14ac:dyDescent="0.25">
      <c r="A225" s="26" t="str">
        <f t="shared" si="33"/>
        <v>PRIMARIA</v>
      </c>
      <c r="B225" s="26" t="str">
        <f>"09DPR0937T"</f>
        <v>09DPR0937T</v>
      </c>
      <c r="C225" s="26" t="str">
        <f>"MTRO. LUIS CHAVEZ OROZCO                                                                            "</f>
        <v xml:space="preserve">MTRO. LUIS CHAVEZ OROZCO                                                                            </v>
      </c>
      <c r="D225" s="26" t="str">
        <f>"MATUTINO"</f>
        <v>MATUTINO</v>
      </c>
      <c r="E225" s="26" t="str">
        <f>"SUR 163 Y OTE 110 No. 1910                                                      "</f>
        <v xml:space="preserve">SUR 163 Y OTE 110 No. 1910                                                      </v>
      </c>
      <c r="F225" s="26" t="str">
        <f>"GABRIEL RAMOS MILLAN                                                                                                                        "</f>
        <v xml:space="preserve">GABRIEL RAMOS MILLAN                                                                                                                        </v>
      </c>
      <c r="G225" s="26" t="str">
        <f>"IZTACALCO                                                                       "</f>
        <v xml:space="preserve">IZTACALCO                                                                       </v>
      </c>
      <c r="H225" s="26" t="str">
        <f>"356"</f>
        <v>356</v>
      </c>
      <c r="I225" s="26" t="str">
        <f t="shared" si="34"/>
        <v>00</v>
      </c>
      <c r="J225" s="26" t="str">
        <f>"43 "</f>
        <v xml:space="preserve">43 </v>
      </c>
      <c r="K225" s="26" t="str">
        <f t="shared" si="38"/>
        <v>PR</v>
      </c>
      <c r="L225" s="26" t="str">
        <f t="shared" si="39"/>
        <v>DGOSE</v>
      </c>
      <c r="M225" s="26" t="str">
        <f t="shared" si="35"/>
        <v>FEDERAL</v>
      </c>
      <c r="N225" s="26">
        <v>374</v>
      </c>
      <c r="O225" s="26">
        <v>176</v>
      </c>
      <c r="P225" s="26">
        <v>198</v>
      </c>
      <c r="Q225" s="26">
        <v>12</v>
      </c>
      <c r="R225" s="26">
        <v>1</v>
      </c>
      <c r="S225" s="26">
        <v>12</v>
      </c>
      <c r="T225" s="26">
        <v>9</v>
      </c>
      <c r="U225" s="26">
        <v>22</v>
      </c>
      <c r="V225" s="26">
        <v>1</v>
      </c>
      <c r="W225" s="26"/>
    </row>
    <row r="226" spans="1:23" x14ac:dyDescent="0.25">
      <c r="A226" s="26" t="str">
        <f t="shared" si="33"/>
        <v>PRIMARIA</v>
      </c>
      <c r="B226" s="26" t="str">
        <f>"09DPR0938S"</f>
        <v>09DPR0938S</v>
      </c>
      <c r="C226" s="26" t="str">
        <f>"MTRO. LUIS CHAVEZ OROZCO                                                                            "</f>
        <v xml:space="preserve">MTRO. LUIS CHAVEZ OROZCO                                                                            </v>
      </c>
      <c r="D226" s="26" t="str">
        <f>"VESPERTINO"</f>
        <v>VESPERTINO</v>
      </c>
      <c r="E226" s="26" t="str">
        <f>"SUR 163 Y OTE 110 No. 1910                                                      "</f>
        <v xml:space="preserve">SUR 163 Y OTE 110 No. 1910                                                      </v>
      </c>
      <c r="F226" s="26" t="str">
        <f>"GABRIEL RAMOS MILLAN                                                                                                                        "</f>
        <v xml:space="preserve">GABRIEL RAMOS MILLAN                                                                                                                        </v>
      </c>
      <c r="G226" s="26" t="str">
        <f>"IZTACALCO                                                                       "</f>
        <v xml:space="preserve">IZTACALCO                                                                       </v>
      </c>
      <c r="H226" s="26" t="str">
        <f>"356"</f>
        <v>356</v>
      </c>
      <c r="I226" s="26" t="str">
        <f t="shared" si="34"/>
        <v>00</v>
      </c>
      <c r="J226" s="26" t="str">
        <f>"43 "</f>
        <v xml:space="preserve">43 </v>
      </c>
      <c r="K226" s="26" t="str">
        <f t="shared" si="38"/>
        <v>PR</v>
      </c>
      <c r="L226" s="26" t="str">
        <f t="shared" si="39"/>
        <v>DGOSE</v>
      </c>
      <c r="M226" s="26" t="str">
        <f t="shared" si="35"/>
        <v>FEDERAL</v>
      </c>
      <c r="N226" s="26">
        <v>73</v>
      </c>
      <c r="O226" s="26">
        <v>33</v>
      </c>
      <c r="P226" s="26">
        <v>40</v>
      </c>
      <c r="Q226" s="26">
        <v>6</v>
      </c>
      <c r="R226" s="26">
        <v>1</v>
      </c>
      <c r="S226" s="26">
        <v>6</v>
      </c>
      <c r="T226" s="26">
        <v>3</v>
      </c>
      <c r="U226" s="26">
        <v>10</v>
      </c>
      <c r="V226" s="26">
        <v>1</v>
      </c>
      <c r="W226" s="26"/>
    </row>
    <row r="227" spans="1:23" x14ac:dyDescent="0.25">
      <c r="A227" s="26" t="str">
        <f t="shared" si="33"/>
        <v>PRIMARIA</v>
      </c>
      <c r="B227" s="26" t="str">
        <f>"09DPR0939R"</f>
        <v>09DPR0939R</v>
      </c>
      <c r="C227" s="26" t="str">
        <f>"EMILIO BRAVO                                                                                        "</f>
        <v xml:space="preserve">EMILIO BRAVO                                                                                        </v>
      </c>
      <c r="D227" s="26" t="str">
        <f>"VESPERTINO"</f>
        <v>VESPERTINO</v>
      </c>
      <c r="E227" s="26" t="str">
        <f>"AV EMILIANO ZAPATA S/N                                                          "</f>
        <v xml:space="preserve">AV EMILIANO ZAPATA S/N                                                          </v>
      </c>
      <c r="F227" s="26" t="str">
        <f>"CUAUTEPEC DE MADERO                                                                                                                         "</f>
        <v xml:space="preserve">CUAUTEPEC DE MADERO                                                                                                                         </v>
      </c>
      <c r="G227" s="26" t="str">
        <f>"GUSTAVO A. MADERO                                                               "</f>
        <v xml:space="preserve">GUSTAVO A. MADERO                                                               </v>
      </c>
      <c r="H227" s="26" t="str">
        <f>"231"</f>
        <v>231</v>
      </c>
      <c r="I227" s="26" t="str">
        <f t="shared" si="34"/>
        <v>00</v>
      </c>
      <c r="J227" s="26" t="str">
        <f>"42 "</f>
        <v xml:space="preserve">42 </v>
      </c>
      <c r="K227" s="26" t="str">
        <f t="shared" si="38"/>
        <v>PR</v>
      </c>
      <c r="L227" s="26" t="str">
        <f t="shared" si="39"/>
        <v>DGOSE</v>
      </c>
      <c r="M227" s="26" t="str">
        <f t="shared" si="35"/>
        <v>FEDERAL</v>
      </c>
      <c r="N227" s="26">
        <v>439</v>
      </c>
      <c r="O227" s="26">
        <v>219</v>
      </c>
      <c r="P227" s="26">
        <v>220</v>
      </c>
      <c r="Q227" s="26">
        <v>20</v>
      </c>
      <c r="R227" s="26">
        <v>1</v>
      </c>
      <c r="S227" s="26">
        <v>19</v>
      </c>
      <c r="T227" s="26">
        <v>12</v>
      </c>
      <c r="U227" s="26">
        <v>32</v>
      </c>
      <c r="V227" s="26">
        <v>1</v>
      </c>
      <c r="W227" s="26"/>
    </row>
    <row r="228" spans="1:23" x14ac:dyDescent="0.25">
      <c r="A228" s="26" t="str">
        <f t="shared" si="33"/>
        <v>PRIMARIA</v>
      </c>
      <c r="B228" s="26" t="str">
        <f>"09DPR0940G"</f>
        <v>09DPR0940G</v>
      </c>
      <c r="C228" s="26" t="str">
        <f>"LUIS CABRERA                                                                                        "</f>
        <v xml:space="preserve">LUIS CABRERA                                                                                        </v>
      </c>
      <c r="D228" s="26" t="str">
        <f>"MATUTINO"</f>
        <v>MATUTINO</v>
      </c>
      <c r="E228" s="26" t="str">
        <f>"RAMON PRIDA NO 41                                                               "</f>
        <v xml:space="preserve">RAMON PRIDA NO 41                                                               </v>
      </c>
      <c r="F228" s="26" t="str">
        <f>"ALVARO OBREGON                                                                                                                              "</f>
        <v xml:space="preserve">ALVARO OBREGON                                                                                                                              </v>
      </c>
      <c r="G228" s="26" t="str">
        <f>"VENUSTIANO CARRANZA                                                             "</f>
        <v xml:space="preserve">VENUSTIANO CARRANZA                                                             </v>
      </c>
      <c r="H228" s="26" t="str">
        <f>"348"</f>
        <v>348</v>
      </c>
      <c r="I228" s="26" t="str">
        <f t="shared" si="34"/>
        <v>00</v>
      </c>
      <c r="J228" s="26" t="str">
        <f>"43 "</f>
        <v xml:space="preserve">43 </v>
      </c>
      <c r="K228" s="26" t="str">
        <f t="shared" si="38"/>
        <v>PR</v>
      </c>
      <c r="L228" s="26" t="str">
        <f t="shared" si="39"/>
        <v>DGOSE</v>
      </c>
      <c r="M228" s="26" t="str">
        <f t="shared" si="35"/>
        <v>FEDERAL</v>
      </c>
      <c r="N228" s="26">
        <v>843</v>
      </c>
      <c r="O228" s="26">
        <v>424</v>
      </c>
      <c r="P228" s="26">
        <v>419</v>
      </c>
      <c r="Q228" s="26">
        <v>30</v>
      </c>
      <c r="R228" s="26">
        <v>1</v>
      </c>
      <c r="S228" s="26">
        <v>30</v>
      </c>
      <c r="T228" s="26">
        <v>22</v>
      </c>
      <c r="U228" s="26">
        <v>53</v>
      </c>
      <c r="V228" s="26">
        <v>1</v>
      </c>
      <c r="W228" s="26"/>
    </row>
    <row r="229" spans="1:23" x14ac:dyDescent="0.25">
      <c r="A229" s="26" t="str">
        <f t="shared" si="33"/>
        <v>PRIMARIA</v>
      </c>
      <c r="B229" s="26" t="str">
        <f>"09DPR0943D"</f>
        <v>09DPR0943D</v>
      </c>
      <c r="C229" s="26" t="str">
        <f>"ING. JOAQUIN GALLO MONTERRUBIO                                                                      "</f>
        <v xml:space="preserve">ING. JOAQUIN GALLO MONTERRUBIO                                                                      </v>
      </c>
      <c r="D229" s="26" t="str">
        <f>"JORNADA AMPLIADA"</f>
        <v>JORNADA AMPLIADA</v>
      </c>
      <c r="E229" s="26" t="str">
        <f>"PASCUAL OROZCO 65                                                               "</f>
        <v xml:space="preserve">PASCUAL OROZCO 65                                                               </v>
      </c>
      <c r="F229" s="26" t="str">
        <f>"SAN MIGUEL BARRIO                                                                                                                           "</f>
        <v xml:space="preserve">SAN MIGUEL BARRIO                                                                                                                           </v>
      </c>
      <c r="G229" s="26" t="str">
        <f>"IZTACALCO                                                                       "</f>
        <v xml:space="preserve">IZTACALCO                                                                       </v>
      </c>
      <c r="H229" s="26" t="str">
        <f>"431"</f>
        <v>431</v>
      </c>
      <c r="I229" s="26" t="str">
        <f t="shared" si="34"/>
        <v>00</v>
      </c>
      <c r="J229" s="26" t="str">
        <f>"44 "</f>
        <v xml:space="preserve">44 </v>
      </c>
      <c r="K229" s="26" t="str">
        <f t="shared" si="38"/>
        <v>PR</v>
      </c>
      <c r="L229" s="26" t="str">
        <f t="shared" si="39"/>
        <v>DGOSE</v>
      </c>
      <c r="M229" s="26" t="str">
        <f t="shared" si="35"/>
        <v>FEDERAL</v>
      </c>
      <c r="N229" s="26">
        <v>330</v>
      </c>
      <c r="O229" s="26">
        <v>160</v>
      </c>
      <c r="P229" s="26">
        <v>170</v>
      </c>
      <c r="Q229" s="26">
        <v>12</v>
      </c>
      <c r="R229" s="26">
        <v>1</v>
      </c>
      <c r="S229" s="26">
        <v>12</v>
      </c>
      <c r="T229" s="26">
        <v>11</v>
      </c>
      <c r="U229" s="26">
        <v>24</v>
      </c>
      <c r="V229" s="26">
        <v>1</v>
      </c>
      <c r="W229" s="26" t="s">
        <v>2076</v>
      </c>
    </row>
    <row r="230" spans="1:23" x14ac:dyDescent="0.25">
      <c r="A230" s="26" t="str">
        <f t="shared" si="33"/>
        <v>PRIMARIA</v>
      </c>
      <c r="B230" s="26" t="str">
        <f>"09DPR0944C"</f>
        <v>09DPR0944C</v>
      </c>
      <c r="C230" s="26" t="str">
        <f>"ACAYUCAN                                                                                            "</f>
        <v xml:space="preserve">ACAYUCAN                                                                                            </v>
      </c>
      <c r="D230" s="26" t="str">
        <f>"MATUTINO"</f>
        <v>MATUTINO</v>
      </c>
      <c r="E230" s="26" t="str">
        <f>"AV 10 NUM 119 Y CALLE 27                                                        "</f>
        <v xml:space="preserve">AV 10 NUM 119 Y CALLE 27                                                        </v>
      </c>
      <c r="F230" s="26" t="str">
        <f>"ZARAGOZA                                                                                                                                    "</f>
        <v xml:space="preserve">ZARAGOZA                                                                                                                                    </v>
      </c>
      <c r="G230" s="26" t="str">
        <f>"VENUSTIANO CARRANZA                                                             "</f>
        <v xml:space="preserve">VENUSTIANO CARRANZA                                                             </v>
      </c>
      <c r="H230" s="26" t="str">
        <f>"350"</f>
        <v>350</v>
      </c>
      <c r="I230" s="26" t="str">
        <f t="shared" si="34"/>
        <v>00</v>
      </c>
      <c r="J230" s="26" t="str">
        <f>"43 "</f>
        <v xml:space="preserve">43 </v>
      </c>
      <c r="K230" s="26" t="str">
        <f t="shared" si="38"/>
        <v>PR</v>
      </c>
      <c r="L230" s="26" t="str">
        <f t="shared" si="39"/>
        <v>DGOSE</v>
      </c>
      <c r="M230" s="26" t="str">
        <f t="shared" si="35"/>
        <v>FEDERAL</v>
      </c>
      <c r="N230" s="26">
        <v>380</v>
      </c>
      <c r="O230" s="26">
        <v>198</v>
      </c>
      <c r="P230" s="26">
        <v>182</v>
      </c>
      <c r="Q230" s="26">
        <v>14</v>
      </c>
      <c r="R230" s="26">
        <v>0</v>
      </c>
      <c r="S230" s="26">
        <v>12</v>
      </c>
      <c r="T230" s="26">
        <v>5</v>
      </c>
      <c r="U230" s="26">
        <v>17</v>
      </c>
      <c r="V230" s="26">
        <v>1</v>
      </c>
      <c r="W230" s="26"/>
    </row>
    <row r="231" spans="1:23" x14ac:dyDescent="0.25">
      <c r="A231" s="26" t="str">
        <f t="shared" si="33"/>
        <v>PRIMARIA</v>
      </c>
      <c r="B231" s="26" t="str">
        <f>"09DPR0945B"</f>
        <v>09DPR0945B</v>
      </c>
      <c r="C231" s="26" t="str">
        <f>"ANTONIO DE MENDOZA                                                                                  "</f>
        <v xml:space="preserve">ANTONIO DE MENDOZA                                                                                  </v>
      </c>
      <c r="D231" s="26" t="str">
        <f>"JORNADA AMPLIADA"</f>
        <v>JORNADA AMPLIADA</v>
      </c>
      <c r="E231" s="26" t="str">
        <f>"AV SUR 16 NUM 1234                                                              "</f>
        <v xml:space="preserve">AV SUR 16 NUM 1234                                                              </v>
      </c>
      <c r="F231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231" s="26" t="str">
        <f>"IZTACALCO                                                                       "</f>
        <v xml:space="preserve">IZTACALCO                                                                       </v>
      </c>
      <c r="H231" s="26" t="str">
        <f>"428"</f>
        <v>428</v>
      </c>
      <c r="I231" s="26" t="str">
        <f t="shared" si="34"/>
        <v>00</v>
      </c>
      <c r="J231" s="26" t="str">
        <f>"44 "</f>
        <v xml:space="preserve">44 </v>
      </c>
      <c r="K231" s="26" t="str">
        <f t="shared" si="38"/>
        <v>PR</v>
      </c>
      <c r="L231" s="26" t="str">
        <f t="shared" si="39"/>
        <v>DGOSE</v>
      </c>
      <c r="M231" s="26" t="str">
        <f t="shared" si="35"/>
        <v>FEDERAL</v>
      </c>
      <c r="N231" s="26">
        <v>368</v>
      </c>
      <c r="O231" s="26">
        <v>201</v>
      </c>
      <c r="P231" s="26">
        <v>167</v>
      </c>
      <c r="Q231" s="26">
        <v>12</v>
      </c>
      <c r="R231" s="26">
        <v>1</v>
      </c>
      <c r="S231" s="26">
        <v>12</v>
      </c>
      <c r="T231" s="26">
        <v>11</v>
      </c>
      <c r="U231" s="26">
        <v>24</v>
      </c>
      <c r="V231" s="26">
        <v>1</v>
      </c>
      <c r="W231" s="26" t="s">
        <v>2076</v>
      </c>
    </row>
    <row r="232" spans="1:23" x14ac:dyDescent="0.25">
      <c r="A232" s="26" t="str">
        <f t="shared" si="33"/>
        <v>PRIMARIA</v>
      </c>
      <c r="B232" s="26" t="str">
        <f>"09DPR0947Z"</f>
        <v>09DPR0947Z</v>
      </c>
      <c r="C232" s="26" t="str">
        <f>"ANGEL DE CAMPO                                                                                      "</f>
        <v xml:space="preserve">ANGEL DE CAMPO                                                                                      </v>
      </c>
      <c r="D232" s="26" t="str">
        <f>"TIEMPO COMPLETO"</f>
        <v>TIEMPO COMPLETO</v>
      </c>
      <c r="E232" s="26" t="str">
        <f>"ORIENTE 176 S/N                                                                 "</f>
        <v xml:space="preserve">ORIENTE 176 S/N                                                                 </v>
      </c>
      <c r="F232" s="26" t="str">
        <f>"MOCTEZUMA 2A SECCION                                                                                                                        "</f>
        <v xml:space="preserve">MOCTEZUMA 2A SECCION                                                                                                                        </v>
      </c>
      <c r="G232" s="26" t="str">
        <f t="shared" ref="G232:G239" si="40">"VENUSTIANO CARRANZA                                                             "</f>
        <v xml:space="preserve">VENUSTIANO CARRANZA                                                             </v>
      </c>
      <c r="H232" s="26" t="str">
        <f>"425"</f>
        <v>425</v>
      </c>
      <c r="I232" s="26" t="str">
        <f t="shared" si="34"/>
        <v>00</v>
      </c>
      <c r="J232" s="26" t="str">
        <f>"44 "</f>
        <v xml:space="preserve">44 </v>
      </c>
      <c r="K232" s="26" t="str">
        <f t="shared" si="38"/>
        <v>PR</v>
      </c>
      <c r="L232" s="26" t="str">
        <f t="shared" si="39"/>
        <v>DGOSE</v>
      </c>
      <c r="M232" s="26" t="str">
        <f t="shared" si="35"/>
        <v>FEDERAL</v>
      </c>
      <c r="N232" s="26">
        <v>355</v>
      </c>
      <c r="O232" s="26">
        <v>175</v>
      </c>
      <c r="P232" s="26">
        <v>180</v>
      </c>
      <c r="Q232" s="26">
        <v>12</v>
      </c>
      <c r="R232" s="26">
        <v>1</v>
      </c>
      <c r="S232" s="26">
        <v>12</v>
      </c>
      <c r="T232" s="26">
        <v>13</v>
      </c>
      <c r="U232" s="26">
        <v>26</v>
      </c>
      <c r="V232" s="26">
        <v>1</v>
      </c>
      <c r="W232" s="26" t="s">
        <v>218</v>
      </c>
    </row>
    <row r="233" spans="1:23" x14ac:dyDescent="0.25">
      <c r="A233" s="26" t="str">
        <f t="shared" si="33"/>
        <v>PRIMARIA</v>
      </c>
      <c r="B233" s="26" t="str">
        <f>"09DPR0951M"</f>
        <v>09DPR0951M</v>
      </c>
      <c r="C233" s="26" t="str">
        <f>"ANAHUAXOCHITL                                                                                       "</f>
        <v xml:space="preserve">ANAHUAXOCHITL                                                                                       </v>
      </c>
      <c r="D233" s="26" t="str">
        <f>"VESPERTINO"</f>
        <v>VESPERTINO</v>
      </c>
      <c r="E233" s="26" t="str">
        <f>"PABLO L SIDAR S/N                                                               "</f>
        <v xml:space="preserve">PABLO L SIDAR S/N                                                               </v>
      </c>
      <c r="F233" s="26" t="str">
        <f>"MOCTEZUMA 2A SECCION                                                                                                                        "</f>
        <v xml:space="preserve">MOCTEZUMA 2A SECCION                                                                                                                        </v>
      </c>
      <c r="G233" s="26" t="str">
        <f t="shared" si="40"/>
        <v xml:space="preserve">VENUSTIANO CARRANZA                                                             </v>
      </c>
      <c r="H233" s="26" t="str">
        <f>"345"</f>
        <v>345</v>
      </c>
      <c r="I233" s="26" t="str">
        <f t="shared" si="34"/>
        <v>00</v>
      </c>
      <c r="J233" s="26" t="str">
        <f>"43 "</f>
        <v xml:space="preserve">43 </v>
      </c>
      <c r="K233" s="26" t="str">
        <f t="shared" si="38"/>
        <v>PR</v>
      </c>
      <c r="L233" s="26" t="str">
        <f t="shared" si="39"/>
        <v>DGOSE</v>
      </c>
      <c r="M233" s="26" t="str">
        <f t="shared" si="35"/>
        <v>FEDERAL</v>
      </c>
      <c r="N233" s="26">
        <v>83</v>
      </c>
      <c r="O233" s="26">
        <v>52</v>
      </c>
      <c r="P233" s="26">
        <v>31</v>
      </c>
      <c r="Q233" s="26">
        <v>5</v>
      </c>
      <c r="R233" s="26">
        <v>1</v>
      </c>
      <c r="S233" s="26">
        <v>5</v>
      </c>
      <c r="T233" s="26">
        <v>4</v>
      </c>
      <c r="U233" s="26">
        <v>10</v>
      </c>
      <c r="V233" s="26">
        <v>1</v>
      </c>
      <c r="W233" s="26"/>
    </row>
    <row r="234" spans="1:23" x14ac:dyDescent="0.25">
      <c r="A234" s="26" t="str">
        <f t="shared" si="33"/>
        <v>PRIMARIA</v>
      </c>
      <c r="B234" s="26" t="str">
        <f>"09DPR0952L"</f>
        <v>09DPR0952L</v>
      </c>
      <c r="C234" s="26" t="str">
        <f>"MTRO. ANDRES JUAREZ SANTOS                                                                          "</f>
        <v xml:space="preserve">MTRO. ANDRES JUAREZ SANTOS                                                                          </v>
      </c>
      <c r="D234" s="26" t="str">
        <f>"JORNADA AMPLIADA"</f>
        <v>JORNADA AMPLIADA</v>
      </c>
      <c r="E234" s="26" t="str">
        <f>"NORTE 3 NUM 80                                                                  "</f>
        <v xml:space="preserve">NORTE 3 NUM 80                                                                  </v>
      </c>
      <c r="F234" s="26" t="str">
        <f>"MOCTEZUMA 2A SECCION                                                                                                                        "</f>
        <v xml:space="preserve">MOCTEZUMA 2A SECCION                                                                                                                        </v>
      </c>
      <c r="G234" s="26" t="str">
        <f t="shared" si="40"/>
        <v xml:space="preserve">VENUSTIANO CARRANZA                                                             </v>
      </c>
      <c r="H234" s="26" t="str">
        <f>"425"</f>
        <v>425</v>
      </c>
      <c r="I234" s="26" t="str">
        <f t="shared" si="34"/>
        <v>00</v>
      </c>
      <c r="J234" s="26" t="str">
        <f>"44 "</f>
        <v xml:space="preserve">44 </v>
      </c>
      <c r="K234" s="26" t="str">
        <f t="shared" si="38"/>
        <v>PR</v>
      </c>
      <c r="L234" s="26" t="str">
        <f t="shared" si="39"/>
        <v>DGOSE</v>
      </c>
      <c r="M234" s="26" t="str">
        <f t="shared" si="35"/>
        <v>FEDERAL</v>
      </c>
      <c r="N234" s="26">
        <v>157</v>
      </c>
      <c r="O234" s="26">
        <v>79</v>
      </c>
      <c r="P234" s="26">
        <v>78</v>
      </c>
      <c r="Q234" s="26">
        <v>6</v>
      </c>
      <c r="R234" s="26">
        <v>1</v>
      </c>
      <c r="S234" s="26">
        <v>6</v>
      </c>
      <c r="T234" s="26">
        <v>8</v>
      </c>
      <c r="U234" s="26">
        <v>15</v>
      </c>
      <c r="V234" s="26">
        <v>1</v>
      </c>
      <c r="W234" s="26" t="s">
        <v>2076</v>
      </c>
    </row>
    <row r="235" spans="1:23" x14ac:dyDescent="0.25">
      <c r="A235" s="26" t="str">
        <f t="shared" si="33"/>
        <v>PRIMARIA</v>
      </c>
      <c r="B235" s="26" t="str">
        <f>"09DPR0953K"</f>
        <v>09DPR0953K</v>
      </c>
      <c r="C235" s="26" t="str">
        <f>"ANAHUAXOCHITL                                                                                       "</f>
        <v xml:space="preserve">ANAHUAXOCHITL                                                                                       </v>
      </c>
      <c r="D235" s="26" t="str">
        <f>"MATUTINO"</f>
        <v>MATUTINO</v>
      </c>
      <c r="E235" s="26" t="str">
        <f>"PABLO L SIDAR S/N                                                               "</f>
        <v xml:space="preserve">PABLO L SIDAR S/N                                                               </v>
      </c>
      <c r="F235" s="26" t="str">
        <f>"MOCTEZUMA 2A SECCION                                                                                                                        "</f>
        <v xml:space="preserve">MOCTEZUMA 2A SECCION                                                                                                                        </v>
      </c>
      <c r="G235" s="26" t="str">
        <f t="shared" si="40"/>
        <v xml:space="preserve">VENUSTIANO CARRANZA                                                             </v>
      </c>
      <c r="H235" s="26" t="str">
        <f>"345"</f>
        <v>345</v>
      </c>
      <c r="I235" s="26" t="str">
        <f t="shared" si="34"/>
        <v>00</v>
      </c>
      <c r="J235" s="26" t="str">
        <f>"43 "</f>
        <v xml:space="preserve">43 </v>
      </c>
      <c r="K235" s="26" t="str">
        <f t="shared" si="38"/>
        <v>PR</v>
      </c>
      <c r="L235" s="26" t="str">
        <f t="shared" si="39"/>
        <v>DGOSE</v>
      </c>
      <c r="M235" s="26" t="str">
        <f t="shared" si="35"/>
        <v>FEDERAL</v>
      </c>
      <c r="N235" s="26">
        <v>298</v>
      </c>
      <c r="O235" s="26">
        <v>146</v>
      </c>
      <c r="P235" s="26">
        <v>152</v>
      </c>
      <c r="Q235" s="26">
        <v>11</v>
      </c>
      <c r="R235" s="26">
        <v>1</v>
      </c>
      <c r="S235" s="26">
        <v>11</v>
      </c>
      <c r="T235" s="26">
        <v>10</v>
      </c>
      <c r="U235" s="26">
        <v>22</v>
      </c>
      <c r="V235" s="26">
        <v>1</v>
      </c>
      <c r="W235" s="26"/>
    </row>
    <row r="236" spans="1:23" x14ac:dyDescent="0.25">
      <c r="A236" s="26" t="str">
        <f t="shared" si="33"/>
        <v>PRIMARIA</v>
      </c>
      <c r="B236" s="26" t="str">
        <f>"09DPR0954J"</f>
        <v>09DPR0954J</v>
      </c>
      <c r="C236" s="26" t="str">
        <f>"AMERICAS UNIDAS                                                                                     "</f>
        <v xml:space="preserve">AMERICAS UNIDAS                                                                                     </v>
      </c>
      <c r="D236" s="26" t="str">
        <f>"JORNADA AMPLIADA"</f>
        <v>JORNADA AMPLIADA</v>
      </c>
      <c r="E236" s="26" t="str">
        <f>"MARRUECOS NO 94                                                                 "</f>
        <v xml:space="preserve">MARRUECOS NO 94                                                                 </v>
      </c>
      <c r="F236" s="26" t="str">
        <f>"ROMERO RUBIO                                                                                                                                "</f>
        <v xml:space="preserve">ROMERO RUBIO                                                                                                                                </v>
      </c>
      <c r="G236" s="26" t="str">
        <f t="shared" si="40"/>
        <v xml:space="preserve">VENUSTIANO CARRANZA                                                             </v>
      </c>
      <c r="H236" s="26" t="str">
        <f>"420"</f>
        <v>420</v>
      </c>
      <c r="I236" s="26" t="str">
        <f t="shared" si="34"/>
        <v>00</v>
      </c>
      <c r="J236" s="26" t="str">
        <f>"44 "</f>
        <v xml:space="preserve">44 </v>
      </c>
      <c r="K236" s="26" t="str">
        <f t="shared" si="38"/>
        <v>PR</v>
      </c>
      <c r="L236" s="26" t="str">
        <f t="shared" si="39"/>
        <v>DGOSE</v>
      </c>
      <c r="M236" s="26" t="str">
        <f t="shared" si="35"/>
        <v>FEDERAL</v>
      </c>
      <c r="N236" s="26">
        <v>182</v>
      </c>
      <c r="O236" s="26">
        <v>88</v>
      </c>
      <c r="P236" s="26">
        <v>94</v>
      </c>
      <c r="Q236" s="26">
        <v>6</v>
      </c>
      <c r="R236" s="26">
        <v>1</v>
      </c>
      <c r="S236" s="26">
        <v>6</v>
      </c>
      <c r="T236" s="26">
        <v>8</v>
      </c>
      <c r="U236" s="26">
        <v>15</v>
      </c>
      <c r="V236" s="26">
        <v>1</v>
      </c>
      <c r="W236" s="26" t="s">
        <v>2076</v>
      </c>
    </row>
    <row r="237" spans="1:23" x14ac:dyDescent="0.25">
      <c r="A237" s="26" t="str">
        <f t="shared" si="33"/>
        <v>PRIMARIA</v>
      </c>
      <c r="B237" s="26" t="str">
        <f>"09DPR0957G"</f>
        <v>09DPR0957G</v>
      </c>
      <c r="C237" s="26" t="str">
        <f>"ACAYUCAN                                                                                            "</f>
        <v xml:space="preserve">ACAYUCAN                                                                                            </v>
      </c>
      <c r="D237" s="26" t="str">
        <f>"VESPERTINO"</f>
        <v>VESPERTINO</v>
      </c>
      <c r="E237" s="26" t="str">
        <f>"AV 10 NO 119 Y CALLE 27                                                         "</f>
        <v xml:space="preserve">AV 10 NO 119 Y CALLE 27                                                         </v>
      </c>
      <c r="F237" s="26" t="str">
        <f>"ZARAGOZA                                                                                                                                    "</f>
        <v xml:space="preserve">ZARAGOZA                                                                                                                                    </v>
      </c>
      <c r="G237" s="26" t="str">
        <f t="shared" si="40"/>
        <v xml:space="preserve">VENUSTIANO CARRANZA                                                             </v>
      </c>
      <c r="H237" s="26" t="str">
        <f>"350"</f>
        <v>350</v>
      </c>
      <c r="I237" s="26" t="str">
        <f t="shared" si="34"/>
        <v>00</v>
      </c>
      <c r="J237" s="26" t="str">
        <f>"43 "</f>
        <v xml:space="preserve">43 </v>
      </c>
      <c r="K237" s="26" t="str">
        <f t="shared" si="38"/>
        <v>PR</v>
      </c>
      <c r="L237" s="26" t="str">
        <f t="shared" si="39"/>
        <v>DGOSE</v>
      </c>
      <c r="M237" s="26" t="str">
        <f t="shared" si="35"/>
        <v>FEDERAL</v>
      </c>
      <c r="N237" s="26">
        <v>75</v>
      </c>
      <c r="O237" s="26">
        <v>36</v>
      </c>
      <c r="P237" s="26">
        <v>39</v>
      </c>
      <c r="Q237" s="26">
        <v>5</v>
      </c>
      <c r="R237" s="26">
        <v>1</v>
      </c>
      <c r="S237" s="26">
        <v>5</v>
      </c>
      <c r="T237" s="26">
        <v>6</v>
      </c>
      <c r="U237" s="26">
        <v>12</v>
      </c>
      <c r="V237" s="26">
        <v>1</v>
      </c>
      <c r="W237" s="26"/>
    </row>
    <row r="238" spans="1:23" x14ac:dyDescent="0.25">
      <c r="A238" s="26" t="str">
        <f t="shared" si="33"/>
        <v>PRIMARIA</v>
      </c>
      <c r="B238" s="26" t="str">
        <f>"09DPR0958F"</f>
        <v>09DPR0958F</v>
      </c>
      <c r="C238" s="26" t="str">
        <f>"ALFONSO REYES                                                                                       "</f>
        <v xml:space="preserve">ALFONSO REYES                                                                                       </v>
      </c>
      <c r="D238" s="26" t="str">
        <f>"MATUTINO"</f>
        <v>MATUTINO</v>
      </c>
      <c r="E238" s="26" t="str">
        <f>"GRAL. GERTRUDIS SANCHEZ # 102                                                   "</f>
        <v xml:space="preserve">GRAL. GERTRUDIS SANCHEZ # 102                                                   </v>
      </c>
      <c r="F238" s="26" t="str">
        <f>"PRIMERO DE MAYO                                                                                                                             "</f>
        <v xml:space="preserve">PRIMERO DE MAYO                                                                                                                             </v>
      </c>
      <c r="G238" s="26" t="str">
        <f t="shared" si="40"/>
        <v xml:space="preserve">VENUSTIANO CARRANZA                                                             </v>
      </c>
      <c r="H238" s="26" t="str">
        <f>"344"</f>
        <v>344</v>
      </c>
      <c r="I238" s="26" t="str">
        <f t="shared" si="34"/>
        <v>00</v>
      </c>
      <c r="J238" s="26" t="str">
        <f>"43 "</f>
        <v xml:space="preserve">43 </v>
      </c>
      <c r="K238" s="26" t="str">
        <f t="shared" si="38"/>
        <v>PR</v>
      </c>
      <c r="L238" s="26" t="str">
        <f t="shared" si="39"/>
        <v>DGOSE</v>
      </c>
      <c r="M238" s="26" t="str">
        <f t="shared" si="35"/>
        <v>FEDERAL</v>
      </c>
      <c r="N238" s="26">
        <v>329</v>
      </c>
      <c r="O238" s="26">
        <v>165</v>
      </c>
      <c r="P238" s="26">
        <v>164</v>
      </c>
      <c r="Q238" s="26">
        <v>11</v>
      </c>
      <c r="R238" s="26">
        <v>1</v>
      </c>
      <c r="S238" s="26">
        <v>11</v>
      </c>
      <c r="T238" s="26">
        <v>9</v>
      </c>
      <c r="U238" s="26">
        <v>21</v>
      </c>
      <c r="V238" s="26">
        <v>1</v>
      </c>
      <c r="W238" s="26"/>
    </row>
    <row r="239" spans="1:23" x14ac:dyDescent="0.25">
      <c r="A239" s="26" t="str">
        <f t="shared" si="33"/>
        <v>PRIMARIA</v>
      </c>
      <c r="B239" s="26" t="str">
        <f>"09DPR0959E"</f>
        <v>09DPR0959E</v>
      </c>
      <c r="C239" s="26" t="str">
        <f>"PROFR. GONZALO PEÑA TRONCOSO                                                                        "</f>
        <v xml:space="preserve">PROFR. GONZALO PEÑA TRONCOSO                                                                        </v>
      </c>
      <c r="D239" s="26" t="str">
        <f>"VESPERTINO"</f>
        <v>VESPERTINO</v>
      </c>
      <c r="E239" s="26" t="str">
        <f>"SIMON AUDENARD S/N                                                              "</f>
        <v xml:space="preserve">SIMON AUDENARD S/N                                                              </v>
      </c>
      <c r="F239" s="26" t="str">
        <f>"AVIACION CIVIL                                                                                                                              "</f>
        <v xml:space="preserve">AVIACION CIVIL                                                                                                                              </v>
      </c>
      <c r="G239" s="26" t="str">
        <f t="shared" si="40"/>
        <v xml:space="preserve">VENUSTIANO CARRANZA                                                             </v>
      </c>
      <c r="H239" s="26" t="str">
        <f>"351"</f>
        <v>351</v>
      </c>
      <c r="I239" s="26" t="str">
        <f t="shared" si="34"/>
        <v>00</v>
      </c>
      <c r="J239" s="26" t="str">
        <f>"43 "</f>
        <v xml:space="preserve">43 </v>
      </c>
      <c r="K239" s="26" t="str">
        <f t="shared" si="38"/>
        <v>PR</v>
      </c>
      <c r="L239" s="26" t="str">
        <f t="shared" si="39"/>
        <v>DGOSE</v>
      </c>
      <c r="M239" s="26" t="str">
        <f t="shared" si="35"/>
        <v>FEDERAL</v>
      </c>
      <c r="N239" s="26">
        <v>116</v>
      </c>
      <c r="O239" s="26">
        <v>66</v>
      </c>
      <c r="P239" s="26">
        <v>50</v>
      </c>
      <c r="Q239" s="26">
        <v>6</v>
      </c>
      <c r="R239" s="26">
        <v>1</v>
      </c>
      <c r="S239" s="26">
        <v>6</v>
      </c>
      <c r="T239" s="26">
        <v>4</v>
      </c>
      <c r="U239" s="26">
        <v>11</v>
      </c>
      <c r="V239" s="26">
        <v>1</v>
      </c>
      <c r="W239" s="26"/>
    </row>
    <row r="240" spans="1:23" x14ac:dyDescent="0.25">
      <c r="A240" s="26" t="str">
        <f t="shared" si="33"/>
        <v>PRIMARIA</v>
      </c>
      <c r="B240" s="26" t="str">
        <f>"09DPR0960U"</f>
        <v>09DPR0960U</v>
      </c>
      <c r="C240" s="26" t="str">
        <f>"PINTOR GERARDO MURILLO                                                                              "</f>
        <v xml:space="preserve">PINTOR GERARDO MURILLO                                                                              </v>
      </c>
      <c r="D240" s="26" t="str">
        <f>"VESPERTINO"</f>
        <v>VESPERTINO</v>
      </c>
      <c r="E240" s="26" t="str">
        <f>"GRAL. FELIPE DE LA GARZA NO. 253                                                "</f>
        <v xml:space="preserve">GRAL. FELIPE DE LA GARZA NO. 253                                                </v>
      </c>
      <c r="F240" s="26" t="str">
        <f>"JUAN ESCUTIA                                                                                                                                "</f>
        <v xml:space="preserve">JUAN ESCUTIA                                                                                                                                </v>
      </c>
      <c r="G240" s="26" t="str">
        <f>"IZTAPALAPA                                                                      "</f>
        <v xml:space="preserve">IZTAPALAPA                                                                      </v>
      </c>
      <c r="H240" s="26" t="str">
        <f>"028"</f>
        <v>028</v>
      </c>
      <c r="I240" s="26" t="str">
        <f t="shared" si="34"/>
        <v>00</v>
      </c>
      <c r="J240" s="26" t="str">
        <f>"62 "</f>
        <v xml:space="preserve">62 </v>
      </c>
      <c r="K240" s="26" t="str">
        <f>"IZ"</f>
        <v>IZ</v>
      </c>
      <c r="L240" s="26" t="str">
        <f>"DGSEI"</f>
        <v>DGSEI</v>
      </c>
      <c r="M240" s="26" t="str">
        <f t="shared" si="35"/>
        <v>FEDERAL</v>
      </c>
      <c r="N240" s="26">
        <v>290</v>
      </c>
      <c r="O240" s="26">
        <v>151</v>
      </c>
      <c r="P240" s="26">
        <v>139</v>
      </c>
      <c r="Q240" s="26">
        <v>14</v>
      </c>
      <c r="R240" s="26">
        <v>1</v>
      </c>
      <c r="S240" s="26">
        <v>14</v>
      </c>
      <c r="T240" s="26">
        <v>7</v>
      </c>
      <c r="U240" s="26">
        <v>22</v>
      </c>
      <c r="V240" s="26">
        <v>1</v>
      </c>
      <c r="W240" s="26"/>
    </row>
    <row r="241" spans="1:23" x14ac:dyDescent="0.25">
      <c r="A241" s="26" t="str">
        <f t="shared" si="33"/>
        <v>PRIMARIA</v>
      </c>
      <c r="B241" s="26" t="str">
        <f>"09DPR0961T"</f>
        <v>09DPR0961T</v>
      </c>
      <c r="C241" s="26" t="str">
        <f>"PROFR. GONZALO PEÑA TRONCOSO                                                                        "</f>
        <v xml:space="preserve">PROFR. GONZALO PEÑA TRONCOSO                                                                        </v>
      </c>
      <c r="D241" s="26" t="str">
        <f>"MATUTINO"</f>
        <v>MATUTINO</v>
      </c>
      <c r="E241" s="26" t="str">
        <f>"SIMON AUDENARD S/N                                                              "</f>
        <v xml:space="preserve">SIMON AUDENARD S/N                                                              </v>
      </c>
      <c r="F241" s="26" t="str">
        <f>"AVIACION CIVIL                                                                                                                              "</f>
        <v xml:space="preserve">AVIACION CIVIL                                                                                                                              </v>
      </c>
      <c r="G241" s="26" t="str">
        <f>"VENUSTIANO CARRANZA                                                             "</f>
        <v xml:space="preserve">VENUSTIANO CARRANZA                                                             </v>
      </c>
      <c r="H241" s="26" t="str">
        <f>"351"</f>
        <v>351</v>
      </c>
      <c r="I241" s="26" t="str">
        <f t="shared" si="34"/>
        <v>00</v>
      </c>
      <c r="J241" s="26" t="str">
        <f>"43 "</f>
        <v xml:space="preserve">43 </v>
      </c>
      <c r="K241" s="26" t="str">
        <f>"PR"</f>
        <v>PR</v>
      </c>
      <c r="L241" s="26" t="str">
        <f>"DGOSE"</f>
        <v>DGOSE</v>
      </c>
      <c r="M241" s="26" t="str">
        <f t="shared" si="35"/>
        <v>FEDERAL</v>
      </c>
      <c r="N241" s="26">
        <v>362</v>
      </c>
      <c r="O241" s="26">
        <v>179</v>
      </c>
      <c r="P241" s="26">
        <v>183</v>
      </c>
      <c r="Q241" s="26">
        <v>16</v>
      </c>
      <c r="R241" s="26">
        <v>1</v>
      </c>
      <c r="S241" s="26">
        <v>16</v>
      </c>
      <c r="T241" s="26">
        <v>9</v>
      </c>
      <c r="U241" s="26">
        <v>26</v>
      </c>
      <c r="V241" s="26">
        <v>1</v>
      </c>
      <c r="W241" s="26"/>
    </row>
    <row r="242" spans="1:23" x14ac:dyDescent="0.25">
      <c r="A242" s="26" t="str">
        <f t="shared" si="33"/>
        <v>PRIMARIA</v>
      </c>
      <c r="B242" s="26" t="str">
        <f>"09DPR0962S"</f>
        <v>09DPR0962S</v>
      </c>
      <c r="C242" s="26" t="str">
        <f>"PROFRA. CARMEN COSGAYA RIVAS                                                                        "</f>
        <v xml:space="preserve">PROFRA. CARMEN COSGAYA RIVAS                                                                        </v>
      </c>
      <c r="D242" s="26" t="str">
        <f>"VESPERTINO"</f>
        <v>VESPERTINO</v>
      </c>
      <c r="E242" s="26" t="str">
        <f>"AV GUADALUPE VICTORIA S/N                                                       "</f>
        <v xml:space="preserve">AV GUADALUPE VICTORIA S/N                                                       </v>
      </c>
      <c r="F242" s="26" t="str">
        <f>"CUAUTEPEC DE MADERO                                                                                                                         "</f>
        <v xml:space="preserve">CUAUTEPEC DE MADERO                                                                                                                         </v>
      </c>
      <c r="G242" s="26" t="str">
        <f>"GUSTAVO A. MADERO                                                               "</f>
        <v xml:space="preserve">GUSTAVO A. MADERO                                                               </v>
      </c>
      <c r="H242" s="26" t="str">
        <f>"230"</f>
        <v>230</v>
      </c>
      <c r="I242" s="26" t="str">
        <f t="shared" si="34"/>
        <v>00</v>
      </c>
      <c r="J242" s="26" t="str">
        <f>"42 "</f>
        <v xml:space="preserve">42 </v>
      </c>
      <c r="K242" s="26" t="str">
        <f>"PR"</f>
        <v>PR</v>
      </c>
      <c r="L242" s="26" t="str">
        <f>"DGOSE"</f>
        <v>DGOSE</v>
      </c>
      <c r="M242" s="26" t="str">
        <f t="shared" si="35"/>
        <v>FEDERAL</v>
      </c>
      <c r="N242" s="26">
        <v>558</v>
      </c>
      <c r="O242" s="26">
        <v>279</v>
      </c>
      <c r="P242" s="26">
        <v>279</v>
      </c>
      <c r="Q242" s="26">
        <v>20</v>
      </c>
      <c r="R242" s="26">
        <v>1</v>
      </c>
      <c r="S242" s="26">
        <v>20</v>
      </c>
      <c r="T242" s="26">
        <v>10</v>
      </c>
      <c r="U242" s="26">
        <v>31</v>
      </c>
      <c r="V242" s="26">
        <v>1</v>
      </c>
      <c r="W242" s="26"/>
    </row>
    <row r="243" spans="1:23" x14ac:dyDescent="0.25">
      <c r="A243" s="26" t="str">
        <f t="shared" si="33"/>
        <v>PRIMARIA</v>
      </c>
      <c r="B243" s="26" t="str">
        <f>"09DPR0963R"</f>
        <v>09DPR0963R</v>
      </c>
      <c r="C243" s="26" t="str">
        <f>"PINTOR GERARDO MURILLO                                                                              "</f>
        <v xml:space="preserve">PINTOR GERARDO MURILLO                                                                              </v>
      </c>
      <c r="D243" s="26" t="str">
        <f>"MATUTINO"</f>
        <v>MATUTINO</v>
      </c>
      <c r="E243" s="26" t="str">
        <f>"GRAL. FELIPE DE LA GARZA NO. 253                                                "</f>
        <v xml:space="preserve">GRAL. FELIPE DE LA GARZA NO. 253                                                </v>
      </c>
      <c r="F243" s="26" t="str">
        <f>"JUAN ESCUTIA                                                                                                                                "</f>
        <v xml:space="preserve">JUAN ESCUTIA                                                                                                                                </v>
      </c>
      <c r="G243" s="26" t="str">
        <f>"IZTAPALAPA                                                                      "</f>
        <v xml:space="preserve">IZTAPALAPA                                                                      </v>
      </c>
      <c r="H243" s="26" t="str">
        <f>"028"</f>
        <v>028</v>
      </c>
      <c r="I243" s="26" t="str">
        <f t="shared" si="34"/>
        <v>00</v>
      </c>
      <c r="J243" s="26" t="str">
        <f>"62 "</f>
        <v xml:space="preserve">62 </v>
      </c>
      <c r="K243" s="26" t="str">
        <f>"IZ"</f>
        <v>IZ</v>
      </c>
      <c r="L243" s="26" t="str">
        <f>"DGSEI"</f>
        <v>DGSEI</v>
      </c>
      <c r="M243" s="26" t="str">
        <f t="shared" si="35"/>
        <v>FEDERAL</v>
      </c>
      <c r="N243" s="26">
        <v>501</v>
      </c>
      <c r="O243" s="26">
        <v>262</v>
      </c>
      <c r="P243" s="26">
        <v>239</v>
      </c>
      <c r="Q243" s="26">
        <v>17</v>
      </c>
      <c r="R243" s="26">
        <v>1</v>
      </c>
      <c r="S243" s="26">
        <v>16</v>
      </c>
      <c r="T243" s="26">
        <v>9</v>
      </c>
      <c r="U243" s="26">
        <v>26</v>
      </c>
      <c r="V243" s="26">
        <v>1</v>
      </c>
      <c r="W243" s="26"/>
    </row>
    <row r="244" spans="1:23" x14ac:dyDescent="0.25">
      <c r="A244" s="26" t="str">
        <f t="shared" si="33"/>
        <v>PRIMARIA</v>
      </c>
      <c r="B244" s="26" t="str">
        <f>"09DPR0964Q"</f>
        <v>09DPR0964Q</v>
      </c>
      <c r="C244" s="26" t="str">
        <f>"LIC. FERNANDO CASAS ALEMAN                                                                          "</f>
        <v xml:space="preserve">LIC. FERNANDO CASAS ALEMAN                                                                          </v>
      </c>
      <c r="D244" s="26" t="str">
        <f>"MATUTINO"</f>
        <v>MATUTINO</v>
      </c>
      <c r="E244" s="26" t="str">
        <f>"FLORINES Y PEKIN S/N                                                            "</f>
        <v xml:space="preserve">FLORINES Y PEKIN S/N                                                            </v>
      </c>
      <c r="F244" s="26" t="str">
        <f>"AQUILES SERDAN                                                                                                                              "</f>
        <v xml:space="preserve">AQUILES SERDAN                                                                                                                              </v>
      </c>
      <c r="G244" s="26" t="str">
        <f>"VENUSTIANO CARRANZA                                                             "</f>
        <v xml:space="preserve">VENUSTIANO CARRANZA                                                             </v>
      </c>
      <c r="H244" s="26" t="str">
        <f>"344"</f>
        <v>344</v>
      </c>
      <c r="I244" s="26" t="str">
        <f t="shared" si="34"/>
        <v>00</v>
      </c>
      <c r="J244" s="26" t="str">
        <f>"43 "</f>
        <v xml:space="preserve">43 </v>
      </c>
      <c r="K244" s="26" t="str">
        <f t="shared" ref="K244:K252" si="41">"PR"</f>
        <v>PR</v>
      </c>
      <c r="L244" s="26" t="str">
        <f t="shared" ref="L244:L252" si="42">"DGOSE"</f>
        <v>DGOSE</v>
      </c>
      <c r="M244" s="26" t="str">
        <f t="shared" si="35"/>
        <v>FEDERAL</v>
      </c>
      <c r="N244" s="26">
        <v>309</v>
      </c>
      <c r="O244" s="26">
        <v>160</v>
      </c>
      <c r="P244" s="26">
        <v>149</v>
      </c>
      <c r="Q244" s="26">
        <v>12</v>
      </c>
      <c r="R244" s="26">
        <v>1</v>
      </c>
      <c r="S244" s="26">
        <v>12</v>
      </c>
      <c r="T244" s="26">
        <v>7</v>
      </c>
      <c r="U244" s="26">
        <v>20</v>
      </c>
      <c r="V244" s="26">
        <v>1</v>
      </c>
      <c r="W244" s="26"/>
    </row>
    <row r="245" spans="1:23" x14ac:dyDescent="0.25">
      <c r="A245" s="26" t="str">
        <f t="shared" si="33"/>
        <v>PRIMARIA</v>
      </c>
      <c r="B245" s="26" t="str">
        <f>"09DPR0965P"</f>
        <v>09DPR0965P</v>
      </c>
      <c r="C245" s="26" t="str">
        <f>"LIC. FERNANDO CASAS ALEMAN                                                                          "</f>
        <v xml:space="preserve">LIC. FERNANDO CASAS ALEMAN                                                                          </v>
      </c>
      <c r="D245" s="26" t="str">
        <f>"VESPERTINO"</f>
        <v>VESPERTINO</v>
      </c>
      <c r="E245" s="26" t="str">
        <f>"FLORINES Y PEKIN S/N                                                            "</f>
        <v xml:space="preserve">FLORINES Y PEKIN S/N                                                            </v>
      </c>
      <c r="F245" s="26" t="str">
        <f>"AQUILES SERDAN                                                                                                                              "</f>
        <v xml:space="preserve">AQUILES SERDAN                                                                                                                              </v>
      </c>
      <c r="G245" s="26" t="str">
        <f>"VENUSTIANO CARRANZA                                                             "</f>
        <v xml:space="preserve">VENUSTIANO CARRANZA                                                             </v>
      </c>
      <c r="H245" s="26" t="str">
        <f>"344"</f>
        <v>344</v>
      </c>
      <c r="I245" s="26" t="str">
        <f t="shared" si="34"/>
        <v>00</v>
      </c>
      <c r="J245" s="26" t="str">
        <f>"43 "</f>
        <v xml:space="preserve">43 </v>
      </c>
      <c r="K245" s="26" t="str">
        <f t="shared" si="41"/>
        <v>PR</v>
      </c>
      <c r="L245" s="26" t="str">
        <f t="shared" si="42"/>
        <v>DGOSE</v>
      </c>
      <c r="M245" s="26" t="str">
        <f t="shared" si="35"/>
        <v>FEDERAL</v>
      </c>
      <c r="N245" s="26">
        <v>85</v>
      </c>
      <c r="O245" s="26">
        <v>48</v>
      </c>
      <c r="P245" s="26">
        <v>37</v>
      </c>
      <c r="Q245" s="26">
        <v>6</v>
      </c>
      <c r="R245" s="26">
        <v>1</v>
      </c>
      <c r="S245" s="26">
        <v>6</v>
      </c>
      <c r="T245" s="26">
        <v>3</v>
      </c>
      <c r="U245" s="26">
        <v>10</v>
      </c>
      <c r="V245" s="26">
        <v>1</v>
      </c>
      <c r="W245" s="26"/>
    </row>
    <row r="246" spans="1:23" x14ac:dyDescent="0.25">
      <c r="A246" s="26" t="str">
        <f t="shared" si="33"/>
        <v>PRIMARIA</v>
      </c>
      <c r="B246" s="26" t="str">
        <f>"09DPR0966O"</f>
        <v>09DPR0966O</v>
      </c>
      <c r="C246" s="26" t="str">
        <f>"GRAL. FELIPE BERRIOZABAL                                                                            "</f>
        <v xml:space="preserve">GRAL. FELIPE BERRIOZABAL                                                                            </v>
      </c>
      <c r="D246" s="26" t="str">
        <f>"VESPERTINO"</f>
        <v>VESPERTINO</v>
      </c>
      <c r="E246" s="26" t="str">
        <f>"GENERAL FELIPE BERRIOZABAL S/N                                                  "</f>
        <v xml:space="preserve">GENERAL FELIPE BERRIOZABAL S/N                                                  </v>
      </c>
      <c r="F246" s="26" t="str">
        <f>"GENERAL FELIPE BERRIOZABAL                                                                                                                  "</f>
        <v xml:space="preserve">GENERAL FELIPE BERRIOZABAL                                                                                                                  </v>
      </c>
      <c r="G246" s="26" t="str">
        <f>"GUSTAVO A. MADERO                                                               "</f>
        <v xml:space="preserve">GUSTAVO A. MADERO                                                               </v>
      </c>
      <c r="H246" s="26" t="str">
        <f>"228"</f>
        <v>228</v>
      </c>
      <c r="I246" s="26" t="str">
        <f t="shared" si="34"/>
        <v>00</v>
      </c>
      <c r="J246" s="26" t="str">
        <f>"42 "</f>
        <v xml:space="preserve">42 </v>
      </c>
      <c r="K246" s="26" t="str">
        <f t="shared" si="41"/>
        <v>PR</v>
      </c>
      <c r="L246" s="26" t="str">
        <f t="shared" si="42"/>
        <v>DGOSE</v>
      </c>
      <c r="M246" s="26" t="str">
        <f t="shared" si="35"/>
        <v>FEDERAL</v>
      </c>
      <c r="N246" s="26">
        <v>540</v>
      </c>
      <c r="O246" s="26">
        <v>278</v>
      </c>
      <c r="P246" s="26">
        <v>262</v>
      </c>
      <c r="Q246" s="26">
        <v>18</v>
      </c>
      <c r="R246" s="26">
        <v>1</v>
      </c>
      <c r="S246" s="26">
        <v>18</v>
      </c>
      <c r="T246" s="26">
        <v>11</v>
      </c>
      <c r="U246" s="26">
        <v>30</v>
      </c>
      <c r="V246" s="26">
        <v>1</v>
      </c>
      <c r="W246" s="26"/>
    </row>
    <row r="247" spans="1:23" x14ac:dyDescent="0.25">
      <c r="A247" s="26" t="str">
        <f t="shared" si="33"/>
        <v>PRIMARIA</v>
      </c>
      <c r="B247" s="26" t="str">
        <f>"09DPR0967N"</f>
        <v>09DPR0967N</v>
      </c>
      <c r="C247" s="26" t="str">
        <f>"HISPANO AMERICA                                                                                     "</f>
        <v xml:space="preserve">HISPANO AMERICA                                                                                     </v>
      </c>
      <c r="D247" s="26" t="str">
        <f>"JORNADA AMPLIADA"</f>
        <v>JORNADA AMPLIADA</v>
      </c>
      <c r="E247" s="26" t="str">
        <f>"INDIANA 91                                                                      "</f>
        <v xml:space="preserve">INDIANA 91                                                                      </v>
      </c>
      <c r="F247" s="26" t="str">
        <f>"NAPOLES                                                                                                                                     "</f>
        <v xml:space="preserve">NAPOLES                                                                                                                                     </v>
      </c>
      <c r="G247" s="26" t="str">
        <f>"BENITO JUAREZ                                                                   "</f>
        <v xml:space="preserve">BENITO JUAREZ                                                                   </v>
      </c>
      <c r="H247" s="26" t="str">
        <f>"410"</f>
        <v>410</v>
      </c>
      <c r="I247" s="26" t="str">
        <f t="shared" si="34"/>
        <v>00</v>
      </c>
      <c r="J247" s="26" t="str">
        <f>"44 "</f>
        <v xml:space="preserve">44 </v>
      </c>
      <c r="K247" s="26" t="str">
        <f t="shared" si="41"/>
        <v>PR</v>
      </c>
      <c r="L247" s="26" t="str">
        <f t="shared" si="42"/>
        <v>DGOSE</v>
      </c>
      <c r="M247" s="26" t="str">
        <f t="shared" si="35"/>
        <v>FEDERAL</v>
      </c>
      <c r="N247" s="26">
        <v>360</v>
      </c>
      <c r="O247" s="26">
        <v>181</v>
      </c>
      <c r="P247" s="26">
        <v>179</v>
      </c>
      <c r="Q247" s="26">
        <v>13</v>
      </c>
      <c r="R247" s="26">
        <v>1</v>
      </c>
      <c r="S247" s="26">
        <v>13</v>
      </c>
      <c r="T247" s="26">
        <v>10</v>
      </c>
      <c r="U247" s="26">
        <v>24</v>
      </c>
      <c r="V247" s="26">
        <v>1</v>
      </c>
      <c r="W247" s="26" t="s">
        <v>2076</v>
      </c>
    </row>
    <row r="248" spans="1:23" x14ac:dyDescent="0.25">
      <c r="A248" s="26" t="str">
        <f t="shared" si="33"/>
        <v>PRIMARIA</v>
      </c>
      <c r="B248" s="26" t="str">
        <f>"09DPR0970A"</f>
        <v>09DPR0970A</v>
      </c>
      <c r="C248" s="26" t="str">
        <f>"ESTADO DE PUEBLA                                                                                    "</f>
        <v xml:space="preserve">ESTADO DE PUEBLA                                                                                    </v>
      </c>
      <c r="D248" s="26" t="str">
        <f>"TIEMPO COMPLETO"</f>
        <v>TIEMPO COMPLETO</v>
      </c>
      <c r="E248" s="26" t="str">
        <f>"PLAZA AVIACION NUM. 4                                                           "</f>
        <v xml:space="preserve">PLAZA AVIACION NUM. 4                                                           </v>
      </c>
      <c r="F248" s="26" t="str">
        <f>"MOCTEZUMA 1A SECCION                                                                                                                        "</f>
        <v xml:space="preserve">MOCTEZUMA 1A SECCION                                                                                                                        </v>
      </c>
      <c r="G248" s="26" t="str">
        <f>"VENUSTIANO CARRANZA                                                             "</f>
        <v xml:space="preserve">VENUSTIANO CARRANZA                                                             </v>
      </c>
      <c r="H248" s="26" t="str">
        <f>"422"</f>
        <v>422</v>
      </c>
      <c r="I248" s="26" t="str">
        <f t="shared" si="34"/>
        <v>00</v>
      </c>
      <c r="J248" s="26" t="str">
        <f>"44 "</f>
        <v xml:space="preserve">44 </v>
      </c>
      <c r="K248" s="26" t="str">
        <f t="shared" si="41"/>
        <v>PR</v>
      </c>
      <c r="L248" s="26" t="str">
        <f t="shared" si="42"/>
        <v>DGOSE</v>
      </c>
      <c r="M248" s="26" t="str">
        <f t="shared" si="35"/>
        <v>FEDERAL</v>
      </c>
      <c r="N248" s="26">
        <v>512</v>
      </c>
      <c r="O248" s="26">
        <v>266</v>
      </c>
      <c r="P248" s="26">
        <v>246</v>
      </c>
      <c r="Q248" s="26">
        <v>18</v>
      </c>
      <c r="R248" s="26">
        <v>1</v>
      </c>
      <c r="S248" s="26">
        <v>18</v>
      </c>
      <c r="T248" s="26">
        <v>21</v>
      </c>
      <c r="U248" s="26">
        <v>40</v>
      </c>
      <c r="V248" s="26">
        <v>1</v>
      </c>
      <c r="W248" s="26" t="s">
        <v>218</v>
      </c>
    </row>
    <row r="249" spans="1:23" x14ac:dyDescent="0.25">
      <c r="A249" s="26" t="str">
        <f t="shared" si="33"/>
        <v>PRIMARIA</v>
      </c>
      <c r="B249" s="26" t="str">
        <f>"09DPR0971Z"</f>
        <v>09DPR0971Z</v>
      </c>
      <c r="C249" s="26" t="str">
        <f>"ESTADO DE MEXICO                                                                                    "</f>
        <v xml:space="preserve">ESTADO DE MEXICO                                                                                    </v>
      </c>
      <c r="D249" s="26" t="str">
        <f>"VESPERTINO"</f>
        <v>VESPERTINO</v>
      </c>
      <c r="E249" s="26" t="str">
        <f>"MARTIRES DE CHICAGO Y FELIZ GOMEZ S/N                                           "</f>
        <v xml:space="preserve">MARTIRES DE CHICAGO Y FELIZ GOMEZ S/N                                           </v>
      </c>
      <c r="F249" s="26" t="str">
        <f>"PRIMERO DE MAYO                                                                                                                             "</f>
        <v xml:space="preserve">PRIMERO DE MAYO                                                                                                                             </v>
      </c>
      <c r="G249" s="26" t="str">
        <f>"VENUSTIANO CARRANZA                                                             "</f>
        <v xml:space="preserve">VENUSTIANO CARRANZA                                                             </v>
      </c>
      <c r="H249" s="26" t="str">
        <f>"345"</f>
        <v>345</v>
      </c>
      <c r="I249" s="26" t="str">
        <f t="shared" si="34"/>
        <v>00</v>
      </c>
      <c r="J249" s="26" t="str">
        <f>"43 "</f>
        <v xml:space="preserve">43 </v>
      </c>
      <c r="K249" s="26" t="str">
        <f t="shared" si="41"/>
        <v>PR</v>
      </c>
      <c r="L249" s="26" t="str">
        <f t="shared" si="42"/>
        <v>DGOSE</v>
      </c>
      <c r="M249" s="26" t="str">
        <f t="shared" si="35"/>
        <v>FEDERAL</v>
      </c>
      <c r="N249" s="26">
        <v>126</v>
      </c>
      <c r="O249" s="26">
        <v>96</v>
      </c>
      <c r="P249" s="26">
        <v>30</v>
      </c>
      <c r="Q249" s="26">
        <v>7</v>
      </c>
      <c r="R249" s="26">
        <v>1</v>
      </c>
      <c r="S249" s="26">
        <v>7</v>
      </c>
      <c r="T249" s="26">
        <v>6</v>
      </c>
      <c r="U249" s="26">
        <v>14</v>
      </c>
      <c r="V249" s="26">
        <v>1</v>
      </c>
      <c r="W249" s="26"/>
    </row>
    <row r="250" spans="1:23" x14ac:dyDescent="0.25">
      <c r="A250" s="26" t="str">
        <f t="shared" si="33"/>
        <v>PRIMARIA</v>
      </c>
      <c r="B250" s="26" t="str">
        <f>"09DPR0974X"</f>
        <v>09DPR0974X</v>
      </c>
      <c r="C250" s="26" t="str">
        <f>"ESTADO DE MEXICO                                                                                    "</f>
        <v xml:space="preserve">ESTADO DE MEXICO                                                                                    </v>
      </c>
      <c r="D250" s="26" t="str">
        <f>"MATUTINO"</f>
        <v>MATUTINO</v>
      </c>
      <c r="E250" s="26" t="str">
        <f>"MARTIRES DE CHICAGO Y FELIX GOMEZ S/N                                           "</f>
        <v xml:space="preserve">MARTIRES DE CHICAGO Y FELIX GOMEZ S/N                                           </v>
      </c>
      <c r="F250" s="26" t="str">
        <f>"PRIMERO DE MAYO                                                                                                                             "</f>
        <v xml:space="preserve">PRIMERO DE MAYO                                                                                                                             </v>
      </c>
      <c r="G250" s="26" t="str">
        <f>"VENUSTIANO CARRANZA                                                             "</f>
        <v xml:space="preserve">VENUSTIANO CARRANZA                                                             </v>
      </c>
      <c r="H250" s="26" t="str">
        <f>"345"</f>
        <v>345</v>
      </c>
      <c r="I250" s="26" t="str">
        <f t="shared" si="34"/>
        <v>00</v>
      </c>
      <c r="J250" s="26" t="str">
        <f>"43 "</f>
        <v xml:space="preserve">43 </v>
      </c>
      <c r="K250" s="26" t="str">
        <f t="shared" si="41"/>
        <v>PR</v>
      </c>
      <c r="L250" s="26" t="str">
        <f t="shared" si="42"/>
        <v>DGOSE</v>
      </c>
      <c r="M250" s="26" t="str">
        <f t="shared" si="35"/>
        <v>FEDERAL</v>
      </c>
      <c r="N250" s="26">
        <v>210</v>
      </c>
      <c r="O250" s="26">
        <v>98</v>
      </c>
      <c r="P250" s="26">
        <v>112</v>
      </c>
      <c r="Q250" s="26">
        <v>6</v>
      </c>
      <c r="R250" s="26">
        <v>1</v>
      </c>
      <c r="S250" s="26">
        <v>5</v>
      </c>
      <c r="T250" s="26">
        <v>4</v>
      </c>
      <c r="U250" s="26">
        <v>10</v>
      </c>
      <c r="V250" s="26">
        <v>1</v>
      </c>
      <c r="W250" s="26"/>
    </row>
    <row r="251" spans="1:23" x14ac:dyDescent="0.25">
      <c r="A251" s="26" t="str">
        <f t="shared" si="33"/>
        <v>PRIMARIA</v>
      </c>
      <c r="B251" s="26" t="str">
        <f>"09DPR0975W"</f>
        <v>09DPR0975W</v>
      </c>
      <c r="C251" s="26" t="str">
        <f>"ESTADO DE ISRAEL                                                                                    "</f>
        <v xml:space="preserve">ESTADO DE ISRAEL                                                                                    </v>
      </c>
      <c r="D251" s="26" t="str">
        <f>"JORNADA AMPLIADA"</f>
        <v>JORNADA AMPLIADA</v>
      </c>
      <c r="E251" s="26" t="str">
        <f>"RET.52 DE CECILIO ROBELO S/N                                                    "</f>
        <v xml:space="preserve">RET.52 DE CECILIO ROBELO S/N                                                    </v>
      </c>
      <c r="F251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251" s="26" t="str">
        <f>"VENUSTIANO CARRANZA                                                             "</f>
        <v xml:space="preserve">VENUSTIANO CARRANZA                                                             </v>
      </c>
      <c r="H251" s="26" t="str">
        <f>"423"</f>
        <v>423</v>
      </c>
      <c r="I251" s="26" t="str">
        <f t="shared" si="34"/>
        <v>00</v>
      </c>
      <c r="J251" s="26" t="str">
        <f>"44 "</f>
        <v xml:space="preserve">44 </v>
      </c>
      <c r="K251" s="26" t="str">
        <f t="shared" si="41"/>
        <v>PR</v>
      </c>
      <c r="L251" s="26" t="str">
        <f t="shared" si="42"/>
        <v>DGOSE</v>
      </c>
      <c r="M251" s="26" t="str">
        <f t="shared" si="35"/>
        <v>FEDERAL</v>
      </c>
      <c r="N251" s="26">
        <v>296</v>
      </c>
      <c r="O251" s="26">
        <v>145</v>
      </c>
      <c r="P251" s="26">
        <v>151</v>
      </c>
      <c r="Q251" s="26">
        <v>12</v>
      </c>
      <c r="R251" s="26">
        <v>1</v>
      </c>
      <c r="S251" s="26">
        <v>12</v>
      </c>
      <c r="T251" s="26">
        <v>10</v>
      </c>
      <c r="U251" s="26">
        <v>23</v>
      </c>
      <c r="V251" s="26">
        <v>1</v>
      </c>
      <c r="W251" s="26" t="s">
        <v>2076</v>
      </c>
    </row>
    <row r="252" spans="1:23" x14ac:dyDescent="0.25">
      <c r="A252" s="26" t="str">
        <f t="shared" si="33"/>
        <v>PRIMARIA</v>
      </c>
      <c r="B252" s="26" t="str">
        <f>"09DPR0977U"</f>
        <v>09DPR0977U</v>
      </c>
      <c r="C252" s="26" t="str">
        <f>"LIC. ERNESTO ENRIQUEZ                                                                               "</f>
        <v xml:space="preserve">LIC. ERNESTO ENRIQUEZ                                                                               </v>
      </c>
      <c r="D252" s="26" t="str">
        <f>"JORNADA AMPLIADA"</f>
        <v>JORNADA AMPLIADA</v>
      </c>
      <c r="E252" s="26" t="str">
        <f>"DAMASCO NUM. 82                                                                 "</f>
        <v xml:space="preserve">DAMASCO NUM. 82                                                                 </v>
      </c>
      <c r="F252" s="26" t="str">
        <f>"ROMERO RUBIO                                                                                                                                "</f>
        <v xml:space="preserve">ROMERO RUBIO                                                                                                                                </v>
      </c>
      <c r="G252" s="26" t="str">
        <f>"VENUSTIANO CARRANZA                                                             "</f>
        <v xml:space="preserve">VENUSTIANO CARRANZA                                                             </v>
      </c>
      <c r="H252" s="26" t="str">
        <f>"420"</f>
        <v>420</v>
      </c>
      <c r="I252" s="26" t="str">
        <f t="shared" si="34"/>
        <v>00</v>
      </c>
      <c r="J252" s="26" t="str">
        <f>"44 "</f>
        <v xml:space="preserve">44 </v>
      </c>
      <c r="K252" s="26" t="str">
        <f t="shared" si="41"/>
        <v>PR</v>
      </c>
      <c r="L252" s="26" t="str">
        <f t="shared" si="42"/>
        <v>DGOSE</v>
      </c>
      <c r="M252" s="26" t="str">
        <f t="shared" si="35"/>
        <v>FEDERAL</v>
      </c>
      <c r="N252" s="26">
        <v>250</v>
      </c>
      <c r="O252" s="26">
        <v>138</v>
      </c>
      <c r="P252" s="26">
        <v>112</v>
      </c>
      <c r="Q252" s="26">
        <v>8</v>
      </c>
      <c r="R252" s="26">
        <v>1</v>
      </c>
      <c r="S252" s="26">
        <v>8</v>
      </c>
      <c r="T252" s="26">
        <v>9</v>
      </c>
      <c r="U252" s="26">
        <v>18</v>
      </c>
      <c r="V252" s="26">
        <v>1</v>
      </c>
      <c r="W252" s="26" t="s">
        <v>2076</v>
      </c>
    </row>
    <row r="253" spans="1:23" x14ac:dyDescent="0.25">
      <c r="A253" s="26" t="str">
        <f t="shared" si="33"/>
        <v>PRIMARIA</v>
      </c>
      <c r="B253" s="26" t="str">
        <f>"09DPR0979S"</f>
        <v>09DPR0979S</v>
      </c>
      <c r="C253" s="26" t="str">
        <f>"EMPERADOR ITZCOATL                                                                                  "</f>
        <v xml:space="preserve">EMPERADOR ITZCOATL                                                                                  </v>
      </c>
      <c r="D253" s="26" t="str">
        <f>"MATUTINO"</f>
        <v>MATUTINO</v>
      </c>
      <c r="E253" s="26" t="str">
        <f>"AV. MEXICO NO. 1                                                                "</f>
        <v xml:space="preserve">AV. MEXICO NO. 1                                                                </v>
      </c>
      <c r="F253" s="26" t="str">
        <f>"PARAISO                                                                                                                                     "</f>
        <v xml:space="preserve">PARAISO                                                                                                                                     </v>
      </c>
      <c r="G253" s="26" t="str">
        <f>"IZTAPALAPA                                                                      "</f>
        <v xml:space="preserve">IZTAPALAPA                                                                      </v>
      </c>
      <c r="H253" s="26" t="str">
        <f>"021"</f>
        <v>021</v>
      </c>
      <c r="I253" s="26" t="str">
        <f t="shared" si="34"/>
        <v>00</v>
      </c>
      <c r="J253" s="26" t="str">
        <f>"62 "</f>
        <v xml:space="preserve">62 </v>
      </c>
      <c r="K253" s="26" t="str">
        <f>"IZ"</f>
        <v>IZ</v>
      </c>
      <c r="L253" s="26" t="str">
        <f>"DGSEI"</f>
        <v>DGSEI</v>
      </c>
      <c r="M253" s="26" t="str">
        <f t="shared" si="35"/>
        <v>FEDERAL</v>
      </c>
      <c r="N253" s="26">
        <v>579</v>
      </c>
      <c r="O253" s="26">
        <v>307</v>
      </c>
      <c r="P253" s="26">
        <v>272</v>
      </c>
      <c r="Q253" s="26">
        <v>18</v>
      </c>
      <c r="R253" s="26">
        <v>1</v>
      </c>
      <c r="S253" s="26">
        <v>18</v>
      </c>
      <c r="T253" s="26">
        <v>8</v>
      </c>
      <c r="U253" s="26">
        <v>27</v>
      </c>
      <c r="V253" s="26">
        <v>1</v>
      </c>
      <c r="W253" s="26"/>
    </row>
    <row r="254" spans="1:23" x14ac:dyDescent="0.25">
      <c r="A254" s="26" t="str">
        <f t="shared" si="33"/>
        <v>PRIMARIA</v>
      </c>
      <c r="B254" s="26" t="str">
        <f>"09DPR0980H"</f>
        <v>09DPR0980H</v>
      </c>
      <c r="C254" s="26" t="str">
        <f>"EMPERADOR ITZCOATL                                                                                  "</f>
        <v xml:space="preserve">EMPERADOR ITZCOATL                                                                                  </v>
      </c>
      <c r="D254" s="26" t="str">
        <f>"VESPERTINO"</f>
        <v>VESPERTINO</v>
      </c>
      <c r="E254" s="26" t="str">
        <f>"AV. MEXICO NO. 1                                                                "</f>
        <v xml:space="preserve">AV. MEXICO NO. 1                                                                </v>
      </c>
      <c r="F254" s="26" t="str">
        <f>"PARAISO                                                                                                                                     "</f>
        <v xml:space="preserve">PARAISO                                                                                                                                     </v>
      </c>
      <c r="G254" s="26" t="str">
        <f>"IZTAPALAPA                                                                      "</f>
        <v xml:space="preserve">IZTAPALAPA                                                                      </v>
      </c>
      <c r="H254" s="26" t="str">
        <f>"021"</f>
        <v>021</v>
      </c>
      <c r="I254" s="26" t="str">
        <f t="shared" si="34"/>
        <v>00</v>
      </c>
      <c r="J254" s="26" t="str">
        <f>"62 "</f>
        <v xml:space="preserve">62 </v>
      </c>
      <c r="K254" s="26" t="str">
        <f>"IZ"</f>
        <v>IZ</v>
      </c>
      <c r="L254" s="26" t="str">
        <f>"DGSEI"</f>
        <v>DGSEI</v>
      </c>
      <c r="M254" s="26" t="str">
        <f t="shared" si="35"/>
        <v>FEDERAL</v>
      </c>
      <c r="N254" s="26">
        <v>336</v>
      </c>
      <c r="O254" s="26">
        <v>162</v>
      </c>
      <c r="P254" s="26">
        <v>174</v>
      </c>
      <c r="Q254" s="26">
        <v>16</v>
      </c>
      <c r="R254" s="26">
        <v>0</v>
      </c>
      <c r="S254" s="26">
        <v>16</v>
      </c>
      <c r="T254" s="26">
        <v>6</v>
      </c>
      <c r="U254" s="26">
        <v>22</v>
      </c>
      <c r="V254" s="26">
        <v>1</v>
      </c>
      <c r="W254" s="26"/>
    </row>
    <row r="255" spans="1:23" x14ac:dyDescent="0.25">
      <c r="A255" s="26" t="str">
        <f t="shared" si="33"/>
        <v>PRIMARIA</v>
      </c>
      <c r="B255" s="26" t="str">
        <f>"09DPR0981G"</f>
        <v>09DPR0981G</v>
      </c>
      <c r="C255" s="26" t="str">
        <f>"ESTADOS UNIDOS MEXICANOS                                                                            "</f>
        <v xml:space="preserve">ESTADOS UNIDOS MEXICANOS                                                                            </v>
      </c>
      <c r="D255" s="26" t="str">
        <f>"TIEMPO COMPLETO"</f>
        <v>TIEMPO COMPLETO</v>
      </c>
      <c r="E255" s="26" t="str">
        <f>"RET 9 DE GENARO GARCIA S/N                                                      "</f>
        <v xml:space="preserve">RET 9 DE GENARO GARCIA S/N                                                      </v>
      </c>
      <c r="F255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255" s="26" t="str">
        <f>"VENUSTIANO CARRANZA                                                             "</f>
        <v xml:space="preserve">VENUSTIANO CARRANZA                                                             </v>
      </c>
      <c r="H255" s="26" t="str">
        <f>"423"</f>
        <v>423</v>
      </c>
      <c r="I255" s="26" t="str">
        <f t="shared" si="34"/>
        <v>00</v>
      </c>
      <c r="J255" s="26" t="str">
        <f>"44 "</f>
        <v xml:space="preserve">44 </v>
      </c>
      <c r="K255" s="26" t="str">
        <f t="shared" ref="K255:K267" si="43">"PR"</f>
        <v>PR</v>
      </c>
      <c r="L255" s="26" t="str">
        <f t="shared" ref="L255:L267" si="44">"DGOSE"</f>
        <v>DGOSE</v>
      </c>
      <c r="M255" s="26" t="str">
        <f t="shared" si="35"/>
        <v>FEDERAL</v>
      </c>
      <c r="N255" s="26">
        <v>292</v>
      </c>
      <c r="O255" s="26">
        <v>158</v>
      </c>
      <c r="P255" s="26">
        <v>134</v>
      </c>
      <c r="Q255" s="26">
        <v>12</v>
      </c>
      <c r="R255" s="26">
        <v>1</v>
      </c>
      <c r="S255" s="26">
        <v>12</v>
      </c>
      <c r="T255" s="26">
        <v>18</v>
      </c>
      <c r="U255" s="26">
        <v>31</v>
      </c>
      <c r="V255" s="26">
        <v>1</v>
      </c>
      <c r="W255" s="26" t="s">
        <v>218</v>
      </c>
    </row>
    <row r="256" spans="1:23" x14ac:dyDescent="0.25">
      <c r="A256" s="26" t="str">
        <f t="shared" si="33"/>
        <v>PRIMARIA</v>
      </c>
      <c r="B256" s="26" t="str">
        <f>"09DPR0984D"</f>
        <v>09DPR0984D</v>
      </c>
      <c r="C256" s="26" t="str">
        <f>"DEFENSORES DE VERACRUZ DE 1914                                                                      "</f>
        <v xml:space="preserve">DEFENSORES DE VERACRUZ DE 1914                                                                      </v>
      </c>
      <c r="D256" s="26" t="str">
        <f>"JORNADA AMPLIADA"</f>
        <v>JORNADA AMPLIADA</v>
      </c>
      <c r="E256" s="26" t="str">
        <f>"ORIENTE 138 NUM 134                                                             "</f>
        <v xml:space="preserve">ORIENTE 138 NUM 134                                                             </v>
      </c>
      <c r="F256" s="26" t="str">
        <f>"MOCTEZUMA 2A SECCION                                                                                                                        "</f>
        <v xml:space="preserve">MOCTEZUMA 2A SECCION                                                                                                                        </v>
      </c>
      <c r="G256" s="26" t="str">
        <f>"VENUSTIANO CARRANZA                                                             "</f>
        <v xml:space="preserve">VENUSTIANO CARRANZA                                                             </v>
      </c>
      <c r="H256" s="26" t="str">
        <f>"422"</f>
        <v>422</v>
      </c>
      <c r="I256" s="26" t="str">
        <f t="shared" si="34"/>
        <v>00</v>
      </c>
      <c r="J256" s="26" t="str">
        <f>"44 "</f>
        <v xml:space="preserve">44 </v>
      </c>
      <c r="K256" s="26" t="str">
        <f t="shared" si="43"/>
        <v>PR</v>
      </c>
      <c r="L256" s="26" t="str">
        <f t="shared" si="44"/>
        <v>DGOSE</v>
      </c>
      <c r="M256" s="26" t="str">
        <f t="shared" si="35"/>
        <v>FEDERAL</v>
      </c>
      <c r="N256" s="26">
        <v>223</v>
      </c>
      <c r="O256" s="26">
        <v>106</v>
      </c>
      <c r="P256" s="26">
        <v>117</v>
      </c>
      <c r="Q256" s="26">
        <v>8</v>
      </c>
      <c r="R256" s="26">
        <v>1</v>
      </c>
      <c r="S256" s="26">
        <v>8</v>
      </c>
      <c r="T256" s="26">
        <v>9</v>
      </c>
      <c r="U256" s="26">
        <v>18</v>
      </c>
      <c r="V256" s="26">
        <v>1</v>
      </c>
      <c r="W256" s="26" t="s">
        <v>2076</v>
      </c>
    </row>
    <row r="257" spans="1:23" x14ac:dyDescent="0.25">
      <c r="A257" s="26" t="str">
        <f t="shared" si="33"/>
        <v>PRIMARIA</v>
      </c>
      <c r="B257" s="26" t="str">
        <f>"09DPR0985C"</f>
        <v>09DPR0985C</v>
      </c>
      <c r="C257" s="26" t="str">
        <f>"DOMINGO F. SARMIENTO                                                                                "</f>
        <v xml:space="preserve">DOMINGO F. SARMIENTO                                                                                </v>
      </c>
      <c r="D257" s="26" t="str">
        <f>"MATUTINO"</f>
        <v>MATUTINO</v>
      </c>
      <c r="E257" s="26" t="str">
        <f>"INTERIOR PARQUE BALBUENA No 34                                                  "</f>
        <v xml:space="preserve">INTERIOR PARQUE BALBUENA No 34                                                  </v>
      </c>
      <c r="F257" s="26" t="str">
        <f>"AERONAUTICA MILITAR                                                                                                                         "</f>
        <v xml:space="preserve">AERONAUTICA MILITAR                                                                                                                         </v>
      </c>
      <c r="G257" s="26" t="str">
        <f>"VENUSTIANO CARRANZA                                                             "</f>
        <v xml:space="preserve">VENUSTIANO CARRANZA                                                             </v>
      </c>
      <c r="H257" s="26" t="str">
        <f>"349"</f>
        <v>349</v>
      </c>
      <c r="I257" s="26" t="str">
        <f t="shared" si="34"/>
        <v>00</v>
      </c>
      <c r="J257" s="26" t="str">
        <f>"43 "</f>
        <v xml:space="preserve">43 </v>
      </c>
      <c r="K257" s="26" t="str">
        <f t="shared" si="43"/>
        <v>PR</v>
      </c>
      <c r="L257" s="26" t="str">
        <f t="shared" si="44"/>
        <v>DGOSE</v>
      </c>
      <c r="M257" s="26" t="str">
        <f t="shared" si="35"/>
        <v>FEDERAL</v>
      </c>
      <c r="N257" s="26">
        <v>504</v>
      </c>
      <c r="O257" s="26">
        <v>256</v>
      </c>
      <c r="P257" s="26">
        <v>248</v>
      </c>
      <c r="Q257" s="26">
        <v>17</v>
      </c>
      <c r="R257" s="26">
        <v>1</v>
      </c>
      <c r="S257" s="26">
        <v>16</v>
      </c>
      <c r="T257" s="26">
        <v>9</v>
      </c>
      <c r="U257" s="26">
        <v>26</v>
      </c>
      <c r="V257" s="26">
        <v>1</v>
      </c>
      <c r="W257" s="26"/>
    </row>
    <row r="258" spans="1:23" x14ac:dyDescent="0.25">
      <c r="A258" s="26" t="str">
        <f t="shared" ref="A258:A321" si="45">"PRIMARIA"</f>
        <v>PRIMARIA</v>
      </c>
      <c r="B258" s="26" t="str">
        <f>"09DPR0986B"</f>
        <v>09DPR0986B</v>
      </c>
      <c r="C258" s="26" t="str">
        <f>"CONGRESO DE CHILPANCINGO                                                                            "</f>
        <v xml:space="preserve">CONGRESO DE CHILPANCINGO                                                                            </v>
      </c>
      <c r="D258" s="26" t="str">
        <f>"VESPERTINO"</f>
        <v>VESPERTINO</v>
      </c>
      <c r="E258" s="26" t="str">
        <f>"CONCHA MANZANA 20 S/N                                                           "</f>
        <v xml:space="preserve">CONCHA MANZANA 20 S/N                                                           </v>
      </c>
      <c r="F258" s="26" t="str">
        <f>"CARACOL                                                                                                                                     "</f>
        <v xml:space="preserve">CARACOL                                                                                                                                     </v>
      </c>
      <c r="G258" s="26" t="str">
        <f>"VENUSTIANO CARRANZA                                                             "</f>
        <v xml:space="preserve">VENUSTIANO CARRANZA                                                             </v>
      </c>
      <c r="H258" s="26" t="str">
        <f>"352"</f>
        <v>352</v>
      </c>
      <c r="I258" s="26" t="str">
        <f t="shared" ref="I258:I321" si="46">"00"</f>
        <v>00</v>
      </c>
      <c r="J258" s="26" t="str">
        <f>"43 "</f>
        <v xml:space="preserve">43 </v>
      </c>
      <c r="K258" s="26" t="str">
        <f t="shared" si="43"/>
        <v>PR</v>
      </c>
      <c r="L258" s="26" t="str">
        <f t="shared" si="44"/>
        <v>DGOSE</v>
      </c>
      <c r="M258" s="26" t="str">
        <f t="shared" ref="M258:M321" si="47">"FEDERAL"</f>
        <v>FEDERAL</v>
      </c>
      <c r="N258" s="26">
        <v>102</v>
      </c>
      <c r="O258" s="26">
        <v>55</v>
      </c>
      <c r="P258" s="26">
        <v>47</v>
      </c>
      <c r="Q258" s="26">
        <v>6</v>
      </c>
      <c r="R258" s="26">
        <v>1</v>
      </c>
      <c r="S258" s="26">
        <v>6</v>
      </c>
      <c r="T258" s="26">
        <v>8</v>
      </c>
      <c r="U258" s="26">
        <v>15</v>
      </c>
      <c r="V258" s="26">
        <v>1</v>
      </c>
      <c r="W258" s="26"/>
    </row>
    <row r="259" spans="1:23" x14ac:dyDescent="0.25">
      <c r="A259" s="26" t="str">
        <f t="shared" si="45"/>
        <v>PRIMARIA</v>
      </c>
      <c r="B259" s="26" t="str">
        <f>"09DPR0988Z"</f>
        <v>09DPR0988Z</v>
      </c>
      <c r="C259" s="26" t="str">
        <f>"CLUB 20 30                                                                                          "</f>
        <v xml:space="preserve">CLUB 20 30                                                                                          </v>
      </c>
      <c r="D259" s="26" t="str">
        <f>"JORNADA AMPLIADA"</f>
        <v>JORNADA AMPLIADA</v>
      </c>
      <c r="E259" s="26" t="str">
        <f>"CALLE 16 NO 19                                                                  "</f>
        <v xml:space="preserve">CALLE 16 NO 19                                                                  </v>
      </c>
      <c r="F259" s="26" t="str">
        <f>"EL RODEO                                                                                                                                    "</f>
        <v xml:space="preserve">EL RODEO                                                                                                                                    </v>
      </c>
      <c r="G259" s="26" t="str">
        <f>"IZTACALCO                                                                       "</f>
        <v xml:space="preserve">IZTACALCO                                                                       </v>
      </c>
      <c r="H259" s="26" t="str">
        <f>"427"</f>
        <v>427</v>
      </c>
      <c r="I259" s="26" t="str">
        <f t="shared" si="46"/>
        <v>00</v>
      </c>
      <c r="J259" s="26" t="str">
        <f>"44 "</f>
        <v xml:space="preserve">44 </v>
      </c>
      <c r="K259" s="26" t="str">
        <f t="shared" si="43"/>
        <v>PR</v>
      </c>
      <c r="L259" s="26" t="str">
        <f t="shared" si="44"/>
        <v>DGOSE</v>
      </c>
      <c r="M259" s="26" t="str">
        <f t="shared" si="47"/>
        <v>FEDERAL</v>
      </c>
      <c r="N259" s="26">
        <v>306</v>
      </c>
      <c r="O259" s="26">
        <v>170</v>
      </c>
      <c r="P259" s="26">
        <v>136</v>
      </c>
      <c r="Q259" s="26">
        <v>11</v>
      </c>
      <c r="R259" s="26">
        <v>1</v>
      </c>
      <c r="S259" s="26">
        <v>11</v>
      </c>
      <c r="T259" s="26">
        <v>11</v>
      </c>
      <c r="U259" s="26">
        <v>23</v>
      </c>
      <c r="V259" s="26">
        <v>1</v>
      </c>
      <c r="W259" s="26" t="s">
        <v>2076</v>
      </c>
    </row>
    <row r="260" spans="1:23" x14ac:dyDescent="0.25">
      <c r="A260" s="26" t="str">
        <f t="shared" si="45"/>
        <v>PRIMARIA</v>
      </c>
      <c r="B260" s="26" t="str">
        <f>"09DPR0990O"</f>
        <v>09DPR0990O</v>
      </c>
      <c r="C260" s="26" t="str">
        <f>"CLUB DE LEONES NUMERO 2                                                                             "</f>
        <v xml:space="preserve">CLUB DE LEONES NUMERO 2                                                                             </v>
      </c>
      <c r="D260" s="26" t="str">
        <f>"JORNADA AMPLIADA"</f>
        <v>JORNADA AMPLIADA</v>
      </c>
      <c r="E260" s="26" t="str">
        <f>"FLORINES Y PUERTO ARTURO S/N                                                    "</f>
        <v xml:space="preserve">FLORINES Y PUERTO ARTURO S/N                                                    </v>
      </c>
      <c r="F260" s="26" t="str">
        <f>"AQUILES SERDAN                                                                                                                              "</f>
        <v xml:space="preserve">AQUILES SERDAN                                                                                                                              </v>
      </c>
      <c r="G260" s="26" t="str">
        <f>"VENUSTIANO CARRANZA                                                             "</f>
        <v xml:space="preserve">VENUSTIANO CARRANZA                                                             </v>
      </c>
      <c r="H260" s="26" t="str">
        <f>"420"</f>
        <v>420</v>
      </c>
      <c r="I260" s="26" t="str">
        <f t="shared" si="46"/>
        <v>00</v>
      </c>
      <c r="J260" s="26" t="str">
        <f>"44 "</f>
        <v xml:space="preserve">44 </v>
      </c>
      <c r="K260" s="26" t="str">
        <f t="shared" si="43"/>
        <v>PR</v>
      </c>
      <c r="L260" s="26" t="str">
        <f t="shared" si="44"/>
        <v>DGOSE</v>
      </c>
      <c r="M260" s="26" t="str">
        <f t="shared" si="47"/>
        <v>FEDERAL</v>
      </c>
      <c r="N260" s="26">
        <v>230</v>
      </c>
      <c r="O260" s="26">
        <v>129</v>
      </c>
      <c r="P260" s="26">
        <v>101</v>
      </c>
      <c r="Q260" s="26">
        <v>8</v>
      </c>
      <c r="R260" s="26">
        <v>1</v>
      </c>
      <c r="S260" s="26">
        <v>8</v>
      </c>
      <c r="T260" s="26">
        <v>8</v>
      </c>
      <c r="U260" s="26">
        <v>17</v>
      </c>
      <c r="V260" s="26">
        <v>1</v>
      </c>
      <c r="W260" s="26" t="s">
        <v>2076</v>
      </c>
    </row>
    <row r="261" spans="1:23" x14ac:dyDescent="0.25">
      <c r="A261" s="26" t="str">
        <f t="shared" si="45"/>
        <v>PRIMARIA</v>
      </c>
      <c r="B261" s="26" t="str">
        <f>"09DPR0992M"</f>
        <v>09DPR0992M</v>
      </c>
      <c r="C261" s="26" t="str">
        <f>"CINCO DE MAYO                                                                                       "</f>
        <v xml:space="preserve">CINCO DE MAYO                                                                                       </v>
      </c>
      <c r="D261" s="26" t="str">
        <f>"TIEMPO COMPLETO"</f>
        <v>TIEMPO COMPLETO</v>
      </c>
      <c r="E261" s="26" t="str">
        <f>"FRANCISCO ESPEJEL NUM 92                                                        "</f>
        <v xml:space="preserve">FRANCISCO ESPEJEL NUM 92                                                        </v>
      </c>
      <c r="F261" s="26" t="str">
        <f>"MOCTEZUMA 1A SECCION                                                                                                                        "</f>
        <v xml:space="preserve">MOCTEZUMA 1A SECCION                                                                                                                        </v>
      </c>
      <c r="G261" s="26" t="str">
        <f>"VENUSTIANO CARRANZA                                                             "</f>
        <v xml:space="preserve">VENUSTIANO CARRANZA                                                             </v>
      </c>
      <c r="H261" s="26" t="str">
        <f>"422"</f>
        <v>422</v>
      </c>
      <c r="I261" s="26" t="str">
        <f t="shared" si="46"/>
        <v>00</v>
      </c>
      <c r="J261" s="26" t="str">
        <f>"44 "</f>
        <v xml:space="preserve">44 </v>
      </c>
      <c r="K261" s="26" t="str">
        <f t="shared" si="43"/>
        <v>PR</v>
      </c>
      <c r="L261" s="26" t="str">
        <f t="shared" si="44"/>
        <v>DGOSE</v>
      </c>
      <c r="M261" s="26" t="str">
        <f t="shared" si="47"/>
        <v>FEDERAL</v>
      </c>
      <c r="N261" s="26">
        <v>455</v>
      </c>
      <c r="O261" s="26">
        <v>229</v>
      </c>
      <c r="P261" s="26">
        <v>226</v>
      </c>
      <c r="Q261" s="26">
        <v>16</v>
      </c>
      <c r="R261" s="26">
        <v>1</v>
      </c>
      <c r="S261" s="26">
        <v>16</v>
      </c>
      <c r="T261" s="26">
        <v>15</v>
      </c>
      <c r="U261" s="26">
        <v>32</v>
      </c>
      <c r="V261" s="26">
        <v>1</v>
      </c>
      <c r="W261" s="26" t="s">
        <v>218</v>
      </c>
    </row>
    <row r="262" spans="1:23" x14ac:dyDescent="0.25">
      <c r="A262" s="26" t="str">
        <f t="shared" si="45"/>
        <v>PRIMARIA</v>
      </c>
      <c r="B262" s="26" t="str">
        <f>"09DPR0994K"</f>
        <v>09DPR0994K</v>
      </c>
      <c r="C262" s="26" t="str">
        <f>"GENERAL FRANCISCO MENENDEZ                                                                          "</f>
        <v xml:space="preserve">GENERAL FRANCISCO MENENDEZ                                                                          </v>
      </c>
      <c r="D262" s="26" t="str">
        <f>"MATUTINO"</f>
        <v>MATUTINO</v>
      </c>
      <c r="E262" s="26" t="str">
        <f>"CALLE . 7 NUM. 54                                                               "</f>
        <v xml:space="preserve">CALLE . 7 NUM. 54                                                               </v>
      </c>
      <c r="F262" s="26" t="str">
        <f>"SAN PEDRO DE LOS PINOS                                                                                                                      "</f>
        <v xml:space="preserve">SAN PEDRO DE LOS PINOS                                                                                                                      </v>
      </c>
      <c r="G262" s="26" t="str">
        <f>"BENITO JUAREZ                                                                   "</f>
        <v xml:space="preserve">BENITO JUAREZ                                                                   </v>
      </c>
      <c r="H262" s="26" t="str">
        <f>"339"</f>
        <v>339</v>
      </c>
      <c r="I262" s="26" t="str">
        <f t="shared" si="46"/>
        <v>00</v>
      </c>
      <c r="J262" s="26" t="str">
        <f>"43 "</f>
        <v xml:space="preserve">43 </v>
      </c>
      <c r="K262" s="26" t="str">
        <f t="shared" si="43"/>
        <v>PR</v>
      </c>
      <c r="L262" s="26" t="str">
        <f t="shared" si="44"/>
        <v>DGOSE</v>
      </c>
      <c r="M262" s="26" t="str">
        <f t="shared" si="47"/>
        <v>FEDERAL</v>
      </c>
      <c r="N262" s="26">
        <v>322</v>
      </c>
      <c r="O262" s="26">
        <v>163</v>
      </c>
      <c r="P262" s="26">
        <v>159</v>
      </c>
      <c r="Q262" s="26">
        <v>14</v>
      </c>
      <c r="R262" s="26">
        <v>1</v>
      </c>
      <c r="S262" s="26">
        <v>14</v>
      </c>
      <c r="T262" s="26">
        <v>10</v>
      </c>
      <c r="U262" s="26">
        <v>25</v>
      </c>
      <c r="V262" s="26">
        <v>1</v>
      </c>
      <c r="W262" s="26"/>
    </row>
    <row r="263" spans="1:23" x14ac:dyDescent="0.25">
      <c r="A263" s="26" t="str">
        <f t="shared" si="45"/>
        <v>PRIMARIA</v>
      </c>
      <c r="B263" s="26" t="str">
        <f>"09DPR0995J"</f>
        <v>09DPR0995J</v>
      </c>
      <c r="C263" s="26" t="str">
        <f>"PROFRA. MARGARITA LOPEZ FARFAN                                                                      "</f>
        <v xml:space="preserve">PROFRA. MARGARITA LOPEZ FARFAN                                                                      </v>
      </c>
      <c r="D263" s="26" t="str">
        <f>"VESPERTINO"</f>
        <v>VESPERTINO</v>
      </c>
      <c r="E263" s="26" t="str">
        <f>"TATA NACHO S/N ESQ. RAUL HELMER                                                 "</f>
        <v xml:space="preserve">TATA NACHO S/N ESQ. RAUL HELMER                                                 </v>
      </c>
      <c r="F263" s="26" t="str">
        <f>"EL TEPETATAL                                                                                                                                "</f>
        <v xml:space="preserve">EL TEPETATAL                                                                                                                                </v>
      </c>
      <c r="G263" s="26" t="str">
        <f>"GUSTAVO A. MADERO                                                               "</f>
        <v xml:space="preserve">GUSTAVO A. MADERO                                                               </v>
      </c>
      <c r="H263" s="26" t="str">
        <f>"226"</f>
        <v>226</v>
      </c>
      <c r="I263" s="26" t="str">
        <f t="shared" si="46"/>
        <v>00</v>
      </c>
      <c r="J263" s="26" t="str">
        <f>"42 "</f>
        <v xml:space="preserve">42 </v>
      </c>
      <c r="K263" s="26" t="str">
        <f t="shared" si="43"/>
        <v>PR</v>
      </c>
      <c r="L263" s="26" t="str">
        <f t="shared" si="44"/>
        <v>DGOSE</v>
      </c>
      <c r="M263" s="26" t="str">
        <f t="shared" si="47"/>
        <v>FEDERAL</v>
      </c>
      <c r="N263" s="26">
        <v>516</v>
      </c>
      <c r="O263" s="26">
        <v>286</v>
      </c>
      <c r="P263" s="26">
        <v>230</v>
      </c>
      <c r="Q263" s="26">
        <v>18</v>
      </c>
      <c r="R263" s="26">
        <v>1</v>
      </c>
      <c r="S263" s="26">
        <v>15</v>
      </c>
      <c r="T263" s="26">
        <v>12</v>
      </c>
      <c r="U263" s="26">
        <v>28</v>
      </c>
      <c r="V263" s="26">
        <v>1</v>
      </c>
      <c r="W263" s="26"/>
    </row>
    <row r="264" spans="1:23" x14ac:dyDescent="0.25">
      <c r="A264" s="26" t="str">
        <f t="shared" si="45"/>
        <v>PRIMARIA</v>
      </c>
      <c r="B264" s="26" t="str">
        <f>"09DPR0996I"</f>
        <v>09DPR0996I</v>
      </c>
      <c r="C264" s="26" t="str">
        <f>"CARMEN SERDAN                                                                                       "</f>
        <v xml:space="preserve">CARMEN SERDAN                                                                                       </v>
      </c>
      <c r="D264" s="26" t="str">
        <f>"MATUTINO"</f>
        <v>MATUTINO</v>
      </c>
      <c r="E264" s="26" t="str">
        <f>"AV LIC. ERNESTO P. URUCHURTU S/N                                                "</f>
        <v xml:space="preserve">AV LIC. ERNESTO P. URUCHURTU S/N                                                </v>
      </c>
      <c r="F264" s="26" t="str">
        <f>"ADOLFO LOPEZ MATEOS                                                                                                                         "</f>
        <v xml:space="preserve">ADOLFO LOPEZ MATEOS                                                                                                                         </v>
      </c>
      <c r="G264" s="26" t="str">
        <f>"VENUSTIANO CARRANZA                                                             "</f>
        <v xml:space="preserve">VENUSTIANO CARRANZA                                                             </v>
      </c>
      <c r="H264" s="26" t="str">
        <f>"351"</f>
        <v>351</v>
      </c>
      <c r="I264" s="26" t="str">
        <f t="shared" si="46"/>
        <v>00</v>
      </c>
      <c r="J264" s="26" t="str">
        <f>"43 "</f>
        <v xml:space="preserve">43 </v>
      </c>
      <c r="K264" s="26" t="str">
        <f t="shared" si="43"/>
        <v>PR</v>
      </c>
      <c r="L264" s="26" t="str">
        <f t="shared" si="44"/>
        <v>DGOSE</v>
      </c>
      <c r="M264" s="26" t="str">
        <f t="shared" si="47"/>
        <v>FEDERAL</v>
      </c>
      <c r="N264" s="26">
        <v>546</v>
      </c>
      <c r="O264" s="26">
        <v>271</v>
      </c>
      <c r="P264" s="26">
        <v>275</v>
      </c>
      <c r="Q264" s="26">
        <v>18</v>
      </c>
      <c r="R264" s="26">
        <v>1</v>
      </c>
      <c r="S264" s="26">
        <v>18</v>
      </c>
      <c r="T264" s="26">
        <v>9</v>
      </c>
      <c r="U264" s="26">
        <v>28</v>
      </c>
      <c r="V264" s="26">
        <v>1</v>
      </c>
      <c r="W264" s="26"/>
    </row>
    <row r="265" spans="1:23" x14ac:dyDescent="0.25">
      <c r="A265" s="26" t="str">
        <f t="shared" si="45"/>
        <v>PRIMARIA</v>
      </c>
      <c r="B265" s="26" t="str">
        <f>"09DPR0997H"</f>
        <v>09DPR0997H</v>
      </c>
      <c r="C265" s="26" t="str">
        <f>"CARMEN SERDAN                                                                                       "</f>
        <v xml:space="preserve">CARMEN SERDAN                                                                                       </v>
      </c>
      <c r="D265" s="26" t="str">
        <f>"VESPERTINO"</f>
        <v>VESPERTINO</v>
      </c>
      <c r="E265" s="26" t="str">
        <f>"AV LIC ERNESTO P URUCHURTU S/N                                                  "</f>
        <v xml:space="preserve">AV LIC ERNESTO P URUCHURTU S/N                                                  </v>
      </c>
      <c r="F265" s="26" t="str">
        <f>"ADOLFO LOPEZ MATEOS                                                                                                                         "</f>
        <v xml:space="preserve">ADOLFO LOPEZ MATEOS                                                                                                                         </v>
      </c>
      <c r="G265" s="26" t="str">
        <f>"VENUSTIANO CARRANZA                                                             "</f>
        <v xml:space="preserve">VENUSTIANO CARRANZA                                                             </v>
      </c>
      <c r="H265" s="26" t="str">
        <f>"351"</f>
        <v>351</v>
      </c>
      <c r="I265" s="26" t="str">
        <f t="shared" si="46"/>
        <v>00</v>
      </c>
      <c r="J265" s="26" t="str">
        <f>"43 "</f>
        <v xml:space="preserve">43 </v>
      </c>
      <c r="K265" s="26" t="str">
        <f t="shared" si="43"/>
        <v>PR</v>
      </c>
      <c r="L265" s="26" t="str">
        <f t="shared" si="44"/>
        <v>DGOSE</v>
      </c>
      <c r="M265" s="26" t="str">
        <f t="shared" si="47"/>
        <v>FEDERAL</v>
      </c>
      <c r="N265" s="26">
        <v>306</v>
      </c>
      <c r="O265" s="26">
        <v>187</v>
      </c>
      <c r="P265" s="26">
        <v>119</v>
      </c>
      <c r="Q265" s="26">
        <v>15</v>
      </c>
      <c r="R265" s="26">
        <v>1</v>
      </c>
      <c r="S265" s="26">
        <v>15</v>
      </c>
      <c r="T265" s="26">
        <v>7</v>
      </c>
      <c r="U265" s="26">
        <v>23</v>
      </c>
      <c r="V265" s="26">
        <v>1</v>
      </c>
      <c r="W265" s="26"/>
    </row>
    <row r="266" spans="1:23" x14ac:dyDescent="0.25">
      <c r="A266" s="26" t="str">
        <f t="shared" si="45"/>
        <v>PRIMARIA</v>
      </c>
      <c r="B266" s="26" t="str">
        <f>"09DPR0998G"</f>
        <v>09DPR0998G</v>
      </c>
      <c r="C266" s="26" t="str">
        <f>"CALMECAC                                                                                            "</f>
        <v xml:space="preserve">CALMECAC                                                                                            </v>
      </c>
      <c r="D266" s="26" t="str">
        <f>"TIEMPO COMPLETO"</f>
        <v>TIEMPO COMPLETO</v>
      </c>
      <c r="E266" s="26" t="str">
        <f>"ORIENTE 245 B NUM 35                                                            "</f>
        <v xml:space="preserve">ORIENTE 245 B NUM 35                                                            </v>
      </c>
      <c r="F266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266" s="26" t="str">
        <f>"IZTACALCO                                                                       "</f>
        <v xml:space="preserve">IZTACALCO                                                                       </v>
      </c>
      <c r="H266" s="26" t="str">
        <f>"429"</f>
        <v>429</v>
      </c>
      <c r="I266" s="26" t="str">
        <f t="shared" si="46"/>
        <v>00</v>
      </c>
      <c r="J266" s="26" t="str">
        <f>"44 "</f>
        <v xml:space="preserve">44 </v>
      </c>
      <c r="K266" s="26" t="str">
        <f t="shared" si="43"/>
        <v>PR</v>
      </c>
      <c r="L266" s="26" t="str">
        <f t="shared" si="44"/>
        <v>DGOSE</v>
      </c>
      <c r="M266" s="26" t="str">
        <f t="shared" si="47"/>
        <v>FEDERAL</v>
      </c>
      <c r="N266" s="26">
        <v>509</v>
      </c>
      <c r="O266" s="26">
        <v>240</v>
      </c>
      <c r="P266" s="26">
        <v>269</v>
      </c>
      <c r="Q266" s="26">
        <v>17</v>
      </c>
      <c r="R266" s="26">
        <v>1</v>
      </c>
      <c r="S266" s="26">
        <v>17</v>
      </c>
      <c r="T266" s="26">
        <v>20</v>
      </c>
      <c r="U266" s="26">
        <v>38</v>
      </c>
      <c r="V266" s="26">
        <v>1</v>
      </c>
      <c r="W266" s="26" t="s">
        <v>218</v>
      </c>
    </row>
    <row r="267" spans="1:23" x14ac:dyDescent="0.25">
      <c r="A267" s="26" t="str">
        <f t="shared" si="45"/>
        <v>PRIMARIA</v>
      </c>
      <c r="B267" s="26" t="str">
        <f>"09DPR1000V"</f>
        <v>09DPR1000V</v>
      </c>
      <c r="C267" s="26" t="str">
        <f>"PROFR. CLAUDIO CORTES CASTRO                                                                        "</f>
        <v xml:space="preserve">PROFR. CLAUDIO CORTES CASTRO                                                                        </v>
      </c>
      <c r="D267" s="26" t="str">
        <f>"JORNADA AMPLIADA"</f>
        <v>JORNADA AMPLIADA</v>
      </c>
      <c r="E267" s="26" t="str">
        <f>"AV JAVIER ROJO GOMEZ NO 103                                                     "</f>
        <v xml:space="preserve">AV JAVIER ROJO GOMEZ NO 103                                                     </v>
      </c>
      <c r="F267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267" s="26" t="str">
        <f>"IZTACALCO                                                                       "</f>
        <v xml:space="preserve">IZTACALCO                                                                       </v>
      </c>
      <c r="H267" s="26" t="str">
        <f>"429"</f>
        <v>429</v>
      </c>
      <c r="I267" s="26" t="str">
        <f t="shared" si="46"/>
        <v>00</v>
      </c>
      <c r="J267" s="26" t="str">
        <f>"44 "</f>
        <v xml:space="preserve">44 </v>
      </c>
      <c r="K267" s="26" t="str">
        <f t="shared" si="43"/>
        <v>PR</v>
      </c>
      <c r="L267" s="26" t="str">
        <f t="shared" si="44"/>
        <v>DGOSE</v>
      </c>
      <c r="M267" s="26" t="str">
        <f t="shared" si="47"/>
        <v>FEDERAL</v>
      </c>
      <c r="N267" s="26">
        <v>363</v>
      </c>
      <c r="O267" s="26">
        <v>177</v>
      </c>
      <c r="P267" s="26">
        <v>186</v>
      </c>
      <c r="Q267" s="26">
        <v>12</v>
      </c>
      <c r="R267" s="26">
        <v>1</v>
      </c>
      <c r="S267" s="26">
        <v>12</v>
      </c>
      <c r="T267" s="26">
        <v>10</v>
      </c>
      <c r="U267" s="26">
        <v>23</v>
      </c>
      <c r="V267" s="26">
        <v>1</v>
      </c>
      <c r="W267" s="26" t="s">
        <v>2076</v>
      </c>
    </row>
    <row r="268" spans="1:23" x14ac:dyDescent="0.25">
      <c r="A268" s="26" t="str">
        <f t="shared" si="45"/>
        <v>PRIMARIA</v>
      </c>
      <c r="B268" s="26" t="str">
        <f>"09DPR1001U"</f>
        <v>09DPR1001U</v>
      </c>
      <c r="C268" s="26" t="str">
        <f>"PROFR. BRAULIO RODRIGUEZ                                                                            "</f>
        <v xml:space="preserve">PROFR. BRAULIO RODRIGUEZ                                                                            </v>
      </c>
      <c r="D268" s="26" t="str">
        <f>"VESPERTINO"</f>
        <v>VESPERTINO</v>
      </c>
      <c r="E268" s="26" t="str">
        <f>"BALBANERA NO. 4                                                                 "</f>
        <v xml:space="preserve">BALBANERA NO. 4                                                                 </v>
      </c>
      <c r="F268" s="26" t="str">
        <f>"SAN LORENZO XICOTENCATL                                                                                                                     "</f>
        <v xml:space="preserve">SAN LORENZO XICOTENCATL                                                                                                                     </v>
      </c>
      <c r="G268" s="26" t="str">
        <f>"IZTAPALAPA                                                                      "</f>
        <v xml:space="preserve">IZTAPALAPA                                                                      </v>
      </c>
      <c r="H268" s="26" t="str">
        <f>"029"</f>
        <v>029</v>
      </c>
      <c r="I268" s="26" t="str">
        <f t="shared" si="46"/>
        <v>00</v>
      </c>
      <c r="J268" s="26" t="str">
        <f>"62 "</f>
        <v xml:space="preserve">62 </v>
      </c>
      <c r="K268" s="26" t="str">
        <f>"IZ"</f>
        <v>IZ</v>
      </c>
      <c r="L268" s="26" t="str">
        <f>"DGSEI"</f>
        <v>DGSEI</v>
      </c>
      <c r="M268" s="26" t="str">
        <f t="shared" si="47"/>
        <v>FEDERAL</v>
      </c>
      <c r="N268" s="26">
        <v>238</v>
      </c>
      <c r="O268" s="26">
        <v>133</v>
      </c>
      <c r="P268" s="26">
        <v>105</v>
      </c>
      <c r="Q268" s="26">
        <v>12</v>
      </c>
      <c r="R268" s="26">
        <v>0</v>
      </c>
      <c r="S268" s="26">
        <v>12</v>
      </c>
      <c r="T268" s="26">
        <v>4</v>
      </c>
      <c r="U268" s="26">
        <v>16</v>
      </c>
      <c r="V268" s="26">
        <v>1</v>
      </c>
      <c r="W268" s="26"/>
    </row>
    <row r="269" spans="1:23" x14ac:dyDescent="0.25">
      <c r="A269" s="26" t="str">
        <f t="shared" si="45"/>
        <v>PRIMARIA</v>
      </c>
      <c r="B269" s="26" t="str">
        <f>"09DPR1002T"</f>
        <v>09DPR1002T</v>
      </c>
      <c r="C269" s="26" t="str">
        <f>"PROFR. BRAULIO RODRIGUEZ                                                                            "</f>
        <v xml:space="preserve">PROFR. BRAULIO RODRIGUEZ                                                                            </v>
      </c>
      <c r="D269" s="26" t="str">
        <f>"MATUTINO"</f>
        <v>MATUTINO</v>
      </c>
      <c r="E269" s="26" t="str">
        <f>"BALBANERA NO. 4                                                                 "</f>
        <v xml:space="preserve">BALBANERA NO. 4                                                                 </v>
      </c>
      <c r="F269" s="26" t="str">
        <f>"SAN LORENZO XICOTENCATL                                                                                                                     "</f>
        <v xml:space="preserve">SAN LORENZO XICOTENCATL                                                                                                                     </v>
      </c>
      <c r="G269" s="26" t="str">
        <f>"IZTAPALAPA                                                                      "</f>
        <v xml:space="preserve">IZTAPALAPA                                                                      </v>
      </c>
      <c r="H269" s="26" t="str">
        <f>"029"</f>
        <v>029</v>
      </c>
      <c r="I269" s="26" t="str">
        <f t="shared" si="46"/>
        <v>00</v>
      </c>
      <c r="J269" s="26" t="str">
        <f>"62 "</f>
        <v xml:space="preserve">62 </v>
      </c>
      <c r="K269" s="26" t="str">
        <f>"IZ"</f>
        <v>IZ</v>
      </c>
      <c r="L269" s="26" t="str">
        <f>"DGSEI"</f>
        <v>DGSEI</v>
      </c>
      <c r="M269" s="26" t="str">
        <f t="shared" si="47"/>
        <v>FEDERAL</v>
      </c>
      <c r="N269" s="26">
        <v>535</v>
      </c>
      <c r="O269" s="26">
        <v>272</v>
      </c>
      <c r="P269" s="26">
        <v>263</v>
      </c>
      <c r="Q269" s="26">
        <v>18</v>
      </c>
      <c r="R269" s="26">
        <v>1</v>
      </c>
      <c r="S269" s="26">
        <v>18</v>
      </c>
      <c r="T269" s="26">
        <v>10</v>
      </c>
      <c r="U269" s="26">
        <v>29</v>
      </c>
      <c r="V269" s="26">
        <v>1</v>
      </c>
      <c r="W269" s="26"/>
    </row>
    <row r="270" spans="1:23" x14ac:dyDescent="0.25">
      <c r="A270" s="26" t="str">
        <f t="shared" si="45"/>
        <v>PRIMARIA</v>
      </c>
      <c r="B270" s="26" t="str">
        <f>"09DPR1003S"</f>
        <v>09DPR1003S</v>
      </c>
      <c r="C270" s="26" t="str">
        <f>"BENITO FENTANES                                                                                     "</f>
        <v xml:space="preserve">BENITO FENTANES                                                                                     </v>
      </c>
      <c r="D270" s="26" t="str">
        <f>"TIEMPO COMPLETO"</f>
        <v>TIEMPO COMPLETO</v>
      </c>
      <c r="E270" s="26" t="str">
        <f>"AV BORDO RIO CHURUBUSCO 2117                                                    "</f>
        <v xml:space="preserve">AV BORDO RIO CHURUBUSCO 2117                                                    </v>
      </c>
      <c r="F270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270" s="26" t="str">
        <f>"IZTACALCO                                                                       "</f>
        <v xml:space="preserve">IZTACALCO                                                                       </v>
      </c>
      <c r="H270" s="26" t="str">
        <f>"428"</f>
        <v>428</v>
      </c>
      <c r="I270" s="26" t="str">
        <f t="shared" si="46"/>
        <v>00</v>
      </c>
      <c r="J270" s="26" t="str">
        <f>"44 "</f>
        <v xml:space="preserve">44 </v>
      </c>
      <c r="K270" s="26" t="str">
        <f>"PR"</f>
        <v>PR</v>
      </c>
      <c r="L270" s="26" t="str">
        <f>"DGOSE"</f>
        <v>DGOSE</v>
      </c>
      <c r="M270" s="26" t="str">
        <f t="shared" si="47"/>
        <v>FEDERAL</v>
      </c>
      <c r="N270" s="26">
        <v>370</v>
      </c>
      <c r="O270" s="26">
        <v>193</v>
      </c>
      <c r="P270" s="26">
        <v>177</v>
      </c>
      <c r="Q270" s="26">
        <v>12</v>
      </c>
      <c r="R270" s="26">
        <v>1</v>
      </c>
      <c r="S270" s="26">
        <v>11</v>
      </c>
      <c r="T270" s="26">
        <v>16</v>
      </c>
      <c r="U270" s="26">
        <v>28</v>
      </c>
      <c r="V270" s="26">
        <v>1</v>
      </c>
      <c r="W270" s="26" t="s">
        <v>218</v>
      </c>
    </row>
    <row r="271" spans="1:23" x14ac:dyDescent="0.25">
      <c r="A271" s="26" t="str">
        <f t="shared" si="45"/>
        <v>PRIMARIA</v>
      </c>
      <c r="B271" s="26" t="str">
        <f>"09DPR1005Q"</f>
        <v>09DPR1005Q</v>
      </c>
      <c r="C271" s="26" t="str">
        <f>"BELGICA                                                                                             "</f>
        <v xml:space="preserve">BELGICA                                                                                             </v>
      </c>
      <c r="D271" s="26" t="str">
        <f>"JORNADA AMPLIADA"</f>
        <v>JORNADA AMPLIADA</v>
      </c>
      <c r="E271" s="26" t="str">
        <f>"RET. 31 DE GENARO GARCIA                                                        "</f>
        <v xml:space="preserve">RET. 31 DE GENARO GARCIA                                                        </v>
      </c>
      <c r="F271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271" s="26" t="str">
        <f>"VENUSTIANO CARRANZA                                                             "</f>
        <v xml:space="preserve">VENUSTIANO CARRANZA                                                             </v>
      </c>
      <c r="H271" s="26" t="str">
        <f>"423"</f>
        <v>423</v>
      </c>
      <c r="I271" s="26" t="str">
        <f t="shared" si="46"/>
        <v>00</v>
      </c>
      <c r="J271" s="26" t="str">
        <f>"44 "</f>
        <v xml:space="preserve">44 </v>
      </c>
      <c r="K271" s="26" t="str">
        <f>"PR"</f>
        <v>PR</v>
      </c>
      <c r="L271" s="26" t="str">
        <f>"DGOSE"</f>
        <v>DGOSE</v>
      </c>
      <c r="M271" s="26" t="str">
        <f t="shared" si="47"/>
        <v>FEDERAL</v>
      </c>
      <c r="N271" s="26">
        <v>320</v>
      </c>
      <c r="O271" s="26">
        <v>168</v>
      </c>
      <c r="P271" s="26">
        <v>152</v>
      </c>
      <c r="Q271" s="26">
        <v>11</v>
      </c>
      <c r="R271" s="26">
        <v>1</v>
      </c>
      <c r="S271" s="26">
        <v>11</v>
      </c>
      <c r="T271" s="26">
        <v>15</v>
      </c>
      <c r="U271" s="26">
        <v>27</v>
      </c>
      <c r="V271" s="26">
        <v>1</v>
      </c>
      <c r="W271" s="26" t="s">
        <v>2076</v>
      </c>
    </row>
    <row r="272" spans="1:23" x14ac:dyDescent="0.25">
      <c r="A272" s="26" t="str">
        <f t="shared" si="45"/>
        <v>PRIMARIA</v>
      </c>
      <c r="B272" s="26" t="str">
        <f>"09DPR1007O"</f>
        <v>09DPR1007O</v>
      </c>
      <c r="C272" s="26" t="str">
        <f>"24 DE FEBRERO                                                                                       "</f>
        <v xml:space="preserve">24 DE FEBRERO                                                                                       </v>
      </c>
      <c r="D272" s="26" t="str">
        <f>"VESPERTINO"</f>
        <v>VESPERTINO</v>
      </c>
      <c r="E272" s="26" t="str">
        <f>"21 NORTE NUM 110                                                                "</f>
        <v xml:space="preserve">21 NORTE NUM 110                                                                </v>
      </c>
      <c r="F272" s="26" t="str">
        <f>"MOCTEZUMA 2A SECCION                                                                                                                        "</f>
        <v xml:space="preserve">MOCTEZUMA 2A SECCION                                                                                                                        </v>
      </c>
      <c r="G272" s="26" t="str">
        <f>"VENUSTIANO CARRANZA                                                             "</f>
        <v xml:space="preserve">VENUSTIANO CARRANZA                                                             </v>
      </c>
      <c r="H272" s="26" t="str">
        <f>"346"</f>
        <v>346</v>
      </c>
      <c r="I272" s="26" t="str">
        <f t="shared" si="46"/>
        <v>00</v>
      </c>
      <c r="J272" s="26" t="str">
        <f>"43 "</f>
        <v xml:space="preserve">43 </v>
      </c>
      <c r="K272" s="26" t="str">
        <f>"PR"</f>
        <v>PR</v>
      </c>
      <c r="L272" s="26" t="str">
        <f>"DGOSE"</f>
        <v>DGOSE</v>
      </c>
      <c r="M272" s="26" t="str">
        <f t="shared" si="47"/>
        <v>FEDERAL</v>
      </c>
      <c r="N272" s="26">
        <v>107</v>
      </c>
      <c r="O272" s="26">
        <v>57</v>
      </c>
      <c r="P272" s="26">
        <v>50</v>
      </c>
      <c r="Q272" s="26">
        <v>6</v>
      </c>
      <c r="R272" s="26">
        <v>1</v>
      </c>
      <c r="S272" s="26">
        <v>6</v>
      </c>
      <c r="T272" s="26">
        <v>6</v>
      </c>
      <c r="U272" s="26">
        <v>13</v>
      </c>
      <c r="V272" s="26">
        <v>1</v>
      </c>
      <c r="W272" s="26"/>
    </row>
    <row r="273" spans="1:23" x14ac:dyDescent="0.25">
      <c r="A273" s="26" t="str">
        <f t="shared" si="45"/>
        <v>PRIMARIA</v>
      </c>
      <c r="B273" s="26" t="str">
        <f>"09DPR1008N"</f>
        <v>09DPR1008N</v>
      </c>
      <c r="C273" s="26" t="str">
        <f>"24 DE FEBRERO                                                                                       "</f>
        <v xml:space="preserve">24 DE FEBRERO                                                                                       </v>
      </c>
      <c r="D273" s="26" t="str">
        <f>"MATUTINO"</f>
        <v>MATUTINO</v>
      </c>
      <c r="E273" s="26" t="str">
        <f>"21 NORTE  NUM. 110                                                              "</f>
        <v xml:space="preserve">21 NORTE  NUM. 110                                                              </v>
      </c>
      <c r="F273" s="26" t="str">
        <f>"MOCTEZUMA 2A SECCION                                                                                                                        "</f>
        <v xml:space="preserve">MOCTEZUMA 2A SECCION                                                                                                                        </v>
      </c>
      <c r="G273" s="26" t="str">
        <f>"VENUSTIANO CARRANZA                                                             "</f>
        <v xml:space="preserve">VENUSTIANO CARRANZA                                                             </v>
      </c>
      <c r="H273" s="26" t="str">
        <f>"346"</f>
        <v>346</v>
      </c>
      <c r="I273" s="26" t="str">
        <f t="shared" si="46"/>
        <v>00</v>
      </c>
      <c r="J273" s="26" t="str">
        <f>"43 "</f>
        <v xml:space="preserve">43 </v>
      </c>
      <c r="K273" s="26" t="str">
        <f>"PR"</f>
        <v>PR</v>
      </c>
      <c r="L273" s="26" t="str">
        <f>"DGOSE"</f>
        <v>DGOSE</v>
      </c>
      <c r="M273" s="26" t="str">
        <f t="shared" si="47"/>
        <v>FEDERAL</v>
      </c>
      <c r="N273" s="26">
        <v>356</v>
      </c>
      <c r="O273" s="26">
        <v>192</v>
      </c>
      <c r="P273" s="26">
        <v>164</v>
      </c>
      <c r="Q273" s="26">
        <v>15</v>
      </c>
      <c r="R273" s="26">
        <v>1</v>
      </c>
      <c r="S273" s="26">
        <v>15</v>
      </c>
      <c r="T273" s="26">
        <v>8</v>
      </c>
      <c r="U273" s="26">
        <v>24</v>
      </c>
      <c r="V273" s="26">
        <v>1</v>
      </c>
      <c r="W273" s="26"/>
    </row>
    <row r="274" spans="1:23" x14ac:dyDescent="0.25">
      <c r="A274" s="26" t="str">
        <f t="shared" si="45"/>
        <v>PRIMARIA</v>
      </c>
      <c r="B274" s="26" t="str">
        <f>"09DPR1010B"</f>
        <v>09DPR1010B</v>
      </c>
      <c r="C274" s="26" t="str">
        <f>"VOCEADORES DE MEXICO                                                                                "</f>
        <v xml:space="preserve">VOCEADORES DE MEXICO                                                                                </v>
      </c>
      <c r="D274" s="26" t="str">
        <f>"JORNADA AMPLIADA"</f>
        <v>JORNADA AMPLIADA</v>
      </c>
      <c r="E274" s="26" t="str">
        <f>"5A. CDA. DE JUAN ENRIQUEZ NO. 33                                                "</f>
        <v xml:space="preserve">5A. CDA. DE JUAN ENRIQUEZ NO. 33                                                </v>
      </c>
      <c r="F274" s="26" t="str">
        <f>"JUAN ESCUTIA                                                                                                                                "</f>
        <v xml:space="preserve">JUAN ESCUTIA                                                                                                                                </v>
      </c>
      <c r="G274" s="26" t="str">
        <f>"IZTAPALAPA                                                                      "</f>
        <v xml:space="preserve">IZTAPALAPA                                                                      </v>
      </c>
      <c r="H274" s="26" t="str">
        <f>"008"</f>
        <v>008</v>
      </c>
      <c r="I274" s="26" t="str">
        <f t="shared" si="46"/>
        <v>00</v>
      </c>
      <c r="J274" s="26" t="str">
        <f>"61 "</f>
        <v xml:space="preserve">61 </v>
      </c>
      <c r="K274" s="26" t="str">
        <f>"IZ"</f>
        <v>IZ</v>
      </c>
      <c r="L274" s="26" t="str">
        <f>"DGSEI"</f>
        <v>DGSEI</v>
      </c>
      <c r="M274" s="26" t="str">
        <f t="shared" si="47"/>
        <v>FEDERAL</v>
      </c>
      <c r="N274" s="26">
        <v>384</v>
      </c>
      <c r="O274" s="26">
        <v>200</v>
      </c>
      <c r="P274" s="26">
        <v>184</v>
      </c>
      <c r="Q274" s="26">
        <v>12</v>
      </c>
      <c r="R274" s="26">
        <v>1</v>
      </c>
      <c r="S274" s="26">
        <v>12</v>
      </c>
      <c r="T274" s="26">
        <v>8</v>
      </c>
      <c r="U274" s="26">
        <v>21</v>
      </c>
      <c r="V274" s="26">
        <v>1</v>
      </c>
      <c r="W274" s="26" t="s">
        <v>2076</v>
      </c>
    </row>
    <row r="275" spans="1:23" x14ac:dyDescent="0.25">
      <c r="A275" s="26" t="str">
        <f t="shared" si="45"/>
        <v>PRIMARIA</v>
      </c>
      <c r="B275" s="26" t="str">
        <f>"09DPR1013Z"</f>
        <v>09DPR1013Z</v>
      </c>
      <c r="C275" s="26" t="str">
        <f>"U. R. S. S.                                                                                         "</f>
        <v xml:space="preserve">U. R. S. S.                                                                                         </v>
      </c>
      <c r="D275" s="26" t="str">
        <f>"JORNADA AMPLIADA"</f>
        <v>JORNADA AMPLIADA</v>
      </c>
      <c r="E275" s="26" t="str">
        <f>"AV. CENTRAL NO. 41                                                              "</f>
        <v xml:space="preserve">AV. CENTRAL NO. 41                                                              </v>
      </c>
      <c r="F275" s="26" t="str">
        <f>"TEPALCATES                                                                                                                                  "</f>
        <v xml:space="preserve">TEPALCATES                                                                                                                                  </v>
      </c>
      <c r="G275" s="26" t="str">
        <f>"IZTAPALAPA                                                                      "</f>
        <v xml:space="preserve">IZTAPALAPA                                                                      </v>
      </c>
      <c r="H275" s="26" t="str">
        <f>"006"</f>
        <v>006</v>
      </c>
      <c r="I275" s="26" t="str">
        <f t="shared" si="46"/>
        <v>00</v>
      </c>
      <c r="J275" s="26" t="str">
        <f>"61 "</f>
        <v xml:space="preserve">61 </v>
      </c>
      <c r="K275" s="26" t="str">
        <f>"IZ"</f>
        <v>IZ</v>
      </c>
      <c r="L275" s="26" t="str">
        <f>"DGSEI"</f>
        <v>DGSEI</v>
      </c>
      <c r="M275" s="26" t="str">
        <f t="shared" si="47"/>
        <v>FEDERAL</v>
      </c>
      <c r="N275" s="26">
        <v>371</v>
      </c>
      <c r="O275" s="26">
        <v>195</v>
      </c>
      <c r="P275" s="26">
        <v>176</v>
      </c>
      <c r="Q275" s="26">
        <v>12</v>
      </c>
      <c r="R275" s="26">
        <v>1</v>
      </c>
      <c r="S275" s="26">
        <v>12</v>
      </c>
      <c r="T275" s="26">
        <v>7</v>
      </c>
      <c r="U275" s="26">
        <v>20</v>
      </c>
      <c r="V275" s="26">
        <v>1</v>
      </c>
      <c r="W275" s="26" t="s">
        <v>2076</v>
      </c>
    </row>
    <row r="276" spans="1:23" x14ac:dyDescent="0.25">
      <c r="A276" s="26" t="str">
        <f t="shared" si="45"/>
        <v>PRIMARIA</v>
      </c>
      <c r="B276" s="26" t="str">
        <f>"09DPR1014Y"</f>
        <v>09DPR1014Y</v>
      </c>
      <c r="C276" s="26" t="str">
        <f>"TELPOCHCALLI                                                                                        "</f>
        <v xml:space="preserve">TELPOCHCALLI                                                                                        </v>
      </c>
      <c r="D276" s="26" t="str">
        <f>"MATUTINO"</f>
        <v>MATUTINO</v>
      </c>
      <c r="E276" s="26" t="str">
        <f>"ORIENTE 245 B No.39                                                             "</f>
        <v xml:space="preserve">ORIENTE 245 B No.39                                                             </v>
      </c>
      <c r="F276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276" s="26" t="str">
        <f>"IZTACALCO                                                                       "</f>
        <v xml:space="preserve">IZTACALCO                                                                       </v>
      </c>
      <c r="H276" s="26" t="str">
        <f>"358"</f>
        <v>358</v>
      </c>
      <c r="I276" s="26" t="str">
        <f t="shared" si="46"/>
        <v>00</v>
      </c>
      <c r="J276" s="26" t="str">
        <f>"43 "</f>
        <v xml:space="preserve">43 </v>
      </c>
      <c r="K276" s="26" t="str">
        <f t="shared" ref="K276:K297" si="48">"PR"</f>
        <v>PR</v>
      </c>
      <c r="L276" s="26" t="str">
        <f t="shared" ref="L276:L297" si="49">"DGOSE"</f>
        <v>DGOSE</v>
      </c>
      <c r="M276" s="26" t="str">
        <f t="shared" si="47"/>
        <v>FEDERAL</v>
      </c>
      <c r="N276" s="26">
        <v>531</v>
      </c>
      <c r="O276" s="26">
        <v>273</v>
      </c>
      <c r="P276" s="26">
        <v>258</v>
      </c>
      <c r="Q276" s="26">
        <v>17</v>
      </c>
      <c r="R276" s="26">
        <v>1</v>
      </c>
      <c r="S276" s="26">
        <v>17</v>
      </c>
      <c r="T276" s="26">
        <v>12</v>
      </c>
      <c r="U276" s="26">
        <v>30</v>
      </c>
      <c r="V276" s="26">
        <v>1</v>
      </c>
      <c r="W276" s="26"/>
    </row>
    <row r="277" spans="1:23" x14ac:dyDescent="0.25">
      <c r="A277" s="26" t="str">
        <f t="shared" si="45"/>
        <v>PRIMARIA</v>
      </c>
      <c r="B277" s="26" t="str">
        <f>"09DPR1015X"</f>
        <v>09DPR1015X</v>
      </c>
      <c r="C277" s="26" t="str">
        <f>"TEZIUTLAN                                                                                           "</f>
        <v xml:space="preserve">TEZIUTLAN                                                                                           </v>
      </c>
      <c r="D277" s="26" t="str">
        <f>"JORNADA AMPLIADA"</f>
        <v>JORNADA AMPLIADA</v>
      </c>
      <c r="E277" s="26" t="str">
        <f>"GOBERNACION 72 Y ASISTENCIA PUB                                                 "</f>
        <v xml:space="preserve">GOBERNACION 72 Y ASISTENCIA PUB                                                 </v>
      </c>
      <c r="F277" s="26" t="str">
        <f>"FEDERAL                                                                                                                                     "</f>
        <v xml:space="preserve">FEDERAL                                                                                                                                     </v>
      </c>
      <c r="G277" s="26" t="str">
        <f>"VENUSTIANO CARRANZA                                                             "</f>
        <v xml:space="preserve">VENUSTIANO CARRANZA                                                             </v>
      </c>
      <c r="H277" s="26" t="str">
        <f>"426"</f>
        <v>426</v>
      </c>
      <c r="I277" s="26" t="str">
        <f t="shared" si="46"/>
        <v>00</v>
      </c>
      <c r="J277" s="26" t="str">
        <f>"44 "</f>
        <v xml:space="preserve">44 </v>
      </c>
      <c r="K277" s="26" t="str">
        <f t="shared" si="48"/>
        <v>PR</v>
      </c>
      <c r="L277" s="26" t="str">
        <f t="shared" si="49"/>
        <v>DGOSE</v>
      </c>
      <c r="M277" s="26" t="str">
        <f t="shared" si="47"/>
        <v>FEDERAL</v>
      </c>
      <c r="N277" s="26">
        <v>233</v>
      </c>
      <c r="O277" s="26">
        <v>112</v>
      </c>
      <c r="P277" s="26">
        <v>121</v>
      </c>
      <c r="Q277" s="26">
        <v>8</v>
      </c>
      <c r="R277" s="26">
        <v>1</v>
      </c>
      <c r="S277" s="26">
        <v>8</v>
      </c>
      <c r="T277" s="26">
        <v>11</v>
      </c>
      <c r="U277" s="26">
        <v>20</v>
      </c>
      <c r="V277" s="26">
        <v>1</v>
      </c>
      <c r="W277" s="26" t="s">
        <v>2076</v>
      </c>
    </row>
    <row r="278" spans="1:23" x14ac:dyDescent="0.25">
      <c r="A278" s="26" t="str">
        <f t="shared" si="45"/>
        <v>PRIMARIA</v>
      </c>
      <c r="B278" s="26" t="str">
        <f>"09DPR1016W"</f>
        <v>09DPR1016W</v>
      </c>
      <c r="C278" s="26" t="str">
        <f>"TELPOCHCALLI                                                                                        "</f>
        <v xml:space="preserve">TELPOCHCALLI                                                                                        </v>
      </c>
      <c r="D278" s="26" t="str">
        <f>"VESPERTINO"</f>
        <v>VESPERTINO</v>
      </c>
      <c r="E278" s="26" t="str">
        <f>"ORIENTE 245 B No.39                                                             "</f>
        <v xml:space="preserve">ORIENTE 245 B No.39                                                             </v>
      </c>
      <c r="F278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278" s="26" t="str">
        <f>"IZTACALCO                                                                       "</f>
        <v xml:space="preserve">IZTACALCO                                                                       </v>
      </c>
      <c r="H278" s="26" t="str">
        <f>"358"</f>
        <v>358</v>
      </c>
      <c r="I278" s="26" t="str">
        <f t="shared" si="46"/>
        <v>00</v>
      </c>
      <c r="J278" s="26" t="str">
        <f>"43 "</f>
        <v xml:space="preserve">43 </v>
      </c>
      <c r="K278" s="26" t="str">
        <f t="shared" si="48"/>
        <v>PR</v>
      </c>
      <c r="L278" s="26" t="str">
        <f t="shared" si="49"/>
        <v>DGOSE</v>
      </c>
      <c r="M278" s="26" t="str">
        <f t="shared" si="47"/>
        <v>FEDERAL</v>
      </c>
      <c r="N278" s="26">
        <v>184</v>
      </c>
      <c r="O278" s="26">
        <v>94</v>
      </c>
      <c r="P278" s="26">
        <v>90</v>
      </c>
      <c r="Q278" s="26">
        <v>12</v>
      </c>
      <c r="R278" s="26">
        <v>1</v>
      </c>
      <c r="S278" s="26">
        <v>12</v>
      </c>
      <c r="T278" s="26">
        <v>7</v>
      </c>
      <c r="U278" s="26">
        <v>20</v>
      </c>
      <c r="V278" s="26">
        <v>1</v>
      </c>
      <c r="W278" s="26"/>
    </row>
    <row r="279" spans="1:23" x14ac:dyDescent="0.25">
      <c r="A279" s="26" t="str">
        <f t="shared" si="45"/>
        <v>PRIMARIA</v>
      </c>
      <c r="B279" s="26" t="str">
        <f>"09DPR1018U"</f>
        <v>09DPR1018U</v>
      </c>
      <c r="C279" s="26" t="str">
        <f>"FRANCISCO SARABIA Y TINOCO                                                                          "</f>
        <v xml:space="preserve">FRANCISCO SARABIA Y TINOCO                                                                          </v>
      </c>
      <c r="D279" s="26" t="str">
        <f>"JORNADA AMPLIADA"</f>
        <v>JORNADA AMPLIADA</v>
      </c>
      <c r="E279" s="26" t="str">
        <f>"BLVD. PUERTO AEREO Y NORTE 25 S/N                                               "</f>
        <v xml:space="preserve">BLVD. PUERTO AEREO Y NORTE 25 S/N                                               </v>
      </c>
      <c r="F279" s="26" t="str">
        <f>"MOCTEZUMA 2A SECCION                                                                                                                        "</f>
        <v xml:space="preserve">MOCTEZUMA 2A SECCION                                                                                                                        </v>
      </c>
      <c r="G279" s="26" t="str">
        <f>"VENUSTIANO CARRANZA                                                             "</f>
        <v xml:space="preserve">VENUSTIANO CARRANZA                                                             </v>
      </c>
      <c r="H279" s="26" t="str">
        <f>"425"</f>
        <v>425</v>
      </c>
      <c r="I279" s="26" t="str">
        <f t="shared" si="46"/>
        <v>00</v>
      </c>
      <c r="J279" s="26" t="str">
        <f>"44 "</f>
        <v xml:space="preserve">44 </v>
      </c>
      <c r="K279" s="26" t="str">
        <f t="shared" si="48"/>
        <v>PR</v>
      </c>
      <c r="L279" s="26" t="str">
        <f t="shared" si="49"/>
        <v>DGOSE</v>
      </c>
      <c r="M279" s="26" t="str">
        <f t="shared" si="47"/>
        <v>FEDERAL</v>
      </c>
      <c r="N279" s="26">
        <v>360</v>
      </c>
      <c r="O279" s="26">
        <v>191</v>
      </c>
      <c r="P279" s="26">
        <v>169</v>
      </c>
      <c r="Q279" s="26">
        <v>12</v>
      </c>
      <c r="R279" s="26">
        <v>1</v>
      </c>
      <c r="S279" s="26">
        <v>12</v>
      </c>
      <c r="T279" s="26">
        <v>10</v>
      </c>
      <c r="U279" s="26">
        <v>23</v>
      </c>
      <c r="V279" s="26">
        <v>1</v>
      </c>
      <c r="W279" s="26" t="s">
        <v>2076</v>
      </c>
    </row>
    <row r="280" spans="1:23" x14ac:dyDescent="0.25">
      <c r="A280" s="26" t="str">
        <f t="shared" si="45"/>
        <v>PRIMARIA</v>
      </c>
      <c r="B280" s="26" t="str">
        <f>"09DPR1019T"</f>
        <v>09DPR1019T</v>
      </c>
      <c r="C280" s="26" t="str">
        <f>"MONTES AZULES                                                                                       "</f>
        <v xml:space="preserve">MONTES AZULES                                                                                       </v>
      </c>
      <c r="D280" s="26" t="str">
        <f>"JORNADA AMPLIADA"</f>
        <v>JORNADA AMPLIADA</v>
      </c>
      <c r="E280" s="26" t="str">
        <f>"CUMBRES DE ACULTZINGO Y DR. BARRAGAN S/N                                        "</f>
        <v xml:space="preserve">CUMBRES DE ACULTZINGO Y DR. BARRAGAN S/N                                        </v>
      </c>
      <c r="F280" s="26" t="str">
        <f>"NARVARTE                                                                                                                                    "</f>
        <v xml:space="preserve">NARVARTE                                                                                                                                    </v>
      </c>
      <c r="G280" s="26" t="str">
        <f>"BENITO JUAREZ                                                                   "</f>
        <v xml:space="preserve">BENITO JUAREZ                                                                   </v>
      </c>
      <c r="H280" s="26" t="str">
        <f>"415"</f>
        <v>415</v>
      </c>
      <c r="I280" s="26" t="str">
        <f t="shared" si="46"/>
        <v>00</v>
      </c>
      <c r="J280" s="26" t="str">
        <f>"44 "</f>
        <v xml:space="preserve">44 </v>
      </c>
      <c r="K280" s="26" t="str">
        <f t="shared" si="48"/>
        <v>PR</v>
      </c>
      <c r="L280" s="26" t="str">
        <f t="shared" si="49"/>
        <v>DGOSE</v>
      </c>
      <c r="M280" s="26" t="str">
        <f t="shared" si="47"/>
        <v>FEDERAL</v>
      </c>
      <c r="N280" s="26">
        <v>246</v>
      </c>
      <c r="O280" s="26">
        <v>124</v>
      </c>
      <c r="P280" s="26">
        <v>122</v>
      </c>
      <c r="Q280" s="26">
        <v>10</v>
      </c>
      <c r="R280" s="26">
        <v>1</v>
      </c>
      <c r="S280" s="26">
        <v>10</v>
      </c>
      <c r="T280" s="26">
        <v>7</v>
      </c>
      <c r="U280" s="26">
        <v>18</v>
      </c>
      <c r="V280" s="26">
        <v>1</v>
      </c>
      <c r="W280" s="26" t="s">
        <v>2076</v>
      </c>
    </row>
    <row r="281" spans="1:23" x14ac:dyDescent="0.25">
      <c r="A281" s="26" t="str">
        <f t="shared" si="45"/>
        <v>PRIMARIA</v>
      </c>
      <c r="B281" s="26" t="str">
        <f>"09DPR1020I"</f>
        <v>09DPR1020I</v>
      </c>
      <c r="C281" s="26" t="str">
        <f>"AUGUSTO CESAR SANDINO                                                                               "</f>
        <v xml:space="preserve">AUGUSTO CESAR SANDINO                                                                               </v>
      </c>
      <c r="D281" s="26" t="str">
        <f>"MATUTINO"</f>
        <v>MATUTINO</v>
      </c>
      <c r="E281" s="26" t="str">
        <f>"CALLE 3 NUM 312                                                                 "</f>
        <v xml:space="preserve">CALLE 3 NUM 312                                                                 </v>
      </c>
      <c r="F281" s="26" t="str">
        <f>"AGRICOLA PANTITLAN                                                                                                                          "</f>
        <v xml:space="preserve">AGRICOLA PANTITLAN                                                                                                                          </v>
      </c>
      <c r="G281" s="26" t="str">
        <f>"IZTACALCO                                                                       "</f>
        <v xml:space="preserve">IZTACALCO                                                                       </v>
      </c>
      <c r="H281" s="26" t="str">
        <f>"354"</f>
        <v>354</v>
      </c>
      <c r="I281" s="26" t="str">
        <f t="shared" si="46"/>
        <v>00</v>
      </c>
      <c r="J281" s="26" t="str">
        <f>"43 "</f>
        <v xml:space="preserve">43 </v>
      </c>
      <c r="K281" s="26" t="str">
        <f t="shared" si="48"/>
        <v>PR</v>
      </c>
      <c r="L281" s="26" t="str">
        <f t="shared" si="49"/>
        <v>DGOSE</v>
      </c>
      <c r="M281" s="26" t="str">
        <f t="shared" si="47"/>
        <v>FEDERAL</v>
      </c>
      <c r="N281" s="26">
        <v>504</v>
      </c>
      <c r="O281" s="26">
        <v>253</v>
      </c>
      <c r="P281" s="26">
        <v>251</v>
      </c>
      <c r="Q281" s="26">
        <v>18</v>
      </c>
      <c r="R281" s="26">
        <v>1</v>
      </c>
      <c r="S281" s="26">
        <v>18</v>
      </c>
      <c r="T281" s="26">
        <v>10</v>
      </c>
      <c r="U281" s="26">
        <v>29</v>
      </c>
      <c r="V281" s="26">
        <v>1</v>
      </c>
      <c r="W281" s="26"/>
    </row>
    <row r="282" spans="1:23" x14ac:dyDescent="0.25">
      <c r="A282" s="26" t="str">
        <f t="shared" si="45"/>
        <v>PRIMARIA</v>
      </c>
      <c r="B282" s="26" t="str">
        <f>"09DPR1022G"</f>
        <v>09DPR1022G</v>
      </c>
      <c r="C282" s="26" t="str">
        <f>"AUGUSTO CESAR SANDINO                                                                               "</f>
        <v xml:space="preserve">AUGUSTO CESAR SANDINO                                                                               </v>
      </c>
      <c r="D282" s="26" t="str">
        <f>"VESPERTINO"</f>
        <v>VESPERTINO</v>
      </c>
      <c r="E282" s="26" t="str">
        <f>"CALLE 3 NUM 312                                                                 "</f>
        <v xml:space="preserve">CALLE 3 NUM 312                                                                 </v>
      </c>
      <c r="F282" s="26" t="str">
        <f>"AGRICOLA PANTITLAN                                                                                                                          "</f>
        <v xml:space="preserve">AGRICOLA PANTITLAN                                                                                                                          </v>
      </c>
      <c r="G282" s="26" t="str">
        <f>"IZTACALCO                                                                       "</f>
        <v xml:space="preserve">IZTACALCO                                                                       </v>
      </c>
      <c r="H282" s="26" t="str">
        <f>"354"</f>
        <v>354</v>
      </c>
      <c r="I282" s="26" t="str">
        <f t="shared" si="46"/>
        <v>00</v>
      </c>
      <c r="J282" s="26" t="str">
        <f>"43 "</f>
        <v xml:space="preserve">43 </v>
      </c>
      <c r="K282" s="26" t="str">
        <f t="shared" si="48"/>
        <v>PR</v>
      </c>
      <c r="L282" s="26" t="str">
        <f t="shared" si="49"/>
        <v>DGOSE</v>
      </c>
      <c r="M282" s="26" t="str">
        <f t="shared" si="47"/>
        <v>FEDERAL</v>
      </c>
      <c r="N282" s="26">
        <v>155</v>
      </c>
      <c r="O282" s="26">
        <v>75</v>
      </c>
      <c r="P282" s="26">
        <v>80</v>
      </c>
      <c r="Q282" s="26">
        <v>8</v>
      </c>
      <c r="R282" s="26">
        <v>1</v>
      </c>
      <c r="S282" s="26">
        <v>8</v>
      </c>
      <c r="T282" s="26">
        <v>5</v>
      </c>
      <c r="U282" s="26">
        <v>14</v>
      </c>
      <c r="V282" s="26">
        <v>1</v>
      </c>
      <c r="W282" s="26"/>
    </row>
    <row r="283" spans="1:23" x14ac:dyDescent="0.25">
      <c r="A283" s="26" t="str">
        <f t="shared" si="45"/>
        <v>PRIMARIA</v>
      </c>
      <c r="B283" s="26" t="str">
        <f>"09DPR1023F"</f>
        <v>09DPR1023F</v>
      </c>
      <c r="C283" s="26" t="str">
        <f>"FRANCISCO GOITIA                                                                                    "</f>
        <v xml:space="preserve">FRANCISCO GOITIA                                                                                    </v>
      </c>
      <c r="D283" s="26" t="str">
        <f>"TIEMPO COMPLETO"</f>
        <v>TIEMPO COMPLETO</v>
      </c>
      <c r="E283" s="26" t="str">
        <f>"CALLE SIN NOMBRE Y S/N ENTRE CALLES 10 Y 12                                     "</f>
        <v xml:space="preserve">CALLE SIN NOMBRE Y S/N ENTRE CALLES 10 Y 12                                     </v>
      </c>
      <c r="F283" s="26" t="str">
        <f>"REFORMA SOCIAL                                                                                                                              "</f>
        <v xml:space="preserve">REFORMA SOCIAL                                                                                                                              </v>
      </c>
      <c r="G283" s="26" t="str">
        <f>"MIGUEL HIDALGO                                                                  "</f>
        <v xml:space="preserve">MIGUEL HIDALGO                                                                  </v>
      </c>
      <c r="H283" s="26" t="str">
        <f>"111"</f>
        <v>111</v>
      </c>
      <c r="I283" s="26" t="str">
        <f t="shared" si="46"/>
        <v>00</v>
      </c>
      <c r="J283" s="26" t="str">
        <f>"41 "</f>
        <v xml:space="preserve">41 </v>
      </c>
      <c r="K283" s="26" t="str">
        <f t="shared" si="48"/>
        <v>PR</v>
      </c>
      <c r="L283" s="26" t="str">
        <f t="shared" si="49"/>
        <v>DGOSE</v>
      </c>
      <c r="M283" s="26" t="str">
        <f t="shared" si="47"/>
        <v>FEDERAL</v>
      </c>
      <c r="N283" s="26">
        <v>321</v>
      </c>
      <c r="O283" s="26">
        <v>173</v>
      </c>
      <c r="P283" s="26">
        <v>148</v>
      </c>
      <c r="Q283" s="26">
        <v>12</v>
      </c>
      <c r="R283" s="26">
        <v>1</v>
      </c>
      <c r="S283" s="26">
        <v>12</v>
      </c>
      <c r="T283" s="26">
        <v>11</v>
      </c>
      <c r="U283" s="26">
        <v>24</v>
      </c>
      <c r="V283" s="26">
        <v>1</v>
      </c>
      <c r="W283" s="26" t="s">
        <v>218</v>
      </c>
    </row>
    <row r="284" spans="1:23" x14ac:dyDescent="0.25">
      <c r="A284" s="26" t="str">
        <f t="shared" si="45"/>
        <v>PRIMARIA</v>
      </c>
      <c r="B284" s="26" t="str">
        <f>"09DPR1025D"</f>
        <v>09DPR1025D</v>
      </c>
      <c r="C284" s="26" t="str">
        <f>"CHAPULTEPEC                                                                                         "</f>
        <v xml:space="preserve">CHAPULTEPEC                                                                                         </v>
      </c>
      <c r="D284" s="26" t="str">
        <f>"MATUTINO"</f>
        <v>MATUTINO</v>
      </c>
      <c r="E284" s="26" t="str">
        <f>"PASEO DE LA REFORMA 1125                                                        "</f>
        <v xml:space="preserve">PASEO DE LA REFORMA 1125                                                        </v>
      </c>
      <c r="F284" s="26" t="str">
        <f>"LOMAS DE CHAPULTEPEC                                                                                                                        "</f>
        <v xml:space="preserve">LOMAS DE CHAPULTEPEC                                                                                                                        </v>
      </c>
      <c r="G284" s="26" t="str">
        <f>"MIGUEL HIDALGO                                                                  "</f>
        <v xml:space="preserve">MIGUEL HIDALGO                                                                  </v>
      </c>
      <c r="H284" s="26" t="str">
        <f>"209"</f>
        <v>209</v>
      </c>
      <c r="I284" s="26" t="str">
        <f t="shared" si="46"/>
        <v>00</v>
      </c>
      <c r="J284" s="26" t="str">
        <f>"42 "</f>
        <v xml:space="preserve">42 </v>
      </c>
      <c r="K284" s="26" t="str">
        <f t="shared" si="48"/>
        <v>PR</v>
      </c>
      <c r="L284" s="26" t="str">
        <f t="shared" si="49"/>
        <v>DGOSE</v>
      </c>
      <c r="M284" s="26" t="str">
        <f t="shared" si="47"/>
        <v>FEDERAL</v>
      </c>
      <c r="N284" s="26">
        <v>307</v>
      </c>
      <c r="O284" s="26">
        <v>160</v>
      </c>
      <c r="P284" s="26">
        <v>147</v>
      </c>
      <c r="Q284" s="26">
        <v>13</v>
      </c>
      <c r="R284" s="26">
        <v>1</v>
      </c>
      <c r="S284" s="26">
        <v>12</v>
      </c>
      <c r="T284" s="26">
        <v>10</v>
      </c>
      <c r="U284" s="26">
        <v>23</v>
      </c>
      <c r="V284" s="26">
        <v>1</v>
      </c>
      <c r="W284" s="26"/>
    </row>
    <row r="285" spans="1:23" x14ac:dyDescent="0.25">
      <c r="A285" s="26" t="str">
        <f t="shared" si="45"/>
        <v>PRIMARIA</v>
      </c>
      <c r="B285" s="26" t="str">
        <f>"09DPR1026C"</f>
        <v>09DPR1026C</v>
      </c>
      <c r="C285" s="26" t="str">
        <f>"SIETE DE JULIO                                                                                      "</f>
        <v xml:space="preserve">SIETE DE JULIO                                                                                      </v>
      </c>
      <c r="D285" s="26" t="str">
        <f>"JORNADA AMPLIADA"</f>
        <v>JORNADA AMPLIADA</v>
      </c>
      <c r="E285" s="26" t="str">
        <f>"3RA. CDA. DE SAN ANTONIO TOMTLAN 23 COL. SIETE DE JULIO                         "</f>
        <v xml:space="preserve">3RA. CDA. DE SAN ANTONIO TOMTLAN 23 COL. SIETE DE JULIO                         </v>
      </c>
      <c r="F285" s="26" t="str">
        <f>"7 DE JULIO                                                                                                                                  "</f>
        <v xml:space="preserve">7 DE JULIO                                                                                                                                  </v>
      </c>
      <c r="G285" s="26" t="str">
        <f t="shared" ref="G285:G292" si="50">"VENUSTIANO CARRANZA                                                             "</f>
        <v xml:space="preserve">VENUSTIANO CARRANZA                                                             </v>
      </c>
      <c r="H285" s="26" t="str">
        <f>"419"</f>
        <v>419</v>
      </c>
      <c r="I285" s="26" t="str">
        <f t="shared" si="46"/>
        <v>00</v>
      </c>
      <c r="J285" s="26" t="str">
        <f>"44 "</f>
        <v xml:space="preserve">44 </v>
      </c>
      <c r="K285" s="26" t="str">
        <f t="shared" si="48"/>
        <v>PR</v>
      </c>
      <c r="L285" s="26" t="str">
        <f t="shared" si="49"/>
        <v>DGOSE</v>
      </c>
      <c r="M285" s="26" t="str">
        <f t="shared" si="47"/>
        <v>FEDERAL</v>
      </c>
      <c r="N285" s="26">
        <v>210</v>
      </c>
      <c r="O285" s="26">
        <v>104</v>
      </c>
      <c r="P285" s="26">
        <v>106</v>
      </c>
      <c r="Q285" s="26">
        <v>7</v>
      </c>
      <c r="R285" s="26">
        <v>1</v>
      </c>
      <c r="S285" s="26">
        <v>7</v>
      </c>
      <c r="T285" s="26">
        <v>9</v>
      </c>
      <c r="U285" s="26">
        <v>17</v>
      </c>
      <c r="V285" s="26">
        <v>1</v>
      </c>
      <c r="W285" s="26" t="s">
        <v>2076</v>
      </c>
    </row>
    <row r="286" spans="1:23" x14ac:dyDescent="0.25">
      <c r="A286" s="26" t="str">
        <f t="shared" si="45"/>
        <v>PRIMARIA</v>
      </c>
      <c r="B286" s="26" t="str">
        <f>"09DPR1027B"</f>
        <v>09DPR1027B</v>
      </c>
      <c r="C286" s="26" t="str">
        <f>"SIMON BOLIVAR                                                                                       "</f>
        <v xml:space="preserve">SIMON BOLIVAR                                                                                       </v>
      </c>
      <c r="D286" s="26" t="str">
        <f>"JORNADA AMPLIADA"</f>
        <v>JORNADA AMPLIADA</v>
      </c>
      <c r="E286" s="26" t="str">
        <f>"CANTON Y CORONAS S/N                                                            "</f>
        <v xml:space="preserve">CANTON Y CORONAS S/N                                                            </v>
      </c>
      <c r="F286" s="26" t="str">
        <f>"SIMON BOLIVAR                                                                                                                               "</f>
        <v xml:space="preserve">SIMON BOLIVAR                                                                                                                               </v>
      </c>
      <c r="G286" s="26" t="str">
        <f t="shared" si="50"/>
        <v xml:space="preserve">VENUSTIANO CARRANZA                                                             </v>
      </c>
      <c r="H286" s="26" t="str">
        <f>"419"</f>
        <v>419</v>
      </c>
      <c r="I286" s="26" t="str">
        <f t="shared" si="46"/>
        <v>00</v>
      </c>
      <c r="J286" s="26" t="str">
        <f>"44 "</f>
        <v xml:space="preserve">44 </v>
      </c>
      <c r="K286" s="26" t="str">
        <f t="shared" si="48"/>
        <v>PR</v>
      </c>
      <c r="L286" s="26" t="str">
        <f t="shared" si="49"/>
        <v>DGOSE</v>
      </c>
      <c r="M286" s="26" t="str">
        <f t="shared" si="47"/>
        <v>FEDERAL</v>
      </c>
      <c r="N286" s="26">
        <v>194</v>
      </c>
      <c r="O286" s="26">
        <v>102</v>
      </c>
      <c r="P286" s="26">
        <v>92</v>
      </c>
      <c r="Q286" s="26">
        <v>7</v>
      </c>
      <c r="R286" s="26">
        <v>1</v>
      </c>
      <c r="S286" s="26">
        <v>6</v>
      </c>
      <c r="T286" s="26">
        <v>8</v>
      </c>
      <c r="U286" s="26">
        <v>15</v>
      </c>
      <c r="V286" s="26">
        <v>1</v>
      </c>
      <c r="W286" s="26" t="s">
        <v>2076</v>
      </c>
    </row>
    <row r="287" spans="1:23" x14ac:dyDescent="0.25">
      <c r="A287" s="26" t="str">
        <f t="shared" si="45"/>
        <v>PRIMARIA</v>
      </c>
      <c r="B287" s="26" t="str">
        <f>"09DPR1029Z"</f>
        <v>09DPR1029Z</v>
      </c>
      <c r="C287" s="26" t="str">
        <f>"ROBERTO LARA Y LOPEZ                                                                                "</f>
        <v xml:space="preserve">ROBERTO LARA Y LOPEZ                                                                                </v>
      </c>
      <c r="D287" s="26" t="str">
        <f>"JORNADA AMPLIADA"</f>
        <v>JORNADA AMPLIADA</v>
      </c>
      <c r="E287" s="26" t="str">
        <f>"PERSIA NOs 70 Y 72                                                              "</f>
        <v xml:space="preserve">PERSIA NOs 70 Y 72                                                              </v>
      </c>
      <c r="F287" s="26" t="str">
        <f>"ROMERO RUBIO                                                                                                                                "</f>
        <v xml:space="preserve">ROMERO RUBIO                                                                                                                                </v>
      </c>
      <c r="G287" s="26" t="str">
        <f t="shared" si="50"/>
        <v xml:space="preserve">VENUSTIANO CARRANZA                                                             </v>
      </c>
      <c r="H287" s="26" t="str">
        <f>"420"</f>
        <v>420</v>
      </c>
      <c r="I287" s="26" t="str">
        <f t="shared" si="46"/>
        <v>00</v>
      </c>
      <c r="J287" s="26" t="str">
        <f>"44 "</f>
        <v xml:space="preserve">44 </v>
      </c>
      <c r="K287" s="26" t="str">
        <f t="shared" si="48"/>
        <v>PR</v>
      </c>
      <c r="L287" s="26" t="str">
        <f t="shared" si="49"/>
        <v>DGOSE</v>
      </c>
      <c r="M287" s="26" t="str">
        <f t="shared" si="47"/>
        <v>FEDERAL</v>
      </c>
      <c r="N287" s="26">
        <v>184</v>
      </c>
      <c r="O287" s="26">
        <v>78</v>
      </c>
      <c r="P287" s="26">
        <v>106</v>
      </c>
      <c r="Q287" s="26">
        <v>6</v>
      </c>
      <c r="R287" s="26">
        <v>1</v>
      </c>
      <c r="S287" s="26">
        <v>6</v>
      </c>
      <c r="T287" s="26">
        <v>6</v>
      </c>
      <c r="U287" s="26">
        <v>13</v>
      </c>
      <c r="V287" s="26">
        <v>1</v>
      </c>
      <c r="W287" s="26" t="s">
        <v>2076</v>
      </c>
    </row>
    <row r="288" spans="1:23" x14ac:dyDescent="0.25">
      <c r="A288" s="26" t="str">
        <f t="shared" si="45"/>
        <v>PRIMARIA</v>
      </c>
      <c r="B288" s="26" t="str">
        <f>"09DPR1032N"</f>
        <v>09DPR1032N</v>
      </c>
      <c r="C288" s="26" t="str">
        <f>"REPUBLICA DE PERU                                                                                   "</f>
        <v xml:space="preserve">REPUBLICA DE PERU                                                                                   </v>
      </c>
      <c r="D288" s="26" t="str">
        <f>"JORNADA AMPLIADA"</f>
        <v>JORNADA AMPLIADA</v>
      </c>
      <c r="E288" s="26" t="str">
        <f>"NORTE 176 # 576                                                                 "</f>
        <v xml:space="preserve">NORTE 176 # 576                                                                 </v>
      </c>
      <c r="F288" s="26" t="str">
        <f>"PENSADOR MEXICANO                                                                                                                           "</f>
        <v xml:space="preserve">PENSADOR MEXICANO                                                                                                                           </v>
      </c>
      <c r="G288" s="26" t="str">
        <f t="shared" si="50"/>
        <v xml:space="preserve">VENUSTIANO CARRANZA                                                             </v>
      </c>
      <c r="H288" s="26" t="str">
        <f>"421"</f>
        <v>421</v>
      </c>
      <c r="I288" s="26" t="str">
        <f t="shared" si="46"/>
        <v>00</v>
      </c>
      <c r="J288" s="26" t="str">
        <f>"44 "</f>
        <v xml:space="preserve">44 </v>
      </c>
      <c r="K288" s="26" t="str">
        <f t="shared" si="48"/>
        <v>PR</v>
      </c>
      <c r="L288" s="26" t="str">
        <f t="shared" si="49"/>
        <v>DGOSE</v>
      </c>
      <c r="M288" s="26" t="str">
        <f t="shared" si="47"/>
        <v>FEDERAL</v>
      </c>
      <c r="N288" s="26">
        <v>248</v>
      </c>
      <c r="O288" s="26">
        <v>122</v>
      </c>
      <c r="P288" s="26">
        <v>126</v>
      </c>
      <c r="Q288" s="26">
        <v>9</v>
      </c>
      <c r="R288" s="26">
        <v>1</v>
      </c>
      <c r="S288" s="26">
        <v>9</v>
      </c>
      <c r="T288" s="26">
        <v>11</v>
      </c>
      <c r="U288" s="26">
        <v>21</v>
      </c>
      <c r="V288" s="26">
        <v>1</v>
      </c>
      <c r="W288" s="26" t="s">
        <v>2076</v>
      </c>
    </row>
    <row r="289" spans="1:23" x14ac:dyDescent="0.25">
      <c r="A289" s="26" t="str">
        <f t="shared" si="45"/>
        <v>PRIMARIA</v>
      </c>
      <c r="B289" s="26" t="str">
        <f>"09DPR1033M"</f>
        <v>09DPR1033M</v>
      </c>
      <c r="C289" s="26" t="str">
        <f>"REPUBLICA ARABE UNIDA                                                                               "</f>
        <v xml:space="preserve">REPUBLICA ARABE UNIDA                                                                               </v>
      </c>
      <c r="D289" s="26" t="str">
        <f>"VESPERTINO"</f>
        <v>VESPERTINO</v>
      </c>
      <c r="E289" s="26" t="str">
        <f>"MALINCHE Y AXAYACATL                                                            "</f>
        <v xml:space="preserve">MALINCHE Y AXAYACATL                                                            </v>
      </c>
      <c r="F289" s="26" t="str">
        <f>"ARENAL 1A SECCION                                                                                                                           "</f>
        <v xml:space="preserve">ARENAL 1A SECCION                                                                                                                           </v>
      </c>
      <c r="G289" s="26" t="str">
        <f t="shared" si="50"/>
        <v xml:space="preserve">VENUSTIANO CARRANZA                                                             </v>
      </c>
      <c r="H289" s="26" t="str">
        <f>"352"</f>
        <v>352</v>
      </c>
      <c r="I289" s="26" t="str">
        <f t="shared" si="46"/>
        <v>00</v>
      </c>
      <c r="J289" s="26" t="str">
        <f>"43 "</f>
        <v xml:space="preserve">43 </v>
      </c>
      <c r="K289" s="26" t="str">
        <f t="shared" si="48"/>
        <v>PR</v>
      </c>
      <c r="L289" s="26" t="str">
        <f t="shared" si="49"/>
        <v>DGOSE</v>
      </c>
      <c r="M289" s="26" t="str">
        <f t="shared" si="47"/>
        <v>FEDERAL</v>
      </c>
      <c r="N289" s="26">
        <v>172</v>
      </c>
      <c r="O289" s="26">
        <v>88</v>
      </c>
      <c r="P289" s="26">
        <v>84</v>
      </c>
      <c r="Q289" s="26">
        <v>7</v>
      </c>
      <c r="R289" s="26">
        <v>1</v>
      </c>
      <c r="S289" s="26">
        <v>7</v>
      </c>
      <c r="T289" s="26">
        <v>6</v>
      </c>
      <c r="U289" s="26">
        <v>14</v>
      </c>
      <c r="V289" s="26">
        <v>1</v>
      </c>
      <c r="W289" s="26"/>
    </row>
    <row r="290" spans="1:23" x14ac:dyDescent="0.25">
      <c r="A290" s="26" t="str">
        <f t="shared" si="45"/>
        <v>PRIMARIA</v>
      </c>
      <c r="B290" s="26" t="str">
        <f>"09DPR1034L"</f>
        <v>09DPR1034L</v>
      </c>
      <c r="C290" s="26" t="str">
        <f>"REPUBLICA DE LIBERIA                                                                                "</f>
        <v xml:space="preserve">REPUBLICA DE LIBERIA                                                                                </v>
      </c>
      <c r="D290" s="26" t="str">
        <f>"JORNADA AMPLIADA"</f>
        <v>JORNADA AMPLIADA</v>
      </c>
      <c r="E290" s="26" t="str">
        <f>"RETORNO 29 DE FRAY SERVANDO T M                                                 "</f>
        <v xml:space="preserve">RETORNO 29 DE FRAY SERVANDO T M                                                 </v>
      </c>
      <c r="F290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290" s="26" t="str">
        <f t="shared" si="50"/>
        <v xml:space="preserve">VENUSTIANO CARRANZA                                                             </v>
      </c>
      <c r="H290" s="26" t="str">
        <f>"423"</f>
        <v>423</v>
      </c>
      <c r="I290" s="26" t="str">
        <f t="shared" si="46"/>
        <v>00</v>
      </c>
      <c r="J290" s="26" t="str">
        <f>"44 "</f>
        <v xml:space="preserve">44 </v>
      </c>
      <c r="K290" s="26" t="str">
        <f t="shared" si="48"/>
        <v>PR</v>
      </c>
      <c r="L290" s="26" t="str">
        <f t="shared" si="49"/>
        <v>DGOSE</v>
      </c>
      <c r="M290" s="26" t="str">
        <f t="shared" si="47"/>
        <v>FEDERAL</v>
      </c>
      <c r="N290" s="26">
        <v>209</v>
      </c>
      <c r="O290" s="26">
        <v>100</v>
      </c>
      <c r="P290" s="26">
        <v>109</v>
      </c>
      <c r="Q290" s="26">
        <v>7</v>
      </c>
      <c r="R290" s="26">
        <v>1</v>
      </c>
      <c r="S290" s="26">
        <v>7</v>
      </c>
      <c r="T290" s="26">
        <v>10</v>
      </c>
      <c r="U290" s="26">
        <v>18</v>
      </c>
      <c r="V290" s="26">
        <v>1</v>
      </c>
      <c r="W290" s="26" t="s">
        <v>2076</v>
      </c>
    </row>
    <row r="291" spans="1:23" x14ac:dyDescent="0.25">
      <c r="A291" s="26" t="str">
        <f t="shared" si="45"/>
        <v>PRIMARIA</v>
      </c>
      <c r="B291" s="26" t="str">
        <f>"09DPR1037I"</f>
        <v>09DPR1037I</v>
      </c>
      <c r="C291" s="26" t="str">
        <f>"RAFAEL VALENZUELA                                                                                   "</f>
        <v xml:space="preserve">RAFAEL VALENZUELA                                                                                   </v>
      </c>
      <c r="D291" s="26" t="str">
        <f>"JORNADA AMPLIADA"</f>
        <v>JORNADA AMPLIADA</v>
      </c>
      <c r="E291" s="26" t="str">
        <f>"CALLE 31 Y AV 12 S/N                                                            "</f>
        <v xml:space="preserve">CALLE 31 Y AV 12 S/N                                                            </v>
      </c>
      <c r="F291" s="26" t="str">
        <f>"ZARAGOZA                                                                                                                                    "</f>
        <v xml:space="preserve">ZARAGOZA                                                                                                                                    </v>
      </c>
      <c r="G291" s="26" t="str">
        <f t="shared" si="50"/>
        <v xml:space="preserve">VENUSTIANO CARRANZA                                                             </v>
      </c>
      <c r="H291" s="26" t="str">
        <f>"425"</f>
        <v>425</v>
      </c>
      <c r="I291" s="26" t="str">
        <f t="shared" si="46"/>
        <v>00</v>
      </c>
      <c r="J291" s="26" t="str">
        <f>"44 "</f>
        <v xml:space="preserve">44 </v>
      </c>
      <c r="K291" s="26" t="str">
        <f t="shared" si="48"/>
        <v>PR</v>
      </c>
      <c r="L291" s="26" t="str">
        <f t="shared" si="49"/>
        <v>DGOSE</v>
      </c>
      <c r="M291" s="26" t="str">
        <f t="shared" si="47"/>
        <v>FEDERAL</v>
      </c>
      <c r="N291" s="26">
        <v>169</v>
      </c>
      <c r="O291" s="26">
        <v>83</v>
      </c>
      <c r="P291" s="26">
        <v>86</v>
      </c>
      <c r="Q291" s="26">
        <v>6</v>
      </c>
      <c r="R291" s="26">
        <v>1</v>
      </c>
      <c r="S291" s="26">
        <v>6</v>
      </c>
      <c r="T291" s="26">
        <v>7</v>
      </c>
      <c r="U291" s="26">
        <v>14</v>
      </c>
      <c r="V291" s="26">
        <v>1</v>
      </c>
      <c r="W291" s="26" t="s">
        <v>2076</v>
      </c>
    </row>
    <row r="292" spans="1:23" x14ac:dyDescent="0.25">
      <c r="A292" s="26" t="str">
        <f t="shared" si="45"/>
        <v>PRIMARIA</v>
      </c>
      <c r="B292" s="26" t="str">
        <f>"09DPR1041V"</f>
        <v>09DPR1041V</v>
      </c>
      <c r="C292" s="26" t="str">
        <f>"PROFR. RAFAEL JIMENEZ                                                                               "</f>
        <v xml:space="preserve">PROFR. RAFAEL JIMENEZ                                                                               </v>
      </c>
      <c r="D292" s="26" t="str">
        <f>"JORNADA AMPLIADA"</f>
        <v>JORNADA AMPLIADA</v>
      </c>
      <c r="E292" s="26" t="str">
        <f>"SUPREMA CORTE DE JUSTICIA S/N                                                   "</f>
        <v xml:space="preserve">SUPREMA CORTE DE JUSTICIA S/N                                                   </v>
      </c>
      <c r="F292" s="26" t="str">
        <f>"FEDERAL                                                                                                                                     "</f>
        <v xml:space="preserve">FEDERAL                                                                                                                                     </v>
      </c>
      <c r="G292" s="26" t="str">
        <f t="shared" si="50"/>
        <v xml:space="preserve">VENUSTIANO CARRANZA                                                             </v>
      </c>
      <c r="H292" s="26" t="str">
        <f>"426"</f>
        <v>426</v>
      </c>
      <c r="I292" s="26" t="str">
        <f t="shared" si="46"/>
        <v>00</v>
      </c>
      <c r="J292" s="26" t="str">
        <f>"44 "</f>
        <v xml:space="preserve">44 </v>
      </c>
      <c r="K292" s="26" t="str">
        <f t="shared" si="48"/>
        <v>PR</v>
      </c>
      <c r="L292" s="26" t="str">
        <f t="shared" si="49"/>
        <v>DGOSE</v>
      </c>
      <c r="M292" s="26" t="str">
        <f t="shared" si="47"/>
        <v>FEDERAL</v>
      </c>
      <c r="N292" s="26">
        <v>411</v>
      </c>
      <c r="O292" s="26">
        <v>206</v>
      </c>
      <c r="P292" s="26">
        <v>205</v>
      </c>
      <c r="Q292" s="26">
        <v>15</v>
      </c>
      <c r="R292" s="26">
        <v>1</v>
      </c>
      <c r="S292" s="26">
        <v>14</v>
      </c>
      <c r="T292" s="26">
        <v>13</v>
      </c>
      <c r="U292" s="26">
        <v>28</v>
      </c>
      <c r="V292" s="26">
        <v>1</v>
      </c>
      <c r="W292" s="26" t="s">
        <v>2076</v>
      </c>
    </row>
    <row r="293" spans="1:23" x14ac:dyDescent="0.25">
      <c r="A293" s="26" t="str">
        <f t="shared" si="45"/>
        <v>PRIMARIA</v>
      </c>
      <c r="B293" s="26" t="str">
        <f>"09DPR1043T"</f>
        <v>09DPR1043T</v>
      </c>
      <c r="C293" s="26" t="str">
        <f>"PUEBLA DE ZARAGOZA                                                                                  "</f>
        <v xml:space="preserve">PUEBLA DE ZARAGOZA                                                                                  </v>
      </c>
      <c r="D293" s="26" t="str">
        <f>"JORNADA AMPLIADA"</f>
        <v>JORNADA AMPLIADA</v>
      </c>
      <c r="E293" s="26" t="str">
        <f>"ORIENTE 217 A Y B NUM 59                                                        "</f>
        <v xml:space="preserve">ORIENTE 217 A Y B NUM 59                                                        </v>
      </c>
      <c r="F293" s="26" t="str">
        <f>"CUCHILLA AGRICOLA ORIENTAL                                                                                                                  "</f>
        <v xml:space="preserve">CUCHILLA AGRICOLA ORIENTAL                                                                                                                  </v>
      </c>
      <c r="G293" s="26" t="str">
        <f>"IZTACALCO                                                                       "</f>
        <v xml:space="preserve">IZTACALCO                                                                       </v>
      </c>
      <c r="H293" s="26" t="str">
        <f>"427"</f>
        <v>427</v>
      </c>
      <c r="I293" s="26" t="str">
        <f t="shared" si="46"/>
        <v>00</v>
      </c>
      <c r="J293" s="26" t="str">
        <f>"44 "</f>
        <v xml:space="preserve">44 </v>
      </c>
      <c r="K293" s="26" t="str">
        <f t="shared" si="48"/>
        <v>PR</v>
      </c>
      <c r="L293" s="26" t="str">
        <f t="shared" si="49"/>
        <v>DGOSE</v>
      </c>
      <c r="M293" s="26" t="str">
        <f t="shared" si="47"/>
        <v>FEDERAL</v>
      </c>
      <c r="N293" s="26">
        <v>297</v>
      </c>
      <c r="O293" s="26">
        <v>155</v>
      </c>
      <c r="P293" s="26">
        <v>142</v>
      </c>
      <c r="Q293" s="26">
        <v>11</v>
      </c>
      <c r="R293" s="26">
        <v>1</v>
      </c>
      <c r="S293" s="26">
        <v>11</v>
      </c>
      <c r="T293" s="26">
        <v>11</v>
      </c>
      <c r="U293" s="26">
        <v>23</v>
      </c>
      <c r="V293" s="26">
        <v>1</v>
      </c>
      <c r="W293" s="26" t="s">
        <v>2076</v>
      </c>
    </row>
    <row r="294" spans="1:23" x14ac:dyDescent="0.25">
      <c r="A294" s="26" t="str">
        <f t="shared" si="45"/>
        <v>PRIMARIA</v>
      </c>
      <c r="B294" s="26" t="str">
        <f>"09DPR1044S"</f>
        <v>09DPR1044S</v>
      </c>
      <c r="C294" s="26" t="str">
        <f>"PLAN DE AYUTLA                                                                                      "</f>
        <v xml:space="preserve">PLAN DE AYUTLA                                                                                      </v>
      </c>
      <c r="D294" s="26" t="str">
        <f>"MATUTINO"</f>
        <v>MATUTINO</v>
      </c>
      <c r="E294" s="26" t="str">
        <f>"TRANSVAL Y DAMASCO S/N                                                          "</f>
        <v xml:space="preserve">TRANSVAL Y DAMASCO S/N                                                          </v>
      </c>
      <c r="F294" s="26" t="str">
        <f>"ROMERO RUBIO                                                                                                                                "</f>
        <v xml:space="preserve">ROMERO RUBIO                                                                                                                                </v>
      </c>
      <c r="G294" s="26" t="str">
        <f>"VENUSTIANO CARRANZA                                                             "</f>
        <v xml:space="preserve">VENUSTIANO CARRANZA                                                             </v>
      </c>
      <c r="H294" s="26" t="str">
        <f>"345"</f>
        <v>345</v>
      </c>
      <c r="I294" s="26" t="str">
        <f t="shared" si="46"/>
        <v>00</v>
      </c>
      <c r="J294" s="26" t="str">
        <f>"43 "</f>
        <v xml:space="preserve">43 </v>
      </c>
      <c r="K294" s="26" t="str">
        <f t="shared" si="48"/>
        <v>PR</v>
      </c>
      <c r="L294" s="26" t="str">
        <f t="shared" si="49"/>
        <v>DGOSE</v>
      </c>
      <c r="M294" s="26" t="str">
        <f t="shared" si="47"/>
        <v>FEDERAL</v>
      </c>
      <c r="N294" s="26">
        <v>294</v>
      </c>
      <c r="O294" s="26">
        <v>155</v>
      </c>
      <c r="P294" s="26">
        <v>139</v>
      </c>
      <c r="Q294" s="26">
        <v>12</v>
      </c>
      <c r="R294" s="26">
        <v>1</v>
      </c>
      <c r="S294" s="26">
        <v>12</v>
      </c>
      <c r="T294" s="26">
        <v>7</v>
      </c>
      <c r="U294" s="26">
        <v>20</v>
      </c>
      <c r="V294" s="26">
        <v>1</v>
      </c>
      <c r="W294" s="26"/>
    </row>
    <row r="295" spans="1:23" x14ac:dyDescent="0.25">
      <c r="A295" s="26" t="str">
        <f t="shared" si="45"/>
        <v>PRIMARIA</v>
      </c>
      <c r="B295" s="26" t="str">
        <f>"09DPR1046Q"</f>
        <v>09DPR1046Q</v>
      </c>
      <c r="C295" s="26" t="str">
        <f>"PLAN DE AYUTLA                                                                                      "</f>
        <v xml:space="preserve">PLAN DE AYUTLA                                                                                      </v>
      </c>
      <c r="D295" s="26" t="str">
        <f>"VESPERTINO"</f>
        <v>VESPERTINO</v>
      </c>
      <c r="E295" s="26" t="str">
        <f>"TRANSVAL Y DAMASCO S/N                                                          "</f>
        <v xml:space="preserve">TRANSVAL Y DAMASCO S/N                                                          </v>
      </c>
      <c r="F295" s="26" t="str">
        <f>"ROMERO RUBIO                                                                                                                                "</f>
        <v xml:space="preserve">ROMERO RUBIO                                                                                                                                </v>
      </c>
      <c r="G295" s="26" t="str">
        <f>"VENUSTIANO CARRANZA                                                             "</f>
        <v xml:space="preserve">VENUSTIANO CARRANZA                                                             </v>
      </c>
      <c r="H295" s="26" t="str">
        <f>"345"</f>
        <v>345</v>
      </c>
      <c r="I295" s="26" t="str">
        <f t="shared" si="46"/>
        <v>00</v>
      </c>
      <c r="J295" s="26" t="str">
        <f>"43 "</f>
        <v xml:space="preserve">43 </v>
      </c>
      <c r="K295" s="26" t="str">
        <f t="shared" si="48"/>
        <v>PR</v>
      </c>
      <c r="L295" s="26" t="str">
        <f t="shared" si="49"/>
        <v>DGOSE</v>
      </c>
      <c r="M295" s="26" t="str">
        <f t="shared" si="47"/>
        <v>FEDERAL</v>
      </c>
      <c r="N295" s="26">
        <v>92</v>
      </c>
      <c r="O295" s="26">
        <v>56</v>
      </c>
      <c r="P295" s="26">
        <v>36</v>
      </c>
      <c r="Q295" s="26">
        <v>6</v>
      </c>
      <c r="R295" s="26">
        <v>1</v>
      </c>
      <c r="S295" s="26">
        <v>6</v>
      </c>
      <c r="T295" s="26">
        <v>7</v>
      </c>
      <c r="U295" s="26">
        <v>14</v>
      </c>
      <c r="V295" s="26">
        <v>1</v>
      </c>
      <c r="W295" s="26"/>
    </row>
    <row r="296" spans="1:23" x14ac:dyDescent="0.25">
      <c r="A296" s="26" t="str">
        <f t="shared" si="45"/>
        <v>PRIMARIA</v>
      </c>
      <c r="B296" s="26" t="str">
        <f>"09DPR1047P"</f>
        <v>09DPR1047P</v>
      </c>
      <c r="C296" s="26" t="str">
        <f>"PEDRO ROMERO DE TERREROS                                                                            "</f>
        <v xml:space="preserve">PEDRO ROMERO DE TERREROS                                                                            </v>
      </c>
      <c r="D296" s="26" t="str">
        <f>"VESPERTINO"</f>
        <v>VESPERTINO</v>
      </c>
      <c r="E296" s="26" t="str">
        <f>"CALLE 4 NO 200                                                                  "</f>
        <v xml:space="preserve">CALLE 4 NO 200                                                                  </v>
      </c>
      <c r="F296" s="26" t="str">
        <f>"AGRICOLA PANTITLAN                                                                                                                          "</f>
        <v xml:space="preserve">AGRICOLA PANTITLAN                                                                                                                          </v>
      </c>
      <c r="G296" s="26" t="str">
        <f>"IZTACALCO                                                                       "</f>
        <v xml:space="preserve">IZTACALCO                                                                       </v>
      </c>
      <c r="H296" s="26" t="str">
        <f>"355"</f>
        <v>355</v>
      </c>
      <c r="I296" s="26" t="str">
        <f t="shared" si="46"/>
        <v>00</v>
      </c>
      <c r="J296" s="26" t="str">
        <f>"43 "</f>
        <v xml:space="preserve">43 </v>
      </c>
      <c r="K296" s="26" t="str">
        <f t="shared" si="48"/>
        <v>PR</v>
      </c>
      <c r="L296" s="26" t="str">
        <f t="shared" si="49"/>
        <v>DGOSE</v>
      </c>
      <c r="M296" s="26" t="str">
        <f t="shared" si="47"/>
        <v>FEDERAL</v>
      </c>
      <c r="N296" s="26">
        <v>119</v>
      </c>
      <c r="O296" s="26">
        <v>50</v>
      </c>
      <c r="P296" s="26">
        <v>69</v>
      </c>
      <c r="Q296" s="26">
        <v>7</v>
      </c>
      <c r="R296" s="26">
        <v>1</v>
      </c>
      <c r="S296" s="26">
        <v>7</v>
      </c>
      <c r="T296" s="26">
        <v>9</v>
      </c>
      <c r="U296" s="26">
        <v>17</v>
      </c>
      <c r="V296" s="26">
        <v>1</v>
      </c>
      <c r="W296" s="26"/>
    </row>
    <row r="297" spans="1:23" x14ac:dyDescent="0.25">
      <c r="A297" s="26" t="str">
        <f t="shared" si="45"/>
        <v>PRIMARIA</v>
      </c>
      <c r="B297" s="26" t="str">
        <f>"09DPR1048O"</f>
        <v>09DPR1048O</v>
      </c>
      <c r="C297" s="26" t="str">
        <f>"PEDRO ROMERO DE TERREROS                                                                            "</f>
        <v xml:space="preserve">PEDRO ROMERO DE TERREROS                                                                            </v>
      </c>
      <c r="D297" s="26" t="str">
        <f>"MATUTINO"</f>
        <v>MATUTINO</v>
      </c>
      <c r="E297" s="26" t="str">
        <f>"CALLE 4 NUM 200                                                                 "</f>
        <v xml:space="preserve">CALLE 4 NUM 200                                                                 </v>
      </c>
      <c r="F297" s="26" t="str">
        <f>"AGRICOLA PANTITLAN                                                                                                                          "</f>
        <v xml:space="preserve">AGRICOLA PANTITLAN                                                                                                                          </v>
      </c>
      <c r="G297" s="26" t="str">
        <f>"IZTACALCO                                                                       "</f>
        <v xml:space="preserve">IZTACALCO                                                                       </v>
      </c>
      <c r="H297" s="26" t="str">
        <f>"355"</f>
        <v>355</v>
      </c>
      <c r="I297" s="26" t="str">
        <f t="shared" si="46"/>
        <v>00</v>
      </c>
      <c r="J297" s="26" t="str">
        <f>"43 "</f>
        <v xml:space="preserve">43 </v>
      </c>
      <c r="K297" s="26" t="str">
        <f t="shared" si="48"/>
        <v>PR</v>
      </c>
      <c r="L297" s="26" t="str">
        <f t="shared" si="49"/>
        <v>DGOSE</v>
      </c>
      <c r="M297" s="26" t="str">
        <f t="shared" si="47"/>
        <v>FEDERAL</v>
      </c>
      <c r="N297" s="26">
        <v>413</v>
      </c>
      <c r="O297" s="26">
        <v>193</v>
      </c>
      <c r="P297" s="26">
        <v>220</v>
      </c>
      <c r="Q297" s="26">
        <v>16</v>
      </c>
      <c r="R297" s="26">
        <v>1</v>
      </c>
      <c r="S297" s="26">
        <v>16</v>
      </c>
      <c r="T297" s="26">
        <v>9</v>
      </c>
      <c r="U297" s="26">
        <v>26</v>
      </c>
      <c r="V297" s="26">
        <v>1</v>
      </c>
      <c r="W297" s="26"/>
    </row>
    <row r="298" spans="1:23" x14ac:dyDescent="0.25">
      <c r="A298" s="26" t="str">
        <f t="shared" si="45"/>
        <v>PRIMARIA</v>
      </c>
      <c r="B298" s="26" t="str">
        <f>"09DPR1049N"</f>
        <v>09DPR1049N</v>
      </c>
      <c r="C298" s="26" t="str">
        <f>"INSURGENTE PEDRO MORENO                                                                             "</f>
        <v xml:space="preserve">INSURGENTE PEDRO MORENO                                                                             </v>
      </c>
      <c r="D298" s="26" t="str">
        <f>"MATUTINO"</f>
        <v>MATUTINO</v>
      </c>
      <c r="E298" s="26" t="str">
        <f>"GRAL. JESUS ALMANZA NO. 4                                                       "</f>
        <v xml:space="preserve">GRAL. JESUS ALMANZA NO. 4                                                       </v>
      </c>
      <c r="F298" s="26" t="str">
        <f>"TEPALCATES                                                                                                                                  "</f>
        <v xml:space="preserve">TEPALCATES                                                                                                                                  </v>
      </c>
      <c r="G298" s="26" t="str">
        <f>"IZTAPALAPA                                                                      "</f>
        <v xml:space="preserve">IZTAPALAPA                                                                      </v>
      </c>
      <c r="H298" s="26" t="str">
        <f>"018"</f>
        <v>018</v>
      </c>
      <c r="I298" s="26" t="str">
        <f t="shared" si="46"/>
        <v>00</v>
      </c>
      <c r="J298" s="26" t="str">
        <f>"62 "</f>
        <v xml:space="preserve">62 </v>
      </c>
      <c r="K298" s="26" t="str">
        <f>"IZ"</f>
        <v>IZ</v>
      </c>
      <c r="L298" s="26" t="str">
        <f>"DGSEI"</f>
        <v>DGSEI</v>
      </c>
      <c r="M298" s="26" t="str">
        <f t="shared" si="47"/>
        <v>FEDERAL</v>
      </c>
      <c r="N298" s="26">
        <v>254</v>
      </c>
      <c r="O298" s="26">
        <v>128</v>
      </c>
      <c r="P298" s="26">
        <v>126</v>
      </c>
      <c r="Q298" s="26">
        <v>9</v>
      </c>
      <c r="R298" s="26">
        <v>1</v>
      </c>
      <c r="S298" s="26">
        <v>9</v>
      </c>
      <c r="T298" s="26">
        <v>5</v>
      </c>
      <c r="U298" s="26">
        <v>15</v>
      </c>
      <c r="V298" s="26">
        <v>1</v>
      </c>
      <c r="W298" s="26"/>
    </row>
    <row r="299" spans="1:23" x14ac:dyDescent="0.25">
      <c r="A299" s="26" t="str">
        <f t="shared" si="45"/>
        <v>PRIMARIA</v>
      </c>
      <c r="B299" s="26" t="str">
        <f>"09DPR1050C"</f>
        <v>09DPR1050C</v>
      </c>
      <c r="C299" s="26" t="str">
        <f>"INSURGENTE PEDRO MORENO                                                                             "</f>
        <v xml:space="preserve">INSURGENTE PEDRO MORENO                                                                             </v>
      </c>
      <c r="D299" s="26" t="str">
        <f>"VESPERTINO"</f>
        <v>VESPERTINO</v>
      </c>
      <c r="E299" s="26" t="str">
        <f>"GRAL. JESUS ALMANZA NO. 4                                                       "</f>
        <v xml:space="preserve">GRAL. JESUS ALMANZA NO. 4                                                       </v>
      </c>
      <c r="F299" s="26" t="str">
        <f>"TEPALCATES                                                                                                                                  "</f>
        <v xml:space="preserve">TEPALCATES                                                                                                                                  </v>
      </c>
      <c r="G299" s="26" t="str">
        <f>"IZTAPALAPA                                                                      "</f>
        <v xml:space="preserve">IZTAPALAPA                                                                      </v>
      </c>
      <c r="H299" s="26" t="str">
        <f>"018"</f>
        <v>018</v>
      </c>
      <c r="I299" s="26" t="str">
        <f t="shared" si="46"/>
        <v>00</v>
      </c>
      <c r="J299" s="26" t="str">
        <f>"62 "</f>
        <v xml:space="preserve">62 </v>
      </c>
      <c r="K299" s="26" t="str">
        <f>"IZ"</f>
        <v>IZ</v>
      </c>
      <c r="L299" s="26" t="str">
        <f>"DGSEI"</f>
        <v>DGSEI</v>
      </c>
      <c r="M299" s="26" t="str">
        <f t="shared" si="47"/>
        <v>FEDERAL</v>
      </c>
      <c r="N299" s="26">
        <v>170</v>
      </c>
      <c r="O299" s="26">
        <v>97</v>
      </c>
      <c r="P299" s="26">
        <v>73</v>
      </c>
      <c r="Q299" s="26">
        <v>9</v>
      </c>
      <c r="R299" s="26">
        <v>1</v>
      </c>
      <c r="S299" s="26">
        <v>9</v>
      </c>
      <c r="T299" s="26">
        <v>4</v>
      </c>
      <c r="U299" s="26">
        <v>14</v>
      </c>
      <c r="V299" s="26">
        <v>1</v>
      </c>
      <c r="W299" s="26"/>
    </row>
    <row r="300" spans="1:23" x14ac:dyDescent="0.25">
      <c r="A300" s="26" t="str">
        <f t="shared" si="45"/>
        <v>PRIMARIA</v>
      </c>
      <c r="B300" s="26" t="str">
        <f>"09DPR1051B"</f>
        <v>09DPR1051B</v>
      </c>
      <c r="C300" s="26" t="str">
        <f>"PONCIANO QUIROZ HERRERA                                                                             "</f>
        <v xml:space="preserve">PONCIANO QUIROZ HERRERA                                                                             </v>
      </c>
      <c r="D300" s="26" t="str">
        <f>"VESPERTINO"</f>
        <v>VESPERTINO</v>
      </c>
      <c r="E300" s="26" t="str">
        <f>"AV JAVIER ROJO GOMEZ No.324                                                     "</f>
        <v xml:space="preserve">AV JAVIER ROJO GOMEZ No.324                                                     </v>
      </c>
      <c r="F300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300" s="26" t="str">
        <f>"IZTACALCO                                                                       "</f>
        <v xml:space="preserve">IZTACALCO                                                                       </v>
      </c>
      <c r="H300" s="26" t="str">
        <f>"357"</f>
        <v>357</v>
      </c>
      <c r="I300" s="26" t="str">
        <f t="shared" si="46"/>
        <v>00</v>
      </c>
      <c r="J300" s="26" t="str">
        <f>"43 "</f>
        <v xml:space="preserve">43 </v>
      </c>
      <c r="K300" s="26" t="str">
        <f t="shared" ref="K300:K316" si="51">"PR"</f>
        <v>PR</v>
      </c>
      <c r="L300" s="26" t="str">
        <f t="shared" ref="L300:L316" si="52">"DGOSE"</f>
        <v>DGOSE</v>
      </c>
      <c r="M300" s="26" t="str">
        <f t="shared" si="47"/>
        <v>FEDERAL</v>
      </c>
      <c r="N300" s="26">
        <v>68</v>
      </c>
      <c r="O300" s="26">
        <v>39</v>
      </c>
      <c r="P300" s="26">
        <v>29</v>
      </c>
      <c r="Q300" s="26">
        <v>6</v>
      </c>
      <c r="R300" s="26">
        <v>1</v>
      </c>
      <c r="S300" s="26">
        <v>6</v>
      </c>
      <c r="T300" s="26">
        <v>6</v>
      </c>
      <c r="U300" s="26">
        <v>13</v>
      </c>
      <c r="V300" s="26">
        <v>1</v>
      </c>
      <c r="W300" s="26"/>
    </row>
    <row r="301" spans="1:23" x14ac:dyDescent="0.25">
      <c r="A301" s="26" t="str">
        <f t="shared" si="45"/>
        <v>PRIMARIA</v>
      </c>
      <c r="B301" s="26" t="str">
        <f>"09DPR1052A"</f>
        <v>09DPR1052A</v>
      </c>
      <c r="C301" s="26" t="str">
        <f>"PONCIANO QUIROZ HERRERA                                                                             "</f>
        <v xml:space="preserve">PONCIANO QUIROZ HERRERA                                                                             </v>
      </c>
      <c r="D301" s="26" t="str">
        <f>"MATUTINO"</f>
        <v>MATUTINO</v>
      </c>
      <c r="E301" s="26" t="str">
        <f>"AV JAVIER ROJO GOMEZ No.324                                                     "</f>
        <v xml:space="preserve">AV JAVIER ROJO GOMEZ No.324                                                     </v>
      </c>
      <c r="F301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301" s="26" t="str">
        <f>"IZTACALCO                                                                       "</f>
        <v xml:space="preserve">IZTACALCO                                                                       </v>
      </c>
      <c r="H301" s="26" t="str">
        <f>"357"</f>
        <v>357</v>
      </c>
      <c r="I301" s="26" t="str">
        <f t="shared" si="46"/>
        <v>00</v>
      </c>
      <c r="J301" s="26" t="str">
        <f>"43 "</f>
        <v xml:space="preserve">43 </v>
      </c>
      <c r="K301" s="26" t="str">
        <f t="shared" si="51"/>
        <v>PR</v>
      </c>
      <c r="L301" s="26" t="str">
        <f t="shared" si="52"/>
        <v>DGOSE</v>
      </c>
      <c r="M301" s="26" t="str">
        <f t="shared" si="47"/>
        <v>FEDERAL</v>
      </c>
      <c r="N301" s="26">
        <v>371</v>
      </c>
      <c r="O301" s="26">
        <v>182</v>
      </c>
      <c r="P301" s="26">
        <v>189</v>
      </c>
      <c r="Q301" s="26">
        <v>14</v>
      </c>
      <c r="R301" s="26">
        <v>1</v>
      </c>
      <c r="S301" s="26">
        <v>14</v>
      </c>
      <c r="T301" s="26">
        <v>10</v>
      </c>
      <c r="U301" s="26">
        <v>25</v>
      </c>
      <c r="V301" s="26">
        <v>1</v>
      </c>
      <c r="W301" s="26"/>
    </row>
    <row r="302" spans="1:23" x14ac:dyDescent="0.25">
      <c r="A302" s="26" t="str">
        <f t="shared" si="45"/>
        <v>PRIMARIA</v>
      </c>
      <c r="B302" s="26" t="str">
        <f>"09DPR1053Z"</f>
        <v>09DPR1053Z</v>
      </c>
      <c r="C302" s="26" t="str">
        <f>"NORUEGA                                                                                             "</f>
        <v xml:space="preserve">NORUEGA                                                                                             </v>
      </c>
      <c r="D302" s="26" t="str">
        <f>"MATUTINO"</f>
        <v>MATUTINO</v>
      </c>
      <c r="E302" s="26" t="str">
        <f>"RET 5 RIVERA CAMBAS S/N                                                         "</f>
        <v xml:space="preserve">RET 5 RIVERA CAMBAS S/N                                                         </v>
      </c>
      <c r="F302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302" s="26" t="str">
        <f t="shared" ref="G302:G309" si="53">"VENUSTIANO CARRANZA                                                             "</f>
        <v xml:space="preserve">VENUSTIANO CARRANZA                                                             </v>
      </c>
      <c r="H302" s="26" t="str">
        <f>"346"</f>
        <v>346</v>
      </c>
      <c r="I302" s="26" t="str">
        <f t="shared" si="46"/>
        <v>00</v>
      </c>
      <c r="J302" s="26" t="str">
        <f>"43 "</f>
        <v xml:space="preserve">43 </v>
      </c>
      <c r="K302" s="26" t="str">
        <f t="shared" si="51"/>
        <v>PR</v>
      </c>
      <c r="L302" s="26" t="str">
        <f t="shared" si="52"/>
        <v>DGOSE</v>
      </c>
      <c r="M302" s="26" t="str">
        <f t="shared" si="47"/>
        <v>FEDERAL</v>
      </c>
      <c r="N302" s="26">
        <v>247</v>
      </c>
      <c r="O302" s="26">
        <v>131</v>
      </c>
      <c r="P302" s="26">
        <v>116</v>
      </c>
      <c r="Q302" s="26">
        <v>10</v>
      </c>
      <c r="R302" s="26">
        <v>1</v>
      </c>
      <c r="S302" s="26">
        <v>10</v>
      </c>
      <c r="T302" s="26">
        <v>11</v>
      </c>
      <c r="U302" s="26">
        <v>22</v>
      </c>
      <c r="V302" s="26">
        <v>1</v>
      </c>
      <c r="W302" s="26"/>
    </row>
    <row r="303" spans="1:23" x14ac:dyDescent="0.25">
      <c r="A303" s="26" t="str">
        <f t="shared" si="45"/>
        <v>PRIMARIA</v>
      </c>
      <c r="B303" s="26" t="str">
        <f>"09DPR1054Z"</f>
        <v>09DPR1054Z</v>
      </c>
      <c r="C303" s="26" t="str">
        <f>"NORUEGA                                                                                             "</f>
        <v xml:space="preserve">NORUEGA                                                                                             </v>
      </c>
      <c r="D303" s="26" t="str">
        <f>"VESPERTINO"</f>
        <v>VESPERTINO</v>
      </c>
      <c r="E303" s="26" t="str">
        <f>"RET 5 RIVERA CAMBAS S/N                                                         "</f>
        <v xml:space="preserve">RET 5 RIVERA CAMBAS S/N                                                         </v>
      </c>
      <c r="F303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303" s="26" t="str">
        <f t="shared" si="53"/>
        <v xml:space="preserve">VENUSTIANO CARRANZA                                                             </v>
      </c>
      <c r="H303" s="26" t="str">
        <f>"346"</f>
        <v>346</v>
      </c>
      <c r="I303" s="26" t="str">
        <f t="shared" si="46"/>
        <v>00</v>
      </c>
      <c r="J303" s="26" t="str">
        <f>"43 "</f>
        <v xml:space="preserve">43 </v>
      </c>
      <c r="K303" s="26" t="str">
        <f t="shared" si="51"/>
        <v>PR</v>
      </c>
      <c r="L303" s="26" t="str">
        <f t="shared" si="52"/>
        <v>DGOSE</v>
      </c>
      <c r="M303" s="26" t="str">
        <f t="shared" si="47"/>
        <v>FEDERAL</v>
      </c>
      <c r="N303" s="26">
        <v>54</v>
      </c>
      <c r="O303" s="26">
        <v>27</v>
      </c>
      <c r="P303" s="26">
        <v>27</v>
      </c>
      <c r="Q303" s="26">
        <v>4</v>
      </c>
      <c r="R303" s="26">
        <v>1</v>
      </c>
      <c r="S303" s="26">
        <v>4</v>
      </c>
      <c r="T303" s="26">
        <v>4</v>
      </c>
      <c r="U303" s="26">
        <v>9</v>
      </c>
      <c r="V303" s="26">
        <v>1</v>
      </c>
      <c r="W303" s="26"/>
    </row>
    <row r="304" spans="1:23" x14ac:dyDescent="0.25">
      <c r="A304" s="26" t="str">
        <f t="shared" si="45"/>
        <v>PRIMARIA</v>
      </c>
      <c r="B304" s="26" t="str">
        <f>"09DPR1059U"</f>
        <v>09DPR1059U</v>
      </c>
      <c r="C304" s="26" t="str">
        <f>"DRA. MARGARITA CHORNE Y SALAZAR                                                                     "</f>
        <v xml:space="preserve">DRA. MARGARITA CHORNE Y SALAZAR                                                                     </v>
      </c>
      <c r="D304" s="26" t="str">
        <f>"JORNADA AMPLIADA"</f>
        <v>JORNADA AMPLIADA</v>
      </c>
      <c r="E304" s="26" t="str">
        <f>"ORIENTE 176 S/N Y EJE 1 NORTE                                                   "</f>
        <v xml:space="preserve">ORIENTE 176 S/N Y EJE 1 NORTE                                                   </v>
      </c>
      <c r="F304" s="26" t="str">
        <f>"MOCTEZUMA 2A SECCION                                                                                                                        "</f>
        <v xml:space="preserve">MOCTEZUMA 2A SECCION                                                                                                                        </v>
      </c>
      <c r="G304" s="26" t="str">
        <f t="shared" si="53"/>
        <v xml:space="preserve">VENUSTIANO CARRANZA                                                             </v>
      </c>
      <c r="H304" s="26" t="str">
        <f>"425"</f>
        <v>425</v>
      </c>
      <c r="I304" s="26" t="str">
        <f t="shared" si="46"/>
        <v>00</v>
      </c>
      <c r="J304" s="26" t="str">
        <f>"44 "</f>
        <v xml:space="preserve">44 </v>
      </c>
      <c r="K304" s="26" t="str">
        <f t="shared" si="51"/>
        <v>PR</v>
      </c>
      <c r="L304" s="26" t="str">
        <f t="shared" si="52"/>
        <v>DGOSE</v>
      </c>
      <c r="M304" s="26" t="str">
        <f t="shared" si="47"/>
        <v>FEDERAL</v>
      </c>
      <c r="N304" s="26">
        <v>261</v>
      </c>
      <c r="O304" s="26">
        <v>129</v>
      </c>
      <c r="P304" s="26">
        <v>132</v>
      </c>
      <c r="Q304" s="26">
        <v>10</v>
      </c>
      <c r="R304" s="26">
        <v>1</v>
      </c>
      <c r="S304" s="26">
        <v>10</v>
      </c>
      <c r="T304" s="26">
        <v>10</v>
      </c>
      <c r="U304" s="26">
        <v>21</v>
      </c>
      <c r="V304" s="26">
        <v>1</v>
      </c>
      <c r="W304" s="26" t="s">
        <v>2076</v>
      </c>
    </row>
    <row r="305" spans="1:23" x14ac:dyDescent="0.25">
      <c r="A305" s="26" t="str">
        <f t="shared" si="45"/>
        <v>PRIMARIA</v>
      </c>
      <c r="B305" s="26" t="str">
        <f>"09DPR1061I"</f>
        <v>09DPR1061I</v>
      </c>
      <c r="C305" s="26" t="str">
        <f>"MANUEL M. PONCE                                                                                     "</f>
        <v xml:space="preserve">MANUEL M. PONCE                                                                                     </v>
      </c>
      <c r="D305" s="26" t="str">
        <f>"MATUTINO"</f>
        <v>MATUTINO</v>
      </c>
      <c r="E305" s="26" t="str">
        <f>"CALZ DEL PEÑON Y REFINERIA S/N                                                  "</f>
        <v xml:space="preserve">CALZ DEL PEÑON Y REFINERIA S/N                                                  </v>
      </c>
      <c r="F305" s="26" t="str">
        <f>"AZTECA                                                                                                                                      "</f>
        <v xml:space="preserve">AZTECA                                                                                                                                      </v>
      </c>
      <c r="G305" s="26" t="str">
        <f t="shared" si="53"/>
        <v xml:space="preserve">VENUSTIANO CARRANZA                                                             </v>
      </c>
      <c r="H305" s="26" t="str">
        <f>"344"</f>
        <v>344</v>
      </c>
      <c r="I305" s="26" t="str">
        <f t="shared" si="46"/>
        <v>00</v>
      </c>
      <c r="J305" s="26" t="str">
        <f>"43 "</f>
        <v xml:space="preserve">43 </v>
      </c>
      <c r="K305" s="26" t="str">
        <f t="shared" si="51"/>
        <v>PR</v>
      </c>
      <c r="L305" s="26" t="str">
        <f t="shared" si="52"/>
        <v>DGOSE</v>
      </c>
      <c r="M305" s="26" t="str">
        <f t="shared" si="47"/>
        <v>FEDERAL</v>
      </c>
      <c r="N305" s="26">
        <v>197</v>
      </c>
      <c r="O305" s="26">
        <v>112</v>
      </c>
      <c r="P305" s="26">
        <v>85</v>
      </c>
      <c r="Q305" s="26">
        <v>6</v>
      </c>
      <c r="R305" s="26">
        <v>1</v>
      </c>
      <c r="S305" s="26">
        <v>6</v>
      </c>
      <c r="T305" s="26">
        <v>6</v>
      </c>
      <c r="U305" s="26">
        <v>13</v>
      </c>
      <c r="V305" s="26">
        <v>1</v>
      </c>
      <c r="W305" s="26"/>
    </row>
    <row r="306" spans="1:23" x14ac:dyDescent="0.25">
      <c r="A306" s="26" t="str">
        <f t="shared" si="45"/>
        <v>PRIMARIA</v>
      </c>
      <c r="B306" s="26" t="str">
        <f>"09DPR1062H"</f>
        <v>09DPR1062H</v>
      </c>
      <c r="C306" s="26" t="str">
        <f>"MANUEL M. PONCE                                                                                     "</f>
        <v xml:space="preserve">MANUEL M. PONCE                                                                                     </v>
      </c>
      <c r="D306" s="26" t="str">
        <f>"JORNADA AMPLIADA"</f>
        <v>JORNADA AMPLIADA</v>
      </c>
      <c r="E306" s="26" t="str">
        <f>"CALZ DEL PEÑON Y REFINERIA S/N                                                  "</f>
        <v xml:space="preserve">CALZ DEL PEÑON Y REFINERIA S/N                                                  </v>
      </c>
      <c r="F306" s="26" t="str">
        <f>"AZTECA                                                                                                                                      "</f>
        <v xml:space="preserve">AZTECA                                                                                                                                      </v>
      </c>
      <c r="G306" s="26" t="str">
        <f t="shared" si="53"/>
        <v xml:space="preserve">VENUSTIANO CARRANZA                                                             </v>
      </c>
      <c r="H306" s="26" t="str">
        <f>"419"</f>
        <v>419</v>
      </c>
      <c r="I306" s="26" t="str">
        <f t="shared" si="46"/>
        <v>00</v>
      </c>
      <c r="J306" s="26" t="str">
        <f>"44 "</f>
        <v xml:space="preserve">44 </v>
      </c>
      <c r="K306" s="26" t="str">
        <f t="shared" si="51"/>
        <v>PR</v>
      </c>
      <c r="L306" s="26" t="str">
        <f t="shared" si="52"/>
        <v>DGOSE</v>
      </c>
      <c r="M306" s="26" t="str">
        <f t="shared" si="47"/>
        <v>FEDERAL</v>
      </c>
      <c r="N306" s="26">
        <v>218</v>
      </c>
      <c r="O306" s="26">
        <v>105</v>
      </c>
      <c r="P306" s="26">
        <v>113</v>
      </c>
      <c r="Q306" s="26">
        <v>7</v>
      </c>
      <c r="R306" s="26">
        <v>1</v>
      </c>
      <c r="S306" s="26">
        <v>6</v>
      </c>
      <c r="T306" s="26">
        <v>6</v>
      </c>
      <c r="U306" s="26">
        <v>13</v>
      </c>
      <c r="V306" s="26">
        <v>1</v>
      </c>
      <c r="W306" s="26" t="s">
        <v>2076</v>
      </c>
    </row>
    <row r="307" spans="1:23" x14ac:dyDescent="0.25">
      <c r="A307" s="26" t="str">
        <f t="shared" si="45"/>
        <v>PRIMARIA</v>
      </c>
      <c r="B307" s="26" t="str">
        <f>"09DPR1063G"</f>
        <v>09DPR1063G</v>
      </c>
      <c r="C307" s="26" t="str">
        <f>"PRESIDENTE MIGUEL ALEMAN                                                                            "</f>
        <v xml:space="preserve">PRESIDENTE MIGUEL ALEMAN                                                                            </v>
      </c>
      <c r="D307" s="26" t="str">
        <f>"JORNADA AMPLIADA"</f>
        <v>JORNADA AMPLIADA</v>
      </c>
      <c r="E307" s="26" t="str">
        <f>"IGNACIO ZARAGOZA S-N                                                            "</f>
        <v xml:space="preserve">IGNACIO ZARAGOZA S-N                                                            </v>
      </c>
      <c r="F307" s="26" t="str">
        <f>"CARACOL                                                                                                                                     "</f>
        <v xml:space="preserve">CARACOL                                                                                                                                     </v>
      </c>
      <c r="G307" s="26" t="str">
        <f t="shared" si="53"/>
        <v xml:space="preserve">VENUSTIANO CARRANZA                                                             </v>
      </c>
      <c r="H307" s="26" t="str">
        <f>"426"</f>
        <v>426</v>
      </c>
      <c r="I307" s="26" t="str">
        <f t="shared" si="46"/>
        <v>00</v>
      </c>
      <c r="J307" s="26" t="str">
        <f>"44 "</f>
        <v xml:space="preserve">44 </v>
      </c>
      <c r="K307" s="26" t="str">
        <f t="shared" si="51"/>
        <v>PR</v>
      </c>
      <c r="L307" s="26" t="str">
        <f t="shared" si="52"/>
        <v>DGOSE</v>
      </c>
      <c r="M307" s="26" t="str">
        <f t="shared" si="47"/>
        <v>FEDERAL</v>
      </c>
      <c r="N307" s="26">
        <v>390</v>
      </c>
      <c r="O307" s="26">
        <v>202</v>
      </c>
      <c r="P307" s="26">
        <v>188</v>
      </c>
      <c r="Q307" s="26">
        <v>13</v>
      </c>
      <c r="R307" s="26">
        <v>1</v>
      </c>
      <c r="S307" s="26">
        <v>13</v>
      </c>
      <c r="T307" s="26">
        <v>11</v>
      </c>
      <c r="U307" s="26">
        <v>25</v>
      </c>
      <c r="V307" s="26">
        <v>1</v>
      </c>
      <c r="W307" s="26" t="s">
        <v>2076</v>
      </c>
    </row>
    <row r="308" spans="1:23" x14ac:dyDescent="0.25">
      <c r="A308" s="26" t="str">
        <f t="shared" si="45"/>
        <v>PRIMARIA</v>
      </c>
      <c r="B308" s="26" t="str">
        <f>"09DPR1064F"</f>
        <v>09DPR1064F</v>
      </c>
      <c r="C308" s="26" t="str">
        <f>"MTRO. LAURO AGUIRRE                                                                                 "</f>
        <v xml:space="preserve">MTRO. LAURO AGUIRRE                                                                                 </v>
      </c>
      <c r="D308" s="26" t="str">
        <f>"JORNADA AMPLIADA"</f>
        <v>JORNADA AMPLIADA</v>
      </c>
      <c r="E308" s="26" t="str">
        <f>"MATILDE MARQUEZ S/N                                                             "</f>
        <v xml:space="preserve">MATILDE MARQUEZ S/N                                                             </v>
      </c>
      <c r="F308" s="26" t="str">
        <f>"PEÑON DE LOS BAÑOS                                                                                                                          "</f>
        <v xml:space="preserve">PEÑON DE LOS BAÑOS                                                                                                                          </v>
      </c>
      <c r="G308" s="26" t="str">
        <f t="shared" si="53"/>
        <v xml:space="preserve">VENUSTIANO CARRANZA                                                             </v>
      </c>
      <c r="H308" s="26" t="str">
        <f>"421"</f>
        <v>421</v>
      </c>
      <c r="I308" s="26" t="str">
        <f t="shared" si="46"/>
        <v>00</v>
      </c>
      <c r="J308" s="26" t="str">
        <f>"44 "</f>
        <v xml:space="preserve">44 </v>
      </c>
      <c r="K308" s="26" t="str">
        <f t="shared" si="51"/>
        <v>PR</v>
      </c>
      <c r="L308" s="26" t="str">
        <f t="shared" si="52"/>
        <v>DGOSE</v>
      </c>
      <c r="M308" s="26" t="str">
        <f t="shared" si="47"/>
        <v>FEDERAL</v>
      </c>
      <c r="N308" s="26">
        <v>288</v>
      </c>
      <c r="O308" s="26">
        <v>152</v>
      </c>
      <c r="P308" s="26">
        <v>136</v>
      </c>
      <c r="Q308" s="26">
        <v>12</v>
      </c>
      <c r="R308" s="26">
        <v>1</v>
      </c>
      <c r="S308" s="26">
        <v>12</v>
      </c>
      <c r="T308" s="26">
        <v>9</v>
      </c>
      <c r="U308" s="26">
        <v>22</v>
      </c>
      <c r="V308" s="26">
        <v>1</v>
      </c>
      <c r="W308" s="26" t="s">
        <v>2076</v>
      </c>
    </row>
    <row r="309" spans="1:23" x14ac:dyDescent="0.25">
      <c r="A309" s="26" t="str">
        <f t="shared" si="45"/>
        <v>PRIMARIA</v>
      </c>
      <c r="B309" s="26" t="str">
        <f>"09DPR1065E"</f>
        <v>09DPR1065E</v>
      </c>
      <c r="C309" s="26" t="str">
        <f>"LEON GUZMAN                                                                                         "</f>
        <v xml:space="preserve">LEON GUZMAN                                                                                         </v>
      </c>
      <c r="D309" s="26" t="str">
        <f>"JORNADA AMPLIADA"</f>
        <v>JORNADA AMPLIADA</v>
      </c>
      <c r="E309" s="26" t="str">
        <f>"RET 2 DE AV DEL TALLER NO 53                                                    "</f>
        <v xml:space="preserve">RET 2 DE AV DEL TALLER NO 53                                                    </v>
      </c>
      <c r="F309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309" s="26" t="str">
        <f t="shared" si="53"/>
        <v xml:space="preserve">VENUSTIANO CARRANZA                                                             </v>
      </c>
      <c r="H309" s="26" t="str">
        <f>"424"</f>
        <v>424</v>
      </c>
      <c r="I309" s="26" t="str">
        <f t="shared" si="46"/>
        <v>00</v>
      </c>
      <c r="J309" s="26" t="str">
        <f>"44 "</f>
        <v xml:space="preserve">44 </v>
      </c>
      <c r="K309" s="26" t="str">
        <f t="shared" si="51"/>
        <v>PR</v>
      </c>
      <c r="L309" s="26" t="str">
        <f t="shared" si="52"/>
        <v>DGOSE</v>
      </c>
      <c r="M309" s="26" t="str">
        <f t="shared" si="47"/>
        <v>FEDERAL</v>
      </c>
      <c r="N309" s="26">
        <v>515</v>
      </c>
      <c r="O309" s="26">
        <v>246</v>
      </c>
      <c r="P309" s="26">
        <v>269</v>
      </c>
      <c r="Q309" s="26">
        <v>18</v>
      </c>
      <c r="R309" s="26">
        <v>1</v>
      </c>
      <c r="S309" s="26">
        <v>18</v>
      </c>
      <c r="T309" s="26">
        <v>13</v>
      </c>
      <c r="U309" s="26">
        <v>32</v>
      </c>
      <c r="V309" s="26">
        <v>1</v>
      </c>
      <c r="W309" s="26" t="s">
        <v>2076</v>
      </c>
    </row>
    <row r="310" spans="1:23" x14ac:dyDescent="0.25">
      <c r="A310" s="26" t="str">
        <f t="shared" si="45"/>
        <v>PRIMARIA</v>
      </c>
      <c r="B310" s="26" t="str">
        <f>"09DPR1067C"</f>
        <v>09DPR1067C</v>
      </c>
      <c r="C310" s="26" t="str">
        <f>"LIC. JULIO JIMENEZ RUEDA                                                                            "</f>
        <v xml:space="preserve">LIC. JULIO JIMENEZ RUEDA                                                                            </v>
      </c>
      <c r="D310" s="26" t="str">
        <f>"JORNADA AMPLIADA"</f>
        <v>JORNADA AMPLIADA</v>
      </c>
      <c r="E310" s="26" t="str">
        <f>"ORIENTE 253 No.350                                                              "</f>
        <v xml:space="preserve">ORIENTE 253 No.350                                                              </v>
      </c>
      <c r="F310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310" s="26" t="str">
        <f>"IZTACALCO                                                                       "</f>
        <v xml:space="preserve">IZTACALCO                                                                       </v>
      </c>
      <c r="H310" s="26" t="str">
        <f>"429"</f>
        <v>429</v>
      </c>
      <c r="I310" s="26" t="str">
        <f t="shared" si="46"/>
        <v>00</v>
      </c>
      <c r="J310" s="26" t="str">
        <f>"44 "</f>
        <v xml:space="preserve">44 </v>
      </c>
      <c r="K310" s="26" t="str">
        <f t="shared" si="51"/>
        <v>PR</v>
      </c>
      <c r="L310" s="26" t="str">
        <f t="shared" si="52"/>
        <v>DGOSE</v>
      </c>
      <c r="M310" s="26" t="str">
        <f t="shared" si="47"/>
        <v>FEDERAL</v>
      </c>
      <c r="N310" s="26">
        <v>481</v>
      </c>
      <c r="O310" s="26">
        <v>251</v>
      </c>
      <c r="P310" s="26">
        <v>230</v>
      </c>
      <c r="Q310" s="26">
        <v>17</v>
      </c>
      <c r="R310" s="26">
        <v>1</v>
      </c>
      <c r="S310" s="26">
        <v>17</v>
      </c>
      <c r="T310" s="26">
        <v>12</v>
      </c>
      <c r="U310" s="26">
        <v>30</v>
      </c>
      <c r="V310" s="26">
        <v>1</v>
      </c>
      <c r="W310" s="26" t="s">
        <v>2076</v>
      </c>
    </row>
    <row r="311" spans="1:23" x14ac:dyDescent="0.25">
      <c r="A311" s="26" t="str">
        <f t="shared" si="45"/>
        <v>PRIMARIA</v>
      </c>
      <c r="B311" s="26" t="str">
        <f>"09DPR1069A"</f>
        <v>09DPR1069A</v>
      </c>
      <c r="C311" s="26" t="str">
        <f>"JUAN CRISOSTOMO BONILLA                                                                             "</f>
        <v xml:space="preserve">JUAN CRISOSTOMO BONILLA                                                                             </v>
      </c>
      <c r="D311" s="26" t="str">
        <f>"MATUTINO"</f>
        <v>MATUTINO</v>
      </c>
      <c r="E311" s="26" t="str">
        <f>"AVENIDA FRANCISCO MORAZAN Y CALLE 65                                            "</f>
        <v xml:space="preserve">AVENIDA FRANCISCO MORAZAN Y CALLE 65                                            </v>
      </c>
      <c r="F311" s="26" t="str">
        <f>"PUEBLA                                                                                                                                      "</f>
        <v xml:space="preserve">PUEBLA                                                                                                                                      </v>
      </c>
      <c r="G311" s="26" t="str">
        <f>"VENUSTIANO CARRANZA                                                             "</f>
        <v xml:space="preserve">VENUSTIANO CARRANZA                                                             </v>
      </c>
      <c r="H311" s="26" t="str">
        <f>"350"</f>
        <v>350</v>
      </c>
      <c r="I311" s="26" t="str">
        <f t="shared" si="46"/>
        <v>00</v>
      </c>
      <c r="J311" s="26" t="str">
        <f t="shared" ref="J311:J316" si="54">"43 "</f>
        <v xml:space="preserve">43 </v>
      </c>
      <c r="K311" s="26" t="str">
        <f t="shared" si="51"/>
        <v>PR</v>
      </c>
      <c r="L311" s="26" t="str">
        <f t="shared" si="52"/>
        <v>DGOSE</v>
      </c>
      <c r="M311" s="26" t="str">
        <f t="shared" si="47"/>
        <v>FEDERAL</v>
      </c>
      <c r="N311" s="26">
        <v>399</v>
      </c>
      <c r="O311" s="26">
        <v>205</v>
      </c>
      <c r="P311" s="26">
        <v>194</v>
      </c>
      <c r="Q311" s="26">
        <v>16</v>
      </c>
      <c r="R311" s="26">
        <v>1</v>
      </c>
      <c r="S311" s="26">
        <v>16</v>
      </c>
      <c r="T311" s="26">
        <v>10</v>
      </c>
      <c r="U311" s="26">
        <v>27</v>
      </c>
      <c r="V311" s="26">
        <v>1</v>
      </c>
      <c r="W311" s="26"/>
    </row>
    <row r="312" spans="1:23" x14ac:dyDescent="0.25">
      <c r="A312" s="26" t="str">
        <f t="shared" si="45"/>
        <v>PRIMARIA</v>
      </c>
      <c r="B312" s="26" t="str">
        <f>"09DPR1070Q"</f>
        <v>09DPR1070Q</v>
      </c>
      <c r="C312" s="26" t="str">
        <f>"JUAN CRISOSTOMO BONILLA                                                                             "</f>
        <v xml:space="preserve">JUAN CRISOSTOMO BONILLA                                                                             </v>
      </c>
      <c r="D312" s="26" t="str">
        <f>"VESPERTINO"</f>
        <v>VESPERTINO</v>
      </c>
      <c r="E312" s="26" t="str">
        <f>"AV. FRANCISCO MORAZAN Y CALLE 65                                                "</f>
        <v xml:space="preserve">AV. FRANCISCO MORAZAN Y CALLE 65                                                </v>
      </c>
      <c r="F312" s="26" t="str">
        <f>"PUEBLA                                                                                                                                      "</f>
        <v xml:space="preserve">PUEBLA                                                                                                                                      </v>
      </c>
      <c r="G312" s="26" t="str">
        <f>"VENUSTIANO CARRANZA                                                             "</f>
        <v xml:space="preserve">VENUSTIANO CARRANZA                                                             </v>
      </c>
      <c r="H312" s="26" t="str">
        <f>"350"</f>
        <v>350</v>
      </c>
      <c r="I312" s="26" t="str">
        <f t="shared" si="46"/>
        <v>00</v>
      </c>
      <c r="J312" s="26" t="str">
        <f t="shared" si="54"/>
        <v xml:space="preserve">43 </v>
      </c>
      <c r="K312" s="26" t="str">
        <f t="shared" si="51"/>
        <v>PR</v>
      </c>
      <c r="L312" s="26" t="str">
        <f t="shared" si="52"/>
        <v>DGOSE</v>
      </c>
      <c r="M312" s="26" t="str">
        <f t="shared" si="47"/>
        <v>FEDERAL</v>
      </c>
      <c r="N312" s="26">
        <v>125</v>
      </c>
      <c r="O312" s="26">
        <v>71</v>
      </c>
      <c r="P312" s="26">
        <v>54</v>
      </c>
      <c r="Q312" s="26">
        <v>9</v>
      </c>
      <c r="R312" s="26">
        <v>1</v>
      </c>
      <c r="S312" s="26">
        <v>8</v>
      </c>
      <c r="T312" s="26">
        <v>12</v>
      </c>
      <c r="U312" s="26">
        <v>21</v>
      </c>
      <c r="V312" s="26">
        <v>1</v>
      </c>
      <c r="W312" s="26"/>
    </row>
    <row r="313" spans="1:23" x14ac:dyDescent="0.25">
      <c r="A313" s="26" t="str">
        <f t="shared" si="45"/>
        <v>PRIMARIA</v>
      </c>
      <c r="B313" s="26" t="str">
        <f>"09DPR1071P"</f>
        <v>09DPR1071P</v>
      </c>
      <c r="C313" s="26" t="str">
        <f>"JUAN B MOLINA                                                                                       "</f>
        <v xml:space="preserve">JUAN B MOLINA                                                                                       </v>
      </c>
      <c r="D313" s="26" t="str">
        <f>"MATUTINO"</f>
        <v>MATUTINO</v>
      </c>
      <c r="E313" s="26" t="str">
        <f>"AV.SUR 16 No.553                                                                "</f>
        <v xml:space="preserve">AV.SUR 16 No.553                                                                </v>
      </c>
      <c r="F313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313" s="26" t="str">
        <f>"IZTACALCO                                                                       "</f>
        <v xml:space="preserve">IZTACALCO                                                                       </v>
      </c>
      <c r="H313" s="26" t="str">
        <f>"356"</f>
        <v>356</v>
      </c>
      <c r="I313" s="26" t="str">
        <f t="shared" si="46"/>
        <v>00</v>
      </c>
      <c r="J313" s="26" t="str">
        <f t="shared" si="54"/>
        <v xml:space="preserve">43 </v>
      </c>
      <c r="K313" s="26" t="str">
        <f t="shared" si="51"/>
        <v>PR</v>
      </c>
      <c r="L313" s="26" t="str">
        <f t="shared" si="52"/>
        <v>DGOSE</v>
      </c>
      <c r="M313" s="26" t="str">
        <f t="shared" si="47"/>
        <v>FEDERAL</v>
      </c>
      <c r="N313" s="26">
        <v>655</v>
      </c>
      <c r="O313" s="26">
        <v>347</v>
      </c>
      <c r="P313" s="26">
        <v>308</v>
      </c>
      <c r="Q313" s="26">
        <v>24</v>
      </c>
      <c r="R313" s="26">
        <v>1</v>
      </c>
      <c r="S313" s="26">
        <v>24</v>
      </c>
      <c r="T313" s="26">
        <v>15</v>
      </c>
      <c r="U313" s="26">
        <v>40</v>
      </c>
      <c r="V313" s="26">
        <v>1</v>
      </c>
      <c r="W313" s="26"/>
    </row>
    <row r="314" spans="1:23" x14ac:dyDescent="0.25">
      <c r="A314" s="26" t="str">
        <f t="shared" si="45"/>
        <v>PRIMARIA</v>
      </c>
      <c r="B314" s="26" t="str">
        <f>"09DPR1072O"</f>
        <v>09DPR1072O</v>
      </c>
      <c r="C314" s="26" t="str">
        <f>"JUAN B MOLINA                                                                                       "</f>
        <v xml:space="preserve">JUAN B MOLINA                                                                                       </v>
      </c>
      <c r="D314" s="26" t="str">
        <f>"VESPERTINO"</f>
        <v>VESPERTINO</v>
      </c>
      <c r="E314" s="26" t="str">
        <f>"AV. SUR 16 NO. 553                                                              "</f>
        <v xml:space="preserve">AV. SUR 16 NO. 553                                                              </v>
      </c>
      <c r="F314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314" s="26" t="str">
        <f>"IZTACALCO                                                                       "</f>
        <v xml:space="preserve">IZTACALCO                                                                       </v>
      </c>
      <c r="H314" s="26" t="str">
        <f>"356"</f>
        <v>356</v>
      </c>
      <c r="I314" s="26" t="str">
        <f t="shared" si="46"/>
        <v>00</v>
      </c>
      <c r="J314" s="26" t="str">
        <f t="shared" si="54"/>
        <v xml:space="preserve">43 </v>
      </c>
      <c r="K314" s="26" t="str">
        <f t="shared" si="51"/>
        <v>PR</v>
      </c>
      <c r="L314" s="26" t="str">
        <f t="shared" si="52"/>
        <v>DGOSE</v>
      </c>
      <c r="M314" s="26" t="str">
        <f t="shared" si="47"/>
        <v>FEDERAL</v>
      </c>
      <c r="N314" s="26">
        <v>280</v>
      </c>
      <c r="O314" s="26">
        <v>135</v>
      </c>
      <c r="P314" s="26">
        <v>145</v>
      </c>
      <c r="Q314" s="26">
        <v>18</v>
      </c>
      <c r="R314" s="26">
        <v>1</v>
      </c>
      <c r="S314" s="26">
        <v>17</v>
      </c>
      <c r="T314" s="26">
        <v>9</v>
      </c>
      <c r="U314" s="26">
        <v>27</v>
      </c>
      <c r="V314" s="26">
        <v>1</v>
      </c>
      <c r="W314" s="26"/>
    </row>
    <row r="315" spans="1:23" x14ac:dyDescent="0.25">
      <c r="A315" s="26" t="str">
        <f t="shared" si="45"/>
        <v>PRIMARIA</v>
      </c>
      <c r="B315" s="26" t="str">
        <f>"09DPR1073N"</f>
        <v>09DPR1073N</v>
      </c>
      <c r="C315" s="26" t="str">
        <f>"MTRO. JOSE MARIANO PONTON                                                                           "</f>
        <v xml:space="preserve">MTRO. JOSE MARIANO PONTON                                                                           </v>
      </c>
      <c r="D315" s="26" t="str">
        <f>"VESPERTINO"</f>
        <v>VESPERTINO</v>
      </c>
      <c r="E315" s="26" t="str">
        <f>"ECONOMIA Y ANTROPOLOGIA E HIST                                                  "</f>
        <v xml:space="preserve">ECONOMIA Y ANTROPOLOGIA E HIST                                                  </v>
      </c>
      <c r="F315" s="26" t="str">
        <f>"FEDERAL                                                                                                                                     "</f>
        <v xml:space="preserve">FEDERAL                                                                                                                                     </v>
      </c>
      <c r="G315" s="26" t="str">
        <f>"VENUSTIANO CARRANZA                                                             "</f>
        <v xml:space="preserve">VENUSTIANO CARRANZA                                                             </v>
      </c>
      <c r="H315" s="26" t="str">
        <f>"351"</f>
        <v>351</v>
      </c>
      <c r="I315" s="26" t="str">
        <f t="shared" si="46"/>
        <v>00</v>
      </c>
      <c r="J315" s="26" t="str">
        <f t="shared" si="54"/>
        <v xml:space="preserve">43 </v>
      </c>
      <c r="K315" s="26" t="str">
        <f t="shared" si="51"/>
        <v>PR</v>
      </c>
      <c r="L315" s="26" t="str">
        <f t="shared" si="52"/>
        <v>DGOSE</v>
      </c>
      <c r="M315" s="26" t="str">
        <f t="shared" si="47"/>
        <v>FEDERAL</v>
      </c>
      <c r="N315" s="26">
        <v>86</v>
      </c>
      <c r="O315" s="26">
        <v>55</v>
      </c>
      <c r="P315" s="26">
        <v>31</v>
      </c>
      <c r="Q315" s="26">
        <v>6</v>
      </c>
      <c r="R315" s="26">
        <v>1</v>
      </c>
      <c r="S315" s="26">
        <v>6</v>
      </c>
      <c r="T315" s="26">
        <v>7</v>
      </c>
      <c r="U315" s="26">
        <v>14</v>
      </c>
      <c r="V315" s="26">
        <v>1</v>
      </c>
      <c r="W315" s="26"/>
    </row>
    <row r="316" spans="1:23" x14ac:dyDescent="0.25">
      <c r="A316" s="26" t="str">
        <f t="shared" si="45"/>
        <v>PRIMARIA</v>
      </c>
      <c r="B316" s="26" t="str">
        <f>"09DPR1074M"</f>
        <v>09DPR1074M</v>
      </c>
      <c r="C316" s="26" t="str">
        <f>"MTRO. JOSE MARIANO PONTON                                                                           "</f>
        <v xml:space="preserve">MTRO. JOSE MARIANO PONTON                                                                           </v>
      </c>
      <c r="D316" s="26" t="str">
        <f>"MATUTINO"</f>
        <v>MATUTINO</v>
      </c>
      <c r="E316" s="26" t="str">
        <f>"ECONOMIA Y ANTROPOLOGIA E HIST                                                  "</f>
        <v xml:space="preserve">ECONOMIA Y ANTROPOLOGIA E HIST                                                  </v>
      </c>
      <c r="F316" s="26" t="str">
        <f>"FEDERAL                                                                                                                                     "</f>
        <v xml:space="preserve">FEDERAL                                                                                                                                     </v>
      </c>
      <c r="G316" s="26" t="str">
        <f>"VENUSTIANO CARRANZA                                                             "</f>
        <v xml:space="preserve">VENUSTIANO CARRANZA                                                             </v>
      </c>
      <c r="H316" s="26" t="str">
        <f>"351"</f>
        <v>351</v>
      </c>
      <c r="I316" s="26" t="str">
        <f t="shared" si="46"/>
        <v>00</v>
      </c>
      <c r="J316" s="26" t="str">
        <f t="shared" si="54"/>
        <v xml:space="preserve">43 </v>
      </c>
      <c r="K316" s="26" t="str">
        <f t="shared" si="51"/>
        <v>PR</v>
      </c>
      <c r="L316" s="26" t="str">
        <f t="shared" si="52"/>
        <v>DGOSE</v>
      </c>
      <c r="M316" s="26" t="str">
        <f t="shared" si="47"/>
        <v>FEDERAL</v>
      </c>
      <c r="N316" s="26">
        <v>256</v>
      </c>
      <c r="O316" s="26">
        <v>140</v>
      </c>
      <c r="P316" s="26">
        <v>116</v>
      </c>
      <c r="Q316" s="26">
        <v>11</v>
      </c>
      <c r="R316" s="26">
        <v>1</v>
      </c>
      <c r="S316" s="26">
        <v>11</v>
      </c>
      <c r="T316" s="26">
        <v>6</v>
      </c>
      <c r="U316" s="26">
        <v>18</v>
      </c>
      <c r="V316" s="26">
        <v>1</v>
      </c>
      <c r="W316" s="26"/>
    </row>
    <row r="317" spans="1:23" x14ac:dyDescent="0.25">
      <c r="A317" s="26" t="str">
        <f t="shared" si="45"/>
        <v>PRIMARIA</v>
      </c>
      <c r="B317" s="26" t="str">
        <f>"09DPR1075L"</f>
        <v>09DPR1075L</v>
      </c>
      <c r="C317" s="26" t="str">
        <f>"JOSE MARIA MERCADO                                                                                  "</f>
        <v xml:space="preserve">JOSE MARIA MERCADO                                                                                  </v>
      </c>
      <c r="D317" s="26" t="str">
        <f>"VESPERTINO"</f>
        <v>VESPERTINO</v>
      </c>
      <c r="E317" s="26" t="str">
        <f>"GRAL. JUAN ENRIQUEZ NO. 253                                                     "</f>
        <v xml:space="preserve">GRAL. JUAN ENRIQUEZ NO. 253                                                     </v>
      </c>
      <c r="F317" s="26" t="str">
        <f>"JUAN ESCUTIA                                                                                                                                "</f>
        <v xml:space="preserve">JUAN ESCUTIA                                                                                                                                </v>
      </c>
      <c r="G317" s="26" t="str">
        <f>"IZTAPALAPA                                                                      "</f>
        <v xml:space="preserve">IZTAPALAPA                                                                      </v>
      </c>
      <c r="H317" s="26" t="str">
        <f>"027"</f>
        <v>027</v>
      </c>
      <c r="I317" s="26" t="str">
        <f t="shared" si="46"/>
        <v>00</v>
      </c>
      <c r="J317" s="26" t="str">
        <f>"62 "</f>
        <v xml:space="preserve">62 </v>
      </c>
      <c r="K317" s="26" t="str">
        <f>"IZ"</f>
        <v>IZ</v>
      </c>
      <c r="L317" s="26" t="str">
        <f>"DGSEI"</f>
        <v>DGSEI</v>
      </c>
      <c r="M317" s="26" t="str">
        <f t="shared" si="47"/>
        <v>FEDERAL</v>
      </c>
      <c r="N317" s="26">
        <v>254</v>
      </c>
      <c r="O317" s="26">
        <v>143</v>
      </c>
      <c r="P317" s="26">
        <v>111</v>
      </c>
      <c r="Q317" s="26">
        <v>12</v>
      </c>
      <c r="R317" s="26">
        <v>1</v>
      </c>
      <c r="S317" s="26">
        <v>12</v>
      </c>
      <c r="T317" s="26">
        <v>6</v>
      </c>
      <c r="U317" s="26">
        <v>19</v>
      </c>
      <c r="V317" s="26">
        <v>1</v>
      </c>
      <c r="W317" s="26"/>
    </row>
    <row r="318" spans="1:23" x14ac:dyDescent="0.25">
      <c r="A318" s="26" t="str">
        <f t="shared" si="45"/>
        <v>PRIMARIA</v>
      </c>
      <c r="B318" s="26" t="str">
        <f>"09DPR1076K"</f>
        <v>09DPR1076K</v>
      </c>
      <c r="C318" s="26" t="str">
        <f>"JOSE MARIA MERCADO                                                                                  "</f>
        <v xml:space="preserve">JOSE MARIA MERCADO                                                                                  </v>
      </c>
      <c r="D318" s="26" t="str">
        <f>"MATUTINO"</f>
        <v>MATUTINO</v>
      </c>
      <c r="E318" s="26" t="str">
        <f>"GRAL. JUAN ENRIQUEZ NO. 253                                                     "</f>
        <v xml:space="preserve">GRAL. JUAN ENRIQUEZ NO. 253                                                     </v>
      </c>
      <c r="F318" s="26" t="str">
        <f>"JUAN ESCUTIA                                                                                                                                "</f>
        <v xml:space="preserve">JUAN ESCUTIA                                                                                                                                </v>
      </c>
      <c r="G318" s="26" t="str">
        <f>"IZTAPALAPA                                                                      "</f>
        <v xml:space="preserve">IZTAPALAPA                                                                      </v>
      </c>
      <c r="H318" s="26" t="str">
        <f>"027"</f>
        <v>027</v>
      </c>
      <c r="I318" s="26" t="str">
        <f t="shared" si="46"/>
        <v>00</v>
      </c>
      <c r="J318" s="26" t="str">
        <f>"62 "</f>
        <v xml:space="preserve">62 </v>
      </c>
      <c r="K318" s="26" t="str">
        <f>"IZ"</f>
        <v>IZ</v>
      </c>
      <c r="L318" s="26" t="str">
        <f>"DGSEI"</f>
        <v>DGSEI</v>
      </c>
      <c r="M318" s="26" t="str">
        <f t="shared" si="47"/>
        <v>FEDERAL</v>
      </c>
      <c r="N318" s="26">
        <v>667</v>
      </c>
      <c r="O318" s="26">
        <v>335</v>
      </c>
      <c r="P318" s="26">
        <v>332</v>
      </c>
      <c r="Q318" s="26">
        <v>21</v>
      </c>
      <c r="R318" s="26">
        <v>1</v>
      </c>
      <c r="S318" s="26">
        <v>20</v>
      </c>
      <c r="T318" s="26">
        <v>10</v>
      </c>
      <c r="U318" s="26">
        <v>31</v>
      </c>
      <c r="V318" s="26">
        <v>1</v>
      </c>
      <c r="W318" s="26"/>
    </row>
    <row r="319" spans="1:23" x14ac:dyDescent="0.25">
      <c r="A319" s="26" t="str">
        <f t="shared" si="45"/>
        <v>PRIMARIA</v>
      </c>
      <c r="B319" s="26" t="str">
        <f>"09DPR1077J"</f>
        <v>09DPR1077J</v>
      </c>
      <c r="C319" s="26" t="str">
        <f>"JESUS T. ACEVEDO                                                                                    "</f>
        <v xml:space="preserve">JESUS T. ACEVEDO                                                                                    </v>
      </c>
      <c r="D319" s="26" t="str">
        <f>"VESPERTINO"</f>
        <v>VESPERTINO</v>
      </c>
      <c r="E319" s="26" t="str">
        <f>"AV. CANAL DE SAN JUAN 315                                                       "</f>
        <v xml:space="preserve">AV. CANAL DE SAN JUAN 315                                                       </v>
      </c>
      <c r="F319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319" s="26" t="str">
        <f>"IZTACALCO                                                                       "</f>
        <v xml:space="preserve">IZTACALCO                                                                       </v>
      </c>
      <c r="H319" s="26" t="str">
        <f>"357"</f>
        <v>357</v>
      </c>
      <c r="I319" s="26" t="str">
        <f t="shared" si="46"/>
        <v>00</v>
      </c>
      <c r="J319" s="26" t="str">
        <f>"43 "</f>
        <v xml:space="preserve">43 </v>
      </c>
      <c r="K319" s="26" t="str">
        <f t="shared" ref="K319:K324" si="55">"PR"</f>
        <v>PR</v>
      </c>
      <c r="L319" s="26" t="str">
        <f t="shared" ref="L319:L324" si="56">"DGOSE"</f>
        <v>DGOSE</v>
      </c>
      <c r="M319" s="26" t="str">
        <f t="shared" si="47"/>
        <v>FEDERAL</v>
      </c>
      <c r="N319" s="26">
        <v>149</v>
      </c>
      <c r="O319" s="26">
        <v>82</v>
      </c>
      <c r="P319" s="26">
        <v>67</v>
      </c>
      <c r="Q319" s="26">
        <v>6</v>
      </c>
      <c r="R319" s="26">
        <v>1</v>
      </c>
      <c r="S319" s="26">
        <v>6</v>
      </c>
      <c r="T319" s="26">
        <v>5</v>
      </c>
      <c r="U319" s="26">
        <v>12</v>
      </c>
      <c r="V319" s="26">
        <v>1</v>
      </c>
      <c r="W319" s="26"/>
    </row>
    <row r="320" spans="1:23" x14ac:dyDescent="0.25">
      <c r="A320" s="26" t="str">
        <f t="shared" si="45"/>
        <v>PRIMARIA</v>
      </c>
      <c r="B320" s="26" t="str">
        <f>"09DPR1078I"</f>
        <v>09DPR1078I</v>
      </c>
      <c r="C320" s="26" t="str">
        <f>"PRESIDENTE JOHN F KENNEDY                                                                           "</f>
        <v xml:space="preserve">PRESIDENTE JOHN F KENNEDY                                                                           </v>
      </c>
      <c r="D320" s="26" t="str">
        <f>"MATUTINO"</f>
        <v>MATUTINO</v>
      </c>
      <c r="E320" s="26" t="str">
        <f>"FRAY SERVANDO TERESA DE MIER SIN NUMERO                                         "</f>
        <v xml:space="preserve">FRAY SERVANDO TERESA DE MIER SIN NUMERO                                         </v>
      </c>
      <c r="F320" s="26" t="str">
        <f>"AERONAUTICA MILITAR                                                                                                                         "</f>
        <v xml:space="preserve">AERONAUTICA MILITAR                                                                                                                         </v>
      </c>
      <c r="G320" s="26" t="str">
        <f>"VENUSTIANO CARRANZA                                                             "</f>
        <v xml:space="preserve">VENUSTIANO CARRANZA                                                             </v>
      </c>
      <c r="H320" s="26" t="str">
        <f>"347"</f>
        <v>347</v>
      </c>
      <c r="I320" s="26" t="str">
        <f t="shared" si="46"/>
        <v>00</v>
      </c>
      <c r="J320" s="26" t="str">
        <f>"43 "</f>
        <v xml:space="preserve">43 </v>
      </c>
      <c r="K320" s="26" t="str">
        <f t="shared" si="55"/>
        <v>PR</v>
      </c>
      <c r="L320" s="26" t="str">
        <f t="shared" si="56"/>
        <v>DGOSE</v>
      </c>
      <c r="M320" s="26" t="str">
        <f t="shared" si="47"/>
        <v>FEDERAL</v>
      </c>
      <c r="N320" s="26">
        <v>517</v>
      </c>
      <c r="O320" s="26">
        <v>260</v>
      </c>
      <c r="P320" s="26">
        <v>257</v>
      </c>
      <c r="Q320" s="26">
        <v>18</v>
      </c>
      <c r="R320" s="26">
        <v>1</v>
      </c>
      <c r="S320" s="26">
        <v>18</v>
      </c>
      <c r="T320" s="26">
        <v>17</v>
      </c>
      <c r="U320" s="26">
        <v>36</v>
      </c>
      <c r="V320" s="26">
        <v>1</v>
      </c>
      <c r="W320" s="26"/>
    </row>
    <row r="321" spans="1:23" x14ac:dyDescent="0.25">
      <c r="A321" s="26" t="str">
        <f t="shared" si="45"/>
        <v>PRIMARIA</v>
      </c>
      <c r="B321" s="26" t="str">
        <f>"09DPR1079H"</f>
        <v>09DPR1079H</v>
      </c>
      <c r="C321" s="26" t="str">
        <f>"JESUS T. ACEVEDO                                                                                    "</f>
        <v xml:space="preserve">JESUS T. ACEVEDO                                                                                    </v>
      </c>
      <c r="D321" s="26" t="str">
        <f>"MATUTINO"</f>
        <v>MATUTINO</v>
      </c>
      <c r="E321" s="26" t="str">
        <f>"AV.CANAL SAN JUAN 315                                                           "</f>
        <v xml:space="preserve">AV.CANAL SAN JUAN 315                                                           </v>
      </c>
      <c r="F321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321" s="26" t="str">
        <f>"IZTACALCO                                                                       "</f>
        <v xml:space="preserve">IZTACALCO                                                                       </v>
      </c>
      <c r="H321" s="26" t="str">
        <f>"357"</f>
        <v>357</v>
      </c>
      <c r="I321" s="26" t="str">
        <f t="shared" si="46"/>
        <v>00</v>
      </c>
      <c r="J321" s="26" t="str">
        <f>"43 "</f>
        <v xml:space="preserve">43 </v>
      </c>
      <c r="K321" s="26" t="str">
        <f t="shared" si="55"/>
        <v>PR</v>
      </c>
      <c r="L321" s="26" t="str">
        <f t="shared" si="56"/>
        <v>DGOSE</v>
      </c>
      <c r="M321" s="26" t="str">
        <f t="shared" si="47"/>
        <v>FEDERAL</v>
      </c>
      <c r="N321" s="26">
        <v>399</v>
      </c>
      <c r="O321" s="26">
        <v>204</v>
      </c>
      <c r="P321" s="26">
        <v>195</v>
      </c>
      <c r="Q321" s="26">
        <v>14</v>
      </c>
      <c r="R321" s="26">
        <v>1</v>
      </c>
      <c r="S321" s="26">
        <v>14</v>
      </c>
      <c r="T321" s="26">
        <v>11</v>
      </c>
      <c r="U321" s="26">
        <v>26</v>
      </c>
      <c r="V321" s="26">
        <v>1</v>
      </c>
      <c r="W321" s="26"/>
    </row>
    <row r="322" spans="1:23" x14ac:dyDescent="0.25">
      <c r="A322" s="26" t="str">
        <f t="shared" ref="A322:A385" si="57">"PRIMARIA"</f>
        <v>PRIMARIA</v>
      </c>
      <c r="B322" s="26" t="str">
        <f>"09DPR1080X"</f>
        <v>09DPR1080X</v>
      </c>
      <c r="C322" s="26" t="str">
        <f>"GRAL. JUAN DE LA LUZ ENRIQUEZ                                                                       "</f>
        <v xml:space="preserve">GRAL. JUAN DE LA LUZ ENRIQUEZ                                                                       </v>
      </c>
      <c r="D322" s="26" t="str">
        <f>"MATUTINO"</f>
        <v>MATUTINO</v>
      </c>
      <c r="E322" s="26" t="str">
        <f>"CALLE 5 NO 138                                                                  "</f>
        <v xml:space="preserve">CALLE 5 NO 138                                                                  </v>
      </c>
      <c r="F322" s="26" t="str">
        <f>"AGRICOLA PANTITLAN                                                                                                                          "</f>
        <v xml:space="preserve">AGRICOLA PANTITLAN                                                                                                                          </v>
      </c>
      <c r="G322" s="26" t="str">
        <f>"IZTACALCO                                                                       "</f>
        <v xml:space="preserve">IZTACALCO                                                                       </v>
      </c>
      <c r="H322" s="26" t="str">
        <f>"354"</f>
        <v>354</v>
      </c>
      <c r="I322" s="26" t="str">
        <f t="shared" ref="I322:I385" si="58">"00"</f>
        <v>00</v>
      </c>
      <c r="J322" s="26" t="str">
        <f>"43 "</f>
        <v xml:space="preserve">43 </v>
      </c>
      <c r="K322" s="26" t="str">
        <f t="shared" si="55"/>
        <v>PR</v>
      </c>
      <c r="L322" s="26" t="str">
        <f t="shared" si="56"/>
        <v>DGOSE</v>
      </c>
      <c r="M322" s="26" t="str">
        <f t="shared" ref="M322:M385" si="59">"FEDERAL"</f>
        <v>FEDERAL</v>
      </c>
      <c r="N322" s="26">
        <v>623</v>
      </c>
      <c r="O322" s="26">
        <v>321</v>
      </c>
      <c r="P322" s="26">
        <v>302</v>
      </c>
      <c r="Q322" s="26">
        <v>22</v>
      </c>
      <c r="R322" s="26">
        <v>1</v>
      </c>
      <c r="S322" s="26">
        <v>22</v>
      </c>
      <c r="T322" s="26">
        <v>12</v>
      </c>
      <c r="U322" s="26">
        <v>35</v>
      </c>
      <c r="V322" s="26">
        <v>1</v>
      </c>
      <c r="W322" s="26"/>
    </row>
    <row r="323" spans="1:23" x14ac:dyDescent="0.25">
      <c r="A323" s="26" t="str">
        <f t="shared" si="57"/>
        <v>PRIMARIA</v>
      </c>
      <c r="B323" s="26" t="str">
        <f>"09DPR1081W"</f>
        <v>09DPR1081W</v>
      </c>
      <c r="C323" s="26" t="str">
        <f>"GRAL. JUAN DE LA LUZ ENRIQUEZ                                                                       "</f>
        <v xml:space="preserve">GRAL. JUAN DE LA LUZ ENRIQUEZ                                                                       </v>
      </c>
      <c r="D323" s="26" t="str">
        <f>"VESPERTINO"</f>
        <v>VESPERTINO</v>
      </c>
      <c r="E323" s="26" t="str">
        <f>"CALLE 5 NUM 138                                                                 "</f>
        <v xml:space="preserve">CALLE 5 NUM 138                                                                 </v>
      </c>
      <c r="F323" s="26" t="str">
        <f>"AGRICOLA PANTITLAN                                                                                                                          "</f>
        <v xml:space="preserve">AGRICOLA PANTITLAN                                                                                                                          </v>
      </c>
      <c r="G323" s="26" t="str">
        <f>"IZTACALCO                                                                       "</f>
        <v xml:space="preserve">IZTACALCO                                                                       </v>
      </c>
      <c r="H323" s="26" t="str">
        <f>"354"</f>
        <v>354</v>
      </c>
      <c r="I323" s="26" t="str">
        <f t="shared" si="58"/>
        <v>00</v>
      </c>
      <c r="J323" s="26" t="str">
        <f>"43 "</f>
        <v xml:space="preserve">43 </v>
      </c>
      <c r="K323" s="26" t="str">
        <f t="shared" si="55"/>
        <v>PR</v>
      </c>
      <c r="L323" s="26" t="str">
        <f t="shared" si="56"/>
        <v>DGOSE</v>
      </c>
      <c r="M323" s="26" t="str">
        <f t="shared" si="59"/>
        <v>FEDERAL</v>
      </c>
      <c r="N323" s="26">
        <v>263</v>
      </c>
      <c r="O323" s="26">
        <v>148</v>
      </c>
      <c r="P323" s="26">
        <v>115</v>
      </c>
      <c r="Q323" s="26">
        <v>14</v>
      </c>
      <c r="R323" s="26">
        <v>1</v>
      </c>
      <c r="S323" s="26">
        <v>14</v>
      </c>
      <c r="T323" s="26">
        <v>11</v>
      </c>
      <c r="U323" s="26">
        <v>26</v>
      </c>
      <c r="V323" s="26">
        <v>1</v>
      </c>
      <c r="W323" s="26"/>
    </row>
    <row r="324" spans="1:23" x14ac:dyDescent="0.25">
      <c r="A324" s="26" t="str">
        <f t="shared" si="57"/>
        <v>PRIMARIA</v>
      </c>
      <c r="B324" s="26" t="str">
        <f>"09DPR1082V"</f>
        <v>09DPR1082V</v>
      </c>
      <c r="C324" s="26" t="str">
        <f>"HEROES DE 1914                                                                                      "</f>
        <v xml:space="preserve">HEROES DE 1914                                                                                      </v>
      </c>
      <c r="D324" s="26" t="str">
        <f>"JORNADA AMPLIADA"</f>
        <v>JORNADA AMPLIADA</v>
      </c>
      <c r="E324" s="26" t="str">
        <f>"ORIENTE 178 Y NORTE 9 S/N                                                       "</f>
        <v xml:space="preserve">ORIENTE 178 Y NORTE 9 S/N                                                       </v>
      </c>
      <c r="F324" s="26" t="str">
        <f>"MOCTEZUMA 2A SECCION                                                                                                                        "</f>
        <v xml:space="preserve">MOCTEZUMA 2A SECCION                                                                                                                        </v>
      </c>
      <c r="G324" s="26" t="str">
        <f>"VENUSTIANO CARRANZA                                                             "</f>
        <v xml:space="preserve">VENUSTIANO CARRANZA                                                             </v>
      </c>
      <c r="H324" s="26" t="str">
        <f>"425"</f>
        <v>425</v>
      </c>
      <c r="I324" s="26" t="str">
        <f t="shared" si="58"/>
        <v>00</v>
      </c>
      <c r="J324" s="26" t="str">
        <f>"44 "</f>
        <v xml:space="preserve">44 </v>
      </c>
      <c r="K324" s="26" t="str">
        <f t="shared" si="55"/>
        <v>PR</v>
      </c>
      <c r="L324" s="26" t="str">
        <f t="shared" si="56"/>
        <v>DGOSE</v>
      </c>
      <c r="M324" s="26" t="str">
        <f t="shared" si="59"/>
        <v>FEDERAL</v>
      </c>
      <c r="N324" s="26">
        <v>347</v>
      </c>
      <c r="O324" s="26">
        <v>182</v>
      </c>
      <c r="P324" s="26">
        <v>165</v>
      </c>
      <c r="Q324" s="26">
        <v>12</v>
      </c>
      <c r="R324" s="26">
        <v>1</v>
      </c>
      <c r="S324" s="26">
        <v>12</v>
      </c>
      <c r="T324" s="26">
        <v>13</v>
      </c>
      <c r="U324" s="26">
        <v>26</v>
      </c>
      <c r="V324" s="26">
        <v>1</v>
      </c>
      <c r="W324" s="26" t="s">
        <v>2076</v>
      </c>
    </row>
    <row r="325" spans="1:23" x14ac:dyDescent="0.25">
      <c r="A325" s="26" t="str">
        <f t="shared" si="57"/>
        <v>PRIMARIA</v>
      </c>
      <c r="B325" s="26" t="str">
        <f>"09DPR1083U"</f>
        <v>09DPR1083U</v>
      </c>
      <c r="C325" s="26" t="str">
        <f>"HEROES DEL MOLINO DEL REY                                                                           "</f>
        <v xml:space="preserve">HEROES DEL MOLINO DEL REY                                                                           </v>
      </c>
      <c r="D325" s="26" t="str">
        <f>"VESPERTINO"</f>
        <v>VESPERTINO</v>
      </c>
      <c r="E325" s="26" t="str">
        <f>"GRAL. MANUEL CEPEDA PERAZA NO. 41                                               "</f>
        <v xml:space="preserve">GRAL. MANUEL CEPEDA PERAZA NO. 41                                               </v>
      </c>
      <c r="F325" s="26" t="str">
        <f>"JUAN ESCUTIA                                                                                                                                "</f>
        <v xml:space="preserve">JUAN ESCUTIA                                                                                                                                </v>
      </c>
      <c r="G325" s="26" t="str">
        <f>"IZTAPALAPA                                                                      "</f>
        <v xml:space="preserve">IZTAPALAPA                                                                      </v>
      </c>
      <c r="H325" s="26" t="str">
        <f>"027"</f>
        <v>027</v>
      </c>
      <c r="I325" s="26" t="str">
        <f t="shared" si="58"/>
        <v>00</v>
      </c>
      <c r="J325" s="26" t="str">
        <f>"62 "</f>
        <v xml:space="preserve">62 </v>
      </c>
      <c r="K325" s="26" t="str">
        <f>"IZ"</f>
        <v>IZ</v>
      </c>
      <c r="L325" s="26" t="str">
        <f>"DGSEI"</f>
        <v>DGSEI</v>
      </c>
      <c r="M325" s="26" t="str">
        <f t="shared" si="59"/>
        <v>FEDERAL</v>
      </c>
      <c r="N325" s="26">
        <v>162</v>
      </c>
      <c r="O325" s="26">
        <v>91</v>
      </c>
      <c r="P325" s="26">
        <v>71</v>
      </c>
      <c r="Q325" s="26">
        <v>7</v>
      </c>
      <c r="R325" s="26">
        <v>1</v>
      </c>
      <c r="S325" s="26">
        <v>7</v>
      </c>
      <c r="T325" s="26">
        <v>5</v>
      </c>
      <c r="U325" s="26">
        <v>13</v>
      </c>
      <c r="V325" s="26">
        <v>1</v>
      </c>
      <c r="W325" s="26"/>
    </row>
    <row r="326" spans="1:23" x14ac:dyDescent="0.25">
      <c r="A326" s="26" t="str">
        <f t="shared" si="57"/>
        <v>PRIMARIA</v>
      </c>
      <c r="B326" s="26" t="str">
        <f>"09DPR1085S"</f>
        <v>09DPR1085S</v>
      </c>
      <c r="C326" s="26" t="str">
        <f>"HERMENEGILDO GALEANA                                                                                "</f>
        <v xml:space="preserve">HERMENEGILDO GALEANA                                                                                </v>
      </c>
      <c r="D326" s="26" t="str">
        <f>"JORNADA AMPLIADA"</f>
        <v>JORNADA AMPLIADA</v>
      </c>
      <c r="E326" s="26" t="str">
        <f>"AV QUETZALCOATL S/N                                                             "</f>
        <v xml:space="preserve">AV QUETZALCOATL S/N                                                             </v>
      </c>
      <c r="F326" s="26" t="str">
        <f>"PEÑON DE LOS BAÑOS                                                                                                                          "</f>
        <v xml:space="preserve">PEÑON DE LOS BAÑOS                                                                                                                          </v>
      </c>
      <c r="G326" s="26" t="str">
        <f>"VENUSTIANO CARRANZA                                                             "</f>
        <v xml:space="preserve">VENUSTIANO CARRANZA                                                             </v>
      </c>
      <c r="H326" s="26" t="str">
        <f>"421"</f>
        <v>421</v>
      </c>
      <c r="I326" s="26" t="str">
        <f t="shared" si="58"/>
        <v>00</v>
      </c>
      <c r="J326" s="26" t="str">
        <f>"44 "</f>
        <v xml:space="preserve">44 </v>
      </c>
      <c r="K326" s="26" t="str">
        <f>"PR"</f>
        <v>PR</v>
      </c>
      <c r="L326" s="26" t="str">
        <f>"DGOSE"</f>
        <v>DGOSE</v>
      </c>
      <c r="M326" s="26" t="str">
        <f t="shared" si="59"/>
        <v>FEDERAL</v>
      </c>
      <c r="N326" s="26">
        <v>175</v>
      </c>
      <c r="O326" s="26">
        <v>91</v>
      </c>
      <c r="P326" s="26">
        <v>84</v>
      </c>
      <c r="Q326" s="26">
        <v>6</v>
      </c>
      <c r="R326" s="26">
        <v>1</v>
      </c>
      <c r="S326" s="26">
        <v>6</v>
      </c>
      <c r="T326" s="26">
        <v>7</v>
      </c>
      <c r="U326" s="26">
        <v>14</v>
      </c>
      <c r="V326" s="26">
        <v>1</v>
      </c>
      <c r="W326" s="26" t="s">
        <v>2076</v>
      </c>
    </row>
    <row r="327" spans="1:23" x14ac:dyDescent="0.25">
      <c r="A327" s="26" t="str">
        <f t="shared" si="57"/>
        <v>PRIMARIA</v>
      </c>
      <c r="B327" s="26" t="str">
        <f>"09DPR1086R"</f>
        <v>09DPR1086R</v>
      </c>
      <c r="C327" s="26" t="str">
        <f>"HEROES DEL MOLINO DEL REY                                                                           "</f>
        <v xml:space="preserve">HEROES DEL MOLINO DEL REY                                                                           </v>
      </c>
      <c r="D327" s="26" t="str">
        <f>"MATUTINO"</f>
        <v>MATUTINO</v>
      </c>
      <c r="E327" s="26" t="str">
        <f>"GRAL. MANUEL CEPEDA PERAZA NO. 41                                               "</f>
        <v xml:space="preserve">GRAL. MANUEL CEPEDA PERAZA NO. 41                                               </v>
      </c>
      <c r="F327" s="26" t="str">
        <f>"JUAN ESCUTIA                                                                                                                                "</f>
        <v xml:space="preserve">JUAN ESCUTIA                                                                                                                                </v>
      </c>
      <c r="G327" s="26" t="str">
        <f>"IZTAPALAPA                                                                      "</f>
        <v xml:space="preserve">IZTAPALAPA                                                                      </v>
      </c>
      <c r="H327" s="26" t="str">
        <f>"027"</f>
        <v>027</v>
      </c>
      <c r="I327" s="26" t="str">
        <f t="shared" si="58"/>
        <v>00</v>
      </c>
      <c r="J327" s="26" t="str">
        <f>"62 "</f>
        <v xml:space="preserve">62 </v>
      </c>
      <c r="K327" s="26" t="str">
        <f>"IZ"</f>
        <v>IZ</v>
      </c>
      <c r="L327" s="26" t="str">
        <f>"DGSEI"</f>
        <v>DGSEI</v>
      </c>
      <c r="M327" s="26" t="str">
        <f t="shared" si="59"/>
        <v>FEDERAL</v>
      </c>
      <c r="N327" s="26">
        <v>640</v>
      </c>
      <c r="O327" s="26">
        <v>314</v>
      </c>
      <c r="P327" s="26">
        <v>326</v>
      </c>
      <c r="Q327" s="26">
        <v>21</v>
      </c>
      <c r="R327" s="26">
        <v>1</v>
      </c>
      <c r="S327" s="26">
        <v>21</v>
      </c>
      <c r="T327" s="26">
        <v>9</v>
      </c>
      <c r="U327" s="26">
        <v>31</v>
      </c>
      <c r="V327" s="26">
        <v>1</v>
      </c>
      <c r="W327" s="26"/>
    </row>
    <row r="328" spans="1:23" x14ac:dyDescent="0.25">
      <c r="A328" s="26" t="str">
        <f t="shared" si="57"/>
        <v>PRIMARIA</v>
      </c>
      <c r="B328" s="26" t="str">
        <f>"09DPR1087Q"</f>
        <v>09DPR1087Q</v>
      </c>
      <c r="C328" s="26" t="str">
        <f>"HEROES DE ZACAPOAXTLA                                                                               "</f>
        <v xml:space="preserve">HEROES DE ZACAPOAXTLA                                                                               </v>
      </c>
      <c r="D328" s="26" t="str">
        <f>"JORNADA AMPLIADA"</f>
        <v>JORNADA AMPLIADA</v>
      </c>
      <c r="E328" s="26" t="str">
        <f>"NORTE 21 NO. 110 BIS                                                            "</f>
        <v xml:space="preserve">NORTE 21 NO. 110 BIS                                                            </v>
      </c>
      <c r="F328" s="26" t="str">
        <f>"MOCTEZUMA 2A SECCION                                                                                                                        "</f>
        <v xml:space="preserve">MOCTEZUMA 2A SECCION                                                                                                                        </v>
      </c>
      <c r="G328" s="26" t="str">
        <f>"VENUSTIANO CARRANZA                                                             "</f>
        <v xml:space="preserve">VENUSTIANO CARRANZA                                                             </v>
      </c>
      <c r="H328" s="26" t="str">
        <f>"421"</f>
        <v>421</v>
      </c>
      <c r="I328" s="26" t="str">
        <f t="shared" si="58"/>
        <v>00</v>
      </c>
      <c r="J328" s="26" t="str">
        <f>"44 "</f>
        <v xml:space="preserve">44 </v>
      </c>
      <c r="K328" s="26" t="str">
        <f t="shared" ref="K328:K365" si="60">"PR"</f>
        <v>PR</v>
      </c>
      <c r="L328" s="26" t="str">
        <f t="shared" ref="L328:L365" si="61">"DGOSE"</f>
        <v>DGOSE</v>
      </c>
      <c r="M328" s="26" t="str">
        <f t="shared" si="59"/>
        <v>FEDERAL</v>
      </c>
      <c r="N328" s="26">
        <v>564</v>
      </c>
      <c r="O328" s="26">
        <v>272</v>
      </c>
      <c r="P328" s="26">
        <v>292</v>
      </c>
      <c r="Q328" s="26">
        <v>19</v>
      </c>
      <c r="R328" s="26">
        <v>1</v>
      </c>
      <c r="S328" s="26">
        <v>17</v>
      </c>
      <c r="T328" s="26">
        <v>13</v>
      </c>
      <c r="U328" s="26">
        <v>31</v>
      </c>
      <c r="V328" s="26">
        <v>1</v>
      </c>
      <c r="W328" s="26" t="s">
        <v>2076</v>
      </c>
    </row>
    <row r="329" spans="1:23" x14ac:dyDescent="0.25">
      <c r="A329" s="26" t="str">
        <f t="shared" si="57"/>
        <v>PRIMARIA</v>
      </c>
      <c r="B329" s="26" t="str">
        <f>"09DPR1089O"</f>
        <v>09DPR1089O</v>
      </c>
      <c r="C329" s="26" t="str">
        <f>"HEROES DE CERRO PRIETO                                                                              "</f>
        <v xml:space="preserve">HEROES DE CERRO PRIETO                                                                              </v>
      </c>
      <c r="D329" s="26" t="str">
        <f>"VESPERTINO"</f>
        <v>VESPERTINO</v>
      </c>
      <c r="E329" s="26" t="str">
        <f>"CDA DE SOLES S/N                                                                "</f>
        <v xml:space="preserve">CDA DE SOLES S/N                                                                </v>
      </c>
      <c r="F329" s="26" t="str">
        <f>"CASAS ALEMAN                                                                                                                                "</f>
        <v xml:space="preserve">CASAS ALEMAN                                                                                                                                </v>
      </c>
      <c r="G329" s="26" t="str">
        <f>"GUSTAVO A. MADERO                                                               "</f>
        <v xml:space="preserve">GUSTAVO A. MADERO                                                               </v>
      </c>
      <c r="H329" s="26" t="str">
        <f>"270"</f>
        <v>270</v>
      </c>
      <c r="I329" s="26" t="str">
        <f t="shared" si="58"/>
        <v>00</v>
      </c>
      <c r="J329" s="26" t="str">
        <f>"42 "</f>
        <v xml:space="preserve">42 </v>
      </c>
      <c r="K329" s="26" t="str">
        <f t="shared" si="60"/>
        <v>PR</v>
      </c>
      <c r="L329" s="26" t="str">
        <f t="shared" si="61"/>
        <v>DGOSE</v>
      </c>
      <c r="M329" s="26" t="str">
        <f t="shared" si="59"/>
        <v>FEDERAL</v>
      </c>
      <c r="N329" s="26">
        <v>103</v>
      </c>
      <c r="O329" s="26">
        <v>55</v>
      </c>
      <c r="P329" s="26">
        <v>48</v>
      </c>
      <c r="Q329" s="26">
        <v>8</v>
      </c>
      <c r="R329" s="26">
        <v>1</v>
      </c>
      <c r="S329" s="26">
        <v>6</v>
      </c>
      <c r="T329" s="26">
        <v>6</v>
      </c>
      <c r="U329" s="26">
        <v>13</v>
      </c>
      <c r="V329" s="26">
        <v>1</v>
      </c>
      <c r="W329" s="26"/>
    </row>
    <row r="330" spans="1:23" x14ac:dyDescent="0.25">
      <c r="A330" s="26" t="str">
        <f t="shared" si="57"/>
        <v>PRIMARIA</v>
      </c>
      <c r="B330" s="26" t="str">
        <f>"09DPR1091C"</f>
        <v>09DPR1091C</v>
      </c>
      <c r="C330" s="26" t="str">
        <f>"GUILLERMO BONILLA S.                                                                                "</f>
        <v xml:space="preserve">GUILLERMO BONILLA S.                                                                                </v>
      </c>
      <c r="D330" s="26" t="str">
        <f>"MATUTINO"</f>
        <v>MATUTINO</v>
      </c>
      <c r="E330" s="26" t="str">
        <f>"SUR 28 No.110                                                                   "</f>
        <v xml:space="preserve">SUR 28 No.110                                                                   </v>
      </c>
      <c r="F330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330" s="26" t="str">
        <f>"IZTACALCO                                                                       "</f>
        <v xml:space="preserve">IZTACALCO                                                                       </v>
      </c>
      <c r="H330" s="26" t="str">
        <f>"357"</f>
        <v>357</v>
      </c>
      <c r="I330" s="26" t="str">
        <f t="shared" si="58"/>
        <v>00</v>
      </c>
      <c r="J330" s="26" t="str">
        <f>"43 "</f>
        <v xml:space="preserve">43 </v>
      </c>
      <c r="K330" s="26" t="str">
        <f t="shared" si="60"/>
        <v>PR</v>
      </c>
      <c r="L330" s="26" t="str">
        <f t="shared" si="61"/>
        <v>DGOSE</v>
      </c>
      <c r="M330" s="26" t="str">
        <f t="shared" si="59"/>
        <v>FEDERAL</v>
      </c>
      <c r="N330" s="26">
        <v>669</v>
      </c>
      <c r="O330" s="26">
        <v>326</v>
      </c>
      <c r="P330" s="26">
        <v>343</v>
      </c>
      <c r="Q330" s="26">
        <v>24</v>
      </c>
      <c r="R330" s="26">
        <v>1</v>
      </c>
      <c r="S330" s="26">
        <v>24</v>
      </c>
      <c r="T330" s="26">
        <v>16</v>
      </c>
      <c r="U330" s="26">
        <v>41</v>
      </c>
      <c r="V330" s="26">
        <v>1</v>
      </c>
      <c r="W330" s="26"/>
    </row>
    <row r="331" spans="1:23" x14ac:dyDescent="0.25">
      <c r="A331" s="26" t="str">
        <f t="shared" si="57"/>
        <v>PRIMARIA</v>
      </c>
      <c r="B331" s="26" t="str">
        <f>"09DPR1092B"</f>
        <v>09DPR1092B</v>
      </c>
      <c r="C331" s="26" t="str">
        <f>"HEROES DE CERRO PRIETO                                                                              "</f>
        <v xml:space="preserve">HEROES DE CERRO PRIETO                                                                              </v>
      </c>
      <c r="D331" s="26" t="str">
        <f>"MATUTINO"</f>
        <v>MATUTINO</v>
      </c>
      <c r="E331" s="26" t="str">
        <f>"CDA DE SOLES S/N                                                                "</f>
        <v xml:space="preserve">CDA DE SOLES S/N                                                                </v>
      </c>
      <c r="F331" s="26" t="str">
        <f>"CASAS ALEMAN                                                                                                                                "</f>
        <v xml:space="preserve">CASAS ALEMAN                                                                                                                                </v>
      </c>
      <c r="G331" s="26" t="str">
        <f>"GUSTAVO A. MADERO                                                               "</f>
        <v xml:space="preserve">GUSTAVO A. MADERO                                                               </v>
      </c>
      <c r="H331" s="26" t="str">
        <f>"270"</f>
        <v>270</v>
      </c>
      <c r="I331" s="26" t="str">
        <f t="shared" si="58"/>
        <v>00</v>
      </c>
      <c r="J331" s="26" t="str">
        <f>"42 "</f>
        <v xml:space="preserve">42 </v>
      </c>
      <c r="K331" s="26" t="str">
        <f t="shared" si="60"/>
        <v>PR</v>
      </c>
      <c r="L331" s="26" t="str">
        <f t="shared" si="61"/>
        <v>DGOSE</v>
      </c>
      <c r="M331" s="26" t="str">
        <f t="shared" si="59"/>
        <v>FEDERAL</v>
      </c>
      <c r="N331" s="26">
        <v>226</v>
      </c>
      <c r="O331" s="26">
        <v>98</v>
      </c>
      <c r="P331" s="26">
        <v>128</v>
      </c>
      <c r="Q331" s="26">
        <v>8</v>
      </c>
      <c r="R331" s="26">
        <v>1</v>
      </c>
      <c r="S331" s="26">
        <v>8</v>
      </c>
      <c r="T331" s="26">
        <v>10</v>
      </c>
      <c r="U331" s="26">
        <v>19</v>
      </c>
      <c r="V331" s="26">
        <v>1</v>
      </c>
      <c r="W331" s="26"/>
    </row>
    <row r="332" spans="1:23" x14ac:dyDescent="0.25">
      <c r="A332" s="26" t="str">
        <f t="shared" si="57"/>
        <v>PRIMARIA</v>
      </c>
      <c r="B332" s="26" t="str">
        <f>"09DPR1093A"</f>
        <v>09DPR1093A</v>
      </c>
      <c r="C332" s="26" t="str">
        <f>"ALBERTO M. ALVARADO                                                                                 "</f>
        <v xml:space="preserve">ALBERTO M. ALVARADO                                                                                 </v>
      </c>
      <c r="D332" s="26" t="str">
        <f>"JORNADA AMPLIADA"</f>
        <v>JORNADA AMPLIADA</v>
      </c>
      <c r="E332" s="26" t="str">
        <f>"AV. CONSTITUYENTES NUM 940                                                      "</f>
        <v xml:space="preserve">AV. CONSTITUYENTES NUM 940                                                      </v>
      </c>
      <c r="F332" s="26" t="str">
        <f>"LOMAS ALTAS                                                                                                                                 "</f>
        <v xml:space="preserve">LOMAS ALTAS                                                                                                                                 </v>
      </c>
      <c r="G332" s="26" t="str">
        <f>"MIGUEL HIDALGO                                                                  "</f>
        <v xml:space="preserve">MIGUEL HIDALGO                                                                  </v>
      </c>
      <c r="H332" s="26" t="str">
        <f>"110"</f>
        <v>110</v>
      </c>
      <c r="I332" s="26" t="str">
        <f t="shared" si="58"/>
        <v>00</v>
      </c>
      <c r="J332" s="26" t="str">
        <f>"41 "</f>
        <v xml:space="preserve">41 </v>
      </c>
      <c r="K332" s="26" t="str">
        <f t="shared" si="60"/>
        <v>PR</v>
      </c>
      <c r="L332" s="26" t="str">
        <f t="shared" si="61"/>
        <v>DGOSE</v>
      </c>
      <c r="M332" s="26" t="str">
        <f t="shared" si="59"/>
        <v>FEDERAL</v>
      </c>
      <c r="N332" s="26">
        <v>180</v>
      </c>
      <c r="O332" s="26">
        <v>94</v>
      </c>
      <c r="P332" s="26">
        <v>86</v>
      </c>
      <c r="Q332" s="26">
        <v>10</v>
      </c>
      <c r="R332" s="26">
        <v>1</v>
      </c>
      <c r="S332" s="26">
        <v>10</v>
      </c>
      <c r="T332" s="26">
        <v>9</v>
      </c>
      <c r="U332" s="26">
        <v>20</v>
      </c>
      <c r="V332" s="26">
        <v>1</v>
      </c>
      <c r="W332" s="26" t="s">
        <v>2076</v>
      </c>
    </row>
    <row r="333" spans="1:23" x14ac:dyDescent="0.25">
      <c r="A333" s="26" t="str">
        <f t="shared" si="57"/>
        <v>PRIMARIA</v>
      </c>
      <c r="B333" s="26" t="str">
        <f>"09DPR1094Z"</f>
        <v>09DPR1094Z</v>
      </c>
      <c r="C333" s="26" t="str">
        <f>"CANADA                                                                                              "</f>
        <v xml:space="preserve">CANADA                                                                                              </v>
      </c>
      <c r="D333" s="26" t="str">
        <f>"JORNADA AMPLIADA"</f>
        <v>JORNADA AMPLIADA</v>
      </c>
      <c r="E333" s="26" t="str">
        <f>"BATALLAS DE CELAYA Y ORENDAIN                                                   "</f>
        <v xml:space="preserve">BATALLAS DE CELAYA Y ORENDAIN                                                   </v>
      </c>
      <c r="F333" s="26" t="str">
        <f>"RESIDENCIAL MILITAR                                                                                                                         "</f>
        <v xml:space="preserve">RESIDENCIAL MILITAR                                                                                                                         </v>
      </c>
      <c r="G333" s="26" t="str">
        <f>"MIGUEL HIDALGO                                                                  "</f>
        <v xml:space="preserve">MIGUEL HIDALGO                                                                  </v>
      </c>
      <c r="H333" s="26" t="str">
        <f>"111"</f>
        <v>111</v>
      </c>
      <c r="I333" s="26" t="str">
        <f t="shared" si="58"/>
        <v>00</v>
      </c>
      <c r="J333" s="26" t="str">
        <f>"41 "</f>
        <v xml:space="preserve">41 </v>
      </c>
      <c r="K333" s="26" t="str">
        <f t="shared" si="60"/>
        <v>PR</v>
      </c>
      <c r="L333" s="26" t="str">
        <f t="shared" si="61"/>
        <v>DGOSE</v>
      </c>
      <c r="M333" s="26" t="str">
        <f t="shared" si="59"/>
        <v>FEDERAL</v>
      </c>
      <c r="N333" s="26">
        <v>959</v>
      </c>
      <c r="O333" s="26">
        <v>482</v>
      </c>
      <c r="P333" s="26">
        <v>477</v>
      </c>
      <c r="Q333" s="26">
        <v>26</v>
      </c>
      <c r="R333" s="26">
        <v>1</v>
      </c>
      <c r="S333" s="26">
        <v>26</v>
      </c>
      <c r="T333" s="26">
        <v>16</v>
      </c>
      <c r="U333" s="26">
        <v>43</v>
      </c>
      <c r="V333" s="26">
        <v>1</v>
      </c>
      <c r="W333" s="26" t="s">
        <v>2076</v>
      </c>
    </row>
    <row r="334" spans="1:23" x14ac:dyDescent="0.25">
      <c r="A334" s="26" t="str">
        <f t="shared" si="57"/>
        <v>PRIMARIA</v>
      </c>
      <c r="B334" s="26" t="str">
        <f>"09DPR1095Z"</f>
        <v>09DPR1095Z</v>
      </c>
      <c r="C334" s="26" t="str">
        <f>"LIC. CARLOS ZAPATA VELA                                                                             "</f>
        <v xml:space="preserve">LIC. CARLOS ZAPATA VELA                                                                             </v>
      </c>
      <c r="D334" s="26" t="str">
        <f>"MATUTINO"</f>
        <v>MATUTINO</v>
      </c>
      <c r="E334" s="26" t="str">
        <f>"AVENIDA DEL RECREO No 1824                                                      "</f>
        <v xml:space="preserve">AVENIDA DEL RECREO No 1824                                                      </v>
      </c>
      <c r="F334" s="26" t="str">
        <f>"GABRIEL RAMOS MILLAN                                                                                                                        "</f>
        <v xml:space="preserve">GABRIEL RAMOS MILLAN                                                                                                                        </v>
      </c>
      <c r="G334" s="26" t="str">
        <f>"IZTACALCO                                                                       "</f>
        <v xml:space="preserve">IZTACALCO                                                                       </v>
      </c>
      <c r="H334" s="26" t="str">
        <f>"359"</f>
        <v>359</v>
      </c>
      <c r="I334" s="26" t="str">
        <f t="shared" si="58"/>
        <v>00</v>
      </c>
      <c r="J334" s="26" t="str">
        <f>"43 "</f>
        <v xml:space="preserve">43 </v>
      </c>
      <c r="K334" s="26" t="str">
        <f t="shared" si="60"/>
        <v>PR</v>
      </c>
      <c r="L334" s="26" t="str">
        <f t="shared" si="61"/>
        <v>DGOSE</v>
      </c>
      <c r="M334" s="26" t="str">
        <f t="shared" si="59"/>
        <v>FEDERAL</v>
      </c>
      <c r="N334" s="26">
        <v>365</v>
      </c>
      <c r="O334" s="26">
        <v>187</v>
      </c>
      <c r="P334" s="26">
        <v>178</v>
      </c>
      <c r="Q334" s="26">
        <v>14</v>
      </c>
      <c r="R334" s="26">
        <v>1</v>
      </c>
      <c r="S334" s="26">
        <v>14</v>
      </c>
      <c r="T334" s="26">
        <v>7</v>
      </c>
      <c r="U334" s="26">
        <v>22</v>
      </c>
      <c r="V334" s="26">
        <v>1</v>
      </c>
      <c r="W334" s="26"/>
    </row>
    <row r="335" spans="1:23" x14ac:dyDescent="0.25">
      <c r="A335" s="26" t="str">
        <f t="shared" si="57"/>
        <v>PRIMARIA</v>
      </c>
      <c r="B335" s="26" t="str">
        <f>"09DPR1096Y"</f>
        <v>09DPR1096Y</v>
      </c>
      <c r="C335" s="26" t="str">
        <f>"EL CHAMIZAL                                                                                         "</f>
        <v xml:space="preserve">EL CHAMIZAL                                                                                         </v>
      </c>
      <c r="D335" s="26" t="str">
        <f>"JORNADA AMPLIADA"</f>
        <v>JORNADA AMPLIADA</v>
      </c>
      <c r="E335" s="26" t="str">
        <f>"AV PALOMAS S/N                                                                  "</f>
        <v xml:space="preserve">AV PALOMAS S/N                                                                  </v>
      </c>
      <c r="F335" s="26" t="str">
        <f>"REFORMA SOCIAL                                                                                                                              "</f>
        <v xml:space="preserve">REFORMA SOCIAL                                                                                                                              </v>
      </c>
      <c r="G335" s="26" t="str">
        <f>"MIGUEL HIDALGO                                                                  "</f>
        <v xml:space="preserve">MIGUEL HIDALGO                                                                  </v>
      </c>
      <c r="H335" s="26" t="str">
        <f>"111"</f>
        <v>111</v>
      </c>
      <c r="I335" s="26" t="str">
        <f t="shared" si="58"/>
        <v>00</v>
      </c>
      <c r="J335" s="26" t="str">
        <f>"41 "</f>
        <v xml:space="preserve">41 </v>
      </c>
      <c r="K335" s="26" t="str">
        <f t="shared" si="60"/>
        <v>PR</v>
      </c>
      <c r="L335" s="26" t="str">
        <f t="shared" si="61"/>
        <v>DGOSE</v>
      </c>
      <c r="M335" s="26" t="str">
        <f t="shared" si="59"/>
        <v>FEDERAL</v>
      </c>
      <c r="N335" s="26">
        <v>377</v>
      </c>
      <c r="O335" s="26">
        <v>200</v>
      </c>
      <c r="P335" s="26">
        <v>177</v>
      </c>
      <c r="Q335" s="26">
        <v>12</v>
      </c>
      <c r="R335" s="26">
        <v>1</v>
      </c>
      <c r="S335" s="26">
        <v>12</v>
      </c>
      <c r="T335" s="26">
        <v>8</v>
      </c>
      <c r="U335" s="26">
        <v>21</v>
      </c>
      <c r="V335" s="26">
        <v>1</v>
      </c>
      <c r="W335" s="26" t="s">
        <v>2076</v>
      </c>
    </row>
    <row r="336" spans="1:23" x14ac:dyDescent="0.25">
      <c r="A336" s="26" t="str">
        <f t="shared" si="57"/>
        <v>PRIMARIA</v>
      </c>
      <c r="B336" s="26" t="str">
        <f>"09DPR1097X"</f>
        <v>09DPR1097X</v>
      </c>
      <c r="C336" s="26" t="str">
        <f>"ESTADO DE ZACATECAS                                                                                 "</f>
        <v xml:space="preserve">ESTADO DE ZACATECAS                                                                                 </v>
      </c>
      <c r="D336" s="26" t="str">
        <f>"JORNADA AMPLIADA"</f>
        <v>JORNADA AMPLIADA</v>
      </c>
      <c r="E336" s="26" t="str">
        <f>"RIVERO NUM 29                                                                   "</f>
        <v xml:space="preserve">RIVERO NUM 29                                                                   </v>
      </c>
      <c r="F336" s="26" t="str">
        <f>"MORELOS AMPLIACION                                                                                                                          "</f>
        <v xml:space="preserve">MORELOS AMPLIACION                                                                                                                          </v>
      </c>
      <c r="G336" s="26" t="str">
        <f>"CUAUHTEMOC                                                                      "</f>
        <v xml:space="preserve">CUAUHTEMOC                                                                      </v>
      </c>
      <c r="H336" s="26" t="str">
        <f>"119"</f>
        <v>119</v>
      </c>
      <c r="I336" s="26" t="str">
        <f t="shared" si="58"/>
        <v>00</v>
      </c>
      <c r="J336" s="26" t="str">
        <f>"41 "</f>
        <v xml:space="preserve">41 </v>
      </c>
      <c r="K336" s="26" t="str">
        <f t="shared" si="60"/>
        <v>PR</v>
      </c>
      <c r="L336" s="26" t="str">
        <f t="shared" si="61"/>
        <v>DGOSE</v>
      </c>
      <c r="M336" s="26" t="str">
        <f t="shared" si="59"/>
        <v>FEDERAL</v>
      </c>
      <c r="N336" s="26">
        <v>173</v>
      </c>
      <c r="O336" s="26">
        <v>83</v>
      </c>
      <c r="P336" s="26">
        <v>90</v>
      </c>
      <c r="Q336" s="26">
        <v>7</v>
      </c>
      <c r="R336" s="26">
        <v>1</v>
      </c>
      <c r="S336" s="26">
        <v>7</v>
      </c>
      <c r="T336" s="26">
        <v>7</v>
      </c>
      <c r="U336" s="26">
        <v>15</v>
      </c>
      <c r="V336" s="26">
        <v>1</v>
      </c>
      <c r="W336" s="26" t="s">
        <v>2076</v>
      </c>
    </row>
    <row r="337" spans="1:23" x14ac:dyDescent="0.25">
      <c r="A337" s="26" t="str">
        <f t="shared" si="57"/>
        <v>PRIMARIA</v>
      </c>
      <c r="B337" s="26" t="str">
        <f>"09DPR1101T"</f>
        <v>09DPR1101T</v>
      </c>
      <c r="C337" s="26" t="str">
        <f>"CHAPULTEPEC                                                                                         "</f>
        <v xml:space="preserve">CHAPULTEPEC                                                                                         </v>
      </c>
      <c r="D337" s="26" t="str">
        <f>"VESPERTINO"</f>
        <v>VESPERTINO</v>
      </c>
      <c r="E337" s="26" t="str">
        <f>"PASEO DE LA REFORMA NUM 1125                                                    "</f>
        <v xml:space="preserve">PASEO DE LA REFORMA NUM 1125                                                    </v>
      </c>
      <c r="F337" s="26" t="str">
        <f>"LOMAS DE CHAPULTEPEC                                                                                                                        "</f>
        <v xml:space="preserve">LOMAS DE CHAPULTEPEC                                                                                                                        </v>
      </c>
      <c r="G337" s="26" t="str">
        <f>"MIGUEL HIDALGO                                                                  "</f>
        <v xml:space="preserve">MIGUEL HIDALGO                                                                  </v>
      </c>
      <c r="H337" s="26" t="str">
        <f>"209"</f>
        <v>209</v>
      </c>
      <c r="I337" s="26" t="str">
        <f t="shared" si="58"/>
        <v>00</v>
      </c>
      <c r="J337" s="26" t="str">
        <f>"42 "</f>
        <v xml:space="preserve">42 </v>
      </c>
      <c r="K337" s="26" t="str">
        <f t="shared" si="60"/>
        <v>PR</v>
      </c>
      <c r="L337" s="26" t="str">
        <f t="shared" si="61"/>
        <v>DGOSE</v>
      </c>
      <c r="M337" s="26" t="str">
        <f t="shared" si="59"/>
        <v>FEDERAL</v>
      </c>
      <c r="N337" s="26">
        <v>119</v>
      </c>
      <c r="O337" s="26">
        <v>72</v>
      </c>
      <c r="P337" s="26">
        <v>47</v>
      </c>
      <c r="Q337" s="26">
        <v>6</v>
      </c>
      <c r="R337" s="26">
        <v>1</v>
      </c>
      <c r="S337" s="26">
        <v>6</v>
      </c>
      <c r="T337" s="26">
        <v>5</v>
      </c>
      <c r="U337" s="26">
        <v>12</v>
      </c>
      <c r="V337" s="26">
        <v>1</v>
      </c>
      <c r="W337" s="26"/>
    </row>
    <row r="338" spans="1:23" x14ac:dyDescent="0.25">
      <c r="A338" s="26" t="str">
        <f t="shared" si="57"/>
        <v>PRIMARIA</v>
      </c>
      <c r="B338" s="26" t="str">
        <f>"09DPR1104Q"</f>
        <v>09DPR1104Q</v>
      </c>
      <c r="C338" s="26" t="str">
        <f>"PROFR. FAUSTO BRAVO GOMEZ                                                                           "</f>
        <v xml:space="preserve">PROFR. FAUSTO BRAVO GOMEZ                                                                           </v>
      </c>
      <c r="D338" s="26" t="str">
        <f>"JORNADA AMPLIADA"</f>
        <v>JORNADA AMPLIADA</v>
      </c>
      <c r="E338" s="26" t="str">
        <f>"MIGUEL DE CERVANTES Y PRESA ENDO S/N                                            "</f>
        <v xml:space="preserve">MIGUEL DE CERVANTES Y PRESA ENDO S/N                                            </v>
      </c>
      <c r="F338" s="26" t="str">
        <f>"IRRIGACION                                                                                                                                  "</f>
        <v xml:space="preserve">IRRIGACION                                                                                                                                  </v>
      </c>
      <c r="G338" s="26" t="str">
        <f>"MIGUEL HIDALGO                                                                  "</f>
        <v xml:space="preserve">MIGUEL HIDALGO                                                                  </v>
      </c>
      <c r="H338" s="26" t="str">
        <f>"111"</f>
        <v>111</v>
      </c>
      <c r="I338" s="26" t="str">
        <f t="shared" si="58"/>
        <v>00</v>
      </c>
      <c r="J338" s="26" t="str">
        <f>"41 "</f>
        <v xml:space="preserve">41 </v>
      </c>
      <c r="K338" s="26" t="str">
        <f t="shared" si="60"/>
        <v>PR</v>
      </c>
      <c r="L338" s="26" t="str">
        <f t="shared" si="61"/>
        <v>DGOSE</v>
      </c>
      <c r="M338" s="26" t="str">
        <f t="shared" si="59"/>
        <v>FEDERAL</v>
      </c>
      <c r="N338" s="26">
        <v>560</v>
      </c>
      <c r="O338" s="26">
        <v>278</v>
      </c>
      <c r="P338" s="26">
        <v>282</v>
      </c>
      <c r="Q338" s="26">
        <v>16</v>
      </c>
      <c r="R338" s="26">
        <v>1</v>
      </c>
      <c r="S338" s="26">
        <v>16</v>
      </c>
      <c r="T338" s="26">
        <v>11</v>
      </c>
      <c r="U338" s="26">
        <v>28</v>
      </c>
      <c r="V338" s="26">
        <v>1</v>
      </c>
      <c r="W338" s="26" t="s">
        <v>2076</v>
      </c>
    </row>
    <row r="339" spans="1:23" x14ac:dyDescent="0.25">
      <c r="A339" s="26" t="str">
        <f t="shared" si="57"/>
        <v>PRIMARIA</v>
      </c>
      <c r="B339" s="26" t="str">
        <f>"09DPR1105P"</f>
        <v>09DPR1105P</v>
      </c>
      <c r="C339" s="26" t="str">
        <f>"LIC. MANUEL GUAL VIDAL                                                                              "</f>
        <v xml:space="preserve">LIC. MANUEL GUAL VIDAL                                                                              </v>
      </c>
      <c r="D339" s="26" t="str">
        <f>"VESPERTINO"</f>
        <v>VESPERTINO</v>
      </c>
      <c r="E339" s="26" t="str">
        <f>"PRESAS SANTA ROSA Y DON MARTIN S/N                                              "</f>
        <v xml:space="preserve">PRESAS SANTA ROSA Y DON MARTIN S/N                                              </v>
      </c>
      <c r="F339" s="26" t="str">
        <f>"IRRIGACION                                                                                                                                  "</f>
        <v xml:space="preserve">IRRIGACION                                                                                                                                  </v>
      </c>
      <c r="G339" s="26" t="str">
        <f>"MIGUEL HIDALGO                                                                  "</f>
        <v xml:space="preserve">MIGUEL HIDALGO                                                                  </v>
      </c>
      <c r="H339" s="26" t="str">
        <f>"208"</f>
        <v>208</v>
      </c>
      <c r="I339" s="26" t="str">
        <f t="shared" si="58"/>
        <v>00</v>
      </c>
      <c r="J339" s="26" t="str">
        <f>"42 "</f>
        <v xml:space="preserve">42 </v>
      </c>
      <c r="K339" s="26" t="str">
        <f t="shared" si="60"/>
        <v>PR</v>
      </c>
      <c r="L339" s="26" t="str">
        <f t="shared" si="61"/>
        <v>DGOSE</v>
      </c>
      <c r="M339" s="26" t="str">
        <f t="shared" si="59"/>
        <v>FEDERAL</v>
      </c>
      <c r="N339" s="26">
        <v>146</v>
      </c>
      <c r="O339" s="26">
        <v>77</v>
      </c>
      <c r="P339" s="26">
        <v>69</v>
      </c>
      <c r="Q339" s="26">
        <v>7</v>
      </c>
      <c r="R339" s="26">
        <v>1</v>
      </c>
      <c r="S339" s="26">
        <v>7</v>
      </c>
      <c r="T339" s="26">
        <v>6</v>
      </c>
      <c r="U339" s="26">
        <v>14</v>
      </c>
      <c r="V339" s="26">
        <v>1</v>
      </c>
      <c r="W339" s="26"/>
    </row>
    <row r="340" spans="1:23" x14ac:dyDescent="0.25">
      <c r="A340" s="26" t="str">
        <f t="shared" si="57"/>
        <v>PRIMARIA</v>
      </c>
      <c r="B340" s="26" t="str">
        <f>"09DPR1106O"</f>
        <v>09DPR1106O</v>
      </c>
      <c r="C340" s="26" t="str">
        <f>"LIC. MANUEL GUAL VIDAL                                                                              "</f>
        <v xml:space="preserve">LIC. MANUEL GUAL VIDAL                                                                              </v>
      </c>
      <c r="D340" s="26" t="str">
        <f>"MATUTINO"</f>
        <v>MATUTINO</v>
      </c>
      <c r="E340" s="26" t="str">
        <f>"PRESAS STA ROSA Y DON MARTIN S/N                                                "</f>
        <v xml:space="preserve">PRESAS STA ROSA Y DON MARTIN S/N                                                </v>
      </c>
      <c r="F340" s="26" t="str">
        <f>"IRRIGACION                                                                                                                                  "</f>
        <v xml:space="preserve">IRRIGACION                                                                                                                                  </v>
      </c>
      <c r="G340" s="26" t="str">
        <f>"MIGUEL HIDALGO                                                                  "</f>
        <v xml:space="preserve">MIGUEL HIDALGO                                                                  </v>
      </c>
      <c r="H340" s="26" t="str">
        <f>"208"</f>
        <v>208</v>
      </c>
      <c r="I340" s="26" t="str">
        <f t="shared" si="58"/>
        <v>00</v>
      </c>
      <c r="J340" s="26" t="str">
        <f>"42 "</f>
        <v xml:space="preserve">42 </v>
      </c>
      <c r="K340" s="26" t="str">
        <f t="shared" si="60"/>
        <v>PR</v>
      </c>
      <c r="L340" s="26" t="str">
        <f t="shared" si="61"/>
        <v>DGOSE</v>
      </c>
      <c r="M340" s="26" t="str">
        <f t="shared" si="59"/>
        <v>FEDERAL</v>
      </c>
      <c r="N340" s="26">
        <v>458</v>
      </c>
      <c r="O340" s="26">
        <v>231</v>
      </c>
      <c r="P340" s="26">
        <v>227</v>
      </c>
      <c r="Q340" s="26">
        <v>16</v>
      </c>
      <c r="R340" s="26">
        <v>1</v>
      </c>
      <c r="S340" s="26">
        <v>13</v>
      </c>
      <c r="T340" s="26">
        <v>14</v>
      </c>
      <c r="U340" s="26">
        <v>28</v>
      </c>
      <c r="V340" s="26">
        <v>1</v>
      </c>
      <c r="W340" s="26"/>
    </row>
    <row r="341" spans="1:23" x14ac:dyDescent="0.25">
      <c r="A341" s="26" t="str">
        <f t="shared" si="57"/>
        <v>PRIMARIA</v>
      </c>
      <c r="B341" s="26" t="str">
        <f>"09DPR1108M"</f>
        <v>09DPR1108M</v>
      </c>
      <c r="C341" s="26" t="str">
        <f>"PEDRO ASCENCIO                                                                                      "</f>
        <v xml:space="preserve">PEDRO ASCENCIO                                                                                      </v>
      </c>
      <c r="D341" s="26" t="str">
        <f>"JORNADA AMPLIADA"</f>
        <v>JORNADA AMPLIADA</v>
      </c>
      <c r="E341" s="26" t="str">
        <f>"LAZARO CARDENAS 1110                                                            "</f>
        <v xml:space="preserve">LAZARO CARDENAS 1110                                                            </v>
      </c>
      <c r="F341" s="26" t="str">
        <f>"VERTIZ NARVARTE                                                                                                                             "</f>
        <v xml:space="preserve">VERTIZ NARVARTE                                                                                                                             </v>
      </c>
      <c r="G341" s="26" t="str">
        <f>"BENITO JUAREZ                                                                   "</f>
        <v xml:space="preserve">BENITO JUAREZ                                                                   </v>
      </c>
      <c r="H341" s="26" t="str">
        <f>"414"</f>
        <v>414</v>
      </c>
      <c r="I341" s="26" t="str">
        <f t="shared" si="58"/>
        <v>00</v>
      </c>
      <c r="J341" s="26" t="str">
        <f>"44 "</f>
        <v xml:space="preserve">44 </v>
      </c>
      <c r="K341" s="26" t="str">
        <f t="shared" si="60"/>
        <v>PR</v>
      </c>
      <c r="L341" s="26" t="str">
        <f t="shared" si="61"/>
        <v>DGOSE</v>
      </c>
      <c r="M341" s="26" t="str">
        <f t="shared" si="59"/>
        <v>FEDERAL</v>
      </c>
      <c r="N341" s="26">
        <v>203</v>
      </c>
      <c r="O341" s="26">
        <v>106</v>
      </c>
      <c r="P341" s="26">
        <v>97</v>
      </c>
      <c r="Q341" s="26">
        <v>8</v>
      </c>
      <c r="R341" s="26">
        <v>1</v>
      </c>
      <c r="S341" s="26">
        <v>8</v>
      </c>
      <c r="T341" s="26">
        <v>6</v>
      </c>
      <c r="U341" s="26">
        <v>15</v>
      </c>
      <c r="V341" s="26">
        <v>1</v>
      </c>
      <c r="W341" s="26" t="s">
        <v>2076</v>
      </c>
    </row>
    <row r="342" spans="1:23" x14ac:dyDescent="0.25">
      <c r="A342" s="26" t="str">
        <f t="shared" si="57"/>
        <v>PRIMARIA</v>
      </c>
      <c r="B342" s="26" t="str">
        <f>"09DPR1110A"</f>
        <v>09DPR1110A</v>
      </c>
      <c r="C342" s="26" t="str">
        <f>"MAESTRO FRANCISCO MONTES DE OCA                                                                     "</f>
        <v xml:space="preserve">MAESTRO FRANCISCO MONTES DE OCA                                                                     </v>
      </c>
      <c r="D342" s="26" t="str">
        <f>"JORNADA AMPLIADA"</f>
        <v>JORNADA AMPLIADA</v>
      </c>
      <c r="E342" s="26" t="str">
        <f>"CAMPECHE NO 304                                                                 "</f>
        <v xml:space="preserve">CAMPECHE NO 304                                                                 </v>
      </c>
      <c r="F342" s="26" t="str">
        <f>"HIPODROMO DE LA CONDESA                                                                                                                     "</f>
        <v xml:space="preserve">HIPODROMO DE LA CONDESA                                                                                                                     </v>
      </c>
      <c r="G342" s="26" t="str">
        <f>"CUAUHTEMOC                                                                      "</f>
        <v xml:space="preserve">CUAUHTEMOC                                                                      </v>
      </c>
      <c r="H342" s="26" t="str">
        <f>"129"</f>
        <v>129</v>
      </c>
      <c r="I342" s="26" t="str">
        <f t="shared" si="58"/>
        <v>00</v>
      </c>
      <c r="J342" s="26" t="str">
        <f>"41 "</f>
        <v xml:space="preserve">41 </v>
      </c>
      <c r="K342" s="26" t="str">
        <f t="shared" si="60"/>
        <v>PR</v>
      </c>
      <c r="L342" s="26" t="str">
        <f t="shared" si="61"/>
        <v>DGOSE</v>
      </c>
      <c r="M342" s="26" t="str">
        <f t="shared" si="59"/>
        <v>FEDERAL</v>
      </c>
      <c r="N342" s="26">
        <v>138</v>
      </c>
      <c r="O342" s="26">
        <v>73</v>
      </c>
      <c r="P342" s="26">
        <v>65</v>
      </c>
      <c r="Q342" s="26">
        <v>8</v>
      </c>
      <c r="R342" s="26">
        <v>1</v>
      </c>
      <c r="S342" s="26">
        <v>8</v>
      </c>
      <c r="T342" s="26">
        <v>8</v>
      </c>
      <c r="U342" s="26">
        <v>17</v>
      </c>
      <c r="V342" s="26">
        <v>1</v>
      </c>
      <c r="W342" s="26" t="s">
        <v>2076</v>
      </c>
    </row>
    <row r="343" spans="1:23" x14ac:dyDescent="0.25">
      <c r="A343" s="26" t="str">
        <f t="shared" si="57"/>
        <v>PRIMARIA</v>
      </c>
      <c r="B343" s="26" t="str">
        <f>"09DPR1111Z"</f>
        <v>09DPR1111Z</v>
      </c>
      <c r="C343" s="26" t="str">
        <f>"DEFENSORES DE LA REPUBLICA                                                                          "</f>
        <v xml:space="preserve">DEFENSORES DE LA REPUBLICA                                                                          </v>
      </c>
      <c r="D343" s="26" t="str">
        <f>"JORNADA AMPLIADA"</f>
        <v>JORNADA AMPLIADA</v>
      </c>
      <c r="E343" s="26" t="str">
        <f>"CARLOS B ZETINA NUM 16                                                          "</f>
        <v xml:space="preserve">CARLOS B ZETINA NUM 16                                                          </v>
      </c>
      <c r="F343" s="26" t="str">
        <f>"HIPODROMO DE LA CONDESA                                                                                                                     "</f>
        <v xml:space="preserve">HIPODROMO DE LA CONDESA                                                                                                                     </v>
      </c>
      <c r="G343" s="26" t="str">
        <f>"CUAUHTEMOC                                                                      "</f>
        <v xml:space="preserve">CUAUHTEMOC                                                                      </v>
      </c>
      <c r="H343" s="26" t="str">
        <f>"129"</f>
        <v>129</v>
      </c>
      <c r="I343" s="26" t="str">
        <f t="shared" si="58"/>
        <v>00</v>
      </c>
      <c r="J343" s="26" t="str">
        <f>"41 "</f>
        <v xml:space="preserve">41 </v>
      </c>
      <c r="K343" s="26" t="str">
        <f t="shared" si="60"/>
        <v>PR</v>
      </c>
      <c r="L343" s="26" t="str">
        <f t="shared" si="61"/>
        <v>DGOSE</v>
      </c>
      <c r="M343" s="26" t="str">
        <f t="shared" si="59"/>
        <v>FEDERAL</v>
      </c>
      <c r="N343" s="26">
        <v>318</v>
      </c>
      <c r="O343" s="26">
        <v>159</v>
      </c>
      <c r="P343" s="26">
        <v>159</v>
      </c>
      <c r="Q343" s="26">
        <v>13</v>
      </c>
      <c r="R343" s="26">
        <v>1</v>
      </c>
      <c r="S343" s="26">
        <v>13</v>
      </c>
      <c r="T343" s="26">
        <v>12</v>
      </c>
      <c r="U343" s="26">
        <v>26</v>
      </c>
      <c r="V343" s="26">
        <v>1</v>
      </c>
      <c r="W343" s="26" t="s">
        <v>2076</v>
      </c>
    </row>
    <row r="344" spans="1:23" x14ac:dyDescent="0.25">
      <c r="A344" s="26" t="str">
        <f t="shared" si="57"/>
        <v>PRIMARIA</v>
      </c>
      <c r="B344" s="26" t="str">
        <f>"09DPR1114X"</f>
        <v>09DPR1114X</v>
      </c>
      <c r="C344" s="26" t="str">
        <f>"JUAN TELLEZ VARGAS                                                                                  "</f>
        <v xml:space="preserve">JUAN TELLEZ VARGAS                                                                                  </v>
      </c>
      <c r="D344" s="26" t="str">
        <f>"JORNADA AMPLIADA"</f>
        <v>JORNADA AMPLIADA</v>
      </c>
      <c r="E344" s="26" t="str">
        <f>"ZARAGOZA NUMERO 136                                                             "</f>
        <v xml:space="preserve">ZARAGOZA NUMERO 136                                                             </v>
      </c>
      <c r="F344" s="26" t="str">
        <f>"BUENAVISTA                                                                                                                                  "</f>
        <v xml:space="preserve">BUENAVISTA                                                                                                                                  </v>
      </c>
      <c r="G344" s="26" t="str">
        <f>"CUAUHTEMOC                                                                      "</f>
        <v xml:space="preserve">CUAUHTEMOC                                                                      </v>
      </c>
      <c r="H344" s="26" t="str">
        <f>"121"</f>
        <v>121</v>
      </c>
      <c r="I344" s="26" t="str">
        <f t="shared" si="58"/>
        <v>00</v>
      </c>
      <c r="J344" s="26" t="str">
        <f>"41 "</f>
        <v xml:space="preserve">41 </v>
      </c>
      <c r="K344" s="26" t="str">
        <f t="shared" si="60"/>
        <v>PR</v>
      </c>
      <c r="L344" s="26" t="str">
        <f t="shared" si="61"/>
        <v>DGOSE</v>
      </c>
      <c r="M344" s="26" t="str">
        <f t="shared" si="59"/>
        <v>FEDERAL</v>
      </c>
      <c r="N344" s="26">
        <v>299</v>
      </c>
      <c r="O344" s="26">
        <v>147</v>
      </c>
      <c r="P344" s="26">
        <v>152</v>
      </c>
      <c r="Q344" s="26">
        <v>12</v>
      </c>
      <c r="R344" s="26">
        <v>1</v>
      </c>
      <c r="S344" s="26">
        <v>12</v>
      </c>
      <c r="T344" s="26">
        <v>11</v>
      </c>
      <c r="U344" s="26">
        <v>24</v>
      </c>
      <c r="V344" s="26">
        <v>1</v>
      </c>
      <c r="W344" s="26" t="s">
        <v>2076</v>
      </c>
    </row>
    <row r="345" spans="1:23" x14ac:dyDescent="0.25">
      <c r="A345" s="26" t="str">
        <f t="shared" si="57"/>
        <v>PRIMARIA</v>
      </c>
      <c r="B345" s="26" t="str">
        <f>"09DPR1115W"</f>
        <v>09DPR1115W</v>
      </c>
      <c r="C345" s="26" t="str">
        <f>"PEDRO MARIA ANAYA                                                                                   "</f>
        <v xml:space="preserve">PEDRO MARIA ANAYA                                                                                   </v>
      </c>
      <c r="D345" s="26" t="str">
        <f>"TIEMPO COMPLETO"</f>
        <v>TIEMPO COMPLETO</v>
      </c>
      <c r="E345" s="26" t="str">
        <f>"ING. PASCUAL ORTIZ RUBIO # 25                                                   "</f>
        <v xml:space="preserve">ING. PASCUAL ORTIZ RUBIO # 25                                                   </v>
      </c>
      <c r="F345" s="26" t="str">
        <f>"SAN SIMON TICUMAC                                                                                                                           "</f>
        <v xml:space="preserve">SAN SIMON TICUMAC                                                                                                                           </v>
      </c>
      <c r="G345" s="26" t="str">
        <f>"BENITO JUAREZ                                                                   "</f>
        <v xml:space="preserve">BENITO JUAREZ                                                                   </v>
      </c>
      <c r="H345" s="26" t="str">
        <f>"414"</f>
        <v>414</v>
      </c>
      <c r="I345" s="26" t="str">
        <f t="shared" si="58"/>
        <v>00</v>
      </c>
      <c r="J345" s="26" t="str">
        <f>"44 "</f>
        <v xml:space="preserve">44 </v>
      </c>
      <c r="K345" s="26" t="str">
        <f t="shared" si="60"/>
        <v>PR</v>
      </c>
      <c r="L345" s="26" t="str">
        <f t="shared" si="61"/>
        <v>DGOSE</v>
      </c>
      <c r="M345" s="26" t="str">
        <f t="shared" si="59"/>
        <v>FEDERAL</v>
      </c>
      <c r="N345" s="26">
        <v>207</v>
      </c>
      <c r="O345" s="26">
        <v>103</v>
      </c>
      <c r="P345" s="26">
        <v>104</v>
      </c>
      <c r="Q345" s="26">
        <v>8</v>
      </c>
      <c r="R345" s="26">
        <v>1</v>
      </c>
      <c r="S345" s="26">
        <v>8</v>
      </c>
      <c r="T345" s="26">
        <v>10</v>
      </c>
      <c r="U345" s="26">
        <v>19</v>
      </c>
      <c r="V345" s="26">
        <v>1</v>
      </c>
      <c r="W345" s="26" t="s">
        <v>218</v>
      </c>
    </row>
    <row r="346" spans="1:23" x14ac:dyDescent="0.25">
      <c r="A346" s="26" t="str">
        <f t="shared" si="57"/>
        <v>PRIMARIA</v>
      </c>
      <c r="B346" s="26" t="str">
        <f>"09DPR1117U"</f>
        <v>09DPR1117U</v>
      </c>
      <c r="C346" s="26" t="str">
        <f>"ALFONSO HERRERA                                                                                     "</f>
        <v xml:space="preserve">ALFONSO HERRERA                                                                                     </v>
      </c>
      <c r="D346" s="26" t="str">
        <f>"JORNADA AMPLIADA"</f>
        <v>JORNADA AMPLIADA</v>
      </c>
      <c r="E346" s="26" t="str">
        <f>"JUAN DE LA BARRERA 11                                                           "</f>
        <v xml:space="preserve">JUAN DE LA BARRERA 11                                                           </v>
      </c>
      <c r="F346" s="26" t="str">
        <f>"CONDESA                                                                                                                                     "</f>
        <v xml:space="preserve">CONDESA                                                                                                                                     </v>
      </c>
      <c r="G346" s="26" t="str">
        <f>"CUAUHTEMOC                                                                      "</f>
        <v xml:space="preserve">CUAUHTEMOC                                                                      </v>
      </c>
      <c r="H346" s="26" t="str">
        <f>"129"</f>
        <v>129</v>
      </c>
      <c r="I346" s="26" t="str">
        <f t="shared" si="58"/>
        <v>00</v>
      </c>
      <c r="J346" s="26" t="str">
        <f>"41 "</f>
        <v xml:space="preserve">41 </v>
      </c>
      <c r="K346" s="26" t="str">
        <f t="shared" si="60"/>
        <v>PR</v>
      </c>
      <c r="L346" s="26" t="str">
        <f t="shared" si="61"/>
        <v>DGOSE</v>
      </c>
      <c r="M346" s="26" t="str">
        <f t="shared" si="59"/>
        <v>FEDERAL</v>
      </c>
      <c r="N346" s="26">
        <v>186</v>
      </c>
      <c r="O346" s="26">
        <v>97</v>
      </c>
      <c r="P346" s="26">
        <v>89</v>
      </c>
      <c r="Q346" s="26">
        <v>6</v>
      </c>
      <c r="R346" s="26">
        <v>1</v>
      </c>
      <c r="S346" s="26">
        <v>6</v>
      </c>
      <c r="T346" s="26">
        <v>6</v>
      </c>
      <c r="U346" s="26">
        <v>13</v>
      </c>
      <c r="V346" s="26">
        <v>1</v>
      </c>
      <c r="W346" s="26" t="s">
        <v>2076</v>
      </c>
    </row>
    <row r="347" spans="1:23" x14ac:dyDescent="0.25">
      <c r="A347" s="26" t="str">
        <f t="shared" si="57"/>
        <v>PRIMARIA</v>
      </c>
      <c r="B347" s="26" t="str">
        <f>"09DPR1118T"</f>
        <v>09DPR1118T</v>
      </c>
      <c r="C347" s="26" t="str">
        <f>"LAOS                                                                                                "</f>
        <v xml:space="preserve">LAOS                                                                                                </v>
      </c>
      <c r="D347" s="26" t="str">
        <f>"JORNADA AMPLIADA"</f>
        <v>JORNADA AMPLIADA</v>
      </c>
      <c r="E347" s="26" t="str">
        <f>"ZEMPOALA 300                                                                    "</f>
        <v xml:space="preserve">ZEMPOALA 300                                                                    </v>
      </c>
      <c r="F347" s="26" t="str">
        <f>"NARVARTE                                                                                                                                    "</f>
        <v xml:space="preserve">NARVARTE                                                                                                                                    </v>
      </c>
      <c r="G347" s="26" t="str">
        <f>"BENITO JUAREZ                                                                   "</f>
        <v xml:space="preserve">BENITO JUAREZ                                                                   </v>
      </c>
      <c r="H347" s="26" t="str">
        <f>"415"</f>
        <v>415</v>
      </c>
      <c r="I347" s="26" t="str">
        <f t="shared" si="58"/>
        <v>00</v>
      </c>
      <c r="J347" s="26" t="str">
        <f>"44 "</f>
        <v xml:space="preserve">44 </v>
      </c>
      <c r="K347" s="26" t="str">
        <f t="shared" si="60"/>
        <v>PR</v>
      </c>
      <c r="L347" s="26" t="str">
        <f t="shared" si="61"/>
        <v>DGOSE</v>
      </c>
      <c r="M347" s="26" t="str">
        <f t="shared" si="59"/>
        <v>FEDERAL</v>
      </c>
      <c r="N347" s="26">
        <v>307</v>
      </c>
      <c r="O347" s="26">
        <v>160</v>
      </c>
      <c r="P347" s="26">
        <v>147</v>
      </c>
      <c r="Q347" s="26">
        <v>12</v>
      </c>
      <c r="R347" s="26">
        <v>1</v>
      </c>
      <c r="S347" s="26">
        <v>12</v>
      </c>
      <c r="T347" s="26">
        <v>8</v>
      </c>
      <c r="U347" s="26">
        <v>21</v>
      </c>
      <c r="V347" s="26">
        <v>1</v>
      </c>
      <c r="W347" s="26" t="s">
        <v>2076</v>
      </c>
    </row>
    <row r="348" spans="1:23" x14ac:dyDescent="0.25">
      <c r="A348" s="26" t="str">
        <f t="shared" si="57"/>
        <v>PRIMARIA</v>
      </c>
      <c r="B348" s="26" t="str">
        <f>"09DPR1119S"</f>
        <v>09DPR1119S</v>
      </c>
      <c r="C348" s="26" t="str">
        <f>"MANUEL ACUÑA                                                                                        "</f>
        <v xml:space="preserve">MANUEL ACUÑA                                                                                        </v>
      </c>
      <c r="D348" s="26" t="str">
        <f>"MATUTINO"</f>
        <v>MATUTINO</v>
      </c>
      <c r="E348" s="26" t="str">
        <f>"HECTOR VICTORIA Y CAMPANITAS                                                    "</f>
        <v xml:space="preserve">HECTOR VICTORIA Y CAMPANITAS                                                    </v>
      </c>
      <c r="F348" s="26" t="str">
        <f>"GRANJAS DE NAVIDAD                                                                                                                          "</f>
        <v xml:space="preserve">GRANJAS DE NAVIDAD                                                                                                                          </v>
      </c>
      <c r="G348" s="26" t="str">
        <f>"CUAJIMALPA DE MORELOS                                                           "</f>
        <v xml:space="preserve">CUAJIMALPA DE MORELOS                                                           </v>
      </c>
      <c r="H348" s="26" t="str">
        <f>"301"</f>
        <v>301</v>
      </c>
      <c r="I348" s="26" t="str">
        <f t="shared" si="58"/>
        <v>00</v>
      </c>
      <c r="J348" s="26" t="str">
        <f>"43 "</f>
        <v xml:space="preserve">43 </v>
      </c>
      <c r="K348" s="26" t="str">
        <f t="shared" si="60"/>
        <v>PR</v>
      </c>
      <c r="L348" s="26" t="str">
        <f t="shared" si="61"/>
        <v>DGOSE</v>
      </c>
      <c r="M348" s="26" t="str">
        <f t="shared" si="59"/>
        <v>FEDERAL</v>
      </c>
      <c r="N348" s="26">
        <v>637</v>
      </c>
      <c r="O348" s="26">
        <v>323</v>
      </c>
      <c r="P348" s="26">
        <v>314</v>
      </c>
      <c r="Q348" s="26">
        <v>19</v>
      </c>
      <c r="R348" s="26">
        <v>1</v>
      </c>
      <c r="S348" s="26">
        <v>19</v>
      </c>
      <c r="T348" s="26">
        <v>9</v>
      </c>
      <c r="U348" s="26">
        <v>29</v>
      </c>
      <c r="V348" s="26">
        <v>1</v>
      </c>
      <c r="W348" s="26"/>
    </row>
    <row r="349" spans="1:23" x14ac:dyDescent="0.25">
      <c r="A349" s="26" t="str">
        <f t="shared" si="57"/>
        <v>PRIMARIA</v>
      </c>
      <c r="B349" s="26" t="str">
        <f>"09DPR1120H"</f>
        <v>09DPR1120H</v>
      </c>
      <c r="C349" s="26" t="str">
        <f>"GRAL. PLUTARCO ELIAS CALLES                                                                         "</f>
        <v xml:space="preserve">GRAL. PLUTARCO ELIAS CALLES                                                                         </v>
      </c>
      <c r="D349" s="26" t="str">
        <f>"TIEMPO COMPLETO"</f>
        <v>TIEMPO COMPLETO</v>
      </c>
      <c r="E349" s="26" t="str">
        <f>"RET LANZ DURET NO 24                                                            "</f>
        <v xml:space="preserve">RET LANZ DURET NO 24                                                            </v>
      </c>
      <c r="F349" s="26" t="str">
        <f>"PERIODISTA                                                                                                                                  "</f>
        <v xml:space="preserve">PERIODISTA                                                                                                                                  </v>
      </c>
      <c r="G349" s="26" t="str">
        <f>"MIGUEL HIDALGO                                                                  "</f>
        <v xml:space="preserve">MIGUEL HIDALGO                                                                  </v>
      </c>
      <c r="H349" s="26" t="str">
        <f>"109"</f>
        <v>109</v>
      </c>
      <c r="I349" s="26" t="str">
        <f t="shared" si="58"/>
        <v>00</v>
      </c>
      <c r="J349" s="26" t="str">
        <f>"41 "</f>
        <v xml:space="preserve">41 </v>
      </c>
      <c r="K349" s="26" t="str">
        <f t="shared" si="60"/>
        <v>PR</v>
      </c>
      <c r="L349" s="26" t="str">
        <f t="shared" si="61"/>
        <v>DGOSE</v>
      </c>
      <c r="M349" s="26" t="str">
        <f t="shared" si="59"/>
        <v>FEDERAL</v>
      </c>
      <c r="N349" s="26">
        <v>210</v>
      </c>
      <c r="O349" s="26">
        <v>93</v>
      </c>
      <c r="P349" s="26">
        <v>117</v>
      </c>
      <c r="Q349" s="26">
        <v>6</v>
      </c>
      <c r="R349" s="26">
        <v>1</v>
      </c>
      <c r="S349" s="26">
        <v>6</v>
      </c>
      <c r="T349" s="26">
        <v>8</v>
      </c>
      <c r="U349" s="26">
        <v>15</v>
      </c>
      <c r="V349" s="26">
        <v>1</v>
      </c>
      <c r="W349" s="26" t="s">
        <v>218</v>
      </c>
    </row>
    <row r="350" spans="1:23" x14ac:dyDescent="0.25">
      <c r="A350" s="26" t="str">
        <f t="shared" si="57"/>
        <v>PRIMARIA</v>
      </c>
      <c r="B350" s="26" t="str">
        <f>"09DPR1122F"</f>
        <v>09DPR1122F</v>
      </c>
      <c r="C350" s="26" t="str">
        <f>"FELIPE CARRILLO PUERTO                                                                              "</f>
        <v xml:space="preserve">FELIPE CARRILLO PUERTO                                                                              </v>
      </c>
      <c r="D350" s="26" t="str">
        <f>"JORNADA AMPLIADA"</f>
        <v>JORNADA AMPLIADA</v>
      </c>
      <c r="E350" s="26" t="str">
        <f>"CALZADA DE GUADALUPE NUM 155                                                    "</f>
        <v xml:space="preserve">CALZADA DE GUADALUPE NUM 155                                                    </v>
      </c>
      <c r="F350" s="26" t="str">
        <f>"VALLE GOMEZ                                                                                                                                 "</f>
        <v xml:space="preserve">VALLE GOMEZ                                                                                                                                 </v>
      </c>
      <c r="G350" s="26" t="str">
        <f>"CUAUHTEMOC                                                                      "</f>
        <v xml:space="preserve">CUAUHTEMOC                                                                      </v>
      </c>
      <c r="H350" s="26" t="str">
        <f>"118"</f>
        <v>118</v>
      </c>
      <c r="I350" s="26" t="str">
        <f t="shared" si="58"/>
        <v>00</v>
      </c>
      <c r="J350" s="26" t="str">
        <f>"41 "</f>
        <v xml:space="preserve">41 </v>
      </c>
      <c r="K350" s="26" t="str">
        <f t="shared" si="60"/>
        <v>PR</v>
      </c>
      <c r="L350" s="26" t="str">
        <f t="shared" si="61"/>
        <v>DGOSE</v>
      </c>
      <c r="M350" s="26" t="str">
        <f t="shared" si="59"/>
        <v>FEDERAL</v>
      </c>
      <c r="N350" s="26">
        <v>301</v>
      </c>
      <c r="O350" s="26">
        <v>146</v>
      </c>
      <c r="P350" s="26">
        <v>155</v>
      </c>
      <c r="Q350" s="26">
        <v>12</v>
      </c>
      <c r="R350" s="26">
        <v>1</v>
      </c>
      <c r="S350" s="26">
        <v>10</v>
      </c>
      <c r="T350" s="26">
        <v>9</v>
      </c>
      <c r="U350" s="26">
        <v>20</v>
      </c>
      <c r="V350" s="26">
        <v>1</v>
      </c>
      <c r="W350" s="26" t="s">
        <v>2076</v>
      </c>
    </row>
    <row r="351" spans="1:23" x14ac:dyDescent="0.25">
      <c r="A351" s="26" t="str">
        <f t="shared" si="57"/>
        <v>PRIMARIA</v>
      </c>
      <c r="B351" s="26" t="str">
        <f>"09DPR1123E"</f>
        <v>09DPR1123E</v>
      </c>
      <c r="C351" s="26" t="str">
        <f>"MANUEL ACUÑA                                                                                        "</f>
        <v xml:space="preserve">MANUEL ACUÑA                                                                                        </v>
      </c>
      <c r="D351" s="26" t="str">
        <f>"VESPERTINO"</f>
        <v>VESPERTINO</v>
      </c>
      <c r="E351" s="26" t="str">
        <f>"HECTOR VICTORIA Y CAMPANITAS                                                    "</f>
        <v xml:space="preserve">HECTOR VICTORIA Y CAMPANITAS                                                    </v>
      </c>
      <c r="F351" s="26" t="str">
        <f>"GRANJAS DE NAVIDAD                                                                                                                          "</f>
        <v xml:space="preserve">GRANJAS DE NAVIDAD                                                                                                                          </v>
      </c>
      <c r="G351" s="26" t="str">
        <f>"CUAJIMALPA DE MORELOS                                                           "</f>
        <v xml:space="preserve">CUAJIMALPA DE MORELOS                                                           </v>
      </c>
      <c r="H351" s="26" t="str">
        <f>"301"</f>
        <v>301</v>
      </c>
      <c r="I351" s="26" t="str">
        <f t="shared" si="58"/>
        <v>00</v>
      </c>
      <c r="J351" s="26" t="str">
        <f>"43 "</f>
        <v xml:space="preserve">43 </v>
      </c>
      <c r="K351" s="26" t="str">
        <f t="shared" si="60"/>
        <v>PR</v>
      </c>
      <c r="L351" s="26" t="str">
        <f t="shared" si="61"/>
        <v>DGOSE</v>
      </c>
      <c r="M351" s="26" t="str">
        <f t="shared" si="59"/>
        <v>FEDERAL</v>
      </c>
      <c r="N351" s="26">
        <v>391</v>
      </c>
      <c r="O351" s="26">
        <v>202</v>
      </c>
      <c r="P351" s="26">
        <v>189</v>
      </c>
      <c r="Q351" s="26">
        <v>17</v>
      </c>
      <c r="R351" s="26">
        <v>1</v>
      </c>
      <c r="S351" s="26">
        <v>17</v>
      </c>
      <c r="T351" s="26">
        <v>8</v>
      </c>
      <c r="U351" s="26">
        <v>26</v>
      </c>
      <c r="V351" s="26">
        <v>1</v>
      </c>
      <c r="W351" s="26"/>
    </row>
    <row r="352" spans="1:23" x14ac:dyDescent="0.25">
      <c r="A352" s="26" t="str">
        <f t="shared" si="57"/>
        <v>PRIMARIA</v>
      </c>
      <c r="B352" s="26" t="str">
        <f>"09DPR1125C"</f>
        <v>09DPR1125C</v>
      </c>
      <c r="C352" s="26" t="str">
        <f>"REINO UNIDO DE LA GRAN BRETAÑA                                                                      "</f>
        <v xml:space="preserve">REINO UNIDO DE LA GRAN BRETAÑA                                                                      </v>
      </c>
      <c r="D352" s="26" t="str">
        <f>"TIEMPO COMPLETO"</f>
        <v>TIEMPO COMPLETO</v>
      </c>
      <c r="E352" s="26" t="str">
        <f>"MARTIN MENDALDE NUM 1321                                                        "</f>
        <v xml:space="preserve">MARTIN MENDALDE NUM 1321                                                        </v>
      </c>
      <c r="F352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352" s="26" t="str">
        <f>"BENITO JUAREZ                                                                   "</f>
        <v xml:space="preserve">BENITO JUAREZ                                                                   </v>
      </c>
      <c r="H352" s="26" t="str">
        <f>"411"</f>
        <v>411</v>
      </c>
      <c r="I352" s="26" t="str">
        <f t="shared" si="58"/>
        <v>00</v>
      </c>
      <c r="J352" s="26" t="str">
        <f>"44 "</f>
        <v xml:space="preserve">44 </v>
      </c>
      <c r="K352" s="26" t="str">
        <f t="shared" si="60"/>
        <v>PR</v>
      </c>
      <c r="L352" s="26" t="str">
        <f t="shared" si="61"/>
        <v>DGOSE</v>
      </c>
      <c r="M352" s="26" t="str">
        <f t="shared" si="59"/>
        <v>FEDERAL</v>
      </c>
      <c r="N352" s="26">
        <v>340</v>
      </c>
      <c r="O352" s="26">
        <v>177</v>
      </c>
      <c r="P352" s="26">
        <v>163</v>
      </c>
      <c r="Q352" s="26">
        <v>12</v>
      </c>
      <c r="R352" s="26">
        <v>1</v>
      </c>
      <c r="S352" s="26">
        <v>12</v>
      </c>
      <c r="T352" s="26">
        <v>12</v>
      </c>
      <c r="U352" s="26">
        <v>25</v>
      </c>
      <c r="V352" s="26">
        <v>1</v>
      </c>
      <c r="W352" s="26" t="s">
        <v>218</v>
      </c>
    </row>
    <row r="353" spans="1:23" x14ac:dyDescent="0.25">
      <c r="A353" s="26" t="str">
        <f t="shared" si="57"/>
        <v>PRIMARIA</v>
      </c>
      <c r="B353" s="26" t="str">
        <f>"09DPR1127A"</f>
        <v>09DPR1127A</v>
      </c>
      <c r="C353" s="26" t="str">
        <f>"TLACOQUEMECATL                                                                                      "</f>
        <v xml:space="preserve">TLACOQUEMECATL                                                                                      </v>
      </c>
      <c r="D353" s="26" t="str">
        <f>"JORNADA AMPLIADA"</f>
        <v>JORNADA AMPLIADA</v>
      </c>
      <c r="E353" s="26" t="str">
        <f>"PATRICIO SANZ NUM 1415                                                          "</f>
        <v xml:space="preserve">PATRICIO SANZ NUM 1415                                                          </v>
      </c>
      <c r="F353" s="26" t="str">
        <f>"TLACOQUEMECATL DEL VALLE                                                                                                                    "</f>
        <v xml:space="preserve">TLACOQUEMECATL DEL VALLE                                                                                                                    </v>
      </c>
      <c r="G353" s="26" t="str">
        <f>"BENITO JUAREZ                                                                   "</f>
        <v xml:space="preserve">BENITO JUAREZ                                                                   </v>
      </c>
      <c r="H353" s="26" t="str">
        <f>"411"</f>
        <v>411</v>
      </c>
      <c r="I353" s="26" t="str">
        <f t="shared" si="58"/>
        <v>00</v>
      </c>
      <c r="J353" s="26" t="str">
        <f>"44 "</f>
        <v xml:space="preserve">44 </v>
      </c>
      <c r="K353" s="26" t="str">
        <f t="shared" si="60"/>
        <v>PR</v>
      </c>
      <c r="L353" s="26" t="str">
        <f t="shared" si="61"/>
        <v>DGOSE</v>
      </c>
      <c r="M353" s="26" t="str">
        <f t="shared" si="59"/>
        <v>FEDERAL</v>
      </c>
      <c r="N353" s="26">
        <v>281</v>
      </c>
      <c r="O353" s="26">
        <v>136</v>
      </c>
      <c r="P353" s="26">
        <v>145</v>
      </c>
      <c r="Q353" s="26">
        <v>10</v>
      </c>
      <c r="R353" s="26">
        <v>1</v>
      </c>
      <c r="S353" s="26">
        <v>10</v>
      </c>
      <c r="T353" s="26">
        <v>9</v>
      </c>
      <c r="U353" s="26">
        <v>20</v>
      </c>
      <c r="V353" s="26">
        <v>1</v>
      </c>
      <c r="W353" s="26" t="s">
        <v>2076</v>
      </c>
    </row>
    <row r="354" spans="1:23" x14ac:dyDescent="0.25">
      <c r="A354" s="26" t="str">
        <f t="shared" si="57"/>
        <v>PRIMARIA</v>
      </c>
      <c r="B354" s="26" t="str">
        <f>"09DPR1128Z"</f>
        <v>09DPR1128Z</v>
      </c>
      <c r="C354" s="26" t="str">
        <f>"GERTRUDIS ARMENDARIZ DE HIDALGO                                                                     "</f>
        <v xml:space="preserve">GERTRUDIS ARMENDARIZ DE HIDALGO                                                                     </v>
      </c>
      <c r="D354" s="26" t="str">
        <f>"MATUTINO"</f>
        <v>MATUTINO</v>
      </c>
      <c r="E354" s="26" t="str">
        <f>"CERRADA EMILIANO ZAPATA S/N                                                     "</f>
        <v xml:space="preserve">CERRADA EMILIANO ZAPATA S/N                                                     </v>
      </c>
      <c r="F354" s="26" t="str">
        <f>"CUAUTEPEC DE MADERO                                                                                                                         "</f>
        <v xml:space="preserve">CUAUTEPEC DE MADERO                                                                                                                         </v>
      </c>
      <c r="G354" s="26" t="str">
        <f>"GUSTAVO A. MADERO                                                               "</f>
        <v xml:space="preserve">GUSTAVO A. MADERO                                                               </v>
      </c>
      <c r="H354" s="26" t="str">
        <f>"231"</f>
        <v>231</v>
      </c>
      <c r="I354" s="26" t="str">
        <f t="shared" si="58"/>
        <v>00</v>
      </c>
      <c r="J354" s="26" t="str">
        <f>"42 "</f>
        <v xml:space="preserve">42 </v>
      </c>
      <c r="K354" s="26" t="str">
        <f t="shared" si="60"/>
        <v>PR</v>
      </c>
      <c r="L354" s="26" t="str">
        <f t="shared" si="61"/>
        <v>DGOSE</v>
      </c>
      <c r="M354" s="26" t="str">
        <f t="shared" si="59"/>
        <v>FEDERAL</v>
      </c>
      <c r="N354" s="26">
        <v>569</v>
      </c>
      <c r="O354" s="26">
        <v>277</v>
      </c>
      <c r="P354" s="26">
        <v>292</v>
      </c>
      <c r="Q354" s="26">
        <v>22</v>
      </c>
      <c r="R354" s="26">
        <v>1</v>
      </c>
      <c r="S354" s="26">
        <v>19</v>
      </c>
      <c r="T354" s="26">
        <v>12</v>
      </c>
      <c r="U354" s="26">
        <v>32</v>
      </c>
      <c r="V354" s="26">
        <v>1</v>
      </c>
      <c r="W354" s="26"/>
    </row>
    <row r="355" spans="1:23" x14ac:dyDescent="0.25">
      <c r="A355" s="26" t="str">
        <f t="shared" si="57"/>
        <v>PRIMARIA</v>
      </c>
      <c r="B355" s="26" t="str">
        <f>"09DPR1129Z"</f>
        <v>09DPR1129Z</v>
      </c>
      <c r="C355" s="26" t="str">
        <f>"ALFREDO BERNARDO NOBEL                                                                              "</f>
        <v xml:space="preserve">ALFREDO BERNARDO NOBEL                                                                              </v>
      </c>
      <c r="D355" s="26" t="str">
        <f>"TIEMPO COMPLETO"</f>
        <v>TIEMPO COMPLETO</v>
      </c>
      <c r="E355" s="26" t="str">
        <f>"AV. TORRES ELECT Y 3ER ANILLO DE CIRCUNV                                        "</f>
        <v xml:space="preserve">AV. TORRES ELECT Y 3ER ANILLO DE CIRCUNV                                        </v>
      </c>
      <c r="F355" s="26" t="str">
        <f>"LOMAS DE SOTELO                                                                                                                             "</f>
        <v xml:space="preserve">LOMAS DE SOTELO                                                                                                                             </v>
      </c>
      <c r="G355" s="26" t="str">
        <f>"MIGUEL HIDALGO                                                                  "</f>
        <v xml:space="preserve">MIGUEL HIDALGO                                                                  </v>
      </c>
      <c r="H355" s="26" t="str">
        <f>"109"</f>
        <v>109</v>
      </c>
      <c r="I355" s="26" t="str">
        <f t="shared" si="58"/>
        <v>00</v>
      </c>
      <c r="J355" s="26" t="str">
        <f>"41 "</f>
        <v xml:space="preserve">41 </v>
      </c>
      <c r="K355" s="26" t="str">
        <f t="shared" si="60"/>
        <v>PR</v>
      </c>
      <c r="L355" s="26" t="str">
        <f t="shared" si="61"/>
        <v>DGOSE</v>
      </c>
      <c r="M355" s="26" t="str">
        <f t="shared" si="59"/>
        <v>FEDERAL</v>
      </c>
      <c r="N355" s="26">
        <v>392</v>
      </c>
      <c r="O355" s="26">
        <v>206</v>
      </c>
      <c r="P355" s="26">
        <v>186</v>
      </c>
      <c r="Q355" s="26">
        <v>13</v>
      </c>
      <c r="R355" s="26">
        <v>1</v>
      </c>
      <c r="S355" s="26">
        <v>13</v>
      </c>
      <c r="T355" s="26">
        <v>14</v>
      </c>
      <c r="U355" s="26">
        <v>28</v>
      </c>
      <c r="V355" s="26">
        <v>1</v>
      </c>
      <c r="W355" s="26" t="s">
        <v>218</v>
      </c>
    </row>
    <row r="356" spans="1:23" x14ac:dyDescent="0.25">
      <c r="A356" s="26" t="str">
        <f t="shared" si="57"/>
        <v>PRIMARIA</v>
      </c>
      <c r="B356" s="26" t="str">
        <f>"09DPR1130O"</f>
        <v>09DPR1130O</v>
      </c>
      <c r="C356" s="26" t="str">
        <f>"MAESTRO ERNESTO ALCONEDO                                                                            "</f>
        <v xml:space="preserve">MAESTRO ERNESTO ALCONEDO                                                                            </v>
      </c>
      <c r="D356" s="26" t="str">
        <f>"JORNADA AMPLIADA"</f>
        <v>JORNADA AMPLIADA</v>
      </c>
      <c r="E356" s="26" t="str">
        <f>"ADOLFO PRIETO 1365                                                              "</f>
        <v xml:space="preserve">ADOLFO PRIETO 1365                                                              </v>
      </c>
      <c r="F356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356" s="26" t="str">
        <f>"BENITO JUAREZ                                                                   "</f>
        <v xml:space="preserve">BENITO JUAREZ                                                                   </v>
      </c>
      <c r="H356" s="26" t="str">
        <f>"411"</f>
        <v>411</v>
      </c>
      <c r="I356" s="26" t="str">
        <f t="shared" si="58"/>
        <v>00</v>
      </c>
      <c r="J356" s="26" t="str">
        <f>"44 "</f>
        <v xml:space="preserve">44 </v>
      </c>
      <c r="K356" s="26" t="str">
        <f t="shared" si="60"/>
        <v>PR</v>
      </c>
      <c r="L356" s="26" t="str">
        <f t="shared" si="61"/>
        <v>DGOSE</v>
      </c>
      <c r="M356" s="26" t="str">
        <f t="shared" si="59"/>
        <v>FEDERAL</v>
      </c>
      <c r="N356" s="26">
        <v>232</v>
      </c>
      <c r="O356" s="26">
        <v>114</v>
      </c>
      <c r="P356" s="26">
        <v>118</v>
      </c>
      <c r="Q356" s="26">
        <v>8</v>
      </c>
      <c r="R356" s="26">
        <v>1</v>
      </c>
      <c r="S356" s="26">
        <v>8</v>
      </c>
      <c r="T356" s="26">
        <v>8</v>
      </c>
      <c r="U356" s="26">
        <v>17</v>
      </c>
      <c r="V356" s="26">
        <v>1</v>
      </c>
      <c r="W356" s="26" t="s">
        <v>2076</v>
      </c>
    </row>
    <row r="357" spans="1:23" x14ac:dyDescent="0.25">
      <c r="A357" s="26" t="str">
        <f t="shared" si="57"/>
        <v>PRIMARIA</v>
      </c>
      <c r="B357" s="26" t="str">
        <f>"09DPR1132M"</f>
        <v>09DPR1132M</v>
      </c>
      <c r="C357" s="26" t="str">
        <f>"CENTRO URBANO PRESIDENTE ALEMAN                                                                     "</f>
        <v xml:space="preserve">CENTRO URBANO PRESIDENTE ALEMAN                                                                     </v>
      </c>
      <c r="D357" s="26" t="str">
        <f>"TIEMPO COMPLETO"</f>
        <v>TIEMPO COMPLETO</v>
      </c>
      <c r="E357" s="26" t="str">
        <f>"AV COYOACAN NO 1328                                                             "</f>
        <v xml:space="preserve">AV COYOACAN NO 1328                                                             </v>
      </c>
      <c r="F357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357" s="26" t="str">
        <f>"BENITO JUAREZ                                                                   "</f>
        <v xml:space="preserve">BENITO JUAREZ                                                                   </v>
      </c>
      <c r="H357" s="26" t="str">
        <f>"411"</f>
        <v>411</v>
      </c>
      <c r="I357" s="26" t="str">
        <f t="shared" si="58"/>
        <v>00</v>
      </c>
      <c r="J357" s="26" t="str">
        <f>"44 "</f>
        <v xml:space="preserve">44 </v>
      </c>
      <c r="K357" s="26" t="str">
        <f t="shared" si="60"/>
        <v>PR</v>
      </c>
      <c r="L357" s="26" t="str">
        <f t="shared" si="61"/>
        <v>DGOSE</v>
      </c>
      <c r="M357" s="26" t="str">
        <f t="shared" si="59"/>
        <v>FEDERAL</v>
      </c>
      <c r="N357" s="26">
        <v>346</v>
      </c>
      <c r="O357" s="26">
        <v>185</v>
      </c>
      <c r="P357" s="26">
        <v>161</v>
      </c>
      <c r="Q357" s="26">
        <v>12</v>
      </c>
      <c r="R357" s="26">
        <v>1</v>
      </c>
      <c r="S357" s="26">
        <v>12</v>
      </c>
      <c r="T357" s="26">
        <v>13</v>
      </c>
      <c r="U357" s="26">
        <v>26</v>
      </c>
      <c r="V357" s="26">
        <v>1</v>
      </c>
      <c r="W357" s="26" t="s">
        <v>218</v>
      </c>
    </row>
    <row r="358" spans="1:23" x14ac:dyDescent="0.25">
      <c r="A358" s="26" t="str">
        <f t="shared" si="57"/>
        <v>PRIMARIA</v>
      </c>
      <c r="B358" s="26" t="str">
        <f>"09DPR1133L"</f>
        <v>09DPR1133L</v>
      </c>
      <c r="C358" s="26" t="str">
        <f>"PATRIMONIO NACIONAL                                                                                 "</f>
        <v xml:space="preserve">PATRIMONIO NACIONAL                                                                                 </v>
      </c>
      <c r="D358" s="26" t="str">
        <f>"JORNADA AMPLIADA"</f>
        <v>JORNADA AMPLIADA</v>
      </c>
      <c r="E358" s="26" t="str">
        <f>"MAGDALENA 438                                                                   "</f>
        <v xml:space="preserve">MAGDALENA 438                                                                   </v>
      </c>
      <c r="F358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358" s="26" t="str">
        <f>"BENITO JUAREZ                                                                   "</f>
        <v xml:space="preserve">BENITO JUAREZ                                                                   </v>
      </c>
      <c r="H358" s="26" t="str">
        <f>"410"</f>
        <v>410</v>
      </c>
      <c r="I358" s="26" t="str">
        <f t="shared" si="58"/>
        <v>00</v>
      </c>
      <c r="J358" s="26" t="str">
        <f>"44 "</f>
        <v xml:space="preserve">44 </v>
      </c>
      <c r="K358" s="26" t="str">
        <f t="shared" si="60"/>
        <v>PR</v>
      </c>
      <c r="L358" s="26" t="str">
        <f t="shared" si="61"/>
        <v>DGOSE</v>
      </c>
      <c r="M358" s="26" t="str">
        <f t="shared" si="59"/>
        <v>FEDERAL</v>
      </c>
      <c r="N358" s="26">
        <v>238</v>
      </c>
      <c r="O358" s="26">
        <v>139</v>
      </c>
      <c r="P358" s="26">
        <v>99</v>
      </c>
      <c r="Q358" s="26">
        <v>12</v>
      </c>
      <c r="R358" s="26">
        <v>1</v>
      </c>
      <c r="S358" s="26">
        <v>12</v>
      </c>
      <c r="T358" s="26">
        <v>7</v>
      </c>
      <c r="U358" s="26">
        <v>20</v>
      </c>
      <c r="V358" s="26">
        <v>1</v>
      </c>
      <c r="W358" s="26" t="s">
        <v>2076</v>
      </c>
    </row>
    <row r="359" spans="1:23" x14ac:dyDescent="0.25">
      <c r="A359" s="26" t="str">
        <f t="shared" si="57"/>
        <v>PRIMARIA</v>
      </c>
      <c r="B359" s="26" t="str">
        <f>"09DPR1134K"</f>
        <v>09DPR1134K</v>
      </c>
      <c r="C359" s="26" t="str">
        <f>"I.S.S.S.T.E.                                                                                        "</f>
        <v xml:space="preserve">I.S.S.S.T.E.                                                                                        </v>
      </c>
      <c r="D359" s="26" t="str">
        <f>"JORNADA AMPLIADA"</f>
        <v>JORNADA AMPLIADA</v>
      </c>
      <c r="E359" s="26" t="str">
        <f>"MANUEL GONZALEZ NUM 396                                                         "</f>
        <v xml:space="preserve">MANUEL GONZALEZ NUM 396                                                         </v>
      </c>
      <c r="F359" s="26" t="str">
        <f>"UNIDAD NONOALCO TLATELOLCO                                                                                                                  "</f>
        <v xml:space="preserve">UNIDAD NONOALCO TLATELOLCO                                                                                                                  </v>
      </c>
      <c r="G359" s="26" t="str">
        <f>"CUAUHTEMOC                                                                      "</f>
        <v xml:space="preserve">CUAUHTEMOC                                                                      </v>
      </c>
      <c r="H359" s="26" t="str">
        <f>"119"</f>
        <v>119</v>
      </c>
      <c r="I359" s="26" t="str">
        <f t="shared" si="58"/>
        <v>00</v>
      </c>
      <c r="J359" s="26" t="str">
        <f>"41 "</f>
        <v xml:space="preserve">41 </v>
      </c>
      <c r="K359" s="26" t="str">
        <f t="shared" si="60"/>
        <v>PR</v>
      </c>
      <c r="L359" s="26" t="str">
        <f t="shared" si="61"/>
        <v>DGOSE</v>
      </c>
      <c r="M359" s="26" t="str">
        <f t="shared" si="59"/>
        <v>FEDERAL</v>
      </c>
      <c r="N359" s="26">
        <v>348</v>
      </c>
      <c r="O359" s="26">
        <v>169</v>
      </c>
      <c r="P359" s="26">
        <v>179</v>
      </c>
      <c r="Q359" s="26">
        <v>13</v>
      </c>
      <c r="R359" s="26">
        <v>1</v>
      </c>
      <c r="S359" s="26">
        <v>13</v>
      </c>
      <c r="T359" s="26">
        <v>11</v>
      </c>
      <c r="U359" s="26">
        <v>25</v>
      </c>
      <c r="V359" s="26">
        <v>1</v>
      </c>
      <c r="W359" s="26" t="s">
        <v>2076</v>
      </c>
    </row>
    <row r="360" spans="1:23" x14ac:dyDescent="0.25">
      <c r="A360" s="26" t="str">
        <f t="shared" si="57"/>
        <v>PRIMARIA</v>
      </c>
      <c r="B360" s="26" t="str">
        <f>"09DPR1135J"</f>
        <v>09DPR1135J</v>
      </c>
      <c r="C360" s="26" t="str">
        <f>"JOSE ANTONIO TORRES                                                                                 "</f>
        <v xml:space="preserve">JOSE ANTONIO TORRES                                                                                 </v>
      </c>
      <c r="D360" s="26" t="str">
        <f>"JORNADA AMPLIADA"</f>
        <v>JORNADA AMPLIADA</v>
      </c>
      <c r="E360" s="26" t="str">
        <f>"CALZ.RICARDO FLORES M.NUM 247                                                   "</f>
        <v xml:space="preserve">CALZ.RICARDO FLORES M.NUM 247                                                   </v>
      </c>
      <c r="F360" s="26" t="str">
        <f>"UNIDAD NONOALCO TLATELOLCO                                                                                                                  "</f>
        <v xml:space="preserve">UNIDAD NONOALCO TLATELOLCO                                                                                                                  </v>
      </c>
      <c r="G360" s="26" t="str">
        <f>"CUAUHTEMOC                                                                      "</f>
        <v xml:space="preserve">CUAUHTEMOC                                                                      </v>
      </c>
      <c r="H360" s="26" t="str">
        <f>"121"</f>
        <v>121</v>
      </c>
      <c r="I360" s="26" t="str">
        <f t="shared" si="58"/>
        <v>00</v>
      </c>
      <c r="J360" s="26" t="str">
        <f>"41 "</f>
        <v xml:space="preserve">41 </v>
      </c>
      <c r="K360" s="26" t="str">
        <f t="shared" si="60"/>
        <v>PR</v>
      </c>
      <c r="L360" s="26" t="str">
        <f t="shared" si="61"/>
        <v>DGOSE</v>
      </c>
      <c r="M360" s="26" t="str">
        <f t="shared" si="59"/>
        <v>FEDERAL</v>
      </c>
      <c r="N360" s="26">
        <v>394</v>
      </c>
      <c r="O360" s="26">
        <v>220</v>
      </c>
      <c r="P360" s="26">
        <v>174</v>
      </c>
      <c r="Q360" s="26">
        <v>14</v>
      </c>
      <c r="R360" s="26">
        <v>1</v>
      </c>
      <c r="S360" s="26">
        <v>14</v>
      </c>
      <c r="T360" s="26">
        <v>10</v>
      </c>
      <c r="U360" s="26">
        <v>25</v>
      </c>
      <c r="V360" s="26">
        <v>1</v>
      </c>
      <c r="W360" s="26" t="s">
        <v>2076</v>
      </c>
    </row>
    <row r="361" spans="1:23" x14ac:dyDescent="0.25">
      <c r="A361" s="26" t="str">
        <f t="shared" si="57"/>
        <v>PRIMARIA</v>
      </c>
      <c r="B361" s="26" t="str">
        <f>"09DPR1136I"</f>
        <v>09DPR1136I</v>
      </c>
      <c r="C361" s="26" t="str">
        <f>"ITALIA                                                                                              "</f>
        <v xml:space="preserve">ITALIA                                                                                              </v>
      </c>
      <c r="D361" s="26" t="str">
        <f>"MATUTINO"</f>
        <v>MATUTINO</v>
      </c>
      <c r="E361" s="26" t="str">
        <f>"LERDO NUM. 174                                                                  "</f>
        <v xml:space="preserve">LERDO NUM. 174                                                                  </v>
      </c>
      <c r="F361" s="26" t="str">
        <f>"GUERRERO                                                                                                                                    "</f>
        <v xml:space="preserve">GUERRERO                                                                                                                                    </v>
      </c>
      <c r="G361" s="26" t="str">
        <f>"CUAUHTEMOC                                                                      "</f>
        <v xml:space="preserve">CUAUHTEMOC                                                                      </v>
      </c>
      <c r="H361" s="26" t="str">
        <f>"218"</f>
        <v>218</v>
      </c>
      <c r="I361" s="26" t="str">
        <f t="shared" si="58"/>
        <v>00</v>
      </c>
      <c r="J361" s="26" t="str">
        <f>"42 "</f>
        <v xml:space="preserve">42 </v>
      </c>
      <c r="K361" s="26" t="str">
        <f t="shared" si="60"/>
        <v>PR</v>
      </c>
      <c r="L361" s="26" t="str">
        <f t="shared" si="61"/>
        <v>DGOSE</v>
      </c>
      <c r="M361" s="26" t="str">
        <f t="shared" si="59"/>
        <v>FEDERAL</v>
      </c>
      <c r="N361" s="26">
        <v>332</v>
      </c>
      <c r="O361" s="26">
        <v>159</v>
      </c>
      <c r="P361" s="26">
        <v>173</v>
      </c>
      <c r="Q361" s="26">
        <v>13</v>
      </c>
      <c r="R361" s="26">
        <v>1</v>
      </c>
      <c r="S361" s="26">
        <v>11</v>
      </c>
      <c r="T361" s="26">
        <v>11</v>
      </c>
      <c r="U361" s="26">
        <v>23</v>
      </c>
      <c r="V361" s="26">
        <v>1</v>
      </c>
      <c r="W361" s="26"/>
    </row>
    <row r="362" spans="1:23" x14ac:dyDescent="0.25">
      <c r="A362" s="26" t="str">
        <f t="shared" si="57"/>
        <v>PRIMARIA</v>
      </c>
      <c r="B362" s="26" t="str">
        <f>"09DPR1137H"</f>
        <v>09DPR1137H</v>
      </c>
      <c r="C362" s="26" t="str">
        <f>"LUIS GONZALEZ OBREGON                                                                               "</f>
        <v xml:space="preserve">LUIS GONZALEZ OBREGON                                                                               </v>
      </c>
      <c r="D362" s="26" t="str">
        <f>"TIEMPO COMPLETO"</f>
        <v>TIEMPO COMPLETO</v>
      </c>
      <c r="E362" s="26" t="str">
        <f>"OBRERO MUNDIAL Y REBSAMEN                                                       "</f>
        <v xml:space="preserve">OBRERO MUNDIAL Y REBSAMEN                                                       </v>
      </c>
      <c r="F362" s="26" t="str">
        <f>"NARVARTE                                                                                                                                    "</f>
        <v xml:space="preserve">NARVARTE                                                                                                                                    </v>
      </c>
      <c r="G362" s="26" t="str">
        <f>"BENITO JUAREZ                                                                   "</f>
        <v xml:space="preserve">BENITO JUAREZ                                                                   </v>
      </c>
      <c r="H362" s="26" t="str">
        <f>"410"</f>
        <v>410</v>
      </c>
      <c r="I362" s="26" t="str">
        <f t="shared" si="58"/>
        <v>00</v>
      </c>
      <c r="J362" s="26" t="str">
        <f>"44 "</f>
        <v xml:space="preserve">44 </v>
      </c>
      <c r="K362" s="26" t="str">
        <f t="shared" si="60"/>
        <v>PR</v>
      </c>
      <c r="L362" s="26" t="str">
        <f t="shared" si="61"/>
        <v>DGOSE</v>
      </c>
      <c r="M362" s="26" t="str">
        <f t="shared" si="59"/>
        <v>FEDERAL</v>
      </c>
      <c r="N362" s="26">
        <v>319</v>
      </c>
      <c r="O362" s="26">
        <v>170</v>
      </c>
      <c r="P362" s="26">
        <v>149</v>
      </c>
      <c r="Q362" s="26">
        <v>12</v>
      </c>
      <c r="R362" s="26">
        <v>1</v>
      </c>
      <c r="S362" s="26">
        <v>12</v>
      </c>
      <c r="T362" s="26">
        <v>11</v>
      </c>
      <c r="U362" s="26">
        <v>24</v>
      </c>
      <c r="V362" s="26">
        <v>1</v>
      </c>
      <c r="W362" s="26" t="s">
        <v>218</v>
      </c>
    </row>
    <row r="363" spans="1:23" x14ac:dyDescent="0.25">
      <c r="A363" s="26" t="str">
        <f t="shared" si="57"/>
        <v>PRIMARIA</v>
      </c>
      <c r="B363" s="26" t="str">
        <f>"09DPR1141U"</f>
        <v>09DPR1141U</v>
      </c>
      <c r="C363" s="26" t="str">
        <f>"JOSE MARTI                                                                                          "</f>
        <v xml:space="preserve">JOSE MARTI                                                                                          </v>
      </c>
      <c r="D363" s="26" t="str">
        <f>"TIEMPO COMPLETO"</f>
        <v>TIEMPO COMPLETO</v>
      </c>
      <c r="E363" s="26" t="str">
        <f>"MIER Y PESADO NO 30                                                             "</f>
        <v xml:space="preserve">MIER Y PESADO NO 30                                                             </v>
      </c>
      <c r="F363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363" s="26" t="str">
        <f>"BENITO JUAREZ                                                                   "</f>
        <v xml:space="preserve">BENITO JUAREZ                                                                   </v>
      </c>
      <c r="H363" s="26" t="str">
        <f>"410"</f>
        <v>410</v>
      </c>
      <c r="I363" s="26" t="str">
        <f t="shared" si="58"/>
        <v>00</v>
      </c>
      <c r="J363" s="26" t="str">
        <f>"44 "</f>
        <v xml:space="preserve">44 </v>
      </c>
      <c r="K363" s="26" t="str">
        <f t="shared" si="60"/>
        <v>PR</v>
      </c>
      <c r="L363" s="26" t="str">
        <f t="shared" si="61"/>
        <v>DGOSE</v>
      </c>
      <c r="M363" s="26" t="str">
        <f t="shared" si="59"/>
        <v>FEDERAL</v>
      </c>
      <c r="N363" s="26">
        <v>365</v>
      </c>
      <c r="O363" s="26">
        <v>196</v>
      </c>
      <c r="P363" s="26">
        <v>169</v>
      </c>
      <c r="Q363" s="26">
        <v>12</v>
      </c>
      <c r="R363" s="26">
        <v>1</v>
      </c>
      <c r="S363" s="26">
        <v>12</v>
      </c>
      <c r="T363" s="26">
        <v>13</v>
      </c>
      <c r="U363" s="26">
        <v>26</v>
      </c>
      <c r="V363" s="26">
        <v>1</v>
      </c>
      <c r="W363" s="26" t="s">
        <v>218</v>
      </c>
    </row>
    <row r="364" spans="1:23" x14ac:dyDescent="0.25">
      <c r="A364" s="26" t="str">
        <f t="shared" si="57"/>
        <v>PRIMARIA</v>
      </c>
      <c r="B364" s="26" t="str">
        <f>"09DPR1142T"</f>
        <v>09DPR1142T</v>
      </c>
      <c r="C364" s="26" t="str">
        <f>"JOSE MARIA MATA                                                                                     "</f>
        <v xml:space="preserve">JOSE MARIA MATA                                                                                     </v>
      </c>
      <c r="D364" s="26" t="str">
        <f>"JORNADA AMPLIADA"</f>
        <v>JORNADA AMPLIADA</v>
      </c>
      <c r="E364" s="26" t="str">
        <f>"AMORES NO 34                                                                    "</f>
        <v xml:space="preserve">AMORES NO 34                                                                    </v>
      </c>
      <c r="F364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364" s="26" t="str">
        <f>"BENITO JUAREZ                                                                   "</f>
        <v xml:space="preserve">BENITO JUAREZ                                                                   </v>
      </c>
      <c r="H364" s="26" t="str">
        <f>"411"</f>
        <v>411</v>
      </c>
      <c r="I364" s="26" t="str">
        <f t="shared" si="58"/>
        <v>00</v>
      </c>
      <c r="J364" s="26" t="str">
        <f>"44 "</f>
        <v xml:space="preserve">44 </v>
      </c>
      <c r="K364" s="26" t="str">
        <f t="shared" si="60"/>
        <v>PR</v>
      </c>
      <c r="L364" s="26" t="str">
        <f t="shared" si="61"/>
        <v>DGOSE</v>
      </c>
      <c r="M364" s="26" t="str">
        <f t="shared" si="59"/>
        <v>FEDERAL</v>
      </c>
      <c r="N364" s="26">
        <v>329</v>
      </c>
      <c r="O364" s="26">
        <v>168</v>
      </c>
      <c r="P364" s="26">
        <v>161</v>
      </c>
      <c r="Q364" s="26">
        <v>12</v>
      </c>
      <c r="R364" s="26">
        <v>1</v>
      </c>
      <c r="S364" s="26">
        <v>12</v>
      </c>
      <c r="T364" s="26">
        <v>9</v>
      </c>
      <c r="U364" s="26">
        <v>22</v>
      </c>
      <c r="V364" s="26">
        <v>1</v>
      </c>
      <c r="W364" s="26" t="s">
        <v>2076</v>
      </c>
    </row>
    <row r="365" spans="1:23" x14ac:dyDescent="0.25">
      <c r="A365" s="26" t="str">
        <f t="shared" si="57"/>
        <v>PRIMARIA</v>
      </c>
      <c r="B365" s="26" t="str">
        <f>"09DPR1145Q"</f>
        <v>09DPR1145Q</v>
      </c>
      <c r="C365" s="26" t="str">
        <f>"DR. MARIANO AZUELA                                                                                  "</f>
        <v xml:space="preserve">DR. MARIANO AZUELA                                                                                  </v>
      </c>
      <c r="D365" s="26" t="str">
        <f>"TIEMPO COMPLETO"</f>
        <v>TIEMPO COMPLETO</v>
      </c>
      <c r="E365" s="26" t="str">
        <f>"DR. BARRAGAN 815                                                                "</f>
        <v xml:space="preserve">DR. BARRAGAN 815                                                                </v>
      </c>
      <c r="F365" s="26" t="str">
        <f>"NARVARTE                                                                                                                                    "</f>
        <v xml:space="preserve">NARVARTE                                                                                                                                    </v>
      </c>
      <c r="G365" s="26" t="str">
        <f>"BENITO JUAREZ                                                                   "</f>
        <v xml:space="preserve">BENITO JUAREZ                                                                   </v>
      </c>
      <c r="H365" s="26" t="str">
        <f>"415"</f>
        <v>415</v>
      </c>
      <c r="I365" s="26" t="str">
        <f t="shared" si="58"/>
        <v>00</v>
      </c>
      <c r="J365" s="26" t="str">
        <f>"44 "</f>
        <v xml:space="preserve">44 </v>
      </c>
      <c r="K365" s="26" t="str">
        <f t="shared" si="60"/>
        <v>PR</v>
      </c>
      <c r="L365" s="26" t="str">
        <f t="shared" si="61"/>
        <v>DGOSE</v>
      </c>
      <c r="M365" s="26" t="str">
        <f t="shared" si="59"/>
        <v>FEDERAL</v>
      </c>
      <c r="N365" s="26">
        <v>370</v>
      </c>
      <c r="O365" s="26">
        <v>194</v>
      </c>
      <c r="P365" s="26">
        <v>176</v>
      </c>
      <c r="Q365" s="26">
        <v>12</v>
      </c>
      <c r="R365" s="26">
        <v>1</v>
      </c>
      <c r="S365" s="26">
        <v>12</v>
      </c>
      <c r="T365" s="26">
        <v>11</v>
      </c>
      <c r="U365" s="26">
        <v>24</v>
      </c>
      <c r="V365" s="26">
        <v>1</v>
      </c>
      <c r="W365" s="26" t="s">
        <v>218</v>
      </c>
    </row>
    <row r="366" spans="1:23" x14ac:dyDescent="0.25">
      <c r="A366" s="26" t="str">
        <f t="shared" si="57"/>
        <v>PRIMARIA</v>
      </c>
      <c r="B366" s="26" t="str">
        <f>"09DPR1146P"</f>
        <v>09DPR1146P</v>
      </c>
      <c r="C366" s="26" t="str">
        <f>"ALBINO GARCIA                                                                                       "</f>
        <v xml:space="preserve">ALBINO GARCIA                                                                                       </v>
      </c>
      <c r="D366" s="26" t="str">
        <f>"MATUTINO"</f>
        <v>MATUTINO</v>
      </c>
      <c r="E366" s="26" t="str">
        <f>"CALLE 25 Y AV. 2                                                                "</f>
        <v xml:space="preserve">CALLE 25 Y AV. 2                                                                </v>
      </c>
      <c r="F366" s="26" t="str">
        <f>"SANTA CRUZ MEYEHUALCO                                                                                                                       "</f>
        <v xml:space="preserve">SANTA CRUZ MEYEHUALCO                                                                                                                       </v>
      </c>
      <c r="G366" s="26" t="str">
        <f>"IZTAPALAPA                                                                      "</f>
        <v xml:space="preserve">IZTAPALAPA                                                                      </v>
      </c>
      <c r="H366" s="26" t="str">
        <f>"058"</f>
        <v>058</v>
      </c>
      <c r="I366" s="26" t="str">
        <f t="shared" si="58"/>
        <v>00</v>
      </c>
      <c r="J366" s="26" t="str">
        <f>"64 "</f>
        <v xml:space="preserve">64 </v>
      </c>
      <c r="K366" s="26" t="str">
        <f>"IZ"</f>
        <v>IZ</v>
      </c>
      <c r="L366" s="26" t="str">
        <f>"DGSEI"</f>
        <v>DGSEI</v>
      </c>
      <c r="M366" s="26" t="str">
        <f t="shared" si="59"/>
        <v>FEDERAL</v>
      </c>
      <c r="N366" s="26">
        <v>495</v>
      </c>
      <c r="O366" s="26">
        <v>248</v>
      </c>
      <c r="P366" s="26">
        <v>247</v>
      </c>
      <c r="Q366" s="26">
        <v>16</v>
      </c>
      <c r="R366" s="26">
        <v>1</v>
      </c>
      <c r="S366" s="26">
        <v>15</v>
      </c>
      <c r="T366" s="26">
        <v>9</v>
      </c>
      <c r="U366" s="26">
        <v>25</v>
      </c>
      <c r="V366" s="26">
        <v>1</v>
      </c>
      <c r="W366" s="26"/>
    </row>
    <row r="367" spans="1:23" x14ac:dyDescent="0.25">
      <c r="A367" s="26" t="str">
        <f t="shared" si="57"/>
        <v>PRIMARIA</v>
      </c>
      <c r="B367" s="26" t="str">
        <f>"09DPR1147O"</f>
        <v>09DPR1147O</v>
      </c>
      <c r="C367" s="26" t="str">
        <f>"ALBINO GARCIA                                                                                       "</f>
        <v xml:space="preserve">ALBINO GARCIA                                                                                       </v>
      </c>
      <c r="D367" s="26" t="str">
        <f>"VESPERTINO"</f>
        <v>VESPERTINO</v>
      </c>
      <c r="E367" s="26" t="str">
        <f>"CALLE 25 Y AV. 2                                                                "</f>
        <v xml:space="preserve">CALLE 25 Y AV. 2                                                                </v>
      </c>
      <c r="F367" s="26" t="str">
        <f>"SANTA CRUZ MEYEHUALCO                                                                                                                       "</f>
        <v xml:space="preserve">SANTA CRUZ MEYEHUALCO                                                                                                                       </v>
      </c>
      <c r="G367" s="26" t="str">
        <f>"IZTAPALAPA                                                                      "</f>
        <v xml:space="preserve">IZTAPALAPA                                                                      </v>
      </c>
      <c r="H367" s="26" t="str">
        <f>"058"</f>
        <v>058</v>
      </c>
      <c r="I367" s="26" t="str">
        <f t="shared" si="58"/>
        <v>00</v>
      </c>
      <c r="J367" s="26" t="str">
        <f>"64 "</f>
        <v xml:space="preserve">64 </v>
      </c>
      <c r="K367" s="26" t="str">
        <f>"IZ"</f>
        <v>IZ</v>
      </c>
      <c r="L367" s="26" t="str">
        <f>"DGSEI"</f>
        <v>DGSEI</v>
      </c>
      <c r="M367" s="26" t="str">
        <f t="shared" si="59"/>
        <v>FEDERAL</v>
      </c>
      <c r="N367" s="26">
        <v>156</v>
      </c>
      <c r="O367" s="26">
        <v>88</v>
      </c>
      <c r="P367" s="26">
        <v>68</v>
      </c>
      <c r="Q367" s="26">
        <v>8</v>
      </c>
      <c r="R367" s="26">
        <v>1</v>
      </c>
      <c r="S367" s="26">
        <v>8</v>
      </c>
      <c r="T367" s="26">
        <v>4</v>
      </c>
      <c r="U367" s="26">
        <v>13</v>
      </c>
      <c r="V367" s="26">
        <v>1</v>
      </c>
      <c r="W367" s="26"/>
    </row>
    <row r="368" spans="1:23" x14ac:dyDescent="0.25">
      <c r="A368" s="26" t="str">
        <f t="shared" si="57"/>
        <v>PRIMARIA</v>
      </c>
      <c r="B368" s="26" t="str">
        <f>"09DPR1148N"</f>
        <v>09DPR1148N</v>
      </c>
      <c r="C368" s="26" t="str">
        <f>"ALBERTO MASFERRER                                                                                   "</f>
        <v xml:space="preserve">ALBERTO MASFERRER                                                                                   </v>
      </c>
      <c r="D368" s="26" t="str">
        <f>"JORNADA AMPLIADA"</f>
        <v>JORNADA AMPLIADA</v>
      </c>
      <c r="E368" s="26" t="str">
        <f>"SUR 103-A NO. 604 Y AGUSTIN YAÑEZ                                               "</f>
        <v xml:space="preserve">SUR 103-A NO. 604 Y AGUSTIN YAÑEZ                                               </v>
      </c>
      <c r="F368" s="26" t="str">
        <f>"SECTOR POPULAR                                                                                                                              "</f>
        <v xml:space="preserve">SECTOR POPULAR                                                                                                                              </v>
      </c>
      <c r="G368" s="26" t="str">
        <f>"IZTAPALAPA                                                                      "</f>
        <v xml:space="preserve">IZTAPALAPA                                                                      </v>
      </c>
      <c r="H368" s="26" t="str">
        <f>"002"</f>
        <v>002</v>
      </c>
      <c r="I368" s="26" t="str">
        <f t="shared" si="58"/>
        <v>00</v>
      </c>
      <c r="J368" s="26" t="str">
        <f>"61 "</f>
        <v xml:space="preserve">61 </v>
      </c>
      <c r="K368" s="26" t="str">
        <f>"IZ"</f>
        <v>IZ</v>
      </c>
      <c r="L368" s="26" t="str">
        <f>"DGSEI"</f>
        <v>DGSEI</v>
      </c>
      <c r="M368" s="26" t="str">
        <f t="shared" si="59"/>
        <v>FEDERAL</v>
      </c>
      <c r="N368" s="26">
        <v>338</v>
      </c>
      <c r="O368" s="26">
        <v>162</v>
      </c>
      <c r="P368" s="26">
        <v>176</v>
      </c>
      <c r="Q368" s="26">
        <v>11</v>
      </c>
      <c r="R368" s="26">
        <v>1</v>
      </c>
      <c r="S368" s="26">
        <v>11</v>
      </c>
      <c r="T368" s="26">
        <v>8</v>
      </c>
      <c r="U368" s="26">
        <v>20</v>
      </c>
      <c r="V368" s="26">
        <v>1</v>
      </c>
      <c r="W368" s="26" t="s">
        <v>2076</v>
      </c>
    </row>
    <row r="369" spans="1:23" x14ac:dyDescent="0.25">
      <c r="A369" s="26" t="str">
        <f t="shared" si="57"/>
        <v>PRIMARIA</v>
      </c>
      <c r="B369" s="26" t="str">
        <f>"09DPR1150B"</f>
        <v>09DPR1150B</v>
      </c>
      <c r="C369" s="26" t="str">
        <f>"PRESIDENTE ADOLFO LOPEZ MATEOS                                                                      "</f>
        <v xml:space="preserve">PRESIDENTE ADOLFO LOPEZ MATEOS                                                                      </v>
      </c>
      <c r="D369" s="26" t="str">
        <f>"TIEMPO COMPLETO"</f>
        <v>TIEMPO COMPLETO</v>
      </c>
      <c r="E369" s="26" t="str">
        <f>"CALLE 12 NO. 79                                                                 "</f>
        <v xml:space="preserve">CALLE 12 NO. 79                                                                 </v>
      </c>
      <c r="F369" s="26" t="str">
        <f>"GRANJAS SAN ANTONIO                                                                                                                         "</f>
        <v xml:space="preserve">GRANJAS SAN ANTONIO                                                                                                                         </v>
      </c>
      <c r="G369" s="26" t="str">
        <f>"IZTAPALAPA                                                                      "</f>
        <v xml:space="preserve">IZTAPALAPA                                                                      </v>
      </c>
      <c r="H369" s="26" t="str">
        <f>"004"</f>
        <v>004</v>
      </c>
      <c r="I369" s="26" t="str">
        <f t="shared" si="58"/>
        <v>00</v>
      </c>
      <c r="J369" s="26" t="str">
        <f>"61 "</f>
        <v xml:space="preserve">61 </v>
      </c>
      <c r="K369" s="26" t="str">
        <f>"IZ"</f>
        <v>IZ</v>
      </c>
      <c r="L369" s="26" t="str">
        <f>"DGSEI"</f>
        <v>DGSEI</v>
      </c>
      <c r="M369" s="26" t="str">
        <f t="shared" si="59"/>
        <v>FEDERAL</v>
      </c>
      <c r="N369" s="26">
        <v>352</v>
      </c>
      <c r="O369" s="26">
        <v>195</v>
      </c>
      <c r="P369" s="26">
        <v>157</v>
      </c>
      <c r="Q369" s="26">
        <v>12</v>
      </c>
      <c r="R369" s="26">
        <v>1</v>
      </c>
      <c r="S369" s="26">
        <v>12</v>
      </c>
      <c r="T369" s="26">
        <v>12</v>
      </c>
      <c r="U369" s="26">
        <v>25</v>
      </c>
      <c r="V369" s="26">
        <v>1</v>
      </c>
      <c r="W369" s="26" t="s">
        <v>218</v>
      </c>
    </row>
    <row r="370" spans="1:23" x14ac:dyDescent="0.25">
      <c r="A370" s="26" t="str">
        <f t="shared" si="57"/>
        <v>PRIMARIA</v>
      </c>
      <c r="B370" s="26" t="str">
        <f>"09DPR1152Z"</f>
        <v>09DPR1152Z</v>
      </c>
      <c r="C370" s="26" t="str">
        <f>"ITALIA                                                                                              "</f>
        <v xml:space="preserve">ITALIA                                                                                              </v>
      </c>
      <c r="D370" s="26" t="str">
        <f>"VESPERTINO"</f>
        <v>VESPERTINO</v>
      </c>
      <c r="E370" s="26" t="str">
        <f>"LERDO NUM 174                                                                   "</f>
        <v xml:space="preserve">LERDO NUM 174                                                                   </v>
      </c>
      <c r="F370" s="26" t="str">
        <f>"GUERRERO                                                                                                                                    "</f>
        <v xml:space="preserve">GUERRERO                                                                                                                                    </v>
      </c>
      <c r="G370" s="26" t="str">
        <f>"CUAUHTEMOC                                                                      "</f>
        <v xml:space="preserve">CUAUHTEMOC                                                                      </v>
      </c>
      <c r="H370" s="26" t="str">
        <f>"218"</f>
        <v>218</v>
      </c>
      <c r="I370" s="26" t="str">
        <f t="shared" si="58"/>
        <v>00</v>
      </c>
      <c r="J370" s="26" t="str">
        <f>"42 "</f>
        <v xml:space="preserve">42 </v>
      </c>
      <c r="K370" s="26" t="str">
        <f>"PR"</f>
        <v>PR</v>
      </c>
      <c r="L370" s="26" t="str">
        <f>"DGOSE"</f>
        <v>DGOSE</v>
      </c>
      <c r="M370" s="26" t="str">
        <f t="shared" si="59"/>
        <v>FEDERAL</v>
      </c>
      <c r="N370" s="26">
        <v>61</v>
      </c>
      <c r="O370" s="26">
        <v>28</v>
      </c>
      <c r="P370" s="26">
        <v>33</v>
      </c>
      <c r="Q370" s="26">
        <v>6</v>
      </c>
      <c r="R370" s="26">
        <v>1</v>
      </c>
      <c r="S370" s="26">
        <v>3</v>
      </c>
      <c r="T370" s="26">
        <v>4</v>
      </c>
      <c r="U370" s="26">
        <v>8</v>
      </c>
      <c r="V370" s="26">
        <v>1</v>
      </c>
      <c r="W370" s="26"/>
    </row>
    <row r="371" spans="1:23" x14ac:dyDescent="0.25">
      <c r="A371" s="26" t="str">
        <f t="shared" si="57"/>
        <v>PRIMARIA</v>
      </c>
      <c r="B371" s="26" t="str">
        <f>"09DPR1153Z"</f>
        <v>09DPR1153Z</v>
      </c>
      <c r="C371" s="26" t="str">
        <f>"AUSTRALIA                                                                                           "</f>
        <v xml:space="preserve">AUSTRALIA                                                                                           </v>
      </c>
      <c r="D371" s="26" t="str">
        <f>"VESPERTINO"</f>
        <v>VESPERTINO</v>
      </c>
      <c r="E371" s="26" t="str">
        <f>"BATALLA DE LOMA ALTA NO. 37                                                     "</f>
        <v xml:space="preserve">BATALLA DE LOMA ALTA NO. 37                                                     </v>
      </c>
      <c r="F371" s="26" t="str">
        <f>"LEYES DE REFORMA                                                                                                                            "</f>
        <v xml:space="preserve">LEYES DE REFORMA                                                                                                                            </v>
      </c>
      <c r="G371" s="26" t="str">
        <f>"IZTAPALAPA                                                                      "</f>
        <v xml:space="preserve">IZTAPALAPA                                                                      </v>
      </c>
      <c r="H371" s="26" t="str">
        <f>"014"</f>
        <v>014</v>
      </c>
      <c r="I371" s="26" t="str">
        <f t="shared" si="58"/>
        <v>00</v>
      </c>
      <c r="J371" s="26" t="str">
        <f>"62 "</f>
        <v xml:space="preserve">62 </v>
      </c>
      <c r="K371" s="26" t="str">
        <f>"IZ"</f>
        <v>IZ</v>
      </c>
      <c r="L371" s="26" t="str">
        <f>"DGSEI"</f>
        <v>DGSEI</v>
      </c>
      <c r="M371" s="26" t="str">
        <f t="shared" si="59"/>
        <v>FEDERAL</v>
      </c>
      <c r="N371" s="26">
        <v>212</v>
      </c>
      <c r="O371" s="26">
        <v>128</v>
      </c>
      <c r="P371" s="26">
        <v>84</v>
      </c>
      <c r="Q371" s="26">
        <v>11</v>
      </c>
      <c r="R371" s="26">
        <v>0</v>
      </c>
      <c r="S371" s="26">
        <v>11</v>
      </c>
      <c r="T371" s="26">
        <v>6</v>
      </c>
      <c r="U371" s="26">
        <v>17</v>
      </c>
      <c r="V371" s="26">
        <v>1</v>
      </c>
      <c r="W371" s="26"/>
    </row>
    <row r="372" spans="1:23" x14ac:dyDescent="0.25">
      <c r="A372" s="26" t="str">
        <f t="shared" si="57"/>
        <v>PRIMARIA</v>
      </c>
      <c r="B372" s="26" t="str">
        <f>"09DPR1154Y"</f>
        <v>09DPR1154Y</v>
      </c>
      <c r="C372" s="26" t="str">
        <f>"BANDERA DE MEXICO                                                                                   "</f>
        <v xml:space="preserve">BANDERA DE MEXICO                                                                                   </v>
      </c>
      <c r="D372" s="26" t="str">
        <f>"JORNADA AMPLIADA"</f>
        <v>JORNADA AMPLIADA</v>
      </c>
      <c r="E372" s="26" t="str">
        <f>"ALFONSO TORO NO. 1708                                                           "</f>
        <v xml:space="preserve">ALFONSO TORO NO. 1708                                                           </v>
      </c>
      <c r="F372" s="26" t="str">
        <f>"ESCUADRON 201                                                                                                                               "</f>
        <v xml:space="preserve">ESCUADRON 201                                                                                                                               </v>
      </c>
      <c r="G372" s="26" t="str">
        <f>"IZTAPALAPA                                                                      "</f>
        <v xml:space="preserve">IZTAPALAPA                                                                      </v>
      </c>
      <c r="H372" s="26" t="str">
        <f>"003"</f>
        <v>003</v>
      </c>
      <c r="I372" s="26" t="str">
        <f t="shared" si="58"/>
        <v>00</v>
      </c>
      <c r="J372" s="26" t="str">
        <f>"61 "</f>
        <v xml:space="preserve">61 </v>
      </c>
      <c r="K372" s="26" t="str">
        <f>"IZ"</f>
        <v>IZ</v>
      </c>
      <c r="L372" s="26" t="str">
        <f>"DGSEI"</f>
        <v>DGSEI</v>
      </c>
      <c r="M372" s="26" t="str">
        <f t="shared" si="59"/>
        <v>FEDERAL</v>
      </c>
      <c r="N372" s="26">
        <v>322</v>
      </c>
      <c r="O372" s="26">
        <v>157</v>
      </c>
      <c r="P372" s="26">
        <v>165</v>
      </c>
      <c r="Q372" s="26">
        <v>11</v>
      </c>
      <c r="R372" s="26">
        <v>1</v>
      </c>
      <c r="S372" s="26">
        <v>11</v>
      </c>
      <c r="T372" s="26">
        <v>8</v>
      </c>
      <c r="U372" s="26">
        <v>20</v>
      </c>
      <c r="V372" s="26">
        <v>1</v>
      </c>
      <c r="W372" s="26" t="s">
        <v>2076</v>
      </c>
    </row>
    <row r="373" spans="1:23" x14ac:dyDescent="0.25">
      <c r="A373" s="26" t="str">
        <f t="shared" si="57"/>
        <v>PRIMARIA</v>
      </c>
      <c r="B373" s="26" t="str">
        <f>"09DPR1155X"</f>
        <v>09DPR1155X</v>
      </c>
      <c r="C373" s="26" t="str">
        <f>"AUSTRALIA                                                                                           "</f>
        <v xml:space="preserve">AUSTRALIA                                                                                           </v>
      </c>
      <c r="D373" s="26" t="str">
        <f>"MATUTINO"</f>
        <v>MATUTINO</v>
      </c>
      <c r="E373" s="26" t="str">
        <f>"BATALLA DE LOMA ALTA NO. 37                                                     "</f>
        <v xml:space="preserve">BATALLA DE LOMA ALTA NO. 37                                                     </v>
      </c>
      <c r="F373" s="26" t="str">
        <f>"LEYES DE REFORMA                                                                                                                            "</f>
        <v xml:space="preserve">LEYES DE REFORMA                                                                                                                            </v>
      </c>
      <c r="G373" s="26" t="str">
        <f>"IZTAPALAPA                                                                      "</f>
        <v xml:space="preserve">IZTAPALAPA                                                                      </v>
      </c>
      <c r="H373" s="26" t="str">
        <f>"014"</f>
        <v>014</v>
      </c>
      <c r="I373" s="26" t="str">
        <f t="shared" si="58"/>
        <v>00</v>
      </c>
      <c r="J373" s="26" t="str">
        <f>"62 "</f>
        <v xml:space="preserve">62 </v>
      </c>
      <c r="K373" s="26" t="str">
        <f>"IZ"</f>
        <v>IZ</v>
      </c>
      <c r="L373" s="26" t="str">
        <f>"DGSEI"</f>
        <v>DGSEI</v>
      </c>
      <c r="M373" s="26" t="str">
        <f t="shared" si="59"/>
        <v>FEDERAL</v>
      </c>
      <c r="N373" s="26">
        <v>505</v>
      </c>
      <c r="O373" s="26">
        <v>253</v>
      </c>
      <c r="P373" s="26">
        <v>252</v>
      </c>
      <c r="Q373" s="26">
        <v>18</v>
      </c>
      <c r="R373" s="26">
        <v>0</v>
      </c>
      <c r="S373" s="26">
        <v>18</v>
      </c>
      <c r="T373" s="26">
        <v>8</v>
      </c>
      <c r="U373" s="26">
        <v>26</v>
      </c>
      <c r="V373" s="26">
        <v>1</v>
      </c>
      <c r="W373" s="26"/>
    </row>
    <row r="374" spans="1:23" x14ac:dyDescent="0.25">
      <c r="A374" s="26" t="str">
        <f t="shared" si="57"/>
        <v>PRIMARIA</v>
      </c>
      <c r="B374" s="26" t="str">
        <f>"09DPR1159T"</f>
        <v>09DPR1159T</v>
      </c>
      <c r="C374" s="26" t="str">
        <f>"ANGEL ALBINO CORZO                                                                                  "</f>
        <v xml:space="preserve">ANGEL ALBINO CORZO                                                                                  </v>
      </c>
      <c r="D374" s="26" t="str">
        <f>"JORNADA AMPLIADA"</f>
        <v>JORNADA AMPLIADA</v>
      </c>
      <c r="E374" s="26" t="str">
        <f>"BOLIVAR NUM 628                                                                 "</f>
        <v xml:space="preserve">BOLIVAR NUM 628                                                                 </v>
      </c>
      <c r="F374" s="26" t="str">
        <f>"ALAMOS                                                                                                                                      "</f>
        <v xml:space="preserve">ALAMOS                                                                                                                                      </v>
      </c>
      <c r="G374" s="26" t="str">
        <f>"BENITO JUAREZ                                                                   "</f>
        <v xml:space="preserve">BENITO JUAREZ                                                                   </v>
      </c>
      <c r="H374" s="26" t="str">
        <f>"414"</f>
        <v>414</v>
      </c>
      <c r="I374" s="26" t="str">
        <f t="shared" si="58"/>
        <v>00</v>
      </c>
      <c r="J374" s="26" t="str">
        <f>"44 "</f>
        <v xml:space="preserve">44 </v>
      </c>
      <c r="K374" s="26" t="str">
        <f t="shared" ref="K374:K381" si="62">"PR"</f>
        <v>PR</v>
      </c>
      <c r="L374" s="26" t="str">
        <f t="shared" ref="L374:L381" si="63">"DGOSE"</f>
        <v>DGOSE</v>
      </c>
      <c r="M374" s="26" t="str">
        <f t="shared" si="59"/>
        <v>FEDERAL</v>
      </c>
      <c r="N374" s="26">
        <v>562</v>
      </c>
      <c r="O374" s="26">
        <v>249</v>
      </c>
      <c r="P374" s="26">
        <v>313</v>
      </c>
      <c r="Q374" s="26">
        <v>19</v>
      </c>
      <c r="R374" s="26">
        <v>1</v>
      </c>
      <c r="S374" s="26">
        <v>19</v>
      </c>
      <c r="T374" s="26">
        <v>12</v>
      </c>
      <c r="U374" s="26">
        <v>32</v>
      </c>
      <c r="V374" s="26">
        <v>1</v>
      </c>
      <c r="W374" s="26" t="s">
        <v>2076</v>
      </c>
    </row>
    <row r="375" spans="1:23" x14ac:dyDescent="0.25">
      <c r="A375" s="26" t="str">
        <f t="shared" si="57"/>
        <v>PRIMARIA</v>
      </c>
      <c r="B375" s="26" t="str">
        <f>"09DPR1160I"</f>
        <v>09DPR1160I</v>
      </c>
      <c r="C375" s="26" t="str">
        <f>"ANTONIO GARCIA CUBAS                                                                                "</f>
        <v xml:space="preserve">ANTONIO GARCIA CUBAS                                                                                </v>
      </c>
      <c r="D375" s="26" t="str">
        <f>"JORNADA AMPLIADA"</f>
        <v>JORNADA AMPLIADA</v>
      </c>
      <c r="E375" s="26" t="str">
        <f>"CALZ DE LA VIGA NUM 865                                                         "</f>
        <v xml:space="preserve">CALZ DE LA VIGA NUM 865                                                         </v>
      </c>
      <c r="F375" s="26" t="str">
        <f>"CONJUNTO HABITACIONAL SANTIAGO                                                                                                              "</f>
        <v xml:space="preserve">CONJUNTO HABITACIONAL SANTIAGO                                                                                                              </v>
      </c>
      <c r="G375" s="26" t="str">
        <f>"IZTACALCO                                                                       "</f>
        <v xml:space="preserve">IZTACALCO                                                                       </v>
      </c>
      <c r="H375" s="26" t="str">
        <f>"430"</f>
        <v>430</v>
      </c>
      <c r="I375" s="26" t="str">
        <f t="shared" si="58"/>
        <v>00</v>
      </c>
      <c r="J375" s="26" t="str">
        <f>"44 "</f>
        <v xml:space="preserve">44 </v>
      </c>
      <c r="K375" s="26" t="str">
        <f t="shared" si="62"/>
        <v>PR</v>
      </c>
      <c r="L375" s="26" t="str">
        <f t="shared" si="63"/>
        <v>DGOSE</v>
      </c>
      <c r="M375" s="26" t="str">
        <f t="shared" si="59"/>
        <v>FEDERAL</v>
      </c>
      <c r="N375" s="26">
        <v>488</v>
      </c>
      <c r="O375" s="26">
        <v>250</v>
      </c>
      <c r="P375" s="26">
        <v>238</v>
      </c>
      <c r="Q375" s="26">
        <v>16</v>
      </c>
      <c r="R375" s="26">
        <v>1</v>
      </c>
      <c r="S375" s="26">
        <v>16</v>
      </c>
      <c r="T375" s="26">
        <v>10</v>
      </c>
      <c r="U375" s="26">
        <v>27</v>
      </c>
      <c r="V375" s="26">
        <v>1</v>
      </c>
      <c r="W375" s="26" t="s">
        <v>2076</v>
      </c>
    </row>
    <row r="376" spans="1:23" x14ac:dyDescent="0.25">
      <c r="A376" s="26" t="str">
        <f t="shared" si="57"/>
        <v>PRIMARIA</v>
      </c>
      <c r="B376" s="26" t="str">
        <f>"09DPR1163F"</f>
        <v>09DPR1163F</v>
      </c>
      <c r="C376" s="26" t="str">
        <f>"AGUSTIN LEGORRETA                                                                                   "</f>
        <v xml:space="preserve">AGUSTIN LEGORRETA                                                                                   </v>
      </c>
      <c r="D376" s="26" t="str">
        <f>"VESPERTINO"</f>
        <v>VESPERTINO</v>
      </c>
      <c r="E376" s="26" t="str">
        <f>"IGNACIO ZARAGOZA Y FCO DEL OLMO                                                 "</f>
        <v xml:space="preserve">IGNACIO ZARAGOZA Y FCO DEL OLMO                                                 </v>
      </c>
      <c r="F376" s="26" t="str">
        <f>"SAN ANTONIO TECOMITL                                                                                                                        "</f>
        <v xml:space="preserve">SAN ANTONIO TECOMITL                                                                                                                        </v>
      </c>
      <c r="G376" s="26" t="str">
        <f>"MILPA ALTA                                                                      "</f>
        <v xml:space="preserve">MILPA ALTA                                                                      </v>
      </c>
      <c r="H376" s="26" t="str">
        <f>"561"</f>
        <v>561</v>
      </c>
      <c r="I376" s="26" t="str">
        <f t="shared" si="58"/>
        <v>00</v>
      </c>
      <c r="J376" s="26" t="str">
        <f>"45 "</f>
        <v xml:space="preserve">45 </v>
      </c>
      <c r="K376" s="26" t="str">
        <f t="shared" si="62"/>
        <v>PR</v>
      </c>
      <c r="L376" s="26" t="str">
        <f t="shared" si="63"/>
        <v>DGOSE</v>
      </c>
      <c r="M376" s="26" t="str">
        <f t="shared" si="59"/>
        <v>FEDERAL</v>
      </c>
      <c r="N376" s="26">
        <v>704</v>
      </c>
      <c r="O376" s="26">
        <v>365</v>
      </c>
      <c r="P376" s="26">
        <v>339</v>
      </c>
      <c r="Q376" s="26">
        <v>22</v>
      </c>
      <c r="R376" s="26">
        <v>1</v>
      </c>
      <c r="S376" s="26">
        <v>22</v>
      </c>
      <c r="T376" s="26">
        <v>14</v>
      </c>
      <c r="U376" s="26">
        <v>37</v>
      </c>
      <c r="V376" s="26">
        <v>1</v>
      </c>
      <c r="W376" s="26"/>
    </row>
    <row r="377" spans="1:23" x14ac:dyDescent="0.25">
      <c r="A377" s="26" t="str">
        <f t="shared" si="57"/>
        <v>PRIMARIA</v>
      </c>
      <c r="B377" s="26" t="str">
        <f>"09DPR1164E"</f>
        <v>09DPR1164E</v>
      </c>
      <c r="C377" s="26" t="str">
        <f>"IGNACIO ZARAGOZA                                                                                    "</f>
        <v xml:space="preserve">IGNACIO ZARAGOZA                                                                                    </v>
      </c>
      <c r="D377" s="26" t="str">
        <f>"TIEMPO COMPLETO"</f>
        <v>TIEMPO COMPLETO</v>
      </c>
      <c r="E377" s="26" t="str">
        <f>"TRIGO NUM 100                                                                   "</f>
        <v xml:space="preserve">TRIGO NUM 100                                                                   </v>
      </c>
      <c r="F377" s="26" t="str">
        <f>"GABRIEL RAMOS MILLAN                                                                                                                        "</f>
        <v xml:space="preserve">GABRIEL RAMOS MILLAN                                                                                                                        </v>
      </c>
      <c r="G377" s="26" t="str">
        <f>"IZTACALCO                                                                       "</f>
        <v xml:space="preserve">IZTACALCO                                                                       </v>
      </c>
      <c r="H377" s="26" t="str">
        <f>"427"</f>
        <v>427</v>
      </c>
      <c r="I377" s="26" t="str">
        <f t="shared" si="58"/>
        <v>00</v>
      </c>
      <c r="J377" s="26" t="str">
        <f>"44 "</f>
        <v xml:space="preserve">44 </v>
      </c>
      <c r="K377" s="26" t="str">
        <f t="shared" si="62"/>
        <v>PR</v>
      </c>
      <c r="L377" s="26" t="str">
        <f t="shared" si="63"/>
        <v>DGOSE</v>
      </c>
      <c r="M377" s="26" t="str">
        <f t="shared" si="59"/>
        <v>FEDERAL</v>
      </c>
      <c r="N377" s="26">
        <v>458</v>
      </c>
      <c r="O377" s="26">
        <v>257</v>
      </c>
      <c r="P377" s="26">
        <v>201</v>
      </c>
      <c r="Q377" s="26">
        <v>15</v>
      </c>
      <c r="R377" s="26">
        <v>1</v>
      </c>
      <c r="S377" s="26">
        <v>15</v>
      </c>
      <c r="T377" s="26">
        <v>16</v>
      </c>
      <c r="U377" s="26">
        <v>32</v>
      </c>
      <c r="V377" s="26">
        <v>1</v>
      </c>
      <c r="W377" s="26" t="s">
        <v>218</v>
      </c>
    </row>
    <row r="378" spans="1:23" x14ac:dyDescent="0.25">
      <c r="A378" s="26" t="str">
        <f t="shared" si="57"/>
        <v>PRIMARIA</v>
      </c>
      <c r="B378" s="26" t="str">
        <f>"09DPR1165D"</f>
        <v>09DPR1165D</v>
      </c>
      <c r="C378" s="26" t="str">
        <f>"CONSTITUCION DE 1857                                                                                "</f>
        <v xml:space="preserve">CONSTITUCION DE 1857                                                                                </v>
      </c>
      <c r="D378" s="26" t="str">
        <f>"JORNADA AMPLIADA"</f>
        <v>JORNADA AMPLIADA</v>
      </c>
      <c r="E378" s="26" t="str">
        <f>"RAMON LOPEZ VELARDE NUM 272                                                     "</f>
        <v xml:space="preserve">RAMON LOPEZ VELARDE NUM 272                                                     </v>
      </c>
      <c r="F378" s="26" t="str">
        <f>"ROMA SUR                                                                                                                                    "</f>
        <v xml:space="preserve">ROMA SUR                                                                                                                                    </v>
      </c>
      <c r="G378" s="26" t="str">
        <f>"CUAUHTEMOC                                                                      "</f>
        <v xml:space="preserve">CUAUHTEMOC                                                                      </v>
      </c>
      <c r="H378" s="26" t="str">
        <f>"126"</f>
        <v>126</v>
      </c>
      <c r="I378" s="26" t="str">
        <f t="shared" si="58"/>
        <v>00</v>
      </c>
      <c r="J378" s="26" t="str">
        <f>"41 "</f>
        <v xml:space="preserve">41 </v>
      </c>
      <c r="K378" s="26" t="str">
        <f t="shared" si="62"/>
        <v>PR</v>
      </c>
      <c r="L378" s="26" t="str">
        <f t="shared" si="63"/>
        <v>DGOSE</v>
      </c>
      <c r="M378" s="26" t="str">
        <f t="shared" si="59"/>
        <v>FEDERAL</v>
      </c>
      <c r="N378" s="26">
        <v>332</v>
      </c>
      <c r="O378" s="26">
        <v>181</v>
      </c>
      <c r="P378" s="26">
        <v>151</v>
      </c>
      <c r="Q378" s="26">
        <v>12</v>
      </c>
      <c r="R378" s="26">
        <v>1</v>
      </c>
      <c r="S378" s="26">
        <v>12</v>
      </c>
      <c r="T378" s="26">
        <v>11</v>
      </c>
      <c r="U378" s="26">
        <v>24</v>
      </c>
      <c r="V378" s="26">
        <v>1</v>
      </c>
      <c r="W378" s="26" t="s">
        <v>2076</v>
      </c>
    </row>
    <row r="379" spans="1:23" x14ac:dyDescent="0.25">
      <c r="A379" s="26" t="str">
        <f t="shared" si="57"/>
        <v>PRIMARIA</v>
      </c>
      <c r="B379" s="26" t="str">
        <f>"09DPR1166C"</f>
        <v>09DPR1166C</v>
      </c>
      <c r="C379" s="26" t="str">
        <f>"SUIZA                                                                                               "</f>
        <v xml:space="preserve">SUIZA                                                                                               </v>
      </c>
      <c r="D379" s="26" t="str">
        <f>"MATUTINO"</f>
        <v>MATUTINO</v>
      </c>
      <c r="E379" s="26" t="str">
        <f>"DR.BARRAGAN NUM 189                                                             "</f>
        <v xml:space="preserve">DR.BARRAGAN NUM 189                                                             </v>
      </c>
      <c r="F379" s="26" t="str">
        <f>"DOCTORES                                                                                                                                    "</f>
        <v xml:space="preserve">DOCTORES                                                                                                                                    </v>
      </c>
      <c r="G379" s="26" t="str">
        <f>"CUAUHTEMOC                                                                      "</f>
        <v xml:space="preserve">CUAUHTEMOC                                                                      </v>
      </c>
      <c r="H379" s="26" t="str">
        <f>"223"</f>
        <v>223</v>
      </c>
      <c r="I379" s="26" t="str">
        <f t="shared" si="58"/>
        <v>00</v>
      </c>
      <c r="J379" s="26" t="str">
        <f>"42 "</f>
        <v xml:space="preserve">42 </v>
      </c>
      <c r="K379" s="26" t="str">
        <f t="shared" si="62"/>
        <v>PR</v>
      </c>
      <c r="L379" s="26" t="str">
        <f t="shared" si="63"/>
        <v>DGOSE</v>
      </c>
      <c r="M379" s="26" t="str">
        <f t="shared" si="59"/>
        <v>FEDERAL</v>
      </c>
      <c r="N379" s="26">
        <v>277</v>
      </c>
      <c r="O379" s="26">
        <v>163</v>
      </c>
      <c r="P379" s="26">
        <v>114</v>
      </c>
      <c r="Q379" s="26">
        <v>10</v>
      </c>
      <c r="R379" s="26">
        <v>1</v>
      </c>
      <c r="S379" s="26">
        <v>10</v>
      </c>
      <c r="T379" s="26">
        <v>9</v>
      </c>
      <c r="U379" s="26">
        <v>20</v>
      </c>
      <c r="V379" s="26">
        <v>1</v>
      </c>
      <c r="W379" s="26"/>
    </row>
    <row r="380" spans="1:23" x14ac:dyDescent="0.25">
      <c r="A380" s="26" t="str">
        <f t="shared" si="57"/>
        <v>PRIMARIA</v>
      </c>
      <c r="B380" s="26" t="str">
        <f>"09DPR1172N"</f>
        <v>09DPR1172N</v>
      </c>
      <c r="C380" s="26" t="str">
        <f>"CARLOS A. CARRILLO                                                                                  "</f>
        <v xml:space="preserve">CARLOS A. CARRILLO                                                                                  </v>
      </c>
      <c r="D380" s="26" t="str">
        <f>"JORNADA AMPLIADA"</f>
        <v>JORNADA AMPLIADA</v>
      </c>
      <c r="E380" s="26" t="str">
        <f>"MUNICIPIO LIBRE NO 1301                                                         "</f>
        <v xml:space="preserve">MUNICIPIO LIBRE NO 1301                                                         </v>
      </c>
      <c r="F380" s="26" t="str">
        <f>"PORTALES                                                                                                                                    "</f>
        <v xml:space="preserve">PORTALES                                                                                                                                    </v>
      </c>
      <c r="G380" s="26" t="str">
        <f>"BENITO JUAREZ                                                                   "</f>
        <v xml:space="preserve">BENITO JUAREZ                                                                   </v>
      </c>
      <c r="H380" s="26" t="str">
        <f>"417"</f>
        <v>417</v>
      </c>
      <c r="I380" s="26" t="str">
        <f t="shared" si="58"/>
        <v>00</v>
      </c>
      <c r="J380" s="26" t="str">
        <f>"44 "</f>
        <v xml:space="preserve">44 </v>
      </c>
      <c r="K380" s="26" t="str">
        <f t="shared" si="62"/>
        <v>PR</v>
      </c>
      <c r="L380" s="26" t="str">
        <f t="shared" si="63"/>
        <v>DGOSE</v>
      </c>
      <c r="M380" s="26" t="str">
        <f t="shared" si="59"/>
        <v>FEDERAL</v>
      </c>
      <c r="N380" s="26">
        <v>337</v>
      </c>
      <c r="O380" s="26">
        <v>175</v>
      </c>
      <c r="P380" s="26">
        <v>162</v>
      </c>
      <c r="Q380" s="26">
        <v>17</v>
      </c>
      <c r="R380" s="26">
        <v>1</v>
      </c>
      <c r="S380" s="26">
        <v>13</v>
      </c>
      <c r="T380" s="26">
        <v>9</v>
      </c>
      <c r="U380" s="26">
        <v>23</v>
      </c>
      <c r="V380" s="26">
        <v>1</v>
      </c>
      <c r="W380" s="26" t="s">
        <v>2076</v>
      </c>
    </row>
    <row r="381" spans="1:23" x14ac:dyDescent="0.25">
      <c r="A381" s="26" t="str">
        <f t="shared" si="57"/>
        <v>PRIMARIA</v>
      </c>
      <c r="B381" s="26" t="str">
        <f>"09DPR1174L"</f>
        <v>09DPR1174L</v>
      </c>
      <c r="C381" s="26" t="str">
        <f>"REVOLUCION                                                                                          "</f>
        <v xml:space="preserve">REVOLUCION                                                                                          </v>
      </c>
      <c r="D381" s="26" t="str">
        <f>"JORNADA AMPLIADA"</f>
        <v>JORNADA AMPLIADA</v>
      </c>
      <c r="E381" s="26" t="str">
        <f>"NIÑOS HEROES NO 20                                                              "</f>
        <v xml:space="preserve">NIÑOS HEROES NO 20                                                              </v>
      </c>
      <c r="F381" s="26" t="str">
        <f>"DOCTORES                                                                                                                                    "</f>
        <v xml:space="preserve">DOCTORES                                                                                                                                    </v>
      </c>
      <c r="G381" s="26" t="str">
        <f>"CUAUHTEMOC                                                                      "</f>
        <v xml:space="preserve">CUAUHTEMOC                                                                      </v>
      </c>
      <c r="H381" s="26" t="str">
        <f>"127"</f>
        <v>127</v>
      </c>
      <c r="I381" s="26" t="str">
        <f t="shared" si="58"/>
        <v>00</v>
      </c>
      <c r="J381" s="26" t="str">
        <f>"41 "</f>
        <v xml:space="preserve">41 </v>
      </c>
      <c r="K381" s="26" t="str">
        <f t="shared" si="62"/>
        <v>PR</v>
      </c>
      <c r="L381" s="26" t="str">
        <f t="shared" si="63"/>
        <v>DGOSE</v>
      </c>
      <c r="M381" s="26" t="str">
        <f t="shared" si="59"/>
        <v>FEDERAL</v>
      </c>
      <c r="N381" s="26">
        <v>713</v>
      </c>
      <c r="O381" s="26">
        <v>386</v>
      </c>
      <c r="P381" s="26">
        <v>327</v>
      </c>
      <c r="Q381" s="26">
        <v>23</v>
      </c>
      <c r="R381" s="26">
        <v>1</v>
      </c>
      <c r="S381" s="26">
        <v>22</v>
      </c>
      <c r="T381" s="26">
        <v>22</v>
      </c>
      <c r="U381" s="26">
        <v>45</v>
      </c>
      <c r="V381" s="26">
        <v>1</v>
      </c>
      <c r="W381" s="26" t="s">
        <v>2076</v>
      </c>
    </row>
    <row r="382" spans="1:23" x14ac:dyDescent="0.25">
      <c r="A382" s="26" t="str">
        <f t="shared" si="57"/>
        <v>PRIMARIA</v>
      </c>
      <c r="B382" s="26" t="str">
        <f>"09DPR1175K"</f>
        <v>09DPR1175K</v>
      </c>
      <c r="C382" s="26" t="str">
        <f>"EJERCITO DE ORIENTE                                                                                 "</f>
        <v xml:space="preserve">EJERCITO DE ORIENTE                                                                                 </v>
      </c>
      <c r="D382" s="26" t="str">
        <f>"MATUTINO"</f>
        <v>MATUTINO</v>
      </c>
      <c r="E382" s="26" t="str">
        <f>"JOAQUIN IBARGUEN NO. 4                                                          "</f>
        <v xml:space="preserve">JOAQUIN IBARGUEN NO. 4                                                          </v>
      </c>
      <c r="F382" s="26" t="str">
        <f>"UNIDAD HABITACIONAL EJERCITO DE ORI                                                                                                         "</f>
        <v xml:space="preserve">UNIDAD HABITACIONAL EJERCITO DE ORI                                                                                                         </v>
      </c>
      <c r="G382" s="26" t="str">
        <f>"IZTAPALAPA                                                                      "</f>
        <v xml:space="preserve">IZTAPALAPA                                                                      </v>
      </c>
      <c r="H382" s="26" t="str">
        <f>"023"</f>
        <v>023</v>
      </c>
      <c r="I382" s="26" t="str">
        <f t="shared" si="58"/>
        <v>00</v>
      </c>
      <c r="J382" s="26" t="str">
        <f>"62 "</f>
        <v xml:space="preserve">62 </v>
      </c>
      <c r="K382" s="26" t="str">
        <f>"IZ"</f>
        <v>IZ</v>
      </c>
      <c r="L382" s="26" t="str">
        <f>"DGSEI"</f>
        <v>DGSEI</v>
      </c>
      <c r="M382" s="26" t="str">
        <f t="shared" si="59"/>
        <v>FEDERAL</v>
      </c>
      <c r="N382" s="26">
        <v>553</v>
      </c>
      <c r="O382" s="26">
        <v>252</v>
      </c>
      <c r="P382" s="26">
        <v>301</v>
      </c>
      <c r="Q382" s="26">
        <v>18</v>
      </c>
      <c r="R382" s="26">
        <v>1</v>
      </c>
      <c r="S382" s="26">
        <v>17</v>
      </c>
      <c r="T382" s="26">
        <v>9</v>
      </c>
      <c r="U382" s="26">
        <v>27</v>
      </c>
      <c r="V382" s="26">
        <v>1</v>
      </c>
      <c r="W382" s="26"/>
    </row>
    <row r="383" spans="1:23" x14ac:dyDescent="0.25">
      <c r="A383" s="26" t="str">
        <f t="shared" si="57"/>
        <v>PRIMARIA</v>
      </c>
      <c r="B383" s="26" t="str">
        <f>"09DPR1177I"</f>
        <v>09DPR1177I</v>
      </c>
      <c r="C383" s="26" t="str">
        <f>"JUANA DE ASBAJE                                                                                     "</f>
        <v xml:space="preserve">JUANA DE ASBAJE                                                                                     </v>
      </c>
      <c r="D383" s="26" t="str">
        <f>"TIEMPO COMPLETO"</f>
        <v>TIEMPO COMPLETO</v>
      </c>
      <c r="E383" s="26" t="str">
        <f>"ALFONSO TORO NO. 1710                                                           "</f>
        <v xml:space="preserve">ALFONSO TORO NO. 1710                                                           </v>
      </c>
      <c r="F383" s="26" t="str">
        <f>"ESCUADRON 201                                                                                                                               "</f>
        <v xml:space="preserve">ESCUADRON 201                                                                                                                               </v>
      </c>
      <c r="G383" s="26" t="str">
        <f>"IZTAPALAPA                                                                      "</f>
        <v xml:space="preserve">IZTAPALAPA                                                                      </v>
      </c>
      <c r="H383" s="26" t="str">
        <f>"003"</f>
        <v>003</v>
      </c>
      <c r="I383" s="26" t="str">
        <f t="shared" si="58"/>
        <v>00</v>
      </c>
      <c r="J383" s="26" t="str">
        <f>"61 "</f>
        <v xml:space="preserve">61 </v>
      </c>
      <c r="K383" s="26" t="str">
        <f>"IZ"</f>
        <v>IZ</v>
      </c>
      <c r="L383" s="26" t="str">
        <f>"DGSEI"</f>
        <v>DGSEI</v>
      </c>
      <c r="M383" s="26" t="str">
        <f t="shared" si="59"/>
        <v>FEDERAL</v>
      </c>
      <c r="N383" s="26">
        <v>338</v>
      </c>
      <c r="O383" s="26">
        <v>161</v>
      </c>
      <c r="P383" s="26">
        <v>177</v>
      </c>
      <c r="Q383" s="26">
        <v>12</v>
      </c>
      <c r="R383" s="26">
        <v>1</v>
      </c>
      <c r="S383" s="26">
        <v>11</v>
      </c>
      <c r="T383" s="26">
        <v>8</v>
      </c>
      <c r="U383" s="26">
        <v>20</v>
      </c>
      <c r="V383" s="26">
        <v>1</v>
      </c>
      <c r="W383" s="26" t="s">
        <v>218</v>
      </c>
    </row>
    <row r="384" spans="1:23" x14ac:dyDescent="0.25">
      <c r="A384" s="26" t="str">
        <f t="shared" si="57"/>
        <v>PRIMARIA</v>
      </c>
      <c r="B384" s="26" t="str">
        <f>"09DPR1178H"</f>
        <v>09DPR1178H</v>
      </c>
      <c r="C384" s="26" t="str">
        <f>"BEATRIZ VELASCO DE ALEMAN                                                                           "</f>
        <v xml:space="preserve">BEATRIZ VELASCO DE ALEMAN                                                                           </v>
      </c>
      <c r="D384" s="26" t="str">
        <f>"VESPERTINO"</f>
        <v>VESPERTINO</v>
      </c>
      <c r="E384" s="26" t="str">
        <f>"ALFONSO TORO NO. 1712                                                           "</f>
        <v xml:space="preserve">ALFONSO TORO NO. 1712                                                           </v>
      </c>
      <c r="F384" s="26" t="str">
        <f>"ESCUADRON 201                                                                                                                               "</f>
        <v xml:space="preserve">ESCUADRON 201                                                                                                                               </v>
      </c>
      <c r="G384" s="26" t="str">
        <f>"IZTAPALAPA                                                                      "</f>
        <v xml:space="preserve">IZTAPALAPA                                                                      </v>
      </c>
      <c r="H384" s="26" t="str">
        <f>"033"</f>
        <v>033</v>
      </c>
      <c r="I384" s="26" t="str">
        <f t="shared" si="58"/>
        <v>00</v>
      </c>
      <c r="J384" s="26" t="str">
        <f>"63 "</f>
        <v xml:space="preserve">63 </v>
      </c>
      <c r="K384" s="26" t="str">
        <f>"IZ"</f>
        <v>IZ</v>
      </c>
      <c r="L384" s="26" t="str">
        <f>"DGSEI"</f>
        <v>DGSEI</v>
      </c>
      <c r="M384" s="26" t="str">
        <f t="shared" si="59"/>
        <v>FEDERAL</v>
      </c>
      <c r="N384" s="26">
        <v>119</v>
      </c>
      <c r="O384" s="26">
        <v>61</v>
      </c>
      <c r="P384" s="26">
        <v>58</v>
      </c>
      <c r="Q384" s="26">
        <v>6</v>
      </c>
      <c r="R384" s="26">
        <v>0</v>
      </c>
      <c r="S384" s="26">
        <v>6</v>
      </c>
      <c r="T384" s="26">
        <v>2</v>
      </c>
      <c r="U384" s="26">
        <v>8</v>
      </c>
      <c r="V384" s="26">
        <v>1</v>
      </c>
      <c r="W384" s="26"/>
    </row>
    <row r="385" spans="1:23" x14ac:dyDescent="0.25">
      <c r="A385" s="26" t="str">
        <f t="shared" si="57"/>
        <v>PRIMARIA</v>
      </c>
      <c r="B385" s="26" t="str">
        <f>"09DPR1181V"</f>
        <v>09DPR1181V</v>
      </c>
      <c r="C385" s="26" t="str">
        <f>"BEATRIZ VELASCO DE ALEMAN                                                                           "</f>
        <v xml:space="preserve">BEATRIZ VELASCO DE ALEMAN                                                                           </v>
      </c>
      <c r="D385" s="26" t="str">
        <f>"MATUTINO"</f>
        <v>MATUTINO</v>
      </c>
      <c r="E385" s="26" t="str">
        <f>"ALFONSO TORO NO. 1712                                                           "</f>
        <v xml:space="preserve">ALFONSO TORO NO. 1712                                                           </v>
      </c>
      <c r="F385" s="26" t="str">
        <f>"ESCUADRON 201                                                                                                                               "</f>
        <v xml:space="preserve">ESCUADRON 201                                                                                                                               </v>
      </c>
      <c r="G385" s="26" t="str">
        <f>"IZTAPALAPA                                                                      "</f>
        <v xml:space="preserve">IZTAPALAPA                                                                      </v>
      </c>
      <c r="H385" s="26" t="str">
        <f>"033"</f>
        <v>033</v>
      </c>
      <c r="I385" s="26" t="str">
        <f t="shared" si="58"/>
        <v>00</v>
      </c>
      <c r="J385" s="26" t="str">
        <f>"63 "</f>
        <v xml:space="preserve">63 </v>
      </c>
      <c r="K385" s="26" t="str">
        <f>"IZ"</f>
        <v>IZ</v>
      </c>
      <c r="L385" s="26" t="str">
        <f>"DGSEI"</f>
        <v>DGSEI</v>
      </c>
      <c r="M385" s="26" t="str">
        <f t="shared" si="59"/>
        <v>FEDERAL</v>
      </c>
      <c r="N385" s="26">
        <v>175</v>
      </c>
      <c r="O385" s="26">
        <v>82</v>
      </c>
      <c r="P385" s="26">
        <v>93</v>
      </c>
      <c r="Q385" s="26">
        <v>7</v>
      </c>
      <c r="R385" s="26">
        <v>1</v>
      </c>
      <c r="S385" s="26">
        <v>7</v>
      </c>
      <c r="T385" s="26">
        <v>1</v>
      </c>
      <c r="U385" s="26">
        <v>9</v>
      </c>
      <c r="V385" s="26">
        <v>1</v>
      </c>
      <c r="W385" s="26"/>
    </row>
    <row r="386" spans="1:23" x14ac:dyDescent="0.25">
      <c r="A386" s="26" t="str">
        <f t="shared" ref="A386:A449" si="64">"PRIMARIA"</f>
        <v>PRIMARIA</v>
      </c>
      <c r="B386" s="26" t="str">
        <f>"09DPR1182U"</f>
        <v>09DPR1182U</v>
      </c>
      <c r="C386" s="26" t="str">
        <f>"JULIO DIBELLA BARRAGAN                                                                              "</f>
        <v xml:space="preserve">JULIO DIBELLA BARRAGAN                                                                              </v>
      </c>
      <c r="D386" s="26" t="str">
        <f>"VESPERTINO"</f>
        <v>VESPERTINO</v>
      </c>
      <c r="E386" s="26" t="str">
        <f>"CORUÑA NO 325                                                                   "</f>
        <v xml:space="preserve">CORUÑA NO 325                                                                   </v>
      </c>
      <c r="F386" s="26" t="str">
        <f>"VIADUCTO PIEDAD                                                                                                                             "</f>
        <v xml:space="preserve">VIADUCTO PIEDAD                                                                                                                             </v>
      </c>
      <c r="G386" s="26" t="str">
        <f>"IZTACALCO                                                                       "</f>
        <v xml:space="preserve">IZTACALCO                                                                       </v>
      </c>
      <c r="H386" s="26" t="str">
        <f>"361"</f>
        <v>361</v>
      </c>
      <c r="I386" s="26" t="str">
        <f t="shared" ref="I386:I449" si="65">"00"</f>
        <v>00</v>
      </c>
      <c r="J386" s="26" t="str">
        <f>"43 "</f>
        <v xml:space="preserve">43 </v>
      </c>
      <c r="K386" s="26" t="str">
        <f t="shared" ref="K386:K391" si="66">"PR"</f>
        <v>PR</v>
      </c>
      <c r="L386" s="26" t="str">
        <f t="shared" ref="L386:L391" si="67">"DGOSE"</f>
        <v>DGOSE</v>
      </c>
      <c r="M386" s="26" t="str">
        <f t="shared" ref="M386:M449" si="68">"FEDERAL"</f>
        <v>FEDERAL</v>
      </c>
      <c r="N386" s="26">
        <v>112</v>
      </c>
      <c r="O386" s="26">
        <v>62</v>
      </c>
      <c r="P386" s="26">
        <v>50</v>
      </c>
      <c r="Q386" s="26">
        <v>7</v>
      </c>
      <c r="R386" s="26">
        <v>1</v>
      </c>
      <c r="S386" s="26">
        <v>7</v>
      </c>
      <c r="T386" s="26">
        <v>8</v>
      </c>
      <c r="U386" s="26">
        <v>16</v>
      </c>
      <c r="V386" s="26">
        <v>1</v>
      </c>
      <c r="W386" s="26"/>
    </row>
    <row r="387" spans="1:23" x14ac:dyDescent="0.25">
      <c r="A387" s="26" t="str">
        <f t="shared" si="64"/>
        <v>PRIMARIA</v>
      </c>
      <c r="B387" s="26" t="str">
        <f>"09DPR1183T"</f>
        <v>09DPR1183T</v>
      </c>
      <c r="C387" s="26" t="str">
        <f>"BASILIO VADILLO                                                                                     "</f>
        <v xml:space="preserve">BASILIO VADILLO                                                                                     </v>
      </c>
      <c r="D387" s="26" t="str">
        <f>"VESPERTINO"</f>
        <v>VESPERTINO</v>
      </c>
      <c r="E387" s="26" t="str">
        <f>"CORUÑA NO 325                                                                   "</f>
        <v xml:space="preserve">CORUÑA NO 325                                                                   </v>
      </c>
      <c r="F387" s="26" t="str">
        <f>"VIADUCTO PIEDAD                                                                                                                             "</f>
        <v xml:space="preserve">VIADUCTO PIEDAD                                                                                                                             </v>
      </c>
      <c r="G387" s="26" t="str">
        <f>"IZTACALCO                                                                       "</f>
        <v xml:space="preserve">IZTACALCO                                                                       </v>
      </c>
      <c r="H387" s="26" t="str">
        <f>"361"</f>
        <v>361</v>
      </c>
      <c r="I387" s="26" t="str">
        <f t="shared" si="65"/>
        <v>00</v>
      </c>
      <c r="J387" s="26" t="str">
        <f>"43 "</f>
        <v xml:space="preserve">43 </v>
      </c>
      <c r="K387" s="26" t="str">
        <f t="shared" si="66"/>
        <v>PR</v>
      </c>
      <c r="L387" s="26" t="str">
        <f t="shared" si="67"/>
        <v>DGOSE</v>
      </c>
      <c r="M387" s="26" t="str">
        <f t="shared" si="68"/>
        <v>FEDERAL</v>
      </c>
      <c r="N387" s="26">
        <v>102</v>
      </c>
      <c r="O387" s="26">
        <v>55</v>
      </c>
      <c r="P387" s="26">
        <v>47</v>
      </c>
      <c r="Q387" s="26">
        <v>6</v>
      </c>
      <c r="R387" s="26">
        <v>1</v>
      </c>
      <c r="S387" s="26">
        <v>6</v>
      </c>
      <c r="T387" s="26">
        <v>3</v>
      </c>
      <c r="U387" s="26">
        <v>10</v>
      </c>
      <c r="V387" s="26">
        <v>1</v>
      </c>
      <c r="W387" s="26"/>
    </row>
    <row r="388" spans="1:23" x14ac:dyDescent="0.25">
      <c r="A388" s="26" t="str">
        <f t="shared" si="64"/>
        <v>PRIMARIA</v>
      </c>
      <c r="B388" s="26" t="str">
        <f>"09DPR1184S"</f>
        <v>09DPR1184S</v>
      </c>
      <c r="C388" s="26" t="str">
        <f>"JULIO DIBELLA BARRAGAN                                                                              "</f>
        <v xml:space="preserve">JULIO DIBELLA BARRAGAN                                                                              </v>
      </c>
      <c r="D388" s="26" t="str">
        <f>"MATUTINO"</f>
        <v>MATUTINO</v>
      </c>
      <c r="E388" s="26" t="str">
        <f>"CORUÑA 325                                                                      "</f>
        <v xml:space="preserve">CORUÑA 325                                                                      </v>
      </c>
      <c r="F388" s="26" t="str">
        <f>"VIADUCTO PIEDAD                                                                                                                             "</f>
        <v xml:space="preserve">VIADUCTO PIEDAD                                                                                                                             </v>
      </c>
      <c r="G388" s="26" t="str">
        <f>"IZTACALCO                                                                       "</f>
        <v xml:space="preserve">IZTACALCO                                                                       </v>
      </c>
      <c r="H388" s="26" t="str">
        <f>"361"</f>
        <v>361</v>
      </c>
      <c r="I388" s="26" t="str">
        <f t="shared" si="65"/>
        <v>00</v>
      </c>
      <c r="J388" s="26" t="str">
        <f>"43 "</f>
        <v xml:space="preserve">43 </v>
      </c>
      <c r="K388" s="26" t="str">
        <f t="shared" si="66"/>
        <v>PR</v>
      </c>
      <c r="L388" s="26" t="str">
        <f t="shared" si="67"/>
        <v>DGOSE</v>
      </c>
      <c r="M388" s="26" t="str">
        <f t="shared" si="68"/>
        <v>FEDERAL</v>
      </c>
      <c r="N388" s="26">
        <v>469</v>
      </c>
      <c r="O388" s="26">
        <v>243</v>
      </c>
      <c r="P388" s="26">
        <v>226</v>
      </c>
      <c r="Q388" s="26">
        <v>15</v>
      </c>
      <c r="R388" s="26">
        <v>1</v>
      </c>
      <c r="S388" s="26">
        <v>15</v>
      </c>
      <c r="T388" s="26">
        <v>14</v>
      </c>
      <c r="U388" s="26">
        <v>30</v>
      </c>
      <c r="V388" s="26">
        <v>1</v>
      </c>
      <c r="W388" s="26"/>
    </row>
    <row r="389" spans="1:23" x14ac:dyDescent="0.25">
      <c r="A389" s="26" t="str">
        <f t="shared" si="64"/>
        <v>PRIMARIA</v>
      </c>
      <c r="B389" s="26" t="str">
        <f>"09DPR1185R"</f>
        <v>09DPR1185R</v>
      </c>
      <c r="C389" s="26" t="str">
        <f>"BASILIO VADILLO                                                                                     "</f>
        <v xml:space="preserve">BASILIO VADILLO                                                                                     </v>
      </c>
      <c r="D389" s="26" t="str">
        <f>"MATUTINO"</f>
        <v>MATUTINO</v>
      </c>
      <c r="E389" s="26" t="str">
        <f>"CORUÑA NO 325                                                                   "</f>
        <v xml:space="preserve">CORUÑA NO 325                                                                   </v>
      </c>
      <c r="F389" s="26" t="str">
        <f>"VIADUCTO PIEDAD                                                                                                                             "</f>
        <v xml:space="preserve">VIADUCTO PIEDAD                                                                                                                             </v>
      </c>
      <c r="G389" s="26" t="str">
        <f>"IZTACALCO                                                                       "</f>
        <v xml:space="preserve">IZTACALCO                                                                       </v>
      </c>
      <c r="H389" s="26" t="str">
        <f>"361"</f>
        <v>361</v>
      </c>
      <c r="I389" s="26" t="str">
        <f t="shared" si="65"/>
        <v>00</v>
      </c>
      <c r="J389" s="26" t="str">
        <f>"43 "</f>
        <v xml:space="preserve">43 </v>
      </c>
      <c r="K389" s="26" t="str">
        <f t="shared" si="66"/>
        <v>PR</v>
      </c>
      <c r="L389" s="26" t="str">
        <f t="shared" si="67"/>
        <v>DGOSE</v>
      </c>
      <c r="M389" s="26" t="str">
        <f t="shared" si="68"/>
        <v>FEDERAL</v>
      </c>
      <c r="N389" s="26">
        <v>470</v>
      </c>
      <c r="O389" s="26">
        <v>246</v>
      </c>
      <c r="P389" s="26">
        <v>224</v>
      </c>
      <c r="Q389" s="26">
        <v>18</v>
      </c>
      <c r="R389" s="26">
        <v>0</v>
      </c>
      <c r="S389" s="26">
        <v>18</v>
      </c>
      <c r="T389" s="26">
        <v>11</v>
      </c>
      <c r="U389" s="26">
        <v>29</v>
      </c>
      <c r="V389" s="26">
        <v>1</v>
      </c>
      <c r="W389" s="26"/>
    </row>
    <row r="390" spans="1:23" x14ac:dyDescent="0.25">
      <c r="A390" s="26" t="str">
        <f t="shared" si="64"/>
        <v>PRIMARIA</v>
      </c>
      <c r="B390" s="26" t="str">
        <f>"09DPR1188O"</f>
        <v>09DPR1188O</v>
      </c>
      <c r="C390" s="26" t="str">
        <f>"ING. VITO ALESSIO ROBLES                                                                            "</f>
        <v xml:space="preserve">ING. VITO ALESSIO ROBLES                                                                            </v>
      </c>
      <c r="D390" s="26" t="str">
        <f>"JORNADA AMPLIADA"</f>
        <v>JORNADA AMPLIADA</v>
      </c>
      <c r="E390" s="26" t="str">
        <f>"LEO 105                                                                         "</f>
        <v xml:space="preserve">LEO 105                                                                         </v>
      </c>
      <c r="F390" s="26" t="str">
        <f>"PRADO CHURUBUSCO                                                                                                                            "</f>
        <v xml:space="preserve">PRADO CHURUBUSCO                                                                                                                            </v>
      </c>
      <c r="G390" s="26" t="str">
        <f>"COYOACAN                                                                        "</f>
        <v xml:space="preserve">COYOACAN                                                                        </v>
      </c>
      <c r="H390" s="26" t="str">
        <f>"435"</f>
        <v>435</v>
      </c>
      <c r="I390" s="26" t="str">
        <f t="shared" si="65"/>
        <v>00</v>
      </c>
      <c r="J390" s="26" t="str">
        <f>"44 "</f>
        <v xml:space="preserve">44 </v>
      </c>
      <c r="K390" s="26" t="str">
        <f t="shared" si="66"/>
        <v>PR</v>
      </c>
      <c r="L390" s="26" t="str">
        <f t="shared" si="67"/>
        <v>DGOSE</v>
      </c>
      <c r="M390" s="26" t="str">
        <f t="shared" si="68"/>
        <v>FEDERAL</v>
      </c>
      <c r="N390" s="26">
        <v>368</v>
      </c>
      <c r="O390" s="26">
        <v>183</v>
      </c>
      <c r="P390" s="26">
        <v>185</v>
      </c>
      <c r="Q390" s="26">
        <v>12</v>
      </c>
      <c r="R390" s="26">
        <v>1</v>
      </c>
      <c r="S390" s="26">
        <v>12</v>
      </c>
      <c r="T390" s="26">
        <v>11</v>
      </c>
      <c r="U390" s="26">
        <v>24</v>
      </c>
      <c r="V390" s="26">
        <v>1</v>
      </c>
      <c r="W390" s="26" t="s">
        <v>2076</v>
      </c>
    </row>
    <row r="391" spans="1:23" x14ac:dyDescent="0.25">
      <c r="A391" s="26" t="str">
        <f t="shared" si="64"/>
        <v>PRIMARIA</v>
      </c>
      <c r="B391" s="26" t="str">
        <f>"09DPR1189N"</f>
        <v>09DPR1189N</v>
      </c>
      <c r="C391" s="26" t="str">
        <f>"15 DE MAYO                                                                                          "</f>
        <v xml:space="preserve">15 DE MAYO                                                                                          </v>
      </c>
      <c r="D391" s="26" t="str">
        <f>"TIEMPO COMPLETO"</f>
        <v>TIEMPO COMPLETO</v>
      </c>
      <c r="E391" s="26" t="str">
        <f>"OSA MAYOR Y GEMELOS S/N                                                         "</f>
        <v xml:space="preserve">OSA MAYOR Y GEMELOS S/N                                                         </v>
      </c>
      <c r="F391" s="26" t="str">
        <f>"PRADO CHURUBUSCO                                                                                                                            "</f>
        <v xml:space="preserve">PRADO CHURUBUSCO                                                                                                                            </v>
      </c>
      <c r="G391" s="26" t="str">
        <f>"COYOACAN                                                                        "</f>
        <v xml:space="preserve">COYOACAN                                                                        </v>
      </c>
      <c r="H391" s="26" t="str">
        <f>"435"</f>
        <v>435</v>
      </c>
      <c r="I391" s="26" t="str">
        <f t="shared" si="65"/>
        <v>00</v>
      </c>
      <c r="J391" s="26" t="str">
        <f>"44 "</f>
        <v xml:space="preserve">44 </v>
      </c>
      <c r="K391" s="26" t="str">
        <f t="shared" si="66"/>
        <v>PR</v>
      </c>
      <c r="L391" s="26" t="str">
        <f t="shared" si="67"/>
        <v>DGOSE</v>
      </c>
      <c r="M391" s="26" t="str">
        <f t="shared" si="68"/>
        <v>FEDERAL</v>
      </c>
      <c r="N391" s="26">
        <v>375</v>
      </c>
      <c r="O391" s="26">
        <v>184</v>
      </c>
      <c r="P391" s="26">
        <v>191</v>
      </c>
      <c r="Q391" s="26">
        <v>12</v>
      </c>
      <c r="R391" s="26">
        <v>1</v>
      </c>
      <c r="S391" s="26">
        <v>12</v>
      </c>
      <c r="T391" s="26">
        <v>16</v>
      </c>
      <c r="U391" s="26">
        <v>29</v>
      </c>
      <c r="V391" s="26">
        <v>1</v>
      </c>
      <c r="W391" s="26" t="s">
        <v>218</v>
      </c>
    </row>
    <row r="392" spans="1:23" x14ac:dyDescent="0.25">
      <c r="A392" s="26" t="str">
        <f t="shared" si="64"/>
        <v>PRIMARIA</v>
      </c>
      <c r="B392" s="26" t="str">
        <f>"09DPR1190C"</f>
        <v>09DPR1190C</v>
      </c>
      <c r="C392" s="26" t="str">
        <f>"VIRGILIO URIBE                                                                                      "</f>
        <v xml:space="preserve">VIRGILIO URIBE                                                                                      </v>
      </c>
      <c r="D392" s="26" t="str">
        <f>"MATUTINO"</f>
        <v>MATUTINO</v>
      </c>
      <c r="E392" s="26" t="str">
        <f>"CALZ. SAN JUANICO NO. 20                                                        "</f>
        <v xml:space="preserve">CALZ. SAN JUANICO NO. 20                                                        </v>
      </c>
      <c r="F392" s="26" t="str">
        <f>"SAN JUANICO MEXTIPAC                                                                                                                        "</f>
        <v xml:space="preserve">SAN JUANICO MEXTIPAC                                                                                                                        </v>
      </c>
      <c r="G392" s="26" t="str">
        <f>"IZTAPALAPA                                                                      "</f>
        <v xml:space="preserve">IZTAPALAPA                                                                      </v>
      </c>
      <c r="H392" s="26" t="str">
        <f>"033"</f>
        <v>033</v>
      </c>
      <c r="I392" s="26" t="str">
        <f t="shared" si="65"/>
        <v>00</v>
      </c>
      <c r="J392" s="26" t="str">
        <f>"63 "</f>
        <v xml:space="preserve">63 </v>
      </c>
      <c r="K392" s="26" t="str">
        <f>"IZ"</f>
        <v>IZ</v>
      </c>
      <c r="L392" s="26" t="str">
        <f>"DGSEI"</f>
        <v>DGSEI</v>
      </c>
      <c r="M392" s="26" t="str">
        <f t="shared" si="68"/>
        <v>FEDERAL</v>
      </c>
      <c r="N392" s="26">
        <v>303</v>
      </c>
      <c r="O392" s="26">
        <v>148</v>
      </c>
      <c r="P392" s="26">
        <v>155</v>
      </c>
      <c r="Q392" s="26">
        <v>13</v>
      </c>
      <c r="R392" s="26">
        <v>1</v>
      </c>
      <c r="S392" s="26">
        <v>13</v>
      </c>
      <c r="T392" s="26">
        <v>6</v>
      </c>
      <c r="U392" s="26">
        <v>20</v>
      </c>
      <c r="V392" s="26">
        <v>1</v>
      </c>
      <c r="W392" s="26"/>
    </row>
    <row r="393" spans="1:23" x14ac:dyDescent="0.25">
      <c r="A393" s="26" t="str">
        <f t="shared" si="64"/>
        <v>PRIMARIA</v>
      </c>
      <c r="B393" s="26" t="str">
        <f>"09DPR1192A"</f>
        <v>09DPR1192A</v>
      </c>
      <c r="C393" s="26" t="str">
        <f>"VIRGILIO URIBE                                                                                      "</f>
        <v xml:space="preserve">VIRGILIO URIBE                                                                                      </v>
      </c>
      <c r="D393" s="26" t="str">
        <f>"VESPERTINO"</f>
        <v>VESPERTINO</v>
      </c>
      <c r="E393" s="26" t="str">
        <f>"CALZ. SAN JUANICO NO. 20                                                        "</f>
        <v xml:space="preserve">CALZ. SAN JUANICO NO. 20                                                        </v>
      </c>
      <c r="F393" s="26" t="str">
        <f>"SAN JUANICO MEXTIPAC                                                                                                                        "</f>
        <v xml:space="preserve">SAN JUANICO MEXTIPAC                                                                                                                        </v>
      </c>
      <c r="G393" s="26" t="str">
        <f>"IZTAPALAPA                                                                      "</f>
        <v xml:space="preserve">IZTAPALAPA                                                                      </v>
      </c>
      <c r="H393" s="26" t="str">
        <f>"033"</f>
        <v>033</v>
      </c>
      <c r="I393" s="26" t="str">
        <f t="shared" si="65"/>
        <v>00</v>
      </c>
      <c r="J393" s="26" t="str">
        <f>"63 "</f>
        <v xml:space="preserve">63 </v>
      </c>
      <c r="K393" s="26" t="str">
        <f>"IZ"</f>
        <v>IZ</v>
      </c>
      <c r="L393" s="26" t="str">
        <f>"DGSEI"</f>
        <v>DGSEI</v>
      </c>
      <c r="M393" s="26" t="str">
        <f t="shared" si="68"/>
        <v>FEDERAL</v>
      </c>
      <c r="N393" s="26">
        <v>158</v>
      </c>
      <c r="O393" s="26">
        <v>79</v>
      </c>
      <c r="P393" s="26">
        <v>79</v>
      </c>
      <c r="Q393" s="26">
        <v>9</v>
      </c>
      <c r="R393" s="26">
        <v>1</v>
      </c>
      <c r="S393" s="26">
        <v>9</v>
      </c>
      <c r="T393" s="26">
        <v>5</v>
      </c>
      <c r="U393" s="26">
        <v>15</v>
      </c>
      <c r="V393" s="26">
        <v>1</v>
      </c>
      <c r="W393" s="26"/>
    </row>
    <row r="394" spans="1:23" x14ac:dyDescent="0.25">
      <c r="A394" s="26" t="str">
        <f t="shared" si="64"/>
        <v>PRIMARIA</v>
      </c>
      <c r="B394" s="26" t="str">
        <f>"09DPR1194Z"</f>
        <v>09DPR1194Z</v>
      </c>
      <c r="C394" s="26" t="str">
        <f>"UNIDAD MODELO                                                                                       "</f>
        <v xml:space="preserve">UNIDAD MODELO                                                                                       </v>
      </c>
      <c r="D394" s="26" t="str">
        <f>"JORNADA AMPLIADA"</f>
        <v>JORNADA AMPLIADA</v>
      </c>
      <c r="E394" s="26" t="str">
        <f>"RET. 105 AV. RIO CHURUBUSCO NO. 85                                              "</f>
        <v xml:space="preserve">RET. 105 AV. RIO CHURUBUSCO NO. 85                                              </v>
      </c>
      <c r="F394" s="26" t="str">
        <f>"UNIDAD MODELO                                                                                                                               "</f>
        <v xml:space="preserve">UNIDAD MODELO                                                                                                                               </v>
      </c>
      <c r="G394" s="26" t="str">
        <f>"IZTAPALAPA                                                                      "</f>
        <v xml:space="preserve">IZTAPALAPA                                                                      </v>
      </c>
      <c r="H394" s="26" t="str">
        <f>"002"</f>
        <v>002</v>
      </c>
      <c r="I394" s="26" t="str">
        <f t="shared" si="65"/>
        <v>00</v>
      </c>
      <c r="J394" s="26" t="str">
        <f>"61 "</f>
        <v xml:space="preserve">61 </v>
      </c>
      <c r="K394" s="26" t="str">
        <f>"IZ"</f>
        <v>IZ</v>
      </c>
      <c r="L394" s="26" t="str">
        <f>"DGSEI"</f>
        <v>DGSEI</v>
      </c>
      <c r="M394" s="26" t="str">
        <f t="shared" si="68"/>
        <v>FEDERAL</v>
      </c>
      <c r="N394" s="26">
        <v>341</v>
      </c>
      <c r="O394" s="26">
        <v>169</v>
      </c>
      <c r="P394" s="26">
        <v>172</v>
      </c>
      <c r="Q394" s="26">
        <v>12</v>
      </c>
      <c r="R394" s="26">
        <v>1</v>
      </c>
      <c r="S394" s="26">
        <v>12</v>
      </c>
      <c r="T394" s="26">
        <v>7</v>
      </c>
      <c r="U394" s="26">
        <v>20</v>
      </c>
      <c r="V394" s="26">
        <v>1</v>
      </c>
      <c r="W394" s="26" t="s">
        <v>2076</v>
      </c>
    </row>
    <row r="395" spans="1:23" x14ac:dyDescent="0.25">
      <c r="A395" s="26" t="str">
        <f t="shared" si="64"/>
        <v>PRIMARIA</v>
      </c>
      <c r="B395" s="26" t="str">
        <f>"09DPR1195Y"</f>
        <v>09DPR1195Y</v>
      </c>
      <c r="C395" s="26" t="str">
        <f>"D. I. F.                                                                                            "</f>
        <v xml:space="preserve">D. I. F.                                                                                            </v>
      </c>
      <c r="D395" s="26" t="str">
        <f>"MATUTINO"</f>
        <v>MATUTINO</v>
      </c>
      <c r="E395" s="26" t="str">
        <f>"PROL. XOCHICALCO 970                                                            "</f>
        <v xml:space="preserve">PROL. XOCHICALCO 970                                                            </v>
      </c>
      <c r="F395" s="26" t="str">
        <f>"SANTA CRUZ ATOYAC                                                                                                                           "</f>
        <v xml:space="preserve">SANTA CRUZ ATOYAC                                                                                                                           </v>
      </c>
      <c r="G395" s="26" t="str">
        <f>"BENITO JUAREZ                                                                   "</f>
        <v xml:space="preserve">BENITO JUAREZ                                                                   </v>
      </c>
      <c r="H395" s="26" t="str">
        <f>"341"</f>
        <v>341</v>
      </c>
      <c r="I395" s="26" t="str">
        <f t="shared" si="65"/>
        <v>00</v>
      </c>
      <c r="J395" s="26" t="str">
        <f>"43 "</f>
        <v xml:space="preserve">43 </v>
      </c>
      <c r="K395" s="26" t="str">
        <f>"PR"</f>
        <v>PR</v>
      </c>
      <c r="L395" s="26" t="str">
        <f>"DGOSE"</f>
        <v>DGOSE</v>
      </c>
      <c r="M395" s="26" t="str">
        <f t="shared" si="68"/>
        <v>FEDERAL</v>
      </c>
      <c r="N395" s="26">
        <v>269</v>
      </c>
      <c r="O395" s="26">
        <v>146</v>
      </c>
      <c r="P395" s="26">
        <v>123</v>
      </c>
      <c r="Q395" s="26">
        <v>11</v>
      </c>
      <c r="R395" s="26">
        <v>1</v>
      </c>
      <c r="S395" s="26">
        <v>11</v>
      </c>
      <c r="T395" s="26">
        <v>8</v>
      </c>
      <c r="U395" s="26">
        <v>20</v>
      </c>
      <c r="V395" s="26">
        <v>1</v>
      </c>
      <c r="W395" s="26"/>
    </row>
    <row r="396" spans="1:23" x14ac:dyDescent="0.25">
      <c r="A396" s="26" t="str">
        <f t="shared" si="64"/>
        <v>PRIMARIA</v>
      </c>
      <c r="B396" s="26" t="str">
        <f>"09DPR1196X"</f>
        <v>09DPR1196X</v>
      </c>
      <c r="C396" s="26" t="str">
        <f>"TEOFILO CEDILLO GRANADOS                                                                            "</f>
        <v xml:space="preserve">TEOFILO CEDILLO GRANADOS                                                                            </v>
      </c>
      <c r="D396" s="26" t="str">
        <f>"VESPERTINO"</f>
        <v>VESPERTINO</v>
      </c>
      <c r="E396" s="26" t="str">
        <f>"CDA. DE VICTORIA NO. 36                                                         "</f>
        <v xml:space="preserve">CDA. DE VICTORIA NO. 36                                                         </v>
      </c>
      <c r="F396" s="26" t="str">
        <f>"SAN LUCAS                                                                                                                                   "</f>
        <v xml:space="preserve">SAN LUCAS                                                                                                                                   </v>
      </c>
      <c r="G396" s="26" t="str">
        <f>"IZTAPALAPA                                                                      "</f>
        <v xml:space="preserve">IZTAPALAPA                                                                      </v>
      </c>
      <c r="H396" s="26" t="str">
        <f>"038"</f>
        <v>038</v>
      </c>
      <c r="I396" s="26" t="str">
        <f t="shared" si="65"/>
        <v>00</v>
      </c>
      <c r="J396" s="26" t="str">
        <f>"63 "</f>
        <v xml:space="preserve">63 </v>
      </c>
      <c r="K396" s="26" t="str">
        <f>"IZ"</f>
        <v>IZ</v>
      </c>
      <c r="L396" s="26" t="str">
        <f>"DGSEI"</f>
        <v>DGSEI</v>
      </c>
      <c r="M396" s="26" t="str">
        <f t="shared" si="68"/>
        <v>FEDERAL</v>
      </c>
      <c r="N396" s="26">
        <v>303</v>
      </c>
      <c r="O396" s="26">
        <v>155</v>
      </c>
      <c r="P396" s="26">
        <v>148</v>
      </c>
      <c r="Q396" s="26">
        <v>14</v>
      </c>
      <c r="R396" s="26">
        <v>1</v>
      </c>
      <c r="S396" s="26">
        <v>14</v>
      </c>
      <c r="T396" s="26">
        <v>6</v>
      </c>
      <c r="U396" s="26">
        <v>21</v>
      </c>
      <c r="V396" s="26">
        <v>1</v>
      </c>
      <c r="W396" s="26"/>
    </row>
    <row r="397" spans="1:23" x14ac:dyDescent="0.25">
      <c r="A397" s="26" t="str">
        <f t="shared" si="64"/>
        <v>PRIMARIA</v>
      </c>
      <c r="B397" s="26" t="str">
        <f>"09DPR1197W"</f>
        <v>09DPR1197W</v>
      </c>
      <c r="C397" s="26" t="str">
        <f>"TLILALPACATL                                                                                        "</f>
        <v xml:space="preserve">TLILALPACATL                                                                                        </v>
      </c>
      <c r="D397" s="26" t="str">
        <f>"VESPERTINO"</f>
        <v>VESPERTINO</v>
      </c>
      <c r="E397" s="26" t="str">
        <f>"AV. MEXICO NO. 6                                                                "</f>
        <v xml:space="preserve">AV. MEXICO NO. 6                                                                </v>
      </c>
      <c r="F397" s="26" t="str">
        <f>"ACULCO                                                                                                                                      "</f>
        <v xml:space="preserve">ACULCO                                                                                                                                      </v>
      </c>
      <c r="G397" s="26" t="str">
        <f>"IZTAPALAPA                                                                      "</f>
        <v xml:space="preserve">IZTAPALAPA                                                                      </v>
      </c>
      <c r="H397" s="26" t="str">
        <f>"037"</f>
        <v>037</v>
      </c>
      <c r="I397" s="26" t="str">
        <f t="shared" si="65"/>
        <v>00</v>
      </c>
      <c r="J397" s="26" t="str">
        <f>"63 "</f>
        <v xml:space="preserve">63 </v>
      </c>
      <c r="K397" s="26" t="str">
        <f>"IZ"</f>
        <v>IZ</v>
      </c>
      <c r="L397" s="26" t="str">
        <f>"DGSEI"</f>
        <v>DGSEI</v>
      </c>
      <c r="M397" s="26" t="str">
        <f t="shared" si="68"/>
        <v>FEDERAL</v>
      </c>
      <c r="N397" s="26">
        <v>128</v>
      </c>
      <c r="O397" s="26">
        <v>80</v>
      </c>
      <c r="P397" s="26">
        <v>48</v>
      </c>
      <c r="Q397" s="26">
        <v>7</v>
      </c>
      <c r="R397" s="26">
        <v>1</v>
      </c>
      <c r="S397" s="26">
        <v>7</v>
      </c>
      <c r="T397" s="26">
        <v>3</v>
      </c>
      <c r="U397" s="26">
        <v>11</v>
      </c>
      <c r="V397" s="26">
        <v>1</v>
      </c>
      <c r="W397" s="26"/>
    </row>
    <row r="398" spans="1:23" x14ac:dyDescent="0.25">
      <c r="A398" s="26" t="str">
        <f t="shared" si="64"/>
        <v>PRIMARIA</v>
      </c>
      <c r="B398" s="26" t="str">
        <f>"09DPR1198V"</f>
        <v>09DPR1198V</v>
      </c>
      <c r="C398" s="26" t="str">
        <f>"TEOFILO CEDILLO GRANADOS                                                                            "</f>
        <v xml:space="preserve">TEOFILO CEDILLO GRANADOS                                                                            </v>
      </c>
      <c r="D398" s="26" t="str">
        <f>"MATUTINO"</f>
        <v>MATUTINO</v>
      </c>
      <c r="E398" s="26" t="str">
        <f>"CDA. DE VICTORIA NO. 36                                                         "</f>
        <v xml:space="preserve">CDA. DE VICTORIA NO. 36                                                         </v>
      </c>
      <c r="F398" s="26" t="str">
        <f>"SAN LUCAS                                                                                                                                   "</f>
        <v xml:space="preserve">SAN LUCAS                                                                                                                                   </v>
      </c>
      <c r="G398" s="26" t="str">
        <f>"IZTAPALAPA                                                                      "</f>
        <v xml:space="preserve">IZTAPALAPA                                                                      </v>
      </c>
      <c r="H398" s="26" t="str">
        <f>"038"</f>
        <v>038</v>
      </c>
      <c r="I398" s="26" t="str">
        <f t="shared" si="65"/>
        <v>00</v>
      </c>
      <c r="J398" s="26" t="str">
        <f>"63 "</f>
        <v xml:space="preserve">63 </v>
      </c>
      <c r="K398" s="26" t="str">
        <f>"IZ"</f>
        <v>IZ</v>
      </c>
      <c r="L398" s="26" t="str">
        <f>"DGSEI"</f>
        <v>DGSEI</v>
      </c>
      <c r="M398" s="26" t="str">
        <f t="shared" si="68"/>
        <v>FEDERAL</v>
      </c>
      <c r="N398" s="26">
        <v>580</v>
      </c>
      <c r="O398" s="26">
        <v>298</v>
      </c>
      <c r="P398" s="26">
        <v>282</v>
      </c>
      <c r="Q398" s="26">
        <v>18</v>
      </c>
      <c r="R398" s="26">
        <v>1</v>
      </c>
      <c r="S398" s="26">
        <v>18</v>
      </c>
      <c r="T398" s="26">
        <v>9</v>
      </c>
      <c r="U398" s="26">
        <v>28</v>
      </c>
      <c r="V398" s="26">
        <v>1</v>
      </c>
      <c r="W398" s="26"/>
    </row>
    <row r="399" spans="1:23" x14ac:dyDescent="0.25">
      <c r="A399" s="26" t="str">
        <f t="shared" si="64"/>
        <v>PRIMARIA</v>
      </c>
      <c r="B399" s="26" t="str">
        <f>"09DPR1199U"</f>
        <v>09DPR1199U</v>
      </c>
      <c r="C399" s="26" t="str">
        <f>"SUECIA                                                                                              "</f>
        <v xml:space="preserve">SUECIA                                                                                              </v>
      </c>
      <c r="D399" s="26" t="str">
        <f>"JORNADA AMPLIADA"</f>
        <v>JORNADA AMPLIADA</v>
      </c>
      <c r="E399" s="26" t="str">
        <f>"AV. RETOÑO NO. 908                                                              "</f>
        <v xml:space="preserve">AV. RETOÑO NO. 908                                                              </v>
      </c>
      <c r="F399" s="26" t="str">
        <f>"EL RETOÑO                                                                                                                                   "</f>
        <v xml:space="preserve">EL RETOÑO                                                                                                                                   </v>
      </c>
      <c r="G399" s="26" t="str">
        <f>"IZTAPALAPA                                                                      "</f>
        <v xml:space="preserve">IZTAPALAPA                                                                      </v>
      </c>
      <c r="H399" s="26" t="str">
        <f>"071"</f>
        <v>071</v>
      </c>
      <c r="I399" s="26" t="str">
        <f t="shared" si="65"/>
        <v>00</v>
      </c>
      <c r="J399" s="26" t="str">
        <f>"61 "</f>
        <v xml:space="preserve">61 </v>
      </c>
      <c r="K399" s="26" t="str">
        <f>"IZ"</f>
        <v>IZ</v>
      </c>
      <c r="L399" s="26" t="str">
        <f>"DGSEI"</f>
        <v>DGSEI</v>
      </c>
      <c r="M399" s="26" t="str">
        <f t="shared" si="68"/>
        <v>FEDERAL</v>
      </c>
      <c r="N399" s="26">
        <v>471</v>
      </c>
      <c r="O399" s="26">
        <v>231</v>
      </c>
      <c r="P399" s="26">
        <v>240</v>
      </c>
      <c r="Q399" s="26">
        <v>17</v>
      </c>
      <c r="R399" s="26">
        <v>1</v>
      </c>
      <c r="S399" s="26">
        <v>17</v>
      </c>
      <c r="T399" s="26">
        <v>4</v>
      </c>
      <c r="U399" s="26">
        <v>22</v>
      </c>
      <c r="V399" s="26">
        <v>1</v>
      </c>
      <c r="W399" s="26" t="s">
        <v>2076</v>
      </c>
    </row>
    <row r="400" spans="1:23" x14ac:dyDescent="0.25">
      <c r="A400" s="26" t="str">
        <f t="shared" si="64"/>
        <v>PRIMARIA</v>
      </c>
      <c r="B400" s="26" t="str">
        <f>"09DPR1200T"</f>
        <v>09DPR1200T</v>
      </c>
      <c r="C400" s="26" t="str">
        <f>"PEDRO SAINZ DE BARANDA                                                                              "</f>
        <v xml:space="preserve">PEDRO SAINZ DE BARANDA                                                                              </v>
      </c>
      <c r="D400" s="26" t="str">
        <f>"JORNADA AMPLIADA"</f>
        <v>JORNADA AMPLIADA</v>
      </c>
      <c r="E400" s="26" t="str">
        <f>"DR ANDRADE Y OLVERA NO 190                                                      "</f>
        <v xml:space="preserve">DR ANDRADE Y OLVERA NO 190                                                      </v>
      </c>
      <c r="F400" s="26" t="str">
        <f>"DOCTORES                                                                                                                                    "</f>
        <v xml:space="preserve">DOCTORES                                                                                                                                    </v>
      </c>
      <c r="G400" s="26" t="str">
        <f>"CUAUHTEMOC                                                                      "</f>
        <v xml:space="preserve">CUAUHTEMOC                                                                      </v>
      </c>
      <c r="H400" s="26" t="str">
        <f>"128"</f>
        <v>128</v>
      </c>
      <c r="I400" s="26" t="str">
        <f t="shared" si="65"/>
        <v>00</v>
      </c>
      <c r="J400" s="26" t="str">
        <f>"41 "</f>
        <v xml:space="preserve">41 </v>
      </c>
      <c r="K400" s="26" t="str">
        <f>"PR"</f>
        <v>PR</v>
      </c>
      <c r="L400" s="26" t="str">
        <f>"DGOSE"</f>
        <v>DGOSE</v>
      </c>
      <c r="M400" s="26" t="str">
        <f t="shared" si="68"/>
        <v>FEDERAL</v>
      </c>
      <c r="N400" s="26">
        <v>324</v>
      </c>
      <c r="O400" s="26">
        <v>165</v>
      </c>
      <c r="P400" s="26">
        <v>159</v>
      </c>
      <c r="Q400" s="26">
        <v>12</v>
      </c>
      <c r="R400" s="26">
        <v>1</v>
      </c>
      <c r="S400" s="26">
        <v>12</v>
      </c>
      <c r="T400" s="26">
        <v>9</v>
      </c>
      <c r="U400" s="26">
        <v>22</v>
      </c>
      <c r="V400" s="26">
        <v>1</v>
      </c>
      <c r="W400" s="26" t="s">
        <v>2076</v>
      </c>
    </row>
    <row r="401" spans="1:23" x14ac:dyDescent="0.25">
      <c r="A401" s="26" t="str">
        <f t="shared" si="64"/>
        <v>PRIMARIA</v>
      </c>
      <c r="B401" s="26" t="str">
        <f>"09DPR1202R"</f>
        <v>09DPR1202R</v>
      </c>
      <c r="C401" s="26" t="str">
        <f>"RAFAEL RAMOS PEDRUEZA                                                                               "</f>
        <v xml:space="preserve">RAFAEL RAMOS PEDRUEZA                                                                               </v>
      </c>
      <c r="D401" s="26" t="str">
        <f>"JORNADA AMPLIADA"</f>
        <v>JORNADA AMPLIADA</v>
      </c>
      <c r="E401" s="26" t="str">
        <f>"BARRAGAN NUM 226                                                                "</f>
        <v xml:space="preserve">BARRAGAN NUM 226                                                                </v>
      </c>
      <c r="F401" s="26" t="str">
        <f>"DOCTORES                                                                                                                                    "</f>
        <v xml:space="preserve">DOCTORES                                                                                                                                    </v>
      </c>
      <c r="G401" s="26" t="str">
        <f>"CUAUHTEMOC                                                                      "</f>
        <v xml:space="preserve">CUAUHTEMOC                                                                      </v>
      </c>
      <c r="H401" s="26" t="str">
        <f>"128"</f>
        <v>128</v>
      </c>
      <c r="I401" s="26" t="str">
        <f t="shared" si="65"/>
        <v>00</v>
      </c>
      <c r="J401" s="26" t="str">
        <f>"41 "</f>
        <v xml:space="preserve">41 </v>
      </c>
      <c r="K401" s="26" t="str">
        <f>"PR"</f>
        <v>PR</v>
      </c>
      <c r="L401" s="26" t="str">
        <f>"DGOSE"</f>
        <v>DGOSE</v>
      </c>
      <c r="M401" s="26" t="str">
        <f t="shared" si="68"/>
        <v>FEDERAL</v>
      </c>
      <c r="N401" s="26">
        <v>283</v>
      </c>
      <c r="O401" s="26">
        <v>141</v>
      </c>
      <c r="P401" s="26">
        <v>142</v>
      </c>
      <c r="Q401" s="26">
        <v>11</v>
      </c>
      <c r="R401" s="26">
        <v>1</v>
      </c>
      <c r="S401" s="26">
        <v>9</v>
      </c>
      <c r="T401" s="26">
        <v>6</v>
      </c>
      <c r="U401" s="26">
        <v>16</v>
      </c>
      <c r="V401" s="26">
        <v>1</v>
      </c>
      <c r="W401" s="26" t="s">
        <v>2076</v>
      </c>
    </row>
    <row r="402" spans="1:23" x14ac:dyDescent="0.25">
      <c r="A402" s="26" t="str">
        <f t="shared" si="64"/>
        <v>PRIMARIA</v>
      </c>
      <c r="B402" s="26" t="str">
        <f>"09DPR1204P"</f>
        <v>09DPR1204P</v>
      </c>
      <c r="C402" s="26" t="str">
        <f>"PROFR. GRACIANO SANCHEZ                                                                             "</f>
        <v xml:space="preserve">PROFR. GRACIANO SANCHEZ                                                                             </v>
      </c>
      <c r="D402" s="26" t="str">
        <f>"MATUTINO"</f>
        <v>MATUTINO</v>
      </c>
      <c r="E402" s="26" t="str">
        <f>"AV. AGRARIO NO. 11                                                              "</f>
        <v xml:space="preserve">AV. AGRARIO NO. 11                                                              </v>
      </c>
      <c r="F402" s="26" t="str">
        <f>"SAN SIMON CULHUACAN                                                                                                                         "</f>
        <v xml:space="preserve">SAN SIMON CULHUACAN                                                                                                                         </v>
      </c>
      <c r="G402" s="26" t="str">
        <f>"IZTAPALAPA                                                                      "</f>
        <v xml:space="preserve">IZTAPALAPA                                                                      </v>
      </c>
      <c r="H402" s="26" t="str">
        <f>"040"</f>
        <v>040</v>
      </c>
      <c r="I402" s="26" t="str">
        <f t="shared" si="65"/>
        <v>00</v>
      </c>
      <c r="J402" s="26" t="str">
        <f>"63 "</f>
        <v xml:space="preserve">63 </v>
      </c>
      <c r="K402" s="26" t="str">
        <f>"IZ"</f>
        <v>IZ</v>
      </c>
      <c r="L402" s="26" t="str">
        <f>"DGSEI"</f>
        <v>DGSEI</v>
      </c>
      <c r="M402" s="26" t="str">
        <f t="shared" si="68"/>
        <v>FEDERAL</v>
      </c>
      <c r="N402" s="26">
        <v>366</v>
      </c>
      <c r="O402" s="26">
        <v>196</v>
      </c>
      <c r="P402" s="26">
        <v>170</v>
      </c>
      <c r="Q402" s="26">
        <v>13</v>
      </c>
      <c r="R402" s="26">
        <v>1</v>
      </c>
      <c r="S402" s="26">
        <v>13</v>
      </c>
      <c r="T402" s="26">
        <v>6</v>
      </c>
      <c r="U402" s="26">
        <v>20</v>
      </c>
      <c r="V402" s="26">
        <v>1</v>
      </c>
      <c r="W402" s="26"/>
    </row>
    <row r="403" spans="1:23" x14ac:dyDescent="0.25">
      <c r="A403" s="26" t="str">
        <f t="shared" si="64"/>
        <v>PRIMARIA</v>
      </c>
      <c r="B403" s="26" t="str">
        <f>"09DPR1205O"</f>
        <v>09DPR1205O</v>
      </c>
      <c r="C403" s="26" t="str">
        <f>"PROFR. GRACIANO SANCHEZ                                                                             "</f>
        <v xml:space="preserve">PROFR. GRACIANO SANCHEZ                                                                             </v>
      </c>
      <c r="D403" s="26" t="str">
        <f>"VESPERTINO"</f>
        <v>VESPERTINO</v>
      </c>
      <c r="E403" s="26" t="str">
        <f>"AV. AGRARIO NO. 11                                                              "</f>
        <v xml:space="preserve">AV. AGRARIO NO. 11                                                              </v>
      </c>
      <c r="F403" s="26" t="str">
        <f>"SAN SIMON CULHUACAN                                                                                                                         "</f>
        <v xml:space="preserve">SAN SIMON CULHUACAN                                                                                                                         </v>
      </c>
      <c r="G403" s="26" t="str">
        <f>"IZTAPALAPA                                                                      "</f>
        <v xml:space="preserve">IZTAPALAPA                                                                      </v>
      </c>
      <c r="H403" s="26" t="str">
        <f>"040"</f>
        <v>040</v>
      </c>
      <c r="I403" s="26" t="str">
        <f t="shared" si="65"/>
        <v>00</v>
      </c>
      <c r="J403" s="26" t="str">
        <f>"63 "</f>
        <v xml:space="preserve">63 </v>
      </c>
      <c r="K403" s="26" t="str">
        <f>"IZ"</f>
        <v>IZ</v>
      </c>
      <c r="L403" s="26" t="str">
        <f>"DGSEI"</f>
        <v>DGSEI</v>
      </c>
      <c r="M403" s="26" t="str">
        <f t="shared" si="68"/>
        <v>FEDERAL</v>
      </c>
      <c r="N403" s="26">
        <v>195</v>
      </c>
      <c r="O403" s="26">
        <v>98</v>
      </c>
      <c r="P403" s="26">
        <v>97</v>
      </c>
      <c r="Q403" s="26">
        <v>12</v>
      </c>
      <c r="R403" s="26">
        <v>1</v>
      </c>
      <c r="S403" s="26">
        <v>12</v>
      </c>
      <c r="T403" s="26">
        <v>7</v>
      </c>
      <c r="U403" s="26">
        <v>20</v>
      </c>
      <c r="V403" s="26">
        <v>1</v>
      </c>
      <c r="W403" s="26"/>
    </row>
    <row r="404" spans="1:23" x14ac:dyDescent="0.25">
      <c r="A404" s="26" t="str">
        <f t="shared" si="64"/>
        <v>PRIMARIA</v>
      </c>
      <c r="B404" s="26" t="str">
        <f>"09DPR1206N"</f>
        <v>09DPR1206N</v>
      </c>
      <c r="C404" s="26" t="str">
        <f>"SALVADOR NOVO                                                                                       "</f>
        <v xml:space="preserve">SALVADOR NOVO                                                                                       </v>
      </c>
      <c r="D404" s="26" t="str">
        <f>"JORNADA AMPLIADA"</f>
        <v>JORNADA AMPLIADA</v>
      </c>
      <c r="E404" s="26" t="str">
        <f>"AV. HIDALGO NO. 140                                                             "</f>
        <v xml:space="preserve">AV. HIDALGO NO. 140                                                             </v>
      </c>
      <c r="F404" s="26" t="str">
        <f>"PURISIMA                                                                                                                                    "</f>
        <v xml:space="preserve">PURISIMA                                                                                                                                    </v>
      </c>
      <c r="G404" s="26" t="str">
        <f>"IZTAPALAPA                                                                      "</f>
        <v xml:space="preserve">IZTAPALAPA                                                                      </v>
      </c>
      <c r="H404" s="26" t="str">
        <f>"005"</f>
        <v>005</v>
      </c>
      <c r="I404" s="26" t="str">
        <f t="shared" si="65"/>
        <v>00</v>
      </c>
      <c r="J404" s="26" t="str">
        <f>"61 "</f>
        <v xml:space="preserve">61 </v>
      </c>
      <c r="K404" s="26" t="str">
        <f>"IZ"</f>
        <v>IZ</v>
      </c>
      <c r="L404" s="26" t="str">
        <f>"DGSEI"</f>
        <v>DGSEI</v>
      </c>
      <c r="M404" s="26" t="str">
        <f t="shared" si="68"/>
        <v>FEDERAL</v>
      </c>
      <c r="N404" s="26">
        <v>270</v>
      </c>
      <c r="O404" s="26">
        <v>136</v>
      </c>
      <c r="P404" s="26">
        <v>134</v>
      </c>
      <c r="Q404" s="26">
        <v>8</v>
      </c>
      <c r="R404" s="26">
        <v>1</v>
      </c>
      <c r="S404" s="26">
        <v>8</v>
      </c>
      <c r="T404" s="26">
        <v>5</v>
      </c>
      <c r="U404" s="26">
        <v>14</v>
      </c>
      <c r="V404" s="26">
        <v>1</v>
      </c>
      <c r="W404" s="26" t="s">
        <v>2076</v>
      </c>
    </row>
    <row r="405" spans="1:23" x14ac:dyDescent="0.25">
      <c r="A405" s="26" t="str">
        <f t="shared" si="64"/>
        <v>PRIMARIA</v>
      </c>
      <c r="B405" s="26" t="str">
        <f>"09DPR1208L"</f>
        <v>09DPR1208L</v>
      </c>
      <c r="C405" s="26" t="str">
        <f>"PROFR. ANTONIO BARBOSA HELDT                                                                        "</f>
        <v xml:space="preserve">PROFR. ANTONIO BARBOSA HELDT                                                                        </v>
      </c>
      <c r="D405" s="26" t="str">
        <f>"JORNADA AMPLIADA"</f>
        <v>JORNADA AMPLIADA</v>
      </c>
      <c r="E405" s="26" t="str">
        <f>"AV. ANDRES MOLINA ENRIQUEZ NO. 520                                              "</f>
        <v xml:space="preserve">AV. ANDRES MOLINA ENRIQUEZ NO. 520                                              </v>
      </c>
      <c r="F405" s="26" t="str">
        <f>"SAN ANDRES TETEPILCO                                                                                                                        "</f>
        <v xml:space="preserve">SAN ANDRES TETEPILCO                                                                                                                        </v>
      </c>
      <c r="G405" s="26" t="str">
        <f>"IZTAPALAPA                                                                      "</f>
        <v xml:space="preserve">IZTAPALAPA                                                                      </v>
      </c>
      <c r="H405" s="26" t="str">
        <f>"001"</f>
        <v>001</v>
      </c>
      <c r="I405" s="26" t="str">
        <f t="shared" si="65"/>
        <v>00</v>
      </c>
      <c r="J405" s="26" t="str">
        <f>"61 "</f>
        <v xml:space="preserve">61 </v>
      </c>
      <c r="K405" s="26" t="str">
        <f>"IZ"</f>
        <v>IZ</v>
      </c>
      <c r="L405" s="26" t="str">
        <f>"DGSEI"</f>
        <v>DGSEI</v>
      </c>
      <c r="M405" s="26" t="str">
        <f t="shared" si="68"/>
        <v>FEDERAL</v>
      </c>
      <c r="N405" s="26">
        <v>222</v>
      </c>
      <c r="O405" s="26">
        <v>109</v>
      </c>
      <c r="P405" s="26">
        <v>113</v>
      </c>
      <c r="Q405" s="26">
        <v>10</v>
      </c>
      <c r="R405" s="26">
        <v>1</v>
      </c>
      <c r="S405" s="26">
        <v>10</v>
      </c>
      <c r="T405" s="26">
        <v>11</v>
      </c>
      <c r="U405" s="26">
        <v>22</v>
      </c>
      <c r="V405" s="26">
        <v>1</v>
      </c>
      <c r="W405" s="26" t="s">
        <v>2076</v>
      </c>
    </row>
    <row r="406" spans="1:23" x14ac:dyDescent="0.25">
      <c r="A406" s="26" t="str">
        <f t="shared" si="64"/>
        <v>PRIMARIA</v>
      </c>
      <c r="B406" s="26" t="str">
        <f>"09DPR1209K"</f>
        <v>09DPR1209K</v>
      </c>
      <c r="C406" s="26" t="str">
        <f>"CHIPRE                                                                                              "</f>
        <v xml:space="preserve">CHIPRE                                                                                              </v>
      </c>
      <c r="D406" s="26" t="str">
        <f>"TIEMPO COMPLETO"</f>
        <v>TIEMPO COMPLETO</v>
      </c>
      <c r="E406" s="26" t="str">
        <f>"PROLG. CANARIAS 53                                                              "</f>
        <v xml:space="preserve">PROLG. CANARIAS 53                                                              </v>
      </c>
      <c r="F406" s="26" t="str">
        <f>"SAN SIMON TICUMAC                                                                                                                           "</f>
        <v xml:space="preserve">SAN SIMON TICUMAC                                                                                                                           </v>
      </c>
      <c r="G406" s="26" t="str">
        <f>"BENITO JUAREZ                                                                   "</f>
        <v xml:space="preserve">BENITO JUAREZ                                                                   </v>
      </c>
      <c r="H406" s="26" t="str">
        <f>"414"</f>
        <v>414</v>
      </c>
      <c r="I406" s="26" t="str">
        <f t="shared" si="65"/>
        <v>00</v>
      </c>
      <c r="J406" s="26" t="str">
        <f>"44 "</f>
        <v xml:space="preserve">44 </v>
      </c>
      <c r="K406" s="26" t="str">
        <f>"PR"</f>
        <v>PR</v>
      </c>
      <c r="L406" s="26" t="str">
        <f>"DGOSE"</f>
        <v>DGOSE</v>
      </c>
      <c r="M406" s="26" t="str">
        <f t="shared" si="68"/>
        <v>FEDERAL</v>
      </c>
      <c r="N406" s="26">
        <v>348</v>
      </c>
      <c r="O406" s="26">
        <v>177</v>
      </c>
      <c r="P406" s="26">
        <v>171</v>
      </c>
      <c r="Q406" s="26">
        <v>12</v>
      </c>
      <c r="R406" s="26">
        <v>1</v>
      </c>
      <c r="S406" s="26">
        <v>12</v>
      </c>
      <c r="T406" s="26">
        <v>8</v>
      </c>
      <c r="U406" s="26">
        <v>21</v>
      </c>
      <c r="V406" s="26">
        <v>1</v>
      </c>
      <c r="W406" s="26" t="s">
        <v>218</v>
      </c>
    </row>
    <row r="407" spans="1:23" x14ac:dyDescent="0.25">
      <c r="A407" s="26" t="str">
        <f t="shared" si="64"/>
        <v>PRIMARIA</v>
      </c>
      <c r="B407" s="26" t="str">
        <f>"09DPR1212Y"</f>
        <v>09DPR1212Y</v>
      </c>
      <c r="C407" s="26" t="str">
        <f>"SILVESTRE REVUELTAS                                                                                 "</f>
        <v xml:space="preserve">SILVESTRE REVUELTAS                                                                                 </v>
      </c>
      <c r="D407" s="26" t="str">
        <f>"JORNADA AMPLIADA"</f>
        <v>JORNADA AMPLIADA</v>
      </c>
      <c r="E407" s="26" t="str">
        <f>"PRESIDENTES Y DR. VERTIZ                                                        "</f>
        <v xml:space="preserve">PRESIDENTES Y DR. VERTIZ                                                        </v>
      </c>
      <c r="F407" s="26" t="str">
        <f>"PORTALES                                                                                                                                    "</f>
        <v xml:space="preserve">PORTALES                                                                                                                                    </v>
      </c>
      <c r="G407" s="26" t="str">
        <f>"BENITO JUAREZ                                                                   "</f>
        <v xml:space="preserve">BENITO JUAREZ                                                                   </v>
      </c>
      <c r="H407" s="26" t="str">
        <f>"416"</f>
        <v>416</v>
      </c>
      <c r="I407" s="26" t="str">
        <f t="shared" si="65"/>
        <v>00</v>
      </c>
      <c r="J407" s="26" t="str">
        <f>"44 "</f>
        <v xml:space="preserve">44 </v>
      </c>
      <c r="K407" s="26" t="str">
        <f>"PR"</f>
        <v>PR</v>
      </c>
      <c r="L407" s="26" t="str">
        <f>"DGOSE"</f>
        <v>DGOSE</v>
      </c>
      <c r="M407" s="26" t="str">
        <f t="shared" si="68"/>
        <v>FEDERAL</v>
      </c>
      <c r="N407" s="26">
        <v>366</v>
      </c>
      <c r="O407" s="26">
        <v>170</v>
      </c>
      <c r="P407" s="26">
        <v>196</v>
      </c>
      <c r="Q407" s="26">
        <v>12</v>
      </c>
      <c r="R407" s="26">
        <v>1</v>
      </c>
      <c r="S407" s="26">
        <v>12</v>
      </c>
      <c r="T407" s="26">
        <v>10</v>
      </c>
      <c r="U407" s="26">
        <v>23</v>
      </c>
      <c r="V407" s="26">
        <v>1</v>
      </c>
      <c r="W407" s="26" t="s">
        <v>2076</v>
      </c>
    </row>
    <row r="408" spans="1:23" x14ac:dyDescent="0.25">
      <c r="A408" s="26" t="str">
        <f t="shared" si="64"/>
        <v>PRIMARIA</v>
      </c>
      <c r="B408" s="26" t="str">
        <f>"09DPR1213X"</f>
        <v>09DPR1213X</v>
      </c>
      <c r="C408" s="26" t="str">
        <f>"SANTIAGO R. DE LA VEGA                                                                              "</f>
        <v xml:space="preserve">SANTIAGO R. DE LA VEGA                                                                              </v>
      </c>
      <c r="D408" s="26" t="str">
        <f>"JORNADA AMPLIADA"</f>
        <v>JORNADA AMPLIADA</v>
      </c>
      <c r="E408" s="26" t="str">
        <f>"PROL BOLIVAR 1101                                                               "</f>
        <v xml:space="preserve">PROL BOLIVAR 1101                                                               </v>
      </c>
      <c r="F408" s="26" t="str">
        <f>"PERIODISTAS                                                                                                                                 "</f>
        <v xml:space="preserve">PERIODISTAS                                                                                                                                 </v>
      </c>
      <c r="G408" s="26" t="str">
        <f>"BENITO JUAREZ                                                                   "</f>
        <v xml:space="preserve">BENITO JUAREZ                                                                   </v>
      </c>
      <c r="H408" s="26" t="str">
        <f>"414"</f>
        <v>414</v>
      </c>
      <c r="I408" s="26" t="str">
        <f t="shared" si="65"/>
        <v>00</v>
      </c>
      <c r="J408" s="26" t="str">
        <f>"44 "</f>
        <v xml:space="preserve">44 </v>
      </c>
      <c r="K408" s="26" t="str">
        <f>"PR"</f>
        <v>PR</v>
      </c>
      <c r="L408" s="26" t="str">
        <f>"DGOSE"</f>
        <v>DGOSE</v>
      </c>
      <c r="M408" s="26" t="str">
        <f t="shared" si="68"/>
        <v>FEDERAL</v>
      </c>
      <c r="N408" s="26">
        <v>230</v>
      </c>
      <c r="O408" s="26">
        <v>118</v>
      </c>
      <c r="P408" s="26">
        <v>112</v>
      </c>
      <c r="Q408" s="26">
        <v>9</v>
      </c>
      <c r="R408" s="26">
        <v>1</v>
      </c>
      <c r="S408" s="26">
        <v>9</v>
      </c>
      <c r="T408" s="26">
        <v>7</v>
      </c>
      <c r="U408" s="26">
        <v>17</v>
      </c>
      <c r="V408" s="26">
        <v>1</v>
      </c>
      <c r="W408" s="26" t="s">
        <v>2076</v>
      </c>
    </row>
    <row r="409" spans="1:23" x14ac:dyDescent="0.25">
      <c r="A409" s="26" t="str">
        <f t="shared" si="64"/>
        <v>PRIMARIA</v>
      </c>
      <c r="B409" s="26" t="str">
        <f>"09DPR1216U"</f>
        <v>09DPR1216U</v>
      </c>
      <c r="C409" s="26" t="str">
        <f>"ING. ROBERTO GAYOL                                                                                  "</f>
        <v xml:space="preserve">ING. ROBERTO GAYOL                                                                                  </v>
      </c>
      <c r="D409" s="26" t="str">
        <f>"MATUTINO"</f>
        <v>MATUTINO</v>
      </c>
      <c r="E409" s="26" t="str">
        <f>"SAN LORENZO NO. 19                                                              "</f>
        <v xml:space="preserve">SAN LORENZO NO. 19                                                              </v>
      </c>
      <c r="F409" s="26" t="str">
        <f>"SAN LORENZO TEZONCO                                                                                                                         "</f>
        <v xml:space="preserve">SAN LORENZO TEZONCO                                                                                                                         </v>
      </c>
      <c r="G409" s="26" t="str">
        <f>"IZTAPALAPA                                                                      "</f>
        <v xml:space="preserve">IZTAPALAPA                                                                      </v>
      </c>
      <c r="H409" s="26" t="str">
        <f>"048"</f>
        <v>048</v>
      </c>
      <c r="I409" s="26" t="str">
        <f t="shared" si="65"/>
        <v>00</v>
      </c>
      <c r="J409" s="26" t="str">
        <f>"63 "</f>
        <v xml:space="preserve">63 </v>
      </c>
      <c r="K409" s="26" t="str">
        <f>"IZ"</f>
        <v>IZ</v>
      </c>
      <c r="L409" s="26" t="str">
        <f>"DGSEI"</f>
        <v>DGSEI</v>
      </c>
      <c r="M409" s="26" t="str">
        <f t="shared" si="68"/>
        <v>FEDERAL</v>
      </c>
      <c r="N409" s="26">
        <v>571</v>
      </c>
      <c r="O409" s="26">
        <v>309</v>
      </c>
      <c r="P409" s="26">
        <v>262</v>
      </c>
      <c r="Q409" s="26">
        <v>18</v>
      </c>
      <c r="R409" s="26">
        <v>1</v>
      </c>
      <c r="S409" s="26">
        <v>18</v>
      </c>
      <c r="T409" s="26">
        <v>8</v>
      </c>
      <c r="U409" s="26">
        <v>27</v>
      </c>
      <c r="V409" s="26">
        <v>1</v>
      </c>
      <c r="W409" s="26"/>
    </row>
    <row r="410" spans="1:23" x14ac:dyDescent="0.25">
      <c r="A410" s="26" t="str">
        <f t="shared" si="64"/>
        <v>PRIMARIA</v>
      </c>
      <c r="B410" s="26" t="str">
        <f>"09DPR1217T"</f>
        <v>09DPR1217T</v>
      </c>
      <c r="C410" s="26" t="str">
        <f>"ING. ROBERTO GAYOL                                                                                  "</f>
        <v xml:space="preserve">ING. ROBERTO GAYOL                                                                                  </v>
      </c>
      <c r="D410" s="26" t="str">
        <f>"VESPERTINO"</f>
        <v>VESPERTINO</v>
      </c>
      <c r="E410" s="26" t="str">
        <f>"SAN LORENZO NO. 19                                                              "</f>
        <v xml:space="preserve">SAN LORENZO NO. 19                                                              </v>
      </c>
      <c r="F410" s="26" t="str">
        <f>"SAN LORENZO TEZONCO                                                                                                                         "</f>
        <v xml:space="preserve">SAN LORENZO TEZONCO                                                                                                                         </v>
      </c>
      <c r="G410" s="26" t="str">
        <f>"IZTAPALAPA                                                                      "</f>
        <v xml:space="preserve">IZTAPALAPA                                                                      </v>
      </c>
      <c r="H410" s="26" t="str">
        <f>"048"</f>
        <v>048</v>
      </c>
      <c r="I410" s="26" t="str">
        <f t="shared" si="65"/>
        <v>00</v>
      </c>
      <c r="J410" s="26" t="str">
        <f>"63 "</f>
        <v xml:space="preserve">63 </v>
      </c>
      <c r="K410" s="26" t="str">
        <f>"IZ"</f>
        <v>IZ</v>
      </c>
      <c r="L410" s="26" t="str">
        <f>"DGSEI"</f>
        <v>DGSEI</v>
      </c>
      <c r="M410" s="26" t="str">
        <f t="shared" si="68"/>
        <v>FEDERAL</v>
      </c>
      <c r="N410" s="26">
        <v>257</v>
      </c>
      <c r="O410" s="26">
        <v>137</v>
      </c>
      <c r="P410" s="26">
        <v>120</v>
      </c>
      <c r="Q410" s="26">
        <v>12</v>
      </c>
      <c r="R410" s="26">
        <v>1</v>
      </c>
      <c r="S410" s="26">
        <v>10</v>
      </c>
      <c r="T410" s="26">
        <v>11</v>
      </c>
      <c r="U410" s="26">
        <v>22</v>
      </c>
      <c r="V410" s="26">
        <v>1</v>
      </c>
      <c r="W410" s="26"/>
    </row>
    <row r="411" spans="1:23" x14ac:dyDescent="0.25">
      <c r="A411" s="26" t="str">
        <f t="shared" si="64"/>
        <v>PRIMARIA</v>
      </c>
      <c r="B411" s="26" t="str">
        <f>"09DPR1219R"</f>
        <v>09DPR1219R</v>
      </c>
      <c r="C411" s="26" t="str">
        <f>"REPUBLICA DE TUNEZ                                                                                  "</f>
        <v xml:space="preserve">REPUBLICA DE TUNEZ                                                                                  </v>
      </c>
      <c r="D411" s="26" t="str">
        <f>"JORNADA AMPLIADA"</f>
        <v>JORNADA AMPLIADA</v>
      </c>
      <c r="E411" s="26" t="str">
        <f>"TRES ZAPOTES NO. 81                                                             "</f>
        <v xml:space="preserve">TRES ZAPOTES NO. 81                                                             </v>
      </c>
      <c r="F411" s="26" t="str">
        <f>"LETRAN VALLE                                                                                                                                "</f>
        <v xml:space="preserve">LETRAN VALLE                                                                                                                                </v>
      </c>
      <c r="G411" s="26" t="str">
        <f>"BENITO JUAREZ                                                                   "</f>
        <v xml:space="preserve">BENITO JUAREZ                                                                   </v>
      </c>
      <c r="H411" s="26" t="str">
        <f>"416"</f>
        <v>416</v>
      </c>
      <c r="I411" s="26" t="str">
        <f t="shared" si="65"/>
        <v>00</v>
      </c>
      <c r="J411" s="26" t="str">
        <f>"44 "</f>
        <v xml:space="preserve">44 </v>
      </c>
      <c r="K411" s="26" t="str">
        <f>"PR"</f>
        <v>PR</v>
      </c>
      <c r="L411" s="26" t="str">
        <f>"DGOSE"</f>
        <v>DGOSE</v>
      </c>
      <c r="M411" s="26" t="str">
        <f t="shared" si="68"/>
        <v>FEDERAL</v>
      </c>
      <c r="N411" s="26">
        <v>376</v>
      </c>
      <c r="O411" s="26">
        <v>197</v>
      </c>
      <c r="P411" s="26">
        <v>179</v>
      </c>
      <c r="Q411" s="26">
        <v>13</v>
      </c>
      <c r="R411" s="26">
        <v>1</v>
      </c>
      <c r="S411" s="26">
        <v>13</v>
      </c>
      <c r="T411" s="26">
        <v>12</v>
      </c>
      <c r="U411" s="26">
        <v>26</v>
      </c>
      <c r="V411" s="26">
        <v>1</v>
      </c>
      <c r="W411" s="26" t="s">
        <v>2076</v>
      </c>
    </row>
    <row r="412" spans="1:23" x14ac:dyDescent="0.25">
      <c r="A412" s="26" t="str">
        <f t="shared" si="64"/>
        <v>PRIMARIA</v>
      </c>
      <c r="B412" s="26" t="str">
        <f>"09DPR1221F"</f>
        <v>09DPR1221F</v>
      </c>
      <c r="C412" s="26" t="str">
        <f>"REPUBLICA ESPAÑOLA                                                                                  "</f>
        <v xml:space="preserve">REPUBLICA ESPAÑOLA                                                                                  </v>
      </c>
      <c r="D412" s="26" t="str">
        <f>"MATUTINO"</f>
        <v>MATUTINO</v>
      </c>
      <c r="E412" s="26" t="str">
        <f>"CORUÑA NO 311                                                                   "</f>
        <v xml:space="preserve">CORUÑA NO 311                                                                   </v>
      </c>
      <c r="F412" s="26" t="str">
        <f>"VIADUCTO PIEDAD                                                                                                                             "</f>
        <v xml:space="preserve">VIADUCTO PIEDAD                                                                                                                             </v>
      </c>
      <c r="G412" s="26" t="str">
        <f>"IZTACALCO                                                                       "</f>
        <v xml:space="preserve">IZTACALCO                                                                       </v>
      </c>
      <c r="H412" s="26" t="str">
        <f>"361"</f>
        <v>361</v>
      </c>
      <c r="I412" s="26" t="str">
        <f t="shared" si="65"/>
        <v>00</v>
      </c>
      <c r="J412" s="26" t="str">
        <f>"43 "</f>
        <v xml:space="preserve">43 </v>
      </c>
      <c r="K412" s="26" t="str">
        <f>"PR"</f>
        <v>PR</v>
      </c>
      <c r="L412" s="26" t="str">
        <f>"DGOSE"</f>
        <v>DGOSE</v>
      </c>
      <c r="M412" s="26" t="str">
        <f t="shared" si="68"/>
        <v>FEDERAL</v>
      </c>
      <c r="N412" s="26">
        <v>734</v>
      </c>
      <c r="O412" s="26">
        <v>372</v>
      </c>
      <c r="P412" s="26">
        <v>362</v>
      </c>
      <c r="Q412" s="26">
        <v>24</v>
      </c>
      <c r="R412" s="26">
        <v>1</v>
      </c>
      <c r="S412" s="26">
        <v>24</v>
      </c>
      <c r="T412" s="26">
        <v>16</v>
      </c>
      <c r="U412" s="26">
        <v>41</v>
      </c>
      <c r="V412" s="26">
        <v>1</v>
      </c>
      <c r="W412" s="26"/>
    </row>
    <row r="413" spans="1:23" x14ac:dyDescent="0.25">
      <c r="A413" s="26" t="str">
        <f t="shared" si="64"/>
        <v>PRIMARIA</v>
      </c>
      <c r="B413" s="26" t="str">
        <f>"09DPR1222E"</f>
        <v>09DPR1222E</v>
      </c>
      <c r="C413" s="26" t="str">
        <f>"REPUBLICA ESPAÑOLA                                                                                  "</f>
        <v xml:space="preserve">REPUBLICA ESPAÑOLA                                                                                  </v>
      </c>
      <c r="D413" s="26" t="str">
        <f>"VESPERTINO"</f>
        <v>VESPERTINO</v>
      </c>
      <c r="E413" s="26" t="str">
        <f>"CORUÑA NO 311                                                                   "</f>
        <v xml:space="preserve">CORUÑA NO 311                                                                   </v>
      </c>
      <c r="F413" s="26" t="str">
        <f>"VIADUCTO PIEDAD                                                                                                                             "</f>
        <v xml:space="preserve">VIADUCTO PIEDAD                                                                                                                             </v>
      </c>
      <c r="G413" s="26" t="str">
        <f>"IZTACALCO                                                                       "</f>
        <v xml:space="preserve">IZTACALCO                                                                       </v>
      </c>
      <c r="H413" s="26" t="str">
        <f>"361"</f>
        <v>361</v>
      </c>
      <c r="I413" s="26" t="str">
        <f t="shared" si="65"/>
        <v>00</v>
      </c>
      <c r="J413" s="26" t="str">
        <f>"43 "</f>
        <v xml:space="preserve">43 </v>
      </c>
      <c r="K413" s="26" t="str">
        <f>"PR"</f>
        <v>PR</v>
      </c>
      <c r="L413" s="26" t="str">
        <f>"DGOSE"</f>
        <v>DGOSE</v>
      </c>
      <c r="M413" s="26" t="str">
        <f t="shared" si="68"/>
        <v>FEDERAL</v>
      </c>
      <c r="N413" s="26">
        <v>226</v>
      </c>
      <c r="O413" s="26">
        <v>120</v>
      </c>
      <c r="P413" s="26">
        <v>106</v>
      </c>
      <c r="Q413" s="26">
        <v>12</v>
      </c>
      <c r="R413" s="26">
        <v>1</v>
      </c>
      <c r="S413" s="26">
        <v>12</v>
      </c>
      <c r="T413" s="26">
        <v>10</v>
      </c>
      <c r="U413" s="26">
        <v>23</v>
      </c>
      <c r="V413" s="26">
        <v>1</v>
      </c>
      <c r="W413" s="26"/>
    </row>
    <row r="414" spans="1:23" x14ac:dyDescent="0.25">
      <c r="A414" s="26" t="str">
        <f t="shared" si="64"/>
        <v>PRIMARIA</v>
      </c>
      <c r="B414" s="26" t="str">
        <f>"09DPR1223D"</f>
        <v>09DPR1223D</v>
      </c>
      <c r="C414" s="26" t="str">
        <f>"REPUBLICA DE BRASIL                                                                                 "</f>
        <v xml:space="preserve">REPUBLICA DE BRASIL                                                                                 </v>
      </c>
      <c r="D414" s="26" t="str">
        <f>"MATUTINO"</f>
        <v>MATUTINO</v>
      </c>
      <c r="E414" s="26" t="str">
        <f>"CALLE 65 NO. 114                                                                "</f>
        <v xml:space="preserve">CALLE 65 NO. 114                                                                </v>
      </c>
      <c r="F414" s="26" t="str">
        <f>"UNIDAD SANTA CRUZ MEYEHUALCO                                                                                                                "</f>
        <v xml:space="preserve">UNIDAD SANTA CRUZ MEYEHUALCO                                                                                                                </v>
      </c>
      <c r="G414" s="26" t="str">
        <f t="shared" ref="G414:G419" si="69">"IZTAPALAPA                                                                      "</f>
        <v xml:space="preserve">IZTAPALAPA                                                                      </v>
      </c>
      <c r="H414" s="26" t="str">
        <f>"058"</f>
        <v>058</v>
      </c>
      <c r="I414" s="26" t="str">
        <f t="shared" si="65"/>
        <v>00</v>
      </c>
      <c r="J414" s="26" t="str">
        <f>"64 "</f>
        <v xml:space="preserve">64 </v>
      </c>
      <c r="K414" s="26" t="str">
        <f t="shared" ref="K414:K419" si="70">"IZ"</f>
        <v>IZ</v>
      </c>
      <c r="L414" s="26" t="str">
        <f t="shared" ref="L414:L419" si="71">"DGSEI"</f>
        <v>DGSEI</v>
      </c>
      <c r="M414" s="26" t="str">
        <f t="shared" si="68"/>
        <v>FEDERAL</v>
      </c>
      <c r="N414" s="26">
        <v>489</v>
      </c>
      <c r="O414" s="26">
        <v>241</v>
      </c>
      <c r="P414" s="26">
        <v>248</v>
      </c>
      <c r="Q414" s="26">
        <v>18</v>
      </c>
      <c r="R414" s="26">
        <v>1</v>
      </c>
      <c r="S414" s="26">
        <v>16</v>
      </c>
      <c r="T414" s="26">
        <v>9</v>
      </c>
      <c r="U414" s="26">
        <v>26</v>
      </c>
      <c r="V414" s="26">
        <v>1</v>
      </c>
      <c r="W414" s="26"/>
    </row>
    <row r="415" spans="1:23" x14ac:dyDescent="0.25">
      <c r="A415" s="26" t="str">
        <f t="shared" si="64"/>
        <v>PRIMARIA</v>
      </c>
      <c r="B415" s="26" t="str">
        <f>"09DPR1224C"</f>
        <v>09DPR1224C</v>
      </c>
      <c r="C415" s="26" t="str">
        <f>"REPUBLICA DE BRASIL                                                                                 "</f>
        <v xml:space="preserve">REPUBLICA DE BRASIL                                                                                 </v>
      </c>
      <c r="D415" s="26" t="str">
        <f>"VESPERTINO"</f>
        <v>VESPERTINO</v>
      </c>
      <c r="E415" s="26" t="str">
        <f>"CALLE 65 NO. 114                                                                "</f>
        <v xml:space="preserve">CALLE 65 NO. 114                                                                </v>
      </c>
      <c r="F415" s="26" t="str">
        <f>"UNIDAD SANTA CRUZ MEYEHUALCO                                                                                                                "</f>
        <v xml:space="preserve">UNIDAD SANTA CRUZ MEYEHUALCO                                                                                                                </v>
      </c>
      <c r="G415" s="26" t="str">
        <f t="shared" si="69"/>
        <v xml:space="preserve">IZTAPALAPA                                                                      </v>
      </c>
      <c r="H415" s="26" t="str">
        <f>"058"</f>
        <v>058</v>
      </c>
      <c r="I415" s="26" t="str">
        <f t="shared" si="65"/>
        <v>00</v>
      </c>
      <c r="J415" s="26" t="str">
        <f>"64 "</f>
        <v xml:space="preserve">64 </v>
      </c>
      <c r="K415" s="26" t="str">
        <f t="shared" si="70"/>
        <v>IZ</v>
      </c>
      <c r="L415" s="26" t="str">
        <f t="shared" si="71"/>
        <v>DGSEI</v>
      </c>
      <c r="M415" s="26" t="str">
        <f t="shared" si="68"/>
        <v>FEDERAL</v>
      </c>
      <c r="N415" s="26">
        <v>145</v>
      </c>
      <c r="O415" s="26">
        <v>68</v>
      </c>
      <c r="P415" s="26">
        <v>77</v>
      </c>
      <c r="Q415" s="26">
        <v>6</v>
      </c>
      <c r="R415" s="26">
        <v>1</v>
      </c>
      <c r="S415" s="26">
        <v>6</v>
      </c>
      <c r="T415" s="26">
        <v>3</v>
      </c>
      <c r="U415" s="26">
        <v>10</v>
      </c>
      <c r="V415" s="26">
        <v>1</v>
      </c>
      <c r="W415" s="26"/>
    </row>
    <row r="416" spans="1:23" x14ac:dyDescent="0.25">
      <c r="A416" s="26" t="str">
        <f t="shared" si="64"/>
        <v>PRIMARIA</v>
      </c>
      <c r="B416" s="26" t="str">
        <f>"09DPR1225B"</f>
        <v>09DPR1225B</v>
      </c>
      <c r="C416" s="26" t="str">
        <f>"REFORMA AGRARIA                                                                                     "</f>
        <v xml:space="preserve">REFORMA AGRARIA                                                                                     </v>
      </c>
      <c r="D416" s="26" t="str">
        <f>"VESPERTINO"</f>
        <v>VESPERTINO</v>
      </c>
      <c r="E416" s="26" t="str">
        <f>"HERMANOS WRIGHT NO. 75                                                          "</f>
        <v xml:space="preserve">HERMANOS WRIGHT NO. 75                                                          </v>
      </c>
      <c r="F416" s="26" t="str">
        <f>"SAN ANDRES TOMATLAN                                                                                                                         "</f>
        <v xml:space="preserve">SAN ANDRES TOMATLAN                                                                                                                         </v>
      </c>
      <c r="G416" s="26" t="str">
        <f t="shared" si="69"/>
        <v xml:space="preserve">IZTAPALAPA                                                                      </v>
      </c>
      <c r="H416" s="26" t="str">
        <f>"041"</f>
        <v>041</v>
      </c>
      <c r="I416" s="26" t="str">
        <f t="shared" si="65"/>
        <v>00</v>
      </c>
      <c r="J416" s="26" t="str">
        <f>"63 "</f>
        <v xml:space="preserve">63 </v>
      </c>
      <c r="K416" s="26" t="str">
        <f t="shared" si="70"/>
        <v>IZ</v>
      </c>
      <c r="L416" s="26" t="str">
        <f t="shared" si="71"/>
        <v>DGSEI</v>
      </c>
      <c r="M416" s="26" t="str">
        <f t="shared" si="68"/>
        <v>FEDERAL</v>
      </c>
      <c r="N416" s="26">
        <v>210</v>
      </c>
      <c r="O416" s="26">
        <v>103</v>
      </c>
      <c r="P416" s="26">
        <v>107</v>
      </c>
      <c r="Q416" s="26">
        <v>12</v>
      </c>
      <c r="R416" s="26">
        <v>1</v>
      </c>
      <c r="S416" s="26">
        <v>12</v>
      </c>
      <c r="T416" s="26">
        <v>5</v>
      </c>
      <c r="U416" s="26">
        <v>18</v>
      </c>
      <c r="V416" s="26">
        <v>1</v>
      </c>
      <c r="W416" s="26"/>
    </row>
    <row r="417" spans="1:23" x14ac:dyDescent="0.25">
      <c r="A417" s="26" t="str">
        <f t="shared" si="64"/>
        <v>PRIMARIA</v>
      </c>
      <c r="B417" s="26" t="str">
        <f>"09DPR1226A"</f>
        <v>09DPR1226A</v>
      </c>
      <c r="C417" s="26" t="str">
        <f>"REFORMA AGRARIA                                                                                     "</f>
        <v xml:space="preserve">REFORMA AGRARIA                                                                                     </v>
      </c>
      <c r="D417" s="26" t="str">
        <f>"MATUTINO"</f>
        <v>MATUTINO</v>
      </c>
      <c r="E417" s="26" t="str">
        <f>"HERMANOS WRIGHT NO. 75                                                          "</f>
        <v xml:space="preserve">HERMANOS WRIGHT NO. 75                                                          </v>
      </c>
      <c r="F417" s="26" t="str">
        <f>"SAN ANDRES TOMATLAN                                                                                                                         "</f>
        <v xml:space="preserve">SAN ANDRES TOMATLAN                                                                                                                         </v>
      </c>
      <c r="G417" s="26" t="str">
        <f t="shared" si="69"/>
        <v xml:space="preserve">IZTAPALAPA                                                                      </v>
      </c>
      <c r="H417" s="26" t="str">
        <f>"041"</f>
        <v>041</v>
      </c>
      <c r="I417" s="26" t="str">
        <f t="shared" si="65"/>
        <v>00</v>
      </c>
      <c r="J417" s="26" t="str">
        <f>"63 "</f>
        <v xml:space="preserve">63 </v>
      </c>
      <c r="K417" s="26" t="str">
        <f t="shared" si="70"/>
        <v>IZ</v>
      </c>
      <c r="L417" s="26" t="str">
        <f t="shared" si="71"/>
        <v>DGSEI</v>
      </c>
      <c r="M417" s="26" t="str">
        <f t="shared" si="68"/>
        <v>FEDERAL</v>
      </c>
      <c r="N417" s="26">
        <v>411</v>
      </c>
      <c r="O417" s="26">
        <v>205</v>
      </c>
      <c r="P417" s="26">
        <v>206</v>
      </c>
      <c r="Q417" s="26">
        <v>16</v>
      </c>
      <c r="R417" s="26">
        <v>1</v>
      </c>
      <c r="S417" s="26">
        <v>16</v>
      </c>
      <c r="T417" s="26">
        <v>7</v>
      </c>
      <c r="U417" s="26">
        <v>24</v>
      </c>
      <c r="V417" s="26">
        <v>1</v>
      </c>
      <c r="W417" s="26"/>
    </row>
    <row r="418" spans="1:23" x14ac:dyDescent="0.25">
      <c r="A418" s="26" t="str">
        <f t="shared" si="64"/>
        <v>PRIMARIA</v>
      </c>
      <c r="B418" s="26" t="str">
        <f>"09DPR1227Z"</f>
        <v>09DPR1227Z</v>
      </c>
      <c r="C418" s="26" t="str">
        <f>"GRAL. RAMON CORONA                                                                                  "</f>
        <v xml:space="preserve">GRAL. RAMON CORONA                                                                                  </v>
      </c>
      <c r="D418" s="26" t="str">
        <f>"JORNADA AMPLIADA"</f>
        <v>JORNADA AMPLIADA</v>
      </c>
      <c r="E418" s="26" t="str">
        <f>"PLAYA PIE DE LA CUESTA S/N.                                                     "</f>
        <v xml:space="preserve">PLAYA PIE DE LA CUESTA S/N.                                                     </v>
      </c>
      <c r="F418" s="26" t="str">
        <f>"SAN ANDRES TETEPILCO                                                                                                                        "</f>
        <v xml:space="preserve">SAN ANDRES TETEPILCO                                                                                                                        </v>
      </c>
      <c r="G418" s="26" t="str">
        <f t="shared" si="69"/>
        <v xml:space="preserve">IZTAPALAPA                                                                      </v>
      </c>
      <c r="H418" s="26" t="str">
        <f>"071"</f>
        <v>071</v>
      </c>
      <c r="I418" s="26" t="str">
        <f t="shared" si="65"/>
        <v>00</v>
      </c>
      <c r="J418" s="26" t="str">
        <f>"61 "</f>
        <v xml:space="preserve">61 </v>
      </c>
      <c r="K418" s="26" t="str">
        <f t="shared" si="70"/>
        <v>IZ</v>
      </c>
      <c r="L418" s="26" t="str">
        <f t="shared" si="71"/>
        <v>DGSEI</v>
      </c>
      <c r="M418" s="26" t="str">
        <f t="shared" si="68"/>
        <v>FEDERAL</v>
      </c>
      <c r="N418" s="26">
        <v>216</v>
      </c>
      <c r="O418" s="26">
        <v>94</v>
      </c>
      <c r="P418" s="26">
        <v>122</v>
      </c>
      <c r="Q418" s="26">
        <v>8</v>
      </c>
      <c r="R418" s="26">
        <v>1</v>
      </c>
      <c r="S418" s="26">
        <v>7</v>
      </c>
      <c r="T418" s="26">
        <v>6</v>
      </c>
      <c r="U418" s="26">
        <v>14</v>
      </c>
      <c r="V418" s="26">
        <v>1</v>
      </c>
      <c r="W418" s="26" t="s">
        <v>2076</v>
      </c>
    </row>
    <row r="419" spans="1:23" x14ac:dyDescent="0.25">
      <c r="A419" s="26" t="str">
        <f t="shared" si="64"/>
        <v>PRIMARIA</v>
      </c>
      <c r="B419" s="26" t="str">
        <f>"09DPR1229Y"</f>
        <v>09DPR1229Y</v>
      </c>
      <c r="C419" s="26" t="str">
        <f>"PLAN DE SAN LUIS                                                                                    "</f>
        <v xml:space="preserve">PLAN DE SAN LUIS                                                                                    </v>
      </c>
      <c r="D419" s="26" t="str">
        <f>"MATUTINO"</f>
        <v>MATUTINO</v>
      </c>
      <c r="E419" s="26" t="str">
        <f>"AV. JUAREZ NO. 4                                                                "</f>
        <v xml:space="preserve">AV. JUAREZ NO. 4                                                                </v>
      </c>
      <c r="F419" s="26" t="str">
        <f>"LOS REYES                                                                                                                                   "</f>
        <v xml:space="preserve">LOS REYES                                                                                                                                   </v>
      </c>
      <c r="G419" s="26" t="str">
        <f t="shared" si="69"/>
        <v xml:space="preserve">IZTAPALAPA                                                                      </v>
      </c>
      <c r="H419" s="26" t="str">
        <f>"035"</f>
        <v>035</v>
      </c>
      <c r="I419" s="26" t="str">
        <f t="shared" si="65"/>
        <v>00</v>
      </c>
      <c r="J419" s="26" t="str">
        <f>"63 "</f>
        <v xml:space="preserve">63 </v>
      </c>
      <c r="K419" s="26" t="str">
        <f t="shared" si="70"/>
        <v>IZ</v>
      </c>
      <c r="L419" s="26" t="str">
        <f t="shared" si="71"/>
        <v>DGSEI</v>
      </c>
      <c r="M419" s="26" t="str">
        <f t="shared" si="68"/>
        <v>FEDERAL</v>
      </c>
      <c r="N419" s="26">
        <v>550</v>
      </c>
      <c r="O419" s="26">
        <v>284</v>
      </c>
      <c r="P419" s="26">
        <v>266</v>
      </c>
      <c r="Q419" s="26">
        <v>17</v>
      </c>
      <c r="R419" s="26">
        <v>1</v>
      </c>
      <c r="S419" s="26">
        <v>17</v>
      </c>
      <c r="T419" s="26">
        <v>7</v>
      </c>
      <c r="U419" s="26">
        <v>25</v>
      </c>
      <c r="V419" s="26">
        <v>1</v>
      </c>
      <c r="W419" s="26"/>
    </row>
    <row r="420" spans="1:23" x14ac:dyDescent="0.25">
      <c r="A420" s="26" t="str">
        <f t="shared" si="64"/>
        <v>PRIMARIA</v>
      </c>
      <c r="B420" s="26" t="str">
        <f>"09DPR1230N"</f>
        <v>09DPR1230N</v>
      </c>
      <c r="C420" s="26" t="str">
        <f>"PEDRO ROMERO DE TERREROS                                                                            "</f>
        <v xml:space="preserve">PEDRO ROMERO DE TERREROS                                                                            </v>
      </c>
      <c r="D420" s="26" t="str">
        <f>"JORNADA AMPLIADA"</f>
        <v>JORNADA AMPLIADA</v>
      </c>
      <c r="E420" s="26" t="str">
        <f>"MITLA Y CUICULCO # 650                                                          "</f>
        <v xml:space="preserve">MITLA Y CUICULCO # 650                                                          </v>
      </c>
      <c r="F420" s="26" t="str">
        <f>"LETRAN VALLE                                                                                                                                "</f>
        <v xml:space="preserve">LETRAN VALLE                                                                                                                                </v>
      </c>
      <c r="G420" s="26" t="str">
        <f>"BENITO JUAREZ                                                                   "</f>
        <v xml:space="preserve">BENITO JUAREZ                                                                   </v>
      </c>
      <c r="H420" s="26" t="str">
        <f>"416"</f>
        <v>416</v>
      </c>
      <c r="I420" s="26" t="str">
        <f t="shared" si="65"/>
        <v>00</v>
      </c>
      <c r="J420" s="26" t="str">
        <f>"44 "</f>
        <v xml:space="preserve">44 </v>
      </c>
      <c r="K420" s="26" t="str">
        <f>"PR"</f>
        <v>PR</v>
      </c>
      <c r="L420" s="26" t="str">
        <f>"DGOSE"</f>
        <v>DGOSE</v>
      </c>
      <c r="M420" s="26" t="str">
        <f t="shared" si="68"/>
        <v>FEDERAL</v>
      </c>
      <c r="N420" s="26">
        <v>371</v>
      </c>
      <c r="O420" s="26">
        <v>187</v>
      </c>
      <c r="P420" s="26">
        <v>184</v>
      </c>
      <c r="Q420" s="26">
        <v>12</v>
      </c>
      <c r="R420" s="26">
        <v>1</v>
      </c>
      <c r="S420" s="26">
        <v>12</v>
      </c>
      <c r="T420" s="26">
        <v>8</v>
      </c>
      <c r="U420" s="26">
        <v>21</v>
      </c>
      <c r="V420" s="26">
        <v>1</v>
      </c>
      <c r="W420" s="26" t="s">
        <v>2076</v>
      </c>
    </row>
    <row r="421" spans="1:23" x14ac:dyDescent="0.25">
      <c r="A421" s="26" t="str">
        <f t="shared" si="64"/>
        <v>PRIMARIA</v>
      </c>
      <c r="B421" s="26" t="str">
        <f>"09DPR1232L"</f>
        <v>09DPR1232L</v>
      </c>
      <c r="C421" s="26" t="str">
        <f>"GEORGES CUISENAIRE                                                                                  "</f>
        <v xml:space="preserve">GEORGES CUISENAIRE                                                                                  </v>
      </c>
      <c r="D421" s="26" t="str">
        <f>"MATUTINO"</f>
        <v>MATUTINO</v>
      </c>
      <c r="E421" s="26" t="str">
        <f>"PRIV LOS ANGELES Y SOFIA EUGENIA                                                "</f>
        <v xml:space="preserve">PRIV LOS ANGELES Y SOFIA EUGENIA                                                </v>
      </c>
      <c r="F421" s="26" t="str">
        <f>"SANTA BARBARA                                                                                                                               "</f>
        <v xml:space="preserve">SANTA BARBARA                                                                                                                               </v>
      </c>
      <c r="G421" s="26" t="str">
        <f>"AZCAPOTZALCO                                                                    "</f>
        <v xml:space="preserve">AZCAPOTZALCO                                                                    </v>
      </c>
      <c r="H421" s="26" t="str">
        <f>"202"</f>
        <v>202</v>
      </c>
      <c r="I421" s="26" t="str">
        <f t="shared" si="65"/>
        <v>00</v>
      </c>
      <c r="J421" s="26" t="str">
        <f>"42 "</f>
        <v xml:space="preserve">42 </v>
      </c>
      <c r="K421" s="26" t="str">
        <f>"PR"</f>
        <v>PR</v>
      </c>
      <c r="L421" s="26" t="str">
        <f>"DGOSE"</f>
        <v>DGOSE</v>
      </c>
      <c r="M421" s="26" t="str">
        <f t="shared" si="68"/>
        <v>FEDERAL</v>
      </c>
      <c r="N421" s="26">
        <v>391</v>
      </c>
      <c r="O421" s="26">
        <v>197</v>
      </c>
      <c r="P421" s="26">
        <v>194</v>
      </c>
      <c r="Q421" s="26">
        <v>16</v>
      </c>
      <c r="R421" s="26">
        <v>1</v>
      </c>
      <c r="S421" s="26">
        <v>16</v>
      </c>
      <c r="T421" s="26">
        <v>10</v>
      </c>
      <c r="U421" s="26">
        <v>27</v>
      </c>
      <c r="V421" s="26">
        <v>1</v>
      </c>
      <c r="W421" s="26"/>
    </row>
    <row r="422" spans="1:23" x14ac:dyDescent="0.25">
      <c r="A422" s="26" t="str">
        <f t="shared" si="64"/>
        <v>PRIMARIA</v>
      </c>
      <c r="B422" s="26" t="str">
        <f>"09DPR1233K"</f>
        <v>09DPR1233K</v>
      </c>
      <c r="C422" s="26" t="str">
        <f>"PEDRO HENRIQUEZ UREÑA                                                                               "</f>
        <v xml:space="preserve">PEDRO HENRIQUEZ UREÑA                                                                               </v>
      </c>
      <c r="D422" s="26" t="str">
        <f>"VESPERTINO"</f>
        <v>VESPERTINO</v>
      </c>
      <c r="E422" s="26" t="str">
        <f>"AVENIDA ANDRES MOLINA ENRIQUEZ No 4433                                          "</f>
        <v xml:space="preserve">AVENIDA ANDRES MOLINA ENRIQUEZ No 4433                                          </v>
      </c>
      <c r="F422" s="26" t="str">
        <f>"VIADUCTO PIEDAD                                                                                                                             "</f>
        <v xml:space="preserve">VIADUCTO PIEDAD                                                                                                                             </v>
      </c>
      <c r="G422" s="26" t="str">
        <f>"IZTACALCO                                                                       "</f>
        <v xml:space="preserve">IZTACALCO                                                                       </v>
      </c>
      <c r="H422" s="26" t="str">
        <f>"363"</f>
        <v>363</v>
      </c>
      <c r="I422" s="26" t="str">
        <f t="shared" si="65"/>
        <v>00</v>
      </c>
      <c r="J422" s="26" t="str">
        <f>"43 "</f>
        <v xml:space="preserve">43 </v>
      </c>
      <c r="K422" s="26" t="str">
        <f>"PR"</f>
        <v>PR</v>
      </c>
      <c r="L422" s="26" t="str">
        <f>"DGOSE"</f>
        <v>DGOSE</v>
      </c>
      <c r="M422" s="26" t="str">
        <f t="shared" si="68"/>
        <v>FEDERAL</v>
      </c>
      <c r="N422" s="26">
        <v>230</v>
      </c>
      <c r="O422" s="26">
        <v>125</v>
      </c>
      <c r="P422" s="26">
        <v>105</v>
      </c>
      <c r="Q422" s="26">
        <v>13</v>
      </c>
      <c r="R422" s="26">
        <v>0</v>
      </c>
      <c r="S422" s="26">
        <v>13</v>
      </c>
      <c r="T422" s="26">
        <v>12</v>
      </c>
      <c r="U422" s="26">
        <v>25</v>
      </c>
      <c r="V422" s="26">
        <v>1</v>
      </c>
      <c r="W422" s="26"/>
    </row>
    <row r="423" spans="1:23" x14ac:dyDescent="0.25">
      <c r="A423" s="26" t="str">
        <f t="shared" si="64"/>
        <v>PRIMARIA</v>
      </c>
      <c r="B423" s="26" t="str">
        <f>"09DPR1234J"</f>
        <v>09DPR1234J</v>
      </c>
      <c r="C423" s="26" t="str">
        <f>"TRABAJADORES DEL HIERRO                                                                             "</f>
        <v xml:space="preserve">TRABAJADORES DEL HIERRO                                                                             </v>
      </c>
      <c r="D423" s="26" t="str">
        <f>"JORNADA AMPLIADA"</f>
        <v>JORNADA AMPLIADA</v>
      </c>
      <c r="E423" s="26" t="str">
        <f>"CALZADAS COLTONGO Y VALLEJO S/N                                                 "</f>
        <v xml:space="preserve">CALZADAS COLTONGO Y VALLEJO S/N                                                 </v>
      </c>
      <c r="F423" s="26" t="str">
        <f>"TRABAJADORES DEL HIERRO                                                                                                                     "</f>
        <v xml:space="preserve">TRABAJADORES DEL HIERRO                                                                                                                     </v>
      </c>
      <c r="G423" s="26" t="str">
        <f>"AZCAPOTZALCO                                                                    "</f>
        <v xml:space="preserve">AZCAPOTZALCO                                                                    </v>
      </c>
      <c r="H423" s="26" t="str">
        <f>"105"</f>
        <v>105</v>
      </c>
      <c r="I423" s="26" t="str">
        <f t="shared" si="65"/>
        <v>00</v>
      </c>
      <c r="J423" s="26" t="str">
        <f>"41 "</f>
        <v xml:space="preserve">41 </v>
      </c>
      <c r="K423" s="26" t="str">
        <f>"PR"</f>
        <v>PR</v>
      </c>
      <c r="L423" s="26" t="str">
        <f>"DGOSE"</f>
        <v>DGOSE</v>
      </c>
      <c r="M423" s="26" t="str">
        <f t="shared" si="68"/>
        <v>FEDERAL</v>
      </c>
      <c r="N423" s="26">
        <v>255</v>
      </c>
      <c r="O423" s="26">
        <v>134</v>
      </c>
      <c r="P423" s="26">
        <v>121</v>
      </c>
      <c r="Q423" s="26">
        <v>11</v>
      </c>
      <c r="R423" s="26">
        <v>1</v>
      </c>
      <c r="S423" s="26">
        <v>11</v>
      </c>
      <c r="T423" s="26">
        <v>10</v>
      </c>
      <c r="U423" s="26">
        <v>22</v>
      </c>
      <c r="V423" s="26">
        <v>1</v>
      </c>
      <c r="W423" s="26" t="s">
        <v>2076</v>
      </c>
    </row>
    <row r="424" spans="1:23" x14ac:dyDescent="0.25">
      <c r="A424" s="26" t="str">
        <f t="shared" si="64"/>
        <v>PRIMARIA</v>
      </c>
      <c r="B424" s="26" t="str">
        <f>"09DPR1235I"</f>
        <v>09DPR1235I</v>
      </c>
      <c r="C424" s="26" t="str">
        <f>"PRESIDENTE PLUTARCO ELIAS CALLES                                                                    "</f>
        <v xml:space="preserve">PRESIDENTE PLUTARCO ELIAS CALLES                                                                    </v>
      </c>
      <c r="D424" s="26" t="str">
        <f>"TIEMPO COMPLETO"</f>
        <v>TIEMPO COMPLETO</v>
      </c>
      <c r="E424" s="26" t="str">
        <f>"AV PLUTARCO ELIAS CALLES NO 972                                                 "</f>
        <v xml:space="preserve">AV PLUTARCO ELIAS CALLES NO 972                                                 </v>
      </c>
      <c r="F424" s="26" t="str">
        <f>"REFORMA IZTACIHUATL SUR                                                                                                                     "</f>
        <v xml:space="preserve">REFORMA IZTACIHUATL SUR                                                                                                                     </v>
      </c>
      <c r="G424" s="26" t="str">
        <f>"IZTACALCO                                                                       "</f>
        <v xml:space="preserve">IZTACALCO                                                                       </v>
      </c>
      <c r="H424" s="26" t="str">
        <f>"430"</f>
        <v>430</v>
      </c>
      <c r="I424" s="26" t="str">
        <f t="shared" si="65"/>
        <v>00</v>
      </c>
      <c r="J424" s="26" t="str">
        <f>"44 "</f>
        <v xml:space="preserve">44 </v>
      </c>
      <c r="K424" s="26" t="str">
        <f>"PR"</f>
        <v>PR</v>
      </c>
      <c r="L424" s="26" t="str">
        <f>"DGOSE"</f>
        <v>DGOSE</v>
      </c>
      <c r="M424" s="26" t="str">
        <f t="shared" si="68"/>
        <v>FEDERAL</v>
      </c>
      <c r="N424" s="26">
        <v>421</v>
      </c>
      <c r="O424" s="26">
        <v>215</v>
      </c>
      <c r="P424" s="26">
        <v>206</v>
      </c>
      <c r="Q424" s="26">
        <v>14</v>
      </c>
      <c r="R424" s="26">
        <v>1</v>
      </c>
      <c r="S424" s="26">
        <v>14</v>
      </c>
      <c r="T424" s="26">
        <v>16</v>
      </c>
      <c r="U424" s="26">
        <v>31</v>
      </c>
      <c r="V424" s="26">
        <v>1</v>
      </c>
      <c r="W424" s="26" t="s">
        <v>218</v>
      </c>
    </row>
    <row r="425" spans="1:23" x14ac:dyDescent="0.25">
      <c r="A425" s="26" t="str">
        <f t="shared" si="64"/>
        <v>PRIMARIA</v>
      </c>
      <c r="B425" s="26" t="str">
        <f>"09DPR1236H"</f>
        <v>09DPR1236H</v>
      </c>
      <c r="C425" s="26" t="str">
        <f>"OMETECUHTLI                                                                                         "</f>
        <v xml:space="preserve">OMETECUHTLI                                                                                         </v>
      </c>
      <c r="D425" s="26" t="str">
        <f>"MATUTINO"</f>
        <v>MATUTINO</v>
      </c>
      <c r="E425" s="26" t="str">
        <f>"PRIV. SAN JUAN NO. 17                                                           "</f>
        <v xml:space="preserve">PRIV. SAN JUAN NO. 17                                                           </v>
      </c>
      <c r="F425" s="26" t="str">
        <f>"RICARDO FLORES MAGON                                                                                                                        "</f>
        <v xml:space="preserve">RICARDO FLORES MAGON                                                                                                                        </v>
      </c>
      <c r="G425" s="26" t="str">
        <f>"IZTAPALAPA                                                                      "</f>
        <v xml:space="preserve">IZTAPALAPA                                                                      </v>
      </c>
      <c r="H425" s="26" t="str">
        <f>"036"</f>
        <v>036</v>
      </c>
      <c r="I425" s="26" t="str">
        <f t="shared" si="65"/>
        <v>00</v>
      </c>
      <c r="J425" s="26" t="str">
        <f>"63 "</f>
        <v xml:space="preserve">63 </v>
      </c>
      <c r="K425" s="26" t="str">
        <f>"IZ"</f>
        <v>IZ</v>
      </c>
      <c r="L425" s="26" t="str">
        <f>"DGSEI"</f>
        <v>DGSEI</v>
      </c>
      <c r="M425" s="26" t="str">
        <f t="shared" si="68"/>
        <v>FEDERAL</v>
      </c>
      <c r="N425" s="26">
        <v>681</v>
      </c>
      <c r="O425" s="26">
        <v>328</v>
      </c>
      <c r="P425" s="26">
        <v>353</v>
      </c>
      <c r="Q425" s="26">
        <v>20</v>
      </c>
      <c r="R425" s="26">
        <v>1</v>
      </c>
      <c r="S425" s="26">
        <v>19</v>
      </c>
      <c r="T425" s="26">
        <v>9</v>
      </c>
      <c r="U425" s="26">
        <v>29</v>
      </c>
      <c r="V425" s="26">
        <v>1</v>
      </c>
      <c r="W425" s="26"/>
    </row>
    <row r="426" spans="1:23" x14ac:dyDescent="0.25">
      <c r="A426" s="26" t="str">
        <f t="shared" si="64"/>
        <v>PRIMARIA</v>
      </c>
      <c r="B426" s="26" t="str">
        <f>"09DPR1238F"</f>
        <v>09DPR1238F</v>
      </c>
      <c r="C426" s="26" t="str">
        <f>"OMETECUHTLI                                                                                         "</f>
        <v xml:space="preserve">OMETECUHTLI                                                                                         </v>
      </c>
      <c r="D426" s="26" t="str">
        <f>"VESPERTINO"</f>
        <v>VESPERTINO</v>
      </c>
      <c r="E426" s="26" t="str">
        <f>"PRIV. SAN JUAN NO. 17                                                           "</f>
        <v xml:space="preserve">PRIV. SAN JUAN NO. 17                                                           </v>
      </c>
      <c r="F426" s="26" t="str">
        <f>"RICARDO FLORES MAGON                                                                                                                        "</f>
        <v xml:space="preserve">RICARDO FLORES MAGON                                                                                                                        </v>
      </c>
      <c r="G426" s="26" t="str">
        <f>"IZTAPALAPA                                                                      "</f>
        <v xml:space="preserve">IZTAPALAPA                                                                      </v>
      </c>
      <c r="H426" s="26" t="str">
        <f>"036"</f>
        <v>036</v>
      </c>
      <c r="I426" s="26" t="str">
        <f t="shared" si="65"/>
        <v>00</v>
      </c>
      <c r="J426" s="26" t="str">
        <f>"63 "</f>
        <v xml:space="preserve">63 </v>
      </c>
      <c r="K426" s="26" t="str">
        <f>"IZ"</f>
        <v>IZ</v>
      </c>
      <c r="L426" s="26" t="str">
        <f>"DGSEI"</f>
        <v>DGSEI</v>
      </c>
      <c r="M426" s="26" t="str">
        <f t="shared" si="68"/>
        <v>FEDERAL</v>
      </c>
      <c r="N426" s="26">
        <v>369</v>
      </c>
      <c r="O426" s="26">
        <v>192</v>
      </c>
      <c r="P426" s="26">
        <v>177</v>
      </c>
      <c r="Q426" s="26">
        <v>17</v>
      </c>
      <c r="R426" s="26">
        <v>1</v>
      </c>
      <c r="S426" s="26">
        <v>17</v>
      </c>
      <c r="T426" s="26">
        <v>9</v>
      </c>
      <c r="U426" s="26">
        <v>27</v>
      </c>
      <c r="V426" s="26">
        <v>1</v>
      </c>
      <c r="W426" s="26"/>
    </row>
    <row r="427" spans="1:23" x14ac:dyDescent="0.25">
      <c r="A427" s="26" t="str">
        <f t="shared" si="64"/>
        <v>PRIMARIA</v>
      </c>
      <c r="B427" s="26" t="str">
        <f>"09DPR1241T"</f>
        <v>09DPR1241T</v>
      </c>
      <c r="C427" s="26" t="str">
        <f>"PRESIDENTE MIGUEL ALEMAN                                                                            "</f>
        <v xml:space="preserve">PRESIDENTE MIGUEL ALEMAN                                                                            </v>
      </c>
      <c r="D427" s="26" t="str">
        <f>"JORNADA AMPLIADA"</f>
        <v>JORNADA AMPLIADA</v>
      </c>
      <c r="E427" s="26" t="str">
        <f>"LAZARO CARDENAS NO 726                                                          "</f>
        <v xml:space="preserve">LAZARO CARDENAS NO 726                                                          </v>
      </c>
      <c r="F427" s="26" t="str">
        <f>"POSTAL                                                                                                                                      "</f>
        <v xml:space="preserve">POSTAL                                                                                                                                      </v>
      </c>
      <c r="G427" s="26" t="str">
        <f>"BENITO JUAREZ                                                                   "</f>
        <v xml:space="preserve">BENITO JUAREZ                                                                   </v>
      </c>
      <c r="H427" s="26" t="str">
        <f>"415"</f>
        <v>415</v>
      </c>
      <c r="I427" s="26" t="str">
        <f t="shared" si="65"/>
        <v>00</v>
      </c>
      <c r="J427" s="26" t="str">
        <f>"44 "</f>
        <v xml:space="preserve">44 </v>
      </c>
      <c r="K427" s="26" t="str">
        <f>"PR"</f>
        <v>PR</v>
      </c>
      <c r="L427" s="26" t="str">
        <f>"DGOSE"</f>
        <v>DGOSE</v>
      </c>
      <c r="M427" s="26" t="str">
        <f t="shared" si="68"/>
        <v>FEDERAL</v>
      </c>
      <c r="N427" s="26">
        <v>310</v>
      </c>
      <c r="O427" s="26">
        <v>163</v>
      </c>
      <c r="P427" s="26">
        <v>147</v>
      </c>
      <c r="Q427" s="26">
        <v>12</v>
      </c>
      <c r="R427" s="26">
        <v>0</v>
      </c>
      <c r="S427" s="26">
        <v>12</v>
      </c>
      <c r="T427" s="26">
        <v>7</v>
      </c>
      <c r="U427" s="26">
        <v>19</v>
      </c>
      <c r="V427" s="26">
        <v>1</v>
      </c>
      <c r="W427" s="26" t="s">
        <v>2076</v>
      </c>
    </row>
    <row r="428" spans="1:23" x14ac:dyDescent="0.25">
      <c r="A428" s="26" t="str">
        <f t="shared" si="64"/>
        <v>PRIMARIA</v>
      </c>
      <c r="B428" s="26" t="str">
        <f>"09DPR1242S"</f>
        <v>09DPR1242S</v>
      </c>
      <c r="C428" s="26" t="str">
        <f>"MARTIRES DE LA REFORMA                                                                              "</f>
        <v xml:space="preserve">MARTIRES DE LA REFORMA                                                                              </v>
      </c>
      <c r="D428" s="26" t="str">
        <f>"VESPERTINO"</f>
        <v>VESPERTINO</v>
      </c>
      <c r="E428" s="26" t="str">
        <f>"AV. PRESIDENCIA NO. 43                                                          "</f>
        <v xml:space="preserve">AV. PRESIDENCIA NO. 43                                                          </v>
      </c>
      <c r="F428" s="26" t="str">
        <f>"ESTRELLA CULHUACAN                                                                                                                          "</f>
        <v xml:space="preserve">ESTRELLA CULHUACAN                                                                                                                          </v>
      </c>
      <c r="G428" s="26" t="str">
        <f>"IZTAPALAPA                                                                      "</f>
        <v xml:space="preserve">IZTAPALAPA                                                                      </v>
      </c>
      <c r="H428" s="26" t="str">
        <f>"041"</f>
        <v>041</v>
      </c>
      <c r="I428" s="26" t="str">
        <f t="shared" si="65"/>
        <v>00</v>
      </c>
      <c r="J428" s="26" t="str">
        <f>"63 "</f>
        <v xml:space="preserve">63 </v>
      </c>
      <c r="K428" s="26" t="str">
        <f>"IZ"</f>
        <v>IZ</v>
      </c>
      <c r="L428" s="26" t="str">
        <f>"DGSEI"</f>
        <v>DGSEI</v>
      </c>
      <c r="M428" s="26" t="str">
        <f t="shared" si="68"/>
        <v>FEDERAL</v>
      </c>
      <c r="N428" s="26">
        <v>102</v>
      </c>
      <c r="O428" s="26">
        <v>54</v>
      </c>
      <c r="P428" s="26">
        <v>48</v>
      </c>
      <c r="Q428" s="26">
        <v>6</v>
      </c>
      <c r="R428" s="26">
        <v>1</v>
      </c>
      <c r="S428" s="26">
        <v>6</v>
      </c>
      <c r="T428" s="26">
        <v>3</v>
      </c>
      <c r="U428" s="26">
        <v>10</v>
      </c>
      <c r="V428" s="26">
        <v>1</v>
      </c>
      <c r="W428" s="26"/>
    </row>
    <row r="429" spans="1:23" x14ac:dyDescent="0.25">
      <c r="A429" s="26" t="str">
        <f t="shared" si="64"/>
        <v>PRIMARIA</v>
      </c>
      <c r="B429" s="26" t="str">
        <f>"09DPR1244Q"</f>
        <v>09DPR1244Q</v>
      </c>
      <c r="C429" s="26" t="str">
        <f>"LIC. MARIANO OTERO                                                                                  "</f>
        <v xml:space="preserve">LIC. MARIANO OTERO                                                                                  </v>
      </c>
      <c r="D429" s="26" t="str">
        <f>"MATUTINO"</f>
        <v>MATUTINO</v>
      </c>
      <c r="E429" s="26" t="str">
        <f>"AV. GOBERNACION NO. 19                                                          "</f>
        <v xml:space="preserve">AV. GOBERNACION NO. 19                                                          </v>
      </c>
      <c r="F429" s="26" t="str">
        <f>"SAN SIMON CULHUACAN                                                                                                                         "</f>
        <v xml:space="preserve">SAN SIMON CULHUACAN                                                                                                                         </v>
      </c>
      <c r="G429" s="26" t="str">
        <f>"IZTAPALAPA                                                                      "</f>
        <v xml:space="preserve">IZTAPALAPA                                                                      </v>
      </c>
      <c r="H429" s="26" t="str">
        <f>"040"</f>
        <v>040</v>
      </c>
      <c r="I429" s="26" t="str">
        <f t="shared" si="65"/>
        <v>00</v>
      </c>
      <c r="J429" s="26" t="str">
        <f>"63 "</f>
        <v xml:space="preserve">63 </v>
      </c>
      <c r="K429" s="26" t="str">
        <f>"IZ"</f>
        <v>IZ</v>
      </c>
      <c r="L429" s="26" t="str">
        <f>"DGSEI"</f>
        <v>DGSEI</v>
      </c>
      <c r="M429" s="26" t="str">
        <f t="shared" si="68"/>
        <v>FEDERAL</v>
      </c>
      <c r="N429" s="26">
        <v>520</v>
      </c>
      <c r="O429" s="26">
        <v>259</v>
      </c>
      <c r="P429" s="26">
        <v>261</v>
      </c>
      <c r="Q429" s="26">
        <v>19</v>
      </c>
      <c r="R429" s="26">
        <v>1</v>
      </c>
      <c r="S429" s="26">
        <v>19</v>
      </c>
      <c r="T429" s="26">
        <v>9</v>
      </c>
      <c r="U429" s="26">
        <v>29</v>
      </c>
      <c r="V429" s="26">
        <v>1</v>
      </c>
      <c r="W429" s="26"/>
    </row>
    <row r="430" spans="1:23" x14ac:dyDescent="0.25">
      <c r="A430" s="26" t="str">
        <f t="shared" si="64"/>
        <v>PRIMARIA</v>
      </c>
      <c r="B430" s="26" t="str">
        <f>"09DPR1245P"</f>
        <v>09DPR1245P</v>
      </c>
      <c r="C430" s="26" t="str">
        <f>"OBRERO MEXICANO                                                                                     "</f>
        <v xml:space="preserve">OBRERO MEXICANO                                                                                     </v>
      </c>
      <c r="D430" s="26" t="str">
        <f>"VESPERTINO"</f>
        <v>VESPERTINO</v>
      </c>
      <c r="E430" s="26" t="str">
        <f>"AV CEYLAN Y PONIENTE 146 S/N                                                    "</f>
        <v xml:space="preserve">AV CEYLAN Y PONIENTE 146 S/N                                                    </v>
      </c>
      <c r="F430" s="26" t="str">
        <f>"FERRERIA                                                                                                                                    "</f>
        <v xml:space="preserve">FERRERIA                                                                                                                                    </v>
      </c>
      <c r="G430" s="26" t="str">
        <f>"AZCAPOTZALCO                                                                    "</f>
        <v xml:space="preserve">AZCAPOTZALCO                                                                    </v>
      </c>
      <c r="H430" s="26" t="str">
        <f>"207"</f>
        <v>207</v>
      </c>
      <c r="I430" s="26" t="str">
        <f t="shared" si="65"/>
        <v>00</v>
      </c>
      <c r="J430" s="26" t="str">
        <f>"42 "</f>
        <v xml:space="preserve">42 </v>
      </c>
      <c r="K430" s="26" t="str">
        <f>"PR"</f>
        <v>PR</v>
      </c>
      <c r="L430" s="26" t="str">
        <f>"DGOSE"</f>
        <v>DGOSE</v>
      </c>
      <c r="M430" s="26" t="str">
        <f t="shared" si="68"/>
        <v>FEDERAL</v>
      </c>
      <c r="N430" s="26">
        <v>187</v>
      </c>
      <c r="O430" s="26">
        <v>97</v>
      </c>
      <c r="P430" s="26">
        <v>90</v>
      </c>
      <c r="Q430" s="26">
        <v>11</v>
      </c>
      <c r="R430" s="26">
        <v>1</v>
      </c>
      <c r="S430" s="26">
        <v>11</v>
      </c>
      <c r="T430" s="26">
        <v>9</v>
      </c>
      <c r="U430" s="26">
        <v>21</v>
      </c>
      <c r="V430" s="26">
        <v>1</v>
      </c>
      <c r="W430" s="26"/>
    </row>
    <row r="431" spans="1:23" x14ac:dyDescent="0.25">
      <c r="A431" s="26" t="str">
        <f t="shared" si="64"/>
        <v>PRIMARIA</v>
      </c>
      <c r="B431" s="26" t="str">
        <f>"09DPR1246O"</f>
        <v>09DPR1246O</v>
      </c>
      <c r="C431" s="26" t="str">
        <f>"MARIANO HIDALGO                                                                                     "</f>
        <v xml:space="preserve">MARIANO HIDALGO                                                                                     </v>
      </c>
      <c r="D431" s="26" t="str">
        <f>"MATUTINO"</f>
        <v>MATUTINO</v>
      </c>
      <c r="E431" s="26" t="str">
        <f>"MOCTEZUMA NO. 1                                                                 "</f>
        <v xml:space="preserve">MOCTEZUMA NO. 1                                                                 </v>
      </c>
      <c r="F431" s="26" t="str">
        <f>"SANTIAGO ACAHUALTEPEC                                                                                                                       "</f>
        <v xml:space="preserve">SANTIAGO ACAHUALTEPEC                                                                                                                       </v>
      </c>
      <c r="G431" s="26" t="str">
        <f>"IZTAPALAPA                                                                      "</f>
        <v xml:space="preserve">IZTAPALAPA                                                                      </v>
      </c>
      <c r="H431" s="26" t="str">
        <f>"065"</f>
        <v>065</v>
      </c>
      <c r="I431" s="26" t="str">
        <f t="shared" si="65"/>
        <v>00</v>
      </c>
      <c r="J431" s="26" t="str">
        <f>"64 "</f>
        <v xml:space="preserve">64 </v>
      </c>
      <c r="K431" s="26" t="str">
        <f>"IZ"</f>
        <v>IZ</v>
      </c>
      <c r="L431" s="26" t="str">
        <f>"DGSEI"</f>
        <v>DGSEI</v>
      </c>
      <c r="M431" s="26" t="str">
        <f t="shared" si="68"/>
        <v>FEDERAL</v>
      </c>
      <c r="N431" s="26">
        <v>839</v>
      </c>
      <c r="O431" s="26">
        <v>416</v>
      </c>
      <c r="P431" s="26">
        <v>423</v>
      </c>
      <c r="Q431" s="26">
        <v>26</v>
      </c>
      <c r="R431" s="26">
        <v>1</v>
      </c>
      <c r="S431" s="26">
        <v>26</v>
      </c>
      <c r="T431" s="26">
        <v>13</v>
      </c>
      <c r="U431" s="26">
        <v>40</v>
      </c>
      <c r="V431" s="26">
        <v>1</v>
      </c>
      <c r="W431" s="26"/>
    </row>
    <row r="432" spans="1:23" x14ac:dyDescent="0.25">
      <c r="A432" s="26" t="str">
        <f t="shared" si="64"/>
        <v>PRIMARIA</v>
      </c>
      <c r="B432" s="26" t="str">
        <f>"09DPR1247N"</f>
        <v>09DPR1247N</v>
      </c>
      <c r="C432" s="26" t="str">
        <f>"DR. MANUEL GAMIO                                                                                    "</f>
        <v xml:space="preserve">DR. MANUEL GAMIO                                                                                    </v>
      </c>
      <c r="D432" s="26" t="str">
        <f>"VESPERTINO"</f>
        <v>VESPERTINO</v>
      </c>
      <c r="E432" s="26" t="str">
        <f>"FRANCISCO I. MADERO NO. 3                                                       "</f>
        <v xml:space="preserve">FRANCISCO I. MADERO NO. 3                                                       </v>
      </c>
      <c r="F432" s="26" t="str">
        <f>"SANTA MARTHA ACATITLA                                                                                                                       "</f>
        <v xml:space="preserve">SANTA MARTHA ACATITLA                                                                                                                       </v>
      </c>
      <c r="G432" s="26" t="str">
        <f>"IZTAPALAPA                                                                      "</f>
        <v xml:space="preserve">IZTAPALAPA                                                                      </v>
      </c>
      <c r="H432" s="26" t="str">
        <f>"026"</f>
        <v>026</v>
      </c>
      <c r="I432" s="26" t="str">
        <f t="shared" si="65"/>
        <v>00</v>
      </c>
      <c r="J432" s="26" t="str">
        <f>"62 "</f>
        <v xml:space="preserve">62 </v>
      </c>
      <c r="K432" s="26" t="str">
        <f>"IZ"</f>
        <v>IZ</v>
      </c>
      <c r="L432" s="26" t="str">
        <f>"DGSEI"</f>
        <v>DGSEI</v>
      </c>
      <c r="M432" s="26" t="str">
        <f t="shared" si="68"/>
        <v>FEDERAL</v>
      </c>
      <c r="N432" s="26">
        <v>203</v>
      </c>
      <c r="O432" s="26">
        <v>111</v>
      </c>
      <c r="P432" s="26">
        <v>92</v>
      </c>
      <c r="Q432" s="26">
        <v>10</v>
      </c>
      <c r="R432" s="26">
        <v>1</v>
      </c>
      <c r="S432" s="26">
        <v>10</v>
      </c>
      <c r="T432" s="26">
        <v>6</v>
      </c>
      <c r="U432" s="26">
        <v>17</v>
      </c>
      <c r="V432" s="26">
        <v>1</v>
      </c>
      <c r="W432" s="26"/>
    </row>
    <row r="433" spans="1:23" x14ac:dyDescent="0.25">
      <c r="A433" s="26" t="str">
        <f t="shared" si="64"/>
        <v>PRIMARIA</v>
      </c>
      <c r="B433" s="26" t="str">
        <f>"09DPR1249L"</f>
        <v>09DPR1249L</v>
      </c>
      <c r="C433" s="26" t="str">
        <f>"PROFRA. MA. LUISA CALDERON PONCE                                                                    "</f>
        <v xml:space="preserve">PROFRA. MA. LUISA CALDERON PONCE                                                                    </v>
      </c>
      <c r="D433" s="26" t="str">
        <f>"JORNADA AMPLIADA"</f>
        <v>JORNADA AMPLIADA</v>
      </c>
      <c r="E433" s="26" t="str">
        <f>"SUR 71 NO. 258-A                                                                "</f>
        <v xml:space="preserve">SUR 71 NO. 258-A                                                                </v>
      </c>
      <c r="F433" s="26" t="str">
        <f>"BANJIDAL                                                                                                                                    "</f>
        <v xml:space="preserve">BANJIDAL                                                                                                                                    </v>
      </c>
      <c r="G433" s="26" t="str">
        <f>"IZTAPALAPA                                                                      "</f>
        <v xml:space="preserve">IZTAPALAPA                                                                      </v>
      </c>
      <c r="H433" s="26" t="str">
        <f>"071"</f>
        <v>071</v>
      </c>
      <c r="I433" s="26" t="str">
        <f t="shared" si="65"/>
        <v>00</v>
      </c>
      <c r="J433" s="26" t="str">
        <f>"61 "</f>
        <v xml:space="preserve">61 </v>
      </c>
      <c r="K433" s="26" t="str">
        <f>"IZ"</f>
        <v>IZ</v>
      </c>
      <c r="L433" s="26" t="str">
        <f>"DGSEI"</f>
        <v>DGSEI</v>
      </c>
      <c r="M433" s="26" t="str">
        <f t="shared" si="68"/>
        <v>FEDERAL</v>
      </c>
      <c r="N433" s="26">
        <v>355</v>
      </c>
      <c r="O433" s="26">
        <v>178</v>
      </c>
      <c r="P433" s="26">
        <v>177</v>
      </c>
      <c r="Q433" s="26">
        <v>12</v>
      </c>
      <c r="R433" s="26">
        <v>1</v>
      </c>
      <c r="S433" s="26">
        <v>12</v>
      </c>
      <c r="T433" s="26">
        <v>6</v>
      </c>
      <c r="U433" s="26">
        <v>19</v>
      </c>
      <c r="V433" s="26">
        <v>1</v>
      </c>
      <c r="W433" s="26" t="s">
        <v>2076</v>
      </c>
    </row>
    <row r="434" spans="1:23" x14ac:dyDescent="0.25">
      <c r="A434" s="26" t="str">
        <f t="shared" si="64"/>
        <v>PRIMARIA</v>
      </c>
      <c r="B434" s="26" t="str">
        <f>"09DPR1250A"</f>
        <v>09DPR1250A</v>
      </c>
      <c r="C434" s="26" t="str">
        <f>"JOSE MARIA VELASCO                                                                                  "</f>
        <v xml:space="preserve">JOSE MARIA VELASCO                                                                                  </v>
      </c>
      <c r="D434" s="26" t="str">
        <f>"MATUTINO"</f>
        <v>MATUTINO</v>
      </c>
      <c r="E434" s="26" t="str">
        <f>"CALZ SAN JUAN DE ARAGON NUM 304                                                 "</f>
        <v xml:space="preserve">CALZ SAN JUAN DE ARAGON NUM 304                                                 </v>
      </c>
      <c r="F434" s="26" t="str">
        <f>"CONSTITUCION DE LA REPUBLICA                                                                                                                "</f>
        <v xml:space="preserve">CONSTITUCION DE LA REPUBLICA                                                                                                                </v>
      </c>
      <c r="G434" s="26" t="str">
        <f>"GUSTAVO A. MADERO                                                               "</f>
        <v xml:space="preserve">GUSTAVO A. MADERO                                                               </v>
      </c>
      <c r="H434" s="26" t="str">
        <f>"259"</f>
        <v>259</v>
      </c>
      <c r="I434" s="26" t="str">
        <f t="shared" si="65"/>
        <v>00</v>
      </c>
      <c r="J434" s="26" t="str">
        <f>"42 "</f>
        <v xml:space="preserve">42 </v>
      </c>
      <c r="K434" s="26" t="str">
        <f>"PR"</f>
        <v>PR</v>
      </c>
      <c r="L434" s="26" t="str">
        <f>"DGOSE"</f>
        <v>DGOSE</v>
      </c>
      <c r="M434" s="26" t="str">
        <f t="shared" si="68"/>
        <v>FEDERAL</v>
      </c>
      <c r="N434" s="26">
        <v>261</v>
      </c>
      <c r="O434" s="26">
        <v>116</v>
      </c>
      <c r="P434" s="26">
        <v>145</v>
      </c>
      <c r="Q434" s="26">
        <v>11</v>
      </c>
      <c r="R434" s="26">
        <v>1</v>
      </c>
      <c r="S434" s="26">
        <v>11</v>
      </c>
      <c r="T434" s="26">
        <v>7</v>
      </c>
      <c r="U434" s="26">
        <v>19</v>
      </c>
      <c r="V434" s="26">
        <v>1</v>
      </c>
      <c r="W434" s="26"/>
    </row>
    <row r="435" spans="1:23" x14ac:dyDescent="0.25">
      <c r="A435" s="26" t="str">
        <f t="shared" si="64"/>
        <v>PRIMARIA</v>
      </c>
      <c r="B435" s="26" t="str">
        <f>"09DPR1251Z"</f>
        <v>09DPR1251Z</v>
      </c>
      <c r="C435" s="26" t="str">
        <f>"MARIA CURIE SKLODOWSKA                                                                              "</f>
        <v xml:space="preserve">MARIA CURIE SKLODOWSKA                                                                              </v>
      </c>
      <c r="D435" s="26" t="str">
        <f>"JORNADA AMPLIADA"</f>
        <v>JORNADA AMPLIADA</v>
      </c>
      <c r="E435" s="26" t="str">
        <f>"CARMEN 76 Y 1RO. DE MAYO                                                        "</f>
        <v xml:space="preserve">CARMEN 76 Y 1RO. DE MAYO                                                        </v>
      </c>
      <c r="F435" s="26" t="str">
        <f>"NATIVITAS                                                                                                                                   "</f>
        <v xml:space="preserve">NATIVITAS                                                                                                                                   </v>
      </c>
      <c r="G435" s="26" t="str">
        <f>"BENITO JUAREZ                                                                   "</f>
        <v xml:space="preserve">BENITO JUAREZ                                                                   </v>
      </c>
      <c r="H435" s="26" t="str">
        <f>"413"</f>
        <v>413</v>
      </c>
      <c r="I435" s="26" t="str">
        <f t="shared" si="65"/>
        <v>00</v>
      </c>
      <c r="J435" s="26" t="str">
        <f>"44 "</f>
        <v xml:space="preserve">44 </v>
      </c>
      <c r="K435" s="26" t="str">
        <f>"PR"</f>
        <v>PR</v>
      </c>
      <c r="L435" s="26" t="str">
        <f>"DGOSE"</f>
        <v>DGOSE</v>
      </c>
      <c r="M435" s="26" t="str">
        <f t="shared" si="68"/>
        <v>FEDERAL</v>
      </c>
      <c r="N435" s="26">
        <v>391</v>
      </c>
      <c r="O435" s="26">
        <v>197</v>
      </c>
      <c r="P435" s="26">
        <v>194</v>
      </c>
      <c r="Q435" s="26">
        <v>15</v>
      </c>
      <c r="R435" s="26">
        <v>1</v>
      </c>
      <c r="S435" s="26">
        <v>15</v>
      </c>
      <c r="T435" s="26">
        <v>10</v>
      </c>
      <c r="U435" s="26">
        <v>26</v>
      </c>
      <c r="V435" s="26">
        <v>1</v>
      </c>
      <c r="W435" s="26" t="s">
        <v>2076</v>
      </c>
    </row>
    <row r="436" spans="1:23" x14ac:dyDescent="0.25">
      <c r="A436" s="26" t="str">
        <f t="shared" si="64"/>
        <v>PRIMARIA</v>
      </c>
      <c r="B436" s="26" t="str">
        <f>"09DPR1252Z"</f>
        <v>09DPR1252Z</v>
      </c>
      <c r="C436" s="26" t="str">
        <f>"MARTIRES DE LA REFORMA                                                                              "</f>
        <v xml:space="preserve">MARTIRES DE LA REFORMA                                                                              </v>
      </c>
      <c r="D436" s="26" t="str">
        <f>"MATUTINO"</f>
        <v>MATUTINO</v>
      </c>
      <c r="E436" s="26" t="str">
        <f>"AV. PRESIDENCIA NO. 43                                                          "</f>
        <v xml:space="preserve">AV. PRESIDENCIA NO. 43                                                          </v>
      </c>
      <c r="F436" s="26" t="str">
        <f>"ESTRELLA CULHUACAN                                                                                                                          "</f>
        <v xml:space="preserve">ESTRELLA CULHUACAN                                                                                                                          </v>
      </c>
      <c r="G436" s="26" t="str">
        <f>"IZTAPALAPA                                                                      "</f>
        <v xml:space="preserve">IZTAPALAPA                                                                      </v>
      </c>
      <c r="H436" s="26" t="str">
        <f>"041"</f>
        <v>041</v>
      </c>
      <c r="I436" s="26" t="str">
        <f t="shared" si="65"/>
        <v>00</v>
      </c>
      <c r="J436" s="26" t="str">
        <f>"63 "</f>
        <v xml:space="preserve">63 </v>
      </c>
      <c r="K436" s="26" t="str">
        <f>"IZ"</f>
        <v>IZ</v>
      </c>
      <c r="L436" s="26" t="str">
        <f>"DGSEI"</f>
        <v>DGSEI</v>
      </c>
      <c r="M436" s="26" t="str">
        <f t="shared" si="68"/>
        <v>FEDERAL</v>
      </c>
      <c r="N436" s="26">
        <v>154</v>
      </c>
      <c r="O436" s="26">
        <v>75</v>
      </c>
      <c r="P436" s="26">
        <v>79</v>
      </c>
      <c r="Q436" s="26">
        <v>6</v>
      </c>
      <c r="R436" s="26">
        <v>1</v>
      </c>
      <c r="S436" s="26">
        <v>6</v>
      </c>
      <c r="T436" s="26">
        <v>4</v>
      </c>
      <c r="U436" s="26">
        <v>11</v>
      </c>
      <c r="V436" s="26">
        <v>1</v>
      </c>
      <c r="W436" s="26"/>
    </row>
    <row r="437" spans="1:23" x14ac:dyDescent="0.25">
      <c r="A437" s="26" t="str">
        <f t="shared" si="64"/>
        <v>PRIMARIA</v>
      </c>
      <c r="B437" s="26" t="str">
        <f>"09DPR1253Y"</f>
        <v>09DPR1253Y</v>
      </c>
      <c r="C437" s="26" t="str">
        <f>"LUIS G. MONZON                                                                                      "</f>
        <v xml:space="preserve">LUIS G. MONZON                                                                                      </v>
      </c>
      <c r="D437" s="26" t="str">
        <f>"VESPERTINO"</f>
        <v>VESPERTINO</v>
      </c>
      <c r="E437" s="26" t="str">
        <f>"AV. DEL ROSAL NO. 6                                                             "</f>
        <v xml:space="preserve">AV. DEL ROSAL NO. 6                                                             </v>
      </c>
      <c r="F437" s="26" t="str">
        <f>"LOS ANGELES APANOAYA                                                                                                                        "</f>
        <v xml:space="preserve">LOS ANGELES APANOAYA                                                                                                                        </v>
      </c>
      <c r="G437" s="26" t="str">
        <f>"IZTAPALAPA                                                                      "</f>
        <v xml:space="preserve">IZTAPALAPA                                                                      </v>
      </c>
      <c r="H437" s="26" t="str">
        <f>"045"</f>
        <v>045</v>
      </c>
      <c r="I437" s="26" t="str">
        <f t="shared" si="65"/>
        <v>00</v>
      </c>
      <c r="J437" s="26" t="str">
        <f>"63 "</f>
        <v xml:space="preserve">63 </v>
      </c>
      <c r="K437" s="26" t="str">
        <f>"IZ"</f>
        <v>IZ</v>
      </c>
      <c r="L437" s="26" t="str">
        <f>"DGSEI"</f>
        <v>DGSEI</v>
      </c>
      <c r="M437" s="26" t="str">
        <f t="shared" si="68"/>
        <v>FEDERAL</v>
      </c>
      <c r="N437" s="26">
        <v>155</v>
      </c>
      <c r="O437" s="26">
        <v>83</v>
      </c>
      <c r="P437" s="26">
        <v>72</v>
      </c>
      <c r="Q437" s="26">
        <v>9</v>
      </c>
      <c r="R437" s="26">
        <v>1</v>
      </c>
      <c r="S437" s="26">
        <v>9</v>
      </c>
      <c r="T437" s="26">
        <v>4</v>
      </c>
      <c r="U437" s="26">
        <v>14</v>
      </c>
      <c r="V437" s="26">
        <v>1</v>
      </c>
      <c r="W437" s="26"/>
    </row>
    <row r="438" spans="1:23" x14ac:dyDescent="0.25">
      <c r="A438" s="26" t="str">
        <f t="shared" si="64"/>
        <v>PRIMARIA</v>
      </c>
      <c r="B438" s="26" t="str">
        <f>"09DPR1254X"</f>
        <v>09DPR1254X</v>
      </c>
      <c r="C438" s="26" t="str">
        <f>"LUIS G. MONZON                                                                                      "</f>
        <v xml:space="preserve">LUIS G. MONZON                                                                                      </v>
      </c>
      <c r="D438" s="26" t="str">
        <f>"MATUTINO"</f>
        <v>MATUTINO</v>
      </c>
      <c r="E438" s="26" t="str">
        <f>"AV. DEL ROSAL NO. 6                                                             "</f>
        <v xml:space="preserve">AV. DEL ROSAL NO. 6                                                             </v>
      </c>
      <c r="F438" s="26" t="str">
        <f>"LOS ANGELES APANOAYA                                                                                                                        "</f>
        <v xml:space="preserve">LOS ANGELES APANOAYA                                                                                                                        </v>
      </c>
      <c r="G438" s="26" t="str">
        <f>"IZTAPALAPA                                                                      "</f>
        <v xml:space="preserve">IZTAPALAPA                                                                      </v>
      </c>
      <c r="H438" s="26" t="str">
        <f>"045"</f>
        <v>045</v>
      </c>
      <c r="I438" s="26" t="str">
        <f t="shared" si="65"/>
        <v>00</v>
      </c>
      <c r="J438" s="26" t="str">
        <f>"63 "</f>
        <v xml:space="preserve">63 </v>
      </c>
      <c r="K438" s="26" t="str">
        <f>"IZ"</f>
        <v>IZ</v>
      </c>
      <c r="L438" s="26" t="str">
        <f>"DGSEI"</f>
        <v>DGSEI</v>
      </c>
      <c r="M438" s="26" t="str">
        <f t="shared" si="68"/>
        <v>FEDERAL</v>
      </c>
      <c r="N438" s="26">
        <v>335</v>
      </c>
      <c r="O438" s="26">
        <v>183</v>
      </c>
      <c r="P438" s="26">
        <v>152</v>
      </c>
      <c r="Q438" s="26">
        <v>13</v>
      </c>
      <c r="R438" s="26">
        <v>1</v>
      </c>
      <c r="S438" s="26">
        <v>13</v>
      </c>
      <c r="T438" s="26">
        <v>3</v>
      </c>
      <c r="U438" s="26">
        <v>17</v>
      </c>
      <c r="V438" s="26">
        <v>1</v>
      </c>
      <c r="W438" s="26"/>
    </row>
    <row r="439" spans="1:23" x14ac:dyDescent="0.25">
      <c r="A439" s="26" t="str">
        <f t="shared" si="64"/>
        <v>PRIMARIA</v>
      </c>
      <c r="B439" s="26" t="str">
        <f>"09DPR1255W"</f>
        <v>09DPR1255W</v>
      </c>
      <c r="C439" s="26" t="str">
        <f>"LIC. LUIS CABRERA                                                                                   "</f>
        <v xml:space="preserve">LIC. LUIS CABRERA                                                                                   </v>
      </c>
      <c r="D439" s="26" t="str">
        <f>"TIEMPO COMPLETO"</f>
        <v>TIEMPO COMPLETO</v>
      </c>
      <c r="E439" s="26" t="str">
        <f>"PROLONGACION UXMAL NO 880                                                       "</f>
        <v xml:space="preserve">PROLONGACION UXMAL NO 880                                                       </v>
      </c>
      <c r="F439" s="26" t="str">
        <f>"SANTA CRUZ ATOYAC                                                                                                                           "</f>
        <v xml:space="preserve">SANTA CRUZ ATOYAC                                                                                                                           </v>
      </c>
      <c r="G439" s="26" t="str">
        <f>"BENITO JUAREZ                                                                   "</f>
        <v xml:space="preserve">BENITO JUAREZ                                                                   </v>
      </c>
      <c r="H439" s="26" t="str">
        <f>"416"</f>
        <v>416</v>
      </c>
      <c r="I439" s="26" t="str">
        <f t="shared" si="65"/>
        <v>00</v>
      </c>
      <c r="J439" s="26" t="str">
        <f>"44 "</f>
        <v xml:space="preserve">44 </v>
      </c>
      <c r="K439" s="26" t="str">
        <f>"PR"</f>
        <v>PR</v>
      </c>
      <c r="L439" s="26" t="str">
        <f>"DGOSE"</f>
        <v>DGOSE</v>
      </c>
      <c r="M439" s="26" t="str">
        <f t="shared" si="68"/>
        <v>FEDERAL</v>
      </c>
      <c r="N439" s="26">
        <v>465</v>
      </c>
      <c r="O439" s="26">
        <v>220</v>
      </c>
      <c r="P439" s="26">
        <v>245</v>
      </c>
      <c r="Q439" s="26">
        <v>18</v>
      </c>
      <c r="R439" s="26">
        <v>1</v>
      </c>
      <c r="S439" s="26">
        <v>18</v>
      </c>
      <c r="T439" s="26">
        <v>13</v>
      </c>
      <c r="U439" s="26">
        <v>32</v>
      </c>
      <c r="V439" s="26">
        <v>1</v>
      </c>
      <c r="W439" s="26" t="s">
        <v>218</v>
      </c>
    </row>
    <row r="440" spans="1:23" x14ac:dyDescent="0.25">
      <c r="A440" s="26" t="str">
        <f t="shared" si="64"/>
        <v>PRIMARIA</v>
      </c>
      <c r="B440" s="26" t="str">
        <f>"09DPR1257U"</f>
        <v>09DPR1257U</v>
      </c>
      <c r="C440" s="26" t="str">
        <f>"GENERAL LUCIO BLANCO                                                                                "</f>
        <v xml:space="preserve">GENERAL LUCIO BLANCO                                                                                </v>
      </c>
      <c r="D440" s="26" t="str">
        <f>"MATUTINO"</f>
        <v>MATUTINO</v>
      </c>
      <c r="E440" s="26" t="str">
        <f>"COLIMA Y CHIHUAHUA S/N (DEPORTIVO)                                              "</f>
        <v xml:space="preserve">COLIMA Y CHIHUAHUA S/N (DEPORTIVO)                                              </v>
      </c>
      <c r="F440" s="26" t="str">
        <f>"SAN SEBASTIAN TECOLOXTITLAN                                                                                                                 "</f>
        <v xml:space="preserve">SAN SEBASTIAN TECOLOXTITLAN                                                                                                                 </v>
      </c>
      <c r="G440" s="26" t="str">
        <f>"IZTAPALAPA                                                                      "</f>
        <v xml:space="preserve">IZTAPALAPA                                                                      </v>
      </c>
      <c r="H440" s="26" t="str">
        <f>"024"</f>
        <v>024</v>
      </c>
      <c r="I440" s="26" t="str">
        <f t="shared" si="65"/>
        <v>00</v>
      </c>
      <c r="J440" s="26" t="str">
        <f>"62 "</f>
        <v xml:space="preserve">62 </v>
      </c>
      <c r="K440" s="26" t="str">
        <f>"IZ"</f>
        <v>IZ</v>
      </c>
      <c r="L440" s="26" t="str">
        <f>"DGSEI"</f>
        <v>DGSEI</v>
      </c>
      <c r="M440" s="26" t="str">
        <f t="shared" si="68"/>
        <v>FEDERAL</v>
      </c>
      <c r="N440" s="26">
        <v>530</v>
      </c>
      <c r="O440" s="26">
        <v>273</v>
      </c>
      <c r="P440" s="26">
        <v>257</v>
      </c>
      <c r="Q440" s="26">
        <v>15</v>
      </c>
      <c r="R440" s="26">
        <v>1</v>
      </c>
      <c r="S440" s="26">
        <v>14</v>
      </c>
      <c r="T440" s="26">
        <v>9</v>
      </c>
      <c r="U440" s="26">
        <v>24</v>
      </c>
      <c r="V440" s="26">
        <v>1</v>
      </c>
      <c r="W440" s="26"/>
    </row>
    <row r="441" spans="1:23" x14ac:dyDescent="0.25">
      <c r="A441" s="26" t="str">
        <f t="shared" si="64"/>
        <v>PRIMARIA</v>
      </c>
      <c r="B441" s="26" t="str">
        <f>"09DPR1259S"</f>
        <v>09DPR1259S</v>
      </c>
      <c r="C441" s="26" t="str">
        <f>"LIBERTADORES DE AMERICA                                                                             "</f>
        <v xml:space="preserve">LIBERTADORES DE AMERICA                                                                             </v>
      </c>
      <c r="D441" s="26" t="str">
        <f>"JORNADA AMPLIADA"</f>
        <v>JORNADA AMPLIADA</v>
      </c>
      <c r="E441" s="26" t="str">
        <f>"ANGEL URRAZA NO 233                                                             "</f>
        <v xml:space="preserve">ANGEL URRAZA NO 233                                                             </v>
      </c>
      <c r="F441" s="26" t="str">
        <f>"INDEPENDENCIA                                                                                                                               "</f>
        <v xml:space="preserve">INDEPENDENCIA                                                                                                                               </v>
      </c>
      <c r="G441" s="26" t="str">
        <f>"BENITO JUAREZ                                                                   "</f>
        <v xml:space="preserve">BENITO JUAREZ                                                                   </v>
      </c>
      <c r="H441" s="26" t="str">
        <f>"414"</f>
        <v>414</v>
      </c>
      <c r="I441" s="26" t="str">
        <f t="shared" si="65"/>
        <v>00</v>
      </c>
      <c r="J441" s="26" t="str">
        <f>"44 "</f>
        <v xml:space="preserve">44 </v>
      </c>
      <c r="K441" s="26" t="str">
        <f>"PR"</f>
        <v>PR</v>
      </c>
      <c r="L441" s="26" t="str">
        <f>"DGOSE"</f>
        <v>DGOSE</v>
      </c>
      <c r="M441" s="26" t="str">
        <f t="shared" si="68"/>
        <v>FEDERAL</v>
      </c>
      <c r="N441" s="26">
        <v>188</v>
      </c>
      <c r="O441" s="26">
        <v>109</v>
      </c>
      <c r="P441" s="26">
        <v>79</v>
      </c>
      <c r="Q441" s="26">
        <v>7</v>
      </c>
      <c r="R441" s="26">
        <v>1</v>
      </c>
      <c r="S441" s="26">
        <v>7</v>
      </c>
      <c r="T441" s="26">
        <v>9</v>
      </c>
      <c r="U441" s="26">
        <v>17</v>
      </c>
      <c r="V441" s="26">
        <v>1</v>
      </c>
      <c r="W441" s="26" t="s">
        <v>2076</v>
      </c>
    </row>
    <row r="442" spans="1:23" x14ac:dyDescent="0.25">
      <c r="A442" s="26" t="str">
        <f t="shared" si="64"/>
        <v>PRIMARIA</v>
      </c>
      <c r="B442" s="26" t="str">
        <f>"09DPR1261G"</f>
        <v>09DPR1261G</v>
      </c>
      <c r="C442" s="26" t="str">
        <f>"HEROICOS CADETES                                                                                    "</f>
        <v xml:space="preserve">HEROICOS CADETES                                                                                    </v>
      </c>
      <c r="D442" s="26" t="str">
        <f>"VESPERTINO"</f>
        <v>VESPERTINO</v>
      </c>
      <c r="E442" s="26" t="str">
        <f>"ANDADOR NORTE NO 200                                                            "</f>
        <v xml:space="preserve">ANDADOR NORTE NO 200                                                            </v>
      </c>
      <c r="F442" s="26" t="str">
        <f>"MILITAR MARTE                                                                                                                               "</f>
        <v xml:space="preserve">MILITAR MARTE                                                                                                                               </v>
      </c>
      <c r="G442" s="26" t="str">
        <f>"IZTACALCO                                                                       "</f>
        <v xml:space="preserve">IZTACALCO                                                                       </v>
      </c>
      <c r="H442" s="26" t="str">
        <f>"363"</f>
        <v>363</v>
      </c>
      <c r="I442" s="26" t="str">
        <f t="shared" si="65"/>
        <v>00</v>
      </c>
      <c r="J442" s="26" t="str">
        <f>"43 "</f>
        <v xml:space="preserve">43 </v>
      </c>
      <c r="K442" s="26" t="str">
        <f>"PR"</f>
        <v>PR</v>
      </c>
      <c r="L442" s="26" t="str">
        <f>"DGOSE"</f>
        <v>DGOSE</v>
      </c>
      <c r="M442" s="26" t="str">
        <f t="shared" si="68"/>
        <v>FEDERAL</v>
      </c>
      <c r="N442" s="26">
        <v>105</v>
      </c>
      <c r="O442" s="26">
        <v>56</v>
      </c>
      <c r="P442" s="26">
        <v>49</v>
      </c>
      <c r="Q442" s="26">
        <v>6</v>
      </c>
      <c r="R442" s="26">
        <v>1</v>
      </c>
      <c r="S442" s="26">
        <v>6</v>
      </c>
      <c r="T442" s="26">
        <v>6</v>
      </c>
      <c r="U442" s="26">
        <v>13</v>
      </c>
      <c r="V442" s="26">
        <v>1</v>
      </c>
      <c r="W442" s="26"/>
    </row>
    <row r="443" spans="1:23" x14ac:dyDescent="0.25">
      <c r="A443" s="26" t="str">
        <f t="shared" si="64"/>
        <v>PRIMARIA</v>
      </c>
      <c r="B443" s="26" t="str">
        <f>"09DPR1262F"</f>
        <v>09DPR1262F</v>
      </c>
      <c r="C443" s="26" t="str">
        <f>"LAZARO CARDENAS                                                                                     "</f>
        <v xml:space="preserve">LAZARO CARDENAS                                                                                     </v>
      </c>
      <c r="D443" s="26" t="str">
        <f>"VESPERTINO"</f>
        <v>VESPERTINO</v>
      </c>
      <c r="E443" s="26" t="str">
        <f>"SAN FELIPE DE JESUS NO. 15                                                      "</f>
        <v xml:space="preserve">SAN FELIPE DE JESUS NO. 15                                                      </v>
      </c>
      <c r="F443" s="26" t="str">
        <f>"PURISIMA                                                                                                                                    "</f>
        <v xml:space="preserve">PURISIMA                                                                                                                                    </v>
      </c>
      <c r="G443" s="26" t="str">
        <f>"IZTAPALAPA                                                                      "</f>
        <v xml:space="preserve">IZTAPALAPA                                                                      </v>
      </c>
      <c r="H443" s="26" t="str">
        <f>"015"</f>
        <v>015</v>
      </c>
      <c r="I443" s="26" t="str">
        <f t="shared" si="65"/>
        <v>00</v>
      </c>
      <c r="J443" s="26" t="str">
        <f>"62 "</f>
        <v xml:space="preserve">62 </v>
      </c>
      <c r="K443" s="26" t="str">
        <f>"IZ"</f>
        <v>IZ</v>
      </c>
      <c r="L443" s="26" t="str">
        <f>"DGSEI"</f>
        <v>DGSEI</v>
      </c>
      <c r="M443" s="26" t="str">
        <f t="shared" si="68"/>
        <v>FEDERAL</v>
      </c>
      <c r="N443" s="26">
        <v>226</v>
      </c>
      <c r="O443" s="26">
        <v>111</v>
      </c>
      <c r="P443" s="26">
        <v>115</v>
      </c>
      <c r="Q443" s="26">
        <v>11</v>
      </c>
      <c r="R443" s="26">
        <v>1</v>
      </c>
      <c r="S443" s="26">
        <v>11</v>
      </c>
      <c r="T443" s="26">
        <v>4</v>
      </c>
      <c r="U443" s="26">
        <v>16</v>
      </c>
      <c r="V443" s="26">
        <v>1</v>
      </c>
      <c r="W443" s="26"/>
    </row>
    <row r="444" spans="1:23" x14ac:dyDescent="0.25">
      <c r="A444" s="26" t="str">
        <f t="shared" si="64"/>
        <v>PRIMARIA</v>
      </c>
      <c r="B444" s="26" t="str">
        <f>"09DPR1263E"</f>
        <v>09DPR1263E</v>
      </c>
      <c r="C444" s="26" t="str">
        <f>"LAZARO CARDENAS                                                                                     "</f>
        <v xml:space="preserve">LAZARO CARDENAS                                                                                     </v>
      </c>
      <c r="D444" s="26" t="str">
        <f>"MATUTINO"</f>
        <v>MATUTINO</v>
      </c>
      <c r="E444" s="26" t="str">
        <f>"SAN FELIPE DE JESUS NO. 15                                                      "</f>
        <v xml:space="preserve">SAN FELIPE DE JESUS NO. 15                                                      </v>
      </c>
      <c r="F444" s="26" t="str">
        <f>"PURISIMA                                                                                                                                    "</f>
        <v xml:space="preserve">PURISIMA                                                                                                                                    </v>
      </c>
      <c r="G444" s="26" t="str">
        <f>"IZTAPALAPA                                                                      "</f>
        <v xml:space="preserve">IZTAPALAPA                                                                      </v>
      </c>
      <c r="H444" s="26" t="str">
        <f>"015"</f>
        <v>015</v>
      </c>
      <c r="I444" s="26" t="str">
        <f t="shared" si="65"/>
        <v>00</v>
      </c>
      <c r="J444" s="26" t="str">
        <f>"62 "</f>
        <v xml:space="preserve">62 </v>
      </c>
      <c r="K444" s="26" t="str">
        <f>"IZ"</f>
        <v>IZ</v>
      </c>
      <c r="L444" s="26" t="str">
        <f>"DGSEI"</f>
        <v>DGSEI</v>
      </c>
      <c r="M444" s="26" t="str">
        <f t="shared" si="68"/>
        <v>FEDERAL</v>
      </c>
      <c r="N444" s="26">
        <v>434</v>
      </c>
      <c r="O444" s="26">
        <v>227</v>
      </c>
      <c r="P444" s="26">
        <v>207</v>
      </c>
      <c r="Q444" s="26">
        <v>15</v>
      </c>
      <c r="R444" s="26">
        <v>1</v>
      </c>
      <c r="S444" s="26">
        <v>15</v>
      </c>
      <c r="T444" s="26">
        <v>14</v>
      </c>
      <c r="U444" s="26">
        <v>30</v>
      </c>
      <c r="V444" s="26">
        <v>1</v>
      </c>
      <c r="W444" s="26"/>
    </row>
    <row r="445" spans="1:23" x14ac:dyDescent="0.25">
      <c r="A445" s="26" t="str">
        <f t="shared" si="64"/>
        <v>PRIMARIA</v>
      </c>
      <c r="B445" s="26" t="str">
        <f>"09DPR1265C"</f>
        <v>09DPR1265C</v>
      </c>
      <c r="C445" s="26" t="str">
        <f>"JUAN MONTALVO                                                                                       "</f>
        <v xml:space="preserve">JUAN MONTALVO                                                                                       </v>
      </c>
      <c r="D445" s="26" t="str">
        <f>"JORNADA AMPLIADA"</f>
        <v>JORNADA AMPLIADA</v>
      </c>
      <c r="E445" s="26" t="str">
        <f>"MIGUEL ANGEL 170 Y NAPOLEON                                                     "</f>
        <v xml:space="preserve">MIGUEL ANGEL 170 Y NAPOLEON                                                     </v>
      </c>
      <c r="F445" s="26" t="str">
        <f>"MODERNA                                                                                                                                     "</f>
        <v xml:space="preserve">MODERNA                                                                                                                                     </v>
      </c>
      <c r="G445" s="26" t="str">
        <f>"BENITO JUAREZ                                                                   "</f>
        <v xml:space="preserve">BENITO JUAREZ                                                                   </v>
      </c>
      <c r="H445" s="26" t="str">
        <f>"413"</f>
        <v>413</v>
      </c>
      <c r="I445" s="26" t="str">
        <f t="shared" si="65"/>
        <v>00</v>
      </c>
      <c r="J445" s="26" t="str">
        <f>"44 "</f>
        <v xml:space="preserve">44 </v>
      </c>
      <c r="K445" s="26" t="str">
        <f>"PR"</f>
        <v>PR</v>
      </c>
      <c r="L445" s="26" t="str">
        <f>"DGOSE"</f>
        <v>DGOSE</v>
      </c>
      <c r="M445" s="26" t="str">
        <f t="shared" si="68"/>
        <v>FEDERAL</v>
      </c>
      <c r="N445" s="26">
        <v>334</v>
      </c>
      <c r="O445" s="26">
        <v>153</v>
      </c>
      <c r="P445" s="26">
        <v>181</v>
      </c>
      <c r="Q445" s="26">
        <v>12</v>
      </c>
      <c r="R445" s="26">
        <v>1</v>
      </c>
      <c r="S445" s="26">
        <v>12</v>
      </c>
      <c r="T445" s="26">
        <v>11</v>
      </c>
      <c r="U445" s="26">
        <v>24</v>
      </c>
      <c r="V445" s="26">
        <v>1</v>
      </c>
      <c r="W445" s="26" t="s">
        <v>2076</v>
      </c>
    </row>
    <row r="446" spans="1:23" x14ac:dyDescent="0.25">
      <c r="A446" s="26" t="str">
        <f t="shared" si="64"/>
        <v>PRIMARIA</v>
      </c>
      <c r="B446" s="26" t="str">
        <f>"09DPR1267A"</f>
        <v>09DPR1267A</v>
      </c>
      <c r="C446" s="26" t="str">
        <f>"JUAN ESCUTIA                                                                                        "</f>
        <v xml:space="preserve">JUAN ESCUTIA                                                                                        </v>
      </c>
      <c r="D446" s="26" t="str">
        <f>"VESPERTINO"</f>
        <v>VESPERTINO</v>
      </c>
      <c r="E446" s="26" t="str">
        <f>"AV. JACARANDAS NO. 2                                                            "</f>
        <v xml:space="preserve">AV. JACARANDAS NO. 2                                                            </v>
      </c>
      <c r="F446" s="26" t="str">
        <f>"EL VERGEL                                                                                                                                   "</f>
        <v xml:space="preserve">EL VERGEL                                                                                                                                   </v>
      </c>
      <c r="G446" s="26" t="str">
        <f t="shared" ref="G446:G454" si="72">"IZTAPALAPA                                                                      "</f>
        <v xml:space="preserve">IZTAPALAPA                                                                      </v>
      </c>
      <c r="H446" s="26" t="str">
        <f>"044"</f>
        <v>044</v>
      </c>
      <c r="I446" s="26" t="str">
        <f t="shared" si="65"/>
        <v>00</v>
      </c>
      <c r="J446" s="26" t="str">
        <f>"63 "</f>
        <v xml:space="preserve">63 </v>
      </c>
      <c r="K446" s="26" t="str">
        <f t="shared" ref="K446:K454" si="73">"IZ"</f>
        <v>IZ</v>
      </c>
      <c r="L446" s="26" t="str">
        <f t="shared" ref="L446:L454" si="74">"DGSEI"</f>
        <v>DGSEI</v>
      </c>
      <c r="M446" s="26" t="str">
        <f t="shared" si="68"/>
        <v>FEDERAL</v>
      </c>
      <c r="N446" s="26">
        <v>360</v>
      </c>
      <c r="O446" s="26">
        <v>193</v>
      </c>
      <c r="P446" s="26">
        <v>167</v>
      </c>
      <c r="Q446" s="26">
        <v>17</v>
      </c>
      <c r="R446" s="26">
        <v>1</v>
      </c>
      <c r="S446" s="26">
        <v>10</v>
      </c>
      <c r="T446" s="26">
        <v>3</v>
      </c>
      <c r="U446" s="26">
        <v>14</v>
      </c>
      <c r="V446" s="26">
        <v>1</v>
      </c>
      <c r="W446" s="26"/>
    </row>
    <row r="447" spans="1:23" x14ac:dyDescent="0.25">
      <c r="A447" s="26" t="str">
        <f t="shared" si="64"/>
        <v>PRIMARIA</v>
      </c>
      <c r="B447" s="26" t="str">
        <f>"09DPR1268Z"</f>
        <v>09DPR1268Z</v>
      </c>
      <c r="C447" s="26" t="str">
        <f>"JUAN ESCUTIA                                                                                        "</f>
        <v xml:space="preserve">JUAN ESCUTIA                                                                                        </v>
      </c>
      <c r="D447" s="26" t="str">
        <f>"MATUTINO"</f>
        <v>MATUTINO</v>
      </c>
      <c r="E447" s="26" t="str">
        <f>"AV. JACARANDAS NO. 2                                                            "</f>
        <v xml:space="preserve">AV. JACARANDAS NO. 2                                                            </v>
      </c>
      <c r="F447" s="26" t="str">
        <f>"EL VERGEL                                                                                                                                   "</f>
        <v xml:space="preserve">EL VERGEL                                                                                                                                   </v>
      </c>
      <c r="G447" s="26" t="str">
        <f t="shared" si="72"/>
        <v xml:space="preserve">IZTAPALAPA                                                                      </v>
      </c>
      <c r="H447" s="26" t="str">
        <f>"044"</f>
        <v>044</v>
      </c>
      <c r="I447" s="26" t="str">
        <f t="shared" si="65"/>
        <v>00</v>
      </c>
      <c r="J447" s="26" t="str">
        <f>"63 "</f>
        <v xml:space="preserve">63 </v>
      </c>
      <c r="K447" s="26" t="str">
        <f t="shared" si="73"/>
        <v>IZ</v>
      </c>
      <c r="L447" s="26" t="str">
        <f t="shared" si="74"/>
        <v>DGSEI</v>
      </c>
      <c r="M447" s="26" t="str">
        <f t="shared" si="68"/>
        <v>FEDERAL</v>
      </c>
      <c r="N447" s="26">
        <v>604</v>
      </c>
      <c r="O447" s="26">
        <v>322</v>
      </c>
      <c r="P447" s="26">
        <v>282</v>
      </c>
      <c r="Q447" s="26">
        <v>18</v>
      </c>
      <c r="R447" s="26">
        <v>1</v>
      </c>
      <c r="S447" s="26">
        <v>18</v>
      </c>
      <c r="T447" s="26">
        <v>7</v>
      </c>
      <c r="U447" s="26">
        <v>26</v>
      </c>
      <c r="V447" s="26">
        <v>1</v>
      </c>
      <c r="W447" s="26"/>
    </row>
    <row r="448" spans="1:23" x14ac:dyDescent="0.25">
      <c r="A448" s="26" t="str">
        <f t="shared" si="64"/>
        <v>PRIMARIA</v>
      </c>
      <c r="B448" s="26" t="str">
        <f>"09DPR1269Z"</f>
        <v>09DPR1269Z</v>
      </c>
      <c r="C448" s="26" t="str">
        <f>"JUAN DE MATA RIVERA                                                                                 "</f>
        <v xml:space="preserve">JUAN DE MATA RIVERA                                                                                 </v>
      </c>
      <c r="D448" s="26" t="str">
        <f>"VESPERTINO"</f>
        <v>VESPERTINO</v>
      </c>
      <c r="E448" s="26" t="str">
        <f>"AV. TLAHUAC KM. 18.5                                                            "</f>
        <v xml:space="preserve">AV. TLAHUAC KM. 18.5                                                            </v>
      </c>
      <c r="F448" s="26" t="str">
        <f>"EL ROSARIO                                                                                                                                  "</f>
        <v xml:space="preserve">EL ROSARIO                                                                                                                                  </v>
      </c>
      <c r="G448" s="26" t="str">
        <f t="shared" si="72"/>
        <v xml:space="preserve">IZTAPALAPA                                                                      </v>
      </c>
      <c r="H448" s="26" t="str">
        <f>"051"</f>
        <v>051</v>
      </c>
      <c r="I448" s="26" t="str">
        <f t="shared" si="65"/>
        <v>00</v>
      </c>
      <c r="J448" s="26" t="str">
        <f>"63 "</f>
        <v xml:space="preserve">63 </v>
      </c>
      <c r="K448" s="26" t="str">
        <f t="shared" si="73"/>
        <v>IZ</v>
      </c>
      <c r="L448" s="26" t="str">
        <f t="shared" si="74"/>
        <v>DGSEI</v>
      </c>
      <c r="M448" s="26" t="str">
        <f t="shared" si="68"/>
        <v>FEDERAL</v>
      </c>
      <c r="N448" s="26">
        <v>268</v>
      </c>
      <c r="O448" s="26">
        <v>153</v>
      </c>
      <c r="P448" s="26">
        <v>115</v>
      </c>
      <c r="Q448" s="26">
        <v>14</v>
      </c>
      <c r="R448" s="26">
        <v>1</v>
      </c>
      <c r="S448" s="26">
        <v>14</v>
      </c>
      <c r="T448" s="26">
        <v>7</v>
      </c>
      <c r="U448" s="26">
        <v>22</v>
      </c>
      <c r="V448" s="26">
        <v>1</v>
      </c>
      <c r="W448" s="26"/>
    </row>
    <row r="449" spans="1:23" x14ac:dyDescent="0.25">
      <c r="A449" s="26" t="str">
        <f t="shared" si="64"/>
        <v>PRIMARIA</v>
      </c>
      <c r="B449" s="26" t="str">
        <f>"09DPR1271N"</f>
        <v>09DPR1271N</v>
      </c>
      <c r="C449" s="26" t="str">
        <f>"JOSE MARIANO JIMENEZ                                                                                "</f>
        <v xml:space="preserve">JOSE MARIANO JIMENEZ                                                                                </v>
      </c>
      <c r="D449" s="26" t="str">
        <f>"MATUTINO"</f>
        <v>MATUTINO</v>
      </c>
      <c r="E449" s="26" t="str">
        <f>"CALLE 47 NO. 50                                                                 "</f>
        <v xml:space="preserve">CALLE 47 NO. 50                                                                 </v>
      </c>
      <c r="F449" s="26" t="str">
        <f>"SANTA CRUZ MEYEHUALCO                                                                                                                       "</f>
        <v xml:space="preserve">SANTA CRUZ MEYEHUALCO                                                                                                                       </v>
      </c>
      <c r="G449" s="26" t="str">
        <f t="shared" si="72"/>
        <v xml:space="preserve">IZTAPALAPA                                                                      </v>
      </c>
      <c r="H449" s="26" t="str">
        <f>"058"</f>
        <v>058</v>
      </c>
      <c r="I449" s="26" t="str">
        <f t="shared" si="65"/>
        <v>00</v>
      </c>
      <c r="J449" s="26" t="str">
        <f>"64 "</f>
        <v xml:space="preserve">64 </v>
      </c>
      <c r="K449" s="26" t="str">
        <f t="shared" si="73"/>
        <v>IZ</v>
      </c>
      <c r="L449" s="26" t="str">
        <f t="shared" si="74"/>
        <v>DGSEI</v>
      </c>
      <c r="M449" s="26" t="str">
        <f t="shared" si="68"/>
        <v>FEDERAL</v>
      </c>
      <c r="N449" s="26">
        <v>442</v>
      </c>
      <c r="O449" s="26">
        <v>220</v>
      </c>
      <c r="P449" s="26">
        <v>222</v>
      </c>
      <c r="Q449" s="26">
        <v>16</v>
      </c>
      <c r="R449" s="26">
        <v>1</v>
      </c>
      <c r="S449" s="26">
        <v>16</v>
      </c>
      <c r="T449" s="26">
        <v>8</v>
      </c>
      <c r="U449" s="26">
        <v>25</v>
      </c>
      <c r="V449" s="26">
        <v>1</v>
      </c>
      <c r="W449" s="26"/>
    </row>
    <row r="450" spans="1:23" x14ac:dyDescent="0.25">
      <c r="A450" s="26" t="str">
        <f t="shared" ref="A450:A513" si="75">"PRIMARIA"</f>
        <v>PRIMARIA</v>
      </c>
      <c r="B450" s="26" t="str">
        <f>"09DPR1272M"</f>
        <v>09DPR1272M</v>
      </c>
      <c r="C450" s="26" t="str">
        <f>"JUAN DE MATA RIVERA                                                                                 "</f>
        <v xml:space="preserve">JUAN DE MATA RIVERA                                                                                 </v>
      </c>
      <c r="D450" s="26" t="str">
        <f>"MATUTINO"</f>
        <v>MATUTINO</v>
      </c>
      <c r="E450" s="26" t="str">
        <f>"AV. TLAHUAC KM. 18.5                                                            "</f>
        <v xml:space="preserve">AV. TLAHUAC KM. 18.5                                                            </v>
      </c>
      <c r="F450" s="26" t="str">
        <f>"EL ROSARIO                                                                                                                                  "</f>
        <v xml:space="preserve">EL ROSARIO                                                                                                                                  </v>
      </c>
      <c r="G450" s="26" t="str">
        <f t="shared" si="72"/>
        <v xml:space="preserve">IZTAPALAPA                                                                      </v>
      </c>
      <c r="H450" s="26" t="str">
        <f>"051"</f>
        <v>051</v>
      </c>
      <c r="I450" s="26" t="str">
        <f t="shared" ref="I450:I513" si="76">"00"</f>
        <v>00</v>
      </c>
      <c r="J450" s="26" t="str">
        <f>"63 "</f>
        <v xml:space="preserve">63 </v>
      </c>
      <c r="K450" s="26" t="str">
        <f t="shared" si="73"/>
        <v>IZ</v>
      </c>
      <c r="L450" s="26" t="str">
        <f t="shared" si="74"/>
        <v>DGSEI</v>
      </c>
      <c r="M450" s="26" t="str">
        <f t="shared" ref="M450:M513" si="77">"FEDERAL"</f>
        <v>FEDERAL</v>
      </c>
      <c r="N450" s="26">
        <v>591</v>
      </c>
      <c r="O450" s="26">
        <v>287</v>
      </c>
      <c r="P450" s="26">
        <v>304</v>
      </c>
      <c r="Q450" s="26">
        <v>19</v>
      </c>
      <c r="R450" s="26">
        <v>1</v>
      </c>
      <c r="S450" s="26">
        <v>15</v>
      </c>
      <c r="T450" s="26">
        <v>13</v>
      </c>
      <c r="U450" s="26">
        <v>29</v>
      </c>
      <c r="V450" s="26">
        <v>1</v>
      </c>
      <c r="W450" s="26"/>
    </row>
    <row r="451" spans="1:23" x14ac:dyDescent="0.25">
      <c r="A451" s="26" t="str">
        <f t="shared" si="75"/>
        <v>PRIMARIA</v>
      </c>
      <c r="B451" s="26" t="str">
        <f>"09DPR1273L"</f>
        <v>09DPR1273L</v>
      </c>
      <c r="C451" s="26" t="str">
        <f>"JOSE MARIANO JIMENEZ                                                                                "</f>
        <v xml:space="preserve">JOSE MARIANO JIMENEZ                                                                                </v>
      </c>
      <c r="D451" s="26" t="str">
        <f>"VESPERTINO"</f>
        <v>VESPERTINO</v>
      </c>
      <c r="E451" s="26" t="str">
        <f>"CALLE 47 NO. 50                                                                 "</f>
        <v xml:space="preserve">CALLE 47 NO. 50                                                                 </v>
      </c>
      <c r="F451" s="26" t="str">
        <f>"UNIDAD SANTA CRUZ MEYEHUALCO                                                                                                                "</f>
        <v xml:space="preserve">UNIDAD SANTA CRUZ MEYEHUALCO                                                                                                                </v>
      </c>
      <c r="G451" s="26" t="str">
        <f t="shared" si="72"/>
        <v xml:space="preserve">IZTAPALAPA                                                                      </v>
      </c>
      <c r="H451" s="26" t="str">
        <f>"058"</f>
        <v>058</v>
      </c>
      <c r="I451" s="26" t="str">
        <f t="shared" si="76"/>
        <v>00</v>
      </c>
      <c r="J451" s="26" t="str">
        <f>"64 "</f>
        <v xml:space="preserve">64 </v>
      </c>
      <c r="K451" s="26" t="str">
        <f t="shared" si="73"/>
        <v>IZ</v>
      </c>
      <c r="L451" s="26" t="str">
        <f t="shared" si="74"/>
        <v>DGSEI</v>
      </c>
      <c r="M451" s="26" t="str">
        <f t="shared" si="77"/>
        <v>FEDERAL</v>
      </c>
      <c r="N451" s="26">
        <v>192</v>
      </c>
      <c r="O451" s="26">
        <v>93</v>
      </c>
      <c r="P451" s="26">
        <v>99</v>
      </c>
      <c r="Q451" s="26">
        <v>11</v>
      </c>
      <c r="R451" s="26">
        <v>1</v>
      </c>
      <c r="S451" s="26">
        <v>11</v>
      </c>
      <c r="T451" s="26">
        <v>6</v>
      </c>
      <c r="U451" s="26">
        <v>18</v>
      </c>
      <c r="V451" s="26">
        <v>1</v>
      </c>
      <c r="W451" s="26"/>
    </row>
    <row r="452" spans="1:23" x14ac:dyDescent="0.25">
      <c r="A452" s="26" t="str">
        <f t="shared" si="75"/>
        <v>PRIMARIA</v>
      </c>
      <c r="B452" s="26" t="str">
        <f>"09DPR1274K"</f>
        <v>09DPR1274K</v>
      </c>
      <c r="C452" s="26" t="str">
        <f>"JOSE GUADALUPE GOMEZ                                                                                "</f>
        <v xml:space="preserve">JOSE GUADALUPE GOMEZ                                                                                </v>
      </c>
      <c r="D452" s="26" t="str">
        <f>"MATUTINO"</f>
        <v>MATUTINO</v>
      </c>
      <c r="E452" s="26" t="str">
        <f>"AV. HIDALGO NO. 94                                                              "</f>
        <v xml:space="preserve">AV. HIDALGO NO. 94                                                              </v>
      </c>
      <c r="F452" s="26" t="str">
        <f>"SAN MIGUEL DE LAS SALERAS                                                                                                                   "</f>
        <v xml:space="preserve">SAN MIGUEL DE LAS SALERAS                                                                                                                   </v>
      </c>
      <c r="G452" s="26" t="str">
        <f t="shared" si="72"/>
        <v xml:space="preserve">IZTAPALAPA                                                                      </v>
      </c>
      <c r="H452" s="26" t="str">
        <f>"015"</f>
        <v>015</v>
      </c>
      <c r="I452" s="26" t="str">
        <f t="shared" si="76"/>
        <v>00</v>
      </c>
      <c r="J452" s="26" t="str">
        <f>"62 "</f>
        <v xml:space="preserve">62 </v>
      </c>
      <c r="K452" s="26" t="str">
        <f t="shared" si="73"/>
        <v>IZ</v>
      </c>
      <c r="L452" s="26" t="str">
        <f t="shared" si="74"/>
        <v>DGSEI</v>
      </c>
      <c r="M452" s="26" t="str">
        <f t="shared" si="77"/>
        <v>FEDERAL</v>
      </c>
      <c r="N452" s="26">
        <v>319</v>
      </c>
      <c r="O452" s="26">
        <v>138</v>
      </c>
      <c r="P452" s="26">
        <v>181</v>
      </c>
      <c r="Q452" s="26">
        <v>12</v>
      </c>
      <c r="R452" s="26">
        <v>1</v>
      </c>
      <c r="S452" s="26">
        <v>12</v>
      </c>
      <c r="T452" s="26">
        <v>4</v>
      </c>
      <c r="U452" s="26">
        <v>17</v>
      </c>
      <c r="V452" s="26">
        <v>1</v>
      </c>
      <c r="W452" s="26"/>
    </row>
    <row r="453" spans="1:23" x14ac:dyDescent="0.25">
      <c r="A453" s="26" t="str">
        <f t="shared" si="75"/>
        <v>PRIMARIA</v>
      </c>
      <c r="B453" s="26" t="str">
        <f>"09DPR1275J"</f>
        <v>09DPR1275J</v>
      </c>
      <c r="C453" s="26" t="str">
        <f>"JOSE GUADALUPE GOMEZ                                                                                "</f>
        <v xml:space="preserve">JOSE GUADALUPE GOMEZ                                                                                </v>
      </c>
      <c r="D453" s="26" t="str">
        <f>"VESPERTINO"</f>
        <v>VESPERTINO</v>
      </c>
      <c r="E453" s="26" t="str">
        <f>"AV. HIDALGO NO. 94                                                              "</f>
        <v xml:space="preserve">AV. HIDALGO NO. 94                                                              </v>
      </c>
      <c r="F453" s="26" t="str">
        <f>"SAN MIGUEL DE LAS SALERAS                                                                                                                   "</f>
        <v xml:space="preserve">SAN MIGUEL DE LAS SALERAS                                                                                                                   </v>
      </c>
      <c r="G453" s="26" t="str">
        <f t="shared" si="72"/>
        <v xml:space="preserve">IZTAPALAPA                                                                      </v>
      </c>
      <c r="H453" s="26" t="str">
        <f>"015"</f>
        <v>015</v>
      </c>
      <c r="I453" s="26" t="str">
        <f t="shared" si="76"/>
        <v>00</v>
      </c>
      <c r="J453" s="26" t="str">
        <f>"62 "</f>
        <v xml:space="preserve">62 </v>
      </c>
      <c r="K453" s="26" t="str">
        <f t="shared" si="73"/>
        <v>IZ</v>
      </c>
      <c r="L453" s="26" t="str">
        <f t="shared" si="74"/>
        <v>DGSEI</v>
      </c>
      <c r="M453" s="26" t="str">
        <f t="shared" si="77"/>
        <v>FEDERAL</v>
      </c>
      <c r="N453" s="26">
        <v>129</v>
      </c>
      <c r="O453" s="26">
        <v>75</v>
      </c>
      <c r="P453" s="26">
        <v>54</v>
      </c>
      <c r="Q453" s="26">
        <v>7</v>
      </c>
      <c r="R453" s="26">
        <v>1</v>
      </c>
      <c r="S453" s="26">
        <v>6</v>
      </c>
      <c r="T453" s="26">
        <v>6</v>
      </c>
      <c r="U453" s="26">
        <v>13</v>
      </c>
      <c r="V453" s="26">
        <v>1</v>
      </c>
      <c r="W453" s="26"/>
    </row>
    <row r="454" spans="1:23" x14ac:dyDescent="0.25">
      <c r="A454" s="26" t="str">
        <f t="shared" si="75"/>
        <v>PRIMARIA</v>
      </c>
      <c r="B454" s="26" t="str">
        <f>"09DPR1276I"</f>
        <v>09DPR1276I</v>
      </c>
      <c r="C454" s="26" t="str">
        <f>"JORGE ALACIO PEREZ                                                                                  "</f>
        <v xml:space="preserve">JORGE ALACIO PEREZ                                                                                  </v>
      </c>
      <c r="D454" s="26" t="str">
        <f>"TIEMPO COMPLETO"</f>
        <v>TIEMPO COMPLETO</v>
      </c>
      <c r="E454" s="26" t="str">
        <f>"LABORISTAS NO. 146                                                              "</f>
        <v xml:space="preserve">LABORISTAS NO. 146                                                              </v>
      </c>
      <c r="F454" s="26" t="str">
        <f>"SAN ANDRES TETEPILCO                                                                                                                        "</f>
        <v xml:space="preserve">SAN ANDRES TETEPILCO                                                                                                                        </v>
      </c>
      <c r="G454" s="26" t="str">
        <f t="shared" si="72"/>
        <v xml:space="preserve">IZTAPALAPA                                                                      </v>
      </c>
      <c r="H454" s="26" t="str">
        <f>"001"</f>
        <v>001</v>
      </c>
      <c r="I454" s="26" t="str">
        <f t="shared" si="76"/>
        <v>00</v>
      </c>
      <c r="J454" s="26" t="str">
        <f>"61 "</f>
        <v xml:space="preserve">61 </v>
      </c>
      <c r="K454" s="26" t="str">
        <f t="shared" si="73"/>
        <v>IZ</v>
      </c>
      <c r="L454" s="26" t="str">
        <f t="shared" si="74"/>
        <v>DGSEI</v>
      </c>
      <c r="M454" s="26" t="str">
        <f t="shared" si="77"/>
        <v>FEDERAL</v>
      </c>
      <c r="N454" s="26">
        <v>245</v>
      </c>
      <c r="O454" s="26">
        <v>121</v>
      </c>
      <c r="P454" s="26">
        <v>124</v>
      </c>
      <c r="Q454" s="26">
        <v>10</v>
      </c>
      <c r="R454" s="26">
        <v>0</v>
      </c>
      <c r="S454" s="26">
        <v>9</v>
      </c>
      <c r="T454" s="26">
        <v>10</v>
      </c>
      <c r="U454" s="26">
        <v>19</v>
      </c>
      <c r="V454" s="26">
        <v>1</v>
      </c>
      <c r="W454" s="26" t="s">
        <v>218</v>
      </c>
    </row>
    <row r="455" spans="1:23" x14ac:dyDescent="0.25">
      <c r="A455" s="26" t="str">
        <f t="shared" si="75"/>
        <v>PRIMARIA</v>
      </c>
      <c r="B455" s="26" t="str">
        <f>"09DPR1278G"</f>
        <v>09DPR1278G</v>
      </c>
      <c r="C455" s="26" t="str">
        <f>"JONAS EDWARD SALK                                                                                   "</f>
        <v xml:space="preserve">JONAS EDWARD SALK                                                                                   </v>
      </c>
      <c r="D455" s="26" t="str">
        <f>"TIEMPO COMPLETO"</f>
        <v>TIEMPO COMPLETO</v>
      </c>
      <c r="E455" s="26" t="str">
        <f>"ROMERO Y 5 DE FEBRERO NUM. 1056                                                 "</f>
        <v xml:space="preserve">ROMERO Y 5 DE FEBRERO NUM. 1056                                                 </v>
      </c>
      <c r="F455" s="26" t="str">
        <f>"AMERICAS UNIDAS                                                                                                                             "</f>
        <v xml:space="preserve">AMERICAS UNIDAS                                                                                                                             </v>
      </c>
      <c r="G455" s="26" t="str">
        <f>"BENITO JUAREZ                                                                   "</f>
        <v xml:space="preserve">BENITO JUAREZ                                                                   </v>
      </c>
      <c r="H455" s="26" t="str">
        <f>"413"</f>
        <v>413</v>
      </c>
      <c r="I455" s="26" t="str">
        <f t="shared" si="76"/>
        <v>00</v>
      </c>
      <c r="J455" s="26" t="str">
        <f>"44 "</f>
        <v xml:space="preserve">44 </v>
      </c>
      <c r="K455" s="26" t="str">
        <f>"PR"</f>
        <v>PR</v>
      </c>
      <c r="L455" s="26" t="str">
        <f>"DGOSE"</f>
        <v>DGOSE</v>
      </c>
      <c r="M455" s="26" t="str">
        <f t="shared" si="77"/>
        <v>FEDERAL</v>
      </c>
      <c r="N455" s="26">
        <v>364</v>
      </c>
      <c r="O455" s="26">
        <v>194</v>
      </c>
      <c r="P455" s="26">
        <v>170</v>
      </c>
      <c r="Q455" s="26">
        <v>12</v>
      </c>
      <c r="R455" s="26">
        <v>1</v>
      </c>
      <c r="S455" s="26">
        <v>12</v>
      </c>
      <c r="T455" s="26">
        <v>13</v>
      </c>
      <c r="U455" s="26">
        <v>26</v>
      </c>
      <c r="V455" s="26">
        <v>1</v>
      </c>
      <c r="W455" s="26" t="s">
        <v>218</v>
      </c>
    </row>
    <row r="456" spans="1:23" x14ac:dyDescent="0.25">
      <c r="A456" s="26" t="str">
        <f t="shared" si="75"/>
        <v>PRIMARIA</v>
      </c>
      <c r="B456" s="26" t="str">
        <f>"09DPR1280V"</f>
        <v>09DPR1280V</v>
      </c>
      <c r="C456" s="26" t="str">
        <f>"JAPON                                                                                               "</f>
        <v xml:space="preserve">JAPON                                                                                               </v>
      </c>
      <c r="D456" s="26" t="str">
        <f>"JORNADA AMPLIADA"</f>
        <v>JORNADA AMPLIADA</v>
      </c>
      <c r="E456" s="26" t="str">
        <f>"SUR 103-A NO. 624                                                               "</f>
        <v xml:space="preserve">SUR 103-A NO. 624                                                               </v>
      </c>
      <c r="F456" s="26" t="str">
        <f>"SECTOR POPULAR                                                                                                                              "</f>
        <v xml:space="preserve">SECTOR POPULAR                                                                                                                              </v>
      </c>
      <c r="G456" s="26" t="str">
        <f>"IZTAPALAPA                                                                      "</f>
        <v xml:space="preserve">IZTAPALAPA                                                                      </v>
      </c>
      <c r="H456" s="26" t="str">
        <f>"002"</f>
        <v>002</v>
      </c>
      <c r="I456" s="26" t="str">
        <f t="shared" si="76"/>
        <v>00</v>
      </c>
      <c r="J456" s="26" t="str">
        <f>"61 "</f>
        <v xml:space="preserve">61 </v>
      </c>
      <c r="K456" s="26" t="str">
        <f>"IZ"</f>
        <v>IZ</v>
      </c>
      <c r="L456" s="26" t="str">
        <f>"DGSEI"</f>
        <v>DGSEI</v>
      </c>
      <c r="M456" s="26" t="str">
        <f t="shared" si="77"/>
        <v>FEDERAL</v>
      </c>
      <c r="N456" s="26">
        <v>287</v>
      </c>
      <c r="O456" s="26">
        <v>144</v>
      </c>
      <c r="P456" s="26">
        <v>143</v>
      </c>
      <c r="Q456" s="26">
        <v>11</v>
      </c>
      <c r="R456" s="26">
        <v>1</v>
      </c>
      <c r="S456" s="26">
        <v>11</v>
      </c>
      <c r="T456" s="26">
        <v>9</v>
      </c>
      <c r="U456" s="26">
        <v>21</v>
      </c>
      <c r="V456" s="26">
        <v>1</v>
      </c>
      <c r="W456" s="26" t="s">
        <v>2076</v>
      </c>
    </row>
    <row r="457" spans="1:23" x14ac:dyDescent="0.25">
      <c r="A457" s="26" t="str">
        <f t="shared" si="75"/>
        <v>PRIMARIA</v>
      </c>
      <c r="B457" s="26" t="str">
        <f>"09DPR1283S"</f>
        <v>09DPR1283S</v>
      </c>
      <c r="C457" s="26" t="str">
        <f>"JOSE JOAQUIN TERRAZAS                                                                               "</f>
        <v xml:space="preserve">JOSE JOAQUIN TERRAZAS                                                                               </v>
      </c>
      <c r="D457" s="26" t="str">
        <f>"JORNADA AMPLIADA"</f>
        <v>JORNADA AMPLIADA</v>
      </c>
      <c r="E457" s="26" t="str">
        <f>"REEMBOLSOS 44                                                                   "</f>
        <v xml:space="preserve">REEMBOLSOS 44                                                                   </v>
      </c>
      <c r="F457" s="26" t="str">
        <f>"POSTAL                                                                                                                                      "</f>
        <v xml:space="preserve">POSTAL                                                                                                                                      </v>
      </c>
      <c r="G457" s="26" t="str">
        <f>"BENITO JUAREZ                                                                   "</f>
        <v xml:space="preserve">BENITO JUAREZ                                                                   </v>
      </c>
      <c r="H457" s="26" t="str">
        <f>"413"</f>
        <v>413</v>
      </c>
      <c r="I457" s="26" t="str">
        <f t="shared" si="76"/>
        <v>00</v>
      </c>
      <c r="J457" s="26" t="str">
        <f>"44 "</f>
        <v xml:space="preserve">44 </v>
      </c>
      <c r="K457" s="26" t="str">
        <f>"PR"</f>
        <v>PR</v>
      </c>
      <c r="L457" s="26" t="str">
        <f>"DGOSE"</f>
        <v>DGOSE</v>
      </c>
      <c r="M457" s="26" t="str">
        <f t="shared" si="77"/>
        <v>FEDERAL</v>
      </c>
      <c r="N457" s="26">
        <v>233</v>
      </c>
      <c r="O457" s="26">
        <v>121</v>
      </c>
      <c r="P457" s="26">
        <v>112</v>
      </c>
      <c r="Q457" s="26">
        <v>9</v>
      </c>
      <c r="R457" s="26">
        <v>1</v>
      </c>
      <c r="S457" s="26">
        <v>9</v>
      </c>
      <c r="T457" s="26">
        <v>8</v>
      </c>
      <c r="U457" s="26">
        <v>18</v>
      </c>
      <c r="V457" s="26">
        <v>1</v>
      </c>
      <c r="W457" s="26" t="s">
        <v>2076</v>
      </c>
    </row>
    <row r="458" spans="1:23" x14ac:dyDescent="0.25">
      <c r="A458" s="26" t="str">
        <f t="shared" si="75"/>
        <v>PRIMARIA</v>
      </c>
      <c r="B458" s="26" t="str">
        <f>"09DPR1284R"</f>
        <v>09DPR1284R</v>
      </c>
      <c r="C458" s="26" t="str">
        <f>"JESUS GONZALEZ ORTEGA                                                                               "</f>
        <v xml:space="preserve">JESUS GONZALEZ ORTEGA                                                                               </v>
      </c>
      <c r="D458" s="26" t="str">
        <f>"TIEMPO COMPLETO"</f>
        <v>TIEMPO COMPLETO</v>
      </c>
      <c r="E458" s="26" t="str">
        <f>"PRIMERO DE MAYO Y ELISA 74                                                      "</f>
        <v xml:space="preserve">PRIMERO DE MAYO Y ELISA 74                                                      </v>
      </c>
      <c r="F458" s="26" t="str">
        <f>"NATIVITAS                                                                                                                                   "</f>
        <v xml:space="preserve">NATIVITAS                                                                                                                                   </v>
      </c>
      <c r="G458" s="26" t="str">
        <f>"BENITO JUAREZ                                                                   "</f>
        <v xml:space="preserve">BENITO JUAREZ                                                                   </v>
      </c>
      <c r="H458" s="26" t="str">
        <f>"413"</f>
        <v>413</v>
      </c>
      <c r="I458" s="26" t="str">
        <f t="shared" si="76"/>
        <v>00</v>
      </c>
      <c r="J458" s="26" t="str">
        <f>"44 "</f>
        <v xml:space="preserve">44 </v>
      </c>
      <c r="K458" s="26" t="str">
        <f>"PR"</f>
        <v>PR</v>
      </c>
      <c r="L458" s="26" t="str">
        <f>"DGOSE"</f>
        <v>DGOSE</v>
      </c>
      <c r="M458" s="26" t="str">
        <f t="shared" si="77"/>
        <v>FEDERAL</v>
      </c>
      <c r="N458" s="26">
        <v>318</v>
      </c>
      <c r="O458" s="26">
        <v>176</v>
      </c>
      <c r="P458" s="26">
        <v>142</v>
      </c>
      <c r="Q458" s="26">
        <v>12</v>
      </c>
      <c r="R458" s="26">
        <v>1</v>
      </c>
      <c r="S458" s="26">
        <v>12</v>
      </c>
      <c r="T458" s="26">
        <v>13</v>
      </c>
      <c r="U458" s="26">
        <v>26</v>
      </c>
      <c r="V458" s="26">
        <v>1</v>
      </c>
      <c r="W458" s="26" t="s">
        <v>218</v>
      </c>
    </row>
    <row r="459" spans="1:23" x14ac:dyDescent="0.25">
      <c r="A459" s="26" t="str">
        <f t="shared" si="75"/>
        <v>PRIMARIA</v>
      </c>
      <c r="B459" s="26" t="str">
        <f>"09DPR1286P"</f>
        <v>09DPR1286P</v>
      </c>
      <c r="C459" s="26" t="str">
        <f>"HOLANDA                                                                                             "</f>
        <v xml:space="preserve">HOLANDA                                                                                             </v>
      </c>
      <c r="D459" s="26" t="str">
        <f>"MATUTINO"</f>
        <v>MATUTINO</v>
      </c>
      <c r="E459" s="26" t="str">
        <f>"CAMPESINOS Y CULTIVOS NO. 111                                                   "</f>
        <v xml:space="preserve">CAMPESINOS Y CULTIVOS NO. 111                                                   </v>
      </c>
      <c r="F459" s="26" t="str">
        <f>"PROGRESO DEL SUR                                                                                                                            "</f>
        <v xml:space="preserve">PROGRESO DEL SUR                                                                                                                            </v>
      </c>
      <c r="G459" s="26" t="str">
        <f>"IZTAPALAPA                                                                      "</f>
        <v xml:space="preserve">IZTAPALAPA                                                                      </v>
      </c>
      <c r="H459" s="26" t="str">
        <f>"033"</f>
        <v>033</v>
      </c>
      <c r="I459" s="26" t="str">
        <f t="shared" si="76"/>
        <v>00</v>
      </c>
      <c r="J459" s="26" t="str">
        <f>"63 "</f>
        <v xml:space="preserve">63 </v>
      </c>
      <c r="K459" s="26" t="str">
        <f>"IZ"</f>
        <v>IZ</v>
      </c>
      <c r="L459" s="26" t="str">
        <f>"DGSEI"</f>
        <v>DGSEI</v>
      </c>
      <c r="M459" s="26" t="str">
        <f t="shared" si="77"/>
        <v>FEDERAL</v>
      </c>
      <c r="N459" s="26">
        <v>527</v>
      </c>
      <c r="O459" s="26">
        <v>279</v>
      </c>
      <c r="P459" s="26">
        <v>248</v>
      </c>
      <c r="Q459" s="26">
        <v>18</v>
      </c>
      <c r="R459" s="26">
        <v>1</v>
      </c>
      <c r="S459" s="26">
        <v>18</v>
      </c>
      <c r="T459" s="26">
        <v>9</v>
      </c>
      <c r="U459" s="26">
        <v>28</v>
      </c>
      <c r="V459" s="26">
        <v>1</v>
      </c>
      <c r="W459" s="26"/>
    </row>
    <row r="460" spans="1:23" x14ac:dyDescent="0.25">
      <c r="A460" s="26" t="str">
        <f t="shared" si="75"/>
        <v>PRIMARIA</v>
      </c>
      <c r="B460" s="26" t="str">
        <f>"09DPR1287O"</f>
        <v>09DPR1287O</v>
      </c>
      <c r="C460" s="26" t="str">
        <f>"HOLANDA                                                                                             "</f>
        <v xml:space="preserve">HOLANDA                                                                                             </v>
      </c>
      <c r="D460" s="26" t="str">
        <f>"VESPERTINO"</f>
        <v>VESPERTINO</v>
      </c>
      <c r="E460" s="26" t="str">
        <f>"CAMPESINOS Y CULTIVOS NO. 111                                                   "</f>
        <v xml:space="preserve">CAMPESINOS Y CULTIVOS NO. 111                                                   </v>
      </c>
      <c r="F460" s="26" t="str">
        <f>"PROGRESO DEL SUR                                                                                                                            "</f>
        <v xml:space="preserve">PROGRESO DEL SUR                                                                                                                            </v>
      </c>
      <c r="G460" s="26" t="str">
        <f>"IZTAPALAPA                                                                      "</f>
        <v xml:space="preserve">IZTAPALAPA                                                                      </v>
      </c>
      <c r="H460" s="26" t="str">
        <f>"033"</f>
        <v>033</v>
      </c>
      <c r="I460" s="26" t="str">
        <f t="shared" si="76"/>
        <v>00</v>
      </c>
      <c r="J460" s="26" t="str">
        <f>"63 "</f>
        <v xml:space="preserve">63 </v>
      </c>
      <c r="K460" s="26" t="str">
        <f>"IZ"</f>
        <v>IZ</v>
      </c>
      <c r="L460" s="26" t="str">
        <f>"DGSEI"</f>
        <v>DGSEI</v>
      </c>
      <c r="M460" s="26" t="str">
        <f t="shared" si="77"/>
        <v>FEDERAL</v>
      </c>
      <c r="N460" s="26">
        <v>249</v>
      </c>
      <c r="O460" s="26">
        <v>129</v>
      </c>
      <c r="P460" s="26">
        <v>120</v>
      </c>
      <c r="Q460" s="26">
        <v>13</v>
      </c>
      <c r="R460" s="26">
        <v>1</v>
      </c>
      <c r="S460" s="26">
        <v>13</v>
      </c>
      <c r="T460" s="26">
        <v>7</v>
      </c>
      <c r="U460" s="26">
        <v>21</v>
      </c>
      <c r="V460" s="26">
        <v>1</v>
      </c>
      <c r="W460" s="26"/>
    </row>
    <row r="461" spans="1:23" x14ac:dyDescent="0.25">
      <c r="A461" s="26" t="str">
        <f t="shared" si="75"/>
        <v>PRIMARIA</v>
      </c>
      <c r="B461" s="26" t="str">
        <f>"09DPR1289M"</f>
        <v>09DPR1289M</v>
      </c>
      <c r="C461" s="26" t="str">
        <f>"HEROICOS CADETES                                                                                    "</f>
        <v xml:space="preserve">HEROICOS CADETES                                                                                    </v>
      </c>
      <c r="D461" s="26" t="str">
        <f>"MATUTINO"</f>
        <v>MATUTINO</v>
      </c>
      <c r="E461" s="26" t="str">
        <f>"ANDADOR NORTE No.200                                                            "</f>
        <v xml:space="preserve">ANDADOR NORTE No.200                                                            </v>
      </c>
      <c r="F461" s="26" t="str">
        <f>"MILITAR MARTE                                                                                                                               "</f>
        <v xml:space="preserve">MILITAR MARTE                                                                                                                               </v>
      </c>
      <c r="G461" s="26" t="str">
        <f>"IZTACALCO                                                                       "</f>
        <v xml:space="preserve">IZTACALCO                                                                       </v>
      </c>
      <c r="H461" s="26" t="str">
        <f>"363"</f>
        <v>363</v>
      </c>
      <c r="I461" s="26" t="str">
        <f t="shared" si="76"/>
        <v>00</v>
      </c>
      <c r="J461" s="26" t="str">
        <f>"43 "</f>
        <v xml:space="preserve">43 </v>
      </c>
      <c r="K461" s="26" t="str">
        <f>"PR"</f>
        <v>PR</v>
      </c>
      <c r="L461" s="26" t="str">
        <f>"DGOSE"</f>
        <v>DGOSE</v>
      </c>
      <c r="M461" s="26" t="str">
        <f t="shared" si="77"/>
        <v>FEDERAL</v>
      </c>
      <c r="N461" s="26">
        <v>538</v>
      </c>
      <c r="O461" s="26">
        <v>247</v>
      </c>
      <c r="P461" s="26">
        <v>291</v>
      </c>
      <c r="Q461" s="26">
        <v>19</v>
      </c>
      <c r="R461" s="26">
        <v>1</v>
      </c>
      <c r="S461" s="26">
        <v>19</v>
      </c>
      <c r="T461" s="26">
        <v>11</v>
      </c>
      <c r="U461" s="26">
        <v>31</v>
      </c>
      <c r="V461" s="26">
        <v>1</v>
      </c>
      <c r="W461" s="26"/>
    </row>
    <row r="462" spans="1:23" x14ac:dyDescent="0.25">
      <c r="A462" s="26" t="str">
        <f t="shared" si="75"/>
        <v>PRIMARIA</v>
      </c>
      <c r="B462" s="26" t="str">
        <f>"09DPR1290B"</f>
        <v>09DPR1290B</v>
      </c>
      <c r="C462" s="26" t="str">
        <f>"HEROES DE EL CARRIZAL                                                                               "</f>
        <v xml:space="preserve">HEROES DE EL CARRIZAL                                                                               </v>
      </c>
      <c r="D462" s="26" t="str">
        <f>"JORNADA AMPLIADA"</f>
        <v>JORNADA AMPLIADA</v>
      </c>
      <c r="E462" s="26" t="str">
        <f>"AV. AMERICAS NUM 155                                                            "</f>
        <v xml:space="preserve">AV. AMERICAS NUM 155                                                            </v>
      </c>
      <c r="F462" s="26" t="str">
        <f>"MODERNA                                                                                                                                     "</f>
        <v xml:space="preserve">MODERNA                                                                                                                                     </v>
      </c>
      <c r="G462" s="26" t="str">
        <f>"BENITO JUAREZ                                                                   "</f>
        <v xml:space="preserve">BENITO JUAREZ                                                                   </v>
      </c>
      <c r="H462" s="26" t="str">
        <f>"413"</f>
        <v>413</v>
      </c>
      <c r="I462" s="26" t="str">
        <f t="shared" si="76"/>
        <v>00</v>
      </c>
      <c r="J462" s="26" t="str">
        <f>"44 "</f>
        <v xml:space="preserve">44 </v>
      </c>
      <c r="K462" s="26" t="str">
        <f>"PR"</f>
        <v>PR</v>
      </c>
      <c r="L462" s="26" t="str">
        <f>"DGOSE"</f>
        <v>DGOSE</v>
      </c>
      <c r="M462" s="26" t="str">
        <f t="shared" si="77"/>
        <v>FEDERAL</v>
      </c>
      <c r="N462" s="26">
        <v>199</v>
      </c>
      <c r="O462" s="26">
        <v>107</v>
      </c>
      <c r="P462" s="26">
        <v>92</v>
      </c>
      <c r="Q462" s="26">
        <v>7</v>
      </c>
      <c r="R462" s="26">
        <v>1</v>
      </c>
      <c r="S462" s="26">
        <v>7</v>
      </c>
      <c r="T462" s="26">
        <v>9</v>
      </c>
      <c r="U462" s="26">
        <v>17</v>
      </c>
      <c r="V462" s="26">
        <v>1</v>
      </c>
      <c r="W462" s="26" t="s">
        <v>2076</v>
      </c>
    </row>
    <row r="463" spans="1:23" x14ac:dyDescent="0.25">
      <c r="A463" s="26" t="str">
        <f t="shared" si="75"/>
        <v>PRIMARIA</v>
      </c>
      <c r="B463" s="26" t="str">
        <f>"09DPR1293Z"</f>
        <v>09DPR1293Z</v>
      </c>
      <c r="C463" s="26" t="str">
        <f>"GUSTAVO A. MADERO                                                                                   "</f>
        <v xml:space="preserve">GUSTAVO A. MADERO                                                                                   </v>
      </c>
      <c r="D463" s="26" t="str">
        <f>"MATUTINO"</f>
        <v>MATUTINO</v>
      </c>
      <c r="E463" s="26" t="str">
        <f>"CUAUHTEMOC NO. 1                                                                "</f>
        <v xml:space="preserve">CUAUHTEMOC NO. 1                                                                </v>
      </c>
      <c r="F463" s="26" t="str">
        <f>"CULHUACAN                                                                                                                                   "</f>
        <v xml:space="preserve">CULHUACAN                                                                                                                                   </v>
      </c>
      <c r="G463" s="26" t="str">
        <f>"IZTAPALAPA                                                                      "</f>
        <v xml:space="preserve">IZTAPALAPA                                                                      </v>
      </c>
      <c r="H463" s="26" t="str">
        <f>"040"</f>
        <v>040</v>
      </c>
      <c r="I463" s="26" t="str">
        <f t="shared" si="76"/>
        <v>00</v>
      </c>
      <c r="J463" s="26" t="str">
        <f>"63 "</f>
        <v xml:space="preserve">63 </v>
      </c>
      <c r="K463" s="26" t="str">
        <f>"IZ"</f>
        <v>IZ</v>
      </c>
      <c r="L463" s="26" t="str">
        <f>"DGSEI"</f>
        <v>DGSEI</v>
      </c>
      <c r="M463" s="26" t="str">
        <f t="shared" si="77"/>
        <v>FEDERAL</v>
      </c>
      <c r="N463" s="26">
        <v>192</v>
      </c>
      <c r="O463" s="26">
        <v>101</v>
      </c>
      <c r="P463" s="26">
        <v>91</v>
      </c>
      <c r="Q463" s="26">
        <v>7</v>
      </c>
      <c r="R463" s="26">
        <v>1</v>
      </c>
      <c r="S463" s="26">
        <v>7</v>
      </c>
      <c r="T463" s="26">
        <v>4</v>
      </c>
      <c r="U463" s="26">
        <v>12</v>
      </c>
      <c r="V463" s="26">
        <v>1</v>
      </c>
      <c r="W463" s="26"/>
    </row>
    <row r="464" spans="1:23" x14ac:dyDescent="0.25">
      <c r="A464" s="26" t="str">
        <f t="shared" si="75"/>
        <v>PRIMARIA</v>
      </c>
      <c r="B464" s="26" t="str">
        <f>"09DPR1294Y"</f>
        <v>09DPR1294Y</v>
      </c>
      <c r="C464" s="26" t="str">
        <f>"GUSTAVO A. MADERO                                                                                   "</f>
        <v xml:space="preserve">GUSTAVO A. MADERO                                                                                   </v>
      </c>
      <c r="D464" s="26" t="str">
        <f>"VESPERTINO"</f>
        <v>VESPERTINO</v>
      </c>
      <c r="E464" s="26" t="str">
        <f>"CUAUHTEMOC NO. 1                                                                "</f>
        <v xml:space="preserve">CUAUHTEMOC NO. 1                                                                </v>
      </c>
      <c r="F464" s="26" t="str">
        <f>"CULHUACAN                                                                                                                                   "</f>
        <v xml:space="preserve">CULHUACAN                                                                                                                                   </v>
      </c>
      <c r="G464" s="26" t="str">
        <f>"IZTAPALAPA                                                                      "</f>
        <v xml:space="preserve">IZTAPALAPA                                                                      </v>
      </c>
      <c r="H464" s="26" t="str">
        <f>"040"</f>
        <v>040</v>
      </c>
      <c r="I464" s="26" t="str">
        <f t="shared" si="76"/>
        <v>00</v>
      </c>
      <c r="J464" s="26" t="str">
        <f>"63 "</f>
        <v xml:space="preserve">63 </v>
      </c>
      <c r="K464" s="26" t="str">
        <f>"IZ"</f>
        <v>IZ</v>
      </c>
      <c r="L464" s="26" t="str">
        <f>"DGSEI"</f>
        <v>DGSEI</v>
      </c>
      <c r="M464" s="26" t="str">
        <f t="shared" si="77"/>
        <v>FEDERAL</v>
      </c>
      <c r="N464" s="26">
        <v>137</v>
      </c>
      <c r="O464" s="26">
        <v>54</v>
      </c>
      <c r="P464" s="26">
        <v>83</v>
      </c>
      <c r="Q464" s="26">
        <v>6</v>
      </c>
      <c r="R464" s="26">
        <v>1</v>
      </c>
      <c r="S464" s="26">
        <v>6</v>
      </c>
      <c r="T464" s="26">
        <v>4</v>
      </c>
      <c r="U464" s="26">
        <v>11</v>
      </c>
      <c r="V464" s="26">
        <v>1</v>
      </c>
      <c r="W464" s="26"/>
    </row>
    <row r="465" spans="1:23" x14ac:dyDescent="0.25">
      <c r="A465" s="26" t="str">
        <f t="shared" si="75"/>
        <v>PRIMARIA</v>
      </c>
      <c r="B465" s="26" t="str">
        <f>"09DPR1295X"</f>
        <v>09DPR1295X</v>
      </c>
      <c r="C465" s="26" t="str">
        <f>"GREGORIO MARIAS                                                                                     "</f>
        <v xml:space="preserve">GREGORIO MARIAS                                                                                     </v>
      </c>
      <c r="D465" s="26" t="str">
        <f>"MATUTINO"</f>
        <v>MATUTINO</v>
      </c>
      <c r="E465" s="26" t="str">
        <f>"BENITO JUAREZ S/N.                                                              "</f>
        <v xml:space="preserve">BENITO JUAREZ S/N.                                                              </v>
      </c>
      <c r="F465" s="26" t="str">
        <f>"SANTA CRUZ MEYEHUALCO                                                                                                                       "</f>
        <v xml:space="preserve">SANTA CRUZ MEYEHUALCO                                                                                                                       </v>
      </c>
      <c r="G465" s="26" t="str">
        <f>"IZTAPALAPA                                                                      "</f>
        <v xml:space="preserve">IZTAPALAPA                                                                      </v>
      </c>
      <c r="H465" s="26" t="str">
        <f>"059"</f>
        <v>059</v>
      </c>
      <c r="I465" s="26" t="str">
        <f t="shared" si="76"/>
        <v>00</v>
      </c>
      <c r="J465" s="26" t="str">
        <f>"64 "</f>
        <v xml:space="preserve">64 </v>
      </c>
      <c r="K465" s="26" t="str">
        <f>"IZ"</f>
        <v>IZ</v>
      </c>
      <c r="L465" s="26" t="str">
        <f>"DGSEI"</f>
        <v>DGSEI</v>
      </c>
      <c r="M465" s="26" t="str">
        <f t="shared" si="77"/>
        <v>FEDERAL</v>
      </c>
      <c r="N465" s="26">
        <v>629</v>
      </c>
      <c r="O465" s="26">
        <v>354</v>
      </c>
      <c r="P465" s="26">
        <v>275</v>
      </c>
      <c r="Q465" s="26">
        <v>18</v>
      </c>
      <c r="R465" s="26">
        <v>1</v>
      </c>
      <c r="S465" s="26">
        <v>18</v>
      </c>
      <c r="T465" s="26">
        <v>7</v>
      </c>
      <c r="U465" s="26">
        <v>26</v>
      </c>
      <c r="V465" s="26">
        <v>1</v>
      </c>
      <c r="W465" s="26"/>
    </row>
    <row r="466" spans="1:23" x14ac:dyDescent="0.25">
      <c r="A466" s="26" t="str">
        <f t="shared" si="75"/>
        <v>PRIMARIA</v>
      </c>
      <c r="B466" s="26" t="str">
        <f>"09DPR1296W"</f>
        <v>09DPR1296W</v>
      </c>
      <c r="C466" s="26" t="str">
        <f>"GREGORIO MARIAS                                                                                     "</f>
        <v xml:space="preserve">GREGORIO MARIAS                                                                                     </v>
      </c>
      <c r="D466" s="26" t="str">
        <f>"VESPERTINO"</f>
        <v>VESPERTINO</v>
      </c>
      <c r="E466" s="26" t="str">
        <f>"BENITO JUAREZ S/N.                                                              "</f>
        <v xml:space="preserve">BENITO JUAREZ S/N.                                                              </v>
      </c>
      <c r="F466" s="26" t="str">
        <f>"SANTA CRUZ MEYEHUALCO                                                                                                                       "</f>
        <v xml:space="preserve">SANTA CRUZ MEYEHUALCO                                                                                                                       </v>
      </c>
      <c r="G466" s="26" t="str">
        <f>"IZTAPALAPA                                                                      "</f>
        <v xml:space="preserve">IZTAPALAPA                                                                      </v>
      </c>
      <c r="H466" s="26" t="str">
        <f>"059"</f>
        <v>059</v>
      </c>
      <c r="I466" s="26" t="str">
        <f t="shared" si="76"/>
        <v>00</v>
      </c>
      <c r="J466" s="26" t="str">
        <f>"64 "</f>
        <v xml:space="preserve">64 </v>
      </c>
      <c r="K466" s="26" t="str">
        <f>"IZ"</f>
        <v>IZ</v>
      </c>
      <c r="L466" s="26" t="str">
        <f>"DGSEI"</f>
        <v>DGSEI</v>
      </c>
      <c r="M466" s="26" t="str">
        <f t="shared" si="77"/>
        <v>FEDERAL</v>
      </c>
      <c r="N466" s="26">
        <v>348</v>
      </c>
      <c r="O466" s="26">
        <v>189</v>
      </c>
      <c r="P466" s="26">
        <v>159</v>
      </c>
      <c r="Q466" s="26">
        <v>17</v>
      </c>
      <c r="R466" s="26">
        <v>1</v>
      </c>
      <c r="S466" s="26">
        <v>16</v>
      </c>
      <c r="T466" s="26">
        <v>6</v>
      </c>
      <c r="U466" s="26">
        <v>23</v>
      </c>
      <c r="V466" s="26">
        <v>1</v>
      </c>
      <c r="W466" s="26"/>
    </row>
    <row r="467" spans="1:23" x14ac:dyDescent="0.25">
      <c r="A467" s="26" t="str">
        <f t="shared" si="75"/>
        <v>PRIMARIA</v>
      </c>
      <c r="B467" s="26" t="str">
        <f>"09DPR1298U"</f>
        <v>09DPR1298U</v>
      </c>
      <c r="C467" s="26" t="str">
        <f>"GENERAL ANAYA                                                                                       "</f>
        <v xml:space="preserve">GENERAL ANAYA                                                                                       </v>
      </c>
      <c r="D467" s="26" t="str">
        <f>"JORNADA AMPLIADA"</f>
        <v>JORNADA AMPLIADA</v>
      </c>
      <c r="E467" s="26" t="str">
        <f>"EMILIO CARRANZA NO 39                                                           "</f>
        <v xml:space="preserve">EMILIO CARRANZA NO 39                                                           </v>
      </c>
      <c r="F467" s="26" t="str">
        <f>"ALBERT                                                                                                                                      "</f>
        <v xml:space="preserve">ALBERT                                                                                                                                      </v>
      </c>
      <c r="G467" s="26" t="str">
        <f>"BENITO JUAREZ                                                                   "</f>
        <v xml:space="preserve">BENITO JUAREZ                                                                   </v>
      </c>
      <c r="H467" s="26" t="str">
        <f>"417"</f>
        <v>417</v>
      </c>
      <c r="I467" s="26" t="str">
        <f t="shared" si="76"/>
        <v>00</v>
      </c>
      <c r="J467" s="26" t="str">
        <f>"44 "</f>
        <v xml:space="preserve">44 </v>
      </c>
      <c r="K467" s="26" t="str">
        <f>"PR"</f>
        <v>PR</v>
      </c>
      <c r="L467" s="26" t="str">
        <f>"DGOSE"</f>
        <v>DGOSE</v>
      </c>
      <c r="M467" s="26" t="str">
        <f t="shared" si="77"/>
        <v>FEDERAL</v>
      </c>
      <c r="N467" s="26">
        <v>495</v>
      </c>
      <c r="O467" s="26">
        <v>236</v>
      </c>
      <c r="P467" s="26">
        <v>259</v>
      </c>
      <c r="Q467" s="26">
        <v>17</v>
      </c>
      <c r="R467" s="26">
        <v>1</v>
      </c>
      <c r="S467" s="26">
        <v>17</v>
      </c>
      <c r="T467" s="26">
        <v>12</v>
      </c>
      <c r="U467" s="26">
        <v>30</v>
      </c>
      <c r="V467" s="26">
        <v>1</v>
      </c>
      <c r="W467" s="26" t="s">
        <v>2076</v>
      </c>
    </row>
    <row r="468" spans="1:23" x14ac:dyDescent="0.25">
      <c r="A468" s="26" t="str">
        <f t="shared" si="75"/>
        <v>PRIMARIA</v>
      </c>
      <c r="B468" s="26" t="str">
        <f>"09DPR1299T"</f>
        <v>09DPR1299T</v>
      </c>
      <c r="C468" s="26" t="str">
        <f>"FRAY MARTIN DE VALENCIA                                                                             "</f>
        <v xml:space="preserve">FRAY MARTIN DE VALENCIA                                                                             </v>
      </c>
      <c r="D468" s="26" t="str">
        <f>"VESPERTINO"</f>
        <v>VESPERTINO</v>
      </c>
      <c r="E468" s="26" t="str">
        <f>"SUR 21 NO. 230                                                                  "</f>
        <v xml:space="preserve">SUR 21 NO. 230                                                                  </v>
      </c>
      <c r="F468" s="26" t="str">
        <f>"VICENTINA                                                                                                                                   "</f>
        <v xml:space="preserve">VICENTINA                                                                                                                                   </v>
      </c>
      <c r="G468" s="26" t="str">
        <f>"IZTAPALAPA                                                                      "</f>
        <v xml:space="preserve">IZTAPALAPA                                                                      </v>
      </c>
      <c r="H468" s="26" t="str">
        <f>"039"</f>
        <v>039</v>
      </c>
      <c r="I468" s="26" t="str">
        <f t="shared" si="76"/>
        <v>00</v>
      </c>
      <c r="J468" s="26" t="str">
        <f>"63 "</f>
        <v xml:space="preserve">63 </v>
      </c>
      <c r="K468" s="26" t="str">
        <f>"IZ"</f>
        <v>IZ</v>
      </c>
      <c r="L468" s="26" t="str">
        <f>"DGSEI"</f>
        <v>DGSEI</v>
      </c>
      <c r="M468" s="26" t="str">
        <f t="shared" si="77"/>
        <v>FEDERAL</v>
      </c>
      <c r="N468" s="26">
        <v>281</v>
      </c>
      <c r="O468" s="26">
        <v>138</v>
      </c>
      <c r="P468" s="26">
        <v>143</v>
      </c>
      <c r="Q468" s="26">
        <v>17</v>
      </c>
      <c r="R468" s="26">
        <v>1</v>
      </c>
      <c r="S468" s="26">
        <v>17</v>
      </c>
      <c r="T468" s="26">
        <v>6</v>
      </c>
      <c r="U468" s="26">
        <v>24</v>
      </c>
      <c r="V468" s="26">
        <v>1</v>
      </c>
      <c r="W468" s="26"/>
    </row>
    <row r="469" spans="1:23" x14ac:dyDescent="0.25">
      <c r="A469" s="26" t="str">
        <f t="shared" si="75"/>
        <v>PRIMARIA</v>
      </c>
      <c r="B469" s="26" t="str">
        <f>"09DPR1300S"</f>
        <v>09DPR1300S</v>
      </c>
      <c r="C469" s="26" t="str">
        <f>"FRAY MARTIN DE VALENCIA                                                                             "</f>
        <v xml:space="preserve">FRAY MARTIN DE VALENCIA                                                                             </v>
      </c>
      <c r="D469" s="26" t="str">
        <f>"MATUTINO"</f>
        <v>MATUTINO</v>
      </c>
      <c r="E469" s="26" t="str">
        <f>"SUR 21 NO. 230                                                                  "</f>
        <v xml:space="preserve">SUR 21 NO. 230                                                                  </v>
      </c>
      <c r="F469" s="26" t="str">
        <f>"VICENTINA                                                                                                                                   "</f>
        <v xml:space="preserve">VICENTINA                                                                                                                                   </v>
      </c>
      <c r="G469" s="26" t="str">
        <f>"IZTAPALAPA                                                                      "</f>
        <v xml:space="preserve">IZTAPALAPA                                                                      </v>
      </c>
      <c r="H469" s="26" t="str">
        <f>"039"</f>
        <v>039</v>
      </c>
      <c r="I469" s="26" t="str">
        <f t="shared" si="76"/>
        <v>00</v>
      </c>
      <c r="J469" s="26" t="str">
        <f>"63 "</f>
        <v xml:space="preserve">63 </v>
      </c>
      <c r="K469" s="26" t="str">
        <f>"IZ"</f>
        <v>IZ</v>
      </c>
      <c r="L469" s="26" t="str">
        <f>"DGSEI"</f>
        <v>DGSEI</v>
      </c>
      <c r="M469" s="26" t="str">
        <f t="shared" si="77"/>
        <v>FEDERAL</v>
      </c>
      <c r="N469" s="26">
        <v>520</v>
      </c>
      <c r="O469" s="26">
        <v>272</v>
      </c>
      <c r="P469" s="26">
        <v>248</v>
      </c>
      <c r="Q469" s="26">
        <v>18</v>
      </c>
      <c r="R469" s="26">
        <v>1</v>
      </c>
      <c r="S469" s="26">
        <v>15</v>
      </c>
      <c r="T469" s="26">
        <v>9</v>
      </c>
      <c r="U469" s="26">
        <v>25</v>
      </c>
      <c r="V469" s="26">
        <v>1</v>
      </c>
      <c r="W469" s="26"/>
    </row>
    <row r="470" spans="1:23" x14ac:dyDescent="0.25">
      <c r="A470" s="26" t="str">
        <f t="shared" si="75"/>
        <v>PRIMARIA</v>
      </c>
      <c r="B470" s="26" t="str">
        <f>"09DPR1301R"</f>
        <v>09DPR1301R</v>
      </c>
      <c r="C470" s="26" t="str">
        <f>"MAESTRO FEDERICO ALVAREZ                                                                            "</f>
        <v xml:space="preserve">MAESTRO FEDERICO ALVAREZ                                                                            </v>
      </c>
      <c r="D470" s="26" t="str">
        <f>"JORNADA AMPLIADA"</f>
        <v>JORNADA AMPLIADA</v>
      </c>
      <c r="E470" s="26" t="str">
        <f>"EJE CTRAL. LAZARO CARDENAS 720                                                  "</f>
        <v xml:space="preserve">EJE CTRAL. LAZARO CARDENAS 720                                                  </v>
      </c>
      <c r="F470" s="26" t="str">
        <f>"POSTAL                                                                                                                                      "</f>
        <v xml:space="preserve">POSTAL                                                                                                                                      </v>
      </c>
      <c r="G470" s="26" t="str">
        <f>"BENITO JUAREZ                                                                   "</f>
        <v xml:space="preserve">BENITO JUAREZ                                                                   </v>
      </c>
      <c r="H470" s="26" t="str">
        <f>"415"</f>
        <v>415</v>
      </c>
      <c r="I470" s="26" t="str">
        <f t="shared" si="76"/>
        <v>00</v>
      </c>
      <c r="J470" s="26" t="str">
        <f>"44 "</f>
        <v xml:space="preserve">44 </v>
      </c>
      <c r="K470" s="26" t="str">
        <f>"PR"</f>
        <v>PR</v>
      </c>
      <c r="L470" s="26" t="str">
        <f>"DGOSE"</f>
        <v>DGOSE</v>
      </c>
      <c r="M470" s="26" t="str">
        <f t="shared" si="77"/>
        <v>FEDERAL</v>
      </c>
      <c r="N470" s="26">
        <v>239</v>
      </c>
      <c r="O470" s="26">
        <v>123</v>
      </c>
      <c r="P470" s="26">
        <v>116</v>
      </c>
      <c r="Q470" s="26">
        <v>11</v>
      </c>
      <c r="R470" s="26">
        <v>1</v>
      </c>
      <c r="S470" s="26">
        <v>10</v>
      </c>
      <c r="T470" s="26">
        <v>11</v>
      </c>
      <c r="U470" s="26">
        <v>22</v>
      </c>
      <c r="V470" s="26">
        <v>1</v>
      </c>
      <c r="W470" s="26" t="s">
        <v>2076</v>
      </c>
    </row>
    <row r="471" spans="1:23" x14ac:dyDescent="0.25">
      <c r="A471" s="26" t="str">
        <f t="shared" si="75"/>
        <v>PRIMARIA</v>
      </c>
      <c r="B471" s="26" t="str">
        <f>"09DPR1303P"</f>
        <v>09DPR1303P</v>
      </c>
      <c r="C471" s="26" t="str">
        <f>"ESTHER R. MACEDA                                                                                    "</f>
        <v xml:space="preserve">ESTHER R. MACEDA                                                                                    </v>
      </c>
      <c r="D471" s="26" t="str">
        <f>"VESPERTINO"</f>
        <v>VESPERTINO</v>
      </c>
      <c r="E471" s="26" t="str">
        <f>"ALLENDE NO. 86                                                                  "</f>
        <v xml:space="preserve">ALLENDE NO. 86                                                                  </v>
      </c>
      <c r="F471" s="26" t="str">
        <f>"SAN PEDRO                                                                                                                                   "</f>
        <v xml:space="preserve">SAN PEDRO                                                                                                                                   </v>
      </c>
      <c r="G471" s="26" t="str">
        <f t="shared" ref="G471:G477" si="78">"IZTAPALAPA                                                                      "</f>
        <v xml:space="preserve">IZTAPALAPA                                                                      </v>
      </c>
      <c r="H471" s="26" t="str">
        <f>"038"</f>
        <v>038</v>
      </c>
      <c r="I471" s="26" t="str">
        <f t="shared" si="76"/>
        <v>00</v>
      </c>
      <c r="J471" s="26" t="str">
        <f>"63 "</f>
        <v xml:space="preserve">63 </v>
      </c>
      <c r="K471" s="26" t="str">
        <f t="shared" ref="K471:K477" si="79">"IZ"</f>
        <v>IZ</v>
      </c>
      <c r="L471" s="26" t="str">
        <f t="shared" ref="L471:L477" si="80">"DGSEI"</f>
        <v>DGSEI</v>
      </c>
      <c r="M471" s="26" t="str">
        <f t="shared" si="77"/>
        <v>FEDERAL</v>
      </c>
      <c r="N471" s="26">
        <v>221</v>
      </c>
      <c r="O471" s="26">
        <v>108</v>
      </c>
      <c r="P471" s="26">
        <v>113</v>
      </c>
      <c r="Q471" s="26">
        <v>10</v>
      </c>
      <c r="R471" s="26">
        <v>1</v>
      </c>
      <c r="S471" s="26">
        <v>10</v>
      </c>
      <c r="T471" s="26">
        <v>4</v>
      </c>
      <c r="U471" s="26">
        <v>15</v>
      </c>
      <c r="V471" s="26">
        <v>1</v>
      </c>
      <c r="W471" s="26"/>
    </row>
    <row r="472" spans="1:23" x14ac:dyDescent="0.25">
      <c r="A472" s="26" t="str">
        <f t="shared" si="75"/>
        <v>PRIMARIA</v>
      </c>
      <c r="B472" s="26" t="str">
        <f>"09DPR1306M"</f>
        <v>09DPR1306M</v>
      </c>
      <c r="C472" s="26" t="str">
        <f>"ESTHER R. MACEDA                                                                                    "</f>
        <v xml:space="preserve">ESTHER R. MACEDA                                                                                    </v>
      </c>
      <c r="D472" s="26" t="str">
        <f>"MATUTINO"</f>
        <v>MATUTINO</v>
      </c>
      <c r="E472" s="26" t="str">
        <f>"ALLENDE NO. 86                                                                  "</f>
        <v xml:space="preserve">ALLENDE NO. 86                                                                  </v>
      </c>
      <c r="F472" s="26" t="str">
        <f>"SAN PEDRO                                                                                                                                   "</f>
        <v xml:space="preserve">SAN PEDRO                                                                                                                                   </v>
      </c>
      <c r="G472" s="26" t="str">
        <f t="shared" si="78"/>
        <v xml:space="preserve">IZTAPALAPA                                                                      </v>
      </c>
      <c r="H472" s="26" t="str">
        <f>"038"</f>
        <v>038</v>
      </c>
      <c r="I472" s="26" t="str">
        <f t="shared" si="76"/>
        <v>00</v>
      </c>
      <c r="J472" s="26" t="str">
        <f>"63 "</f>
        <v xml:space="preserve">63 </v>
      </c>
      <c r="K472" s="26" t="str">
        <f t="shared" si="79"/>
        <v>IZ</v>
      </c>
      <c r="L472" s="26" t="str">
        <f t="shared" si="80"/>
        <v>DGSEI</v>
      </c>
      <c r="M472" s="26" t="str">
        <f t="shared" si="77"/>
        <v>FEDERAL</v>
      </c>
      <c r="N472" s="26">
        <v>420</v>
      </c>
      <c r="O472" s="26">
        <v>220</v>
      </c>
      <c r="P472" s="26">
        <v>200</v>
      </c>
      <c r="Q472" s="26">
        <v>14</v>
      </c>
      <c r="R472" s="26">
        <v>1</v>
      </c>
      <c r="S472" s="26">
        <v>14</v>
      </c>
      <c r="T472" s="26">
        <v>7</v>
      </c>
      <c r="U472" s="26">
        <v>22</v>
      </c>
      <c r="V472" s="26">
        <v>1</v>
      </c>
      <c r="W472" s="26"/>
    </row>
    <row r="473" spans="1:23" x14ac:dyDescent="0.25">
      <c r="A473" s="26" t="str">
        <f t="shared" si="75"/>
        <v>PRIMARIA</v>
      </c>
      <c r="B473" s="26" t="str">
        <f>"09DPR1307L"</f>
        <v>09DPR1307L</v>
      </c>
      <c r="C473" s="26" t="str">
        <f>"ESTADO DE MORELOS                                                                                   "</f>
        <v xml:space="preserve">ESTADO DE MORELOS                                                                                   </v>
      </c>
      <c r="D473" s="26" t="str">
        <f>"MATUTINO"</f>
        <v>MATUTINO</v>
      </c>
      <c r="E473" s="26" t="str">
        <f>"AV. YUCATAN NO. 2                                                               "</f>
        <v xml:space="preserve">AV. YUCATAN NO. 2                                                               </v>
      </c>
      <c r="F473" s="26" t="str">
        <f>"SANTA MARTHA ACATITLA                                                                                                                       "</f>
        <v xml:space="preserve">SANTA MARTHA ACATITLA                                                                                                                       </v>
      </c>
      <c r="G473" s="26" t="str">
        <f t="shared" si="78"/>
        <v xml:space="preserve">IZTAPALAPA                                                                      </v>
      </c>
      <c r="H473" s="26" t="str">
        <f>"026"</f>
        <v>026</v>
      </c>
      <c r="I473" s="26" t="str">
        <f t="shared" si="76"/>
        <v>00</v>
      </c>
      <c r="J473" s="26" t="str">
        <f>"62 "</f>
        <v xml:space="preserve">62 </v>
      </c>
      <c r="K473" s="26" t="str">
        <f t="shared" si="79"/>
        <v>IZ</v>
      </c>
      <c r="L473" s="26" t="str">
        <f t="shared" si="80"/>
        <v>DGSEI</v>
      </c>
      <c r="M473" s="26" t="str">
        <f t="shared" si="77"/>
        <v>FEDERAL</v>
      </c>
      <c r="N473" s="26">
        <v>307</v>
      </c>
      <c r="O473" s="26">
        <v>154</v>
      </c>
      <c r="P473" s="26">
        <v>153</v>
      </c>
      <c r="Q473" s="26">
        <v>10</v>
      </c>
      <c r="R473" s="26">
        <v>1</v>
      </c>
      <c r="S473" s="26">
        <v>10</v>
      </c>
      <c r="T473" s="26">
        <v>5</v>
      </c>
      <c r="U473" s="26">
        <v>16</v>
      </c>
      <c r="V473" s="26">
        <v>1</v>
      </c>
      <c r="W473" s="26"/>
    </row>
    <row r="474" spans="1:23" x14ac:dyDescent="0.25">
      <c r="A474" s="26" t="str">
        <f t="shared" si="75"/>
        <v>PRIMARIA</v>
      </c>
      <c r="B474" s="26" t="str">
        <f>"09DPR1308K"</f>
        <v>09DPR1308K</v>
      </c>
      <c r="C474" s="26" t="str">
        <f>"ESTEBAN GARCIA DE ALBA                                                                              "</f>
        <v xml:space="preserve">ESTEBAN GARCIA DE ALBA                                                                              </v>
      </c>
      <c r="D474" s="26" t="str">
        <f>"JORNADA AMPLIADA"</f>
        <v>JORNADA AMPLIADA</v>
      </c>
      <c r="E474" s="26" t="str">
        <f>"JORGE ENCISO NO. 1203                                                           "</f>
        <v xml:space="preserve">JORGE ENCISO NO. 1203                                                           </v>
      </c>
      <c r="F474" s="26" t="str">
        <f>"HEROES DE CHURUBUSCO                                                                                                                        "</f>
        <v xml:space="preserve">HEROES DE CHURUBUSCO                                                                                                                        </v>
      </c>
      <c r="G474" s="26" t="str">
        <f t="shared" si="78"/>
        <v xml:space="preserve">IZTAPALAPA                                                                      </v>
      </c>
      <c r="H474" s="26" t="str">
        <f>"003"</f>
        <v>003</v>
      </c>
      <c r="I474" s="26" t="str">
        <f t="shared" si="76"/>
        <v>00</v>
      </c>
      <c r="J474" s="26" t="str">
        <f>"61 "</f>
        <v xml:space="preserve">61 </v>
      </c>
      <c r="K474" s="26" t="str">
        <f t="shared" si="79"/>
        <v>IZ</v>
      </c>
      <c r="L474" s="26" t="str">
        <f t="shared" si="80"/>
        <v>DGSEI</v>
      </c>
      <c r="M474" s="26" t="str">
        <f t="shared" si="77"/>
        <v>FEDERAL</v>
      </c>
      <c r="N474" s="26">
        <v>369</v>
      </c>
      <c r="O474" s="26">
        <v>194</v>
      </c>
      <c r="P474" s="26">
        <v>175</v>
      </c>
      <c r="Q474" s="26">
        <v>12</v>
      </c>
      <c r="R474" s="26">
        <v>1</v>
      </c>
      <c r="S474" s="26">
        <v>12</v>
      </c>
      <c r="T474" s="26">
        <v>8</v>
      </c>
      <c r="U474" s="26">
        <v>21</v>
      </c>
      <c r="V474" s="26">
        <v>1</v>
      </c>
      <c r="W474" s="26" t="s">
        <v>2076</v>
      </c>
    </row>
    <row r="475" spans="1:23" x14ac:dyDescent="0.25">
      <c r="A475" s="26" t="str">
        <f t="shared" si="75"/>
        <v>PRIMARIA</v>
      </c>
      <c r="B475" s="26" t="str">
        <f>"09DPR1309J"</f>
        <v>09DPR1309J</v>
      </c>
      <c r="C475" s="26" t="str">
        <f>"CENTENARIO DE LA RESTAURACION DE LA REPUBLICA                                                       "</f>
        <v xml:space="preserve">CENTENARIO DE LA RESTAURACION DE LA REPUBLICA                                                       </v>
      </c>
      <c r="D475" s="26" t="str">
        <f>"JORNADA AMPLIADA"</f>
        <v>JORNADA AMPLIADA</v>
      </c>
      <c r="E475" s="26" t="str">
        <f>"AV. JUAREZ NO. 128                                                              "</f>
        <v xml:space="preserve">AV. JUAREZ NO. 128                                                              </v>
      </c>
      <c r="F475" s="26" t="str">
        <f>"PROGRESISTA                                                                                                                                 "</f>
        <v xml:space="preserve">PROGRESISTA                                                                                                                                 </v>
      </c>
      <c r="G475" s="26" t="str">
        <f t="shared" si="78"/>
        <v xml:space="preserve">IZTAPALAPA                                                                      </v>
      </c>
      <c r="H475" s="26" t="str">
        <f>"007"</f>
        <v>007</v>
      </c>
      <c r="I475" s="26" t="str">
        <f t="shared" si="76"/>
        <v>00</v>
      </c>
      <c r="J475" s="26" t="str">
        <f>"61 "</f>
        <v xml:space="preserve">61 </v>
      </c>
      <c r="K475" s="26" t="str">
        <f t="shared" si="79"/>
        <v>IZ</v>
      </c>
      <c r="L475" s="26" t="str">
        <f t="shared" si="80"/>
        <v>DGSEI</v>
      </c>
      <c r="M475" s="26" t="str">
        <f t="shared" si="77"/>
        <v>FEDERAL</v>
      </c>
      <c r="N475" s="26">
        <v>406</v>
      </c>
      <c r="O475" s="26">
        <v>220</v>
      </c>
      <c r="P475" s="26">
        <v>186</v>
      </c>
      <c r="Q475" s="26">
        <v>13</v>
      </c>
      <c r="R475" s="26">
        <v>1</v>
      </c>
      <c r="S475" s="26">
        <v>6</v>
      </c>
      <c r="T475" s="26">
        <v>5</v>
      </c>
      <c r="U475" s="26">
        <v>12</v>
      </c>
      <c r="V475" s="26">
        <v>1</v>
      </c>
      <c r="W475" s="26" t="s">
        <v>2076</v>
      </c>
    </row>
    <row r="476" spans="1:23" x14ac:dyDescent="0.25">
      <c r="A476" s="26" t="str">
        <f t="shared" si="75"/>
        <v>PRIMARIA</v>
      </c>
      <c r="B476" s="26" t="str">
        <f>"09DPR1310Z"</f>
        <v>09DPR1310Z</v>
      </c>
      <c r="C476" s="26" t="str">
        <f>"ESTADO DE MORELOS                                                                                   "</f>
        <v xml:space="preserve">ESTADO DE MORELOS                                                                                   </v>
      </c>
      <c r="D476" s="26" t="str">
        <f>"VESPERTINO"</f>
        <v>VESPERTINO</v>
      </c>
      <c r="E476" s="26" t="str">
        <f>"AV. YUCATAN NO. 2                                                               "</f>
        <v xml:space="preserve">AV. YUCATAN NO. 2                                                               </v>
      </c>
      <c r="F476" s="26" t="str">
        <f>"SANTA MARTHA ACATITLA                                                                                                                       "</f>
        <v xml:space="preserve">SANTA MARTHA ACATITLA                                                                                                                       </v>
      </c>
      <c r="G476" s="26" t="str">
        <f t="shared" si="78"/>
        <v xml:space="preserve">IZTAPALAPA                                                                      </v>
      </c>
      <c r="H476" s="26" t="str">
        <f>"026"</f>
        <v>026</v>
      </c>
      <c r="I476" s="26" t="str">
        <f t="shared" si="76"/>
        <v>00</v>
      </c>
      <c r="J476" s="26" t="str">
        <f>"62 "</f>
        <v xml:space="preserve">62 </v>
      </c>
      <c r="K476" s="26" t="str">
        <f t="shared" si="79"/>
        <v>IZ</v>
      </c>
      <c r="L476" s="26" t="str">
        <f t="shared" si="80"/>
        <v>DGSEI</v>
      </c>
      <c r="M476" s="26" t="str">
        <f t="shared" si="77"/>
        <v>FEDERAL</v>
      </c>
      <c r="N476" s="26">
        <v>154</v>
      </c>
      <c r="O476" s="26">
        <v>69</v>
      </c>
      <c r="P476" s="26">
        <v>85</v>
      </c>
      <c r="Q476" s="26">
        <v>8</v>
      </c>
      <c r="R476" s="26">
        <v>1</v>
      </c>
      <c r="S476" s="26">
        <v>8</v>
      </c>
      <c r="T476" s="26">
        <v>4</v>
      </c>
      <c r="U476" s="26">
        <v>13</v>
      </c>
      <c r="V476" s="26">
        <v>1</v>
      </c>
      <c r="W476" s="26"/>
    </row>
    <row r="477" spans="1:23" x14ac:dyDescent="0.25">
      <c r="A477" s="26" t="str">
        <f t="shared" si="75"/>
        <v>PRIMARIA</v>
      </c>
      <c r="B477" s="26" t="str">
        <f>"09DPR1313W"</f>
        <v>09DPR1313W</v>
      </c>
      <c r="C477" s="26" t="str">
        <f>"ERNESTO P. URUCHURTU                                                                                "</f>
        <v xml:space="preserve">ERNESTO P. URUCHURTU                                                                                </v>
      </c>
      <c r="D477" s="26" t="str">
        <f>"VESPERTINO"</f>
        <v>VESPERTINO</v>
      </c>
      <c r="E477" s="26" t="str">
        <f>"PROLONG. ALLENDE NO. 9                                                          "</f>
        <v xml:space="preserve">PROLONG. ALLENDE NO. 9                                                          </v>
      </c>
      <c r="F477" s="26" t="str">
        <f>"SAN IGNACIO                                                                                                                                 "</f>
        <v xml:space="preserve">SAN IGNACIO                                                                                                                                 </v>
      </c>
      <c r="G477" s="26" t="str">
        <f t="shared" si="78"/>
        <v xml:space="preserve">IZTAPALAPA                                                                      </v>
      </c>
      <c r="H477" s="26" t="str">
        <f>"037"</f>
        <v>037</v>
      </c>
      <c r="I477" s="26" t="str">
        <f t="shared" si="76"/>
        <v>00</v>
      </c>
      <c r="J477" s="26" t="str">
        <f>"63 "</f>
        <v xml:space="preserve">63 </v>
      </c>
      <c r="K477" s="26" t="str">
        <f t="shared" si="79"/>
        <v>IZ</v>
      </c>
      <c r="L477" s="26" t="str">
        <f t="shared" si="80"/>
        <v>DGSEI</v>
      </c>
      <c r="M477" s="26" t="str">
        <f t="shared" si="77"/>
        <v>FEDERAL</v>
      </c>
      <c r="N477" s="26">
        <v>241</v>
      </c>
      <c r="O477" s="26">
        <v>133</v>
      </c>
      <c r="P477" s="26">
        <v>108</v>
      </c>
      <c r="Q477" s="26">
        <v>8</v>
      </c>
      <c r="R477" s="26">
        <v>1</v>
      </c>
      <c r="S477" s="26">
        <v>8</v>
      </c>
      <c r="T477" s="26">
        <v>4</v>
      </c>
      <c r="U477" s="26">
        <v>13</v>
      </c>
      <c r="V477" s="26">
        <v>1</v>
      </c>
      <c r="W477" s="26"/>
    </row>
    <row r="478" spans="1:23" x14ac:dyDescent="0.25">
      <c r="A478" s="26" t="str">
        <f t="shared" si="75"/>
        <v>PRIMARIA</v>
      </c>
      <c r="B478" s="26" t="str">
        <f>"09DPR1314V"</f>
        <v>09DPR1314V</v>
      </c>
      <c r="C478" s="26" t="str">
        <f>"LEONISMO INTERNACIONAL                                                                              "</f>
        <v xml:space="preserve">LEONISMO INTERNACIONAL                                                                              </v>
      </c>
      <c r="D478" s="26" t="str">
        <f>"TIEMPO COMPLETO"</f>
        <v>TIEMPO COMPLETO</v>
      </c>
      <c r="E478" s="26" t="str">
        <f>"CASTILLA NO  91                                                                 "</f>
        <v xml:space="preserve">CASTILLA NO  91                                                                 </v>
      </c>
      <c r="F478" s="26" t="str">
        <f>"ALAMOS                                                                                                                                      "</f>
        <v xml:space="preserve">ALAMOS                                                                                                                                      </v>
      </c>
      <c r="G478" s="26" t="str">
        <f>"BENITO JUAREZ                                                                   "</f>
        <v xml:space="preserve">BENITO JUAREZ                                                                   </v>
      </c>
      <c r="H478" s="26" t="str">
        <f>"415"</f>
        <v>415</v>
      </c>
      <c r="I478" s="26" t="str">
        <f t="shared" si="76"/>
        <v>00</v>
      </c>
      <c r="J478" s="26" t="str">
        <f>"44 "</f>
        <v xml:space="preserve">44 </v>
      </c>
      <c r="K478" s="26" t="str">
        <f>"PR"</f>
        <v>PR</v>
      </c>
      <c r="L478" s="26" t="str">
        <f>"DGOSE"</f>
        <v>DGOSE</v>
      </c>
      <c r="M478" s="26" t="str">
        <f t="shared" si="77"/>
        <v>FEDERAL</v>
      </c>
      <c r="N478" s="26">
        <v>488</v>
      </c>
      <c r="O478" s="26">
        <v>265</v>
      </c>
      <c r="P478" s="26">
        <v>223</v>
      </c>
      <c r="Q478" s="26">
        <v>17</v>
      </c>
      <c r="R478" s="26">
        <v>1</v>
      </c>
      <c r="S478" s="26">
        <v>17</v>
      </c>
      <c r="T478" s="26">
        <v>13</v>
      </c>
      <c r="U478" s="26">
        <v>31</v>
      </c>
      <c r="V478" s="26">
        <v>1</v>
      </c>
      <c r="W478" s="26" t="s">
        <v>218</v>
      </c>
    </row>
    <row r="479" spans="1:23" x14ac:dyDescent="0.25">
      <c r="A479" s="26" t="str">
        <f t="shared" si="75"/>
        <v>PRIMARIA</v>
      </c>
      <c r="B479" s="26" t="str">
        <f>"09DPR1315U"</f>
        <v>09DPR1315U</v>
      </c>
      <c r="C479" s="26" t="str">
        <f>"ERNESTO P. URUCHURTU                                                                                "</f>
        <v xml:space="preserve">ERNESTO P. URUCHURTU                                                                                </v>
      </c>
      <c r="D479" s="26" t="str">
        <f>"MATUTINO"</f>
        <v>MATUTINO</v>
      </c>
      <c r="E479" s="26" t="str">
        <f>"PROLONG. ALLENDE NO. 9                                                          "</f>
        <v xml:space="preserve">PROLONG. ALLENDE NO. 9                                                          </v>
      </c>
      <c r="F479" s="26" t="str">
        <f>"SAN IGNACIO                                                                                                                                 "</f>
        <v xml:space="preserve">SAN IGNACIO                                                                                                                                 </v>
      </c>
      <c r="G479" s="26" t="str">
        <f>"IZTAPALAPA                                                                      "</f>
        <v xml:space="preserve">IZTAPALAPA                                                                      </v>
      </c>
      <c r="H479" s="26" t="str">
        <f>"037"</f>
        <v>037</v>
      </c>
      <c r="I479" s="26" t="str">
        <f t="shared" si="76"/>
        <v>00</v>
      </c>
      <c r="J479" s="26" t="str">
        <f>"63 "</f>
        <v xml:space="preserve">63 </v>
      </c>
      <c r="K479" s="26" t="str">
        <f>"IZ"</f>
        <v>IZ</v>
      </c>
      <c r="L479" s="26" t="str">
        <f>"DGSEI"</f>
        <v>DGSEI</v>
      </c>
      <c r="M479" s="26" t="str">
        <f t="shared" si="77"/>
        <v>FEDERAL</v>
      </c>
      <c r="N479" s="26">
        <v>437</v>
      </c>
      <c r="O479" s="26">
        <v>215</v>
      </c>
      <c r="P479" s="26">
        <v>222</v>
      </c>
      <c r="Q479" s="26">
        <v>16</v>
      </c>
      <c r="R479" s="26">
        <v>1</v>
      </c>
      <c r="S479" s="26">
        <v>16</v>
      </c>
      <c r="T479" s="26">
        <v>8</v>
      </c>
      <c r="U479" s="26">
        <v>25</v>
      </c>
      <c r="V479" s="26">
        <v>1</v>
      </c>
      <c r="W479" s="26"/>
    </row>
    <row r="480" spans="1:23" x14ac:dyDescent="0.25">
      <c r="A480" s="26" t="str">
        <f t="shared" si="75"/>
        <v>PRIMARIA</v>
      </c>
      <c r="B480" s="26" t="str">
        <f>"09DPR1316T"</f>
        <v>09DPR1316T</v>
      </c>
      <c r="C480" s="26" t="str">
        <f>"ENRIQUE LAUBSCHER                                                                                   "</f>
        <v xml:space="preserve">ENRIQUE LAUBSCHER                                                                                   </v>
      </c>
      <c r="D480" s="26" t="str">
        <f>"MATUTINO"</f>
        <v>MATUTINO</v>
      </c>
      <c r="E480" s="26" t="str">
        <f>"MANUEL GONZALEZ NO. 134                                                         "</f>
        <v xml:space="preserve">MANUEL GONZALEZ NO. 134                                                         </v>
      </c>
      <c r="F480" s="26" t="str">
        <f>"SAN LUCAS                                                                                                                                   "</f>
        <v xml:space="preserve">SAN LUCAS                                                                                                                                   </v>
      </c>
      <c r="G480" s="26" t="str">
        <f>"IZTAPALAPA                                                                      "</f>
        <v xml:space="preserve">IZTAPALAPA                                                                      </v>
      </c>
      <c r="H480" s="26" t="str">
        <f>"038"</f>
        <v>038</v>
      </c>
      <c r="I480" s="26" t="str">
        <f t="shared" si="76"/>
        <v>00</v>
      </c>
      <c r="J480" s="26" t="str">
        <f>"63 "</f>
        <v xml:space="preserve">63 </v>
      </c>
      <c r="K480" s="26" t="str">
        <f>"IZ"</f>
        <v>IZ</v>
      </c>
      <c r="L480" s="26" t="str">
        <f>"DGSEI"</f>
        <v>DGSEI</v>
      </c>
      <c r="M480" s="26" t="str">
        <f t="shared" si="77"/>
        <v>FEDERAL</v>
      </c>
      <c r="N480" s="26">
        <v>630</v>
      </c>
      <c r="O480" s="26">
        <v>322</v>
      </c>
      <c r="P480" s="26">
        <v>308</v>
      </c>
      <c r="Q480" s="26">
        <v>21</v>
      </c>
      <c r="R480" s="26">
        <v>1</v>
      </c>
      <c r="S480" s="26">
        <v>21</v>
      </c>
      <c r="T480" s="26">
        <v>10</v>
      </c>
      <c r="U480" s="26">
        <v>32</v>
      </c>
      <c r="V480" s="26">
        <v>1</v>
      </c>
      <c r="W480" s="26"/>
    </row>
    <row r="481" spans="1:23" x14ac:dyDescent="0.25">
      <c r="A481" s="26" t="str">
        <f t="shared" si="75"/>
        <v>PRIMARIA</v>
      </c>
      <c r="B481" s="26" t="str">
        <f>"09DPR1317S"</f>
        <v>09DPR1317S</v>
      </c>
      <c r="C481" s="26" t="str">
        <f>"PROFR. DANIEL DELGADILLO                                                                            "</f>
        <v xml:space="preserve">PROFR. DANIEL DELGADILLO                                                                            </v>
      </c>
      <c r="D481" s="26" t="str">
        <f>"VESPERTINO"</f>
        <v>VESPERTINO</v>
      </c>
      <c r="E481" s="26" t="str">
        <f>"PUERTOS MAZATLAN Y TUXPAN S/N                                                   "</f>
        <v xml:space="preserve">PUERTOS MAZATLAN Y TUXPAN S/N                                                   </v>
      </c>
      <c r="F481" s="26" t="str">
        <f>"CASAS ALEMAN AMPLIACION                                                                                                                     "</f>
        <v xml:space="preserve">CASAS ALEMAN AMPLIACION                                                                                                                     </v>
      </c>
      <c r="G481" s="26" t="str">
        <f>"GUSTAVO A. MADERO                                                               "</f>
        <v xml:space="preserve">GUSTAVO A. MADERO                                                               </v>
      </c>
      <c r="H481" s="26" t="str">
        <f>"258"</f>
        <v>258</v>
      </c>
      <c r="I481" s="26" t="str">
        <f t="shared" si="76"/>
        <v>00</v>
      </c>
      <c r="J481" s="26" t="str">
        <f>"42 "</f>
        <v xml:space="preserve">42 </v>
      </c>
      <c r="K481" s="26" t="str">
        <f>"PR"</f>
        <v>PR</v>
      </c>
      <c r="L481" s="26" t="str">
        <f>"DGOSE"</f>
        <v>DGOSE</v>
      </c>
      <c r="M481" s="26" t="str">
        <f t="shared" si="77"/>
        <v>FEDERAL</v>
      </c>
      <c r="N481" s="26">
        <v>149</v>
      </c>
      <c r="O481" s="26">
        <v>71</v>
      </c>
      <c r="P481" s="26">
        <v>78</v>
      </c>
      <c r="Q481" s="26">
        <v>9</v>
      </c>
      <c r="R481" s="26">
        <v>1</v>
      </c>
      <c r="S481" s="26">
        <v>9</v>
      </c>
      <c r="T481" s="26">
        <v>7</v>
      </c>
      <c r="U481" s="26">
        <v>17</v>
      </c>
      <c r="V481" s="26">
        <v>1</v>
      </c>
      <c r="W481" s="26"/>
    </row>
    <row r="482" spans="1:23" x14ac:dyDescent="0.25">
      <c r="A482" s="26" t="str">
        <f t="shared" si="75"/>
        <v>PRIMARIA</v>
      </c>
      <c r="B482" s="26" t="str">
        <f>"09DPR1318R"</f>
        <v>09DPR1318R</v>
      </c>
      <c r="C482" s="26" t="str">
        <f>"PROFR. FERNANDO BEST                                                                                "</f>
        <v xml:space="preserve">PROFR. FERNANDO BEST                                                                                </v>
      </c>
      <c r="D482" s="26" t="str">
        <f>"JORNADA AMPLIADA"</f>
        <v>JORNADA AMPLIADA</v>
      </c>
      <c r="E482" s="26" t="str">
        <f>"NETZAHUALCOYOTL NUM 91                                                          "</f>
        <v xml:space="preserve">NETZAHUALCOYOTL NUM 91                                                          </v>
      </c>
      <c r="F482" s="26" t="str">
        <f>"ARAGON                                                                                                                                      "</f>
        <v xml:space="preserve">ARAGON                                                                                                                                      </v>
      </c>
      <c r="G482" s="26" t="str">
        <f>"GUSTAVO A. MADERO                                                               "</f>
        <v xml:space="preserve">GUSTAVO A. MADERO                                                               </v>
      </c>
      <c r="H482" s="26" t="str">
        <f>"135"</f>
        <v>135</v>
      </c>
      <c r="I482" s="26" t="str">
        <f t="shared" si="76"/>
        <v>00</v>
      </c>
      <c r="J482" s="26" t="str">
        <f>"41 "</f>
        <v xml:space="preserve">41 </v>
      </c>
      <c r="K482" s="26" t="str">
        <f>"PR"</f>
        <v>PR</v>
      </c>
      <c r="L482" s="26" t="str">
        <f>"DGOSE"</f>
        <v>DGOSE</v>
      </c>
      <c r="M482" s="26" t="str">
        <f t="shared" si="77"/>
        <v>FEDERAL</v>
      </c>
      <c r="N482" s="26">
        <v>306</v>
      </c>
      <c r="O482" s="26">
        <v>151</v>
      </c>
      <c r="P482" s="26">
        <v>155</v>
      </c>
      <c r="Q482" s="26">
        <v>10</v>
      </c>
      <c r="R482" s="26">
        <v>1</v>
      </c>
      <c r="S482" s="26">
        <v>10</v>
      </c>
      <c r="T482" s="26">
        <v>8</v>
      </c>
      <c r="U482" s="26">
        <v>19</v>
      </c>
      <c r="V482" s="26">
        <v>1</v>
      </c>
      <c r="W482" s="26" t="s">
        <v>2076</v>
      </c>
    </row>
    <row r="483" spans="1:23" x14ac:dyDescent="0.25">
      <c r="A483" s="26" t="str">
        <f t="shared" si="75"/>
        <v>PRIMARIA</v>
      </c>
      <c r="B483" s="26" t="str">
        <f>"09DPR1319Q"</f>
        <v>09DPR1319Q</v>
      </c>
      <c r="C483" s="26" t="str">
        <f>"REVOLUCION                                                                                          "</f>
        <v xml:space="preserve">REVOLUCION                                                                                          </v>
      </c>
      <c r="D483" s="26" t="str">
        <f>"JORNADA AMPLIADA"</f>
        <v>JORNADA AMPLIADA</v>
      </c>
      <c r="E483" s="26" t="str">
        <f>"ARCOS DE BELEN NUM 82                                                           "</f>
        <v xml:space="preserve">ARCOS DE BELEN NUM 82                                                           </v>
      </c>
      <c r="F483" s="26" t="str">
        <f>"DOCTORES                                                                                                                                    "</f>
        <v xml:space="preserve">DOCTORES                                                                                                                                    </v>
      </c>
      <c r="G483" s="26" t="str">
        <f>"CUAUHTEMOC                                                                      "</f>
        <v xml:space="preserve">CUAUHTEMOC                                                                      </v>
      </c>
      <c r="H483" s="26" t="str">
        <f>"127"</f>
        <v>127</v>
      </c>
      <c r="I483" s="26" t="str">
        <f t="shared" si="76"/>
        <v>00</v>
      </c>
      <c r="J483" s="26" t="str">
        <f>"41 "</f>
        <v xml:space="preserve">41 </v>
      </c>
      <c r="K483" s="26" t="str">
        <f>"PR"</f>
        <v>PR</v>
      </c>
      <c r="L483" s="26" t="str">
        <f>"DGOSE"</f>
        <v>DGOSE</v>
      </c>
      <c r="M483" s="26" t="str">
        <f t="shared" si="77"/>
        <v>FEDERAL</v>
      </c>
      <c r="N483" s="26">
        <v>708</v>
      </c>
      <c r="O483" s="26">
        <v>371</v>
      </c>
      <c r="P483" s="26">
        <v>337</v>
      </c>
      <c r="Q483" s="26">
        <v>25</v>
      </c>
      <c r="R483" s="26">
        <v>1</v>
      </c>
      <c r="S483" s="26">
        <v>25</v>
      </c>
      <c r="T483" s="26">
        <v>17</v>
      </c>
      <c r="U483" s="26">
        <v>43</v>
      </c>
      <c r="V483" s="26">
        <v>1</v>
      </c>
      <c r="W483" s="26" t="s">
        <v>2076</v>
      </c>
    </row>
    <row r="484" spans="1:23" x14ac:dyDescent="0.25">
      <c r="A484" s="26" t="str">
        <f t="shared" si="75"/>
        <v>PRIMARIA</v>
      </c>
      <c r="B484" s="26" t="str">
        <f>"09DPR1320F"</f>
        <v>09DPR1320F</v>
      </c>
      <c r="C484" s="26" t="str">
        <f>"EMILIANO ZAPATA                                                                                     "</f>
        <v xml:space="preserve">EMILIANO ZAPATA                                                                                     </v>
      </c>
      <c r="D484" s="26" t="str">
        <f>"MATUTINO"</f>
        <v>MATUTINO</v>
      </c>
      <c r="E484" s="26" t="str">
        <f>"PROSPERO GARCIA NO. 54                                                          "</f>
        <v xml:space="preserve">PROSPERO GARCIA NO. 54                                                          </v>
      </c>
      <c r="F484" s="26" t="str">
        <f>"SANTA MARIA TOMATLAN                                                                                                                        "</f>
        <v xml:space="preserve">SANTA MARIA TOMATLAN                                                                                                                        </v>
      </c>
      <c r="G484" s="26" t="str">
        <f>"IZTAPALAPA                                                                      "</f>
        <v xml:space="preserve">IZTAPALAPA                                                                      </v>
      </c>
      <c r="H484" s="26" t="str">
        <f>"041"</f>
        <v>041</v>
      </c>
      <c r="I484" s="26" t="str">
        <f t="shared" si="76"/>
        <v>00</v>
      </c>
      <c r="J484" s="26" t="str">
        <f>"63 "</f>
        <v xml:space="preserve">63 </v>
      </c>
      <c r="K484" s="26" t="str">
        <f>"IZ"</f>
        <v>IZ</v>
      </c>
      <c r="L484" s="26" t="str">
        <f>"DGSEI"</f>
        <v>DGSEI</v>
      </c>
      <c r="M484" s="26" t="str">
        <f t="shared" si="77"/>
        <v>FEDERAL</v>
      </c>
      <c r="N484" s="26">
        <v>494</v>
      </c>
      <c r="O484" s="26">
        <v>238</v>
      </c>
      <c r="P484" s="26">
        <v>256</v>
      </c>
      <c r="Q484" s="26">
        <v>19</v>
      </c>
      <c r="R484" s="26">
        <v>1</v>
      </c>
      <c r="S484" s="26">
        <v>18</v>
      </c>
      <c r="T484" s="26">
        <v>8</v>
      </c>
      <c r="U484" s="26">
        <v>27</v>
      </c>
      <c r="V484" s="26">
        <v>1</v>
      </c>
      <c r="W484" s="26"/>
    </row>
    <row r="485" spans="1:23" x14ac:dyDescent="0.25">
      <c r="A485" s="26" t="str">
        <f t="shared" si="75"/>
        <v>PRIMARIA</v>
      </c>
      <c r="B485" s="26" t="str">
        <f>"09DPR1321E"</f>
        <v>09DPR1321E</v>
      </c>
      <c r="C485" s="26" t="str">
        <f>"EL AMO TORRES                                                                                       "</f>
        <v xml:space="preserve">EL AMO TORRES                                                                                       </v>
      </c>
      <c r="D485" s="26" t="str">
        <f>"MATUTINO"</f>
        <v>MATUTINO</v>
      </c>
      <c r="E485" s="26" t="str">
        <f>"AV. 5 DE MAYO NO. 115                                                           "</f>
        <v xml:space="preserve">AV. 5 DE MAYO NO. 115                                                           </v>
      </c>
      <c r="F485" s="26" t="str">
        <f>"SANTA CRUZ MEYEHUALCO                                                                                                                       "</f>
        <v xml:space="preserve">SANTA CRUZ MEYEHUALCO                                                                                                                       </v>
      </c>
      <c r="G485" s="26" t="str">
        <f>"IZTAPALAPA                                                                      "</f>
        <v xml:space="preserve">IZTAPALAPA                                                                      </v>
      </c>
      <c r="H485" s="26" t="str">
        <f>"059"</f>
        <v>059</v>
      </c>
      <c r="I485" s="26" t="str">
        <f t="shared" si="76"/>
        <v>00</v>
      </c>
      <c r="J485" s="26" t="str">
        <f>"64 "</f>
        <v xml:space="preserve">64 </v>
      </c>
      <c r="K485" s="26" t="str">
        <f>"IZ"</f>
        <v>IZ</v>
      </c>
      <c r="L485" s="26" t="str">
        <f>"DGSEI"</f>
        <v>DGSEI</v>
      </c>
      <c r="M485" s="26" t="str">
        <f t="shared" si="77"/>
        <v>FEDERAL</v>
      </c>
      <c r="N485" s="26">
        <v>747</v>
      </c>
      <c r="O485" s="26">
        <v>365</v>
      </c>
      <c r="P485" s="26">
        <v>382</v>
      </c>
      <c r="Q485" s="26">
        <v>20</v>
      </c>
      <c r="R485" s="26">
        <v>1</v>
      </c>
      <c r="S485" s="26">
        <v>20</v>
      </c>
      <c r="T485" s="26">
        <v>9</v>
      </c>
      <c r="U485" s="26">
        <v>30</v>
      </c>
      <c r="V485" s="26">
        <v>1</v>
      </c>
      <c r="W485" s="26"/>
    </row>
    <row r="486" spans="1:23" x14ac:dyDescent="0.25">
      <c r="A486" s="26" t="str">
        <f t="shared" si="75"/>
        <v>PRIMARIA</v>
      </c>
      <c r="B486" s="26" t="str">
        <f>"09DPR1322D"</f>
        <v>09DPR1322D</v>
      </c>
      <c r="C486" s="26" t="str">
        <f>"EL AMO TORRES                                                                                       "</f>
        <v xml:space="preserve">EL AMO TORRES                                                                                       </v>
      </c>
      <c r="D486" s="26" t="str">
        <f>"VESPERTINO"</f>
        <v>VESPERTINO</v>
      </c>
      <c r="E486" s="26" t="str">
        <f>"AV. 5 DE MAYO NO. 115                                                           "</f>
        <v xml:space="preserve">AV. 5 DE MAYO NO. 115                                                           </v>
      </c>
      <c r="F486" s="26" t="str">
        <f>"SANTA CRUZ MEYEHUALCO                                                                                                                       "</f>
        <v xml:space="preserve">SANTA CRUZ MEYEHUALCO                                                                                                                       </v>
      </c>
      <c r="G486" s="26" t="str">
        <f>"IZTAPALAPA                                                                      "</f>
        <v xml:space="preserve">IZTAPALAPA                                                                      </v>
      </c>
      <c r="H486" s="26" t="str">
        <f>"059"</f>
        <v>059</v>
      </c>
      <c r="I486" s="26" t="str">
        <f t="shared" si="76"/>
        <v>00</v>
      </c>
      <c r="J486" s="26" t="str">
        <f>"64 "</f>
        <v xml:space="preserve">64 </v>
      </c>
      <c r="K486" s="26" t="str">
        <f>"IZ"</f>
        <v>IZ</v>
      </c>
      <c r="L486" s="26" t="str">
        <f>"DGSEI"</f>
        <v>DGSEI</v>
      </c>
      <c r="M486" s="26" t="str">
        <f t="shared" si="77"/>
        <v>FEDERAL</v>
      </c>
      <c r="N486" s="26">
        <v>452</v>
      </c>
      <c r="O486" s="26">
        <v>234</v>
      </c>
      <c r="P486" s="26">
        <v>218</v>
      </c>
      <c r="Q486" s="26">
        <v>20</v>
      </c>
      <c r="R486" s="26">
        <v>1</v>
      </c>
      <c r="S486" s="26">
        <v>15</v>
      </c>
      <c r="T486" s="26">
        <v>4</v>
      </c>
      <c r="U486" s="26">
        <v>20</v>
      </c>
      <c r="V486" s="26">
        <v>1</v>
      </c>
      <c r="W486" s="26"/>
    </row>
    <row r="487" spans="1:23" x14ac:dyDescent="0.25">
      <c r="A487" s="26" t="str">
        <f t="shared" si="75"/>
        <v>PRIMARIA</v>
      </c>
      <c r="B487" s="26" t="str">
        <f>"09DPR1323C"</f>
        <v>09DPR1323C</v>
      </c>
      <c r="C487" s="26" t="str">
        <f>"LIC. EDUARDO NOVOA                                                                                  "</f>
        <v xml:space="preserve">LIC. EDUARDO NOVOA                                                                                  </v>
      </c>
      <c r="D487" s="26" t="str">
        <f>"JORNADA AMPLIADA"</f>
        <v>JORNADA AMPLIADA</v>
      </c>
      <c r="E487" s="26" t="str">
        <f>"RUMANIA NO 703                                                                  "</f>
        <v xml:space="preserve">RUMANIA NO 703                                                                  </v>
      </c>
      <c r="F487" s="26" t="str">
        <f>"PORTALES                                                                                                                                    "</f>
        <v xml:space="preserve">PORTALES                                                                                                                                    </v>
      </c>
      <c r="G487" s="26" t="str">
        <f>"BENITO JUAREZ                                                                   "</f>
        <v xml:space="preserve">BENITO JUAREZ                                                                   </v>
      </c>
      <c r="H487" s="26" t="str">
        <f>"417"</f>
        <v>417</v>
      </c>
      <c r="I487" s="26" t="str">
        <f t="shared" si="76"/>
        <v>00</v>
      </c>
      <c r="J487" s="26" t="str">
        <f>"44 "</f>
        <v xml:space="preserve">44 </v>
      </c>
      <c r="K487" s="26" t="str">
        <f>"PR"</f>
        <v>PR</v>
      </c>
      <c r="L487" s="26" t="str">
        <f>"DGOSE"</f>
        <v>DGOSE</v>
      </c>
      <c r="M487" s="26" t="str">
        <f t="shared" si="77"/>
        <v>FEDERAL</v>
      </c>
      <c r="N487" s="26">
        <v>226</v>
      </c>
      <c r="O487" s="26">
        <v>127</v>
      </c>
      <c r="P487" s="26">
        <v>99</v>
      </c>
      <c r="Q487" s="26">
        <v>8</v>
      </c>
      <c r="R487" s="26">
        <v>1</v>
      </c>
      <c r="S487" s="26">
        <v>8</v>
      </c>
      <c r="T487" s="26">
        <v>9</v>
      </c>
      <c r="U487" s="26">
        <v>18</v>
      </c>
      <c r="V487" s="26">
        <v>1</v>
      </c>
      <c r="W487" s="26" t="s">
        <v>2076</v>
      </c>
    </row>
    <row r="488" spans="1:23" x14ac:dyDescent="0.25">
      <c r="A488" s="26" t="str">
        <f t="shared" si="75"/>
        <v>PRIMARIA</v>
      </c>
      <c r="B488" s="26" t="str">
        <f>"09DPR1324B"</f>
        <v>09DPR1324B</v>
      </c>
      <c r="C488" s="26" t="str">
        <f>"EMILIANO ZAPATA                                                                                     "</f>
        <v xml:space="preserve">EMILIANO ZAPATA                                                                                     </v>
      </c>
      <c r="D488" s="26" t="str">
        <f>"VESPERTINO"</f>
        <v>VESPERTINO</v>
      </c>
      <c r="E488" s="26" t="str">
        <f>"PROSPERO GARCIA NO. 54                                                          "</f>
        <v xml:space="preserve">PROSPERO GARCIA NO. 54                                                          </v>
      </c>
      <c r="F488" s="26" t="str">
        <f>"SANTA MARIA TOMATLAN                                                                                                                        "</f>
        <v xml:space="preserve">SANTA MARIA TOMATLAN                                                                                                                        </v>
      </c>
      <c r="G488" s="26" t="str">
        <f>"IZTAPALAPA                                                                      "</f>
        <v xml:space="preserve">IZTAPALAPA                                                                      </v>
      </c>
      <c r="H488" s="26" t="str">
        <f>"041"</f>
        <v>041</v>
      </c>
      <c r="I488" s="26" t="str">
        <f t="shared" si="76"/>
        <v>00</v>
      </c>
      <c r="J488" s="26" t="str">
        <f>"63 "</f>
        <v xml:space="preserve">63 </v>
      </c>
      <c r="K488" s="26" t="str">
        <f>"IZ"</f>
        <v>IZ</v>
      </c>
      <c r="L488" s="26" t="str">
        <f>"DGSEI"</f>
        <v>DGSEI</v>
      </c>
      <c r="M488" s="26" t="str">
        <f t="shared" si="77"/>
        <v>FEDERAL</v>
      </c>
      <c r="N488" s="26">
        <v>173</v>
      </c>
      <c r="O488" s="26">
        <v>96</v>
      </c>
      <c r="P488" s="26">
        <v>77</v>
      </c>
      <c r="Q488" s="26">
        <v>10</v>
      </c>
      <c r="R488" s="26">
        <v>1</v>
      </c>
      <c r="S488" s="26">
        <v>9</v>
      </c>
      <c r="T488" s="26">
        <v>6</v>
      </c>
      <c r="U488" s="26">
        <v>16</v>
      </c>
      <c r="V488" s="26">
        <v>1</v>
      </c>
      <c r="W488" s="26"/>
    </row>
    <row r="489" spans="1:23" x14ac:dyDescent="0.25">
      <c r="A489" s="26" t="str">
        <f t="shared" si="75"/>
        <v>PRIMARIA</v>
      </c>
      <c r="B489" s="26" t="str">
        <f>"09DPR1325A"</f>
        <v>09DPR1325A</v>
      </c>
      <c r="C489" s="26" t="str">
        <f>"LIC. EDUARDO NOVOA                                                                                  "</f>
        <v xml:space="preserve">LIC. EDUARDO NOVOA                                                                                  </v>
      </c>
      <c r="D489" s="26" t="str">
        <f>"JORNADA AMPLIADA"</f>
        <v>JORNADA AMPLIADA</v>
      </c>
      <c r="E489" s="26" t="str">
        <f>"RUMANIA 701                                                                     "</f>
        <v xml:space="preserve">RUMANIA 701                                                                     </v>
      </c>
      <c r="F489" s="26" t="str">
        <f>"PORTALES                                                                                                                                    "</f>
        <v xml:space="preserve">PORTALES                                                                                                                                    </v>
      </c>
      <c r="G489" s="26" t="str">
        <f>"BENITO JUAREZ                                                                   "</f>
        <v xml:space="preserve">BENITO JUAREZ                                                                   </v>
      </c>
      <c r="H489" s="26" t="str">
        <f>"417"</f>
        <v>417</v>
      </c>
      <c r="I489" s="26" t="str">
        <f t="shared" si="76"/>
        <v>00</v>
      </c>
      <c r="J489" s="26" t="str">
        <f>"44 "</f>
        <v xml:space="preserve">44 </v>
      </c>
      <c r="K489" s="26" t="str">
        <f>"PR"</f>
        <v>PR</v>
      </c>
      <c r="L489" s="26" t="str">
        <f>"DGOSE"</f>
        <v>DGOSE</v>
      </c>
      <c r="M489" s="26" t="str">
        <f t="shared" si="77"/>
        <v>FEDERAL</v>
      </c>
      <c r="N489" s="26">
        <v>406</v>
      </c>
      <c r="O489" s="26">
        <v>214</v>
      </c>
      <c r="P489" s="26">
        <v>192</v>
      </c>
      <c r="Q489" s="26">
        <v>15</v>
      </c>
      <c r="R489" s="26">
        <v>1</v>
      </c>
      <c r="S489" s="26">
        <v>15</v>
      </c>
      <c r="T489" s="26">
        <v>13</v>
      </c>
      <c r="U489" s="26">
        <v>29</v>
      </c>
      <c r="V489" s="26">
        <v>1</v>
      </c>
      <c r="W489" s="26" t="s">
        <v>2076</v>
      </c>
    </row>
    <row r="490" spans="1:23" x14ac:dyDescent="0.25">
      <c r="A490" s="26" t="str">
        <f t="shared" si="75"/>
        <v>PRIMARIA</v>
      </c>
      <c r="B490" s="26" t="str">
        <f>"09DPR1327Z"</f>
        <v>09DPR1327Z</v>
      </c>
      <c r="C490" s="26" t="str">
        <f>"ESTADO DE COLIMA                                                                                    "</f>
        <v xml:space="preserve">ESTADO DE COLIMA                                                                                    </v>
      </c>
      <c r="D490" s="26" t="str">
        <f>"MATUTINO"</f>
        <v>MATUTINO</v>
      </c>
      <c r="E490" s="26" t="str">
        <f>"FERNANDO MONTES DE OCA S/N.                                                     "</f>
        <v xml:space="preserve">FERNANDO MONTES DE OCA S/N.                                                     </v>
      </c>
      <c r="F490" s="26" t="str">
        <f>"GUADALUPE DEL MORAL                                                                                                                         "</f>
        <v xml:space="preserve">GUADALUPE DEL MORAL                                                                                                                         </v>
      </c>
      <c r="G490" s="26" t="str">
        <f>"IZTAPALAPA                                                                      "</f>
        <v xml:space="preserve">IZTAPALAPA                                                                      </v>
      </c>
      <c r="H490" s="26" t="str">
        <f>"039"</f>
        <v>039</v>
      </c>
      <c r="I490" s="26" t="str">
        <f t="shared" si="76"/>
        <v>00</v>
      </c>
      <c r="J490" s="26" t="str">
        <f>"63 "</f>
        <v xml:space="preserve">63 </v>
      </c>
      <c r="K490" s="26" t="str">
        <f>"IZ"</f>
        <v>IZ</v>
      </c>
      <c r="L490" s="26" t="str">
        <f>"DGSEI"</f>
        <v>DGSEI</v>
      </c>
      <c r="M490" s="26" t="str">
        <f t="shared" si="77"/>
        <v>FEDERAL</v>
      </c>
      <c r="N490" s="26">
        <v>334</v>
      </c>
      <c r="O490" s="26">
        <v>166</v>
      </c>
      <c r="P490" s="26">
        <v>168</v>
      </c>
      <c r="Q490" s="26">
        <v>12</v>
      </c>
      <c r="R490" s="26">
        <v>1</v>
      </c>
      <c r="S490" s="26">
        <v>8</v>
      </c>
      <c r="T490" s="26">
        <v>7</v>
      </c>
      <c r="U490" s="26">
        <v>16</v>
      </c>
      <c r="V490" s="26">
        <v>1</v>
      </c>
      <c r="W490" s="26"/>
    </row>
    <row r="491" spans="1:23" x14ac:dyDescent="0.25">
      <c r="A491" s="26" t="str">
        <f t="shared" si="75"/>
        <v>PRIMARIA</v>
      </c>
      <c r="B491" s="26" t="str">
        <f>"09DPR1330M"</f>
        <v>09DPR1330M</v>
      </c>
      <c r="C491" s="26" t="str">
        <f>"CUAUHTEMOC                                                                                          "</f>
        <v xml:space="preserve">CUAUHTEMOC                                                                                          </v>
      </c>
      <c r="D491" s="26" t="str">
        <f>"VESPERTINO"</f>
        <v>VESPERTINO</v>
      </c>
      <c r="E491" s="26" t="str">
        <f>"AVENIDA MEXICO NO. 22                                                           "</f>
        <v xml:space="preserve">AVENIDA MEXICO NO. 22                                                           </v>
      </c>
      <c r="F491" s="26" t="str">
        <f>"SANTA MARIA AZTAHUACAN                                                                                                                      "</f>
        <v xml:space="preserve">SANTA MARIA AZTAHUACAN                                                                                                                      </v>
      </c>
      <c r="G491" s="26" t="str">
        <f>"IZTAPALAPA                                                                      "</f>
        <v xml:space="preserve">IZTAPALAPA                                                                      </v>
      </c>
      <c r="H491" s="26" t="str">
        <f>"025"</f>
        <v>025</v>
      </c>
      <c r="I491" s="26" t="str">
        <f t="shared" si="76"/>
        <v>00</v>
      </c>
      <c r="J491" s="26" t="str">
        <f>"62 "</f>
        <v xml:space="preserve">62 </v>
      </c>
      <c r="K491" s="26" t="str">
        <f>"IZ"</f>
        <v>IZ</v>
      </c>
      <c r="L491" s="26" t="str">
        <f>"DGSEI"</f>
        <v>DGSEI</v>
      </c>
      <c r="M491" s="26" t="str">
        <f t="shared" si="77"/>
        <v>FEDERAL</v>
      </c>
      <c r="N491" s="26">
        <v>368</v>
      </c>
      <c r="O491" s="26">
        <v>179</v>
      </c>
      <c r="P491" s="26">
        <v>189</v>
      </c>
      <c r="Q491" s="26">
        <v>15</v>
      </c>
      <c r="R491" s="26">
        <v>1</v>
      </c>
      <c r="S491" s="26">
        <v>15</v>
      </c>
      <c r="T491" s="26">
        <v>6</v>
      </c>
      <c r="U491" s="26">
        <v>22</v>
      </c>
      <c r="V491" s="26">
        <v>1</v>
      </c>
      <c r="W491" s="26"/>
    </row>
    <row r="492" spans="1:23" x14ac:dyDescent="0.25">
      <c r="A492" s="26" t="str">
        <f t="shared" si="75"/>
        <v>PRIMARIA</v>
      </c>
      <c r="B492" s="26" t="str">
        <f>"09DPR1332K"</f>
        <v>09DPR1332K</v>
      </c>
      <c r="C492" s="26" t="str">
        <f>"CUAUHTEMOC                                                                                          "</f>
        <v xml:space="preserve">CUAUHTEMOC                                                                                          </v>
      </c>
      <c r="D492" s="26" t="str">
        <f>"MATUTINO"</f>
        <v>MATUTINO</v>
      </c>
      <c r="E492" s="26" t="str">
        <f>"AVENIDA MEXICO NO. 22                                                           "</f>
        <v xml:space="preserve">AVENIDA MEXICO NO. 22                                                           </v>
      </c>
      <c r="F492" s="26" t="str">
        <f>"SANTA MARIA AZTAHUACAN                                                                                                                      "</f>
        <v xml:space="preserve">SANTA MARIA AZTAHUACAN                                                                                                                      </v>
      </c>
      <c r="G492" s="26" t="str">
        <f>"IZTAPALAPA                                                                      "</f>
        <v xml:space="preserve">IZTAPALAPA                                                                      </v>
      </c>
      <c r="H492" s="26" t="str">
        <f>"025"</f>
        <v>025</v>
      </c>
      <c r="I492" s="26" t="str">
        <f t="shared" si="76"/>
        <v>00</v>
      </c>
      <c r="J492" s="26" t="str">
        <f>"62 "</f>
        <v xml:space="preserve">62 </v>
      </c>
      <c r="K492" s="26" t="str">
        <f>"IZ"</f>
        <v>IZ</v>
      </c>
      <c r="L492" s="26" t="str">
        <f>"DGSEI"</f>
        <v>DGSEI</v>
      </c>
      <c r="M492" s="26" t="str">
        <f t="shared" si="77"/>
        <v>FEDERAL</v>
      </c>
      <c r="N492" s="26">
        <v>605</v>
      </c>
      <c r="O492" s="26">
        <v>320</v>
      </c>
      <c r="P492" s="26">
        <v>285</v>
      </c>
      <c r="Q492" s="26">
        <v>19</v>
      </c>
      <c r="R492" s="26">
        <v>1</v>
      </c>
      <c r="S492" s="26">
        <v>14</v>
      </c>
      <c r="T492" s="26">
        <v>7</v>
      </c>
      <c r="U492" s="26">
        <v>22</v>
      </c>
      <c r="V492" s="26">
        <v>1</v>
      </c>
      <c r="W492" s="26"/>
    </row>
    <row r="493" spans="1:23" x14ac:dyDescent="0.25">
      <c r="A493" s="26" t="str">
        <f t="shared" si="75"/>
        <v>PRIMARIA</v>
      </c>
      <c r="B493" s="26" t="str">
        <f>"09DPR1333J"</f>
        <v>09DPR1333J</v>
      </c>
      <c r="C493" s="26" t="str">
        <f>"PROFR. DANIEL DELGADILLO                                                                            "</f>
        <v xml:space="preserve">PROFR. DANIEL DELGADILLO                                                                            </v>
      </c>
      <c r="D493" s="26" t="str">
        <f>"MATUTINO"</f>
        <v>MATUTINO</v>
      </c>
      <c r="E493" s="26" t="str">
        <f>"PUERTOS MAZATLAN Y TUXPAN S/N                                                   "</f>
        <v xml:space="preserve">PUERTOS MAZATLAN Y TUXPAN S/N                                                   </v>
      </c>
      <c r="F493" s="26" t="str">
        <f>"CASAS ALEMAN AMPLIACION                                                                                                                     "</f>
        <v xml:space="preserve">CASAS ALEMAN AMPLIACION                                                                                                                     </v>
      </c>
      <c r="G493" s="26" t="str">
        <f>"GUSTAVO A. MADERO                                                               "</f>
        <v xml:space="preserve">GUSTAVO A. MADERO                                                               </v>
      </c>
      <c r="H493" s="26" t="str">
        <f>"258"</f>
        <v>258</v>
      </c>
      <c r="I493" s="26" t="str">
        <f t="shared" si="76"/>
        <v>00</v>
      </c>
      <c r="J493" s="26" t="str">
        <f>"42 "</f>
        <v xml:space="preserve">42 </v>
      </c>
      <c r="K493" s="26" t="str">
        <f t="shared" ref="K493:K556" si="81">"PR"</f>
        <v>PR</v>
      </c>
      <c r="L493" s="26" t="str">
        <f t="shared" ref="L493:L556" si="82">"DGOSE"</f>
        <v>DGOSE</v>
      </c>
      <c r="M493" s="26" t="str">
        <f t="shared" si="77"/>
        <v>FEDERAL</v>
      </c>
      <c r="N493" s="26">
        <v>448</v>
      </c>
      <c r="O493" s="26">
        <v>234</v>
      </c>
      <c r="P493" s="26">
        <v>214</v>
      </c>
      <c r="Q493" s="26">
        <v>17</v>
      </c>
      <c r="R493" s="26">
        <v>1</v>
      </c>
      <c r="S493" s="26">
        <v>17</v>
      </c>
      <c r="T493" s="26">
        <v>10</v>
      </c>
      <c r="U493" s="26">
        <v>28</v>
      </c>
      <c r="V493" s="26">
        <v>1</v>
      </c>
      <c r="W493" s="26"/>
    </row>
    <row r="494" spans="1:23" x14ac:dyDescent="0.25">
      <c r="A494" s="26" t="str">
        <f t="shared" si="75"/>
        <v>PRIMARIA</v>
      </c>
      <c r="B494" s="26" t="str">
        <f>"09DPR1335H"</f>
        <v>09DPR1335H</v>
      </c>
      <c r="C494" s="26" t="str">
        <f>"BENITO JUAREZ                                                                                       "</f>
        <v xml:space="preserve">BENITO JUAREZ                                                                                       </v>
      </c>
      <c r="D494" s="26" t="str">
        <f>"TIEMPO COMPLETO"</f>
        <v>TIEMPO COMPLETO</v>
      </c>
      <c r="E494" s="26" t="str">
        <f>"JALAPA NO. 272                                                                  "</f>
        <v xml:space="preserve">JALAPA NO. 272                                                                  </v>
      </c>
      <c r="F494" s="26" t="str">
        <f>"ROMA SUR                                                                                                                                    "</f>
        <v xml:space="preserve">ROMA SUR                                                                                                                                    </v>
      </c>
      <c r="G494" s="26" t="str">
        <f>"CUAUHTEMOC                                                                      "</f>
        <v xml:space="preserve">CUAUHTEMOC                                                                      </v>
      </c>
      <c r="H494" s="26" t="str">
        <f>"126"</f>
        <v>126</v>
      </c>
      <c r="I494" s="26" t="str">
        <f t="shared" si="76"/>
        <v>00</v>
      </c>
      <c r="J494" s="26" t="str">
        <f>"41 "</f>
        <v xml:space="preserve">41 </v>
      </c>
      <c r="K494" s="26" t="str">
        <f t="shared" si="81"/>
        <v>PR</v>
      </c>
      <c r="L494" s="26" t="str">
        <f t="shared" si="82"/>
        <v>DGOSE</v>
      </c>
      <c r="M494" s="26" t="str">
        <f t="shared" si="77"/>
        <v>FEDERAL</v>
      </c>
      <c r="N494" s="26">
        <v>988</v>
      </c>
      <c r="O494" s="26">
        <v>484</v>
      </c>
      <c r="P494" s="26">
        <v>504</v>
      </c>
      <c r="Q494" s="26">
        <v>28</v>
      </c>
      <c r="R494" s="26">
        <v>1</v>
      </c>
      <c r="S494" s="26">
        <v>28</v>
      </c>
      <c r="T494" s="26">
        <v>33</v>
      </c>
      <c r="U494" s="26">
        <v>62</v>
      </c>
      <c r="V494" s="26">
        <v>1</v>
      </c>
      <c r="W494" s="26" t="s">
        <v>218</v>
      </c>
    </row>
    <row r="495" spans="1:23" x14ac:dyDescent="0.25">
      <c r="A495" s="26" t="str">
        <f t="shared" si="75"/>
        <v>PRIMARIA</v>
      </c>
      <c r="B495" s="26" t="str">
        <f>"09DPR1338E"</f>
        <v>09DPR1338E</v>
      </c>
      <c r="C495" s="26" t="str">
        <f>"PADRE MIER                                                                                          "</f>
        <v xml:space="preserve">PADRE MIER                                                                                          </v>
      </c>
      <c r="D495" s="26" t="str">
        <f>"JORNADA AMPLIADA"</f>
        <v>JORNADA AMPLIADA</v>
      </c>
      <c r="E495" s="26" t="str">
        <f>"MANUEL MA. CONTRERAS NUM 116                                                    "</f>
        <v xml:space="preserve">MANUEL MA. CONTRERAS NUM 116                                                    </v>
      </c>
      <c r="F495" s="26" t="str">
        <f>"SAN RAFAEL                                                                                                                                  "</f>
        <v xml:space="preserve">SAN RAFAEL                                                                                                                                  </v>
      </c>
      <c r="G495" s="26" t="str">
        <f>"CUAUHTEMOC                                                                      "</f>
        <v xml:space="preserve">CUAUHTEMOC                                                                      </v>
      </c>
      <c r="H495" s="26" t="str">
        <f>"124"</f>
        <v>124</v>
      </c>
      <c r="I495" s="26" t="str">
        <f t="shared" si="76"/>
        <v>00</v>
      </c>
      <c r="J495" s="26" t="str">
        <f>"41 "</f>
        <v xml:space="preserve">41 </v>
      </c>
      <c r="K495" s="26" t="str">
        <f t="shared" si="81"/>
        <v>PR</v>
      </c>
      <c r="L495" s="26" t="str">
        <f t="shared" si="82"/>
        <v>DGOSE</v>
      </c>
      <c r="M495" s="26" t="str">
        <f t="shared" si="77"/>
        <v>FEDERAL</v>
      </c>
      <c r="N495" s="26">
        <v>404</v>
      </c>
      <c r="O495" s="26">
        <v>199</v>
      </c>
      <c r="P495" s="26">
        <v>205</v>
      </c>
      <c r="Q495" s="26">
        <v>18</v>
      </c>
      <c r="R495" s="26">
        <v>1</v>
      </c>
      <c r="S495" s="26">
        <v>18</v>
      </c>
      <c r="T495" s="26">
        <v>13</v>
      </c>
      <c r="U495" s="26">
        <v>32</v>
      </c>
      <c r="V495" s="26">
        <v>1</v>
      </c>
      <c r="W495" s="26" t="s">
        <v>2076</v>
      </c>
    </row>
    <row r="496" spans="1:23" x14ac:dyDescent="0.25">
      <c r="A496" s="26" t="str">
        <f t="shared" si="75"/>
        <v>PRIMARIA</v>
      </c>
      <c r="B496" s="26" t="str">
        <f>"09DPR1340T"</f>
        <v>09DPR1340T</v>
      </c>
      <c r="C496" s="26" t="str">
        <f>"GRAL. JUAN N. MENDEZ                                                                                "</f>
        <v xml:space="preserve">GRAL. JUAN N. MENDEZ                                                                                </v>
      </c>
      <c r="D496" s="26" t="str">
        <f>"JORNADA AMPLIADA"</f>
        <v>JORNADA AMPLIADA</v>
      </c>
      <c r="E496" s="26" t="str">
        <f>"POLO NORTE NO 4                                                                 "</f>
        <v xml:space="preserve">POLO NORTE NO 4                                                                 </v>
      </c>
      <c r="F496" s="26" t="str">
        <f>"ANGEL ZIMBRON                                                                                                                               "</f>
        <v xml:space="preserve">ANGEL ZIMBRON                                                                                                                               </v>
      </c>
      <c r="G496" s="26" t="str">
        <f>"AZCAPOTZALCO                                                                    "</f>
        <v xml:space="preserve">AZCAPOTZALCO                                                                    </v>
      </c>
      <c r="H496" s="26" t="str">
        <f>"107"</f>
        <v>107</v>
      </c>
      <c r="I496" s="26" t="str">
        <f t="shared" si="76"/>
        <v>00</v>
      </c>
      <c r="J496" s="26" t="str">
        <f>"41 "</f>
        <v xml:space="preserve">41 </v>
      </c>
      <c r="K496" s="26" t="str">
        <f t="shared" si="81"/>
        <v>PR</v>
      </c>
      <c r="L496" s="26" t="str">
        <f t="shared" si="82"/>
        <v>DGOSE</v>
      </c>
      <c r="M496" s="26" t="str">
        <f t="shared" si="77"/>
        <v>FEDERAL</v>
      </c>
      <c r="N496" s="26">
        <v>173</v>
      </c>
      <c r="O496" s="26">
        <v>84</v>
      </c>
      <c r="P496" s="26">
        <v>89</v>
      </c>
      <c r="Q496" s="26">
        <v>6</v>
      </c>
      <c r="R496" s="26">
        <v>1</v>
      </c>
      <c r="S496" s="26">
        <v>6</v>
      </c>
      <c r="T496" s="26">
        <v>8</v>
      </c>
      <c r="U496" s="26">
        <v>15</v>
      </c>
      <c r="V496" s="26">
        <v>1</v>
      </c>
      <c r="W496" s="26" t="s">
        <v>2076</v>
      </c>
    </row>
    <row r="497" spans="1:23" x14ac:dyDescent="0.25">
      <c r="A497" s="26" t="str">
        <f t="shared" si="75"/>
        <v>PRIMARIA</v>
      </c>
      <c r="B497" s="26" t="str">
        <f>"09DPR1341S"</f>
        <v>09DPR1341S</v>
      </c>
      <c r="C497" s="26" t="str">
        <f>"POLONIA                                                                                             "</f>
        <v xml:space="preserve">POLONIA                                                                                             </v>
      </c>
      <c r="D497" s="26" t="str">
        <f>"VESPERTINO"</f>
        <v>VESPERTINO</v>
      </c>
      <c r="E497" s="26" t="str">
        <f>"FLORESTA Y HELIOPOLIS                                                           "</f>
        <v xml:space="preserve">FLORESTA Y HELIOPOLIS                                                           </v>
      </c>
      <c r="F497" s="26" t="str">
        <f>"CLAVERIA                                                                                                                                    "</f>
        <v xml:space="preserve">CLAVERIA                                                                                                                                    </v>
      </c>
      <c r="G497" s="26" t="str">
        <f>"AZCAPOTZALCO                                                                    "</f>
        <v xml:space="preserve">AZCAPOTZALCO                                                                    </v>
      </c>
      <c r="H497" s="26" t="str">
        <f>"206"</f>
        <v>206</v>
      </c>
      <c r="I497" s="26" t="str">
        <f t="shared" si="76"/>
        <v>00</v>
      </c>
      <c r="J497" s="26" t="str">
        <f>"42 "</f>
        <v xml:space="preserve">42 </v>
      </c>
      <c r="K497" s="26" t="str">
        <f t="shared" si="81"/>
        <v>PR</v>
      </c>
      <c r="L497" s="26" t="str">
        <f t="shared" si="82"/>
        <v>DGOSE</v>
      </c>
      <c r="M497" s="26" t="str">
        <f t="shared" si="77"/>
        <v>FEDERAL</v>
      </c>
      <c r="N497" s="26">
        <v>227</v>
      </c>
      <c r="O497" s="26">
        <v>135</v>
      </c>
      <c r="P497" s="26">
        <v>92</v>
      </c>
      <c r="Q497" s="26">
        <v>12</v>
      </c>
      <c r="R497" s="26">
        <v>1</v>
      </c>
      <c r="S497" s="26">
        <v>12</v>
      </c>
      <c r="T497" s="26">
        <v>10</v>
      </c>
      <c r="U497" s="26">
        <v>23</v>
      </c>
      <c r="V497" s="26">
        <v>1</v>
      </c>
      <c r="W497" s="26"/>
    </row>
    <row r="498" spans="1:23" x14ac:dyDescent="0.25">
      <c r="A498" s="26" t="str">
        <f t="shared" si="75"/>
        <v>PRIMARIA</v>
      </c>
      <c r="B498" s="26" t="str">
        <f>"09DPR1344P"</f>
        <v>09DPR1344P</v>
      </c>
      <c r="C498" s="26" t="str">
        <f>"ARTICULO 27                                                                                         "</f>
        <v xml:space="preserve">ARTICULO 27                                                                                         </v>
      </c>
      <c r="D498" s="26" t="str">
        <f>"JORNADA AMPLIADA"</f>
        <v>JORNADA AMPLIADA</v>
      </c>
      <c r="E498" s="26" t="str">
        <f>"AV 17 DE MAYO Y MONTEVIDEO S/N                                                  "</f>
        <v xml:space="preserve">AV 17 DE MAYO Y MONTEVIDEO S/N                                                  </v>
      </c>
      <c r="F498" s="26" t="str">
        <f>"SAN BARTOLO ATEPEHUACAN                                                                                                                     "</f>
        <v xml:space="preserve">SAN BARTOLO ATEPEHUACAN                                                                                                                     </v>
      </c>
      <c r="G498" s="26" t="str">
        <f t="shared" ref="G498:G561" si="83">"GUSTAVO A. MADERO                                                               "</f>
        <v xml:space="preserve">GUSTAVO A. MADERO                                                               </v>
      </c>
      <c r="H498" s="26" t="str">
        <f>"133"</f>
        <v>133</v>
      </c>
      <c r="I498" s="26" t="str">
        <f t="shared" si="76"/>
        <v>00</v>
      </c>
      <c r="J498" s="26" t="str">
        <f>"41 "</f>
        <v xml:space="preserve">41 </v>
      </c>
      <c r="K498" s="26" t="str">
        <f t="shared" si="81"/>
        <v>PR</v>
      </c>
      <c r="L498" s="26" t="str">
        <f t="shared" si="82"/>
        <v>DGOSE</v>
      </c>
      <c r="M498" s="26" t="str">
        <f t="shared" si="77"/>
        <v>FEDERAL</v>
      </c>
      <c r="N498" s="26">
        <v>172</v>
      </c>
      <c r="O498" s="26">
        <v>92</v>
      </c>
      <c r="P498" s="26">
        <v>80</v>
      </c>
      <c r="Q498" s="26">
        <v>8</v>
      </c>
      <c r="R498" s="26">
        <v>1</v>
      </c>
      <c r="S498" s="26">
        <v>8</v>
      </c>
      <c r="T498" s="26">
        <v>9</v>
      </c>
      <c r="U498" s="26">
        <v>18</v>
      </c>
      <c r="V498" s="26">
        <v>1</v>
      </c>
      <c r="W498" s="26" t="s">
        <v>2076</v>
      </c>
    </row>
    <row r="499" spans="1:23" x14ac:dyDescent="0.25">
      <c r="A499" s="26" t="str">
        <f t="shared" si="75"/>
        <v>PRIMARIA</v>
      </c>
      <c r="B499" s="26" t="str">
        <f>"09DPR1346N"</f>
        <v>09DPR1346N</v>
      </c>
      <c r="C499" s="26" t="str">
        <f>"BERNAL DIAZ DEL CASTILLO                                                                            "</f>
        <v xml:space="preserve">BERNAL DIAZ DEL CASTILLO                                                                            </v>
      </c>
      <c r="D499" s="26" t="str">
        <f>"JORNADA AMPLIADA"</f>
        <v>JORNADA AMPLIADA</v>
      </c>
      <c r="E499" s="26" t="str">
        <f>"CALZ VALLEJO NO 1111                                                            "</f>
        <v xml:space="preserve">CALZ VALLEJO NO 1111                                                            </v>
      </c>
      <c r="F499" s="26" t="str">
        <f>"UNIDAD HABITACIONAL VALLEJO LA PATE                                                                                                         "</f>
        <v xml:space="preserve">UNIDAD HABITACIONAL VALLEJO LA PATE                                                                                                         </v>
      </c>
      <c r="G499" s="26" t="str">
        <f t="shared" si="83"/>
        <v xml:space="preserve">GUSTAVO A. MADERO                                                               </v>
      </c>
      <c r="H499" s="26" t="str">
        <f>"133"</f>
        <v>133</v>
      </c>
      <c r="I499" s="26" t="str">
        <f t="shared" si="76"/>
        <v>00</v>
      </c>
      <c r="J499" s="26" t="str">
        <f>"41 "</f>
        <v xml:space="preserve">41 </v>
      </c>
      <c r="K499" s="26" t="str">
        <f t="shared" si="81"/>
        <v>PR</v>
      </c>
      <c r="L499" s="26" t="str">
        <f t="shared" si="82"/>
        <v>DGOSE</v>
      </c>
      <c r="M499" s="26" t="str">
        <f t="shared" si="77"/>
        <v>FEDERAL</v>
      </c>
      <c r="N499" s="26">
        <v>275</v>
      </c>
      <c r="O499" s="26">
        <v>147</v>
      </c>
      <c r="P499" s="26">
        <v>128</v>
      </c>
      <c r="Q499" s="26">
        <v>12</v>
      </c>
      <c r="R499" s="26">
        <v>1</v>
      </c>
      <c r="S499" s="26">
        <v>12</v>
      </c>
      <c r="T499" s="26">
        <v>10</v>
      </c>
      <c r="U499" s="26">
        <v>23</v>
      </c>
      <c r="V499" s="26">
        <v>1</v>
      </c>
      <c r="W499" s="26" t="s">
        <v>2076</v>
      </c>
    </row>
    <row r="500" spans="1:23" x14ac:dyDescent="0.25">
      <c r="A500" s="26" t="str">
        <f t="shared" si="75"/>
        <v>PRIMARIA</v>
      </c>
      <c r="B500" s="26" t="str">
        <f>"09DPR1347M"</f>
        <v>09DPR1347M</v>
      </c>
      <c r="C500" s="26" t="str">
        <f>"JESUS CARLOS ROMERO VILLA                                                                           "</f>
        <v xml:space="preserve">JESUS CARLOS ROMERO VILLA                                                                           </v>
      </c>
      <c r="D500" s="26" t="str">
        <f>"MATUTINO"</f>
        <v>MATUTINO</v>
      </c>
      <c r="E500" s="26" t="str">
        <f>"SAO PAULO 34                                                                    "</f>
        <v xml:space="preserve">SAO PAULO 34                                                                    </v>
      </c>
      <c r="F500" s="26" t="str">
        <f>"SAN PEDRO ZACATENCO                                                                                                                         "</f>
        <v xml:space="preserve">SAN PEDRO ZACATENCO                                                                                                                         </v>
      </c>
      <c r="G500" s="26" t="str">
        <f t="shared" si="83"/>
        <v xml:space="preserve">GUSTAVO A. MADERO                                                               </v>
      </c>
      <c r="H500" s="26" t="str">
        <f>"239"</f>
        <v>239</v>
      </c>
      <c r="I500" s="26" t="str">
        <f t="shared" si="76"/>
        <v>00</v>
      </c>
      <c r="J500" s="26" t="str">
        <f>"42 "</f>
        <v xml:space="preserve">42 </v>
      </c>
      <c r="K500" s="26" t="str">
        <f t="shared" si="81"/>
        <v>PR</v>
      </c>
      <c r="L500" s="26" t="str">
        <f t="shared" si="82"/>
        <v>DGOSE</v>
      </c>
      <c r="M500" s="26" t="str">
        <f t="shared" si="77"/>
        <v>FEDERAL</v>
      </c>
      <c r="N500" s="26">
        <v>274</v>
      </c>
      <c r="O500" s="26">
        <v>141</v>
      </c>
      <c r="P500" s="26">
        <v>133</v>
      </c>
      <c r="Q500" s="26">
        <v>9</v>
      </c>
      <c r="R500" s="26">
        <v>1</v>
      </c>
      <c r="S500" s="26">
        <v>9</v>
      </c>
      <c r="T500" s="26">
        <v>7</v>
      </c>
      <c r="U500" s="26">
        <v>17</v>
      </c>
      <c r="V500" s="26">
        <v>1</v>
      </c>
      <c r="W500" s="26"/>
    </row>
    <row r="501" spans="1:23" x14ac:dyDescent="0.25">
      <c r="A501" s="26" t="str">
        <f t="shared" si="75"/>
        <v>PRIMARIA</v>
      </c>
      <c r="B501" s="26" t="str">
        <f>"09DPR1349K"</f>
        <v>09DPR1349K</v>
      </c>
      <c r="C501" s="26" t="str">
        <f>"MTRO. JOSE HELIODORO BRAVO                                                                          "</f>
        <v xml:space="preserve">MTRO. JOSE HELIODORO BRAVO                                                                          </v>
      </c>
      <c r="D501" s="26" t="str">
        <f>"JORNADA AMPLIADA"</f>
        <v>JORNADA AMPLIADA</v>
      </c>
      <c r="E501" s="26" t="str">
        <f>"AV 529 PLAZA 5 S/N                                                              "</f>
        <v xml:space="preserve">AV 529 PLAZA 5 S/N                                                              </v>
      </c>
      <c r="F501" s="26" t="str">
        <f>"UNIDAD SAN JUAN DE ARAGON                                                                                                                   "</f>
        <v xml:space="preserve">UNIDAD SAN JUAN DE ARAGON                                                                                                                   </v>
      </c>
      <c r="G501" s="26" t="str">
        <f t="shared" si="83"/>
        <v xml:space="preserve">GUSTAVO A. MADERO                                                               </v>
      </c>
      <c r="H501" s="26" t="str">
        <f>"143"</f>
        <v>143</v>
      </c>
      <c r="I501" s="26" t="str">
        <f t="shared" si="76"/>
        <v>00</v>
      </c>
      <c r="J501" s="26" t="str">
        <f>"41 "</f>
        <v xml:space="preserve">41 </v>
      </c>
      <c r="K501" s="26" t="str">
        <f t="shared" si="81"/>
        <v>PR</v>
      </c>
      <c r="L501" s="26" t="str">
        <f t="shared" si="82"/>
        <v>DGOSE</v>
      </c>
      <c r="M501" s="26" t="str">
        <f t="shared" si="77"/>
        <v>FEDERAL</v>
      </c>
      <c r="N501" s="26">
        <v>164</v>
      </c>
      <c r="O501" s="26">
        <v>84</v>
      </c>
      <c r="P501" s="26">
        <v>80</v>
      </c>
      <c r="Q501" s="26">
        <v>6</v>
      </c>
      <c r="R501" s="26">
        <v>1</v>
      </c>
      <c r="S501" s="26">
        <v>6</v>
      </c>
      <c r="T501" s="26">
        <v>8</v>
      </c>
      <c r="U501" s="26">
        <v>15</v>
      </c>
      <c r="V501" s="26">
        <v>1</v>
      </c>
      <c r="W501" s="26" t="s">
        <v>2076</v>
      </c>
    </row>
    <row r="502" spans="1:23" x14ac:dyDescent="0.25">
      <c r="A502" s="26" t="str">
        <f t="shared" si="75"/>
        <v>PRIMARIA</v>
      </c>
      <c r="B502" s="26" t="str">
        <f>"09DPR1351Z"</f>
        <v>09DPR1351Z</v>
      </c>
      <c r="C502" s="26" t="str">
        <f>"JERONIMO FIGUEROA                                                                                   "</f>
        <v xml:space="preserve">JERONIMO FIGUEROA                                                                                   </v>
      </c>
      <c r="D502" s="26" t="str">
        <f>"MATUTINO"</f>
        <v>MATUTINO</v>
      </c>
      <c r="E502" s="26" t="str">
        <f>"CALLE 22 S/N                                                                    "</f>
        <v xml:space="preserve">CALLE 22 S/N                                                                    </v>
      </c>
      <c r="F502" s="26" t="str">
        <f>"GUADALUPE PROLETARIA                                                                                                                        "</f>
        <v xml:space="preserve">GUADALUPE PROLETARIA                                                                                                                        </v>
      </c>
      <c r="G502" s="26" t="str">
        <f t="shared" si="83"/>
        <v xml:space="preserve">GUSTAVO A. MADERO                                                               </v>
      </c>
      <c r="H502" s="26" t="str">
        <f>"241"</f>
        <v>241</v>
      </c>
      <c r="I502" s="26" t="str">
        <f t="shared" si="76"/>
        <v>00</v>
      </c>
      <c r="J502" s="26" t="str">
        <f>"42 "</f>
        <v xml:space="preserve">42 </v>
      </c>
      <c r="K502" s="26" t="str">
        <f t="shared" si="81"/>
        <v>PR</v>
      </c>
      <c r="L502" s="26" t="str">
        <f t="shared" si="82"/>
        <v>DGOSE</v>
      </c>
      <c r="M502" s="26" t="str">
        <f t="shared" si="77"/>
        <v>FEDERAL</v>
      </c>
      <c r="N502" s="26">
        <v>269</v>
      </c>
      <c r="O502" s="26">
        <v>132</v>
      </c>
      <c r="P502" s="26">
        <v>137</v>
      </c>
      <c r="Q502" s="26">
        <v>12</v>
      </c>
      <c r="R502" s="26">
        <v>1</v>
      </c>
      <c r="S502" s="26">
        <v>11</v>
      </c>
      <c r="T502" s="26">
        <v>10</v>
      </c>
      <c r="U502" s="26">
        <v>22</v>
      </c>
      <c r="V502" s="26">
        <v>1</v>
      </c>
      <c r="W502" s="26"/>
    </row>
    <row r="503" spans="1:23" x14ac:dyDescent="0.25">
      <c r="A503" s="26" t="str">
        <f t="shared" si="75"/>
        <v>PRIMARIA</v>
      </c>
      <c r="B503" s="26" t="str">
        <f>"09DPR1353X"</f>
        <v>09DPR1353X</v>
      </c>
      <c r="C503" s="26" t="str">
        <f>"JERONIMO FIGUEROA                                                                                   "</f>
        <v xml:space="preserve">JERONIMO FIGUEROA                                                                                   </v>
      </c>
      <c r="D503" s="26" t="str">
        <f>"VESPERTINO"</f>
        <v>VESPERTINO</v>
      </c>
      <c r="E503" s="26" t="str">
        <f>"CALLE 22 S/N                                                                    "</f>
        <v xml:space="preserve">CALLE 22 S/N                                                                    </v>
      </c>
      <c r="F503" s="26" t="str">
        <f>"GUADALUPE PROLETARIA                                                                                                                        "</f>
        <v xml:space="preserve">GUADALUPE PROLETARIA                                                                                                                        </v>
      </c>
      <c r="G503" s="26" t="str">
        <f t="shared" si="83"/>
        <v xml:space="preserve">GUSTAVO A. MADERO                                                               </v>
      </c>
      <c r="H503" s="26" t="str">
        <f>"241"</f>
        <v>241</v>
      </c>
      <c r="I503" s="26" t="str">
        <f t="shared" si="76"/>
        <v>00</v>
      </c>
      <c r="J503" s="26" t="str">
        <f>"42 "</f>
        <v xml:space="preserve">42 </v>
      </c>
      <c r="K503" s="26" t="str">
        <f t="shared" si="81"/>
        <v>PR</v>
      </c>
      <c r="L503" s="26" t="str">
        <f t="shared" si="82"/>
        <v>DGOSE</v>
      </c>
      <c r="M503" s="26" t="str">
        <f t="shared" si="77"/>
        <v>FEDERAL</v>
      </c>
      <c r="N503" s="26">
        <v>109</v>
      </c>
      <c r="O503" s="26">
        <v>60</v>
      </c>
      <c r="P503" s="26">
        <v>49</v>
      </c>
      <c r="Q503" s="26">
        <v>6</v>
      </c>
      <c r="R503" s="26">
        <v>1</v>
      </c>
      <c r="S503" s="26">
        <v>6</v>
      </c>
      <c r="T503" s="26">
        <v>8</v>
      </c>
      <c r="U503" s="26">
        <v>15</v>
      </c>
      <c r="V503" s="26">
        <v>1</v>
      </c>
      <c r="W503" s="26"/>
    </row>
    <row r="504" spans="1:23" x14ac:dyDescent="0.25">
      <c r="A504" s="26" t="str">
        <f t="shared" si="75"/>
        <v>PRIMARIA</v>
      </c>
      <c r="B504" s="26" t="str">
        <f>"09DPR1354W"</f>
        <v>09DPR1354W</v>
      </c>
      <c r="C504" s="26" t="str">
        <f>"HEROE ANTONIO REYES                                                                                 "</f>
        <v xml:space="preserve">HEROE ANTONIO REYES                                                                                 </v>
      </c>
      <c r="D504" s="26" t="str">
        <f>"JORNADA AMPLIADA"</f>
        <v>JORNADA AMPLIADA</v>
      </c>
      <c r="E504" s="26" t="str">
        <f>"PTO MATAMOROS Y MAZATLAN S/N                                                    "</f>
        <v xml:space="preserve">PTO MATAMOROS Y MAZATLAN S/N                                                    </v>
      </c>
      <c r="F504" s="26" t="str">
        <f>"CASAS ALEMAN AMPLIACION                                                                                                                     "</f>
        <v xml:space="preserve">CASAS ALEMAN AMPLIACION                                                                                                                     </v>
      </c>
      <c r="G504" s="26" t="str">
        <f t="shared" si="83"/>
        <v xml:space="preserve">GUSTAVO A. MADERO                                                               </v>
      </c>
      <c r="H504" s="26" t="str">
        <f>"142"</f>
        <v>142</v>
      </c>
      <c r="I504" s="26" t="str">
        <f t="shared" si="76"/>
        <v>00</v>
      </c>
      <c r="J504" s="26" t="str">
        <f>"41 "</f>
        <v xml:space="preserve">41 </v>
      </c>
      <c r="K504" s="26" t="str">
        <f t="shared" si="81"/>
        <v>PR</v>
      </c>
      <c r="L504" s="26" t="str">
        <f t="shared" si="82"/>
        <v>DGOSE</v>
      </c>
      <c r="M504" s="26" t="str">
        <f t="shared" si="77"/>
        <v>FEDERAL</v>
      </c>
      <c r="N504" s="26">
        <v>350</v>
      </c>
      <c r="O504" s="26">
        <v>173</v>
      </c>
      <c r="P504" s="26">
        <v>177</v>
      </c>
      <c r="Q504" s="26">
        <v>12</v>
      </c>
      <c r="R504" s="26">
        <v>1</v>
      </c>
      <c r="S504" s="26">
        <v>12</v>
      </c>
      <c r="T504" s="26">
        <v>10</v>
      </c>
      <c r="U504" s="26">
        <v>23</v>
      </c>
      <c r="V504" s="26">
        <v>1</v>
      </c>
      <c r="W504" s="26" t="s">
        <v>2076</v>
      </c>
    </row>
    <row r="505" spans="1:23" x14ac:dyDescent="0.25">
      <c r="A505" s="26" t="str">
        <f t="shared" si="75"/>
        <v>PRIMARIA</v>
      </c>
      <c r="B505" s="26" t="str">
        <f>"09DPR1355V"</f>
        <v>09DPR1355V</v>
      </c>
      <c r="C505" s="26" t="str">
        <f>"JAIME TORRES BODET                                                                                  "</f>
        <v xml:space="preserve">JAIME TORRES BODET                                                                                  </v>
      </c>
      <c r="D505" s="26" t="str">
        <f>"JORNADA AMPLIADA"</f>
        <v>JORNADA AMPLIADA</v>
      </c>
      <c r="E505" s="26" t="str">
        <f>"NORTE 74 NUM 3715                                                               "</f>
        <v xml:space="preserve">NORTE 74 NUM 3715                                                               </v>
      </c>
      <c r="F505" s="26" t="str">
        <f>"LA JOYA                                                                                                                                     "</f>
        <v xml:space="preserve">LA JOYA                                                                                                                                     </v>
      </c>
      <c r="G505" s="26" t="str">
        <f t="shared" si="83"/>
        <v xml:space="preserve">GUSTAVO A. MADERO                                                               </v>
      </c>
      <c r="H505" s="26" t="str">
        <f>"137"</f>
        <v>137</v>
      </c>
      <c r="I505" s="26" t="str">
        <f t="shared" si="76"/>
        <v>00</v>
      </c>
      <c r="J505" s="26" t="str">
        <f>"41 "</f>
        <v xml:space="preserve">41 </v>
      </c>
      <c r="K505" s="26" t="str">
        <f t="shared" si="81"/>
        <v>PR</v>
      </c>
      <c r="L505" s="26" t="str">
        <f t="shared" si="82"/>
        <v>DGOSE</v>
      </c>
      <c r="M505" s="26" t="str">
        <f t="shared" si="77"/>
        <v>FEDERAL</v>
      </c>
      <c r="N505" s="26">
        <v>334</v>
      </c>
      <c r="O505" s="26">
        <v>158</v>
      </c>
      <c r="P505" s="26">
        <v>176</v>
      </c>
      <c r="Q505" s="26">
        <v>12</v>
      </c>
      <c r="R505" s="26">
        <v>1</v>
      </c>
      <c r="S505" s="26">
        <v>12</v>
      </c>
      <c r="T505" s="26">
        <v>12</v>
      </c>
      <c r="U505" s="26">
        <v>25</v>
      </c>
      <c r="V505" s="26">
        <v>1</v>
      </c>
      <c r="W505" s="26" t="s">
        <v>2076</v>
      </c>
    </row>
    <row r="506" spans="1:23" x14ac:dyDescent="0.25">
      <c r="A506" s="26" t="str">
        <f t="shared" si="75"/>
        <v>PRIMARIA</v>
      </c>
      <c r="B506" s="26" t="str">
        <f>"09DPR1358S"</f>
        <v>09DPR1358S</v>
      </c>
      <c r="C506" s="26" t="str">
        <f>"ANDRES OSUNA                                                                                        "</f>
        <v xml:space="preserve">ANDRES OSUNA                                                                                        </v>
      </c>
      <c r="D506" s="26" t="str">
        <f>"TIEMPO COMPLETO"</f>
        <v>TIEMPO COMPLETO</v>
      </c>
      <c r="E506" s="26" t="str">
        <f>"AV DE ANZAR S/N                                                                 "</f>
        <v xml:space="preserve">AV DE ANZAR S/N                                                                 </v>
      </c>
      <c r="F506" s="26" t="str">
        <f>"GRANJAS MODERNAS                                                                                                                            "</f>
        <v xml:space="preserve">GRANJAS MODERNAS                                                                                                                            </v>
      </c>
      <c r="G506" s="26" t="str">
        <f t="shared" si="83"/>
        <v xml:space="preserve">GUSTAVO A. MADERO                                                               </v>
      </c>
      <c r="H506" s="26" t="str">
        <f>"141"</f>
        <v>141</v>
      </c>
      <c r="I506" s="26" t="str">
        <f t="shared" si="76"/>
        <v>00</v>
      </c>
      <c r="J506" s="26" t="str">
        <f>"41 "</f>
        <v xml:space="preserve">41 </v>
      </c>
      <c r="K506" s="26" t="str">
        <f t="shared" si="81"/>
        <v>PR</v>
      </c>
      <c r="L506" s="26" t="str">
        <f t="shared" si="82"/>
        <v>DGOSE</v>
      </c>
      <c r="M506" s="26" t="str">
        <f t="shared" si="77"/>
        <v>FEDERAL</v>
      </c>
      <c r="N506" s="26">
        <v>250</v>
      </c>
      <c r="O506" s="26">
        <v>126</v>
      </c>
      <c r="P506" s="26">
        <v>124</v>
      </c>
      <c r="Q506" s="26">
        <v>9</v>
      </c>
      <c r="R506" s="26">
        <v>1</v>
      </c>
      <c r="S506" s="26">
        <v>9</v>
      </c>
      <c r="T506" s="26">
        <v>11</v>
      </c>
      <c r="U506" s="26">
        <v>21</v>
      </c>
      <c r="V506" s="26">
        <v>1</v>
      </c>
      <c r="W506" s="26" t="s">
        <v>218</v>
      </c>
    </row>
    <row r="507" spans="1:23" x14ac:dyDescent="0.25">
      <c r="A507" s="26" t="str">
        <f t="shared" si="75"/>
        <v>PRIMARIA</v>
      </c>
      <c r="B507" s="26" t="str">
        <f>"09DPR1360G"</f>
        <v>09DPR1360G</v>
      </c>
      <c r="C507" s="26" t="str">
        <f>"MANUEL GUTIERREZ NAJERA                                                                             "</f>
        <v xml:space="preserve">MANUEL GUTIERREZ NAJERA                                                                             </v>
      </c>
      <c r="D507" s="26" t="str">
        <f>"MATUTINO"</f>
        <v>MATUTINO</v>
      </c>
      <c r="E507" s="26" t="str">
        <f>"CALLE 311 Y 314                                                                 "</f>
        <v xml:space="preserve">CALLE 311 Y 314                                                                 </v>
      </c>
      <c r="F507" s="26" t="str">
        <f>"NUEVA ATZACOALCO                                                                                                                            "</f>
        <v xml:space="preserve">NUEVA ATZACOALCO                                                                                                                            </v>
      </c>
      <c r="G507" s="26" t="str">
        <f t="shared" si="83"/>
        <v xml:space="preserve">GUSTAVO A. MADERO                                                               </v>
      </c>
      <c r="H507" s="26" t="str">
        <f>"257"</f>
        <v>257</v>
      </c>
      <c r="I507" s="26" t="str">
        <f t="shared" si="76"/>
        <v>00</v>
      </c>
      <c r="J507" s="26" t="str">
        <f>"42 "</f>
        <v xml:space="preserve">42 </v>
      </c>
      <c r="K507" s="26" t="str">
        <f t="shared" si="81"/>
        <v>PR</v>
      </c>
      <c r="L507" s="26" t="str">
        <f t="shared" si="82"/>
        <v>DGOSE</v>
      </c>
      <c r="M507" s="26" t="str">
        <f t="shared" si="77"/>
        <v>FEDERAL</v>
      </c>
      <c r="N507" s="26">
        <v>392</v>
      </c>
      <c r="O507" s="26">
        <v>201</v>
      </c>
      <c r="P507" s="26">
        <v>191</v>
      </c>
      <c r="Q507" s="26">
        <v>16</v>
      </c>
      <c r="R507" s="26">
        <v>1</v>
      </c>
      <c r="S507" s="26">
        <v>16</v>
      </c>
      <c r="T507" s="26">
        <v>10</v>
      </c>
      <c r="U507" s="26">
        <v>27</v>
      </c>
      <c r="V507" s="26">
        <v>1</v>
      </c>
      <c r="W507" s="26"/>
    </row>
    <row r="508" spans="1:23" x14ac:dyDescent="0.25">
      <c r="A508" s="26" t="str">
        <f t="shared" si="75"/>
        <v>PRIMARIA</v>
      </c>
      <c r="B508" s="26" t="str">
        <f>"09DPR1361F"</f>
        <v>09DPR1361F</v>
      </c>
      <c r="C508" s="26" t="str">
        <f>"ANA MARIA BERLANGA                                                                                  "</f>
        <v xml:space="preserve">ANA MARIA BERLANGA                                                                                  </v>
      </c>
      <c r="D508" s="26" t="str">
        <f>"JORNADA AMPLIADA"</f>
        <v>JORNADA AMPLIADA</v>
      </c>
      <c r="E508" s="26" t="str">
        <f>"AV 507 PLAZA 2                                                                  "</f>
        <v xml:space="preserve">AV 507 PLAZA 2                                                                  </v>
      </c>
      <c r="F508" s="26" t="str">
        <f>"UNIDAD SAN JUAN DE ARAGON 1A SECCIO                                                                                                         "</f>
        <v xml:space="preserve">UNIDAD SAN JUAN DE ARAGON 1A SECCIO                                                                                                         </v>
      </c>
      <c r="G508" s="26" t="str">
        <f t="shared" si="83"/>
        <v xml:space="preserve">GUSTAVO A. MADERO                                                               </v>
      </c>
      <c r="H508" s="26" t="str">
        <f>"143"</f>
        <v>143</v>
      </c>
      <c r="I508" s="26" t="str">
        <f t="shared" si="76"/>
        <v>00</v>
      </c>
      <c r="J508" s="26" t="str">
        <f>"41 "</f>
        <v xml:space="preserve">41 </v>
      </c>
      <c r="K508" s="26" t="str">
        <f t="shared" si="81"/>
        <v>PR</v>
      </c>
      <c r="L508" s="26" t="str">
        <f t="shared" si="82"/>
        <v>DGOSE</v>
      </c>
      <c r="M508" s="26" t="str">
        <f t="shared" si="77"/>
        <v>FEDERAL</v>
      </c>
      <c r="N508" s="26">
        <v>374</v>
      </c>
      <c r="O508" s="26">
        <v>184</v>
      </c>
      <c r="P508" s="26">
        <v>190</v>
      </c>
      <c r="Q508" s="26">
        <v>15</v>
      </c>
      <c r="R508" s="26">
        <v>1</v>
      </c>
      <c r="S508" s="26">
        <v>15</v>
      </c>
      <c r="T508" s="26">
        <v>11</v>
      </c>
      <c r="U508" s="26">
        <v>27</v>
      </c>
      <c r="V508" s="26">
        <v>1</v>
      </c>
      <c r="W508" s="26" t="s">
        <v>2076</v>
      </c>
    </row>
    <row r="509" spans="1:23" x14ac:dyDescent="0.25">
      <c r="A509" s="26" t="str">
        <f t="shared" si="75"/>
        <v>PRIMARIA</v>
      </c>
      <c r="B509" s="26" t="str">
        <f>"09DPR1362E"</f>
        <v>09DPR1362E</v>
      </c>
      <c r="C509" s="26" t="str">
        <f>"MTRO. MANUEL C. TELLO                                                                               "</f>
        <v xml:space="preserve">MTRO. MANUEL C. TELLO                                                                               </v>
      </c>
      <c r="D509" s="26" t="str">
        <f>"MATUTINO"</f>
        <v>MATUTINO</v>
      </c>
      <c r="E509" s="26" t="str">
        <f>"AV 481 PLAZA 30 NUM 119                                                         "</f>
        <v xml:space="preserve">AV 481 PLAZA 30 NUM 119                                                         </v>
      </c>
      <c r="F509" s="26" t="str">
        <f>"UNIDAD SAN JUAN DE ARAGON                                                                                                                   "</f>
        <v xml:space="preserve">UNIDAD SAN JUAN DE ARAGON                                                                                                                   </v>
      </c>
      <c r="G509" s="26" t="str">
        <f t="shared" si="83"/>
        <v xml:space="preserve">GUSTAVO A. MADERO                                                               </v>
      </c>
      <c r="H509" s="26" t="str">
        <f>"263"</f>
        <v>263</v>
      </c>
      <c r="I509" s="26" t="str">
        <f t="shared" si="76"/>
        <v>00</v>
      </c>
      <c r="J509" s="26" t="str">
        <f>"42 "</f>
        <v xml:space="preserve">42 </v>
      </c>
      <c r="K509" s="26" t="str">
        <f t="shared" si="81"/>
        <v>PR</v>
      </c>
      <c r="L509" s="26" t="str">
        <f t="shared" si="82"/>
        <v>DGOSE</v>
      </c>
      <c r="M509" s="26" t="str">
        <f t="shared" si="77"/>
        <v>FEDERAL</v>
      </c>
      <c r="N509" s="26">
        <v>378</v>
      </c>
      <c r="O509" s="26">
        <v>184</v>
      </c>
      <c r="P509" s="26">
        <v>194</v>
      </c>
      <c r="Q509" s="26">
        <v>13</v>
      </c>
      <c r="R509" s="26">
        <v>1</v>
      </c>
      <c r="S509" s="26">
        <v>11</v>
      </c>
      <c r="T509" s="26">
        <v>11</v>
      </c>
      <c r="U509" s="26">
        <v>23</v>
      </c>
      <c r="V509" s="26">
        <v>1</v>
      </c>
      <c r="W509" s="26"/>
    </row>
    <row r="510" spans="1:23" x14ac:dyDescent="0.25">
      <c r="A510" s="26" t="str">
        <f t="shared" si="75"/>
        <v>PRIMARIA</v>
      </c>
      <c r="B510" s="26" t="str">
        <f>"09DPR1363D"</f>
        <v>09DPR1363D</v>
      </c>
      <c r="C510" s="26" t="str">
        <f>"MTRO. MANUEL C. TELLO                                                                               "</f>
        <v xml:space="preserve">MTRO. MANUEL C. TELLO                                                                               </v>
      </c>
      <c r="D510" s="26" t="str">
        <f>"VESPERTINO"</f>
        <v>VESPERTINO</v>
      </c>
      <c r="E510" s="26" t="str">
        <f>"AV 481 PLAZA 30 NUM 119                                                         "</f>
        <v xml:space="preserve">AV 481 PLAZA 30 NUM 119                                                         </v>
      </c>
      <c r="F510" s="26" t="str">
        <f>"UNIDAD SAN JUAN DE ARAGON                                                                                                                   "</f>
        <v xml:space="preserve">UNIDAD SAN JUAN DE ARAGON                                                                                                                   </v>
      </c>
      <c r="G510" s="26" t="str">
        <f t="shared" si="83"/>
        <v xml:space="preserve">GUSTAVO A. MADERO                                                               </v>
      </c>
      <c r="H510" s="26" t="str">
        <f>"263"</f>
        <v>263</v>
      </c>
      <c r="I510" s="26" t="str">
        <f t="shared" si="76"/>
        <v>00</v>
      </c>
      <c r="J510" s="26" t="str">
        <f>"42 "</f>
        <v xml:space="preserve">42 </v>
      </c>
      <c r="K510" s="26" t="str">
        <f t="shared" si="81"/>
        <v>PR</v>
      </c>
      <c r="L510" s="26" t="str">
        <f t="shared" si="82"/>
        <v>DGOSE</v>
      </c>
      <c r="M510" s="26" t="str">
        <f t="shared" si="77"/>
        <v>FEDERAL</v>
      </c>
      <c r="N510" s="26">
        <v>105</v>
      </c>
      <c r="O510" s="26">
        <v>50</v>
      </c>
      <c r="P510" s="26">
        <v>55</v>
      </c>
      <c r="Q510" s="26">
        <v>6</v>
      </c>
      <c r="R510" s="26">
        <v>1</v>
      </c>
      <c r="S510" s="26">
        <v>6</v>
      </c>
      <c r="T510" s="26">
        <v>8</v>
      </c>
      <c r="U510" s="26">
        <v>15</v>
      </c>
      <c r="V510" s="26">
        <v>1</v>
      </c>
      <c r="W510" s="26"/>
    </row>
    <row r="511" spans="1:23" x14ac:dyDescent="0.25">
      <c r="A511" s="26" t="str">
        <f t="shared" si="75"/>
        <v>PRIMARIA</v>
      </c>
      <c r="B511" s="26" t="str">
        <f>"09DPR1365B"</f>
        <v>09DPR1365B</v>
      </c>
      <c r="C511" s="26" t="str">
        <f>"ALEJANDRO DE HUMBOLDT                                                                               "</f>
        <v xml:space="preserve">ALEJANDRO DE HUMBOLDT                                                                               </v>
      </c>
      <c r="D511" s="26" t="str">
        <f>"MATUTINO"</f>
        <v>MATUTINO</v>
      </c>
      <c r="E511" s="26" t="str">
        <f>"SALAVERRY Y CATAMARCA NUM 1098                                                  "</f>
        <v xml:space="preserve">SALAVERRY Y CATAMARCA NUM 1098                                                  </v>
      </c>
      <c r="F511" s="26" t="str">
        <f>"SAN PEDRO ZACATENCO                                                                                                                         "</f>
        <v xml:space="preserve">SAN PEDRO ZACATENCO                                                                                                                         </v>
      </c>
      <c r="G511" s="26" t="str">
        <f t="shared" si="83"/>
        <v xml:space="preserve">GUSTAVO A. MADERO                                                               </v>
      </c>
      <c r="H511" s="26" t="str">
        <f>"242"</f>
        <v>242</v>
      </c>
      <c r="I511" s="26" t="str">
        <f t="shared" si="76"/>
        <v>00</v>
      </c>
      <c r="J511" s="26" t="str">
        <f>"42 "</f>
        <v xml:space="preserve">42 </v>
      </c>
      <c r="K511" s="26" t="str">
        <f t="shared" si="81"/>
        <v>PR</v>
      </c>
      <c r="L511" s="26" t="str">
        <f t="shared" si="82"/>
        <v>DGOSE</v>
      </c>
      <c r="M511" s="26" t="str">
        <f t="shared" si="77"/>
        <v>FEDERAL</v>
      </c>
      <c r="N511" s="26">
        <v>414</v>
      </c>
      <c r="O511" s="26">
        <v>213</v>
      </c>
      <c r="P511" s="26">
        <v>201</v>
      </c>
      <c r="Q511" s="26">
        <v>14</v>
      </c>
      <c r="R511" s="26">
        <v>1</v>
      </c>
      <c r="S511" s="26">
        <v>14</v>
      </c>
      <c r="T511" s="26">
        <v>11</v>
      </c>
      <c r="U511" s="26">
        <v>26</v>
      </c>
      <c r="V511" s="26">
        <v>1</v>
      </c>
      <c r="W511" s="26"/>
    </row>
    <row r="512" spans="1:23" x14ac:dyDescent="0.25">
      <c r="A512" s="26" t="str">
        <f t="shared" si="75"/>
        <v>PRIMARIA</v>
      </c>
      <c r="B512" s="26" t="str">
        <f>"09DPR1366A"</f>
        <v>09DPR1366A</v>
      </c>
      <c r="C512" s="26" t="str">
        <f>"MAESTRO MANUEL BORJA SORIANO                                                                        "</f>
        <v xml:space="preserve">MAESTRO MANUEL BORJA SORIANO                                                                        </v>
      </c>
      <c r="D512" s="26" t="str">
        <f>"JORNADA AMPLIADA"</f>
        <v>JORNADA AMPLIADA</v>
      </c>
      <c r="E512" s="26" t="str">
        <f>"ETEN NUM 716                                                                    "</f>
        <v xml:space="preserve">ETEN NUM 716                                                                    </v>
      </c>
      <c r="F512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512" s="26" t="str">
        <f t="shared" si="83"/>
        <v xml:space="preserve">GUSTAVO A. MADERO                                                               </v>
      </c>
      <c r="H512" s="26" t="str">
        <f>"133"</f>
        <v>133</v>
      </c>
      <c r="I512" s="26" t="str">
        <f t="shared" si="76"/>
        <v>00</v>
      </c>
      <c r="J512" s="26" t="str">
        <f>"41 "</f>
        <v xml:space="preserve">41 </v>
      </c>
      <c r="K512" s="26" t="str">
        <f t="shared" si="81"/>
        <v>PR</v>
      </c>
      <c r="L512" s="26" t="str">
        <f t="shared" si="82"/>
        <v>DGOSE</v>
      </c>
      <c r="M512" s="26" t="str">
        <f t="shared" si="77"/>
        <v>FEDERAL</v>
      </c>
      <c r="N512" s="26">
        <v>539</v>
      </c>
      <c r="O512" s="26">
        <v>254</v>
      </c>
      <c r="P512" s="26">
        <v>285</v>
      </c>
      <c r="Q512" s="26">
        <v>18</v>
      </c>
      <c r="R512" s="26">
        <v>1</v>
      </c>
      <c r="S512" s="26">
        <v>18</v>
      </c>
      <c r="T512" s="26">
        <v>12</v>
      </c>
      <c r="U512" s="26">
        <v>31</v>
      </c>
      <c r="V512" s="26">
        <v>1</v>
      </c>
      <c r="W512" s="26" t="s">
        <v>2076</v>
      </c>
    </row>
    <row r="513" spans="1:23" x14ac:dyDescent="0.25">
      <c r="A513" s="26" t="str">
        <f t="shared" si="75"/>
        <v>PRIMARIA</v>
      </c>
      <c r="B513" s="26" t="str">
        <f>"09DPR1368Z"</f>
        <v>09DPR1368Z</v>
      </c>
      <c r="C513" s="26" t="str">
        <f>"MANUEL AVILA CAMACHO                                                                                "</f>
        <v xml:space="preserve">MANUEL AVILA CAMACHO                                                                                </v>
      </c>
      <c r="D513" s="26" t="str">
        <f>"TIEMPO COMPLETO"</f>
        <v>TIEMPO COMPLETO</v>
      </c>
      <c r="E513" s="26" t="str">
        <f>"NORTE 82 B NUM 5825                                                             "</f>
        <v xml:space="preserve">NORTE 82 B NUM 5825                                                             </v>
      </c>
      <c r="F513" s="26" t="str">
        <f>"GERTRUDIS SANCHEZ 1A SECCION                                                                                                                "</f>
        <v xml:space="preserve">GERTRUDIS SANCHEZ 1A SECCION                                                                                                                </v>
      </c>
      <c r="G513" s="26" t="str">
        <f t="shared" si="83"/>
        <v xml:space="preserve">GUSTAVO A. MADERO                                                               </v>
      </c>
      <c r="H513" s="26" t="str">
        <f>"137"</f>
        <v>137</v>
      </c>
      <c r="I513" s="26" t="str">
        <f t="shared" si="76"/>
        <v>00</v>
      </c>
      <c r="J513" s="26" t="str">
        <f>"41 "</f>
        <v xml:space="preserve">41 </v>
      </c>
      <c r="K513" s="26" t="str">
        <f t="shared" si="81"/>
        <v>PR</v>
      </c>
      <c r="L513" s="26" t="str">
        <f t="shared" si="82"/>
        <v>DGOSE</v>
      </c>
      <c r="M513" s="26" t="str">
        <f t="shared" si="77"/>
        <v>FEDERAL</v>
      </c>
      <c r="N513" s="26">
        <v>308</v>
      </c>
      <c r="O513" s="26">
        <v>157</v>
      </c>
      <c r="P513" s="26">
        <v>151</v>
      </c>
      <c r="Q513" s="26">
        <v>12</v>
      </c>
      <c r="R513" s="26">
        <v>1</v>
      </c>
      <c r="S513" s="26">
        <v>12</v>
      </c>
      <c r="T513" s="26">
        <v>18</v>
      </c>
      <c r="U513" s="26">
        <v>31</v>
      </c>
      <c r="V513" s="26">
        <v>1</v>
      </c>
      <c r="W513" s="26" t="s">
        <v>218</v>
      </c>
    </row>
    <row r="514" spans="1:23" x14ac:dyDescent="0.25">
      <c r="A514" s="26" t="str">
        <f t="shared" ref="A514:A577" si="84">"PRIMARIA"</f>
        <v>PRIMARIA</v>
      </c>
      <c r="B514" s="26" t="str">
        <f>"09DPR1369Y"</f>
        <v>09DPR1369Y</v>
      </c>
      <c r="C514" s="26" t="str">
        <f>"ALEJANDRO DE HUMBOLDT                                                                               "</f>
        <v xml:space="preserve">ALEJANDRO DE HUMBOLDT                                                                               </v>
      </c>
      <c r="D514" s="26" t="str">
        <f>"VESPERTINO"</f>
        <v>VESPERTINO</v>
      </c>
      <c r="E514" s="26" t="str">
        <f>"SALAVERRY Y CATAMARCA NO 1098                                                   "</f>
        <v xml:space="preserve">SALAVERRY Y CATAMARCA NO 1098                                                   </v>
      </c>
      <c r="F514" s="26" t="str">
        <f>"SAN PEDRO ZACATENCO                                                                                                                         "</f>
        <v xml:space="preserve">SAN PEDRO ZACATENCO                                                                                                                         </v>
      </c>
      <c r="G514" s="26" t="str">
        <f t="shared" si="83"/>
        <v xml:space="preserve">GUSTAVO A. MADERO                                                               </v>
      </c>
      <c r="H514" s="26" t="str">
        <f>"242"</f>
        <v>242</v>
      </c>
      <c r="I514" s="26" t="str">
        <f t="shared" ref="I514:I577" si="85">"00"</f>
        <v>00</v>
      </c>
      <c r="J514" s="26" t="str">
        <f>"42 "</f>
        <v xml:space="preserve">42 </v>
      </c>
      <c r="K514" s="26" t="str">
        <f t="shared" si="81"/>
        <v>PR</v>
      </c>
      <c r="L514" s="26" t="str">
        <f t="shared" si="82"/>
        <v>DGOSE</v>
      </c>
      <c r="M514" s="26" t="str">
        <f t="shared" ref="M514:M577" si="86">"FEDERAL"</f>
        <v>FEDERAL</v>
      </c>
      <c r="N514" s="26">
        <v>239</v>
      </c>
      <c r="O514" s="26">
        <v>128</v>
      </c>
      <c r="P514" s="26">
        <v>111</v>
      </c>
      <c r="Q514" s="26">
        <v>13</v>
      </c>
      <c r="R514" s="26">
        <v>1</v>
      </c>
      <c r="S514" s="26">
        <v>13</v>
      </c>
      <c r="T514" s="26">
        <v>11</v>
      </c>
      <c r="U514" s="26">
        <v>25</v>
      </c>
      <c r="V514" s="26">
        <v>1</v>
      </c>
      <c r="W514" s="26"/>
    </row>
    <row r="515" spans="1:23" x14ac:dyDescent="0.25">
      <c r="A515" s="26" t="str">
        <f t="shared" si="84"/>
        <v>PRIMARIA</v>
      </c>
      <c r="B515" s="26" t="str">
        <f>"09DPR1370N"</f>
        <v>09DPR1370N</v>
      </c>
      <c r="C515" s="26" t="str">
        <f>"MERCED HIDALGO MONROY DE LA TORRE                                                                   "</f>
        <v xml:space="preserve">MERCED HIDALGO MONROY DE LA TORRE                                                                   </v>
      </c>
      <c r="D515" s="26" t="str">
        <f>"JORNADA AMPLIADA"</f>
        <v>JORNADA AMPLIADA</v>
      </c>
      <c r="E515" s="26" t="str">
        <f>"MARIANO SALAS NUM 226                                                           "</f>
        <v xml:space="preserve">MARIANO SALAS NUM 226                                                           </v>
      </c>
      <c r="F515" s="26" t="str">
        <f>"ESTANZUELA                                                                                                                                  "</f>
        <v xml:space="preserve">ESTANZUELA                                                                                                                                  </v>
      </c>
      <c r="G515" s="26" t="str">
        <f t="shared" si="83"/>
        <v xml:space="preserve">GUSTAVO A. MADERO                                                               </v>
      </c>
      <c r="H515" s="26" t="str">
        <f>"135"</f>
        <v>135</v>
      </c>
      <c r="I515" s="26" t="str">
        <f t="shared" si="85"/>
        <v>00</v>
      </c>
      <c r="J515" s="26" t="str">
        <f>"41 "</f>
        <v xml:space="preserve">41 </v>
      </c>
      <c r="K515" s="26" t="str">
        <f t="shared" si="81"/>
        <v>PR</v>
      </c>
      <c r="L515" s="26" t="str">
        <f t="shared" si="82"/>
        <v>DGOSE</v>
      </c>
      <c r="M515" s="26" t="str">
        <f t="shared" si="86"/>
        <v>FEDERAL</v>
      </c>
      <c r="N515" s="26">
        <v>184</v>
      </c>
      <c r="O515" s="26">
        <v>99</v>
      </c>
      <c r="P515" s="26">
        <v>85</v>
      </c>
      <c r="Q515" s="26">
        <v>6</v>
      </c>
      <c r="R515" s="26">
        <v>1</v>
      </c>
      <c r="S515" s="26">
        <v>6</v>
      </c>
      <c r="T515" s="26">
        <v>6</v>
      </c>
      <c r="U515" s="26">
        <v>13</v>
      </c>
      <c r="V515" s="26">
        <v>1</v>
      </c>
      <c r="W515" s="26" t="s">
        <v>2076</v>
      </c>
    </row>
    <row r="516" spans="1:23" x14ac:dyDescent="0.25">
      <c r="A516" s="26" t="str">
        <f t="shared" si="84"/>
        <v>PRIMARIA</v>
      </c>
      <c r="B516" s="26" t="str">
        <f>"09DPR1371M"</f>
        <v>09DPR1371M</v>
      </c>
      <c r="C516" s="26" t="str">
        <f>"MTRO. MIGUEL A. QUINTANA                                                                            "</f>
        <v xml:space="preserve">MTRO. MIGUEL A. QUINTANA                                                                            </v>
      </c>
      <c r="D516" s="26" t="str">
        <f>"VESPERTINO"</f>
        <v>VESPERTINO</v>
      </c>
      <c r="E516" s="26" t="str">
        <f>"BONAO NO. 88                                                                    "</f>
        <v xml:space="preserve">BONAO NO. 88                                                                    </v>
      </c>
      <c r="F516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516" s="26" t="str">
        <f t="shared" si="83"/>
        <v xml:space="preserve">GUSTAVO A. MADERO                                                               </v>
      </c>
      <c r="H516" s="26" t="str">
        <f>"242"</f>
        <v>242</v>
      </c>
      <c r="I516" s="26" t="str">
        <f t="shared" si="85"/>
        <v>00</v>
      </c>
      <c r="J516" s="26" t="str">
        <f>"42 "</f>
        <v xml:space="preserve">42 </v>
      </c>
      <c r="K516" s="26" t="str">
        <f t="shared" si="81"/>
        <v>PR</v>
      </c>
      <c r="L516" s="26" t="str">
        <f t="shared" si="82"/>
        <v>DGOSE</v>
      </c>
      <c r="M516" s="26" t="str">
        <f t="shared" si="86"/>
        <v>FEDERAL</v>
      </c>
      <c r="N516" s="26">
        <v>330</v>
      </c>
      <c r="O516" s="26">
        <v>159</v>
      </c>
      <c r="P516" s="26">
        <v>171</v>
      </c>
      <c r="Q516" s="26">
        <v>15</v>
      </c>
      <c r="R516" s="26">
        <v>1</v>
      </c>
      <c r="S516" s="26">
        <v>13</v>
      </c>
      <c r="T516" s="26">
        <v>9</v>
      </c>
      <c r="U516" s="26">
        <v>23</v>
      </c>
      <c r="V516" s="26">
        <v>1</v>
      </c>
      <c r="W516" s="26"/>
    </row>
    <row r="517" spans="1:23" x14ac:dyDescent="0.25">
      <c r="A517" s="26" t="str">
        <f t="shared" si="84"/>
        <v>PRIMARIA</v>
      </c>
      <c r="B517" s="26" t="str">
        <f>"09DPR1372L"</f>
        <v>09DPR1372L</v>
      </c>
      <c r="C517" s="26" t="str">
        <f>"MANUEL GUTIERREZ NAJERA                                                                             "</f>
        <v xml:space="preserve">MANUEL GUTIERREZ NAJERA                                                                             </v>
      </c>
      <c r="D517" s="26" t="str">
        <f>"VESPERTINO"</f>
        <v>VESPERTINO</v>
      </c>
      <c r="E517" s="26" t="str">
        <f>"CALLE 311 Y 314                                                                 "</f>
        <v xml:space="preserve">CALLE 311 Y 314                                                                 </v>
      </c>
      <c r="F517" s="26" t="str">
        <f>"NUEVA ATZACOALCO                                                                                                                            "</f>
        <v xml:space="preserve">NUEVA ATZACOALCO                                                                                                                            </v>
      </c>
      <c r="G517" s="26" t="str">
        <f t="shared" si="83"/>
        <v xml:space="preserve">GUSTAVO A. MADERO                                                               </v>
      </c>
      <c r="H517" s="26" t="str">
        <f>"257"</f>
        <v>257</v>
      </c>
      <c r="I517" s="26" t="str">
        <f t="shared" si="85"/>
        <v>00</v>
      </c>
      <c r="J517" s="26" t="str">
        <f>"42 "</f>
        <v xml:space="preserve">42 </v>
      </c>
      <c r="K517" s="26" t="str">
        <f t="shared" si="81"/>
        <v>PR</v>
      </c>
      <c r="L517" s="26" t="str">
        <f t="shared" si="82"/>
        <v>DGOSE</v>
      </c>
      <c r="M517" s="26" t="str">
        <f t="shared" si="86"/>
        <v>FEDERAL</v>
      </c>
      <c r="N517" s="26">
        <v>76</v>
      </c>
      <c r="O517" s="26">
        <v>42</v>
      </c>
      <c r="P517" s="26">
        <v>34</v>
      </c>
      <c r="Q517" s="26">
        <v>6</v>
      </c>
      <c r="R517" s="26">
        <v>1</v>
      </c>
      <c r="S517" s="26">
        <v>6</v>
      </c>
      <c r="T517" s="26">
        <v>6</v>
      </c>
      <c r="U517" s="26">
        <v>13</v>
      </c>
      <c r="V517" s="26">
        <v>1</v>
      </c>
      <c r="W517" s="26"/>
    </row>
    <row r="518" spans="1:23" x14ac:dyDescent="0.25">
      <c r="A518" s="26" t="str">
        <f t="shared" si="84"/>
        <v>PRIMARIA</v>
      </c>
      <c r="B518" s="26" t="str">
        <f>"09DPR1373K"</f>
        <v>09DPR1373K</v>
      </c>
      <c r="C518" s="26" t="str">
        <f>"MARTIRES DE RIO BLANCO                                                                              "</f>
        <v xml:space="preserve">MARTIRES DE RIO BLANCO                                                                              </v>
      </c>
      <c r="D518" s="26" t="str">
        <f>"JORNADA AMPLIADA"</f>
        <v>JORNADA AMPLIADA</v>
      </c>
      <c r="E518" s="26" t="str">
        <f>"AV H. CONGRESO DE LA UNION 3536                                                 "</f>
        <v xml:space="preserve">AV H. CONGRESO DE LA UNION 3536                                                 </v>
      </c>
      <c r="F518" s="26" t="str">
        <f>"MARTIRES DE RIO BLANCO                                                                                                                      "</f>
        <v xml:space="preserve">MARTIRES DE RIO BLANCO                                                                                                                      </v>
      </c>
      <c r="G518" s="26" t="str">
        <f t="shared" si="83"/>
        <v xml:space="preserve">GUSTAVO A. MADERO                                                               </v>
      </c>
      <c r="H518" s="26" t="str">
        <f>"137"</f>
        <v>137</v>
      </c>
      <c r="I518" s="26" t="str">
        <f t="shared" si="85"/>
        <v>00</v>
      </c>
      <c r="J518" s="26" t="str">
        <f>"41 "</f>
        <v xml:space="preserve">41 </v>
      </c>
      <c r="K518" s="26" t="str">
        <f t="shared" si="81"/>
        <v>PR</v>
      </c>
      <c r="L518" s="26" t="str">
        <f t="shared" si="82"/>
        <v>DGOSE</v>
      </c>
      <c r="M518" s="26" t="str">
        <f t="shared" si="86"/>
        <v>FEDERAL</v>
      </c>
      <c r="N518" s="26">
        <v>376</v>
      </c>
      <c r="O518" s="26">
        <v>175</v>
      </c>
      <c r="P518" s="26">
        <v>201</v>
      </c>
      <c r="Q518" s="26">
        <v>12</v>
      </c>
      <c r="R518" s="26">
        <v>1</v>
      </c>
      <c r="S518" s="26">
        <v>12</v>
      </c>
      <c r="T518" s="26">
        <v>10</v>
      </c>
      <c r="U518" s="26">
        <v>23</v>
      </c>
      <c r="V518" s="26">
        <v>1</v>
      </c>
      <c r="W518" s="26" t="s">
        <v>2076</v>
      </c>
    </row>
    <row r="519" spans="1:23" x14ac:dyDescent="0.25">
      <c r="A519" s="26" t="str">
        <f t="shared" si="84"/>
        <v>PRIMARIA</v>
      </c>
      <c r="B519" s="26" t="str">
        <f>"09DPR1375I"</f>
        <v>09DPR1375I</v>
      </c>
      <c r="C519" s="26" t="str">
        <f>"MEXICO                                                                                              "</f>
        <v xml:space="preserve">MEXICO                                                                                              </v>
      </c>
      <c r="D519" s="26" t="str">
        <f>"JORNADA AMPLIADA"</f>
        <v>JORNADA AMPLIADA</v>
      </c>
      <c r="E519" s="26" t="str">
        <f>"AV DE LAS TORRES Y MARG M DE J                                                  "</f>
        <v xml:space="preserve">AV DE LAS TORRES Y MARG M DE J                                                  </v>
      </c>
      <c r="F519" s="26" t="str">
        <f>"UNIDAD HABITACIONAL VALLEJO LA PATE                                                                                                         "</f>
        <v xml:space="preserve">UNIDAD HABITACIONAL VALLEJO LA PATE                                                                                                         </v>
      </c>
      <c r="G519" s="26" t="str">
        <f t="shared" si="83"/>
        <v xml:space="preserve">GUSTAVO A. MADERO                                                               </v>
      </c>
      <c r="H519" s="26" t="str">
        <f>"133"</f>
        <v>133</v>
      </c>
      <c r="I519" s="26" t="str">
        <f t="shared" si="85"/>
        <v>00</v>
      </c>
      <c r="J519" s="26" t="str">
        <f>"41 "</f>
        <v xml:space="preserve">41 </v>
      </c>
      <c r="K519" s="26" t="str">
        <f t="shared" si="81"/>
        <v>PR</v>
      </c>
      <c r="L519" s="26" t="str">
        <f t="shared" si="82"/>
        <v>DGOSE</v>
      </c>
      <c r="M519" s="26" t="str">
        <f t="shared" si="86"/>
        <v>FEDERAL</v>
      </c>
      <c r="N519" s="26">
        <v>294</v>
      </c>
      <c r="O519" s="26">
        <v>146</v>
      </c>
      <c r="P519" s="26">
        <v>148</v>
      </c>
      <c r="Q519" s="26">
        <v>12</v>
      </c>
      <c r="R519" s="26">
        <v>1</v>
      </c>
      <c r="S519" s="26">
        <v>12</v>
      </c>
      <c r="T519" s="26">
        <v>13</v>
      </c>
      <c r="U519" s="26">
        <v>26</v>
      </c>
      <c r="V519" s="26">
        <v>1</v>
      </c>
      <c r="W519" s="26" t="s">
        <v>2076</v>
      </c>
    </row>
    <row r="520" spans="1:23" x14ac:dyDescent="0.25">
      <c r="A520" s="26" t="str">
        <f t="shared" si="84"/>
        <v>PRIMARIA</v>
      </c>
      <c r="B520" s="26" t="str">
        <f>"09DPR1377G"</f>
        <v>09DPR1377G</v>
      </c>
      <c r="C520" s="26" t="str">
        <f>"LUIS G. LOZANO                                                                                      "</f>
        <v xml:space="preserve">LUIS G. LOZANO                                                                                      </v>
      </c>
      <c r="D520" s="26" t="str">
        <f>"JORNADA AMPLIADA"</f>
        <v>JORNADA AMPLIADA</v>
      </c>
      <c r="E520" s="26" t="str">
        <f>"ORIENTE 127 Y NORTE 82 A                                                        "</f>
        <v xml:space="preserve">ORIENTE 127 Y NORTE 82 A                                                        </v>
      </c>
      <c r="F520" s="26" t="str">
        <f>"SAN PEDRO EL CHICO                                                                                                                          "</f>
        <v xml:space="preserve">SAN PEDRO EL CHICO                                                                                                                          </v>
      </c>
      <c r="G520" s="26" t="str">
        <f t="shared" si="83"/>
        <v xml:space="preserve">GUSTAVO A. MADERO                                                               </v>
      </c>
      <c r="H520" s="26" t="str">
        <f>"141"</f>
        <v>141</v>
      </c>
      <c r="I520" s="26" t="str">
        <f t="shared" si="85"/>
        <v>00</v>
      </c>
      <c r="J520" s="26" t="str">
        <f>"41 "</f>
        <v xml:space="preserve">41 </v>
      </c>
      <c r="K520" s="26" t="str">
        <f t="shared" si="81"/>
        <v>PR</v>
      </c>
      <c r="L520" s="26" t="str">
        <f t="shared" si="82"/>
        <v>DGOSE</v>
      </c>
      <c r="M520" s="26" t="str">
        <f t="shared" si="86"/>
        <v>FEDERAL</v>
      </c>
      <c r="N520" s="26">
        <v>316</v>
      </c>
      <c r="O520" s="26">
        <v>141</v>
      </c>
      <c r="P520" s="26">
        <v>175</v>
      </c>
      <c r="Q520" s="26">
        <v>12</v>
      </c>
      <c r="R520" s="26">
        <v>1</v>
      </c>
      <c r="S520" s="26">
        <v>12</v>
      </c>
      <c r="T520" s="26">
        <v>9</v>
      </c>
      <c r="U520" s="26">
        <v>22</v>
      </c>
      <c r="V520" s="26">
        <v>1</v>
      </c>
      <c r="W520" s="26" t="s">
        <v>2076</v>
      </c>
    </row>
    <row r="521" spans="1:23" x14ac:dyDescent="0.25">
      <c r="A521" s="26" t="str">
        <f t="shared" si="84"/>
        <v>PRIMARIA</v>
      </c>
      <c r="B521" s="26" t="str">
        <f>"09DPR1379E"</f>
        <v>09DPR1379E</v>
      </c>
      <c r="C521" s="26" t="str">
        <f>"LUIS MARTINEZ MURILLO                                                                               "</f>
        <v xml:space="preserve">LUIS MARTINEZ MURILLO                                                                               </v>
      </c>
      <c r="D521" s="26" t="str">
        <f>"JORNADA AMPLIADA"</f>
        <v>JORNADA AMPLIADA</v>
      </c>
      <c r="E521" s="26" t="str">
        <f>"AV. 483 NUM 200 Y PLAZA 31                                                      "</f>
        <v xml:space="preserve">AV. 483 NUM 200 Y PLAZA 31                                                      </v>
      </c>
      <c r="F521" s="26" t="str">
        <f>"UNIDAD SAN JUAN DE ARAGON                                                                                                                   "</f>
        <v xml:space="preserve">UNIDAD SAN JUAN DE ARAGON                                                                                                                   </v>
      </c>
      <c r="G521" s="26" t="str">
        <f t="shared" si="83"/>
        <v xml:space="preserve">GUSTAVO A. MADERO                                                               </v>
      </c>
      <c r="H521" s="26" t="str">
        <f>"142"</f>
        <v>142</v>
      </c>
      <c r="I521" s="26" t="str">
        <f t="shared" si="85"/>
        <v>00</v>
      </c>
      <c r="J521" s="26" t="str">
        <f>"41 "</f>
        <v xml:space="preserve">41 </v>
      </c>
      <c r="K521" s="26" t="str">
        <f t="shared" si="81"/>
        <v>PR</v>
      </c>
      <c r="L521" s="26" t="str">
        <f t="shared" si="82"/>
        <v>DGOSE</v>
      </c>
      <c r="M521" s="26" t="str">
        <f t="shared" si="86"/>
        <v>FEDERAL</v>
      </c>
      <c r="N521" s="26">
        <v>365</v>
      </c>
      <c r="O521" s="26">
        <v>199</v>
      </c>
      <c r="P521" s="26">
        <v>166</v>
      </c>
      <c r="Q521" s="26">
        <v>12</v>
      </c>
      <c r="R521" s="26">
        <v>1</v>
      </c>
      <c r="S521" s="26">
        <v>12</v>
      </c>
      <c r="T521" s="26">
        <v>10</v>
      </c>
      <c r="U521" s="26">
        <v>23</v>
      </c>
      <c r="V521" s="26">
        <v>1</v>
      </c>
      <c r="W521" s="26" t="s">
        <v>2076</v>
      </c>
    </row>
    <row r="522" spans="1:23" x14ac:dyDescent="0.25">
      <c r="A522" s="26" t="str">
        <f t="shared" si="84"/>
        <v>PRIMARIA</v>
      </c>
      <c r="B522" s="26" t="str">
        <f>"09DPR1382S"</f>
        <v>09DPR1382S</v>
      </c>
      <c r="C522" s="26" t="str">
        <f>"PROFR. CELSO FLORES ZAMORA                                                                          "</f>
        <v xml:space="preserve">PROFR. CELSO FLORES ZAMORA                                                                          </v>
      </c>
      <c r="D522" s="26" t="str">
        <f>"MATUTINO"</f>
        <v>MATUTINO</v>
      </c>
      <c r="E522" s="26" t="str">
        <f>"MADRESELVA NO 62                                                                "</f>
        <v xml:space="preserve">MADRESELVA NO 62                                                                </v>
      </c>
      <c r="F522" s="26" t="str">
        <f>"JUAN GONZALEZ ROMERO                                                                                                                        "</f>
        <v xml:space="preserve">JUAN GONZALEZ ROMERO                                                                                                                        </v>
      </c>
      <c r="G522" s="26" t="str">
        <f t="shared" si="83"/>
        <v xml:space="preserve">GUSTAVO A. MADERO                                                               </v>
      </c>
      <c r="H522" s="26" t="str">
        <f>"256"</f>
        <v>256</v>
      </c>
      <c r="I522" s="26" t="str">
        <f t="shared" si="85"/>
        <v>00</v>
      </c>
      <c r="J522" s="26" t="str">
        <f>"42 "</f>
        <v xml:space="preserve">42 </v>
      </c>
      <c r="K522" s="26" t="str">
        <f t="shared" si="81"/>
        <v>PR</v>
      </c>
      <c r="L522" s="26" t="str">
        <f t="shared" si="82"/>
        <v>DGOSE</v>
      </c>
      <c r="M522" s="26" t="str">
        <f t="shared" si="86"/>
        <v>FEDERAL</v>
      </c>
      <c r="N522" s="26">
        <v>488</v>
      </c>
      <c r="O522" s="26">
        <v>223</v>
      </c>
      <c r="P522" s="26">
        <v>265</v>
      </c>
      <c r="Q522" s="26">
        <v>18</v>
      </c>
      <c r="R522" s="26">
        <v>1</v>
      </c>
      <c r="S522" s="26">
        <v>17</v>
      </c>
      <c r="T522" s="26">
        <v>11</v>
      </c>
      <c r="U522" s="26">
        <v>29</v>
      </c>
      <c r="V522" s="26">
        <v>1</v>
      </c>
      <c r="W522" s="26"/>
    </row>
    <row r="523" spans="1:23" x14ac:dyDescent="0.25">
      <c r="A523" s="26" t="str">
        <f t="shared" si="84"/>
        <v>PRIMARIA</v>
      </c>
      <c r="B523" s="26" t="str">
        <f>"09DPR1383R"</f>
        <v>09DPR1383R</v>
      </c>
      <c r="C523" s="26" t="str">
        <f>"CENTENARIO DEL 47                                                                                   "</f>
        <v xml:space="preserve">CENTENARIO DEL 47                                                                                   </v>
      </c>
      <c r="D523" s="26" t="str">
        <f>"MATUTINO"</f>
        <v>MATUTINO</v>
      </c>
      <c r="E523" s="26" t="str">
        <f>"NORTE 70 NUM 5210                                                               "</f>
        <v xml:space="preserve">NORTE 70 NUM 5210                                                               </v>
      </c>
      <c r="F523" s="26" t="str">
        <f>"BONDOJITO                                                                                                                                   "</f>
        <v xml:space="preserve">BONDOJITO                                                                                                                                   </v>
      </c>
      <c r="G523" s="26" t="str">
        <f t="shared" si="83"/>
        <v xml:space="preserve">GUSTAVO A. MADERO                                                               </v>
      </c>
      <c r="H523" s="26" t="str">
        <f>"251"</f>
        <v>251</v>
      </c>
      <c r="I523" s="26" t="str">
        <f t="shared" si="85"/>
        <v>00</v>
      </c>
      <c r="J523" s="26" t="str">
        <f>"42 "</f>
        <v xml:space="preserve">42 </v>
      </c>
      <c r="K523" s="26" t="str">
        <f t="shared" si="81"/>
        <v>PR</v>
      </c>
      <c r="L523" s="26" t="str">
        <f t="shared" si="82"/>
        <v>DGOSE</v>
      </c>
      <c r="M523" s="26" t="str">
        <f t="shared" si="86"/>
        <v>FEDERAL</v>
      </c>
      <c r="N523" s="26">
        <v>151</v>
      </c>
      <c r="O523" s="26">
        <v>83</v>
      </c>
      <c r="P523" s="26">
        <v>68</v>
      </c>
      <c r="Q523" s="26">
        <v>6</v>
      </c>
      <c r="R523" s="26">
        <v>1</v>
      </c>
      <c r="S523" s="26">
        <v>6</v>
      </c>
      <c r="T523" s="26">
        <v>4</v>
      </c>
      <c r="U523" s="26">
        <v>11</v>
      </c>
      <c r="V523" s="26">
        <v>1</v>
      </c>
      <c r="W523" s="26"/>
    </row>
    <row r="524" spans="1:23" x14ac:dyDescent="0.25">
      <c r="A524" s="26" t="str">
        <f t="shared" si="84"/>
        <v>PRIMARIA</v>
      </c>
      <c r="B524" s="26" t="str">
        <f>"09DPR1384Q"</f>
        <v>09DPR1384Q</v>
      </c>
      <c r="C524" s="26" t="str">
        <f>"DR. CAYETANO ANDRADE                                                                                "</f>
        <v xml:space="preserve">DR. CAYETANO ANDRADE                                                                                </v>
      </c>
      <c r="D524" s="26" t="str">
        <f>"VESPERTINO"</f>
        <v>VESPERTINO</v>
      </c>
      <c r="E524" s="26" t="str">
        <f>"FRAY JUAN DE PADILLA S/N Y AV 5 DE MAYO                                         "</f>
        <v xml:space="preserve">FRAY JUAN DE PADILLA S/N Y AV 5 DE MAYO                                         </v>
      </c>
      <c r="F524" s="26" t="str">
        <f>"VASCO DE QUIROGA                                                                                                                            "</f>
        <v xml:space="preserve">VASCO DE QUIROGA                                                                                                                            </v>
      </c>
      <c r="G524" s="26" t="str">
        <f t="shared" si="83"/>
        <v xml:space="preserve">GUSTAVO A. MADERO                                                               </v>
      </c>
      <c r="H524" s="26" t="str">
        <f>"260"</f>
        <v>260</v>
      </c>
      <c r="I524" s="26" t="str">
        <f t="shared" si="85"/>
        <v>00</v>
      </c>
      <c r="J524" s="26" t="str">
        <f>"42 "</f>
        <v xml:space="preserve">42 </v>
      </c>
      <c r="K524" s="26" t="str">
        <f t="shared" si="81"/>
        <v>PR</v>
      </c>
      <c r="L524" s="26" t="str">
        <f t="shared" si="82"/>
        <v>DGOSE</v>
      </c>
      <c r="M524" s="26" t="str">
        <f t="shared" si="86"/>
        <v>FEDERAL</v>
      </c>
      <c r="N524" s="26">
        <v>161</v>
      </c>
      <c r="O524" s="26">
        <v>95</v>
      </c>
      <c r="P524" s="26">
        <v>66</v>
      </c>
      <c r="Q524" s="26">
        <v>12</v>
      </c>
      <c r="R524" s="26">
        <v>1</v>
      </c>
      <c r="S524" s="26">
        <v>9</v>
      </c>
      <c r="T524" s="26">
        <v>5</v>
      </c>
      <c r="U524" s="26">
        <v>15</v>
      </c>
      <c r="V524" s="26">
        <v>1</v>
      </c>
      <c r="W524" s="26"/>
    </row>
    <row r="525" spans="1:23" x14ac:dyDescent="0.25">
      <c r="A525" s="26" t="str">
        <f t="shared" si="84"/>
        <v>PRIMARIA</v>
      </c>
      <c r="B525" s="26" t="str">
        <f>"09DPR1385P"</f>
        <v>09DPR1385P</v>
      </c>
      <c r="C525" s="26" t="str">
        <f>"LUIS ENRIQUE ERRO                                                                                   "</f>
        <v xml:space="preserve">LUIS ENRIQUE ERRO                                                                                   </v>
      </c>
      <c r="D525" s="26" t="str">
        <f>"TIEMPO COMPLETO"</f>
        <v>TIEMPO COMPLETO</v>
      </c>
      <c r="E525" s="26" t="str">
        <f>"MANUEL M FLORES S/N                                                             "</f>
        <v xml:space="preserve">MANUEL M FLORES S/N                                                             </v>
      </c>
      <c r="F525" s="26" t="str">
        <f>"GABRIEL HERNANDEZ AMPLIACION                                                                                                                "</f>
        <v xml:space="preserve">GABRIEL HERNANDEZ AMPLIACION                                                                                                                </v>
      </c>
      <c r="G525" s="26" t="str">
        <f t="shared" si="83"/>
        <v xml:space="preserve">GUSTAVO A. MADERO                                                               </v>
      </c>
      <c r="H525" s="26" t="str">
        <f>"138"</f>
        <v>138</v>
      </c>
      <c r="I525" s="26" t="str">
        <f t="shared" si="85"/>
        <v>00</v>
      </c>
      <c r="J525" s="26" t="str">
        <f>"41 "</f>
        <v xml:space="preserve">41 </v>
      </c>
      <c r="K525" s="26" t="str">
        <f t="shared" si="81"/>
        <v>PR</v>
      </c>
      <c r="L525" s="26" t="str">
        <f t="shared" si="82"/>
        <v>DGOSE</v>
      </c>
      <c r="M525" s="26" t="str">
        <f t="shared" si="86"/>
        <v>FEDERAL</v>
      </c>
      <c r="N525" s="26">
        <v>369</v>
      </c>
      <c r="O525" s="26">
        <v>188</v>
      </c>
      <c r="P525" s="26">
        <v>181</v>
      </c>
      <c r="Q525" s="26">
        <v>12</v>
      </c>
      <c r="R525" s="26">
        <v>1</v>
      </c>
      <c r="S525" s="26">
        <v>12</v>
      </c>
      <c r="T525" s="26">
        <v>12</v>
      </c>
      <c r="U525" s="26">
        <v>25</v>
      </c>
      <c r="V525" s="26">
        <v>1</v>
      </c>
      <c r="W525" s="26" t="s">
        <v>218</v>
      </c>
    </row>
    <row r="526" spans="1:23" x14ac:dyDescent="0.25">
      <c r="A526" s="26" t="str">
        <f t="shared" si="84"/>
        <v>PRIMARIA</v>
      </c>
      <c r="B526" s="26" t="str">
        <f>"09DPR1386O"</f>
        <v>09DPR1386O</v>
      </c>
      <c r="C526" s="26" t="str">
        <f>"PROFR. CELSO FLORES ZAMORA                                                                          "</f>
        <v xml:space="preserve">PROFR. CELSO FLORES ZAMORA                                                                          </v>
      </c>
      <c r="D526" s="26" t="str">
        <f>"VESPERTINO"</f>
        <v>VESPERTINO</v>
      </c>
      <c r="E526" s="26" t="str">
        <f>"MADRESELVA NUM 62                                                               "</f>
        <v xml:space="preserve">MADRESELVA NUM 62                                                               </v>
      </c>
      <c r="F526" s="26" t="str">
        <f>"JUAN GONZALEZ ROMERO                                                                                                                        "</f>
        <v xml:space="preserve">JUAN GONZALEZ ROMERO                                                                                                                        </v>
      </c>
      <c r="G526" s="26" t="str">
        <f t="shared" si="83"/>
        <v xml:space="preserve">GUSTAVO A. MADERO                                                               </v>
      </c>
      <c r="H526" s="26" t="str">
        <f>"256"</f>
        <v>256</v>
      </c>
      <c r="I526" s="26" t="str">
        <f t="shared" si="85"/>
        <v>00</v>
      </c>
      <c r="J526" s="26" t="str">
        <f>"42 "</f>
        <v xml:space="preserve">42 </v>
      </c>
      <c r="K526" s="26" t="str">
        <f t="shared" si="81"/>
        <v>PR</v>
      </c>
      <c r="L526" s="26" t="str">
        <f t="shared" si="82"/>
        <v>DGOSE</v>
      </c>
      <c r="M526" s="26" t="str">
        <f t="shared" si="86"/>
        <v>FEDERAL</v>
      </c>
      <c r="N526" s="26">
        <v>111</v>
      </c>
      <c r="O526" s="26">
        <v>62</v>
      </c>
      <c r="P526" s="26">
        <v>49</v>
      </c>
      <c r="Q526" s="26">
        <v>6</v>
      </c>
      <c r="R526" s="26">
        <v>1</v>
      </c>
      <c r="S526" s="26">
        <v>6</v>
      </c>
      <c r="T526" s="26">
        <v>7</v>
      </c>
      <c r="U526" s="26">
        <v>14</v>
      </c>
      <c r="V526" s="26">
        <v>1</v>
      </c>
      <c r="W526" s="26"/>
    </row>
    <row r="527" spans="1:23" x14ac:dyDescent="0.25">
      <c r="A527" s="26" t="str">
        <f t="shared" si="84"/>
        <v>PRIMARIA</v>
      </c>
      <c r="B527" s="26" t="str">
        <f>"09DPR1388M"</f>
        <v>09DPR1388M</v>
      </c>
      <c r="C527" s="26" t="str">
        <f>"PROFR. ARQUELES VELA                                                                                "</f>
        <v xml:space="preserve">PROFR. ARQUELES VELA                                                                                </v>
      </c>
      <c r="D527" s="26" t="str">
        <f>"VESPERTINO"</f>
        <v>VESPERTINO</v>
      </c>
      <c r="E527" s="26" t="str">
        <f>"CARDO NORTE 66                                                                  "</f>
        <v xml:space="preserve">CARDO NORTE 66                                                                  </v>
      </c>
      <c r="F527" s="26" t="str">
        <f>"LA PRADERA                                                                                                                                  "</f>
        <v xml:space="preserve">LA PRADERA                                                                                                                                  </v>
      </c>
      <c r="G527" s="26" t="str">
        <f t="shared" si="83"/>
        <v xml:space="preserve">GUSTAVO A. MADERO                                                               </v>
      </c>
      <c r="H527" s="26" t="str">
        <f>"267"</f>
        <v>267</v>
      </c>
      <c r="I527" s="26" t="str">
        <f t="shared" si="85"/>
        <v>00</v>
      </c>
      <c r="J527" s="26" t="str">
        <f>"42 "</f>
        <v xml:space="preserve">42 </v>
      </c>
      <c r="K527" s="26" t="str">
        <f t="shared" si="81"/>
        <v>PR</v>
      </c>
      <c r="L527" s="26" t="str">
        <f t="shared" si="82"/>
        <v>DGOSE</v>
      </c>
      <c r="M527" s="26" t="str">
        <f t="shared" si="86"/>
        <v>FEDERAL</v>
      </c>
      <c r="N527" s="26">
        <v>130</v>
      </c>
      <c r="O527" s="26">
        <v>69</v>
      </c>
      <c r="P527" s="26">
        <v>61</v>
      </c>
      <c r="Q527" s="26">
        <v>7</v>
      </c>
      <c r="R527" s="26">
        <v>1</v>
      </c>
      <c r="S527" s="26">
        <v>7</v>
      </c>
      <c r="T527" s="26">
        <v>9</v>
      </c>
      <c r="U527" s="26">
        <v>17</v>
      </c>
      <c r="V527" s="26">
        <v>1</v>
      </c>
      <c r="W527" s="26"/>
    </row>
    <row r="528" spans="1:23" x14ac:dyDescent="0.25">
      <c r="A528" s="26" t="str">
        <f t="shared" si="84"/>
        <v>PRIMARIA</v>
      </c>
      <c r="B528" s="26" t="str">
        <f>"09DPR1389L"</f>
        <v>09DPR1389L</v>
      </c>
      <c r="C528" s="26" t="str">
        <f>"LIBERTADORES DE MEXICO                                                                              "</f>
        <v xml:space="preserve">LIBERTADORES DE MEXICO                                                                              </v>
      </c>
      <c r="D528" s="26" t="str">
        <f>"JORNADA AMPLIADA"</f>
        <v>JORNADA AMPLIADA</v>
      </c>
      <c r="E528" s="26" t="str">
        <f>"NORTE 82 Y ORIENTE 91                                                           "</f>
        <v xml:space="preserve">NORTE 82 Y ORIENTE 91                                                           </v>
      </c>
      <c r="F528" s="26" t="str">
        <f>"NUEVA TENOCHTITLAN                                                                                                                          "</f>
        <v xml:space="preserve">NUEVA TENOCHTITLAN                                                                                                                          </v>
      </c>
      <c r="G528" s="26" t="str">
        <f t="shared" si="83"/>
        <v xml:space="preserve">GUSTAVO A. MADERO                                                               </v>
      </c>
      <c r="H528" s="26" t="str">
        <f>"143"</f>
        <v>143</v>
      </c>
      <c r="I528" s="26" t="str">
        <f t="shared" si="85"/>
        <v>00</v>
      </c>
      <c r="J528" s="26" t="str">
        <f>"41 "</f>
        <v xml:space="preserve">41 </v>
      </c>
      <c r="K528" s="26" t="str">
        <f t="shared" si="81"/>
        <v>PR</v>
      </c>
      <c r="L528" s="26" t="str">
        <f t="shared" si="82"/>
        <v>DGOSE</v>
      </c>
      <c r="M528" s="26" t="str">
        <f t="shared" si="86"/>
        <v>FEDERAL</v>
      </c>
      <c r="N528" s="26">
        <v>312</v>
      </c>
      <c r="O528" s="26">
        <v>160</v>
      </c>
      <c r="P528" s="26">
        <v>152</v>
      </c>
      <c r="Q528" s="26">
        <v>12</v>
      </c>
      <c r="R528" s="26">
        <v>1</v>
      </c>
      <c r="S528" s="26">
        <v>12</v>
      </c>
      <c r="T528" s="26">
        <v>9</v>
      </c>
      <c r="U528" s="26">
        <v>22</v>
      </c>
      <c r="V528" s="26">
        <v>1</v>
      </c>
      <c r="W528" s="26" t="s">
        <v>2076</v>
      </c>
    </row>
    <row r="529" spans="1:23" x14ac:dyDescent="0.25">
      <c r="A529" s="26" t="str">
        <f t="shared" si="84"/>
        <v>PRIMARIA</v>
      </c>
      <c r="B529" s="26" t="str">
        <f>"09DPR1390A"</f>
        <v>09DPR1390A</v>
      </c>
      <c r="C529" s="26" t="str">
        <f>"DR. CAYETANO ANDRADE                                                                                "</f>
        <v xml:space="preserve">DR. CAYETANO ANDRADE                                                                                </v>
      </c>
      <c r="D529" s="26" t="str">
        <f>"MATUTINO"</f>
        <v>MATUTINO</v>
      </c>
      <c r="E529" s="26" t="str">
        <f>"FRAY JUAN DE PADILLA S/N Y AV 5 DE MAYO                                         "</f>
        <v xml:space="preserve">FRAY JUAN DE PADILLA S/N Y AV 5 DE MAYO                                         </v>
      </c>
      <c r="F529" s="26" t="str">
        <f>"VASCO DE QUIROGA                                                                                                                            "</f>
        <v xml:space="preserve">VASCO DE QUIROGA                                                                                                                            </v>
      </c>
      <c r="G529" s="26" t="str">
        <f t="shared" si="83"/>
        <v xml:space="preserve">GUSTAVO A. MADERO                                                               </v>
      </c>
      <c r="H529" s="26" t="str">
        <f>"260"</f>
        <v>260</v>
      </c>
      <c r="I529" s="26" t="str">
        <f t="shared" si="85"/>
        <v>00</v>
      </c>
      <c r="J529" s="26" t="str">
        <f t="shared" ref="J529:J536" si="87">"42 "</f>
        <v xml:space="preserve">42 </v>
      </c>
      <c r="K529" s="26" t="str">
        <f t="shared" si="81"/>
        <v>PR</v>
      </c>
      <c r="L529" s="26" t="str">
        <f t="shared" si="82"/>
        <v>DGOSE</v>
      </c>
      <c r="M529" s="26" t="str">
        <f t="shared" si="86"/>
        <v>FEDERAL</v>
      </c>
      <c r="N529" s="26">
        <v>514</v>
      </c>
      <c r="O529" s="26">
        <v>260</v>
      </c>
      <c r="P529" s="26">
        <v>254</v>
      </c>
      <c r="Q529" s="26">
        <v>18</v>
      </c>
      <c r="R529" s="26">
        <v>1</v>
      </c>
      <c r="S529" s="26">
        <v>18</v>
      </c>
      <c r="T529" s="26">
        <v>13</v>
      </c>
      <c r="U529" s="26">
        <v>32</v>
      </c>
      <c r="V529" s="26">
        <v>1</v>
      </c>
      <c r="W529" s="26"/>
    </row>
    <row r="530" spans="1:23" x14ac:dyDescent="0.25">
      <c r="A530" s="26" t="str">
        <f t="shared" si="84"/>
        <v>PRIMARIA</v>
      </c>
      <c r="B530" s="26" t="str">
        <f>"09DPR1391Z"</f>
        <v>09DPR1391Z</v>
      </c>
      <c r="C530" s="26" t="str">
        <f>"MAESTRO CARLOS GONZALEZ PEÑA                                                                        "</f>
        <v xml:space="preserve">MAESTRO CARLOS GONZALEZ PEÑA                                                                        </v>
      </c>
      <c r="D530" s="26" t="str">
        <f>"MATUTINO"</f>
        <v>MATUTINO</v>
      </c>
      <c r="E530" s="26" t="str">
        <f>"ORIENTE 91 NO. 3132 Y NORTE 64-A                                                "</f>
        <v xml:space="preserve">ORIENTE 91 NO. 3132 Y NORTE 64-A                                                </v>
      </c>
      <c r="F530" s="26" t="str">
        <f>"MARTIRES DE RIO BLANCO                                                                                                                      "</f>
        <v xml:space="preserve">MARTIRES DE RIO BLANCO                                                                                                                      </v>
      </c>
      <c r="G530" s="26" t="str">
        <f t="shared" si="83"/>
        <v xml:space="preserve">GUSTAVO A. MADERO                                                               </v>
      </c>
      <c r="H530" s="26" t="str">
        <f>"251"</f>
        <v>251</v>
      </c>
      <c r="I530" s="26" t="str">
        <f t="shared" si="85"/>
        <v>00</v>
      </c>
      <c r="J530" s="26" t="str">
        <f t="shared" si="87"/>
        <v xml:space="preserve">42 </v>
      </c>
      <c r="K530" s="26" t="str">
        <f t="shared" si="81"/>
        <v>PR</v>
      </c>
      <c r="L530" s="26" t="str">
        <f t="shared" si="82"/>
        <v>DGOSE</v>
      </c>
      <c r="M530" s="26" t="str">
        <f t="shared" si="86"/>
        <v>FEDERAL</v>
      </c>
      <c r="N530" s="26">
        <v>403</v>
      </c>
      <c r="O530" s="26">
        <v>205</v>
      </c>
      <c r="P530" s="26">
        <v>198</v>
      </c>
      <c r="Q530" s="26">
        <v>15</v>
      </c>
      <c r="R530" s="26">
        <v>1</v>
      </c>
      <c r="S530" s="26">
        <v>15</v>
      </c>
      <c r="T530" s="26">
        <v>7</v>
      </c>
      <c r="U530" s="26">
        <v>23</v>
      </c>
      <c r="V530" s="26">
        <v>1</v>
      </c>
      <c r="W530" s="26"/>
    </row>
    <row r="531" spans="1:23" x14ac:dyDescent="0.25">
      <c r="A531" s="26" t="str">
        <f t="shared" si="84"/>
        <v>PRIMARIA</v>
      </c>
      <c r="B531" s="26" t="str">
        <f>"09DPR1392Z"</f>
        <v>09DPR1392Z</v>
      </c>
      <c r="C531" s="26" t="str">
        <f>"LIC. LAURO G. CALOCA                                                                                "</f>
        <v xml:space="preserve">LIC. LAURO G. CALOCA                                                                                </v>
      </c>
      <c r="D531" s="26" t="str">
        <f>"MATUTINO"</f>
        <v>MATUTINO</v>
      </c>
      <c r="E531" s="26" t="str">
        <f>"JOSE JOAQUIN HERRERA S/N                                                        "</f>
        <v xml:space="preserve">JOSE JOAQUIN HERRERA S/N                                                        </v>
      </c>
      <c r="F531" s="26" t="str">
        <f>"MARTIN CARRERA                                                                                                                              "</f>
        <v xml:space="preserve">MARTIN CARRERA                                                                                                                              </v>
      </c>
      <c r="G531" s="26" t="str">
        <f t="shared" si="83"/>
        <v xml:space="preserve">GUSTAVO A. MADERO                                                               </v>
      </c>
      <c r="H531" s="26" t="str">
        <f>"249"</f>
        <v>249</v>
      </c>
      <c r="I531" s="26" t="str">
        <f t="shared" si="85"/>
        <v>00</v>
      </c>
      <c r="J531" s="26" t="str">
        <f t="shared" si="87"/>
        <v xml:space="preserve">42 </v>
      </c>
      <c r="K531" s="26" t="str">
        <f t="shared" si="81"/>
        <v>PR</v>
      </c>
      <c r="L531" s="26" t="str">
        <f t="shared" si="82"/>
        <v>DGOSE</v>
      </c>
      <c r="M531" s="26" t="str">
        <f t="shared" si="86"/>
        <v>FEDERAL</v>
      </c>
      <c r="N531" s="26">
        <v>277</v>
      </c>
      <c r="O531" s="26">
        <v>131</v>
      </c>
      <c r="P531" s="26">
        <v>146</v>
      </c>
      <c r="Q531" s="26">
        <v>12</v>
      </c>
      <c r="R531" s="26">
        <v>1</v>
      </c>
      <c r="S531" s="26">
        <v>12</v>
      </c>
      <c r="T531" s="26">
        <v>7</v>
      </c>
      <c r="U531" s="26">
        <v>20</v>
      </c>
      <c r="V531" s="26">
        <v>1</v>
      </c>
      <c r="W531" s="26"/>
    </row>
    <row r="532" spans="1:23" x14ac:dyDescent="0.25">
      <c r="A532" s="26" t="str">
        <f t="shared" si="84"/>
        <v>PRIMARIA</v>
      </c>
      <c r="B532" s="26" t="str">
        <f>"09DPR1393Y"</f>
        <v>09DPR1393Y</v>
      </c>
      <c r="C532" s="26" t="str">
        <f>"MAESTRO CARLOS GONZALEZ PEÑA                                                                        "</f>
        <v xml:space="preserve">MAESTRO CARLOS GONZALEZ PEÑA                                                                        </v>
      </c>
      <c r="D532" s="26" t="str">
        <f>"VESPERTINO"</f>
        <v>VESPERTINO</v>
      </c>
      <c r="E532" s="26" t="str">
        <f>"ORIENTE 91 NO. 3132 Y NORTE 64-A                                                "</f>
        <v xml:space="preserve">ORIENTE 91 NO. 3132 Y NORTE 64-A                                                </v>
      </c>
      <c r="F532" s="26" t="str">
        <f>"MARTIRES DE RIO BLANCO                                                                                                                      "</f>
        <v xml:space="preserve">MARTIRES DE RIO BLANCO                                                                                                                      </v>
      </c>
      <c r="G532" s="26" t="str">
        <f t="shared" si="83"/>
        <v xml:space="preserve">GUSTAVO A. MADERO                                                               </v>
      </c>
      <c r="H532" s="26" t="str">
        <f>"251"</f>
        <v>251</v>
      </c>
      <c r="I532" s="26" t="str">
        <f t="shared" si="85"/>
        <v>00</v>
      </c>
      <c r="J532" s="26" t="str">
        <f t="shared" si="87"/>
        <v xml:space="preserve">42 </v>
      </c>
      <c r="K532" s="26" t="str">
        <f t="shared" si="81"/>
        <v>PR</v>
      </c>
      <c r="L532" s="26" t="str">
        <f t="shared" si="82"/>
        <v>DGOSE</v>
      </c>
      <c r="M532" s="26" t="str">
        <f t="shared" si="86"/>
        <v>FEDERAL</v>
      </c>
      <c r="N532" s="26">
        <v>97</v>
      </c>
      <c r="O532" s="26">
        <v>46</v>
      </c>
      <c r="P532" s="26">
        <v>51</v>
      </c>
      <c r="Q532" s="26">
        <v>6</v>
      </c>
      <c r="R532" s="26">
        <v>1</v>
      </c>
      <c r="S532" s="26">
        <v>5</v>
      </c>
      <c r="T532" s="26">
        <v>8</v>
      </c>
      <c r="U532" s="26">
        <v>14</v>
      </c>
      <c r="V532" s="26">
        <v>1</v>
      </c>
      <c r="W532" s="26"/>
    </row>
    <row r="533" spans="1:23" x14ac:dyDescent="0.25">
      <c r="A533" s="26" t="str">
        <f t="shared" si="84"/>
        <v>PRIMARIA</v>
      </c>
      <c r="B533" s="26" t="str">
        <f>"09DPR1395W"</f>
        <v>09DPR1395W</v>
      </c>
      <c r="C533" s="26" t="str">
        <f>"LA PRENSA PEMEX                                                                                     "</f>
        <v xml:space="preserve">LA PRENSA PEMEX                                                                                     </v>
      </c>
      <c r="D533" s="26" t="str">
        <f>"MATUTINO"</f>
        <v>MATUTINO</v>
      </c>
      <c r="E533" s="26" t="str">
        <f>"CARUSO Y CLAVE                                                                  "</f>
        <v xml:space="preserve">CARUSO Y CLAVE                                                                  </v>
      </c>
      <c r="F533" s="26" t="str">
        <f>"VALLEJO                                                                                                                                     "</f>
        <v xml:space="preserve">VALLEJO                                                                                                                                     </v>
      </c>
      <c r="G533" s="26" t="str">
        <f t="shared" si="83"/>
        <v xml:space="preserve">GUSTAVO A. MADERO                                                               </v>
      </c>
      <c r="H533" s="26" t="str">
        <f>"247"</f>
        <v>247</v>
      </c>
      <c r="I533" s="26" t="str">
        <f t="shared" si="85"/>
        <v>00</v>
      </c>
      <c r="J533" s="26" t="str">
        <f t="shared" si="87"/>
        <v xml:space="preserve">42 </v>
      </c>
      <c r="K533" s="26" t="str">
        <f t="shared" si="81"/>
        <v>PR</v>
      </c>
      <c r="L533" s="26" t="str">
        <f t="shared" si="82"/>
        <v>DGOSE</v>
      </c>
      <c r="M533" s="26" t="str">
        <f t="shared" si="86"/>
        <v>FEDERAL</v>
      </c>
      <c r="N533" s="26">
        <v>238</v>
      </c>
      <c r="O533" s="26">
        <v>132</v>
      </c>
      <c r="P533" s="26">
        <v>106</v>
      </c>
      <c r="Q533" s="26">
        <v>10</v>
      </c>
      <c r="R533" s="26">
        <v>1</v>
      </c>
      <c r="S533" s="26">
        <v>10</v>
      </c>
      <c r="T533" s="26">
        <v>7</v>
      </c>
      <c r="U533" s="26">
        <v>18</v>
      </c>
      <c r="V533" s="26">
        <v>1</v>
      </c>
      <c r="W533" s="26"/>
    </row>
    <row r="534" spans="1:23" x14ac:dyDescent="0.25">
      <c r="A534" s="26" t="str">
        <f t="shared" si="84"/>
        <v>PRIMARIA</v>
      </c>
      <c r="B534" s="26" t="str">
        <f>"09DPR1396V"</f>
        <v>09DPR1396V</v>
      </c>
      <c r="C534" s="26" t="str">
        <f>"DR. CARLOS BAUER                                                                                    "</f>
        <v xml:space="preserve">DR. CARLOS BAUER                                                                                    </v>
      </c>
      <c r="D534" s="26" t="str">
        <f>"VESPERTINO"</f>
        <v>VESPERTINO</v>
      </c>
      <c r="E534" s="26" t="str">
        <f>"ORIENTE 153 NUM 3708 Y NORTE 72                                                 "</f>
        <v xml:space="preserve">ORIENTE 153 NUM 3708 Y NORTE 72                                                 </v>
      </c>
      <c r="F534" s="26" t="str">
        <f>"SALVADOR DIAZ MIRON                                                                                                                         "</f>
        <v xml:space="preserve">SALVADOR DIAZ MIRON                                                                                                                         </v>
      </c>
      <c r="G534" s="26" t="str">
        <f t="shared" si="83"/>
        <v xml:space="preserve">GUSTAVO A. MADERO                                                               </v>
      </c>
      <c r="H534" s="26" t="str">
        <f>"259"</f>
        <v>259</v>
      </c>
      <c r="I534" s="26" t="str">
        <f t="shared" si="85"/>
        <v>00</v>
      </c>
      <c r="J534" s="26" t="str">
        <f t="shared" si="87"/>
        <v xml:space="preserve">42 </v>
      </c>
      <c r="K534" s="26" t="str">
        <f t="shared" si="81"/>
        <v>PR</v>
      </c>
      <c r="L534" s="26" t="str">
        <f t="shared" si="82"/>
        <v>DGOSE</v>
      </c>
      <c r="M534" s="26" t="str">
        <f t="shared" si="86"/>
        <v>FEDERAL</v>
      </c>
      <c r="N534" s="26">
        <v>104</v>
      </c>
      <c r="O534" s="26">
        <v>58</v>
      </c>
      <c r="P534" s="26">
        <v>46</v>
      </c>
      <c r="Q534" s="26">
        <v>6</v>
      </c>
      <c r="R534" s="26">
        <v>1</v>
      </c>
      <c r="S534" s="26">
        <v>6</v>
      </c>
      <c r="T534" s="26">
        <v>6</v>
      </c>
      <c r="U534" s="26">
        <v>13</v>
      </c>
      <c r="V534" s="26">
        <v>1</v>
      </c>
      <c r="W534" s="26"/>
    </row>
    <row r="535" spans="1:23" x14ac:dyDescent="0.25">
      <c r="A535" s="26" t="str">
        <f t="shared" si="84"/>
        <v>PRIMARIA</v>
      </c>
      <c r="B535" s="26" t="str">
        <f>"09DPR1397U"</f>
        <v>09DPR1397U</v>
      </c>
      <c r="C535" s="26" t="str">
        <f>"DR. CARLOS BAUER                                                                                    "</f>
        <v xml:space="preserve">DR. CARLOS BAUER                                                                                    </v>
      </c>
      <c r="D535" s="26" t="str">
        <f>"MATUTINO"</f>
        <v>MATUTINO</v>
      </c>
      <c r="E535" s="26" t="str">
        <f>"ORIENTE 153 NUM 3708 Y NORTE 72                                                 "</f>
        <v xml:space="preserve">ORIENTE 153 NUM 3708 Y NORTE 72                                                 </v>
      </c>
      <c r="F535" s="26" t="str">
        <f>"SALVADOR DIAZ MIRON                                                                                                                         "</f>
        <v xml:space="preserve">SALVADOR DIAZ MIRON                                                                                                                         </v>
      </c>
      <c r="G535" s="26" t="str">
        <f t="shared" si="83"/>
        <v xml:space="preserve">GUSTAVO A. MADERO                                                               </v>
      </c>
      <c r="H535" s="26" t="str">
        <f>"259"</f>
        <v>259</v>
      </c>
      <c r="I535" s="26" t="str">
        <f t="shared" si="85"/>
        <v>00</v>
      </c>
      <c r="J535" s="26" t="str">
        <f t="shared" si="87"/>
        <v xml:space="preserve">42 </v>
      </c>
      <c r="K535" s="26" t="str">
        <f t="shared" si="81"/>
        <v>PR</v>
      </c>
      <c r="L535" s="26" t="str">
        <f t="shared" si="82"/>
        <v>DGOSE</v>
      </c>
      <c r="M535" s="26" t="str">
        <f t="shared" si="86"/>
        <v>FEDERAL</v>
      </c>
      <c r="N535" s="26">
        <v>399</v>
      </c>
      <c r="O535" s="26">
        <v>205</v>
      </c>
      <c r="P535" s="26">
        <v>194</v>
      </c>
      <c r="Q535" s="26">
        <v>17</v>
      </c>
      <c r="R535" s="26">
        <v>1</v>
      </c>
      <c r="S535" s="26">
        <v>17</v>
      </c>
      <c r="T535" s="26">
        <v>8</v>
      </c>
      <c r="U535" s="26">
        <v>26</v>
      </c>
      <c r="V535" s="26">
        <v>1</v>
      </c>
      <c r="W535" s="26"/>
    </row>
    <row r="536" spans="1:23" x14ac:dyDescent="0.25">
      <c r="A536" s="26" t="str">
        <f t="shared" si="84"/>
        <v>PRIMARIA</v>
      </c>
      <c r="B536" s="26" t="str">
        <f>"09DPR1400R"</f>
        <v>09DPR1400R</v>
      </c>
      <c r="C536" s="26" t="str">
        <f>"LA PRENSA PEMEX                                                                                     "</f>
        <v xml:space="preserve">LA PRENSA PEMEX                                                                                     </v>
      </c>
      <c r="D536" s="26" t="str">
        <f>"VESPERTINO"</f>
        <v>VESPERTINO</v>
      </c>
      <c r="E536" s="26" t="str">
        <f>"CARUSO Y CLAVE                                                                  "</f>
        <v xml:space="preserve">CARUSO Y CLAVE                                                                  </v>
      </c>
      <c r="F536" s="26" t="str">
        <f>"VALLEJO                                                                                                                                     "</f>
        <v xml:space="preserve">VALLEJO                                                                                                                                     </v>
      </c>
      <c r="G536" s="26" t="str">
        <f t="shared" si="83"/>
        <v xml:space="preserve">GUSTAVO A. MADERO                                                               </v>
      </c>
      <c r="H536" s="26" t="str">
        <f>"247"</f>
        <v>247</v>
      </c>
      <c r="I536" s="26" t="str">
        <f t="shared" si="85"/>
        <v>00</v>
      </c>
      <c r="J536" s="26" t="str">
        <f t="shared" si="87"/>
        <v xml:space="preserve">42 </v>
      </c>
      <c r="K536" s="26" t="str">
        <f t="shared" si="81"/>
        <v>PR</v>
      </c>
      <c r="L536" s="26" t="str">
        <f t="shared" si="82"/>
        <v>DGOSE</v>
      </c>
      <c r="M536" s="26" t="str">
        <f t="shared" si="86"/>
        <v>FEDERAL</v>
      </c>
      <c r="N536" s="26">
        <v>92</v>
      </c>
      <c r="O536" s="26">
        <v>44</v>
      </c>
      <c r="P536" s="26">
        <v>48</v>
      </c>
      <c r="Q536" s="26">
        <v>6</v>
      </c>
      <c r="R536" s="26">
        <v>1</v>
      </c>
      <c r="S536" s="26">
        <v>6</v>
      </c>
      <c r="T536" s="26">
        <v>4</v>
      </c>
      <c r="U536" s="26">
        <v>11</v>
      </c>
      <c r="V536" s="26">
        <v>1</v>
      </c>
      <c r="W536" s="26"/>
    </row>
    <row r="537" spans="1:23" x14ac:dyDescent="0.25">
      <c r="A537" s="26" t="str">
        <f t="shared" si="84"/>
        <v>PRIMARIA</v>
      </c>
      <c r="B537" s="26" t="str">
        <f>"09DPR1401Q"</f>
        <v>09DPR1401Q</v>
      </c>
      <c r="C537" s="26" t="str">
        <f>"PROFR. CARLOS B. MUNGUIA                                                                            "</f>
        <v xml:space="preserve">PROFR. CARLOS B. MUNGUIA                                                                            </v>
      </c>
      <c r="D537" s="26" t="str">
        <f>"JORNADA AMPLIADA"</f>
        <v>JORNADA AMPLIADA</v>
      </c>
      <c r="E537" s="26" t="str">
        <f>"CENTRAL SUR Y ESFUERZO S/N                                                      "</f>
        <v xml:space="preserve">CENTRAL SUR Y ESFUERZO S/N                                                      </v>
      </c>
      <c r="F537" s="26" t="str">
        <f>"CAMPESTRE ARAGON                                                                                                                            "</f>
        <v xml:space="preserve">CAMPESTRE ARAGON                                                                                                                            </v>
      </c>
      <c r="G537" s="26" t="str">
        <f t="shared" si="83"/>
        <v xml:space="preserve">GUSTAVO A. MADERO                                                               </v>
      </c>
      <c r="H537" s="26" t="str">
        <f>"140"</f>
        <v>140</v>
      </c>
      <c r="I537" s="26" t="str">
        <f t="shared" si="85"/>
        <v>00</v>
      </c>
      <c r="J537" s="26" t="str">
        <f>"41 "</f>
        <v xml:space="preserve">41 </v>
      </c>
      <c r="K537" s="26" t="str">
        <f t="shared" si="81"/>
        <v>PR</v>
      </c>
      <c r="L537" s="26" t="str">
        <f t="shared" si="82"/>
        <v>DGOSE</v>
      </c>
      <c r="M537" s="26" t="str">
        <f t="shared" si="86"/>
        <v>FEDERAL</v>
      </c>
      <c r="N537" s="26">
        <v>379</v>
      </c>
      <c r="O537" s="26">
        <v>194</v>
      </c>
      <c r="P537" s="26">
        <v>185</v>
      </c>
      <c r="Q537" s="26">
        <v>12</v>
      </c>
      <c r="R537" s="26">
        <v>1</v>
      </c>
      <c r="S537" s="26">
        <v>12</v>
      </c>
      <c r="T537" s="26">
        <v>11</v>
      </c>
      <c r="U537" s="26">
        <v>24</v>
      </c>
      <c r="V537" s="26">
        <v>1</v>
      </c>
      <c r="W537" s="26" t="s">
        <v>2076</v>
      </c>
    </row>
    <row r="538" spans="1:23" x14ac:dyDescent="0.25">
      <c r="A538" s="26" t="str">
        <f t="shared" si="84"/>
        <v>PRIMARIA</v>
      </c>
      <c r="B538" s="26" t="str">
        <f>"09DPR1402P"</f>
        <v>09DPR1402P</v>
      </c>
      <c r="C538" s="26" t="str">
        <f>"LA PRADERA                                                                                          "</f>
        <v xml:space="preserve">LA PRADERA                                                                                          </v>
      </c>
      <c r="D538" s="26" t="str">
        <f>"VESPERTINO"</f>
        <v>VESPERTINO</v>
      </c>
      <c r="E538" s="26" t="str">
        <f>"VOLCAN NEVADO DE TOLUCA No. 1.                                                  "</f>
        <v xml:space="preserve">VOLCAN NEVADO DE TOLUCA No. 1.                                                  </v>
      </c>
      <c r="F538" s="26" t="str">
        <f>"LA PRADERA                                                                                                                                  "</f>
        <v xml:space="preserve">LA PRADERA                                                                                                                                  </v>
      </c>
      <c r="G538" s="26" t="str">
        <f t="shared" si="83"/>
        <v xml:space="preserve">GUSTAVO A. MADERO                                                               </v>
      </c>
      <c r="H538" s="26" t="str">
        <f>"266"</f>
        <v>266</v>
      </c>
      <c r="I538" s="26" t="str">
        <f t="shared" si="85"/>
        <v>00</v>
      </c>
      <c r="J538" s="26" t="str">
        <f>"42 "</f>
        <v xml:space="preserve">42 </v>
      </c>
      <c r="K538" s="26" t="str">
        <f t="shared" si="81"/>
        <v>PR</v>
      </c>
      <c r="L538" s="26" t="str">
        <f t="shared" si="82"/>
        <v>DGOSE</v>
      </c>
      <c r="M538" s="26" t="str">
        <f t="shared" si="86"/>
        <v>FEDERAL</v>
      </c>
      <c r="N538" s="26">
        <v>146</v>
      </c>
      <c r="O538" s="26">
        <v>85</v>
      </c>
      <c r="P538" s="26">
        <v>61</v>
      </c>
      <c r="Q538" s="26">
        <v>8</v>
      </c>
      <c r="R538" s="26">
        <v>1</v>
      </c>
      <c r="S538" s="26">
        <v>8</v>
      </c>
      <c r="T538" s="26">
        <v>7</v>
      </c>
      <c r="U538" s="26">
        <v>16</v>
      </c>
      <c r="V538" s="26">
        <v>1</v>
      </c>
      <c r="W538" s="26"/>
    </row>
    <row r="539" spans="1:23" x14ac:dyDescent="0.25">
      <c r="A539" s="26" t="str">
        <f t="shared" si="84"/>
        <v>PRIMARIA</v>
      </c>
      <c r="B539" s="26" t="str">
        <f>"09DPR1403O"</f>
        <v>09DPR1403O</v>
      </c>
      <c r="C539" s="26" t="str">
        <f>"PROFR. ARQUELES VELA                                                                                "</f>
        <v xml:space="preserve">PROFR. ARQUELES VELA                                                                                </v>
      </c>
      <c r="D539" s="26" t="str">
        <f>"MATUTINO"</f>
        <v>MATUTINO</v>
      </c>
      <c r="E539" s="26" t="str">
        <f>"CARDO NORTE # 66                                                                "</f>
        <v xml:space="preserve">CARDO NORTE # 66                                                                </v>
      </c>
      <c r="F539" s="26" t="str">
        <f>"LA PRADERA                                                                                                                                  "</f>
        <v xml:space="preserve">LA PRADERA                                                                                                                                  </v>
      </c>
      <c r="G539" s="26" t="str">
        <f t="shared" si="83"/>
        <v xml:space="preserve">GUSTAVO A. MADERO                                                               </v>
      </c>
      <c r="H539" s="26" t="str">
        <f>"267"</f>
        <v>267</v>
      </c>
      <c r="I539" s="26" t="str">
        <f t="shared" si="85"/>
        <v>00</v>
      </c>
      <c r="J539" s="26" t="str">
        <f>"42 "</f>
        <v xml:space="preserve">42 </v>
      </c>
      <c r="K539" s="26" t="str">
        <f t="shared" si="81"/>
        <v>PR</v>
      </c>
      <c r="L539" s="26" t="str">
        <f t="shared" si="82"/>
        <v>DGOSE</v>
      </c>
      <c r="M539" s="26" t="str">
        <f t="shared" si="86"/>
        <v>FEDERAL</v>
      </c>
      <c r="N539" s="26">
        <v>480</v>
      </c>
      <c r="O539" s="26">
        <v>240</v>
      </c>
      <c r="P539" s="26">
        <v>240</v>
      </c>
      <c r="Q539" s="26">
        <v>16</v>
      </c>
      <c r="R539" s="26">
        <v>1</v>
      </c>
      <c r="S539" s="26">
        <v>16</v>
      </c>
      <c r="T539" s="26">
        <v>10</v>
      </c>
      <c r="U539" s="26">
        <v>27</v>
      </c>
      <c r="V539" s="26">
        <v>1</v>
      </c>
      <c r="W539" s="26"/>
    </row>
    <row r="540" spans="1:23" x14ac:dyDescent="0.25">
      <c r="A540" s="26" t="str">
        <f t="shared" si="84"/>
        <v>PRIMARIA</v>
      </c>
      <c r="B540" s="26" t="str">
        <f>"09DPR1404N"</f>
        <v>09DPR1404N</v>
      </c>
      <c r="C540" s="26" t="str">
        <f>"LA PRENSA                                                                                           "</f>
        <v xml:space="preserve">LA PRENSA                                                                                           </v>
      </c>
      <c r="D540" s="26" t="str">
        <f>"TIEMPO COMPLETO"</f>
        <v>TIEMPO COMPLETO</v>
      </c>
      <c r="E540" s="26" t="str">
        <f>"CONSTANTINO Y DONIZZETI                                                         "</f>
        <v xml:space="preserve">CONSTANTINO Y DONIZZETI                                                         </v>
      </c>
      <c r="F540" s="26" t="str">
        <f>"VALLEJO                                                                                                                                     "</f>
        <v xml:space="preserve">VALLEJO                                                                                                                                     </v>
      </c>
      <c r="G540" s="26" t="str">
        <f t="shared" si="83"/>
        <v xml:space="preserve">GUSTAVO A. MADERO                                                               </v>
      </c>
      <c r="H540" s="26" t="str">
        <f>"137"</f>
        <v>137</v>
      </c>
      <c r="I540" s="26" t="str">
        <f t="shared" si="85"/>
        <v>00</v>
      </c>
      <c r="J540" s="26" t="str">
        <f>"41 "</f>
        <v xml:space="preserve">41 </v>
      </c>
      <c r="K540" s="26" t="str">
        <f t="shared" si="81"/>
        <v>PR</v>
      </c>
      <c r="L540" s="26" t="str">
        <f t="shared" si="82"/>
        <v>DGOSE</v>
      </c>
      <c r="M540" s="26" t="str">
        <f t="shared" si="86"/>
        <v>FEDERAL</v>
      </c>
      <c r="N540" s="26">
        <v>328</v>
      </c>
      <c r="O540" s="26">
        <v>158</v>
      </c>
      <c r="P540" s="26">
        <v>170</v>
      </c>
      <c r="Q540" s="26">
        <v>12</v>
      </c>
      <c r="R540" s="26">
        <v>1</v>
      </c>
      <c r="S540" s="26">
        <v>12</v>
      </c>
      <c r="T540" s="26">
        <v>16</v>
      </c>
      <c r="U540" s="26">
        <v>29</v>
      </c>
      <c r="V540" s="26">
        <v>1</v>
      </c>
      <c r="W540" s="26" t="s">
        <v>218</v>
      </c>
    </row>
    <row r="541" spans="1:23" x14ac:dyDescent="0.25">
      <c r="A541" s="26" t="str">
        <f t="shared" si="84"/>
        <v>PRIMARIA</v>
      </c>
      <c r="B541" s="26" t="str">
        <f>"09DPR1405M"</f>
        <v>09DPR1405M</v>
      </c>
      <c r="C541" s="26" t="str">
        <f>"CLUB DE LEONES DE LA VILLA NUM. 3                                                                   "</f>
        <v xml:space="preserve">CLUB DE LEONES DE LA VILLA NUM. 3                                                                   </v>
      </c>
      <c r="D541" s="26" t="str">
        <f>"JORNADA AMPLIADA"</f>
        <v>JORNADA AMPLIADA</v>
      </c>
      <c r="E541" s="26" t="str">
        <f>"PUERTO COZUMEL S/N                                                              "</f>
        <v xml:space="preserve">PUERTO COZUMEL S/N                                                              </v>
      </c>
      <c r="F541" s="26" t="str">
        <f>"HEROES DE CHAPULTEPEC                                                                                                                       "</f>
        <v xml:space="preserve">HEROES DE CHAPULTEPEC                                                                                                                       </v>
      </c>
      <c r="G541" s="26" t="str">
        <f t="shared" si="83"/>
        <v xml:space="preserve">GUSTAVO A. MADERO                                                               </v>
      </c>
      <c r="H541" s="26" t="str">
        <f>"141"</f>
        <v>141</v>
      </c>
      <c r="I541" s="26" t="str">
        <f t="shared" si="85"/>
        <v>00</v>
      </c>
      <c r="J541" s="26" t="str">
        <f>"41 "</f>
        <v xml:space="preserve">41 </v>
      </c>
      <c r="K541" s="26" t="str">
        <f t="shared" si="81"/>
        <v>PR</v>
      </c>
      <c r="L541" s="26" t="str">
        <f t="shared" si="82"/>
        <v>DGOSE</v>
      </c>
      <c r="M541" s="26" t="str">
        <f t="shared" si="86"/>
        <v>FEDERAL</v>
      </c>
      <c r="N541" s="26">
        <v>251</v>
      </c>
      <c r="O541" s="26">
        <v>134</v>
      </c>
      <c r="P541" s="26">
        <v>117</v>
      </c>
      <c r="Q541" s="26">
        <v>10</v>
      </c>
      <c r="R541" s="26">
        <v>1</v>
      </c>
      <c r="S541" s="26">
        <v>10</v>
      </c>
      <c r="T541" s="26">
        <v>9</v>
      </c>
      <c r="U541" s="26">
        <v>20</v>
      </c>
      <c r="V541" s="26">
        <v>1</v>
      </c>
      <c r="W541" s="26" t="s">
        <v>2076</v>
      </c>
    </row>
    <row r="542" spans="1:23" x14ac:dyDescent="0.25">
      <c r="A542" s="26" t="str">
        <f t="shared" si="84"/>
        <v>PRIMARIA</v>
      </c>
      <c r="B542" s="26" t="str">
        <f>"09DPR1406L"</f>
        <v>09DPR1406L</v>
      </c>
      <c r="C542" s="26" t="str">
        <f>"LA PRADERA                                                                                          "</f>
        <v xml:space="preserve">LA PRADERA                                                                                          </v>
      </c>
      <c r="D542" s="26" t="str">
        <f>"MATUTINO"</f>
        <v>MATUTINO</v>
      </c>
      <c r="E542" s="26" t="str">
        <f>"VOLCAN NEVADO DE TOLUCA No. 1.                                                  "</f>
        <v xml:space="preserve">VOLCAN NEVADO DE TOLUCA No. 1.                                                  </v>
      </c>
      <c r="F542" s="26" t="str">
        <f>"LA PRADERA                                                                                                                                  "</f>
        <v xml:space="preserve">LA PRADERA                                                                                                                                  </v>
      </c>
      <c r="G542" s="26" t="str">
        <f t="shared" si="83"/>
        <v xml:space="preserve">GUSTAVO A. MADERO                                                               </v>
      </c>
      <c r="H542" s="26" t="str">
        <f>"266"</f>
        <v>266</v>
      </c>
      <c r="I542" s="26" t="str">
        <f t="shared" si="85"/>
        <v>00</v>
      </c>
      <c r="J542" s="26" t="str">
        <f>"42 "</f>
        <v xml:space="preserve">42 </v>
      </c>
      <c r="K542" s="26" t="str">
        <f t="shared" si="81"/>
        <v>PR</v>
      </c>
      <c r="L542" s="26" t="str">
        <f t="shared" si="82"/>
        <v>DGOSE</v>
      </c>
      <c r="M542" s="26" t="str">
        <f t="shared" si="86"/>
        <v>FEDERAL</v>
      </c>
      <c r="N542" s="26">
        <v>600</v>
      </c>
      <c r="O542" s="26">
        <v>306</v>
      </c>
      <c r="P542" s="26">
        <v>294</v>
      </c>
      <c r="Q542" s="26">
        <v>21</v>
      </c>
      <c r="R542" s="26">
        <v>1</v>
      </c>
      <c r="S542" s="26">
        <v>21</v>
      </c>
      <c r="T542" s="26">
        <v>14</v>
      </c>
      <c r="U542" s="26">
        <v>36</v>
      </c>
      <c r="V542" s="26">
        <v>1</v>
      </c>
      <c r="W542" s="26"/>
    </row>
    <row r="543" spans="1:23" x14ac:dyDescent="0.25">
      <c r="A543" s="26" t="str">
        <f t="shared" si="84"/>
        <v>PRIMARIA</v>
      </c>
      <c r="B543" s="26" t="str">
        <f>"09DPR1408J"</f>
        <v>09DPR1408J</v>
      </c>
      <c r="C543" s="26" t="str">
        <f>"JOSE CLEMENTE OROZCO                                                                                "</f>
        <v xml:space="preserve">JOSE CLEMENTE OROZCO                                                                                </v>
      </c>
      <c r="D543" s="26" t="str">
        <f>"TIEMPO COMPLETO"</f>
        <v>TIEMPO COMPLETO</v>
      </c>
      <c r="E543" s="26" t="str">
        <f>"NORTE 94 S/N                                                                    "</f>
        <v xml:space="preserve">NORTE 94 S/N                                                                    </v>
      </c>
      <c r="F543" s="26" t="str">
        <f>"MALINCHE                                                                                                                                    "</f>
        <v xml:space="preserve">MALINCHE                                                                                                                                    </v>
      </c>
      <c r="G543" s="26" t="str">
        <f t="shared" si="83"/>
        <v xml:space="preserve">GUSTAVO A. MADERO                                                               </v>
      </c>
      <c r="H543" s="26" t="str">
        <f>"143"</f>
        <v>143</v>
      </c>
      <c r="I543" s="26" t="str">
        <f t="shared" si="85"/>
        <v>00</v>
      </c>
      <c r="J543" s="26" t="str">
        <f>"41 "</f>
        <v xml:space="preserve">41 </v>
      </c>
      <c r="K543" s="26" t="str">
        <f t="shared" si="81"/>
        <v>PR</v>
      </c>
      <c r="L543" s="26" t="str">
        <f t="shared" si="82"/>
        <v>DGOSE</v>
      </c>
      <c r="M543" s="26" t="str">
        <f t="shared" si="86"/>
        <v>FEDERAL</v>
      </c>
      <c r="N543" s="26">
        <v>323</v>
      </c>
      <c r="O543" s="26">
        <v>174</v>
      </c>
      <c r="P543" s="26">
        <v>149</v>
      </c>
      <c r="Q543" s="26">
        <v>12</v>
      </c>
      <c r="R543" s="26">
        <v>1</v>
      </c>
      <c r="S543" s="26">
        <v>12</v>
      </c>
      <c r="T543" s="26">
        <v>12</v>
      </c>
      <c r="U543" s="26">
        <v>25</v>
      </c>
      <c r="V543" s="26">
        <v>1</v>
      </c>
      <c r="W543" s="26" t="s">
        <v>218</v>
      </c>
    </row>
    <row r="544" spans="1:23" x14ac:dyDescent="0.25">
      <c r="A544" s="26" t="str">
        <f t="shared" si="84"/>
        <v>PRIMARIA</v>
      </c>
      <c r="B544" s="26" t="str">
        <f>"09DPR1409I"</f>
        <v>09DPR1409I</v>
      </c>
      <c r="C544" s="26" t="str">
        <f>"JULIO S. HERNANDEZ                                                                                  "</f>
        <v xml:space="preserve">JULIO S. HERNANDEZ                                                                                  </v>
      </c>
      <c r="D544" s="26" t="str">
        <f>"JORNADA AMPLIADA"</f>
        <v>JORNADA AMPLIADA</v>
      </c>
      <c r="E544" s="26" t="str">
        <f>"COFRE DE PEROTE NUM 83                                                          "</f>
        <v xml:space="preserve">COFRE DE PEROTE NUM 83                                                          </v>
      </c>
      <c r="F544" s="26" t="str">
        <f>"LA PRADERA                                                                                                                                  "</f>
        <v xml:space="preserve">LA PRADERA                                                                                                                                  </v>
      </c>
      <c r="G544" s="26" t="str">
        <f t="shared" si="83"/>
        <v xml:space="preserve">GUSTAVO A. MADERO                                                               </v>
      </c>
      <c r="H544" s="26" t="str">
        <f>"144"</f>
        <v>144</v>
      </c>
      <c r="I544" s="26" t="str">
        <f t="shared" si="85"/>
        <v>00</v>
      </c>
      <c r="J544" s="26" t="str">
        <f>"41 "</f>
        <v xml:space="preserve">41 </v>
      </c>
      <c r="K544" s="26" t="str">
        <f t="shared" si="81"/>
        <v>PR</v>
      </c>
      <c r="L544" s="26" t="str">
        <f t="shared" si="82"/>
        <v>DGOSE</v>
      </c>
      <c r="M544" s="26" t="str">
        <f t="shared" si="86"/>
        <v>FEDERAL</v>
      </c>
      <c r="N544" s="26">
        <v>469</v>
      </c>
      <c r="O544" s="26">
        <v>250</v>
      </c>
      <c r="P544" s="26">
        <v>219</v>
      </c>
      <c r="Q544" s="26">
        <v>17</v>
      </c>
      <c r="R544" s="26">
        <v>1</v>
      </c>
      <c r="S544" s="26">
        <v>17</v>
      </c>
      <c r="T544" s="26">
        <v>10</v>
      </c>
      <c r="U544" s="26">
        <v>28</v>
      </c>
      <c r="V544" s="26">
        <v>1</v>
      </c>
      <c r="W544" s="26" t="s">
        <v>2076</v>
      </c>
    </row>
    <row r="545" spans="1:23" x14ac:dyDescent="0.25">
      <c r="A545" s="26" t="str">
        <f t="shared" si="84"/>
        <v>PRIMARIA</v>
      </c>
      <c r="B545" s="26" t="str">
        <f>"09DPR1412W"</f>
        <v>09DPR1412W</v>
      </c>
      <c r="C545" s="26" t="str">
        <f>"JUANA DE ASBAJE                                                                                     "</f>
        <v xml:space="preserve">JUANA DE ASBAJE                                                                                     </v>
      </c>
      <c r="D545" s="26" t="str">
        <f>"JORNADA AMPLIADA"</f>
        <v>JORNADA AMPLIADA</v>
      </c>
      <c r="E545" s="26" t="s">
        <v>4129</v>
      </c>
      <c r="F545" s="26" t="str">
        <f>"ESTANZUELA                                                                                                                                  "</f>
        <v xml:space="preserve">ESTANZUELA                                                                                                                                  </v>
      </c>
      <c r="G545" s="26" t="str">
        <f t="shared" si="83"/>
        <v xml:space="preserve">GUSTAVO A. MADERO                                                               </v>
      </c>
      <c r="H545" s="26" t="str">
        <f>"135"</f>
        <v>135</v>
      </c>
      <c r="I545" s="26" t="str">
        <f t="shared" si="85"/>
        <v>00</v>
      </c>
      <c r="J545" s="26" t="str">
        <f>"41 "</f>
        <v xml:space="preserve">41 </v>
      </c>
      <c r="K545" s="26" t="str">
        <f t="shared" si="81"/>
        <v>PR</v>
      </c>
      <c r="L545" s="26" t="str">
        <f t="shared" si="82"/>
        <v>DGOSE</v>
      </c>
      <c r="M545" s="26" t="str">
        <f t="shared" si="86"/>
        <v>FEDERAL</v>
      </c>
      <c r="N545" s="26">
        <v>363</v>
      </c>
      <c r="O545" s="26">
        <v>197</v>
      </c>
      <c r="P545" s="26">
        <v>166</v>
      </c>
      <c r="Q545" s="26">
        <v>12</v>
      </c>
      <c r="R545" s="26">
        <v>1</v>
      </c>
      <c r="S545" s="26">
        <v>12</v>
      </c>
      <c r="T545" s="26">
        <v>6</v>
      </c>
      <c r="U545" s="26">
        <v>19</v>
      </c>
      <c r="V545" s="26">
        <v>1</v>
      </c>
      <c r="W545" s="26" t="s">
        <v>2076</v>
      </c>
    </row>
    <row r="546" spans="1:23" x14ac:dyDescent="0.25">
      <c r="A546" s="26" t="str">
        <f t="shared" si="84"/>
        <v>PRIMARIA</v>
      </c>
      <c r="B546" s="26" t="str">
        <f>"09DPR1413V"</f>
        <v>09DPR1413V</v>
      </c>
      <c r="C546" s="26" t="str">
        <f>"INSURGENTE MORELOS                                                                                  "</f>
        <v xml:space="preserve">INSURGENTE MORELOS                                                                                  </v>
      </c>
      <c r="D546" s="26" t="str">
        <f>"JORNADA AMPLIADA"</f>
        <v>JORNADA AMPLIADA</v>
      </c>
      <c r="E546" s="26" t="str">
        <f>"HIDALGO S/N                                                                     "</f>
        <v xml:space="preserve">HIDALGO S/N                                                                     </v>
      </c>
      <c r="F546" s="26" t="str">
        <f>"GUSTAVO A. MADERO                                                                                                                           "</f>
        <v xml:space="preserve">GUSTAVO A. MADERO                                                                                                                           </v>
      </c>
      <c r="G546" s="26" t="str">
        <f t="shared" si="83"/>
        <v xml:space="preserve">GUSTAVO A. MADERO                                                               </v>
      </c>
      <c r="H546" s="26" t="str">
        <f>"135"</f>
        <v>135</v>
      </c>
      <c r="I546" s="26" t="str">
        <f t="shared" si="85"/>
        <v>00</v>
      </c>
      <c r="J546" s="26" t="str">
        <f>"41 "</f>
        <v xml:space="preserve">41 </v>
      </c>
      <c r="K546" s="26" t="str">
        <f t="shared" si="81"/>
        <v>PR</v>
      </c>
      <c r="L546" s="26" t="str">
        <f t="shared" si="82"/>
        <v>DGOSE</v>
      </c>
      <c r="M546" s="26" t="str">
        <f t="shared" si="86"/>
        <v>FEDERAL</v>
      </c>
      <c r="N546" s="26">
        <v>265</v>
      </c>
      <c r="O546" s="26">
        <v>128</v>
      </c>
      <c r="P546" s="26">
        <v>137</v>
      </c>
      <c r="Q546" s="26">
        <v>10</v>
      </c>
      <c r="R546" s="26">
        <v>1</v>
      </c>
      <c r="S546" s="26">
        <v>10</v>
      </c>
      <c r="T546" s="26">
        <v>8</v>
      </c>
      <c r="U546" s="26">
        <v>19</v>
      </c>
      <c r="V546" s="26">
        <v>1</v>
      </c>
      <c r="W546" s="26" t="s">
        <v>2076</v>
      </c>
    </row>
    <row r="547" spans="1:23" x14ac:dyDescent="0.25">
      <c r="A547" s="26" t="str">
        <f t="shared" si="84"/>
        <v>PRIMARIA</v>
      </c>
      <c r="B547" s="26" t="str">
        <f>"09DPR1415T"</f>
        <v>09DPR1415T</v>
      </c>
      <c r="C547" s="26" t="str">
        <f>"INSURGENTE MORELOS                                                                                  "</f>
        <v xml:space="preserve">INSURGENTE MORELOS                                                                                  </v>
      </c>
      <c r="D547" s="26" t="str">
        <f>"VESPERTINO"</f>
        <v>VESPERTINO</v>
      </c>
      <c r="E547" s="26" t="str">
        <f>"5 DE FEBRERO S/N                                                                "</f>
        <v xml:space="preserve">5 DE FEBRERO S/N                                                                </v>
      </c>
      <c r="F547" s="26" t="str">
        <f>"GUSTAVO A. MADERO                                                                                                                           "</f>
        <v xml:space="preserve">GUSTAVO A. MADERO                                                                                                                           </v>
      </c>
      <c r="G547" s="26" t="str">
        <f t="shared" si="83"/>
        <v xml:space="preserve">GUSTAVO A. MADERO                                                               </v>
      </c>
      <c r="H547" s="26" t="str">
        <f>"245"</f>
        <v>245</v>
      </c>
      <c r="I547" s="26" t="str">
        <f t="shared" si="85"/>
        <v>00</v>
      </c>
      <c r="J547" s="26" t="str">
        <f>"42 "</f>
        <v xml:space="preserve">42 </v>
      </c>
      <c r="K547" s="26" t="str">
        <f t="shared" si="81"/>
        <v>PR</v>
      </c>
      <c r="L547" s="26" t="str">
        <f t="shared" si="82"/>
        <v>DGOSE</v>
      </c>
      <c r="M547" s="26" t="str">
        <f t="shared" si="86"/>
        <v>FEDERAL</v>
      </c>
      <c r="N547" s="26">
        <v>108</v>
      </c>
      <c r="O547" s="26">
        <v>56</v>
      </c>
      <c r="P547" s="26">
        <v>52</v>
      </c>
      <c r="Q547" s="26">
        <v>8</v>
      </c>
      <c r="R547" s="26">
        <v>1</v>
      </c>
      <c r="S547" s="26">
        <v>6</v>
      </c>
      <c r="T547" s="26">
        <v>7</v>
      </c>
      <c r="U547" s="26">
        <v>14</v>
      </c>
      <c r="V547" s="26">
        <v>1</v>
      </c>
      <c r="W547" s="26"/>
    </row>
    <row r="548" spans="1:23" x14ac:dyDescent="0.25">
      <c r="A548" s="26" t="str">
        <f t="shared" si="84"/>
        <v>PRIMARIA</v>
      </c>
      <c r="B548" s="26" t="str">
        <f>"09DPR1417R"</f>
        <v>09DPR1417R</v>
      </c>
      <c r="C548" s="26" t="str">
        <f>"INSURGENTE MORELOS                                                                                  "</f>
        <v xml:space="preserve">INSURGENTE MORELOS                                                                                  </v>
      </c>
      <c r="D548" s="26" t="str">
        <f>"JORNADA AMPLIADA"</f>
        <v>JORNADA AMPLIADA</v>
      </c>
      <c r="E548" s="26" t="str">
        <f>"F. CAMPOS 1                                                                     "</f>
        <v xml:space="preserve">F. CAMPOS 1                                                                     </v>
      </c>
      <c r="F548" s="26" t="str">
        <f>"GUSTAVO A. MADERO                                                                                                                           "</f>
        <v xml:space="preserve">GUSTAVO A. MADERO                                                                                                                           </v>
      </c>
      <c r="G548" s="26" t="str">
        <f t="shared" si="83"/>
        <v xml:space="preserve">GUSTAVO A. MADERO                                                               </v>
      </c>
      <c r="H548" s="26" t="str">
        <f>"135"</f>
        <v>135</v>
      </c>
      <c r="I548" s="26" t="str">
        <f t="shared" si="85"/>
        <v>00</v>
      </c>
      <c r="J548" s="26" t="str">
        <f>"41 "</f>
        <v xml:space="preserve">41 </v>
      </c>
      <c r="K548" s="26" t="str">
        <f t="shared" si="81"/>
        <v>PR</v>
      </c>
      <c r="L548" s="26" t="str">
        <f t="shared" si="82"/>
        <v>DGOSE</v>
      </c>
      <c r="M548" s="26" t="str">
        <f t="shared" si="86"/>
        <v>FEDERAL</v>
      </c>
      <c r="N548" s="26">
        <v>281</v>
      </c>
      <c r="O548" s="26">
        <v>140</v>
      </c>
      <c r="P548" s="26">
        <v>141</v>
      </c>
      <c r="Q548" s="26">
        <v>12</v>
      </c>
      <c r="R548" s="26">
        <v>1</v>
      </c>
      <c r="S548" s="26">
        <v>12</v>
      </c>
      <c r="T548" s="26">
        <v>10</v>
      </c>
      <c r="U548" s="26">
        <v>23</v>
      </c>
      <c r="V548" s="26">
        <v>1</v>
      </c>
      <c r="W548" s="26" t="s">
        <v>2076</v>
      </c>
    </row>
    <row r="549" spans="1:23" x14ac:dyDescent="0.25">
      <c r="A549" s="26" t="str">
        <f t="shared" si="84"/>
        <v>PRIMARIA</v>
      </c>
      <c r="B549" s="26" t="str">
        <f>"09DPR1418Q"</f>
        <v>09DPR1418Q</v>
      </c>
      <c r="C549" s="26" t="str">
        <f>"INSURGENTE MORELOS                                                                                  "</f>
        <v xml:space="preserve">INSURGENTE MORELOS                                                                                  </v>
      </c>
      <c r="D549" s="26" t="str">
        <f>"MATUTINO"</f>
        <v>MATUTINO</v>
      </c>
      <c r="E549" s="26" t="str">
        <f>"5 DE FEBRERO S/N                                                                "</f>
        <v xml:space="preserve">5 DE FEBRERO S/N                                                                </v>
      </c>
      <c r="F549" s="26" t="str">
        <f>"GUSTAVO A. MADERO                                                                                                                           "</f>
        <v xml:space="preserve">GUSTAVO A. MADERO                                                                                                                           </v>
      </c>
      <c r="G549" s="26" t="str">
        <f t="shared" si="83"/>
        <v xml:space="preserve">GUSTAVO A. MADERO                                                               </v>
      </c>
      <c r="H549" s="26" t="str">
        <f>"245"</f>
        <v>245</v>
      </c>
      <c r="I549" s="26" t="str">
        <f t="shared" si="85"/>
        <v>00</v>
      </c>
      <c r="J549" s="26" t="str">
        <f>"42 "</f>
        <v xml:space="preserve">42 </v>
      </c>
      <c r="K549" s="26" t="str">
        <f t="shared" si="81"/>
        <v>PR</v>
      </c>
      <c r="L549" s="26" t="str">
        <f t="shared" si="82"/>
        <v>DGOSE</v>
      </c>
      <c r="M549" s="26" t="str">
        <f t="shared" si="86"/>
        <v>FEDERAL</v>
      </c>
      <c r="N549" s="26">
        <v>231</v>
      </c>
      <c r="O549" s="26">
        <v>122</v>
      </c>
      <c r="P549" s="26">
        <v>109</v>
      </c>
      <c r="Q549" s="26">
        <v>11</v>
      </c>
      <c r="R549" s="26">
        <v>1</v>
      </c>
      <c r="S549" s="26">
        <v>10</v>
      </c>
      <c r="T549" s="26">
        <v>10</v>
      </c>
      <c r="U549" s="26">
        <v>21</v>
      </c>
      <c r="V549" s="26">
        <v>1</v>
      </c>
      <c r="W549" s="26"/>
    </row>
    <row r="550" spans="1:23" x14ac:dyDescent="0.25">
      <c r="A550" s="26" t="str">
        <f t="shared" si="84"/>
        <v>PRIMARIA</v>
      </c>
      <c r="B550" s="26" t="str">
        <f>"09DPR1419P"</f>
        <v>09DPR1419P</v>
      </c>
      <c r="C550" s="26" t="str">
        <f>"PROFR. JUAN B. SALAZAR                                                                              "</f>
        <v xml:space="preserve">PROFR. JUAN B. SALAZAR                                                                              </v>
      </c>
      <c r="D550" s="26" t="str">
        <f>"VESPERTINO"</f>
        <v>VESPERTINO</v>
      </c>
      <c r="E550" s="26" t="str">
        <f>"CALLE 23 S/N ENTRE 28 Y PROGRESO                                                "</f>
        <v xml:space="preserve">CALLE 23 S/N ENTRE 28 Y PROGRESO                                                </v>
      </c>
      <c r="F550" s="26" t="str">
        <f>"PROGRESO NACIONAL                                                                                                                           "</f>
        <v xml:space="preserve">PROGRESO NACIONAL                                                                                                                           </v>
      </c>
      <c r="G550" s="26" t="str">
        <f t="shared" si="83"/>
        <v xml:space="preserve">GUSTAVO A. MADERO                                                               </v>
      </c>
      <c r="H550" s="26" t="str">
        <f>"241"</f>
        <v>241</v>
      </c>
      <c r="I550" s="26" t="str">
        <f t="shared" si="85"/>
        <v>00</v>
      </c>
      <c r="J550" s="26" t="str">
        <f>"42 "</f>
        <v xml:space="preserve">42 </v>
      </c>
      <c r="K550" s="26" t="str">
        <f t="shared" si="81"/>
        <v>PR</v>
      </c>
      <c r="L550" s="26" t="str">
        <f t="shared" si="82"/>
        <v>DGOSE</v>
      </c>
      <c r="M550" s="26" t="str">
        <f t="shared" si="86"/>
        <v>FEDERAL</v>
      </c>
      <c r="N550" s="26">
        <v>110</v>
      </c>
      <c r="O550" s="26">
        <v>62</v>
      </c>
      <c r="P550" s="26">
        <v>48</v>
      </c>
      <c r="Q550" s="26">
        <v>10</v>
      </c>
      <c r="R550" s="26">
        <v>1</v>
      </c>
      <c r="S550" s="26">
        <v>7</v>
      </c>
      <c r="T550" s="26">
        <v>7</v>
      </c>
      <c r="U550" s="26">
        <v>15</v>
      </c>
      <c r="V550" s="26">
        <v>1</v>
      </c>
      <c r="W550" s="26"/>
    </row>
    <row r="551" spans="1:23" x14ac:dyDescent="0.25">
      <c r="A551" s="26" t="str">
        <f t="shared" si="84"/>
        <v>PRIMARIA</v>
      </c>
      <c r="B551" s="26" t="str">
        <f>"09DPR1420E"</f>
        <v>09DPR1420E</v>
      </c>
      <c r="C551" s="26" t="str">
        <f>"JUAN RUIZ DE ALARCON                                                                                "</f>
        <v xml:space="preserve">JUAN RUIZ DE ALARCON                                                                                </v>
      </c>
      <c r="D551" s="26" t="str">
        <f>"TIEMPO COMPLETO"</f>
        <v>TIEMPO COMPLETO</v>
      </c>
      <c r="E551" s="26" t="str">
        <f>"AV 529 PLAZA 6                                                                  "</f>
        <v xml:space="preserve">AV 529 PLAZA 6                                                                  </v>
      </c>
      <c r="F551" s="26" t="str">
        <f>"UNIDAD SAN JUAN DE ARAGON                                                                                                                   "</f>
        <v xml:space="preserve">UNIDAD SAN JUAN DE ARAGON                                                                                                                   </v>
      </c>
      <c r="G551" s="26" t="str">
        <f t="shared" si="83"/>
        <v xml:space="preserve">GUSTAVO A. MADERO                                                               </v>
      </c>
      <c r="H551" s="26" t="str">
        <f>"143"</f>
        <v>143</v>
      </c>
      <c r="I551" s="26" t="str">
        <f t="shared" si="85"/>
        <v>00</v>
      </c>
      <c r="J551" s="26" t="str">
        <f>"41 "</f>
        <v xml:space="preserve">41 </v>
      </c>
      <c r="K551" s="26" t="str">
        <f t="shared" si="81"/>
        <v>PR</v>
      </c>
      <c r="L551" s="26" t="str">
        <f t="shared" si="82"/>
        <v>DGOSE</v>
      </c>
      <c r="M551" s="26" t="str">
        <f t="shared" si="86"/>
        <v>FEDERAL</v>
      </c>
      <c r="N551" s="26">
        <v>327</v>
      </c>
      <c r="O551" s="26">
        <v>157</v>
      </c>
      <c r="P551" s="26">
        <v>170</v>
      </c>
      <c r="Q551" s="26">
        <v>12</v>
      </c>
      <c r="R551" s="26">
        <v>1</v>
      </c>
      <c r="S551" s="26">
        <v>12</v>
      </c>
      <c r="T551" s="26">
        <v>17</v>
      </c>
      <c r="U551" s="26">
        <v>30</v>
      </c>
      <c r="V551" s="26">
        <v>1</v>
      </c>
      <c r="W551" s="26" t="s">
        <v>218</v>
      </c>
    </row>
    <row r="552" spans="1:23" x14ac:dyDescent="0.25">
      <c r="A552" s="26" t="str">
        <f t="shared" si="84"/>
        <v>PRIMARIA</v>
      </c>
      <c r="B552" s="26" t="str">
        <f>"09DPR1421D"</f>
        <v>09DPR1421D</v>
      </c>
      <c r="C552" s="26" t="str">
        <f>"LIC. JUAN ANTONIO DE LA FUENTE                                                                      "</f>
        <v xml:space="preserve">LIC. JUAN ANTONIO DE LA FUENTE                                                                      </v>
      </c>
      <c r="D552" s="26" t="str">
        <f>"MATUTINO"</f>
        <v>MATUTINO</v>
      </c>
      <c r="E552" s="26" t="str">
        <f>"AVENIDA VICTORIA NUM 203                                                        "</f>
        <v xml:space="preserve">AVENIDA VICTORIA NUM 203                                                        </v>
      </c>
      <c r="F552" s="26" t="str">
        <f>"INDUSTRIAL                                                                                                                                  "</f>
        <v xml:space="preserve">INDUSTRIAL                                                                                                                                  </v>
      </c>
      <c r="G552" s="26" t="str">
        <f t="shared" si="83"/>
        <v xml:space="preserve">GUSTAVO A. MADERO                                                               </v>
      </c>
      <c r="H552" s="26" t="str">
        <f>"246"</f>
        <v>246</v>
      </c>
      <c r="I552" s="26" t="str">
        <f t="shared" si="85"/>
        <v>00</v>
      </c>
      <c r="J552" s="26" t="str">
        <f t="shared" ref="J552:J558" si="88">"42 "</f>
        <v xml:space="preserve">42 </v>
      </c>
      <c r="K552" s="26" t="str">
        <f t="shared" si="81"/>
        <v>PR</v>
      </c>
      <c r="L552" s="26" t="str">
        <f t="shared" si="82"/>
        <v>DGOSE</v>
      </c>
      <c r="M552" s="26" t="str">
        <f t="shared" si="86"/>
        <v>FEDERAL</v>
      </c>
      <c r="N552" s="26">
        <v>428</v>
      </c>
      <c r="O552" s="26">
        <v>215</v>
      </c>
      <c r="P552" s="26">
        <v>213</v>
      </c>
      <c r="Q552" s="26">
        <v>13</v>
      </c>
      <c r="R552" s="26">
        <v>1</v>
      </c>
      <c r="S552" s="26">
        <v>12</v>
      </c>
      <c r="T552" s="26">
        <v>13</v>
      </c>
      <c r="U552" s="26">
        <v>26</v>
      </c>
      <c r="V552" s="26">
        <v>1</v>
      </c>
      <c r="W552" s="26"/>
    </row>
    <row r="553" spans="1:23" x14ac:dyDescent="0.25">
      <c r="A553" s="26" t="str">
        <f t="shared" si="84"/>
        <v>PRIMARIA</v>
      </c>
      <c r="B553" s="26" t="str">
        <f>"09DPR1422C"</f>
        <v>09DPR1422C</v>
      </c>
      <c r="C553" s="26" t="str">
        <f>"PROFR. JUAN B. SALAZAR                                                                              "</f>
        <v xml:space="preserve">PROFR. JUAN B. SALAZAR                                                                              </v>
      </c>
      <c r="D553" s="26" t="str">
        <f>"MATUTINO"</f>
        <v>MATUTINO</v>
      </c>
      <c r="E553" s="26" t="str">
        <f>"CALLE 23 S/N ENTRE 28 Y PROGRESO                                                "</f>
        <v xml:space="preserve">CALLE 23 S/N ENTRE 28 Y PROGRESO                                                </v>
      </c>
      <c r="F553" s="26" t="str">
        <f>"PROGRESO NACIONAL                                                                                                                           "</f>
        <v xml:space="preserve">PROGRESO NACIONAL                                                                                                                           </v>
      </c>
      <c r="G553" s="26" t="str">
        <f t="shared" si="83"/>
        <v xml:space="preserve">GUSTAVO A. MADERO                                                               </v>
      </c>
      <c r="H553" s="26" t="str">
        <f>"241"</f>
        <v>241</v>
      </c>
      <c r="I553" s="26" t="str">
        <f t="shared" si="85"/>
        <v>00</v>
      </c>
      <c r="J553" s="26" t="str">
        <f t="shared" si="88"/>
        <v xml:space="preserve">42 </v>
      </c>
      <c r="K553" s="26" t="str">
        <f t="shared" si="81"/>
        <v>PR</v>
      </c>
      <c r="L553" s="26" t="str">
        <f t="shared" si="82"/>
        <v>DGOSE</v>
      </c>
      <c r="M553" s="26" t="str">
        <f t="shared" si="86"/>
        <v>FEDERAL</v>
      </c>
      <c r="N553" s="26">
        <v>468</v>
      </c>
      <c r="O553" s="26">
        <v>228</v>
      </c>
      <c r="P553" s="26">
        <v>240</v>
      </c>
      <c r="Q553" s="26">
        <v>18</v>
      </c>
      <c r="R553" s="26">
        <v>1</v>
      </c>
      <c r="S553" s="26">
        <v>18</v>
      </c>
      <c r="T553" s="26">
        <v>12</v>
      </c>
      <c r="U553" s="26">
        <v>31</v>
      </c>
      <c r="V553" s="26">
        <v>1</v>
      </c>
      <c r="W553" s="26"/>
    </row>
    <row r="554" spans="1:23" x14ac:dyDescent="0.25">
      <c r="A554" s="26" t="str">
        <f t="shared" si="84"/>
        <v>PRIMARIA</v>
      </c>
      <c r="B554" s="26" t="str">
        <f>"09DPR1424A"</f>
        <v>09DPR1424A</v>
      </c>
      <c r="C554" s="26" t="str">
        <f>"HIDROELECTRICA DE CUPATITZIO                                                                        "</f>
        <v xml:space="preserve">HIDROELECTRICA DE CUPATITZIO                                                                        </v>
      </c>
      <c r="D554" s="26" t="str">
        <f>"MATUTINO"</f>
        <v>MATUTINO</v>
      </c>
      <c r="E554" s="26" t="str">
        <f>"NORTE 92 B Y ORIENTE 171                                                        "</f>
        <v xml:space="preserve">NORTE 92 B Y ORIENTE 171                                                        </v>
      </c>
      <c r="F554" s="26" t="str">
        <f>"ESMERALDA                                                                                                                                   "</f>
        <v xml:space="preserve">ESMERALDA                                                                                                                                   </v>
      </c>
      <c r="G554" s="26" t="str">
        <f t="shared" si="83"/>
        <v xml:space="preserve">GUSTAVO A. MADERO                                                               </v>
      </c>
      <c r="H554" s="26" t="str">
        <f>"264"</f>
        <v>264</v>
      </c>
      <c r="I554" s="26" t="str">
        <f t="shared" si="85"/>
        <v>00</v>
      </c>
      <c r="J554" s="26" t="str">
        <f t="shared" si="88"/>
        <v xml:space="preserve">42 </v>
      </c>
      <c r="K554" s="26" t="str">
        <f t="shared" si="81"/>
        <v>PR</v>
      </c>
      <c r="L554" s="26" t="str">
        <f t="shared" si="82"/>
        <v>DGOSE</v>
      </c>
      <c r="M554" s="26" t="str">
        <f t="shared" si="86"/>
        <v>FEDERAL</v>
      </c>
      <c r="N554" s="26">
        <v>332</v>
      </c>
      <c r="O554" s="26">
        <v>156</v>
      </c>
      <c r="P554" s="26">
        <v>176</v>
      </c>
      <c r="Q554" s="26">
        <v>12</v>
      </c>
      <c r="R554" s="26">
        <v>1</v>
      </c>
      <c r="S554" s="26">
        <v>12</v>
      </c>
      <c r="T554" s="26">
        <v>11</v>
      </c>
      <c r="U554" s="26">
        <v>24</v>
      </c>
      <c r="V554" s="26">
        <v>1</v>
      </c>
      <c r="W554" s="26"/>
    </row>
    <row r="555" spans="1:23" x14ac:dyDescent="0.25">
      <c r="A555" s="26" t="str">
        <f t="shared" si="84"/>
        <v>PRIMARIA</v>
      </c>
      <c r="B555" s="26" t="str">
        <f>"09DPR1425Z"</f>
        <v>09DPR1425Z</v>
      </c>
      <c r="C555" s="26" t="str">
        <f>"LIC. JUAN ANTONIO DE LA FUENTE                                                                      "</f>
        <v xml:space="preserve">LIC. JUAN ANTONIO DE LA FUENTE                                                                      </v>
      </c>
      <c r="D555" s="26" t="str">
        <f>"VESPERTINO"</f>
        <v>VESPERTINO</v>
      </c>
      <c r="E555" s="26" t="str">
        <f>"AVENIDA VICTORIA 203                                                            "</f>
        <v xml:space="preserve">AVENIDA VICTORIA 203                                                            </v>
      </c>
      <c r="F555" s="26" t="str">
        <f>"INDUSTRIAL                                                                                                                                  "</f>
        <v xml:space="preserve">INDUSTRIAL                                                                                                                                  </v>
      </c>
      <c r="G555" s="26" t="str">
        <f t="shared" si="83"/>
        <v xml:space="preserve">GUSTAVO A. MADERO                                                               </v>
      </c>
      <c r="H555" s="26" t="str">
        <f>"246"</f>
        <v>246</v>
      </c>
      <c r="I555" s="26" t="str">
        <f t="shared" si="85"/>
        <v>00</v>
      </c>
      <c r="J555" s="26" t="str">
        <f t="shared" si="88"/>
        <v xml:space="preserve">42 </v>
      </c>
      <c r="K555" s="26" t="str">
        <f t="shared" si="81"/>
        <v>PR</v>
      </c>
      <c r="L555" s="26" t="str">
        <f t="shared" si="82"/>
        <v>DGOSE</v>
      </c>
      <c r="M555" s="26" t="str">
        <f t="shared" si="86"/>
        <v>FEDERAL</v>
      </c>
      <c r="N555" s="26">
        <v>221</v>
      </c>
      <c r="O555" s="26">
        <v>115</v>
      </c>
      <c r="P555" s="26">
        <v>106</v>
      </c>
      <c r="Q555" s="26">
        <v>11</v>
      </c>
      <c r="R555" s="26">
        <v>1</v>
      </c>
      <c r="S555" s="26">
        <v>11</v>
      </c>
      <c r="T555" s="26">
        <v>7</v>
      </c>
      <c r="U555" s="26">
        <v>19</v>
      </c>
      <c r="V555" s="26">
        <v>1</v>
      </c>
      <c r="W555" s="26"/>
    </row>
    <row r="556" spans="1:23" x14ac:dyDescent="0.25">
      <c r="A556" s="26" t="str">
        <f t="shared" si="84"/>
        <v>PRIMARIA</v>
      </c>
      <c r="B556" s="26" t="str">
        <f>"09DPR1426Z"</f>
        <v>09DPR1426Z</v>
      </c>
      <c r="C556" s="26" t="str">
        <f>"HIDROELECTRICA DE CUPATITZIO                                                                        "</f>
        <v xml:space="preserve">HIDROELECTRICA DE CUPATITZIO                                                                        </v>
      </c>
      <c r="D556" s="26" t="str">
        <f>"VESPERTINO"</f>
        <v>VESPERTINO</v>
      </c>
      <c r="E556" s="26" t="str">
        <f>"NORTE 92 B Y ORIENTE 171                                                        "</f>
        <v xml:space="preserve">NORTE 92 B Y ORIENTE 171                                                        </v>
      </c>
      <c r="F556" s="26" t="str">
        <f>"ESMERALDA                                                                                                                                   "</f>
        <v xml:space="preserve">ESMERALDA                                                                                                                                   </v>
      </c>
      <c r="G556" s="26" t="str">
        <f t="shared" si="83"/>
        <v xml:space="preserve">GUSTAVO A. MADERO                                                               </v>
      </c>
      <c r="H556" s="26" t="str">
        <f>"264"</f>
        <v>264</v>
      </c>
      <c r="I556" s="26" t="str">
        <f t="shared" si="85"/>
        <v>00</v>
      </c>
      <c r="J556" s="26" t="str">
        <f t="shared" si="88"/>
        <v xml:space="preserve">42 </v>
      </c>
      <c r="K556" s="26" t="str">
        <f t="shared" si="81"/>
        <v>PR</v>
      </c>
      <c r="L556" s="26" t="str">
        <f t="shared" si="82"/>
        <v>DGOSE</v>
      </c>
      <c r="M556" s="26" t="str">
        <f t="shared" si="86"/>
        <v>FEDERAL</v>
      </c>
      <c r="N556" s="26">
        <v>61</v>
      </c>
      <c r="O556" s="26">
        <v>34</v>
      </c>
      <c r="P556" s="26">
        <v>27</v>
      </c>
      <c r="Q556" s="26">
        <v>5</v>
      </c>
      <c r="R556" s="26">
        <v>0</v>
      </c>
      <c r="S556" s="26">
        <v>5</v>
      </c>
      <c r="T556" s="26">
        <v>3</v>
      </c>
      <c r="U556" s="26">
        <v>8</v>
      </c>
      <c r="V556" s="26">
        <v>1</v>
      </c>
      <c r="W556" s="26"/>
    </row>
    <row r="557" spans="1:23" x14ac:dyDescent="0.25">
      <c r="A557" s="26" t="str">
        <f t="shared" si="84"/>
        <v>PRIMARIA</v>
      </c>
      <c r="B557" s="26" t="str">
        <f>"09DPR1429W"</f>
        <v>09DPR1429W</v>
      </c>
      <c r="C557" s="26" t="str">
        <f>"JOSE MARIA VELASCO                                                                                  "</f>
        <v xml:space="preserve">JOSE MARIA VELASCO                                                                                  </v>
      </c>
      <c r="D557" s="26" t="str">
        <f>"VESPERTINO"</f>
        <v>VESPERTINO</v>
      </c>
      <c r="E557" s="26" t="str">
        <f>"CALZ SAN JUAN DE ARAGON 304                                                     "</f>
        <v xml:space="preserve">CALZ SAN JUAN DE ARAGON 304                                                     </v>
      </c>
      <c r="F557" s="26" t="str">
        <f>"CONSTITUCION DE LA REPUBLICA                                                                                                                "</f>
        <v xml:space="preserve">CONSTITUCION DE LA REPUBLICA                                                                                                                </v>
      </c>
      <c r="G557" s="26" t="str">
        <f t="shared" si="83"/>
        <v xml:space="preserve">GUSTAVO A. MADERO                                                               </v>
      </c>
      <c r="H557" s="26" t="str">
        <f>"259"</f>
        <v>259</v>
      </c>
      <c r="I557" s="26" t="str">
        <f t="shared" si="85"/>
        <v>00</v>
      </c>
      <c r="J557" s="26" t="str">
        <f t="shared" si="88"/>
        <v xml:space="preserve">42 </v>
      </c>
      <c r="K557" s="26" t="str">
        <f t="shared" ref="K557:K620" si="89">"PR"</f>
        <v>PR</v>
      </c>
      <c r="L557" s="26" t="str">
        <f t="shared" ref="L557:L620" si="90">"DGOSE"</f>
        <v>DGOSE</v>
      </c>
      <c r="M557" s="26" t="str">
        <f t="shared" si="86"/>
        <v>FEDERAL</v>
      </c>
      <c r="N557" s="26">
        <v>102</v>
      </c>
      <c r="O557" s="26">
        <v>50</v>
      </c>
      <c r="P557" s="26">
        <v>52</v>
      </c>
      <c r="Q557" s="26">
        <v>6</v>
      </c>
      <c r="R557" s="26">
        <v>1</v>
      </c>
      <c r="S557" s="26">
        <v>6</v>
      </c>
      <c r="T557" s="26">
        <v>6</v>
      </c>
      <c r="U557" s="26">
        <v>13</v>
      </c>
      <c r="V557" s="26">
        <v>1</v>
      </c>
      <c r="W557" s="26"/>
    </row>
    <row r="558" spans="1:23" x14ac:dyDescent="0.25">
      <c r="A558" s="26" t="str">
        <f t="shared" si="84"/>
        <v>PRIMARIA</v>
      </c>
      <c r="B558" s="26" t="str">
        <f>"09DPR1430L"</f>
        <v>09DPR1430L</v>
      </c>
      <c r="C558" s="26" t="str">
        <f>"MTRA. GUADALUPE NUÑEZ Y PARRA                                                                       "</f>
        <v xml:space="preserve">MTRA. GUADALUPE NUÑEZ Y PARRA                                                                       </v>
      </c>
      <c r="D558" s="26" t="str">
        <f>"VESPERTINO"</f>
        <v>VESPERTINO</v>
      </c>
      <c r="E558" s="26" t="str">
        <f>"CALZ MISTERIOS 795                                                              "</f>
        <v xml:space="preserve">CALZ MISTERIOS 795                                                              </v>
      </c>
      <c r="F558" s="26" t="str">
        <f>"GUSTAVO A. MADERO                                                                                                                           "</f>
        <v xml:space="preserve">GUSTAVO A. MADERO                                                                                                                           </v>
      </c>
      <c r="G558" s="26" t="str">
        <f t="shared" si="83"/>
        <v xml:space="preserve">GUSTAVO A. MADERO                                                               </v>
      </c>
      <c r="H558" s="26" t="str">
        <f>"245"</f>
        <v>245</v>
      </c>
      <c r="I558" s="26" t="str">
        <f t="shared" si="85"/>
        <v>00</v>
      </c>
      <c r="J558" s="26" t="str">
        <f t="shared" si="88"/>
        <v xml:space="preserve">42 </v>
      </c>
      <c r="K558" s="26" t="str">
        <f t="shared" si="89"/>
        <v>PR</v>
      </c>
      <c r="L558" s="26" t="str">
        <f t="shared" si="90"/>
        <v>DGOSE</v>
      </c>
      <c r="M558" s="26" t="str">
        <f t="shared" si="86"/>
        <v>FEDERAL</v>
      </c>
      <c r="N558" s="26">
        <v>96</v>
      </c>
      <c r="O558" s="26">
        <v>51</v>
      </c>
      <c r="P558" s="26">
        <v>45</v>
      </c>
      <c r="Q558" s="26">
        <v>6</v>
      </c>
      <c r="R558" s="26">
        <v>1</v>
      </c>
      <c r="S558" s="26">
        <v>6</v>
      </c>
      <c r="T558" s="26">
        <v>6</v>
      </c>
      <c r="U558" s="26">
        <v>13</v>
      </c>
      <c r="V558" s="26">
        <v>1</v>
      </c>
      <c r="W558" s="26"/>
    </row>
    <row r="559" spans="1:23" x14ac:dyDescent="0.25">
      <c r="A559" s="26" t="str">
        <f t="shared" si="84"/>
        <v>PRIMARIA</v>
      </c>
      <c r="B559" s="26" t="str">
        <f>"09DPR1431K"</f>
        <v>09DPR1431K</v>
      </c>
      <c r="C559" s="26" t="str">
        <f>"JOSE VICENTE VILLADA                                                                                "</f>
        <v xml:space="preserve">JOSE VICENTE VILLADA                                                                                </v>
      </c>
      <c r="D559" s="26" t="str">
        <f>"JORNADA AMPLIADA"</f>
        <v>JORNADA AMPLIADA</v>
      </c>
      <c r="E559" s="26" t="str">
        <f>"AV 607 PLAZA 15                                                                 "</f>
        <v xml:space="preserve">AV 607 PLAZA 15                                                                 </v>
      </c>
      <c r="F559" s="26" t="str">
        <f>"UNIDAD SAN JUAN DE ARAGON                                                                                                                   "</f>
        <v xml:space="preserve">UNIDAD SAN JUAN DE ARAGON                                                                                                                   </v>
      </c>
      <c r="G559" s="26" t="str">
        <f t="shared" si="83"/>
        <v xml:space="preserve">GUSTAVO A. MADERO                                                               </v>
      </c>
      <c r="H559" s="26" t="str">
        <f>"144"</f>
        <v>144</v>
      </c>
      <c r="I559" s="26" t="str">
        <f t="shared" si="85"/>
        <v>00</v>
      </c>
      <c r="J559" s="26" t="str">
        <f>"41 "</f>
        <v xml:space="preserve">41 </v>
      </c>
      <c r="K559" s="26" t="str">
        <f t="shared" si="89"/>
        <v>PR</v>
      </c>
      <c r="L559" s="26" t="str">
        <f t="shared" si="90"/>
        <v>DGOSE</v>
      </c>
      <c r="M559" s="26" t="str">
        <f t="shared" si="86"/>
        <v>FEDERAL</v>
      </c>
      <c r="N559" s="26">
        <v>356</v>
      </c>
      <c r="O559" s="26">
        <v>175</v>
      </c>
      <c r="P559" s="26">
        <v>181</v>
      </c>
      <c r="Q559" s="26">
        <v>13</v>
      </c>
      <c r="R559" s="26">
        <v>1</v>
      </c>
      <c r="S559" s="26">
        <v>13</v>
      </c>
      <c r="T559" s="26">
        <v>9</v>
      </c>
      <c r="U559" s="26">
        <v>23</v>
      </c>
      <c r="V559" s="26">
        <v>1</v>
      </c>
      <c r="W559" s="26" t="s">
        <v>2076</v>
      </c>
    </row>
    <row r="560" spans="1:23" x14ac:dyDescent="0.25">
      <c r="A560" s="26" t="str">
        <f t="shared" si="84"/>
        <v>PRIMARIA</v>
      </c>
      <c r="B560" s="26" t="str">
        <f>"09DPR1432J"</f>
        <v>09DPR1432J</v>
      </c>
      <c r="C560" s="26" t="str">
        <f>"MTRA. GUADALUPE NUÑEZ Y PARRA                                                                       "</f>
        <v xml:space="preserve">MTRA. GUADALUPE NUÑEZ Y PARRA                                                                       </v>
      </c>
      <c r="D560" s="26" t="str">
        <f>"MATUTINO"</f>
        <v>MATUTINO</v>
      </c>
      <c r="E560" s="26" t="str">
        <f>"CALZ. MISTERIOS 795                                                             "</f>
        <v xml:space="preserve">CALZ. MISTERIOS 795                                                             </v>
      </c>
      <c r="F560" s="26" t="str">
        <f>"GUSTAVO A. MADERO                                                                                                                           "</f>
        <v xml:space="preserve">GUSTAVO A. MADERO                                                                                                                           </v>
      </c>
      <c r="G560" s="26" t="str">
        <f t="shared" si="83"/>
        <v xml:space="preserve">GUSTAVO A. MADERO                                                               </v>
      </c>
      <c r="H560" s="26" t="str">
        <f>"245"</f>
        <v>245</v>
      </c>
      <c r="I560" s="26" t="str">
        <f t="shared" si="85"/>
        <v>00</v>
      </c>
      <c r="J560" s="26" t="str">
        <f>"42 "</f>
        <v xml:space="preserve">42 </v>
      </c>
      <c r="K560" s="26" t="str">
        <f t="shared" si="89"/>
        <v>PR</v>
      </c>
      <c r="L560" s="26" t="str">
        <f t="shared" si="90"/>
        <v>DGOSE</v>
      </c>
      <c r="M560" s="26" t="str">
        <f t="shared" si="86"/>
        <v>FEDERAL</v>
      </c>
      <c r="N560" s="26">
        <v>436</v>
      </c>
      <c r="O560" s="26">
        <v>213</v>
      </c>
      <c r="P560" s="26">
        <v>223</v>
      </c>
      <c r="Q560" s="26">
        <v>20</v>
      </c>
      <c r="R560" s="26">
        <v>1</v>
      </c>
      <c r="S560" s="26">
        <v>20</v>
      </c>
      <c r="T560" s="26">
        <v>12</v>
      </c>
      <c r="U560" s="26">
        <v>33</v>
      </c>
      <c r="V560" s="26">
        <v>1</v>
      </c>
      <c r="W560" s="26"/>
    </row>
    <row r="561" spans="1:23" x14ac:dyDescent="0.25">
      <c r="A561" s="26" t="str">
        <f t="shared" si="84"/>
        <v>PRIMARIA</v>
      </c>
      <c r="B561" s="26" t="str">
        <f>"09DPR1433I"</f>
        <v>09DPR1433I</v>
      </c>
      <c r="C561" s="26" t="str">
        <f>"DR. JOSE MARIA LUIS MORA                                                                            "</f>
        <v xml:space="preserve">DR. JOSE MARIA LUIS MORA                                                                            </v>
      </c>
      <c r="D561" s="26" t="str">
        <f>"MATUTINO"</f>
        <v>MATUTINO</v>
      </c>
      <c r="E561" s="26" t="str">
        <f>"CUAUHTEMOC S/N                                                                  "</f>
        <v xml:space="preserve">CUAUHTEMOC S/N                                                                  </v>
      </c>
      <c r="F561" s="26" t="str">
        <f>"LA PASTORA                                                                                                                                  "</f>
        <v xml:space="preserve">LA PASTORA                                                                                                                                  </v>
      </c>
      <c r="G561" s="26" t="str">
        <f t="shared" si="83"/>
        <v xml:space="preserve">GUSTAVO A. MADERO                                                               </v>
      </c>
      <c r="H561" s="26" t="str">
        <f>"236"</f>
        <v>236</v>
      </c>
      <c r="I561" s="26" t="str">
        <f t="shared" si="85"/>
        <v>00</v>
      </c>
      <c r="J561" s="26" t="str">
        <f>"42 "</f>
        <v xml:space="preserve">42 </v>
      </c>
      <c r="K561" s="26" t="str">
        <f t="shared" si="89"/>
        <v>PR</v>
      </c>
      <c r="L561" s="26" t="str">
        <f t="shared" si="90"/>
        <v>DGOSE</v>
      </c>
      <c r="M561" s="26" t="str">
        <f t="shared" si="86"/>
        <v>FEDERAL</v>
      </c>
      <c r="N561" s="26">
        <v>324</v>
      </c>
      <c r="O561" s="26">
        <v>177</v>
      </c>
      <c r="P561" s="26">
        <v>147</v>
      </c>
      <c r="Q561" s="26">
        <v>12</v>
      </c>
      <c r="R561" s="26">
        <v>1</v>
      </c>
      <c r="S561" s="26">
        <v>12</v>
      </c>
      <c r="T561" s="26">
        <v>7</v>
      </c>
      <c r="U561" s="26">
        <v>20</v>
      </c>
      <c r="V561" s="26">
        <v>1</v>
      </c>
      <c r="W561" s="26"/>
    </row>
    <row r="562" spans="1:23" x14ac:dyDescent="0.25">
      <c r="A562" s="26" t="str">
        <f t="shared" si="84"/>
        <v>PRIMARIA</v>
      </c>
      <c r="B562" s="26" t="str">
        <f>"09DPR1434H"</f>
        <v>09DPR1434H</v>
      </c>
      <c r="C562" s="26" t="str">
        <f>"GRAL. GERTRUDIS G. SANCHEZ                                                                          "</f>
        <v xml:space="preserve">GRAL. GERTRUDIS G. SANCHEZ                                                                          </v>
      </c>
      <c r="D562" s="26" t="str">
        <f>"MATUTINO"</f>
        <v>MATUTINO</v>
      </c>
      <c r="E562" s="26" t="str">
        <f>"NTE. 84 A Y OTE.115                                                             "</f>
        <v xml:space="preserve">NTE. 84 A Y OTE.115                                                             </v>
      </c>
      <c r="F562" s="26" t="str">
        <f>"GERTRUDIS SANCHEZ 1A SECCION                                                                                                                "</f>
        <v xml:space="preserve">GERTRUDIS SANCHEZ 1A SECCION                                                                                                                </v>
      </c>
      <c r="G562" s="26" t="str">
        <f t="shared" ref="G562:G574" si="91">"GUSTAVO A. MADERO                                                               "</f>
        <v xml:space="preserve">GUSTAVO A. MADERO                                                               </v>
      </c>
      <c r="H562" s="26" t="str">
        <f>"253"</f>
        <v>253</v>
      </c>
      <c r="I562" s="26" t="str">
        <f t="shared" si="85"/>
        <v>00</v>
      </c>
      <c r="J562" s="26" t="str">
        <f>"42 "</f>
        <v xml:space="preserve">42 </v>
      </c>
      <c r="K562" s="26" t="str">
        <f t="shared" si="89"/>
        <v>PR</v>
      </c>
      <c r="L562" s="26" t="str">
        <f t="shared" si="90"/>
        <v>DGOSE</v>
      </c>
      <c r="M562" s="26" t="str">
        <f t="shared" si="86"/>
        <v>FEDERAL</v>
      </c>
      <c r="N562" s="26">
        <v>227</v>
      </c>
      <c r="O562" s="26">
        <v>115</v>
      </c>
      <c r="P562" s="26">
        <v>112</v>
      </c>
      <c r="Q562" s="26">
        <v>9</v>
      </c>
      <c r="R562" s="26">
        <v>1</v>
      </c>
      <c r="S562" s="26">
        <v>9</v>
      </c>
      <c r="T562" s="26">
        <v>8</v>
      </c>
      <c r="U562" s="26">
        <v>18</v>
      </c>
      <c r="V562" s="26">
        <v>1</v>
      </c>
      <c r="W562" s="26"/>
    </row>
    <row r="563" spans="1:23" x14ac:dyDescent="0.25">
      <c r="A563" s="26" t="str">
        <f t="shared" si="84"/>
        <v>PRIMARIA</v>
      </c>
      <c r="B563" s="26" t="str">
        <f>"09DPR1437E"</f>
        <v>09DPR1437E</v>
      </c>
      <c r="C563" s="26" t="str">
        <f>"DR. JOSE MARIA LUIS MORA                                                                            "</f>
        <v xml:space="preserve">DR. JOSE MARIA LUIS MORA                                                                            </v>
      </c>
      <c r="D563" s="26" t="str">
        <f>"VESPERTINO"</f>
        <v>VESPERTINO</v>
      </c>
      <c r="E563" s="26" t="str">
        <f>"CUAUHTEMOC S/N                                                                  "</f>
        <v xml:space="preserve">CUAUHTEMOC S/N                                                                  </v>
      </c>
      <c r="F563" s="26" t="str">
        <f>"LA PASTORA                                                                                                                                  "</f>
        <v xml:space="preserve">LA PASTORA                                                                                                                                  </v>
      </c>
      <c r="G563" s="26" t="str">
        <f t="shared" si="91"/>
        <v xml:space="preserve">GUSTAVO A. MADERO                                                               </v>
      </c>
      <c r="H563" s="26" t="str">
        <f>"236"</f>
        <v>236</v>
      </c>
      <c r="I563" s="26" t="str">
        <f t="shared" si="85"/>
        <v>00</v>
      </c>
      <c r="J563" s="26" t="str">
        <f>"42 "</f>
        <v xml:space="preserve">42 </v>
      </c>
      <c r="K563" s="26" t="str">
        <f t="shared" si="89"/>
        <v>PR</v>
      </c>
      <c r="L563" s="26" t="str">
        <f t="shared" si="90"/>
        <v>DGOSE</v>
      </c>
      <c r="M563" s="26" t="str">
        <f t="shared" si="86"/>
        <v>FEDERAL</v>
      </c>
      <c r="N563" s="26">
        <v>216</v>
      </c>
      <c r="O563" s="26">
        <v>121</v>
      </c>
      <c r="P563" s="26">
        <v>95</v>
      </c>
      <c r="Q563" s="26">
        <v>14</v>
      </c>
      <c r="R563" s="26">
        <v>1</v>
      </c>
      <c r="S563" s="26">
        <v>10</v>
      </c>
      <c r="T563" s="26">
        <v>10</v>
      </c>
      <c r="U563" s="26">
        <v>21</v>
      </c>
      <c r="V563" s="26">
        <v>1</v>
      </c>
      <c r="W563" s="26"/>
    </row>
    <row r="564" spans="1:23" x14ac:dyDescent="0.25">
      <c r="A564" s="26" t="str">
        <f t="shared" si="84"/>
        <v>PRIMARIA</v>
      </c>
      <c r="B564" s="26" t="str">
        <f>"09DPR1438D"</f>
        <v>09DPR1438D</v>
      </c>
      <c r="C564" s="26" t="str">
        <f>"GRAL. GERTRUDIS G. SANCHEZ                                                                          "</f>
        <v xml:space="preserve">GRAL. GERTRUDIS G. SANCHEZ                                                                          </v>
      </c>
      <c r="D564" s="26" t="str">
        <f>"VESPERTINO"</f>
        <v>VESPERTINO</v>
      </c>
      <c r="E564" s="26" t="str">
        <f>"NORTE 84 A Y ORIENTE 115                                                        "</f>
        <v xml:space="preserve">NORTE 84 A Y ORIENTE 115                                                        </v>
      </c>
      <c r="F564" s="26" t="str">
        <f>"GERTRUDIS SANCHEZ 1A SECCION                                                                                                                "</f>
        <v xml:space="preserve">GERTRUDIS SANCHEZ 1A SECCION                                                                                                                </v>
      </c>
      <c r="G564" s="26" t="str">
        <f t="shared" si="91"/>
        <v xml:space="preserve">GUSTAVO A. MADERO                                                               </v>
      </c>
      <c r="H564" s="26" t="str">
        <f>"253"</f>
        <v>253</v>
      </c>
      <c r="I564" s="26" t="str">
        <f t="shared" si="85"/>
        <v>00</v>
      </c>
      <c r="J564" s="26" t="str">
        <f>"42 "</f>
        <v xml:space="preserve">42 </v>
      </c>
      <c r="K564" s="26" t="str">
        <f t="shared" si="89"/>
        <v>PR</v>
      </c>
      <c r="L564" s="26" t="str">
        <f t="shared" si="90"/>
        <v>DGOSE</v>
      </c>
      <c r="M564" s="26" t="str">
        <f t="shared" si="86"/>
        <v>FEDERAL</v>
      </c>
      <c r="N564" s="26">
        <v>117</v>
      </c>
      <c r="O564" s="26">
        <v>56</v>
      </c>
      <c r="P564" s="26">
        <v>61</v>
      </c>
      <c r="Q564" s="26">
        <v>6</v>
      </c>
      <c r="R564" s="26">
        <v>1</v>
      </c>
      <c r="S564" s="26">
        <v>6</v>
      </c>
      <c r="T564" s="26">
        <v>11</v>
      </c>
      <c r="U564" s="26">
        <v>18</v>
      </c>
      <c r="V564" s="26">
        <v>1</v>
      </c>
      <c r="W564" s="26"/>
    </row>
    <row r="565" spans="1:23" x14ac:dyDescent="0.25">
      <c r="A565" s="26" t="str">
        <f t="shared" si="84"/>
        <v>PRIMARIA</v>
      </c>
      <c r="B565" s="26" t="str">
        <f>"09DPR1439C"</f>
        <v>09DPR1439C</v>
      </c>
      <c r="C565" s="26" t="str">
        <f>"NIÑO HEROE JOSE LUIS ORDAZ LOPEZ                                                                    "</f>
        <v xml:space="preserve">NIÑO HEROE JOSE LUIS ORDAZ LOPEZ                                                                    </v>
      </c>
      <c r="D565" s="26" t="str">
        <f>"JORNADA AMPLIADA"</f>
        <v>JORNADA AMPLIADA</v>
      </c>
      <c r="E565" s="26" t="str">
        <f>"EDO. DE PUEBLA 2                                                                "</f>
        <v xml:space="preserve">EDO. DE PUEBLA 2                                                                </v>
      </c>
      <c r="F565" s="26" t="str">
        <f>"LA PROVIDENCIA                                                                                                                              "</f>
        <v xml:space="preserve">LA PROVIDENCIA                                                                                                                              </v>
      </c>
      <c r="G565" s="26" t="str">
        <f t="shared" si="91"/>
        <v xml:space="preserve">GUSTAVO A. MADERO                                                               </v>
      </c>
      <c r="H565" s="26" t="str">
        <f>"142"</f>
        <v>142</v>
      </c>
      <c r="I565" s="26" t="str">
        <f t="shared" si="85"/>
        <v>00</v>
      </c>
      <c r="J565" s="26" t="str">
        <f>"41 "</f>
        <v xml:space="preserve">41 </v>
      </c>
      <c r="K565" s="26" t="str">
        <f t="shared" si="89"/>
        <v>PR</v>
      </c>
      <c r="L565" s="26" t="str">
        <f t="shared" si="90"/>
        <v>DGOSE</v>
      </c>
      <c r="M565" s="26" t="str">
        <f t="shared" si="86"/>
        <v>FEDERAL</v>
      </c>
      <c r="N565" s="26">
        <v>401</v>
      </c>
      <c r="O565" s="26">
        <v>189</v>
      </c>
      <c r="P565" s="26">
        <v>212</v>
      </c>
      <c r="Q565" s="26">
        <v>13</v>
      </c>
      <c r="R565" s="26">
        <v>1</v>
      </c>
      <c r="S565" s="26">
        <v>13</v>
      </c>
      <c r="T565" s="26">
        <v>11</v>
      </c>
      <c r="U565" s="26">
        <v>25</v>
      </c>
      <c r="V565" s="26">
        <v>1</v>
      </c>
      <c r="W565" s="26" t="s">
        <v>2076</v>
      </c>
    </row>
    <row r="566" spans="1:23" x14ac:dyDescent="0.25">
      <c r="A566" s="26" t="str">
        <f t="shared" si="84"/>
        <v>PRIMARIA</v>
      </c>
      <c r="B566" s="26" t="str">
        <f>"09DPR1440S"</f>
        <v>09DPR1440S</v>
      </c>
      <c r="C566" s="26" t="str">
        <f>"GENERACION 21-22                                                                                    "</f>
        <v xml:space="preserve">GENERACION 21-22                                                                                    </v>
      </c>
      <c r="D566" s="26" t="str">
        <f>"JORNADA AMPLIADA"</f>
        <v>JORNADA AMPLIADA</v>
      </c>
      <c r="E566" s="26" t="str">
        <f>"AV I.P.N. NUM 4847 ESQ. PONIENTE 112                                            "</f>
        <v xml:space="preserve">AV I.P.N. NUM 4847 ESQ. PONIENTE 112                                            </v>
      </c>
      <c r="F566" s="26" t="str">
        <f>"TLACAMACA                                                                                                                                   "</f>
        <v xml:space="preserve">TLACAMACA                                                                                                                                   </v>
      </c>
      <c r="G566" s="26" t="str">
        <f t="shared" si="91"/>
        <v xml:space="preserve">GUSTAVO A. MADERO                                                               </v>
      </c>
      <c r="H566" s="26" t="str">
        <f>"136"</f>
        <v>136</v>
      </c>
      <c r="I566" s="26" t="str">
        <f t="shared" si="85"/>
        <v>00</v>
      </c>
      <c r="J566" s="26" t="str">
        <f>"41 "</f>
        <v xml:space="preserve">41 </v>
      </c>
      <c r="K566" s="26" t="str">
        <f t="shared" si="89"/>
        <v>PR</v>
      </c>
      <c r="L566" s="26" t="str">
        <f t="shared" si="90"/>
        <v>DGOSE</v>
      </c>
      <c r="M566" s="26" t="str">
        <f t="shared" si="86"/>
        <v>FEDERAL</v>
      </c>
      <c r="N566" s="26">
        <v>338</v>
      </c>
      <c r="O566" s="26">
        <v>177</v>
      </c>
      <c r="P566" s="26">
        <v>161</v>
      </c>
      <c r="Q566" s="26">
        <v>12</v>
      </c>
      <c r="R566" s="26">
        <v>1</v>
      </c>
      <c r="S566" s="26">
        <v>12</v>
      </c>
      <c r="T566" s="26">
        <v>10</v>
      </c>
      <c r="U566" s="26">
        <v>23</v>
      </c>
      <c r="V566" s="26">
        <v>1</v>
      </c>
      <c r="W566" s="26" t="s">
        <v>2076</v>
      </c>
    </row>
    <row r="567" spans="1:23" x14ac:dyDescent="0.25">
      <c r="A567" s="26" t="str">
        <f t="shared" si="84"/>
        <v>PRIMARIA</v>
      </c>
      <c r="B567" s="26" t="str">
        <f>"09DPR1441R"</f>
        <v>09DPR1441R</v>
      </c>
      <c r="C567" s="26" t="str">
        <f>"PROFR. JOSE MARIA BONILLA                                                                           "</f>
        <v xml:space="preserve">PROFR. JOSE MARIA BONILLA                                                                           </v>
      </c>
      <c r="D567" s="26" t="str">
        <f>"TIEMPO COMPLETO"</f>
        <v>TIEMPO COMPLETO</v>
      </c>
      <c r="E567" s="26" t="str">
        <f>"16 DE SEPTIEMBRE S/N                                                            "</f>
        <v xml:space="preserve">16 DE SEPTIEMBRE S/N                                                            </v>
      </c>
      <c r="F567" s="26" t="str">
        <f>"ATZACOALCO                                                                                                                                  "</f>
        <v xml:space="preserve">ATZACOALCO                                                                                                                                  </v>
      </c>
      <c r="G567" s="26" t="str">
        <f t="shared" si="91"/>
        <v xml:space="preserve">GUSTAVO A. MADERO                                                               </v>
      </c>
      <c r="H567" s="26" t="str">
        <f>"138"</f>
        <v>138</v>
      </c>
      <c r="I567" s="26" t="str">
        <f t="shared" si="85"/>
        <v>00</v>
      </c>
      <c r="J567" s="26" t="str">
        <f>"41 "</f>
        <v xml:space="preserve">41 </v>
      </c>
      <c r="K567" s="26" t="str">
        <f t="shared" si="89"/>
        <v>PR</v>
      </c>
      <c r="L567" s="26" t="str">
        <f t="shared" si="90"/>
        <v>DGOSE</v>
      </c>
      <c r="M567" s="26" t="str">
        <f t="shared" si="86"/>
        <v>FEDERAL</v>
      </c>
      <c r="N567" s="26">
        <v>347</v>
      </c>
      <c r="O567" s="26">
        <v>184</v>
      </c>
      <c r="P567" s="26">
        <v>163</v>
      </c>
      <c r="Q567" s="26">
        <v>12</v>
      </c>
      <c r="R567" s="26">
        <v>1</v>
      </c>
      <c r="S567" s="26">
        <v>12</v>
      </c>
      <c r="T567" s="26">
        <v>15</v>
      </c>
      <c r="U567" s="26">
        <v>28</v>
      </c>
      <c r="V567" s="26">
        <v>1</v>
      </c>
      <c r="W567" s="26" t="s">
        <v>218</v>
      </c>
    </row>
    <row r="568" spans="1:23" x14ac:dyDescent="0.25">
      <c r="A568" s="26" t="str">
        <f t="shared" si="84"/>
        <v>PRIMARIA</v>
      </c>
      <c r="B568" s="26" t="str">
        <f>"09DPR1443P"</f>
        <v>09DPR1443P</v>
      </c>
      <c r="C568" s="26" t="str">
        <f>"GERTRUDIS BOCANEGRA DE LAZO DE LA VEGA                                                              "</f>
        <v xml:space="preserve">GERTRUDIS BOCANEGRA DE LAZO DE LA VEGA                                                              </v>
      </c>
      <c r="D568" s="26" t="str">
        <f>"MATUTINO"</f>
        <v>MATUTINO</v>
      </c>
      <c r="E568" s="26" t="str">
        <f>"ATOTONILCO S/N                                                                  "</f>
        <v xml:space="preserve">ATOTONILCO S/N                                                                  </v>
      </c>
      <c r="F568" s="26" t="str">
        <f>"SAN FELIPE DE JESUS                                                                                                                         "</f>
        <v xml:space="preserve">SAN FELIPE DE JESUS                                                                                                                         </v>
      </c>
      <c r="G568" s="26" t="str">
        <f t="shared" si="91"/>
        <v xml:space="preserve">GUSTAVO A. MADERO                                                               </v>
      </c>
      <c r="H568" s="26" t="str">
        <f>"262"</f>
        <v>262</v>
      </c>
      <c r="I568" s="26" t="str">
        <f t="shared" si="85"/>
        <v>00</v>
      </c>
      <c r="J568" s="26" t="str">
        <f t="shared" ref="J568:J574" si="92">"42 "</f>
        <v xml:space="preserve">42 </v>
      </c>
      <c r="K568" s="26" t="str">
        <f t="shared" si="89"/>
        <v>PR</v>
      </c>
      <c r="L568" s="26" t="str">
        <f t="shared" si="90"/>
        <v>DGOSE</v>
      </c>
      <c r="M568" s="26" t="str">
        <f t="shared" si="86"/>
        <v>FEDERAL</v>
      </c>
      <c r="N568" s="26">
        <v>737</v>
      </c>
      <c r="O568" s="26">
        <v>374</v>
      </c>
      <c r="P568" s="26">
        <v>363</v>
      </c>
      <c r="Q568" s="26">
        <v>24</v>
      </c>
      <c r="R568" s="26">
        <v>1</v>
      </c>
      <c r="S568" s="26">
        <v>23</v>
      </c>
      <c r="T568" s="26">
        <v>13</v>
      </c>
      <c r="U568" s="26">
        <v>37</v>
      </c>
      <c r="V568" s="26">
        <v>1</v>
      </c>
      <c r="W568" s="26"/>
    </row>
    <row r="569" spans="1:23" x14ac:dyDescent="0.25">
      <c r="A569" s="26" t="str">
        <f t="shared" si="84"/>
        <v>PRIMARIA</v>
      </c>
      <c r="B569" s="26" t="str">
        <f>"09DPR1444O"</f>
        <v>09DPR1444O</v>
      </c>
      <c r="C569" s="26" t="str">
        <f>"GERTRUDIS BOCANEGRA DE LAZO DE LA VEGA                                                              "</f>
        <v xml:space="preserve">GERTRUDIS BOCANEGRA DE LAZO DE LA VEGA                                                              </v>
      </c>
      <c r="D569" s="26" t="str">
        <f>"VESPERTINO"</f>
        <v>VESPERTINO</v>
      </c>
      <c r="E569" s="26" t="str">
        <f>"ATOTONILCO S/N                                                                  "</f>
        <v xml:space="preserve">ATOTONILCO S/N                                                                  </v>
      </c>
      <c r="F569" s="26" t="str">
        <f>"SAN FELIPE DE JESUS                                                                                                                         "</f>
        <v xml:space="preserve">SAN FELIPE DE JESUS                                                                                                                         </v>
      </c>
      <c r="G569" s="26" t="str">
        <f t="shared" si="91"/>
        <v xml:space="preserve">GUSTAVO A. MADERO                                                               </v>
      </c>
      <c r="H569" s="26" t="str">
        <f>"262"</f>
        <v>262</v>
      </c>
      <c r="I569" s="26" t="str">
        <f t="shared" si="85"/>
        <v>00</v>
      </c>
      <c r="J569" s="26" t="str">
        <f t="shared" si="92"/>
        <v xml:space="preserve">42 </v>
      </c>
      <c r="K569" s="26" t="str">
        <f t="shared" si="89"/>
        <v>PR</v>
      </c>
      <c r="L569" s="26" t="str">
        <f t="shared" si="90"/>
        <v>DGOSE</v>
      </c>
      <c r="M569" s="26" t="str">
        <f t="shared" si="86"/>
        <v>FEDERAL</v>
      </c>
      <c r="N569" s="26">
        <v>345</v>
      </c>
      <c r="O569" s="26">
        <v>173</v>
      </c>
      <c r="P569" s="26">
        <v>172</v>
      </c>
      <c r="Q569" s="26">
        <v>17</v>
      </c>
      <c r="R569" s="26">
        <v>1</v>
      </c>
      <c r="S569" s="26">
        <v>17</v>
      </c>
      <c r="T569" s="26">
        <v>13</v>
      </c>
      <c r="U569" s="26">
        <v>31</v>
      </c>
      <c r="V569" s="26">
        <v>1</v>
      </c>
      <c r="W569" s="26"/>
    </row>
    <row r="570" spans="1:23" x14ac:dyDescent="0.25">
      <c r="A570" s="26" t="str">
        <f t="shared" si="84"/>
        <v>PRIMARIA</v>
      </c>
      <c r="B570" s="26" t="str">
        <f>"09DPR1445N"</f>
        <v>09DPR1445N</v>
      </c>
      <c r="C570" s="26" t="str">
        <f>"WINSTON CHURCHILL                                                                                   "</f>
        <v xml:space="preserve">WINSTON CHURCHILL                                                                                   </v>
      </c>
      <c r="D570" s="26" t="str">
        <f>"MATUTINO"</f>
        <v>MATUTINO</v>
      </c>
      <c r="E570" s="26" t="str">
        <f>"AV 563 PLAZA 10 S/N                                                             "</f>
        <v xml:space="preserve">AV 563 PLAZA 10 S/N                                                             </v>
      </c>
      <c r="F570" s="26" t="str">
        <f>"UNIDAD SAN JUAN DE ARAGON 1A SECCIO                                                                                                         "</f>
        <v xml:space="preserve">UNIDAD SAN JUAN DE ARAGON 1A SECCIO                                                                                                         </v>
      </c>
      <c r="G570" s="26" t="str">
        <f t="shared" si="91"/>
        <v xml:space="preserve">GUSTAVO A. MADERO                                                               </v>
      </c>
      <c r="H570" s="26" t="str">
        <f>"269"</f>
        <v>269</v>
      </c>
      <c r="I570" s="26" t="str">
        <f t="shared" si="85"/>
        <v>00</v>
      </c>
      <c r="J570" s="26" t="str">
        <f t="shared" si="92"/>
        <v xml:space="preserve">42 </v>
      </c>
      <c r="K570" s="26" t="str">
        <f t="shared" si="89"/>
        <v>PR</v>
      </c>
      <c r="L570" s="26" t="str">
        <f t="shared" si="90"/>
        <v>DGOSE</v>
      </c>
      <c r="M570" s="26" t="str">
        <f t="shared" si="86"/>
        <v>FEDERAL</v>
      </c>
      <c r="N570" s="26">
        <v>308</v>
      </c>
      <c r="O570" s="26">
        <v>142</v>
      </c>
      <c r="P570" s="26">
        <v>166</v>
      </c>
      <c r="Q570" s="26">
        <v>12</v>
      </c>
      <c r="R570" s="26">
        <v>1</v>
      </c>
      <c r="S570" s="26">
        <v>12</v>
      </c>
      <c r="T570" s="26">
        <v>10</v>
      </c>
      <c r="U570" s="26">
        <v>23</v>
      </c>
      <c r="V570" s="26">
        <v>1</v>
      </c>
      <c r="W570" s="26"/>
    </row>
    <row r="571" spans="1:23" x14ac:dyDescent="0.25">
      <c r="A571" s="26" t="str">
        <f t="shared" si="84"/>
        <v>PRIMARIA</v>
      </c>
      <c r="B571" s="26" t="str">
        <f>"09DPR1447L"</f>
        <v>09DPR1447L</v>
      </c>
      <c r="C571" s="26" t="str">
        <f>"VICTORIO ROJAS OLIVAR                                                                               "</f>
        <v xml:space="preserve">VICTORIO ROJAS OLIVAR                                                                               </v>
      </c>
      <c r="D571" s="26" t="str">
        <f>"VESPERTINO"</f>
        <v>VESPERTINO</v>
      </c>
      <c r="E571" s="26" t="str">
        <f>"AV. ACUEDUCTO S/N                                                               "</f>
        <v xml:space="preserve">AV. ACUEDUCTO S/N                                                               </v>
      </c>
      <c r="F571" s="26" t="str">
        <f>"TICOMAN                                                                                                                                     "</f>
        <v xml:space="preserve">TICOMAN                                                                                                                                     </v>
      </c>
      <c r="G571" s="26" t="str">
        <f t="shared" si="91"/>
        <v xml:space="preserve">GUSTAVO A. MADERO                                                               </v>
      </c>
      <c r="H571" s="26" t="str">
        <f>"237"</f>
        <v>237</v>
      </c>
      <c r="I571" s="26" t="str">
        <f t="shared" si="85"/>
        <v>00</v>
      </c>
      <c r="J571" s="26" t="str">
        <f t="shared" si="92"/>
        <v xml:space="preserve">42 </v>
      </c>
      <c r="K571" s="26" t="str">
        <f t="shared" si="89"/>
        <v>PR</v>
      </c>
      <c r="L571" s="26" t="str">
        <f t="shared" si="90"/>
        <v>DGOSE</v>
      </c>
      <c r="M571" s="26" t="str">
        <f t="shared" si="86"/>
        <v>FEDERAL</v>
      </c>
      <c r="N571" s="26">
        <v>247</v>
      </c>
      <c r="O571" s="26">
        <v>129</v>
      </c>
      <c r="P571" s="26">
        <v>118</v>
      </c>
      <c r="Q571" s="26">
        <v>11</v>
      </c>
      <c r="R571" s="26">
        <v>1</v>
      </c>
      <c r="S571" s="26">
        <v>9</v>
      </c>
      <c r="T571" s="26">
        <v>11</v>
      </c>
      <c r="U571" s="26">
        <v>21</v>
      </c>
      <c r="V571" s="26">
        <v>1</v>
      </c>
      <c r="W571" s="26"/>
    </row>
    <row r="572" spans="1:23" x14ac:dyDescent="0.25">
      <c r="A572" s="26" t="str">
        <f t="shared" si="84"/>
        <v>PRIMARIA</v>
      </c>
      <c r="B572" s="26" t="str">
        <f>"09DPR1448K"</f>
        <v>09DPR1448K</v>
      </c>
      <c r="C572" s="26" t="str">
        <f>"FUERTE DE LORETO                                                                                    "</f>
        <v xml:space="preserve">FUERTE DE LORETO                                                                                    </v>
      </c>
      <c r="D572" s="26" t="str">
        <f>"VESPERTINO"</f>
        <v>VESPERTINO</v>
      </c>
      <c r="E572" s="26" t="str">
        <f>"AV ACUEDUCTO Y CALLE 1779                                                       "</f>
        <v xml:space="preserve">AV ACUEDUCTO Y CALLE 1779                                                       </v>
      </c>
      <c r="F572" s="26" t="str">
        <f>"LA LAGUNA TICOMAN                                                                                                                           "</f>
        <v xml:space="preserve">LA LAGUNA TICOMAN                                                                                                                           </v>
      </c>
      <c r="G572" s="26" t="str">
        <f t="shared" si="91"/>
        <v xml:space="preserve">GUSTAVO A. MADERO                                                               </v>
      </c>
      <c r="H572" s="26" t="str">
        <f>"237"</f>
        <v>237</v>
      </c>
      <c r="I572" s="26" t="str">
        <f t="shared" si="85"/>
        <v>00</v>
      </c>
      <c r="J572" s="26" t="str">
        <f t="shared" si="92"/>
        <v xml:space="preserve">42 </v>
      </c>
      <c r="K572" s="26" t="str">
        <f t="shared" si="89"/>
        <v>PR</v>
      </c>
      <c r="L572" s="26" t="str">
        <f t="shared" si="90"/>
        <v>DGOSE</v>
      </c>
      <c r="M572" s="26" t="str">
        <f t="shared" si="86"/>
        <v>FEDERAL</v>
      </c>
      <c r="N572" s="26">
        <v>219</v>
      </c>
      <c r="O572" s="26">
        <v>120</v>
      </c>
      <c r="P572" s="26">
        <v>99</v>
      </c>
      <c r="Q572" s="26">
        <v>13</v>
      </c>
      <c r="R572" s="26">
        <v>1</v>
      </c>
      <c r="S572" s="26">
        <v>10</v>
      </c>
      <c r="T572" s="26">
        <v>10</v>
      </c>
      <c r="U572" s="26">
        <v>21</v>
      </c>
      <c r="V572" s="26">
        <v>1</v>
      </c>
      <c r="W572" s="26"/>
    </row>
    <row r="573" spans="1:23" x14ac:dyDescent="0.25">
      <c r="A573" s="26" t="str">
        <f t="shared" si="84"/>
        <v>PRIMARIA</v>
      </c>
      <c r="B573" s="26" t="str">
        <f>"09DPR1449J"</f>
        <v>09DPR1449J</v>
      </c>
      <c r="C573" s="26" t="str">
        <f>"VICTORIO ROJAS OLIVAR                                                                               "</f>
        <v xml:space="preserve">VICTORIO ROJAS OLIVAR                                                                               </v>
      </c>
      <c r="D573" s="26" t="str">
        <f>"MATUTINO"</f>
        <v>MATUTINO</v>
      </c>
      <c r="E573" s="26" t="str">
        <f>"AV ACUEDUCTO S/N                                                                "</f>
        <v xml:space="preserve">AV ACUEDUCTO S/N                                                                </v>
      </c>
      <c r="F573" s="26" t="str">
        <f>"TICOMAN                                                                                                                                     "</f>
        <v xml:space="preserve">TICOMAN                                                                                                                                     </v>
      </c>
      <c r="G573" s="26" t="str">
        <f t="shared" si="91"/>
        <v xml:space="preserve">GUSTAVO A. MADERO                                                               </v>
      </c>
      <c r="H573" s="26" t="str">
        <f>"237"</f>
        <v>237</v>
      </c>
      <c r="I573" s="26" t="str">
        <f t="shared" si="85"/>
        <v>00</v>
      </c>
      <c r="J573" s="26" t="str">
        <f t="shared" si="92"/>
        <v xml:space="preserve">42 </v>
      </c>
      <c r="K573" s="26" t="str">
        <f t="shared" si="89"/>
        <v>PR</v>
      </c>
      <c r="L573" s="26" t="str">
        <f t="shared" si="90"/>
        <v>DGOSE</v>
      </c>
      <c r="M573" s="26" t="str">
        <f t="shared" si="86"/>
        <v>FEDERAL</v>
      </c>
      <c r="N573" s="26">
        <v>496</v>
      </c>
      <c r="O573" s="26">
        <v>240</v>
      </c>
      <c r="P573" s="26">
        <v>256</v>
      </c>
      <c r="Q573" s="26">
        <v>18</v>
      </c>
      <c r="R573" s="26">
        <v>1</v>
      </c>
      <c r="S573" s="26">
        <v>18</v>
      </c>
      <c r="T573" s="26">
        <v>11</v>
      </c>
      <c r="U573" s="26">
        <v>30</v>
      </c>
      <c r="V573" s="26">
        <v>1</v>
      </c>
      <c r="W573" s="26"/>
    </row>
    <row r="574" spans="1:23" x14ac:dyDescent="0.25">
      <c r="A574" s="26" t="str">
        <f t="shared" si="84"/>
        <v>PRIMARIA</v>
      </c>
      <c r="B574" s="26" t="str">
        <f>"09DPR1450Z"</f>
        <v>09DPR1450Z</v>
      </c>
      <c r="C574" s="26" t="str">
        <f>"FUERTE DE LORETO                                                                                    "</f>
        <v xml:space="preserve">FUERTE DE LORETO                                                                                    </v>
      </c>
      <c r="D574" s="26" t="str">
        <f>"MATUTINO"</f>
        <v>MATUTINO</v>
      </c>
      <c r="E574" s="26" t="str">
        <f>"AV ACUEDUCTO Y CALLE 1779                                                       "</f>
        <v xml:space="preserve">AV ACUEDUCTO Y CALLE 1779                                                       </v>
      </c>
      <c r="F574" s="26" t="str">
        <f>"LA LAGUNA TICOMAN                                                                                                                           "</f>
        <v xml:space="preserve">LA LAGUNA TICOMAN                                                                                                                           </v>
      </c>
      <c r="G574" s="26" t="str">
        <f t="shared" si="91"/>
        <v xml:space="preserve">GUSTAVO A. MADERO                                                               </v>
      </c>
      <c r="H574" s="26" t="str">
        <f>"237"</f>
        <v>237</v>
      </c>
      <c r="I574" s="26" t="str">
        <f t="shared" si="85"/>
        <v>00</v>
      </c>
      <c r="J574" s="26" t="str">
        <f t="shared" si="92"/>
        <v xml:space="preserve">42 </v>
      </c>
      <c r="K574" s="26" t="str">
        <f t="shared" si="89"/>
        <v>PR</v>
      </c>
      <c r="L574" s="26" t="str">
        <f t="shared" si="90"/>
        <v>DGOSE</v>
      </c>
      <c r="M574" s="26" t="str">
        <f t="shared" si="86"/>
        <v>FEDERAL</v>
      </c>
      <c r="N574" s="26">
        <v>362</v>
      </c>
      <c r="O574" s="26">
        <v>188</v>
      </c>
      <c r="P574" s="26">
        <v>174</v>
      </c>
      <c r="Q574" s="26">
        <v>12</v>
      </c>
      <c r="R574" s="26">
        <v>1</v>
      </c>
      <c r="S574" s="26">
        <v>12</v>
      </c>
      <c r="T574" s="26">
        <v>8</v>
      </c>
      <c r="U574" s="26">
        <v>21</v>
      </c>
      <c r="V574" s="26">
        <v>1</v>
      </c>
      <c r="W574" s="26"/>
    </row>
    <row r="575" spans="1:23" x14ac:dyDescent="0.25">
      <c r="A575" s="26" t="str">
        <f t="shared" si="84"/>
        <v>PRIMARIA</v>
      </c>
      <c r="B575" s="26" t="str">
        <f>"09DPR1451Y"</f>
        <v>09DPR1451Y</v>
      </c>
      <c r="C575" s="26" t="str">
        <f>"PROFR. LUIS DE LA BRENA                                                                             "</f>
        <v xml:space="preserve">PROFR. LUIS DE LA BRENA                                                                             </v>
      </c>
      <c r="D575" s="26" t="str">
        <f>"JORNADA AMPLIADA"</f>
        <v>JORNADA AMPLIADA</v>
      </c>
      <c r="E575" s="26" t="str">
        <f>"NEPTUNO NUM. 30                                                                 "</f>
        <v xml:space="preserve">NEPTUNO NUM. 30                                                                 </v>
      </c>
      <c r="F575" s="26" t="str">
        <f>"SAN SIMON TOLNAHUAC                                                                                                                         "</f>
        <v xml:space="preserve">SAN SIMON TOLNAHUAC                                                                                                                         </v>
      </c>
      <c r="G575" s="26" t="str">
        <f>"CUAUHTEMOC                                                                      "</f>
        <v xml:space="preserve">CUAUHTEMOC                                                                      </v>
      </c>
      <c r="H575" s="26" t="str">
        <f>"121"</f>
        <v>121</v>
      </c>
      <c r="I575" s="26" t="str">
        <f t="shared" si="85"/>
        <v>00</v>
      </c>
      <c r="J575" s="26" t="str">
        <f>"41 "</f>
        <v xml:space="preserve">41 </v>
      </c>
      <c r="K575" s="26" t="str">
        <f t="shared" si="89"/>
        <v>PR</v>
      </c>
      <c r="L575" s="26" t="str">
        <f t="shared" si="90"/>
        <v>DGOSE</v>
      </c>
      <c r="M575" s="26" t="str">
        <f t="shared" si="86"/>
        <v>FEDERAL</v>
      </c>
      <c r="N575" s="26">
        <v>112</v>
      </c>
      <c r="O575" s="26">
        <v>55</v>
      </c>
      <c r="P575" s="26">
        <v>57</v>
      </c>
      <c r="Q575" s="26">
        <v>6</v>
      </c>
      <c r="R575" s="26">
        <v>1</v>
      </c>
      <c r="S575" s="26">
        <v>5</v>
      </c>
      <c r="T575" s="26">
        <v>6</v>
      </c>
      <c r="U575" s="26">
        <v>12</v>
      </c>
      <c r="V575" s="26">
        <v>1</v>
      </c>
      <c r="W575" s="26" t="s">
        <v>2076</v>
      </c>
    </row>
    <row r="576" spans="1:23" x14ac:dyDescent="0.25">
      <c r="A576" s="26" t="str">
        <f t="shared" si="84"/>
        <v>PRIMARIA</v>
      </c>
      <c r="B576" s="26" t="str">
        <f>"09DPR1452X"</f>
        <v>09DPR1452X</v>
      </c>
      <c r="C576" s="26" t="str">
        <f>"TURQUIA                                                                                             "</f>
        <v xml:space="preserve">TURQUIA                                                                                             </v>
      </c>
      <c r="D576" s="26" t="str">
        <f>"JORNADA AMPLIADA"</f>
        <v>JORNADA AMPLIADA</v>
      </c>
      <c r="E576" s="26" t="str">
        <f>"AV 507 PLAZA 1                                                                  "</f>
        <v xml:space="preserve">AV 507 PLAZA 1                                                                  </v>
      </c>
      <c r="F576" s="26" t="str">
        <f>"UNIDAD SAN JUAN DE ARAGON                                                                                                                   "</f>
        <v xml:space="preserve">UNIDAD SAN JUAN DE ARAGON                                                                                                                   </v>
      </c>
      <c r="G576" s="26" t="str">
        <f t="shared" ref="G576:G583" si="93">"GUSTAVO A. MADERO                                                               "</f>
        <v xml:space="preserve">GUSTAVO A. MADERO                                                               </v>
      </c>
      <c r="H576" s="26" t="str">
        <f>"143"</f>
        <v>143</v>
      </c>
      <c r="I576" s="26" t="str">
        <f t="shared" si="85"/>
        <v>00</v>
      </c>
      <c r="J576" s="26" t="str">
        <f>"41 "</f>
        <v xml:space="preserve">41 </v>
      </c>
      <c r="K576" s="26" t="str">
        <f t="shared" si="89"/>
        <v>PR</v>
      </c>
      <c r="L576" s="26" t="str">
        <f t="shared" si="90"/>
        <v>DGOSE</v>
      </c>
      <c r="M576" s="26" t="str">
        <f t="shared" si="86"/>
        <v>FEDERAL</v>
      </c>
      <c r="N576" s="26">
        <v>379</v>
      </c>
      <c r="O576" s="26">
        <v>201</v>
      </c>
      <c r="P576" s="26">
        <v>178</v>
      </c>
      <c r="Q576" s="26">
        <v>13</v>
      </c>
      <c r="R576" s="26">
        <v>1</v>
      </c>
      <c r="S576" s="26">
        <v>13</v>
      </c>
      <c r="T576" s="26">
        <v>10</v>
      </c>
      <c r="U576" s="26">
        <v>24</v>
      </c>
      <c r="V576" s="26">
        <v>1</v>
      </c>
      <c r="W576" s="26" t="s">
        <v>2076</v>
      </c>
    </row>
    <row r="577" spans="1:23" x14ac:dyDescent="0.25">
      <c r="A577" s="26" t="str">
        <f t="shared" si="84"/>
        <v>PRIMARIA</v>
      </c>
      <c r="B577" s="26" t="str">
        <f>"09DPR1454V"</f>
        <v>09DPR1454V</v>
      </c>
      <c r="C577" s="26" t="str">
        <f>"TONANTZIN                                                                                           "</f>
        <v xml:space="preserve">TONANTZIN                                                                                           </v>
      </c>
      <c r="D577" s="26" t="str">
        <f>"MATUTINO"</f>
        <v>MATUTINO</v>
      </c>
      <c r="E577" s="26" t="str">
        <f>"NORTE 72 No 10038                                                               "</f>
        <v xml:space="preserve">NORTE 72 No 10038                                                               </v>
      </c>
      <c r="F577" s="26" t="str">
        <f>"VILLAHERMOSA                                                                                                                                "</f>
        <v xml:space="preserve">VILLAHERMOSA                                                                                                                                </v>
      </c>
      <c r="G577" s="26" t="str">
        <f t="shared" si="93"/>
        <v xml:space="preserve">GUSTAVO A. MADERO                                                               </v>
      </c>
      <c r="H577" s="26" t="str">
        <f>"256"</f>
        <v>256</v>
      </c>
      <c r="I577" s="26" t="str">
        <f t="shared" si="85"/>
        <v>00</v>
      </c>
      <c r="J577" s="26" t="str">
        <f>"42 "</f>
        <v xml:space="preserve">42 </v>
      </c>
      <c r="K577" s="26" t="str">
        <f t="shared" si="89"/>
        <v>PR</v>
      </c>
      <c r="L577" s="26" t="str">
        <f t="shared" si="90"/>
        <v>DGOSE</v>
      </c>
      <c r="M577" s="26" t="str">
        <f t="shared" si="86"/>
        <v>FEDERAL</v>
      </c>
      <c r="N577" s="26">
        <v>491</v>
      </c>
      <c r="O577" s="26">
        <v>230</v>
      </c>
      <c r="P577" s="26">
        <v>261</v>
      </c>
      <c r="Q577" s="26">
        <v>17</v>
      </c>
      <c r="R577" s="26">
        <v>1</v>
      </c>
      <c r="S577" s="26">
        <v>17</v>
      </c>
      <c r="T577" s="26">
        <v>16</v>
      </c>
      <c r="U577" s="26">
        <v>34</v>
      </c>
      <c r="V577" s="26">
        <v>1</v>
      </c>
      <c r="W577" s="26"/>
    </row>
    <row r="578" spans="1:23" x14ac:dyDescent="0.25">
      <c r="A578" s="26" t="str">
        <f t="shared" ref="A578:A641" si="94">"PRIMARIA"</f>
        <v>PRIMARIA</v>
      </c>
      <c r="B578" s="26" t="str">
        <f>"09DPR1456T"</f>
        <v>09DPR1456T</v>
      </c>
      <c r="C578" s="26" t="str">
        <f>"TONANTZIN                                                                                           "</f>
        <v xml:space="preserve">TONANTZIN                                                                                           </v>
      </c>
      <c r="D578" s="26" t="str">
        <f>"VESPERTINO"</f>
        <v>VESPERTINO</v>
      </c>
      <c r="E578" s="26" t="str">
        <f>"NORTE 72 NUM 10038                                                              "</f>
        <v xml:space="preserve">NORTE 72 NUM 10038                                                              </v>
      </c>
      <c r="F578" s="26" t="str">
        <f>"VILLAHERMOSA                                                                                                                                "</f>
        <v xml:space="preserve">VILLAHERMOSA                                                                                                                                </v>
      </c>
      <c r="G578" s="26" t="str">
        <f t="shared" si="93"/>
        <v xml:space="preserve">GUSTAVO A. MADERO                                                               </v>
      </c>
      <c r="H578" s="26" t="str">
        <f>"256"</f>
        <v>256</v>
      </c>
      <c r="I578" s="26" t="str">
        <f t="shared" ref="I578:I641" si="95">"00"</f>
        <v>00</v>
      </c>
      <c r="J578" s="26" t="str">
        <f>"42 "</f>
        <v xml:space="preserve">42 </v>
      </c>
      <c r="K578" s="26" t="str">
        <f t="shared" si="89"/>
        <v>PR</v>
      </c>
      <c r="L578" s="26" t="str">
        <f t="shared" si="90"/>
        <v>DGOSE</v>
      </c>
      <c r="M578" s="26" t="str">
        <f t="shared" ref="M578:M641" si="96">"FEDERAL"</f>
        <v>FEDERAL</v>
      </c>
      <c r="N578" s="26">
        <v>150</v>
      </c>
      <c r="O578" s="26">
        <v>69</v>
      </c>
      <c r="P578" s="26">
        <v>81</v>
      </c>
      <c r="Q578" s="26">
        <v>10</v>
      </c>
      <c r="R578" s="26">
        <v>1</v>
      </c>
      <c r="S578" s="26">
        <v>10</v>
      </c>
      <c r="T578" s="26">
        <v>5</v>
      </c>
      <c r="U578" s="26">
        <v>16</v>
      </c>
      <c r="V578" s="26">
        <v>1</v>
      </c>
      <c r="W578" s="26"/>
    </row>
    <row r="579" spans="1:23" x14ac:dyDescent="0.25">
      <c r="A579" s="26" t="str">
        <f t="shared" si="94"/>
        <v>PRIMARIA</v>
      </c>
      <c r="B579" s="26" t="str">
        <f>"09DPR1458R"</f>
        <v>09DPR1458R</v>
      </c>
      <c r="C579" s="26" t="str">
        <f>"TEZOZOMOC                                                                                           "</f>
        <v xml:space="preserve">TEZOZOMOC                                                                                           </v>
      </c>
      <c r="D579" s="26" t="str">
        <f>"MATUTINO"</f>
        <v>MATUTINO</v>
      </c>
      <c r="E579" s="26" t="str">
        <f>"AV ING EDUARDO MOLINA NUM 1722                                                  "</f>
        <v xml:space="preserve">AV ING EDUARDO MOLINA NUM 1722                                                  </v>
      </c>
      <c r="F579" s="26" t="str">
        <f>"VASCO DE QUIROGA                                                                                                                            "</f>
        <v xml:space="preserve">VASCO DE QUIROGA                                                                                                                            </v>
      </c>
      <c r="G579" s="26" t="str">
        <f t="shared" si="93"/>
        <v xml:space="preserve">GUSTAVO A. MADERO                                                               </v>
      </c>
      <c r="H579" s="26" t="str">
        <f>"257"</f>
        <v>257</v>
      </c>
      <c r="I579" s="26" t="str">
        <f t="shared" si="95"/>
        <v>00</v>
      </c>
      <c r="J579" s="26" t="str">
        <f>"42 "</f>
        <v xml:space="preserve">42 </v>
      </c>
      <c r="K579" s="26" t="str">
        <f t="shared" si="89"/>
        <v>PR</v>
      </c>
      <c r="L579" s="26" t="str">
        <f t="shared" si="90"/>
        <v>DGOSE</v>
      </c>
      <c r="M579" s="26" t="str">
        <f t="shared" si="96"/>
        <v>FEDERAL</v>
      </c>
      <c r="N579" s="26">
        <v>555</v>
      </c>
      <c r="O579" s="26">
        <v>276</v>
      </c>
      <c r="P579" s="26">
        <v>279</v>
      </c>
      <c r="Q579" s="26">
        <v>21</v>
      </c>
      <c r="R579" s="26">
        <v>1</v>
      </c>
      <c r="S579" s="26">
        <v>18</v>
      </c>
      <c r="T579" s="26">
        <v>12</v>
      </c>
      <c r="U579" s="26">
        <v>31</v>
      </c>
      <c r="V579" s="26">
        <v>1</v>
      </c>
      <c r="W579" s="26"/>
    </row>
    <row r="580" spans="1:23" x14ac:dyDescent="0.25">
      <c r="A580" s="26" t="str">
        <f t="shared" si="94"/>
        <v>PRIMARIA</v>
      </c>
      <c r="B580" s="26" t="str">
        <f>"09DPR1459Q"</f>
        <v>09DPR1459Q</v>
      </c>
      <c r="C580" s="26" t="str">
        <f>"FRANCISCO ZARCO                                                                                     "</f>
        <v xml:space="preserve">FRANCISCO ZARCO                                                                                     </v>
      </c>
      <c r="D580" s="26" t="str">
        <f>"JORNADA AMPLIADA"</f>
        <v>JORNADA AMPLIADA</v>
      </c>
      <c r="E580" s="26" t="str">
        <f>"AV JAVIER ROJO GOMEZ S/N                                                        "</f>
        <v xml:space="preserve">AV JAVIER ROJO GOMEZ S/N                                                        </v>
      </c>
      <c r="F580" s="26" t="str">
        <f>"SANTIAGO ATEPETLAC                                                                                                                          "</f>
        <v xml:space="preserve">SANTIAGO ATEPETLAC                                                                                                                          </v>
      </c>
      <c r="G580" s="26" t="str">
        <f t="shared" si="93"/>
        <v xml:space="preserve">GUSTAVO A. MADERO                                                               </v>
      </c>
      <c r="H580" s="26" t="str">
        <f>"132"</f>
        <v>132</v>
      </c>
      <c r="I580" s="26" t="str">
        <f t="shared" si="95"/>
        <v>00</v>
      </c>
      <c r="J580" s="26" t="str">
        <f>"41 "</f>
        <v xml:space="preserve">41 </v>
      </c>
      <c r="K580" s="26" t="str">
        <f t="shared" si="89"/>
        <v>PR</v>
      </c>
      <c r="L580" s="26" t="str">
        <f t="shared" si="90"/>
        <v>DGOSE</v>
      </c>
      <c r="M580" s="26" t="str">
        <f t="shared" si="96"/>
        <v>FEDERAL</v>
      </c>
      <c r="N580" s="26">
        <v>492</v>
      </c>
      <c r="O580" s="26">
        <v>228</v>
      </c>
      <c r="P580" s="26">
        <v>264</v>
      </c>
      <c r="Q580" s="26">
        <v>18</v>
      </c>
      <c r="R580" s="26">
        <v>2</v>
      </c>
      <c r="S580" s="26">
        <v>18</v>
      </c>
      <c r="T580" s="26">
        <v>12</v>
      </c>
      <c r="U580" s="26">
        <v>32</v>
      </c>
      <c r="V580" s="26">
        <v>1</v>
      </c>
      <c r="W580" s="26" t="s">
        <v>2076</v>
      </c>
    </row>
    <row r="581" spans="1:23" x14ac:dyDescent="0.25">
      <c r="A581" s="26" t="str">
        <f t="shared" si="94"/>
        <v>PRIMARIA</v>
      </c>
      <c r="B581" s="26" t="str">
        <f>"09DPR1460F"</f>
        <v>09DPR1460F</v>
      </c>
      <c r="C581" s="26" t="str">
        <f>"FILOMENO MATA                                                                                       "</f>
        <v xml:space="preserve">FILOMENO MATA                                                                                       </v>
      </c>
      <c r="D581" s="26" t="str">
        <f>"MATUTINO"</f>
        <v>MATUTINO</v>
      </c>
      <c r="E581" s="26" t="str">
        <f>"AV ACUEDUCTO 775                                                                "</f>
        <v xml:space="preserve">AV ACUEDUCTO 775                                                                </v>
      </c>
      <c r="F581" s="26" t="str">
        <f>"SAN PEDRO ZACATENCO                                                                                                                         "</f>
        <v xml:space="preserve">SAN PEDRO ZACATENCO                                                                                                                         </v>
      </c>
      <c r="G581" s="26" t="str">
        <f t="shared" si="93"/>
        <v xml:space="preserve">GUSTAVO A. MADERO                                                               </v>
      </c>
      <c r="H581" s="26" t="str">
        <f>"239"</f>
        <v>239</v>
      </c>
      <c r="I581" s="26" t="str">
        <f t="shared" si="95"/>
        <v>00</v>
      </c>
      <c r="J581" s="26" t="str">
        <f>"42 "</f>
        <v xml:space="preserve">42 </v>
      </c>
      <c r="K581" s="26" t="str">
        <f t="shared" si="89"/>
        <v>PR</v>
      </c>
      <c r="L581" s="26" t="str">
        <f t="shared" si="90"/>
        <v>DGOSE</v>
      </c>
      <c r="M581" s="26" t="str">
        <f t="shared" si="96"/>
        <v>FEDERAL</v>
      </c>
      <c r="N581" s="26">
        <v>439</v>
      </c>
      <c r="O581" s="26">
        <v>226</v>
      </c>
      <c r="P581" s="26">
        <v>213</v>
      </c>
      <c r="Q581" s="26">
        <v>15</v>
      </c>
      <c r="R581" s="26">
        <v>1</v>
      </c>
      <c r="S581" s="26">
        <v>15</v>
      </c>
      <c r="T581" s="26">
        <v>8</v>
      </c>
      <c r="U581" s="26">
        <v>24</v>
      </c>
      <c r="V581" s="26">
        <v>1</v>
      </c>
      <c r="W581" s="26"/>
    </row>
    <row r="582" spans="1:23" x14ac:dyDescent="0.25">
      <c r="A582" s="26" t="str">
        <f t="shared" si="94"/>
        <v>PRIMARIA</v>
      </c>
      <c r="B582" s="26" t="str">
        <f>"09DPR1462D"</f>
        <v>09DPR1462D</v>
      </c>
      <c r="C582" s="26" t="str">
        <f>"FILOMENO MATA                                                                                       "</f>
        <v xml:space="preserve">FILOMENO MATA                                                                                       </v>
      </c>
      <c r="D582" s="26" t="str">
        <f>"VESPERTINO"</f>
        <v>VESPERTINO</v>
      </c>
      <c r="E582" s="26" t="str">
        <f>"AV ACUEDUCTO 775                                                                "</f>
        <v xml:space="preserve">AV ACUEDUCTO 775                                                                </v>
      </c>
      <c r="F582" s="26" t="str">
        <f>"SAN PEDRO ZACATENCO                                                                                                                         "</f>
        <v xml:space="preserve">SAN PEDRO ZACATENCO                                                                                                                         </v>
      </c>
      <c r="G582" s="26" t="str">
        <f t="shared" si="93"/>
        <v xml:space="preserve">GUSTAVO A. MADERO                                                               </v>
      </c>
      <c r="H582" s="26" t="str">
        <f>"239"</f>
        <v>239</v>
      </c>
      <c r="I582" s="26" t="str">
        <f t="shared" si="95"/>
        <v>00</v>
      </c>
      <c r="J582" s="26" t="str">
        <f>"42 "</f>
        <v xml:space="preserve">42 </v>
      </c>
      <c r="K582" s="26" t="str">
        <f t="shared" si="89"/>
        <v>PR</v>
      </c>
      <c r="L582" s="26" t="str">
        <f t="shared" si="90"/>
        <v>DGOSE</v>
      </c>
      <c r="M582" s="26" t="str">
        <f t="shared" si="96"/>
        <v>FEDERAL</v>
      </c>
      <c r="N582" s="26">
        <v>121</v>
      </c>
      <c r="O582" s="26">
        <v>69</v>
      </c>
      <c r="P582" s="26">
        <v>52</v>
      </c>
      <c r="Q582" s="26">
        <v>6</v>
      </c>
      <c r="R582" s="26">
        <v>1</v>
      </c>
      <c r="S582" s="26">
        <v>6</v>
      </c>
      <c r="T582" s="26">
        <v>5</v>
      </c>
      <c r="U582" s="26">
        <v>12</v>
      </c>
      <c r="V582" s="26">
        <v>1</v>
      </c>
      <c r="W582" s="26"/>
    </row>
    <row r="583" spans="1:23" x14ac:dyDescent="0.25">
      <c r="A583" s="26" t="str">
        <f t="shared" si="94"/>
        <v>PRIMARIA</v>
      </c>
      <c r="B583" s="26" t="str">
        <f>"09DPR1464B"</f>
        <v>09DPR1464B</v>
      </c>
      <c r="C583" s="26" t="str">
        <f>"PROFR. TEODORO MONTIEL                                                                              "</f>
        <v xml:space="preserve">PROFR. TEODORO MONTIEL                                                                              </v>
      </c>
      <c r="D583" s="26" t="str">
        <f>"MATUTINO"</f>
        <v>MATUTINO</v>
      </c>
      <c r="E583" s="26" t="str">
        <f>"CUAUHTEMOC 20                                                                   "</f>
        <v xml:space="preserve">CUAUHTEMOC 20                                                                   </v>
      </c>
      <c r="F583" s="26" t="str">
        <f>"ARAGON                                                                                                                                      "</f>
        <v xml:space="preserve">ARAGON                                                                                                                                      </v>
      </c>
      <c r="G583" s="26" t="str">
        <f t="shared" si="93"/>
        <v xml:space="preserve">GUSTAVO A. MADERO                                                               </v>
      </c>
      <c r="H583" s="26" t="str">
        <f>"245"</f>
        <v>245</v>
      </c>
      <c r="I583" s="26" t="str">
        <f t="shared" si="95"/>
        <v>00</v>
      </c>
      <c r="J583" s="26" t="str">
        <f>"42 "</f>
        <v xml:space="preserve">42 </v>
      </c>
      <c r="K583" s="26" t="str">
        <f t="shared" si="89"/>
        <v>PR</v>
      </c>
      <c r="L583" s="26" t="str">
        <f t="shared" si="90"/>
        <v>DGOSE</v>
      </c>
      <c r="M583" s="26" t="str">
        <f t="shared" si="96"/>
        <v>FEDERAL</v>
      </c>
      <c r="N583" s="26">
        <v>191</v>
      </c>
      <c r="O583" s="26">
        <v>97</v>
      </c>
      <c r="P583" s="26">
        <v>94</v>
      </c>
      <c r="Q583" s="26">
        <v>9</v>
      </c>
      <c r="R583" s="26">
        <v>1</v>
      </c>
      <c r="S583" s="26">
        <v>9</v>
      </c>
      <c r="T583" s="26">
        <v>6</v>
      </c>
      <c r="U583" s="26">
        <v>16</v>
      </c>
      <c r="V583" s="26">
        <v>1</v>
      </c>
      <c r="W583" s="26"/>
    </row>
    <row r="584" spans="1:23" x14ac:dyDescent="0.25">
      <c r="A584" s="26" t="str">
        <f t="shared" si="94"/>
        <v>PRIMARIA</v>
      </c>
      <c r="B584" s="26" t="str">
        <f>"09DPR1465A"</f>
        <v>09DPR1465A</v>
      </c>
      <c r="C584" s="26" t="str">
        <f>"MAESTRA DIONISIA ZAMORA PALLARES                                                                    "</f>
        <v xml:space="preserve">MAESTRA DIONISIA ZAMORA PALLARES                                                                    </v>
      </c>
      <c r="D584" s="26" t="str">
        <f>"JORNADA AMPLIADA"</f>
        <v>JORNADA AMPLIADA</v>
      </c>
      <c r="E584" s="26" t="str">
        <f>"PRESAS SOLIS Y SALINILLAS S/N                                                   "</f>
        <v xml:space="preserve">PRESAS SOLIS Y SALINILLAS S/N                                                   </v>
      </c>
      <c r="F584" s="26" t="str">
        <f>"IRRIGACION                                                                                                                                  "</f>
        <v xml:space="preserve">IRRIGACION                                                                                                                                  </v>
      </c>
      <c r="G584" s="26" t="str">
        <f>"MIGUEL HIDALGO                                                                  "</f>
        <v xml:space="preserve">MIGUEL HIDALGO                                                                  </v>
      </c>
      <c r="H584" s="26" t="str">
        <f>"109"</f>
        <v>109</v>
      </c>
      <c r="I584" s="26" t="str">
        <f t="shared" si="95"/>
        <v>00</v>
      </c>
      <c r="J584" s="26" t="str">
        <f>"41 "</f>
        <v xml:space="preserve">41 </v>
      </c>
      <c r="K584" s="26" t="str">
        <f t="shared" si="89"/>
        <v>PR</v>
      </c>
      <c r="L584" s="26" t="str">
        <f t="shared" si="90"/>
        <v>DGOSE</v>
      </c>
      <c r="M584" s="26" t="str">
        <f t="shared" si="96"/>
        <v>FEDERAL</v>
      </c>
      <c r="N584" s="26">
        <v>439</v>
      </c>
      <c r="O584" s="26">
        <v>217</v>
      </c>
      <c r="P584" s="26">
        <v>222</v>
      </c>
      <c r="Q584" s="26">
        <v>16</v>
      </c>
      <c r="R584" s="26">
        <v>1</v>
      </c>
      <c r="S584" s="26">
        <v>16</v>
      </c>
      <c r="T584" s="26">
        <v>12</v>
      </c>
      <c r="U584" s="26">
        <v>29</v>
      </c>
      <c r="V584" s="26">
        <v>1</v>
      </c>
      <c r="W584" s="26" t="s">
        <v>2076</v>
      </c>
    </row>
    <row r="585" spans="1:23" x14ac:dyDescent="0.25">
      <c r="A585" s="26" t="str">
        <f t="shared" si="94"/>
        <v>PRIMARIA</v>
      </c>
      <c r="B585" s="26" t="str">
        <f>"09DPR1466Z"</f>
        <v>09DPR1466Z</v>
      </c>
      <c r="C585" s="26" t="str">
        <f>"SUAVE PATRIA                                                                                        "</f>
        <v xml:space="preserve">SUAVE PATRIA                                                                                        </v>
      </c>
      <c r="D585" s="26" t="str">
        <f>"JORNADA AMPLIADA"</f>
        <v>JORNADA AMPLIADA</v>
      </c>
      <c r="E585" s="26" t="str">
        <f>"AV 20 DE NOVIEMBRE S/N                                                          "</f>
        <v xml:space="preserve">AV 20 DE NOVIEMBRE S/N                                                          </v>
      </c>
      <c r="F585" s="26" t="str">
        <f>"25 DE JULIO                                                                                                                                 "</f>
        <v xml:space="preserve">25 DE JULIO                                                                                                                                 </v>
      </c>
      <c r="G585" s="26" t="str">
        <f>"GUSTAVO A. MADERO                                                               "</f>
        <v xml:space="preserve">GUSTAVO A. MADERO                                                               </v>
      </c>
      <c r="H585" s="26" t="str">
        <f>"140"</f>
        <v>140</v>
      </c>
      <c r="I585" s="26" t="str">
        <f t="shared" si="95"/>
        <v>00</v>
      </c>
      <c r="J585" s="26" t="str">
        <f>"41 "</f>
        <v xml:space="preserve">41 </v>
      </c>
      <c r="K585" s="26" t="str">
        <f t="shared" si="89"/>
        <v>PR</v>
      </c>
      <c r="L585" s="26" t="str">
        <f t="shared" si="90"/>
        <v>DGOSE</v>
      </c>
      <c r="M585" s="26" t="str">
        <f t="shared" si="96"/>
        <v>FEDERAL</v>
      </c>
      <c r="N585" s="26">
        <v>356</v>
      </c>
      <c r="O585" s="26">
        <v>204</v>
      </c>
      <c r="P585" s="26">
        <v>152</v>
      </c>
      <c r="Q585" s="26">
        <v>12</v>
      </c>
      <c r="R585" s="26">
        <v>1</v>
      </c>
      <c r="S585" s="26">
        <v>12</v>
      </c>
      <c r="T585" s="26">
        <v>10</v>
      </c>
      <c r="U585" s="26">
        <v>23</v>
      </c>
      <c r="V585" s="26">
        <v>1</v>
      </c>
      <c r="W585" s="26" t="s">
        <v>2076</v>
      </c>
    </row>
    <row r="586" spans="1:23" x14ac:dyDescent="0.25">
      <c r="A586" s="26" t="str">
        <f t="shared" si="94"/>
        <v>PRIMARIA</v>
      </c>
      <c r="B586" s="26" t="str">
        <f>"09DPR1468Y"</f>
        <v>09DPR1468Y</v>
      </c>
      <c r="C586" s="26" t="str">
        <f>"TATA VASCO                                                                                          "</f>
        <v xml:space="preserve">TATA VASCO                                                                                          </v>
      </c>
      <c r="D586" s="26" t="str">
        <f>"MATUTINO"</f>
        <v>MATUTINO</v>
      </c>
      <c r="E586" s="26" t="str">
        <f>"AV 5 DE MAYO NUM 41                                                             "</f>
        <v xml:space="preserve">AV 5 DE MAYO NUM 41                                                             </v>
      </c>
      <c r="F586" s="26" t="str">
        <f>"VASCO DE QUIROGA                                                                                                                            "</f>
        <v xml:space="preserve">VASCO DE QUIROGA                                                                                                                            </v>
      </c>
      <c r="G586" s="26" t="str">
        <f>"GUSTAVO A. MADERO                                                               "</f>
        <v xml:space="preserve">GUSTAVO A. MADERO                                                               </v>
      </c>
      <c r="H586" s="26" t="str">
        <f>"260"</f>
        <v>260</v>
      </c>
      <c r="I586" s="26" t="str">
        <f t="shared" si="95"/>
        <v>00</v>
      </c>
      <c r="J586" s="26" t="str">
        <f>"42 "</f>
        <v xml:space="preserve">42 </v>
      </c>
      <c r="K586" s="26" t="str">
        <f t="shared" si="89"/>
        <v>PR</v>
      </c>
      <c r="L586" s="26" t="str">
        <f t="shared" si="90"/>
        <v>DGOSE</v>
      </c>
      <c r="M586" s="26" t="str">
        <f t="shared" si="96"/>
        <v>FEDERAL</v>
      </c>
      <c r="N586" s="26">
        <v>333</v>
      </c>
      <c r="O586" s="26">
        <v>172</v>
      </c>
      <c r="P586" s="26">
        <v>161</v>
      </c>
      <c r="Q586" s="26">
        <v>12</v>
      </c>
      <c r="R586" s="26">
        <v>1</v>
      </c>
      <c r="S586" s="26">
        <v>12</v>
      </c>
      <c r="T586" s="26">
        <v>7</v>
      </c>
      <c r="U586" s="26">
        <v>20</v>
      </c>
      <c r="V586" s="26">
        <v>1</v>
      </c>
      <c r="W586" s="26"/>
    </row>
    <row r="587" spans="1:23" x14ac:dyDescent="0.25">
      <c r="A587" s="26" t="str">
        <f t="shared" si="94"/>
        <v>PRIMARIA</v>
      </c>
      <c r="B587" s="26" t="str">
        <f>"09DPR1470M"</f>
        <v>09DPR1470M</v>
      </c>
      <c r="C587" s="26" t="str">
        <f>"SIXTO NIETO ROJAS                                                                                   "</f>
        <v xml:space="preserve">SIXTO NIETO ROJAS                                                                                   </v>
      </c>
      <c r="D587" s="26" t="str">
        <f>"MATUTINO"</f>
        <v>MATUTINO</v>
      </c>
      <c r="E587" s="26" t="str">
        <f>"NORTE 84 NUM. 4538                                                              "</f>
        <v xml:space="preserve">NORTE 84 NUM. 4538                                                              </v>
      </c>
      <c r="F587" s="26" t="str">
        <f>"NUEVA TENOCHTITLAN                                                                                                                          "</f>
        <v xml:space="preserve">NUEVA TENOCHTITLAN                                                                                                                          </v>
      </c>
      <c r="G587" s="26" t="str">
        <f>"GUSTAVO A. MADERO                                                               "</f>
        <v xml:space="preserve">GUSTAVO A. MADERO                                                               </v>
      </c>
      <c r="H587" s="26" t="str">
        <f>"254"</f>
        <v>254</v>
      </c>
      <c r="I587" s="26" t="str">
        <f t="shared" si="95"/>
        <v>00</v>
      </c>
      <c r="J587" s="26" t="str">
        <f>"42 "</f>
        <v xml:space="preserve">42 </v>
      </c>
      <c r="K587" s="26" t="str">
        <f t="shared" si="89"/>
        <v>PR</v>
      </c>
      <c r="L587" s="26" t="str">
        <f t="shared" si="90"/>
        <v>DGOSE</v>
      </c>
      <c r="M587" s="26" t="str">
        <f t="shared" si="96"/>
        <v>FEDERAL</v>
      </c>
      <c r="N587" s="26">
        <v>269</v>
      </c>
      <c r="O587" s="26">
        <v>142</v>
      </c>
      <c r="P587" s="26">
        <v>127</v>
      </c>
      <c r="Q587" s="26">
        <v>11</v>
      </c>
      <c r="R587" s="26">
        <v>1</v>
      </c>
      <c r="S587" s="26">
        <v>11</v>
      </c>
      <c r="T587" s="26">
        <v>10</v>
      </c>
      <c r="U587" s="26">
        <v>22</v>
      </c>
      <c r="V587" s="26">
        <v>1</v>
      </c>
      <c r="W587" s="26"/>
    </row>
    <row r="588" spans="1:23" x14ac:dyDescent="0.25">
      <c r="A588" s="26" t="str">
        <f t="shared" si="94"/>
        <v>PRIMARIA</v>
      </c>
      <c r="B588" s="26" t="str">
        <f>"09DPR1473J"</f>
        <v>09DPR1473J</v>
      </c>
      <c r="C588" s="26" t="str">
        <f>"ASOCIACION DE FERRETEROS DE MEXICO                                                                  "</f>
        <v xml:space="preserve">ASOCIACION DE FERRETEROS DE MEXICO                                                                  </v>
      </c>
      <c r="D588" s="26" t="str">
        <f>"VESPERTINO"</f>
        <v>VESPERTINO</v>
      </c>
      <c r="E588" s="26" t="str">
        <f>"CALLE DE LOS POSTES S N                                                         "</f>
        <v xml:space="preserve">CALLE DE LOS POSTES S N                                                         </v>
      </c>
      <c r="F588" s="26" t="str">
        <f>"JOSE MARIA PINO SUAREZ                                                                                                                      "</f>
        <v xml:space="preserve">JOSE MARIA PINO SUAREZ                                                                                                                      </v>
      </c>
      <c r="G588" s="26" t="str">
        <f>"ALVARO OBREGON                                                                  "</f>
        <v xml:space="preserve">ALVARO OBREGON                                                                  </v>
      </c>
      <c r="H588" s="26" t="str">
        <f>"307"</f>
        <v>307</v>
      </c>
      <c r="I588" s="26" t="str">
        <f t="shared" si="95"/>
        <v>00</v>
      </c>
      <c r="J588" s="26" t="str">
        <f>"43 "</f>
        <v xml:space="preserve">43 </v>
      </c>
      <c r="K588" s="26" t="str">
        <f t="shared" si="89"/>
        <v>PR</v>
      </c>
      <c r="L588" s="26" t="str">
        <f t="shared" si="90"/>
        <v>DGOSE</v>
      </c>
      <c r="M588" s="26" t="str">
        <f t="shared" si="96"/>
        <v>FEDERAL</v>
      </c>
      <c r="N588" s="26">
        <v>105</v>
      </c>
      <c r="O588" s="26">
        <v>65</v>
      </c>
      <c r="P588" s="26">
        <v>40</v>
      </c>
      <c r="Q588" s="26">
        <v>11</v>
      </c>
      <c r="R588" s="26">
        <v>1</v>
      </c>
      <c r="S588" s="26">
        <v>7</v>
      </c>
      <c r="T588" s="26">
        <v>5</v>
      </c>
      <c r="U588" s="26">
        <v>13</v>
      </c>
      <c r="V588" s="26">
        <v>1</v>
      </c>
      <c r="W588" s="26"/>
    </row>
    <row r="589" spans="1:23" x14ac:dyDescent="0.25">
      <c r="A589" s="26" t="str">
        <f t="shared" si="94"/>
        <v>PRIMARIA</v>
      </c>
      <c r="B589" s="26" t="str">
        <f>"09DPR1474I"</f>
        <v>09DPR1474I</v>
      </c>
      <c r="C589" s="26" t="str">
        <f>"ENRIQUE GONZALEZ MARTINEZ                                                                           "</f>
        <v xml:space="preserve">ENRIQUE GONZALEZ MARTINEZ                                                                           </v>
      </c>
      <c r="D589" s="26" t="str">
        <f>"JORNADA AMPLIADA"</f>
        <v>JORNADA AMPLIADA</v>
      </c>
      <c r="E589" s="26" t="str">
        <f>"NORTE 84 A NO 6618                                                              "</f>
        <v xml:space="preserve">NORTE 84 A NO 6618                                                              </v>
      </c>
      <c r="F589" s="26" t="str">
        <f>"SAN PEDRO EL CHICO                                                                                                                          "</f>
        <v xml:space="preserve">SAN PEDRO EL CHICO                                                                                                                          </v>
      </c>
      <c r="G589" s="26" t="str">
        <f>"GUSTAVO A. MADERO                                                               "</f>
        <v xml:space="preserve">GUSTAVO A. MADERO                                                               </v>
      </c>
      <c r="H589" s="26" t="str">
        <f>"141"</f>
        <v>141</v>
      </c>
      <c r="I589" s="26" t="str">
        <f t="shared" si="95"/>
        <v>00</v>
      </c>
      <c r="J589" s="26" t="str">
        <f>"41 "</f>
        <v xml:space="preserve">41 </v>
      </c>
      <c r="K589" s="26" t="str">
        <f t="shared" si="89"/>
        <v>PR</v>
      </c>
      <c r="L589" s="26" t="str">
        <f t="shared" si="90"/>
        <v>DGOSE</v>
      </c>
      <c r="M589" s="26" t="str">
        <f t="shared" si="96"/>
        <v>FEDERAL</v>
      </c>
      <c r="N589" s="26">
        <v>510</v>
      </c>
      <c r="O589" s="26">
        <v>257</v>
      </c>
      <c r="P589" s="26">
        <v>253</v>
      </c>
      <c r="Q589" s="26">
        <v>18</v>
      </c>
      <c r="R589" s="26">
        <v>1</v>
      </c>
      <c r="S589" s="26">
        <v>18</v>
      </c>
      <c r="T589" s="26">
        <v>14</v>
      </c>
      <c r="U589" s="26">
        <v>33</v>
      </c>
      <c r="V589" s="26">
        <v>1</v>
      </c>
      <c r="W589" s="26" t="s">
        <v>2076</v>
      </c>
    </row>
    <row r="590" spans="1:23" x14ac:dyDescent="0.25">
      <c r="A590" s="26" t="str">
        <f t="shared" si="94"/>
        <v>PRIMARIA</v>
      </c>
      <c r="B590" s="26" t="str">
        <f>"09DPR1475H"</f>
        <v>09DPR1475H</v>
      </c>
      <c r="C590" s="26" t="str">
        <f>"SIXTO NIETO ROJAS                                                                                   "</f>
        <v xml:space="preserve">SIXTO NIETO ROJAS                                                                                   </v>
      </c>
      <c r="D590" s="26" t="str">
        <f>"VESPERTINO"</f>
        <v>VESPERTINO</v>
      </c>
      <c r="E590" s="26" t="str">
        <f>"NORTE 84 NUM 4538                                                               "</f>
        <v xml:space="preserve">NORTE 84 NUM 4538                                                               </v>
      </c>
      <c r="F590" s="26" t="str">
        <f>"NUEVA TENOCHTITLAN                                                                                                                          "</f>
        <v xml:space="preserve">NUEVA TENOCHTITLAN                                                                                                                          </v>
      </c>
      <c r="G590" s="26" t="str">
        <f>"GUSTAVO A. MADERO                                                               "</f>
        <v xml:space="preserve">GUSTAVO A. MADERO                                                               </v>
      </c>
      <c r="H590" s="26" t="str">
        <f>"254"</f>
        <v>254</v>
      </c>
      <c r="I590" s="26" t="str">
        <f t="shared" si="95"/>
        <v>00</v>
      </c>
      <c r="J590" s="26" t="str">
        <f>"42 "</f>
        <v xml:space="preserve">42 </v>
      </c>
      <c r="K590" s="26" t="str">
        <f t="shared" si="89"/>
        <v>PR</v>
      </c>
      <c r="L590" s="26" t="str">
        <f t="shared" si="90"/>
        <v>DGOSE</v>
      </c>
      <c r="M590" s="26" t="str">
        <f t="shared" si="96"/>
        <v>FEDERAL</v>
      </c>
      <c r="N590" s="26">
        <v>123</v>
      </c>
      <c r="O590" s="26">
        <v>66</v>
      </c>
      <c r="P590" s="26">
        <v>57</v>
      </c>
      <c r="Q590" s="26">
        <v>9</v>
      </c>
      <c r="R590" s="26">
        <v>1</v>
      </c>
      <c r="S590" s="26">
        <v>8</v>
      </c>
      <c r="T590" s="26">
        <v>7</v>
      </c>
      <c r="U590" s="26">
        <v>16</v>
      </c>
      <c r="V590" s="26">
        <v>1</v>
      </c>
      <c r="W590" s="26"/>
    </row>
    <row r="591" spans="1:23" x14ac:dyDescent="0.25">
      <c r="A591" s="26" t="str">
        <f t="shared" si="94"/>
        <v>PRIMARIA</v>
      </c>
      <c r="B591" s="26" t="str">
        <f>"09DPR1476G"</f>
        <v>09DPR1476G</v>
      </c>
      <c r="C591" s="26" t="str">
        <f>"ERNESTO ALCONEDO                                                                                    "</f>
        <v xml:space="preserve">ERNESTO ALCONEDO                                                                                    </v>
      </c>
      <c r="D591" s="26" t="str">
        <f>"JORNADA AMPLIADA"</f>
        <v>JORNADA AMPLIADA</v>
      </c>
      <c r="E591" s="26" t="str">
        <f>"AV 561 PLAZA 12                                                                 "</f>
        <v xml:space="preserve">AV 561 PLAZA 12                                                                 </v>
      </c>
      <c r="F591" s="26" t="str">
        <f>"UNIDAD SAN JUAN DE ARAGON                                                                                                                   "</f>
        <v xml:space="preserve">UNIDAD SAN JUAN DE ARAGON                                                                                                                   </v>
      </c>
      <c r="G591" s="26" t="str">
        <f>"GUSTAVO A. MADERO                                                               "</f>
        <v xml:space="preserve">GUSTAVO A. MADERO                                                               </v>
      </c>
      <c r="H591" s="26" t="str">
        <f>"143"</f>
        <v>143</v>
      </c>
      <c r="I591" s="26" t="str">
        <f t="shared" si="95"/>
        <v>00</v>
      </c>
      <c r="J591" s="26" t="str">
        <f>"41 "</f>
        <v xml:space="preserve">41 </v>
      </c>
      <c r="K591" s="26" t="str">
        <f t="shared" si="89"/>
        <v>PR</v>
      </c>
      <c r="L591" s="26" t="str">
        <f t="shared" si="90"/>
        <v>DGOSE</v>
      </c>
      <c r="M591" s="26" t="str">
        <f t="shared" si="96"/>
        <v>FEDERAL</v>
      </c>
      <c r="N591" s="26">
        <v>381</v>
      </c>
      <c r="O591" s="26">
        <v>199</v>
      </c>
      <c r="P591" s="26">
        <v>182</v>
      </c>
      <c r="Q591" s="26">
        <v>12</v>
      </c>
      <c r="R591" s="26">
        <v>0</v>
      </c>
      <c r="S591" s="26">
        <v>12</v>
      </c>
      <c r="T591" s="26">
        <v>8</v>
      </c>
      <c r="U591" s="26">
        <v>20</v>
      </c>
      <c r="V591" s="26">
        <v>1</v>
      </c>
      <c r="W591" s="26" t="s">
        <v>2076</v>
      </c>
    </row>
    <row r="592" spans="1:23" x14ac:dyDescent="0.25">
      <c r="A592" s="26" t="str">
        <f t="shared" si="94"/>
        <v>PRIMARIA</v>
      </c>
      <c r="B592" s="26" t="str">
        <f>"09DPR1477F"</f>
        <v>09DPR1477F</v>
      </c>
      <c r="C592" s="26" t="str">
        <f>"GUADALUPE VICTORIA                                                                                  "</f>
        <v xml:space="preserve">GUADALUPE VICTORIA                                                                                  </v>
      </c>
      <c r="D592" s="26" t="str">
        <f>"MATUTINO"</f>
        <v>MATUTINO</v>
      </c>
      <c r="E592" s="26" t="str">
        <f>"FELIPE VILLANUEVA NUM. 18                                                       "</f>
        <v xml:space="preserve">FELIPE VILLANUEVA NUM. 18                                                       </v>
      </c>
      <c r="F592" s="26" t="str">
        <f>"GUADALUPE INN                                                                                                                               "</f>
        <v xml:space="preserve">GUADALUPE INN                                                                                                                               </v>
      </c>
      <c r="G592" s="26" t="str">
        <f>"ALVARO OBREGON                                                                  "</f>
        <v xml:space="preserve">ALVARO OBREGON                                                                  </v>
      </c>
      <c r="H592" s="26" t="str">
        <f>"320"</f>
        <v>320</v>
      </c>
      <c r="I592" s="26" t="str">
        <f t="shared" si="95"/>
        <v>00</v>
      </c>
      <c r="J592" s="26" t="str">
        <f>"43 "</f>
        <v xml:space="preserve">43 </v>
      </c>
      <c r="K592" s="26" t="str">
        <f t="shared" si="89"/>
        <v>PR</v>
      </c>
      <c r="L592" s="26" t="str">
        <f t="shared" si="90"/>
        <v>DGOSE</v>
      </c>
      <c r="M592" s="26" t="str">
        <f t="shared" si="96"/>
        <v>FEDERAL</v>
      </c>
      <c r="N592" s="26">
        <v>745</v>
      </c>
      <c r="O592" s="26">
        <v>362</v>
      </c>
      <c r="P592" s="26">
        <v>383</v>
      </c>
      <c r="Q592" s="26">
        <v>29</v>
      </c>
      <c r="R592" s="26">
        <v>1</v>
      </c>
      <c r="S592" s="26">
        <v>28</v>
      </c>
      <c r="T592" s="26">
        <v>20</v>
      </c>
      <c r="U592" s="26">
        <v>49</v>
      </c>
      <c r="V592" s="26">
        <v>1</v>
      </c>
      <c r="W592" s="26"/>
    </row>
    <row r="593" spans="1:23" x14ac:dyDescent="0.25">
      <c r="A593" s="26" t="str">
        <f t="shared" si="94"/>
        <v>PRIMARIA</v>
      </c>
      <c r="B593" s="26" t="str">
        <f>"09DPR1479D"</f>
        <v>09DPR1479D</v>
      </c>
      <c r="C593" s="26" t="str">
        <f>"ALBERTO LENZ                                                                                        "</f>
        <v xml:space="preserve">ALBERTO LENZ                                                                                        </v>
      </c>
      <c r="D593" s="26" t="str">
        <f>"TIEMPO COMPLETO"</f>
        <v>TIEMPO COMPLETO</v>
      </c>
      <c r="E593" s="26" t="str">
        <f>"ALTAMIRANO 222                                                                  "</f>
        <v xml:space="preserve">ALTAMIRANO 222                                                                  </v>
      </c>
      <c r="F593" s="26" t="str">
        <f>"LORETO BARRIO                                                                                                                               "</f>
        <v xml:space="preserve">LORETO BARRIO                                                                                                                               </v>
      </c>
      <c r="G593" s="26" t="str">
        <f>"ALVARO OBREGON                                                                  "</f>
        <v xml:space="preserve">ALVARO OBREGON                                                                  </v>
      </c>
      <c r="H593" s="26" t="str">
        <f>"405"</f>
        <v>405</v>
      </c>
      <c r="I593" s="26" t="str">
        <f t="shared" si="95"/>
        <v>00</v>
      </c>
      <c r="J593" s="26" t="str">
        <f>"44 "</f>
        <v xml:space="preserve">44 </v>
      </c>
      <c r="K593" s="26" t="str">
        <f t="shared" si="89"/>
        <v>PR</v>
      </c>
      <c r="L593" s="26" t="str">
        <f t="shared" si="90"/>
        <v>DGOSE</v>
      </c>
      <c r="M593" s="26" t="str">
        <f t="shared" si="96"/>
        <v>FEDERAL</v>
      </c>
      <c r="N593" s="26">
        <v>167</v>
      </c>
      <c r="O593" s="26">
        <v>97</v>
      </c>
      <c r="P593" s="26">
        <v>70</v>
      </c>
      <c r="Q593" s="26">
        <v>6</v>
      </c>
      <c r="R593" s="26">
        <v>1</v>
      </c>
      <c r="S593" s="26">
        <v>6</v>
      </c>
      <c r="T593" s="26">
        <v>7</v>
      </c>
      <c r="U593" s="26">
        <v>14</v>
      </c>
      <c r="V593" s="26">
        <v>1</v>
      </c>
      <c r="W593" s="26" t="s">
        <v>218</v>
      </c>
    </row>
    <row r="594" spans="1:23" x14ac:dyDescent="0.25">
      <c r="A594" s="26" t="str">
        <f t="shared" si="94"/>
        <v>PRIMARIA</v>
      </c>
      <c r="B594" s="26" t="str">
        <f>"09DPR1480T"</f>
        <v>09DPR1480T</v>
      </c>
      <c r="C594" s="26" t="str">
        <f>"EMILIANO ZAPATA                                                                                     "</f>
        <v xml:space="preserve">EMILIANO ZAPATA                                                                                     </v>
      </c>
      <c r="D594" s="26" t="str">
        <f>"MATUTINO"</f>
        <v>MATUTINO</v>
      </c>
      <c r="E594" s="26" t="str">
        <f>"FUNDIDORA DE MONTERREY 179                                                      "</f>
        <v xml:space="preserve">FUNDIDORA DE MONTERREY 179                                                      </v>
      </c>
      <c r="F594" s="26" t="str">
        <f>"INDUSTRIAL                                                                                                                                  "</f>
        <v xml:space="preserve">INDUSTRIAL                                                                                                                                  </v>
      </c>
      <c r="G594" s="26" t="str">
        <f>"GUSTAVO A. MADERO                                                               "</f>
        <v xml:space="preserve">GUSTAVO A. MADERO                                                               </v>
      </c>
      <c r="H594" s="26" t="str">
        <f>"246"</f>
        <v>246</v>
      </c>
      <c r="I594" s="26" t="str">
        <f t="shared" si="95"/>
        <v>00</v>
      </c>
      <c r="J594" s="26" t="str">
        <f>"42 "</f>
        <v xml:space="preserve">42 </v>
      </c>
      <c r="K594" s="26" t="str">
        <f t="shared" si="89"/>
        <v>PR</v>
      </c>
      <c r="L594" s="26" t="str">
        <f t="shared" si="90"/>
        <v>DGOSE</v>
      </c>
      <c r="M594" s="26" t="str">
        <f t="shared" si="96"/>
        <v>FEDERAL</v>
      </c>
      <c r="N594" s="26">
        <v>917</v>
      </c>
      <c r="O594" s="26">
        <v>466</v>
      </c>
      <c r="P594" s="26">
        <v>451</v>
      </c>
      <c r="Q594" s="26">
        <v>27</v>
      </c>
      <c r="R594" s="26">
        <v>1</v>
      </c>
      <c r="S594" s="26">
        <v>27</v>
      </c>
      <c r="T594" s="26">
        <v>20</v>
      </c>
      <c r="U594" s="26">
        <v>48</v>
      </c>
      <c r="V594" s="26">
        <v>1</v>
      </c>
      <c r="W594" s="26"/>
    </row>
    <row r="595" spans="1:23" x14ac:dyDescent="0.25">
      <c r="A595" s="26" t="str">
        <f t="shared" si="94"/>
        <v>PRIMARIA</v>
      </c>
      <c r="B595" s="26" t="str">
        <f>"09DPR1481S"</f>
        <v>09DPR1481S</v>
      </c>
      <c r="C595" s="26" t="str">
        <f>"KALPILLI                                                                                            "</f>
        <v xml:space="preserve">KALPILLI                                                                                            </v>
      </c>
      <c r="D595" s="26" t="str">
        <f>"VESPERTINO"</f>
        <v>VESPERTINO</v>
      </c>
      <c r="E595" s="26" t="str">
        <f>"LIC L CASTILLO LEDON NUM 121                                                    "</f>
        <v xml:space="preserve">LIC L CASTILLO LEDON NUM 121                                                    </v>
      </c>
      <c r="F595" s="26" t="str">
        <f>"CUAJIMALPA                                                                                                                                  "</f>
        <v xml:space="preserve">CUAJIMALPA                                                                                                                                  </v>
      </c>
      <c r="G595" s="26" t="str">
        <f>"CUAJIMALPA DE MORELOS                                                           "</f>
        <v xml:space="preserve">CUAJIMALPA DE MORELOS                                                           </v>
      </c>
      <c r="H595" s="26" t="str">
        <f>"302"</f>
        <v>302</v>
      </c>
      <c r="I595" s="26" t="str">
        <f t="shared" si="95"/>
        <v>00</v>
      </c>
      <c r="J595" s="26" t="str">
        <f>"43 "</f>
        <v xml:space="preserve">43 </v>
      </c>
      <c r="K595" s="26" t="str">
        <f t="shared" si="89"/>
        <v>PR</v>
      </c>
      <c r="L595" s="26" t="str">
        <f t="shared" si="90"/>
        <v>DGOSE</v>
      </c>
      <c r="M595" s="26" t="str">
        <f t="shared" si="96"/>
        <v>FEDERAL</v>
      </c>
      <c r="N595" s="26">
        <v>316</v>
      </c>
      <c r="O595" s="26">
        <v>158</v>
      </c>
      <c r="P595" s="26">
        <v>158</v>
      </c>
      <c r="Q595" s="26">
        <v>15</v>
      </c>
      <c r="R595" s="26">
        <v>1</v>
      </c>
      <c r="S595" s="26">
        <v>12</v>
      </c>
      <c r="T595" s="26">
        <v>8</v>
      </c>
      <c r="U595" s="26">
        <v>21</v>
      </c>
      <c r="V595" s="26">
        <v>1</v>
      </c>
      <c r="W595" s="26"/>
    </row>
    <row r="596" spans="1:23" x14ac:dyDescent="0.25">
      <c r="A596" s="26" t="str">
        <f t="shared" si="94"/>
        <v>PRIMARIA</v>
      </c>
      <c r="B596" s="26" t="str">
        <f>"09DPR1482R"</f>
        <v>09DPR1482R</v>
      </c>
      <c r="C596" s="26" t="str">
        <f>"HEROES DE PADIERNA                                                                                  "</f>
        <v xml:space="preserve">HEROES DE PADIERNA                                                                                  </v>
      </c>
      <c r="D596" s="26" t="str">
        <f>"JORNADA AMPLIADA"</f>
        <v>JORNADA AMPLIADA</v>
      </c>
      <c r="E596" s="26" t="str">
        <f>"AV OAXACA 18                                                                    "</f>
        <v xml:space="preserve">AV OAXACA 18                                                                    </v>
      </c>
      <c r="F596" s="26" t="str">
        <f>"HEROES DE PADIERNA                                                                                                                          "</f>
        <v xml:space="preserve">HEROES DE PADIERNA                                                                                                                          </v>
      </c>
      <c r="G596" s="26" t="str">
        <f>"LA MAGDALENA CONTRERAS                                                          "</f>
        <v xml:space="preserve">LA MAGDALENA CONTRERAS                                                          </v>
      </c>
      <c r="H596" s="26" t="str">
        <f>"408"</f>
        <v>408</v>
      </c>
      <c r="I596" s="26" t="str">
        <f t="shared" si="95"/>
        <v>00</v>
      </c>
      <c r="J596" s="26" t="str">
        <f>"44 "</f>
        <v xml:space="preserve">44 </v>
      </c>
      <c r="K596" s="26" t="str">
        <f t="shared" si="89"/>
        <v>PR</v>
      </c>
      <c r="L596" s="26" t="str">
        <f t="shared" si="90"/>
        <v>DGOSE</v>
      </c>
      <c r="M596" s="26" t="str">
        <f t="shared" si="96"/>
        <v>FEDERAL</v>
      </c>
      <c r="N596" s="26">
        <v>471</v>
      </c>
      <c r="O596" s="26">
        <v>241</v>
      </c>
      <c r="P596" s="26">
        <v>230</v>
      </c>
      <c r="Q596" s="26">
        <v>15</v>
      </c>
      <c r="R596" s="26">
        <v>1</v>
      </c>
      <c r="S596" s="26">
        <v>15</v>
      </c>
      <c r="T596" s="26">
        <v>11</v>
      </c>
      <c r="U596" s="26">
        <v>27</v>
      </c>
      <c r="V596" s="26">
        <v>1</v>
      </c>
      <c r="W596" s="26" t="s">
        <v>2076</v>
      </c>
    </row>
    <row r="597" spans="1:23" x14ac:dyDescent="0.25">
      <c r="A597" s="26" t="str">
        <f t="shared" si="94"/>
        <v>PRIMARIA</v>
      </c>
      <c r="B597" s="26" t="str">
        <f>"09DPR1485O"</f>
        <v>09DPR1485O</v>
      </c>
      <c r="C597" s="26" t="str">
        <f>"EMILIANO ZAPATA                                                                                     "</f>
        <v xml:space="preserve">EMILIANO ZAPATA                                                                                     </v>
      </c>
      <c r="D597" s="26" t="str">
        <f>"VESPERTINO"</f>
        <v>VESPERTINO</v>
      </c>
      <c r="E597" s="26" t="str">
        <f>"FUNDIDORA DE MONTERREY NO 179                                                   "</f>
        <v xml:space="preserve">FUNDIDORA DE MONTERREY NO 179                                                   </v>
      </c>
      <c r="F597" s="26" t="str">
        <f>"INDUSTRIAL                                                                                                                                  "</f>
        <v xml:space="preserve">INDUSTRIAL                                                                                                                                  </v>
      </c>
      <c r="G597" s="26" t="str">
        <f t="shared" ref="G597:G607" si="97">"GUSTAVO A. MADERO                                                               "</f>
        <v xml:space="preserve">GUSTAVO A. MADERO                                                               </v>
      </c>
      <c r="H597" s="26" t="str">
        <f>"246"</f>
        <v>246</v>
      </c>
      <c r="I597" s="26" t="str">
        <f t="shared" si="95"/>
        <v>00</v>
      </c>
      <c r="J597" s="26" t="str">
        <f t="shared" ref="J597:J603" si="98">"42 "</f>
        <v xml:space="preserve">42 </v>
      </c>
      <c r="K597" s="26" t="str">
        <f t="shared" si="89"/>
        <v>PR</v>
      </c>
      <c r="L597" s="26" t="str">
        <f t="shared" si="90"/>
        <v>DGOSE</v>
      </c>
      <c r="M597" s="26" t="str">
        <f t="shared" si="96"/>
        <v>FEDERAL</v>
      </c>
      <c r="N597" s="26">
        <v>749</v>
      </c>
      <c r="O597" s="26">
        <v>370</v>
      </c>
      <c r="P597" s="26">
        <v>379</v>
      </c>
      <c r="Q597" s="26">
        <v>26</v>
      </c>
      <c r="R597" s="26">
        <v>1</v>
      </c>
      <c r="S597" s="26">
        <v>26</v>
      </c>
      <c r="T597" s="26">
        <v>20</v>
      </c>
      <c r="U597" s="26">
        <v>47</v>
      </c>
      <c r="V597" s="26">
        <v>1</v>
      </c>
      <c r="W597" s="26"/>
    </row>
    <row r="598" spans="1:23" x14ac:dyDescent="0.25">
      <c r="A598" s="26" t="str">
        <f t="shared" si="94"/>
        <v>PRIMARIA</v>
      </c>
      <c r="B598" s="26" t="str">
        <f>"09DPR1486N"</f>
        <v>09DPR1486N</v>
      </c>
      <c r="C598" s="26" t="str">
        <f>"EJIDO DE ZACATENCO                                                                                  "</f>
        <v xml:space="preserve">EJIDO DE ZACATENCO                                                                                  </v>
      </c>
      <c r="D598" s="26" t="str">
        <f>"MATUTINO"</f>
        <v>MATUTINO</v>
      </c>
      <c r="E598" s="26" t="str">
        <f>"AV ACUEDUCTO 643                                                                "</f>
        <v xml:space="preserve">AV ACUEDUCTO 643                                                                </v>
      </c>
      <c r="F598" s="26" t="str">
        <f>"SAN PEDRO ZACATENCO                                                                                                                         "</f>
        <v xml:space="preserve">SAN PEDRO ZACATENCO                                                                                                                         </v>
      </c>
      <c r="G598" s="26" t="str">
        <f t="shared" si="97"/>
        <v xml:space="preserve">GUSTAVO A. MADERO                                                               </v>
      </c>
      <c r="H598" s="26" t="str">
        <f>"239"</f>
        <v>239</v>
      </c>
      <c r="I598" s="26" t="str">
        <f t="shared" si="95"/>
        <v>00</v>
      </c>
      <c r="J598" s="26" t="str">
        <f t="shared" si="98"/>
        <v xml:space="preserve">42 </v>
      </c>
      <c r="K598" s="26" t="str">
        <f t="shared" si="89"/>
        <v>PR</v>
      </c>
      <c r="L598" s="26" t="str">
        <f t="shared" si="90"/>
        <v>DGOSE</v>
      </c>
      <c r="M598" s="26" t="str">
        <f t="shared" si="96"/>
        <v>FEDERAL</v>
      </c>
      <c r="N598" s="26">
        <v>418</v>
      </c>
      <c r="O598" s="26">
        <v>217</v>
      </c>
      <c r="P598" s="26">
        <v>201</v>
      </c>
      <c r="Q598" s="26">
        <v>12</v>
      </c>
      <c r="R598" s="26">
        <v>1</v>
      </c>
      <c r="S598" s="26">
        <v>11</v>
      </c>
      <c r="T598" s="26">
        <v>12</v>
      </c>
      <c r="U598" s="26">
        <v>24</v>
      </c>
      <c r="V598" s="26">
        <v>1</v>
      </c>
      <c r="W598" s="26"/>
    </row>
    <row r="599" spans="1:23" x14ac:dyDescent="0.25">
      <c r="A599" s="26" t="str">
        <f t="shared" si="94"/>
        <v>PRIMARIA</v>
      </c>
      <c r="B599" s="26" t="str">
        <f>"09DPR1487M"</f>
        <v>09DPR1487M</v>
      </c>
      <c r="C599" s="26" t="str">
        <f>"EJIDO DE ZACATENCO                                                                                  "</f>
        <v xml:space="preserve">EJIDO DE ZACATENCO                                                                                  </v>
      </c>
      <c r="D599" s="26" t="str">
        <f>"VESPERTINO"</f>
        <v>VESPERTINO</v>
      </c>
      <c r="E599" s="26" t="str">
        <f>"AV ACUEDUCTO 643                                                                "</f>
        <v xml:space="preserve">AV ACUEDUCTO 643                                                                </v>
      </c>
      <c r="F599" s="26" t="str">
        <f>"SAN PEDRO ZACATENCO                                                                                                                         "</f>
        <v xml:space="preserve">SAN PEDRO ZACATENCO                                                                                                                         </v>
      </c>
      <c r="G599" s="26" t="str">
        <f t="shared" si="97"/>
        <v xml:space="preserve">GUSTAVO A. MADERO                                                               </v>
      </c>
      <c r="H599" s="26" t="str">
        <f>"239"</f>
        <v>239</v>
      </c>
      <c r="I599" s="26" t="str">
        <f t="shared" si="95"/>
        <v>00</v>
      </c>
      <c r="J599" s="26" t="str">
        <f t="shared" si="98"/>
        <v xml:space="preserve">42 </v>
      </c>
      <c r="K599" s="26" t="str">
        <f t="shared" si="89"/>
        <v>PR</v>
      </c>
      <c r="L599" s="26" t="str">
        <f t="shared" si="90"/>
        <v>DGOSE</v>
      </c>
      <c r="M599" s="26" t="str">
        <f t="shared" si="96"/>
        <v>FEDERAL</v>
      </c>
      <c r="N599" s="26">
        <v>127</v>
      </c>
      <c r="O599" s="26">
        <v>56</v>
      </c>
      <c r="P599" s="26">
        <v>71</v>
      </c>
      <c r="Q599" s="26">
        <v>6</v>
      </c>
      <c r="R599" s="26">
        <v>1</v>
      </c>
      <c r="S599" s="26">
        <v>6</v>
      </c>
      <c r="T599" s="26">
        <v>6</v>
      </c>
      <c r="U599" s="26">
        <v>13</v>
      </c>
      <c r="V599" s="26">
        <v>1</v>
      </c>
      <c r="W599" s="26"/>
    </row>
    <row r="600" spans="1:23" x14ac:dyDescent="0.25">
      <c r="A600" s="26" t="str">
        <f t="shared" si="94"/>
        <v>PRIMARIA</v>
      </c>
      <c r="B600" s="26" t="str">
        <f>"09DPR1488L"</f>
        <v>09DPR1488L</v>
      </c>
      <c r="C600" s="26" t="str">
        <f>"PROFR. EFREN VALENZUELA                                                                             "</f>
        <v xml:space="preserve">PROFR. EFREN VALENZUELA                                                                             </v>
      </c>
      <c r="D600" s="26" t="str">
        <f>"VESPERTINO"</f>
        <v>VESPERTINO</v>
      </c>
      <c r="E600" s="26" t="str">
        <f>"AV 529 PLAZA 4                                                                  "</f>
        <v xml:space="preserve">AV 529 PLAZA 4                                                                  </v>
      </c>
      <c r="F600" s="26" t="str">
        <f>"UNIDAD SAN JUAN DE ARAGON 1A SECCIO                                                                                                         "</f>
        <v xml:space="preserve">UNIDAD SAN JUAN DE ARAGON 1A SECCIO                                                                                                         </v>
      </c>
      <c r="G600" s="26" t="str">
        <f t="shared" si="97"/>
        <v xml:space="preserve">GUSTAVO A. MADERO                                                               </v>
      </c>
      <c r="H600" s="26" t="str">
        <f>"270"</f>
        <v>270</v>
      </c>
      <c r="I600" s="26" t="str">
        <f t="shared" si="95"/>
        <v>00</v>
      </c>
      <c r="J600" s="26" t="str">
        <f t="shared" si="98"/>
        <v xml:space="preserve">42 </v>
      </c>
      <c r="K600" s="26" t="str">
        <f t="shared" si="89"/>
        <v>PR</v>
      </c>
      <c r="L600" s="26" t="str">
        <f t="shared" si="90"/>
        <v>DGOSE</v>
      </c>
      <c r="M600" s="26" t="str">
        <f t="shared" si="96"/>
        <v>FEDERAL</v>
      </c>
      <c r="N600" s="26">
        <v>54</v>
      </c>
      <c r="O600" s="26">
        <v>23</v>
      </c>
      <c r="P600" s="26">
        <v>31</v>
      </c>
      <c r="Q600" s="26">
        <v>5</v>
      </c>
      <c r="R600" s="26">
        <v>1</v>
      </c>
      <c r="S600" s="26">
        <v>5</v>
      </c>
      <c r="T600" s="26">
        <v>3</v>
      </c>
      <c r="U600" s="26">
        <v>9</v>
      </c>
      <c r="V600" s="26">
        <v>1</v>
      </c>
      <c r="W600" s="26"/>
    </row>
    <row r="601" spans="1:23" x14ac:dyDescent="0.25">
      <c r="A601" s="26" t="str">
        <f t="shared" si="94"/>
        <v>PRIMARIA</v>
      </c>
      <c r="B601" s="26" t="str">
        <f>"09DPR1489K"</f>
        <v>09DPR1489K</v>
      </c>
      <c r="C601" s="26" t="str">
        <f>"REPUBLICA DE SUDAN                                                                                  "</f>
        <v xml:space="preserve">REPUBLICA DE SUDAN                                                                                  </v>
      </c>
      <c r="D601" s="26" t="str">
        <f>"MATUTINO"</f>
        <v>MATUTINO</v>
      </c>
      <c r="E601" s="26" t="str">
        <f>"EDO DE NAYARIT Y EDO DE TABASCO                                                 "</f>
        <v xml:space="preserve">EDO DE NAYARIT Y EDO DE TABASCO                                                 </v>
      </c>
      <c r="F601" s="26" t="str">
        <f>"LA PROVIDENCIA                                                                                                                              "</f>
        <v xml:space="preserve">LA PROVIDENCIA                                                                                                                              </v>
      </c>
      <c r="G601" s="26" t="str">
        <f t="shared" si="97"/>
        <v xml:space="preserve">GUSTAVO A. MADERO                                                               </v>
      </c>
      <c r="H601" s="26" t="str">
        <f>"265"</f>
        <v>265</v>
      </c>
      <c r="I601" s="26" t="str">
        <f t="shared" si="95"/>
        <v>00</v>
      </c>
      <c r="J601" s="26" t="str">
        <f t="shared" si="98"/>
        <v xml:space="preserve">42 </v>
      </c>
      <c r="K601" s="26" t="str">
        <f t="shared" si="89"/>
        <v>PR</v>
      </c>
      <c r="L601" s="26" t="str">
        <f t="shared" si="90"/>
        <v>DGOSE</v>
      </c>
      <c r="M601" s="26" t="str">
        <f t="shared" si="96"/>
        <v>FEDERAL</v>
      </c>
      <c r="N601" s="26">
        <v>334</v>
      </c>
      <c r="O601" s="26">
        <v>171</v>
      </c>
      <c r="P601" s="26">
        <v>163</v>
      </c>
      <c r="Q601" s="26">
        <v>12</v>
      </c>
      <c r="R601" s="26">
        <v>0</v>
      </c>
      <c r="S601" s="26">
        <v>12</v>
      </c>
      <c r="T601" s="26">
        <v>8</v>
      </c>
      <c r="U601" s="26">
        <v>20</v>
      </c>
      <c r="V601" s="26">
        <v>1</v>
      </c>
      <c r="W601" s="26"/>
    </row>
    <row r="602" spans="1:23" x14ac:dyDescent="0.25">
      <c r="A602" s="26" t="str">
        <f t="shared" si="94"/>
        <v>PRIMARIA</v>
      </c>
      <c r="B602" s="26" t="str">
        <f>"09DPR1490Z"</f>
        <v>09DPR1490Z</v>
      </c>
      <c r="C602" s="26" t="str">
        <f>"PROFR. EFREN VALENZUELA                                                                             "</f>
        <v xml:space="preserve">PROFR. EFREN VALENZUELA                                                                             </v>
      </c>
      <c r="D602" s="26" t="str">
        <f>"MATUTINO"</f>
        <v>MATUTINO</v>
      </c>
      <c r="E602" s="26" t="str">
        <f>"AV 529 PLAZA 4                                                                  "</f>
        <v xml:space="preserve">AV 529 PLAZA 4                                                                  </v>
      </c>
      <c r="F602" s="26" t="str">
        <f>"UNIDAD SAN JUAN DE ARAGON 1A SECCIO                                                                                                         "</f>
        <v xml:space="preserve">UNIDAD SAN JUAN DE ARAGON 1A SECCIO                                                                                                         </v>
      </c>
      <c r="G602" s="26" t="str">
        <f t="shared" si="97"/>
        <v xml:space="preserve">GUSTAVO A. MADERO                                                               </v>
      </c>
      <c r="H602" s="26" t="str">
        <f>"270"</f>
        <v>270</v>
      </c>
      <c r="I602" s="26" t="str">
        <f t="shared" si="95"/>
        <v>00</v>
      </c>
      <c r="J602" s="26" t="str">
        <f t="shared" si="98"/>
        <v xml:space="preserve">42 </v>
      </c>
      <c r="K602" s="26" t="str">
        <f t="shared" si="89"/>
        <v>PR</v>
      </c>
      <c r="L602" s="26" t="str">
        <f t="shared" si="90"/>
        <v>DGOSE</v>
      </c>
      <c r="M602" s="26" t="str">
        <f t="shared" si="96"/>
        <v>FEDERAL</v>
      </c>
      <c r="N602" s="26">
        <v>161</v>
      </c>
      <c r="O602" s="26">
        <v>85</v>
      </c>
      <c r="P602" s="26">
        <v>76</v>
      </c>
      <c r="Q602" s="26">
        <v>6</v>
      </c>
      <c r="R602" s="26">
        <v>1</v>
      </c>
      <c r="S602" s="26">
        <v>5</v>
      </c>
      <c r="T602" s="26">
        <v>9</v>
      </c>
      <c r="U602" s="26">
        <v>15</v>
      </c>
      <c r="V602" s="26">
        <v>1</v>
      </c>
      <c r="W602" s="26"/>
    </row>
    <row r="603" spans="1:23" x14ac:dyDescent="0.25">
      <c r="A603" s="26" t="str">
        <f t="shared" si="94"/>
        <v>PRIMARIA</v>
      </c>
      <c r="B603" s="26" t="str">
        <f>"09DPR1493X"</f>
        <v>09DPR1493X</v>
      </c>
      <c r="C603" s="26" t="str">
        <f>"GRAL. VICENTE GUERRERO                                                                              "</f>
        <v xml:space="preserve">GRAL. VICENTE GUERRERO                                                                              </v>
      </c>
      <c r="D603" s="26" t="str">
        <f>"MATUTINO"</f>
        <v>MATUTINO</v>
      </c>
      <c r="E603" s="26" t="str">
        <f>"MELCHOR MUZQUIZ NUM 116                                                         "</f>
        <v xml:space="preserve">MELCHOR MUZQUIZ NUM 116                                                         </v>
      </c>
      <c r="F603" s="26" t="str">
        <f>"ESTANZUELA                                                                                                                                  "</f>
        <v xml:space="preserve">ESTANZUELA                                                                                                                                  </v>
      </c>
      <c r="G603" s="26" t="str">
        <f t="shared" si="97"/>
        <v xml:space="preserve">GUSTAVO A. MADERO                                                               </v>
      </c>
      <c r="H603" s="26" t="str">
        <f>"248"</f>
        <v>248</v>
      </c>
      <c r="I603" s="26" t="str">
        <f t="shared" si="95"/>
        <v>00</v>
      </c>
      <c r="J603" s="26" t="str">
        <f t="shared" si="98"/>
        <v xml:space="preserve">42 </v>
      </c>
      <c r="K603" s="26" t="str">
        <f t="shared" si="89"/>
        <v>PR</v>
      </c>
      <c r="L603" s="26" t="str">
        <f t="shared" si="90"/>
        <v>DGOSE</v>
      </c>
      <c r="M603" s="26" t="str">
        <f t="shared" si="96"/>
        <v>FEDERAL</v>
      </c>
      <c r="N603" s="26">
        <v>351</v>
      </c>
      <c r="O603" s="26">
        <v>184</v>
      </c>
      <c r="P603" s="26">
        <v>167</v>
      </c>
      <c r="Q603" s="26">
        <v>12</v>
      </c>
      <c r="R603" s="26">
        <v>1</v>
      </c>
      <c r="S603" s="26">
        <v>12</v>
      </c>
      <c r="T603" s="26">
        <v>7</v>
      </c>
      <c r="U603" s="26">
        <v>20</v>
      </c>
      <c r="V603" s="26">
        <v>1</v>
      </c>
      <c r="W603" s="26"/>
    </row>
    <row r="604" spans="1:23" x14ac:dyDescent="0.25">
      <c r="A604" s="26" t="str">
        <f t="shared" si="94"/>
        <v>PRIMARIA</v>
      </c>
      <c r="B604" s="26" t="str">
        <f>"09DPR1495V"</f>
        <v>09DPR1495V</v>
      </c>
      <c r="C604" s="26" t="str">
        <f>"DR. ATL                                                                                             "</f>
        <v xml:space="preserve">DR. ATL                                                                                             </v>
      </c>
      <c r="D604" s="26" t="str">
        <f>"TIEMPO COMPLETO"</f>
        <v>TIEMPO COMPLETO</v>
      </c>
      <c r="E604" s="26" t="str">
        <f>"PTE. 126 MZ. 28 NUM. 282                                                        "</f>
        <v xml:space="preserve">PTE. 126 MZ. 28 NUM. 282                                                        </v>
      </c>
      <c r="F604" s="26" t="str">
        <f>"NUEVA VALLEJO                                                                                                                               "</f>
        <v xml:space="preserve">NUEVA VALLEJO                                                                                                                               </v>
      </c>
      <c r="G604" s="26" t="str">
        <f t="shared" si="97"/>
        <v xml:space="preserve">GUSTAVO A. MADERO                                                               </v>
      </c>
      <c r="H604" s="26" t="str">
        <f>"134"</f>
        <v>134</v>
      </c>
      <c r="I604" s="26" t="str">
        <f t="shared" si="95"/>
        <v>00</v>
      </c>
      <c r="J604" s="26" t="str">
        <f>"41 "</f>
        <v xml:space="preserve">41 </v>
      </c>
      <c r="K604" s="26" t="str">
        <f t="shared" si="89"/>
        <v>PR</v>
      </c>
      <c r="L604" s="26" t="str">
        <f t="shared" si="90"/>
        <v>DGOSE</v>
      </c>
      <c r="M604" s="26" t="str">
        <f t="shared" si="96"/>
        <v>FEDERAL</v>
      </c>
      <c r="N604" s="26">
        <v>529</v>
      </c>
      <c r="O604" s="26">
        <v>261</v>
      </c>
      <c r="P604" s="26">
        <v>268</v>
      </c>
      <c r="Q604" s="26">
        <v>18</v>
      </c>
      <c r="R604" s="26">
        <v>1</v>
      </c>
      <c r="S604" s="26">
        <v>18</v>
      </c>
      <c r="T604" s="26">
        <v>16</v>
      </c>
      <c r="U604" s="26">
        <v>35</v>
      </c>
      <c r="V604" s="26">
        <v>1</v>
      </c>
      <c r="W604" s="26" t="s">
        <v>218</v>
      </c>
    </row>
    <row r="605" spans="1:23" x14ac:dyDescent="0.25">
      <c r="A605" s="26" t="str">
        <f t="shared" si="94"/>
        <v>PRIMARIA</v>
      </c>
      <c r="B605" s="26" t="str">
        <f>"09DPR1496U"</f>
        <v>09DPR1496U</v>
      </c>
      <c r="C605" s="26" t="str">
        <f>"DINAMARCA                                                                                           "</f>
        <v xml:space="preserve">DINAMARCA                                                                                           </v>
      </c>
      <c r="D605" s="26" t="str">
        <f>"MATUTINO"</f>
        <v>MATUTINO</v>
      </c>
      <c r="E605" s="26" t="str">
        <f>"CALLE 317 Y CALLE 302                                                           "</f>
        <v xml:space="preserve">CALLE 317 Y CALLE 302                                                           </v>
      </c>
      <c r="F605" s="26" t="str">
        <f>"UNIDAD HABITACIONAL EL COYOL                                                                                                                "</f>
        <v xml:space="preserve">UNIDAD HABITACIONAL EL COYOL                                                                                                                </v>
      </c>
      <c r="G605" s="26" t="str">
        <f t="shared" si="97"/>
        <v xml:space="preserve">GUSTAVO A. MADERO                                                               </v>
      </c>
      <c r="H605" s="26" t="str">
        <f>"257"</f>
        <v>257</v>
      </c>
      <c r="I605" s="26" t="str">
        <f t="shared" si="95"/>
        <v>00</v>
      </c>
      <c r="J605" s="26" t="str">
        <f>"42 "</f>
        <v xml:space="preserve">42 </v>
      </c>
      <c r="K605" s="26" t="str">
        <f t="shared" si="89"/>
        <v>PR</v>
      </c>
      <c r="L605" s="26" t="str">
        <f t="shared" si="90"/>
        <v>DGOSE</v>
      </c>
      <c r="M605" s="26" t="str">
        <f t="shared" si="96"/>
        <v>FEDERAL</v>
      </c>
      <c r="N605" s="26">
        <v>322</v>
      </c>
      <c r="O605" s="26">
        <v>160</v>
      </c>
      <c r="P605" s="26">
        <v>162</v>
      </c>
      <c r="Q605" s="26">
        <v>13</v>
      </c>
      <c r="R605" s="26">
        <v>1</v>
      </c>
      <c r="S605" s="26">
        <v>13</v>
      </c>
      <c r="T605" s="26">
        <v>10</v>
      </c>
      <c r="U605" s="26">
        <v>24</v>
      </c>
      <c r="V605" s="26">
        <v>1</v>
      </c>
      <c r="W605" s="26"/>
    </row>
    <row r="606" spans="1:23" x14ac:dyDescent="0.25">
      <c r="A606" s="26" t="str">
        <f t="shared" si="94"/>
        <v>PRIMARIA</v>
      </c>
      <c r="B606" s="26" t="str">
        <f>"09DPR1498S"</f>
        <v>09DPR1498S</v>
      </c>
      <c r="C606" s="26" t="str">
        <f>"DINAMARCA                                                                                           "</f>
        <v xml:space="preserve">DINAMARCA                                                                                           </v>
      </c>
      <c r="D606" s="26" t="str">
        <f>"VESPERTINO"</f>
        <v>VESPERTINO</v>
      </c>
      <c r="E606" s="26" t="str">
        <f>"CALLE 317 Y CALLE 302                                                           "</f>
        <v xml:space="preserve">CALLE 317 Y CALLE 302                                                           </v>
      </c>
      <c r="F606" s="26" t="str">
        <f>"UNIDAD HABITACIONAL EL COYOL                                                                                                                "</f>
        <v xml:space="preserve">UNIDAD HABITACIONAL EL COYOL                                                                                                                </v>
      </c>
      <c r="G606" s="26" t="str">
        <f t="shared" si="97"/>
        <v xml:space="preserve">GUSTAVO A. MADERO                                                               </v>
      </c>
      <c r="H606" s="26" t="str">
        <f>"257"</f>
        <v>257</v>
      </c>
      <c r="I606" s="26" t="str">
        <f t="shared" si="95"/>
        <v>00</v>
      </c>
      <c r="J606" s="26" t="str">
        <f>"42 "</f>
        <v xml:space="preserve">42 </v>
      </c>
      <c r="K606" s="26" t="str">
        <f t="shared" si="89"/>
        <v>PR</v>
      </c>
      <c r="L606" s="26" t="str">
        <f t="shared" si="90"/>
        <v>DGOSE</v>
      </c>
      <c r="M606" s="26" t="str">
        <f t="shared" si="96"/>
        <v>FEDERAL</v>
      </c>
      <c r="N606" s="26">
        <v>140</v>
      </c>
      <c r="O606" s="26">
        <v>75</v>
      </c>
      <c r="P606" s="26">
        <v>65</v>
      </c>
      <c r="Q606" s="26">
        <v>8</v>
      </c>
      <c r="R606" s="26">
        <v>1</v>
      </c>
      <c r="S606" s="26">
        <v>8</v>
      </c>
      <c r="T606" s="26">
        <v>6</v>
      </c>
      <c r="U606" s="26">
        <v>15</v>
      </c>
      <c r="V606" s="26">
        <v>1</v>
      </c>
      <c r="W606" s="26"/>
    </row>
    <row r="607" spans="1:23" x14ac:dyDescent="0.25">
      <c r="A607" s="26" t="str">
        <f t="shared" si="94"/>
        <v>PRIMARIA</v>
      </c>
      <c r="B607" s="26" t="str">
        <f>"09DPR1499R"</f>
        <v>09DPR1499R</v>
      </c>
      <c r="C607" s="26" t="str">
        <f>"PROFR. DAVID PROSPERO CARDONA                                                                       "</f>
        <v xml:space="preserve">PROFR. DAVID PROSPERO CARDONA                                                                       </v>
      </c>
      <c r="D607" s="26" t="str">
        <f>"JORNADA AMPLIADA"</f>
        <v>JORNADA AMPLIADA</v>
      </c>
      <c r="E607" s="26" t="str">
        <f>"GRANITO 6420                                                                    "</f>
        <v xml:space="preserve">GRANITO 6420                                                                    </v>
      </c>
      <c r="F607" s="26" t="str">
        <f>"TRES ESTRELLAS                                                                                                                              "</f>
        <v xml:space="preserve">TRES ESTRELLAS                                                                                                                              </v>
      </c>
      <c r="G607" s="26" t="str">
        <f t="shared" si="97"/>
        <v xml:space="preserve">GUSTAVO A. MADERO                                                               </v>
      </c>
      <c r="H607" s="26" t="str">
        <f>"135"</f>
        <v>135</v>
      </c>
      <c r="I607" s="26" t="str">
        <f t="shared" si="95"/>
        <v>00</v>
      </c>
      <c r="J607" s="26" t="str">
        <f>"41 "</f>
        <v xml:space="preserve">41 </v>
      </c>
      <c r="K607" s="26" t="str">
        <f t="shared" si="89"/>
        <v>PR</v>
      </c>
      <c r="L607" s="26" t="str">
        <f t="shared" si="90"/>
        <v>DGOSE</v>
      </c>
      <c r="M607" s="26" t="str">
        <f t="shared" si="96"/>
        <v>FEDERAL</v>
      </c>
      <c r="N607" s="26">
        <v>78</v>
      </c>
      <c r="O607" s="26">
        <v>42</v>
      </c>
      <c r="P607" s="26">
        <v>36</v>
      </c>
      <c r="Q607" s="26">
        <v>6</v>
      </c>
      <c r="R607" s="26">
        <v>1</v>
      </c>
      <c r="S607" s="26">
        <v>6</v>
      </c>
      <c r="T607" s="26">
        <v>4</v>
      </c>
      <c r="U607" s="26">
        <v>11</v>
      </c>
      <c r="V607" s="26">
        <v>1</v>
      </c>
      <c r="W607" s="26" t="s">
        <v>2076</v>
      </c>
    </row>
    <row r="608" spans="1:23" x14ac:dyDescent="0.25">
      <c r="A608" s="26" t="str">
        <f t="shared" si="94"/>
        <v>PRIMARIA</v>
      </c>
      <c r="B608" s="26" t="str">
        <f>"09DPR1501P"</f>
        <v>09DPR1501P</v>
      </c>
      <c r="C608" s="26" t="str">
        <f>"VIDAL ALCOCER                                                                                       "</f>
        <v xml:space="preserve">VIDAL ALCOCER                                                                                       </v>
      </c>
      <c r="D608" s="26" t="str">
        <f>"MATUTINO"</f>
        <v>MATUTINO</v>
      </c>
      <c r="E608" s="26" t="str">
        <f>"MAGISTERIO NACIONAL NUM 102                                                     "</f>
        <v xml:space="preserve">MAGISTERIO NACIONAL NUM 102                                                     </v>
      </c>
      <c r="F608" s="26" t="str">
        <f>"TLALPAN                                                                                                                                     "</f>
        <v xml:space="preserve">TLALPAN                                                                                                                                     </v>
      </c>
      <c r="G608" s="26" t="str">
        <f>"TLALPAN                                                                         "</f>
        <v xml:space="preserve">TLALPAN                                                                         </v>
      </c>
      <c r="H608" s="26" t="str">
        <f>"520"</f>
        <v>520</v>
      </c>
      <c r="I608" s="26" t="str">
        <f t="shared" si="95"/>
        <v>00</v>
      </c>
      <c r="J608" s="26" t="str">
        <f>"45 "</f>
        <v xml:space="preserve">45 </v>
      </c>
      <c r="K608" s="26" t="str">
        <f t="shared" si="89"/>
        <v>PR</v>
      </c>
      <c r="L608" s="26" t="str">
        <f t="shared" si="90"/>
        <v>DGOSE</v>
      </c>
      <c r="M608" s="26" t="str">
        <f t="shared" si="96"/>
        <v>FEDERAL</v>
      </c>
      <c r="N608" s="26">
        <v>514</v>
      </c>
      <c r="O608" s="26">
        <v>254</v>
      </c>
      <c r="P608" s="26">
        <v>260</v>
      </c>
      <c r="Q608" s="26">
        <v>15</v>
      </c>
      <c r="R608" s="26">
        <v>1</v>
      </c>
      <c r="S608" s="26">
        <v>14</v>
      </c>
      <c r="T608" s="26">
        <v>8</v>
      </c>
      <c r="U608" s="26">
        <v>23</v>
      </c>
      <c r="V608" s="26">
        <v>1</v>
      </c>
      <c r="W608" s="26"/>
    </row>
    <row r="609" spans="1:23" x14ac:dyDescent="0.25">
      <c r="A609" s="26" t="str">
        <f t="shared" si="94"/>
        <v>PRIMARIA</v>
      </c>
      <c r="B609" s="26" t="str">
        <f>"09DPR1502O"</f>
        <v>09DPR1502O</v>
      </c>
      <c r="C609" s="26" t="str">
        <f>"VIDAL ALCOCER                                                                                       "</f>
        <v xml:space="preserve">VIDAL ALCOCER                                                                                       </v>
      </c>
      <c r="D609" s="26" t="str">
        <f>"VESPERTINO"</f>
        <v>VESPERTINO</v>
      </c>
      <c r="E609" s="26" t="str">
        <f>"MAGISTERIO NACIONAL NUM 102                                                     "</f>
        <v xml:space="preserve">MAGISTERIO NACIONAL NUM 102                                                     </v>
      </c>
      <c r="F609" s="26" t="str">
        <f>"TLALPAN                                                                                                                                     "</f>
        <v xml:space="preserve">TLALPAN                                                                                                                                     </v>
      </c>
      <c r="G609" s="26" t="str">
        <f>"TLALPAN                                                                         "</f>
        <v xml:space="preserve">TLALPAN                                                                         </v>
      </c>
      <c r="H609" s="26" t="str">
        <f>"520"</f>
        <v>520</v>
      </c>
      <c r="I609" s="26" t="str">
        <f t="shared" si="95"/>
        <v>00</v>
      </c>
      <c r="J609" s="26" t="str">
        <f>"45 "</f>
        <v xml:space="preserve">45 </v>
      </c>
      <c r="K609" s="26" t="str">
        <f t="shared" si="89"/>
        <v>PR</v>
      </c>
      <c r="L609" s="26" t="str">
        <f t="shared" si="90"/>
        <v>DGOSE</v>
      </c>
      <c r="M609" s="26" t="str">
        <f t="shared" si="96"/>
        <v>FEDERAL</v>
      </c>
      <c r="N609" s="26">
        <v>272</v>
      </c>
      <c r="O609" s="26">
        <v>134</v>
      </c>
      <c r="P609" s="26">
        <v>138</v>
      </c>
      <c r="Q609" s="26">
        <v>12</v>
      </c>
      <c r="R609" s="26">
        <v>1</v>
      </c>
      <c r="S609" s="26">
        <v>12</v>
      </c>
      <c r="T609" s="26">
        <v>8</v>
      </c>
      <c r="U609" s="26">
        <v>21</v>
      </c>
      <c r="V609" s="26">
        <v>1</v>
      </c>
      <c r="W609" s="26"/>
    </row>
    <row r="610" spans="1:23" x14ac:dyDescent="0.25">
      <c r="A610" s="26" t="str">
        <f t="shared" si="94"/>
        <v>PRIMARIA</v>
      </c>
      <c r="B610" s="26" t="str">
        <f>"09DPR1504M"</f>
        <v>09DPR1504M</v>
      </c>
      <c r="C610" s="26" t="str">
        <f>"REPUBLICA DEL CONGO                                                                                 "</f>
        <v xml:space="preserve">REPUBLICA DEL CONGO                                                                                 </v>
      </c>
      <c r="D610" s="26" t="str">
        <f>"MATUTINO"</f>
        <v>MATUTINO</v>
      </c>
      <c r="E610" s="26" t="str">
        <f>"AV HIDALGO Y CALLE 30                                                           "</f>
        <v xml:space="preserve">AV HIDALGO Y CALLE 30                                                           </v>
      </c>
      <c r="F610" s="26" t="str">
        <f>"OLIVAR DEL CONDE 2A SECCION                                                                                                                 "</f>
        <v xml:space="preserve">OLIVAR DEL CONDE 2A SECCION                                                                                                                 </v>
      </c>
      <c r="G610" s="26" t="str">
        <f>"ALVARO OBREGON                                                                  "</f>
        <v xml:space="preserve">ALVARO OBREGON                                                                  </v>
      </c>
      <c r="H610" s="26" t="str">
        <f>"314"</f>
        <v>314</v>
      </c>
      <c r="I610" s="26" t="str">
        <f t="shared" si="95"/>
        <v>00</v>
      </c>
      <c r="J610" s="26" t="str">
        <f>"43 "</f>
        <v xml:space="preserve">43 </v>
      </c>
      <c r="K610" s="26" t="str">
        <f t="shared" si="89"/>
        <v>PR</v>
      </c>
      <c r="L610" s="26" t="str">
        <f t="shared" si="90"/>
        <v>DGOSE</v>
      </c>
      <c r="M610" s="26" t="str">
        <f t="shared" si="96"/>
        <v>FEDERAL</v>
      </c>
      <c r="N610" s="26">
        <v>172</v>
      </c>
      <c r="O610" s="26">
        <v>85</v>
      </c>
      <c r="P610" s="26">
        <v>87</v>
      </c>
      <c r="Q610" s="26">
        <v>6</v>
      </c>
      <c r="R610" s="26">
        <v>1</v>
      </c>
      <c r="S610" s="26">
        <v>6</v>
      </c>
      <c r="T610" s="26">
        <v>5</v>
      </c>
      <c r="U610" s="26">
        <v>12</v>
      </c>
      <c r="V610" s="26">
        <v>1</v>
      </c>
      <c r="W610" s="26"/>
    </row>
    <row r="611" spans="1:23" x14ac:dyDescent="0.25">
      <c r="A611" s="26" t="str">
        <f t="shared" si="94"/>
        <v>PRIMARIA</v>
      </c>
      <c r="B611" s="26" t="str">
        <f>"09DPR1506K"</f>
        <v>09DPR1506K</v>
      </c>
      <c r="C611" s="26" t="str">
        <f>"CUAUHTEMOC                                                                                          "</f>
        <v xml:space="preserve">CUAUHTEMOC                                                                                          </v>
      </c>
      <c r="D611" s="26" t="str">
        <f>"TIEMPO COMPLETO"</f>
        <v>TIEMPO COMPLETO</v>
      </c>
      <c r="E611" s="26" t="str">
        <f>"STRAUSS NUM 48                                                                  "</f>
        <v xml:space="preserve">STRAUSS NUM 48                                                                  </v>
      </c>
      <c r="F611" s="26" t="str">
        <f>"VALLEJO                                                                                                                                     "</f>
        <v xml:space="preserve">VALLEJO                                                                                                                                     </v>
      </c>
      <c r="G611" s="26" t="str">
        <f t="shared" ref="G611:G623" si="99">"GUSTAVO A. MADERO                                                               "</f>
        <v xml:space="preserve">GUSTAVO A. MADERO                                                               </v>
      </c>
      <c r="H611" s="26" t="str">
        <f>"136"</f>
        <v>136</v>
      </c>
      <c r="I611" s="26" t="str">
        <f t="shared" si="95"/>
        <v>00</v>
      </c>
      <c r="J611" s="26" t="str">
        <f>"41 "</f>
        <v xml:space="preserve">41 </v>
      </c>
      <c r="K611" s="26" t="str">
        <f t="shared" si="89"/>
        <v>PR</v>
      </c>
      <c r="L611" s="26" t="str">
        <f t="shared" si="90"/>
        <v>DGOSE</v>
      </c>
      <c r="M611" s="26" t="str">
        <f t="shared" si="96"/>
        <v>FEDERAL</v>
      </c>
      <c r="N611" s="26">
        <v>306</v>
      </c>
      <c r="O611" s="26">
        <v>160</v>
      </c>
      <c r="P611" s="26">
        <v>146</v>
      </c>
      <c r="Q611" s="26">
        <v>12</v>
      </c>
      <c r="R611" s="26">
        <v>1</v>
      </c>
      <c r="S611" s="26">
        <v>12</v>
      </c>
      <c r="T611" s="26">
        <v>13</v>
      </c>
      <c r="U611" s="26">
        <v>26</v>
      </c>
      <c r="V611" s="26">
        <v>1</v>
      </c>
      <c r="W611" s="26" t="s">
        <v>218</v>
      </c>
    </row>
    <row r="612" spans="1:23" x14ac:dyDescent="0.25">
      <c r="A612" s="26" t="str">
        <f t="shared" si="94"/>
        <v>PRIMARIA</v>
      </c>
      <c r="B612" s="26" t="str">
        <f>"09DPR1507J"</f>
        <v>09DPR1507J</v>
      </c>
      <c r="C612" s="26" t="str">
        <f>"QUETZALCOATL                                                                                        "</f>
        <v xml:space="preserve">QUETZALCOATL                                                                                        </v>
      </c>
      <c r="D612" s="26" t="str">
        <f>"MATUTINO"</f>
        <v>MATUTINO</v>
      </c>
      <c r="E612" s="26" t="str">
        <f>"GUADALUPE VICTORIA Y ESTUD S/N                                                  "</f>
        <v xml:space="preserve">GUADALUPE VICTORIA Y ESTUD S/N                                                  </v>
      </c>
      <c r="F612" s="26" t="str">
        <f>"25 DE JULIO                                                                                                                                 "</f>
        <v xml:space="preserve">25 DE JULIO                                                                                                                                 </v>
      </c>
      <c r="G612" s="26" t="str">
        <f t="shared" si="99"/>
        <v xml:space="preserve">GUSTAVO A. MADERO                                                               </v>
      </c>
      <c r="H612" s="26" t="str">
        <f>"261"</f>
        <v>261</v>
      </c>
      <c r="I612" s="26" t="str">
        <f t="shared" si="95"/>
        <v>00</v>
      </c>
      <c r="J612" s="26" t="str">
        <f>"42 "</f>
        <v xml:space="preserve">42 </v>
      </c>
      <c r="K612" s="26" t="str">
        <f t="shared" si="89"/>
        <v>PR</v>
      </c>
      <c r="L612" s="26" t="str">
        <f t="shared" si="90"/>
        <v>DGOSE</v>
      </c>
      <c r="M612" s="26" t="str">
        <f t="shared" si="96"/>
        <v>FEDERAL</v>
      </c>
      <c r="N612" s="26">
        <v>511</v>
      </c>
      <c r="O612" s="26">
        <v>258</v>
      </c>
      <c r="P612" s="26">
        <v>253</v>
      </c>
      <c r="Q612" s="26">
        <v>18</v>
      </c>
      <c r="R612" s="26">
        <v>1</v>
      </c>
      <c r="S612" s="26">
        <v>17</v>
      </c>
      <c r="T612" s="26">
        <v>13</v>
      </c>
      <c r="U612" s="26">
        <v>31</v>
      </c>
      <c r="V612" s="26">
        <v>1</v>
      </c>
      <c r="W612" s="26"/>
    </row>
    <row r="613" spans="1:23" x14ac:dyDescent="0.25">
      <c r="A613" s="26" t="str">
        <f t="shared" si="94"/>
        <v>PRIMARIA</v>
      </c>
      <c r="B613" s="26" t="str">
        <f>"09DPR1508I"</f>
        <v>09DPR1508I</v>
      </c>
      <c r="C613" s="26" t="str">
        <f>"MTRO. SILIO R. ESCALANTE                                                                            "</f>
        <v xml:space="preserve">MTRO. SILIO R. ESCALANTE                                                                            </v>
      </c>
      <c r="D613" s="26" t="str">
        <f>"JORNADA AMPLIADA"</f>
        <v>JORNADA AMPLIADA</v>
      </c>
      <c r="E613" s="26" t="str">
        <f>"FRAY PEDRO DE GANTE NUM 159                                                     "</f>
        <v xml:space="preserve">FRAY PEDRO DE GANTE NUM 159                                                     </v>
      </c>
      <c r="F613" s="26" t="str">
        <f>"VASCO DE QUIROGA                                                                                                                            "</f>
        <v xml:space="preserve">VASCO DE QUIROGA                                                                                                                            </v>
      </c>
      <c r="G613" s="26" t="str">
        <f t="shared" si="99"/>
        <v xml:space="preserve">GUSTAVO A. MADERO                                                               </v>
      </c>
      <c r="H613" s="26" t="str">
        <f>"138"</f>
        <v>138</v>
      </c>
      <c r="I613" s="26" t="str">
        <f t="shared" si="95"/>
        <v>00</v>
      </c>
      <c r="J613" s="26" t="str">
        <f t="shared" ref="J613:J618" si="100">"41 "</f>
        <v xml:space="preserve">41 </v>
      </c>
      <c r="K613" s="26" t="str">
        <f t="shared" si="89"/>
        <v>PR</v>
      </c>
      <c r="L613" s="26" t="str">
        <f t="shared" si="90"/>
        <v>DGOSE</v>
      </c>
      <c r="M613" s="26" t="str">
        <f t="shared" si="96"/>
        <v>FEDERAL</v>
      </c>
      <c r="N613" s="26">
        <v>500</v>
      </c>
      <c r="O613" s="26">
        <v>265</v>
      </c>
      <c r="P613" s="26">
        <v>235</v>
      </c>
      <c r="Q613" s="26">
        <v>18</v>
      </c>
      <c r="R613" s="26">
        <v>1</v>
      </c>
      <c r="S613" s="26">
        <v>18</v>
      </c>
      <c r="T613" s="26">
        <v>11</v>
      </c>
      <c r="U613" s="26">
        <v>30</v>
      </c>
      <c r="V613" s="26">
        <v>1</v>
      </c>
      <c r="W613" s="26" t="s">
        <v>2076</v>
      </c>
    </row>
    <row r="614" spans="1:23" x14ac:dyDescent="0.25">
      <c r="A614" s="26" t="str">
        <f t="shared" si="94"/>
        <v>PRIMARIA</v>
      </c>
      <c r="B614" s="26" t="str">
        <f>"09DPR1510X"</f>
        <v>09DPR1510X</v>
      </c>
      <c r="C614" s="26" t="str">
        <f>"RICARDO REYES                                                                                       "</f>
        <v xml:space="preserve">RICARDO REYES                                                                                       </v>
      </c>
      <c r="D614" s="26" t="str">
        <f>"TIEMPO COMPLETO"</f>
        <v>TIEMPO COMPLETO</v>
      </c>
      <c r="E614" s="26" t="str">
        <f>"NORTE 74 A NO 5836                                                              "</f>
        <v xml:space="preserve">NORTE 74 A NO 5836                                                              </v>
      </c>
      <c r="F614" s="26" t="str">
        <f>"FAJA DE ORO                                                                                                                                 "</f>
        <v xml:space="preserve">FAJA DE ORO                                                                                                                                 </v>
      </c>
      <c r="G614" s="26" t="str">
        <f t="shared" si="99"/>
        <v xml:space="preserve">GUSTAVO A. MADERO                                                               </v>
      </c>
      <c r="H614" s="26" t="str">
        <f>"137"</f>
        <v>137</v>
      </c>
      <c r="I614" s="26" t="str">
        <f t="shared" si="95"/>
        <v>00</v>
      </c>
      <c r="J614" s="26" t="str">
        <f t="shared" si="100"/>
        <v xml:space="preserve">41 </v>
      </c>
      <c r="K614" s="26" t="str">
        <f t="shared" si="89"/>
        <v>PR</v>
      </c>
      <c r="L614" s="26" t="str">
        <f t="shared" si="90"/>
        <v>DGOSE</v>
      </c>
      <c r="M614" s="26" t="str">
        <f t="shared" si="96"/>
        <v>FEDERAL</v>
      </c>
      <c r="N614" s="26">
        <v>212</v>
      </c>
      <c r="O614" s="26">
        <v>111</v>
      </c>
      <c r="P614" s="26">
        <v>101</v>
      </c>
      <c r="Q614" s="26">
        <v>9</v>
      </c>
      <c r="R614" s="26">
        <v>1</v>
      </c>
      <c r="S614" s="26">
        <v>9</v>
      </c>
      <c r="T614" s="26">
        <v>10</v>
      </c>
      <c r="U614" s="26">
        <v>20</v>
      </c>
      <c r="V614" s="26">
        <v>1</v>
      </c>
      <c r="W614" s="26" t="s">
        <v>218</v>
      </c>
    </row>
    <row r="615" spans="1:23" x14ac:dyDescent="0.25">
      <c r="A615" s="26" t="str">
        <f t="shared" si="94"/>
        <v>PRIMARIA</v>
      </c>
      <c r="B615" s="26" t="str">
        <f>"09DPR1513U"</f>
        <v>09DPR1513U</v>
      </c>
      <c r="C615" s="26" t="str">
        <f>"CONSTITUCION DE APATZINGAN                                                                          "</f>
        <v xml:space="preserve">CONSTITUCION DE APATZINGAN                                                                          </v>
      </c>
      <c r="D615" s="26" t="str">
        <f>"JORNADA AMPLIADA"</f>
        <v>JORNADA AMPLIADA</v>
      </c>
      <c r="E615" s="26" t="str">
        <f>"PTO ENSENADA Y SALINA CRUZ S/N                                                  "</f>
        <v xml:space="preserve">PTO ENSENADA Y SALINA CRUZ S/N                                                  </v>
      </c>
      <c r="F615" s="26" t="str">
        <f>"CASAS ALEMAN AMPLIACION                                                                                                                     "</f>
        <v xml:space="preserve">CASAS ALEMAN AMPLIACION                                                                                                                     </v>
      </c>
      <c r="G615" s="26" t="str">
        <f t="shared" si="99"/>
        <v xml:space="preserve">GUSTAVO A. MADERO                                                               </v>
      </c>
      <c r="H615" s="26" t="str">
        <f>"139"</f>
        <v>139</v>
      </c>
      <c r="I615" s="26" t="str">
        <f t="shared" si="95"/>
        <v>00</v>
      </c>
      <c r="J615" s="26" t="str">
        <f t="shared" si="100"/>
        <v xml:space="preserve">41 </v>
      </c>
      <c r="K615" s="26" t="str">
        <f t="shared" si="89"/>
        <v>PR</v>
      </c>
      <c r="L615" s="26" t="str">
        <f t="shared" si="90"/>
        <v>DGOSE</v>
      </c>
      <c r="M615" s="26" t="str">
        <f t="shared" si="96"/>
        <v>FEDERAL</v>
      </c>
      <c r="N615" s="26">
        <v>328</v>
      </c>
      <c r="O615" s="26">
        <v>168</v>
      </c>
      <c r="P615" s="26">
        <v>160</v>
      </c>
      <c r="Q615" s="26">
        <v>12</v>
      </c>
      <c r="R615" s="26">
        <v>1</v>
      </c>
      <c r="S615" s="26">
        <v>12</v>
      </c>
      <c r="T615" s="26">
        <v>9</v>
      </c>
      <c r="U615" s="26">
        <v>22</v>
      </c>
      <c r="V615" s="26">
        <v>1</v>
      </c>
      <c r="W615" s="26" t="s">
        <v>2076</v>
      </c>
    </row>
    <row r="616" spans="1:23" x14ac:dyDescent="0.25">
      <c r="A616" s="26" t="str">
        <f t="shared" si="94"/>
        <v>PRIMARIA</v>
      </c>
      <c r="B616" s="26" t="str">
        <f>"09DPR1515S"</f>
        <v>09DPR1515S</v>
      </c>
      <c r="C616" s="26" t="str">
        <f>"CLUB DE LEONES DE LA VILLA NUM. 2                                                                   "</f>
        <v xml:space="preserve">CLUB DE LEONES DE LA VILLA NUM. 2                                                                   </v>
      </c>
      <c r="D616" s="26" t="str">
        <f>"JORNADA AMPLIADA"</f>
        <v>JORNADA AMPLIADA</v>
      </c>
      <c r="E616" s="26" t="str">
        <f>"CONGRESO DE LA UNION    6338                                                    "</f>
        <v xml:space="preserve">CONGRESO DE LA UNION    6338                                                    </v>
      </c>
      <c r="F616" s="26" t="str">
        <f>"TRES ESTRELLAS                                                                                                                              "</f>
        <v xml:space="preserve">TRES ESTRELLAS                                                                                                                              </v>
      </c>
      <c r="G616" s="26" t="str">
        <f t="shared" si="99"/>
        <v xml:space="preserve">GUSTAVO A. MADERO                                                               </v>
      </c>
      <c r="H616" s="26" t="str">
        <f>"135"</f>
        <v>135</v>
      </c>
      <c r="I616" s="26" t="str">
        <f t="shared" si="95"/>
        <v>00</v>
      </c>
      <c r="J616" s="26" t="str">
        <f t="shared" si="100"/>
        <v xml:space="preserve">41 </v>
      </c>
      <c r="K616" s="26" t="str">
        <f t="shared" si="89"/>
        <v>PR</v>
      </c>
      <c r="L616" s="26" t="str">
        <f t="shared" si="90"/>
        <v>DGOSE</v>
      </c>
      <c r="M616" s="26" t="str">
        <f t="shared" si="96"/>
        <v>FEDERAL</v>
      </c>
      <c r="N616" s="26">
        <v>124</v>
      </c>
      <c r="O616" s="26">
        <v>62</v>
      </c>
      <c r="P616" s="26">
        <v>62</v>
      </c>
      <c r="Q616" s="26">
        <v>6</v>
      </c>
      <c r="R616" s="26">
        <v>1</v>
      </c>
      <c r="S616" s="26">
        <v>6</v>
      </c>
      <c r="T616" s="26">
        <v>8</v>
      </c>
      <c r="U616" s="26">
        <v>15</v>
      </c>
      <c r="V616" s="26">
        <v>1</v>
      </c>
      <c r="W616" s="26" t="s">
        <v>2076</v>
      </c>
    </row>
    <row r="617" spans="1:23" x14ac:dyDescent="0.25">
      <c r="A617" s="26" t="str">
        <f t="shared" si="94"/>
        <v>PRIMARIA</v>
      </c>
      <c r="B617" s="26" t="str">
        <f>"09DPR1516R"</f>
        <v>09DPR1516R</v>
      </c>
      <c r="C617" s="26" t="str">
        <f>"REPUBLICA MEXICANA                                                                                  "</f>
        <v xml:space="preserve">REPUBLICA MEXICANA                                                                                  </v>
      </c>
      <c r="D617" s="26" t="str">
        <f>"JORNADA AMPLIADA"</f>
        <v>JORNADA AMPLIADA</v>
      </c>
      <c r="E617" s="26" t="str">
        <f>"CALLE 23 Y 28 S/N                                                               "</f>
        <v xml:space="preserve">CALLE 23 Y 28 S/N                                                               </v>
      </c>
      <c r="F617" s="26" t="str">
        <f>"PROGRESO NACIONAL                                                                                                                           "</f>
        <v xml:space="preserve">PROGRESO NACIONAL                                                                                                                           </v>
      </c>
      <c r="G617" s="26" t="str">
        <f t="shared" si="99"/>
        <v xml:space="preserve">GUSTAVO A. MADERO                                                               </v>
      </c>
      <c r="H617" s="26" t="str">
        <f>"132"</f>
        <v>132</v>
      </c>
      <c r="I617" s="26" t="str">
        <f t="shared" si="95"/>
        <v>00</v>
      </c>
      <c r="J617" s="26" t="str">
        <f t="shared" si="100"/>
        <v xml:space="preserve">41 </v>
      </c>
      <c r="K617" s="26" t="str">
        <f t="shared" si="89"/>
        <v>PR</v>
      </c>
      <c r="L617" s="26" t="str">
        <f t="shared" si="90"/>
        <v>DGOSE</v>
      </c>
      <c r="M617" s="26" t="str">
        <f t="shared" si="96"/>
        <v>FEDERAL</v>
      </c>
      <c r="N617" s="26">
        <v>518</v>
      </c>
      <c r="O617" s="26">
        <v>261</v>
      </c>
      <c r="P617" s="26">
        <v>257</v>
      </c>
      <c r="Q617" s="26">
        <v>19</v>
      </c>
      <c r="R617" s="26">
        <v>1</v>
      </c>
      <c r="S617" s="26">
        <v>19</v>
      </c>
      <c r="T617" s="26">
        <v>13</v>
      </c>
      <c r="U617" s="26">
        <v>33</v>
      </c>
      <c r="V617" s="26">
        <v>1</v>
      </c>
      <c r="W617" s="26" t="s">
        <v>2076</v>
      </c>
    </row>
    <row r="618" spans="1:23" x14ac:dyDescent="0.25">
      <c r="A618" s="26" t="str">
        <f t="shared" si="94"/>
        <v>PRIMARIA</v>
      </c>
      <c r="B618" s="26" t="str">
        <f>"09DPR1517Q"</f>
        <v>09DPR1517Q</v>
      </c>
      <c r="C618" s="26" t="str">
        <f>"REPUBLICA DE URUGUAY                                                                                "</f>
        <v xml:space="preserve">REPUBLICA DE URUGUAY                                                                                </v>
      </c>
      <c r="D618" s="26" t="str">
        <f>"JORNADA AMPLIADA"</f>
        <v>JORNADA AMPLIADA</v>
      </c>
      <c r="E618" s="26" t="str">
        <f>"ORIENTE 91 Y NORTE 48                                                           "</f>
        <v xml:space="preserve">ORIENTE 91 Y NORTE 48                                                           </v>
      </c>
      <c r="F618" s="26" t="str">
        <f>"EMILIANO ZAPATA                                                                                                                             "</f>
        <v xml:space="preserve">EMILIANO ZAPATA                                                                                                                             </v>
      </c>
      <c r="G618" s="26" t="str">
        <f t="shared" si="99"/>
        <v xml:space="preserve">GUSTAVO A. MADERO                                                               </v>
      </c>
      <c r="H618" s="26" t="str">
        <f>"137"</f>
        <v>137</v>
      </c>
      <c r="I618" s="26" t="str">
        <f t="shared" si="95"/>
        <v>00</v>
      </c>
      <c r="J618" s="26" t="str">
        <f t="shared" si="100"/>
        <v xml:space="preserve">41 </v>
      </c>
      <c r="K618" s="26" t="str">
        <f t="shared" si="89"/>
        <v>PR</v>
      </c>
      <c r="L618" s="26" t="str">
        <f t="shared" si="90"/>
        <v>DGOSE</v>
      </c>
      <c r="M618" s="26" t="str">
        <f t="shared" si="96"/>
        <v>FEDERAL</v>
      </c>
      <c r="N618" s="26">
        <v>564</v>
      </c>
      <c r="O618" s="26">
        <v>272</v>
      </c>
      <c r="P618" s="26">
        <v>292</v>
      </c>
      <c r="Q618" s="26">
        <v>18</v>
      </c>
      <c r="R618" s="26">
        <v>1</v>
      </c>
      <c r="S618" s="26">
        <v>18</v>
      </c>
      <c r="T618" s="26">
        <v>12</v>
      </c>
      <c r="U618" s="26">
        <v>31</v>
      </c>
      <c r="V618" s="26">
        <v>1</v>
      </c>
      <c r="W618" s="26" t="s">
        <v>2076</v>
      </c>
    </row>
    <row r="619" spans="1:23" x14ac:dyDescent="0.25">
      <c r="A619" s="26" t="str">
        <f t="shared" si="94"/>
        <v>PRIMARIA</v>
      </c>
      <c r="B619" s="26" t="str">
        <f>"09DPR1518P"</f>
        <v>09DPR1518P</v>
      </c>
      <c r="C619" s="26" t="str">
        <f>"CLUB DE LEONES NUMERO 6                                                                             "</f>
        <v xml:space="preserve">CLUB DE LEONES NUMERO 6                                                                             </v>
      </c>
      <c r="D619" s="26" t="str">
        <f>"VESPERTINO"</f>
        <v>VESPERTINO</v>
      </c>
      <c r="E619" s="26" t="str">
        <f>"PUERTO DE TAMPICO S/N Y COZUMEL                                                 "</f>
        <v xml:space="preserve">PUERTO DE TAMPICO S/N Y COZUMEL                                                 </v>
      </c>
      <c r="F619" s="26" t="str">
        <f>"CASAS ALEMAN AMPLIACION                                                                                                                     "</f>
        <v xml:space="preserve">CASAS ALEMAN AMPLIACION                                                                                                                     </v>
      </c>
      <c r="G619" s="26" t="str">
        <f t="shared" si="99"/>
        <v xml:space="preserve">GUSTAVO A. MADERO                                                               </v>
      </c>
      <c r="H619" s="26" t="str">
        <f>"258"</f>
        <v>258</v>
      </c>
      <c r="I619" s="26" t="str">
        <f t="shared" si="95"/>
        <v>00</v>
      </c>
      <c r="J619" s="26" t="str">
        <f>"42 "</f>
        <v xml:space="preserve">42 </v>
      </c>
      <c r="K619" s="26" t="str">
        <f t="shared" si="89"/>
        <v>PR</v>
      </c>
      <c r="L619" s="26" t="str">
        <f t="shared" si="90"/>
        <v>DGOSE</v>
      </c>
      <c r="M619" s="26" t="str">
        <f t="shared" si="96"/>
        <v>FEDERAL</v>
      </c>
      <c r="N619" s="26">
        <v>114</v>
      </c>
      <c r="O619" s="26">
        <v>70</v>
      </c>
      <c r="P619" s="26">
        <v>44</v>
      </c>
      <c r="Q619" s="26">
        <v>6</v>
      </c>
      <c r="R619" s="26">
        <v>1</v>
      </c>
      <c r="S619" s="26">
        <v>6</v>
      </c>
      <c r="T619" s="26">
        <v>9</v>
      </c>
      <c r="U619" s="26">
        <v>16</v>
      </c>
      <c r="V619" s="26">
        <v>1</v>
      </c>
      <c r="W619" s="26"/>
    </row>
    <row r="620" spans="1:23" x14ac:dyDescent="0.25">
      <c r="A620" s="26" t="str">
        <f t="shared" si="94"/>
        <v>PRIMARIA</v>
      </c>
      <c r="B620" s="26" t="str">
        <f>"09DPR1521C"</f>
        <v>09DPR1521C</v>
      </c>
      <c r="C620" s="26" t="str">
        <f>"CHICOMOSTOC                                                                                         "</f>
        <v xml:space="preserve">CHICOMOSTOC                                                                                         </v>
      </c>
      <c r="D620" s="26" t="str">
        <f>"MATUTINO"</f>
        <v>MATUTINO</v>
      </c>
      <c r="E620" s="26" t="str">
        <f>"AV SAN JUANICO Y CIRIACO CRUZ                                                   "</f>
        <v xml:space="preserve">AV SAN JUANICO Y CIRIACO CRUZ                                                   </v>
      </c>
      <c r="F620" s="26" t="str">
        <f>"GABRIEL HERNANDEZ AMPLIACION                                                                                                                "</f>
        <v xml:space="preserve">GABRIEL HERNANDEZ AMPLIACION                                                                                                                </v>
      </c>
      <c r="G620" s="26" t="str">
        <f t="shared" si="99"/>
        <v xml:space="preserve">GUSTAVO A. MADERO                                                               </v>
      </c>
      <c r="H620" s="26" t="str">
        <f>"256"</f>
        <v>256</v>
      </c>
      <c r="I620" s="26" t="str">
        <f t="shared" si="95"/>
        <v>00</v>
      </c>
      <c r="J620" s="26" t="str">
        <f>"42 "</f>
        <v xml:space="preserve">42 </v>
      </c>
      <c r="K620" s="26" t="str">
        <f t="shared" si="89"/>
        <v>PR</v>
      </c>
      <c r="L620" s="26" t="str">
        <f t="shared" si="90"/>
        <v>DGOSE</v>
      </c>
      <c r="M620" s="26" t="str">
        <f t="shared" si="96"/>
        <v>FEDERAL</v>
      </c>
      <c r="N620" s="26">
        <v>389</v>
      </c>
      <c r="O620" s="26">
        <v>199</v>
      </c>
      <c r="P620" s="26">
        <v>190</v>
      </c>
      <c r="Q620" s="26">
        <v>12</v>
      </c>
      <c r="R620" s="26">
        <v>1</v>
      </c>
      <c r="S620" s="26">
        <v>12</v>
      </c>
      <c r="T620" s="26">
        <v>7</v>
      </c>
      <c r="U620" s="26">
        <v>20</v>
      </c>
      <c r="V620" s="26">
        <v>1</v>
      </c>
      <c r="W620" s="26"/>
    </row>
    <row r="621" spans="1:23" x14ac:dyDescent="0.25">
      <c r="A621" s="26" t="str">
        <f t="shared" si="94"/>
        <v>PRIMARIA</v>
      </c>
      <c r="B621" s="26" t="str">
        <f>"09DPR1522B"</f>
        <v>09DPR1522B</v>
      </c>
      <c r="C621" s="26" t="str">
        <f>"CLUB DE LEONES NUMERO 6                                                                             "</f>
        <v xml:space="preserve">CLUB DE LEONES NUMERO 6                                                                             </v>
      </c>
      <c r="D621" s="26" t="str">
        <f>"MATUTINO"</f>
        <v>MATUTINO</v>
      </c>
      <c r="E621" s="26" t="str">
        <f>"PUERTO DE TAMPICO S/N Y COZUMEL                                                 "</f>
        <v xml:space="preserve">PUERTO DE TAMPICO S/N Y COZUMEL                                                 </v>
      </c>
      <c r="F621" s="26" t="str">
        <f>"CASAS ALEMAN AMPLIACION                                                                                                                     "</f>
        <v xml:space="preserve">CASAS ALEMAN AMPLIACION                                                                                                                     </v>
      </c>
      <c r="G621" s="26" t="str">
        <f t="shared" si="99"/>
        <v xml:space="preserve">GUSTAVO A. MADERO                                                               </v>
      </c>
      <c r="H621" s="26" t="str">
        <f>"258"</f>
        <v>258</v>
      </c>
      <c r="I621" s="26" t="str">
        <f t="shared" si="95"/>
        <v>00</v>
      </c>
      <c r="J621" s="26" t="str">
        <f>"42 "</f>
        <v xml:space="preserve">42 </v>
      </c>
      <c r="K621" s="26" t="str">
        <f t="shared" ref="K621:K684" si="101">"PR"</f>
        <v>PR</v>
      </c>
      <c r="L621" s="26" t="str">
        <f t="shared" ref="L621:L684" si="102">"DGOSE"</f>
        <v>DGOSE</v>
      </c>
      <c r="M621" s="26" t="str">
        <f t="shared" si="96"/>
        <v>FEDERAL</v>
      </c>
      <c r="N621" s="26">
        <v>472</v>
      </c>
      <c r="O621" s="26">
        <v>225</v>
      </c>
      <c r="P621" s="26">
        <v>247</v>
      </c>
      <c r="Q621" s="26">
        <v>16</v>
      </c>
      <c r="R621" s="26">
        <v>1</v>
      </c>
      <c r="S621" s="26">
        <v>16</v>
      </c>
      <c r="T621" s="26">
        <v>13</v>
      </c>
      <c r="U621" s="26">
        <v>30</v>
      </c>
      <c r="V621" s="26">
        <v>1</v>
      </c>
      <c r="W621" s="26"/>
    </row>
    <row r="622" spans="1:23" x14ac:dyDescent="0.25">
      <c r="A622" s="26" t="str">
        <f t="shared" si="94"/>
        <v>PRIMARIA</v>
      </c>
      <c r="B622" s="26" t="str">
        <f>"09DPR1523A"</f>
        <v>09DPR1523A</v>
      </c>
      <c r="C622" s="26" t="str">
        <f>"REGENTE URUCHURTU                                                                                   "</f>
        <v xml:space="preserve">REGENTE URUCHURTU                                                                                   </v>
      </c>
      <c r="D622" s="26" t="str">
        <f>"JORNADA AMPLIADA"</f>
        <v>JORNADA AMPLIADA</v>
      </c>
      <c r="E622" s="26" t="str">
        <f>"CALLE 1 NUM 26                                                                  "</f>
        <v xml:space="preserve">CALLE 1 NUM 26                                                                  </v>
      </c>
      <c r="F622" s="26" t="str">
        <f>"SAN JOSE DE LA ESCALERA                                                                                                                     "</f>
        <v xml:space="preserve">SAN JOSE DE LA ESCALERA                                                                                                                     </v>
      </c>
      <c r="G622" s="26" t="str">
        <f t="shared" si="99"/>
        <v xml:space="preserve">GUSTAVO A. MADERO                                                               </v>
      </c>
      <c r="H622" s="26" t="str">
        <f>"132"</f>
        <v>132</v>
      </c>
      <c r="I622" s="26" t="str">
        <f t="shared" si="95"/>
        <v>00</v>
      </c>
      <c r="J622" s="26" t="str">
        <f>"41 "</f>
        <v xml:space="preserve">41 </v>
      </c>
      <c r="K622" s="26" t="str">
        <f t="shared" si="101"/>
        <v>PR</v>
      </c>
      <c r="L622" s="26" t="str">
        <f t="shared" si="102"/>
        <v>DGOSE</v>
      </c>
      <c r="M622" s="26" t="str">
        <f t="shared" si="96"/>
        <v>FEDERAL</v>
      </c>
      <c r="N622" s="26">
        <v>356</v>
      </c>
      <c r="O622" s="26">
        <v>167</v>
      </c>
      <c r="P622" s="26">
        <v>189</v>
      </c>
      <c r="Q622" s="26">
        <v>12</v>
      </c>
      <c r="R622" s="26">
        <v>1</v>
      </c>
      <c r="S622" s="26">
        <v>12</v>
      </c>
      <c r="T622" s="26">
        <v>10</v>
      </c>
      <c r="U622" s="26">
        <v>23</v>
      </c>
      <c r="V622" s="26">
        <v>1</v>
      </c>
      <c r="W622" s="26" t="s">
        <v>2076</v>
      </c>
    </row>
    <row r="623" spans="1:23" x14ac:dyDescent="0.25">
      <c r="A623" s="26" t="str">
        <f t="shared" si="94"/>
        <v>PRIMARIA</v>
      </c>
      <c r="B623" s="26" t="str">
        <f>"09DPR1526Y"</f>
        <v>09DPR1526Y</v>
      </c>
      <c r="C623" s="26" t="str">
        <f>"CHICOMOSTOC                                                                                         "</f>
        <v xml:space="preserve">CHICOMOSTOC                                                                                         </v>
      </c>
      <c r="D623" s="26" t="str">
        <f>"VESPERTINO"</f>
        <v>VESPERTINO</v>
      </c>
      <c r="E623" s="26" t="str">
        <f>"AV SAN JUANICO Y CIRIACO CRUZ                                                   "</f>
        <v xml:space="preserve">AV SAN JUANICO Y CIRIACO CRUZ                                                   </v>
      </c>
      <c r="F623" s="26" t="str">
        <f>"GABRIEL HERNANDEZ AMPLIACION                                                                                                                "</f>
        <v xml:space="preserve">GABRIEL HERNANDEZ AMPLIACION                                                                                                                </v>
      </c>
      <c r="G623" s="26" t="str">
        <f t="shared" si="99"/>
        <v xml:space="preserve">GUSTAVO A. MADERO                                                               </v>
      </c>
      <c r="H623" s="26" t="str">
        <f>"256"</f>
        <v>256</v>
      </c>
      <c r="I623" s="26" t="str">
        <f t="shared" si="95"/>
        <v>00</v>
      </c>
      <c r="J623" s="26" t="str">
        <f>"42 "</f>
        <v xml:space="preserve">42 </v>
      </c>
      <c r="K623" s="26" t="str">
        <f t="shared" si="101"/>
        <v>PR</v>
      </c>
      <c r="L623" s="26" t="str">
        <f t="shared" si="102"/>
        <v>DGOSE</v>
      </c>
      <c r="M623" s="26" t="str">
        <f t="shared" si="96"/>
        <v>FEDERAL</v>
      </c>
      <c r="N623" s="26">
        <v>163</v>
      </c>
      <c r="O623" s="26">
        <v>89</v>
      </c>
      <c r="P623" s="26">
        <v>74</v>
      </c>
      <c r="Q623" s="26">
        <v>10</v>
      </c>
      <c r="R623" s="26">
        <v>1</v>
      </c>
      <c r="S623" s="26">
        <v>8</v>
      </c>
      <c r="T623" s="26">
        <v>6</v>
      </c>
      <c r="U623" s="26">
        <v>15</v>
      </c>
      <c r="V623" s="26">
        <v>1</v>
      </c>
      <c r="W623" s="26"/>
    </row>
    <row r="624" spans="1:23" x14ac:dyDescent="0.25">
      <c r="A624" s="26" t="str">
        <f t="shared" si="94"/>
        <v>PRIMARIA</v>
      </c>
      <c r="B624" s="26" t="str">
        <f>"09DPR1527X"</f>
        <v>09DPR1527X</v>
      </c>
      <c r="C624" s="26" t="str">
        <f>"REPUBLICA DEL CONGO                                                                                 "</f>
        <v xml:space="preserve">REPUBLICA DEL CONGO                                                                                 </v>
      </c>
      <c r="D624" s="26" t="str">
        <f>"VESPERTINO"</f>
        <v>VESPERTINO</v>
      </c>
      <c r="E624" s="26" t="str">
        <f>"AV. HIDALGO Y CALLE 30                                                          "</f>
        <v xml:space="preserve">AV. HIDALGO Y CALLE 30                                                          </v>
      </c>
      <c r="F624" s="26" t="str">
        <f>"OLIVAR DEL CONDE 2A SECCION                                                                                                                 "</f>
        <v xml:space="preserve">OLIVAR DEL CONDE 2A SECCION                                                                                                                 </v>
      </c>
      <c r="G624" s="26" t="str">
        <f>"ALVARO OBREGON                                                                  "</f>
        <v xml:space="preserve">ALVARO OBREGON                                                                  </v>
      </c>
      <c r="H624" s="26" t="str">
        <f>"314"</f>
        <v>314</v>
      </c>
      <c r="I624" s="26" t="str">
        <f t="shared" si="95"/>
        <v>00</v>
      </c>
      <c r="J624" s="26" t="str">
        <f>"43 "</f>
        <v xml:space="preserve">43 </v>
      </c>
      <c r="K624" s="26" t="str">
        <f t="shared" si="101"/>
        <v>PR</v>
      </c>
      <c r="L624" s="26" t="str">
        <f t="shared" si="102"/>
        <v>DGOSE</v>
      </c>
      <c r="M624" s="26" t="str">
        <f t="shared" si="96"/>
        <v>FEDERAL</v>
      </c>
      <c r="N624" s="26">
        <v>151</v>
      </c>
      <c r="O624" s="26">
        <v>87</v>
      </c>
      <c r="P624" s="26">
        <v>64</v>
      </c>
      <c r="Q624" s="26">
        <v>6</v>
      </c>
      <c r="R624" s="26">
        <v>1</v>
      </c>
      <c r="S624" s="26">
        <v>6</v>
      </c>
      <c r="T624" s="26">
        <v>2</v>
      </c>
      <c r="U624" s="26">
        <v>9</v>
      </c>
      <c r="V624" s="26">
        <v>1</v>
      </c>
      <c r="W624" s="26"/>
    </row>
    <row r="625" spans="1:23" x14ac:dyDescent="0.25">
      <c r="A625" s="26" t="str">
        <f t="shared" si="94"/>
        <v>PRIMARIA</v>
      </c>
      <c r="B625" s="26" t="str">
        <f>"09DPR1528W"</f>
        <v>09DPR1528W</v>
      </c>
      <c r="C625" s="26" t="str">
        <f>"PROFR. RAFAEL RAMIREZ                                                                               "</f>
        <v xml:space="preserve">PROFR. RAFAEL RAMIREZ                                                                               </v>
      </c>
      <c r="D625" s="26" t="str">
        <f>"MATUTINO"</f>
        <v>MATUTINO</v>
      </c>
      <c r="E625" s="26" t="str">
        <f>"CDA EMILIANO ZAPATA 1                                                           "</f>
        <v xml:space="preserve">CDA EMILIANO ZAPATA 1                                                           </v>
      </c>
      <c r="F625" s="26" t="str">
        <f>"ATZACOALCO                                                                                                                                  "</f>
        <v xml:space="preserve">ATZACOALCO                                                                                                                                  </v>
      </c>
      <c r="G625" s="26" t="str">
        <f t="shared" ref="G625:G646" si="103">"GUSTAVO A. MADERO                                                               "</f>
        <v xml:space="preserve">GUSTAVO A. MADERO                                                               </v>
      </c>
      <c r="H625" s="26" t="str">
        <f>"260"</f>
        <v>260</v>
      </c>
      <c r="I625" s="26" t="str">
        <f t="shared" si="95"/>
        <v>00</v>
      </c>
      <c r="J625" s="26" t="str">
        <f t="shared" ref="J625:J631" si="104">"42 "</f>
        <v xml:space="preserve">42 </v>
      </c>
      <c r="K625" s="26" t="str">
        <f t="shared" si="101"/>
        <v>PR</v>
      </c>
      <c r="L625" s="26" t="str">
        <f t="shared" si="102"/>
        <v>DGOSE</v>
      </c>
      <c r="M625" s="26" t="str">
        <f t="shared" si="96"/>
        <v>FEDERAL</v>
      </c>
      <c r="N625" s="26">
        <v>579</v>
      </c>
      <c r="O625" s="26">
        <v>294</v>
      </c>
      <c r="P625" s="26">
        <v>285</v>
      </c>
      <c r="Q625" s="26">
        <v>18</v>
      </c>
      <c r="R625" s="26">
        <v>1</v>
      </c>
      <c r="S625" s="26">
        <v>18</v>
      </c>
      <c r="T625" s="26">
        <v>10</v>
      </c>
      <c r="U625" s="26">
        <v>29</v>
      </c>
      <c r="V625" s="26">
        <v>1</v>
      </c>
      <c r="W625" s="26"/>
    </row>
    <row r="626" spans="1:23" x14ac:dyDescent="0.25">
      <c r="A626" s="26" t="str">
        <f t="shared" si="94"/>
        <v>PRIMARIA</v>
      </c>
      <c r="B626" s="26" t="str">
        <f>"09DPR1529V"</f>
        <v>09DPR1529V</v>
      </c>
      <c r="C626" s="26" t="str">
        <f>"PROFR. RAFAEL RAMIREZ                                                                               "</f>
        <v xml:space="preserve">PROFR. RAFAEL RAMIREZ                                                                               </v>
      </c>
      <c r="D626" s="26" t="str">
        <f>"VESPERTINO"</f>
        <v>VESPERTINO</v>
      </c>
      <c r="E626" s="26" t="str">
        <f>"CDA EMILIANO ZAPATA NO 1                                                        "</f>
        <v xml:space="preserve">CDA EMILIANO ZAPATA NO 1                                                        </v>
      </c>
      <c r="F626" s="26" t="str">
        <f>"ATZACOALCO                                                                                                                                  "</f>
        <v xml:space="preserve">ATZACOALCO                                                                                                                                  </v>
      </c>
      <c r="G626" s="26" t="str">
        <f t="shared" si="103"/>
        <v xml:space="preserve">GUSTAVO A. MADERO                                                               </v>
      </c>
      <c r="H626" s="26" t="str">
        <f>"260"</f>
        <v>260</v>
      </c>
      <c r="I626" s="26" t="str">
        <f t="shared" si="95"/>
        <v>00</v>
      </c>
      <c r="J626" s="26" t="str">
        <f t="shared" si="104"/>
        <v xml:space="preserve">42 </v>
      </c>
      <c r="K626" s="26" t="str">
        <f t="shared" si="101"/>
        <v>PR</v>
      </c>
      <c r="L626" s="26" t="str">
        <f t="shared" si="102"/>
        <v>DGOSE</v>
      </c>
      <c r="M626" s="26" t="str">
        <f t="shared" si="96"/>
        <v>FEDERAL</v>
      </c>
      <c r="N626" s="26">
        <v>207</v>
      </c>
      <c r="O626" s="26">
        <v>99</v>
      </c>
      <c r="P626" s="26">
        <v>108</v>
      </c>
      <c r="Q626" s="26">
        <v>11</v>
      </c>
      <c r="R626" s="26">
        <v>1</v>
      </c>
      <c r="S626" s="26">
        <v>11</v>
      </c>
      <c r="T626" s="26">
        <v>9</v>
      </c>
      <c r="U626" s="26">
        <v>21</v>
      </c>
      <c r="V626" s="26">
        <v>1</v>
      </c>
      <c r="W626" s="26"/>
    </row>
    <row r="627" spans="1:23" x14ac:dyDescent="0.25">
      <c r="A627" s="26" t="str">
        <f t="shared" si="94"/>
        <v>PRIMARIA</v>
      </c>
      <c r="B627" s="26" t="str">
        <f>"09DPR1530K"</f>
        <v>09DPR1530K</v>
      </c>
      <c r="C627" s="26" t="str">
        <f>"PRESIDENTE JUAREZ                                                                                   "</f>
        <v xml:space="preserve">PRESIDENTE JUAREZ                                                                                   </v>
      </c>
      <c r="D627" s="26" t="str">
        <f>"VESPERTINO"</f>
        <v>VESPERTINO</v>
      </c>
      <c r="E627" s="26" t="str">
        <f>"CALLE 14 Y AV MONTE ALTO S/N                                                    "</f>
        <v xml:space="preserve">CALLE 14 Y AV MONTE ALTO S/N                                                    </v>
      </c>
      <c r="F627" s="26" t="str">
        <f>"PROGRESO NACIONAL AMPLIACION                                                                                                                "</f>
        <v xml:space="preserve">PROGRESO NACIONAL AMPLIACION                                                                                                                </v>
      </c>
      <c r="G627" s="26" t="str">
        <f t="shared" si="103"/>
        <v xml:space="preserve">GUSTAVO A. MADERO                                                               </v>
      </c>
      <c r="H627" s="26" t="str">
        <f>"238"</f>
        <v>238</v>
      </c>
      <c r="I627" s="26" t="str">
        <f t="shared" si="95"/>
        <v>00</v>
      </c>
      <c r="J627" s="26" t="str">
        <f t="shared" si="104"/>
        <v xml:space="preserve">42 </v>
      </c>
      <c r="K627" s="26" t="str">
        <f t="shared" si="101"/>
        <v>PR</v>
      </c>
      <c r="L627" s="26" t="str">
        <f t="shared" si="102"/>
        <v>DGOSE</v>
      </c>
      <c r="M627" s="26" t="str">
        <f t="shared" si="96"/>
        <v>FEDERAL</v>
      </c>
      <c r="N627" s="26">
        <v>92</v>
      </c>
      <c r="O627" s="26">
        <v>46</v>
      </c>
      <c r="P627" s="26">
        <v>46</v>
      </c>
      <c r="Q627" s="26">
        <v>6</v>
      </c>
      <c r="R627" s="26">
        <v>1</v>
      </c>
      <c r="S627" s="26">
        <v>6</v>
      </c>
      <c r="T627" s="26">
        <v>10</v>
      </c>
      <c r="U627" s="26">
        <v>17</v>
      </c>
      <c r="V627" s="26">
        <v>1</v>
      </c>
      <c r="W627" s="26"/>
    </row>
    <row r="628" spans="1:23" x14ac:dyDescent="0.25">
      <c r="A628" s="26" t="str">
        <f t="shared" si="94"/>
        <v>PRIMARIA</v>
      </c>
      <c r="B628" s="26" t="str">
        <f>"09DPR1531J"</f>
        <v>09DPR1531J</v>
      </c>
      <c r="C628" s="26" t="str">
        <f>"PRESIDENTE JUAREZ                                                                                   "</f>
        <v xml:space="preserve">PRESIDENTE JUAREZ                                                                                   </v>
      </c>
      <c r="D628" s="26" t="str">
        <f>"MATUTINO"</f>
        <v>MATUTINO</v>
      </c>
      <c r="E628" s="26" t="str">
        <f>"CALLE 14 Y AV MONTE ALTO S/N                                                    "</f>
        <v xml:space="preserve">CALLE 14 Y AV MONTE ALTO S/N                                                    </v>
      </c>
      <c r="F628" s="26" t="str">
        <f>"PROGRESO NACIONAL AMPLIACION                                                                                                                "</f>
        <v xml:space="preserve">PROGRESO NACIONAL AMPLIACION                                                                                                                </v>
      </c>
      <c r="G628" s="26" t="str">
        <f t="shared" si="103"/>
        <v xml:space="preserve">GUSTAVO A. MADERO                                                               </v>
      </c>
      <c r="H628" s="26" t="str">
        <f>"238"</f>
        <v>238</v>
      </c>
      <c r="I628" s="26" t="str">
        <f t="shared" si="95"/>
        <v>00</v>
      </c>
      <c r="J628" s="26" t="str">
        <f t="shared" si="104"/>
        <v xml:space="preserve">42 </v>
      </c>
      <c r="K628" s="26" t="str">
        <f t="shared" si="101"/>
        <v>PR</v>
      </c>
      <c r="L628" s="26" t="str">
        <f t="shared" si="102"/>
        <v>DGOSE</v>
      </c>
      <c r="M628" s="26" t="str">
        <f t="shared" si="96"/>
        <v>FEDERAL</v>
      </c>
      <c r="N628" s="26">
        <v>454</v>
      </c>
      <c r="O628" s="26">
        <v>221</v>
      </c>
      <c r="P628" s="26">
        <v>233</v>
      </c>
      <c r="Q628" s="26">
        <v>19</v>
      </c>
      <c r="R628" s="26">
        <v>1</v>
      </c>
      <c r="S628" s="26">
        <v>19</v>
      </c>
      <c r="T628" s="26">
        <v>13</v>
      </c>
      <c r="U628" s="26">
        <v>33</v>
      </c>
      <c r="V628" s="26">
        <v>1</v>
      </c>
      <c r="W628" s="26"/>
    </row>
    <row r="629" spans="1:23" x14ac:dyDescent="0.25">
      <c r="A629" s="26" t="str">
        <f t="shared" si="94"/>
        <v>PRIMARIA</v>
      </c>
      <c r="B629" s="26" t="str">
        <f>"09DPR1532I"</f>
        <v>09DPR1532I</v>
      </c>
      <c r="C629" s="26" t="str">
        <f>"PATRIA NUEVA                                                                                        "</f>
        <v xml:space="preserve">PATRIA NUEVA                                                                                        </v>
      </c>
      <c r="D629" s="26" t="str">
        <f>"MATUTINO"</f>
        <v>MATUTINO</v>
      </c>
      <c r="E629" s="26" t="str">
        <f>"PTO SALINA CRUZ Y ENSENADA S/N                                                  "</f>
        <v xml:space="preserve">PTO SALINA CRUZ Y ENSENADA S/N                                                  </v>
      </c>
      <c r="F629" s="26" t="str">
        <f>"CASAS ALEMAN AMPLIACION                                                                                                                     "</f>
        <v xml:space="preserve">CASAS ALEMAN AMPLIACION                                                                                                                     </v>
      </c>
      <c r="G629" s="26" t="str">
        <f t="shared" si="103"/>
        <v xml:space="preserve">GUSTAVO A. MADERO                                                               </v>
      </c>
      <c r="H629" s="26" t="str">
        <f>"258"</f>
        <v>258</v>
      </c>
      <c r="I629" s="26" t="str">
        <f t="shared" si="95"/>
        <v>00</v>
      </c>
      <c r="J629" s="26" t="str">
        <f t="shared" si="104"/>
        <v xml:space="preserve">42 </v>
      </c>
      <c r="K629" s="26" t="str">
        <f t="shared" si="101"/>
        <v>PR</v>
      </c>
      <c r="L629" s="26" t="str">
        <f t="shared" si="102"/>
        <v>DGOSE</v>
      </c>
      <c r="M629" s="26" t="str">
        <f t="shared" si="96"/>
        <v>FEDERAL</v>
      </c>
      <c r="N629" s="26">
        <v>326</v>
      </c>
      <c r="O629" s="26">
        <v>176</v>
      </c>
      <c r="P629" s="26">
        <v>150</v>
      </c>
      <c r="Q629" s="26">
        <v>12</v>
      </c>
      <c r="R629" s="26">
        <v>1</v>
      </c>
      <c r="S629" s="26">
        <v>12</v>
      </c>
      <c r="T629" s="26">
        <v>6</v>
      </c>
      <c r="U629" s="26">
        <v>19</v>
      </c>
      <c r="V629" s="26">
        <v>1</v>
      </c>
      <c r="W629" s="26"/>
    </row>
    <row r="630" spans="1:23" x14ac:dyDescent="0.25">
      <c r="A630" s="26" t="str">
        <f t="shared" si="94"/>
        <v>PRIMARIA</v>
      </c>
      <c r="B630" s="26" t="str">
        <f>"09DPR1533H"</f>
        <v>09DPR1533H</v>
      </c>
      <c r="C630" s="26" t="str">
        <f>"PATRIA NUEVA                                                                                        "</f>
        <v xml:space="preserve">PATRIA NUEVA                                                                                        </v>
      </c>
      <c r="D630" s="26" t="str">
        <f>"VESPERTINO"</f>
        <v>VESPERTINO</v>
      </c>
      <c r="E630" s="26" t="str">
        <f>"PTO SALINA CRUZ Y ENSENADA S/N                                                  "</f>
        <v xml:space="preserve">PTO SALINA CRUZ Y ENSENADA S/N                                                  </v>
      </c>
      <c r="F630" s="26" t="str">
        <f>"CASAS ALEMAN AMPLIACION                                                                                                                     "</f>
        <v xml:space="preserve">CASAS ALEMAN AMPLIACION                                                                                                                     </v>
      </c>
      <c r="G630" s="26" t="str">
        <f t="shared" si="103"/>
        <v xml:space="preserve">GUSTAVO A. MADERO                                                               </v>
      </c>
      <c r="H630" s="26" t="str">
        <f>"258"</f>
        <v>258</v>
      </c>
      <c r="I630" s="26" t="str">
        <f t="shared" si="95"/>
        <v>00</v>
      </c>
      <c r="J630" s="26" t="str">
        <f t="shared" si="104"/>
        <v xml:space="preserve">42 </v>
      </c>
      <c r="K630" s="26" t="str">
        <f t="shared" si="101"/>
        <v>PR</v>
      </c>
      <c r="L630" s="26" t="str">
        <f t="shared" si="102"/>
        <v>DGOSE</v>
      </c>
      <c r="M630" s="26" t="str">
        <f t="shared" si="96"/>
        <v>FEDERAL</v>
      </c>
      <c r="N630" s="26">
        <v>87</v>
      </c>
      <c r="O630" s="26">
        <v>49</v>
      </c>
      <c r="P630" s="26">
        <v>38</v>
      </c>
      <c r="Q630" s="26">
        <v>6</v>
      </c>
      <c r="R630" s="26">
        <v>1</v>
      </c>
      <c r="S630" s="26">
        <v>6</v>
      </c>
      <c r="T630" s="26">
        <v>6</v>
      </c>
      <c r="U630" s="26">
        <v>13</v>
      </c>
      <c r="V630" s="26">
        <v>1</v>
      </c>
      <c r="W630" s="26"/>
    </row>
    <row r="631" spans="1:23" x14ac:dyDescent="0.25">
      <c r="A631" s="26" t="str">
        <f t="shared" si="94"/>
        <v>PRIMARIA</v>
      </c>
      <c r="B631" s="26" t="str">
        <f>"09DPR1534G"</f>
        <v>09DPR1534G</v>
      </c>
      <c r="C631" s="26" t="str">
        <f>"PRESIDENTE PASCUAL ORTIZ RUBIO                                                                      "</f>
        <v xml:space="preserve">PRESIDENTE PASCUAL ORTIZ RUBIO                                                                      </v>
      </c>
      <c r="D631" s="26" t="str">
        <f>"MATUTINO"</f>
        <v>MATUTINO</v>
      </c>
      <c r="E631" s="26" t="str">
        <f>"AV TICOMAN 159                                                                  "</f>
        <v xml:space="preserve">AV TICOMAN 159                                                                  </v>
      </c>
      <c r="F631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631" s="26" t="str">
        <f t="shared" si="103"/>
        <v xml:space="preserve">GUSTAVO A. MADERO                                                               </v>
      </c>
      <c r="H631" s="26" t="str">
        <f>"243"</f>
        <v>243</v>
      </c>
      <c r="I631" s="26" t="str">
        <f t="shared" si="95"/>
        <v>00</v>
      </c>
      <c r="J631" s="26" t="str">
        <f t="shared" si="104"/>
        <v xml:space="preserve">42 </v>
      </c>
      <c r="K631" s="26" t="str">
        <f t="shared" si="101"/>
        <v>PR</v>
      </c>
      <c r="L631" s="26" t="str">
        <f t="shared" si="102"/>
        <v>DGOSE</v>
      </c>
      <c r="M631" s="26" t="str">
        <f t="shared" si="96"/>
        <v>FEDERAL</v>
      </c>
      <c r="N631" s="26">
        <v>460</v>
      </c>
      <c r="O631" s="26">
        <v>241</v>
      </c>
      <c r="P631" s="26">
        <v>219</v>
      </c>
      <c r="Q631" s="26">
        <v>18</v>
      </c>
      <c r="R631" s="26">
        <v>1</v>
      </c>
      <c r="S631" s="26">
        <v>16</v>
      </c>
      <c r="T631" s="26">
        <v>11</v>
      </c>
      <c r="U631" s="26">
        <v>28</v>
      </c>
      <c r="V631" s="26">
        <v>1</v>
      </c>
      <c r="W631" s="26"/>
    </row>
    <row r="632" spans="1:23" x14ac:dyDescent="0.25">
      <c r="A632" s="26" t="str">
        <f t="shared" si="94"/>
        <v>PRIMARIA</v>
      </c>
      <c r="B632" s="26" t="str">
        <f>"09DPR1535F"</f>
        <v>09DPR1535F</v>
      </c>
      <c r="C632" s="26" t="str">
        <f>"OBRAS DEL VALLE DE MEXICO                                                                           "</f>
        <v xml:space="preserve">OBRAS DEL VALLE DE MEXICO                                                                           </v>
      </c>
      <c r="D632" s="26" t="str">
        <f>"JORNADA AMPLIADA"</f>
        <v>JORNADA AMPLIADA</v>
      </c>
      <c r="E632" s="26" t="str">
        <f>"CALZ SAN JUAN DE ARAGON S/N                                                     "</f>
        <v xml:space="preserve">CALZ SAN JUAN DE ARAGON S/N                                                     </v>
      </c>
      <c r="F632" s="26" t="str">
        <f>"SAN JUAN DE ARAGON                                                                                                                          "</f>
        <v xml:space="preserve">SAN JUAN DE ARAGON                                                                                                                          </v>
      </c>
      <c r="G632" s="26" t="str">
        <f t="shared" si="103"/>
        <v xml:space="preserve">GUSTAVO A. MADERO                                                               </v>
      </c>
      <c r="H632" s="26" t="str">
        <f>"141"</f>
        <v>141</v>
      </c>
      <c r="I632" s="26" t="str">
        <f t="shared" si="95"/>
        <v>00</v>
      </c>
      <c r="J632" s="26" t="str">
        <f>"41 "</f>
        <v xml:space="preserve">41 </v>
      </c>
      <c r="K632" s="26" t="str">
        <f t="shared" si="101"/>
        <v>PR</v>
      </c>
      <c r="L632" s="26" t="str">
        <f t="shared" si="102"/>
        <v>DGOSE</v>
      </c>
      <c r="M632" s="26" t="str">
        <f t="shared" si="96"/>
        <v>FEDERAL</v>
      </c>
      <c r="N632" s="26">
        <v>400</v>
      </c>
      <c r="O632" s="26">
        <v>196</v>
      </c>
      <c r="P632" s="26">
        <v>204</v>
      </c>
      <c r="Q632" s="26">
        <v>13</v>
      </c>
      <c r="R632" s="26">
        <v>1</v>
      </c>
      <c r="S632" s="26">
        <v>13</v>
      </c>
      <c r="T632" s="26">
        <v>12</v>
      </c>
      <c r="U632" s="26">
        <v>26</v>
      </c>
      <c r="V632" s="26">
        <v>1</v>
      </c>
      <c r="W632" s="26" t="s">
        <v>2076</v>
      </c>
    </row>
    <row r="633" spans="1:23" x14ac:dyDescent="0.25">
      <c r="A633" s="26" t="str">
        <f t="shared" si="94"/>
        <v>PRIMARIA</v>
      </c>
      <c r="B633" s="26" t="str">
        <f>"09DPR1537D"</f>
        <v>09DPR1537D</v>
      </c>
      <c r="C633" s="26" t="str">
        <f>"NICOLAS BRAVO                                                                                       "</f>
        <v xml:space="preserve">NICOLAS BRAVO                                                                                       </v>
      </c>
      <c r="D633" s="26" t="str">
        <f>"MATUTINO"</f>
        <v>MATUTINO</v>
      </c>
      <c r="E633" s="26" t="str">
        <f>"AV EJIDO Y BENITO JUAREZ                                                        "</f>
        <v xml:space="preserve">AV EJIDO Y BENITO JUAREZ                                                        </v>
      </c>
      <c r="F633" s="26" t="str">
        <f>"25 DE JULIO                                                                                                                                 "</f>
        <v xml:space="preserve">25 DE JULIO                                                                                                                                 </v>
      </c>
      <c r="G633" s="26" t="str">
        <f t="shared" si="103"/>
        <v xml:space="preserve">GUSTAVO A. MADERO                                                               </v>
      </c>
      <c r="H633" s="26" t="str">
        <f>"261"</f>
        <v>261</v>
      </c>
      <c r="I633" s="26" t="str">
        <f t="shared" si="95"/>
        <v>00</v>
      </c>
      <c r="J633" s="26" t="str">
        <f>"42 "</f>
        <v xml:space="preserve">42 </v>
      </c>
      <c r="K633" s="26" t="str">
        <f t="shared" si="101"/>
        <v>PR</v>
      </c>
      <c r="L633" s="26" t="str">
        <f t="shared" si="102"/>
        <v>DGOSE</v>
      </c>
      <c r="M633" s="26" t="str">
        <f t="shared" si="96"/>
        <v>FEDERAL</v>
      </c>
      <c r="N633" s="26">
        <v>433</v>
      </c>
      <c r="O633" s="26">
        <v>198</v>
      </c>
      <c r="P633" s="26">
        <v>235</v>
      </c>
      <c r="Q633" s="26">
        <v>16</v>
      </c>
      <c r="R633" s="26">
        <v>1</v>
      </c>
      <c r="S633" s="26">
        <v>15</v>
      </c>
      <c r="T633" s="26">
        <v>12</v>
      </c>
      <c r="U633" s="26">
        <v>28</v>
      </c>
      <c r="V633" s="26">
        <v>1</v>
      </c>
      <c r="W633" s="26"/>
    </row>
    <row r="634" spans="1:23" x14ac:dyDescent="0.25">
      <c r="A634" s="26" t="str">
        <f t="shared" si="94"/>
        <v>PRIMARIA</v>
      </c>
      <c r="B634" s="26" t="str">
        <f>"09DPR1538C"</f>
        <v>09DPR1538C</v>
      </c>
      <c r="C634" s="26" t="str">
        <f>"PROFR. RAFAEL MOLINA BETANCOURT                                                                     "</f>
        <v xml:space="preserve">PROFR. RAFAEL MOLINA BETANCOURT                                                                     </v>
      </c>
      <c r="D634" s="26" t="str">
        <f>"JORNADA AMPLIADA"</f>
        <v>JORNADA AMPLIADA</v>
      </c>
      <c r="E634" s="26" t="str">
        <f>"PLAN DE AYUTLA                                                                  "</f>
        <v xml:space="preserve">PLAN DE AYUTLA                                                                  </v>
      </c>
      <c r="F634" s="26" t="str">
        <f>"TICOMAN                                                                                                                                     "</f>
        <v xml:space="preserve">TICOMAN                                                                                                                                     </v>
      </c>
      <c r="G634" s="26" t="str">
        <f t="shared" si="103"/>
        <v xml:space="preserve">GUSTAVO A. MADERO                                                               </v>
      </c>
      <c r="H634" s="26" t="str">
        <f>"133"</f>
        <v>133</v>
      </c>
      <c r="I634" s="26" t="str">
        <f t="shared" si="95"/>
        <v>00</v>
      </c>
      <c r="J634" s="26" t="str">
        <f>"41 "</f>
        <v xml:space="preserve">41 </v>
      </c>
      <c r="K634" s="26" t="str">
        <f t="shared" si="101"/>
        <v>PR</v>
      </c>
      <c r="L634" s="26" t="str">
        <f t="shared" si="102"/>
        <v>DGOSE</v>
      </c>
      <c r="M634" s="26" t="str">
        <f t="shared" si="96"/>
        <v>FEDERAL</v>
      </c>
      <c r="N634" s="26">
        <v>429</v>
      </c>
      <c r="O634" s="26">
        <v>212</v>
      </c>
      <c r="P634" s="26">
        <v>217</v>
      </c>
      <c r="Q634" s="26">
        <v>14</v>
      </c>
      <c r="R634" s="26">
        <v>1</v>
      </c>
      <c r="S634" s="26">
        <v>14</v>
      </c>
      <c r="T634" s="26">
        <v>12</v>
      </c>
      <c r="U634" s="26">
        <v>27</v>
      </c>
      <c r="V634" s="26">
        <v>1</v>
      </c>
      <c r="W634" s="26" t="s">
        <v>2076</v>
      </c>
    </row>
    <row r="635" spans="1:23" x14ac:dyDescent="0.25">
      <c r="A635" s="26" t="str">
        <f t="shared" si="94"/>
        <v>PRIMARIA</v>
      </c>
      <c r="B635" s="26" t="str">
        <f>"09DPR1539B"</f>
        <v>09DPR1539B</v>
      </c>
      <c r="C635" s="26" t="str">
        <f>"NICOLAS BRAVO                                                                                       "</f>
        <v xml:space="preserve">NICOLAS BRAVO                                                                                       </v>
      </c>
      <c r="D635" s="26" t="str">
        <f>"VESPERTINO"</f>
        <v>VESPERTINO</v>
      </c>
      <c r="E635" s="26" t="str">
        <f>"AV EJIDO Y BENITO JUAREZ                                                        "</f>
        <v xml:space="preserve">AV EJIDO Y BENITO JUAREZ                                                        </v>
      </c>
      <c r="F635" s="26" t="str">
        <f>"25 DE JULIO                                                                                                                                 "</f>
        <v xml:space="preserve">25 DE JULIO                                                                                                                                 </v>
      </c>
      <c r="G635" s="26" t="str">
        <f t="shared" si="103"/>
        <v xml:space="preserve">GUSTAVO A. MADERO                                                               </v>
      </c>
      <c r="H635" s="26" t="str">
        <f>"261"</f>
        <v>261</v>
      </c>
      <c r="I635" s="26" t="str">
        <f t="shared" si="95"/>
        <v>00</v>
      </c>
      <c r="J635" s="26" t="str">
        <f>"42 "</f>
        <v xml:space="preserve">42 </v>
      </c>
      <c r="K635" s="26" t="str">
        <f t="shared" si="101"/>
        <v>PR</v>
      </c>
      <c r="L635" s="26" t="str">
        <f t="shared" si="102"/>
        <v>DGOSE</v>
      </c>
      <c r="M635" s="26" t="str">
        <f t="shared" si="96"/>
        <v>FEDERAL</v>
      </c>
      <c r="N635" s="26">
        <v>98</v>
      </c>
      <c r="O635" s="26">
        <v>50</v>
      </c>
      <c r="P635" s="26">
        <v>48</v>
      </c>
      <c r="Q635" s="26">
        <v>6</v>
      </c>
      <c r="R635" s="26">
        <v>1</v>
      </c>
      <c r="S635" s="26">
        <v>6</v>
      </c>
      <c r="T635" s="26">
        <v>4</v>
      </c>
      <c r="U635" s="26">
        <v>11</v>
      </c>
      <c r="V635" s="26">
        <v>1</v>
      </c>
      <c r="W635" s="26"/>
    </row>
    <row r="636" spans="1:23" x14ac:dyDescent="0.25">
      <c r="A636" s="26" t="str">
        <f t="shared" si="94"/>
        <v>PRIMARIA</v>
      </c>
      <c r="B636" s="26" t="str">
        <f>"09DPR1540R"</f>
        <v>09DPR1540R</v>
      </c>
      <c r="C636" s="26" t="str">
        <f>"PROFR. MOISES SAENZ                                                                                 "</f>
        <v xml:space="preserve">PROFR. MOISES SAENZ                                                                                 </v>
      </c>
      <c r="D636" s="26" t="str">
        <f>"MATUTINO"</f>
        <v>MATUTINO</v>
      </c>
      <c r="E636" s="26" t="str">
        <f>"FELIX ROMERO NUM. 60                                                            "</f>
        <v xml:space="preserve">FELIX ROMERO NUM. 60                                                            </v>
      </c>
      <c r="F636" s="26" t="str">
        <f>"CONSTITUCION DE LA REPUBLICA                                                                                                                "</f>
        <v xml:space="preserve">CONSTITUCION DE LA REPUBLICA                                                                                                                </v>
      </c>
      <c r="G636" s="26" t="str">
        <f t="shared" si="103"/>
        <v xml:space="preserve">GUSTAVO A. MADERO                                                               </v>
      </c>
      <c r="H636" s="26" t="str">
        <f>"259"</f>
        <v>259</v>
      </c>
      <c r="I636" s="26" t="str">
        <f t="shared" si="95"/>
        <v>00</v>
      </c>
      <c r="J636" s="26" t="str">
        <f>"42 "</f>
        <v xml:space="preserve">42 </v>
      </c>
      <c r="K636" s="26" t="str">
        <f t="shared" si="101"/>
        <v>PR</v>
      </c>
      <c r="L636" s="26" t="str">
        <f t="shared" si="102"/>
        <v>DGOSE</v>
      </c>
      <c r="M636" s="26" t="str">
        <f t="shared" si="96"/>
        <v>FEDERAL</v>
      </c>
      <c r="N636" s="26">
        <v>279</v>
      </c>
      <c r="O636" s="26">
        <v>156</v>
      </c>
      <c r="P636" s="26">
        <v>123</v>
      </c>
      <c r="Q636" s="26">
        <v>12</v>
      </c>
      <c r="R636" s="26">
        <v>1</v>
      </c>
      <c r="S636" s="26">
        <v>12</v>
      </c>
      <c r="T636" s="26">
        <v>6</v>
      </c>
      <c r="U636" s="26">
        <v>19</v>
      </c>
      <c r="V636" s="26">
        <v>1</v>
      </c>
      <c r="W636" s="26"/>
    </row>
    <row r="637" spans="1:23" x14ac:dyDescent="0.25">
      <c r="A637" s="26" t="str">
        <f t="shared" si="94"/>
        <v>PRIMARIA</v>
      </c>
      <c r="B637" s="26" t="str">
        <f>"09DPR1541Q"</f>
        <v>09DPR1541Q</v>
      </c>
      <c r="C637" s="26" t="str">
        <f>"PROFR. MOISES SAENZ                                                                                 "</f>
        <v xml:space="preserve">PROFR. MOISES SAENZ                                                                                 </v>
      </c>
      <c r="D637" s="26" t="str">
        <f>"VESPERTINO"</f>
        <v>VESPERTINO</v>
      </c>
      <c r="E637" s="26" t="str">
        <f>"FELIX ROMERO 60                                                                 "</f>
        <v xml:space="preserve">FELIX ROMERO 60                                                                 </v>
      </c>
      <c r="F637" s="26" t="str">
        <f>"CONSTITUCION DE LA REPUBLICA                                                                                                                "</f>
        <v xml:space="preserve">CONSTITUCION DE LA REPUBLICA                                                                                                                </v>
      </c>
      <c r="G637" s="26" t="str">
        <f t="shared" si="103"/>
        <v xml:space="preserve">GUSTAVO A. MADERO                                                               </v>
      </c>
      <c r="H637" s="26" t="str">
        <f>"259"</f>
        <v>259</v>
      </c>
      <c r="I637" s="26" t="str">
        <f t="shared" si="95"/>
        <v>00</v>
      </c>
      <c r="J637" s="26" t="str">
        <f>"42 "</f>
        <v xml:space="preserve">42 </v>
      </c>
      <c r="K637" s="26" t="str">
        <f t="shared" si="101"/>
        <v>PR</v>
      </c>
      <c r="L637" s="26" t="str">
        <f t="shared" si="102"/>
        <v>DGOSE</v>
      </c>
      <c r="M637" s="26" t="str">
        <f t="shared" si="96"/>
        <v>FEDERAL</v>
      </c>
      <c r="N637" s="26">
        <v>16</v>
      </c>
      <c r="O637" s="26">
        <v>12</v>
      </c>
      <c r="P637" s="26">
        <v>4</v>
      </c>
      <c r="Q637" s="26">
        <v>3</v>
      </c>
      <c r="R637" s="26">
        <v>1</v>
      </c>
      <c r="S637" s="26">
        <v>3</v>
      </c>
      <c r="T637" s="26">
        <v>6</v>
      </c>
      <c r="U637" s="26">
        <v>10</v>
      </c>
      <c r="V637" s="26">
        <v>1</v>
      </c>
      <c r="W637" s="26"/>
    </row>
    <row r="638" spans="1:23" x14ac:dyDescent="0.25">
      <c r="A638" s="26" t="str">
        <f t="shared" si="94"/>
        <v>PRIMARIA</v>
      </c>
      <c r="B638" s="26" t="str">
        <f>"09DPR1542P"</f>
        <v>09DPR1542P</v>
      </c>
      <c r="C638" s="26" t="str">
        <f>"MOCTEZUMA ILHUICAMINA                                                                               "</f>
        <v xml:space="preserve">MOCTEZUMA ILHUICAMINA                                                                               </v>
      </c>
      <c r="D638" s="26" t="str">
        <f>"TIEMPO COMPLETO"</f>
        <v>TIEMPO COMPLETO</v>
      </c>
      <c r="E638" s="26" t="str">
        <f>"AV. 585 NUM 28                                                                  "</f>
        <v xml:space="preserve">AV. 585 NUM 28                                                                  </v>
      </c>
      <c r="F638" s="26" t="str">
        <f>"UNIDAD SAN JUAN DE ARAGON                                                                                                                   "</f>
        <v xml:space="preserve">UNIDAD SAN JUAN DE ARAGON                                                                                                                   </v>
      </c>
      <c r="G638" s="26" t="str">
        <f t="shared" si="103"/>
        <v xml:space="preserve">GUSTAVO A. MADERO                                                               </v>
      </c>
      <c r="H638" s="26" t="str">
        <f>"144"</f>
        <v>144</v>
      </c>
      <c r="I638" s="26" t="str">
        <f t="shared" si="95"/>
        <v>00</v>
      </c>
      <c r="J638" s="26" t="str">
        <f>"41 "</f>
        <v xml:space="preserve">41 </v>
      </c>
      <c r="K638" s="26" t="str">
        <f t="shared" si="101"/>
        <v>PR</v>
      </c>
      <c r="L638" s="26" t="str">
        <f t="shared" si="102"/>
        <v>DGOSE</v>
      </c>
      <c r="M638" s="26" t="str">
        <f t="shared" si="96"/>
        <v>FEDERAL</v>
      </c>
      <c r="N638" s="26">
        <v>405</v>
      </c>
      <c r="O638" s="26">
        <v>212</v>
      </c>
      <c r="P638" s="26">
        <v>193</v>
      </c>
      <c r="Q638" s="26">
        <v>14</v>
      </c>
      <c r="R638" s="26">
        <v>1</v>
      </c>
      <c r="S638" s="26">
        <v>14</v>
      </c>
      <c r="T638" s="26">
        <v>15</v>
      </c>
      <c r="U638" s="26">
        <v>30</v>
      </c>
      <c r="V638" s="26">
        <v>1</v>
      </c>
      <c r="W638" s="26" t="s">
        <v>218</v>
      </c>
    </row>
    <row r="639" spans="1:23" x14ac:dyDescent="0.25">
      <c r="A639" s="26" t="str">
        <f t="shared" si="94"/>
        <v>PRIMARIA</v>
      </c>
      <c r="B639" s="26" t="str">
        <f>"09DPR1544N"</f>
        <v>09DPR1544N</v>
      </c>
      <c r="C639" s="26" t="str">
        <f>"GRAL. MIGUEL NEGRETE                                                                                "</f>
        <v xml:space="preserve">GRAL. MIGUEL NEGRETE                                                                                </v>
      </c>
      <c r="D639" s="26" t="str">
        <f>"MATUTINO"</f>
        <v>MATUTINO</v>
      </c>
      <c r="E639" s="26" t="str">
        <f>"CALLE 311 NO. 625                                                               "</f>
        <v xml:space="preserve">CALLE 311 NO. 625                                                               </v>
      </c>
      <c r="F639" s="26" t="str">
        <f>"NUEVA ATZACOALCO                                                                                                                            "</f>
        <v xml:space="preserve">NUEVA ATZACOALCO                                                                                                                            </v>
      </c>
      <c r="G639" s="26" t="str">
        <f t="shared" si="103"/>
        <v xml:space="preserve">GUSTAVO A. MADERO                                                               </v>
      </c>
      <c r="H639" s="26" t="str">
        <f>"257"</f>
        <v>257</v>
      </c>
      <c r="I639" s="26" t="str">
        <f t="shared" si="95"/>
        <v>00</v>
      </c>
      <c r="J639" s="26" t="str">
        <f>"42 "</f>
        <v xml:space="preserve">42 </v>
      </c>
      <c r="K639" s="26" t="str">
        <f t="shared" si="101"/>
        <v>PR</v>
      </c>
      <c r="L639" s="26" t="str">
        <f t="shared" si="102"/>
        <v>DGOSE</v>
      </c>
      <c r="M639" s="26" t="str">
        <f t="shared" si="96"/>
        <v>FEDERAL</v>
      </c>
      <c r="N639" s="26">
        <v>503</v>
      </c>
      <c r="O639" s="26">
        <v>241</v>
      </c>
      <c r="P639" s="26">
        <v>262</v>
      </c>
      <c r="Q639" s="26">
        <v>18</v>
      </c>
      <c r="R639" s="26">
        <v>1</v>
      </c>
      <c r="S639" s="26">
        <v>16</v>
      </c>
      <c r="T639" s="26">
        <v>17</v>
      </c>
      <c r="U639" s="26">
        <v>34</v>
      </c>
      <c r="V639" s="26">
        <v>1</v>
      </c>
      <c r="W639" s="26"/>
    </row>
    <row r="640" spans="1:23" x14ac:dyDescent="0.25">
      <c r="A640" s="26" t="str">
        <f t="shared" si="94"/>
        <v>PRIMARIA</v>
      </c>
      <c r="B640" s="26" t="str">
        <f>"09DPR1545M"</f>
        <v>09DPR1545M</v>
      </c>
      <c r="C640" s="26" t="str">
        <f>"GRAL. MIGUEL NEGRETE                                                                                "</f>
        <v xml:space="preserve">GRAL. MIGUEL NEGRETE                                                                                </v>
      </c>
      <c r="D640" s="26" t="str">
        <f>"VESPERTINO"</f>
        <v>VESPERTINO</v>
      </c>
      <c r="E640" s="26" t="str">
        <f>"CALLE 311 NO.625                                                                "</f>
        <v xml:space="preserve">CALLE 311 NO.625                                                                </v>
      </c>
      <c r="F640" s="26" t="str">
        <f>"NUEVA ATZACOALCO                                                                                                                            "</f>
        <v xml:space="preserve">NUEVA ATZACOALCO                                                                                                                            </v>
      </c>
      <c r="G640" s="26" t="str">
        <f t="shared" si="103"/>
        <v xml:space="preserve">GUSTAVO A. MADERO                                                               </v>
      </c>
      <c r="H640" s="26" t="str">
        <f>"257"</f>
        <v>257</v>
      </c>
      <c r="I640" s="26" t="str">
        <f t="shared" si="95"/>
        <v>00</v>
      </c>
      <c r="J640" s="26" t="str">
        <f>"42 "</f>
        <v xml:space="preserve">42 </v>
      </c>
      <c r="K640" s="26" t="str">
        <f t="shared" si="101"/>
        <v>PR</v>
      </c>
      <c r="L640" s="26" t="str">
        <f t="shared" si="102"/>
        <v>DGOSE</v>
      </c>
      <c r="M640" s="26" t="str">
        <f t="shared" si="96"/>
        <v>FEDERAL</v>
      </c>
      <c r="N640" s="26">
        <v>197</v>
      </c>
      <c r="O640" s="26">
        <v>101</v>
      </c>
      <c r="P640" s="26">
        <v>96</v>
      </c>
      <c r="Q640" s="26">
        <v>11</v>
      </c>
      <c r="R640" s="26">
        <v>1</v>
      </c>
      <c r="S640" s="26">
        <v>10</v>
      </c>
      <c r="T640" s="26">
        <v>11</v>
      </c>
      <c r="U640" s="26">
        <v>22</v>
      </c>
      <c r="V640" s="26">
        <v>1</v>
      </c>
      <c r="W640" s="26"/>
    </row>
    <row r="641" spans="1:23" x14ac:dyDescent="0.25">
      <c r="A641" s="26" t="str">
        <f t="shared" si="94"/>
        <v>PRIMARIA</v>
      </c>
      <c r="B641" s="26" t="str">
        <f>"09DPR1546L"</f>
        <v>09DPR1546L</v>
      </c>
      <c r="C641" s="26" t="str">
        <f>"MTRO. MIGUEL LANZ DURET                                                                             "</f>
        <v xml:space="preserve">MTRO. MIGUEL LANZ DURET                                                                             </v>
      </c>
      <c r="D641" s="26" t="str">
        <f>"MATUTINO"</f>
        <v>MATUTINO</v>
      </c>
      <c r="E641" s="26" t="str">
        <f>"HENRY FORD Y NTE 74 A                                                           "</f>
        <v xml:space="preserve">HENRY FORD Y NTE 74 A                                                           </v>
      </c>
      <c r="F641" s="26" t="str">
        <f>"FAJA DE ORO                                                                                                                                 "</f>
        <v xml:space="preserve">FAJA DE ORO                                                                                                                                 </v>
      </c>
      <c r="G641" s="26" t="str">
        <f t="shared" si="103"/>
        <v xml:space="preserve">GUSTAVO A. MADERO                                                               </v>
      </c>
      <c r="H641" s="26" t="str">
        <f>"252"</f>
        <v>252</v>
      </c>
      <c r="I641" s="26" t="str">
        <f t="shared" si="95"/>
        <v>00</v>
      </c>
      <c r="J641" s="26" t="str">
        <f>"42 "</f>
        <v xml:space="preserve">42 </v>
      </c>
      <c r="K641" s="26" t="str">
        <f t="shared" si="101"/>
        <v>PR</v>
      </c>
      <c r="L641" s="26" t="str">
        <f t="shared" si="102"/>
        <v>DGOSE</v>
      </c>
      <c r="M641" s="26" t="str">
        <f t="shared" si="96"/>
        <v>FEDERAL</v>
      </c>
      <c r="N641" s="26">
        <v>335</v>
      </c>
      <c r="O641" s="26">
        <v>171</v>
      </c>
      <c r="P641" s="26">
        <v>164</v>
      </c>
      <c r="Q641" s="26">
        <v>12</v>
      </c>
      <c r="R641" s="26">
        <v>1</v>
      </c>
      <c r="S641" s="26">
        <v>12</v>
      </c>
      <c r="T641" s="26">
        <v>10</v>
      </c>
      <c r="U641" s="26">
        <v>23</v>
      </c>
      <c r="V641" s="26">
        <v>1</v>
      </c>
      <c r="W641" s="26"/>
    </row>
    <row r="642" spans="1:23" x14ac:dyDescent="0.25">
      <c r="A642" s="26" t="str">
        <f t="shared" ref="A642:A705" si="105">"PRIMARIA"</f>
        <v>PRIMARIA</v>
      </c>
      <c r="B642" s="26" t="str">
        <f>"09DPR1547K"</f>
        <v>09DPR1547K</v>
      </c>
      <c r="C642" s="26" t="str">
        <f>"MTRO. MIGUEL LANZ DURET                                                                             "</f>
        <v xml:space="preserve">MTRO. MIGUEL LANZ DURET                                                                             </v>
      </c>
      <c r="D642" s="26" t="str">
        <f>"VESPERTINO"</f>
        <v>VESPERTINO</v>
      </c>
      <c r="E642" s="26" t="str">
        <f>"HENRY FORD Y NTE 74 A                                                           "</f>
        <v xml:space="preserve">HENRY FORD Y NTE 74 A                                                           </v>
      </c>
      <c r="F642" s="26" t="str">
        <f>"FAJA DE ORO                                                                                                                                 "</f>
        <v xml:space="preserve">FAJA DE ORO                                                                                                                                 </v>
      </c>
      <c r="G642" s="26" t="str">
        <f t="shared" si="103"/>
        <v xml:space="preserve">GUSTAVO A. MADERO                                                               </v>
      </c>
      <c r="H642" s="26" t="str">
        <f>"252"</f>
        <v>252</v>
      </c>
      <c r="I642" s="26" t="str">
        <f t="shared" ref="I642:I705" si="106">"00"</f>
        <v>00</v>
      </c>
      <c r="J642" s="26" t="str">
        <f>"42 "</f>
        <v xml:space="preserve">42 </v>
      </c>
      <c r="K642" s="26" t="str">
        <f t="shared" si="101"/>
        <v>PR</v>
      </c>
      <c r="L642" s="26" t="str">
        <f t="shared" si="102"/>
        <v>DGOSE</v>
      </c>
      <c r="M642" s="26" t="str">
        <f t="shared" ref="M642:M705" si="107">"FEDERAL"</f>
        <v>FEDERAL</v>
      </c>
      <c r="N642" s="26">
        <v>105</v>
      </c>
      <c r="O642" s="26">
        <v>59</v>
      </c>
      <c r="P642" s="26">
        <v>46</v>
      </c>
      <c r="Q642" s="26">
        <v>6</v>
      </c>
      <c r="R642" s="26">
        <v>1</v>
      </c>
      <c r="S642" s="26">
        <v>6</v>
      </c>
      <c r="T642" s="26">
        <v>9</v>
      </c>
      <c r="U642" s="26">
        <v>16</v>
      </c>
      <c r="V642" s="26">
        <v>1</v>
      </c>
      <c r="W642" s="26"/>
    </row>
    <row r="643" spans="1:23" x14ac:dyDescent="0.25">
      <c r="A643" s="26" t="str">
        <f t="shared" si="105"/>
        <v>PRIMARIA</v>
      </c>
      <c r="B643" s="26" t="str">
        <f>"09DPR1548J"</f>
        <v>09DPR1548J</v>
      </c>
      <c r="C643" s="26" t="str">
        <f>"MIGUEL HIDALGO                                                                                      "</f>
        <v xml:space="preserve">MIGUEL HIDALGO                                                                                      </v>
      </c>
      <c r="D643" s="26" t="str">
        <f>"JORNADA AMPLIADA"</f>
        <v>JORNADA AMPLIADA</v>
      </c>
      <c r="E643" s="26" t="str">
        <f>"NORTE 72 A NUM 5837                                                             "</f>
        <v xml:space="preserve">NORTE 72 A NUM 5837                                                             </v>
      </c>
      <c r="F643" s="26" t="str">
        <f>"FAJA DE ORO                                                                                                                                 "</f>
        <v xml:space="preserve">FAJA DE ORO                                                                                                                                 </v>
      </c>
      <c r="G643" s="26" t="str">
        <f t="shared" si="103"/>
        <v xml:space="preserve">GUSTAVO A. MADERO                                                               </v>
      </c>
      <c r="H643" s="26" t="str">
        <f>"137"</f>
        <v>137</v>
      </c>
      <c r="I643" s="26" t="str">
        <f t="shared" si="106"/>
        <v>00</v>
      </c>
      <c r="J643" s="26" t="str">
        <f>"41 "</f>
        <v xml:space="preserve">41 </v>
      </c>
      <c r="K643" s="26" t="str">
        <f t="shared" si="101"/>
        <v>PR</v>
      </c>
      <c r="L643" s="26" t="str">
        <f t="shared" si="102"/>
        <v>DGOSE</v>
      </c>
      <c r="M643" s="26" t="str">
        <f t="shared" si="107"/>
        <v>FEDERAL</v>
      </c>
      <c r="N643" s="26">
        <v>236</v>
      </c>
      <c r="O643" s="26">
        <v>131</v>
      </c>
      <c r="P643" s="26">
        <v>105</v>
      </c>
      <c r="Q643" s="26">
        <v>10</v>
      </c>
      <c r="R643" s="26">
        <v>1</v>
      </c>
      <c r="S643" s="26">
        <v>10</v>
      </c>
      <c r="T643" s="26">
        <v>10</v>
      </c>
      <c r="U643" s="26">
        <v>21</v>
      </c>
      <c r="V643" s="26">
        <v>1</v>
      </c>
      <c r="W643" s="26" t="s">
        <v>2076</v>
      </c>
    </row>
    <row r="644" spans="1:23" x14ac:dyDescent="0.25">
      <c r="A644" s="26" t="str">
        <f t="shared" si="105"/>
        <v>PRIMARIA</v>
      </c>
      <c r="B644" s="26" t="str">
        <f>"09DPR1550Y"</f>
        <v>09DPR1550Y</v>
      </c>
      <c r="C644" s="26" t="str">
        <f>"PROFR. MELITON GUZMAN ROMERO                                                                        "</f>
        <v xml:space="preserve">PROFR. MELITON GUZMAN ROMERO                                                                        </v>
      </c>
      <c r="D644" s="26" t="str">
        <f>"VESPERTINO"</f>
        <v>VESPERTINO</v>
      </c>
      <c r="E644" s="26" t="str">
        <f>"PROLONGACION DE TURQUESA NUM. 30                                                "</f>
        <v xml:space="preserve">PROLONGACION DE TURQUESA NUM. 30                                                </v>
      </c>
      <c r="F644" s="26" t="str">
        <f>"ESTRELLA                                                                                                                                    "</f>
        <v xml:space="preserve">ESTRELLA                                                                                                                                    </v>
      </c>
      <c r="G644" s="26" t="str">
        <f t="shared" si="103"/>
        <v xml:space="preserve">GUSTAVO A. MADERO                                                               </v>
      </c>
      <c r="H644" s="26" t="str">
        <f>"250"</f>
        <v>250</v>
      </c>
      <c r="I644" s="26" t="str">
        <f t="shared" si="106"/>
        <v>00</v>
      </c>
      <c r="J644" s="26" t="str">
        <f>"42 "</f>
        <v xml:space="preserve">42 </v>
      </c>
      <c r="K644" s="26" t="str">
        <f t="shared" si="101"/>
        <v>PR</v>
      </c>
      <c r="L644" s="26" t="str">
        <f t="shared" si="102"/>
        <v>DGOSE</v>
      </c>
      <c r="M644" s="26" t="str">
        <f t="shared" si="107"/>
        <v>FEDERAL</v>
      </c>
      <c r="N644" s="26">
        <v>135</v>
      </c>
      <c r="O644" s="26">
        <v>80</v>
      </c>
      <c r="P644" s="26">
        <v>55</v>
      </c>
      <c r="Q644" s="26">
        <v>6</v>
      </c>
      <c r="R644" s="26">
        <v>1</v>
      </c>
      <c r="S644" s="26">
        <v>6</v>
      </c>
      <c r="T644" s="26">
        <v>7</v>
      </c>
      <c r="U644" s="26">
        <v>14</v>
      </c>
      <c r="V644" s="26">
        <v>1</v>
      </c>
      <c r="W644" s="26"/>
    </row>
    <row r="645" spans="1:23" x14ac:dyDescent="0.25">
      <c r="A645" s="26" t="str">
        <f t="shared" si="105"/>
        <v>PRIMARIA</v>
      </c>
      <c r="B645" s="26" t="str">
        <f>"09DPR1552W"</f>
        <v>09DPR1552W</v>
      </c>
      <c r="C645" s="26" t="str">
        <f>"MARTIRES DE URUAPAN                                                                                 "</f>
        <v xml:space="preserve">MARTIRES DE URUAPAN                                                                                 </v>
      </c>
      <c r="D645" s="26" t="str">
        <f>"TIEMPO COMPLETO"</f>
        <v>TIEMPO COMPLETO</v>
      </c>
      <c r="E645" s="26" t="str">
        <f>"AV 3A NUM 1168                                                                  "</f>
        <v xml:space="preserve">AV 3A NUM 1168                                                                  </v>
      </c>
      <c r="F645" s="26" t="str">
        <f>"SANTA ROSA                                                                                                                                  "</f>
        <v xml:space="preserve">SANTA ROSA                                                                                                                                  </v>
      </c>
      <c r="G645" s="26" t="str">
        <f t="shared" si="103"/>
        <v xml:space="preserve">GUSTAVO A. MADERO                                                               </v>
      </c>
      <c r="H645" s="26" t="str">
        <f>"132"</f>
        <v>132</v>
      </c>
      <c r="I645" s="26" t="str">
        <f t="shared" si="106"/>
        <v>00</v>
      </c>
      <c r="J645" s="26" t="str">
        <f>"41 "</f>
        <v xml:space="preserve">41 </v>
      </c>
      <c r="K645" s="26" t="str">
        <f t="shared" si="101"/>
        <v>PR</v>
      </c>
      <c r="L645" s="26" t="str">
        <f t="shared" si="102"/>
        <v>DGOSE</v>
      </c>
      <c r="M645" s="26" t="str">
        <f t="shared" si="107"/>
        <v>FEDERAL</v>
      </c>
      <c r="N645" s="26">
        <v>468</v>
      </c>
      <c r="O645" s="26">
        <v>218</v>
      </c>
      <c r="P645" s="26">
        <v>250</v>
      </c>
      <c r="Q645" s="26">
        <v>15</v>
      </c>
      <c r="R645" s="26">
        <v>1</v>
      </c>
      <c r="S645" s="26">
        <v>14</v>
      </c>
      <c r="T645" s="26">
        <v>13</v>
      </c>
      <c r="U645" s="26">
        <v>28</v>
      </c>
      <c r="V645" s="26">
        <v>1</v>
      </c>
      <c r="W645" s="26" t="s">
        <v>218</v>
      </c>
    </row>
    <row r="646" spans="1:23" x14ac:dyDescent="0.25">
      <c r="A646" s="26" t="str">
        <f t="shared" si="105"/>
        <v>PRIMARIA</v>
      </c>
      <c r="B646" s="26" t="str">
        <f>"09DPR1553V"</f>
        <v>09DPR1553V</v>
      </c>
      <c r="C646" s="26" t="str">
        <f>"PROFR. MELITON GUZMAN ROMERO                                                                        "</f>
        <v xml:space="preserve">PROFR. MELITON GUZMAN ROMERO                                                                        </v>
      </c>
      <c r="D646" s="26" t="str">
        <f>"MATUTINO"</f>
        <v>MATUTINO</v>
      </c>
      <c r="E646" s="26" t="str">
        <f>"PROLONGACION DE TURQUESA NUM 30                                                 "</f>
        <v xml:space="preserve">PROLONGACION DE TURQUESA NUM 30                                                 </v>
      </c>
      <c r="F646" s="26" t="str">
        <f>"ESTRELLA                                                                                                                                    "</f>
        <v xml:space="preserve">ESTRELLA                                                                                                                                    </v>
      </c>
      <c r="G646" s="26" t="str">
        <f t="shared" si="103"/>
        <v xml:space="preserve">GUSTAVO A. MADERO                                                               </v>
      </c>
      <c r="H646" s="26" t="str">
        <f>"250"</f>
        <v>250</v>
      </c>
      <c r="I646" s="26" t="str">
        <f t="shared" si="106"/>
        <v>00</v>
      </c>
      <c r="J646" s="26" t="str">
        <f>"42 "</f>
        <v xml:space="preserve">42 </v>
      </c>
      <c r="K646" s="26" t="str">
        <f t="shared" si="101"/>
        <v>PR</v>
      </c>
      <c r="L646" s="26" t="str">
        <f t="shared" si="102"/>
        <v>DGOSE</v>
      </c>
      <c r="M646" s="26" t="str">
        <f t="shared" si="107"/>
        <v>FEDERAL</v>
      </c>
      <c r="N646" s="26">
        <v>504</v>
      </c>
      <c r="O646" s="26">
        <v>244</v>
      </c>
      <c r="P646" s="26">
        <v>260</v>
      </c>
      <c r="Q646" s="26">
        <v>18</v>
      </c>
      <c r="R646" s="26">
        <v>1</v>
      </c>
      <c r="S646" s="26">
        <v>18</v>
      </c>
      <c r="T646" s="26">
        <v>12</v>
      </c>
      <c r="U646" s="26">
        <v>31</v>
      </c>
      <c r="V646" s="26">
        <v>1</v>
      </c>
      <c r="W646" s="26"/>
    </row>
    <row r="647" spans="1:23" x14ac:dyDescent="0.25">
      <c r="A647" s="26" t="str">
        <f t="shared" si="105"/>
        <v>PRIMARIA</v>
      </c>
      <c r="B647" s="26" t="str">
        <f>"09DPR1555T"</f>
        <v>09DPR1555T</v>
      </c>
      <c r="C647" s="26" t="str">
        <f>"LUIS CASTILLO LEDON                                                                                 "</f>
        <v xml:space="preserve">LUIS CASTILLO LEDON                                                                                 </v>
      </c>
      <c r="D647" s="26" t="str">
        <f>"TIEMPO COMPLETO"</f>
        <v>TIEMPO COMPLETO</v>
      </c>
      <c r="E647" s="26" t="str">
        <f>"LAGOS ZURICH Y GINEBRA S/N                                                      "</f>
        <v xml:space="preserve">LAGOS ZURICH Y GINEBRA S/N                                                      </v>
      </c>
      <c r="F647" s="26" t="str">
        <f>"5 DE MAYO                                                                                                                                   "</f>
        <v xml:space="preserve">5 DE MAYO                                                                                                                                   </v>
      </c>
      <c r="G647" s="26" t="str">
        <f>"MIGUEL HIDALGO                                                                  "</f>
        <v xml:space="preserve">MIGUEL HIDALGO                                                                  </v>
      </c>
      <c r="H647" s="26" t="str">
        <f>"113"</f>
        <v>113</v>
      </c>
      <c r="I647" s="26" t="str">
        <f t="shared" si="106"/>
        <v>00</v>
      </c>
      <c r="J647" s="26" t="str">
        <f>"41 "</f>
        <v xml:space="preserve">41 </v>
      </c>
      <c r="K647" s="26" t="str">
        <f t="shared" si="101"/>
        <v>PR</v>
      </c>
      <c r="L647" s="26" t="str">
        <f t="shared" si="102"/>
        <v>DGOSE</v>
      </c>
      <c r="M647" s="26" t="str">
        <f t="shared" si="107"/>
        <v>FEDERAL</v>
      </c>
      <c r="N647" s="26">
        <v>519</v>
      </c>
      <c r="O647" s="26">
        <v>248</v>
      </c>
      <c r="P647" s="26">
        <v>271</v>
      </c>
      <c r="Q647" s="26">
        <v>18</v>
      </c>
      <c r="R647" s="26">
        <v>1</v>
      </c>
      <c r="S647" s="26">
        <v>17</v>
      </c>
      <c r="T647" s="26">
        <v>15</v>
      </c>
      <c r="U647" s="26">
        <v>33</v>
      </c>
      <c r="V647" s="26">
        <v>1</v>
      </c>
      <c r="W647" s="26" t="s">
        <v>218</v>
      </c>
    </row>
    <row r="648" spans="1:23" x14ac:dyDescent="0.25">
      <c r="A648" s="26" t="str">
        <f t="shared" si="105"/>
        <v>PRIMARIA</v>
      </c>
      <c r="B648" s="26" t="str">
        <f>"09DPR1556S"</f>
        <v>09DPR1556S</v>
      </c>
      <c r="C648" s="26" t="str">
        <f>"LIC. LAURO G. CALOCA                                                                                "</f>
        <v xml:space="preserve">LIC. LAURO G. CALOCA                                                                                </v>
      </c>
      <c r="D648" s="26" t="str">
        <f>"VESPERTINO"</f>
        <v>VESPERTINO</v>
      </c>
      <c r="E648" s="26" t="str">
        <f>"JOSE JOAQUIN HERRERA S/N                                                        "</f>
        <v xml:space="preserve">JOSE JOAQUIN HERRERA S/N                                                        </v>
      </c>
      <c r="F648" s="26" t="str">
        <f>"MARTIN CARRERA                                                                                                                              "</f>
        <v xml:space="preserve">MARTIN CARRERA                                                                                                                              </v>
      </c>
      <c r="G648" s="26" t="str">
        <f>"GUSTAVO A. MADERO                                                               "</f>
        <v xml:space="preserve">GUSTAVO A. MADERO                                                               </v>
      </c>
      <c r="H648" s="26" t="str">
        <f>"249"</f>
        <v>249</v>
      </c>
      <c r="I648" s="26" t="str">
        <f t="shared" si="106"/>
        <v>00</v>
      </c>
      <c r="J648" s="26" t="str">
        <f>"42 "</f>
        <v xml:space="preserve">42 </v>
      </c>
      <c r="K648" s="26" t="str">
        <f t="shared" si="101"/>
        <v>PR</v>
      </c>
      <c r="L648" s="26" t="str">
        <f t="shared" si="102"/>
        <v>DGOSE</v>
      </c>
      <c r="M648" s="26" t="str">
        <f t="shared" si="107"/>
        <v>FEDERAL</v>
      </c>
      <c r="N648" s="26">
        <v>151</v>
      </c>
      <c r="O648" s="26">
        <v>69</v>
      </c>
      <c r="P648" s="26">
        <v>82</v>
      </c>
      <c r="Q648" s="26">
        <v>10</v>
      </c>
      <c r="R648" s="26">
        <v>1</v>
      </c>
      <c r="S648" s="26">
        <v>8</v>
      </c>
      <c r="T648" s="26">
        <v>3</v>
      </c>
      <c r="U648" s="26">
        <v>12</v>
      </c>
      <c r="V648" s="26">
        <v>1</v>
      </c>
      <c r="W648" s="26"/>
    </row>
    <row r="649" spans="1:23" x14ac:dyDescent="0.25">
      <c r="A649" s="26" t="str">
        <f t="shared" si="105"/>
        <v>PRIMARIA</v>
      </c>
      <c r="B649" s="26" t="str">
        <f>"09DPR1557R"</f>
        <v>09DPR1557R</v>
      </c>
      <c r="C649" s="26" t="str">
        <f>"BENITO JUAREZ                                                                                       "</f>
        <v xml:space="preserve">BENITO JUAREZ                                                                                       </v>
      </c>
      <c r="D649" s="26" t="str">
        <f>"VESPERTINO"</f>
        <v>VESPERTINO</v>
      </c>
      <c r="E649" s="26" t="str">
        <f>"JALAPA NUM. 272                                                                 "</f>
        <v xml:space="preserve">JALAPA NUM. 272                                                                 </v>
      </c>
      <c r="F649" s="26" t="str">
        <f>"ROMA SUR                                                                                                                                    "</f>
        <v xml:space="preserve">ROMA SUR                                                                                                                                    </v>
      </c>
      <c r="G649" s="26" t="str">
        <f>"CUAUHTEMOC                                                                      "</f>
        <v xml:space="preserve">CUAUHTEMOC                                                                      </v>
      </c>
      <c r="H649" s="26" t="str">
        <f>"221"</f>
        <v>221</v>
      </c>
      <c r="I649" s="26" t="str">
        <f t="shared" si="106"/>
        <v>00</v>
      </c>
      <c r="J649" s="26" t="str">
        <f>"42 "</f>
        <v xml:space="preserve">42 </v>
      </c>
      <c r="K649" s="26" t="str">
        <f t="shared" si="101"/>
        <v>PR</v>
      </c>
      <c r="L649" s="26" t="str">
        <f t="shared" si="102"/>
        <v>DGOSE</v>
      </c>
      <c r="M649" s="26" t="str">
        <f t="shared" si="107"/>
        <v>FEDERAL</v>
      </c>
      <c r="N649" s="26">
        <v>336</v>
      </c>
      <c r="O649" s="26">
        <v>184</v>
      </c>
      <c r="P649" s="26">
        <v>152</v>
      </c>
      <c r="Q649" s="26">
        <v>20</v>
      </c>
      <c r="R649" s="26">
        <v>1</v>
      </c>
      <c r="S649" s="26">
        <v>19</v>
      </c>
      <c r="T649" s="26">
        <v>16</v>
      </c>
      <c r="U649" s="26">
        <v>36</v>
      </c>
      <c r="V649" s="26">
        <v>1</v>
      </c>
      <c r="W649" s="26"/>
    </row>
    <row r="650" spans="1:23" x14ac:dyDescent="0.25">
      <c r="A650" s="26" t="str">
        <f t="shared" si="105"/>
        <v>PRIMARIA</v>
      </c>
      <c r="B650" s="26" t="str">
        <f>"09DPR1558Q"</f>
        <v>09DPR1558Q</v>
      </c>
      <c r="C650" s="26" t="str">
        <f>"AUSTRIA                                                                                             "</f>
        <v xml:space="preserve">AUSTRIA                                                                                             </v>
      </c>
      <c r="D650" s="26" t="str">
        <f>"JORNADA AMPLIADA"</f>
        <v>JORNADA AMPLIADA</v>
      </c>
      <c r="E650" s="26" t="str">
        <f>"AV CEYLAN Y CALLE 15 S/N                                                        "</f>
        <v xml:space="preserve">AV CEYLAN Y CALLE 15 S/N                                                        </v>
      </c>
      <c r="F650" s="26" t="str">
        <f>"POTRERO DEL LLANO                                                                                                                           "</f>
        <v xml:space="preserve">POTRERO DEL LLANO                                                                                                                           </v>
      </c>
      <c r="G650" s="26" t="str">
        <f>"AZCAPOTZALCO                                                                    "</f>
        <v xml:space="preserve">AZCAPOTZALCO                                                                    </v>
      </c>
      <c r="H650" s="26" t="str">
        <f>"104"</f>
        <v>104</v>
      </c>
      <c r="I650" s="26" t="str">
        <f t="shared" si="106"/>
        <v>00</v>
      </c>
      <c r="J650" s="26" t="str">
        <f>"41 "</f>
        <v xml:space="preserve">41 </v>
      </c>
      <c r="K650" s="26" t="str">
        <f t="shared" si="101"/>
        <v>PR</v>
      </c>
      <c r="L650" s="26" t="str">
        <f t="shared" si="102"/>
        <v>DGOSE</v>
      </c>
      <c r="M650" s="26" t="str">
        <f t="shared" si="107"/>
        <v>FEDERAL</v>
      </c>
      <c r="N650" s="26">
        <v>350</v>
      </c>
      <c r="O650" s="26">
        <v>182</v>
      </c>
      <c r="P650" s="26">
        <v>168</v>
      </c>
      <c r="Q650" s="26">
        <v>13</v>
      </c>
      <c r="R650" s="26">
        <v>1</v>
      </c>
      <c r="S650" s="26">
        <v>13</v>
      </c>
      <c r="T650" s="26">
        <v>13</v>
      </c>
      <c r="U650" s="26">
        <v>27</v>
      </c>
      <c r="V650" s="26">
        <v>1</v>
      </c>
      <c r="W650" s="26" t="s">
        <v>2076</v>
      </c>
    </row>
    <row r="651" spans="1:23" x14ac:dyDescent="0.25">
      <c r="A651" s="26" t="str">
        <f t="shared" si="105"/>
        <v>PRIMARIA</v>
      </c>
      <c r="B651" s="26" t="str">
        <f>"09DPR1560E"</f>
        <v>09DPR1560E</v>
      </c>
      <c r="C651" s="26" t="str">
        <f>"LIC. ATENEDORO MONROY                                                                               "</f>
        <v xml:space="preserve">LIC. ATENEDORO MONROY                                                                               </v>
      </c>
      <c r="D651" s="26" t="str">
        <f>"MATUTINO"</f>
        <v>MATUTINO</v>
      </c>
      <c r="E651" s="26" t="str">
        <f>"CALLE 9 No. 347                                                                 "</f>
        <v xml:space="preserve">CALLE 9 No. 347                                                                 </v>
      </c>
      <c r="F651" s="26" t="str">
        <f>"AGUILERA                                                                                                                                    "</f>
        <v xml:space="preserve">AGUILERA                                                                                                                                    </v>
      </c>
      <c r="G651" s="26" t="str">
        <f>"AZCAPOTZALCO                                                                    "</f>
        <v xml:space="preserve">AZCAPOTZALCO                                                                    </v>
      </c>
      <c r="H651" s="26" t="str">
        <f>"207"</f>
        <v>207</v>
      </c>
      <c r="I651" s="26" t="str">
        <f t="shared" si="106"/>
        <v>00</v>
      </c>
      <c r="J651" s="26" t="str">
        <f>"42 "</f>
        <v xml:space="preserve">42 </v>
      </c>
      <c r="K651" s="26" t="str">
        <f t="shared" si="101"/>
        <v>PR</v>
      </c>
      <c r="L651" s="26" t="str">
        <f t="shared" si="102"/>
        <v>DGOSE</v>
      </c>
      <c r="M651" s="26" t="str">
        <f t="shared" si="107"/>
        <v>FEDERAL</v>
      </c>
      <c r="N651" s="26">
        <v>220</v>
      </c>
      <c r="O651" s="26">
        <v>112</v>
      </c>
      <c r="P651" s="26">
        <v>108</v>
      </c>
      <c r="Q651" s="26">
        <v>9</v>
      </c>
      <c r="R651" s="26">
        <v>1</v>
      </c>
      <c r="S651" s="26">
        <v>8</v>
      </c>
      <c r="T651" s="26">
        <v>10</v>
      </c>
      <c r="U651" s="26">
        <v>19</v>
      </c>
      <c r="V651" s="26">
        <v>1</v>
      </c>
      <c r="W651" s="26"/>
    </row>
    <row r="652" spans="1:23" x14ac:dyDescent="0.25">
      <c r="A652" s="26" t="str">
        <f t="shared" si="105"/>
        <v>PRIMARIA</v>
      </c>
      <c r="B652" s="26" t="str">
        <f>"09DPR1561D"</f>
        <v>09DPR1561D</v>
      </c>
      <c r="C652" s="26" t="str">
        <f>"LIC. ATENEDORO MONROY                                                                               "</f>
        <v xml:space="preserve">LIC. ATENEDORO MONROY                                                                               </v>
      </c>
      <c r="D652" s="26" t="str">
        <f>"VESPERTINO"</f>
        <v>VESPERTINO</v>
      </c>
      <c r="E652" s="26" t="str">
        <f>"CALLE 9 No. 347                                                                 "</f>
        <v xml:space="preserve">CALLE 9 No. 347                                                                 </v>
      </c>
      <c r="F652" s="26" t="str">
        <f>"AGUILERA                                                                                                                                    "</f>
        <v xml:space="preserve">AGUILERA                                                                                                                                    </v>
      </c>
      <c r="G652" s="26" t="str">
        <f>"AZCAPOTZALCO                                                                    "</f>
        <v xml:space="preserve">AZCAPOTZALCO                                                                    </v>
      </c>
      <c r="H652" s="26" t="str">
        <f>"207"</f>
        <v>207</v>
      </c>
      <c r="I652" s="26" t="str">
        <f t="shared" si="106"/>
        <v>00</v>
      </c>
      <c r="J652" s="26" t="str">
        <f>"42 "</f>
        <v xml:space="preserve">42 </v>
      </c>
      <c r="K652" s="26" t="str">
        <f t="shared" si="101"/>
        <v>PR</v>
      </c>
      <c r="L652" s="26" t="str">
        <f t="shared" si="102"/>
        <v>DGOSE</v>
      </c>
      <c r="M652" s="26" t="str">
        <f t="shared" si="107"/>
        <v>FEDERAL</v>
      </c>
      <c r="N652" s="26">
        <v>64</v>
      </c>
      <c r="O652" s="26">
        <v>41</v>
      </c>
      <c r="P652" s="26">
        <v>23</v>
      </c>
      <c r="Q652" s="26">
        <v>6</v>
      </c>
      <c r="R652" s="26">
        <v>1</v>
      </c>
      <c r="S652" s="26">
        <v>6</v>
      </c>
      <c r="T652" s="26">
        <v>5</v>
      </c>
      <c r="U652" s="26">
        <v>12</v>
      </c>
      <c r="V652" s="26">
        <v>1</v>
      </c>
      <c r="W652" s="26"/>
    </row>
    <row r="653" spans="1:23" x14ac:dyDescent="0.25">
      <c r="A653" s="26" t="str">
        <f t="shared" si="105"/>
        <v>PRIMARIA</v>
      </c>
      <c r="B653" s="26" t="str">
        <f>"09DPR1562C"</f>
        <v>09DPR1562C</v>
      </c>
      <c r="C653" s="26" t="str">
        <f>"CLUB DE LEONES NUM. 1                                                                               "</f>
        <v xml:space="preserve">CLUB DE LEONES NUM. 1                                                                               </v>
      </c>
      <c r="D653" s="26" t="str">
        <f>"JORNADA AMPLIADA"</f>
        <v>JORNADA AMPLIADA</v>
      </c>
      <c r="E653" s="26" t="str">
        <f>"YAQUIS 2                                                                        "</f>
        <v xml:space="preserve">YAQUIS 2                                                                        </v>
      </c>
      <c r="F653" s="26" t="str">
        <f>"LA RAZA                                                                                                                                     "</f>
        <v xml:space="preserve">LA RAZA                                                                                                                                     </v>
      </c>
      <c r="G653" s="26" t="str">
        <f>"AZCAPOTZALCO                                                                    "</f>
        <v xml:space="preserve">AZCAPOTZALCO                                                                    </v>
      </c>
      <c r="H653" s="26" t="str">
        <f>"108"</f>
        <v>108</v>
      </c>
      <c r="I653" s="26" t="str">
        <f t="shared" si="106"/>
        <v>00</v>
      </c>
      <c r="J653" s="26" t="str">
        <f>"41 "</f>
        <v xml:space="preserve">41 </v>
      </c>
      <c r="K653" s="26" t="str">
        <f t="shared" si="101"/>
        <v>PR</v>
      </c>
      <c r="L653" s="26" t="str">
        <f t="shared" si="102"/>
        <v>DGOSE</v>
      </c>
      <c r="M653" s="26" t="str">
        <f t="shared" si="107"/>
        <v>FEDERAL</v>
      </c>
      <c r="N653" s="26">
        <v>368</v>
      </c>
      <c r="O653" s="26">
        <v>172</v>
      </c>
      <c r="P653" s="26">
        <v>196</v>
      </c>
      <c r="Q653" s="26">
        <v>16</v>
      </c>
      <c r="R653" s="26">
        <v>1</v>
      </c>
      <c r="S653" s="26">
        <v>16</v>
      </c>
      <c r="T653" s="26">
        <v>12</v>
      </c>
      <c r="U653" s="26">
        <v>29</v>
      </c>
      <c r="V653" s="26">
        <v>1</v>
      </c>
      <c r="W653" s="26" t="s">
        <v>2076</v>
      </c>
    </row>
    <row r="654" spans="1:23" x14ac:dyDescent="0.25">
      <c r="A654" s="26" t="str">
        <f t="shared" si="105"/>
        <v>PRIMARIA</v>
      </c>
      <c r="B654" s="26" t="str">
        <f>"09DPR1563B"</f>
        <v>09DPR1563B</v>
      </c>
      <c r="C654" s="26" t="str">
        <f>"PROFR. ONOFRE MELENDEZ B.                                                                           "</f>
        <v xml:space="preserve">PROFR. ONOFRE MELENDEZ B.                                                                           </v>
      </c>
      <c r="D654" s="26" t="str">
        <f>"VESPERTINO"</f>
        <v>VESPERTINO</v>
      </c>
      <c r="E654" s="26" t="str">
        <f>"HIDALGO NUM 37                                                                  "</f>
        <v xml:space="preserve">HIDALGO NUM 37                                                                  </v>
      </c>
      <c r="F654" s="26" t="str">
        <f>"SAN BARTOLO AMEYALCO                                                                                                                        "</f>
        <v xml:space="preserve">SAN BARTOLO AMEYALCO                                                                                                                        </v>
      </c>
      <c r="G654" s="26" t="str">
        <f>"ALVARO OBREGON                                                                  "</f>
        <v xml:space="preserve">ALVARO OBREGON                                                                  </v>
      </c>
      <c r="H654" s="26" t="str">
        <f>"330"</f>
        <v>330</v>
      </c>
      <c r="I654" s="26" t="str">
        <f t="shared" si="106"/>
        <v>00</v>
      </c>
      <c r="J654" s="26" t="str">
        <f>"43 "</f>
        <v xml:space="preserve">43 </v>
      </c>
      <c r="K654" s="26" t="str">
        <f t="shared" si="101"/>
        <v>PR</v>
      </c>
      <c r="L654" s="26" t="str">
        <f t="shared" si="102"/>
        <v>DGOSE</v>
      </c>
      <c r="M654" s="26" t="str">
        <f t="shared" si="107"/>
        <v>FEDERAL</v>
      </c>
      <c r="N654" s="26">
        <v>211</v>
      </c>
      <c r="O654" s="26">
        <v>117</v>
      </c>
      <c r="P654" s="26">
        <v>94</v>
      </c>
      <c r="Q654" s="26">
        <v>6</v>
      </c>
      <c r="R654" s="26">
        <v>1</v>
      </c>
      <c r="S654" s="26">
        <v>6</v>
      </c>
      <c r="T654" s="26">
        <v>5</v>
      </c>
      <c r="U654" s="26">
        <v>12</v>
      </c>
      <c r="V654" s="26">
        <v>1</v>
      </c>
      <c r="W654" s="26"/>
    </row>
    <row r="655" spans="1:23" x14ac:dyDescent="0.25">
      <c r="A655" s="26" t="str">
        <f t="shared" si="105"/>
        <v>PRIMARIA</v>
      </c>
      <c r="B655" s="26" t="str">
        <f>"09DPR1564A"</f>
        <v>09DPR1564A</v>
      </c>
      <c r="C655" s="26" t="str">
        <f>"ARBOL DE LA NOCHE TRISTE                                                                            "</f>
        <v xml:space="preserve">ARBOL DE LA NOCHE TRISTE                                                                            </v>
      </c>
      <c r="D655" s="26" t="str">
        <f>"JORNADA AMPLIADA"</f>
        <v>JORNADA AMPLIADA</v>
      </c>
      <c r="E655" s="26" t="str">
        <f>"MAR DE BANDA 11                                                                 "</f>
        <v xml:space="preserve">MAR DE BANDA 11                                                                 </v>
      </c>
      <c r="F655" s="26" t="str">
        <f>"POPOTLA                                                                                                                                     "</f>
        <v xml:space="preserve">POPOTLA                                                                                                                                     </v>
      </c>
      <c r="G655" s="26" t="str">
        <f>"MIGUEL HIDALGO                                                                  "</f>
        <v xml:space="preserve">MIGUEL HIDALGO                                                                  </v>
      </c>
      <c r="H655" s="26" t="str">
        <f>"115"</f>
        <v>115</v>
      </c>
      <c r="I655" s="26" t="str">
        <f t="shared" si="106"/>
        <v>00</v>
      </c>
      <c r="J655" s="26" t="str">
        <f>"41 "</f>
        <v xml:space="preserve">41 </v>
      </c>
      <c r="K655" s="26" t="str">
        <f t="shared" si="101"/>
        <v>PR</v>
      </c>
      <c r="L655" s="26" t="str">
        <f t="shared" si="102"/>
        <v>DGOSE</v>
      </c>
      <c r="M655" s="26" t="str">
        <f t="shared" si="107"/>
        <v>FEDERAL</v>
      </c>
      <c r="N655" s="26">
        <v>395</v>
      </c>
      <c r="O655" s="26">
        <v>208</v>
      </c>
      <c r="P655" s="26">
        <v>187</v>
      </c>
      <c r="Q655" s="26">
        <v>15</v>
      </c>
      <c r="R655" s="26">
        <v>1</v>
      </c>
      <c r="S655" s="26">
        <v>14</v>
      </c>
      <c r="T655" s="26">
        <v>13</v>
      </c>
      <c r="U655" s="26">
        <v>28</v>
      </c>
      <c r="V655" s="26">
        <v>1</v>
      </c>
      <c r="W655" s="26" t="s">
        <v>2076</v>
      </c>
    </row>
    <row r="656" spans="1:23" x14ac:dyDescent="0.25">
      <c r="A656" s="26" t="str">
        <f t="shared" si="105"/>
        <v>PRIMARIA</v>
      </c>
      <c r="B656" s="26" t="str">
        <f>"09DPR1567Y"</f>
        <v>09DPR1567Y</v>
      </c>
      <c r="C656" s="26" t="str">
        <f>"HEROE DE NACOZARI                                                                                   "</f>
        <v xml:space="preserve">HEROE DE NACOZARI                                                                                   </v>
      </c>
      <c r="D656" s="26" t="str">
        <f>"JORNADA AMPLIADA"</f>
        <v>JORNADA AMPLIADA</v>
      </c>
      <c r="E656" s="26" t="str">
        <f>"DEBUSSY NUM 203                                                                 "</f>
        <v xml:space="preserve">DEBUSSY NUM 203                                                                 </v>
      </c>
      <c r="F656" s="26" t="str">
        <f>"GUADALUPE VICTORIA                                                                                                                          "</f>
        <v xml:space="preserve">GUADALUPE VICTORIA                                                                                                                          </v>
      </c>
      <c r="G656" s="26" t="str">
        <f>"GUSTAVO A. MADERO                                                               "</f>
        <v xml:space="preserve">GUSTAVO A. MADERO                                                               </v>
      </c>
      <c r="H656" s="26" t="str">
        <f>"136"</f>
        <v>136</v>
      </c>
      <c r="I656" s="26" t="str">
        <f t="shared" si="106"/>
        <v>00</v>
      </c>
      <c r="J656" s="26" t="str">
        <f>"41 "</f>
        <v xml:space="preserve">41 </v>
      </c>
      <c r="K656" s="26" t="str">
        <f t="shared" si="101"/>
        <v>PR</v>
      </c>
      <c r="L656" s="26" t="str">
        <f t="shared" si="102"/>
        <v>DGOSE</v>
      </c>
      <c r="M656" s="26" t="str">
        <f t="shared" si="107"/>
        <v>FEDERAL</v>
      </c>
      <c r="N656" s="26">
        <v>106</v>
      </c>
      <c r="O656" s="26">
        <v>46</v>
      </c>
      <c r="P656" s="26">
        <v>60</v>
      </c>
      <c r="Q656" s="26">
        <v>6</v>
      </c>
      <c r="R656" s="26">
        <v>1</v>
      </c>
      <c r="S656" s="26">
        <v>6</v>
      </c>
      <c r="T656" s="26">
        <v>7</v>
      </c>
      <c r="U656" s="26">
        <v>14</v>
      </c>
      <c r="V656" s="26">
        <v>1</v>
      </c>
      <c r="W656" s="26" t="s">
        <v>2076</v>
      </c>
    </row>
    <row r="657" spans="1:23" x14ac:dyDescent="0.25">
      <c r="A657" s="26" t="str">
        <f t="shared" si="105"/>
        <v>PRIMARIA</v>
      </c>
      <c r="B657" s="26" t="str">
        <f>"09DPR1569W"</f>
        <v>09DPR1569W</v>
      </c>
      <c r="C657" s="26" t="str">
        <f>"REPUBLICA DE CUBA                                                                                   "</f>
        <v xml:space="preserve">REPUBLICA DE CUBA                                                                                   </v>
      </c>
      <c r="D657" s="26" t="str">
        <f>"JORNADA AMPLIADA"</f>
        <v>JORNADA AMPLIADA</v>
      </c>
      <c r="E657" s="26" t="str">
        <f>"CEDRO NUM. 258                                                                  "</f>
        <v xml:space="preserve">CEDRO NUM. 258                                                                  </v>
      </c>
      <c r="F657" s="26" t="str">
        <f>"SANTA MARIA LA RIBERA                                                                                                                       "</f>
        <v xml:space="preserve">SANTA MARIA LA RIBERA                                                                                                                       </v>
      </c>
      <c r="G657" s="26" t="str">
        <f>"CUAUHTEMOC                                                                      "</f>
        <v xml:space="preserve">CUAUHTEMOC                                                                      </v>
      </c>
      <c r="H657" s="26" t="str">
        <f>"123"</f>
        <v>123</v>
      </c>
      <c r="I657" s="26" t="str">
        <f t="shared" si="106"/>
        <v>00</v>
      </c>
      <c r="J657" s="26" t="str">
        <f>"41 "</f>
        <v xml:space="preserve">41 </v>
      </c>
      <c r="K657" s="26" t="str">
        <f t="shared" si="101"/>
        <v>PR</v>
      </c>
      <c r="L657" s="26" t="str">
        <f t="shared" si="102"/>
        <v>DGOSE</v>
      </c>
      <c r="M657" s="26" t="str">
        <f t="shared" si="107"/>
        <v>FEDERAL</v>
      </c>
      <c r="N657" s="26">
        <v>267</v>
      </c>
      <c r="O657" s="26">
        <v>139</v>
      </c>
      <c r="P657" s="26">
        <v>128</v>
      </c>
      <c r="Q657" s="26">
        <v>12</v>
      </c>
      <c r="R657" s="26">
        <v>1</v>
      </c>
      <c r="S657" s="26">
        <v>12</v>
      </c>
      <c r="T657" s="26">
        <v>12</v>
      </c>
      <c r="U657" s="26">
        <v>25</v>
      </c>
      <c r="V657" s="26">
        <v>1</v>
      </c>
      <c r="W657" s="26" t="s">
        <v>2076</v>
      </c>
    </row>
    <row r="658" spans="1:23" x14ac:dyDescent="0.25">
      <c r="A658" s="26" t="str">
        <f t="shared" si="105"/>
        <v>PRIMARIA</v>
      </c>
      <c r="B658" s="26" t="str">
        <f>"09DPR1570L"</f>
        <v>09DPR1570L</v>
      </c>
      <c r="C658" s="26" t="str">
        <f>"ESTADO DE JALISCO                                                                                   "</f>
        <v xml:space="preserve">ESTADO DE JALISCO                                                                                   </v>
      </c>
      <c r="D658" s="26" t="str">
        <f>"VESPERTINO"</f>
        <v>VESPERTINO</v>
      </c>
      <c r="E658" s="26" t="str">
        <f>"AV CENTRAL SUR 560                                                              "</f>
        <v xml:space="preserve">AV CENTRAL SUR 560                                                              </v>
      </c>
      <c r="F658" s="26" t="str">
        <f>"PRO  HOGAR                                                                                                                                  "</f>
        <v xml:space="preserve">PRO  HOGAR                                                                                                                                  </v>
      </c>
      <c r="G658" s="26" t="str">
        <f>"AZCAPOTZALCO                                                                    "</f>
        <v xml:space="preserve">AZCAPOTZALCO                                                                    </v>
      </c>
      <c r="H658" s="26" t="str">
        <f>"207"</f>
        <v>207</v>
      </c>
      <c r="I658" s="26" t="str">
        <f t="shared" si="106"/>
        <v>00</v>
      </c>
      <c r="J658" s="26" t="str">
        <f>"42 "</f>
        <v xml:space="preserve">42 </v>
      </c>
      <c r="K658" s="26" t="str">
        <f t="shared" si="101"/>
        <v>PR</v>
      </c>
      <c r="L658" s="26" t="str">
        <f t="shared" si="102"/>
        <v>DGOSE</v>
      </c>
      <c r="M658" s="26" t="str">
        <f t="shared" si="107"/>
        <v>FEDERAL</v>
      </c>
      <c r="N658" s="26">
        <v>121</v>
      </c>
      <c r="O658" s="26">
        <v>54</v>
      </c>
      <c r="P658" s="26">
        <v>67</v>
      </c>
      <c r="Q658" s="26">
        <v>7</v>
      </c>
      <c r="R658" s="26">
        <v>1</v>
      </c>
      <c r="S658" s="26">
        <v>7</v>
      </c>
      <c r="T658" s="26">
        <v>3</v>
      </c>
      <c r="U658" s="26">
        <v>11</v>
      </c>
      <c r="V658" s="26">
        <v>1</v>
      </c>
      <c r="W658" s="26"/>
    </row>
    <row r="659" spans="1:23" x14ac:dyDescent="0.25">
      <c r="A659" s="26" t="str">
        <f t="shared" si="105"/>
        <v>PRIMARIA</v>
      </c>
      <c r="B659" s="26" t="str">
        <f>"09DPR1572J"</f>
        <v>09DPR1572J</v>
      </c>
      <c r="C659" s="26" t="str">
        <f>"ESTADO DE JALISCO                                                                                   "</f>
        <v xml:space="preserve">ESTADO DE JALISCO                                                                                   </v>
      </c>
      <c r="D659" s="26" t="str">
        <f>"MATUTINO"</f>
        <v>MATUTINO</v>
      </c>
      <c r="E659" s="26" t="str">
        <f>"AV. CENTRAL SUR 560                                                             "</f>
        <v xml:space="preserve">AV. CENTRAL SUR 560                                                             </v>
      </c>
      <c r="F659" s="26" t="str">
        <f>"PRO  HOGAR                                                                                                                                  "</f>
        <v xml:space="preserve">PRO  HOGAR                                                                                                                                  </v>
      </c>
      <c r="G659" s="26" t="str">
        <f>"AZCAPOTZALCO                                                                    "</f>
        <v xml:space="preserve">AZCAPOTZALCO                                                                    </v>
      </c>
      <c r="H659" s="26" t="str">
        <f>"207"</f>
        <v>207</v>
      </c>
      <c r="I659" s="26" t="str">
        <f t="shared" si="106"/>
        <v>00</v>
      </c>
      <c r="J659" s="26" t="str">
        <f>"42 "</f>
        <v xml:space="preserve">42 </v>
      </c>
      <c r="K659" s="26" t="str">
        <f t="shared" si="101"/>
        <v>PR</v>
      </c>
      <c r="L659" s="26" t="str">
        <f t="shared" si="102"/>
        <v>DGOSE</v>
      </c>
      <c r="M659" s="26" t="str">
        <f t="shared" si="107"/>
        <v>FEDERAL</v>
      </c>
      <c r="N659" s="26">
        <v>364</v>
      </c>
      <c r="O659" s="26">
        <v>191</v>
      </c>
      <c r="P659" s="26">
        <v>173</v>
      </c>
      <c r="Q659" s="26">
        <v>14</v>
      </c>
      <c r="R659" s="26">
        <v>1</v>
      </c>
      <c r="S659" s="26">
        <v>13</v>
      </c>
      <c r="T659" s="26">
        <v>10</v>
      </c>
      <c r="U659" s="26">
        <v>24</v>
      </c>
      <c r="V659" s="26">
        <v>1</v>
      </c>
      <c r="W659" s="26"/>
    </row>
    <row r="660" spans="1:23" x14ac:dyDescent="0.25">
      <c r="A660" s="26" t="str">
        <f t="shared" si="105"/>
        <v>PRIMARIA</v>
      </c>
      <c r="B660" s="26" t="str">
        <f>"09DPR1573I"</f>
        <v>09DPR1573I</v>
      </c>
      <c r="C660" s="26" t="str">
        <f>"DEFENSOR DE ANAHUAC                                                                                 "</f>
        <v xml:space="preserve">DEFENSOR DE ANAHUAC                                                                                 </v>
      </c>
      <c r="D660" s="26" t="str">
        <f>"MATUTINO"</f>
        <v>MATUTINO</v>
      </c>
      <c r="E660" s="26" t="str">
        <f>"NORTE 3 S/N                                                                     "</f>
        <v xml:space="preserve">NORTE 3 S/N                                                                     </v>
      </c>
      <c r="F660" s="26" t="str">
        <f>"DEFENSORES DE LA REPUBLICA                                                                                                                  "</f>
        <v xml:space="preserve">DEFENSORES DE LA REPUBLICA                                                                                                                  </v>
      </c>
      <c r="G660" s="26" t="str">
        <f>"GUSTAVO A. MADERO                                                               "</f>
        <v xml:space="preserve">GUSTAVO A. MADERO                                                               </v>
      </c>
      <c r="H660" s="26" t="str">
        <f>"240"</f>
        <v>240</v>
      </c>
      <c r="I660" s="26" t="str">
        <f t="shared" si="106"/>
        <v>00</v>
      </c>
      <c r="J660" s="26" t="str">
        <f>"42 "</f>
        <v xml:space="preserve">42 </v>
      </c>
      <c r="K660" s="26" t="str">
        <f t="shared" si="101"/>
        <v>PR</v>
      </c>
      <c r="L660" s="26" t="str">
        <f t="shared" si="102"/>
        <v>DGOSE</v>
      </c>
      <c r="M660" s="26" t="str">
        <f t="shared" si="107"/>
        <v>FEDERAL</v>
      </c>
      <c r="N660" s="26">
        <v>335</v>
      </c>
      <c r="O660" s="26">
        <v>174</v>
      </c>
      <c r="P660" s="26">
        <v>161</v>
      </c>
      <c r="Q660" s="26">
        <v>14</v>
      </c>
      <c r="R660" s="26">
        <v>1</v>
      </c>
      <c r="S660" s="26">
        <v>14</v>
      </c>
      <c r="T660" s="26">
        <v>10</v>
      </c>
      <c r="U660" s="26">
        <v>25</v>
      </c>
      <c r="V660" s="26">
        <v>1</v>
      </c>
      <c r="W660" s="26"/>
    </row>
    <row r="661" spans="1:23" x14ac:dyDescent="0.25">
      <c r="A661" s="26" t="str">
        <f t="shared" si="105"/>
        <v>PRIMARIA</v>
      </c>
      <c r="B661" s="26" t="str">
        <f>"09DPR1574H"</f>
        <v>09DPR1574H</v>
      </c>
      <c r="C661" s="26" t="str">
        <f>"DEFENSORES DE LA REPUBLICA                                                                          "</f>
        <v xml:space="preserve">DEFENSORES DE LA REPUBLICA                                                                          </v>
      </c>
      <c r="D661" s="26" t="str">
        <f>"JORNADA AMPLIADA"</f>
        <v>JORNADA AMPLIADA</v>
      </c>
      <c r="E661" s="26" t="str">
        <f>"NORTE 3 NUM 4609                                                                "</f>
        <v xml:space="preserve">NORTE 3 NUM 4609                                                                </v>
      </c>
      <c r="F661" s="26" t="str">
        <f>"DEFENSORES DE LA REPUBLICA                                                                                                                  "</f>
        <v xml:space="preserve">DEFENSORES DE LA REPUBLICA                                                                                                                  </v>
      </c>
      <c r="G661" s="26" t="str">
        <f>"GUSTAVO A. MADERO                                                               "</f>
        <v xml:space="preserve">GUSTAVO A. MADERO                                                               </v>
      </c>
      <c r="H661" s="26" t="str">
        <f>"134"</f>
        <v>134</v>
      </c>
      <c r="I661" s="26" t="str">
        <f t="shared" si="106"/>
        <v>00</v>
      </c>
      <c r="J661" s="26" t="str">
        <f>"41 "</f>
        <v xml:space="preserve">41 </v>
      </c>
      <c r="K661" s="26" t="str">
        <f t="shared" si="101"/>
        <v>PR</v>
      </c>
      <c r="L661" s="26" t="str">
        <f t="shared" si="102"/>
        <v>DGOSE</v>
      </c>
      <c r="M661" s="26" t="str">
        <f t="shared" si="107"/>
        <v>FEDERAL</v>
      </c>
      <c r="N661" s="26">
        <v>362</v>
      </c>
      <c r="O661" s="26">
        <v>194</v>
      </c>
      <c r="P661" s="26">
        <v>168</v>
      </c>
      <c r="Q661" s="26">
        <v>14</v>
      </c>
      <c r="R661" s="26">
        <v>1</v>
      </c>
      <c r="S661" s="26">
        <v>13</v>
      </c>
      <c r="T661" s="26">
        <v>10</v>
      </c>
      <c r="U661" s="26">
        <v>24</v>
      </c>
      <c r="V661" s="26">
        <v>1</v>
      </c>
      <c r="W661" s="26" t="s">
        <v>2076</v>
      </c>
    </row>
    <row r="662" spans="1:23" x14ac:dyDescent="0.25">
      <c r="A662" s="26" t="str">
        <f t="shared" si="105"/>
        <v>PRIMARIA</v>
      </c>
      <c r="B662" s="26" t="str">
        <f>"09DPR1575G"</f>
        <v>09DPR1575G</v>
      </c>
      <c r="C662" s="26" t="str">
        <f>"DEFENSOR DE ANAHUAC                                                                                 "</f>
        <v xml:space="preserve">DEFENSOR DE ANAHUAC                                                                                 </v>
      </c>
      <c r="D662" s="26" t="str">
        <f>"VESPERTINO"</f>
        <v>VESPERTINO</v>
      </c>
      <c r="E662" s="26" t="str">
        <f>"NORTE 3 S/N                                                                     "</f>
        <v xml:space="preserve">NORTE 3 S/N                                                                     </v>
      </c>
      <c r="F662" s="26" t="str">
        <f>"DEFENSORES DE LA REPUBLICA                                                                                                                  "</f>
        <v xml:space="preserve">DEFENSORES DE LA REPUBLICA                                                                                                                  </v>
      </c>
      <c r="G662" s="26" t="str">
        <f>"GUSTAVO A. MADERO                                                               "</f>
        <v xml:space="preserve">GUSTAVO A. MADERO                                                               </v>
      </c>
      <c r="H662" s="26" t="str">
        <f>"240"</f>
        <v>240</v>
      </c>
      <c r="I662" s="26" t="str">
        <f t="shared" si="106"/>
        <v>00</v>
      </c>
      <c r="J662" s="26" t="str">
        <f>"42 "</f>
        <v xml:space="preserve">42 </v>
      </c>
      <c r="K662" s="26" t="str">
        <f t="shared" si="101"/>
        <v>PR</v>
      </c>
      <c r="L662" s="26" t="str">
        <f t="shared" si="102"/>
        <v>DGOSE</v>
      </c>
      <c r="M662" s="26" t="str">
        <f t="shared" si="107"/>
        <v>FEDERAL</v>
      </c>
      <c r="N662" s="26">
        <v>105</v>
      </c>
      <c r="O662" s="26">
        <v>56</v>
      </c>
      <c r="P662" s="26">
        <v>49</v>
      </c>
      <c r="Q662" s="26">
        <v>10</v>
      </c>
      <c r="R662" s="26">
        <v>1</v>
      </c>
      <c r="S662" s="26">
        <v>8</v>
      </c>
      <c r="T662" s="26">
        <v>4</v>
      </c>
      <c r="U662" s="26">
        <v>13</v>
      </c>
      <c r="V662" s="26">
        <v>1</v>
      </c>
      <c r="W662" s="26"/>
    </row>
    <row r="663" spans="1:23" x14ac:dyDescent="0.25">
      <c r="A663" s="26" t="str">
        <f t="shared" si="105"/>
        <v>PRIMARIA</v>
      </c>
      <c r="B663" s="26" t="str">
        <f>"09DPR1576F"</f>
        <v>09DPR1576F</v>
      </c>
      <c r="C663" s="26" t="str">
        <f>"VASCO DE QUIROGA                                                                                    "</f>
        <v xml:space="preserve">VASCO DE QUIROGA                                                                                    </v>
      </c>
      <c r="D663" s="26" t="str">
        <f>"VESPERTINO"</f>
        <v>VESPERTINO</v>
      </c>
      <c r="E663" s="26" t="str">
        <f>"PROGRESO S/N                                                                    "</f>
        <v xml:space="preserve">PROGRESO S/N                                                                    </v>
      </c>
      <c r="F663" s="26" t="str">
        <f>"SANTA FE                                                                                                                                    "</f>
        <v xml:space="preserve">SANTA FE                                                                                                                                    </v>
      </c>
      <c r="G663" s="26" t="str">
        <f>"ALVARO OBREGON                                                                  "</f>
        <v xml:space="preserve">ALVARO OBREGON                                                                  </v>
      </c>
      <c r="H663" s="26" t="str">
        <f>"312"</f>
        <v>312</v>
      </c>
      <c r="I663" s="26" t="str">
        <f t="shared" si="106"/>
        <v>00</v>
      </c>
      <c r="J663" s="26" t="str">
        <f>"43 "</f>
        <v xml:space="preserve">43 </v>
      </c>
      <c r="K663" s="26" t="str">
        <f t="shared" si="101"/>
        <v>PR</v>
      </c>
      <c r="L663" s="26" t="str">
        <f t="shared" si="102"/>
        <v>DGOSE</v>
      </c>
      <c r="M663" s="26" t="str">
        <f t="shared" si="107"/>
        <v>FEDERAL</v>
      </c>
      <c r="N663" s="26">
        <v>289</v>
      </c>
      <c r="O663" s="26">
        <v>148</v>
      </c>
      <c r="P663" s="26">
        <v>141</v>
      </c>
      <c r="Q663" s="26">
        <v>14</v>
      </c>
      <c r="R663" s="26">
        <v>1</v>
      </c>
      <c r="S663" s="26">
        <v>14</v>
      </c>
      <c r="T663" s="26">
        <v>6</v>
      </c>
      <c r="U663" s="26">
        <v>21</v>
      </c>
      <c r="V663" s="26">
        <v>1</v>
      </c>
      <c r="W663" s="26"/>
    </row>
    <row r="664" spans="1:23" x14ac:dyDescent="0.25">
      <c r="A664" s="26" t="str">
        <f t="shared" si="105"/>
        <v>PRIMARIA</v>
      </c>
      <c r="B664" s="26" t="str">
        <f>"09DPR1579C"</f>
        <v>09DPR1579C</v>
      </c>
      <c r="C664" s="26" t="str">
        <f>"VIDAL RIVERO                                                                                        "</f>
        <v xml:space="preserve">VIDAL RIVERO                                                                                        </v>
      </c>
      <c r="D664" s="26" t="str">
        <f>"JORNADA AMPLIADA"</f>
        <v>JORNADA AMPLIADA</v>
      </c>
      <c r="E664" s="26" t="str">
        <f>"PROLONGACION CIPRES NUMERO 601                                                  "</f>
        <v xml:space="preserve">PROLONGACION CIPRES NUMERO 601                                                  </v>
      </c>
      <c r="F664" s="26" t="str">
        <f>"DEL GAS                                                                                                                                     "</f>
        <v xml:space="preserve">DEL GAS                                                                                                                                     </v>
      </c>
      <c r="G664" s="26" t="str">
        <f>"AZCAPOTZALCO                                                                    "</f>
        <v xml:space="preserve">AZCAPOTZALCO                                                                    </v>
      </c>
      <c r="H664" s="26" t="str">
        <f>"108"</f>
        <v>108</v>
      </c>
      <c r="I664" s="26" t="str">
        <f t="shared" si="106"/>
        <v>00</v>
      </c>
      <c r="J664" s="26" t="str">
        <f t="shared" ref="J664:J676" si="108">"41 "</f>
        <v xml:space="preserve">41 </v>
      </c>
      <c r="K664" s="26" t="str">
        <f t="shared" si="101"/>
        <v>PR</v>
      </c>
      <c r="L664" s="26" t="str">
        <f t="shared" si="102"/>
        <v>DGOSE</v>
      </c>
      <c r="M664" s="26" t="str">
        <f t="shared" si="107"/>
        <v>FEDERAL</v>
      </c>
      <c r="N664" s="26">
        <v>154</v>
      </c>
      <c r="O664" s="26">
        <v>84</v>
      </c>
      <c r="P664" s="26">
        <v>70</v>
      </c>
      <c r="Q664" s="26">
        <v>6</v>
      </c>
      <c r="R664" s="26">
        <v>1</v>
      </c>
      <c r="S664" s="26">
        <v>6</v>
      </c>
      <c r="T664" s="26">
        <v>6</v>
      </c>
      <c r="U664" s="26">
        <v>13</v>
      </c>
      <c r="V664" s="26">
        <v>1</v>
      </c>
      <c r="W664" s="26" t="s">
        <v>2076</v>
      </c>
    </row>
    <row r="665" spans="1:23" x14ac:dyDescent="0.25">
      <c r="A665" s="26" t="str">
        <f t="shared" si="105"/>
        <v>PRIMARIA</v>
      </c>
      <c r="B665" s="26" t="str">
        <f>"09DPR1580S"</f>
        <v>09DPR1580S</v>
      </c>
      <c r="C665" s="26" t="str">
        <f>"15 DE SEPTIEMBRE                                                                                    "</f>
        <v xml:space="preserve">15 DE SEPTIEMBRE                                                                                    </v>
      </c>
      <c r="D665" s="26" t="str">
        <f>"JORNADA AMPLIADA"</f>
        <v>JORNADA AMPLIADA</v>
      </c>
      <c r="E665" s="26" t="str">
        <f>"AV. CUITLAHUAC Y CEYLAN S/N                                                     "</f>
        <v xml:space="preserve">AV. CUITLAHUAC Y CEYLAN S/N                                                     </v>
      </c>
      <c r="F665" s="26" t="str">
        <f>"COSMOPOLITA AMPLIACION                                                                                                                      "</f>
        <v xml:space="preserve">COSMOPOLITA AMPLIACION                                                                                                                      </v>
      </c>
      <c r="G665" s="26" t="str">
        <f>"AZCAPOTZALCO                                                                    "</f>
        <v xml:space="preserve">AZCAPOTZALCO                                                                    </v>
      </c>
      <c r="H665" s="26" t="str">
        <f>"104"</f>
        <v>104</v>
      </c>
      <c r="I665" s="26" t="str">
        <f t="shared" si="106"/>
        <v>00</v>
      </c>
      <c r="J665" s="26" t="str">
        <f t="shared" si="108"/>
        <v xml:space="preserve">41 </v>
      </c>
      <c r="K665" s="26" t="str">
        <f t="shared" si="101"/>
        <v>PR</v>
      </c>
      <c r="L665" s="26" t="str">
        <f t="shared" si="102"/>
        <v>DGOSE</v>
      </c>
      <c r="M665" s="26" t="str">
        <f t="shared" si="107"/>
        <v>FEDERAL</v>
      </c>
      <c r="N665" s="26">
        <v>194</v>
      </c>
      <c r="O665" s="26">
        <v>113</v>
      </c>
      <c r="P665" s="26">
        <v>81</v>
      </c>
      <c r="Q665" s="26">
        <v>7</v>
      </c>
      <c r="R665" s="26">
        <v>1</v>
      </c>
      <c r="S665" s="26">
        <v>7</v>
      </c>
      <c r="T665" s="26">
        <v>9</v>
      </c>
      <c r="U665" s="26">
        <v>17</v>
      </c>
      <c r="V665" s="26">
        <v>1</v>
      </c>
      <c r="W665" s="26" t="s">
        <v>2076</v>
      </c>
    </row>
    <row r="666" spans="1:23" x14ac:dyDescent="0.25">
      <c r="A666" s="26" t="str">
        <f t="shared" si="105"/>
        <v>PRIMARIA</v>
      </c>
      <c r="B666" s="26" t="str">
        <f>"09DPR1584O"</f>
        <v>09DPR1584O</v>
      </c>
      <c r="C666" s="26" t="str">
        <f>"ANGELA PERALTA                                                                                      "</f>
        <v xml:space="preserve">ANGELA PERALTA                                                                                      </v>
      </c>
      <c r="D666" s="26" t="str">
        <f>"JORNADA AMPLIADA"</f>
        <v>JORNADA AMPLIADA</v>
      </c>
      <c r="E666" s="26" t="str">
        <f>"LATONEROS NUM 71                                                                "</f>
        <v xml:space="preserve">LATONEROS NUM 71                                                                </v>
      </c>
      <c r="F666" s="26" t="str">
        <f>"TRABAJADORES DEL HIERRO                                                                                                                     "</f>
        <v xml:space="preserve">TRABAJADORES DEL HIERRO                                                                                                                     </v>
      </c>
      <c r="G666" s="26" t="str">
        <f>"AZCAPOTZALCO                                                                    "</f>
        <v xml:space="preserve">AZCAPOTZALCO                                                                    </v>
      </c>
      <c r="H666" s="26" t="str">
        <f>"105"</f>
        <v>105</v>
      </c>
      <c r="I666" s="26" t="str">
        <f t="shared" si="106"/>
        <v>00</v>
      </c>
      <c r="J666" s="26" t="str">
        <f t="shared" si="108"/>
        <v xml:space="preserve">41 </v>
      </c>
      <c r="K666" s="26" t="str">
        <f t="shared" si="101"/>
        <v>PR</v>
      </c>
      <c r="L666" s="26" t="str">
        <f t="shared" si="102"/>
        <v>DGOSE</v>
      </c>
      <c r="M666" s="26" t="str">
        <f t="shared" si="107"/>
        <v>FEDERAL</v>
      </c>
      <c r="N666" s="26">
        <v>290</v>
      </c>
      <c r="O666" s="26">
        <v>145</v>
      </c>
      <c r="P666" s="26">
        <v>145</v>
      </c>
      <c r="Q666" s="26">
        <v>12</v>
      </c>
      <c r="R666" s="26">
        <v>1</v>
      </c>
      <c r="S666" s="26">
        <v>12</v>
      </c>
      <c r="T666" s="26">
        <v>12</v>
      </c>
      <c r="U666" s="26">
        <v>25</v>
      </c>
      <c r="V666" s="26">
        <v>1</v>
      </c>
      <c r="W666" s="26" t="s">
        <v>2076</v>
      </c>
    </row>
    <row r="667" spans="1:23" x14ac:dyDescent="0.25">
      <c r="A667" s="26" t="str">
        <f t="shared" si="105"/>
        <v>PRIMARIA</v>
      </c>
      <c r="B667" s="26" t="str">
        <f>"09DPR1585N"</f>
        <v>09DPR1585N</v>
      </c>
      <c r="C667" s="26" t="str">
        <f>"TEMACHTIANI                                                                                         "</f>
        <v xml:space="preserve">TEMACHTIANI                                                                                         </v>
      </c>
      <c r="D667" s="26" t="str">
        <f>"JORNADA AMPLIADA"</f>
        <v>JORNADA AMPLIADA</v>
      </c>
      <c r="E667" s="26" t="str">
        <f>"ALDANA NUM 28                                                                   "</f>
        <v xml:space="preserve">ALDANA NUM 28                                                                   </v>
      </c>
      <c r="F667" s="26" t="str">
        <f>"COSMOPOLITA AMPLIACION                                                                                                                      "</f>
        <v xml:space="preserve">COSMOPOLITA AMPLIACION                                                                                                                      </v>
      </c>
      <c r="G667" s="26" t="str">
        <f>"AZCAPOTZALCO                                                                    "</f>
        <v xml:space="preserve">AZCAPOTZALCO                                                                    </v>
      </c>
      <c r="H667" s="26" t="str">
        <f>"104"</f>
        <v>104</v>
      </c>
      <c r="I667" s="26" t="str">
        <f t="shared" si="106"/>
        <v>00</v>
      </c>
      <c r="J667" s="26" t="str">
        <f t="shared" si="108"/>
        <v xml:space="preserve">41 </v>
      </c>
      <c r="K667" s="26" t="str">
        <f t="shared" si="101"/>
        <v>PR</v>
      </c>
      <c r="L667" s="26" t="str">
        <f t="shared" si="102"/>
        <v>DGOSE</v>
      </c>
      <c r="M667" s="26" t="str">
        <f t="shared" si="107"/>
        <v>FEDERAL</v>
      </c>
      <c r="N667" s="26">
        <v>192</v>
      </c>
      <c r="O667" s="26">
        <v>95</v>
      </c>
      <c r="P667" s="26">
        <v>97</v>
      </c>
      <c r="Q667" s="26">
        <v>6</v>
      </c>
      <c r="R667" s="26">
        <v>1</v>
      </c>
      <c r="S667" s="26">
        <v>5</v>
      </c>
      <c r="T667" s="26">
        <v>7</v>
      </c>
      <c r="U667" s="26">
        <v>13</v>
      </c>
      <c r="V667" s="26">
        <v>1</v>
      </c>
      <c r="W667" s="26" t="s">
        <v>2076</v>
      </c>
    </row>
    <row r="668" spans="1:23" x14ac:dyDescent="0.25">
      <c r="A668" s="26" t="str">
        <f t="shared" si="105"/>
        <v>PRIMARIA</v>
      </c>
      <c r="B668" s="26" t="str">
        <f>"09DPR1587L"</f>
        <v>09DPR1587L</v>
      </c>
      <c r="C668" s="26" t="str">
        <f>"GENERAL FELIPE ANGELES RAMIREZ                                                                      "</f>
        <v xml:space="preserve">GENERAL FELIPE ANGELES RAMIREZ                                                                      </v>
      </c>
      <c r="D668" s="26" t="str">
        <f>"TIEMPO COMPLETO"</f>
        <v>TIEMPO COMPLETO</v>
      </c>
      <c r="E668" s="26" t="str">
        <f>"AV CENTRAL Y GUAM S/N                                                           "</f>
        <v xml:space="preserve">AV CENTRAL Y GUAM S/N                                                           </v>
      </c>
      <c r="F668" s="26" t="str">
        <f>"EUZKADI                                                                                                                                     "</f>
        <v xml:space="preserve">EUZKADI                                                                                                                                     </v>
      </c>
      <c r="G668" s="26" t="str">
        <f>"AZCAPOTZALCO                                                                    "</f>
        <v xml:space="preserve">AZCAPOTZALCO                                                                    </v>
      </c>
      <c r="H668" s="26" t="str">
        <f>"104"</f>
        <v>104</v>
      </c>
      <c r="I668" s="26" t="str">
        <f t="shared" si="106"/>
        <v>00</v>
      </c>
      <c r="J668" s="26" t="str">
        <f t="shared" si="108"/>
        <v xml:space="preserve">41 </v>
      </c>
      <c r="K668" s="26" t="str">
        <f t="shared" si="101"/>
        <v>PR</v>
      </c>
      <c r="L668" s="26" t="str">
        <f t="shared" si="102"/>
        <v>DGOSE</v>
      </c>
      <c r="M668" s="26" t="str">
        <f t="shared" si="107"/>
        <v>FEDERAL</v>
      </c>
      <c r="N668" s="26">
        <v>352</v>
      </c>
      <c r="O668" s="26">
        <v>179</v>
      </c>
      <c r="P668" s="26">
        <v>173</v>
      </c>
      <c r="Q668" s="26">
        <v>14</v>
      </c>
      <c r="R668" s="26">
        <v>1</v>
      </c>
      <c r="S668" s="26">
        <v>13</v>
      </c>
      <c r="T668" s="26">
        <v>18</v>
      </c>
      <c r="U668" s="26">
        <v>32</v>
      </c>
      <c r="V668" s="26">
        <v>1</v>
      </c>
      <c r="W668" s="26" t="s">
        <v>218</v>
      </c>
    </row>
    <row r="669" spans="1:23" x14ac:dyDescent="0.25">
      <c r="A669" s="26" t="str">
        <f t="shared" si="105"/>
        <v>PRIMARIA</v>
      </c>
      <c r="B669" s="26" t="str">
        <f>"09DPR1588K"</f>
        <v>09DPR1588K</v>
      </c>
      <c r="C669" s="26" t="str">
        <f>"REPUBLICA DE CHILE                                                                                  "</f>
        <v xml:space="preserve">REPUBLICA DE CHILE                                                                                  </v>
      </c>
      <c r="D669" s="26" t="str">
        <f>"JORNADA AMPLIADA"</f>
        <v>JORNADA AMPLIADA</v>
      </c>
      <c r="E669" s="26" t="str">
        <f>"NORTE 11 NUM. 4915                                                              "</f>
        <v xml:space="preserve">NORTE 11 NUM. 4915                                                              </v>
      </c>
      <c r="F669" s="26" t="str">
        <f>"MAGDALENA DE LAS SALINAS                                                                                                                    "</f>
        <v xml:space="preserve">MAGDALENA DE LAS SALINAS                                                                                                                    </v>
      </c>
      <c r="G669" s="26" t="str">
        <f>"GUSTAVO A. MADERO                                                               "</f>
        <v xml:space="preserve">GUSTAVO A. MADERO                                                               </v>
      </c>
      <c r="H669" s="26" t="str">
        <f>"134"</f>
        <v>134</v>
      </c>
      <c r="I669" s="26" t="str">
        <f t="shared" si="106"/>
        <v>00</v>
      </c>
      <c r="J669" s="26" t="str">
        <f t="shared" si="108"/>
        <v xml:space="preserve">41 </v>
      </c>
      <c r="K669" s="26" t="str">
        <f t="shared" si="101"/>
        <v>PR</v>
      </c>
      <c r="L669" s="26" t="str">
        <f t="shared" si="102"/>
        <v>DGOSE</v>
      </c>
      <c r="M669" s="26" t="str">
        <f t="shared" si="107"/>
        <v>FEDERAL</v>
      </c>
      <c r="N669" s="26">
        <v>281</v>
      </c>
      <c r="O669" s="26">
        <v>137</v>
      </c>
      <c r="P669" s="26">
        <v>144</v>
      </c>
      <c r="Q669" s="26">
        <v>12</v>
      </c>
      <c r="R669" s="26">
        <v>1</v>
      </c>
      <c r="S669" s="26">
        <v>12</v>
      </c>
      <c r="T669" s="26">
        <v>11</v>
      </c>
      <c r="U669" s="26">
        <v>24</v>
      </c>
      <c r="V669" s="26">
        <v>1</v>
      </c>
      <c r="W669" s="26" t="s">
        <v>2076</v>
      </c>
    </row>
    <row r="670" spans="1:23" x14ac:dyDescent="0.25">
      <c r="A670" s="26" t="str">
        <f t="shared" si="105"/>
        <v>PRIMARIA</v>
      </c>
      <c r="B670" s="26" t="str">
        <f>"09DPR1590Z"</f>
        <v>09DPR1590Z</v>
      </c>
      <c r="C670" s="26" t="str">
        <f>"REPUBLICA DE FRANCIA                                                                                "</f>
        <v xml:space="preserve">REPUBLICA DE FRANCIA                                                                                </v>
      </c>
      <c r="D670" s="26" t="str">
        <f>"JORNADA AMPLIADA"</f>
        <v>JORNADA AMPLIADA</v>
      </c>
      <c r="E670" s="26" t="str">
        <f>"XOCOTITLA NUM. 14                                                               "</f>
        <v xml:space="preserve">XOCOTITLA NUM. 14                                                               </v>
      </c>
      <c r="F670" s="26" t="str">
        <f>"DEL GAS                                                                                                                                     "</f>
        <v xml:space="preserve">DEL GAS                                                                                                                                     </v>
      </c>
      <c r="G670" s="26" t="str">
        <f t="shared" ref="G670:G675" si="109">"AZCAPOTZALCO                                                                    "</f>
        <v xml:space="preserve">AZCAPOTZALCO                                                                    </v>
      </c>
      <c r="H670" s="26" t="str">
        <f>"104"</f>
        <v>104</v>
      </c>
      <c r="I670" s="26" t="str">
        <f t="shared" si="106"/>
        <v>00</v>
      </c>
      <c r="J670" s="26" t="str">
        <f t="shared" si="108"/>
        <v xml:space="preserve">41 </v>
      </c>
      <c r="K670" s="26" t="str">
        <f t="shared" si="101"/>
        <v>PR</v>
      </c>
      <c r="L670" s="26" t="str">
        <f t="shared" si="102"/>
        <v>DGOSE</v>
      </c>
      <c r="M670" s="26" t="str">
        <f t="shared" si="107"/>
        <v>FEDERAL</v>
      </c>
      <c r="N670" s="26">
        <v>164</v>
      </c>
      <c r="O670" s="26">
        <v>84</v>
      </c>
      <c r="P670" s="26">
        <v>80</v>
      </c>
      <c r="Q670" s="26">
        <v>7</v>
      </c>
      <c r="R670" s="26">
        <v>1</v>
      </c>
      <c r="S670" s="26">
        <v>7</v>
      </c>
      <c r="T670" s="26">
        <v>9</v>
      </c>
      <c r="U670" s="26">
        <v>17</v>
      </c>
      <c r="V670" s="26">
        <v>1</v>
      </c>
      <c r="W670" s="26" t="s">
        <v>2076</v>
      </c>
    </row>
    <row r="671" spans="1:23" x14ac:dyDescent="0.25">
      <c r="A671" s="26" t="str">
        <f t="shared" si="105"/>
        <v>PRIMARIA</v>
      </c>
      <c r="B671" s="26" t="str">
        <f>"09DPR1591Y"</f>
        <v>09DPR1591Y</v>
      </c>
      <c r="C671" s="26" t="str">
        <f>"PROFR. LUIS DE LA BRENA                                                                             "</f>
        <v xml:space="preserve">PROFR. LUIS DE LA BRENA                                                                             </v>
      </c>
      <c r="D671" s="26" t="str">
        <f>"JORNADA AMPLIADA"</f>
        <v>JORNADA AMPLIADA</v>
      </c>
      <c r="E671" s="26" t="str">
        <f>"PONIENTE 122 NUM 548                                                            "</f>
        <v xml:space="preserve">PONIENTE 122 NUM 548                                                            </v>
      </c>
      <c r="F671" s="26" t="str">
        <f>"SANTA CRUZ DE LAS SALINAS                                                                                                                   "</f>
        <v xml:space="preserve">SANTA CRUZ DE LAS SALINAS                                                                                                                   </v>
      </c>
      <c r="G671" s="26" t="str">
        <f t="shared" si="109"/>
        <v xml:space="preserve">AZCAPOTZALCO                                                                    </v>
      </c>
      <c r="H671" s="26" t="str">
        <f>"105"</f>
        <v>105</v>
      </c>
      <c r="I671" s="26" t="str">
        <f t="shared" si="106"/>
        <v>00</v>
      </c>
      <c r="J671" s="26" t="str">
        <f t="shared" si="108"/>
        <v xml:space="preserve">41 </v>
      </c>
      <c r="K671" s="26" t="str">
        <f t="shared" si="101"/>
        <v>PR</v>
      </c>
      <c r="L671" s="26" t="str">
        <f t="shared" si="102"/>
        <v>DGOSE</v>
      </c>
      <c r="M671" s="26" t="str">
        <f t="shared" si="107"/>
        <v>FEDERAL</v>
      </c>
      <c r="N671" s="26">
        <v>128</v>
      </c>
      <c r="O671" s="26">
        <v>70</v>
      </c>
      <c r="P671" s="26">
        <v>58</v>
      </c>
      <c r="Q671" s="26">
        <v>6</v>
      </c>
      <c r="R671" s="26">
        <v>1</v>
      </c>
      <c r="S671" s="26">
        <v>6</v>
      </c>
      <c r="T671" s="26">
        <v>6</v>
      </c>
      <c r="U671" s="26">
        <v>13</v>
      </c>
      <c r="V671" s="26">
        <v>1</v>
      </c>
      <c r="W671" s="26" t="s">
        <v>2076</v>
      </c>
    </row>
    <row r="672" spans="1:23" x14ac:dyDescent="0.25">
      <c r="A672" s="26" t="str">
        <f t="shared" si="105"/>
        <v>PRIMARIA</v>
      </c>
      <c r="B672" s="26" t="str">
        <f>"09DPR1593W"</f>
        <v>09DPR1593W</v>
      </c>
      <c r="C672" s="26" t="str">
        <f>"MAESTRA JUANA PALACIOS                                                                              "</f>
        <v xml:space="preserve">MAESTRA JUANA PALACIOS                                                                              </v>
      </c>
      <c r="D672" s="26" t="str">
        <f>"JORNADA AMPLIADA"</f>
        <v>JORNADA AMPLIADA</v>
      </c>
      <c r="E672" s="26" t="str">
        <f>"AV CENTRAL SUR 560                                                              "</f>
        <v xml:space="preserve">AV CENTRAL SUR 560                                                              </v>
      </c>
      <c r="F672" s="26" t="str">
        <f>"PRO  HOGAR                                                                                                                                  "</f>
        <v xml:space="preserve">PRO  HOGAR                                                                                                                                  </v>
      </c>
      <c r="G672" s="26" t="str">
        <f t="shared" si="109"/>
        <v xml:space="preserve">AZCAPOTZALCO                                                                    </v>
      </c>
      <c r="H672" s="26" t="str">
        <f>"105"</f>
        <v>105</v>
      </c>
      <c r="I672" s="26" t="str">
        <f t="shared" si="106"/>
        <v>00</v>
      </c>
      <c r="J672" s="26" t="str">
        <f t="shared" si="108"/>
        <v xml:space="preserve">41 </v>
      </c>
      <c r="K672" s="26" t="str">
        <f t="shared" si="101"/>
        <v>PR</v>
      </c>
      <c r="L672" s="26" t="str">
        <f t="shared" si="102"/>
        <v>DGOSE</v>
      </c>
      <c r="M672" s="26" t="str">
        <f t="shared" si="107"/>
        <v>FEDERAL</v>
      </c>
      <c r="N672" s="26">
        <v>314</v>
      </c>
      <c r="O672" s="26">
        <v>152</v>
      </c>
      <c r="P672" s="26">
        <v>162</v>
      </c>
      <c r="Q672" s="26">
        <v>12</v>
      </c>
      <c r="R672" s="26">
        <v>1</v>
      </c>
      <c r="S672" s="26">
        <v>12</v>
      </c>
      <c r="T672" s="26">
        <v>12</v>
      </c>
      <c r="U672" s="26">
        <v>25</v>
      </c>
      <c r="V672" s="26">
        <v>1</v>
      </c>
      <c r="W672" s="26" t="s">
        <v>2076</v>
      </c>
    </row>
    <row r="673" spans="1:23" x14ac:dyDescent="0.25">
      <c r="A673" s="26" t="str">
        <f t="shared" si="105"/>
        <v>PRIMARIA</v>
      </c>
      <c r="B673" s="26" t="str">
        <f>"09DPR1595U"</f>
        <v>09DPR1595U</v>
      </c>
      <c r="C673" s="26" t="str">
        <f>"FRANCISCO DE PAULA HERRASTI                                                                         "</f>
        <v xml:space="preserve">FRANCISCO DE PAULA HERRASTI                                                                         </v>
      </c>
      <c r="D673" s="26" t="str">
        <f>"JORNADA AMPLIADA"</f>
        <v>JORNADA AMPLIADA</v>
      </c>
      <c r="E673" s="26" t="str">
        <f>"CALLE 5 NUM. 279                                                                "</f>
        <v xml:space="preserve">CALLE 5 NUM. 279                                                                </v>
      </c>
      <c r="F673" s="26" t="str">
        <f>"ALDANA                                                                                                                                      "</f>
        <v xml:space="preserve">ALDANA                                                                                                                                      </v>
      </c>
      <c r="G673" s="26" t="str">
        <f t="shared" si="109"/>
        <v xml:space="preserve">AZCAPOTZALCO                                                                    </v>
      </c>
      <c r="H673" s="26" t="str">
        <f>"105"</f>
        <v>105</v>
      </c>
      <c r="I673" s="26" t="str">
        <f t="shared" si="106"/>
        <v>00</v>
      </c>
      <c r="J673" s="26" t="str">
        <f t="shared" si="108"/>
        <v xml:space="preserve">41 </v>
      </c>
      <c r="K673" s="26" t="str">
        <f t="shared" si="101"/>
        <v>PR</v>
      </c>
      <c r="L673" s="26" t="str">
        <f t="shared" si="102"/>
        <v>DGOSE</v>
      </c>
      <c r="M673" s="26" t="str">
        <f t="shared" si="107"/>
        <v>FEDERAL</v>
      </c>
      <c r="N673" s="26">
        <v>222</v>
      </c>
      <c r="O673" s="26">
        <v>110</v>
      </c>
      <c r="P673" s="26">
        <v>112</v>
      </c>
      <c r="Q673" s="26">
        <v>10</v>
      </c>
      <c r="R673" s="26">
        <v>1</v>
      </c>
      <c r="S673" s="26">
        <v>10</v>
      </c>
      <c r="T673" s="26">
        <v>9</v>
      </c>
      <c r="U673" s="26">
        <v>20</v>
      </c>
      <c r="V673" s="26">
        <v>1</v>
      </c>
      <c r="W673" s="26" t="s">
        <v>2076</v>
      </c>
    </row>
    <row r="674" spans="1:23" x14ac:dyDescent="0.25">
      <c r="A674" s="26" t="str">
        <f t="shared" si="105"/>
        <v>PRIMARIA</v>
      </c>
      <c r="B674" s="26" t="str">
        <f>"09DPR1596T"</f>
        <v>09DPR1596T</v>
      </c>
      <c r="C674" s="26" t="str">
        <f>"GRAL. ADALBERTO TEJEDA                                                                              "</f>
        <v xml:space="preserve">GRAL. ADALBERTO TEJEDA                                                                              </v>
      </c>
      <c r="D674" s="26" t="str">
        <f>"TIEMPO COMPLETO"</f>
        <v>TIEMPO COMPLETO</v>
      </c>
      <c r="E674" s="26" t="str">
        <f>"NORTE 73 NO.337                                                                 "</f>
        <v xml:space="preserve">NORTE 73 NO.337                                                                 </v>
      </c>
      <c r="F674" s="26" t="str">
        <f>"JARDIN AZPEITIA                                                                                                                             "</f>
        <v xml:space="preserve">JARDIN AZPEITIA                                                                                                                             </v>
      </c>
      <c r="G674" s="26" t="str">
        <f t="shared" si="109"/>
        <v xml:space="preserve">AZCAPOTZALCO                                                                    </v>
      </c>
      <c r="H674" s="26" t="str">
        <f>"106"</f>
        <v>106</v>
      </c>
      <c r="I674" s="26" t="str">
        <f t="shared" si="106"/>
        <v>00</v>
      </c>
      <c r="J674" s="26" t="str">
        <f t="shared" si="108"/>
        <v xml:space="preserve">41 </v>
      </c>
      <c r="K674" s="26" t="str">
        <f t="shared" si="101"/>
        <v>PR</v>
      </c>
      <c r="L674" s="26" t="str">
        <f t="shared" si="102"/>
        <v>DGOSE</v>
      </c>
      <c r="M674" s="26" t="str">
        <f t="shared" si="107"/>
        <v>FEDERAL</v>
      </c>
      <c r="N674" s="26">
        <v>189</v>
      </c>
      <c r="O674" s="26">
        <v>110</v>
      </c>
      <c r="P674" s="26">
        <v>79</v>
      </c>
      <c r="Q674" s="26">
        <v>8</v>
      </c>
      <c r="R674" s="26">
        <v>1</v>
      </c>
      <c r="S674" s="26">
        <v>8</v>
      </c>
      <c r="T674" s="26">
        <v>13</v>
      </c>
      <c r="U674" s="26">
        <v>22</v>
      </c>
      <c r="V674" s="26">
        <v>1</v>
      </c>
      <c r="W674" s="26" t="s">
        <v>218</v>
      </c>
    </row>
    <row r="675" spans="1:23" x14ac:dyDescent="0.25">
      <c r="A675" s="26" t="str">
        <f t="shared" si="105"/>
        <v>PRIMARIA</v>
      </c>
      <c r="B675" s="26" t="str">
        <f>"09DPR1599Q"</f>
        <v>09DPR1599Q</v>
      </c>
      <c r="C675" s="26" t="str">
        <f>"LIC. AQUILES ELORDUY                                                                                "</f>
        <v xml:space="preserve">LIC. AQUILES ELORDUY                                                                                </v>
      </c>
      <c r="D675" s="26" t="str">
        <f>"JORNADA AMPLIADA"</f>
        <v>JORNADA AMPLIADA</v>
      </c>
      <c r="E675" s="26" t="str">
        <f>"CAMINO DE RECREO NO 40                                                          "</f>
        <v xml:space="preserve">CAMINO DE RECREO NO 40                                                          </v>
      </c>
      <c r="F675" s="26" t="str">
        <f>"EL RECREO                                                                                                                                   "</f>
        <v xml:space="preserve">EL RECREO                                                                                                                                   </v>
      </c>
      <c r="G675" s="26" t="str">
        <f t="shared" si="109"/>
        <v xml:space="preserve">AZCAPOTZALCO                                                                    </v>
      </c>
      <c r="H675" s="26" t="str">
        <f>"107"</f>
        <v>107</v>
      </c>
      <c r="I675" s="26" t="str">
        <f t="shared" si="106"/>
        <v>00</v>
      </c>
      <c r="J675" s="26" t="str">
        <f t="shared" si="108"/>
        <v xml:space="preserve">41 </v>
      </c>
      <c r="K675" s="26" t="str">
        <f t="shared" si="101"/>
        <v>PR</v>
      </c>
      <c r="L675" s="26" t="str">
        <f t="shared" si="102"/>
        <v>DGOSE</v>
      </c>
      <c r="M675" s="26" t="str">
        <f t="shared" si="107"/>
        <v>FEDERAL</v>
      </c>
      <c r="N675" s="26">
        <v>302</v>
      </c>
      <c r="O675" s="26">
        <v>158</v>
      </c>
      <c r="P675" s="26">
        <v>144</v>
      </c>
      <c r="Q675" s="26">
        <v>10</v>
      </c>
      <c r="R675" s="26">
        <v>1</v>
      </c>
      <c r="S675" s="26">
        <v>10</v>
      </c>
      <c r="T675" s="26">
        <v>10</v>
      </c>
      <c r="U675" s="26">
        <v>21</v>
      </c>
      <c r="V675" s="26">
        <v>1</v>
      </c>
      <c r="W675" s="26" t="s">
        <v>2076</v>
      </c>
    </row>
    <row r="676" spans="1:23" x14ac:dyDescent="0.25">
      <c r="A676" s="26" t="str">
        <f t="shared" si="105"/>
        <v>PRIMARIA</v>
      </c>
      <c r="B676" s="26" t="str">
        <f>"09DPR1600P"</f>
        <v>09DPR1600P</v>
      </c>
      <c r="C676" s="26" t="str">
        <f>"EL PENSADOR MEXICANO                                                                                "</f>
        <v xml:space="preserve">EL PENSADOR MEXICANO                                                                                </v>
      </c>
      <c r="D676" s="26" t="str">
        <f>"TIEMPO COMPLETO"</f>
        <v>TIEMPO COMPLETO</v>
      </c>
      <c r="E676" s="26" t="str">
        <f>"JAIME TORRES BODET NO 132                                                       "</f>
        <v xml:space="preserve">JAIME TORRES BODET NO 132                                                       </v>
      </c>
      <c r="F676" s="26" t="str">
        <f>"SANTA MARIA LA RIBERA                                                                                                                       "</f>
        <v xml:space="preserve">SANTA MARIA LA RIBERA                                                                                                                       </v>
      </c>
      <c r="G676" s="26" t="str">
        <f>"CUAUHTEMOC                                                                      "</f>
        <v xml:space="preserve">CUAUHTEMOC                                                                      </v>
      </c>
      <c r="H676" s="26" t="str">
        <f>"123"</f>
        <v>123</v>
      </c>
      <c r="I676" s="26" t="str">
        <f t="shared" si="106"/>
        <v>00</v>
      </c>
      <c r="J676" s="26" t="str">
        <f t="shared" si="108"/>
        <v xml:space="preserve">41 </v>
      </c>
      <c r="K676" s="26" t="str">
        <f t="shared" si="101"/>
        <v>PR</v>
      </c>
      <c r="L676" s="26" t="str">
        <f t="shared" si="102"/>
        <v>DGOSE</v>
      </c>
      <c r="M676" s="26" t="str">
        <f t="shared" si="107"/>
        <v>FEDERAL</v>
      </c>
      <c r="N676" s="26">
        <v>389</v>
      </c>
      <c r="O676" s="26">
        <v>194</v>
      </c>
      <c r="P676" s="26">
        <v>195</v>
      </c>
      <c r="Q676" s="26">
        <v>15</v>
      </c>
      <c r="R676" s="26">
        <v>1</v>
      </c>
      <c r="S676" s="26">
        <v>14</v>
      </c>
      <c r="T676" s="26">
        <v>17</v>
      </c>
      <c r="U676" s="26">
        <v>32</v>
      </c>
      <c r="V676" s="26">
        <v>1</v>
      </c>
      <c r="W676" s="26" t="s">
        <v>218</v>
      </c>
    </row>
    <row r="677" spans="1:23" x14ac:dyDescent="0.25">
      <c r="A677" s="26" t="str">
        <f t="shared" si="105"/>
        <v>PRIMARIA</v>
      </c>
      <c r="B677" s="26" t="str">
        <f>"09DPR1603M"</f>
        <v>09DPR1603M</v>
      </c>
      <c r="C677" s="26" t="str">
        <f>"ING. GUILLERMO GONZALEZ CAMARENA                                                                    "</f>
        <v xml:space="preserve">ING. GUILLERMO GONZALEZ CAMARENA                                                                    </v>
      </c>
      <c r="D677" s="26" t="str">
        <f>"VESPERTINO"</f>
        <v>VESPERTINO</v>
      </c>
      <c r="E677" s="26" t="str">
        <f>"AV. AZCAPOTZALCO LA VILLA NUM 66                                                "</f>
        <v xml:space="preserve">AV. AZCAPOTZALCO LA VILLA NUM 66                                                </v>
      </c>
      <c r="F677" s="26" t="str">
        <f>"REYES LOS                                                                                                                                   "</f>
        <v xml:space="preserve">REYES LOS                                                                                                                                   </v>
      </c>
      <c r="G677" s="26" t="str">
        <f t="shared" ref="G677:G723" si="110">"AZCAPOTZALCO                                                                    "</f>
        <v xml:space="preserve">AZCAPOTZALCO                                                                    </v>
      </c>
      <c r="H677" s="26" t="str">
        <f>"205"</f>
        <v>205</v>
      </c>
      <c r="I677" s="26" t="str">
        <f t="shared" si="106"/>
        <v>00</v>
      </c>
      <c r="J677" s="26" t="str">
        <f>"42 "</f>
        <v xml:space="preserve">42 </v>
      </c>
      <c r="K677" s="26" t="str">
        <f t="shared" si="101"/>
        <v>PR</v>
      </c>
      <c r="L677" s="26" t="str">
        <f t="shared" si="102"/>
        <v>DGOSE</v>
      </c>
      <c r="M677" s="26" t="str">
        <f t="shared" si="107"/>
        <v>FEDERAL</v>
      </c>
      <c r="N677" s="26">
        <v>150</v>
      </c>
      <c r="O677" s="26">
        <v>75</v>
      </c>
      <c r="P677" s="26">
        <v>75</v>
      </c>
      <c r="Q677" s="26">
        <v>7</v>
      </c>
      <c r="R677" s="26">
        <v>1</v>
      </c>
      <c r="S677" s="26">
        <v>7</v>
      </c>
      <c r="T677" s="26">
        <v>6</v>
      </c>
      <c r="U677" s="26">
        <v>14</v>
      </c>
      <c r="V677" s="26">
        <v>1</v>
      </c>
      <c r="W677" s="26"/>
    </row>
    <row r="678" spans="1:23" x14ac:dyDescent="0.25">
      <c r="A678" s="26" t="str">
        <f t="shared" si="105"/>
        <v>PRIMARIA</v>
      </c>
      <c r="B678" s="26" t="str">
        <f>"09DPR1604L"</f>
        <v>09DPR1604L</v>
      </c>
      <c r="C678" s="26" t="str">
        <f>"ING. GUILLERMO GONZALEZ CAMARENA                                                                    "</f>
        <v xml:space="preserve">ING. GUILLERMO GONZALEZ CAMARENA                                                                    </v>
      </c>
      <c r="D678" s="26" t="str">
        <f>"MATUTINO"</f>
        <v>MATUTINO</v>
      </c>
      <c r="E678" s="26" t="str">
        <f>"AV AZCAPOTZALCO LA VILLA NUM 66                                                 "</f>
        <v xml:space="preserve">AV AZCAPOTZALCO LA VILLA NUM 66                                                 </v>
      </c>
      <c r="F678" s="26" t="str">
        <f>"REYES LOS                                                                                                                                   "</f>
        <v xml:space="preserve">REYES LOS                                                                                                                                   </v>
      </c>
      <c r="G678" s="26" t="str">
        <f t="shared" si="110"/>
        <v xml:space="preserve">AZCAPOTZALCO                                                                    </v>
      </c>
      <c r="H678" s="26" t="str">
        <f>"205"</f>
        <v>205</v>
      </c>
      <c r="I678" s="26" t="str">
        <f t="shared" si="106"/>
        <v>00</v>
      </c>
      <c r="J678" s="26" t="str">
        <f>"42 "</f>
        <v xml:space="preserve">42 </v>
      </c>
      <c r="K678" s="26" t="str">
        <f t="shared" si="101"/>
        <v>PR</v>
      </c>
      <c r="L678" s="26" t="str">
        <f t="shared" si="102"/>
        <v>DGOSE</v>
      </c>
      <c r="M678" s="26" t="str">
        <f t="shared" si="107"/>
        <v>FEDERAL</v>
      </c>
      <c r="N678" s="26">
        <v>483</v>
      </c>
      <c r="O678" s="26">
        <v>244</v>
      </c>
      <c r="P678" s="26">
        <v>239</v>
      </c>
      <c r="Q678" s="26">
        <v>16</v>
      </c>
      <c r="R678" s="26">
        <v>1</v>
      </c>
      <c r="S678" s="26">
        <v>14</v>
      </c>
      <c r="T678" s="26">
        <v>11</v>
      </c>
      <c r="U678" s="26">
        <v>26</v>
      </c>
      <c r="V678" s="26">
        <v>1</v>
      </c>
      <c r="W678" s="26"/>
    </row>
    <row r="679" spans="1:23" x14ac:dyDescent="0.25">
      <c r="A679" s="26" t="str">
        <f t="shared" si="105"/>
        <v>PRIMARIA</v>
      </c>
      <c r="B679" s="26" t="str">
        <f>"09DPR1605K"</f>
        <v>09DPR1605K</v>
      </c>
      <c r="C679" s="26" t="str">
        <f>"PROFR. ESTEBAN BACA CALDERON                                                                        "</f>
        <v xml:space="preserve">PROFR. ESTEBAN BACA CALDERON                                                                        </v>
      </c>
      <c r="D679" s="26" t="str">
        <f>"VESPERTINO"</f>
        <v>VESPERTINO</v>
      </c>
      <c r="E679" s="26" t="str">
        <f>"RABAUL Y NORTE 87 S/N                                                           "</f>
        <v xml:space="preserve">RABAUL Y NORTE 87 S/N                                                           </v>
      </c>
      <c r="F679" s="26" t="str">
        <f>"SINDICATO MEXICANO DE ELECTRICISTAS                                                                                                         "</f>
        <v xml:space="preserve">SINDICATO MEXICANO DE ELECTRICISTAS                                                                                                         </v>
      </c>
      <c r="G679" s="26" t="str">
        <f t="shared" si="110"/>
        <v xml:space="preserve">AZCAPOTZALCO                                                                    </v>
      </c>
      <c r="H679" s="26" t="str">
        <f>"205"</f>
        <v>205</v>
      </c>
      <c r="I679" s="26" t="str">
        <f t="shared" si="106"/>
        <v>00</v>
      </c>
      <c r="J679" s="26" t="str">
        <f>"42 "</f>
        <v xml:space="preserve">42 </v>
      </c>
      <c r="K679" s="26" t="str">
        <f t="shared" si="101"/>
        <v>PR</v>
      </c>
      <c r="L679" s="26" t="str">
        <f t="shared" si="102"/>
        <v>DGOSE</v>
      </c>
      <c r="M679" s="26" t="str">
        <f t="shared" si="107"/>
        <v>FEDERAL</v>
      </c>
      <c r="N679" s="26">
        <v>125</v>
      </c>
      <c r="O679" s="26">
        <v>69</v>
      </c>
      <c r="P679" s="26">
        <v>56</v>
      </c>
      <c r="Q679" s="26">
        <v>7</v>
      </c>
      <c r="R679" s="26">
        <v>1</v>
      </c>
      <c r="S679" s="26">
        <v>7</v>
      </c>
      <c r="T679" s="26">
        <v>5</v>
      </c>
      <c r="U679" s="26">
        <v>13</v>
      </c>
      <c r="V679" s="26">
        <v>1</v>
      </c>
      <c r="W679" s="26"/>
    </row>
    <row r="680" spans="1:23" x14ac:dyDescent="0.25">
      <c r="A680" s="26" t="str">
        <f t="shared" si="105"/>
        <v>PRIMARIA</v>
      </c>
      <c r="B680" s="26" t="str">
        <f>"09DPR1606J"</f>
        <v>09DPR1606J</v>
      </c>
      <c r="C680" s="26" t="str">
        <f>"FRANCISCO JAVIER MINA                                                                               "</f>
        <v xml:space="preserve">FRANCISCO JAVIER MINA                                                                               </v>
      </c>
      <c r="D680" s="26" t="str">
        <f>"MATUTINO"</f>
        <v>MATUTINO</v>
      </c>
      <c r="E680" s="26" t="str">
        <f>"AV MORELOS S/N                                                                  "</f>
        <v xml:space="preserve">AV MORELOS S/N                                                                  </v>
      </c>
      <c r="F680" s="26" t="str">
        <f>"SAN MIGUEL AMANTLA                                                                                                                          "</f>
        <v xml:space="preserve">SAN MIGUEL AMANTLA                                                                                                                          </v>
      </c>
      <c r="G680" s="26" t="str">
        <f t="shared" si="110"/>
        <v xml:space="preserve">AZCAPOTZALCO                                                                    </v>
      </c>
      <c r="H680" s="26" t="str">
        <f>"203"</f>
        <v>203</v>
      </c>
      <c r="I680" s="26" t="str">
        <f t="shared" si="106"/>
        <v>00</v>
      </c>
      <c r="J680" s="26" t="str">
        <f>"42 "</f>
        <v xml:space="preserve">42 </v>
      </c>
      <c r="K680" s="26" t="str">
        <f t="shared" si="101"/>
        <v>PR</v>
      </c>
      <c r="L680" s="26" t="str">
        <f t="shared" si="102"/>
        <v>DGOSE</v>
      </c>
      <c r="M680" s="26" t="str">
        <f t="shared" si="107"/>
        <v>FEDERAL</v>
      </c>
      <c r="N680" s="26">
        <v>329</v>
      </c>
      <c r="O680" s="26">
        <v>172</v>
      </c>
      <c r="P680" s="26">
        <v>157</v>
      </c>
      <c r="Q680" s="26">
        <v>12</v>
      </c>
      <c r="R680" s="26">
        <v>1</v>
      </c>
      <c r="S680" s="26">
        <v>12</v>
      </c>
      <c r="T680" s="26">
        <v>9</v>
      </c>
      <c r="U680" s="26">
        <v>22</v>
      </c>
      <c r="V680" s="26">
        <v>1</v>
      </c>
      <c r="W680" s="26"/>
    </row>
    <row r="681" spans="1:23" x14ac:dyDescent="0.25">
      <c r="A681" s="26" t="str">
        <f t="shared" si="105"/>
        <v>PRIMARIA</v>
      </c>
      <c r="B681" s="26" t="str">
        <f>"09DPR1607I"</f>
        <v>09DPR1607I</v>
      </c>
      <c r="C681" s="26" t="str">
        <f>"EMPERADOR CUAUHTEMOC                                                                                "</f>
        <v xml:space="preserve">EMPERADOR CUAUHTEMOC                                                                                </v>
      </c>
      <c r="D681" s="26" t="str">
        <f>"TIEMPO COMPLETO"</f>
        <v>TIEMPO COMPLETO</v>
      </c>
      <c r="E681" s="26" t="str">
        <f>"BOLDO NUM 18                                                                    "</f>
        <v xml:space="preserve">BOLDO NUM 18                                                                    </v>
      </c>
      <c r="F681" s="26" t="str">
        <f>"NUEVA SANTA MARIA                                                                                                                           "</f>
        <v xml:space="preserve">NUEVA SANTA MARIA                                                                                                                           </v>
      </c>
      <c r="G681" s="26" t="str">
        <f t="shared" si="110"/>
        <v xml:space="preserve">AZCAPOTZALCO                                                                    </v>
      </c>
      <c r="H681" s="26" t="str">
        <f>"106"</f>
        <v>106</v>
      </c>
      <c r="I681" s="26" t="str">
        <f t="shared" si="106"/>
        <v>00</v>
      </c>
      <c r="J681" s="26" t="str">
        <f>"41 "</f>
        <v xml:space="preserve">41 </v>
      </c>
      <c r="K681" s="26" t="str">
        <f t="shared" si="101"/>
        <v>PR</v>
      </c>
      <c r="L681" s="26" t="str">
        <f t="shared" si="102"/>
        <v>DGOSE</v>
      </c>
      <c r="M681" s="26" t="str">
        <f t="shared" si="107"/>
        <v>FEDERAL</v>
      </c>
      <c r="N681" s="26">
        <v>292</v>
      </c>
      <c r="O681" s="26">
        <v>129</v>
      </c>
      <c r="P681" s="26">
        <v>163</v>
      </c>
      <c r="Q681" s="26">
        <v>12</v>
      </c>
      <c r="R681" s="26">
        <v>1</v>
      </c>
      <c r="S681" s="26">
        <v>12</v>
      </c>
      <c r="T681" s="26">
        <v>16</v>
      </c>
      <c r="U681" s="26">
        <v>29</v>
      </c>
      <c r="V681" s="26">
        <v>1</v>
      </c>
      <c r="W681" s="26" t="s">
        <v>218</v>
      </c>
    </row>
    <row r="682" spans="1:23" x14ac:dyDescent="0.25">
      <c r="A682" s="26" t="str">
        <f t="shared" si="105"/>
        <v>PRIMARIA</v>
      </c>
      <c r="B682" s="26" t="str">
        <f>"09DPR1610W"</f>
        <v>09DPR1610W</v>
      </c>
      <c r="C682" s="26" t="str">
        <f>"EL MAESTRO MEXICANO                                                                                 "</f>
        <v xml:space="preserve">EL MAESTRO MEXICANO                                                                                 </v>
      </c>
      <c r="D682" s="26" t="str">
        <f>"JORNADA AMPLIADA"</f>
        <v>JORNADA AMPLIADA</v>
      </c>
      <c r="E682" s="26" t="str">
        <f>"GASOLINA Y NORTE 137 S/N                                                        "</f>
        <v xml:space="preserve">GASOLINA Y NORTE 137 S/N                                                        </v>
      </c>
      <c r="F682" s="26" t="str">
        <f>"PLENITUD                                                                                                                                    "</f>
        <v xml:space="preserve">PLENITUD                                                                                                                                    </v>
      </c>
      <c r="G682" s="26" t="str">
        <f t="shared" si="110"/>
        <v xml:space="preserve">AZCAPOTZALCO                                                                    </v>
      </c>
      <c r="H682" s="26" t="str">
        <f>"102"</f>
        <v>102</v>
      </c>
      <c r="I682" s="26" t="str">
        <f t="shared" si="106"/>
        <v>00</v>
      </c>
      <c r="J682" s="26" t="str">
        <f>"41 "</f>
        <v xml:space="preserve">41 </v>
      </c>
      <c r="K682" s="26" t="str">
        <f t="shared" si="101"/>
        <v>PR</v>
      </c>
      <c r="L682" s="26" t="str">
        <f t="shared" si="102"/>
        <v>DGOSE</v>
      </c>
      <c r="M682" s="26" t="str">
        <f t="shared" si="107"/>
        <v>FEDERAL</v>
      </c>
      <c r="N682" s="26">
        <v>197</v>
      </c>
      <c r="O682" s="26">
        <v>107</v>
      </c>
      <c r="P682" s="26">
        <v>90</v>
      </c>
      <c r="Q682" s="26">
        <v>8</v>
      </c>
      <c r="R682" s="26">
        <v>1</v>
      </c>
      <c r="S682" s="26">
        <v>8</v>
      </c>
      <c r="T682" s="26">
        <v>9</v>
      </c>
      <c r="U682" s="26">
        <v>18</v>
      </c>
      <c r="V682" s="26">
        <v>1</v>
      </c>
      <c r="W682" s="26" t="s">
        <v>2076</v>
      </c>
    </row>
    <row r="683" spans="1:23" x14ac:dyDescent="0.25">
      <c r="A683" s="26" t="str">
        <f t="shared" si="105"/>
        <v>PRIMARIA</v>
      </c>
      <c r="B683" s="26" t="str">
        <f>"09DPR1613T"</f>
        <v>09DPR1613T</v>
      </c>
      <c r="C683" s="26" t="str">
        <f>"ESTADO DE GUANAJUATO                                                                                "</f>
        <v xml:space="preserve">ESTADO DE GUANAJUATO                                                                                </v>
      </c>
      <c r="D683" s="26" t="str">
        <f>"MATUTINO"</f>
        <v>MATUTINO</v>
      </c>
      <c r="E683" s="26" t="str">
        <f>"CAMPO MOLOACAN 16                                                               "</f>
        <v xml:space="preserve">CAMPO MOLOACAN 16                                                               </v>
      </c>
      <c r="F683" s="26" t="str">
        <f>"REYNOSA TAMAULIPAS                                                                                                                          "</f>
        <v xml:space="preserve">REYNOSA TAMAULIPAS                                                                                                                          </v>
      </c>
      <c r="G683" s="26" t="str">
        <f t="shared" si="110"/>
        <v xml:space="preserve">AZCAPOTZALCO                                                                    </v>
      </c>
      <c r="H683" s="26" t="str">
        <f>"202"</f>
        <v>202</v>
      </c>
      <c r="I683" s="26" t="str">
        <f t="shared" si="106"/>
        <v>00</v>
      </c>
      <c r="J683" s="26" t="str">
        <f>"42 "</f>
        <v xml:space="preserve">42 </v>
      </c>
      <c r="K683" s="26" t="str">
        <f t="shared" si="101"/>
        <v>PR</v>
      </c>
      <c r="L683" s="26" t="str">
        <f t="shared" si="102"/>
        <v>DGOSE</v>
      </c>
      <c r="M683" s="26" t="str">
        <f t="shared" si="107"/>
        <v>FEDERAL</v>
      </c>
      <c r="N683" s="26">
        <v>187</v>
      </c>
      <c r="O683" s="26">
        <v>96</v>
      </c>
      <c r="P683" s="26">
        <v>91</v>
      </c>
      <c r="Q683" s="26">
        <v>6</v>
      </c>
      <c r="R683" s="26">
        <v>1</v>
      </c>
      <c r="S683" s="26">
        <v>6</v>
      </c>
      <c r="T683" s="26">
        <v>7</v>
      </c>
      <c r="U683" s="26">
        <v>14</v>
      </c>
      <c r="V683" s="26">
        <v>1</v>
      </c>
      <c r="W683" s="26"/>
    </row>
    <row r="684" spans="1:23" x14ac:dyDescent="0.25">
      <c r="A684" s="26" t="str">
        <f t="shared" si="105"/>
        <v>PRIMARIA</v>
      </c>
      <c r="B684" s="26" t="str">
        <f>"09DPR1614S"</f>
        <v>09DPR1614S</v>
      </c>
      <c r="C684" s="26" t="str">
        <f>"ESTADO DE NUEVO LEON                                                                                "</f>
        <v xml:space="preserve">ESTADO DE NUEVO LEON                                                                                </v>
      </c>
      <c r="D684" s="26" t="str">
        <f>"TIEMPO COMPLETO"</f>
        <v>TIEMPO COMPLETO</v>
      </c>
      <c r="E684" s="26" t="str">
        <f>"NILO Y TEXCOCO S/N                                                              "</f>
        <v xml:space="preserve">NILO Y TEXCOCO S/N                                                              </v>
      </c>
      <c r="F684" s="26" t="str">
        <f>"CLAVERIA                                                                                                                                    "</f>
        <v xml:space="preserve">CLAVERIA                                                                                                                                    </v>
      </c>
      <c r="G684" s="26" t="str">
        <f t="shared" si="110"/>
        <v xml:space="preserve">AZCAPOTZALCO                                                                    </v>
      </c>
      <c r="H684" s="26" t="str">
        <f>"107"</f>
        <v>107</v>
      </c>
      <c r="I684" s="26" t="str">
        <f t="shared" si="106"/>
        <v>00</v>
      </c>
      <c r="J684" s="26" t="str">
        <f>"41 "</f>
        <v xml:space="preserve">41 </v>
      </c>
      <c r="K684" s="26" t="str">
        <f t="shared" si="101"/>
        <v>PR</v>
      </c>
      <c r="L684" s="26" t="str">
        <f t="shared" si="102"/>
        <v>DGOSE</v>
      </c>
      <c r="M684" s="26" t="str">
        <f t="shared" si="107"/>
        <v>FEDERAL</v>
      </c>
      <c r="N684" s="26">
        <v>685</v>
      </c>
      <c r="O684" s="26">
        <v>335</v>
      </c>
      <c r="P684" s="26">
        <v>350</v>
      </c>
      <c r="Q684" s="26">
        <v>23</v>
      </c>
      <c r="R684" s="26">
        <v>1</v>
      </c>
      <c r="S684" s="26">
        <v>23</v>
      </c>
      <c r="T684" s="26">
        <v>21</v>
      </c>
      <c r="U684" s="26">
        <v>45</v>
      </c>
      <c r="V684" s="26">
        <v>1</v>
      </c>
      <c r="W684" s="26" t="s">
        <v>218</v>
      </c>
    </row>
    <row r="685" spans="1:23" x14ac:dyDescent="0.25">
      <c r="A685" s="26" t="str">
        <f t="shared" si="105"/>
        <v>PRIMARIA</v>
      </c>
      <c r="B685" s="26" t="str">
        <f>"09DPR1615R"</f>
        <v>09DPR1615R</v>
      </c>
      <c r="C685" s="26" t="str">
        <f>"CIUDAD REYNOSA                                                                                      "</f>
        <v xml:space="preserve">CIUDAD REYNOSA                                                                                      </v>
      </c>
      <c r="D685" s="26" t="str">
        <f>"VESPERTINO"</f>
        <v>VESPERTINO</v>
      </c>
      <c r="E685" s="26" t="str">
        <f>"REF MINATITLAN Y CAMPO ACALAPA S/N                                              "</f>
        <v xml:space="preserve">REF MINATITLAN Y CAMPO ACALAPA S/N                                              </v>
      </c>
      <c r="F685" s="26" t="str">
        <f>"REYNOSA TAMAULIPAS                                                                                                                          "</f>
        <v xml:space="preserve">REYNOSA TAMAULIPAS                                                                                                                          </v>
      </c>
      <c r="G685" s="26" t="str">
        <f t="shared" si="110"/>
        <v xml:space="preserve">AZCAPOTZALCO                                                                    </v>
      </c>
      <c r="H685" s="26" t="str">
        <f>"202"</f>
        <v>202</v>
      </c>
      <c r="I685" s="26" t="str">
        <f t="shared" si="106"/>
        <v>00</v>
      </c>
      <c r="J685" s="26" t="str">
        <f>"42 "</f>
        <v xml:space="preserve">42 </v>
      </c>
      <c r="K685" s="26" t="str">
        <f t="shared" ref="K685:K748" si="111">"PR"</f>
        <v>PR</v>
      </c>
      <c r="L685" s="26" t="str">
        <f t="shared" ref="L685:L748" si="112">"DGOSE"</f>
        <v>DGOSE</v>
      </c>
      <c r="M685" s="26" t="str">
        <f t="shared" si="107"/>
        <v>FEDERAL</v>
      </c>
      <c r="N685" s="26">
        <v>198</v>
      </c>
      <c r="O685" s="26">
        <v>99</v>
      </c>
      <c r="P685" s="26">
        <v>99</v>
      </c>
      <c r="Q685" s="26">
        <v>12</v>
      </c>
      <c r="R685" s="26">
        <v>1</v>
      </c>
      <c r="S685" s="26">
        <v>12</v>
      </c>
      <c r="T685" s="26">
        <v>9</v>
      </c>
      <c r="U685" s="26">
        <v>22</v>
      </c>
      <c r="V685" s="26">
        <v>1</v>
      </c>
      <c r="W685" s="26"/>
    </row>
    <row r="686" spans="1:23" x14ac:dyDescent="0.25">
      <c r="A686" s="26" t="str">
        <f t="shared" si="105"/>
        <v>PRIMARIA</v>
      </c>
      <c r="B686" s="26" t="str">
        <f>"09DPR1616Q"</f>
        <v>09DPR1616Q</v>
      </c>
      <c r="C686" s="26" t="str">
        <f>"CIUDAD REYNOSA                                                                                      "</f>
        <v xml:space="preserve">CIUDAD REYNOSA                                                                                      </v>
      </c>
      <c r="D686" s="26" t="str">
        <f>"MATUTINO"</f>
        <v>MATUTINO</v>
      </c>
      <c r="E686" s="26" t="str">
        <f>"REF MINATITLAN Y CAMPO ACALAPA S/N                                              "</f>
        <v xml:space="preserve">REF MINATITLAN Y CAMPO ACALAPA S/N                                              </v>
      </c>
      <c r="F686" s="26" t="str">
        <f>"REYNOSA TAMAULIPAS                                                                                                                          "</f>
        <v xml:space="preserve">REYNOSA TAMAULIPAS                                                                                                                          </v>
      </c>
      <c r="G686" s="26" t="str">
        <f t="shared" si="110"/>
        <v xml:space="preserve">AZCAPOTZALCO                                                                    </v>
      </c>
      <c r="H686" s="26" t="str">
        <f>"202"</f>
        <v>202</v>
      </c>
      <c r="I686" s="26" t="str">
        <f t="shared" si="106"/>
        <v>00</v>
      </c>
      <c r="J686" s="26" t="str">
        <f>"42 "</f>
        <v xml:space="preserve">42 </v>
      </c>
      <c r="K686" s="26" t="str">
        <f t="shared" si="111"/>
        <v>PR</v>
      </c>
      <c r="L686" s="26" t="str">
        <f t="shared" si="112"/>
        <v>DGOSE</v>
      </c>
      <c r="M686" s="26" t="str">
        <f t="shared" si="107"/>
        <v>FEDERAL</v>
      </c>
      <c r="N686" s="26">
        <v>390</v>
      </c>
      <c r="O686" s="26">
        <v>180</v>
      </c>
      <c r="P686" s="26">
        <v>210</v>
      </c>
      <c r="Q686" s="26">
        <v>14</v>
      </c>
      <c r="R686" s="26">
        <v>1</v>
      </c>
      <c r="S686" s="26">
        <v>12</v>
      </c>
      <c r="T686" s="26">
        <v>13</v>
      </c>
      <c r="U686" s="26">
        <v>26</v>
      </c>
      <c r="V686" s="26">
        <v>1</v>
      </c>
      <c r="W686" s="26"/>
    </row>
    <row r="687" spans="1:23" x14ac:dyDescent="0.25">
      <c r="A687" s="26" t="str">
        <f t="shared" si="105"/>
        <v>PRIMARIA</v>
      </c>
      <c r="B687" s="26" t="str">
        <f>"09DPR1617P"</f>
        <v>09DPR1617P</v>
      </c>
      <c r="C687" s="26" t="str">
        <f>"AMERICA LATINA                                                                                      "</f>
        <v xml:space="preserve">AMERICA LATINA                                                                                      </v>
      </c>
      <c r="D687" s="26" t="str">
        <f>"JORNADA AMPLIADA"</f>
        <v>JORNADA AMPLIADA</v>
      </c>
      <c r="E687" s="26" t="str">
        <f>"BIOLOGO MAXIMINO MTZ. Y NTE 53                                                  "</f>
        <v xml:space="preserve">BIOLOGO MAXIMINO MTZ. Y NTE 53                                                  </v>
      </c>
      <c r="F687" s="26" t="str">
        <f>"OBRERO POPULAR                                                                                                                              "</f>
        <v xml:space="preserve">OBRERO POPULAR                                                                                                                              </v>
      </c>
      <c r="G687" s="26" t="str">
        <f t="shared" si="110"/>
        <v xml:space="preserve">AZCAPOTZALCO                                                                    </v>
      </c>
      <c r="H687" s="26" t="str">
        <f>"106"</f>
        <v>106</v>
      </c>
      <c r="I687" s="26" t="str">
        <f t="shared" si="106"/>
        <v>00</v>
      </c>
      <c r="J687" s="26" t="str">
        <f>"41 "</f>
        <v xml:space="preserve">41 </v>
      </c>
      <c r="K687" s="26" t="str">
        <f t="shared" si="111"/>
        <v>PR</v>
      </c>
      <c r="L687" s="26" t="str">
        <f t="shared" si="112"/>
        <v>DGOSE</v>
      </c>
      <c r="M687" s="26" t="str">
        <f t="shared" si="107"/>
        <v>FEDERAL</v>
      </c>
      <c r="N687" s="26">
        <v>195</v>
      </c>
      <c r="O687" s="26">
        <v>107</v>
      </c>
      <c r="P687" s="26">
        <v>88</v>
      </c>
      <c r="Q687" s="26">
        <v>7</v>
      </c>
      <c r="R687" s="26">
        <v>1</v>
      </c>
      <c r="S687" s="26">
        <v>7</v>
      </c>
      <c r="T687" s="26">
        <v>8</v>
      </c>
      <c r="U687" s="26">
        <v>16</v>
      </c>
      <c r="V687" s="26">
        <v>1</v>
      </c>
      <c r="W687" s="26" t="s">
        <v>2076</v>
      </c>
    </row>
    <row r="688" spans="1:23" x14ac:dyDescent="0.25">
      <c r="A688" s="26" t="str">
        <f t="shared" si="105"/>
        <v>PRIMARIA</v>
      </c>
      <c r="B688" s="26" t="str">
        <f>"09DPR1619N"</f>
        <v>09DPR1619N</v>
      </c>
      <c r="C688" s="26" t="str">
        <f>"CENTENARIO DE LA CONSTITUCION DEL 57                                                                "</f>
        <v xml:space="preserve">CENTENARIO DE LA CONSTITUCION DEL 57                                                                </v>
      </c>
      <c r="D688" s="26" t="str">
        <f>"MATUTINO"</f>
        <v>MATUTINO</v>
      </c>
      <c r="E688" s="26" t="str">
        <f>"RABAUL Y NORTE 87 S/N                                                           "</f>
        <v xml:space="preserve">RABAUL Y NORTE 87 S/N                                                           </v>
      </c>
      <c r="F688" s="26" t="str">
        <f>"SINDICATO MEXICANO DE ELECTRICISTAS                                                                                                         "</f>
        <v xml:space="preserve">SINDICATO MEXICANO DE ELECTRICISTAS                                                                                                         </v>
      </c>
      <c r="G688" s="26" t="str">
        <f t="shared" si="110"/>
        <v xml:space="preserve">AZCAPOTZALCO                                                                    </v>
      </c>
      <c r="H688" s="26" t="str">
        <f>"205"</f>
        <v>205</v>
      </c>
      <c r="I688" s="26" t="str">
        <f t="shared" si="106"/>
        <v>00</v>
      </c>
      <c r="J688" s="26" t="str">
        <f>"42 "</f>
        <v xml:space="preserve">42 </v>
      </c>
      <c r="K688" s="26" t="str">
        <f t="shared" si="111"/>
        <v>PR</v>
      </c>
      <c r="L688" s="26" t="str">
        <f t="shared" si="112"/>
        <v>DGOSE</v>
      </c>
      <c r="M688" s="26" t="str">
        <f t="shared" si="107"/>
        <v>FEDERAL</v>
      </c>
      <c r="N688" s="26">
        <v>558</v>
      </c>
      <c r="O688" s="26">
        <v>286</v>
      </c>
      <c r="P688" s="26">
        <v>272</v>
      </c>
      <c r="Q688" s="26">
        <v>23</v>
      </c>
      <c r="R688" s="26">
        <v>1</v>
      </c>
      <c r="S688" s="26">
        <v>23</v>
      </c>
      <c r="T688" s="26">
        <v>12</v>
      </c>
      <c r="U688" s="26">
        <v>36</v>
      </c>
      <c r="V688" s="26">
        <v>1</v>
      </c>
      <c r="W688" s="26"/>
    </row>
    <row r="689" spans="1:23" x14ac:dyDescent="0.25">
      <c r="A689" s="26" t="str">
        <f t="shared" si="105"/>
        <v>PRIMARIA</v>
      </c>
      <c r="B689" s="26" t="str">
        <f>"09DPR1620C"</f>
        <v>09DPR1620C</v>
      </c>
      <c r="C689" s="26" t="str">
        <f>"CANDIDO NAVARRO                                                                                     "</f>
        <v xml:space="preserve">CANDIDO NAVARRO                                                                                     </v>
      </c>
      <c r="D689" s="26" t="str">
        <f>"JORNADA AMPLIADA"</f>
        <v>JORNADA AMPLIADA</v>
      </c>
      <c r="E689" s="26" t="str">
        <f>"AV CENTRAL/AV AZCAPOT.LA VILLA                                                  "</f>
        <v xml:space="preserve">AV CENTRAL/AV AZCAPOT.LA VILLA                                                  </v>
      </c>
      <c r="F689" s="26" t="str">
        <f>"SANTA CATARINA                                                                                                                              "</f>
        <v xml:space="preserve">SANTA CATARINA                                                                                                                              </v>
      </c>
      <c r="G689" s="26" t="str">
        <f t="shared" si="110"/>
        <v xml:space="preserve">AZCAPOTZALCO                                                                    </v>
      </c>
      <c r="H689" s="26" t="str">
        <f>"103"</f>
        <v>103</v>
      </c>
      <c r="I689" s="26" t="str">
        <f t="shared" si="106"/>
        <v>00</v>
      </c>
      <c r="J689" s="26" t="str">
        <f>"41 "</f>
        <v xml:space="preserve">41 </v>
      </c>
      <c r="K689" s="26" t="str">
        <f t="shared" si="111"/>
        <v>PR</v>
      </c>
      <c r="L689" s="26" t="str">
        <f t="shared" si="112"/>
        <v>DGOSE</v>
      </c>
      <c r="M689" s="26" t="str">
        <f t="shared" si="107"/>
        <v>FEDERAL</v>
      </c>
      <c r="N689" s="26">
        <v>365</v>
      </c>
      <c r="O689" s="26">
        <v>184</v>
      </c>
      <c r="P689" s="26">
        <v>181</v>
      </c>
      <c r="Q689" s="26">
        <v>13</v>
      </c>
      <c r="R689" s="26">
        <v>1</v>
      </c>
      <c r="S689" s="26">
        <v>13</v>
      </c>
      <c r="T689" s="26">
        <v>9</v>
      </c>
      <c r="U689" s="26">
        <v>23</v>
      </c>
      <c r="V689" s="26">
        <v>1</v>
      </c>
      <c r="W689" s="26" t="s">
        <v>2076</v>
      </c>
    </row>
    <row r="690" spans="1:23" x14ac:dyDescent="0.25">
      <c r="A690" s="26" t="str">
        <f t="shared" si="105"/>
        <v>PRIMARIA</v>
      </c>
      <c r="B690" s="26" t="str">
        <f>"09DPR1621B"</f>
        <v>09DPR1621B</v>
      </c>
      <c r="C690" s="26" t="str">
        <f>"CARLOS MARX                                                                                         "</f>
        <v xml:space="preserve">CARLOS MARX                                                                                         </v>
      </c>
      <c r="D690" s="26" t="str">
        <f>"JORNADA AMPLIADA"</f>
        <v>JORNADA AMPLIADA</v>
      </c>
      <c r="E690" s="26" t="str">
        <f>"CAMINO REAL DE SAN MARTIN S/N                                                   "</f>
        <v xml:space="preserve">CAMINO REAL DE SAN MARTIN S/N                                                   </v>
      </c>
      <c r="F690" s="26" t="str">
        <f>"SANTA BARBARA                                                                                                                               "</f>
        <v xml:space="preserve">SANTA BARBARA                                                                                                                               </v>
      </c>
      <c r="G690" s="26" t="str">
        <f t="shared" si="110"/>
        <v xml:space="preserve">AZCAPOTZALCO                                                                    </v>
      </c>
      <c r="H690" s="26" t="str">
        <f>"103"</f>
        <v>103</v>
      </c>
      <c r="I690" s="26" t="str">
        <f t="shared" si="106"/>
        <v>00</v>
      </c>
      <c r="J690" s="26" t="str">
        <f>"41 "</f>
        <v xml:space="preserve">41 </v>
      </c>
      <c r="K690" s="26" t="str">
        <f t="shared" si="111"/>
        <v>PR</v>
      </c>
      <c r="L690" s="26" t="str">
        <f t="shared" si="112"/>
        <v>DGOSE</v>
      </c>
      <c r="M690" s="26" t="str">
        <f t="shared" si="107"/>
        <v>FEDERAL</v>
      </c>
      <c r="N690" s="26">
        <v>630</v>
      </c>
      <c r="O690" s="26">
        <v>334</v>
      </c>
      <c r="P690" s="26">
        <v>296</v>
      </c>
      <c r="Q690" s="26">
        <v>24</v>
      </c>
      <c r="R690" s="26">
        <v>1</v>
      </c>
      <c r="S690" s="26">
        <v>24</v>
      </c>
      <c r="T690" s="26">
        <v>14</v>
      </c>
      <c r="U690" s="26">
        <v>39</v>
      </c>
      <c r="V690" s="26">
        <v>1</v>
      </c>
      <c r="W690" s="26" t="s">
        <v>2076</v>
      </c>
    </row>
    <row r="691" spans="1:23" x14ac:dyDescent="0.25">
      <c r="A691" s="26" t="str">
        <f t="shared" si="105"/>
        <v>PRIMARIA</v>
      </c>
      <c r="B691" s="26" t="str">
        <f>"09DPR1624Z"</f>
        <v>09DPR1624Z</v>
      </c>
      <c r="C691" s="26" t="str">
        <f>"VICENTE ALCARAZ                                                                                     "</f>
        <v xml:space="preserve">VICENTE ALCARAZ                                                                                     </v>
      </c>
      <c r="D691" s="26" t="str">
        <f>"MATUTINO"</f>
        <v>MATUTINO</v>
      </c>
      <c r="E691" s="26" t="str">
        <f>"TEPANECOS NO 2                                                                  "</f>
        <v xml:space="preserve">TEPANECOS NO 2                                                                  </v>
      </c>
      <c r="F691" s="26" t="str">
        <f>"AZCAPOTZALCO                                                                                                                                "</f>
        <v xml:space="preserve">AZCAPOTZALCO                                                                                                                                </v>
      </c>
      <c r="G691" s="26" t="str">
        <f t="shared" si="110"/>
        <v xml:space="preserve">AZCAPOTZALCO                                                                    </v>
      </c>
      <c r="H691" s="26" t="str">
        <f>"205"</f>
        <v>205</v>
      </c>
      <c r="I691" s="26" t="str">
        <f t="shared" si="106"/>
        <v>00</v>
      </c>
      <c r="J691" s="26" t="str">
        <f>"42 "</f>
        <v xml:space="preserve">42 </v>
      </c>
      <c r="K691" s="26" t="str">
        <f t="shared" si="111"/>
        <v>PR</v>
      </c>
      <c r="L691" s="26" t="str">
        <f t="shared" si="112"/>
        <v>DGOSE</v>
      </c>
      <c r="M691" s="26" t="str">
        <f t="shared" si="107"/>
        <v>FEDERAL</v>
      </c>
      <c r="N691" s="26">
        <v>451</v>
      </c>
      <c r="O691" s="26">
        <v>247</v>
      </c>
      <c r="P691" s="26">
        <v>204</v>
      </c>
      <c r="Q691" s="26">
        <v>16</v>
      </c>
      <c r="R691" s="26">
        <v>1</v>
      </c>
      <c r="S691" s="26">
        <v>15</v>
      </c>
      <c r="T691" s="26">
        <v>9</v>
      </c>
      <c r="U691" s="26">
        <v>25</v>
      </c>
      <c r="V691" s="26">
        <v>1</v>
      </c>
      <c r="W691" s="26"/>
    </row>
    <row r="692" spans="1:23" x14ac:dyDescent="0.25">
      <c r="A692" s="26" t="str">
        <f t="shared" si="105"/>
        <v>PRIMARIA</v>
      </c>
      <c r="B692" s="26" t="str">
        <f>"09DPR1625Y"</f>
        <v>09DPR1625Y</v>
      </c>
      <c r="C692" s="26" t="str">
        <f>"VICENTE ALCARAZ                                                                                     "</f>
        <v xml:space="preserve">VICENTE ALCARAZ                                                                                     </v>
      </c>
      <c r="D692" s="26" t="str">
        <f>"VESPERTINO"</f>
        <v>VESPERTINO</v>
      </c>
      <c r="E692" s="26" t="str">
        <f>"TEPANECOS NUM 2                                                                 "</f>
        <v xml:space="preserve">TEPANECOS NUM 2                                                                 </v>
      </c>
      <c r="F692" s="26" t="str">
        <f>"AZCAPOTZALCO                                                                                                                                "</f>
        <v xml:space="preserve">AZCAPOTZALCO                                                                                                                                </v>
      </c>
      <c r="G692" s="26" t="str">
        <f t="shared" si="110"/>
        <v xml:space="preserve">AZCAPOTZALCO                                                                    </v>
      </c>
      <c r="H692" s="26" t="str">
        <f>"205"</f>
        <v>205</v>
      </c>
      <c r="I692" s="26" t="str">
        <f t="shared" si="106"/>
        <v>00</v>
      </c>
      <c r="J692" s="26" t="str">
        <f>"42 "</f>
        <v xml:space="preserve">42 </v>
      </c>
      <c r="K692" s="26" t="str">
        <f t="shared" si="111"/>
        <v>PR</v>
      </c>
      <c r="L692" s="26" t="str">
        <f t="shared" si="112"/>
        <v>DGOSE</v>
      </c>
      <c r="M692" s="26" t="str">
        <f t="shared" si="107"/>
        <v>FEDERAL</v>
      </c>
      <c r="N692" s="26">
        <v>112</v>
      </c>
      <c r="O692" s="26">
        <v>65</v>
      </c>
      <c r="P692" s="26">
        <v>47</v>
      </c>
      <c r="Q692" s="26">
        <v>10</v>
      </c>
      <c r="R692" s="26">
        <v>1</v>
      </c>
      <c r="S692" s="26">
        <v>7</v>
      </c>
      <c r="T692" s="26">
        <v>3</v>
      </c>
      <c r="U692" s="26">
        <v>11</v>
      </c>
      <c r="V692" s="26">
        <v>1</v>
      </c>
      <c r="W692" s="26"/>
    </row>
    <row r="693" spans="1:23" x14ac:dyDescent="0.25">
      <c r="A693" s="26" t="str">
        <f t="shared" si="105"/>
        <v>PRIMARIA</v>
      </c>
      <c r="B693" s="26" t="str">
        <f>"09DPR1626X"</f>
        <v>09DPR1626X</v>
      </c>
      <c r="C693" s="26" t="str">
        <f>"TIERRA Y LIBERTAD                                                                                   "</f>
        <v xml:space="preserve">TIERRA Y LIBERTAD                                                                                   </v>
      </c>
      <c r="D693" s="26" t="str">
        <f>"JORNADA AMPLIADA"</f>
        <v>JORNADA AMPLIADA</v>
      </c>
      <c r="E693" s="26" t="str">
        <f>"AV 16 DE SEPTIEMBRE NUM 53                                                      "</f>
        <v xml:space="preserve">AV 16 DE SEPTIEMBRE NUM 53                                                      </v>
      </c>
      <c r="F693" s="26" t="str">
        <f>"SAN MARTIN XOCHINAHUAC                                                                                                                      "</f>
        <v xml:space="preserve">SAN MARTIN XOCHINAHUAC                                                                                                                      </v>
      </c>
      <c r="G693" s="26" t="str">
        <f t="shared" si="110"/>
        <v xml:space="preserve">AZCAPOTZALCO                                                                    </v>
      </c>
      <c r="H693" s="26" t="str">
        <f>"100"</f>
        <v>100</v>
      </c>
      <c r="I693" s="26" t="str">
        <f t="shared" si="106"/>
        <v>00</v>
      </c>
      <c r="J693" s="26" t="str">
        <f>"41 "</f>
        <v xml:space="preserve">41 </v>
      </c>
      <c r="K693" s="26" t="str">
        <f t="shared" si="111"/>
        <v>PR</v>
      </c>
      <c r="L693" s="26" t="str">
        <f t="shared" si="112"/>
        <v>DGOSE</v>
      </c>
      <c r="M693" s="26" t="str">
        <f t="shared" si="107"/>
        <v>FEDERAL</v>
      </c>
      <c r="N693" s="26">
        <v>269</v>
      </c>
      <c r="O693" s="26">
        <v>144</v>
      </c>
      <c r="P693" s="26">
        <v>125</v>
      </c>
      <c r="Q693" s="26">
        <v>13</v>
      </c>
      <c r="R693" s="26">
        <v>1</v>
      </c>
      <c r="S693" s="26">
        <v>12</v>
      </c>
      <c r="T693" s="26">
        <v>13</v>
      </c>
      <c r="U693" s="26">
        <v>26</v>
      </c>
      <c r="V693" s="26">
        <v>1</v>
      </c>
      <c r="W693" s="26" t="s">
        <v>2076</v>
      </c>
    </row>
    <row r="694" spans="1:23" x14ac:dyDescent="0.25">
      <c r="A694" s="26" t="str">
        <f t="shared" si="105"/>
        <v>PRIMARIA</v>
      </c>
      <c r="B694" s="26" t="str">
        <f>"09DPR1627W"</f>
        <v>09DPR1627W</v>
      </c>
      <c r="C694" s="26" t="str">
        <f>"VEINTE DE NOVIEMBRE                                                                                 "</f>
        <v xml:space="preserve">VEINTE DE NOVIEMBRE                                                                                 </v>
      </c>
      <c r="D694" s="26" t="str">
        <f>"MATUTINO"</f>
        <v>MATUTINO</v>
      </c>
      <c r="E694" s="26" t="str">
        <f>"MALVON 230                                                                      "</f>
        <v xml:space="preserve">MALVON 230                                                                      </v>
      </c>
      <c r="F694" s="26" t="str">
        <f>"HOGAR Y SEGURIDAD                                                                                                                           "</f>
        <v xml:space="preserve">HOGAR Y SEGURIDAD                                                                                                                           </v>
      </c>
      <c r="G694" s="26" t="str">
        <f t="shared" si="110"/>
        <v xml:space="preserve">AZCAPOTZALCO                                                                    </v>
      </c>
      <c r="H694" s="26" t="str">
        <f>"206"</f>
        <v>206</v>
      </c>
      <c r="I694" s="26" t="str">
        <f t="shared" si="106"/>
        <v>00</v>
      </c>
      <c r="J694" s="26" t="str">
        <f>"42 "</f>
        <v xml:space="preserve">42 </v>
      </c>
      <c r="K694" s="26" t="str">
        <f t="shared" si="111"/>
        <v>PR</v>
      </c>
      <c r="L694" s="26" t="str">
        <f t="shared" si="112"/>
        <v>DGOSE</v>
      </c>
      <c r="M694" s="26" t="str">
        <f t="shared" si="107"/>
        <v>FEDERAL</v>
      </c>
      <c r="N694" s="26">
        <v>418</v>
      </c>
      <c r="O694" s="26">
        <v>209</v>
      </c>
      <c r="P694" s="26">
        <v>209</v>
      </c>
      <c r="Q694" s="26">
        <v>15</v>
      </c>
      <c r="R694" s="26">
        <v>1</v>
      </c>
      <c r="S694" s="26">
        <v>15</v>
      </c>
      <c r="T694" s="26">
        <v>11</v>
      </c>
      <c r="U694" s="26">
        <v>27</v>
      </c>
      <c r="V694" s="26">
        <v>1</v>
      </c>
      <c r="W694" s="26"/>
    </row>
    <row r="695" spans="1:23" x14ac:dyDescent="0.25">
      <c r="A695" s="26" t="str">
        <f t="shared" si="105"/>
        <v>PRIMARIA</v>
      </c>
      <c r="B695" s="26" t="str">
        <f>"09DPR1628V"</f>
        <v>09DPR1628V</v>
      </c>
      <c r="C695" s="26" t="str">
        <f>"SOTERO PRIETO                                                                                       "</f>
        <v xml:space="preserve">SOTERO PRIETO                                                                                       </v>
      </c>
      <c r="D695" s="26" t="str">
        <f>"MATUTINO"</f>
        <v>MATUTINO</v>
      </c>
      <c r="E695" s="26" t="str">
        <f>"AV CENTRAL NO 39                                                                "</f>
        <v xml:space="preserve">AV CENTRAL NO 39                                                                </v>
      </c>
      <c r="F695" s="26" t="str">
        <f>"SANTA CATARINA                                                                                                                              "</f>
        <v xml:space="preserve">SANTA CATARINA                                                                                                                              </v>
      </c>
      <c r="G695" s="26" t="str">
        <f t="shared" si="110"/>
        <v xml:space="preserve">AZCAPOTZALCO                                                                    </v>
      </c>
      <c r="H695" s="26" t="str">
        <f>"202"</f>
        <v>202</v>
      </c>
      <c r="I695" s="26" t="str">
        <f t="shared" si="106"/>
        <v>00</v>
      </c>
      <c r="J695" s="26" t="str">
        <f>"42 "</f>
        <v xml:space="preserve">42 </v>
      </c>
      <c r="K695" s="26" t="str">
        <f t="shared" si="111"/>
        <v>PR</v>
      </c>
      <c r="L695" s="26" t="str">
        <f t="shared" si="112"/>
        <v>DGOSE</v>
      </c>
      <c r="M695" s="26" t="str">
        <f t="shared" si="107"/>
        <v>FEDERAL</v>
      </c>
      <c r="N695" s="26">
        <v>288</v>
      </c>
      <c r="O695" s="26">
        <v>139</v>
      </c>
      <c r="P695" s="26">
        <v>149</v>
      </c>
      <c r="Q695" s="26">
        <v>11</v>
      </c>
      <c r="R695" s="26">
        <v>1</v>
      </c>
      <c r="S695" s="26">
        <v>11</v>
      </c>
      <c r="T695" s="26">
        <v>6</v>
      </c>
      <c r="U695" s="26">
        <v>18</v>
      </c>
      <c r="V695" s="26">
        <v>1</v>
      </c>
      <c r="W695" s="26"/>
    </row>
    <row r="696" spans="1:23" x14ac:dyDescent="0.25">
      <c r="A696" s="26" t="str">
        <f t="shared" si="105"/>
        <v>PRIMARIA</v>
      </c>
      <c r="B696" s="26" t="str">
        <f>"09DPR1629U"</f>
        <v>09DPR1629U</v>
      </c>
      <c r="C696" s="26" t="str">
        <f>"TELPUCHCALLI                                                                                        "</f>
        <v xml:space="preserve">TELPUCHCALLI                                                                                        </v>
      </c>
      <c r="D696" s="26" t="str">
        <f>"JORNADA AMPLIADA"</f>
        <v>JORNADA AMPLIADA</v>
      </c>
      <c r="E696" s="26" t="str">
        <f>"OTOÑO NUM. 1 Y AV AZCAPOTZALCO                                                  "</f>
        <v xml:space="preserve">OTOÑO NUM. 1 Y AV AZCAPOTZALCO                                                  </v>
      </c>
      <c r="F696" s="26" t="str">
        <f>"ANGEL ZIMBRON                                                                                                                               "</f>
        <v xml:space="preserve">ANGEL ZIMBRON                                                                                                                               </v>
      </c>
      <c r="G696" s="26" t="str">
        <f t="shared" si="110"/>
        <v xml:space="preserve">AZCAPOTZALCO                                                                    </v>
      </c>
      <c r="H696" s="26" t="str">
        <f>"107"</f>
        <v>107</v>
      </c>
      <c r="I696" s="26" t="str">
        <f t="shared" si="106"/>
        <v>00</v>
      </c>
      <c r="J696" s="26" t="str">
        <f>"41 "</f>
        <v xml:space="preserve">41 </v>
      </c>
      <c r="K696" s="26" t="str">
        <f t="shared" si="111"/>
        <v>PR</v>
      </c>
      <c r="L696" s="26" t="str">
        <f t="shared" si="112"/>
        <v>DGOSE</v>
      </c>
      <c r="M696" s="26" t="str">
        <f t="shared" si="107"/>
        <v>FEDERAL</v>
      </c>
      <c r="N696" s="26">
        <v>521</v>
      </c>
      <c r="O696" s="26">
        <v>266</v>
      </c>
      <c r="P696" s="26">
        <v>255</v>
      </c>
      <c r="Q696" s="26">
        <v>18</v>
      </c>
      <c r="R696" s="26">
        <v>1</v>
      </c>
      <c r="S696" s="26">
        <v>17</v>
      </c>
      <c r="T696" s="26">
        <v>17</v>
      </c>
      <c r="U696" s="26">
        <v>35</v>
      </c>
      <c r="V696" s="26">
        <v>1</v>
      </c>
      <c r="W696" s="26" t="s">
        <v>2076</v>
      </c>
    </row>
    <row r="697" spans="1:23" x14ac:dyDescent="0.25">
      <c r="A697" s="26" t="str">
        <f t="shared" si="105"/>
        <v>PRIMARIA</v>
      </c>
      <c r="B697" s="26" t="str">
        <f>"09DPR1630J"</f>
        <v>09DPR1630J</v>
      </c>
      <c r="C697" s="26" t="str">
        <f>"REPUBLICA DE COREA                                                                                  "</f>
        <v xml:space="preserve">REPUBLICA DE COREA                                                                                  </v>
      </c>
      <c r="D697" s="26" t="str">
        <f>"TIEMPO COMPLETO"</f>
        <v>TIEMPO COMPLETO</v>
      </c>
      <c r="E697" s="26" t="str">
        <f>"RABAUL Y MANZANA 3 S/N                                                          "</f>
        <v xml:space="preserve">RABAUL Y MANZANA 3 S/N                                                          </v>
      </c>
      <c r="F697" s="26" t="str">
        <f>"UNIDAD HABITACIONAL CUITLAHUAC                                                                                                              "</f>
        <v xml:space="preserve">UNIDAD HABITACIONAL CUITLAHUAC                                                                                                              </v>
      </c>
      <c r="G697" s="26" t="str">
        <f t="shared" si="110"/>
        <v xml:space="preserve">AZCAPOTZALCO                                                                    </v>
      </c>
      <c r="H697" s="26" t="str">
        <f>"106"</f>
        <v>106</v>
      </c>
      <c r="I697" s="26" t="str">
        <f t="shared" si="106"/>
        <v>00</v>
      </c>
      <c r="J697" s="26" t="str">
        <f>"41 "</f>
        <v xml:space="preserve">41 </v>
      </c>
      <c r="K697" s="26" t="str">
        <f t="shared" si="111"/>
        <v>PR</v>
      </c>
      <c r="L697" s="26" t="str">
        <f t="shared" si="112"/>
        <v>DGOSE</v>
      </c>
      <c r="M697" s="26" t="str">
        <f t="shared" si="107"/>
        <v>FEDERAL</v>
      </c>
      <c r="N697" s="26">
        <v>312</v>
      </c>
      <c r="O697" s="26">
        <v>174</v>
      </c>
      <c r="P697" s="26">
        <v>138</v>
      </c>
      <c r="Q697" s="26">
        <v>12</v>
      </c>
      <c r="R697" s="26">
        <v>1</v>
      </c>
      <c r="S697" s="26">
        <v>12</v>
      </c>
      <c r="T697" s="26">
        <v>14</v>
      </c>
      <c r="U697" s="26">
        <v>27</v>
      </c>
      <c r="V697" s="26">
        <v>1</v>
      </c>
      <c r="W697" s="26" t="s">
        <v>218</v>
      </c>
    </row>
    <row r="698" spans="1:23" x14ac:dyDescent="0.25">
      <c r="A698" s="26" t="str">
        <f t="shared" si="105"/>
        <v>PRIMARIA</v>
      </c>
      <c r="B698" s="26" t="str">
        <f>"09DPR1631I"</f>
        <v>09DPR1631I</v>
      </c>
      <c r="C698" s="26" t="str">
        <f>"SOTERO PRIETO                                                                                       "</f>
        <v xml:space="preserve">SOTERO PRIETO                                                                                       </v>
      </c>
      <c r="D698" s="26" t="str">
        <f>"VESPERTINO"</f>
        <v>VESPERTINO</v>
      </c>
      <c r="E698" s="26" t="str">
        <f>"AV CENTRAL NO 39                                                                "</f>
        <v xml:space="preserve">AV CENTRAL NO 39                                                                </v>
      </c>
      <c r="F698" s="26" t="str">
        <f>"SANTA CATARINA                                                                                                                              "</f>
        <v xml:space="preserve">SANTA CATARINA                                                                                                                              </v>
      </c>
      <c r="G698" s="26" t="str">
        <f t="shared" si="110"/>
        <v xml:space="preserve">AZCAPOTZALCO                                                                    </v>
      </c>
      <c r="H698" s="26" t="str">
        <f>"202"</f>
        <v>202</v>
      </c>
      <c r="I698" s="26" t="str">
        <f t="shared" si="106"/>
        <v>00</v>
      </c>
      <c r="J698" s="26" t="str">
        <f>"42 "</f>
        <v xml:space="preserve">42 </v>
      </c>
      <c r="K698" s="26" t="str">
        <f t="shared" si="111"/>
        <v>PR</v>
      </c>
      <c r="L698" s="26" t="str">
        <f t="shared" si="112"/>
        <v>DGOSE</v>
      </c>
      <c r="M698" s="26" t="str">
        <f t="shared" si="107"/>
        <v>FEDERAL</v>
      </c>
      <c r="N698" s="26">
        <v>115</v>
      </c>
      <c r="O698" s="26">
        <v>67</v>
      </c>
      <c r="P698" s="26">
        <v>48</v>
      </c>
      <c r="Q698" s="26">
        <v>8</v>
      </c>
      <c r="R698" s="26">
        <v>1</v>
      </c>
      <c r="S698" s="26">
        <v>8</v>
      </c>
      <c r="T698" s="26">
        <v>9</v>
      </c>
      <c r="U698" s="26">
        <v>18</v>
      </c>
      <c r="V698" s="26">
        <v>1</v>
      </c>
      <c r="W698" s="26"/>
    </row>
    <row r="699" spans="1:23" x14ac:dyDescent="0.25">
      <c r="A699" s="26" t="str">
        <f t="shared" si="105"/>
        <v>PRIMARIA</v>
      </c>
      <c r="B699" s="26" t="str">
        <f>"09DPR1632H"</f>
        <v>09DPR1632H</v>
      </c>
      <c r="C699" s="26" t="str">
        <f>"EMPERADOR CUITLAHUAC                                                                                "</f>
        <v xml:space="preserve">EMPERADOR CUITLAHUAC                                                                                </v>
      </c>
      <c r="D699" s="26" t="str">
        <f>"JORNADA AMPLIADA"</f>
        <v>JORNADA AMPLIADA</v>
      </c>
      <c r="E699" s="26" t="str">
        <f>"ESTACION PANTACO Y MANZANA 3 S/N                                                "</f>
        <v xml:space="preserve">ESTACION PANTACO Y MANZANA 3 S/N                                                </v>
      </c>
      <c r="F699" s="26" t="str">
        <f>"UNIDAD HABITACIONAL CUITLAHUAC                                                                                                              "</f>
        <v xml:space="preserve">UNIDAD HABITACIONAL CUITLAHUAC                                                                                                              </v>
      </c>
      <c r="G699" s="26" t="str">
        <f t="shared" si="110"/>
        <v xml:space="preserve">AZCAPOTZALCO                                                                    </v>
      </c>
      <c r="H699" s="26" t="str">
        <f>"106"</f>
        <v>106</v>
      </c>
      <c r="I699" s="26" t="str">
        <f t="shared" si="106"/>
        <v>00</v>
      </c>
      <c r="J699" s="26" t="str">
        <f>"41 "</f>
        <v xml:space="preserve">41 </v>
      </c>
      <c r="K699" s="26" t="str">
        <f t="shared" si="111"/>
        <v>PR</v>
      </c>
      <c r="L699" s="26" t="str">
        <f t="shared" si="112"/>
        <v>DGOSE</v>
      </c>
      <c r="M699" s="26" t="str">
        <f t="shared" si="107"/>
        <v>FEDERAL</v>
      </c>
      <c r="N699" s="26">
        <v>188</v>
      </c>
      <c r="O699" s="26">
        <v>99</v>
      </c>
      <c r="P699" s="26">
        <v>89</v>
      </c>
      <c r="Q699" s="26">
        <v>7</v>
      </c>
      <c r="R699" s="26">
        <v>1</v>
      </c>
      <c r="S699" s="26">
        <v>7</v>
      </c>
      <c r="T699" s="26">
        <v>9</v>
      </c>
      <c r="U699" s="26">
        <v>17</v>
      </c>
      <c r="V699" s="26">
        <v>1</v>
      </c>
      <c r="W699" s="26" t="s">
        <v>2076</v>
      </c>
    </row>
    <row r="700" spans="1:23" x14ac:dyDescent="0.25">
      <c r="A700" s="26" t="str">
        <f t="shared" si="105"/>
        <v>PRIMARIA</v>
      </c>
      <c r="B700" s="26" t="str">
        <f>"09DPR1633G"</f>
        <v>09DPR1633G</v>
      </c>
      <c r="C700" s="26" t="str">
        <f>"NORMAN E. BORLAUG                                                                                   "</f>
        <v xml:space="preserve">NORMAN E. BORLAUG                                                                                   </v>
      </c>
      <c r="D700" s="26" t="str">
        <f>"MATUTINO"</f>
        <v>MATUTINO</v>
      </c>
      <c r="E700" s="26" t="str">
        <f>"ABRAHAM SANCHEZ NUM 14                                                          "</f>
        <v xml:space="preserve">ABRAHAM SANCHEZ NUM 14                                                          </v>
      </c>
      <c r="F700" s="26" t="str">
        <f>"SAN PEDRO XALPA                                                                                                                             "</f>
        <v xml:space="preserve">SAN PEDRO XALPA                                                                                                                             </v>
      </c>
      <c r="G700" s="26" t="str">
        <f t="shared" si="110"/>
        <v xml:space="preserve">AZCAPOTZALCO                                                                    </v>
      </c>
      <c r="H700" s="26" t="str">
        <f>"203"</f>
        <v>203</v>
      </c>
      <c r="I700" s="26" t="str">
        <f t="shared" si="106"/>
        <v>00</v>
      </c>
      <c r="J700" s="26" t="str">
        <f t="shared" ref="J700:J705" si="113">"42 "</f>
        <v xml:space="preserve">42 </v>
      </c>
      <c r="K700" s="26" t="str">
        <f t="shared" si="111"/>
        <v>PR</v>
      </c>
      <c r="L700" s="26" t="str">
        <f t="shared" si="112"/>
        <v>DGOSE</v>
      </c>
      <c r="M700" s="26" t="str">
        <f t="shared" si="107"/>
        <v>FEDERAL</v>
      </c>
      <c r="N700" s="26">
        <v>538</v>
      </c>
      <c r="O700" s="26">
        <v>250</v>
      </c>
      <c r="P700" s="26">
        <v>288</v>
      </c>
      <c r="Q700" s="26">
        <v>18</v>
      </c>
      <c r="R700" s="26">
        <v>0</v>
      </c>
      <c r="S700" s="26">
        <v>17</v>
      </c>
      <c r="T700" s="26">
        <v>8</v>
      </c>
      <c r="U700" s="26">
        <v>25</v>
      </c>
      <c r="V700" s="26">
        <v>1</v>
      </c>
      <c r="W700" s="26"/>
    </row>
    <row r="701" spans="1:23" x14ac:dyDescent="0.25">
      <c r="A701" s="26" t="str">
        <f t="shared" si="105"/>
        <v>PRIMARIA</v>
      </c>
      <c r="B701" s="26" t="str">
        <f>"09DPR1634F"</f>
        <v>09DPR1634F</v>
      </c>
      <c r="C701" s="26" t="str">
        <f>"GRAL. CESAR LOPEZ DE LARA                                                                           "</f>
        <v xml:space="preserve">GRAL. CESAR LOPEZ DE LARA                                                                           </v>
      </c>
      <c r="D701" s="26" t="str">
        <f>"VESPERTINO"</f>
        <v>VESPERTINO</v>
      </c>
      <c r="E701" s="26" t="str">
        <f>"PRIV ROSAS MORENO S/N                                                           "</f>
        <v xml:space="preserve">PRIV ROSAS MORENO S/N                                                           </v>
      </c>
      <c r="F701" s="26" t="str">
        <f>"SANTIAGO AHUIZOTLA                                                                                                                          "</f>
        <v xml:space="preserve">SANTIAGO AHUIZOTLA                                                                                                                          </v>
      </c>
      <c r="G701" s="26" t="str">
        <f t="shared" si="110"/>
        <v xml:space="preserve">AZCAPOTZALCO                                                                    </v>
      </c>
      <c r="H701" s="26" t="str">
        <f>"203"</f>
        <v>203</v>
      </c>
      <c r="I701" s="26" t="str">
        <f t="shared" si="106"/>
        <v>00</v>
      </c>
      <c r="J701" s="26" t="str">
        <f t="shared" si="113"/>
        <v xml:space="preserve">42 </v>
      </c>
      <c r="K701" s="26" t="str">
        <f t="shared" si="111"/>
        <v>PR</v>
      </c>
      <c r="L701" s="26" t="str">
        <f t="shared" si="112"/>
        <v>DGOSE</v>
      </c>
      <c r="M701" s="26" t="str">
        <f t="shared" si="107"/>
        <v>FEDERAL</v>
      </c>
      <c r="N701" s="26">
        <v>74</v>
      </c>
      <c r="O701" s="26">
        <v>36</v>
      </c>
      <c r="P701" s="26">
        <v>38</v>
      </c>
      <c r="Q701" s="26">
        <v>5</v>
      </c>
      <c r="R701" s="26">
        <v>0</v>
      </c>
      <c r="S701" s="26">
        <v>5</v>
      </c>
      <c r="T701" s="26">
        <v>6</v>
      </c>
      <c r="U701" s="26">
        <v>11</v>
      </c>
      <c r="V701" s="26">
        <v>1</v>
      </c>
      <c r="W701" s="26"/>
    </row>
    <row r="702" spans="1:23" x14ac:dyDescent="0.25">
      <c r="A702" s="26" t="str">
        <f t="shared" si="105"/>
        <v>PRIMARIA</v>
      </c>
      <c r="B702" s="26" t="str">
        <f>"09DPR1635E"</f>
        <v>09DPR1635E</v>
      </c>
      <c r="C702" s="26" t="str">
        <f>"GRAL. CESAR LOPEZ DE LARA                                                                           "</f>
        <v xml:space="preserve">GRAL. CESAR LOPEZ DE LARA                                                                           </v>
      </c>
      <c r="D702" s="26" t="str">
        <f>"MATUTINO"</f>
        <v>MATUTINO</v>
      </c>
      <c r="E702" s="26" t="str">
        <f>"PRIV ROSAS MORENO S/N                                                           "</f>
        <v xml:space="preserve">PRIV ROSAS MORENO S/N                                                           </v>
      </c>
      <c r="F702" s="26" t="str">
        <f>"SANTIAGO AHUIZOTLA                                                                                                                          "</f>
        <v xml:space="preserve">SANTIAGO AHUIZOTLA                                                                                                                          </v>
      </c>
      <c r="G702" s="26" t="str">
        <f t="shared" si="110"/>
        <v xml:space="preserve">AZCAPOTZALCO                                                                    </v>
      </c>
      <c r="H702" s="26" t="str">
        <f>"203"</f>
        <v>203</v>
      </c>
      <c r="I702" s="26" t="str">
        <f t="shared" si="106"/>
        <v>00</v>
      </c>
      <c r="J702" s="26" t="str">
        <f t="shared" si="113"/>
        <v xml:space="preserve">42 </v>
      </c>
      <c r="K702" s="26" t="str">
        <f t="shared" si="111"/>
        <v>PR</v>
      </c>
      <c r="L702" s="26" t="str">
        <f t="shared" si="112"/>
        <v>DGOSE</v>
      </c>
      <c r="M702" s="26" t="str">
        <f t="shared" si="107"/>
        <v>FEDERAL</v>
      </c>
      <c r="N702" s="26">
        <v>434</v>
      </c>
      <c r="O702" s="26">
        <v>224</v>
      </c>
      <c r="P702" s="26">
        <v>210</v>
      </c>
      <c r="Q702" s="26">
        <v>15</v>
      </c>
      <c r="R702" s="26">
        <v>1</v>
      </c>
      <c r="S702" s="26">
        <v>15</v>
      </c>
      <c r="T702" s="26">
        <v>10</v>
      </c>
      <c r="U702" s="26">
        <v>26</v>
      </c>
      <c r="V702" s="26">
        <v>1</v>
      </c>
      <c r="W702" s="26"/>
    </row>
    <row r="703" spans="1:23" x14ac:dyDescent="0.25">
      <c r="A703" s="26" t="str">
        <f t="shared" si="105"/>
        <v>PRIMARIA</v>
      </c>
      <c r="B703" s="26" t="str">
        <f>"09DPR1637C"</f>
        <v>09DPR1637C</v>
      </c>
      <c r="C703" s="26" t="str">
        <f>"GRAL. GORDIANO GUZMAN                                                                               "</f>
        <v xml:space="preserve">GRAL. GORDIANO GUZMAN                                                                               </v>
      </c>
      <c r="D703" s="26" t="str">
        <f>"VESPERTINO"</f>
        <v>VESPERTINO</v>
      </c>
      <c r="E703" s="26" t="str">
        <f>"AV MORELOS S/N                                                                  "</f>
        <v xml:space="preserve">AV MORELOS S/N                                                                  </v>
      </c>
      <c r="F703" s="26" t="str">
        <f>"SAN MIGUEL AMANTLA                                                                                                                          "</f>
        <v xml:space="preserve">SAN MIGUEL AMANTLA                                                                                                                          </v>
      </c>
      <c r="G703" s="26" t="str">
        <f t="shared" si="110"/>
        <v xml:space="preserve">AZCAPOTZALCO                                                                    </v>
      </c>
      <c r="H703" s="26" t="str">
        <f>"203"</f>
        <v>203</v>
      </c>
      <c r="I703" s="26" t="str">
        <f t="shared" si="106"/>
        <v>00</v>
      </c>
      <c r="J703" s="26" t="str">
        <f t="shared" si="113"/>
        <v xml:space="preserve">42 </v>
      </c>
      <c r="K703" s="26" t="str">
        <f t="shared" si="111"/>
        <v>PR</v>
      </c>
      <c r="L703" s="26" t="str">
        <f t="shared" si="112"/>
        <v>DGOSE</v>
      </c>
      <c r="M703" s="26" t="str">
        <f t="shared" si="107"/>
        <v>FEDERAL</v>
      </c>
      <c r="N703" s="26">
        <v>111</v>
      </c>
      <c r="O703" s="26">
        <v>66</v>
      </c>
      <c r="P703" s="26">
        <v>45</v>
      </c>
      <c r="Q703" s="26">
        <v>6</v>
      </c>
      <c r="R703" s="26">
        <v>1</v>
      </c>
      <c r="S703" s="26">
        <v>6</v>
      </c>
      <c r="T703" s="26">
        <v>4</v>
      </c>
      <c r="U703" s="26">
        <v>11</v>
      </c>
      <c r="V703" s="26">
        <v>1</v>
      </c>
      <c r="W703" s="26"/>
    </row>
    <row r="704" spans="1:23" x14ac:dyDescent="0.25">
      <c r="A704" s="26" t="str">
        <f t="shared" si="105"/>
        <v>PRIMARIA</v>
      </c>
      <c r="B704" s="26" t="str">
        <f>"09DPR1638B"</f>
        <v>09DPR1638B</v>
      </c>
      <c r="C704" s="26" t="str">
        <f>"NORMAN E. BORLAUG                                                                                   "</f>
        <v xml:space="preserve">NORMAN E. BORLAUG                                                                                   </v>
      </c>
      <c r="D704" s="26" t="str">
        <f>"VESPERTINO"</f>
        <v>VESPERTINO</v>
      </c>
      <c r="E704" s="26" t="str">
        <f>"ABRAHAM SANCHEZ NUM 14                                                          "</f>
        <v xml:space="preserve">ABRAHAM SANCHEZ NUM 14                                                          </v>
      </c>
      <c r="F704" s="26" t="str">
        <f>"SAN PEDRO XALPA                                                                                                                             "</f>
        <v xml:space="preserve">SAN PEDRO XALPA                                                                                                                             </v>
      </c>
      <c r="G704" s="26" t="str">
        <f t="shared" si="110"/>
        <v xml:space="preserve">AZCAPOTZALCO                                                                    </v>
      </c>
      <c r="H704" s="26" t="str">
        <f>"203"</f>
        <v>203</v>
      </c>
      <c r="I704" s="26" t="str">
        <f t="shared" si="106"/>
        <v>00</v>
      </c>
      <c r="J704" s="26" t="str">
        <f t="shared" si="113"/>
        <v xml:space="preserve">42 </v>
      </c>
      <c r="K704" s="26" t="str">
        <f t="shared" si="111"/>
        <v>PR</v>
      </c>
      <c r="L704" s="26" t="str">
        <f t="shared" si="112"/>
        <v>DGOSE</v>
      </c>
      <c r="M704" s="26" t="str">
        <f t="shared" si="107"/>
        <v>FEDERAL</v>
      </c>
      <c r="N704" s="26">
        <v>248</v>
      </c>
      <c r="O704" s="26">
        <v>127</v>
      </c>
      <c r="P704" s="26">
        <v>121</v>
      </c>
      <c r="Q704" s="26">
        <v>15</v>
      </c>
      <c r="R704" s="26">
        <v>1</v>
      </c>
      <c r="S704" s="26">
        <v>15</v>
      </c>
      <c r="T704" s="26">
        <v>9</v>
      </c>
      <c r="U704" s="26">
        <v>25</v>
      </c>
      <c r="V704" s="26">
        <v>1</v>
      </c>
      <c r="W704" s="26"/>
    </row>
    <row r="705" spans="1:23" x14ac:dyDescent="0.25">
      <c r="A705" s="26" t="str">
        <f t="shared" si="105"/>
        <v>PRIMARIA</v>
      </c>
      <c r="B705" s="26" t="str">
        <f>"09DPR1639A"</f>
        <v>09DPR1639A</v>
      </c>
      <c r="C705" s="26" t="str">
        <f>"MANUEL BELGRANO                                                                                     "</f>
        <v xml:space="preserve">MANUEL BELGRANO                                                                                     </v>
      </c>
      <c r="D705" s="26" t="str">
        <f>"MATUTINO"</f>
        <v>MATUTINO</v>
      </c>
      <c r="E705" s="26" t="str">
        <f>"PRIV DEL ROSARIO NO 5                                                           "</f>
        <v xml:space="preserve">PRIV DEL ROSARIO NO 5                                                           </v>
      </c>
      <c r="F705" s="26" t="str">
        <f>"SAN MARTIN XOCHINAHUAC                                                                                                                      "</f>
        <v xml:space="preserve">SAN MARTIN XOCHINAHUAC                                                                                                                      </v>
      </c>
      <c r="G705" s="26" t="str">
        <f t="shared" si="110"/>
        <v xml:space="preserve">AZCAPOTZALCO                                                                    </v>
      </c>
      <c r="H705" s="26" t="str">
        <f>"200"</f>
        <v>200</v>
      </c>
      <c r="I705" s="26" t="str">
        <f t="shared" si="106"/>
        <v>00</v>
      </c>
      <c r="J705" s="26" t="str">
        <f t="shared" si="113"/>
        <v xml:space="preserve">42 </v>
      </c>
      <c r="K705" s="26" t="str">
        <f t="shared" si="111"/>
        <v>PR</v>
      </c>
      <c r="L705" s="26" t="str">
        <f t="shared" si="112"/>
        <v>DGOSE</v>
      </c>
      <c r="M705" s="26" t="str">
        <f t="shared" si="107"/>
        <v>FEDERAL</v>
      </c>
      <c r="N705" s="26">
        <v>282</v>
      </c>
      <c r="O705" s="26">
        <v>145</v>
      </c>
      <c r="P705" s="26">
        <v>137</v>
      </c>
      <c r="Q705" s="26">
        <v>11</v>
      </c>
      <c r="R705" s="26">
        <v>1</v>
      </c>
      <c r="S705" s="26">
        <v>11</v>
      </c>
      <c r="T705" s="26">
        <v>11</v>
      </c>
      <c r="U705" s="26">
        <v>23</v>
      </c>
      <c r="V705" s="26">
        <v>1</v>
      </c>
      <c r="W705" s="26"/>
    </row>
    <row r="706" spans="1:23" x14ac:dyDescent="0.25">
      <c r="A706" s="26" t="str">
        <f t="shared" ref="A706:A769" si="114">"PRIMARIA"</f>
        <v>PRIMARIA</v>
      </c>
      <c r="B706" s="26" t="str">
        <f>"09DPR1641P"</f>
        <v>09DPR1641P</v>
      </c>
      <c r="C706" s="26" t="str">
        <f>"HEROES DEL SUR                                                                                      "</f>
        <v xml:space="preserve">HEROES DEL SUR                                                                                      </v>
      </c>
      <c r="D706" s="26" t="str">
        <f>"JORNADA AMPLIADA"</f>
        <v>JORNADA AMPLIADA</v>
      </c>
      <c r="E706" s="26" t="str">
        <f>"CAMPOS MINATITLAN Y LOMITAS S/N                                                 "</f>
        <v xml:space="preserve">CAMPOS MINATITLAN Y LOMITAS S/N                                                 </v>
      </c>
      <c r="F706" s="26" t="str">
        <f>"REYNOSA TAMAULIPAS                                                                                                                          "</f>
        <v xml:space="preserve">REYNOSA TAMAULIPAS                                                                                                                          </v>
      </c>
      <c r="G706" s="26" t="str">
        <f t="shared" si="110"/>
        <v xml:space="preserve">AZCAPOTZALCO                                                                    </v>
      </c>
      <c r="H706" s="26" t="str">
        <f>"103"</f>
        <v>103</v>
      </c>
      <c r="I706" s="26" t="str">
        <f t="shared" ref="I706:I769" si="115">"00"</f>
        <v>00</v>
      </c>
      <c r="J706" s="26" t="str">
        <f>"41 "</f>
        <v xml:space="preserve">41 </v>
      </c>
      <c r="K706" s="26" t="str">
        <f t="shared" si="111"/>
        <v>PR</v>
      </c>
      <c r="L706" s="26" t="str">
        <f t="shared" si="112"/>
        <v>DGOSE</v>
      </c>
      <c r="M706" s="26" t="str">
        <f t="shared" ref="M706:M769" si="116">"FEDERAL"</f>
        <v>FEDERAL</v>
      </c>
      <c r="N706" s="26">
        <v>422</v>
      </c>
      <c r="O706" s="26">
        <v>214</v>
      </c>
      <c r="P706" s="26">
        <v>208</v>
      </c>
      <c r="Q706" s="26">
        <v>17</v>
      </c>
      <c r="R706" s="26">
        <v>1</v>
      </c>
      <c r="S706" s="26">
        <v>17</v>
      </c>
      <c r="T706" s="26">
        <v>13</v>
      </c>
      <c r="U706" s="26">
        <v>31</v>
      </c>
      <c r="V706" s="26">
        <v>1</v>
      </c>
      <c r="W706" s="26" t="s">
        <v>2076</v>
      </c>
    </row>
    <row r="707" spans="1:23" x14ac:dyDescent="0.25">
      <c r="A707" s="26" t="str">
        <f t="shared" si="114"/>
        <v>PRIMARIA</v>
      </c>
      <c r="B707" s="26" t="str">
        <f>"09DPR1642O"</f>
        <v>09DPR1642O</v>
      </c>
      <c r="C707" s="26" t="str">
        <f>"POLONIA                                                                                             "</f>
        <v xml:space="preserve">POLONIA                                                                                             </v>
      </c>
      <c r="D707" s="26" t="str">
        <f>"MATUTINO"</f>
        <v>MATUTINO</v>
      </c>
      <c r="E707" s="26" t="str">
        <f>"FLORESTA Y HELIOPOLIS                                                           "</f>
        <v xml:space="preserve">FLORESTA Y HELIOPOLIS                                                           </v>
      </c>
      <c r="F707" s="26" t="str">
        <f>"CLAVERIA                                                                                                                                    "</f>
        <v xml:space="preserve">CLAVERIA                                                                                                                                    </v>
      </c>
      <c r="G707" s="26" t="str">
        <f t="shared" si="110"/>
        <v xml:space="preserve">AZCAPOTZALCO                                                                    </v>
      </c>
      <c r="H707" s="26" t="str">
        <f>"206"</f>
        <v>206</v>
      </c>
      <c r="I707" s="26" t="str">
        <f t="shared" si="115"/>
        <v>00</v>
      </c>
      <c r="J707" s="26" t="str">
        <f>"42 "</f>
        <v xml:space="preserve">42 </v>
      </c>
      <c r="K707" s="26" t="str">
        <f t="shared" si="111"/>
        <v>PR</v>
      </c>
      <c r="L707" s="26" t="str">
        <f t="shared" si="112"/>
        <v>DGOSE</v>
      </c>
      <c r="M707" s="26" t="str">
        <f t="shared" si="116"/>
        <v>FEDERAL</v>
      </c>
      <c r="N707" s="26">
        <v>413</v>
      </c>
      <c r="O707" s="26">
        <v>209</v>
      </c>
      <c r="P707" s="26">
        <v>204</v>
      </c>
      <c r="Q707" s="26">
        <v>15</v>
      </c>
      <c r="R707" s="26">
        <v>1</v>
      </c>
      <c r="S707" s="26">
        <v>15</v>
      </c>
      <c r="T707" s="26">
        <v>13</v>
      </c>
      <c r="U707" s="26">
        <v>29</v>
      </c>
      <c r="V707" s="26">
        <v>1</v>
      </c>
      <c r="W707" s="26"/>
    </row>
    <row r="708" spans="1:23" x14ac:dyDescent="0.25">
      <c r="A708" s="26" t="str">
        <f t="shared" si="114"/>
        <v>PRIMARIA</v>
      </c>
      <c r="B708" s="26" t="str">
        <f>"09DPR1643N"</f>
        <v>09DPR1643N</v>
      </c>
      <c r="C708" s="26" t="str">
        <f>"REPUBLICA DE GHANA                                                                                  "</f>
        <v xml:space="preserve">REPUBLICA DE GHANA                                                                                  </v>
      </c>
      <c r="D708" s="26" t="str">
        <f>"MATUTINO"</f>
        <v>MATUTINO</v>
      </c>
      <c r="E708" s="26" t="str">
        <f>"ACATL CENTEOTL Y SANTA LUCIA S/N                                                "</f>
        <v xml:space="preserve">ACATL CENTEOTL Y SANTA LUCIA S/N                                                </v>
      </c>
      <c r="F708" s="26" t="str">
        <f>"SANTA LUCIA                                                                                                                                 "</f>
        <v xml:space="preserve">SANTA LUCIA                                                                                                                                 </v>
      </c>
      <c r="G708" s="26" t="str">
        <f t="shared" si="110"/>
        <v xml:space="preserve">AZCAPOTZALCO                                                                    </v>
      </c>
      <c r="H708" s="26" t="str">
        <f>"204"</f>
        <v>204</v>
      </c>
      <c r="I708" s="26" t="str">
        <f t="shared" si="115"/>
        <v>00</v>
      </c>
      <c r="J708" s="26" t="str">
        <f>"42 "</f>
        <v xml:space="preserve">42 </v>
      </c>
      <c r="K708" s="26" t="str">
        <f t="shared" si="111"/>
        <v>PR</v>
      </c>
      <c r="L708" s="26" t="str">
        <f t="shared" si="112"/>
        <v>DGOSE</v>
      </c>
      <c r="M708" s="26" t="str">
        <f t="shared" si="116"/>
        <v>FEDERAL</v>
      </c>
      <c r="N708" s="26">
        <v>305</v>
      </c>
      <c r="O708" s="26">
        <v>152</v>
      </c>
      <c r="P708" s="26">
        <v>153</v>
      </c>
      <c r="Q708" s="26">
        <v>11</v>
      </c>
      <c r="R708" s="26">
        <v>1</v>
      </c>
      <c r="S708" s="26">
        <v>10</v>
      </c>
      <c r="T708" s="26">
        <v>8</v>
      </c>
      <c r="U708" s="26">
        <v>19</v>
      </c>
      <c r="V708" s="26">
        <v>1</v>
      </c>
      <c r="W708" s="26"/>
    </row>
    <row r="709" spans="1:23" x14ac:dyDescent="0.25">
      <c r="A709" s="26" t="str">
        <f t="shared" si="114"/>
        <v>PRIMARIA</v>
      </c>
      <c r="B709" s="26" t="str">
        <f>"09DPR1644M"</f>
        <v>09DPR1644M</v>
      </c>
      <c r="C709" s="26" t="str">
        <f>"EL NIÑO AGRARISTA                                                                                   "</f>
        <v xml:space="preserve">EL NIÑO AGRARISTA                                                                                   </v>
      </c>
      <c r="D709" s="26" t="str">
        <f>"JORNADA AMPLIADA"</f>
        <v>JORNADA AMPLIADA</v>
      </c>
      <c r="E709" s="26" t="str">
        <f>"CAMPOS MOLUCO Y CANTEMOC S/N                                                    "</f>
        <v xml:space="preserve">CAMPOS MOLUCO Y CANTEMOC S/N                                                    </v>
      </c>
      <c r="F709" s="26" t="str">
        <f>"PETROLERA AMPLIACION                                                                                                                        "</f>
        <v xml:space="preserve">PETROLERA AMPLIACION                                                                                                                        </v>
      </c>
      <c r="G709" s="26" t="str">
        <f t="shared" si="110"/>
        <v xml:space="preserve">AZCAPOTZALCO                                                                    </v>
      </c>
      <c r="H709" s="26" t="str">
        <f>"102"</f>
        <v>102</v>
      </c>
      <c r="I709" s="26" t="str">
        <f t="shared" si="115"/>
        <v>00</v>
      </c>
      <c r="J709" s="26" t="str">
        <f>"41 "</f>
        <v xml:space="preserve">41 </v>
      </c>
      <c r="K709" s="26" t="str">
        <f t="shared" si="111"/>
        <v>PR</v>
      </c>
      <c r="L709" s="26" t="str">
        <f t="shared" si="112"/>
        <v>DGOSE</v>
      </c>
      <c r="M709" s="26" t="str">
        <f t="shared" si="116"/>
        <v>FEDERAL</v>
      </c>
      <c r="N709" s="26">
        <v>495</v>
      </c>
      <c r="O709" s="26">
        <v>258</v>
      </c>
      <c r="P709" s="26">
        <v>237</v>
      </c>
      <c r="Q709" s="26">
        <v>17</v>
      </c>
      <c r="R709" s="26">
        <v>1</v>
      </c>
      <c r="S709" s="26">
        <v>17</v>
      </c>
      <c r="T709" s="26">
        <v>12</v>
      </c>
      <c r="U709" s="26">
        <v>30</v>
      </c>
      <c r="V709" s="26">
        <v>1</v>
      </c>
      <c r="W709" s="26" t="s">
        <v>2076</v>
      </c>
    </row>
    <row r="710" spans="1:23" x14ac:dyDescent="0.25">
      <c r="A710" s="26" t="str">
        <f t="shared" si="114"/>
        <v>PRIMARIA</v>
      </c>
      <c r="B710" s="26" t="str">
        <f>"09DPR1646K"</f>
        <v>09DPR1646K</v>
      </c>
      <c r="C710" s="26" t="str">
        <f>"MARTIN OYAMBURU                                                                                     "</f>
        <v xml:space="preserve">MARTIN OYAMBURU                                                                                     </v>
      </c>
      <c r="D710" s="26" t="str">
        <f>"VESPERTINO"</f>
        <v>VESPERTINO</v>
      </c>
      <c r="E710" s="26" t="str">
        <f>"DURAZNOS NUM 426                                                                "</f>
        <v xml:space="preserve">DURAZNOS NUM 426                                                                </v>
      </c>
      <c r="F710" s="26" t="str">
        <f>"PASTEROS                                                                                                                                    "</f>
        <v xml:space="preserve">PASTEROS                                                                                                                                    </v>
      </c>
      <c r="G710" s="26" t="str">
        <f t="shared" si="110"/>
        <v xml:space="preserve">AZCAPOTZALCO                                                                    </v>
      </c>
      <c r="H710" s="26" t="str">
        <f>"201"</f>
        <v>201</v>
      </c>
      <c r="I710" s="26" t="str">
        <f t="shared" si="115"/>
        <v>00</v>
      </c>
      <c r="J710" s="26" t="str">
        <f>"42 "</f>
        <v xml:space="preserve">42 </v>
      </c>
      <c r="K710" s="26" t="str">
        <f t="shared" si="111"/>
        <v>PR</v>
      </c>
      <c r="L710" s="26" t="str">
        <f t="shared" si="112"/>
        <v>DGOSE</v>
      </c>
      <c r="M710" s="26" t="str">
        <f t="shared" si="116"/>
        <v>FEDERAL</v>
      </c>
      <c r="N710" s="26">
        <v>90</v>
      </c>
      <c r="O710" s="26">
        <v>51</v>
      </c>
      <c r="P710" s="26">
        <v>39</v>
      </c>
      <c r="Q710" s="26">
        <v>6</v>
      </c>
      <c r="R710" s="26">
        <v>1</v>
      </c>
      <c r="S710" s="26">
        <v>6</v>
      </c>
      <c r="T710" s="26">
        <v>8</v>
      </c>
      <c r="U710" s="26">
        <v>15</v>
      </c>
      <c r="V710" s="26">
        <v>1</v>
      </c>
      <c r="W710" s="26"/>
    </row>
    <row r="711" spans="1:23" x14ac:dyDescent="0.25">
      <c r="A711" s="26" t="str">
        <f t="shared" si="114"/>
        <v>PRIMARIA</v>
      </c>
      <c r="B711" s="26" t="str">
        <f>"09DPR1647J"</f>
        <v>09DPR1647J</v>
      </c>
      <c r="C711" s="26" t="str">
        <f>"MI PATRIA ES PRIMERO                                                                                "</f>
        <v xml:space="preserve">MI PATRIA ES PRIMERO                                                                                </v>
      </c>
      <c r="D711" s="26" t="str">
        <f>"TIEMPO COMPLETO"</f>
        <v>TIEMPO COMPLETO</v>
      </c>
      <c r="E711" s="26" t="str">
        <f>"AV FAJA DE ORO S/N                                                              "</f>
        <v xml:space="preserve">AV FAJA DE ORO S/N                                                              </v>
      </c>
      <c r="F711" s="26" t="str">
        <f>"PETROLERA                                                                                                                                   "</f>
        <v xml:space="preserve">PETROLERA                                                                                                                                   </v>
      </c>
      <c r="G711" s="26" t="str">
        <f t="shared" si="110"/>
        <v xml:space="preserve">AZCAPOTZALCO                                                                    </v>
      </c>
      <c r="H711" s="26" t="str">
        <f>"102"</f>
        <v>102</v>
      </c>
      <c r="I711" s="26" t="str">
        <f t="shared" si="115"/>
        <v>00</v>
      </c>
      <c r="J711" s="26" t="str">
        <f>"41 "</f>
        <v xml:space="preserve">41 </v>
      </c>
      <c r="K711" s="26" t="str">
        <f t="shared" si="111"/>
        <v>PR</v>
      </c>
      <c r="L711" s="26" t="str">
        <f t="shared" si="112"/>
        <v>DGOSE</v>
      </c>
      <c r="M711" s="26" t="str">
        <f t="shared" si="116"/>
        <v>FEDERAL</v>
      </c>
      <c r="N711" s="26">
        <v>312</v>
      </c>
      <c r="O711" s="26">
        <v>160</v>
      </c>
      <c r="P711" s="26">
        <v>152</v>
      </c>
      <c r="Q711" s="26">
        <v>12</v>
      </c>
      <c r="R711" s="26">
        <v>1</v>
      </c>
      <c r="S711" s="26">
        <v>12</v>
      </c>
      <c r="T711" s="26">
        <v>20</v>
      </c>
      <c r="U711" s="26">
        <v>33</v>
      </c>
      <c r="V711" s="26">
        <v>1</v>
      </c>
      <c r="W711" s="26" t="s">
        <v>218</v>
      </c>
    </row>
    <row r="712" spans="1:23" x14ac:dyDescent="0.25">
      <c r="A712" s="26" t="str">
        <f t="shared" si="114"/>
        <v>PRIMARIA</v>
      </c>
      <c r="B712" s="26" t="str">
        <f>"09DPR1648I"</f>
        <v>09DPR1648I</v>
      </c>
      <c r="C712" s="26" t="str">
        <f>"MARIANO MATAMOROS                                                                                   "</f>
        <v xml:space="preserve">MARIANO MATAMOROS                                                                                   </v>
      </c>
      <c r="D712" s="26" t="str">
        <f>"TIEMPO COMPLETO"</f>
        <v>TIEMPO COMPLETO</v>
      </c>
      <c r="E712" s="26" t="str">
        <f>"3RA. PRIV.DE AQUILES SERDAN 185                                                 "</f>
        <v xml:space="preserve">3RA. PRIV.DE AQUILES SERDAN 185                                                 </v>
      </c>
      <c r="F712" s="26" t="str">
        <f>"SANTO DOMINGO                                                                                                                               "</f>
        <v xml:space="preserve">SANTO DOMINGO                                                                                                                               </v>
      </c>
      <c r="G712" s="26" t="str">
        <f t="shared" si="110"/>
        <v xml:space="preserve">AZCAPOTZALCO                                                                    </v>
      </c>
      <c r="H712" s="26" t="str">
        <f>"103"</f>
        <v>103</v>
      </c>
      <c r="I712" s="26" t="str">
        <f t="shared" si="115"/>
        <v>00</v>
      </c>
      <c r="J712" s="26" t="str">
        <f>"41 "</f>
        <v xml:space="preserve">41 </v>
      </c>
      <c r="K712" s="26" t="str">
        <f t="shared" si="111"/>
        <v>PR</v>
      </c>
      <c r="L712" s="26" t="str">
        <f t="shared" si="112"/>
        <v>DGOSE</v>
      </c>
      <c r="M712" s="26" t="str">
        <f t="shared" si="116"/>
        <v>FEDERAL</v>
      </c>
      <c r="N712" s="26">
        <v>531</v>
      </c>
      <c r="O712" s="26">
        <v>267</v>
      </c>
      <c r="P712" s="26">
        <v>264</v>
      </c>
      <c r="Q712" s="26">
        <v>19</v>
      </c>
      <c r="R712" s="26">
        <v>1</v>
      </c>
      <c r="S712" s="26">
        <v>19</v>
      </c>
      <c r="T712" s="26">
        <v>18</v>
      </c>
      <c r="U712" s="26">
        <v>38</v>
      </c>
      <c r="V712" s="26">
        <v>1</v>
      </c>
      <c r="W712" s="26" t="s">
        <v>218</v>
      </c>
    </row>
    <row r="713" spans="1:23" x14ac:dyDescent="0.25">
      <c r="A713" s="26" t="str">
        <f t="shared" si="114"/>
        <v>PRIMARIA</v>
      </c>
      <c r="B713" s="26" t="str">
        <f>"09DPR1649H"</f>
        <v>09DPR1649H</v>
      </c>
      <c r="C713" s="26" t="str">
        <f>"MARTIN OYAMBURU                                                                                     "</f>
        <v xml:space="preserve">MARTIN OYAMBURU                                                                                     </v>
      </c>
      <c r="D713" s="26" t="str">
        <f>"MATUTINO"</f>
        <v>MATUTINO</v>
      </c>
      <c r="E713" s="26" t="str">
        <f>"DURAZNOS NUM 426                                                                "</f>
        <v xml:space="preserve">DURAZNOS NUM 426                                                                </v>
      </c>
      <c r="F713" s="26" t="str">
        <f>"PASTEROS                                                                                                                                    "</f>
        <v xml:space="preserve">PASTEROS                                                                                                                                    </v>
      </c>
      <c r="G713" s="26" t="str">
        <f t="shared" si="110"/>
        <v xml:space="preserve">AZCAPOTZALCO                                                                    </v>
      </c>
      <c r="H713" s="26" t="str">
        <f>"201"</f>
        <v>201</v>
      </c>
      <c r="I713" s="26" t="str">
        <f t="shared" si="115"/>
        <v>00</v>
      </c>
      <c r="J713" s="26" t="str">
        <f>"42 "</f>
        <v xml:space="preserve">42 </v>
      </c>
      <c r="K713" s="26" t="str">
        <f t="shared" si="111"/>
        <v>PR</v>
      </c>
      <c r="L713" s="26" t="str">
        <f t="shared" si="112"/>
        <v>DGOSE</v>
      </c>
      <c r="M713" s="26" t="str">
        <f t="shared" si="116"/>
        <v>FEDERAL</v>
      </c>
      <c r="N713" s="26">
        <v>330</v>
      </c>
      <c r="O713" s="26">
        <v>174</v>
      </c>
      <c r="P713" s="26">
        <v>156</v>
      </c>
      <c r="Q713" s="26">
        <v>12</v>
      </c>
      <c r="R713" s="26">
        <v>1</v>
      </c>
      <c r="S713" s="26">
        <v>12</v>
      </c>
      <c r="T713" s="26">
        <v>10</v>
      </c>
      <c r="U713" s="26">
        <v>23</v>
      </c>
      <c r="V713" s="26">
        <v>1</v>
      </c>
      <c r="W713" s="26"/>
    </row>
    <row r="714" spans="1:23" x14ac:dyDescent="0.25">
      <c r="A714" s="26" t="str">
        <f t="shared" si="114"/>
        <v>PRIMARIA</v>
      </c>
      <c r="B714" s="26" t="str">
        <f>"09DPR1650X"</f>
        <v>09DPR1650X</v>
      </c>
      <c r="C714" s="26" t="str">
        <f>"MARTIRES DEL AGRARISMO                                                                              "</f>
        <v xml:space="preserve">MARTIRES DEL AGRARISMO                                                                              </v>
      </c>
      <c r="D714" s="26" t="str">
        <f>"MATUTINO"</f>
        <v>MATUTINO</v>
      </c>
      <c r="E714" s="26" t="str">
        <f>"CALZ SAN ISIDRO Y FRANCITA S/N                                                  "</f>
        <v xml:space="preserve">CALZ SAN ISIDRO Y FRANCITA S/N                                                  </v>
      </c>
      <c r="F714" s="26" t="str">
        <f>"PETROLERA                                                                                                                                   "</f>
        <v xml:space="preserve">PETROLERA                                                                                                                                   </v>
      </c>
      <c r="G714" s="26" t="str">
        <f t="shared" si="110"/>
        <v xml:space="preserve">AZCAPOTZALCO                                                                    </v>
      </c>
      <c r="H714" s="26" t="str">
        <f>"204"</f>
        <v>204</v>
      </c>
      <c r="I714" s="26" t="str">
        <f t="shared" si="115"/>
        <v>00</v>
      </c>
      <c r="J714" s="26" t="str">
        <f>"42 "</f>
        <v xml:space="preserve">42 </v>
      </c>
      <c r="K714" s="26" t="str">
        <f t="shared" si="111"/>
        <v>PR</v>
      </c>
      <c r="L714" s="26" t="str">
        <f t="shared" si="112"/>
        <v>DGOSE</v>
      </c>
      <c r="M714" s="26" t="str">
        <f t="shared" si="116"/>
        <v>FEDERAL</v>
      </c>
      <c r="N714" s="26">
        <v>379</v>
      </c>
      <c r="O714" s="26">
        <v>186</v>
      </c>
      <c r="P714" s="26">
        <v>193</v>
      </c>
      <c r="Q714" s="26">
        <v>13</v>
      </c>
      <c r="R714" s="26">
        <v>1</v>
      </c>
      <c r="S714" s="26">
        <v>12</v>
      </c>
      <c r="T714" s="26">
        <v>8</v>
      </c>
      <c r="U714" s="26">
        <v>21</v>
      </c>
      <c r="V714" s="26">
        <v>1</v>
      </c>
      <c r="W714" s="26"/>
    </row>
    <row r="715" spans="1:23" x14ac:dyDescent="0.25">
      <c r="A715" s="26" t="str">
        <f t="shared" si="114"/>
        <v>PRIMARIA</v>
      </c>
      <c r="B715" s="26" t="str">
        <f>"09DPR1652V"</f>
        <v>09DPR1652V</v>
      </c>
      <c r="C715" s="26" t="str">
        <f>"MARTIRES DE LA LIBERTAD                                                                             "</f>
        <v xml:space="preserve">MARTIRES DE LA LIBERTAD                                                                             </v>
      </c>
      <c r="D715" s="26" t="str">
        <f>"MATUTINO"</f>
        <v>MATUTINO</v>
      </c>
      <c r="E715" s="26" t="str">
        <f>"AV AZCAPOTZALCO NUM 574                                                         "</f>
        <v xml:space="preserve">AV AZCAPOTZALCO NUM 574                                                         </v>
      </c>
      <c r="F715" s="26" t="str">
        <f>"AZCAPOTZALCO                                                                                                                                "</f>
        <v xml:space="preserve">AZCAPOTZALCO                                                                                                                                </v>
      </c>
      <c r="G715" s="26" t="str">
        <f t="shared" si="110"/>
        <v xml:space="preserve">AZCAPOTZALCO                                                                    </v>
      </c>
      <c r="H715" s="26" t="str">
        <f>"205"</f>
        <v>205</v>
      </c>
      <c r="I715" s="26" t="str">
        <f t="shared" si="115"/>
        <v>00</v>
      </c>
      <c r="J715" s="26" t="str">
        <f>"42 "</f>
        <v xml:space="preserve">42 </v>
      </c>
      <c r="K715" s="26" t="str">
        <f t="shared" si="111"/>
        <v>PR</v>
      </c>
      <c r="L715" s="26" t="str">
        <f t="shared" si="112"/>
        <v>DGOSE</v>
      </c>
      <c r="M715" s="26" t="str">
        <f t="shared" si="116"/>
        <v>FEDERAL</v>
      </c>
      <c r="N715" s="26">
        <v>383</v>
      </c>
      <c r="O715" s="26">
        <v>190</v>
      </c>
      <c r="P715" s="26">
        <v>193</v>
      </c>
      <c r="Q715" s="26">
        <v>13</v>
      </c>
      <c r="R715" s="26">
        <v>1</v>
      </c>
      <c r="S715" s="26">
        <v>13</v>
      </c>
      <c r="T715" s="26">
        <v>11</v>
      </c>
      <c r="U715" s="26">
        <v>25</v>
      </c>
      <c r="V715" s="26">
        <v>1</v>
      </c>
      <c r="W715" s="26"/>
    </row>
    <row r="716" spans="1:23" x14ac:dyDescent="0.25">
      <c r="A716" s="26" t="str">
        <f t="shared" si="114"/>
        <v>PRIMARIA</v>
      </c>
      <c r="B716" s="26" t="str">
        <f>"09DPR1653U"</f>
        <v>09DPR1653U</v>
      </c>
      <c r="C716" s="26" t="str">
        <f>"MARTIRES DE LA LIBERTAD                                                                             "</f>
        <v xml:space="preserve">MARTIRES DE LA LIBERTAD                                                                             </v>
      </c>
      <c r="D716" s="26" t="str">
        <f>"VESPERTINO"</f>
        <v>VESPERTINO</v>
      </c>
      <c r="E716" s="26" t="str">
        <f>"AV AZCAPOTZALCO NUM 574                                                         "</f>
        <v xml:space="preserve">AV AZCAPOTZALCO NUM 574                                                         </v>
      </c>
      <c r="F716" s="26" t="str">
        <f>"AZCAPOTZALCO                                                                                                                                "</f>
        <v xml:space="preserve">AZCAPOTZALCO                                                                                                                                </v>
      </c>
      <c r="G716" s="26" t="str">
        <f t="shared" si="110"/>
        <v xml:space="preserve">AZCAPOTZALCO                                                                    </v>
      </c>
      <c r="H716" s="26" t="str">
        <f>"205"</f>
        <v>205</v>
      </c>
      <c r="I716" s="26" t="str">
        <f t="shared" si="115"/>
        <v>00</v>
      </c>
      <c r="J716" s="26" t="str">
        <f>"42 "</f>
        <v xml:space="preserve">42 </v>
      </c>
      <c r="K716" s="26" t="str">
        <f t="shared" si="111"/>
        <v>PR</v>
      </c>
      <c r="L716" s="26" t="str">
        <f t="shared" si="112"/>
        <v>DGOSE</v>
      </c>
      <c r="M716" s="26" t="str">
        <f t="shared" si="116"/>
        <v>FEDERAL</v>
      </c>
      <c r="N716" s="26">
        <v>120</v>
      </c>
      <c r="O716" s="26">
        <v>61</v>
      </c>
      <c r="P716" s="26">
        <v>59</v>
      </c>
      <c r="Q716" s="26">
        <v>6</v>
      </c>
      <c r="R716" s="26">
        <v>1</v>
      </c>
      <c r="S716" s="26">
        <v>6</v>
      </c>
      <c r="T716" s="26">
        <v>4</v>
      </c>
      <c r="U716" s="26">
        <v>11</v>
      </c>
      <c r="V716" s="26">
        <v>1</v>
      </c>
      <c r="W716" s="26"/>
    </row>
    <row r="717" spans="1:23" x14ac:dyDescent="0.25">
      <c r="A717" s="26" t="str">
        <f t="shared" si="114"/>
        <v>PRIMARIA</v>
      </c>
      <c r="B717" s="26" t="str">
        <f>"09DPR1654T"</f>
        <v>09DPR1654T</v>
      </c>
      <c r="C717" s="26" t="str">
        <f>"LIBERACION CAMPESINA                                                                                "</f>
        <v xml:space="preserve">LIBERACION CAMPESINA                                                                                </v>
      </c>
      <c r="D717" s="26" t="str">
        <f>"JORNADA AMPLIADA"</f>
        <v>JORNADA AMPLIADA</v>
      </c>
      <c r="E717" s="26" t="str">
        <f>"MARISCAL ROMMEL Y SANCHEZ COLIN                                                 "</f>
        <v xml:space="preserve">MARISCAL ROMMEL Y SANCHEZ COLIN                                                 </v>
      </c>
      <c r="F717" s="26" t="str">
        <f>"LA PROVIDENCIA                                                                                                                              "</f>
        <v xml:space="preserve">LA PROVIDENCIA                                                                                                                              </v>
      </c>
      <c r="G717" s="26" t="str">
        <f t="shared" si="110"/>
        <v xml:space="preserve">AZCAPOTZALCO                                                                    </v>
      </c>
      <c r="H717" s="26" t="str">
        <f>"101"</f>
        <v>101</v>
      </c>
      <c r="I717" s="26" t="str">
        <f t="shared" si="115"/>
        <v>00</v>
      </c>
      <c r="J717" s="26" t="str">
        <f>"41 "</f>
        <v xml:space="preserve">41 </v>
      </c>
      <c r="K717" s="26" t="str">
        <f t="shared" si="111"/>
        <v>PR</v>
      </c>
      <c r="L717" s="26" t="str">
        <f t="shared" si="112"/>
        <v>DGOSE</v>
      </c>
      <c r="M717" s="26" t="str">
        <f t="shared" si="116"/>
        <v>FEDERAL</v>
      </c>
      <c r="N717" s="26">
        <v>434</v>
      </c>
      <c r="O717" s="26">
        <v>234</v>
      </c>
      <c r="P717" s="26">
        <v>200</v>
      </c>
      <c r="Q717" s="26">
        <v>16</v>
      </c>
      <c r="R717" s="26">
        <v>1</v>
      </c>
      <c r="S717" s="26">
        <v>16</v>
      </c>
      <c r="T717" s="26">
        <v>10</v>
      </c>
      <c r="U717" s="26">
        <v>27</v>
      </c>
      <c r="V717" s="26">
        <v>1</v>
      </c>
      <c r="W717" s="26" t="s">
        <v>2076</v>
      </c>
    </row>
    <row r="718" spans="1:23" x14ac:dyDescent="0.25">
      <c r="A718" s="26" t="str">
        <f t="shared" si="114"/>
        <v>PRIMARIA</v>
      </c>
      <c r="B718" s="26" t="str">
        <f>"09DPR1656R"</f>
        <v>09DPR1656R</v>
      </c>
      <c r="C718" s="26" t="str">
        <f>"PROFR. LEOPOLDO KIEL                                                                                "</f>
        <v xml:space="preserve">PROFR. LEOPOLDO KIEL                                                                                </v>
      </c>
      <c r="D718" s="26" t="str">
        <f>"TIEMPO COMPLETO"</f>
        <v>TIEMPO COMPLETO</v>
      </c>
      <c r="E718" s="26" t="str">
        <f>"GASEODUCTO 103                                                                  "</f>
        <v xml:space="preserve">GASEODUCTO 103                                                                  </v>
      </c>
      <c r="F718" s="26" t="str">
        <f>"PLENITUD                                                                                                                                    "</f>
        <v xml:space="preserve">PLENITUD                                                                                                                                    </v>
      </c>
      <c r="G718" s="26" t="str">
        <f t="shared" si="110"/>
        <v xml:space="preserve">AZCAPOTZALCO                                                                    </v>
      </c>
      <c r="H718" s="26" t="str">
        <f>"102"</f>
        <v>102</v>
      </c>
      <c r="I718" s="26" t="str">
        <f t="shared" si="115"/>
        <v>00</v>
      </c>
      <c r="J718" s="26" t="str">
        <f>"41 "</f>
        <v xml:space="preserve">41 </v>
      </c>
      <c r="K718" s="26" t="str">
        <f t="shared" si="111"/>
        <v>PR</v>
      </c>
      <c r="L718" s="26" t="str">
        <f t="shared" si="112"/>
        <v>DGOSE</v>
      </c>
      <c r="M718" s="26" t="str">
        <f t="shared" si="116"/>
        <v>FEDERAL</v>
      </c>
      <c r="N718" s="26">
        <v>305</v>
      </c>
      <c r="O718" s="26">
        <v>146</v>
      </c>
      <c r="P718" s="26">
        <v>159</v>
      </c>
      <c r="Q718" s="26">
        <v>12</v>
      </c>
      <c r="R718" s="26">
        <v>1</v>
      </c>
      <c r="S718" s="26">
        <v>10</v>
      </c>
      <c r="T718" s="26">
        <v>14</v>
      </c>
      <c r="U718" s="26">
        <v>25</v>
      </c>
      <c r="V718" s="26">
        <v>1</v>
      </c>
      <c r="W718" s="26" t="s">
        <v>218</v>
      </c>
    </row>
    <row r="719" spans="1:23" x14ac:dyDescent="0.25">
      <c r="A719" s="26" t="str">
        <f t="shared" si="114"/>
        <v>PRIMARIA</v>
      </c>
      <c r="B719" s="26" t="str">
        <f>"09DPR1658P"</f>
        <v>09DPR1658P</v>
      </c>
      <c r="C719" s="26" t="str">
        <f>"JUSTO SIERRA                                                                                        "</f>
        <v xml:space="preserve">JUSTO SIERRA                                                                                        </v>
      </c>
      <c r="D719" s="26" t="str">
        <f>"VESPERTINO"</f>
        <v>VESPERTINO</v>
      </c>
      <c r="E719" s="26" t="str">
        <f>"EMILIANO ZAPATA                                                                 "</f>
        <v xml:space="preserve">EMILIANO ZAPATA                                                                 </v>
      </c>
      <c r="F719" s="26" t="str">
        <f>"SAN PEDRO XALPA                                                                                                                             "</f>
        <v xml:space="preserve">SAN PEDRO XALPA                                                                                                                             </v>
      </c>
      <c r="G719" s="26" t="str">
        <f t="shared" si="110"/>
        <v xml:space="preserve">AZCAPOTZALCO                                                                    </v>
      </c>
      <c r="H719" s="26" t="str">
        <f>"203"</f>
        <v>203</v>
      </c>
      <c r="I719" s="26" t="str">
        <f t="shared" si="115"/>
        <v>00</v>
      </c>
      <c r="J719" s="26" t="str">
        <f>"42 "</f>
        <v xml:space="preserve">42 </v>
      </c>
      <c r="K719" s="26" t="str">
        <f t="shared" si="111"/>
        <v>PR</v>
      </c>
      <c r="L719" s="26" t="str">
        <f t="shared" si="112"/>
        <v>DGOSE</v>
      </c>
      <c r="M719" s="26" t="str">
        <f t="shared" si="116"/>
        <v>FEDERAL</v>
      </c>
      <c r="N719" s="26">
        <v>107</v>
      </c>
      <c r="O719" s="26">
        <v>57</v>
      </c>
      <c r="P719" s="26">
        <v>50</v>
      </c>
      <c r="Q719" s="26">
        <v>6</v>
      </c>
      <c r="R719" s="26">
        <v>1</v>
      </c>
      <c r="S719" s="26">
        <v>6</v>
      </c>
      <c r="T719" s="26">
        <v>5</v>
      </c>
      <c r="U719" s="26">
        <v>12</v>
      </c>
      <c r="V719" s="26">
        <v>1</v>
      </c>
      <c r="W719" s="26"/>
    </row>
    <row r="720" spans="1:23" x14ac:dyDescent="0.25">
      <c r="A720" s="26" t="str">
        <f t="shared" si="114"/>
        <v>PRIMARIA</v>
      </c>
      <c r="B720" s="26" t="str">
        <f>"09DPR1659O"</f>
        <v>09DPR1659O</v>
      </c>
      <c r="C720" s="26" t="str">
        <f>"MAESTRO JULIO GARCIA                                                                                "</f>
        <v xml:space="preserve">MAESTRO JULIO GARCIA                                                                                </v>
      </c>
      <c r="D720" s="26" t="str">
        <f>"JORNADA AMPLIADA"</f>
        <v>JORNADA AMPLIADA</v>
      </c>
      <c r="E720" s="26" t="str">
        <f>"AMADO NERVO S/N                                                                 "</f>
        <v xml:space="preserve">AMADO NERVO S/N                                                                 </v>
      </c>
      <c r="F720" s="26" t="str">
        <f>"SAN FRANCISCO TETECALA                                                                                                                      "</f>
        <v xml:space="preserve">SAN FRANCISCO TETECALA                                                                                                                      </v>
      </c>
      <c r="G720" s="26" t="str">
        <f t="shared" si="110"/>
        <v xml:space="preserve">AZCAPOTZALCO                                                                    </v>
      </c>
      <c r="H720" s="26" t="str">
        <f>"107"</f>
        <v>107</v>
      </c>
      <c r="I720" s="26" t="str">
        <f t="shared" si="115"/>
        <v>00</v>
      </c>
      <c r="J720" s="26" t="str">
        <f>"41 "</f>
        <v xml:space="preserve">41 </v>
      </c>
      <c r="K720" s="26" t="str">
        <f t="shared" si="111"/>
        <v>PR</v>
      </c>
      <c r="L720" s="26" t="str">
        <f t="shared" si="112"/>
        <v>DGOSE</v>
      </c>
      <c r="M720" s="26" t="str">
        <f t="shared" si="116"/>
        <v>FEDERAL</v>
      </c>
      <c r="N720" s="26">
        <v>185</v>
      </c>
      <c r="O720" s="26">
        <v>99</v>
      </c>
      <c r="P720" s="26">
        <v>86</v>
      </c>
      <c r="Q720" s="26">
        <v>6</v>
      </c>
      <c r="R720" s="26">
        <v>1</v>
      </c>
      <c r="S720" s="26">
        <v>6</v>
      </c>
      <c r="T720" s="26">
        <v>5</v>
      </c>
      <c r="U720" s="26">
        <v>12</v>
      </c>
      <c r="V720" s="26">
        <v>1</v>
      </c>
      <c r="W720" s="26" t="s">
        <v>2076</v>
      </c>
    </row>
    <row r="721" spans="1:23" x14ac:dyDescent="0.25">
      <c r="A721" s="26" t="str">
        <f t="shared" si="114"/>
        <v>PRIMARIA</v>
      </c>
      <c r="B721" s="26" t="str">
        <f>"09DPR1660D"</f>
        <v>09DPR1660D</v>
      </c>
      <c r="C721" s="26" t="str">
        <f>"JUSTO SIERRA                                                                                        "</f>
        <v xml:space="preserve">JUSTO SIERRA                                                                                        </v>
      </c>
      <c r="D721" s="26" t="str">
        <f>"MATUTINO"</f>
        <v>MATUTINO</v>
      </c>
      <c r="E721" s="26" t="str">
        <f>"EMILIANO ZAPATA                                                                 "</f>
        <v xml:space="preserve">EMILIANO ZAPATA                                                                 </v>
      </c>
      <c r="F721" s="26" t="str">
        <f>"SAN PEDRO XALPA                                                                                                                             "</f>
        <v xml:space="preserve">SAN PEDRO XALPA                                                                                                                             </v>
      </c>
      <c r="G721" s="26" t="str">
        <f t="shared" si="110"/>
        <v xml:space="preserve">AZCAPOTZALCO                                                                    </v>
      </c>
      <c r="H721" s="26" t="str">
        <f>"203"</f>
        <v>203</v>
      </c>
      <c r="I721" s="26" t="str">
        <f t="shared" si="115"/>
        <v>00</v>
      </c>
      <c r="J721" s="26" t="str">
        <f>"42 "</f>
        <v xml:space="preserve">42 </v>
      </c>
      <c r="K721" s="26" t="str">
        <f t="shared" si="111"/>
        <v>PR</v>
      </c>
      <c r="L721" s="26" t="str">
        <f t="shared" si="112"/>
        <v>DGOSE</v>
      </c>
      <c r="M721" s="26" t="str">
        <f t="shared" si="116"/>
        <v>FEDERAL</v>
      </c>
      <c r="N721" s="26">
        <v>381</v>
      </c>
      <c r="O721" s="26">
        <v>194</v>
      </c>
      <c r="P721" s="26">
        <v>187</v>
      </c>
      <c r="Q721" s="26">
        <v>15</v>
      </c>
      <c r="R721" s="26">
        <v>1</v>
      </c>
      <c r="S721" s="26">
        <v>15</v>
      </c>
      <c r="T721" s="26">
        <v>9</v>
      </c>
      <c r="U721" s="26">
        <v>25</v>
      </c>
      <c r="V721" s="26">
        <v>1</v>
      </c>
      <c r="W721" s="26"/>
    </row>
    <row r="722" spans="1:23" x14ac:dyDescent="0.25">
      <c r="A722" s="26" t="str">
        <f t="shared" si="114"/>
        <v>PRIMARIA</v>
      </c>
      <c r="B722" s="26" t="str">
        <f>"09DPR1665Z"</f>
        <v>09DPR1665Z</v>
      </c>
      <c r="C722" s="26" t="str">
        <f>"MAESTRO JOSE VASCONCELOS                                                                            "</f>
        <v xml:space="preserve">MAESTRO JOSE VASCONCELOS                                                                            </v>
      </c>
      <c r="D722" s="26" t="str">
        <f>"JORNADA AMPLIADA"</f>
        <v>JORNADA AMPLIADA</v>
      </c>
      <c r="E722" s="26" t="str">
        <f>"TLATILCO 140 BIS                                                                "</f>
        <v xml:space="preserve">TLATILCO 140 BIS                                                                </v>
      </c>
      <c r="F722" s="26" t="str">
        <f>"TLATILCO                                                                                                                                    "</f>
        <v xml:space="preserve">TLATILCO                                                                                                                                    </v>
      </c>
      <c r="G722" s="26" t="str">
        <f t="shared" si="110"/>
        <v xml:space="preserve">AZCAPOTZALCO                                                                    </v>
      </c>
      <c r="H722" s="26" t="str">
        <f>"108"</f>
        <v>108</v>
      </c>
      <c r="I722" s="26" t="str">
        <f t="shared" si="115"/>
        <v>00</v>
      </c>
      <c r="J722" s="26" t="str">
        <f>"41 "</f>
        <v xml:space="preserve">41 </v>
      </c>
      <c r="K722" s="26" t="str">
        <f t="shared" si="111"/>
        <v>PR</v>
      </c>
      <c r="L722" s="26" t="str">
        <f t="shared" si="112"/>
        <v>DGOSE</v>
      </c>
      <c r="M722" s="26" t="str">
        <f t="shared" si="116"/>
        <v>FEDERAL</v>
      </c>
      <c r="N722" s="26">
        <v>286</v>
      </c>
      <c r="O722" s="26">
        <v>150</v>
      </c>
      <c r="P722" s="26">
        <v>136</v>
      </c>
      <c r="Q722" s="26">
        <v>13</v>
      </c>
      <c r="R722" s="26">
        <v>1</v>
      </c>
      <c r="S722" s="26">
        <v>13</v>
      </c>
      <c r="T722" s="26">
        <v>8</v>
      </c>
      <c r="U722" s="26">
        <v>22</v>
      </c>
      <c r="V722" s="26">
        <v>1</v>
      </c>
      <c r="W722" s="26" t="s">
        <v>2076</v>
      </c>
    </row>
    <row r="723" spans="1:23" x14ac:dyDescent="0.25">
      <c r="A723" s="26" t="str">
        <f t="shared" si="114"/>
        <v>PRIMARIA</v>
      </c>
      <c r="B723" s="26" t="str">
        <f>"09DPR1667X"</f>
        <v>09DPR1667X</v>
      </c>
      <c r="C723" s="26" t="str">
        <f>"MAESTRO JOSE VASCONCELOS                                                                            "</f>
        <v xml:space="preserve">MAESTRO JOSE VASCONCELOS                                                                            </v>
      </c>
      <c r="D723" s="26" t="str">
        <f>"TIEMPO COMPLETO"</f>
        <v>TIEMPO COMPLETO</v>
      </c>
      <c r="E723" s="26" t="str">
        <f>"CALZADA TLATILCO NUM 140                                                        "</f>
        <v xml:space="preserve">CALZADA TLATILCO NUM 140                                                        </v>
      </c>
      <c r="F723" s="26" t="str">
        <f>"TLATILCO                                                                                                                                    "</f>
        <v xml:space="preserve">TLATILCO                                                                                                                                    </v>
      </c>
      <c r="G723" s="26" t="str">
        <f t="shared" si="110"/>
        <v xml:space="preserve">AZCAPOTZALCO                                                                    </v>
      </c>
      <c r="H723" s="26" t="str">
        <f>"108"</f>
        <v>108</v>
      </c>
      <c r="I723" s="26" t="str">
        <f t="shared" si="115"/>
        <v>00</v>
      </c>
      <c r="J723" s="26" t="str">
        <f>"41 "</f>
        <v xml:space="preserve">41 </v>
      </c>
      <c r="K723" s="26" t="str">
        <f t="shared" si="111"/>
        <v>PR</v>
      </c>
      <c r="L723" s="26" t="str">
        <f t="shared" si="112"/>
        <v>DGOSE</v>
      </c>
      <c r="M723" s="26" t="str">
        <f t="shared" si="116"/>
        <v>FEDERAL</v>
      </c>
      <c r="N723" s="26">
        <v>297</v>
      </c>
      <c r="O723" s="26">
        <v>160</v>
      </c>
      <c r="P723" s="26">
        <v>137</v>
      </c>
      <c r="Q723" s="26">
        <v>12</v>
      </c>
      <c r="R723" s="26">
        <v>1</v>
      </c>
      <c r="S723" s="26">
        <v>12</v>
      </c>
      <c r="T723" s="26">
        <v>13</v>
      </c>
      <c r="U723" s="26">
        <v>26</v>
      </c>
      <c r="V723" s="26">
        <v>1</v>
      </c>
      <c r="W723" s="26" t="s">
        <v>218</v>
      </c>
    </row>
    <row r="724" spans="1:23" x14ac:dyDescent="0.25">
      <c r="A724" s="26" t="str">
        <f t="shared" si="114"/>
        <v>PRIMARIA</v>
      </c>
      <c r="B724" s="26" t="str">
        <f>"09DPR1673H"</f>
        <v>09DPR1673H</v>
      </c>
      <c r="C724" s="26" t="str">
        <f>"PROFR. ISIDRO C. TORRES MORENO                                                                      "</f>
        <v xml:space="preserve">PROFR. ISIDRO C. TORRES MORENO                                                                      </v>
      </c>
      <c r="D724" s="26" t="str">
        <f>"JORNADA AMPLIADA"</f>
        <v>JORNADA AMPLIADA</v>
      </c>
      <c r="E724" s="26" t="str">
        <f>"CALLEJON DEL TEZONTLE NUM 10                                                    "</f>
        <v xml:space="preserve">CALLEJON DEL TEZONTLE NUM 10                                                    </v>
      </c>
      <c r="F724" s="26" t="str">
        <f>"JUVENTINO ROSAS                                                                                                                             "</f>
        <v xml:space="preserve">JUVENTINO ROSAS                                                                                                                             </v>
      </c>
      <c r="G724" s="26" t="str">
        <f>"IZTACALCO                                                                       "</f>
        <v xml:space="preserve">IZTACALCO                                                                       </v>
      </c>
      <c r="H724" s="26" t="str">
        <f>"432"</f>
        <v>432</v>
      </c>
      <c r="I724" s="26" t="str">
        <f t="shared" si="115"/>
        <v>00</v>
      </c>
      <c r="J724" s="26" t="str">
        <f>"44 "</f>
        <v xml:space="preserve">44 </v>
      </c>
      <c r="K724" s="26" t="str">
        <f t="shared" si="111"/>
        <v>PR</v>
      </c>
      <c r="L724" s="26" t="str">
        <f t="shared" si="112"/>
        <v>DGOSE</v>
      </c>
      <c r="M724" s="26" t="str">
        <f t="shared" si="116"/>
        <v>FEDERAL</v>
      </c>
      <c r="N724" s="26">
        <v>388</v>
      </c>
      <c r="O724" s="26">
        <v>194</v>
      </c>
      <c r="P724" s="26">
        <v>194</v>
      </c>
      <c r="Q724" s="26">
        <v>16</v>
      </c>
      <c r="R724" s="26">
        <v>1</v>
      </c>
      <c r="S724" s="26">
        <v>15</v>
      </c>
      <c r="T724" s="26">
        <v>13</v>
      </c>
      <c r="U724" s="26">
        <v>29</v>
      </c>
      <c r="V724" s="26">
        <v>1</v>
      </c>
      <c r="W724" s="26" t="s">
        <v>2076</v>
      </c>
    </row>
    <row r="725" spans="1:23" x14ac:dyDescent="0.25">
      <c r="A725" s="26" t="str">
        <f t="shared" si="114"/>
        <v>PRIMARIA</v>
      </c>
      <c r="B725" s="26" t="str">
        <f>"09DPR1674G"</f>
        <v>09DPR1674G</v>
      </c>
      <c r="C725" s="26" t="str">
        <f>"ABRAHAM LINCOLN                                                                                     "</f>
        <v xml:space="preserve">ABRAHAM LINCOLN                                                                                     </v>
      </c>
      <c r="D725" s="26" t="str">
        <f>"VESPERTINO"</f>
        <v>VESPERTINO</v>
      </c>
      <c r="E725" s="26" t="str">
        <f>"ORIENTE 102 Y SUR 119 SIN NUMERO                                                "</f>
        <v xml:space="preserve">ORIENTE 102 Y SUR 119 SIN NUMERO                                                </v>
      </c>
      <c r="F725" s="26" t="str">
        <f>"GABRIEL RAMOS MILLAN                                                                                                                        "</f>
        <v xml:space="preserve">GABRIEL RAMOS MILLAN                                                                                                                        </v>
      </c>
      <c r="G725" s="26" t="str">
        <f>"IZTACALCO                                                                       "</f>
        <v xml:space="preserve">IZTACALCO                                                                       </v>
      </c>
      <c r="H725" s="26" t="str">
        <f>"359"</f>
        <v>359</v>
      </c>
      <c r="I725" s="26" t="str">
        <f t="shared" si="115"/>
        <v>00</v>
      </c>
      <c r="J725" s="26" t="str">
        <f>"43 "</f>
        <v xml:space="preserve">43 </v>
      </c>
      <c r="K725" s="26" t="str">
        <f t="shared" si="111"/>
        <v>PR</v>
      </c>
      <c r="L725" s="26" t="str">
        <f t="shared" si="112"/>
        <v>DGOSE</v>
      </c>
      <c r="M725" s="26" t="str">
        <f t="shared" si="116"/>
        <v>FEDERAL</v>
      </c>
      <c r="N725" s="26">
        <v>130</v>
      </c>
      <c r="O725" s="26">
        <v>77</v>
      </c>
      <c r="P725" s="26">
        <v>53</v>
      </c>
      <c r="Q725" s="26">
        <v>6</v>
      </c>
      <c r="R725" s="26">
        <v>1</v>
      </c>
      <c r="S725" s="26">
        <v>6</v>
      </c>
      <c r="T725" s="26">
        <v>5</v>
      </c>
      <c r="U725" s="26">
        <v>12</v>
      </c>
      <c r="V725" s="26">
        <v>1</v>
      </c>
      <c r="W725" s="26"/>
    </row>
    <row r="726" spans="1:23" x14ac:dyDescent="0.25">
      <c r="A726" s="26" t="str">
        <f t="shared" si="114"/>
        <v>PRIMARIA</v>
      </c>
      <c r="B726" s="26" t="str">
        <f>"09DPR1675F"</f>
        <v>09DPR1675F</v>
      </c>
      <c r="C726" s="26" t="str">
        <f>"BENITO JUAREZ                                                                                       "</f>
        <v xml:space="preserve">BENITO JUAREZ                                                                                       </v>
      </c>
      <c r="D726" s="26" t="str">
        <f>"MATUTINO"</f>
        <v>MATUTINO</v>
      </c>
      <c r="E726" s="26" t="str">
        <f>"JALAPA NUM 272                                                                  "</f>
        <v xml:space="preserve">JALAPA NUM 272                                                                  </v>
      </c>
      <c r="F726" s="26" t="str">
        <f>"ROMA SUR                                                                                                                                    "</f>
        <v xml:space="preserve">ROMA SUR                                                                                                                                    </v>
      </c>
      <c r="G726" s="26" t="str">
        <f>"CUAUHTEMOC                                                                      "</f>
        <v xml:space="preserve">CUAUHTEMOC                                                                      </v>
      </c>
      <c r="H726" s="26" t="str">
        <f>"221"</f>
        <v>221</v>
      </c>
      <c r="I726" s="26" t="str">
        <f t="shared" si="115"/>
        <v>00</v>
      </c>
      <c r="J726" s="26" t="str">
        <f>"42 "</f>
        <v xml:space="preserve">42 </v>
      </c>
      <c r="K726" s="26" t="str">
        <f t="shared" si="111"/>
        <v>PR</v>
      </c>
      <c r="L726" s="26" t="str">
        <f t="shared" si="112"/>
        <v>DGOSE</v>
      </c>
      <c r="M726" s="26" t="str">
        <f t="shared" si="116"/>
        <v>FEDERAL</v>
      </c>
      <c r="N726" s="26">
        <v>1057</v>
      </c>
      <c r="O726" s="26">
        <v>525</v>
      </c>
      <c r="P726" s="26">
        <v>532</v>
      </c>
      <c r="Q726" s="26">
        <v>36</v>
      </c>
      <c r="R726" s="26">
        <v>1</v>
      </c>
      <c r="S726" s="26">
        <v>35</v>
      </c>
      <c r="T726" s="26">
        <v>23</v>
      </c>
      <c r="U726" s="26">
        <v>59</v>
      </c>
      <c r="V726" s="26">
        <v>1</v>
      </c>
      <c r="W726" s="26"/>
    </row>
    <row r="727" spans="1:23" x14ac:dyDescent="0.25">
      <c r="A727" s="26" t="str">
        <f t="shared" si="114"/>
        <v>PRIMARIA</v>
      </c>
      <c r="B727" s="26" t="str">
        <f>"09DPR1677D"</f>
        <v>09DPR1677D</v>
      </c>
      <c r="C727" s="26" t="str">
        <f>"HERMANOS GALEANA                                                                                    "</f>
        <v xml:space="preserve">HERMANOS GALEANA                                                                                    </v>
      </c>
      <c r="D727" s="26" t="str">
        <f>"VESPERTINO"</f>
        <v>VESPERTINO</v>
      </c>
      <c r="E727" s="26" t="str">
        <f>"RAYON NO. 3                                                                     "</f>
        <v xml:space="preserve">RAYON NO. 3                                                                     </v>
      </c>
      <c r="F727" s="26" t="str">
        <f>"SANTA LUCIA                                                                                                                                 "</f>
        <v xml:space="preserve">SANTA LUCIA                                                                                                                                 </v>
      </c>
      <c r="G727" s="26" t="str">
        <f>"ALVARO OBREGON                                                                  "</f>
        <v xml:space="preserve">ALVARO OBREGON                                                                  </v>
      </c>
      <c r="H727" s="26" t="str">
        <f>"318"</f>
        <v>318</v>
      </c>
      <c r="I727" s="26" t="str">
        <f t="shared" si="115"/>
        <v>00</v>
      </c>
      <c r="J727" s="26" t="str">
        <f>"43 "</f>
        <v xml:space="preserve">43 </v>
      </c>
      <c r="K727" s="26" t="str">
        <f t="shared" si="111"/>
        <v>PR</v>
      </c>
      <c r="L727" s="26" t="str">
        <f t="shared" si="112"/>
        <v>DGOSE</v>
      </c>
      <c r="M727" s="26" t="str">
        <f t="shared" si="116"/>
        <v>FEDERAL</v>
      </c>
      <c r="N727" s="26">
        <v>421</v>
      </c>
      <c r="O727" s="26">
        <v>200</v>
      </c>
      <c r="P727" s="26">
        <v>221</v>
      </c>
      <c r="Q727" s="26">
        <v>18</v>
      </c>
      <c r="R727" s="26">
        <v>0</v>
      </c>
      <c r="S727" s="26">
        <v>18</v>
      </c>
      <c r="T727" s="26">
        <v>8</v>
      </c>
      <c r="U727" s="26">
        <v>26</v>
      </c>
      <c r="V727" s="26">
        <v>1</v>
      </c>
      <c r="W727" s="26"/>
    </row>
    <row r="728" spans="1:23" x14ac:dyDescent="0.25">
      <c r="A728" s="26" t="str">
        <f t="shared" si="114"/>
        <v>PRIMARIA</v>
      </c>
      <c r="B728" s="26" t="str">
        <f>"09DPR1679B"</f>
        <v>09DPR1679B</v>
      </c>
      <c r="C728" s="26" t="str">
        <f>"REPUBLICA DE INDONESIA                                                                              "</f>
        <v xml:space="preserve">REPUBLICA DE INDONESIA                                                                              </v>
      </c>
      <c r="D728" s="26" t="str">
        <f>"JORNADA AMPLIADA"</f>
        <v>JORNADA AMPLIADA</v>
      </c>
      <c r="E728" s="26" t="str">
        <f>"CANITO S/N                                                                      "</f>
        <v xml:space="preserve">CANITO S/N                                                                      </v>
      </c>
      <c r="F728" s="26" t="str">
        <f>"HUICHAPAN                                                                                                                                   "</f>
        <v xml:space="preserve">HUICHAPAN                                                                                                                                   </v>
      </c>
      <c r="G728" s="26" t="str">
        <f t="shared" ref="G728:G736" si="117">"MIGUEL HIDALGO                                                                  "</f>
        <v xml:space="preserve">MIGUEL HIDALGO                                                                  </v>
      </c>
      <c r="H728" s="26" t="str">
        <f>"114"</f>
        <v>114</v>
      </c>
      <c r="I728" s="26" t="str">
        <f t="shared" si="115"/>
        <v>00</v>
      </c>
      <c r="J728" s="26" t="str">
        <f>"41 "</f>
        <v xml:space="preserve">41 </v>
      </c>
      <c r="K728" s="26" t="str">
        <f t="shared" si="111"/>
        <v>PR</v>
      </c>
      <c r="L728" s="26" t="str">
        <f t="shared" si="112"/>
        <v>DGOSE</v>
      </c>
      <c r="M728" s="26" t="str">
        <f t="shared" si="116"/>
        <v>FEDERAL</v>
      </c>
      <c r="N728" s="26">
        <v>148</v>
      </c>
      <c r="O728" s="26">
        <v>78</v>
      </c>
      <c r="P728" s="26">
        <v>70</v>
      </c>
      <c r="Q728" s="26">
        <v>6</v>
      </c>
      <c r="R728" s="26">
        <v>1</v>
      </c>
      <c r="S728" s="26">
        <v>6</v>
      </c>
      <c r="T728" s="26">
        <v>6</v>
      </c>
      <c r="U728" s="26">
        <v>13</v>
      </c>
      <c r="V728" s="26">
        <v>1</v>
      </c>
      <c r="W728" s="26" t="s">
        <v>2076</v>
      </c>
    </row>
    <row r="729" spans="1:23" x14ac:dyDescent="0.25">
      <c r="A729" s="26" t="str">
        <f t="shared" si="114"/>
        <v>PRIMARIA</v>
      </c>
      <c r="B729" s="26" t="str">
        <f>"09DPR1680R"</f>
        <v>09DPR1680R</v>
      </c>
      <c r="C729" s="26" t="str">
        <f>"COMODORO MANUEL AZUETA PERILLOS                                                                     "</f>
        <v xml:space="preserve">COMODORO MANUEL AZUETA PERILLOS                                                                     </v>
      </c>
      <c r="D729" s="26" t="str">
        <f>"JORNADA AMPLIADA"</f>
        <v>JORNADA AMPLIADA</v>
      </c>
      <c r="E729" s="26" t="str">
        <f>"RIO URUGUAY S/N                                                                 "</f>
        <v xml:space="preserve">RIO URUGUAY S/N                                                                 </v>
      </c>
      <c r="F729" s="26" t="str">
        <f>"ARGENTINA PONIENTE                                                                                                                          "</f>
        <v xml:space="preserve">ARGENTINA PONIENTE                                                                                                                          </v>
      </c>
      <c r="G729" s="26" t="str">
        <f t="shared" si="117"/>
        <v xml:space="preserve">MIGUEL HIDALGO                                                                  </v>
      </c>
      <c r="H729" s="26" t="str">
        <f>"109"</f>
        <v>109</v>
      </c>
      <c r="I729" s="26" t="str">
        <f t="shared" si="115"/>
        <v>00</v>
      </c>
      <c r="J729" s="26" t="str">
        <f>"41 "</f>
        <v xml:space="preserve">41 </v>
      </c>
      <c r="K729" s="26" t="str">
        <f t="shared" si="111"/>
        <v>PR</v>
      </c>
      <c r="L729" s="26" t="str">
        <f t="shared" si="112"/>
        <v>DGOSE</v>
      </c>
      <c r="M729" s="26" t="str">
        <f t="shared" si="116"/>
        <v>FEDERAL</v>
      </c>
      <c r="N729" s="26">
        <v>469</v>
      </c>
      <c r="O729" s="26">
        <v>250</v>
      </c>
      <c r="P729" s="26">
        <v>219</v>
      </c>
      <c r="Q729" s="26">
        <v>18</v>
      </c>
      <c r="R729" s="26">
        <v>1</v>
      </c>
      <c r="S729" s="26">
        <v>17</v>
      </c>
      <c r="T729" s="26">
        <v>13</v>
      </c>
      <c r="U729" s="26">
        <v>31</v>
      </c>
      <c r="V729" s="26">
        <v>1</v>
      </c>
      <c r="W729" s="26" t="s">
        <v>2076</v>
      </c>
    </row>
    <row r="730" spans="1:23" x14ac:dyDescent="0.25">
      <c r="A730" s="26" t="str">
        <f t="shared" si="114"/>
        <v>PRIMARIA</v>
      </c>
      <c r="B730" s="26" t="str">
        <f>"09DPR1685M"</f>
        <v>09DPR1685M</v>
      </c>
      <c r="C730" s="26" t="str">
        <f>"RAFAELA SUAREZ                                                                                      "</f>
        <v xml:space="preserve">RAFAELA SUAREZ                                                                                      </v>
      </c>
      <c r="D730" s="26" t="str">
        <f>"TIEMPO COMPLETO"</f>
        <v>TIEMPO COMPLETO</v>
      </c>
      <c r="E730" s="26" t="str">
        <f>"MAR DE BAFFIN NUM 5                                                             "</f>
        <v xml:space="preserve">MAR DE BAFFIN NUM 5                                                             </v>
      </c>
      <c r="F730" s="26" t="str">
        <f>"TACUBA                                                                                                                                      "</f>
        <v xml:space="preserve">TACUBA                                                                                                                                      </v>
      </c>
      <c r="G730" s="26" t="str">
        <f t="shared" si="117"/>
        <v xml:space="preserve">MIGUEL HIDALGO                                                                  </v>
      </c>
      <c r="H730" s="26" t="str">
        <f>"115"</f>
        <v>115</v>
      </c>
      <c r="I730" s="26" t="str">
        <f t="shared" si="115"/>
        <v>00</v>
      </c>
      <c r="J730" s="26" t="str">
        <f>"41 "</f>
        <v xml:space="preserve">41 </v>
      </c>
      <c r="K730" s="26" t="str">
        <f t="shared" si="111"/>
        <v>PR</v>
      </c>
      <c r="L730" s="26" t="str">
        <f t="shared" si="112"/>
        <v>DGOSE</v>
      </c>
      <c r="M730" s="26" t="str">
        <f t="shared" si="116"/>
        <v>FEDERAL</v>
      </c>
      <c r="N730" s="26">
        <v>202</v>
      </c>
      <c r="O730" s="26">
        <v>92</v>
      </c>
      <c r="P730" s="26">
        <v>110</v>
      </c>
      <c r="Q730" s="26">
        <v>8</v>
      </c>
      <c r="R730" s="26">
        <v>1</v>
      </c>
      <c r="S730" s="26">
        <v>8</v>
      </c>
      <c r="T730" s="26">
        <v>11</v>
      </c>
      <c r="U730" s="26">
        <v>20</v>
      </c>
      <c r="V730" s="26">
        <v>1</v>
      </c>
      <c r="W730" s="26" t="s">
        <v>218</v>
      </c>
    </row>
    <row r="731" spans="1:23" x14ac:dyDescent="0.25">
      <c r="A731" s="26" t="str">
        <f t="shared" si="114"/>
        <v>PRIMARIA</v>
      </c>
      <c r="B731" s="26" t="str">
        <f>"09DPR1687K"</f>
        <v>09DPR1687K</v>
      </c>
      <c r="C731" s="26" t="str">
        <f>"RAFAEL ANGEL DE LA PEÑA                                                                             "</f>
        <v xml:space="preserve">RAFAEL ANGEL DE LA PEÑA                                                                             </v>
      </c>
      <c r="D731" s="26" t="str">
        <f>"JORNADA AMPLIADA"</f>
        <v>JORNADA AMPLIADA</v>
      </c>
      <c r="E731" s="26" t="str">
        <f>"JOSE PARRES NUM 20                                                              "</f>
        <v xml:space="preserve">JOSE PARRES NUM 20                                                              </v>
      </c>
      <c r="F731" s="26" t="str">
        <f>"UN HOGAR PARA NOSOTROS                                                                                                                      "</f>
        <v xml:space="preserve">UN HOGAR PARA NOSOTROS                                                                                                                      </v>
      </c>
      <c r="G731" s="26" t="str">
        <f t="shared" si="117"/>
        <v xml:space="preserve">MIGUEL HIDALGO                                                                  </v>
      </c>
      <c r="H731" s="26" t="str">
        <f>"117"</f>
        <v>117</v>
      </c>
      <c r="I731" s="26" t="str">
        <f t="shared" si="115"/>
        <v>00</v>
      </c>
      <c r="J731" s="26" t="str">
        <f>"41 "</f>
        <v xml:space="preserve">41 </v>
      </c>
      <c r="K731" s="26" t="str">
        <f t="shared" si="111"/>
        <v>PR</v>
      </c>
      <c r="L731" s="26" t="str">
        <f t="shared" si="112"/>
        <v>DGOSE</v>
      </c>
      <c r="M731" s="26" t="str">
        <f t="shared" si="116"/>
        <v>FEDERAL</v>
      </c>
      <c r="N731" s="26">
        <v>472</v>
      </c>
      <c r="O731" s="26">
        <v>264</v>
      </c>
      <c r="P731" s="26">
        <v>208</v>
      </c>
      <c r="Q731" s="26">
        <v>14</v>
      </c>
      <c r="R731" s="26">
        <v>1</v>
      </c>
      <c r="S731" s="26">
        <v>14</v>
      </c>
      <c r="T731" s="26">
        <v>12</v>
      </c>
      <c r="U731" s="26">
        <v>27</v>
      </c>
      <c r="V731" s="26">
        <v>1</v>
      </c>
      <c r="W731" s="26" t="s">
        <v>2076</v>
      </c>
    </row>
    <row r="732" spans="1:23" x14ac:dyDescent="0.25">
      <c r="A732" s="26" t="str">
        <f t="shared" si="114"/>
        <v>PRIMARIA</v>
      </c>
      <c r="B732" s="26" t="str">
        <f>"09DPR1688J"</f>
        <v>09DPR1688J</v>
      </c>
      <c r="C732" s="26" t="str">
        <f>"GRAL. PEDRO A. OGAZON                                                                               "</f>
        <v xml:space="preserve">GRAL. PEDRO A. OGAZON                                                                               </v>
      </c>
      <c r="D732" s="26" t="str">
        <f>"MATUTINO"</f>
        <v>MATUTINO</v>
      </c>
      <c r="E732" s="26" t="str">
        <f>"LAGOS ILOPANGO E IZABAL S/N                                                     "</f>
        <v xml:space="preserve">LAGOS ILOPANGO E IZABAL S/N                                                     </v>
      </c>
      <c r="F732" s="26" t="str">
        <f>"TORRE BLANCA                                                                                                                                "</f>
        <v xml:space="preserve">TORRE BLANCA                                                                                                                                </v>
      </c>
      <c r="G732" s="26" t="str">
        <f t="shared" si="117"/>
        <v xml:space="preserve">MIGUEL HIDALGO                                                                  </v>
      </c>
      <c r="H732" s="26" t="str">
        <f>"212"</f>
        <v>212</v>
      </c>
      <c r="I732" s="26" t="str">
        <f t="shared" si="115"/>
        <v>00</v>
      </c>
      <c r="J732" s="26" t="str">
        <f>"42 "</f>
        <v xml:space="preserve">42 </v>
      </c>
      <c r="K732" s="26" t="str">
        <f t="shared" si="111"/>
        <v>PR</v>
      </c>
      <c r="L732" s="26" t="str">
        <f t="shared" si="112"/>
        <v>DGOSE</v>
      </c>
      <c r="M732" s="26" t="str">
        <f t="shared" si="116"/>
        <v>FEDERAL</v>
      </c>
      <c r="N732" s="26">
        <v>337</v>
      </c>
      <c r="O732" s="26">
        <v>176</v>
      </c>
      <c r="P732" s="26">
        <v>161</v>
      </c>
      <c r="Q732" s="26">
        <v>12</v>
      </c>
      <c r="R732" s="26">
        <v>1</v>
      </c>
      <c r="S732" s="26">
        <v>12</v>
      </c>
      <c r="T732" s="26">
        <v>8</v>
      </c>
      <c r="U732" s="26">
        <v>21</v>
      </c>
      <c r="V732" s="26">
        <v>1</v>
      </c>
      <c r="W732" s="26"/>
    </row>
    <row r="733" spans="1:23" x14ac:dyDescent="0.25">
      <c r="A733" s="26" t="str">
        <f t="shared" si="114"/>
        <v>PRIMARIA</v>
      </c>
      <c r="B733" s="26" t="str">
        <f>"09DPR1689I"</f>
        <v>09DPR1689I</v>
      </c>
      <c r="C733" s="26" t="str">
        <f>"GRAL. PEDRO A. OGAZON                                                                               "</f>
        <v xml:space="preserve">GRAL. PEDRO A. OGAZON                                                                               </v>
      </c>
      <c r="D733" s="26" t="str">
        <f>"VESPERTINO"</f>
        <v>VESPERTINO</v>
      </c>
      <c r="E733" s="26" t="str">
        <f>"LAGOS ILOPANGO E IZABAL S/N                                                     "</f>
        <v xml:space="preserve">LAGOS ILOPANGO E IZABAL S/N                                                     </v>
      </c>
      <c r="F733" s="26" t="str">
        <f>"TORRE BLANCA                                                                                                                                "</f>
        <v xml:space="preserve">TORRE BLANCA                                                                                                                                </v>
      </c>
      <c r="G733" s="26" t="str">
        <f t="shared" si="117"/>
        <v xml:space="preserve">MIGUEL HIDALGO                                                                  </v>
      </c>
      <c r="H733" s="26" t="str">
        <f>"212"</f>
        <v>212</v>
      </c>
      <c r="I733" s="26" t="str">
        <f t="shared" si="115"/>
        <v>00</v>
      </c>
      <c r="J733" s="26" t="str">
        <f>"42 "</f>
        <v xml:space="preserve">42 </v>
      </c>
      <c r="K733" s="26" t="str">
        <f t="shared" si="111"/>
        <v>PR</v>
      </c>
      <c r="L733" s="26" t="str">
        <f t="shared" si="112"/>
        <v>DGOSE</v>
      </c>
      <c r="M733" s="26" t="str">
        <f t="shared" si="116"/>
        <v>FEDERAL</v>
      </c>
      <c r="N733" s="26">
        <v>45</v>
      </c>
      <c r="O733" s="26">
        <v>29</v>
      </c>
      <c r="P733" s="26">
        <v>16</v>
      </c>
      <c r="Q733" s="26">
        <v>3</v>
      </c>
      <c r="R733" s="26">
        <v>1</v>
      </c>
      <c r="S733" s="26">
        <v>3</v>
      </c>
      <c r="T733" s="26">
        <v>4</v>
      </c>
      <c r="U733" s="26">
        <v>8</v>
      </c>
      <c r="V733" s="26">
        <v>1</v>
      </c>
      <c r="W733" s="26"/>
    </row>
    <row r="734" spans="1:23" x14ac:dyDescent="0.25">
      <c r="A734" s="26" t="str">
        <f t="shared" si="114"/>
        <v>PRIMARIA</v>
      </c>
      <c r="B734" s="26" t="str">
        <f>"09DPR1691X"</f>
        <v>09DPR1691X</v>
      </c>
      <c r="C734" s="26" t="str">
        <f>"OROZCO Y BERRA                                                                                      "</f>
        <v xml:space="preserve">OROZCO Y BERRA                                                                                      </v>
      </c>
      <c r="D734" s="26" t="str">
        <f t="shared" ref="D734:D742" si="118">"JORNADA AMPLIADA"</f>
        <v>JORNADA AMPLIADA</v>
      </c>
      <c r="E734" s="26" t="str">
        <f>"AV CUITLAHUAC Y MAR MEDITERRANEO                                                "</f>
        <v xml:space="preserve">AV CUITLAHUAC Y MAR MEDITERRANEO                                                </v>
      </c>
      <c r="F734" s="26" t="str">
        <f>"POPOTLA                                                                                                                                     "</f>
        <v xml:space="preserve">POPOTLA                                                                                                                                     </v>
      </c>
      <c r="G734" s="26" t="str">
        <f t="shared" si="117"/>
        <v xml:space="preserve">MIGUEL HIDALGO                                                                  </v>
      </c>
      <c r="H734" s="26" t="str">
        <f>"115"</f>
        <v>115</v>
      </c>
      <c r="I734" s="26" t="str">
        <f t="shared" si="115"/>
        <v>00</v>
      </c>
      <c r="J734" s="26" t="str">
        <f>"41 "</f>
        <v xml:space="preserve">41 </v>
      </c>
      <c r="K734" s="26" t="str">
        <f t="shared" si="111"/>
        <v>PR</v>
      </c>
      <c r="L734" s="26" t="str">
        <f t="shared" si="112"/>
        <v>DGOSE</v>
      </c>
      <c r="M734" s="26" t="str">
        <f t="shared" si="116"/>
        <v>FEDERAL</v>
      </c>
      <c r="N734" s="26">
        <v>209</v>
      </c>
      <c r="O734" s="26">
        <v>121</v>
      </c>
      <c r="P734" s="26">
        <v>88</v>
      </c>
      <c r="Q734" s="26">
        <v>8</v>
      </c>
      <c r="R734" s="26">
        <v>1</v>
      </c>
      <c r="S734" s="26">
        <v>8</v>
      </c>
      <c r="T734" s="26">
        <v>10</v>
      </c>
      <c r="U734" s="26">
        <v>19</v>
      </c>
      <c r="V734" s="26">
        <v>1</v>
      </c>
      <c r="W734" s="26" t="s">
        <v>2076</v>
      </c>
    </row>
    <row r="735" spans="1:23" x14ac:dyDescent="0.25">
      <c r="A735" s="26" t="str">
        <f t="shared" si="114"/>
        <v>PRIMARIA</v>
      </c>
      <c r="B735" s="26" t="str">
        <f>"09DPR1695T"</f>
        <v>09DPR1695T</v>
      </c>
      <c r="C735" s="26" t="str">
        <f>"MAESTRO ANTONIO CASO                                                                                "</f>
        <v xml:space="preserve">MAESTRO ANTONIO CASO                                                                                </v>
      </c>
      <c r="D735" s="26" t="str">
        <f t="shared" si="118"/>
        <v>JORNADA AMPLIADA</v>
      </c>
      <c r="E735" s="26" t="str">
        <f>"LAGO SAN JOSE # 16                                                              "</f>
        <v xml:space="preserve">LAGO SAN JOSE # 16                                                              </v>
      </c>
      <c r="F735" s="26" t="str">
        <f>"GRANADA AMPLIACION                                                                                                                          "</f>
        <v xml:space="preserve">GRANADA AMPLIACION                                                                                                                          </v>
      </c>
      <c r="G735" s="26" t="str">
        <f t="shared" si="117"/>
        <v xml:space="preserve">MIGUEL HIDALGO                                                                  </v>
      </c>
      <c r="H735" s="26" t="str">
        <f>"116"</f>
        <v>116</v>
      </c>
      <c r="I735" s="26" t="str">
        <f t="shared" si="115"/>
        <v>00</v>
      </c>
      <c r="J735" s="26" t="str">
        <f>"41 "</f>
        <v xml:space="preserve">41 </v>
      </c>
      <c r="K735" s="26" t="str">
        <f t="shared" si="111"/>
        <v>PR</v>
      </c>
      <c r="L735" s="26" t="str">
        <f t="shared" si="112"/>
        <v>DGOSE</v>
      </c>
      <c r="M735" s="26" t="str">
        <f t="shared" si="116"/>
        <v>FEDERAL</v>
      </c>
      <c r="N735" s="26">
        <v>288</v>
      </c>
      <c r="O735" s="26">
        <v>163</v>
      </c>
      <c r="P735" s="26">
        <v>125</v>
      </c>
      <c r="Q735" s="26">
        <v>12</v>
      </c>
      <c r="R735" s="26">
        <v>0</v>
      </c>
      <c r="S735" s="26">
        <v>11</v>
      </c>
      <c r="T735" s="26">
        <v>12</v>
      </c>
      <c r="U735" s="26">
        <v>23</v>
      </c>
      <c r="V735" s="26">
        <v>1</v>
      </c>
      <c r="W735" s="26" t="s">
        <v>2076</v>
      </c>
    </row>
    <row r="736" spans="1:23" x14ac:dyDescent="0.25">
      <c r="A736" s="26" t="str">
        <f t="shared" si="114"/>
        <v>PRIMARIA</v>
      </c>
      <c r="B736" s="26" t="str">
        <f>"09DPR1696S"</f>
        <v>09DPR1696S</v>
      </c>
      <c r="C736" s="26" t="str">
        <f>"MODELO                                                                                              "</f>
        <v xml:space="preserve">MODELO                                                                                              </v>
      </c>
      <c r="D736" s="26" t="str">
        <f t="shared" si="118"/>
        <v>JORNADA AMPLIADA</v>
      </c>
      <c r="E736" s="26" t="str">
        <f>"LAGO LADOGA NUM 300                                                             "</f>
        <v xml:space="preserve">LAGO LADOGA NUM 300                                                             </v>
      </c>
      <c r="F736" s="26" t="str">
        <f>"ANAHUAC I                                                                                                                                   "</f>
        <v xml:space="preserve">ANAHUAC I                                                                                                                                   </v>
      </c>
      <c r="G736" s="26" t="str">
        <f t="shared" si="117"/>
        <v xml:space="preserve">MIGUEL HIDALGO                                                                  </v>
      </c>
      <c r="H736" s="26" t="str">
        <f>"116"</f>
        <v>116</v>
      </c>
      <c r="I736" s="26" t="str">
        <f t="shared" si="115"/>
        <v>00</v>
      </c>
      <c r="J736" s="26" t="str">
        <f>"41 "</f>
        <v xml:space="preserve">41 </v>
      </c>
      <c r="K736" s="26" t="str">
        <f t="shared" si="111"/>
        <v>PR</v>
      </c>
      <c r="L736" s="26" t="str">
        <f t="shared" si="112"/>
        <v>DGOSE</v>
      </c>
      <c r="M736" s="26" t="str">
        <f t="shared" si="116"/>
        <v>FEDERAL</v>
      </c>
      <c r="N736" s="26">
        <v>272</v>
      </c>
      <c r="O736" s="26">
        <v>131</v>
      </c>
      <c r="P736" s="26">
        <v>141</v>
      </c>
      <c r="Q736" s="26">
        <v>12</v>
      </c>
      <c r="R736" s="26">
        <v>1</v>
      </c>
      <c r="S736" s="26">
        <v>11</v>
      </c>
      <c r="T736" s="26">
        <v>7</v>
      </c>
      <c r="U736" s="26">
        <v>19</v>
      </c>
      <c r="V736" s="26">
        <v>1</v>
      </c>
      <c r="W736" s="26" t="s">
        <v>2076</v>
      </c>
    </row>
    <row r="737" spans="1:23" x14ac:dyDescent="0.25">
      <c r="A737" s="26" t="str">
        <f t="shared" si="114"/>
        <v>PRIMARIA</v>
      </c>
      <c r="B737" s="26" t="str">
        <f>"09DPR1699P"</f>
        <v>09DPR1699P</v>
      </c>
      <c r="C737" s="26" t="str">
        <f>"LUIS R. ALARCON                                                                                     "</f>
        <v xml:space="preserve">LUIS R. ALARCON                                                                                     </v>
      </c>
      <c r="D737" s="26" t="str">
        <f t="shared" si="118"/>
        <v>JORNADA AMPLIADA</v>
      </c>
      <c r="E737" s="26" t="str">
        <f>"CENTENARIO NUM 88 BIS                                                           "</f>
        <v xml:space="preserve">CENTENARIO NUM 88 BIS                                                           </v>
      </c>
      <c r="F737" s="26" t="str">
        <f>"MERCED GOMEZ                                                                                                                                "</f>
        <v xml:space="preserve">MERCED GOMEZ                                                                                                                                </v>
      </c>
      <c r="G737" s="26" t="str">
        <f>"ALVARO OBREGON                                                                  "</f>
        <v xml:space="preserve">ALVARO OBREGON                                                                  </v>
      </c>
      <c r="H737" s="26" t="str">
        <f>"404"</f>
        <v>404</v>
      </c>
      <c r="I737" s="26" t="str">
        <f t="shared" si="115"/>
        <v>00</v>
      </c>
      <c r="J737" s="26" t="str">
        <f>"44 "</f>
        <v xml:space="preserve">44 </v>
      </c>
      <c r="K737" s="26" t="str">
        <f t="shared" si="111"/>
        <v>PR</v>
      </c>
      <c r="L737" s="26" t="str">
        <f t="shared" si="112"/>
        <v>DGOSE</v>
      </c>
      <c r="M737" s="26" t="str">
        <f t="shared" si="116"/>
        <v>FEDERAL</v>
      </c>
      <c r="N737" s="26">
        <v>580</v>
      </c>
      <c r="O737" s="26">
        <v>300</v>
      </c>
      <c r="P737" s="26">
        <v>280</v>
      </c>
      <c r="Q737" s="26">
        <v>18</v>
      </c>
      <c r="R737" s="26">
        <v>1</v>
      </c>
      <c r="S737" s="26">
        <v>18</v>
      </c>
      <c r="T737" s="26">
        <v>8</v>
      </c>
      <c r="U737" s="26">
        <v>27</v>
      </c>
      <c r="V737" s="26">
        <v>1</v>
      </c>
      <c r="W737" s="26" t="s">
        <v>2076</v>
      </c>
    </row>
    <row r="738" spans="1:23" x14ac:dyDescent="0.25">
      <c r="A738" s="26" t="str">
        <f t="shared" si="114"/>
        <v>PRIMARIA</v>
      </c>
      <c r="B738" s="26" t="str">
        <f>"09DPR1701N"</f>
        <v>09DPR1701N</v>
      </c>
      <c r="C738" s="26" t="str">
        <f>"LEOPOLDO E. CAMARENA                                                                                "</f>
        <v xml:space="preserve">LEOPOLDO E. CAMARENA                                                                                </v>
      </c>
      <c r="D738" s="26" t="str">
        <f t="shared" si="118"/>
        <v>JORNADA AMPLIADA</v>
      </c>
      <c r="E738" s="26" t="str">
        <f>"MAR ARAFURA NUM 6                                                               "</f>
        <v xml:space="preserve">MAR ARAFURA NUM 6                                                               </v>
      </c>
      <c r="F738" s="26" t="str">
        <f>"POPOTLA                                                                                                                                     "</f>
        <v xml:space="preserve">POPOTLA                                                                                                                                     </v>
      </c>
      <c r="G738" s="26" t="str">
        <f t="shared" ref="G738:G752" si="119">"MIGUEL HIDALGO                                                                  "</f>
        <v xml:space="preserve">MIGUEL HIDALGO                                                                  </v>
      </c>
      <c r="H738" s="26" t="str">
        <f>"115"</f>
        <v>115</v>
      </c>
      <c r="I738" s="26" t="str">
        <f t="shared" si="115"/>
        <v>00</v>
      </c>
      <c r="J738" s="26" t="str">
        <f t="shared" ref="J738:J747" si="120">"41 "</f>
        <v xml:space="preserve">41 </v>
      </c>
      <c r="K738" s="26" t="str">
        <f t="shared" si="111"/>
        <v>PR</v>
      </c>
      <c r="L738" s="26" t="str">
        <f t="shared" si="112"/>
        <v>DGOSE</v>
      </c>
      <c r="M738" s="26" t="str">
        <f t="shared" si="116"/>
        <v>FEDERAL</v>
      </c>
      <c r="N738" s="26">
        <v>195</v>
      </c>
      <c r="O738" s="26">
        <v>95</v>
      </c>
      <c r="P738" s="26">
        <v>100</v>
      </c>
      <c r="Q738" s="26">
        <v>7</v>
      </c>
      <c r="R738" s="26">
        <v>1</v>
      </c>
      <c r="S738" s="26">
        <v>7</v>
      </c>
      <c r="T738" s="26">
        <v>9</v>
      </c>
      <c r="U738" s="26">
        <v>17</v>
      </c>
      <c r="V738" s="26">
        <v>1</v>
      </c>
      <c r="W738" s="26" t="s">
        <v>2076</v>
      </c>
    </row>
    <row r="739" spans="1:23" x14ac:dyDescent="0.25">
      <c r="A739" s="26" t="str">
        <f t="shared" si="114"/>
        <v>PRIMARIA</v>
      </c>
      <c r="B739" s="26" t="str">
        <f>"09DPR1703L"</f>
        <v>09DPR1703L</v>
      </c>
      <c r="C739" s="26" t="str">
        <f>"GRAL. J. FERNANDO RAMIREZ                                                                           "</f>
        <v xml:space="preserve">GRAL. J. FERNANDO RAMIREZ                                                                           </v>
      </c>
      <c r="D739" s="26" t="str">
        <f t="shared" si="118"/>
        <v>JORNADA AMPLIADA</v>
      </c>
      <c r="E739" s="26" t="str">
        <f>"CALZ.STA.CRUZ CACALCO NUM 9                                                     "</f>
        <v xml:space="preserve">CALZ.STA.CRUZ CACALCO NUM 9                                                     </v>
      </c>
      <c r="F739" s="26" t="str">
        <f>"SAN JOAQUIN                                                                                                                                 "</f>
        <v xml:space="preserve">SAN JOAQUIN                                                                                                                                 </v>
      </c>
      <c r="G739" s="26" t="str">
        <f t="shared" si="119"/>
        <v xml:space="preserve">MIGUEL HIDALGO                                                                  </v>
      </c>
      <c r="H739" s="26" t="str">
        <f>"113"</f>
        <v>113</v>
      </c>
      <c r="I739" s="26" t="str">
        <f t="shared" si="115"/>
        <v>00</v>
      </c>
      <c r="J739" s="26" t="str">
        <f t="shared" si="120"/>
        <v xml:space="preserve">41 </v>
      </c>
      <c r="K739" s="26" t="str">
        <f t="shared" si="111"/>
        <v>PR</v>
      </c>
      <c r="L739" s="26" t="str">
        <f t="shared" si="112"/>
        <v>DGOSE</v>
      </c>
      <c r="M739" s="26" t="str">
        <f t="shared" si="116"/>
        <v>FEDERAL</v>
      </c>
      <c r="N739" s="26">
        <v>148</v>
      </c>
      <c r="O739" s="26">
        <v>63</v>
      </c>
      <c r="P739" s="26">
        <v>85</v>
      </c>
      <c r="Q739" s="26">
        <v>6</v>
      </c>
      <c r="R739" s="26">
        <v>1</v>
      </c>
      <c r="S739" s="26">
        <v>6</v>
      </c>
      <c r="T739" s="26">
        <v>7</v>
      </c>
      <c r="U739" s="26">
        <v>14</v>
      </c>
      <c r="V739" s="26">
        <v>1</v>
      </c>
      <c r="W739" s="26" t="s">
        <v>2076</v>
      </c>
    </row>
    <row r="740" spans="1:23" x14ac:dyDescent="0.25">
      <c r="A740" s="26" t="str">
        <f t="shared" si="114"/>
        <v>PRIMARIA</v>
      </c>
      <c r="B740" s="26" t="str">
        <f>"09DPR1704K"</f>
        <v>09DPR1704K</v>
      </c>
      <c r="C740" s="26" t="str">
        <f>"LIC. JOAQUIN BARANDA                                                                                "</f>
        <v xml:space="preserve">LIC. JOAQUIN BARANDA                                                                                </v>
      </c>
      <c r="D740" s="26" t="str">
        <f t="shared" si="118"/>
        <v>JORNADA AMPLIADA</v>
      </c>
      <c r="E740" s="26" t="str">
        <f>"JARDIN CENTRAL DE TACUBA                                                        "</f>
        <v xml:space="preserve">JARDIN CENTRAL DE TACUBA                                                        </v>
      </c>
      <c r="F740" s="26" t="str">
        <f>"TACUBA                                                                                                                                      "</f>
        <v xml:space="preserve">TACUBA                                                                                                                                      </v>
      </c>
      <c r="G740" s="26" t="str">
        <f t="shared" si="119"/>
        <v xml:space="preserve">MIGUEL HIDALGO                                                                  </v>
      </c>
      <c r="H740" s="26" t="str">
        <f>"114"</f>
        <v>114</v>
      </c>
      <c r="I740" s="26" t="str">
        <f t="shared" si="115"/>
        <v>00</v>
      </c>
      <c r="J740" s="26" t="str">
        <f t="shared" si="120"/>
        <v xml:space="preserve">41 </v>
      </c>
      <c r="K740" s="26" t="str">
        <f t="shared" si="111"/>
        <v>PR</v>
      </c>
      <c r="L740" s="26" t="str">
        <f t="shared" si="112"/>
        <v>DGOSE</v>
      </c>
      <c r="M740" s="26" t="str">
        <f t="shared" si="116"/>
        <v>FEDERAL</v>
      </c>
      <c r="N740" s="26">
        <v>151</v>
      </c>
      <c r="O740" s="26">
        <v>68</v>
      </c>
      <c r="P740" s="26">
        <v>83</v>
      </c>
      <c r="Q740" s="26">
        <v>6</v>
      </c>
      <c r="R740" s="26">
        <v>1</v>
      </c>
      <c r="S740" s="26">
        <v>6</v>
      </c>
      <c r="T740" s="26">
        <v>7</v>
      </c>
      <c r="U740" s="26">
        <v>14</v>
      </c>
      <c r="V740" s="26">
        <v>1</v>
      </c>
      <c r="W740" s="26" t="s">
        <v>2076</v>
      </c>
    </row>
    <row r="741" spans="1:23" x14ac:dyDescent="0.25">
      <c r="A741" s="26" t="str">
        <f t="shared" si="114"/>
        <v>PRIMARIA</v>
      </c>
      <c r="B741" s="26" t="str">
        <f>"09DPR1707H"</f>
        <v>09DPR1707H</v>
      </c>
      <c r="C741" s="26" t="str">
        <f>"GRAL. IGNACIO ZARAGOZA                                                                              "</f>
        <v xml:space="preserve">GRAL. IGNACIO ZARAGOZA                                                                              </v>
      </c>
      <c r="D741" s="26" t="str">
        <f t="shared" si="118"/>
        <v>JORNADA AMPLIADA</v>
      </c>
      <c r="E741" s="26" t="str">
        <f>"LAGO MAYOR Y 2DO C DE LAGO MAYOR                                                "</f>
        <v xml:space="preserve">LAGO MAYOR Y 2DO C DE LAGO MAYOR                                                </v>
      </c>
      <c r="F741" s="26" t="str">
        <f>"ANAHUAC I                                                                                                                                   "</f>
        <v xml:space="preserve">ANAHUAC I                                                                                                                                   </v>
      </c>
      <c r="G741" s="26" t="str">
        <f t="shared" si="119"/>
        <v xml:space="preserve">MIGUEL HIDALGO                                                                  </v>
      </c>
      <c r="H741" s="26" t="str">
        <f>"116"</f>
        <v>116</v>
      </c>
      <c r="I741" s="26" t="str">
        <f t="shared" si="115"/>
        <v>00</v>
      </c>
      <c r="J741" s="26" t="str">
        <f t="shared" si="120"/>
        <v xml:space="preserve">41 </v>
      </c>
      <c r="K741" s="26" t="str">
        <f t="shared" si="111"/>
        <v>PR</v>
      </c>
      <c r="L741" s="26" t="str">
        <f t="shared" si="112"/>
        <v>DGOSE</v>
      </c>
      <c r="M741" s="26" t="str">
        <f t="shared" si="116"/>
        <v>FEDERAL</v>
      </c>
      <c r="N741" s="26">
        <v>359</v>
      </c>
      <c r="O741" s="26">
        <v>200</v>
      </c>
      <c r="P741" s="26">
        <v>159</v>
      </c>
      <c r="Q741" s="26">
        <v>15</v>
      </c>
      <c r="R741" s="26">
        <v>1</v>
      </c>
      <c r="S741" s="26">
        <v>15</v>
      </c>
      <c r="T741" s="26">
        <v>8</v>
      </c>
      <c r="U741" s="26">
        <v>24</v>
      </c>
      <c r="V741" s="26">
        <v>1</v>
      </c>
      <c r="W741" s="26" t="s">
        <v>2076</v>
      </c>
    </row>
    <row r="742" spans="1:23" x14ac:dyDescent="0.25">
      <c r="A742" s="26" t="str">
        <f t="shared" si="114"/>
        <v>PRIMARIA</v>
      </c>
      <c r="B742" s="26" t="str">
        <f>"09DPR1708G"</f>
        <v>09DPR1708G</v>
      </c>
      <c r="C742" s="26" t="str">
        <f>"ICHCATEOPAN                                                                                         "</f>
        <v xml:space="preserve">ICHCATEOPAN                                                                                         </v>
      </c>
      <c r="D742" s="26" t="str">
        <f t="shared" si="118"/>
        <v>JORNADA AMPLIADA</v>
      </c>
      <c r="E742" s="26" t="str">
        <f>"MARES ARABIGO Y MEDITERRANEO                                                    "</f>
        <v xml:space="preserve">MARES ARABIGO Y MEDITERRANEO                                                    </v>
      </c>
      <c r="F742" s="26" t="str">
        <f>"TACUBA                                                                                                                                      "</f>
        <v xml:space="preserve">TACUBA                                                                                                                                      </v>
      </c>
      <c r="G742" s="26" t="str">
        <f t="shared" si="119"/>
        <v xml:space="preserve">MIGUEL HIDALGO                                                                  </v>
      </c>
      <c r="H742" s="26" t="str">
        <f>"114"</f>
        <v>114</v>
      </c>
      <c r="I742" s="26" t="str">
        <f t="shared" si="115"/>
        <v>00</v>
      </c>
      <c r="J742" s="26" t="str">
        <f t="shared" si="120"/>
        <v xml:space="preserve">41 </v>
      </c>
      <c r="K742" s="26" t="str">
        <f t="shared" si="111"/>
        <v>PR</v>
      </c>
      <c r="L742" s="26" t="str">
        <f t="shared" si="112"/>
        <v>DGOSE</v>
      </c>
      <c r="M742" s="26" t="str">
        <f t="shared" si="116"/>
        <v>FEDERAL</v>
      </c>
      <c r="N742" s="26">
        <v>290</v>
      </c>
      <c r="O742" s="26">
        <v>148</v>
      </c>
      <c r="P742" s="26">
        <v>142</v>
      </c>
      <c r="Q742" s="26">
        <v>12</v>
      </c>
      <c r="R742" s="26">
        <v>1</v>
      </c>
      <c r="S742" s="26">
        <v>12</v>
      </c>
      <c r="T742" s="26">
        <v>8</v>
      </c>
      <c r="U742" s="26">
        <v>21</v>
      </c>
      <c r="V742" s="26">
        <v>1</v>
      </c>
      <c r="W742" s="26" t="s">
        <v>2076</v>
      </c>
    </row>
    <row r="743" spans="1:23" x14ac:dyDescent="0.25">
      <c r="A743" s="26" t="str">
        <f t="shared" si="114"/>
        <v>PRIMARIA</v>
      </c>
      <c r="B743" s="26" t="str">
        <f>"09DPR1710V"</f>
        <v>09DPR1710V</v>
      </c>
      <c r="C743" s="26" t="str">
        <f>"FRAY FRANCISCO APARICIO                                                                             "</f>
        <v xml:space="preserve">FRAY FRANCISCO APARICIO                                                                             </v>
      </c>
      <c r="D743" s="26" t="str">
        <f>"TIEMPO COMPLETO"</f>
        <v>TIEMPO COMPLETO</v>
      </c>
      <c r="E743" s="26" t="str">
        <f>"LAGO CHALCO NUM. 57                                                             "</f>
        <v xml:space="preserve">LAGO CHALCO NUM. 57                                                             </v>
      </c>
      <c r="F743" s="26" t="str">
        <f>"ANAHUAC I                                                                                                                                   "</f>
        <v xml:space="preserve">ANAHUAC I                                                                                                                                   </v>
      </c>
      <c r="G743" s="26" t="str">
        <f t="shared" si="119"/>
        <v xml:space="preserve">MIGUEL HIDALGO                                                                  </v>
      </c>
      <c r="H743" s="26" t="str">
        <f>"117"</f>
        <v>117</v>
      </c>
      <c r="I743" s="26" t="str">
        <f t="shared" si="115"/>
        <v>00</v>
      </c>
      <c r="J743" s="26" t="str">
        <f t="shared" si="120"/>
        <v xml:space="preserve">41 </v>
      </c>
      <c r="K743" s="26" t="str">
        <f t="shared" si="111"/>
        <v>PR</v>
      </c>
      <c r="L743" s="26" t="str">
        <f t="shared" si="112"/>
        <v>DGOSE</v>
      </c>
      <c r="M743" s="26" t="str">
        <f t="shared" si="116"/>
        <v>FEDERAL</v>
      </c>
      <c r="N743" s="26">
        <v>365</v>
      </c>
      <c r="O743" s="26">
        <v>186</v>
      </c>
      <c r="P743" s="26">
        <v>179</v>
      </c>
      <c r="Q743" s="26">
        <v>12</v>
      </c>
      <c r="R743" s="26">
        <v>1</v>
      </c>
      <c r="S743" s="26">
        <v>12</v>
      </c>
      <c r="T743" s="26">
        <v>16</v>
      </c>
      <c r="U743" s="26">
        <v>29</v>
      </c>
      <c r="V743" s="26">
        <v>1</v>
      </c>
      <c r="W743" s="26" t="s">
        <v>218</v>
      </c>
    </row>
    <row r="744" spans="1:23" x14ac:dyDescent="0.25">
      <c r="A744" s="26" t="str">
        <f t="shared" si="114"/>
        <v>PRIMARIA</v>
      </c>
      <c r="B744" s="26" t="str">
        <f>"09DPR1712T"</f>
        <v>09DPR1712T</v>
      </c>
      <c r="C744" s="26" t="str">
        <f>"FRANCISCO SARABIA                                                                                   "</f>
        <v xml:space="preserve">FRANCISCO SARABIA                                                                                   </v>
      </c>
      <c r="D744" s="26" t="str">
        <f>"TIEMPO COMPLETO"</f>
        <v>TIEMPO COMPLETO</v>
      </c>
      <c r="E744" s="26" t="str">
        <f>"MAR MARMARA NO. 412                                                             "</f>
        <v xml:space="preserve">MAR MARMARA NO. 412                                                             </v>
      </c>
      <c r="F744" s="26" t="str">
        <f>"POPOTLA                                                                                                                                     "</f>
        <v xml:space="preserve">POPOTLA                                                                                                                                     </v>
      </c>
      <c r="G744" s="26" t="str">
        <f t="shared" si="119"/>
        <v xml:space="preserve">MIGUEL HIDALGO                                                                  </v>
      </c>
      <c r="H744" s="26" t="str">
        <f>"115"</f>
        <v>115</v>
      </c>
      <c r="I744" s="26" t="str">
        <f t="shared" si="115"/>
        <v>00</v>
      </c>
      <c r="J744" s="26" t="str">
        <f t="shared" si="120"/>
        <v xml:space="preserve">41 </v>
      </c>
      <c r="K744" s="26" t="str">
        <f t="shared" si="111"/>
        <v>PR</v>
      </c>
      <c r="L744" s="26" t="str">
        <f t="shared" si="112"/>
        <v>DGOSE</v>
      </c>
      <c r="M744" s="26" t="str">
        <f t="shared" si="116"/>
        <v>FEDERAL</v>
      </c>
      <c r="N744" s="26">
        <v>286</v>
      </c>
      <c r="O744" s="26">
        <v>144</v>
      </c>
      <c r="P744" s="26">
        <v>142</v>
      </c>
      <c r="Q744" s="26">
        <v>10</v>
      </c>
      <c r="R744" s="26">
        <v>1</v>
      </c>
      <c r="S744" s="26">
        <v>10</v>
      </c>
      <c r="T744" s="26">
        <v>10</v>
      </c>
      <c r="U744" s="26">
        <v>21</v>
      </c>
      <c r="V744" s="26">
        <v>1</v>
      </c>
      <c r="W744" s="26" t="s">
        <v>218</v>
      </c>
    </row>
    <row r="745" spans="1:23" x14ac:dyDescent="0.25">
      <c r="A745" s="26" t="str">
        <f t="shared" si="114"/>
        <v>PRIMARIA</v>
      </c>
      <c r="B745" s="26" t="str">
        <f>"09DPR1713S"</f>
        <v>09DPR1713S</v>
      </c>
      <c r="C745" s="26" t="str">
        <f>"FRANCISCO SANTOYO MALDONADO                                                                         "</f>
        <v xml:space="preserve">FRANCISCO SANTOYO MALDONADO                                                                         </v>
      </c>
      <c r="D745" s="26" t="str">
        <f>"JORNADA AMPLIADA"</f>
        <v>JORNADA AMPLIADA</v>
      </c>
      <c r="E745" s="26" t="str">
        <f>"MARIANO ESCOBEDO NUM.59                                                         "</f>
        <v xml:space="preserve">MARIANO ESCOBEDO NUM.59                                                         </v>
      </c>
      <c r="F745" s="26" t="str">
        <f>"POPOTLA                                                                                                                                     "</f>
        <v xml:space="preserve">POPOTLA                                                                                                                                     </v>
      </c>
      <c r="G745" s="26" t="str">
        <f t="shared" si="119"/>
        <v xml:space="preserve">MIGUEL HIDALGO                                                                  </v>
      </c>
      <c r="H745" s="26" t="str">
        <f>"115"</f>
        <v>115</v>
      </c>
      <c r="I745" s="26" t="str">
        <f t="shared" si="115"/>
        <v>00</v>
      </c>
      <c r="J745" s="26" t="str">
        <f t="shared" si="120"/>
        <v xml:space="preserve">41 </v>
      </c>
      <c r="K745" s="26" t="str">
        <f t="shared" si="111"/>
        <v>PR</v>
      </c>
      <c r="L745" s="26" t="str">
        <f t="shared" si="112"/>
        <v>DGOSE</v>
      </c>
      <c r="M745" s="26" t="str">
        <f t="shared" si="116"/>
        <v>FEDERAL</v>
      </c>
      <c r="N745" s="26">
        <v>203</v>
      </c>
      <c r="O745" s="26">
        <v>104</v>
      </c>
      <c r="P745" s="26">
        <v>99</v>
      </c>
      <c r="Q745" s="26">
        <v>9</v>
      </c>
      <c r="R745" s="26">
        <v>1</v>
      </c>
      <c r="S745" s="26">
        <v>9</v>
      </c>
      <c r="T745" s="26">
        <v>7</v>
      </c>
      <c r="U745" s="26">
        <v>17</v>
      </c>
      <c r="V745" s="26">
        <v>1</v>
      </c>
      <c r="W745" s="26" t="s">
        <v>2076</v>
      </c>
    </row>
    <row r="746" spans="1:23" x14ac:dyDescent="0.25">
      <c r="A746" s="26" t="str">
        <f t="shared" si="114"/>
        <v>PRIMARIA</v>
      </c>
      <c r="B746" s="26" t="str">
        <f>"09DPR1716P"</f>
        <v>09DPR1716P</v>
      </c>
      <c r="C746" s="26" t="str">
        <f>"FRANCISCO FIGUEROA                                                                                  "</f>
        <v xml:space="preserve">FRANCISCO FIGUEROA                                                                                  </v>
      </c>
      <c r="D746" s="26" t="str">
        <f>"JORNADA AMPLIADA"</f>
        <v>JORNADA AMPLIADA</v>
      </c>
      <c r="E746" s="26" t="str">
        <f>"LAGOS GUIJA Y PETEN S/N.                                                        "</f>
        <v xml:space="preserve">LAGOS GUIJA Y PETEN S/N.                                                        </v>
      </c>
      <c r="F746" s="26" t="str">
        <f>"TORRE BLANCA                                                                                                                                "</f>
        <v xml:space="preserve">TORRE BLANCA                                                                                                                                </v>
      </c>
      <c r="G746" s="26" t="str">
        <f t="shared" si="119"/>
        <v xml:space="preserve">MIGUEL HIDALGO                                                                  </v>
      </c>
      <c r="H746" s="26" t="str">
        <f>"114"</f>
        <v>114</v>
      </c>
      <c r="I746" s="26" t="str">
        <f t="shared" si="115"/>
        <v>00</v>
      </c>
      <c r="J746" s="26" t="str">
        <f t="shared" si="120"/>
        <v xml:space="preserve">41 </v>
      </c>
      <c r="K746" s="26" t="str">
        <f t="shared" si="111"/>
        <v>PR</v>
      </c>
      <c r="L746" s="26" t="str">
        <f t="shared" si="112"/>
        <v>DGOSE</v>
      </c>
      <c r="M746" s="26" t="str">
        <f t="shared" si="116"/>
        <v>FEDERAL</v>
      </c>
      <c r="N746" s="26">
        <v>285</v>
      </c>
      <c r="O746" s="26">
        <v>144</v>
      </c>
      <c r="P746" s="26">
        <v>141</v>
      </c>
      <c r="Q746" s="26">
        <v>12</v>
      </c>
      <c r="R746" s="26">
        <v>1</v>
      </c>
      <c r="S746" s="26">
        <v>12</v>
      </c>
      <c r="T746" s="26">
        <v>10</v>
      </c>
      <c r="U746" s="26">
        <v>23</v>
      </c>
      <c r="V746" s="26">
        <v>1</v>
      </c>
      <c r="W746" s="26" t="s">
        <v>2076</v>
      </c>
    </row>
    <row r="747" spans="1:23" x14ac:dyDescent="0.25">
      <c r="A747" s="26" t="str">
        <f t="shared" si="114"/>
        <v>PRIMARIA</v>
      </c>
      <c r="B747" s="26" t="str">
        <f>"09DPR1717O"</f>
        <v>09DPR1717O</v>
      </c>
      <c r="C747" s="26" t="str">
        <f>"FRANCISCO EDUARDO TRESGUERRAS                                                                       "</f>
        <v xml:space="preserve">FRANCISCO EDUARDO TRESGUERRAS                                                                       </v>
      </c>
      <c r="D747" s="26" t="str">
        <f>"JORNADA AMPLIADA"</f>
        <v>JORNADA AMPLIADA</v>
      </c>
      <c r="E747" s="26" t="str">
        <f>"GOLFO DE CALIFORNIA NUM. 15                                                     "</f>
        <v xml:space="preserve">GOLFO DE CALIFORNIA NUM. 15                                                     </v>
      </c>
      <c r="F747" s="26" t="str">
        <f>"TACUBA                                                                                                                                      "</f>
        <v xml:space="preserve">TACUBA                                                                                                                                      </v>
      </c>
      <c r="G747" s="26" t="str">
        <f t="shared" si="119"/>
        <v xml:space="preserve">MIGUEL HIDALGO                                                                  </v>
      </c>
      <c r="H747" s="26" t="str">
        <f>"114"</f>
        <v>114</v>
      </c>
      <c r="I747" s="26" t="str">
        <f t="shared" si="115"/>
        <v>00</v>
      </c>
      <c r="J747" s="26" t="str">
        <f t="shared" si="120"/>
        <v xml:space="preserve">41 </v>
      </c>
      <c r="K747" s="26" t="str">
        <f t="shared" si="111"/>
        <v>PR</v>
      </c>
      <c r="L747" s="26" t="str">
        <f t="shared" si="112"/>
        <v>DGOSE</v>
      </c>
      <c r="M747" s="26" t="str">
        <f t="shared" si="116"/>
        <v>FEDERAL</v>
      </c>
      <c r="N747" s="26">
        <v>152</v>
      </c>
      <c r="O747" s="26">
        <v>89</v>
      </c>
      <c r="P747" s="26">
        <v>63</v>
      </c>
      <c r="Q747" s="26">
        <v>6</v>
      </c>
      <c r="R747" s="26">
        <v>1</v>
      </c>
      <c r="S747" s="26">
        <v>6</v>
      </c>
      <c r="T747" s="26">
        <v>7</v>
      </c>
      <c r="U747" s="26">
        <v>14</v>
      </c>
      <c r="V747" s="26">
        <v>1</v>
      </c>
      <c r="W747" s="26" t="s">
        <v>2076</v>
      </c>
    </row>
    <row r="748" spans="1:23" x14ac:dyDescent="0.25">
      <c r="A748" s="26" t="str">
        <f t="shared" si="114"/>
        <v>PRIMARIA</v>
      </c>
      <c r="B748" s="26" t="str">
        <f>"09DPR1719M"</f>
        <v>09DPR1719M</v>
      </c>
      <c r="C748" s="26" t="str">
        <f>"ESTADO DE HIDALGO                                                                                   "</f>
        <v xml:space="preserve">ESTADO DE HIDALGO                                                                                   </v>
      </c>
      <c r="D748" s="26" t="str">
        <f>"VESPERTINO"</f>
        <v>VESPERTINO</v>
      </c>
      <c r="E748" s="26" t="str">
        <f>"AV MARINA NACIONAL NUM 222                                                      "</f>
        <v xml:space="preserve">AV MARINA NACIONAL NUM 222                                                      </v>
      </c>
      <c r="F748" s="26" t="str">
        <f>"ANAHUAC I                                                                                                                                   "</f>
        <v xml:space="preserve">ANAHUAC I                                                                                                                                   </v>
      </c>
      <c r="G748" s="26" t="str">
        <f t="shared" si="119"/>
        <v xml:space="preserve">MIGUEL HIDALGO                                                                  </v>
      </c>
      <c r="H748" s="26" t="str">
        <f>"215"</f>
        <v>215</v>
      </c>
      <c r="I748" s="26" t="str">
        <f t="shared" si="115"/>
        <v>00</v>
      </c>
      <c r="J748" s="26" t="str">
        <f>"42 "</f>
        <v xml:space="preserve">42 </v>
      </c>
      <c r="K748" s="26" t="str">
        <f t="shared" si="111"/>
        <v>PR</v>
      </c>
      <c r="L748" s="26" t="str">
        <f t="shared" si="112"/>
        <v>DGOSE</v>
      </c>
      <c r="M748" s="26" t="str">
        <f t="shared" si="116"/>
        <v>FEDERAL</v>
      </c>
      <c r="N748" s="26">
        <v>152</v>
      </c>
      <c r="O748" s="26">
        <v>84</v>
      </c>
      <c r="P748" s="26">
        <v>68</v>
      </c>
      <c r="Q748" s="26">
        <v>11</v>
      </c>
      <c r="R748" s="26">
        <v>1</v>
      </c>
      <c r="S748" s="26">
        <v>9</v>
      </c>
      <c r="T748" s="26">
        <v>11</v>
      </c>
      <c r="U748" s="26">
        <v>21</v>
      </c>
      <c r="V748" s="26">
        <v>1</v>
      </c>
      <c r="W748" s="26"/>
    </row>
    <row r="749" spans="1:23" x14ac:dyDescent="0.25">
      <c r="A749" s="26" t="str">
        <f t="shared" si="114"/>
        <v>PRIMARIA</v>
      </c>
      <c r="B749" s="26" t="str">
        <f>"09DPR1720B"</f>
        <v>09DPR1720B</v>
      </c>
      <c r="C749" s="26" t="str">
        <f>"ESTADO DE GUERRERO                                                                                  "</f>
        <v xml:space="preserve">ESTADO DE GUERRERO                                                                                  </v>
      </c>
      <c r="D749" s="26" t="str">
        <f>"JORNADA AMPLIADA"</f>
        <v>JORNADA AMPLIADA</v>
      </c>
      <c r="E749" s="26" t="str">
        <f>"LAGOS ONTARIO Y WINNIPEG   S/N                                                  "</f>
        <v xml:space="preserve">LAGOS ONTARIO Y WINNIPEG   S/N                                                  </v>
      </c>
      <c r="F749" s="26" t="str">
        <f>"LEGARIA                                                                                                                                     "</f>
        <v xml:space="preserve">LEGARIA                                                                                                                                     </v>
      </c>
      <c r="G749" s="26" t="str">
        <f t="shared" si="119"/>
        <v xml:space="preserve">MIGUEL HIDALGO                                                                  </v>
      </c>
      <c r="H749" s="26" t="str">
        <f>"116"</f>
        <v>116</v>
      </c>
      <c r="I749" s="26" t="str">
        <f t="shared" si="115"/>
        <v>00</v>
      </c>
      <c r="J749" s="26" t="str">
        <f>"41 "</f>
        <v xml:space="preserve">41 </v>
      </c>
      <c r="K749" s="26" t="str">
        <f t="shared" ref="K749:K783" si="121">"PR"</f>
        <v>PR</v>
      </c>
      <c r="L749" s="26" t="str">
        <f t="shared" ref="L749:L783" si="122">"DGOSE"</f>
        <v>DGOSE</v>
      </c>
      <c r="M749" s="26" t="str">
        <f t="shared" si="116"/>
        <v>FEDERAL</v>
      </c>
      <c r="N749" s="26">
        <v>170</v>
      </c>
      <c r="O749" s="26">
        <v>87</v>
      </c>
      <c r="P749" s="26">
        <v>83</v>
      </c>
      <c r="Q749" s="26">
        <v>12</v>
      </c>
      <c r="R749" s="26">
        <v>1</v>
      </c>
      <c r="S749" s="26">
        <v>8</v>
      </c>
      <c r="T749" s="26">
        <v>6</v>
      </c>
      <c r="U749" s="26">
        <v>15</v>
      </c>
      <c r="V749" s="26">
        <v>1</v>
      </c>
      <c r="W749" s="26" t="s">
        <v>2076</v>
      </c>
    </row>
    <row r="750" spans="1:23" x14ac:dyDescent="0.25">
      <c r="A750" s="26" t="str">
        <f t="shared" si="114"/>
        <v>PRIMARIA</v>
      </c>
      <c r="B750" s="26" t="str">
        <f>"09DPR1721A"</f>
        <v>09DPR1721A</v>
      </c>
      <c r="C750" s="26" t="str">
        <f>"ESTADO DE HIDALGO                                                                                   "</f>
        <v xml:space="preserve">ESTADO DE HIDALGO                                                                                   </v>
      </c>
      <c r="D750" s="26" t="str">
        <f>"MATUTINO"</f>
        <v>MATUTINO</v>
      </c>
      <c r="E750" s="26" t="str">
        <f>"AV MARINA NACIONAL NUM 222                                                      "</f>
        <v xml:space="preserve">AV MARINA NACIONAL NUM 222                                                      </v>
      </c>
      <c r="F750" s="26" t="str">
        <f>"ANAHUAC I                                                                                                                                   "</f>
        <v xml:space="preserve">ANAHUAC I                                                                                                                                   </v>
      </c>
      <c r="G750" s="26" t="str">
        <f t="shared" si="119"/>
        <v xml:space="preserve">MIGUEL HIDALGO                                                                  </v>
      </c>
      <c r="H750" s="26" t="str">
        <f>"215"</f>
        <v>215</v>
      </c>
      <c r="I750" s="26" t="str">
        <f t="shared" si="115"/>
        <v>00</v>
      </c>
      <c r="J750" s="26" t="str">
        <f>"42 "</f>
        <v xml:space="preserve">42 </v>
      </c>
      <c r="K750" s="26" t="str">
        <f t="shared" si="121"/>
        <v>PR</v>
      </c>
      <c r="L750" s="26" t="str">
        <f t="shared" si="122"/>
        <v>DGOSE</v>
      </c>
      <c r="M750" s="26" t="str">
        <f t="shared" si="116"/>
        <v>FEDERAL</v>
      </c>
      <c r="N750" s="26">
        <v>844</v>
      </c>
      <c r="O750" s="26">
        <v>428</v>
      </c>
      <c r="P750" s="26">
        <v>416</v>
      </c>
      <c r="Q750" s="26">
        <v>32</v>
      </c>
      <c r="R750" s="26">
        <v>1</v>
      </c>
      <c r="S750" s="26">
        <v>31</v>
      </c>
      <c r="T750" s="26">
        <v>24</v>
      </c>
      <c r="U750" s="26">
        <v>56</v>
      </c>
      <c r="V750" s="26">
        <v>1</v>
      </c>
      <c r="W750" s="26"/>
    </row>
    <row r="751" spans="1:23" x14ac:dyDescent="0.25">
      <c r="A751" s="26" t="str">
        <f t="shared" si="114"/>
        <v>PRIMARIA</v>
      </c>
      <c r="B751" s="26" t="str">
        <f>"09DPR1725X"</f>
        <v>09DPR1725X</v>
      </c>
      <c r="C751" s="26" t="str">
        <f>"DR. MIGUEL SILVA                                                                                    "</f>
        <v xml:space="preserve">DR. MIGUEL SILVA                                                                                    </v>
      </c>
      <c r="D751" s="26" t="str">
        <f>"JORNADA AMPLIADA"</f>
        <v>JORNADA AMPLIADA</v>
      </c>
      <c r="E751" s="26" t="str">
        <f>"LAGO CANEGUIN NUM 29                                                            "</f>
        <v xml:space="preserve">LAGO CANEGUIN NUM 29                                                            </v>
      </c>
      <c r="F751" s="26" t="str">
        <f>"ARGENTINA ANTIGUA                                                                                                                           "</f>
        <v xml:space="preserve">ARGENTINA ANTIGUA                                                                                                                           </v>
      </c>
      <c r="G751" s="26" t="str">
        <f t="shared" si="119"/>
        <v xml:space="preserve">MIGUEL HIDALGO                                                                  </v>
      </c>
      <c r="H751" s="26" t="str">
        <f>"109"</f>
        <v>109</v>
      </c>
      <c r="I751" s="26" t="str">
        <f t="shared" si="115"/>
        <v>00</v>
      </c>
      <c r="J751" s="26" t="str">
        <f>"41 "</f>
        <v xml:space="preserve">41 </v>
      </c>
      <c r="K751" s="26" t="str">
        <f t="shared" si="121"/>
        <v>PR</v>
      </c>
      <c r="L751" s="26" t="str">
        <f t="shared" si="122"/>
        <v>DGOSE</v>
      </c>
      <c r="M751" s="26" t="str">
        <f t="shared" si="116"/>
        <v>FEDERAL</v>
      </c>
      <c r="N751" s="26">
        <v>294</v>
      </c>
      <c r="O751" s="26">
        <v>148</v>
      </c>
      <c r="P751" s="26">
        <v>146</v>
      </c>
      <c r="Q751" s="26">
        <v>12</v>
      </c>
      <c r="R751" s="26">
        <v>1</v>
      </c>
      <c r="S751" s="26">
        <v>12</v>
      </c>
      <c r="T751" s="26">
        <v>11</v>
      </c>
      <c r="U751" s="26">
        <v>24</v>
      </c>
      <c r="V751" s="26">
        <v>1</v>
      </c>
      <c r="W751" s="26" t="s">
        <v>2076</v>
      </c>
    </row>
    <row r="752" spans="1:23" x14ac:dyDescent="0.25">
      <c r="A752" s="26" t="str">
        <f t="shared" si="114"/>
        <v>PRIMARIA</v>
      </c>
      <c r="B752" s="26" t="str">
        <f>"09DPR1726W"</f>
        <v>09DPR1726W</v>
      </c>
      <c r="C752" s="26" t="str">
        <f>"DAVID G. BERLANGA                                                                                   "</f>
        <v xml:space="preserve">DAVID G. BERLANGA                                                                                   </v>
      </c>
      <c r="D752" s="26" t="str">
        <f>"JORNADA AMPLIADA"</f>
        <v>JORNADA AMPLIADA</v>
      </c>
      <c r="E752" s="26" t="str">
        <f>"MELCHOR OCAMPO NUM 91                                                           "</f>
        <v xml:space="preserve">MELCHOR OCAMPO NUM 91                                                           </v>
      </c>
      <c r="F752" s="26" t="str">
        <f>"TLAXPANA                                                                                                                                    "</f>
        <v xml:space="preserve">TLAXPANA                                                                                                                                    </v>
      </c>
      <c r="G752" s="26" t="str">
        <f t="shared" si="119"/>
        <v xml:space="preserve">MIGUEL HIDALGO                                                                  </v>
      </c>
      <c r="H752" s="26" t="str">
        <f>"117"</f>
        <v>117</v>
      </c>
      <c r="I752" s="26" t="str">
        <f t="shared" si="115"/>
        <v>00</v>
      </c>
      <c r="J752" s="26" t="str">
        <f>"41 "</f>
        <v xml:space="preserve">41 </v>
      </c>
      <c r="K752" s="26" t="str">
        <f t="shared" si="121"/>
        <v>PR</v>
      </c>
      <c r="L752" s="26" t="str">
        <f t="shared" si="122"/>
        <v>DGOSE</v>
      </c>
      <c r="M752" s="26" t="str">
        <f t="shared" si="116"/>
        <v>FEDERAL</v>
      </c>
      <c r="N752" s="26">
        <v>633</v>
      </c>
      <c r="O752" s="26">
        <v>294</v>
      </c>
      <c r="P752" s="26">
        <v>339</v>
      </c>
      <c r="Q752" s="26">
        <v>20</v>
      </c>
      <c r="R752" s="26">
        <v>1</v>
      </c>
      <c r="S752" s="26">
        <v>20</v>
      </c>
      <c r="T752" s="26">
        <v>19</v>
      </c>
      <c r="U752" s="26">
        <v>40</v>
      </c>
      <c r="V752" s="26">
        <v>1</v>
      </c>
      <c r="W752" s="26" t="s">
        <v>2076</v>
      </c>
    </row>
    <row r="753" spans="1:23" x14ac:dyDescent="0.25">
      <c r="A753" s="26" t="str">
        <f t="shared" si="114"/>
        <v>PRIMARIA</v>
      </c>
      <c r="B753" s="26" t="str">
        <f>"09DPR1727V"</f>
        <v>09DPR1727V</v>
      </c>
      <c r="C753" s="26" t="str">
        <f>"JOSE DE JESUS IBARRA Y ROBLES                                                                       "</f>
        <v xml:space="preserve">JOSE DE JESUS IBARRA Y ROBLES                                                                       </v>
      </c>
      <c r="D753" s="26" t="str">
        <f>"VESPERTINO"</f>
        <v>VESPERTINO</v>
      </c>
      <c r="E753" s="26" t="str">
        <f>"POLVORA Y AVENIDA AUSTRIACOS                                                    "</f>
        <v xml:space="preserve">POLVORA Y AVENIDA AUSTRIACOS                                                    </v>
      </c>
      <c r="F753" s="26" t="str">
        <f>"EL PARAISO                                                                                                                                  "</f>
        <v xml:space="preserve">EL PARAISO                                                                                                                                  </v>
      </c>
      <c r="G753" s="26" t="str">
        <f>"ALVARO OBREGON                                                                  "</f>
        <v xml:space="preserve">ALVARO OBREGON                                                                  </v>
      </c>
      <c r="H753" s="26" t="str">
        <f>"310"</f>
        <v>310</v>
      </c>
      <c r="I753" s="26" t="str">
        <f t="shared" si="115"/>
        <v>00</v>
      </c>
      <c r="J753" s="26" t="str">
        <f>"43 "</f>
        <v xml:space="preserve">43 </v>
      </c>
      <c r="K753" s="26" t="str">
        <f t="shared" si="121"/>
        <v>PR</v>
      </c>
      <c r="L753" s="26" t="str">
        <f t="shared" si="122"/>
        <v>DGOSE</v>
      </c>
      <c r="M753" s="26" t="str">
        <f t="shared" si="116"/>
        <v>FEDERAL</v>
      </c>
      <c r="N753" s="26">
        <v>124</v>
      </c>
      <c r="O753" s="26">
        <v>77</v>
      </c>
      <c r="P753" s="26">
        <v>47</v>
      </c>
      <c r="Q753" s="26">
        <v>6</v>
      </c>
      <c r="R753" s="26">
        <v>1</v>
      </c>
      <c r="S753" s="26">
        <v>6</v>
      </c>
      <c r="T753" s="26">
        <v>4</v>
      </c>
      <c r="U753" s="26">
        <v>11</v>
      </c>
      <c r="V753" s="26">
        <v>1</v>
      </c>
      <c r="W753" s="26"/>
    </row>
    <row r="754" spans="1:23" x14ac:dyDescent="0.25">
      <c r="A754" s="26" t="str">
        <f t="shared" si="114"/>
        <v>PRIMARIA</v>
      </c>
      <c r="B754" s="26" t="str">
        <f>"09DPR1729T"</f>
        <v>09DPR1729T</v>
      </c>
      <c r="C754" s="26" t="str">
        <f>"CENTRO ESCOLAR MEXICO                                                                               "</f>
        <v xml:space="preserve">CENTRO ESCOLAR MEXICO                                                                               </v>
      </c>
      <c r="D754" s="26" t="str">
        <f>"VESPERTINO"</f>
        <v>VESPERTINO</v>
      </c>
      <c r="E754" s="26" t="str">
        <f>"DANIEL CABRERA NUM 21                                                           "</f>
        <v xml:space="preserve">DANIEL CABRERA NUM 21                                                           </v>
      </c>
      <c r="F754" s="26" t="str">
        <f>"PENSIL                                                                                                                                      "</f>
        <v xml:space="preserve">PENSIL                                                                                                                                      </v>
      </c>
      <c r="G754" s="26" t="str">
        <f t="shared" ref="G754:G762" si="123">"MIGUEL HIDALGO                                                                  "</f>
        <v xml:space="preserve">MIGUEL HIDALGO                                                                  </v>
      </c>
      <c r="H754" s="26" t="str">
        <f>"214"</f>
        <v>214</v>
      </c>
      <c r="I754" s="26" t="str">
        <f t="shared" si="115"/>
        <v>00</v>
      </c>
      <c r="J754" s="26" t="str">
        <f>"42 "</f>
        <v xml:space="preserve">42 </v>
      </c>
      <c r="K754" s="26" t="str">
        <f t="shared" si="121"/>
        <v>PR</v>
      </c>
      <c r="L754" s="26" t="str">
        <f t="shared" si="122"/>
        <v>DGOSE</v>
      </c>
      <c r="M754" s="26" t="str">
        <f t="shared" si="116"/>
        <v>FEDERAL</v>
      </c>
      <c r="N754" s="26">
        <v>108</v>
      </c>
      <c r="O754" s="26">
        <v>67</v>
      </c>
      <c r="P754" s="26">
        <v>41</v>
      </c>
      <c r="Q754" s="26">
        <v>6</v>
      </c>
      <c r="R754" s="26">
        <v>1</v>
      </c>
      <c r="S754" s="26">
        <v>6</v>
      </c>
      <c r="T754" s="26">
        <v>8</v>
      </c>
      <c r="U754" s="26">
        <v>15</v>
      </c>
      <c r="V754" s="26">
        <v>1</v>
      </c>
      <c r="W754" s="26"/>
    </row>
    <row r="755" spans="1:23" x14ac:dyDescent="0.25">
      <c r="A755" s="26" t="str">
        <f t="shared" si="114"/>
        <v>PRIMARIA</v>
      </c>
      <c r="B755" s="26" t="str">
        <f>"09DPR1730I"</f>
        <v>09DPR1730I</v>
      </c>
      <c r="C755" s="26" t="str">
        <f>"CENTRO ESCOLAR MEXICO                                                                               "</f>
        <v xml:space="preserve">CENTRO ESCOLAR MEXICO                                                                               </v>
      </c>
      <c r="D755" s="26" t="str">
        <f>"MATUTINO"</f>
        <v>MATUTINO</v>
      </c>
      <c r="E755" s="26" t="str">
        <f>"DANIEL CABRERA NUM 21                                                           "</f>
        <v xml:space="preserve">DANIEL CABRERA NUM 21                                                           </v>
      </c>
      <c r="F755" s="26" t="str">
        <f>"PENSIL                                                                                                                                      "</f>
        <v xml:space="preserve">PENSIL                                                                                                                                      </v>
      </c>
      <c r="G755" s="26" t="str">
        <f t="shared" si="123"/>
        <v xml:space="preserve">MIGUEL HIDALGO                                                                  </v>
      </c>
      <c r="H755" s="26" t="str">
        <f>"214"</f>
        <v>214</v>
      </c>
      <c r="I755" s="26" t="str">
        <f t="shared" si="115"/>
        <v>00</v>
      </c>
      <c r="J755" s="26" t="str">
        <f>"42 "</f>
        <v xml:space="preserve">42 </v>
      </c>
      <c r="K755" s="26" t="str">
        <f t="shared" si="121"/>
        <v>PR</v>
      </c>
      <c r="L755" s="26" t="str">
        <f t="shared" si="122"/>
        <v>DGOSE</v>
      </c>
      <c r="M755" s="26" t="str">
        <f t="shared" si="116"/>
        <v>FEDERAL</v>
      </c>
      <c r="N755" s="26">
        <v>237</v>
      </c>
      <c r="O755" s="26">
        <v>121</v>
      </c>
      <c r="P755" s="26">
        <v>116</v>
      </c>
      <c r="Q755" s="26">
        <v>11</v>
      </c>
      <c r="R755" s="26">
        <v>1</v>
      </c>
      <c r="S755" s="26">
        <v>10</v>
      </c>
      <c r="T755" s="26">
        <v>7</v>
      </c>
      <c r="U755" s="26">
        <v>18</v>
      </c>
      <c r="V755" s="26">
        <v>1</v>
      </c>
      <c r="W755" s="26"/>
    </row>
    <row r="756" spans="1:23" x14ac:dyDescent="0.25">
      <c r="A756" s="26" t="str">
        <f t="shared" si="114"/>
        <v>PRIMARIA</v>
      </c>
      <c r="B756" s="26" t="str">
        <f>"09DPR1732G"</f>
        <v>09DPR1732G</v>
      </c>
      <c r="C756" s="26" t="str">
        <f>"CENTRO ESCOLAR MEXICO                                                                               "</f>
        <v xml:space="preserve">CENTRO ESCOLAR MEXICO                                                                               </v>
      </c>
      <c r="D756" s="26" t="str">
        <f>"TIEMPO COMPLETO"</f>
        <v>TIEMPO COMPLETO</v>
      </c>
      <c r="E756" s="26" t="str">
        <f>"LAGOS ERNE Y TRASIMENO S/N                                                      "</f>
        <v xml:space="preserve">LAGOS ERNE Y TRASIMENO S/N                                                      </v>
      </c>
      <c r="F756" s="26" t="str">
        <f>"PENSIL                                                                                                                                      "</f>
        <v xml:space="preserve">PENSIL                                                                                                                                      </v>
      </c>
      <c r="G756" s="26" t="str">
        <f t="shared" si="123"/>
        <v xml:space="preserve">MIGUEL HIDALGO                                                                  </v>
      </c>
      <c r="H756" s="26" t="str">
        <f>"113"</f>
        <v>113</v>
      </c>
      <c r="I756" s="26" t="str">
        <f t="shared" si="115"/>
        <v>00</v>
      </c>
      <c r="J756" s="26" t="str">
        <f>"41 "</f>
        <v xml:space="preserve">41 </v>
      </c>
      <c r="K756" s="26" t="str">
        <f t="shared" si="121"/>
        <v>PR</v>
      </c>
      <c r="L756" s="26" t="str">
        <f t="shared" si="122"/>
        <v>DGOSE</v>
      </c>
      <c r="M756" s="26" t="str">
        <f t="shared" si="116"/>
        <v>FEDERAL</v>
      </c>
      <c r="N756" s="26">
        <v>236</v>
      </c>
      <c r="O756" s="26">
        <v>129</v>
      </c>
      <c r="P756" s="26">
        <v>107</v>
      </c>
      <c r="Q756" s="26">
        <v>10</v>
      </c>
      <c r="R756" s="26">
        <v>1</v>
      </c>
      <c r="S756" s="26">
        <v>10</v>
      </c>
      <c r="T756" s="26">
        <v>15</v>
      </c>
      <c r="U756" s="26">
        <v>26</v>
      </c>
      <c r="V756" s="26">
        <v>1</v>
      </c>
      <c r="W756" s="26" t="s">
        <v>218</v>
      </c>
    </row>
    <row r="757" spans="1:23" x14ac:dyDescent="0.25">
      <c r="A757" s="26" t="str">
        <f t="shared" si="114"/>
        <v>PRIMARIA</v>
      </c>
      <c r="B757" s="26" t="str">
        <f>"09DPR1733F"</f>
        <v>09DPR1733F</v>
      </c>
      <c r="C757" s="26" t="str">
        <f>"CENTRO ESCOLAR MEXICO                                                                               "</f>
        <v xml:space="preserve">CENTRO ESCOLAR MEXICO                                                                               </v>
      </c>
      <c r="D757" s="26" t="str">
        <f>"JORNADA AMPLIADA"</f>
        <v>JORNADA AMPLIADA</v>
      </c>
      <c r="E757" s="26" t="str">
        <f>"LAGOS ERNE Y TRASIMENO S/N                                                      "</f>
        <v xml:space="preserve">LAGOS ERNE Y TRASIMENO S/N                                                      </v>
      </c>
      <c r="F757" s="26" t="str">
        <f>"PENSIL                                                                                                                                      "</f>
        <v xml:space="preserve">PENSIL                                                                                                                                      </v>
      </c>
      <c r="G757" s="26" t="str">
        <f t="shared" si="123"/>
        <v xml:space="preserve">MIGUEL HIDALGO                                                                  </v>
      </c>
      <c r="H757" s="26" t="str">
        <f>"113"</f>
        <v>113</v>
      </c>
      <c r="I757" s="26" t="str">
        <f t="shared" si="115"/>
        <v>00</v>
      </c>
      <c r="J757" s="26" t="str">
        <f>"41 "</f>
        <v xml:space="preserve">41 </v>
      </c>
      <c r="K757" s="26" t="str">
        <f t="shared" si="121"/>
        <v>PR</v>
      </c>
      <c r="L757" s="26" t="str">
        <f t="shared" si="122"/>
        <v>DGOSE</v>
      </c>
      <c r="M757" s="26" t="str">
        <f t="shared" si="116"/>
        <v>FEDERAL</v>
      </c>
      <c r="N757" s="26">
        <v>494</v>
      </c>
      <c r="O757" s="26">
        <v>247</v>
      </c>
      <c r="P757" s="26">
        <v>247</v>
      </c>
      <c r="Q757" s="26">
        <v>18</v>
      </c>
      <c r="R757" s="26">
        <v>1</v>
      </c>
      <c r="S757" s="26">
        <v>18</v>
      </c>
      <c r="T757" s="26">
        <v>11</v>
      </c>
      <c r="U757" s="26">
        <v>30</v>
      </c>
      <c r="V757" s="26">
        <v>1</v>
      </c>
      <c r="W757" s="26" t="s">
        <v>2076</v>
      </c>
    </row>
    <row r="758" spans="1:23" x14ac:dyDescent="0.25">
      <c r="A758" s="26" t="str">
        <f t="shared" si="114"/>
        <v>PRIMARIA</v>
      </c>
      <c r="B758" s="26" t="str">
        <f>"09DPR1734E"</f>
        <v>09DPR1734E</v>
      </c>
      <c r="C758" s="26" t="str">
        <f>"ANTONIO CASO                                                                                        "</f>
        <v xml:space="preserve">ANTONIO CASO                                                                                        </v>
      </c>
      <c r="D758" s="26" t="str">
        <f>"JORNADA AMPLIADA"</f>
        <v>JORNADA AMPLIADA</v>
      </c>
      <c r="E758" s="26" t="str">
        <f>"LAGO SAN JOSE NO 16 BIS                                                         "</f>
        <v xml:space="preserve">LAGO SAN JOSE NO 16 BIS                                                         </v>
      </c>
      <c r="F758" s="26" t="str">
        <f>"GRANADA AMPLIACION                                                                                                                          "</f>
        <v xml:space="preserve">GRANADA AMPLIACION                                                                                                                          </v>
      </c>
      <c r="G758" s="26" t="str">
        <f t="shared" si="123"/>
        <v xml:space="preserve">MIGUEL HIDALGO                                                                  </v>
      </c>
      <c r="H758" s="26" t="str">
        <f>"116"</f>
        <v>116</v>
      </c>
      <c r="I758" s="26" t="str">
        <f t="shared" si="115"/>
        <v>00</v>
      </c>
      <c r="J758" s="26" t="str">
        <f>"41 "</f>
        <v xml:space="preserve">41 </v>
      </c>
      <c r="K758" s="26" t="str">
        <f t="shared" si="121"/>
        <v>PR</v>
      </c>
      <c r="L758" s="26" t="str">
        <f t="shared" si="122"/>
        <v>DGOSE</v>
      </c>
      <c r="M758" s="26" t="str">
        <f t="shared" si="116"/>
        <v>FEDERAL</v>
      </c>
      <c r="N758" s="26">
        <v>140</v>
      </c>
      <c r="O758" s="26">
        <v>78</v>
      </c>
      <c r="P758" s="26">
        <v>62</v>
      </c>
      <c r="Q758" s="26">
        <v>6</v>
      </c>
      <c r="R758" s="26">
        <v>1</v>
      </c>
      <c r="S758" s="26">
        <v>6</v>
      </c>
      <c r="T758" s="26">
        <v>7</v>
      </c>
      <c r="U758" s="26">
        <v>14</v>
      </c>
      <c r="V758" s="26">
        <v>1</v>
      </c>
      <c r="W758" s="26" t="s">
        <v>2076</v>
      </c>
    </row>
    <row r="759" spans="1:23" x14ac:dyDescent="0.25">
      <c r="A759" s="26" t="str">
        <f t="shared" si="114"/>
        <v>PRIMARIA</v>
      </c>
      <c r="B759" s="26" t="str">
        <f>"09DPR1735D"</f>
        <v>09DPR1735D</v>
      </c>
      <c r="C759" s="26" t="str">
        <f>"GENERAL ANDRES FIGUEROA                                                                             "</f>
        <v xml:space="preserve">GENERAL ANDRES FIGUEROA                                                                             </v>
      </c>
      <c r="D759" s="26" t="str">
        <f>"MATUTINO"</f>
        <v>MATUTINO</v>
      </c>
      <c r="E759" s="26" t="str">
        <f>"LAGO WINNIPEG NUM 75                                                            "</f>
        <v xml:space="preserve">LAGO WINNIPEG NUM 75                                                            </v>
      </c>
      <c r="F759" s="26" t="str">
        <f>"LEGARIA                                                                                                                                     "</f>
        <v xml:space="preserve">LEGARIA                                                                                                                                     </v>
      </c>
      <c r="G759" s="26" t="str">
        <f t="shared" si="123"/>
        <v xml:space="preserve">MIGUEL HIDALGO                                                                  </v>
      </c>
      <c r="H759" s="26" t="str">
        <f>"213"</f>
        <v>213</v>
      </c>
      <c r="I759" s="26" t="str">
        <f t="shared" si="115"/>
        <v>00</v>
      </c>
      <c r="J759" s="26" t="str">
        <f>"42 "</f>
        <v xml:space="preserve">42 </v>
      </c>
      <c r="K759" s="26" t="str">
        <f t="shared" si="121"/>
        <v>PR</v>
      </c>
      <c r="L759" s="26" t="str">
        <f t="shared" si="122"/>
        <v>DGOSE</v>
      </c>
      <c r="M759" s="26" t="str">
        <f t="shared" si="116"/>
        <v>FEDERAL</v>
      </c>
      <c r="N759" s="26">
        <v>183</v>
      </c>
      <c r="O759" s="26">
        <v>111</v>
      </c>
      <c r="P759" s="26">
        <v>72</v>
      </c>
      <c r="Q759" s="26">
        <v>8</v>
      </c>
      <c r="R759" s="26">
        <v>1</v>
      </c>
      <c r="S759" s="26">
        <v>7</v>
      </c>
      <c r="T759" s="26">
        <v>6</v>
      </c>
      <c r="U759" s="26">
        <v>14</v>
      </c>
      <c r="V759" s="26">
        <v>1</v>
      </c>
      <c r="W759" s="26"/>
    </row>
    <row r="760" spans="1:23" x14ac:dyDescent="0.25">
      <c r="A760" s="26" t="str">
        <f t="shared" si="114"/>
        <v>PRIMARIA</v>
      </c>
      <c r="B760" s="26" t="str">
        <f>"09DPR1736C"</f>
        <v>09DPR1736C</v>
      </c>
      <c r="C760" s="26" t="str">
        <f>"GENERAL ANDRES FIGUEROA                                                                             "</f>
        <v xml:space="preserve">GENERAL ANDRES FIGUEROA                                                                             </v>
      </c>
      <c r="D760" s="26" t="str">
        <f>"VESPERTINO"</f>
        <v>VESPERTINO</v>
      </c>
      <c r="E760" s="26" t="str">
        <f>"LAGO WINNIPEG NO 75                                                             "</f>
        <v xml:space="preserve">LAGO WINNIPEG NO 75                                                             </v>
      </c>
      <c r="F760" s="26" t="str">
        <f>"LEGARIA                                                                                                                                     "</f>
        <v xml:space="preserve">LEGARIA                                                                                                                                     </v>
      </c>
      <c r="G760" s="26" t="str">
        <f t="shared" si="123"/>
        <v xml:space="preserve">MIGUEL HIDALGO                                                                  </v>
      </c>
      <c r="H760" s="26" t="str">
        <f>"213"</f>
        <v>213</v>
      </c>
      <c r="I760" s="26" t="str">
        <f t="shared" si="115"/>
        <v>00</v>
      </c>
      <c r="J760" s="26" t="str">
        <f>"42 "</f>
        <v xml:space="preserve">42 </v>
      </c>
      <c r="K760" s="26" t="str">
        <f t="shared" si="121"/>
        <v>PR</v>
      </c>
      <c r="L760" s="26" t="str">
        <f t="shared" si="122"/>
        <v>DGOSE</v>
      </c>
      <c r="M760" s="26" t="str">
        <f t="shared" si="116"/>
        <v>FEDERAL</v>
      </c>
      <c r="N760" s="26">
        <v>71</v>
      </c>
      <c r="O760" s="26">
        <v>30</v>
      </c>
      <c r="P760" s="26">
        <v>41</v>
      </c>
      <c r="Q760" s="26">
        <v>5</v>
      </c>
      <c r="R760" s="26">
        <v>1</v>
      </c>
      <c r="S760" s="26">
        <v>5</v>
      </c>
      <c r="T760" s="26">
        <v>6</v>
      </c>
      <c r="U760" s="26">
        <v>12</v>
      </c>
      <c r="V760" s="26">
        <v>1</v>
      </c>
      <c r="W760" s="26"/>
    </row>
    <row r="761" spans="1:23" x14ac:dyDescent="0.25">
      <c r="A761" s="26" t="str">
        <f t="shared" si="114"/>
        <v>PRIMARIA</v>
      </c>
      <c r="B761" s="26" t="str">
        <f>"09DPR1737B"</f>
        <v>09DPR1737B</v>
      </c>
      <c r="C761" s="26" t="str">
        <f>"ADOLFO CIENFUEGOS Y CAMUS                                                                           "</f>
        <v xml:space="preserve">ADOLFO CIENFUEGOS Y CAMUS                                                                           </v>
      </c>
      <c r="D761" s="26" t="str">
        <f>"JORNADA AMPLIADA"</f>
        <v>JORNADA AMPLIADA</v>
      </c>
      <c r="E761" s="26" t="str">
        <f>"GOLFO DE CALIFORNIA NUM 14                                                      "</f>
        <v xml:space="preserve">GOLFO DE CALIFORNIA NUM 14                                                      </v>
      </c>
      <c r="F761" s="26" t="str">
        <f>"TACUBA                                                                                                                                      "</f>
        <v xml:space="preserve">TACUBA                                                                                                                                      </v>
      </c>
      <c r="G761" s="26" t="str">
        <f t="shared" si="123"/>
        <v xml:space="preserve">MIGUEL HIDALGO                                                                  </v>
      </c>
      <c r="H761" s="26" t="str">
        <f>"114"</f>
        <v>114</v>
      </c>
      <c r="I761" s="26" t="str">
        <f t="shared" si="115"/>
        <v>00</v>
      </c>
      <c r="J761" s="26" t="str">
        <f>"41 "</f>
        <v xml:space="preserve">41 </v>
      </c>
      <c r="K761" s="26" t="str">
        <f t="shared" si="121"/>
        <v>PR</v>
      </c>
      <c r="L761" s="26" t="str">
        <f t="shared" si="122"/>
        <v>DGOSE</v>
      </c>
      <c r="M761" s="26" t="str">
        <f t="shared" si="116"/>
        <v>FEDERAL</v>
      </c>
      <c r="N761" s="26">
        <v>148</v>
      </c>
      <c r="O761" s="26">
        <v>67</v>
      </c>
      <c r="P761" s="26">
        <v>81</v>
      </c>
      <c r="Q761" s="26">
        <v>6</v>
      </c>
      <c r="R761" s="26">
        <v>1</v>
      </c>
      <c r="S761" s="26">
        <v>6</v>
      </c>
      <c r="T761" s="26">
        <v>6</v>
      </c>
      <c r="U761" s="26">
        <v>13</v>
      </c>
      <c r="V761" s="26">
        <v>1</v>
      </c>
      <c r="W761" s="26" t="s">
        <v>2076</v>
      </c>
    </row>
    <row r="762" spans="1:23" x14ac:dyDescent="0.25">
      <c r="A762" s="26" t="str">
        <f t="shared" si="114"/>
        <v>PRIMARIA</v>
      </c>
      <c r="B762" s="26" t="str">
        <f>"09DPR1740P"</f>
        <v>09DPR1740P</v>
      </c>
      <c r="C762" s="26" t="str">
        <f>"PROFR. ADELAIDO RIOS Y MONTES DE OCA                                                                "</f>
        <v xml:space="preserve">PROFR. ADELAIDO RIOS Y MONTES DE OCA                                                                </v>
      </c>
      <c r="D762" s="26" t="str">
        <f>"JORNADA AMPLIADA"</f>
        <v>JORNADA AMPLIADA</v>
      </c>
      <c r="E762" s="26" t="str">
        <f>"QUETZALCOATL NUM 86                                                             "</f>
        <v xml:space="preserve">QUETZALCOATL NUM 86                                                             </v>
      </c>
      <c r="F762" s="26" t="str">
        <f>"TLAXPANA                                                                                                                                    "</f>
        <v xml:space="preserve">TLAXPANA                                                                                                                                    </v>
      </c>
      <c r="G762" s="26" t="str">
        <f t="shared" si="123"/>
        <v xml:space="preserve">MIGUEL HIDALGO                                                                  </v>
      </c>
      <c r="H762" s="26" t="str">
        <f>"117"</f>
        <v>117</v>
      </c>
      <c r="I762" s="26" t="str">
        <f t="shared" si="115"/>
        <v>00</v>
      </c>
      <c r="J762" s="26" t="str">
        <f>"41 "</f>
        <v xml:space="preserve">41 </v>
      </c>
      <c r="K762" s="26" t="str">
        <f t="shared" si="121"/>
        <v>PR</v>
      </c>
      <c r="L762" s="26" t="str">
        <f t="shared" si="122"/>
        <v>DGOSE</v>
      </c>
      <c r="M762" s="26" t="str">
        <f t="shared" si="116"/>
        <v>FEDERAL</v>
      </c>
      <c r="N762" s="26">
        <v>373</v>
      </c>
      <c r="O762" s="26">
        <v>189</v>
      </c>
      <c r="P762" s="26">
        <v>184</v>
      </c>
      <c r="Q762" s="26">
        <v>12</v>
      </c>
      <c r="R762" s="26">
        <v>1</v>
      </c>
      <c r="S762" s="26">
        <v>12</v>
      </c>
      <c r="T762" s="26">
        <v>11</v>
      </c>
      <c r="U762" s="26">
        <v>24</v>
      </c>
      <c r="V762" s="26">
        <v>1</v>
      </c>
      <c r="W762" s="26" t="s">
        <v>2076</v>
      </c>
    </row>
    <row r="763" spans="1:23" x14ac:dyDescent="0.25">
      <c r="A763" s="26" t="str">
        <f t="shared" si="114"/>
        <v>PRIMARIA</v>
      </c>
      <c r="B763" s="26" t="str">
        <f>"09DPR1741O"</f>
        <v>09DPR1741O</v>
      </c>
      <c r="C763" s="26" t="str">
        <f>"ASOCIACION DE FERRETEROS DE MEXICO                                                                  "</f>
        <v xml:space="preserve">ASOCIACION DE FERRETEROS DE MEXICO                                                                  </v>
      </c>
      <c r="D763" s="26" t="str">
        <f>"MATUTINO"</f>
        <v>MATUTINO</v>
      </c>
      <c r="E763" s="26" t="str">
        <f>"CALLE DE LOS POSTES S N                                                         "</f>
        <v xml:space="preserve">CALLE DE LOS POSTES S N                                                         </v>
      </c>
      <c r="F763" s="26" t="str">
        <f>"JOSE MARIA PINO SUAREZ                                                                                                                      "</f>
        <v xml:space="preserve">JOSE MARIA PINO SUAREZ                                                                                                                      </v>
      </c>
      <c r="G763" s="26" t="str">
        <f>"ALVARO OBREGON                                                                  "</f>
        <v xml:space="preserve">ALVARO OBREGON                                                                  </v>
      </c>
      <c r="H763" s="26" t="str">
        <f>"307"</f>
        <v>307</v>
      </c>
      <c r="I763" s="26" t="str">
        <f t="shared" si="115"/>
        <v>00</v>
      </c>
      <c r="J763" s="26" t="str">
        <f>"43 "</f>
        <v xml:space="preserve">43 </v>
      </c>
      <c r="K763" s="26" t="str">
        <f t="shared" si="121"/>
        <v>PR</v>
      </c>
      <c r="L763" s="26" t="str">
        <f t="shared" si="122"/>
        <v>DGOSE</v>
      </c>
      <c r="M763" s="26" t="str">
        <f t="shared" si="116"/>
        <v>FEDERAL</v>
      </c>
      <c r="N763" s="26">
        <v>165</v>
      </c>
      <c r="O763" s="26">
        <v>84</v>
      </c>
      <c r="P763" s="26">
        <v>81</v>
      </c>
      <c r="Q763" s="26">
        <v>6</v>
      </c>
      <c r="R763" s="26">
        <v>1</v>
      </c>
      <c r="S763" s="26">
        <v>6</v>
      </c>
      <c r="T763" s="26">
        <v>4</v>
      </c>
      <c r="U763" s="26">
        <v>11</v>
      </c>
      <c r="V763" s="26">
        <v>1</v>
      </c>
      <c r="W763" s="26"/>
    </row>
    <row r="764" spans="1:23" x14ac:dyDescent="0.25">
      <c r="A764" s="26" t="str">
        <f t="shared" si="114"/>
        <v>PRIMARIA</v>
      </c>
      <c r="B764" s="26" t="str">
        <f>"09DPR1748H"</f>
        <v>09DPR1748H</v>
      </c>
      <c r="C764" s="26" t="str">
        <f>"AQUILES SERDAN                                                                                      "</f>
        <v xml:space="preserve">AQUILES SERDAN                                                                                      </v>
      </c>
      <c r="D764" s="26" t="str">
        <f>"JORNADA AMPLIADA"</f>
        <v>JORNADA AMPLIADA</v>
      </c>
      <c r="E764" s="26" t="str">
        <f>"CALZ PANTEON CIVIL 18                                                           "</f>
        <v xml:space="preserve">CALZ PANTEON CIVIL 18                                                           </v>
      </c>
      <c r="F764" s="26" t="str">
        <f>"AMERICA                                                                                                                                     "</f>
        <v xml:space="preserve">AMERICA                                                                                                                                     </v>
      </c>
      <c r="G764" s="26" t="str">
        <f>"MIGUEL HIDALGO                                                                  "</f>
        <v xml:space="preserve">MIGUEL HIDALGO                                                                  </v>
      </c>
      <c r="H764" s="26" t="str">
        <f>"110"</f>
        <v>110</v>
      </c>
      <c r="I764" s="26" t="str">
        <f t="shared" si="115"/>
        <v>00</v>
      </c>
      <c r="J764" s="26" t="str">
        <f>"41 "</f>
        <v xml:space="preserve">41 </v>
      </c>
      <c r="K764" s="26" t="str">
        <f t="shared" si="121"/>
        <v>PR</v>
      </c>
      <c r="L764" s="26" t="str">
        <f t="shared" si="122"/>
        <v>DGOSE</v>
      </c>
      <c r="M764" s="26" t="str">
        <f t="shared" si="116"/>
        <v>FEDERAL</v>
      </c>
      <c r="N764" s="26">
        <v>370</v>
      </c>
      <c r="O764" s="26">
        <v>183</v>
      </c>
      <c r="P764" s="26">
        <v>187</v>
      </c>
      <c r="Q764" s="26">
        <v>14</v>
      </c>
      <c r="R764" s="26">
        <v>1</v>
      </c>
      <c r="S764" s="26">
        <v>14</v>
      </c>
      <c r="T764" s="26">
        <v>10</v>
      </c>
      <c r="U764" s="26">
        <v>25</v>
      </c>
      <c r="V764" s="26">
        <v>1</v>
      </c>
      <c r="W764" s="26" t="s">
        <v>2076</v>
      </c>
    </row>
    <row r="765" spans="1:23" x14ac:dyDescent="0.25">
      <c r="A765" s="26" t="str">
        <f t="shared" si="114"/>
        <v>PRIMARIA</v>
      </c>
      <c r="B765" s="26" t="str">
        <f>"09DPR1750W"</f>
        <v>09DPR1750W</v>
      </c>
      <c r="C765" s="26" t="str">
        <f>"GENERAL ANTONIO ROSALES                                                                             "</f>
        <v xml:space="preserve">GENERAL ANTONIO ROSALES                                                                             </v>
      </c>
      <c r="D765" s="26" t="str">
        <f>"JORNADA AMPLIADA"</f>
        <v>JORNADA AMPLIADA</v>
      </c>
      <c r="E765" s="26" t="str">
        <f>"AV VASCO DE QUIROGA NUM 1890                                                    "</f>
        <v xml:space="preserve">AV VASCO DE QUIROGA NUM 1890                                                    </v>
      </c>
      <c r="F765" s="26" t="str">
        <f>"SANTA FE                                                                                                                                    "</f>
        <v xml:space="preserve">SANTA FE                                                                                                                                    </v>
      </c>
      <c r="G765" s="26" t="str">
        <f>"ALVARO OBREGON                                                                  "</f>
        <v xml:space="preserve">ALVARO OBREGON                                                                  </v>
      </c>
      <c r="H765" s="26" t="str">
        <f>"401"</f>
        <v>401</v>
      </c>
      <c r="I765" s="26" t="str">
        <f t="shared" si="115"/>
        <v>00</v>
      </c>
      <c r="J765" s="26" t="str">
        <f>"44 "</f>
        <v xml:space="preserve">44 </v>
      </c>
      <c r="K765" s="26" t="str">
        <f t="shared" si="121"/>
        <v>PR</v>
      </c>
      <c r="L765" s="26" t="str">
        <f t="shared" si="122"/>
        <v>DGOSE</v>
      </c>
      <c r="M765" s="26" t="str">
        <f t="shared" si="116"/>
        <v>FEDERAL</v>
      </c>
      <c r="N765" s="26">
        <v>388</v>
      </c>
      <c r="O765" s="26">
        <v>203</v>
      </c>
      <c r="P765" s="26">
        <v>185</v>
      </c>
      <c r="Q765" s="26">
        <v>12</v>
      </c>
      <c r="R765" s="26">
        <v>1</v>
      </c>
      <c r="S765" s="26">
        <v>12</v>
      </c>
      <c r="T765" s="26">
        <v>9</v>
      </c>
      <c r="U765" s="26">
        <v>22</v>
      </c>
      <c r="V765" s="26">
        <v>1</v>
      </c>
      <c r="W765" s="26" t="s">
        <v>2076</v>
      </c>
    </row>
    <row r="766" spans="1:23" x14ac:dyDescent="0.25">
      <c r="A766" s="26" t="str">
        <f t="shared" si="114"/>
        <v>PRIMARIA</v>
      </c>
      <c r="B766" s="26" t="str">
        <f>"09DPR1751V"</f>
        <v>09DPR1751V</v>
      </c>
      <c r="C766" s="26" t="str">
        <f>"ANGEL ANGUIANO                                                                                      "</f>
        <v xml:space="preserve">ANGEL ANGUIANO                                                                                      </v>
      </c>
      <c r="D766" s="26" t="str">
        <f>"TIEMPO COMPLETO"</f>
        <v>TIEMPO COMPLETO</v>
      </c>
      <c r="E766" s="26" t="str">
        <f>"VICTORIANO CEPEDA 63                                                            "</f>
        <v xml:space="preserve">VICTORIANO CEPEDA 63                                                            </v>
      </c>
      <c r="F766" s="26" t="str">
        <f>"OBSERVATORIO                                                                                                                                "</f>
        <v xml:space="preserve">OBSERVATORIO                                                                                                                                </v>
      </c>
      <c r="G766" s="26" t="str">
        <f>"MIGUEL HIDALGO                                                                  "</f>
        <v xml:space="preserve">MIGUEL HIDALGO                                                                  </v>
      </c>
      <c r="H766" s="26" t="str">
        <f>"110"</f>
        <v>110</v>
      </c>
      <c r="I766" s="26" t="str">
        <f t="shared" si="115"/>
        <v>00</v>
      </c>
      <c r="J766" s="26" t="str">
        <f>"41 "</f>
        <v xml:space="preserve">41 </v>
      </c>
      <c r="K766" s="26" t="str">
        <f t="shared" si="121"/>
        <v>PR</v>
      </c>
      <c r="L766" s="26" t="str">
        <f t="shared" si="122"/>
        <v>DGOSE</v>
      </c>
      <c r="M766" s="26" t="str">
        <f t="shared" si="116"/>
        <v>FEDERAL</v>
      </c>
      <c r="N766" s="26">
        <v>204</v>
      </c>
      <c r="O766" s="26">
        <v>117</v>
      </c>
      <c r="P766" s="26">
        <v>87</v>
      </c>
      <c r="Q766" s="26">
        <v>7</v>
      </c>
      <c r="R766" s="26">
        <v>1</v>
      </c>
      <c r="S766" s="26">
        <v>7</v>
      </c>
      <c r="T766" s="26">
        <v>8</v>
      </c>
      <c r="U766" s="26">
        <v>16</v>
      </c>
      <c r="V766" s="26">
        <v>1</v>
      </c>
      <c r="W766" s="26" t="s">
        <v>218</v>
      </c>
    </row>
    <row r="767" spans="1:23" x14ac:dyDescent="0.25">
      <c r="A767" s="26" t="str">
        <f t="shared" si="114"/>
        <v>PRIMARIA</v>
      </c>
      <c r="B767" s="26" t="str">
        <f>"09DPR1752U"</f>
        <v>09DPR1752U</v>
      </c>
      <c r="C767" s="26" t="str">
        <f>"ANGELA PERALTA                                                                                      "</f>
        <v xml:space="preserve">ANGELA PERALTA                                                                                      </v>
      </c>
      <c r="D767" s="26" t="str">
        <f>"JORNADA AMPLIADA"</f>
        <v>JORNADA AMPLIADA</v>
      </c>
      <c r="E767" s="26" t="str">
        <f>"AV REVOLUCION NUM 120                                                           "</f>
        <v xml:space="preserve">AV REVOLUCION NUM 120                                                           </v>
      </c>
      <c r="F767" s="26" t="str">
        <f>"ESCANDON                                                                                                                                    "</f>
        <v xml:space="preserve">ESCANDON                                                                                                                                    </v>
      </c>
      <c r="G767" s="26" t="str">
        <f>"MIGUEL HIDALGO                                                                  "</f>
        <v xml:space="preserve">MIGUEL HIDALGO                                                                  </v>
      </c>
      <c r="H767" s="26" t="str">
        <f>"112"</f>
        <v>112</v>
      </c>
      <c r="I767" s="26" t="str">
        <f t="shared" si="115"/>
        <v>00</v>
      </c>
      <c r="J767" s="26" t="str">
        <f>"41 "</f>
        <v xml:space="preserve">41 </v>
      </c>
      <c r="K767" s="26" t="str">
        <f t="shared" si="121"/>
        <v>PR</v>
      </c>
      <c r="L767" s="26" t="str">
        <f t="shared" si="122"/>
        <v>DGOSE</v>
      </c>
      <c r="M767" s="26" t="str">
        <f t="shared" si="116"/>
        <v>FEDERAL</v>
      </c>
      <c r="N767" s="26">
        <v>152</v>
      </c>
      <c r="O767" s="26">
        <v>68</v>
      </c>
      <c r="P767" s="26">
        <v>84</v>
      </c>
      <c r="Q767" s="26">
        <v>6</v>
      </c>
      <c r="R767" s="26">
        <v>1</v>
      </c>
      <c r="S767" s="26">
        <v>6</v>
      </c>
      <c r="T767" s="26">
        <v>7</v>
      </c>
      <c r="U767" s="26">
        <v>14</v>
      </c>
      <c r="V767" s="26">
        <v>1</v>
      </c>
      <c r="W767" s="26" t="s">
        <v>2076</v>
      </c>
    </row>
    <row r="768" spans="1:23" x14ac:dyDescent="0.25">
      <c r="A768" s="26" t="str">
        <f t="shared" si="114"/>
        <v>PRIMARIA</v>
      </c>
      <c r="B768" s="26" t="str">
        <f>"09DPR1754S"</f>
        <v>09DPR1754S</v>
      </c>
      <c r="C768" s="26" t="str">
        <f>"CATORCE DE ABRIL                                                                                    "</f>
        <v xml:space="preserve">CATORCE DE ABRIL                                                                                    </v>
      </c>
      <c r="D768" s="26" t="str">
        <f>"JORNADA AMPLIADA"</f>
        <v>JORNADA AMPLIADA</v>
      </c>
      <c r="E768" s="26" t="str">
        <f>"CIENCIAS NUM 60                                                                 "</f>
        <v xml:space="preserve">CIENCIAS NUM 60                                                                 </v>
      </c>
      <c r="F768" s="26" t="str">
        <f>"ESCANDON                                                                                                                                    "</f>
        <v xml:space="preserve">ESCANDON                                                                                                                                    </v>
      </c>
      <c r="G768" s="26" t="str">
        <f>"MIGUEL HIDALGO                                                                  "</f>
        <v xml:space="preserve">MIGUEL HIDALGO                                                                  </v>
      </c>
      <c r="H768" s="26" t="str">
        <f>"112"</f>
        <v>112</v>
      </c>
      <c r="I768" s="26" t="str">
        <f t="shared" si="115"/>
        <v>00</v>
      </c>
      <c r="J768" s="26" t="str">
        <f>"41 "</f>
        <v xml:space="preserve">41 </v>
      </c>
      <c r="K768" s="26" t="str">
        <f t="shared" si="121"/>
        <v>PR</v>
      </c>
      <c r="L768" s="26" t="str">
        <f t="shared" si="122"/>
        <v>DGOSE</v>
      </c>
      <c r="M768" s="26" t="str">
        <f t="shared" si="116"/>
        <v>FEDERAL</v>
      </c>
      <c r="N768" s="26">
        <v>369</v>
      </c>
      <c r="O768" s="26">
        <v>178</v>
      </c>
      <c r="P768" s="26">
        <v>191</v>
      </c>
      <c r="Q768" s="26">
        <v>14</v>
      </c>
      <c r="R768" s="26">
        <v>1</v>
      </c>
      <c r="S768" s="26">
        <v>14</v>
      </c>
      <c r="T768" s="26">
        <v>10</v>
      </c>
      <c r="U768" s="26">
        <v>25</v>
      </c>
      <c r="V768" s="26">
        <v>1</v>
      </c>
      <c r="W768" s="26" t="s">
        <v>2076</v>
      </c>
    </row>
    <row r="769" spans="1:23" x14ac:dyDescent="0.25">
      <c r="A769" s="26" t="str">
        <f t="shared" si="114"/>
        <v>PRIMARIA</v>
      </c>
      <c r="B769" s="26" t="str">
        <f>"09DPR1755R"</f>
        <v>09DPR1755R</v>
      </c>
      <c r="C769" s="26" t="str">
        <f>"MTRO. CAYETANO RODRIGUEZ BELTRAN                                                                    "</f>
        <v xml:space="preserve">MTRO. CAYETANO RODRIGUEZ BELTRAN                                                                    </v>
      </c>
      <c r="D769" s="26" t="str">
        <f>"VESPERTINO"</f>
        <v>VESPERTINO</v>
      </c>
      <c r="E769" s="26" t="str">
        <f>"MANZ 4 UNID HAB DEL IMSS                                                        "</f>
        <v xml:space="preserve">MANZ 4 UNID HAB DEL IMSS                                                        </v>
      </c>
      <c r="F769" s="26" t="str">
        <f>"UNIDAD HABITACIONAL SANTA FE                                                                                                                "</f>
        <v xml:space="preserve">UNIDAD HABITACIONAL SANTA FE                                                                                                                </v>
      </c>
      <c r="G769" s="26" t="str">
        <f>"ALVARO OBREGON                                                                  "</f>
        <v xml:space="preserve">ALVARO OBREGON                                                                  </v>
      </c>
      <c r="H769" s="26" t="str">
        <f>"310"</f>
        <v>310</v>
      </c>
      <c r="I769" s="26" t="str">
        <f t="shared" si="115"/>
        <v>00</v>
      </c>
      <c r="J769" s="26" t="str">
        <f>"43 "</f>
        <v xml:space="preserve">43 </v>
      </c>
      <c r="K769" s="26" t="str">
        <f t="shared" si="121"/>
        <v>PR</v>
      </c>
      <c r="L769" s="26" t="str">
        <f t="shared" si="122"/>
        <v>DGOSE</v>
      </c>
      <c r="M769" s="26" t="str">
        <f t="shared" si="116"/>
        <v>FEDERAL</v>
      </c>
      <c r="N769" s="26">
        <v>192</v>
      </c>
      <c r="O769" s="26">
        <v>103</v>
      </c>
      <c r="P769" s="26">
        <v>89</v>
      </c>
      <c r="Q769" s="26">
        <v>13</v>
      </c>
      <c r="R769" s="26">
        <v>1</v>
      </c>
      <c r="S769" s="26">
        <v>10</v>
      </c>
      <c r="T769" s="26">
        <v>7</v>
      </c>
      <c r="U769" s="26">
        <v>18</v>
      </c>
      <c r="V769" s="26">
        <v>1</v>
      </c>
      <c r="W769" s="26"/>
    </row>
    <row r="770" spans="1:23" x14ac:dyDescent="0.25">
      <c r="A770" s="26" t="str">
        <f t="shared" ref="A770:A833" si="124">"PRIMARIA"</f>
        <v>PRIMARIA</v>
      </c>
      <c r="B770" s="26" t="str">
        <f>"09DPR1756Q"</f>
        <v>09DPR1756Q</v>
      </c>
      <c r="C770" s="26" t="str">
        <f>"MTRO. CAYETANO RODRIGUEZ BELTRAN                                                                    "</f>
        <v xml:space="preserve">MTRO. CAYETANO RODRIGUEZ BELTRAN                                                                    </v>
      </c>
      <c r="D770" s="26" t="str">
        <f>"MATUTINO"</f>
        <v>MATUTINO</v>
      </c>
      <c r="E770" s="26" t="str">
        <f>"MANZ 4 UNID HAB DEL IMSS                                                        "</f>
        <v xml:space="preserve">MANZ 4 UNID HAB DEL IMSS                                                        </v>
      </c>
      <c r="F770" s="26" t="str">
        <f>"UNIDAD HABITACIONAL SANTA FE                                                                                                                "</f>
        <v xml:space="preserve">UNIDAD HABITACIONAL SANTA FE                                                                                                                </v>
      </c>
      <c r="G770" s="26" t="str">
        <f>"ALVARO OBREGON                                                                  "</f>
        <v xml:space="preserve">ALVARO OBREGON                                                                  </v>
      </c>
      <c r="H770" s="26" t="str">
        <f>"310"</f>
        <v>310</v>
      </c>
      <c r="I770" s="26" t="str">
        <f t="shared" ref="I770:I833" si="125">"00"</f>
        <v>00</v>
      </c>
      <c r="J770" s="26" t="str">
        <f>"43 "</f>
        <v xml:space="preserve">43 </v>
      </c>
      <c r="K770" s="26" t="str">
        <f t="shared" si="121"/>
        <v>PR</v>
      </c>
      <c r="L770" s="26" t="str">
        <f t="shared" si="122"/>
        <v>DGOSE</v>
      </c>
      <c r="M770" s="26" t="str">
        <f t="shared" ref="M770:M833" si="126">"FEDERAL"</f>
        <v>FEDERAL</v>
      </c>
      <c r="N770" s="26">
        <v>339</v>
      </c>
      <c r="O770" s="26">
        <v>168</v>
      </c>
      <c r="P770" s="26">
        <v>171</v>
      </c>
      <c r="Q770" s="26">
        <v>13</v>
      </c>
      <c r="R770" s="26">
        <v>1</v>
      </c>
      <c r="S770" s="26">
        <v>13</v>
      </c>
      <c r="T770" s="26">
        <v>9</v>
      </c>
      <c r="U770" s="26">
        <v>23</v>
      </c>
      <c r="V770" s="26">
        <v>1</v>
      </c>
      <c r="W770" s="26"/>
    </row>
    <row r="771" spans="1:23" x14ac:dyDescent="0.25">
      <c r="A771" s="26" t="str">
        <f t="shared" si="124"/>
        <v>PRIMARIA</v>
      </c>
      <c r="B771" s="26" t="str">
        <f>"09DPR1757P"</f>
        <v>09DPR1757P</v>
      </c>
      <c r="C771" s="26" t="str">
        <f>"CIRILO CELIS PASTRANA                                                                               "</f>
        <v xml:space="preserve">CIRILO CELIS PASTRANA                                                                               </v>
      </c>
      <c r="D771" s="26" t="str">
        <f>"VESPERTINO"</f>
        <v>VESPERTINO</v>
      </c>
      <c r="E771" s="26" t="str">
        <f>"CANARIO Y FELIPE ANGELES S/N                                                    "</f>
        <v xml:space="preserve">CANARIO Y FELIPE ANGELES S/N                                                    </v>
      </c>
      <c r="F771" s="26" t="str">
        <f>"BELLA VISTA                                                                                                                                 "</f>
        <v xml:space="preserve">BELLA VISTA                                                                                                                                 </v>
      </c>
      <c r="G771" s="26" t="str">
        <f>"ALVARO OBREGON                                                                  "</f>
        <v xml:space="preserve">ALVARO OBREGON                                                                  </v>
      </c>
      <c r="H771" s="26" t="str">
        <f>"308"</f>
        <v>308</v>
      </c>
      <c r="I771" s="26" t="str">
        <f t="shared" si="125"/>
        <v>00</v>
      </c>
      <c r="J771" s="26" t="str">
        <f>"43 "</f>
        <v xml:space="preserve">43 </v>
      </c>
      <c r="K771" s="26" t="str">
        <f t="shared" si="121"/>
        <v>PR</v>
      </c>
      <c r="L771" s="26" t="str">
        <f t="shared" si="122"/>
        <v>DGOSE</v>
      </c>
      <c r="M771" s="26" t="str">
        <f t="shared" si="126"/>
        <v>FEDERAL</v>
      </c>
      <c r="N771" s="26">
        <v>161</v>
      </c>
      <c r="O771" s="26">
        <v>100</v>
      </c>
      <c r="P771" s="26">
        <v>61</v>
      </c>
      <c r="Q771" s="26">
        <v>12</v>
      </c>
      <c r="R771" s="26">
        <v>1</v>
      </c>
      <c r="S771" s="26">
        <v>9</v>
      </c>
      <c r="T771" s="26">
        <v>5</v>
      </c>
      <c r="U771" s="26">
        <v>15</v>
      </c>
      <c r="V771" s="26">
        <v>1</v>
      </c>
      <c r="W771" s="26"/>
    </row>
    <row r="772" spans="1:23" x14ac:dyDescent="0.25">
      <c r="A772" s="26" t="str">
        <f t="shared" si="124"/>
        <v>PRIMARIA</v>
      </c>
      <c r="B772" s="26" t="str">
        <f>"09DPR1758O"</f>
        <v>09DPR1758O</v>
      </c>
      <c r="C772" s="26" t="str">
        <f>"ISAAC OCHOTERENA                                                                                    "</f>
        <v xml:space="preserve">ISAAC OCHOTERENA                                                                                    </v>
      </c>
      <c r="D772" s="26" t="str">
        <f>"MATUTINO"</f>
        <v>MATUTINO</v>
      </c>
      <c r="E772" s="26" t="str">
        <f>"CRISTOBAL COLON N.24                                                            "</f>
        <v xml:space="preserve">CRISTOBAL COLON N.24                                                            </v>
      </c>
      <c r="F772" s="26" t="str">
        <f>"CHIMALCOYOTL                                                                                                                                "</f>
        <v xml:space="preserve">CHIMALCOYOTL                                                                                                                                </v>
      </c>
      <c r="G772" s="26" t="str">
        <f>"TLALPAN                                                                         "</f>
        <v xml:space="preserve">TLALPAN                                                                         </v>
      </c>
      <c r="H772" s="26" t="str">
        <f>"522"</f>
        <v>522</v>
      </c>
      <c r="I772" s="26" t="str">
        <f t="shared" si="125"/>
        <v>00</v>
      </c>
      <c r="J772" s="26" t="str">
        <f>"45 "</f>
        <v xml:space="preserve">45 </v>
      </c>
      <c r="K772" s="26" t="str">
        <f t="shared" si="121"/>
        <v>PR</v>
      </c>
      <c r="L772" s="26" t="str">
        <f t="shared" si="122"/>
        <v>DGOSE</v>
      </c>
      <c r="M772" s="26" t="str">
        <f t="shared" si="126"/>
        <v>FEDERAL</v>
      </c>
      <c r="N772" s="26">
        <v>373</v>
      </c>
      <c r="O772" s="26">
        <v>182</v>
      </c>
      <c r="P772" s="26">
        <v>191</v>
      </c>
      <c r="Q772" s="26">
        <v>12</v>
      </c>
      <c r="R772" s="26">
        <v>1</v>
      </c>
      <c r="S772" s="26">
        <v>12</v>
      </c>
      <c r="T772" s="26">
        <v>6</v>
      </c>
      <c r="U772" s="26">
        <v>19</v>
      </c>
      <c r="V772" s="26">
        <v>1</v>
      </c>
      <c r="W772" s="26"/>
    </row>
    <row r="773" spans="1:23" x14ac:dyDescent="0.25">
      <c r="A773" s="26" t="str">
        <f t="shared" si="124"/>
        <v>PRIMARIA</v>
      </c>
      <c r="B773" s="26" t="str">
        <f>"09DPR1760C"</f>
        <v>09DPR1760C</v>
      </c>
      <c r="C773" s="26" t="str">
        <f>"ISAAC OCHOTERENA                                                                                    "</f>
        <v xml:space="preserve">ISAAC OCHOTERENA                                                                                    </v>
      </c>
      <c r="D773" s="26" t="str">
        <f>"VESPERTINO"</f>
        <v>VESPERTINO</v>
      </c>
      <c r="E773" s="26" t="str">
        <f>"CRISTOBAL COLON NUM. 24                                                         "</f>
        <v xml:space="preserve">CRISTOBAL COLON NUM. 24                                                         </v>
      </c>
      <c r="F773" s="26" t="str">
        <f>"CHIMALCOYOTL                                                                                                                                "</f>
        <v xml:space="preserve">CHIMALCOYOTL                                                                                                                                </v>
      </c>
      <c r="G773" s="26" t="str">
        <f>"TLALPAN                                                                         "</f>
        <v xml:space="preserve">TLALPAN                                                                         </v>
      </c>
      <c r="H773" s="26" t="str">
        <f>"522"</f>
        <v>522</v>
      </c>
      <c r="I773" s="26" t="str">
        <f t="shared" si="125"/>
        <v>00</v>
      </c>
      <c r="J773" s="26" t="str">
        <f>"45 "</f>
        <v xml:space="preserve">45 </v>
      </c>
      <c r="K773" s="26" t="str">
        <f t="shared" si="121"/>
        <v>PR</v>
      </c>
      <c r="L773" s="26" t="str">
        <f t="shared" si="122"/>
        <v>DGOSE</v>
      </c>
      <c r="M773" s="26" t="str">
        <f t="shared" si="126"/>
        <v>FEDERAL</v>
      </c>
      <c r="N773" s="26">
        <v>228</v>
      </c>
      <c r="O773" s="26">
        <v>120</v>
      </c>
      <c r="P773" s="26">
        <v>108</v>
      </c>
      <c r="Q773" s="26">
        <v>14</v>
      </c>
      <c r="R773" s="26">
        <v>1</v>
      </c>
      <c r="S773" s="26">
        <v>10</v>
      </c>
      <c r="T773" s="26">
        <v>6</v>
      </c>
      <c r="U773" s="26">
        <v>17</v>
      </c>
      <c r="V773" s="26">
        <v>1</v>
      </c>
      <c r="W773" s="26"/>
    </row>
    <row r="774" spans="1:23" x14ac:dyDescent="0.25">
      <c r="A774" s="26" t="str">
        <f t="shared" si="124"/>
        <v>PRIMARIA</v>
      </c>
      <c r="B774" s="26" t="str">
        <f>"09DPR1761B"</f>
        <v>09DPR1761B</v>
      </c>
      <c r="C774" s="26" t="str">
        <f>"BARTOLOME DE MEDINA                                                                                 "</f>
        <v xml:space="preserve">BARTOLOME DE MEDINA                                                                                 </v>
      </c>
      <c r="D774" s="26" t="str">
        <f>"JORNADA AMPLIADA"</f>
        <v>JORNADA AMPLIADA</v>
      </c>
      <c r="E774" s="26" t="str">
        <f>"SOSTENES ROCHA NUM. 44                                                          "</f>
        <v xml:space="preserve">SOSTENES ROCHA NUM. 44                                                          </v>
      </c>
      <c r="F774" s="26" t="str">
        <f>"COVE                                                                                                                                        "</f>
        <v xml:space="preserve">COVE                                                                                                                                        </v>
      </c>
      <c r="G774" s="26" t="str">
        <f>"ALVARO OBREGON                                                                  "</f>
        <v xml:space="preserve">ALVARO OBREGON                                                                  </v>
      </c>
      <c r="H774" s="26" t="str">
        <f>"400"</f>
        <v>400</v>
      </c>
      <c r="I774" s="26" t="str">
        <f t="shared" si="125"/>
        <v>00</v>
      </c>
      <c r="J774" s="26" t="str">
        <f>"44 "</f>
        <v xml:space="preserve">44 </v>
      </c>
      <c r="K774" s="26" t="str">
        <f t="shared" si="121"/>
        <v>PR</v>
      </c>
      <c r="L774" s="26" t="str">
        <f t="shared" si="122"/>
        <v>DGOSE</v>
      </c>
      <c r="M774" s="26" t="str">
        <f t="shared" si="126"/>
        <v>FEDERAL</v>
      </c>
      <c r="N774" s="26">
        <v>453</v>
      </c>
      <c r="O774" s="26">
        <v>228</v>
      </c>
      <c r="P774" s="26">
        <v>225</v>
      </c>
      <c r="Q774" s="26">
        <v>18</v>
      </c>
      <c r="R774" s="26">
        <v>1</v>
      </c>
      <c r="S774" s="26">
        <v>18</v>
      </c>
      <c r="T774" s="26">
        <v>10</v>
      </c>
      <c r="U774" s="26">
        <v>29</v>
      </c>
      <c r="V774" s="26">
        <v>1</v>
      </c>
      <c r="W774" s="26" t="s">
        <v>2076</v>
      </c>
    </row>
    <row r="775" spans="1:23" x14ac:dyDescent="0.25">
      <c r="A775" s="26" t="str">
        <f t="shared" si="124"/>
        <v>PRIMARIA</v>
      </c>
      <c r="B775" s="26" t="str">
        <f>"09DPR1767W"</f>
        <v>09DPR1767W</v>
      </c>
      <c r="C775" s="26" t="str">
        <f>"GUILLERMO PRIETO                                                                                    "</f>
        <v xml:space="preserve">GUILLERMO PRIETO                                                                                    </v>
      </c>
      <c r="D775" s="26" t="str">
        <f>"JORNADA AMPLIADA"</f>
        <v>JORNADA AMPLIADA</v>
      </c>
      <c r="E775" s="26" t="str">
        <f>"MANUEL DUBLAN NUM 14                                                            "</f>
        <v xml:space="preserve">MANUEL DUBLAN NUM 14                                                            </v>
      </c>
      <c r="F775" s="26" t="str">
        <f>"TACUBAYA                                                                                                                                    "</f>
        <v xml:space="preserve">TACUBAYA                                                                                                                                    </v>
      </c>
      <c r="G775" s="26" t="str">
        <f>"MIGUEL HIDALGO                                                                  "</f>
        <v xml:space="preserve">MIGUEL HIDALGO                                                                  </v>
      </c>
      <c r="H775" s="26" t="str">
        <f>"110"</f>
        <v>110</v>
      </c>
      <c r="I775" s="26" t="str">
        <f t="shared" si="125"/>
        <v>00</v>
      </c>
      <c r="J775" s="26" t="str">
        <f>"41 "</f>
        <v xml:space="preserve">41 </v>
      </c>
      <c r="K775" s="26" t="str">
        <f t="shared" si="121"/>
        <v>PR</v>
      </c>
      <c r="L775" s="26" t="str">
        <f t="shared" si="122"/>
        <v>DGOSE</v>
      </c>
      <c r="M775" s="26" t="str">
        <f t="shared" si="126"/>
        <v>FEDERAL</v>
      </c>
      <c r="N775" s="26">
        <v>170</v>
      </c>
      <c r="O775" s="26">
        <v>83</v>
      </c>
      <c r="P775" s="26">
        <v>87</v>
      </c>
      <c r="Q775" s="26">
        <v>7</v>
      </c>
      <c r="R775" s="26">
        <v>1</v>
      </c>
      <c r="S775" s="26">
        <v>7</v>
      </c>
      <c r="T775" s="26">
        <v>6</v>
      </c>
      <c r="U775" s="26">
        <v>14</v>
      </c>
      <c r="V775" s="26">
        <v>1</v>
      </c>
      <c r="W775" s="26" t="s">
        <v>2076</v>
      </c>
    </row>
    <row r="776" spans="1:23" x14ac:dyDescent="0.25">
      <c r="A776" s="26" t="str">
        <f t="shared" si="124"/>
        <v>PRIMARIA</v>
      </c>
      <c r="B776" s="26" t="str">
        <f>"09DPR1768V"</f>
        <v>09DPR1768V</v>
      </c>
      <c r="C776" s="26" t="str">
        <f>"GENERAL FRANCISCO MENENDEZ                                                                          "</f>
        <v xml:space="preserve">GENERAL FRANCISCO MENENDEZ                                                                          </v>
      </c>
      <c r="D776" s="26" t="str">
        <f>"VESPERTINO"</f>
        <v>VESPERTINO</v>
      </c>
      <c r="E776" s="26" t="str">
        <f>"CALLE SIETE 54                                                                  "</f>
        <v xml:space="preserve">CALLE SIETE 54                                                                  </v>
      </c>
      <c r="F776" s="26" t="str">
        <f>"SAN PEDRO DE LOS PINOS                                                                                                                      "</f>
        <v xml:space="preserve">SAN PEDRO DE LOS PINOS                                                                                                                      </v>
      </c>
      <c r="G776" s="26" t="str">
        <f>"BENITO JUAREZ                                                                   "</f>
        <v xml:space="preserve">BENITO JUAREZ                                                                   </v>
      </c>
      <c r="H776" s="26" t="str">
        <f>"339"</f>
        <v>339</v>
      </c>
      <c r="I776" s="26" t="str">
        <f t="shared" si="125"/>
        <v>00</v>
      </c>
      <c r="J776" s="26" t="str">
        <f>"43 "</f>
        <v xml:space="preserve">43 </v>
      </c>
      <c r="K776" s="26" t="str">
        <f t="shared" si="121"/>
        <v>PR</v>
      </c>
      <c r="L776" s="26" t="str">
        <f t="shared" si="122"/>
        <v>DGOSE</v>
      </c>
      <c r="M776" s="26" t="str">
        <f t="shared" si="126"/>
        <v>FEDERAL</v>
      </c>
      <c r="N776" s="26">
        <v>128</v>
      </c>
      <c r="O776" s="26">
        <v>50</v>
      </c>
      <c r="P776" s="26">
        <v>78</v>
      </c>
      <c r="Q776" s="26">
        <v>10</v>
      </c>
      <c r="R776" s="26">
        <v>1</v>
      </c>
      <c r="S776" s="26">
        <v>7</v>
      </c>
      <c r="T776" s="26">
        <v>4</v>
      </c>
      <c r="U776" s="26">
        <v>12</v>
      </c>
      <c r="V776" s="26">
        <v>1</v>
      </c>
      <c r="W776" s="26"/>
    </row>
    <row r="777" spans="1:23" x14ac:dyDescent="0.25">
      <c r="A777" s="26" t="str">
        <f t="shared" si="124"/>
        <v>PRIMARIA</v>
      </c>
      <c r="B777" s="26" t="str">
        <f>"09DPR1769U"</f>
        <v>09DPR1769U</v>
      </c>
      <c r="C777" s="26" t="str">
        <f>"ETIOPIA                                                                                             "</f>
        <v xml:space="preserve">ETIOPIA                                                                                             </v>
      </c>
      <c r="D777" s="26" t="str">
        <f>"MATUTINO"</f>
        <v>MATUTINO</v>
      </c>
      <c r="E777" s="26" t="str">
        <f>"SUR 112 Y PROLG CALLE 2                                                         "</f>
        <v xml:space="preserve">SUR 112 Y PROLG CALLE 2                                                         </v>
      </c>
      <c r="F777" s="26" t="str">
        <f>"LA TOLTECA                                                                                                                                  "</f>
        <v xml:space="preserve">LA TOLTECA                                                                                                                                  </v>
      </c>
      <c r="G777" s="26" t="str">
        <f>"ALVARO OBREGON                                                                  "</f>
        <v xml:space="preserve">ALVARO OBREGON                                                                  </v>
      </c>
      <c r="H777" s="26" t="str">
        <f>"308"</f>
        <v>308</v>
      </c>
      <c r="I777" s="26" t="str">
        <f t="shared" si="125"/>
        <v>00</v>
      </c>
      <c r="J777" s="26" t="str">
        <f>"43 "</f>
        <v xml:space="preserve">43 </v>
      </c>
      <c r="K777" s="26" t="str">
        <f t="shared" si="121"/>
        <v>PR</v>
      </c>
      <c r="L777" s="26" t="str">
        <f t="shared" si="122"/>
        <v>DGOSE</v>
      </c>
      <c r="M777" s="26" t="str">
        <f t="shared" si="126"/>
        <v>FEDERAL</v>
      </c>
      <c r="N777" s="26">
        <v>466</v>
      </c>
      <c r="O777" s="26">
        <v>228</v>
      </c>
      <c r="P777" s="26">
        <v>238</v>
      </c>
      <c r="Q777" s="26">
        <v>18</v>
      </c>
      <c r="R777" s="26">
        <v>1</v>
      </c>
      <c r="S777" s="26">
        <v>18</v>
      </c>
      <c r="T777" s="26">
        <v>10</v>
      </c>
      <c r="U777" s="26">
        <v>29</v>
      </c>
      <c r="V777" s="26">
        <v>1</v>
      </c>
      <c r="W777" s="26"/>
    </row>
    <row r="778" spans="1:23" x14ac:dyDescent="0.25">
      <c r="A778" s="26" t="str">
        <f t="shared" si="124"/>
        <v>PRIMARIA</v>
      </c>
      <c r="B778" s="26" t="str">
        <f>"09DPR1770J"</f>
        <v>09DPR1770J</v>
      </c>
      <c r="C778" s="26" t="str">
        <f>"ETIOPIA                                                                                             "</f>
        <v xml:space="preserve">ETIOPIA                                                                                             </v>
      </c>
      <c r="D778" s="26" t="str">
        <f>"VESPERTINO"</f>
        <v>VESPERTINO</v>
      </c>
      <c r="E778" s="26" t="str">
        <f>"SUR 112 Y PROLG CALLE 2                                                         "</f>
        <v xml:space="preserve">SUR 112 Y PROLG CALLE 2                                                         </v>
      </c>
      <c r="F778" s="26" t="str">
        <f>"LA TOLTECA                                                                                                                                  "</f>
        <v xml:space="preserve">LA TOLTECA                                                                                                                                  </v>
      </c>
      <c r="G778" s="26" t="str">
        <f>"ALVARO OBREGON                                                                  "</f>
        <v xml:space="preserve">ALVARO OBREGON                                                                  </v>
      </c>
      <c r="H778" s="26" t="str">
        <f>"308"</f>
        <v>308</v>
      </c>
      <c r="I778" s="26" t="str">
        <f t="shared" si="125"/>
        <v>00</v>
      </c>
      <c r="J778" s="26" t="str">
        <f>"43 "</f>
        <v xml:space="preserve">43 </v>
      </c>
      <c r="K778" s="26" t="str">
        <f t="shared" si="121"/>
        <v>PR</v>
      </c>
      <c r="L778" s="26" t="str">
        <f t="shared" si="122"/>
        <v>DGOSE</v>
      </c>
      <c r="M778" s="26" t="str">
        <f t="shared" si="126"/>
        <v>FEDERAL</v>
      </c>
      <c r="N778" s="26">
        <v>152</v>
      </c>
      <c r="O778" s="26">
        <v>89</v>
      </c>
      <c r="P778" s="26">
        <v>63</v>
      </c>
      <c r="Q778" s="26">
        <v>11</v>
      </c>
      <c r="R778" s="26">
        <v>1</v>
      </c>
      <c r="S778" s="26">
        <v>7</v>
      </c>
      <c r="T778" s="26">
        <v>6</v>
      </c>
      <c r="U778" s="26">
        <v>14</v>
      </c>
      <c r="V778" s="26">
        <v>1</v>
      </c>
      <c r="W778" s="26"/>
    </row>
    <row r="779" spans="1:23" x14ac:dyDescent="0.25">
      <c r="A779" s="26" t="str">
        <f t="shared" si="124"/>
        <v>PRIMARIA</v>
      </c>
      <c r="B779" s="26" t="str">
        <f>"09DPR1771I"</f>
        <v>09DPR1771I</v>
      </c>
      <c r="C779" s="26" t="str">
        <f>"CLUB DE LEONES NUMERO 8 ESTADO DE OAXACA                                                            "</f>
        <v xml:space="preserve">CLUB DE LEONES NUMERO 8 ESTADO DE OAXACA                                                            </v>
      </c>
      <c r="D779" s="26" t="str">
        <f>"MATUTINO"</f>
        <v>MATUTINO</v>
      </c>
      <c r="E779" s="26" t="str">
        <f>"AV OBSERVATORIO NO 44                                                           "</f>
        <v xml:space="preserve">AV OBSERVATORIO NO 44                                                           </v>
      </c>
      <c r="F779" s="26" t="str">
        <f>"OBSERVATORIO                                                                                                                                "</f>
        <v xml:space="preserve">OBSERVATORIO                                                                                                                                </v>
      </c>
      <c r="G779" s="26" t="str">
        <f>"MIGUEL HIDALGO                                                                  "</f>
        <v xml:space="preserve">MIGUEL HIDALGO                                                                  </v>
      </c>
      <c r="H779" s="26" t="str">
        <f>"211"</f>
        <v>211</v>
      </c>
      <c r="I779" s="26" t="str">
        <f t="shared" si="125"/>
        <v>00</v>
      </c>
      <c r="J779" s="26" t="str">
        <f>"42 "</f>
        <v xml:space="preserve">42 </v>
      </c>
      <c r="K779" s="26" t="str">
        <f t="shared" si="121"/>
        <v>PR</v>
      </c>
      <c r="L779" s="26" t="str">
        <f t="shared" si="122"/>
        <v>DGOSE</v>
      </c>
      <c r="M779" s="26" t="str">
        <f t="shared" si="126"/>
        <v>FEDERAL</v>
      </c>
      <c r="N779" s="26">
        <v>127</v>
      </c>
      <c r="O779" s="26">
        <v>61</v>
      </c>
      <c r="P779" s="26">
        <v>66</v>
      </c>
      <c r="Q779" s="26">
        <v>6</v>
      </c>
      <c r="R779" s="26">
        <v>1</v>
      </c>
      <c r="S779" s="26">
        <v>6</v>
      </c>
      <c r="T779" s="26">
        <v>7</v>
      </c>
      <c r="U779" s="26">
        <v>14</v>
      </c>
      <c r="V779" s="26">
        <v>1</v>
      </c>
      <c r="W779" s="26"/>
    </row>
    <row r="780" spans="1:23" x14ac:dyDescent="0.25">
      <c r="A780" s="26" t="str">
        <f t="shared" si="124"/>
        <v>PRIMARIA</v>
      </c>
      <c r="B780" s="26" t="str">
        <f>"09DPR1772H"</f>
        <v>09DPR1772H</v>
      </c>
      <c r="C780" s="26" t="str">
        <f>"CLUB DE LEONES NUMERO 8 ESTADO DE OAXACA                                                            "</f>
        <v xml:space="preserve">CLUB DE LEONES NUMERO 8 ESTADO DE OAXACA                                                            </v>
      </c>
      <c r="D780" s="26" t="str">
        <f>"VESPERTINO"</f>
        <v>VESPERTINO</v>
      </c>
      <c r="E780" s="26" t="str">
        <f>"AV OBSERVATORIO NO 44                                                           "</f>
        <v xml:space="preserve">AV OBSERVATORIO NO 44                                                           </v>
      </c>
      <c r="F780" s="26" t="str">
        <f>"OBSERVATORIO                                                                                                                                "</f>
        <v xml:space="preserve">OBSERVATORIO                                                                                                                                </v>
      </c>
      <c r="G780" s="26" t="str">
        <f>"MIGUEL HIDALGO                                                                  "</f>
        <v xml:space="preserve">MIGUEL HIDALGO                                                                  </v>
      </c>
      <c r="H780" s="26" t="str">
        <f>"211"</f>
        <v>211</v>
      </c>
      <c r="I780" s="26" t="str">
        <f t="shared" si="125"/>
        <v>00</v>
      </c>
      <c r="J780" s="26" t="str">
        <f>"42 "</f>
        <v xml:space="preserve">42 </v>
      </c>
      <c r="K780" s="26" t="str">
        <f t="shared" si="121"/>
        <v>PR</v>
      </c>
      <c r="L780" s="26" t="str">
        <f t="shared" si="122"/>
        <v>DGOSE</v>
      </c>
      <c r="M780" s="26" t="str">
        <f t="shared" si="126"/>
        <v>FEDERAL</v>
      </c>
      <c r="N780" s="26">
        <v>53</v>
      </c>
      <c r="O780" s="26">
        <v>32</v>
      </c>
      <c r="P780" s="26">
        <v>21</v>
      </c>
      <c r="Q780" s="26">
        <v>5</v>
      </c>
      <c r="R780" s="26">
        <v>1</v>
      </c>
      <c r="S780" s="26">
        <v>5</v>
      </c>
      <c r="T780" s="26">
        <v>2</v>
      </c>
      <c r="U780" s="26">
        <v>8</v>
      </c>
      <c r="V780" s="26">
        <v>1</v>
      </c>
      <c r="W780" s="26"/>
    </row>
    <row r="781" spans="1:23" x14ac:dyDescent="0.25">
      <c r="A781" s="26" t="str">
        <f t="shared" si="124"/>
        <v>PRIMARIA</v>
      </c>
      <c r="B781" s="26" t="str">
        <f>"09DPR1773G"</f>
        <v>09DPR1773G</v>
      </c>
      <c r="C781" s="26" t="str">
        <f>"EL PIPILA                                                                                           "</f>
        <v xml:space="preserve">EL PIPILA                                                                                           </v>
      </c>
      <c r="D781" s="26" t="str">
        <f>"MATUTINO"</f>
        <v>MATUTINO</v>
      </c>
      <c r="E781" s="26" t="str">
        <f>"CONSTITUYENTES Y ELECTRIFICACION S/N                                            "</f>
        <v xml:space="preserve">CONSTITUYENTES Y ELECTRIFICACION S/N                                            </v>
      </c>
      <c r="F781" s="26" t="str">
        <f>"DANIEL GARZA                                                                                                                                "</f>
        <v xml:space="preserve">DANIEL GARZA                                                                                                                                </v>
      </c>
      <c r="G781" s="26" t="str">
        <f>"MIGUEL HIDALGO                                                                  "</f>
        <v xml:space="preserve">MIGUEL HIDALGO                                                                  </v>
      </c>
      <c r="H781" s="26" t="str">
        <f>"210"</f>
        <v>210</v>
      </c>
      <c r="I781" s="26" t="str">
        <f t="shared" si="125"/>
        <v>00</v>
      </c>
      <c r="J781" s="26" t="str">
        <f>"42 "</f>
        <v xml:space="preserve">42 </v>
      </c>
      <c r="K781" s="26" t="str">
        <f t="shared" si="121"/>
        <v>PR</v>
      </c>
      <c r="L781" s="26" t="str">
        <f t="shared" si="122"/>
        <v>DGOSE</v>
      </c>
      <c r="M781" s="26" t="str">
        <f t="shared" si="126"/>
        <v>FEDERAL</v>
      </c>
      <c r="N781" s="26">
        <v>433</v>
      </c>
      <c r="O781" s="26">
        <v>229</v>
      </c>
      <c r="P781" s="26">
        <v>204</v>
      </c>
      <c r="Q781" s="26">
        <v>18</v>
      </c>
      <c r="R781" s="26">
        <v>1</v>
      </c>
      <c r="S781" s="26">
        <v>17</v>
      </c>
      <c r="T781" s="26">
        <v>11</v>
      </c>
      <c r="U781" s="26">
        <v>29</v>
      </c>
      <c r="V781" s="26">
        <v>1</v>
      </c>
      <c r="W781" s="26"/>
    </row>
    <row r="782" spans="1:23" x14ac:dyDescent="0.25">
      <c r="A782" s="26" t="str">
        <f t="shared" si="124"/>
        <v>PRIMARIA</v>
      </c>
      <c r="B782" s="26" t="str">
        <f>"09DPR1774F"</f>
        <v>09DPR1774F</v>
      </c>
      <c r="C782" s="26" t="str">
        <f>"EL PIPILA                                                                                           "</f>
        <v xml:space="preserve">EL PIPILA                                                                                           </v>
      </c>
      <c r="D782" s="26" t="str">
        <f>"TIEMPO COMPLETO"</f>
        <v>TIEMPO COMPLETO</v>
      </c>
      <c r="E782" s="26" t="str">
        <f>"CONSTITUYENTES Y ELECTRIFICACION S/N                                            "</f>
        <v xml:space="preserve">CONSTITUYENTES Y ELECTRIFICACION S/N                                            </v>
      </c>
      <c r="F782" s="26" t="str">
        <f>"DANIEL GARZA                                                                                                                                "</f>
        <v xml:space="preserve">DANIEL GARZA                                                                                                                                </v>
      </c>
      <c r="G782" s="26" t="str">
        <f>"MIGUEL HIDALGO                                                                  "</f>
        <v xml:space="preserve">MIGUEL HIDALGO                                                                  </v>
      </c>
      <c r="H782" s="26" t="str">
        <f>"110"</f>
        <v>110</v>
      </c>
      <c r="I782" s="26" t="str">
        <f t="shared" si="125"/>
        <v>00</v>
      </c>
      <c r="J782" s="26" t="str">
        <f>"41 "</f>
        <v xml:space="preserve">41 </v>
      </c>
      <c r="K782" s="26" t="str">
        <f t="shared" si="121"/>
        <v>PR</v>
      </c>
      <c r="L782" s="26" t="str">
        <f t="shared" si="122"/>
        <v>DGOSE</v>
      </c>
      <c r="M782" s="26" t="str">
        <f t="shared" si="126"/>
        <v>FEDERAL</v>
      </c>
      <c r="N782" s="26">
        <v>326</v>
      </c>
      <c r="O782" s="26">
        <v>154</v>
      </c>
      <c r="P782" s="26">
        <v>172</v>
      </c>
      <c r="Q782" s="26">
        <v>12</v>
      </c>
      <c r="R782" s="26">
        <v>1</v>
      </c>
      <c r="S782" s="26">
        <v>12</v>
      </c>
      <c r="T782" s="26">
        <v>13</v>
      </c>
      <c r="U782" s="26">
        <v>26</v>
      </c>
      <c r="V782" s="26">
        <v>1</v>
      </c>
      <c r="W782" s="26" t="s">
        <v>218</v>
      </c>
    </row>
    <row r="783" spans="1:23" x14ac:dyDescent="0.25">
      <c r="A783" s="26" t="str">
        <f t="shared" si="124"/>
        <v>PRIMARIA</v>
      </c>
      <c r="B783" s="26" t="str">
        <f>"09DPR1775E"</f>
        <v>09DPR1775E</v>
      </c>
      <c r="C783" s="26" t="str">
        <f>"EL PIPILA                                                                                           "</f>
        <v xml:space="preserve">EL PIPILA                                                                                           </v>
      </c>
      <c r="D783" s="26" t="str">
        <f>"VESPERTINO"</f>
        <v>VESPERTINO</v>
      </c>
      <c r="E783" s="26" t="str">
        <f>"CONSTITUYENTES Y ELECTRIFICACION                                                "</f>
        <v xml:space="preserve">CONSTITUYENTES Y ELECTRIFICACION                                                </v>
      </c>
      <c r="F783" s="26" t="str">
        <f>"DANIEL GARZA                                                                                                                                "</f>
        <v xml:space="preserve">DANIEL GARZA                                                                                                                                </v>
      </c>
      <c r="G783" s="26" t="str">
        <f>"MIGUEL HIDALGO                                                                  "</f>
        <v xml:space="preserve">MIGUEL HIDALGO                                                                  </v>
      </c>
      <c r="H783" s="26" t="str">
        <f>"210"</f>
        <v>210</v>
      </c>
      <c r="I783" s="26" t="str">
        <f t="shared" si="125"/>
        <v>00</v>
      </c>
      <c r="J783" s="26" t="str">
        <f>"42 "</f>
        <v xml:space="preserve">42 </v>
      </c>
      <c r="K783" s="26" t="str">
        <f t="shared" si="121"/>
        <v>PR</v>
      </c>
      <c r="L783" s="26" t="str">
        <f t="shared" si="122"/>
        <v>DGOSE</v>
      </c>
      <c r="M783" s="26" t="str">
        <f t="shared" si="126"/>
        <v>FEDERAL</v>
      </c>
      <c r="N783" s="26">
        <v>81</v>
      </c>
      <c r="O783" s="26">
        <v>46</v>
      </c>
      <c r="P783" s="26">
        <v>35</v>
      </c>
      <c r="Q783" s="26">
        <v>6</v>
      </c>
      <c r="R783" s="26">
        <v>1</v>
      </c>
      <c r="S783" s="26">
        <v>6</v>
      </c>
      <c r="T783" s="26">
        <v>3</v>
      </c>
      <c r="U783" s="26">
        <v>10</v>
      </c>
      <c r="V783" s="26">
        <v>1</v>
      </c>
      <c r="W783" s="26"/>
    </row>
    <row r="784" spans="1:23" x14ac:dyDescent="0.25">
      <c r="A784" s="26" t="str">
        <f t="shared" si="124"/>
        <v>PRIMARIA</v>
      </c>
      <c r="B784" s="26" t="str">
        <f>"09DPR1777C"</f>
        <v>09DPR1777C</v>
      </c>
      <c r="C784" s="26" t="str">
        <f>"MIGUEL RAMOS ARIZPE                                                                                 "</f>
        <v xml:space="preserve">MIGUEL RAMOS ARIZPE                                                                                 </v>
      </c>
      <c r="D784" s="26" t="str">
        <f>"MATUTINO"</f>
        <v>MATUTINO</v>
      </c>
      <c r="E784" s="26" t="str">
        <f>"IGNACIO ALLENDE S/N.                                                            "</f>
        <v xml:space="preserve">IGNACIO ALLENDE S/N.                                                            </v>
      </c>
      <c r="F784" s="26" t="str">
        <f>"GUADALUPE DEL MORAL                                                                                                                         "</f>
        <v xml:space="preserve">GUADALUPE DEL MORAL                                                                                                                         </v>
      </c>
      <c r="G784" s="26" t="str">
        <f>"IZTAPALAPA                                                                      "</f>
        <v xml:space="preserve">IZTAPALAPA                                                                      </v>
      </c>
      <c r="H784" s="26" t="str">
        <f>"039"</f>
        <v>039</v>
      </c>
      <c r="I784" s="26" t="str">
        <f t="shared" si="125"/>
        <v>00</v>
      </c>
      <c r="J784" s="26" t="str">
        <f>"63 "</f>
        <v xml:space="preserve">63 </v>
      </c>
      <c r="K784" s="26" t="str">
        <f>"IZ"</f>
        <v>IZ</v>
      </c>
      <c r="L784" s="26" t="str">
        <f>"DGSEI"</f>
        <v>DGSEI</v>
      </c>
      <c r="M784" s="26" t="str">
        <f t="shared" si="126"/>
        <v>FEDERAL</v>
      </c>
      <c r="N784" s="26">
        <v>477</v>
      </c>
      <c r="O784" s="26">
        <v>242</v>
      </c>
      <c r="P784" s="26">
        <v>235</v>
      </c>
      <c r="Q784" s="26">
        <v>17</v>
      </c>
      <c r="R784" s="26">
        <v>1</v>
      </c>
      <c r="S784" s="26">
        <v>17</v>
      </c>
      <c r="T784" s="26">
        <v>8</v>
      </c>
      <c r="U784" s="26">
        <v>26</v>
      </c>
      <c r="V784" s="26">
        <v>1</v>
      </c>
      <c r="W784" s="26"/>
    </row>
    <row r="785" spans="1:23" x14ac:dyDescent="0.25">
      <c r="A785" s="26" t="str">
        <f t="shared" si="124"/>
        <v>PRIMARIA</v>
      </c>
      <c r="B785" s="26" t="str">
        <f>"09DPR1779A"</f>
        <v>09DPR1779A</v>
      </c>
      <c r="C785" s="26" t="str">
        <f>"VICENTE GUERRERO                                                                                    "</f>
        <v xml:space="preserve">VICENTE GUERRERO                                                                                    </v>
      </c>
      <c r="D785" s="26" t="str">
        <f>"MATUTINO"</f>
        <v>MATUTINO</v>
      </c>
      <c r="E785" s="26" t="str">
        <f>"MINA 5                                                                          "</f>
        <v xml:space="preserve">MINA 5                                                                          </v>
      </c>
      <c r="F785" s="26" t="str">
        <f>"SAN MATEO TLALTENANGO                                                                                                                       "</f>
        <v xml:space="preserve">SAN MATEO TLALTENANGO                                                                                                                       </v>
      </c>
      <c r="G785" s="26" t="str">
        <f>"CUAJIMALPA DE MORELOS                                                           "</f>
        <v xml:space="preserve">CUAJIMALPA DE MORELOS                                                           </v>
      </c>
      <c r="H785" s="26" t="str">
        <f>"303"</f>
        <v>303</v>
      </c>
      <c r="I785" s="26" t="str">
        <f t="shared" si="125"/>
        <v>00</v>
      </c>
      <c r="J785" s="26" t="str">
        <f t="shared" ref="J785:J791" si="127">"43 "</f>
        <v xml:space="preserve">43 </v>
      </c>
      <c r="K785" s="26" t="str">
        <f t="shared" ref="K785:K791" si="128">"PR"</f>
        <v>PR</v>
      </c>
      <c r="L785" s="26" t="str">
        <f t="shared" ref="L785:L791" si="129">"DGOSE"</f>
        <v>DGOSE</v>
      </c>
      <c r="M785" s="26" t="str">
        <f t="shared" si="126"/>
        <v>FEDERAL</v>
      </c>
      <c r="N785" s="26">
        <v>681</v>
      </c>
      <c r="O785" s="26">
        <v>319</v>
      </c>
      <c r="P785" s="26">
        <v>362</v>
      </c>
      <c r="Q785" s="26">
        <v>21</v>
      </c>
      <c r="R785" s="26">
        <v>1</v>
      </c>
      <c r="S785" s="26">
        <v>19</v>
      </c>
      <c r="T785" s="26">
        <v>11</v>
      </c>
      <c r="U785" s="26">
        <v>31</v>
      </c>
      <c r="V785" s="26">
        <v>1</v>
      </c>
      <c r="W785" s="26"/>
    </row>
    <row r="786" spans="1:23" x14ac:dyDescent="0.25">
      <c r="A786" s="26" t="str">
        <f t="shared" si="124"/>
        <v>PRIMARIA</v>
      </c>
      <c r="B786" s="26" t="str">
        <f>"09DPR1781P"</f>
        <v>09DPR1781P</v>
      </c>
      <c r="C786" s="26" t="str">
        <f>"XOCHIQUETZAL                                                                                        "</f>
        <v xml:space="preserve">XOCHIQUETZAL                                                                                        </v>
      </c>
      <c r="D786" s="26" t="str">
        <f>"MATUTINO"</f>
        <v>MATUTINO</v>
      </c>
      <c r="E786" s="26" t="str">
        <f>"AV.SN.JOSE DE LOS CEDROS NUM.326                                                "</f>
        <v xml:space="preserve">AV.SN.JOSE DE LOS CEDROS NUM.326                                                </v>
      </c>
      <c r="F786" s="26" t="str">
        <f>"SAN JOSE DE LOS CEDROS                                                                                                                      "</f>
        <v xml:space="preserve">SAN JOSE DE LOS CEDROS                                                                                                                      </v>
      </c>
      <c r="G786" s="26" t="str">
        <f>"CUAJIMALPA DE MORELOS                                                           "</f>
        <v xml:space="preserve">CUAJIMALPA DE MORELOS                                                           </v>
      </c>
      <c r="H786" s="26" t="str">
        <f>"302"</f>
        <v>302</v>
      </c>
      <c r="I786" s="26" t="str">
        <f t="shared" si="125"/>
        <v>00</v>
      </c>
      <c r="J786" s="26" t="str">
        <f t="shared" si="127"/>
        <v xml:space="preserve">43 </v>
      </c>
      <c r="K786" s="26" t="str">
        <f t="shared" si="128"/>
        <v>PR</v>
      </c>
      <c r="L786" s="26" t="str">
        <f t="shared" si="129"/>
        <v>DGOSE</v>
      </c>
      <c r="M786" s="26" t="str">
        <f t="shared" si="126"/>
        <v>FEDERAL</v>
      </c>
      <c r="N786" s="26">
        <v>403</v>
      </c>
      <c r="O786" s="26">
        <v>219</v>
      </c>
      <c r="P786" s="26">
        <v>184</v>
      </c>
      <c r="Q786" s="26">
        <v>13</v>
      </c>
      <c r="R786" s="26">
        <v>1</v>
      </c>
      <c r="S786" s="26">
        <v>13</v>
      </c>
      <c r="T786" s="26">
        <v>6</v>
      </c>
      <c r="U786" s="26">
        <v>20</v>
      </c>
      <c r="V786" s="26">
        <v>1</v>
      </c>
      <c r="W786" s="26"/>
    </row>
    <row r="787" spans="1:23" x14ac:dyDescent="0.25">
      <c r="A787" s="26" t="str">
        <f t="shared" si="124"/>
        <v>PRIMARIA</v>
      </c>
      <c r="B787" s="26" t="str">
        <f>"09DPR1782O"</f>
        <v>09DPR1782O</v>
      </c>
      <c r="C787" s="26" t="str">
        <f>"XOCHIQUETZAL                                                                                        "</f>
        <v xml:space="preserve">XOCHIQUETZAL                                                                                        </v>
      </c>
      <c r="D787" s="26" t="str">
        <f>"VESPERTINO"</f>
        <v>VESPERTINO</v>
      </c>
      <c r="E787" s="26" t="str">
        <f>"AVENIDA.SN.JOSE DE LOS CEDROS NUM.326                                           "</f>
        <v xml:space="preserve">AVENIDA.SN.JOSE DE LOS CEDROS NUM.326                                           </v>
      </c>
      <c r="F787" s="26" t="str">
        <f>"SAN JOSE DE LOS CEDROS                                                                                                                      "</f>
        <v xml:space="preserve">SAN JOSE DE LOS CEDROS                                                                                                                      </v>
      </c>
      <c r="G787" s="26" t="str">
        <f>"CUAJIMALPA DE MORELOS                                                           "</f>
        <v xml:space="preserve">CUAJIMALPA DE MORELOS                                                           </v>
      </c>
      <c r="H787" s="26" t="str">
        <f>"302"</f>
        <v>302</v>
      </c>
      <c r="I787" s="26" t="str">
        <f t="shared" si="125"/>
        <v>00</v>
      </c>
      <c r="J787" s="26" t="str">
        <f t="shared" si="127"/>
        <v xml:space="preserve">43 </v>
      </c>
      <c r="K787" s="26" t="str">
        <f t="shared" si="128"/>
        <v>PR</v>
      </c>
      <c r="L787" s="26" t="str">
        <f t="shared" si="129"/>
        <v>DGOSE</v>
      </c>
      <c r="M787" s="26" t="str">
        <f t="shared" si="126"/>
        <v>FEDERAL</v>
      </c>
      <c r="N787" s="26">
        <v>241</v>
      </c>
      <c r="O787" s="26">
        <v>117</v>
      </c>
      <c r="P787" s="26">
        <v>124</v>
      </c>
      <c r="Q787" s="26">
        <v>18</v>
      </c>
      <c r="R787" s="26">
        <v>1</v>
      </c>
      <c r="S787" s="26">
        <v>12</v>
      </c>
      <c r="T787" s="26">
        <v>6</v>
      </c>
      <c r="U787" s="26">
        <v>19</v>
      </c>
      <c r="V787" s="26">
        <v>1</v>
      </c>
      <c r="W787" s="26"/>
    </row>
    <row r="788" spans="1:23" x14ac:dyDescent="0.25">
      <c r="A788" s="26" t="str">
        <f t="shared" si="124"/>
        <v>PRIMARIA</v>
      </c>
      <c r="B788" s="26" t="str">
        <f>"09DPR1783N"</f>
        <v>09DPR1783N</v>
      </c>
      <c r="C788" s="26" t="str">
        <f>"VENUSTIANO CARRANZA                                                                                 "</f>
        <v xml:space="preserve">VENUSTIANO CARRANZA                                                                                 </v>
      </c>
      <c r="D788" s="26" t="str">
        <f>"MATUTINO"</f>
        <v>MATUTINO</v>
      </c>
      <c r="E788" s="26" t="str">
        <f>"AV VASCO DE QUIROGA 1401                                                        "</f>
        <v xml:space="preserve">AV VASCO DE QUIROGA 1401                                                        </v>
      </c>
      <c r="F788" s="26" t="str">
        <f>"SANTA FE                                                                                                                                    "</f>
        <v xml:space="preserve">SANTA FE                                                                                                                                    </v>
      </c>
      <c r="G788" s="26" t="str">
        <f>"ALVARO OBREGON                                                                  "</f>
        <v xml:space="preserve">ALVARO OBREGON                                                                  </v>
      </c>
      <c r="H788" s="26" t="str">
        <f>"311"</f>
        <v>311</v>
      </c>
      <c r="I788" s="26" t="str">
        <f t="shared" si="125"/>
        <v>00</v>
      </c>
      <c r="J788" s="26" t="str">
        <f t="shared" si="127"/>
        <v xml:space="preserve">43 </v>
      </c>
      <c r="K788" s="26" t="str">
        <f t="shared" si="128"/>
        <v>PR</v>
      </c>
      <c r="L788" s="26" t="str">
        <f t="shared" si="129"/>
        <v>DGOSE</v>
      </c>
      <c r="M788" s="26" t="str">
        <f t="shared" si="126"/>
        <v>FEDERAL</v>
      </c>
      <c r="N788" s="26">
        <v>280</v>
      </c>
      <c r="O788" s="26">
        <v>146</v>
      </c>
      <c r="P788" s="26">
        <v>134</v>
      </c>
      <c r="Q788" s="26">
        <v>9</v>
      </c>
      <c r="R788" s="26">
        <v>1</v>
      </c>
      <c r="S788" s="26">
        <v>9</v>
      </c>
      <c r="T788" s="26">
        <v>5</v>
      </c>
      <c r="U788" s="26">
        <v>15</v>
      </c>
      <c r="V788" s="26">
        <v>1</v>
      </c>
      <c r="W788" s="26"/>
    </row>
    <row r="789" spans="1:23" x14ac:dyDescent="0.25">
      <c r="A789" s="26" t="str">
        <f t="shared" si="124"/>
        <v>PRIMARIA</v>
      </c>
      <c r="B789" s="26" t="str">
        <f>"09DPR1784M"</f>
        <v>09DPR1784M</v>
      </c>
      <c r="C789" s="26" t="str">
        <f>"CARLOS A. PEREYRA                                                                                   "</f>
        <v xml:space="preserve">CARLOS A. PEREYRA                                                                                   </v>
      </c>
      <c r="D789" s="26" t="str">
        <f>"MATUTINO"</f>
        <v>MATUTINO</v>
      </c>
      <c r="E789" s="26" t="str">
        <f>"AV.GUSTAVO DIAZ ORDAZ S/N.                                                      "</f>
        <v xml:space="preserve">AV.GUSTAVO DIAZ ORDAZ S/N.                                                      </v>
      </c>
      <c r="F789" s="26" t="str">
        <f>"JALALPA AMPLIACION                                                                                                                          "</f>
        <v xml:space="preserve">JALALPA AMPLIACION                                                                                                                          </v>
      </c>
      <c r="G789" s="26" t="str">
        <f>"ALVARO OBREGON                                                                  "</f>
        <v xml:space="preserve">ALVARO OBREGON                                                                  </v>
      </c>
      <c r="H789" s="26" t="str">
        <f>"316"</f>
        <v>316</v>
      </c>
      <c r="I789" s="26" t="str">
        <f t="shared" si="125"/>
        <v>00</v>
      </c>
      <c r="J789" s="26" t="str">
        <f t="shared" si="127"/>
        <v xml:space="preserve">43 </v>
      </c>
      <c r="K789" s="26" t="str">
        <f t="shared" si="128"/>
        <v>PR</v>
      </c>
      <c r="L789" s="26" t="str">
        <f t="shared" si="129"/>
        <v>DGOSE</v>
      </c>
      <c r="M789" s="26" t="str">
        <f t="shared" si="126"/>
        <v>FEDERAL</v>
      </c>
      <c r="N789" s="26">
        <v>626</v>
      </c>
      <c r="O789" s="26">
        <v>311</v>
      </c>
      <c r="P789" s="26">
        <v>315</v>
      </c>
      <c r="Q789" s="26">
        <v>18</v>
      </c>
      <c r="R789" s="26">
        <v>1</v>
      </c>
      <c r="S789" s="26">
        <v>18</v>
      </c>
      <c r="T789" s="26">
        <v>8</v>
      </c>
      <c r="U789" s="26">
        <v>27</v>
      </c>
      <c r="V789" s="26">
        <v>1</v>
      </c>
      <c r="W789" s="26"/>
    </row>
    <row r="790" spans="1:23" x14ac:dyDescent="0.25">
      <c r="A790" s="26" t="str">
        <f t="shared" si="124"/>
        <v>PRIMARIA</v>
      </c>
      <c r="B790" s="26" t="str">
        <f>"09DPR1785L"</f>
        <v>09DPR1785L</v>
      </c>
      <c r="C790" s="26" t="str">
        <f>"VASCO DE QUIROGA                                                                                    "</f>
        <v xml:space="preserve">VASCO DE QUIROGA                                                                                    </v>
      </c>
      <c r="D790" s="26" t="str">
        <f>"MATUTINO"</f>
        <v>MATUTINO</v>
      </c>
      <c r="E790" s="26" t="str">
        <f>"PROGRESO S/N                                                                    "</f>
        <v xml:space="preserve">PROGRESO S/N                                                                    </v>
      </c>
      <c r="F790" s="26" t="str">
        <f>"SANTA FE                                                                                                                                    "</f>
        <v xml:space="preserve">SANTA FE                                                                                                                                    </v>
      </c>
      <c r="G790" s="26" t="str">
        <f>"ALVARO OBREGON                                                                  "</f>
        <v xml:space="preserve">ALVARO OBREGON                                                                  </v>
      </c>
      <c r="H790" s="26" t="str">
        <f>"312"</f>
        <v>312</v>
      </c>
      <c r="I790" s="26" t="str">
        <f t="shared" si="125"/>
        <v>00</v>
      </c>
      <c r="J790" s="26" t="str">
        <f t="shared" si="127"/>
        <v xml:space="preserve">43 </v>
      </c>
      <c r="K790" s="26" t="str">
        <f t="shared" si="128"/>
        <v>PR</v>
      </c>
      <c r="L790" s="26" t="str">
        <f t="shared" si="129"/>
        <v>DGOSE</v>
      </c>
      <c r="M790" s="26" t="str">
        <f t="shared" si="126"/>
        <v>FEDERAL</v>
      </c>
      <c r="N790" s="26">
        <v>579</v>
      </c>
      <c r="O790" s="26">
        <v>292</v>
      </c>
      <c r="P790" s="26">
        <v>287</v>
      </c>
      <c r="Q790" s="26">
        <v>22</v>
      </c>
      <c r="R790" s="26">
        <v>1</v>
      </c>
      <c r="S790" s="26">
        <v>22</v>
      </c>
      <c r="T790" s="26">
        <v>11</v>
      </c>
      <c r="U790" s="26">
        <v>34</v>
      </c>
      <c r="V790" s="26">
        <v>1</v>
      </c>
      <c r="W790" s="26"/>
    </row>
    <row r="791" spans="1:23" x14ac:dyDescent="0.25">
      <c r="A791" s="26" t="str">
        <f t="shared" si="124"/>
        <v>PRIMARIA</v>
      </c>
      <c r="B791" s="26" t="str">
        <f>"09DPR1786K"</f>
        <v>09DPR1786K</v>
      </c>
      <c r="C791" s="26" t="str">
        <f>"VALERIO TRUJANO                                                                                     "</f>
        <v xml:space="preserve">VALERIO TRUJANO                                                                                     </v>
      </c>
      <c r="D791" s="26" t="str">
        <f>"MATUTINO"</f>
        <v>MATUTINO</v>
      </c>
      <c r="E791" s="26" t="str">
        <f>"AV JUAREZ NUM 22                                                                "</f>
        <v xml:space="preserve">AV JUAREZ NUM 22                                                                </v>
      </c>
      <c r="F791" s="26" t="str">
        <f>"CHIMALPA                                                                                                                                    "</f>
        <v xml:space="preserve">CHIMALPA                                                                                                                                    </v>
      </c>
      <c r="G791" s="26" t="str">
        <f>"CUAJIMALPA DE MORELOS                                                           "</f>
        <v xml:space="preserve">CUAJIMALPA DE MORELOS                                                           </v>
      </c>
      <c r="H791" s="26" t="str">
        <f>"305"</f>
        <v>305</v>
      </c>
      <c r="I791" s="26" t="str">
        <f t="shared" si="125"/>
        <v>00</v>
      </c>
      <c r="J791" s="26" t="str">
        <f t="shared" si="127"/>
        <v xml:space="preserve">43 </v>
      </c>
      <c r="K791" s="26" t="str">
        <f t="shared" si="128"/>
        <v>PR</v>
      </c>
      <c r="L791" s="26" t="str">
        <f t="shared" si="129"/>
        <v>DGOSE</v>
      </c>
      <c r="M791" s="26" t="str">
        <f t="shared" si="126"/>
        <v>FEDERAL</v>
      </c>
      <c r="N791" s="26">
        <v>510</v>
      </c>
      <c r="O791" s="26">
        <v>261</v>
      </c>
      <c r="P791" s="26">
        <v>249</v>
      </c>
      <c r="Q791" s="26">
        <v>15</v>
      </c>
      <c r="R791" s="26">
        <v>1</v>
      </c>
      <c r="S791" s="26">
        <v>15</v>
      </c>
      <c r="T791" s="26">
        <v>10</v>
      </c>
      <c r="U791" s="26">
        <v>26</v>
      </c>
      <c r="V791" s="26">
        <v>1</v>
      </c>
      <c r="W791" s="26"/>
    </row>
    <row r="792" spans="1:23" x14ac:dyDescent="0.25">
      <c r="A792" s="26" t="str">
        <f t="shared" si="124"/>
        <v>PRIMARIA</v>
      </c>
      <c r="B792" s="26" t="str">
        <f>"09DPR1787J"</f>
        <v>09DPR1787J</v>
      </c>
      <c r="C792" s="26" t="str">
        <f>"ERMILO ABREU GOMEZ                                                                                  "</f>
        <v xml:space="preserve">ERMILO ABREU GOMEZ                                                                                  </v>
      </c>
      <c r="D792" s="26" t="str">
        <f>"TIEMPO COMPLETO"</f>
        <v>TIEMPO COMPLETO</v>
      </c>
      <c r="E792" s="26" t="str">
        <f>"CONMUTADOR NO. 124                                                              "</f>
        <v xml:space="preserve">CONMUTADOR NO. 124                                                              </v>
      </c>
      <c r="F792" s="26" t="str">
        <f>"SINATEL AMPLIACION                                                                                                                          "</f>
        <v xml:space="preserve">SINATEL AMPLIACION                                                                                                                          </v>
      </c>
      <c r="G792" s="26" t="str">
        <f>"IZTAPALAPA                                                                      "</f>
        <v xml:space="preserve">IZTAPALAPA                                                                      </v>
      </c>
      <c r="H792" s="26" t="str">
        <f>"001"</f>
        <v>001</v>
      </c>
      <c r="I792" s="26" t="str">
        <f t="shared" si="125"/>
        <v>00</v>
      </c>
      <c r="J792" s="26" t="str">
        <f>"61 "</f>
        <v xml:space="preserve">61 </v>
      </c>
      <c r="K792" s="26" t="str">
        <f>"IZ"</f>
        <v>IZ</v>
      </c>
      <c r="L792" s="26" t="str">
        <f>"DGSEI"</f>
        <v>DGSEI</v>
      </c>
      <c r="M792" s="26" t="str">
        <f t="shared" si="126"/>
        <v>FEDERAL</v>
      </c>
      <c r="N792" s="26">
        <v>417</v>
      </c>
      <c r="O792" s="26">
        <v>205</v>
      </c>
      <c r="P792" s="26">
        <v>212</v>
      </c>
      <c r="Q792" s="26">
        <v>16</v>
      </c>
      <c r="R792" s="26">
        <v>1</v>
      </c>
      <c r="S792" s="26">
        <v>16</v>
      </c>
      <c r="T792" s="26">
        <v>12</v>
      </c>
      <c r="U792" s="26">
        <v>29</v>
      </c>
      <c r="V792" s="26">
        <v>1</v>
      </c>
      <c r="W792" s="26" t="s">
        <v>218</v>
      </c>
    </row>
    <row r="793" spans="1:23" x14ac:dyDescent="0.25">
      <c r="A793" s="26" t="str">
        <f t="shared" si="124"/>
        <v>PRIMARIA</v>
      </c>
      <c r="B793" s="26" t="str">
        <f>"09DPR1788I"</f>
        <v>09DPR1788I</v>
      </c>
      <c r="C793" s="26" t="str">
        <f>"CARLOS A. PEREYRA                                                                                   "</f>
        <v xml:space="preserve">CARLOS A. PEREYRA                                                                                   </v>
      </c>
      <c r="D793" s="26" t="str">
        <f>"VESPERTINO"</f>
        <v>VESPERTINO</v>
      </c>
      <c r="E793" s="26" t="str">
        <f>"AV. GUSTAVO DIAZ ORDAZ S/N                                                      "</f>
        <v xml:space="preserve">AV. GUSTAVO DIAZ ORDAZ S/N                                                      </v>
      </c>
      <c r="F793" s="26" t="str">
        <f>"JALALPA AMPLIACION                                                                                                                          "</f>
        <v xml:space="preserve">JALALPA AMPLIACION                                                                                                                          </v>
      </c>
      <c r="G793" s="26" t="str">
        <f>"ALVARO OBREGON                                                                  "</f>
        <v xml:space="preserve">ALVARO OBREGON                                                                  </v>
      </c>
      <c r="H793" s="26" t="str">
        <f>"316"</f>
        <v>316</v>
      </c>
      <c r="I793" s="26" t="str">
        <f t="shared" si="125"/>
        <v>00</v>
      </c>
      <c r="J793" s="26" t="str">
        <f>"43 "</f>
        <v xml:space="preserve">43 </v>
      </c>
      <c r="K793" s="26" t="str">
        <f t="shared" ref="K793:K801" si="130">"PR"</f>
        <v>PR</v>
      </c>
      <c r="L793" s="26" t="str">
        <f t="shared" ref="L793:L801" si="131">"DGOSE"</f>
        <v>DGOSE</v>
      </c>
      <c r="M793" s="26" t="str">
        <f t="shared" si="126"/>
        <v>FEDERAL</v>
      </c>
      <c r="N793" s="26">
        <v>417</v>
      </c>
      <c r="O793" s="26">
        <v>230</v>
      </c>
      <c r="P793" s="26">
        <v>187</v>
      </c>
      <c r="Q793" s="26">
        <v>17</v>
      </c>
      <c r="R793" s="26">
        <v>1</v>
      </c>
      <c r="S793" s="26">
        <v>15</v>
      </c>
      <c r="T793" s="26">
        <v>5</v>
      </c>
      <c r="U793" s="26">
        <v>21</v>
      </c>
      <c r="V793" s="26">
        <v>1</v>
      </c>
      <c r="W793" s="26"/>
    </row>
    <row r="794" spans="1:23" x14ac:dyDescent="0.25">
      <c r="A794" s="26" t="str">
        <f t="shared" si="124"/>
        <v>PRIMARIA</v>
      </c>
      <c r="B794" s="26" t="str">
        <f>"09DPR1789H"</f>
        <v>09DPR1789H</v>
      </c>
      <c r="C794" s="26" t="str">
        <f>"SIETE DE ENERO                                                                                      "</f>
        <v xml:space="preserve">SIETE DE ENERO                                                                                      </v>
      </c>
      <c r="D794" s="26" t="str">
        <f>"JORNADA AMPLIADA"</f>
        <v>JORNADA AMPLIADA</v>
      </c>
      <c r="E794" s="26" t="str">
        <f>"SUR 122 NUM 10                                                                  "</f>
        <v xml:space="preserve">SUR 122 NUM 10                                                                  </v>
      </c>
      <c r="F794" s="26" t="str">
        <f>"COVE                                                                                                                                        "</f>
        <v xml:space="preserve">COVE                                                                                                                                        </v>
      </c>
      <c r="G794" s="26" t="str">
        <f>"ALVARO OBREGON                                                                  "</f>
        <v xml:space="preserve">ALVARO OBREGON                                                                  </v>
      </c>
      <c r="H794" s="26" t="str">
        <f>"400"</f>
        <v>400</v>
      </c>
      <c r="I794" s="26" t="str">
        <f t="shared" si="125"/>
        <v>00</v>
      </c>
      <c r="J794" s="26" t="str">
        <f>"44 "</f>
        <v xml:space="preserve">44 </v>
      </c>
      <c r="K794" s="26" t="str">
        <f t="shared" si="130"/>
        <v>PR</v>
      </c>
      <c r="L794" s="26" t="str">
        <f t="shared" si="131"/>
        <v>DGOSE</v>
      </c>
      <c r="M794" s="26" t="str">
        <f t="shared" si="126"/>
        <v>FEDERAL</v>
      </c>
      <c r="N794" s="26">
        <v>442</v>
      </c>
      <c r="O794" s="26">
        <v>222</v>
      </c>
      <c r="P794" s="26">
        <v>220</v>
      </c>
      <c r="Q794" s="26">
        <v>15</v>
      </c>
      <c r="R794" s="26">
        <v>1</v>
      </c>
      <c r="S794" s="26">
        <v>15</v>
      </c>
      <c r="T794" s="26">
        <v>12</v>
      </c>
      <c r="U794" s="26">
        <v>28</v>
      </c>
      <c r="V794" s="26">
        <v>1</v>
      </c>
      <c r="W794" s="26" t="s">
        <v>2076</v>
      </c>
    </row>
    <row r="795" spans="1:23" x14ac:dyDescent="0.25">
      <c r="A795" s="26" t="str">
        <f t="shared" si="124"/>
        <v>PRIMARIA</v>
      </c>
      <c r="B795" s="26" t="str">
        <f>"09DPR1791W"</f>
        <v>09DPR1791W</v>
      </c>
      <c r="C795" s="26" t="str">
        <f>"GRAL. SANTOS DEGOLLADO                                                                              "</f>
        <v xml:space="preserve">GRAL. SANTOS DEGOLLADO                                                                              </v>
      </c>
      <c r="D795" s="26" t="str">
        <f>"MATUTINO"</f>
        <v>MATUTINO</v>
      </c>
      <c r="E795" s="26" t="str">
        <f>"LEANDRO VALLE NUM 33                                                            "</f>
        <v xml:space="preserve">LEANDRO VALLE NUM 33                                                            </v>
      </c>
      <c r="F795" s="26" t="str">
        <f>"SAN LORENZO ACOPILCO                                                                                                                        "</f>
        <v xml:space="preserve">SAN LORENZO ACOPILCO                                                                                                                        </v>
      </c>
      <c r="G795" s="26" t="str">
        <f>"CUAJIMALPA DE MORELOS                                                           "</f>
        <v xml:space="preserve">CUAJIMALPA DE MORELOS                                                           </v>
      </c>
      <c r="H795" s="26" t="str">
        <f>"306"</f>
        <v>306</v>
      </c>
      <c r="I795" s="26" t="str">
        <f t="shared" si="125"/>
        <v>00</v>
      </c>
      <c r="J795" s="26" t="str">
        <f>"43 "</f>
        <v xml:space="preserve">43 </v>
      </c>
      <c r="K795" s="26" t="str">
        <f t="shared" si="130"/>
        <v>PR</v>
      </c>
      <c r="L795" s="26" t="str">
        <f t="shared" si="131"/>
        <v>DGOSE</v>
      </c>
      <c r="M795" s="26" t="str">
        <f t="shared" si="126"/>
        <v>FEDERAL</v>
      </c>
      <c r="N795" s="26">
        <v>310</v>
      </c>
      <c r="O795" s="26">
        <v>154</v>
      </c>
      <c r="P795" s="26">
        <v>156</v>
      </c>
      <c r="Q795" s="26">
        <v>10</v>
      </c>
      <c r="R795" s="26">
        <v>1</v>
      </c>
      <c r="S795" s="26">
        <v>10</v>
      </c>
      <c r="T795" s="26">
        <v>5</v>
      </c>
      <c r="U795" s="26">
        <v>16</v>
      </c>
      <c r="V795" s="26">
        <v>1</v>
      </c>
      <c r="W795" s="26"/>
    </row>
    <row r="796" spans="1:23" x14ac:dyDescent="0.25">
      <c r="A796" s="26" t="str">
        <f t="shared" si="124"/>
        <v>PRIMARIA</v>
      </c>
      <c r="B796" s="26" t="str">
        <f>"09DPR1792V"</f>
        <v>09DPR1792V</v>
      </c>
      <c r="C796" s="26" t="str">
        <f>"REPUBLICA DE COSTA RICA                                                                             "</f>
        <v xml:space="preserve">REPUBLICA DE COSTA RICA                                                                             </v>
      </c>
      <c r="D796" s="26" t="str">
        <f>"MATUTINO"</f>
        <v>MATUTINO</v>
      </c>
      <c r="E796" s="26" t="str">
        <f>"VICENTE EGUIA NO 32                                                             "</f>
        <v xml:space="preserve">VICENTE EGUIA NO 32                                                             </v>
      </c>
      <c r="F796" s="26" t="str">
        <f>"SAN MIGUEL CHAPULTEPEC                                                                                                                      "</f>
        <v xml:space="preserve">SAN MIGUEL CHAPULTEPEC                                                                                                                      </v>
      </c>
      <c r="G796" s="26" t="str">
        <f>"MIGUEL HIDALGO                                                                  "</f>
        <v xml:space="preserve">MIGUEL HIDALGO                                                                  </v>
      </c>
      <c r="H796" s="26" t="str">
        <f>"210"</f>
        <v>210</v>
      </c>
      <c r="I796" s="26" t="str">
        <f t="shared" si="125"/>
        <v>00</v>
      </c>
      <c r="J796" s="26" t="str">
        <f>"42 "</f>
        <v xml:space="preserve">42 </v>
      </c>
      <c r="K796" s="26" t="str">
        <f t="shared" si="130"/>
        <v>PR</v>
      </c>
      <c r="L796" s="26" t="str">
        <f t="shared" si="131"/>
        <v>DGOSE</v>
      </c>
      <c r="M796" s="26" t="str">
        <f t="shared" si="126"/>
        <v>FEDERAL</v>
      </c>
      <c r="N796" s="26">
        <v>326</v>
      </c>
      <c r="O796" s="26">
        <v>161</v>
      </c>
      <c r="P796" s="26">
        <v>165</v>
      </c>
      <c r="Q796" s="26">
        <v>12</v>
      </c>
      <c r="R796" s="26">
        <v>1</v>
      </c>
      <c r="S796" s="26">
        <v>11</v>
      </c>
      <c r="T796" s="26">
        <v>9</v>
      </c>
      <c r="U796" s="26">
        <v>21</v>
      </c>
      <c r="V796" s="26">
        <v>1</v>
      </c>
      <c r="W796" s="26"/>
    </row>
    <row r="797" spans="1:23" x14ac:dyDescent="0.25">
      <c r="A797" s="26" t="str">
        <f t="shared" si="124"/>
        <v>PRIMARIA</v>
      </c>
      <c r="B797" s="26" t="str">
        <f>"09DPR1793U"</f>
        <v>09DPR1793U</v>
      </c>
      <c r="C797" s="26" t="str">
        <f>"REPUBLICA DE COSTA RICA                                                                             "</f>
        <v xml:space="preserve">REPUBLICA DE COSTA RICA                                                                             </v>
      </c>
      <c r="D797" s="26" t="str">
        <f>"VESPERTINO"</f>
        <v>VESPERTINO</v>
      </c>
      <c r="E797" s="26" t="str">
        <f>"VICENTE EGUIA NUM 32                                                            "</f>
        <v xml:space="preserve">VICENTE EGUIA NUM 32                                                            </v>
      </c>
      <c r="F797" s="26" t="str">
        <f>"SAN MIGUEL CHAPULTEPEC                                                                                                                      "</f>
        <v xml:space="preserve">SAN MIGUEL CHAPULTEPEC                                                                                                                      </v>
      </c>
      <c r="G797" s="26" t="str">
        <f>"MIGUEL HIDALGO                                                                  "</f>
        <v xml:space="preserve">MIGUEL HIDALGO                                                                  </v>
      </c>
      <c r="H797" s="26" t="str">
        <f>"210"</f>
        <v>210</v>
      </c>
      <c r="I797" s="26" t="str">
        <f t="shared" si="125"/>
        <v>00</v>
      </c>
      <c r="J797" s="26" t="str">
        <f>"42 "</f>
        <v xml:space="preserve">42 </v>
      </c>
      <c r="K797" s="26" t="str">
        <f t="shared" si="130"/>
        <v>PR</v>
      </c>
      <c r="L797" s="26" t="str">
        <f t="shared" si="131"/>
        <v>DGOSE</v>
      </c>
      <c r="M797" s="26" t="str">
        <f t="shared" si="126"/>
        <v>FEDERAL</v>
      </c>
      <c r="N797" s="26">
        <v>122</v>
      </c>
      <c r="O797" s="26">
        <v>54</v>
      </c>
      <c r="P797" s="26">
        <v>68</v>
      </c>
      <c r="Q797" s="26">
        <v>10</v>
      </c>
      <c r="R797" s="26">
        <v>1</v>
      </c>
      <c r="S797" s="26">
        <v>8</v>
      </c>
      <c r="T797" s="26">
        <v>6</v>
      </c>
      <c r="U797" s="26">
        <v>15</v>
      </c>
      <c r="V797" s="26">
        <v>1</v>
      </c>
      <c r="W797" s="26"/>
    </row>
    <row r="798" spans="1:23" x14ac:dyDescent="0.25">
      <c r="A798" s="26" t="str">
        <f t="shared" si="124"/>
        <v>PRIMARIA</v>
      </c>
      <c r="B798" s="26" t="str">
        <f>"09DPR1795S"</f>
        <v>09DPR1795S</v>
      </c>
      <c r="C798" s="26" t="str">
        <f>"RAFAEL AREVALO MARTINEZ                                                                             "</f>
        <v xml:space="preserve">RAFAEL AREVALO MARTINEZ                                                                             </v>
      </c>
      <c r="D798" s="26" t="str">
        <f>"JORNADA AMPLIADA"</f>
        <v>JORNADA AMPLIADA</v>
      </c>
      <c r="E798" s="26" t="str">
        <f>"HOLANDESES Y CAMINO A STA FE                                                    "</f>
        <v xml:space="preserve">HOLANDESES Y CAMINO A STA FE                                                    </v>
      </c>
      <c r="F798" s="26" t="str">
        <f>"EL PARAISO                                                                                                                                  "</f>
        <v xml:space="preserve">EL PARAISO                                                                                                                                  </v>
      </c>
      <c r="G798" s="26" t="str">
        <f>"ALVARO OBREGON                                                                  "</f>
        <v xml:space="preserve">ALVARO OBREGON                                                                  </v>
      </c>
      <c r="H798" s="26" t="str">
        <f>"401"</f>
        <v>401</v>
      </c>
      <c r="I798" s="26" t="str">
        <f t="shared" si="125"/>
        <v>00</v>
      </c>
      <c r="J798" s="26" t="str">
        <f>"44 "</f>
        <v xml:space="preserve">44 </v>
      </c>
      <c r="K798" s="26" t="str">
        <f t="shared" si="130"/>
        <v>PR</v>
      </c>
      <c r="L798" s="26" t="str">
        <f t="shared" si="131"/>
        <v>DGOSE</v>
      </c>
      <c r="M798" s="26" t="str">
        <f t="shared" si="126"/>
        <v>FEDERAL</v>
      </c>
      <c r="N798" s="26">
        <v>429</v>
      </c>
      <c r="O798" s="26">
        <v>215</v>
      </c>
      <c r="P798" s="26">
        <v>214</v>
      </c>
      <c r="Q798" s="26">
        <v>13</v>
      </c>
      <c r="R798" s="26">
        <v>1</v>
      </c>
      <c r="S798" s="26">
        <v>13</v>
      </c>
      <c r="T798" s="26">
        <v>10</v>
      </c>
      <c r="U798" s="26">
        <v>24</v>
      </c>
      <c r="V798" s="26">
        <v>1</v>
      </c>
      <c r="W798" s="26" t="s">
        <v>2076</v>
      </c>
    </row>
    <row r="799" spans="1:23" x14ac:dyDescent="0.25">
      <c r="A799" s="26" t="str">
        <f t="shared" si="124"/>
        <v>PRIMARIA</v>
      </c>
      <c r="B799" s="26" t="str">
        <f>"09DPR1796R"</f>
        <v>09DPR1796R</v>
      </c>
      <c r="C799" s="26" t="str">
        <f>"RAMON MANTEROLA                                                                                     "</f>
        <v xml:space="preserve">RAMON MANTEROLA                                                                                     </v>
      </c>
      <c r="D799" s="26" t="str">
        <f>"VESPERTINO"</f>
        <v>VESPERTINO</v>
      </c>
      <c r="E799" s="26" t="str">
        <f>"AV JUAREZ NO 8                                                                  "</f>
        <v xml:space="preserve">AV JUAREZ NO 8                                                                  </v>
      </c>
      <c r="F799" s="26" t="str">
        <f>"CHIMALPA                                                                                                                                    "</f>
        <v xml:space="preserve">CHIMALPA                                                                                                                                    </v>
      </c>
      <c r="G799" s="26" t="str">
        <f>"CUAJIMALPA DE MORELOS                                                           "</f>
        <v xml:space="preserve">CUAJIMALPA DE MORELOS                                                           </v>
      </c>
      <c r="H799" s="26" t="str">
        <f>"305"</f>
        <v>305</v>
      </c>
      <c r="I799" s="26" t="str">
        <f t="shared" si="125"/>
        <v>00</v>
      </c>
      <c r="J799" s="26" t="str">
        <f>"43 "</f>
        <v xml:space="preserve">43 </v>
      </c>
      <c r="K799" s="26" t="str">
        <f t="shared" si="130"/>
        <v>PR</v>
      </c>
      <c r="L799" s="26" t="str">
        <f t="shared" si="131"/>
        <v>DGOSE</v>
      </c>
      <c r="M799" s="26" t="str">
        <f t="shared" si="126"/>
        <v>FEDERAL</v>
      </c>
      <c r="N799" s="26">
        <v>503</v>
      </c>
      <c r="O799" s="26">
        <v>245</v>
      </c>
      <c r="P799" s="26">
        <v>258</v>
      </c>
      <c r="Q799" s="26">
        <v>18</v>
      </c>
      <c r="R799" s="26">
        <v>1</v>
      </c>
      <c r="S799" s="26">
        <v>18</v>
      </c>
      <c r="T799" s="26">
        <v>7</v>
      </c>
      <c r="U799" s="26">
        <v>26</v>
      </c>
      <c r="V799" s="26">
        <v>1</v>
      </c>
      <c r="W799" s="26"/>
    </row>
    <row r="800" spans="1:23" x14ac:dyDescent="0.25">
      <c r="A800" s="26" t="str">
        <f t="shared" si="124"/>
        <v>PRIMARIA</v>
      </c>
      <c r="B800" s="26" t="str">
        <f>"09DPR1797Q"</f>
        <v>09DPR1797Q</v>
      </c>
      <c r="C800" s="26" t="str">
        <f>"PEDRO AGUIRRE DE LA BARRERA                                                                         "</f>
        <v xml:space="preserve">PEDRO AGUIRRE DE LA BARRERA                                                                         </v>
      </c>
      <c r="D800" s="26" t="str">
        <f t="shared" ref="D800:D806" si="132">"JORNADA AMPLIADA"</f>
        <v>JORNADA AMPLIADA</v>
      </c>
      <c r="E800" s="26" t="str">
        <f>"AV DE LAS ROSAS S/N                                                             "</f>
        <v xml:space="preserve">AV DE LAS ROSAS S/N                                                             </v>
      </c>
      <c r="F800" s="26" t="str">
        <f>"BELEN DE LAS FLORES                                                                                                                         "</f>
        <v xml:space="preserve">BELEN DE LAS FLORES                                                                                                                         </v>
      </c>
      <c r="G800" s="26" t="str">
        <f>"ALVARO OBREGON                                                                  "</f>
        <v xml:space="preserve">ALVARO OBREGON                                                                  </v>
      </c>
      <c r="H800" s="26" t="str">
        <f>"400"</f>
        <v>400</v>
      </c>
      <c r="I800" s="26" t="str">
        <f t="shared" si="125"/>
        <v>00</v>
      </c>
      <c r="J800" s="26" t="str">
        <f>"44 "</f>
        <v xml:space="preserve">44 </v>
      </c>
      <c r="K800" s="26" t="str">
        <f t="shared" si="130"/>
        <v>PR</v>
      </c>
      <c r="L800" s="26" t="str">
        <f t="shared" si="131"/>
        <v>DGOSE</v>
      </c>
      <c r="M800" s="26" t="str">
        <f t="shared" si="126"/>
        <v>FEDERAL</v>
      </c>
      <c r="N800" s="26">
        <v>170</v>
      </c>
      <c r="O800" s="26">
        <v>90</v>
      </c>
      <c r="P800" s="26">
        <v>80</v>
      </c>
      <c r="Q800" s="26">
        <v>6</v>
      </c>
      <c r="R800" s="26">
        <v>1</v>
      </c>
      <c r="S800" s="26">
        <v>6</v>
      </c>
      <c r="T800" s="26">
        <v>5</v>
      </c>
      <c r="U800" s="26">
        <v>12</v>
      </c>
      <c r="V800" s="26">
        <v>1</v>
      </c>
      <c r="W800" s="26" t="s">
        <v>2076</v>
      </c>
    </row>
    <row r="801" spans="1:23" x14ac:dyDescent="0.25">
      <c r="A801" s="26" t="str">
        <f t="shared" si="124"/>
        <v>PRIMARIA</v>
      </c>
      <c r="B801" s="26" t="str">
        <f>"09DPR1800N"</f>
        <v>09DPR1800N</v>
      </c>
      <c r="C801" s="26" t="str">
        <f>"NACIONES UNIDAS                                                                                     "</f>
        <v xml:space="preserve">NACIONES UNIDAS                                                                                     </v>
      </c>
      <c r="D801" s="26" t="str">
        <f t="shared" si="132"/>
        <v>JORNADA AMPLIADA</v>
      </c>
      <c r="E801" s="26" t="str">
        <f>"AV PRIMERO DE MAYO NUM 43                                                       "</f>
        <v xml:space="preserve">AV PRIMERO DE MAYO NUM 43                                                       </v>
      </c>
      <c r="F801" s="26" t="str">
        <f>"TACUBAYA                                                                                                                                    "</f>
        <v xml:space="preserve">TACUBAYA                                                                                                                                    </v>
      </c>
      <c r="G801" s="26" t="str">
        <f>"MIGUEL HIDALGO                                                                  "</f>
        <v xml:space="preserve">MIGUEL HIDALGO                                                                  </v>
      </c>
      <c r="H801" s="26" t="str">
        <f>"112"</f>
        <v>112</v>
      </c>
      <c r="I801" s="26" t="str">
        <f t="shared" si="125"/>
        <v>00</v>
      </c>
      <c r="J801" s="26" t="str">
        <f>"41 "</f>
        <v xml:space="preserve">41 </v>
      </c>
      <c r="K801" s="26" t="str">
        <f t="shared" si="130"/>
        <v>PR</v>
      </c>
      <c r="L801" s="26" t="str">
        <f t="shared" si="131"/>
        <v>DGOSE</v>
      </c>
      <c r="M801" s="26" t="str">
        <f t="shared" si="126"/>
        <v>FEDERAL</v>
      </c>
      <c r="N801" s="26">
        <v>609</v>
      </c>
      <c r="O801" s="26">
        <v>329</v>
      </c>
      <c r="P801" s="26">
        <v>280</v>
      </c>
      <c r="Q801" s="26">
        <v>18</v>
      </c>
      <c r="R801" s="26">
        <v>1</v>
      </c>
      <c r="S801" s="26">
        <v>18</v>
      </c>
      <c r="T801" s="26">
        <v>12</v>
      </c>
      <c r="U801" s="26">
        <v>31</v>
      </c>
      <c r="V801" s="26">
        <v>1</v>
      </c>
      <c r="W801" s="26" t="s">
        <v>2076</v>
      </c>
    </row>
    <row r="802" spans="1:23" x14ac:dyDescent="0.25">
      <c r="A802" s="26" t="str">
        <f t="shared" si="124"/>
        <v>PRIMARIA</v>
      </c>
      <c r="B802" s="26" t="str">
        <f>"09DPR1802L"</f>
        <v>09DPR1802L</v>
      </c>
      <c r="C802" s="26" t="str">
        <f>"CENTENARIO DEL HIMNO NACIONAL MEXICANO                                                              "</f>
        <v xml:space="preserve">CENTENARIO DEL HIMNO NACIONAL MEXICANO                                                              </v>
      </c>
      <c r="D802" s="26" t="str">
        <f t="shared" si="132"/>
        <v>JORNADA AMPLIADA</v>
      </c>
      <c r="E802" s="26" t="str">
        <f>"SUPER MANZANA 2DA. S/N.                                                         "</f>
        <v xml:space="preserve">SUPER MANZANA 2DA. S/N.                                                         </v>
      </c>
      <c r="F802" s="26" t="str">
        <f>"UNIDAD MODELO                                                                                                                               "</f>
        <v xml:space="preserve">UNIDAD MODELO                                                                                                                               </v>
      </c>
      <c r="G802" s="26" t="str">
        <f>"IZTAPALAPA                                                                      "</f>
        <v xml:space="preserve">IZTAPALAPA                                                                      </v>
      </c>
      <c r="H802" s="26" t="str">
        <f>"002"</f>
        <v>002</v>
      </c>
      <c r="I802" s="26" t="str">
        <f t="shared" si="125"/>
        <v>00</v>
      </c>
      <c r="J802" s="26" t="str">
        <f>"61 "</f>
        <v xml:space="preserve">61 </v>
      </c>
      <c r="K802" s="26" t="str">
        <f>"IZ"</f>
        <v>IZ</v>
      </c>
      <c r="L802" s="26" t="str">
        <f>"DGSEI"</f>
        <v>DGSEI</v>
      </c>
      <c r="M802" s="26" t="str">
        <f t="shared" si="126"/>
        <v>FEDERAL</v>
      </c>
      <c r="N802" s="26">
        <v>606</v>
      </c>
      <c r="O802" s="26">
        <v>314</v>
      </c>
      <c r="P802" s="26">
        <v>292</v>
      </c>
      <c r="Q802" s="26">
        <v>17</v>
      </c>
      <c r="R802" s="26">
        <v>1</v>
      </c>
      <c r="S802" s="26">
        <v>15</v>
      </c>
      <c r="T802" s="26">
        <v>14</v>
      </c>
      <c r="U802" s="26">
        <v>30</v>
      </c>
      <c r="V802" s="26">
        <v>1</v>
      </c>
      <c r="W802" s="26" t="s">
        <v>2076</v>
      </c>
    </row>
    <row r="803" spans="1:23" x14ac:dyDescent="0.25">
      <c r="A803" s="26" t="str">
        <f t="shared" si="124"/>
        <v>PRIMARIA</v>
      </c>
      <c r="B803" s="26" t="str">
        <f>"09DPR1804J"</f>
        <v>09DPR1804J</v>
      </c>
      <c r="C803" s="26" t="str">
        <f>"MIGUEL F MARTINEZ                                                                                   "</f>
        <v xml:space="preserve">MIGUEL F MARTINEZ                                                                                   </v>
      </c>
      <c r="D803" s="26" t="str">
        <f t="shared" si="132"/>
        <v>JORNADA AMPLIADA</v>
      </c>
      <c r="E803" s="26" t="str">
        <f>"COMERCIO SIN NUMERO Y PARQUE MORELOS                                            "</f>
        <v xml:space="preserve">COMERCIO SIN NUMERO Y PARQUE MORELOS                                            </v>
      </c>
      <c r="F803" s="26" t="str">
        <f>"ESCANDON                                                                                                                                    "</f>
        <v xml:space="preserve">ESCANDON                                                                                                                                    </v>
      </c>
      <c r="G803" s="26" t="str">
        <f>"MIGUEL HIDALGO                                                                  "</f>
        <v xml:space="preserve">MIGUEL HIDALGO                                                                  </v>
      </c>
      <c r="H803" s="26" t="str">
        <f>"112"</f>
        <v>112</v>
      </c>
      <c r="I803" s="26" t="str">
        <f t="shared" si="125"/>
        <v>00</v>
      </c>
      <c r="J803" s="26" t="str">
        <f>"41 "</f>
        <v xml:space="preserve">41 </v>
      </c>
      <c r="K803" s="26" t="str">
        <f>"PR"</f>
        <v>PR</v>
      </c>
      <c r="L803" s="26" t="str">
        <f>"DGOSE"</f>
        <v>DGOSE</v>
      </c>
      <c r="M803" s="26" t="str">
        <f t="shared" si="126"/>
        <v>FEDERAL</v>
      </c>
      <c r="N803" s="26">
        <v>319</v>
      </c>
      <c r="O803" s="26">
        <v>162</v>
      </c>
      <c r="P803" s="26">
        <v>157</v>
      </c>
      <c r="Q803" s="26">
        <v>12</v>
      </c>
      <c r="R803" s="26">
        <v>1</v>
      </c>
      <c r="S803" s="26">
        <v>12</v>
      </c>
      <c r="T803" s="26">
        <v>9</v>
      </c>
      <c r="U803" s="26">
        <v>22</v>
      </c>
      <c r="V803" s="26">
        <v>1</v>
      </c>
      <c r="W803" s="26" t="s">
        <v>2076</v>
      </c>
    </row>
    <row r="804" spans="1:23" x14ac:dyDescent="0.25">
      <c r="A804" s="26" t="str">
        <f t="shared" si="124"/>
        <v>PRIMARIA</v>
      </c>
      <c r="B804" s="26" t="str">
        <f>"09DPR1807G"</f>
        <v>09DPR1807G</v>
      </c>
      <c r="C804" s="26" t="str">
        <f>"MANUEL MARIA CONTRERAS                                                                              "</f>
        <v xml:space="preserve">MANUEL MARIA CONTRERAS                                                                              </v>
      </c>
      <c r="D804" s="26" t="str">
        <f t="shared" si="132"/>
        <v>JORNADA AMPLIADA</v>
      </c>
      <c r="E804" s="26" t="str">
        <f>"PROTASIO TAGLE NUM 27                                                           "</f>
        <v xml:space="preserve">PROTASIO TAGLE NUM 27                                                           </v>
      </c>
      <c r="F804" s="26" t="str">
        <f>"SAN MIGUEL CHAPULTEPEC                                                                                                                      "</f>
        <v xml:space="preserve">SAN MIGUEL CHAPULTEPEC                                                                                                                      </v>
      </c>
      <c r="G804" s="26" t="str">
        <f>"MIGUEL HIDALGO                                                                  "</f>
        <v xml:space="preserve">MIGUEL HIDALGO                                                                  </v>
      </c>
      <c r="H804" s="26" t="str">
        <f>"110"</f>
        <v>110</v>
      </c>
      <c r="I804" s="26" t="str">
        <f t="shared" si="125"/>
        <v>00</v>
      </c>
      <c r="J804" s="26" t="str">
        <f>"41 "</f>
        <v xml:space="preserve">41 </v>
      </c>
      <c r="K804" s="26" t="str">
        <f>"PR"</f>
        <v>PR</v>
      </c>
      <c r="L804" s="26" t="str">
        <f>"DGOSE"</f>
        <v>DGOSE</v>
      </c>
      <c r="M804" s="26" t="str">
        <f t="shared" si="126"/>
        <v>FEDERAL</v>
      </c>
      <c r="N804" s="26">
        <v>450</v>
      </c>
      <c r="O804" s="26">
        <v>252</v>
      </c>
      <c r="P804" s="26">
        <v>198</v>
      </c>
      <c r="Q804" s="26">
        <v>12</v>
      </c>
      <c r="R804" s="26">
        <v>1</v>
      </c>
      <c r="S804" s="26">
        <v>12</v>
      </c>
      <c r="T804" s="26">
        <v>9</v>
      </c>
      <c r="U804" s="26">
        <v>22</v>
      </c>
      <c r="V804" s="26">
        <v>1</v>
      </c>
      <c r="W804" s="26" t="s">
        <v>2076</v>
      </c>
    </row>
    <row r="805" spans="1:23" x14ac:dyDescent="0.25">
      <c r="A805" s="26" t="str">
        <f t="shared" si="124"/>
        <v>PRIMARIA</v>
      </c>
      <c r="B805" s="26" t="str">
        <f>"09DPR1809E"</f>
        <v>09DPR1809E</v>
      </c>
      <c r="C805" s="26" t="str">
        <f>"SATURNINO HERRAN                                                                                    "</f>
        <v xml:space="preserve">SATURNINO HERRAN                                                                                    </v>
      </c>
      <c r="D805" s="26" t="str">
        <f t="shared" si="132"/>
        <v>JORNADA AMPLIADA</v>
      </c>
      <c r="E805" s="26" t="str">
        <f>"AVENA NO. 60                                                                    "</f>
        <v xml:space="preserve">AVENA NO. 60                                                                    </v>
      </c>
      <c r="F805" s="26" t="str">
        <f>"GRANJAS ESMERALDA                                                                                                                           "</f>
        <v xml:space="preserve">GRANJAS ESMERALDA                                                                                                                           </v>
      </c>
      <c r="G805" s="26" t="str">
        <f>"IZTAPALAPA                                                                      "</f>
        <v xml:space="preserve">IZTAPALAPA                                                                      </v>
      </c>
      <c r="H805" s="26" t="str">
        <f>"003"</f>
        <v>003</v>
      </c>
      <c r="I805" s="26" t="str">
        <f t="shared" si="125"/>
        <v>00</v>
      </c>
      <c r="J805" s="26" t="str">
        <f>"61 "</f>
        <v xml:space="preserve">61 </v>
      </c>
      <c r="K805" s="26" t="str">
        <f>"IZ"</f>
        <v>IZ</v>
      </c>
      <c r="L805" s="26" t="str">
        <f>"DGSEI"</f>
        <v>DGSEI</v>
      </c>
      <c r="M805" s="26" t="str">
        <f t="shared" si="126"/>
        <v>FEDERAL</v>
      </c>
      <c r="N805" s="26">
        <v>341</v>
      </c>
      <c r="O805" s="26">
        <v>162</v>
      </c>
      <c r="P805" s="26">
        <v>179</v>
      </c>
      <c r="Q805" s="26">
        <v>12</v>
      </c>
      <c r="R805" s="26">
        <v>1</v>
      </c>
      <c r="S805" s="26">
        <v>12</v>
      </c>
      <c r="T805" s="26">
        <v>9</v>
      </c>
      <c r="U805" s="26">
        <v>22</v>
      </c>
      <c r="V805" s="26">
        <v>1</v>
      </c>
      <c r="W805" s="26" t="s">
        <v>2076</v>
      </c>
    </row>
    <row r="806" spans="1:23" x14ac:dyDescent="0.25">
      <c r="A806" s="26" t="str">
        <f t="shared" si="124"/>
        <v>PRIMARIA</v>
      </c>
      <c r="B806" s="26" t="str">
        <f>"09DPR1810U"</f>
        <v>09DPR1810U</v>
      </c>
      <c r="C806" s="26" t="str">
        <f>"MANUEL DOBLADO                                                                                      "</f>
        <v xml:space="preserve">MANUEL DOBLADO                                                                                      </v>
      </c>
      <c r="D806" s="26" t="str">
        <f t="shared" si="132"/>
        <v>JORNADA AMPLIADA</v>
      </c>
      <c r="E806" s="26" t="str">
        <f>"HENEQUEN 40                                                                     "</f>
        <v xml:space="preserve">HENEQUEN 40                                                                     </v>
      </c>
      <c r="F806" s="26" t="str">
        <f>"ESTADO DE HIDALGO                                                                                                                           "</f>
        <v xml:space="preserve">ESTADO DE HIDALGO                                                                                                                           </v>
      </c>
      <c r="G806" s="26" t="str">
        <f t="shared" ref="G806:G811" si="133">"ALVARO OBREGON                                                                  "</f>
        <v xml:space="preserve">ALVARO OBREGON                                                                  </v>
      </c>
      <c r="H806" s="26" t="str">
        <f>"400"</f>
        <v>400</v>
      </c>
      <c r="I806" s="26" t="str">
        <f t="shared" si="125"/>
        <v>00</v>
      </c>
      <c r="J806" s="26" t="str">
        <f>"44 "</f>
        <v xml:space="preserve">44 </v>
      </c>
      <c r="K806" s="26" t="str">
        <f t="shared" ref="K806:K825" si="134">"PR"</f>
        <v>PR</v>
      </c>
      <c r="L806" s="26" t="str">
        <f t="shared" ref="L806:L825" si="135">"DGOSE"</f>
        <v>DGOSE</v>
      </c>
      <c r="M806" s="26" t="str">
        <f t="shared" si="126"/>
        <v>FEDERAL</v>
      </c>
      <c r="N806" s="26">
        <v>302</v>
      </c>
      <c r="O806" s="26">
        <v>151</v>
      </c>
      <c r="P806" s="26">
        <v>151</v>
      </c>
      <c r="Q806" s="26">
        <v>12</v>
      </c>
      <c r="R806" s="26">
        <v>1</v>
      </c>
      <c r="S806" s="26">
        <v>11</v>
      </c>
      <c r="T806" s="26">
        <v>9</v>
      </c>
      <c r="U806" s="26">
        <v>21</v>
      </c>
      <c r="V806" s="26">
        <v>1</v>
      </c>
      <c r="W806" s="26" t="s">
        <v>2076</v>
      </c>
    </row>
    <row r="807" spans="1:23" x14ac:dyDescent="0.25">
      <c r="A807" s="26" t="str">
        <f t="shared" si="124"/>
        <v>PRIMARIA</v>
      </c>
      <c r="B807" s="26" t="str">
        <f>"09DPR1811T"</f>
        <v>09DPR1811T</v>
      </c>
      <c r="C807" s="26" t="str">
        <f>"MARIA G. DE GARCIA RUIZ                                                                             "</f>
        <v xml:space="preserve">MARIA G. DE GARCIA RUIZ                                                                             </v>
      </c>
      <c r="D807" s="26" t="str">
        <f>"MATUTINO"</f>
        <v>MATUTINO</v>
      </c>
      <c r="E807" s="26" t="str">
        <f>"AVENIDA MEXICANOS NUM. 180                                                      "</f>
        <v xml:space="preserve">AVENIDA MEXICANOS NUM. 180                                                      </v>
      </c>
      <c r="F807" s="26" t="str">
        <f>"MARIA G DE GARCIA RUIZ                                                                                                                      "</f>
        <v xml:space="preserve">MARIA G DE GARCIA RUIZ                                                                                                                      </v>
      </c>
      <c r="G807" s="26" t="str">
        <f t="shared" si="133"/>
        <v xml:space="preserve">ALVARO OBREGON                                                                  </v>
      </c>
      <c r="H807" s="26" t="str">
        <f>"310"</f>
        <v>310</v>
      </c>
      <c r="I807" s="26" t="str">
        <f t="shared" si="125"/>
        <v>00</v>
      </c>
      <c r="J807" s="26" t="str">
        <f>"43 "</f>
        <v xml:space="preserve">43 </v>
      </c>
      <c r="K807" s="26" t="str">
        <f t="shared" si="134"/>
        <v>PR</v>
      </c>
      <c r="L807" s="26" t="str">
        <f t="shared" si="135"/>
        <v>DGOSE</v>
      </c>
      <c r="M807" s="26" t="str">
        <f t="shared" si="126"/>
        <v>FEDERAL</v>
      </c>
      <c r="N807" s="26">
        <v>324</v>
      </c>
      <c r="O807" s="26">
        <v>166</v>
      </c>
      <c r="P807" s="26">
        <v>158</v>
      </c>
      <c r="Q807" s="26">
        <v>12</v>
      </c>
      <c r="R807" s="26">
        <v>1</v>
      </c>
      <c r="S807" s="26">
        <v>12</v>
      </c>
      <c r="T807" s="26">
        <v>5</v>
      </c>
      <c r="U807" s="26">
        <v>18</v>
      </c>
      <c r="V807" s="26">
        <v>1</v>
      </c>
      <c r="W807" s="26"/>
    </row>
    <row r="808" spans="1:23" x14ac:dyDescent="0.25">
      <c r="A808" s="26" t="str">
        <f t="shared" si="124"/>
        <v>PRIMARIA</v>
      </c>
      <c r="B808" s="26" t="str">
        <f>"09DPR1812S"</f>
        <v>09DPR1812S</v>
      </c>
      <c r="C808" s="26" t="str">
        <f>"MARIA CARRARO VDA. DE AMBROSSI                                                                      "</f>
        <v xml:space="preserve">MARIA CARRARO VDA. DE AMBROSSI                                                                      </v>
      </c>
      <c r="D808" s="26" t="str">
        <f>"MATUTINO"</f>
        <v>MATUTINO</v>
      </c>
      <c r="E808" s="26" t="str">
        <f>"PASO DEL MOLINO S/N                                                             "</f>
        <v xml:space="preserve">PASO DEL MOLINO S/N                                                             </v>
      </c>
      <c r="F808" s="26" t="str">
        <f>"LA MEXICANA AMPLIACION                                                                                                                      "</f>
        <v xml:space="preserve">LA MEXICANA AMPLIACION                                                                                                                      </v>
      </c>
      <c r="G808" s="26" t="str">
        <f t="shared" si="133"/>
        <v xml:space="preserve">ALVARO OBREGON                                                                  </v>
      </c>
      <c r="H808" s="26" t="str">
        <f>"311"</f>
        <v>311</v>
      </c>
      <c r="I808" s="26" t="str">
        <f t="shared" si="125"/>
        <v>00</v>
      </c>
      <c r="J808" s="26" t="str">
        <f>"43 "</f>
        <v xml:space="preserve">43 </v>
      </c>
      <c r="K808" s="26" t="str">
        <f t="shared" si="134"/>
        <v>PR</v>
      </c>
      <c r="L808" s="26" t="str">
        <f t="shared" si="135"/>
        <v>DGOSE</v>
      </c>
      <c r="M808" s="26" t="str">
        <f t="shared" si="126"/>
        <v>FEDERAL</v>
      </c>
      <c r="N808" s="26">
        <v>565</v>
      </c>
      <c r="O808" s="26">
        <v>286</v>
      </c>
      <c r="P808" s="26">
        <v>279</v>
      </c>
      <c r="Q808" s="26">
        <v>18</v>
      </c>
      <c r="R808" s="26">
        <v>1</v>
      </c>
      <c r="S808" s="26">
        <v>18</v>
      </c>
      <c r="T808" s="26">
        <v>8</v>
      </c>
      <c r="U808" s="26">
        <v>27</v>
      </c>
      <c r="V808" s="26">
        <v>1</v>
      </c>
      <c r="W808" s="26"/>
    </row>
    <row r="809" spans="1:23" x14ac:dyDescent="0.25">
      <c r="A809" s="26" t="str">
        <f t="shared" si="124"/>
        <v>PRIMARIA</v>
      </c>
      <c r="B809" s="26" t="str">
        <f>"09DPR1813R"</f>
        <v>09DPR1813R</v>
      </c>
      <c r="C809" s="26" t="str">
        <f>"MARIA G. DE GARCIA RUIZ                                                                             "</f>
        <v xml:space="preserve">MARIA G. DE GARCIA RUIZ                                                                             </v>
      </c>
      <c r="D809" s="26" t="str">
        <f>"VESPERTINO"</f>
        <v>VESPERTINO</v>
      </c>
      <c r="E809" s="26" t="str">
        <f>"MEXICANOS NUM 180                                                               "</f>
        <v xml:space="preserve">MEXICANOS NUM 180                                                               </v>
      </c>
      <c r="F809" s="26" t="str">
        <f>"MARIA G DE GARCIA RUIZ                                                                                                                      "</f>
        <v xml:space="preserve">MARIA G DE GARCIA RUIZ                                                                                                                      </v>
      </c>
      <c r="G809" s="26" t="str">
        <f t="shared" si="133"/>
        <v xml:space="preserve">ALVARO OBREGON                                                                  </v>
      </c>
      <c r="H809" s="26" t="str">
        <f>"310"</f>
        <v>310</v>
      </c>
      <c r="I809" s="26" t="str">
        <f t="shared" si="125"/>
        <v>00</v>
      </c>
      <c r="J809" s="26" t="str">
        <f>"43 "</f>
        <v xml:space="preserve">43 </v>
      </c>
      <c r="K809" s="26" t="str">
        <f t="shared" si="134"/>
        <v>PR</v>
      </c>
      <c r="L809" s="26" t="str">
        <f t="shared" si="135"/>
        <v>DGOSE</v>
      </c>
      <c r="M809" s="26" t="str">
        <f t="shared" si="126"/>
        <v>FEDERAL</v>
      </c>
      <c r="N809" s="26">
        <v>102</v>
      </c>
      <c r="O809" s="26">
        <v>68</v>
      </c>
      <c r="P809" s="26">
        <v>34</v>
      </c>
      <c r="Q809" s="26">
        <v>6</v>
      </c>
      <c r="R809" s="26">
        <v>1</v>
      </c>
      <c r="S809" s="26">
        <v>6</v>
      </c>
      <c r="T809" s="26">
        <v>4</v>
      </c>
      <c r="U809" s="26">
        <v>11</v>
      </c>
      <c r="V809" s="26">
        <v>1</v>
      </c>
      <c r="W809" s="26"/>
    </row>
    <row r="810" spans="1:23" x14ac:dyDescent="0.25">
      <c r="A810" s="26" t="str">
        <f t="shared" si="124"/>
        <v>PRIMARIA</v>
      </c>
      <c r="B810" s="26" t="str">
        <f>"09DPR1815P"</f>
        <v>09DPR1815P</v>
      </c>
      <c r="C810" s="26" t="str">
        <f>"MARIA CARRARO VDA. DE AMBROSSI                                                                      "</f>
        <v xml:space="preserve">MARIA CARRARO VDA. DE AMBROSSI                                                                      </v>
      </c>
      <c r="D810" s="26" t="str">
        <f>"VESPERTINO"</f>
        <v>VESPERTINO</v>
      </c>
      <c r="E810" s="26" t="str">
        <f>"PASO DEL MOLINO S/N                                                             "</f>
        <v xml:space="preserve">PASO DEL MOLINO S/N                                                             </v>
      </c>
      <c r="F810" s="26" t="str">
        <f>"LA MEXICANA AMPLIACION                                                                                                                      "</f>
        <v xml:space="preserve">LA MEXICANA AMPLIACION                                                                                                                      </v>
      </c>
      <c r="G810" s="26" t="str">
        <f t="shared" si="133"/>
        <v xml:space="preserve">ALVARO OBREGON                                                                  </v>
      </c>
      <c r="H810" s="26" t="str">
        <f>"311"</f>
        <v>311</v>
      </c>
      <c r="I810" s="26" t="str">
        <f t="shared" si="125"/>
        <v>00</v>
      </c>
      <c r="J810" s="26" t="str">
        <f>"43 "</f>
        <v xml:space="preserve">43 </v>
      </c>
      <c r="K810" s="26" t="str">
        <f t="shared" si="134"/>
        <v>PR</v>
      </c>
      <c r="L810" s="26" t="str">
        <f t="shared" si="135"/>
        <v>DGOSE</v>
      </c>
      <c r="M810" s="26" t="str">
        <f t="shared" si="126"/>
        <v>FEDERAL</v>
      </c>
      <c r="N810" s="26">
        <v>164</v>
      </c>
      <c r="O810" s="26">
        <v>81</v>
      </c>
      <c r="P810" s="26">
        <v>83</v>
      </c>
      <c r="Q810" s="26">
        <v>10</v>
      </c>
      <c r="R810" s="26">
        <v>1</v>
      </c>
      <c r="S810" s="26">
        <v>10</v>
      </c>
      <c r="T810" s="26">
        <v>5</v>
      </c>
      <c r="U810" s="26">
        <v>16</v>
      </c>
      <c r="V810" s="26">
        <v>1</v>
      </c>
      <c r="W810" s="26"/>
    </row>
    <row r="811" spans="1:23" x14ac:dyDescent="0.25">
      <c r="A811" s="26" t="str">
        <f t="shared" si="124"/>
        <v>PRIMARIA</v>
      </c>
      <c r="B811" s="26" t="str">
        <f>"09DPR1816O"</f>
        <v>09DPR1816O</v>
      </c>
      <c r="C811" s="26" t="str">
        <f>"MAESTRO LEOPOLDO GARCIA VEYRAN                                                                      "</f>
        <v xml:space="preserve">MAESTRO LEOPOLDO GARCIA VEYRAN                                                                      </v>
      </c>
      <c r="D811" s="26" t="str">
        <f>"JORNADA AMPLIADA"</f>
        <v>JORNADA AMPLIADA</v>
      </c>
      <c r="E811" s="26" t="str">
        <f>"CALLE PARALELA 7 S N                                                            "</f>
        <v xml:space="preserve">CALLE PARALELA 7 S N                                                            </v>
      </c>
      <c r="F811" s="26" t="str">
        <f>"MOLINO DE SANTO DOMINGO                                                                                                                     "</f>
        <v xml:space="preserve">MOLINO DE SANTO DOMINGO                                                                                                                     </v>
      </c>
      <c r="G811" s="26" t="str">
        <f t="shared" si="133"/>
        <v xml:space="preserve">ALVARO OBREGON                                                                  </v>
      </c>
      <c r="H811" s="26" t="str">
        <f>"400"</f>
        <v>400</v>
      </c>
      <c r="I811" s="26" t="str">
        <f t="shared" si="125"/>
        <v>00</v>
      </c>
      <c r="J811" s="26" t="str">
        <f>"44 "</f>
        <v xml:space="preserve">44 </v>
      </c>
      <c r="K811" s="26" t="str">
        <f t="shared" si="134"/>
        <v>PR</v>
      </c>
      <c r="L811" s="26" t="str">
        <f t="shared" si="135"/>
        <v>DGOSE</v>
      </c>
      <c r="M811" s="26" t="str">
        <f t="shared" si="126"/>
        <v>FEDERAL</v>
      </c>
      <c r="N811" s="26">
        <v>345</v>
      </c>
      <c r="O811" s="26">
        <v>173</v>
      </c>
      <c r="P811" s="26">
        <v>172</v>
      </c>
      <c r="Q811" s="26">
        <v>12</v>
      </c>
      <c r="R811" s="26">
        <v>1</v>
      </c>
      <c r="S811" s="26">
        <v>12</v>
      </c>
      <c r="T811" s="26">
        <v>11</v>
      </c>
      <c r="U811" s="26">
        <v>24</v>
      </c>
      <c r="V811" s="26">
        <v>1</v>
      </c>
      <c r="W811" s="26" t="s">
        <v>2076</v>
      </c>
    </row>
    <row r="812" spans="1:23" x14ac:dyDescent="0.25">
      <c r="A812" s="26" t="str">
        <f t="shared" si="124"/>
        <v>PRIMARIA</v>
      </c>
      <c r="B812" s="26" t="str">
        <f>"09DPR1818M"</f>
        <v>09DPR1818M</v>
      </c>
      <c r="C812" s="26" t="str">
        <f>"JUSTO SIERRA                                                                                        "</f>
        <v xml:space="preserve">JUSTO SIERRA                                                                                        </v>
      </c>
      <c r="D812" s="26" t="str">
        <f>"JORNADA AMPLIADA"</f>
        <v>JORNADA AMPLIADA</v>
      </c>
      <c r="E812" s="26" t="str">
        <f>"MARTIRES DE LA CONQUISTA NUM 62                                                 "</f>
        <v xml:space="preserve">MARTIRES DE LA CONQUISTA NUM 62                                                 </v>
      </c>
      <c r="F812" s="26" t="str">
        <f>"TACUBAYA                                                                                                                                    "</f>
        <v xml:space="preserve">TACUBAYA                                                                                                                                    </v>
      </c>
      <c r="G812" s="26" t="str">
        <f>"MIGUEL HIDALGO                                                                  "</f>
        <v xml:space="preserve">MIGUEL HIDALGO                                                                  </v>
      </c>
      <c r="H812" s="26" t="str">
        <f>"112"</f>
        <v>112</v>
      </c>
      <c r="I812" s="26" t="str">
        <f t="shared" si="125"/>
        <v>00</v>
      </c>
      <c r="J812" s="26" t="str">
        <f>"41 "</f>
        <v xml:space="preserve">41 </v>
      </c>
      <c r="K812" s="26" t="str">
        <f t="shared" si="134"/>
        <v>PR</v>
      </c>
      <c r="L812" s="26" t="str">
        <f t="shared" si="135"/>
        <v>DGOSE</v>
      </c>
      <c r="M812" s="26" t="str">
        <f t="shared" si="126"/>
        <v>FEDERAL</v>
      </c>
      <c r="N812" s="26">
        <v>192</v>
      </c>
      <c r="O812" s="26">
        <v>107</v>
      </c>
      <c r="P812" s="26">
        <v>85</v>
      </c>
      <c r="Q812" s="26">
        <v>7</v>
      </c>
      <c r="R812" s="26">
        <v>1</v>
      </c>
      <c r="S812" s="26">
        <v>7</v>
      </c>
      <c r="T812" s="26">
        <v>7</v>
      </c>
      <c r="U812" s="26">
        <v>15</v>
      </c>
      <c r="V812" s="26">
        <v>1</v>
      </c>
      <c r="W812" s="26" t="s">
        <v>2076</v>
      </c>
    </row>
    <row r="813" spans="1:23" x14ac:dyDescent="0.25">
      <c r="A813" s="26" t="str">
        <f t="shared" si="124"/>
        <v>PRIMARIA</v>
      </c>
      <c r="B813" s="26" t="str">
        <f>"09DPR1819L"</f>
        <v>09DPR1819L</v>
      </c>
      <c r="C813" s="26" t="str">
        <f>"KALPILLI                                                                                            "</f>
        <v xml:space="preserve">KALPILLI                                                                                            </v>
      </c>
      <c r="D813" s="26" t="str">
        <f>"MATUTINO"</f>
        <v>MATUTINO</v>
      </c>
      <c r="E813" s="26" t="str">
        <f>"LIC. CASTILLO LEDON 121                                                         "</f>
        <v xml:space="preserve">LIC. CASTILLO LEDON 121                                                         </v>
      </c>
      <c r="F813" s="26" t="str">
        <f>"CUAJIMALPA                                                                                                                                  "</f>
        <v xml:space="preserve">CUAJIMALPA                                                                                                                                  </v>
      </c>
      <c r="G813" s="26" t="str">
        <f>"CUAJIMALPA DE MORELOS                                                           "</f>
        <v xml:space="preserve">CUAJIMALPA DE MORELOS                                                           </v>
      </c>
      <c r="H813" s="26" t="str">
        <f>"302"</f>
        <v>302</v>
      </c>
      <c r="I813" s="26" t="str">
        <f t="shared" si="125"/>
        <v>00</v>
      </c>
      <c r="J813" s="26" t="str">
        <f>"43 "</f>
        <v xml:space="preserve">43 </v>
      </c>
      <c r="K813" s="26" t="str">
        <f t="shared" si="134"/>
        <v>PR</v>
      </c>
      <c r="L813" s="26" t="str">
        <f t="shared" si="135"/>
        <v>DGOSE</v>
      </c>
      <c r="M813" s="26" t="str">
        <f t="shared" si="126"/>
        <v>FEDERAL</v>
      </c>
      <c r="N813" s="26">
        <v>688</v>
      </c>
      <c r="O813" s="26">
        <v>350</v>
      </c>
      <c r="P813" s="26">
        <v>338</v>
      </c>
      <c r="Q813" s="26">
        <v>20</v>
      </c>
      <c r="R813" s="26">
        <v>1</v>
      </c>
      <c r="S813" s="26">
        <v>20</v>
      </c>
      <c r="T813" s="26">
        <v>11</v>
      </c>
      <c r="U813" s="26">
        <v>32</v>
      </c>
      <c r="V813" s="26">
        <v>1</v>
      </c>
      <c r="W813" s="26"/>
    </row>
    <row r="814" spans="1:23" x14ac:dyDescent="0.25">
      <c r="A814" s="26" t="str">
        <f t="shared" si="124"/>
        <v>PRIMARIA</v>
      </c>
      <c r="B814" s="26" t="str">
        <f>"09DPR1822Z"</f>
        <v>09DPR1822Z</v>
      </c>
      <c r="C814" s="26" t="str">
        <f>"MAESTRO JUSTO SIERRA                                                                                "</f>
        <v xml:space="preserve">MAESTRO JUSTO SIERRA                                                                                </v>
      </c>
      <c r="D814" s="26" t="str">
        <f>"MATUTINO"</f>
        <v>MATUTINO</v>
      </c>
      <c r="E814" s="26" t="str">
        <f>"KM 29 1/2 CARRETERA MEX TOLUCA                                                  "</f>
        <v xml:space="preserve">KM 29 1/2 CARRETERA MEX TOLUCA                                                  </v>
      </c>
      <c r="F814" s="26" t="str">
        <f>"LA PILA                                                                                                                                     "</f>
        <v xml:space="preserve">LA PILA                                                                                                                                     </v>
      </c>
      <c r="G814" s="26" t="str">
        <f>"CUAJIMALPA DE MORELOS                                                           "</f>
        <v xml:space="preserve">CUAJIMALPA DE MORELOS                                                           </v>
      </c>
      <c r="H814" s="26" t="str">
        <f>"306"</f>
        <v>306</v>
      </c>
      <c r="I814" s="26" t="str">
        <f t="shared" si="125"/>
        <v>00</v>
      </c>
      <c r="J814" s="26" t="str">
        <f>"43 "</f>
        <v xml:space="preserve">43 </v>
      </c>
      <c r="K814" s="26" t="str">
        <f t="shared" si="134"/>
        <v>PR</v>
      </c>
      <c r="L814" s="26" t="str">
        <f t="shared" si="135"/>
        <v>DGOSE</v>
      </c>
      <c r="M814" s="26" t="str">
        <f t="shared" si="126"/>
        <v>FEDERAL</v>
      </c>
      <c r="N814" s="26">
        <v>607</v>
      </c>
      <c r="O814" s="26">
        <v>304</v>
      </c>
      <c r="P814" s="26">
        <v>303</v>
      </c>
      <c r="Q814" s="26">
        <v>17</v>
      </c>
      <c r="R814" s="26">
        <v>1</v>
      </c>
      <c r="S814" s="26">
        <v>17</v>
      </c>
      <c r="T814" s="26">
        <v>8</v>
      </c>
      <c r="U814" s="26">
        <v>26</v>
      </c>
      <c r="V814" s="26">
        <v>1</v>
      </c>
      <c r="W814" s="26"/>
    </row>
    <row r="815" spans="1:23" x14ac:dyDescent="0.25">
      <c r="A815" s="26" t="str">
        <f t="shared" si="124"/>
        <v>PRIMARIA</v>
      </c>
      <c r="B815" s="26" t="str">
        <f>"09DPR1823Y"</f>
        <v>09DPR1823Y</v>
      </c>
      <c r="C815" s="26" t="str">
        <f>"JOSE OJEDA GARDUÑO                                                                                  "</f>
        <v xml:space="preserve">JOSE OJEDA GARDUÑO                                                                                  </v>
      </c>
      <c r="D815" s="26" t="str">
        <f>"MATUTINO"</f>
        <v>MATUTINO</v>
      </c>
      <c r="E815" s="26" t="str">
        <f>"QUERETANOS S/N                                                                  "</f>
        <v xml:space="preserve">QUERETANOS S/N                                                                  </v>
      </c>
      <c r="F815" s="26" t="str">
        <f>"MARTIRES DE TACUBAYA                                                                                                                        "</f>
        <v xml:space="preserve">MARTIRES DE TACUBAYA                                                                                                                        </v>
      </c>
      <c r="G815" s="26" t="str">
        <f>"ALVARO OBREGON                                                                  "</f>
        <v xml:space="preserve">ALVARO OBREGON                                                                  </v>
      </c>
      <c r="H815" s="26" t="str">
        <f>"310"</f>
        <v>310</v>
      </c>
      <c r="I815" s="26" t="str">
        <f t="shared" si="125"/>
        <v>00</v>
      </c>
      <c r="J815" s="26" t="str">
        <f>"43 "</f>
        <v xml:space="preserve">43 </v>
      </c>
      <c r="K815" s="26" t="str">
        <f t="shared" si="134"/>
        <v>PR</v>
      </c>
      <c r="L815" s="26" t="str">
        <f t="shared" si="135"/>
        <v>DGOSE</v>
      </c>
      <c r="M815" s="26" t="str">
        <f t="shared" si="126"/>
        <v>FEDERAL</v>
      </c>
      <c r="N815" s="26">
        <v>469</v>
      </c>
      <c r="O815" s="26">
        <v>239</v>
      </c>
      <c r="P815" s="26">
        <v>230</v>
      </c>
      <c r="Q815" s="26">
        <v>16</v>
      </c>
      <c r="R815" s="26">
        <v>1</v>
      </c>
      <c r="S815" s="26">
        <v>16</v>
      </c>
      <c r="T815" s="26">
        <v>6</v>
      </c>
      <c r="U815" s="26">
        <v>23</v>
      </c>
      <c r="V815" s="26">
        <v>1</v>
      </c>
      <c r="W815" s="26"/>
    </row>
    <row r="816" spans="1:23" x14ac:dyDescent="0.25">
      <c r="A816" s="26" t="str">
        <f t="shared" si="124"/>
        <v>PRIMARIA</v>
      </c>
      <c r="B816" s="26" t="str">
        <f>"09DPR1824X"</f>
        <v>09DPR1824X</v>
      </c>
      <c r="C816" s="26" t="str">
        <f>"JOSE OJEDA GARDUÑO                                                                                  "</f>
        <v xml:space="preserve">JOSE OJEDA GARDUÑO                                                                                  </v>
      </c>
      <c r="D816" s="26" t="str">
        <f>"VESPERTINO"</f>
        <v>VESPERTINO</v>
      </c>
      <c r="E816" s="26" t="str">
        <f>"QUERETANOS S/N                                                                  "</f>
        <v xml:space="preserve">QUERETANOS S/N                                                                  </v>
      </c>
      <c r="F816" s="26" t="str">
        <f>"MARTIRES DE TACUBAYA                                                                                                                        "</f>
        <v xml:space="preserve">MARTIRES DE TACUBAYA                                                                                                                        </v>
      </c>
      <c r="G816" s="26" t="str">
        <f>"ALVARO OBREGON                                                                  "</f>
        <v xml:space="preserve">ALVARO OBREGON                                                                  </v>
      </c>
      <c r="H816" s="26" t="str">
        <f>"310"</f>
        <v>310</v>
      </c>
      <c r="I816" s="26" t="str">
        <f t="shared" si="125"/>
        <v>00</v>
      </c>
      <c r="J816" s="26" t="str">
        <f>"43 "</f>
        <v xml:space="preserve">43 </v>
      </c>
      <c r="K816" s="26" t="str">
        <f t="shared" si="134"/>
        <v>PR</v>
      </c>
      <c r="L816" s="26" t="str">
        <f t="shared" si="135"/>
        <v>DGOSE</v>
      </c>
      <c r="M816" s="26" t="str">
        <f t="shared" si="126"/>
        <v>FEDERAL</v>
      </c>
      <c r="N816" s="26">
        <v>257</v>
      </c>
      <c r="O816" s="26">
        <v>132</v>
      </c>
      <c r="P816" s="26">
        <v>125</v>
      </c>
      <c r="Q816" s="26">
        <v>13</v>
      </c>
      <c r="R816" s="26">
        <v>1</v>
      </c>
      <c r="S816" s="26">
        <v>13</v>
      </c>
      <c r="T816" s="26">
        <v>8</v>
      </c>
      <c r="U816" s="26">
        <v>22</v>
      </c>
      <c r="V816" s="26">
        <v>1</v>
      </c>
      <c r="W816" s="26"/>
    </row>
    <row r="817" spans="1:23" x14ac:dyDescent="0.25">
      <c r="A817" s="26" t="str">
        <f t="shared" si="124"/>
        <v>PRIMARIA</v>
      </c>
      <c r="B817" s="26" t="str">
        <f>"09DPR1825W"</f>
        <v>09DPR1825W</v>
      </c>
      <c r="C817" s="26" t="str">
        <f>"DR. JOSE ELEUTERIO GONZALEZ                                                                         "</f>
        <v xml:space="preserve">DR. JOSE ELEUTERIO GONZALEZ                                                                         </v>
      </c>
      <c r="D817" s="26" t="str">
        <f>"JORNADA AMPLIADA"</f>
        <v>JORNADA AMPLIADA</v>
      </c>
      <c r="E817" s="26" t="str">
        <f>"AV. JOSE MARTI NUM 129                                                          "</f>
        <v xml:space="preserve">AV. JOSE MARTI NUM 129                                                          </v>
      </c>
      <c r="F817" s="26" t="str">
        <f>"ESCANDON                                                                                                                                    "</f>
        <v xml:space="preserve">ESCANDON                                                                                                                                    </v>
      </c>
      <c r="G817" s="26" t="str">
        <f>"MIGUEL HIDALGO                                                                  "</f>
        <v xml:space="preserve">MIGUEL HIDALGO                                                                  </v>
      </c>
      <c r="H817" s="26" t="str">
        <f>"112"</f>
        <v>112</v>
      </c>
      <c r="I817" s="26" t="str">
        <f t="shared" si="125"/>
        <v>00</v>
      </c>
      <c r="J817" s="26" t="str">
        <f>"41 "</f>
        <v xml:space="preserve">41 </v>
      </c>
      <c r="K817" s="26" t="str">
        <f t="shared" si="134"/>
        <v>PR</v>
      </c>
      <c r="L817" s="26" t="str">
        <f t="shared" si="135"/>
        <v>DGOSE</v>
      </c>
      <c r="M817" s="26" t="str">
        <f t="shared" si="126"/>
        <v>FEDERAL</v>
      </c>
      <c r="N817" s="26">
        <v>330</v>
      </c>
      <c r="O817" s="26">
        <v>176</v>
      </c>
      <c r="P817" s="26">
        <v>154</v>
      </c>
      <c r="Q817" s="26">
        <v>12</v>
      </c>
      <c r="R817" s="26">
        <v>1</v>
      </c>
      <c r="S817" s="26">
        <v>12</v>
      </c>
      <c r="T817" s="26">
        <v>12</v>
      </c>
      <c r="U817" s="26">
        <v>25</v>
      </c>
      <c r="V817" s="26">
        <v>1</v>
      </c>
      <c r="W817" s="26" t="s">
        <v>2076</v>
      </c>
    </row>
    <row r="818" spans="1:23" x14ac:dyDescent="0.25">
      <c r="A818" s="26" t="str">
        <f t="shared" si="124"/>
        <v>PRIMARIA</v>
      </c>
      <c r="B818" s="26" t="str">
        <f>"09DPR1827U"</f>
        <v>09DPR1827U</v>
      </c>
      <c r="C818" s="26" t="str">
        <f>"JOSE LUIS VIEYRA GONZALEZ                                                                           "</f>
        <v xml:space="preserve">JOSE LUIS VIEYRA GONZALEZ                                                                           </v>
      </c>
      <c r="D818" s="26" t="str">
        <f>"MATUTINO"</f>
        <v>MATUTINO</v>
      </c>
      <c r="E818" s="26" t="str">
        <f>"ZARCO 1                                                                         "</f>
        <v xml:space="preserve">ZARCO 1                                                                         </v>
      </c>
      <c r="F818" s="26" t="str">
        <f>"CUAJIMALPA                                                                                                                                  "</f>
        <v xml:space="preserve">CUAJIMALPA                                                                                                                                  </v>
      </c>
      <c r="G818" s="26" t="str">
        <f>"CUAJIMALPA DE MORELOS                                                           "</f>
        <v xml:space="preserve">CUAJIMALPA DE MORELOS                                                           </v>
      </c>
      <c r="H818" s="26" t="str">
        <f>"304"</f>
        <v>304</v>
      </c>
      <c r="I818" s="26" t="str">
        <f t="shared" si="125"/>
        <v>00</v>
      </c>
      <c r="J818" s="26" t="str">
        <f>"43 "</f>
        <v xml:space="preserve">43 </v>
      </c>
      <c r="K818" s="26" t="str">
        <f t="shared" si="134"/>
        <v>PR</v>
      </c>
      <c r="L818" s="26" t="str">
        <f t="shared" si="135"/>
        <v>DGOSE</v>
      </c>
      <c r="M818" s="26" t="str">
        <f t="shared" si="126"/>
        <v>FEDERAL</v>
      </c>
      <c r="N818" s="26">
        <v>602</v>
      </c>
      <c r="O818" s="26">
        <v>332</v>
      </c>
      <c r="P818" s="26">
        <v>270</v>
      </c>
      <c r="Q818" s="26">
        <v>20</v>
      </c>
      <c r="R818" s="26">
        <v>0</v>
      </c>
      <c r="S818" s="26">
        <v>20</v>
      </c>
      <c r="T818" s="26">
        <v>9</v>
      </c>
      <c r="U818" s="26">
        <v>29</v>
      </c>
      <c r="V818" s="26">
        <v>1</v>
      </c>
      <c r="W818" s="26"/>
    </row>
    <row r="819" spans="1:23" x14ac:dyDescent="0.25">
      <c r="A819" s="26" t="str">
        <f t="shared" si="124"/>
        <v>PRIMARIA</v>
      </c>
      <c r="B819" s="26" t="str">
        <f>"09DPR1828T"</f>
        <v>09DPR1828T</v>
      </c>
      <c r="C819" s="26" t="str">
        <f>"JOSE LUIS VIEYRA GONZALEZ                                                                           "</f>
        <v xml:space="preserve">JOSE LUIS VIEYRA GONZALEZ                                                                           </v>
      </c>
      <c r="D819" s="26" t="str">
        <f>"VESPERTINO"</f>
        <v>VESPERTINO</v>
      </c>
      <c r="E819" s="26" t="str">
        <f>"ZARCO 1                                                                         "</f>
        <v xml:space="preserve">ZARCO 1                                                                         </v>
      </c>
      <c r="F819" s="26" t="str">
        <f>"CUAJIMALPA                                                                                                                                  "</f>
        <v xml:space="preserve">CUAJIMALPA                                                                                                                                  </v>
      </c>
      <c r="G819" s="26" t="str">
        <f>"CUAJIMALPA DE MORELOS                                                           "</f>
        <v xml:space="preserve">CUAJIMALPA DE MORELOS                                                           </v>
      </c>
      <c r="H819" s="26" t="str">
        <f>"304"</f>
        <v>304</v>
      </c>
      <c r="I819" s="26" t="str">
        <f t="shared" si="125"/>
        <v>00</v>
      </c>
      <c r="J819" s="26" t="str">
        <f>"43 "</f>
        <v xml:space="preserve">43 </v>
      </c>
      <c r="K819" s="26" t="str">
        <f t="shared" si="134"/>
        <v>PR</v>
      </c>
      <c r="L819" s="26" t="str">
        <f t="shared" si="135"/>
        <v>DGOSE</v>
      </c>
      <c r="M819" s="26" t="str">
        <f t="shared" si="126"/>
        <v>FEDERAL</v>
      </c>
      <c r="N819" s="26">
        <v>266</v>
      </c>
      <c r="O819" s="26">
        <v>145</v>
      </c>
      <c r="P819" s="26">
        <v>121</v>
      </c>
      <c r="Q819" s="26">
        <v>14</v>
      </c>
      <c r="R819" s="26">
        <v>1</v>
      </c>
      <c r="S819" s="26">
        <v>14</v>
      </c>
      <c r="T819" s="26">
        <v>7</v>
      </c>
      <c r="U819" s="26">
        <v>22</v>
      </c>
      <c r="V819" s="26">
        <v>1</v>
      </c>
      <c r="W819" s="26"/>
    </row>
    <row r="820" spans="1:23" x14ac:dyDescent="0.25">
      <c r="A820" s="26" t="str">
        <f t="shared" si="124"/>
        <v>PRIMARIA</v>
      </c>
      <c r="B820" s="26" t="str">
        <f>"09DPR1829S"</f>
        <v>09DPR1829S</v>
      </c>
      <c r="C820" s="26" t="str">
        <f>"JOSE DE JESUS IBARRA Y ROBLES                                                                       "</f>
        <v xml:space="preserve">JOSE DE JESUS IBARRA Y ROBLES                                                                       </v>
      </c>
      <c r="D820" s="26" t="str">
        <f>"MATUTINO"</f>
        <v>MATUTINO</v>
      </c>
      <c r="E820" s="26" t="str">
        <f>"POLVORA Y AV AUSTRIACOS                                                         "</f>
        <v xml:space="preserve">POLVORA Y AV AUSTRIACOS                                                         </v>
      </c>
      <c r="F820" s="26" t="str">
        <f>"EL PARAISO                                                                                                                                  "</f>
        <v xml:space="preserve">EL PARAISO                                                                                                                                  </v>
      </c>
      <c r="G820" s="26" t="str">
        <f>"ALVARO OBREGON                                                                  "</f>
        <v xml:space="preserve">ALVARO OBREGON                                                                  </v>
      </c>
      <c r="H820" s="26" t="str">
        <f>"310"</f>
        <v>310</v>
      </c>
      <c r="I820" s="26" t="str">
        <f t="shared" si="125"/>
        <v>00</v>
      </c>
      <c r="J820" s="26" t="str">
        <f>"43 "</f>
        <v xml:space="preserve">43 </v>
      </c>
      <c r="K820" s="26" t="str">
        <f t="shared" si="134"/>
        <v>PR</v>
      </c>
      <c r="L820" s="26" t="str">
        <f t="shared" si="135"/>
        <v>DGOSE</v>
      </c>
      <c r="M820" s="26" t="str">
        <f t="shared" si="126"/>
        <v>FEDERAL</v>
      </c>
      <c r="N820" s="26">
        <v>212</v>
      </c>
      <c r="O820" s="26">
        <v>115</v>
      </c>
      <c r="P820" s="26">
        <v>97</v>
      </c>
      <c r="Q820" s="26">
        <v>9</v>
      </c>
      <c r="R820" s="26">
        <v>1</v>
      </c>
      <c r="S820" s="26">
        <v>9</v>
      </c>
      <c r="T820" s="26">
        <v>5</v>
      </c>
      <c r="U820" s="26">
        <v>15</v>
      </c>
      <c r="V820" s="26">
        <v>1</v>
      </c>
      <c r="W820" s="26"/>
    </row>
    <row r="821" spans="1:23" x14ac:dyDescent="0.25">
      <c r="A821" s="26" t="str">
        <f t="shared" si="124"/>
        <v>PRIMARIA</v>
      </c>
      <c r="B821" s="26" t="str">
        <f>"09DPR1831G"</f>
        <v>09DPR1831G</v>
      </c>
      <c r="C821" s="26" t="str">
        <f>"JOSE ARTURO PICHARDO                                                                                "</f>
        <v xml:space="preserve">JOSE ARTURO PICHARDO                                                                                </v>
      </c>
      <c r="D821" s="26" t="str">
        <f>"MATUTINO"</f>
        <v>MATUTINO</v>
      </c>
      <c r="E821" s="26" t="str">
        <f>"CARR MEXICO TOLUCA KM 21 1/2                                                    "</f>
        <v xml:space="preserve">CARR MEXICO TOLUCA KM 21 1/2                                                    </v>
      </c>
      <c r="F821" s="26" t="str">
        <f>"CONTADERO                                                                                                                                   "</f>
        <v xml:space="preserve">CONTADERO                                                                                                                                   </v>
      </c>
      <c r="G821" s="26" t="str">
        <f>"CUAJIMALPA DE MORELOS                                                           "</f>
        <v xml:space="preserve">CUAJIMALPA DE MORELOS                                                           </v>
      </c>
      <c r="H821" s="26" t="str">
        <f>"304"</f>
        <v>304</v>
      </c>
      <c r="I821" s="26" t="str">
        <f t="shared" si="125"/>
        <v>00</v>
      </c>
      <c r="J821" s="26" t="str">
        <f>"43 "</f>
        <v xml:space="preserve">43 </v>
      </c>
      <c r="K821" s="26" t="str">
        <f t="shared" si="134"/>
        <v>PR</v>
      </c>
      <c r="L821" s="26" t="str">
        <f t="shared" si="135"/>
        <v>DGOSE</v>
      </c>
      <c r="M821" s="26" t="str">
        <f t="shared" si="126"/>
        <v>FEDERAL</v>
      </c>
      <c r="N821" s="26">
        <v>656</v>
      </c>
      <c r="O821" s="26">
        <v>335</v>
      </c>
      <c r="P821" s="26">
        <v>321</v>
      </c>
      <c r="Q821" s="26">
        <v>19</v>
      </c>
      <c r="R821" s="26">
        <v>1</v>
      </c>
      <c r="S821" s="26">
        <v>18</v>
      </c>
      <c r="T821" s="26">
        <v>12</v>
      </c>
      <c r="U821" s="26">
        <v>31</v>
      </c>
      <c r="V821" s="26">
        <v>1</v>
      </c>
      <c r="W821" s="26"/>
    </row>
    <row r="822" spans="1:23" x14ac:dyDescent="0.25">
      <c r="A822" s="26" t="str">
        <f t="shared" si="124"/>
        <v>PRIMARIA</v>
      </c>
      <c r="B822" s="26" t="str">
        <f>"09DPR1832F"</f>
        <v>09DPR1832F</v>
      </c>
      <c r="C822" s="26" t="str">
        <f>"JOSE AGUSTIN RAMIREZ ALTAMIRANO                                                                     "</f>
        <v xml:space="preserve">JOSE AGUSTIN RAMIREZ ALTAMIRANO                                                                     </v>
      </c>
      <c r="D822" s="26" t="str">
        <f>"JORNADA AMPLIADA"</f>
        <v>JORNADA AMPLIADA</v>
      </c>
      <c r="E822" s="26" t="str">
        <f>"MANZ 4 S/N UNIDAD HABITACIONAL SANTA FE                                         "</f>
        <v xml:space="preserve">MANZ 4 S/N UNIDAD HABITACIONAL SANTA FE                                         </v>
      </c>
      <c r="F822" s="26" t="str">
        <f>"UNIDAD HABITACIONAL SANTA FE                                                                                                                "</f>
        <v xml:space="preserve">UNIDAD HABITACIONAL SANTA FE                                                                                                                </v>
      </c>
      <c r="G822" s="26" t="str">
        <f>"ALVARO OBREGON                                                                  "</f>
        <v xml:space="preserve">ALVARO OBREGON                                                                  </v>
      </c>
      <c r="H822" s="26" t="str">
        <f>"401"</f>
        <v>401</v>
      </c>
      <c r="I822" s="26" t="str">
        <f t="shared" si="125"/>
        <v>00</v>
      </c>
      <c r="J822" s="26" t="str">
        <f>"44 "</f>
        <v xml:space="preserve">44 </v>
      </c>
      <c r="K822" s="26" t="str">
        <f t="shared" si="134"/>
        <v>PR</v>
      </c>
      <c r="L822" s="26" t="str">
        <f t="shared" si="135"/>
        <v>DGOSE</v>
      </c>
      <c r="M822" s="26" t="str">
        <f t="shared" si="126"/>
        <v>FEDERAL</v>
      </c>
      <c r="N822" s="26">
        <v>613</v>
      </c>
      <c r="O822" s="26">
        <v>303</v>
      </c>
      <c r="P822" s="26">
        <v>310</v>
      </c>
      <c r="Q822" s="26">
        <v>19</v>
      </c>
      <c r="R822" s="26">
        <v>1</v>
      </c>
      <c r="S822" s="26">
        <v>19</v>
      </c>
      <c r="T822" s="26">
        <v>12</v>
      </c>
      <c r="U822" s="26">
        <v>32</v>
      </c>
      <c r="V822" s="26">
        <v>1</v>
      </c>
      <c r="W822" s="26" t="s">
        <v>2076</v>
      </c>
    </row>
    <row r="823" spans="1:23" x14ac:dyDescent="0.25">
      <c r="A823" s="26" t="str">
        <f t="shared" si="124"/>
        <v>PRIMARIA</v>
      </c>
      <c r="B823" s="26" t="str">
        <f>"09DPR1833E"</f>
        <v>09DPR1833E</v>
      </c>
      <c r="C823" s="26" t="str">
        <f>"INSURGENTES BRAVO                                                                                   "</f>
        <v xml:space="preserve">INSURGENTES BRAVO                                                                                   </v>
      </c>
      <c r="D823" s="26" t="str">
        <f>"JORNADA AMPLIADA"</f>
        <v>JORNADA AMPLIADA</v>
      </c>
      <c r="E823" s="26" t="str">
        <f>"CALLE 3 No 18                                                                   "</f>
        <v xml:space="preserve">CALLE 3 No 18                                                                   </v>
      </c>
      <c r="F823" s="26" t="str">
        <f>"SAN PEDRO DE LOS PINOS                                                                                                                      "</f>
        <v xml:space="preserve">SAN PEDRO DE LOS PINOS                                                                                                                      </v>
      </c>
      <c r="G823" s="26" t="str">
        <f>"BENITO JUAREZ                                                                   "</f>
        <v xml:space="preserve">BENITO JUAREZ                                                                   </v>
      </c>
      <c r="H823" s="26" t="str">
        <f>"410"</f>
        <v>410</v>
      </c>
      <c r="I823" s="26" t="str">
        <f t="shared" si="125"/>
        <v>00</v>
      </c>
      <c r="J823" s="26" t="str">
        <f>"44 "</f>
        <v xml:space="preserve">44 </v>
      </c>
      <c r="K823" s="26" t="str">
        <f t="shared" si="134"/>
        <v>PR</v>
      </c>
      <c r="L823" s="26" t="str">
        <f t="shared" si="135"/>
        <v>DGOSE</v>
      </c>
      <c r="M823" s="26" t="str">
        <f t="shared" si="126"/>
        <v>FEDERAL</v>
      </c>
      <c r="N823" s="26">
        <v>352</v>
      </c>
      <c r="O823" s="26">
        <v>173</v>
      </c>
      <c r="P823" s="26">
        <v>179</v>
      </c>
      <c r="Q823" s="26">
        <v>12</v>
      </c>
      <c r="R823" s="26">
        <v>1</v>
      </c>
      <c r="S823" s="26">
        <v>12</v>
      </c>
      <c r="T823" s="26">
        <v>9</v>
      </c>
      <c r="U823" s="26">
        <v>22</v>
      </c>
      <c r="V823" s="26">
        <v>1</v>
      </c>
      <c r="W823" s="26" t="s">
        <v>2076</v>
      </c>
    </row>
    <row r="824" spans="1:23" x14ac:dyDescent="0.25">
      <c r="A824" s="26" t="str">
        <f t="shared" si="124"/>
        <v>PRIMARIA</v>
      </c>
      <c r="B824" s="26" t="str">
        <f>"09DPR1834D"</f>
        <v>09DPR1834D</v>
      </c>
      <c r="C824" s="26" t="str">
        <f>"IGNACIO LOPEZ RAYON                                                                                 "</f>
        <v xml:space="preserve">IGNACIO LOPEZ RAYON                                                                                 </v>
      </c>
      <c r="D824" s="26" t="str">
        <f>"JORNADA AMPLIADA"</f>
        <v>JORNADA AMPLIADA</v>
      </c>
      <c r="E824" s="26" t="str">
        <f>"FAISAN NUM 8                                                                    "</f>
        <v xml:space="preserve">FAISAN NUM 8                                                                    </v>
      </c>
      <c r="F824" s="26" t="str">
        <f>"BELLA VISTA                                                                                                                                 "</f>
        <v xml:space="preserve">BELLA VISTA                                                                                                                                 </v>
      </c>
      <c r="G824" s="26" t="str">
        <f>"ALVARO OBREGON                                                                  "</f>
        <v xml:space="preserve">ALVARO OBREGON                                                                  </v>
      </c>
      <c r="H824" s="26" t="str">
        <f>"400"</f>
        <v>400</v>
      </c>
      <c r="I824" s="26" t="str">
        <f t="shared" si="125"/>
        <v>00</v>
      </c>
      <c r="J824" s="26" t="str">
        <f>"44 "</f>
        <v xml:space="preserve">44 </v>
      </c>
      <c r="K824" s="26" t="str">
        <f t="shared" si="134"/>
        <v>PR</v>
      </c>
      <c r="L824" s="26" t="str">
        <f t="shared" si="135"/>
        <v>DGOSE</v>
      </c>
      <c r="M824" s="26" t="str">
        <f t="shared" si="126"/>
        <v>FEDERAL</v>
      </c>
      <c r="N824" s="26">
        <v>320</v>
      </c>
      <c r="O824" s="26">
        <v>141</v>
      </c>
      <c r="P824" s="26">
        <v>179</v>
      </c>
      <c r="Q824" s="26">
        <v>11</v>
      </c>
      <c r="R824" s="26">
        <v>1</v>
      </c>
      <c r="S824" s="26">
        <v>11</v>
      </c>
      <c r="T824" s="26">
        <v>9</v>
      </c>
      <c r="U824" s="26">
        <v>21</v>
      </c>
      <c r="V824" s="26">
        <v>1</v>
      </c>
      <c r="W824" s="26" t="s">
        <v>2076</v>
      </c>
    </row>
    <row r="825" spans="1:23" x14ac:dyDescent="0.25">
      <c r="A825" s="26" t="str">
        <f t="shared" si="124"/>
        <v>PRIMARIA</v>
      </c>
      <c r="B825" s="26" t="str">
        <f>"09DPR1836B"</f>
        <v>09DPR1836B</v>
      </c>
      <c r="C825" s="26" t="str">
        <f>"DR. FRANCISCO VAZQUEZ GOMEZ                                                                         "</f>
        <v xml:space="preserve">DR. FRANCISCO VAZQUEZ GOMEZ                                                                         </v>
      </c>
      <c r="D825" s="26" t="str">
        <f>"MATUTINO"</f>
        <v>MATUTINO</v>
      </c>
      <c r="E825" s="26" t="str">
        <f>"16 DE SEPTIEMBRE NUM 10                                                         "</f>
        <v xml:space="preserve">16 DE SEPTIEMBRE NUM 10                                                         </v>
      </c>
      <c r="F825" s="26" t="str">
        <f>"SAN FRANCISCO CULHUACAN                                                                                                                     "</f>
        <v xml:space="preserve">SAN FRANCISCO CULHUACAN                                                                                                                     </v>
      </c>
      <c r="G825" s="26" t="str">
        <f>"COYOACAN                                                                        "</f>
        <v xml:space="preserve">COYOACAN                                                                        </v>
      </c>
      <c r="H825" s="26" t="str">
        <f>"509"</f>
        <v>509</v>
      </c>
      <c r="I825" s="26" t="str">
        <f t="shared" si="125"/>
        <v>00</v>
      </c>
      <c r="J825" s="26" t="str">
        <f>"45 "</f>
        <v xml:space="preserve">45 </v>
      </c>
      <c r="K825" s="26" t="str">
        <f t="shared" si="134"/>
        <v>PR</v>
      </c>
      <c r="L825" s="26" t="str">
        <f t="shared" si="135"/>
        <v>DGOSE</v>
      </c>
      <c r="M825" s="26" t="str">
        <f t="shared" si="126"/>
        <v>FEDERAL</v>
      </c>
      <c r="N825" s="26">
        <v>458</v>
      </c>
      <c r="O825" s="26">
        <v>238</v>
      </c>
      <c r="P825" s="26">
        <v>220</v>
      </c>
      <c r="Q825" s="26">
        <v>18</v>
      </c>
      <c r="R825" s="26">
        <v>1</v>
      </c>
      <c r="S825" s="26">
        <v>17</v>
      </c>
      <c r="T825" s="26">
        <v>8</v>
      </c>
      <c r="U825" s="26">
        <v>26</v>
      </c>
      <c r="V825" s="26">
        <v>1</v>
      </c>
      <c r="W825" s="26"/>
    </row>
    <row r="826" spans="1:23" x14ac:dyDescent="0.25">
      <c r="A826" s="26" t="str">
        <f t="shared" si="124"/>
        <v>PRIMARIA</v>
      </c>
      <c r="B826" s="26" t="str">
        <f>"09DPR1837A"</f>
        <v>09DPR1837A</v>
      </c>
      <c r="C826" s="26" t="str">
        <f>"REPUBLICA DE INDONESIA                                                                              "</f>
        <v xml:space="preserve">REPUBLICA DE INDONESIA                                                                              </v>
      </c>
      <c r="D826" s="26" t="str">
        <f>"MATUTINO"</f>
        <v>MATUTINO</v>
      </c>
      <c r="E826" s="26" t="str">
        <f>"CATARROJA NO. 78                                                                "</f>
        <v xml:space="preserve">CATARROJA NO. 78                                                                </v>
      </c>
      <c r="F826" s="26" t="str">
        <f>"CERRO DE LA ESTRELLA                                                                                                                        "</f>
        <v xml:space="preserve">CERRO DE LA ESTRELLA                                                                                                                        </v>
      </c>
      <c r="G826" s="26" t="str">
        <f>"IZTAPALAPA                                                                      "</f>
        <v xml:space="preserve">IZTAPALAPA                                                                      </v>
      </c>
      <c r="H826" s="26" t="str">
        <f>"044"</f>
        <v>044</v>
      </c>
      <c r="I826" s="26" t="str">
        <f t="shared" si="125"/>
        <v>00</v>
      </c>
      <c r="J826" s="26" t="str">
        <f>"63 "</f>
        <v xml:space="preserve">63 </v>
      </c>
      <c r="K826" s="26" t="str">
        <f>"IZ"</f>
        <v>IZ</v>
      </c>
      <c r="L826" s="26" t="str">
        <f>"DGSEI"</f>
        <v>DGSEI</v>
      </c>
      <c r="M826" s="26" t="str">
        <f t="shared" si="126"/>
        <v>FEDERAL</v>
      </c>
      <c r="N826" s="26">
        <v>513</v>
      </c>
      <c r="O826" s="26">
        <v>235</v>
      </c>
      <c r="P826" s="26">
        <v>278</v>
      </c>
      <c r="Q826" s="26">
        <v>20</v>
      </c>
      <c r="R826" s="26">
        <v>1</v>
      </c>
      <c r="S826" s="26">
        <v>20</v>
      </c>
      <c r="T826" s="26">
        <v>10</v>
      </c>
      <c r="U826" s="26">
        <v>31</v>
      </c>
      <c r="V826" s="26">
        <v>1</v>
      </c>
      <c r="W826" s="26"/>
    </row>
    <row r="827" spans="1:23" x14ac:dyDescent="0.25">
      <c r="A827" s="26" t="str">
        <f t="shared" si="124"/>
        <v>PRIMARIA</v>
      </c>
      <c r="B827" s="26" t="str">
        <f>"09DPR1839Z"</f>
        <v>09DPR1839Z</v>
      </c>
      <c r="C827" s="26" t="str">
        <f>"ESC. PRIM. ANEXA A LA BENM ""LUIS HIDALGO MONROY""                                                    "</f>
        <v xml:space="preserve">ESC. PRIM. ANEXA A LA BENM "LUIS HIDALGO MONROY"                                                    </v>
      </c>
      <c r="D827" s="26" t="str">
        <f>"JORNADA AMPLIADA"</f>
        <v>JORNADA AMPLIADA</v>
      </c>
      <c r="E827" s="26" t="str">
        <f>"CALZ. MEXICO TACUBA NUM 75                                                      "</f>
        <v xml:space="preserve">CALZ. MEXICO TACUBA NUM 75                                                      </v>
      </c>
      <c r="F827" s="26" t="str">
        <f>"UN HOGAR PARA NOSOTROS                                                                                                                      "</f>
        <v xml:space="preserve">UN HOGAR PARA NOSOTROS                                                                                                                      </v>
      </c>
      <c r="G827" s="26" t="str">
        <f>"MIGUEL HIDALGO                                                                  "</f>
        <v xml:space="preserve">MIGUEL HIDALGO                                                                  </v>
      </c>
      <c r="H827" s="26" t="str">
        <f>"001"</f>
        <v>001</v>
      </c>
      <c r="I827" s="26" t="str">
        <f t="shared" si="125"/>
        <v>00</v>
      </c>
      <c r="J827" s="26" t="str">
        <f>"91 "</f>
        <v xml:space="preserve">91 </v>
      </c>
      <c r="K827" s="26" t="str">
        <f>"EN"</f>
        <v>EN</v>
      </c>
      <c r="L827" s="26" t="str">
        <f>"DGENAM"</f>
        <v>DGENAM</v>
      </c>
      <c r="M827" s="26" t="str">
        <f t="shared" si="126"/>
        <v>FEDERAL</v>
      </c>
      <c r="N827" s="26">
        <v>592</v>
      </c>
      <c r="O827" s="26">
        <v>272</v>
      </c>
      <c r="P827" s="26">
        <v>320</v>
      </c>
      <c r="Q827" s="26">
        <v>18</v>
      </c>
      <c r="R827" s="26">
        <v>1</v>
      </c>
      <c r="S827" s="26">
        <v>18</v>
      </c>
      <c r="T827" s="26">
        <v>7</v>
      </c>
      <c r="U827" s="26">
        <v>26</v>
      </c>
      <c r="V827" s="26">
        <v>1</v>
      </c>
      <c r="W827" s="26" t="s">
        <v>2076</v>
      </c>
    </row>
    <row r="828" spans="1:23" x14ac:dyDescent="0.25">
      <c r="A828" s="26" t="str">
        <f t="shared" si="124"/>
        <v>PRIMARIA</v>
      </c>
      <c r="B828" s="26" t="str">
        <f>"09DPR1840O"</f>
        <v>09DPR1840O</v>
      </c>
      <c r="C828" s="26" t="str">
        <f>"ESC. PRIM. ANEXA A LA BENM ""GENOVEVA CORTES VALLADARES""                                             "</f>
        <v xml:space="preserve">ESC. PRIM. ANEXA A LA BENM "GENOVEVA CORTES VALLADARES"                                             </v>
      </c>
      <c r="D828" s="26" t="str">
        <f>"VESPERTINO"</f>
        <v>VESPERTINO</v>
      </c>
      <c r="E828" s="26" t="str">
        <f>"CALZ. MEXICO TACUBA NUM 75                                                      "</f>
        <v xml:space="preserve">CALZ. MEXICO TACUBA NUM 75                                                      </v>
      </c>
      <c r="F828" s="26" t="str">
        <f>"UN HOGAR PARA NOSOTROS                                                                                                                      "</f>
        <v xml:space="preserve">UN HOGAR PARA NOSOTROS                                                                                                                      </v>
      </c>
      <c r="G828" s="26" t="str">
        <f>"MIGUEL HIDALGO                                                                  "</f>
        <v xml:space="preserve">MIGUEL HIDALGO                                                                  </v>
      </c>
      <c r="H828" s="26" t="str">
        <f>"001"</f>
        <v>001</v>
      </c>
      <c r="I828" s="26" t="str">
        <f t="shared" si="125"/>
        <v>00</v>
      </c>
      <c r="J828" s="26" t="str">
        <f>"91 "</f>
        <v xml:space="preserve">91 </v>
      </c>
      <c r="K828" s="26" t="str">
        <f>"EN"</f>
        <v>EN</v>
      </c>
      <c r="L828" s="26" t="str">
        <f>"DGENAM"</f>
        <v>DGENAM</v>
      </c>
      <c r="M828" s="26" t="str">
        <f t="shared" si="126"/>
        <v>FEDERAL</v>
      </c>
      <c r="N828" s="26">
        <v>217</v>
      </c>
      <c r="O828" s="26">
        <v>124</v>
      </c>
      <c r="P828" s="26">
        <v>93</v>
      </c>
      <c r="Q828" s="26">
        <v>12</v>
      </c>
      <c r="R828" s="26">
        <v>2</v>
      </c>
      <c r="S828" s="26">
        <v>12</v>
      </c>
      <c r="T828" s="26">
        <v>12</v>
      </c>
      <c r="U828" s="26">
        <v>26</v>
      </c>
      <c r="V828" s="26">
        <v>1</v>
      </c>
      <c r="W828" s="26"/>
    </row>
    <row r="829" spans="1:23" x14ac:dyDescent="0.25">
      <c r="A829" s="26" t="str">
        <f t="shared" si="124"/>
        <v>PRIMARIA</v>
      </c>
      <c r="B829" s="26" t="str">
        <f>"09DPR1842M"</f>
        <v>09DPR1842M</v>
      </c>
      <c r="C829" s="26" t="str">
        <f>"ADOLFO RUIZ CORTINES                                                                                "</f>
        <v xml:space="preserve">ADOLFO RUIZ CORTINES                                                                                </v>
      </c>
      <c r="D829" s="26" t="str">
        <f>"JORNADA AMPLIADA"</f>
        <v>JORNADA AMPLIADA</v>
      </c>
      <c r="E829" s="26" t="str">
        <f>"BENITO JUAREZ NO 118                                                            "</f>
        <v xml:space="preserve">BENITO JUAREZ NO 118                                                            </v>
      </c>
      <c r="F829" s="26" t="str">
        <f>"BARRIO NORTE                                                                                                                                "</f>
        <v xml:space="preserve">BARRIO NORTE                                                                                                                                </v>
      </c>
      <c r="G829" s="26" t="str">
        <f>"ALVARO OBREGON                                                                  "</f>
        <v xml:space="preserve">ALVARO OBREGON                                                                  </v>
      </c>
      <c r="H829" s="26" t="str">
        <f>"402"</f>
        <v>402</v>
      </c>
      <c r="I829" s="26" t="str">
        <f t="shared" si="125"/>
        <v>00</v>
      </c>
      <c r="J829" s="26" t="str">
        <f>"44 "</f>
        <v xml:space="preserve">44 </v>
      </c>
      <c r="K829" s="26" t="str">
        <f t="shared" ref="K829:K840" si="136">"PR"</f>
        <v>PR</v>
      </c>
      <c r="L829" s="26" t="str">
        <f t="shared" ref="L829:L840" si="137">"DGOSE"</f>
        <v>DGOSE</v>
      </c>
      <c r="M829" s="26" t="str">
        <f t="shared" si="126"/>
        <v>FEDERAL</v>
      </c>
      <c r="N829" s="26">
        <v>334</v>
      </c>
      <c r="O829" s="26">
        <v>172</v>
      </c>
      <c r="P829" s="26">
        <v>162</v>
      </c>
      <c r="Q829" s="26">
        <v>12</v>
      </c>
      <c r="R829" s="26">
        <v>1</v>
      </c>
      <c r="S829" s="26">
        <v>10</v>
      </c>
      <c r="T829" s="26">
        <v>11</v>
      </c>
      <c r="U829" s="26">
        <v>22</v>
      </c>
      <c r="V829" s="26">
        <v>1</v>
      </c>
      <c r="W829" s="26" t="s">
        <v>2076</v>
      </c>
    </row>
    <row r="830" spans="1:23" x14ac:dyDescent="0.25">
      <c r="A830" s="26" t="str">
        <f t="shared" si="124"/>
        <v>PRIMARIA</v>
      </c>
      <c r="B830" s="26" t="str">
        <f>"09DPR1844K"</f>
        <v>09DPR1844K</v>
      </c>
      <c r="C830" s="26" t="str">
        <f>"AMADO NERVO                                                                                         "</f>
        <v xml:space="preserve">AMADO NERVO                                                                                         </v>
      </c>
      <c r="D830" s="26" t="str">
        <f>"TIEMPO COMPLETO"</f>
        <v>TIEMPO COMPLETO</v>
      </c>
      <c r="E830" s="26" t="str">
        <f>"BENVENUTO CELLINI NUM 21                                                        "</f>
        <v xml:space="preserve">BENVENUTO CELLINI NUM 21                                                        </v>
      </c>
      <c r="F830" s="26" t="str">
        <f>"MIXCOAC                                                                                                                                     "</f>
        <v xml:space="preserve">MIXCOAC                                                                                                                                     </v>
      </c>
      <c r="G830" s="26" t="str">
        <f>"BENITO JUAREZ                                                                   "</f>
        <v xml:space="preserve">BENITO JUAREZ                                                                   </v>
      </c>
      <c r="H830" s="26" t="str">
        <f>"412"</f>
        <v>412</v>
      </c>
      <c r="I830" s="26" t="str">
        <f t="shared" si="125"/>
        <v>00</v>
      </c>
      <c r="J830" s="26" t="str">
        <f>"44 "</f>
        <v xml:space="preserve">44 </v>
      </c>
      <c r="K830" s="26" t="str">
        <f t="shared" si="136"/>
        <v>PR</v>
      </c>
      <c r="L830" s="26" t="str">
        <f t="shared" si="137"/>
        <v>DGOSE</v>
      </c>
      <c r="M830" s="26" t="str">
        <f t="shared" si="126"/>
        <v>FEDERAL</v>
      </c>
      <c r="N830" s="26">
        <v>373</v>
      </c>
      <c r="O830" s="26">
        <v>190</v>
      </c>
      <c r="P830" s="26">
        <v>183</v>
      </c>
      <c r="Q830" s="26">
        <v>12</v>
      </c>
      <c r="R830" s="26">
        <v>1</v>
      </c>
      <c r="S830" s="26">
        <v>12</v>
      </c>
      <c r="T830" s="26">
        <v>11</v>
      </c>
      <c r="U830" s="26">
        <v>24</v>
      </c>
      <c r="V830" s="26">
        <v>1</v>
      </c>
      <c r="W830" s="26" t="s">
        <v>218</v>
      </c>
    </row>
    <row r="831" spans="1:23" x14ac:dyDescent="0.25">
      <c r="A831" s="26" t="str">
        <f t="shared" si="124"/>
        <v>PRIMARIA</v>
      </c>
      <c r="B831" s="26" t="str">
        <f>"09DPR1846I"</f>
        <v>09DPR1846I</v>
      </c>
      <c r="C831" s="26" t="str">
        <f>"ENRIQUE DE OLAVARRIA Y FERRARI                                                                      "</f>
        <v xml:space="preserve">ENRIQUE DE OLAVARRIA Y FERRARI                                                                      </v>
      </c>
      <c r="D831" s="26" t="str">
        <f>"JORNADA AMPLIADA"</f>
        <v>JORNADA AMPLIADA</v>
      </c>
      <c r="E831" s="26" t="str">
        <f>"AV REVOLUCION 906                                                               "</f>
        <v xml:space="preserve">AV REVOLUCION 906                                                               </v>
      </c>
      <c r="F831" s="26" t="str">
        <f>"MIXCOAC                                                                                                                                     "</f>
        <v xml:space="preserve">MIXCOAC                                                                                                                                     </v>
      </c>
      <c r="G831" s="26" t="str">
        <f>"BENITO JUAREZ                                                                   "</f>
        <v xml:space="preserve">BENITO JUAREZ                                                                   </v>
      </c>
      <c r="H831" s="26" t="str">
        <f>"412"</f>
        <v>412</v>
      </c>
      <c r="I831" s="26" t="str">
        <f t="shared" si="125"/>
        <v>00</v>
      </c>
      <c r="J831" s="26" t="str">
        <f>"44 "</f>
        <v xml:space="preserve">44 </v>
      </c>
      <c r="K831" s="26" t="str">
        <f t="shared" si="136"/>
        <v>PR</v>
      </c>
      <c r="L831" s="26" t="str">
        <f t="shared" si="137"/>
        <v>DGOSE</v>
      </c>
      <c r="M831" s="26" t="str">
        <f t="shared" si="126"/>
        <v>FEDERAL</v>
      </c>
      <c r="N831" s="26">
        <v>345</v>
      </c>
      <c r="O831" s="26">
        <v>178</v>
      </c>
      <c r="P831" s="26">
        <v>167</v>
      </c>
      <c r="Q831" s="26">
        <v>12</v>
      </c>
      <c r="R831" s="26">
        <v>1</v>
      </c>
      <c r="S831" s="26">
        <v>12</v>
      </c>
      <c r="T831" s="26">
        <v>10</v>
      </c>
      <c r="U831" s="26">
        <v>23</v>
      </c>
      <c r="V831" s="26">
        <v>1</v>
      </c>
      <c r="W831" s="26" t="s">
        <v>2076</v>
      </c>
    </row>
    <row r="832" spans="1:23" x14ac:dyDescent="0.25">
      <c r="A832" s="26" t="str">
        <f t="shared" si="124"/>
        <v>PRIMARIA</v>
      </c>
      <c r="B832" s="26" t="str">
        <f>"09DPR1849F"</f>
        <v>09DPR1849F</v>
      </c>
      <c r="C832" s="26" t="str">
        <f>"CLUB DE LEONES NUMERO 4                                                                             "</f>
        <v xml:space="preserve">CLUB DE LEONES NUMERO 4                                                                             </v>
      </c>
      <c r="D832" s="26" t="str">
        <f>"JORNADA AMPLIADA"</f>
        <v>JORNADA AMPLIADA</v>
      </c>
      <c r="E832" s="26" t="str">
        <f>"ROSA VULCANO NUM 2                                                              "</f>
        <v xml:space="preserve">ROSA VULCANO NUM 2                                                              </v>
      </c>
      <c r="F832" s="26" t="str">
        <f>"MOLINO DE ROSAS                                                                                                                             "</f>
        <v xml:space="preserve">MOLINO DE ROSAS                                                                                                                             </v>
      </c>
      <c r="G832" s="26" t="str">
        <f t="shared" ref="G832:G837" si="138">"ALVARO OBREGON                                                                  "</f>
        <v xml:space="preserve">ALVARO OBREGON                                                                  </v>
      </c>
      <c r="H832" s="26" t="str">
        <f>"403"</f>
        <v>403</v>
      </c>
      <c r="I832" s="26" t="str">
        <f t="shared" si="125"/>
        <v>00</v>
      </c>
      <c r="J832" s="26" t="str">
        <f>"44 "</f>
        <v xml:space="preserve">44 </v>
      </c>
      <c r="K832" s="26" t="str">
        <f t="shared" si="136"/>
        <v>PR</v>
      </c>
      <c r="L832" s="26" t="str">
        <f t="shared" si="137"/>
        <v>DGOSE</v>
      </c>
      <c r="M832" s="26" t="str">
        <f t="shared" si="126"/>
        <v>FEDERAL</v>
      </c>
      <c r="N832" s="26">
        <v>511</v>
      </c>
      <c r="O832" s="26">
        <v>239</v>
      </c>
      <c r="P832" s="26">
        <v>272</v>
      </c>
      <c r="Q832" s="26">
        <v>16</v>
      </c>
      <c r="R832" s="26">
        <v>1</v>
      </c>
      <c r="S832" s="26">
        <v>16</v>
      </c>
      <c r="T832" s="26">
        <v>8</v>
      </c>
      <c r="U832" s="26">
        <v>25</v>
      </c>
      <c r="V832" s="26">
        <v>1</v>
      </c>
      <c r="W832" s="26" t="s">
        <v>2076</v>
      </c>
    </row>
    <row r="833" spans="1:23" x14ac:dyDescent="0.25">
      <c r="A833" s="26" t="str">
        <f t="shared" si="124"/>
        <v>PRIMARIA</v>
      </c>
      <c r="B833" s="26" t="str">
        <f>"09DPR1850V"</f>
        <v>09DPR1850V</v>
      </c>
      <c r="C833" s="26" t="str">
        <f>"CLUB DE LEONES NUMERO 4                                                                             "</f>
        <v xml:space="preserve">CLUB DE LEONES NUMERO 4                                                                             </v>
      </c>
      <c r="D833" s="26" t="str">
        <f>"TIEMPO COMPLETO"</f>
        <v>TIEMPO COMPLETO</v>
      </c>
      <c r="E833" s="26" t="str">
        <f>"ROSA VULCANO NUM 2                                                              "</f>
        <v xml:space="preserve">ROSA VULCANO NUM 2                                                              </v>
      </c>
      <c r="F833" s="26" t="str">
        <f>"MOLINO DE ROSAS                                                                                                                             "</f>
        <v xml:space="preserve">MOLINO DE ROSAS                                                                                                                             </v>
      </c>
      <c r="G833" s="26" t="str">
        <f t="shared" si="138"/>
        <v xml:space="preserve">ALVARO OBREGON                                                                  </v>
      </c>
      <c r="H833" s="26" t="str">
        <f>"404"</f>
        <v>404</v>
      </c>
      <c r="I833" s="26" t="str">
        <f t="shared" si="125"/>
        <v>00</v>
      </c>
      <c r="J833" s="26" t="str">
        <f>"44 "</f>
        <v xml:space="preserve">44 </v>
      </c>
      <c r="K833" s="26" t="str">
        <f t="shared" si="136"/>
        <v>PR</v>
      </c>
      <c r="L833" s="26" t="str">
        <f t="shared" si="137"/>
        <v>DGOSE</v>
      </c>
      <c r="M833" s="26" t="str">
        <f t="shared" si="126"/>
        <v>FEDERAL</v>
      </c>
      <c r="N833" s="26">
        <v>519</v>
      </c>
      <c r="O833" s="26">
        <v>291</v>
      </c>
      <c r="P833" s="26">
        <v>228</v>
      </c>
      <c r="Q833" s="26">
        <v>18</v>
      </c>
      <c r="R833" s="26">
        <v>1</v>
      </c>
      <c r="S833" s="26">
        <v>18</v>
      </c>
      <c r="T833" s="26">
        <v>10</v>
      </c>
      <c r="U833" s="26">
        <v>29</v>
      </c>
      <c r="V833" s="26">
        <v>1</v>
      </c>
      <c r="W833" s="26" t="s">
        <v>218</v>
      </c>
    </row>
    <row r="834" spans="1:23" x14ac:dyDescent="0.25">
      <c r="A834" s="26" t="str">
        <f t="shared" ref="A834:A897" si="139">"PRIMARIA"</f>
        <v>PRIMARIA</v>
      </c>
      <c r="B834" s="26" t="str">
        <f>"09DPR1851U"</f>
        <v>09DPR1851U</v>
      </c>
      <c r="C834" s="26" t="str">
        <f>"MAESTRO CANDOR GUAJARDO                                                                             "</f>
        <v xml:space="preserve">MAESTRO CANDOR GUAJARDO                                                                             </v>
      </c>
      <c r="D834" s="26" t="str">
        <f>"MATUTINO"</f>
        <v>MATUTINO</v>
      </c>
      <c r="E834" s="26" t="str">
        <f>"AV HIDALGO Y CALLE 36 S/N                                                       "</f>
        <v xml:space="preserve">AV HIDALGO Y CALLE 36 S/N                                                       </v>
      </c>
      <c r="F834" s="26" t="str">
        <f>"COLINAS DEL SUR                                                                                                                             "</f>
        <v xml:space="preserve">COLINAS DEL SUR                                                                                                                             </v>
      </c>
      <c r="G834" s="26" t="str">
        <f t="shared" si="138"/>
        <v xml:space="preserve">ALVARO OBREGON                                                                  </v>
      </c>
      <c r="H834" s="26" t="str">
        <f>"317"</f>
        <v>317</v>
      </c>
      <c r="I834" s="26" t="str">
        <f t="shared" ref="I834:I897" si="140">"00"</f>
        <v>00</v>
      </c>
      <c r="J834" s="26" t="str">
        <f>"43 "</f>
        <v xml:space="preserve">43 </v>
      </c>
      <c r="K834" s="26" t="str">
        <f t="shared" si="136"/>
        <v>PR</v>
      </c>
      <c r="L834" s="26" t="str">
        <f t="shared" si="137"/>
        <v>DGOSE</v>
      </c>
      <c r="M834" s="26" t="str">
        <f t="shared" ref="M834:M897" si="141">"FEDERAL"</f>
        <v>FEDERAL</v>
      </c>
      <c r="N834" s="26">
        <v>582</v>
      </c>
      <c r="O834" s="26">
        <v>290</v>
      </c>
      <c r="P834" s="26">
        <v>292</v>
      </c>
      <c r="Q834" s="26">
        <v>18</v>
      </c>
      <c r="R834" s="26">
        <v>1</v>
      </c>
      <c r="S834" s="26">
        <v>17</v>
      </c>
      <c r="T834" s="26">
        <v>6</v>
      </c>
      <c r="U834" s="26">
        <v>24</v>
      </c>
      <c r="V834" s="26">
        <v>1</v>
      </c>
      <c r="W834" s="26"/>
    </row>
    <row r="835" spans="1:23" x14ac:dyDescent="0.25">
      <c r="A835" s="26" t="str">
        <f t="shared" si="139"/>
        <v>PRIMARIA</v>
      </c>
      <c r="B835" s="26" t="str">
        <f>"09DPR1852T"</f>
        <v>09DPR1852T</v>
      </c>
      <c r="C835" s="26" t="str">
        <f>"MAESTRO CANDOR GUAJARDO                                                                             "</f>
        <v xml:space="preserve">MAESTRO CANDOR GUAJARDO                                                                             </v>
      </c>
      <c r="D835" s="26" t="str">
        <f>"VESPERTINO"</f>
        <v>VESPERTINO</v>
      </c>
      <c r="E835" s="26" t="str">
        <f>"AV HIDALGO Y CALLE 36                                                           "</f>
        <v xml:space="preserve">AV HIDALGO Y CALLE 36                                                           </v>
      </c>
      <c r="F835" s="26" t="str">
        <f>"COLINAS DEL SUR                                                                                                                             "</f>
        <v xml:space="preserve">COLINAS DEL SUR                                                                                                                             </v>
      </c>
      <c r="G835" s="26" t="str">
        <f t="shared" si="138"/>
        <v xml:space="preserve">ALVARO OBREGON                                                                  </v>
      </c>
      <c r="H835" s="26" t="str">
        <f>"317"</f>
        <v>317</v>
      </c>
      <c r="I835" s="26" t="str">
        <f t="shared" si="140"/>
        <v>00</v>
      </c>
      <c r="J835" s="26" t="str">
        <f>"43 "</f>
        <v xml:space="preserve">43 </v>
      </c>
      <c r="K835" s="26" t="str">
        <f t="shared" si="136"/>
        <v>PR</v>
      </c>
      <c r="L835" s="26" t="str">
        <f t="shared" si="137"/>
        <v>DGOSE</v>
      </c>
      <c r="M835" s="26" t="str">
        <f t="shared" si="141"/>
        <v>FEDERAL</v>
      </c>
      <c r="N835" s="26">
        <v>126</v>
      </c>
      <c r="O835" s="26">
        <v>63</v>
      </c>
      <c r="P835" s="26">
        <v>63</v>
      </c>
      <c r="Q835" s="26">
        <v>6</v>
      </c>
      <c r="R835" s="26">
        <v>1</v>
      </c>
      <c r="S835" s="26">
        <v>6</v>
      </c>
      <c r="T835" s="26">
        <v>6</v>
      </c>
      <c r="U835" s="26">
        <v>13</v>
      </c>
      <c r="V835" s="26">
        <v>1</v>
      </c>
      <c r="W835" s="26"/>
    </row>
    <row r="836" spans="1:23" x14ac:dyDescent="0.25">
      <c r="A836" s="26" t="str">
        <f t="shared" si="139"/>
        <v>PRIMARIA</v>
      </c>
      <c r="B836" s="26" t="str">
        <f>"09DPR1854R"</f>
        <v>09DPR1854R</v>
      </c>
      <c r="C836" s="26" t="str">
        <f>"DR. SAMUEL RAMOS                                                                                    "</f>
        <v xml:space="preserve">DR. SAMUEL RAMOS                                                                                    </v>
      </c>
      <c r="D836" s="26" t="str">
        <f>"MATUTINO"</f>
        <v>MATUTINO</v>
      </c>
      <c r="E836" s="26" t="str">
        <f>"TIZIANO Y VAN OSTADE NO 8                                                       "</f>
        <v xml:space="preserve">TIZIANO Y VAN OSTADE NO 8                                                       </v>
      </c>
      <c r="F836" s="26" t="str">
        <f>"ALFONSO XIII                                                                                                                                "</f>
        <v xml:space="preserve">ALFONSO XIII                                                                                                                                </v>
      </c>
      <c r="G836" s="26" t="str">
        <f t="shared" si="138"/>
        <v xml:space="preserve">ALVARO OBREGON                                                                  </v>
      </c>
      <c r="H836" s="26" t="str">
        <f>"313"</f>
        <v>313</v>
      </c>
      <c r="I836" s="26" t="str">
        <f t="shared" si="140"/>
        <v>00</v>
      </c>
      <c r="J836" s="26" t="str">
        <f>"43 "</f>
        <v xml:space="preserve">43 </v>
      </c>
      <c r="K836" s="26" t="str">
        <f t="shared" si="136"/>
        <v>PR</v>
      </c>
      <c r="L836" s="26" t="str">
        <f t="shared" si="137"/>
        <v>DGOSE</v>
      </c>
      <c r="M836" s="26" t="str">
        <f t="shared" si="141"/>
        <v>FEDERAL</v>
      </c>
      <c r="N836" s="26">
        <v>389</v>
      </c>
      <c r="O836" s="26">
        <v>203</v>
      </c>
      <c r="P836" s="26">
        <v>186</v>
      </c>
      <c r="Q836" s="26">
        <v>12</v>
      </c>
      <c r="R836" s="26">
        <v>1</v>
      </c>
      <c r="S836" s="26">
        <v>12</v>
      </c>
      <c r="T836" s="26">
        <v>6</v>
      </c>
      <c r="U836" s="26">
        <v>19</v>
      </c>
      <c r="V836" s="26">
        <v>1</v>
      </c>
      <c r="W836" s="26"/>
    </row>
    <row r="837" spans="1:23" x14ac:dyDescent="0.25">
      <c r="A837" s="26" t="str">
        <f t="shared" si="139"/>
        <v>PRIMARIA</v>
      </c>
      <c r="B837" s="26" t="str">
        <f>"09DPR1855Q"</f>
        <v>09DPR1855Q</v>
      </c>
      <c r="C837" s="26" t="str">
        <f>"ROMAN SALDAÑA OROPESA                                                                               "</f>
        <v xml:space="preserve">ROMAN SALDAÑA OROPESA                                                                               </v>
      </c>
      <c r="D837" s="26" t="str">
        <f>"JORNADA AMPLIADA"</f>
        <v>JORNADA AMPLIADA</v>
      </c>
      <c r="E837" s="26" t="str">
        <f>"ROSA DE BENGALA Y DR J MONROY                                                   "</f>
        <v xml:space="preserve">ROSA DE BENGALA Y DR J MONROY                                                   </v>
      </c>
      <c r="F837" s="26" t="str">
        <f>"MOLINO DE ROSAS                                                                                                                             "</f>
        <v xml:space="preserve">MOLINO DE ROSAS                                                                                                                             </v>
      </c>
      <c r="G837" s="26" t="str">
        <f t="shared" si="138"/>
        <v xml:space="preserve">ALVARO OBREGON                                                                  </v>
      </c>
      <c r="H837" s="26" t="str">
        <f>"403"</f>
        <v>403</v>
      </c>
      <c r="I837" s="26" t="str">
        <f t="shared" si="140"/>
        <v>00</v>
      </c>
      <c r="J837" s="26" t="str">
        <f>"44 "</f>
        <v xml:space="preserve">44 </v>
      </c>
      <c r="K837" s="26" t="str">
        <f t="shared" si="136"/>
        <v>PR</v>
      </c>
      <c r="L837" s="26" t="str">
        <f t="shared" si="137"/>
        <v>DGOSE</v>
      </c>
      <c r="M837" s="26" t="str">
        <f t="shared" si="141"/>
        <v>FEDERAL</v>
      </c>
      <c r="N837" s="26">
        <v>410</v>
      </c>
      <c r="O837" s="26">
        <v>192</v>
      </c>
      <c r="P837" s="26">
        <v>218</v>
      </c>
      <c r="Q837" s="26">
        <v>16</v>
      </c>
      <c r="R837" s="26">
        <v>1</v>
      </c>
      <c r="S837" s="26">
        <v>16</v>
      </c>
      <c r="T837" s="26">
        <v>9</v>
      </c>
      <c r="U837" s="26">
        <v>26</v>
      </c>
      <c r="V837" s="26">
        <v>1</v>
      </c>
      <c r="W837" s="26" t="s">
        <v>2076</v>
      </c>
    </row>
    <row r="838" spans="1:23" x14ac:dyDescent="0.25">
      <c r="A838" s="26" t="str">
        <f t="shared" si="139"/>
        <v>PRIMARIA</v>
      </c>
      <c r="B838" s="26" t="str">
        <f>"09DPR1856P"</f>
        <v>09DPR1856P</v>
      </c>
      <c r="C838" s="26" t="str">
        <f>"REPUBLICA DE PARAGUAY                                                                               "</f>
        <v xml:space="preserve">REPUBLICA DE PARAGUAY                                                                               </v>
      </c>
      <c r="D838" s="26" t="str">
        <f>"TIEMPO COMPLETO"</f>
        <v>TIEMPO COMPLETO</v>
      </c>
      <c r="E838" s="26" t="str">
        <f>"CHARCO AZUL Y MIGUEL CABRERA                                                    "</f>
        <v xml:space="preserve">CHARCO AZUL Y MIGUEL CABRERA                                                    </v>
      </c>
      <c r="F838" s="26" t="str">
        <f>"MIXCOAC                                                                                                                                     "</f>
        <v xml:space="preserve">MIXCOAC                                                                                                                                     </v>
      </c>
      <c r="G838" s="26" t="str">
        <f>"BENITO JUAREZ                                                                   "</f>
        <v xml:space="preserve">BENITO JUAREZ                                                                   </v>
      </c>
      <c r="H838" s="26" t="str">
        <f>"412"</f>
        <v>412</v>
      </c>
      <c r="I838" s="26" t="str">
        <f t="shared" si="140"/>
        <v>00</v>
      </c>
      <c r="J838" s="26" t="str">
        <f>"44 "</f>
        <v xml:space="preserve">44 </v>
      </c>
      <c r="K838" s="26" t="str">
        <f t="shared" si="136"/>
        <v>PR</v>
      </c>
      <c r="L838" s="26" t="str">
        <f t="shared" si="137"/>
        <v>DGOSE</v>
      </c>
      <c r="M838" s="26" t="str">
        <f t="shared" si="141"/>
        <v>FEDERAL</v>
      </c>
      <c r="N838" s="26">
        <v>436</v>
      </c>
      <c r="O838" s="26">
        <v>220</v>
      </c>
      <c r="P838" s="26">
        <v>216</v>
      </c>
      <c r="Q838" s="26">
        <v>15</v>
      </c>
      <c r="R838" s="26">
        <v>1</v>
      </c>
      <c r="S838" s="26">
        <v>15</v>
      </c>
      <c r="T838" s="26">
        <v>11</v>
      </c>
      <c r="U838" s="26">
        <v>27</v>
      </c>
      <c r="V838" s="26">
        <v>1</v>
      </c>
      <c r="W838" s="26" t="s">
        <v>218</v>
      </c>
    </row>
    <row r="839" spans="1:23" x14ac:dyDescent="0.25">
      <c r="A839" s="26" t="str">
        <f t="shared" si="139"/>
        <v>PRIMARIA</v>
      </c>
      <c r="B839" s="26" t="str">
        <f>"09DPR1858N"</f>
        <v>09DPR1858N</v>
      </c>
      <c r="C839" s="26" t="str">
        <f>"MOLINO DE ROSAS                                                                                     "</f>
        <v xml:space="preserve">MOLINO DE ROSAS                                                                                     </v>
      </c>
      <c r="D839" s="26" t="str">
        <f>"JORNADA AMPLIADA"</f>
        <v>JORNADA AMPLIADA</v>
      </c>
      <c r="E839" s="26" t="str">
        <f>"ROSA NAUTICA 1                                                                  "</f>
        <v xml:space="preserve">ROSA NAUTICA 1                                                                  </v>
      </c>
      <c r="F839" s="26" t="str">
        <f>"MOLINO DE ROSAS                                                                                                                             "</f>
        <v xml:space="preserve">MOLINO DE ROSAS                                                                                                                             </v>
      </c>
      <c r="G839" s="26" t="str">
        <f>"ALVARO OBREGON                                                                  "</f>
        <v xml:space="preserve">ALVARO OBREGON                                                                  </v>
      </c>
      <c r="H839" s="26" t="str">
        <f>"403"</f>
        <v>403</v>
      </c>
      <c r="I839" s="26" t="str">
        <f t="shared" si="140"/>
        <v>00</v>
      </c>
      <c r="J839" s="26" t="str">
        <f>"44 "</f>
        <v xml:space="preserve">44 </v>
      </c>
      <c r="K839" s="26" t="str">
        <f t="shared" si="136"/>
        <v>PR</v>
      </c>
      <c r="L839" s="26" t="str">
        <f t="shared" si="137"/>
        <v>DGOSE</v>
      </c>
      <c r="M839" s="26" t="str">
        <f t="shared" si="141"/>
        <v>FEDERAL</v>
      </c>
      <c r="N839" s="26">
        <v>206</v>
      </c>
      <c r="O839" s="26">
        <v>106</v>
      </c>
      <c r="P839" s="26">
        <v>100</v>
      </c>
      <c r="Q839" s="26">
        <v>7</v>
      </c>
      <c r="R839" s="26">
        <v>1</v>
      </c>
      <c r="S839" s="26">
        <v>7</v>
      </c>
      <c r="T839" s="26">
        <v>7</v>
      </c>
      <c r="U839" s="26">
        <v>15</v>
      </c>
      <c r="V839" s="26">
        <v>1</v>
      </c>
      <c r="W839" s="26" t="s">
        <v>2076</v>
      </c>
    </row>
    <row r="840" spans="1:23" x14ac:dyDescent="0.25">
      <c r="A840" s="26" t="str">
        <f t="shared" si="139"/>
        <v>PRIMARIA</v>
      </c>
      <c r="B840" s="26" t="str">
        <f>"09DPR1861A"</f>
        <v>09DPR1861A</v>
      </c>
      <c r="C840" s="26" t="str">
        <f>"MANUEL CERVANTES IMAZ                                                                               "</f>
        <v xml:space="preserve">MANUEL CERVANTES IMAZ                                                                               </v>
      </c>
      <c r="D840" s="26" t="str">
        <f>"JORNADA AMPLIADA"</f>
        <v>JORNADA AMPLIADA</v>
      </c>
      <c r="E840" s="26" t="str">
        <f>"NATHAL PESADO NO 8                                                              "</f>
        <v xml:space="preserve">NATHAL PESADO NO 8                                                              </v>
      </c>
      <c r="F840" s="26" t="str">
        <f>"MIXCOAC                                                                                                                                     "</f>
        <v xml:space="preserve">MIXCOAC                                                                                                                                     </v>
      </c>
      <c r="G840" s="26" t="str">
        <f>"BENITO JUAREZ                                                                   "</f>
        <v xml:space="preserve">BENITO JUAREZ                                                                   </v>
      </c>
      <c r="H840" s="26" t="str">
        <f>"412"</f>
        <v>412</v>
      </c>
      <c r="I840" s="26" t="str">
        <f t="shared" si="140"/>
        <v>00</v>
      </c>
      <c r="J840" s="26" t="str">
        <f>"44 "</f>
        <v xml:space="preserve">44 </v>
      </c>
      <c r="K840" s="26" t="str">
        <f t="shared" si="136"/>
        <v>PR</v>
      </c>
      <c r="L840" s="26" t="str">
        <f t="shared" si="137"/>
        <v>DGOSE</v>
      </c>
      <c r="M840" s="26" t="str">
        <f t="shared" si="141"/>
        <v>FEDERAL</v>
      </c>
      <c r="N840" s="26">
        <v>433</v>
      </c>
      <c r="O840" s="26">
        <v>219</v>
      </c>
      <c r="P840" s="26">
        <v>214</v>
      </c>
      <c r="Q840" s="26">
        <v>15</v>
      </c>
      <c r="R840" s="26">
        <v>1</v>
      </c>
      <c r="S840" s="26">
        <v>15</v>
      </c>
      <c r="T840" s="26">
        <v>10</v>
      </c>
      <c r="U840" s="26">
        <v>26</v>
      </c>
      <c r="V840" s="26">
        <v>1</v>
      </c>
      <c r="W840" s="26" t="s">
        <v>2076</v>
      </c>
    </row>
    <row r="841" spans="1:23" x14ac:dyDescent="0.25">
      <c r="A841" s="26" t="str">
        <f t="shared" si="139"/>
        <v>PRIMARIA</v>
      </c>
      <c r="B841" s="26" t="str">
        <f>"09DPR1862Z"</f>
        <v>09DPR1862Z</v>
      </c>
      <c r="C841" s="26" t="str">
        <f>"ESC. PRIM. ANEXA A LA BENM ""REPUBLICA DEL BRASIL""                                                   "</f>
        <v xml:space="preserve">ESC. PRIM. ANEXA A LA BENM "REPUBLICA DEL BRASIL"                                                   </v>
      </c>
      <c r="D841" s="26" t="str">
        <f>"MATUTINO"</f>
        <v>MATUTINO</v>
      </c>
      <c r="E841" s="26" t="str">
        <f>"CALZ. MEXICO TACUBA NUM 75                                                      "</f>
        <v xml:space="preserve">CALZ. MEXICO TACUBA NUM 75                                                      </v>
      </c>
      <c r="F841" s="26" t="str">
        <f>"UN HOGAR PARA NOSOTROS                                                                                                                      "</f>
        <v xml:space="preserve">UN HOGAR PARA NOSOTROS                                                                                                                      </v>
      </c>
      <c r="G841" s="26" t="str">
        <f>"MIGUEL HIDALGO                                                                  "</f>
        <v xml:space="preserve">MIGUEL HIDALGO                                                                  </v>
      </c>
      <c r="H841" s="26" t="str">
        <f>"001"</f>
        <v>001</v>
      </c>
      <c r="I841" s="26" t="str">
        <f t="shared" si="140"/>
        <v>00</v>
      </c>
      <c r="J841" s="26" t="str">
        <f>"91 "</f>
        <v xml:space="preserve">91 </v>
      </c>
      <c r="K841" s="26" t="str">
        <f>"EN"</f>
        <v>EN</v>
      </c>
      <c r="L841" s="26" t="str">
        <f>"DGENAM"</f>
        <v>DGENAM</v>
      </c>
      <c r="M841" s="26" t="str">
        <f t="shared" si="141"/>
        <v>FEDERAL</v>
      </c>
      <c r="N841" s="26">
        <v>530</v>
      </c>
      <c r="O841" s="26">
        <v>267</v>
      </c>
      <c r="P841" s="26">
        <v>263</v>
      </c>
      <c r="Q841" s="26">
        <v>18</v>
      </c>
      <c r="R841" s="26">
        <v>2</v>
      </c>
      <c r="S841" s="26">
        <v>18</v>
      </c>
      <c r="T841" s="26">
        <v>12</v>
      </c>
      <c r="U841" s="26">
        <v>32</v>
      </c>
      <c r="V841" s="26">
        <v>1</v>
      </c>
      <c r="W841" s="26"/>
    </row>
    <row r="842" spans="1:23" x14ac:dyDescent="0.25">
      <c r="A842" s="26" t="str">
        <f t="shared" si="139"/>
        <v>PRIMARIA</v>
      </c>
      <c r="B842" s="26" t="str">
        <f>"09DPR1863Z"</f>
        <v>09DPR1863Z</v>
      </c>
      <c r="C842" s="26" t="str">
        <f>"JACINTO CANEK                                                                                       "</f>
        <v xml:space="preserve">JACINTO CANEK                                                                                       </v>
      </c>
      <c r="D842" s="26" t="str">
        <f>"MATUTINO"</f>
        <v>MATUTINO</v>
      </c>
      <c r="E842" s="26" t="str">
        <f>"HUEHUETAN NO 230 ESQ TIZIMIN                                                    "</f>
        <v xml:space="preserve">HUEHUETAN NO 230 ESQ TIZIMIN                                                    </v>
      </c>
      <c r="F842" s="26" t="str">
        <f>"HEROES DE PADIERNA                                                                                                                          "</f>
        <v xml:space="preserve">HEROES DE PADIERNA                                                                                                                          </v>
      </c>
      <c r="G842" s="26" t="str">
        <f>"TLALPAN                                                                         "</f>
        <v xml:space="preserve">TLALPAN                                                                         </v>
      </c>
      <c r="H842" s="26" t="str">
        <f>"513"</f>
        <v>513</v>
      </c>
      <c r="I842" s="26" t="str">
        <f t="shared" si="140"/>
        <v>00</v>
      </c>
      <c r="J842" s="26" t="str">
        <f>"45 "</f>
        <v xml:space="preserve">45 </v>
      </c>
      <c r="K842" s="26" t="str">
        <f t="shared" ref="K842:K905" si="142">"PR"</f>
        <v>PR</v>
      </c>
      <c r="L842" s="26" t="str">
        <f t="shared" ref="L842:L905" si="143">"DGOSE"</f>
        <v>DGOSE</v>
      </c>
      <c r="M842" s="26" t="str">
        <f t="shared" si="141"/>
        <v>FEDERAL</v>
      </c>
      <c r="N842" s="26">
        <v>676</v>
      </c>
      <c r="O842" s="26">
        <v>343</v>
      </c>
      <c r="P842" s="26">
        <v>333</v>
      </c>
      <c r="Q842" s="26">
        <v>17</v>
      </c>
      <c r="R842" s="26">
        <v>1</v>
      </c>
      <c r="S842" s="26">
        <v>16</v>
      </c>
      <c r="T842" s="26">
        <v>9</v>
      </c>
      <c r="U842" s="26">
        <v>26</v>
      </c>
      <c r="V842" s="26">
        <v>1</v>
      </c>
      <c r="W842" s="26"/>
    </row>
    <row r="843" spans="1:23" x14ac:dyDescent="0.25">
      <c r="A843" s="26" t="str">
        <f t="shared" si="139"/>
        <v>PRIMARIA</v>
      </c>
      <c r="B843" s="26" t="str">
        <f>"09DPR1864Y"</f>
        <v>09DPR1864Y</v>
      </c>
      <c r="C843" s="26" t="str">
        <f>"JUAN A. MATEOS                                                                                      "</f>
        <v xml:space="preserve">JUAN A. MATEOS                                                                                      </v>
      </c>
      <c r="D843" s="26" t="str">
        <f>"VESPERTINO"</f>
        <v>VESPERTINO</v>
      </c>
      <c r="E843" s="26" t="str">
        <f>"AV HIDALGO NUM 5                                                                "</f>
        <v xml:space="preserve">AV HIDALGO NUM 5                                                                </v>
      </c>
      <c r="F843" s="26" t="str">
        <f>"OLIVAR DEL CONDE 2A SECCION                                                                                                                 "</f>
        <v xml:space="preserve">OLIVAR DEL CONDE 2A SECCION                                                                                                                 </v>
      </c>
      <c r="G843" s="26" t="str">
        <f>"ALVARO OBREGON                                                                  "</f>
        <v xml:space="preserve">ALVARO OBREGON                                                                  </v>
      </c>
      <c r="H843" s="26" t="str">
        <f>"317"</f>
        <v>317</v>
      </c>
      <c r="I843" s="26" t="str">
        <f t="shared" si="140"/>
        <v>00</v>
      </c>
      <c r="J843" s="26" t="str">
        <f>"43 "</f>
        <v xml:space="preserve">43 </v>
      </c>
      <c r="K843" s="26" t="str">
        <f t="shared" si="142"/>
        <v>PR</v>
      </c>
      <c r="L843" s="26" t="str">
        <f t="shared" si="143"/>
        <v>DGOSE</v>
      </c>
      <c r="M843" s="26" t="str">
        <f t="shared" si="141"/>
        <v>FEDERAL</v>
      </c>
      <c r="N843" s="26">
        <v>115</v>
      </c>
      <c r="O843" s="26">
        <v>64</v>
      </c>
      <c r="P843" s="26">
        <v>51</v>
      </c>
      <c r="Q843" s="26">
        <v>9</v>
      </c>
      <c r="R843" s="26">
        <v>1</v>
      </c>
      <c r="S843" s="26">
        <v>7</v>
      </c>
      <c r="T843" s="26">
        <v>2</v>
      </c>
      <c r="U843" s="26">
        <v>10</v>
      </c>
      <c r="V843" s="26">
        <v>1</v>
      </c>
      <c r="W843" s="26"/>
    </row>
    <row r="844" spans="1:23" x14ac:dyDescent="0.25">
      <c r="A844" s="26" t="str">
        <f t="shared" si="139"/>
        <v>PRIMARIA</v>
      </c>
      <c r="B844" s="26" t="str">
        <f>"09DPR1865X"</f>
        <v>09DPR1865X</v>
      </c>
      <c r="C844" s="26" t="str">
        <f>"JUAN A. MATEOS                                                                                      "</f>
        <v xml:space="preserve">JUAN A. MATEOS                                                                                      </v>
      </c>
      <c r="D844" s="26" t="str">
        <f>"MATUTINO"</f>
        <v>MATUTINO</v>
      </c>
      <c r="E844" s="26" t="str">
        <f>"AV HIDALGO NO 5                                                                 "</f>
        <v xml:space="preserve">AV HIDALGO NO 5                                                                 </v>
      </c>
      <c r="F844" s="26" t="str">
        <f>"OLIVAR DEL CONDE 2A SECCION                                                                                                                 "</f>
        <v xml:space="preserve">OLIVAR DEL CONDE 2A SECCION                                                                                                                 </v>
      </c>
      <c r="G844" s="26" t="str">
        <f>"ALVARO OBREGON                                                                  "</f>
        <v xml:space="preserve">ALVARO OBREGON                                                                  </v>
      </c>
      <c r="H844" s="26" t="str">
        <f>"317"</f>
        <v>317</v>
      </c>
      <c r="I844" s="26" t="str">
        <f t="shared" si="140"/>
        <v>00</v>
      </c>
      <c r="J844" s="26" t="str">
        <f>"43 "</f>
        <v xml:space="preserve">43 </v>
      </c>
      <c r="K844" s="26" t="str">
        <f t="shared" si="142"/>
        <v>PR</v>
      </c>
      <c r="L844" s="26" t="str">
        <f t="shared" si="143"/>
        <v>DGOSE</v>
      </c>
      <c r="M844" s="26" t="str">
        <f t="shared" si="141"/>
        <v>FEDERAL</v>
      </c>
      <c r="N844" s="26">
        <v>433</v>
      </c>
      <c r="O844" s="26">
        <v>220</v>
      </c>
      <c r="P844" s="26">
        <v>213</v>
      </c>
      <c r="Q844" s="26">
        <v>16</v>
      </c>
      <c r="R844" s="26">
        <v>1</v>
      </c>
      <c r="S844" s="26">
        <v>16</v>
      </c>
      <c r="T844" s="26">
        <v>13</v>
      </c>
      <c r="U844" s="26">
        <v>30</v>
      </c>
      <c r="V844" s="26">
        <v>1</v>
      </c>
      <c r="W844" s="26"/>
    </row>
    <row r="845" spans="1:23" x14ac:dyDescent="0.25">
      <c r="A845" s="26" t="str">
        <f t="shared" si="139"/>
        <v>PRIMARIA</v>
      </c>
      <c r="B845" s="26" t="str">
        <f>"09DPR1866W"</f>
        <v>09DPR1866W</v>
      </c>
      <c r="C845" s="26" t="str">
        <f>"DOCTOR JESUS DIAZ DE LEON                                                                           "</f>
        <v xml:space="preserve">DOCTOR JESUS DIAZ DE LEON                                                                           </v>
      </c>
      <c r="D845" s="26" t="str">
        <f>"MATUTINO"</f>
        <v>MATUTINO</v>
      </c>
      <c r="E845" s="26" t="str">
        <f>"LEONARDO DA VINCI NUM 170                                                       "</f>
        <v xml:space="preserve">LEONARDO DA VINCI NUM 170                                                       </v>
      </c>
      <c r="F845" s="26" t="str">
        <f>"MIXCOAC                                                                                                                                     "</f>
        <v xml:space="preserve">MIXCOAC                                                                                                                                     </v>
      </c>
      <c r="G845" s="26" t="str">
        <f>"BENITO JUAREZ                                                                   "</f>
        <v xml:space="preserve">BENITO JUAREZ                                                                   </v>
      </c>
      <c r="H845" s="26" t="str">
        <f>"340"</f>
        <v>340</v>
      </c>
      <c r="I845" s="26" t="str">
        <f t="shared" si="140"/>
        <v>00</v>
      </c>
      <c r="J845" s="26" t="str">
        <f>"43 "</f>
        <v xml:space="preserve">43 </v>
      </c>
      <c r="K845" s="26" t="str">
        <f t="shared" si="142"/>
        <v>PR</v>
      </c>
      <c r="L845" s="26" t="str">
        <f t="shared" si="143"/>
        <v>DGOSE</v>
      </c>
      <c r="M845" s="26" t="str">
        <f t="shared" si="141"/>
        <v>FEDERAL</v>
      </c>
      <c r="N845" s="26">
        <v>361</v>
      </c>
      <c r="O845" s="26">
        <v>188</v>
      </c>
      <c r="P845" s="26">
        <v>173</v>
      </c>
      <c r="Q845" s="26">
        <v>16</v>
      </c>
      <c r="R845" s="26">
        <v>1</v>
      </c>
      <c r="S845" s="26">
        <v>16</v>
      </c>
      <c r="T845" s="26">
        <v>7</v>
      </c>
      <c r="U845" s="26">
        <v>24</v>
      </c>
      <c r="V845" s="26">
        <v>1</v>
      </c>
      <c r="W845" s="26"/>
    </row>
    <row r="846" spans="1:23" x14ac:dyDescent="0.25">
      <c r="A846" s="26" t="str">
        <f t="shared" si="139"/>
        <v>PRIMARIA</v>
      </c>
      <c r="B846" s="26" t="str">
        <f>"09DPR1867V"</f>
        <v>09DPR1867V</v>
      </c>
      <c r="C846" s="26" t="str">
        <f>"DOCTOR JESUS DIAZ DE LEON                                                                           "</f>
        <v xml:space="preserve">DOCTOR JESUS DIAZ DE LEON                                                                           </v>
      </c>
      <c r="D846" s="26" t="str">
        <f>"VESPERTINO"</f>
        <v>VESPERTINO</v>
      </c>
      <c r="E846" s="26" t="str">
        <f>"LEONARDO DA VINCI NO 170                                                        "</f>
        <v xml:space="preserve">LEONARDO DA VINCI NO 170                                                        </v>
      </c>
      <c r="F846" s="26" t="str">
        <f>"MIXCOAC                                                                                                                                     "</f>
        <v xml:space="preserve">MIXCOAC                                                                                                                                     </v>
      </c>
      <c r="G846" s="26" t="str">
        <f>"BENITO JUAREZ                                                                   "</f>
        <v xml:space="preserve">BENITO JUAREZ                                                                   </v>
      </c>
      <c r="H846" s="26" t="str">
        <f>"340"</f>
        <v>340</v>
      </c>
      <c r="I846" s="26" t="str">
        <f t="shared" si="140"/>
        <v>00</v>
      </c>
      <c r="J846" s="26" t="str">
        <f>"43 "</f>
        <v xml:space="preserve">43 </v>
      </c>
      <c r="K846" s="26" t="str">
        <f t="shared" si="142"/>
        <v>PR</v>
      </c>
      <c r="L846" s="26" t="str">
        <f t="shared" si="143"/>
        <v>DGOSE</v>
      </c>
      <c r="M846" s="26" t="str">
        <f t="shared" si="141"/>
        <v>FEDERAL</v>
      </c>
      <c r="N846" s="26">
        <v>125</v>
      </c>
      <c r="O846" s="26">
        <v>63</v>
      </c>
      <c r="P846" s="26">
        <v>62</v>
      </c>
      <c r="Q846" s="26">
        <v>6</v>
      </c>
      <c r="R846" s="26">
        <v>1</v>
      </c>
      <c r="S846" s="26">
        <v>6</v>
      </c>
      <c r="T846" s="26">
        <v>5</v>
      </c>
      <c r="U846" s="26">
        <v>12</v>
      </c>
      <c r="V846" s="26">
        <v>1</v>
      </c>
      <c r="W846" s="26"/>
    </row>
    <row r="847" spans="1:23" x14ac:dyDescent="0.25">
      <c r="A847" s="26" t="str">
        <f t="shared" si="139"/>
        <v>PRIMARIA</v>
      </c>
      <c r="B847" s="26" t="str">
        <f>"09DPR1868U"</f>
        <v>09DPR1868U</v>
      </c>
      <c r="C847" s="26" t="str">
        <f>"PROFR. ERASTO VALLE ALCARAZ                                                                         "</f>
        <v xml:space="preserve">PROFR. ERASTO VALLE ALCARAZ                                                                         </v>
      </c>
      <c r="D847" s="26" t="str">
        <f>"MATUTINO"</f>
        <v>MATUTINO</v>
      </c>
      <c r="E847" s="26" t="str">
        <f>"CAPULA S/N                                                                      "</f>
        <v xml:space="preserve">CAPULA S/N                                                                      </v>
      </c>
      <c r="F847" s="26" t="str">
        <f>"EL POCITO                                                                                                                                   "</f>
        <v xml:space="preserve">EL POCITO                                                                                                                                   </v>
      </c>
      <c r="G847" s="26" t="str">
        <f>"ALVARO OBREGON                                                                  "</f>
        <v xml:space="preserve">ALVARO OBREGON                                                                  </v>
      </c>
      <c r="H847" s="26" t="str">
        <f>"309"</f>
        <v>309</v>
      </c>
      <c r="I847" s="26" t="str">
        <f t="shared" si="140"/>
        <v>00</v>
      </c>
      <c r="J847" s="26" t="str">
        <f>"43 "</f>
        <v xml:space="preserve">43 </v>
      </c>
      <c r="K847" s="26" t="str">
        <f t="shared" si="142"/>
        <v>PR</v>
      </c>
      <c r="L847" s="26" t="str">
        <f t="shared" si="143"/>
        <v>DGOSE</v>
      </c>
      <c r="M847" s="26" t="str">
        <f t="shared" si="141"/>
        <v>FEDERAL</v>
      </c>
      <c r="N847" s="26">
        <v>610</v>
      </c>
      <c r="O847" s="26">
        <v>281</v>
      </c>
      <c r="P847" s="26">
        <v>329</v>
      </c>
      <c r="Q847" s="26">
        <v>20</v>
      </c>
      <c r="R847" s="26">
        <v>1</v>
      </c>
      <c r="S847" s="26">
        <v>20</v>
      </c>
      <c r="T847" s="26">
        <v>9</v>
      </c>
      <c r="U847" s="26">
        <v>30</v>
      </c>
      <c r="V847" s="26">
        <v>1</v>
      </c>
      <c r="W847" s="26"/>
    </row>
    <row r="848" spans="1:23" x14ac:dyDescent="0.25">
      <c r="A848" s="26" t="str">
        <f t="shared" si="139"/>
        <v>PRIMARIA</v>
      </c>
      <c r="B848" s="26" t="str">
        <f>"09DPR1869T"</f>
        <v>09DPR1869T</v>
      </c>
      <c r="C848" s="26" t="str">
        <f>"INDEPENDENCIA                                                                                       "</f>
        <v xml:space="preserve">INDEPENDENCIA                                                                                       </v>
      </c>
      <c r="D848" s="26" t="str">
        <f>"JORNADA AMPLIADA"</f>
        <v>JORNADA AMPLIADA</v>
      </c>
      <c r="E848" s="26" t="str">
        <f>"CAMPANA NUM 57                                                                  "</f>
        <v xml:space="preserve">CAMPANA NUM 57                                                                  </v>
      </c>
      <c r="F848" s="26" t="str">
        <f>"MIXCOAC                                                                                                                                     "</f>
        <v xml:space="preserve">MIXCOAC                                                                                                                                     </v>
      </c>
      <c r="G848" s="26" t="str">
        <f>"BENITO JUAREZ                                                                   "</f>
        <v xml:space="preserve">BENITO JUAREZ                                                                   </v>
      </c>
      <c r="H848" s="26" t="str">
        <f>"411"</f>
        <v>411</v>
      </c>
      <c r="I848" s="26" t="str">
        <f t="shared" si="140"/>
        <v>00</v>
      </c>
      <c r="J848" s="26" t="str">
        <f>"44 "</f>
        <v xml:space="preserve">44 </v>
      </c>
      <c r="K848" s="26" t="str">
        <f t="shared" si="142"/>
        <v>PR</v>
      </c>
      <c r="L848" s="26" t="str">
        <f t="shared" si="143"/>
        <v>DGOSE</v>
      </c>
      <c r="M848" s="26" t="str">
        <f t="shared" si="141"/>
        <v>FEDERAL</v>
      </c>
      <c r="N848" s="26">
        <v>309</v>
      </c>
      <c r="O848" s="26">
        <v>161</v>
      </c>
      <c r="P848" s="26">
        <v>148</v>
      </c>
      <c r="Q848" s="26">
        <v>11</v>
      </c>
      <c r="R848" s="26">
        <v>1</v>
      </c>
      <c r="S848" s="26">
        <v>11</v>
      </c>
      <c r="T848" s="26">
        <v>8</v>
      </c>
      <c r="U848" s="26">
        <v>20</v>
      </c>
      <c r="V848" s="26">
        <v>1</v>
      </c>
      <c r="W848" s="26" t="s">
        <v>2076</v>
      </c>
    </row>
    <row r="849" spans="1:23" x14ac:dyDescent="0.25">
      <c r="A849" s="26" t="str">
        <f t="shared" si="139"/>
        <v>PRIMARIA</v>
      </c>
      <c r="B849" s="26" t="str">
        <f>"09DPR1870I"</f>
        <v>09DPR1870I</v>
      </c>
      <c r="C849" s="26" t="str">
        <f>"HERMANOS GALEANA                                                                                    "</f>
        <v xml:space="preserve">HERMANOS GALEANA                                                                                    </v>
      </c>
      <c r="D849" s="26" t="str">
        <f>"MATUTINO"</f>
        <v>MATUTINO</v>
      </c>
      <c r="E849" s="26" t="str">
        <f>"RAYON NO 3                                                                      "</f>
        <v xml:space="preserve">RAYON NO 3                                                                      </v>
      </c>
      <c r="F849" s="26" t="str">
        <f>"SANTA LUCIA                                                                                                                                 "</f>
        <v xml:space="preserve">SANTA LUCIA                                                                                                                                 </v>
      </c>
      <c r="G849" s="26" t="str">
        <f>"ALVARO OBREGON                                                                  "</f>
        <v xml:space="preserve">ALVARO OBREGON                                                                  </v>
      </c>
      <c r="H849" s="26" t="str">
        <f>"318"</f>
        <v>318</v>
      </c>
      <c r="I849" s="26" t="str">
        <f t="shared" si="140"/>
        <v>00</v>
      </c>
      <c r="J849" s="26" t="str">
        <f>"43 "</f>
        <v xml:space="preserve">43 </v>
      </c>
      <c r="K849" s="26" t="str">
        <f t="shared" si="142"/>
        <v>PR</v>
      </c>
      <c r="L849" s="26" t="str">
        <f t="shared" si="143"/>
        <v>DGOSE</v>
      </c>
      <c r="M849" s="26" t="str">
        <f t="shared" si="141"/>
        <v>FEDERAL</v>
      </c>
      <c r="N849" s="26">
        <v>633</v>
      </c>
      <c r="O849" s="26">
        <v>349</v>
      </c>
      <c r="P849" s="26">
        <v>284</v>
      </c>
      <c r="Q849" s="26">
        <v>18</v>
      </c>
      <c r="R849" s="26">
        <v>1</v>
      </c>
      <c r="S849" s="26">
        <v>18</v>
      </c>
      <c r="T849" s="26">
        <v>6</v>
      </c>
      <c r="U849" s="26">
        <v>25</v>
      </c>
      <c r="V849" s="26">
        <v>1</v>
      </c>
      <c r="W849" s="26"/>
    </row>
    <row r="850" spans="1:23" x14ac:dyDescent="0.25">
      <c r="A850" s="26" t="str">
        <f t="shared" si="139"/>
        <v>PRIMARIA</v>
      </c>
      <c r="B850" s="26" t="str">
        <f>"09DPR1872G"</f>
        <v>09DPR1872G</v>
      </c>
      <c r="C850" s="26" t="str">
        <f>"PROFR. FEDERICO HERRERA MARTINEZ                                                                    "</f>
        <v xml:space="preserve">PROFR. FEDERICO HERRERA MARTINEZ                                                                    </v>
      </c>
      <c r="D850" s="26" t="str">
        <f>"JORNADA AMPLIADA"</f>
        <v>JORNADA AMPLIADA</v>
      </c>
      <c r="E850" s="26" t="str">
        <f>"DONATELLO NO 49                                                                 "</f>
        <v xml:space="preserve">DONATELLO NO 49                                                                 </v>
      </c>
      <c r="F850" s="26" t="str">
        <f>"MIXCOAC                                                                                                                                     "</f>
        <v xml:space="preserve">MIXCOAC                                                                                                                                     </v>
      </c>
      <c r="G850" s="26" t="str">
        <f>"BENITO JUAREZ                                                                   "</f>
        <v xml:space="preserve">BENITO JUAREZ                                                                   </v>
      </c>
      <c r="H850" s="26" t="str">
        <f>"412"</f>
        <v>412</v>
      </c>
      <c r="I850" s="26" t="str">
        <f t="shared" si="140"/>
        <v>00</v>
      </c>
      <c r="J850" s="26" t="str">
        <f>"44 "</f>
        <v xml:space="preserve">44 </v>
      </c>
      <c r="K850" s="26" t="str">
        <f t="shared" si="142"/>
        <v>PR</v>
      </c>
      <c r="L850" s="26" t="str">
        <f t="shared" si="143"/>
        <v>DGOSE</v>
      </c>
      <c r="M850" s="26" t="str">
        <f t="shared" si="141"/>
        <v>FEDERAL</v>
      </c>
      <c r="N850" s="26">
        <v>368</v>
      </c>
      <c r="O850" s="26">
        <v>185</v>
      </c>
      <c r="P850" s="26">
        <v>183</v>
      </c>
      <c r="Q850" s="26">
        <v>12</v>
      </c>
      <c r="R850" s="26">
        <v>1</v>
      </c>
      <c r="S850" s="26">
        <v>10</v>
      </c>
      <c r="T850" s="26">
        <v>9</v>
      </c>
      <c r="U850" s="26">
        <v>20</v>
      </c>
      <c r="V850" s="26">
        <v>1</v>
      </c>
      <c r="W850" s="26" t="s">
        <v>2076</v>
      </c>
    </row>
    <row r="851" spans="1:23" x14ac:dyDescent="0.25">
      <c r="A851" s="26" t="str">
        <f t="shared" si="139"/>
        <v>PRIMARIA</v>
      </c>
      <c r="B851" s="26" t="str">
        <f>"09DPR1874E"</f>
        <v>09DPR1874E</v>
      </c>
      <c r="C851" s="26" t="str">
        <f>"27 DE SEPTIEMBRE                                                                                    "</f>
        <v xml:space="preserve">27 DE SEPTIEMBRE                                                                                    </v>
      </c>
      <c r="D851" s="26" t="str">
        <f>"VESPERTINO"</f>
        <v>VESPERTINO</v>
      </c>
      <c r="E851" s="26" t="str">
        <f>"CALLE 7 Y AV DEL ROSAL S/N                                                      "</f>
        <v xml:space="preserve">CALLE 7 Y AV DEL ROSAL S/N                                                      </v>
      </c>
      <c r="F851" s="26" t="str">
        <f>"OLIVAR DEL CONDE 1A SECCION                                                                                                                 "</f>
        <v xml:space="preserve">OLIVAR DEL CONDE 1A SECCION                                                                                                                 </v>
      </c>
      <c r="G851" s="26" t="str">
        <f>"ALVARO OBREGON                                                                  "</f>
        <v xml:space="preserve">ALVARO OBREGON                                                                  </v>
      </c>
      <c r="H851" s="26" t="str">
        <f>"314"</f>
        <v>314</v>
      </c>
      <c r="I851" s="26" t="str">
        <f t="shared" si="140"/>
        <v>00</v>
      </c>
      <c r="J851" s="26" t="str">
        <f>"43 "</f>
        <v xml:space="preserve">43 </v>
      </c>
      <c r="K851" s="26" t="str">
        <f t="shared" si="142"/>
        <v>PR</v>
      </c>
      <c r="L851" s="26" t="str">
        <f t="shared" si="143"/>
        <v>DGOSE</v>
      </c>
      <c r="M851" s="26" t="str">
        <f t="shared" si="141"/>
        <v>FEDERAL</v>
      </c>
      <c r="N851" s="26">
        <v>150</v>
      </c>
      <c r="O851" s="26">
        <v>77</v>
      </c>
      <c r="P851" s="26">
        <v>73</v>
      </c>
      <c r="Q851" s="26">
        <v>7</v>
      </c>
      <c r="R851" s="26">
        <v>1</v>
      </c>
      <c r="S851" s="26">
        <v>7</v>
      </c>
      <c r="T851" s="26">
        <v>3</v>
      </c>
      <c r="U851" s="26">
        <v>11</v>
      </c>
      <c r="V851" s="26">
        <v>1</v>
      </c>
      <c r="W851" s="26"/>
    </row>
    <row r="852" spans="1:23" x14ac:dyDescent="0.25">
      <c r="A852" s="26" t="str">
        <f t="shared" si="139"/>
        <v>PRIMARIA</v>
      </c>
      <c r="B852" s="26" t="str">
        <f>"09DPR1875D"</f>
        <v>09DPR1875D</v>
      </c>
      <c r="C852" s="26" t="str">
        <f>"27 DE SEPTIEMBRE                                                                                    "</f>
        <v xml:space="preserve">27 DE SEPTIEMBRE                                                                                    </v>
      </c>
      <c r="D852" s="26" t="str">
        <f>"MATUTINO"</f>
        <v>MATUTINO</v>
      </c>
      <c r="E852" s="26" t="str">
        <f>"CALLE 7 Y AV DEL ROSAL                                                          "</f>
        <v xml:space="preserve">CALLE 7 Y AV DEL ROSAL                                                          </v>
      </c>
      <c r="F852" s="26" t="str">
        <f>"OLIVAR DEL CONDE 1A SECCION                                                                                                                 "</f>
        <v xml:space="preserve">OLIVAR DEL CONDE 1A SECCION                                                                                                                 </v>
      </c>
      <c r="G852" s="26" t="str">
        <f>"ALVARO OBREGON                                                                  "</f>
        <v xml:space="preserve">ALVARO OBREGON                                                                  </v>
      </c>
      <c r="H852" s="26" t="str">
        <f>"314"</f>
        <v>314</v>
      </c>
      <c r="I852" s="26" t="str">
        <f t="shared" si="140"/>
        <v>00</v>
      </c>
      <c r="J852" s="26" t="str">
        <f>"43 "</f>
        <v xml:space="preserve">43 </v>
      </c>
      <c r="K852" s="26" t="str">
        <f t="shared" si="142"/>
        <v>PR</v>
      </c>
      <c r="L852" s="26" t="str">
        <f t="shared" si="143"/>
        <v>DGOSE</v>
      </c>
      <c r="M852" s="26" t="str">
        <f t="shared" si="141"/>
        <v>FEDERAL</v>
      </c>
      <c r="N852" s="26">
        <v>419</v>
      </c>
      <c r="O852" s="26">
        <v>209</v>
      </c>
      <c r="P852" s="26">
        <v>210</v>
      </c>
      <c r="Q852" s="26">
        <v>13</v>
      </c>
      <c r="R852" s="26">
        <v>0</v>
      </c>
      <c r="S852" s="26">
        <v>13</v>
      </c>
      <c r="T852" s="26">
        <v>8</v>
      </c>
      <c r="U852" s="26">
        <v>21</v>
      </c>
      <c r="V852" s="26">
        <v>1</v>
      </c>
      <c r="W852" s="26"/>
    </row>
    <row r="853" spans="1:23" x14ac:dyDescent="0.25">
      <c r="A853" s="26" t="str">
        <f t="shared" si="139"/>
        <v>PRIMARIA</v>
      </c>
      <c r="B853" s="26" t="str">
        <f>"09DPR1876C"</f>
        <v>09DPR1876C</v>
      </c>
      <c r="C853" s="26" t="str">
        <f>"VALENTIN GOMEZ FARIAS                                                                               "</f>
        <v xml:space="preserve">VALENTIN GOMEZ FARIAS                                                                               </v>
      </c>
      <c r="D853" s="26" t="str">
        <f>"JORNADA AMPLIADA"</f>
        <v>JORNADA AMPLIADA</v>
      </c>
      <c r="E853" s="26" t="str">
        <f>"DONATELLO NUM 43                                                                "</f>
        <v xml:space="preserve">DONATELLO NUM 43                                                                </v>
      </c>
      <c r="F853" s="26" t="str">
        <f>"MIXCOAC                                                                                                                                     "</f>
        <v xml:space="preserve">MIXCOAC                                                                                                                                     </v>
      </c>
      <c r="G853" s="26" t="str">
        <f>"BENITO JUAREZ                                                                   "</f>
        <v xml:space="preserve">BENITO JUAREZ                                                                   </v>
      </c>
      <c r="H853" s="26" t="str">
        <f>"412"</f>
        <v>412</v>
      </c>
      <c r="I853" s="26" t="str">
        <f t="shared" si="140"/>
        <v>00</v>
      </c>
      <c r="J853" s="26" t="str">
        <f>"44 "</f>
        <v xml:space="preserve">44 </v>
      </c>
      <c r="K853" s="26" t="str">
        <f t="shared" si="142"/>
        <v>PR</v>
      </c>
      <c r="L853" s="26" t="str">
        <f t="shared" si="143"/>
        <v>DGOSE</v>
      </c>
      <c r="M853" s="26" t="str">
        <f t="shared" si="141"/>
        <v>FEDERAL</v>
      </c>
      <c r="N853" s="26">
        <v>398</v>
      </c>
      <c r="O853" s="26">
        <v>200</v>
      </c>
      <c r="P853" s="26">
        <v>198</v>
      </c>
      <c r="Q853" s="26">
        <v>13</v>
      </c>
      <c r="R853" s="26">
        <v>1</v>
      </c>
      <c r="S853" s="26">
        <v>13</v>
      </c>
      <c r="T853" s="26">
        <v>10</v>
      </c>
      <c r="U853" s="26">
        <v>24</v>
      </c>
      <c r="V853" s="26">
        <v>1</v>
      </c>
      <c r="W853" s="26" t="s">
        <v>2076</v>
      </c>
    </row>
    <row r="854" spans="1:23" x14ac:dyDescent="0.25">
      <c r="A854" s="26" t="str">
        <f t="shared" si="139"/>
        <v>PRIMARIA</v>
      </c>
      <c r="B854" s="26" t="str">
        <f>"09DPR1881O"</f>
        <v>09DPR1881O</v>
      </c>
      <c r="C854" s="26" t="str">
        <f>"CARMEN SERDAN                                                                                       "</f>
        <v xml:space="preserve">CARMEN SERDAN                                                                                       </v>
      </c>
      <c r="D854" s="26" t="str">
        <f>"VESPERTINO"</f>
        <v>VESPERTINO</v>
      </c>
      <c r="E854" s="26" t="str">
        <f>"PURISIMA S/N                                                                    "</f>
        <v xml:space="preserve">PURISIMA S/N                                                                    </v>
      </c>
      <c r="F854" s="26" t="str">
        <f>"SAN BARTOLO AMEYALCO                                                                                                                        "</f>
        <v xml:space="preserve">SAN BARTOLO AMEYALCO                                                                                                                        </v>
      </c>
      <c r="G854" s="26" t="str">
        <f>"ALVARO OBREGON                                                                  "</f>
        <v xml:space="preserve">ALVARO OBREGON                                                                  </v>
      </c>
      <c r="H854" s="26" t="str">
        <f>"330"</f>
        <v>330</v>
      </c>
      <c r="I854" s="26" t="str">
        <f t="shared" si="140"/>
        <v>00</v>
      </c>
      <c r="J854" s="26" t="str">
        <f>"43 "</f>
        <v xml:space="preserve">43 </v>
      </c>
      <c r="K854" s="26" t="str">
        <f t="shared" si="142"/>
        <v>PR</v>
      </c>
      <c r="L854" s="26" t="str">
        <f t="shared" si="143"/>
        <v>DGOSE</v>
      </c>
      <c r="M854" s="26" t="str">
        <f t="shared" si="141"/>
        <v>FEDERAL</v>
      </c>
      <c r="N854" s="26">
        <v>531</v>
      </c>
      <c r="O854" s="26">
        <v>269</v>
      </c>
      <c r="P854" s="26">
        <v>262</v>
      </c>
      <c r="Q854" s="26">
        <v>17</v>
      </c>
      <c r="R854" s="26">
        <v>1</v>
      </c>
      <c r="S854" s="26">
        <v>17</v>
      </c>
      <c r="T854" s="26">
        <v>9</v>
      </c>
      <c r="U854" s="26">
        <v>27</v>
      </c>
      <c r="V854" s="26">
        <v>1</v>
      </c>
      <c r="W854" s="26"/>
    </row>
    <row r="855" spans="1:23" x14ac:dyDescent="0.25">
      <c r="A855" s="26" t="str">
        <f t="shared" si="139"/>
        <v>PRIMARIA</v>
      </c>
      <c r="B855" s="26" t="str">
        <f>"09DPR1882N"</f>
        <v>09DPR1882N</v>
      </c>
      <c r="C855" s="26" t="str">
        <f>"CARMEN SERDAN                                                                                       "</f>
        <v xml:space="preserve">CARMEN SERDAN                                                                                       </v>
      </c>
      <c r="D855" s="26" t="str">
        <f>"MATUTINO"</f>
        <v>MATUTINO</v>
      </c>
      <c r="E855" s="26" t="str">
        <f>"PURISIMA S/N                                                                    "</f>
        <v xml:space="preserve">PURISIMA S/N                                                                    </v>
      </c>
      <c r="F855" s="26" t="str">
        <f>"SAN BARTOLO AMEYALCO                                                                                                                        "</f>
        <v xml:space="preserve">SAN BARTOLO AMEYALCO                                                                                                                        </v>
      </c>
      <c r="G855" s="26" t="str">
        <f>"ALVARO OBREGON                                                                  "</f>
        <v xml:space="preserve">ALVARO OBREGON                                                                  </v>
      </c>
      <c r="H855" s="26" t="str">
        <f>"330"</f>
        <v>330</v>
      </c>
      <c r="I855" s="26" t="str">
        <f t="shared" si="140"/>
        <v>00</v>
      </c>
      <c r="J855" s="26" t="str">
        <f>"43 "</f>
        <v xml:space="preserve">43 </v>
      </c>
      <c r="K855" s="26" t="str">
        <f t="shared" si="142"/>
        <v>PR</v>
      </c>
      <c r="L855" s="26" t="str">
        <f t="shared" si="143"/>
        <v>DGOSE</v>
      </c>
      <c r="M855" s="26" t="str">
        <f t="shared" si="141"/>
        <v>FEDERAL</v>
      </c>
      <c r="N855" s="26">
        <v>681</v>
      </c>
      <c r="O855" s="26">
        <v>344</v>
      </c>
      <c r="P855" s="26">
        <v>337</v>
      </c>
      <c r="Q855" s="26">
        <v>19</v>
      </c>
      <c r="R855" s="26">
        <v>1</v>
      </c>
      <c r="S855" s="26">
        <v>19</v>
      </c>
      <c r="T855" s="26">
        <v>13</v>
      </c>
      <c r="U855" s="26">
        <v>33</v>
      </c>
      <c r="V855" s="26">
        <v>1</v>
      </c>
      <c r="W855" s="26"/>
    </row>
    <row r="856" spans="1:23" x14ac:dyDescent="0.25">
      <c r="A856" s="26" t="str">
        <f t="shared" si="139"/>
        <v>PRIMARIA</v>
      </c>
      <c r="B856" s="26" t="str">
        <f>"09DPR1883M"</f>
        <v>09DPR1883M</v>
      </c>
      <c r="C856" s="26" t="str">
        <f>"CARLOS DE SIGÜENZA Y GONGORA                                                                        "</f>
        <v xml:space="preserve">CARLOS DE SIGÜENZA Y GONGORA                                                                        </v>
      </c>
      <c r="D856" s="26" t="str">
        <f>"MATUTINO"</f>
        <v>MATUTINO</v>
      </c>
      <c r="E856" s="26" t="str">
        <f>"AV SAN JERONIMO NUM 29                                                          "</f>
        <v xml:space="preserve">AV SAN JERONIMO NUM 29                                                          </v>
      </c>
      <c r="F856" s="26" t="str">
        <f>"EL TORO                                                                                                                                     "</f>
        <v xml:space="preserve">EL TORO                                                                                                                                     </v>
      </c>
      <c r="G856" s="26" t="str">
        <f>"LA MAGDALENA CONTRERAS                                                          "</f>
        <v xml:space="preserve">LA MAGDALENA CONTRERAS                                                          </v>
      </c>
      <c r="H856" s="26" t="str">
        <f>"336"</f>
        <v>336</v>
      </c>
      <c r="I856" s="26" t="str">
        <f t="shared" si="140"/>
        <v>00</v>
      </c>
      <c r="J856" s="26" t="str">
        <f>"43 "</f>
        <v xml:space="preserve">43 </v>
      </c>
      <c r="K856" s="26" t="str">
        <f t="shared" si="142"/>
        <v>PR</v>
      </c>
      <c r="L856" s="26" t="str">
        <f t="shared" si="143"/>
        <v>DGOSE</v>
      </c>
      <c r="M856" s="26" t="str">
        <f t="shared" si="141"/>
        <v>FEDERAL</v>
      </c>
      <c r="N856" s="26">
        <v>591</v>
      </c>
      <c r="O856" s="26">
        <v>295</v>
      </c>
      <c r="P856" s="26">
        <v>296</v>
      </c>
      <c r="Q856" s="26">
        <v>17</v>
      </c>
      <c r="R856" s="26">
        <v>1</v>
      </c>
      <c r="S856" s="26">
        <v>17</v>
      </c>
      <c r="T856" s="26">
        <v>9</v>
      </c>
      <c r="U856" s="26">
        <v>27</v>
      </c>
      <c r="V856" s="26">
        <v>1</v>
      </c>
      <c r="W856" s="26"/>
    </row>
    <row r="857" spans="1:23" x14ac:dyDescent="0.25">
      <c r="A857" s="26" t="str">
        <f t="shared" si="139"/>
        <v>PRIMARIA</v>
      </c>
      <c r="B857" s="26" t="str">
        <f>"09DPR1884L"</f>
        <v>09DPR1884L</v>
      </c>
      <c r="C857" s="26" t="str">
        <f>"BATALLON DE SAN PATRICIO                                                                            "</f>
        <v xml:space="preserve">BATALLON DE SAN PATRICIO                                                                            </v>
      </c>
      <c r="D857" s="26" t="str">
        <f>"MATUTINO"</f>
        <v>MATUTINO</v>
      </c>
      <c r="E857" s="26" t="str">
        <f>"CALLE 3 MZA 8 LOTE 32                                                           "</f>
        <v xml:space="preserve">CALLE 3 MZA 8 LOTE 32                                                           </v>
      </c>
      <c r="F857" s="26" t="str">
        <f>"LOMAS DE LOS ANGELES DE TETELPAN                                                                                                            "</f>
        <v xml:space="preserve">LOMAS DE LOS ANGELES DE TETELPAN                                                                                                            </v>
      </c>
      <c r="G857" s="26" t="str">
        <f>"ALVARO OBREGON                                                                  "</f>
        <v xml:space="preserve">ALVARO OBREGON                                                                  </v>
      </c>
      <c r="H857" s="26" t="str">
        <f>"326"</f>
        <v>326</v>
      </c>
      <c r="I857" s="26" t="str">
        <f t="shared" si="140"/>
        <v>00</v>
      </c>
      <c r="J857" s="26" t="str">
        <f>"43 "</f>
        <v xml:space="preserve">43 </v>
      </c>
      <c r="K857" s="26" t="str">
        <f t="shared" si="142"/>
        <v>PR</v>
      </c>
      <c r="L857" s="26" t="str">
        <f t="shared" si="143"/>
        <v>DGOSE</v>
      </c>
      <c r="M857" s="26" t="str">
        <f t="shared" si="141"/>
        <v>FEDERAL</v>
      </c>
      <c r="N857" s="26">
        <v>200</v>
      </c>
      <c r="O857" s="26">
        <v>97</v>
      </c>
      <c r="P857" s="26">
        <v>103</v>
      </c>
      <c r="Q857" s="26">
        <v>6</v>
      </c>
      <c r="R857" s="26">
        <v>1</v>
      </c>
      <c r="S857" s="26">
        <v>6</v>
      </c>
      <c r="T857" s="26">
        <v>6</v>
      </c>
      <c r="U857" s="26">
        <v>13</v>
      </c>
      <c r="V857" s="26">
        <v>1</v>
      </c>
      <c r="W857" s="26"/>
    </row>
    <row r="858" spans="1:23" x14ac:dyDescent="0.25">
      <c r="A858" s="26" t="str">
        <f t="shared" si="139"/>
        <v>PRIMARIA</v>
      </c>
      <c r="B858" s="26" t="str">
        <f>"09DPR1885K"</f>
        <v>09DPR1885K</v>
      </c>
      <c r="C858" s="26" t="str">
        <f>"BENEMERITO DE LAS AMERICAS                                                                          "</f>
        <v xml:space="preserve">BENEMERITO DE LAS AMERICAS                                                                          </v>
      </c>
      <c r="D858" s="26" t="str">
        <f>"JORNADA AMPLIADA"</f>
        <v>JORNADA AMPLIADA</v>
      </c>
      <c r="E858" s="26" t="str">
        <f>"ALUMNOS No 1                                                                    "</f>
        <v xml:space="preserve">ALUMNOS No 1                                                                    </v>
      </c>
      <c r="F858" s="26" t="str">
        <f>"AXOTLA PUEBLO                                                                                                                               "</f>
        <v xml:space="preserve">AXOTLA PUEBLO                                                                                                                               </v>
      </c>
      <c r="G858" s="26" t="str">
        <f>"ALVARO OBREGON                                                                  "</f>
        <v xml:space="preserve">ALVARO OBREGON                                                                  </v>
      </c>
      <c r="H858" s="26" t="str">
        <f>"404"</f>
        <v>404</v>
      </c>
      <c r="I858" s="26" t="str">
        <f t="shared" si="140"/>
        <v>00</v>
      </c>
      <c r="J858" s="26" t="str">
        <f>"44 "</f>
        <v xml:space="preserve">44 </v>
      </c>
      <c r="K858" s="26" t="str">
        <f t="shared" si="142"/>
        <v>PR</v>
      </c>
      <c r="L858" s="26" t="str">
        <f t="shared" si="143"/>
        <v>DGOSE</v>
      </c>
      <c r="M858" s="26" t="str">
        <f t="shared" si="141"/>
        <v>FEDERAL</v>
      </c>
      <c r="N858" s="26">
        <v>204</v>
      </c>
      <c r="O858" s="26">
        <v>100</v>
      </c>
      <c r="P858" s="26">
        <v>104</v>
      </c>
      <c r="Q858" s="26">
        <v>11</v>
      </c>
      <c r="R858" s="26">
        <v>1</v>
      </c>
      <c r="S858" s="26">
        <v>11</v>
      </c>
      <c r="T858" s="26">
        <v>6</v>
      </c>
      <c r="U858" s="26">
        <v>18</v>
      </c>
      <c r="V858" s="26">
        <v>1</v>
      </c>
      <c r="W858" s="26" t="s">
        <v>2076</v>
      </c>
    </row>
    <row r="859" spans="1:23" x14ac:dyDescent="0.25">
      <c r="A859" s="26" t="str">
        <f t="shared" si="139"/>
        <v>PRIMARIA</v>
      </c>
      <c r="B859" s="26" t="str">
        <f>"09DPR1886J"</f>
        <v>09DPR1886J</v>
      </c>
      <c r="C859" s="26" t="str">
        <f>"BATALLON DE SAN PATRICIO                                                                            "</f>
        <v xml:space="preserve">BATALLON DE SAN PATRICIO                                                                            </v>
      </c>
      <c r="D859" s="26" t="str">
        <f>"VESPERTINO"</f>
        <v>VESPERTINO</v>
      </c>
      <c r="E859" s="26" t="str">
        <f>"CALLE 3 MZA 8 LOTE 32                                                           "</f>
        <v xml:space="preserve">CALLE 3 MZA 8 LOTE 32                                                           </v>
      </c>
      <c r="F859" s="26" t="str">
        <f>"LOMAS DE LOS ANGELES DE TETELPAN                                                                                                            "</f>
        <v xml:space="preserve">LOMAS DE LOS ANGELES DE TETELPAN                                                                                                            </v>
      </c>
      <c r="G859" s="26" t="str">
        <f>"ALVARO OBREGON                                                                  "</f>
        <v xml:space="preserve">ALVARO OBREGON                                                                  </v>
      </c>
      <c r="H859" s="26" t="str">
        <f>"326"</f>
        <v>326</v>
      </c>
      <c r="I859" s="26" t="str">
        <f t="shared" si="140"/>
        <v>00</v>
      </c>
      <c r="J859" s="26" t="str">
        <f>"43 "</f>
        <v xml:space="preserve">43 </v>
      </c>
      <c r="K859" s="26" t="str">
        <f t="shared" si="142"/>
        <v>PR</v>
      </c>
      <c r="L859" s="26" t="str">
        <f t="shared" si="143"/>
        <v>DGOSE</v>
      </c>
      <c r="M859" s="26" t="str">
        <f t="shared" si="141"/>
        <v>FEDERAL</v>
      </c>
      <c r="N859" s="26">
        <v>179</v>
      </c>
      <c r="O859" s="26">
        <v>95</v>
      </c>
      <c r="P859" s="26">
        <v>84</v>
      </c>
      <c r="Q859" s="26">
        <v>6</v>
      </c>
      <c r="R859" s="26">
        <v>1</v>
      </c>
      <c r="S859" s="26">
        <v>6</v>
      </c>
      <c r="T859" s="26">
        <v>5</v>
      </c>
      <c r="U859" s="26">
        <v>12</v>
      </c>
      <c r="V859" s="26">
        <v>1</v>
      </c>
      <c r="W859" s="26"/>
    </row>
    <row r="860" spans="1:23" x14ac:dyDescent="0.25">
      <c r="A860" s="26" t="str">
        <f t="shared" si="139"/>
        <v>PRIMARIA</v>
      </c>
      <c r="B860" s="26" t="str">
        <f>"09DPR1887I"</f>
        <v>09DPR1887I</v>
      </c>
      <c r="C860" s="26" t="str">
        <f>"ALVARO OBREGON                                                                                      "</f>
        <v xml:space="preserve">ALVARO OBREGON                                                                                      </v>
      </c>
      <c r="D860" s="26" t="str">
        <f>"MATUTINO"</f>
        <v>MATUTINO</v>
      </c>
      <c r="E860" s="26" t="str">
        <f>"EMILIO CARRANZA 55                                                              "</f>
        <v xml:space="preserve">EMILIO CARRANZA 55                                                              </v>
      </c>
      <c r="F860" s="26" t="str">
        <f>"LA MAGDALENA CONTRERAS                                                                                                                      "</f>
        <v xml:space="preserve">LA MAGDALENA CONTRERAS                                                                                                                      </v>
      </c>
      <c r="G860" s="26" t="str">
        <f>"LA MAGDALENA CONTRERAS                                                          "</f>
        <v xml:space="preserve">LA MAGDALENA CONTRERAS                                                          </v>
      </c>
      <c r="H860" s="26" t="str">
        <f>"337"</f>
        <v>337</v>
      </c>
      <c r="I860" s="26" t="str">
        <f t="shared" si="140"/>
        <v>00</v>
      </c>
      <c r="J860" s="26" t="str">
        <f>"43 "</f>
        <v xml:space="preserve">43 </v>
      </c>
      <c r="K860" s="26" t="str">
        <f t="shared" si="142"/>
        <v>PR</v>
      </c>
      <c r="L860" s="26" t="str">
        <f t="shared" si="143"/>
        <v>DGOSE</v>
      </c>
      <c r="M860" s="26" t="str">
        <f t="shared" si="141"/>
        <v>FEDERAL</v>
      </c>
      <c r="N860" s="26">
        <v>394</v>
      </c>
      <c r="O860" s="26">
        <v>195</v>
      </c>
      <c r="P860" s="26">
        <v>199</v>
      </c>
      <c r="Q860" s="26">
        <v>14</v>
      </c>
      <c r="R860" s="26">
        <v>1</v>
      </c>
      <c r="S860" s="26">
        <v>13</v>
      </c>
      <c r="T860" s="26">
        <v>7</v>
      </c>
      <c r="U860" s="26">
        <v>21</v>
      </c>
      <c r="V860" s="26">
        <v>1</v>
      </c>
      <c r="W860" s="26"/>
    </row>
    <row r="861" spans="1:23" x14ac:dyDescent="0.25">
      <c r="A861" s="26" t="str">
        <f t="shared" si="139"/>
        <v>PRIMARIA</v>
      </c>
      <c r="B861" s="26" t="str">
        <f>"09DPR1888H"</f>
        <v>09DPR1888H</v>
      </c>
      <c r="C861" s="26" t="str">
        <f>"ALFREDO E. URUCHURTU                                                                                "</f>
        <v xml:space="preserve">ALFREDO E. URUCHURTU                                                                                </v>
      </c>
      <c r="D861" s="26" t="str">
        <f>"MATUTINO"</f>
        <v>MATUTINO</v>
      </c>
      <c r="E861" s="26" t="str">
        <f>"AVENIDA DEL ROSAL NUM 58                                                        "</f>
        <v xml:space="preserve">AVENIDA DEL ROSAL NUM 58                                                        </v>
      </c>
      <c r="F861" s="26" t="str">
        <f>"PUEBLO NUEVO BAJO                                                                                                                           "</f>
        <v xml:space="preserve">PUEBLO NUEVO BAJO                                                                                                                           </v>
      </c>
      <c r="G861" s="26" t="str">
        <f>"LA MAGDALENA CONTRERAS                                                          "</f>
        <v xml:space="preserve">LA MAGDALENA CONTRERAS                                                          </v>
      </c>
      <c r="H861" s="26" t="str">
        <f>"335"</f>
        <v>335</v>
      </c>
      <c r="I861" s="26" t="str">
        <f t="shared" si="140"/>
        <v>00</v>
      </c>
      <c r="J861" s="26" t="str">
        <f>"43 "</f>
        <v xml:space="preserve">43 </v>
      </c>
      <c r="K861" s="26" t="str">
        <f t="shared" si="142"/>
        <v>PR</v>
      </c>
      <c r="L861" s="26" t="str">
        <f t="shared" si="143"/>
        <v>DGOSE</v>
      </c>
      <c r="M861" s="26" t="str">
        <f t="shared" si="141"/>
        <v>FEDERAL</v>
      </c>
      <c r="N861" s="26">
        <v>691</v>
      </c>
      <c r="O861" s="26">
        <v>375</v>
      </c>
      <c r="P861" s="26">
        <v>316</v>
      </c>
      <c r="Q861" s="26">
        <v>20</v>
      </c>
      <c r="R861" s="26">
        <v>1</v>
      </c>
      <c r="S861" s="26">
        <v>19</v>
      </c>
      <c r="T861" s="26">
        <v>11</v>
      </c>
      <c r="U861" s="26">
        <v>31</v>
      </c>
      <c r="V861" s="26">
        <v>1</v>
      </c>
      <c r="W861" s="26"/>
    </row>
    <row r="862" spans="1:23" x14ac:dyDescent="0.25">
      <c r="A862" s="26" t="str">
        <f t="shared" si="139"/>
        <v>PRIMARIA</v>
      </c>
      <c r="B862" s="26" t="str">
        <f>"09DPR1889G"</f>
        <v>09DPR1889G</v>
      </c>
      <c r="C862" s="26" t="str">
        <f>"ALVARO OBREGON                                                                                      "</f>
        <v xml:space="preserve">ALVARO OBREGON                                                                                      </v>
      </c>
      <c r="D862" s="26" t="str">
        <f>"VESPERTINO"</f>
        <v>VESPERTINO</v>
      </c>
      <c r="E862" s="26" t="str">
        <f>"EMILIO CARRANZA 55                                                              "</f>
        <v xml:space="preserve">EMILIO CARRANZA 55                                                              </v>
      </c>
      <c r="F862" s="26" t="str">
        <f>"LA MAGDALENA CONTRERAS                                                                                                                      "</f>
        <v xml:space="preserve">LA MAGDALENA CONTRERAS                                                                                                                      </v>
      </c>
      <c r="G862" s="26" t="str">
        <f>"LA MAGDALENA CONTRERAS                                                          "</f>
        <v xml:space="preserve">LA MAGDALENA CONTRERAS                                                          </v>
      </c>
      <c r="H862" s="26" t="str">
        <f>"337"</f>
        <v>337</v>
      </c>
      <c r="I862" s="26" t="str">
        <f t="shared" si="140"/>
        <v>00</v>
      </c>
      <c r="J862" s="26" t="str">
        <f>"43 "</f>
        <v xml:space="preserve">43 </v>
      </c>
      <c r="K862" s="26" t="str">
        <f t="shared" si="142"/>
        <v>PR</v>
      </c>
      <c r="L862" s="26" t="str">
        <f t="shared" si="143"/>
        <v>DGOSE</v>
      </c>
      <c r="M862" s="26" t="str">
        <f t="shared" si="141"/>
        <v>FEDERAL</v>
      </c>
      <c r="N862" s="26">
        <v>151</v>
      </c>
      <c r="O862" s="26">
        <v>80</v>
      </c>
      <c r="P862" s="26">
        <v>71</v>
      </c>
      <c r="Q862" s="26">
        <v>6</v>
      </c>
      <c r="R862" s="26">
        <v>1</v>
      </c>
      <c r="S862" s="26">
        <v>6</v>
      </c>
      <c r="T862" s="26">
        <v>6</v>
      </c>
      <c r="U862" s="26">
        <v>13</v>
      </c>
      <c r="V862" s="26">
        <v>1</v>
      </c>
      <c r="W862" s="26"/>
    </row>
    <row r="863" spans="1:23" x14ac:dyDescent="0.25">
      <c r="A863" s="26" t="str">
        <f t="shared" si="139"/>
        <v>PRIMARIA</v>
      </c>
      <c r="B863" s="26" t="str">
        <f>"09DPR1891V"</f>
        <v>09DPR1891V</v>
      </c>
      <c r="C863" s="26" t="str">
        <f>"ALFREDO E. URUCHURTU                                                                                "</f>
        <v xml:space="preserve">ALFREDO E. URUCHURTU                                                                                </v>
      </c>
      <c r="D863" s="26" t="str">
        <f>"VESPERTINO"</f>
        <v>VESPERTINO</v>
      </c>
      <c r="E863" s="26" t="str">
        <f>"AVENIDA DEL ROSAL NUM 58                                                        "</f>
        <v xml:space="preserve">AVENIDA DEL ROSAL NUM 58                                                        </v>
      </c>
      <c r="F863" s="26" t="str">
        <f>"PUEBLO NUEVO BAJO                                                                                                                           "</f>
        <v xml:space="preserve">PUEBLO NUEVO BAJO                                                                                                                           </v>
      </c>
      <c r="G863" s="26" t="str">
        <f>"LA MAGDALENA CONTRERAS                                                          "</f>
        <v xml:space="preserve">LA MAGDALENA CONTRERAS                                                          </v>
      </c>
      <c r="H863" s="26" t="str">
        <f>"335"</f>
        <v>335</v>
      </c>
      <c r="I863" s="26" t="str">
        <f t="shared" si="140"/>
        <v>00</v>
      </c>
      <c r="J863" s="26" t="str">
        <f>"43 "</f>
        <v xml:space="preserve">43 </v>
      </c>
      <c r="K863" s="26" t="str">
        <f t="shared" si="142"/>
        <v>PR</v>
      </c>
      <c r="L863" s="26" t="str">
        <f t="shared" si="143"/>
        <v>DGOSE</v>
      </c>
      <c r="M863" s="26" t="str">
        <f t="shared" si="141"/>
        <v>FEDERAL</v>
      </c>
      <c r="N863" s="26">
        <v>447</v>
      </c>
      <c r="O863" s="26">
        <v>219</v>
      </c>
      <c r="P863" s="26">
        <v>228</v>
      </c>
      <c r="Q863" s="26">
        <v>20</v>
      </c>
      <c r="R863" s="26">
        <v>1</v>
      </c>
      <c r="S863" s="26">
        <v>20</v>
      </c>
      <c r="T863" s="26">
        <v>10</v>
      </c>
      <c r="U863" s="26">
        <v>31</v>
      </c>
      <c r="V863" s="26">
        <v>1</v>
      </c>
      <c r="W863" s="26"/>
    </row>
    <row r="864" spans="1:23" x14ac:dyDescent="0.25">
      <c r="A864" s="26" t="str">
        <f t="shared" si="139"/>
        <v>PRIMARIA</v>
      </c>
      <c r="B864" s="26" t="str">
        <f>"09DPR1892U"</f>
        <v>09DPR1892U</v>
      </c>
      <c r="C864" s="26" t="str">
        <f>"ALFONSO TEJA ZABRE                                                                                  "</f>
        <v xml:space="preserve">ALFONSO TEJA ZABRE                                                                                  </v>
      </c>
      <c r="D864" s="26" t="str">
        <f>"JORNADA AMPLIADA"</f>
        <v>JORNADA AMPLIADA</v>
      </c>
      <c r="E864" s="26" t="str">
        <f>"PACHUCA NUM 34                                                                  "</f>
        <v xml:space="preserve">PACHUCA NUM 34                                                                  </v>
      </c>
      <c r="F864" s="26" t="str">
        <f>"SANTA TERESA                                                                                                                                "</f>
        <v xml:space="preserve">SANTA TERESA                                                                                                                                </v>
      </c>
      <c r="G864" s="26" t="str">
        <f>"LA MAGDALENA CONTRERAS                                                          "</f>
        <v xml:space="preserve">LA MAGDALENA CONTRERAS                                                          </v>
      </c>
      <c r="H864" s="26" t="str">
        <f>"408"</f>
        <v>408</v>
      </c>
      <c r="I864" s="26" t="str">
        <f t="shared" si="140"/>
        <v>00</v>
      </c>
      <c r="J864" s="26" t="str">
        <f>"44 "</f>
        <v xml:space="preserve">44 </v>
      </c>
      <c r="K864" s="26" t="str">
        <f t="shared" si="142"/>
        <v>PR</v>
      </c>
      <c r="L864" s="26" t="str">
        <f t="shared" si="143"/>
        <v>DGOSE</v>
      </c>
      <c r="M864" s="26" t="str">
        <f t="shared" si="141"/>
        <v>FEDERAL</v>
      </c>
      <c r="N864" s="26">
        <v>467</v>
      </c>
      <c r="O864" s="26">
        <v>219</v>
      </c>
      <c r="P864" s="26">
        <v>248</v>
      </c>
      <c r="Q864" s="26">
        <v>15</v>
      </c>
      <c r="R864" s="26">
        <v>1</v>
      </c>
      <c r="S864" s="26">
        <v>15</v>
      </c>
      <c r="T864" s="26">
        <v>10</v>
      </c>
      <c r="U864" s="26">
        <v>26</v>
      </c>
      <c r="V864" s="26">
        <v>1</v>
      </c>
      <c r="W864" s="26" t="s">
        <v>2076</v>
      </c>
    </row>
    <row r="865" spans="1:23" x14ac:dyDescent="0.25">
      <c r="A865" s="26" t="str">
        <f t="shared" si="139"/>
        <v>PRIMARIA</v>
      </c>
      <c r="B865" s="26" t="str">
        <f>"09DPR1894S"</f>
        <v>09DPR1894S</v>
      </c>
      <c r="C865" s="26" t="str">
        <f>"GUADALUPE VICTORIA                                                                                  "</f>
        <v xml:space="preserve">GUADALUPE VICTORIA                                                                                  </v>
      </c>
      <c r="D865" s="26" t="str">
        <f>"VESPERTINO"</f>
        <v>VESPERTINO</v>
      </c>
      <c r="E865" s="26" t="str">
        <f>"FELIPE VILLANUEVA NUM 18                                                        "</f>
        <v xml:space="preserve">FELIPE VILLANUEVA NUM 18                                                        </v>
      </c>
      <c r="F865" s="26" t="str">
        <f>"GUADALUPE INN                                                                                                                               "</f>
        <v xml:space="preserve">GUADALUPE INN                                                                                                                               </v>
      </c>
      <c r="G865" s="26" t="str">
        <f>"ALVARO OBREGON                                                                  "</f>
        <v xml:space="preserve">ALVARO OBREGON                                                                  </v>
      </c>
      <c r="H865" s="26" t="str">
        <f>"320"</f>
        <v>320</v>
      </c>
      <c r="I865" s="26" t="str">
        <f t="shared" si="140"/>
        <v>00</v>
      </c>
      <c r="J865" s="26" t="str">
        <f>"43 "</f>
        <v xml:space="preserve">43 </v>
      </c>
      <c r="K865" s="26" t="str">
        <f t="shared" si="142"/>
        <v>PR</v>
      </c>
      <c r="L865" s="26" t="str">
        <f t="shared" si="143"/>
        <v>DGOSE</v>
      </c>
      <c r="M865" s="26" t="str">
        <f t="shared" si="141"/>
        <v>FEDERAL</v>
      </c>
      <c r="N865" s="26">
        <v>124</v>
      </c>
      <c r="O865" s="26">
        <v>62</v>
      </c>
      <c r="P865" s="26">
        <v>62</v>
      </c>
      <c r="Q865" s="26">
        <v>10</v>
      </c>
      <c r="R865" s="26">
        <v>1</v>
      </c>
      <c r="S865" s="26">
        <v>7</v>
      </c>
      <c r="T865" s="26">
        <v>7</v>
      </c>
      <c r="U865" s="26">
        <v>15</v>
      </c>
      <c r="V865" s="26">
        <v>1</v>
      </c>
      <c r="W865" s="26"/>
    </row>
    <row r="866" spans="1:23" x14ac:dyDescent="0.25">
      <c r="A866" s="26" t="str">
        <f t="shared" si="139"/>
        <v>PRIMARIA</v>
      </c>
      <c r="B866" s="26" t="str">
        <f>"09DPR1895R"</f>
        <v>09DPR1895R</v>
      </c>
      <c r="C866" s="26" t="str">
        <f>"GASPAR MELCHOR DE JOVELLANOS                                                                        "</f>
        <v xml:space="preserve">GASPAR MELCHOR DE JOVELLANOS                                                                        </v>
      </c>
      <c r="D866" s="26" t="str">
        <f>"JORNADA AMPLIADA"</f>
        <v>JORNADA AMPLIADA</v>
      </c>
      <c r="E866" s="26" t="str">
        <f>"GALEANA 53                                                                      "</f>
        <v xml:space="preserve">GALEANA 53                                                                      </v>
      </c>
      <c r="F866" s="26" t="str">
        <f>"SAN ANGEL INN                                                                                                                               "</f>
        <v xml:space="preserve">SAN ANGEL INN                                                                                                                               </v>
      </c>
      <c r="G866" s="26" t="str">
        <f>"ALVARO OBREGON                                                                  "</f>
        <v xml:space="preserve">ALVARO OBREGON                                                                  </v>
      </c>
      <c r="H866" s="26" t="str">
        <f>"405"</f>
        <v>405</v>
      </c>
      <c r="I866" s="26" t="str">
        <f t="shared" si="140"/>
        <v>00</v>
      </c>
      <c r="J866" s="26" t="str">
        <f>"44 "</f>
        <v xml:space="preserve">44 </v>
      </c>
      <c r="K866" s="26" t="str">
        <f t="shared" si="142"/>
        <v>PR</v>
      </c>
      <c r="L866" s="26" t="str">
        <f t="shared" si="143"/>
        <v>DGOSE</v>
      </c>
      <c r="M866" s="26" t="str">
        <f t="shared" si="141"/>
        <v>FEDERAL</v>
      </c>
      <c r="N866" s="26">
        <v>266</v>
      </c>
      <c r="O866" s="26">
        <v>132</v>
      </c>
      <c r="P866" s="26">
        <v>134</v>
      </c>
      <c r="Q866" s="26">
        <v>9</v>
      </c>
      <c r="R866" s="26">
        <v>1</v>
      </c>
      <c r="S866" s="26">
        <v>9</v>
      </c>
      <c r="T866" s="26">
        <v>7</v>
      </c>
      <c r="U866" s="26">
        <v>17</v>
      </c>
      <c r="V866" s="26">
        <v>1</v>
      </c>
      <c r="W866" s="26" t="s">
        <v>2076</v>
      </c>
    </row>
    <row r="867" spans="1:23" x14ac:dyDescent="0.25">
      <c r="A867" s="26" t="str">
        <f t="shared" si="139"/>
        <v>PRIMARIA</v>
      </c>
      <c r="B867" s="26" t="str">
        <f>"09DPR1896Q"</f>
        <v>09DPR1896Q</v>
      </c>
      <c r="C867" s="26" t="str">
        <f>"ENRIQUE RODRIGUEZ CANO                                                                              "</f>
        <v xml:space="preserve">ENRIQUE RODRIGUEZ CANO                                                                              </v>
      </c>
      <c r="D867" s="26" t="str">
        <f>"MATUTINO"</f>
        <v>MATUTINO</v>
      </c>
      <c r="E867" s="26" t="str">
        <f>"INDEPENDENCIA NUM 20                                                            "</f>
        <v xml:space="preserve">INDEPENDENCIA NUM 20                                                            </v>
      </c>
      <c r="F867" s="26" t="str">
        <f>"SAN NICOLAS TOTOLAPAN                                                                                                                       "</f>
        <v xml:space="preserve">SAN NICOLAS TOTOLAPAN                                                                                                                       </v>
      </c>
      <c r="G867" s="26" t="str">
        <f>"LA MAGDALENA CONTRERAS                                                          "</f>
        <v xml:space="preserve">LA MAGDALENA CONTRERAS                                                          </v>
      </c>
      <c r="H867" s="26" t="str">
        <f>"337"</f>
        <v>337</v>
      </c>
      <c r="I867" s="26" t="str">
        <f t="shared" si="140"/>
        <v>00</v>
      </c>
      <c r="J867" s="26" t="str">
        <f>"43 "</f>
        <v xml:space="preserve">43 </v>
      </c>
      <c r="K867" s="26" t="str">
        <f t="shared" si="142"/>
        <v>PR</v>
      </c>
      <c r="L867" s="26" t="str">
        <f t="shared" si="143"/>
        <v>DGOSE</v>
      </c>
      <c r="M867" s="26" t="str">
        <f t="shared" si="141"/>
        <v>FEDERAL</v>
      </c>
      <c r="N867" s="26">
        <v>554</v>
      </c>
      <c r="O867" s="26">
        <v>287</v>
      </c>
      <c r="P867" s="26">
        <v>267</v>
      </c>
      <c r="Q867" s="26">
        <v>18</v>
      </c>
      <c r="R867" s="26">
        <v>1</v>
      </c>
      <c r="S867" s="26">
        <v>18</v>
      </c>
      <c r="T867" s="26">
        <v>9</v>
      </c>
      <c r="U867" s="26">
        <v>28</v>
      </c>
      <c r="V867" s="26">
        <v>1</v>
      </c>
      <c r="W867" s="26"/>
    </row>
    <row r="868" spans="1:23" x14ac:dyDescent="0.25">
      <c r="A868" s="26" t="str">
        <f t="shared" si="139"/>
        <v>PRIMARIA</v>
      </c>
      <c r="B868" s="26" t="str">
        <f>"09DPR1897P"</f>
        <v>09DPR1897P</v>
      </c>
      <c r="C868" s="26" t="str">
        <f>"ENRIQUE RODRIGUEZ CANO                                                                              "</f>
        <v xml:space="preserve">ENRIQUE RODRIGUEZ CANO                                                                              </v>
      </c>
      <c r="D868" s="26" t="str">
        <f>"VESPERTINO"</f>
        <v>VESPERTINO</v>
      </c>
      <c r="E868" s="26" t="str">
        <f>"INDEPENDENCIA 20                                                                "</f>
        <v xml:space="preserve">INDEPENDENCIA 20                                                                </v>
      </c>
      <c r="F868" s="26" t="str">
        <f>"SAN NICOLAS TOTOLAPAN                                                                                                                       "</f>
        <v xml:space="preserve">SAN NICOLAS TOTOLAPAN                                                                                                                       </v>
      </c>
      <c r="G868" s="26" t="str">
        <f>"LA MAGDALENA CONTRERAS                                                          "</f>
        <v xml:space="preserve">LA MAGDALENA CONTRERAS                                                          </v>
      </c>
      <c r="H868" s="26" t="str">
        <f>"337"</f>
        <v>337</v>
      </c>
      <c r="I868" s="26" t="str">
        <f t="shared" si="140"/>
        <v>00</v>
      </c>
      <c r="J868" s="26" t="str">
        <f>"43 "</f>
        <v xml:space="preserve">43 </v>
      </c>
      <c r="K868" s="26" t="str">
        <f t="shared" si="142"/>
        <v>PR</v>
      </c>
      <c r="L868" s="26" t="str">
        <f t="shared" si="143"/>
        <v>DGOSE</v>
      </c>
      <c r="M868" s="26" t="str">
        <f t="shared" si="141"/>
        <v>FEDERAL</v>
      </c>
      <c r="N868" s="26">
        <v>366</v>
      </c>
      <c r="O868" s="26">
        <v>198</v>
      </c>
      <c r="P868" s="26">
        <v>168</v>
      </c>
      <c r="Q868" s="26">
        <v>13</v>
      </c>
      <c r="R868" s="26">
        <v>1</v>
      </c>
      <c r="S868" s="26">
        <v>13</v>
      </c>
      <c r="T868" s="26">
        <v>7</v>
      </c>
      <c r="U868" s="26">
        <v>21</v>
      </c>
      <c r="V868" s="26">
        <v>1</v>
      </c>
      <c r="W868" s="26"/>
    </row>
    <row r="869" spans="1:23" x14ac:dyDescent="0.25">
      <c r="A869" s="26" t="str">
        <f t="shared" si="139"/>
        <v>PRIMARIA</v>
      </c>
      <c r="B869" s="26" t="str">
        <f>"09DPR1899N"</f>
        <v>09DPR1899N</v>
      </c>
      <c r="C869" s="26" t="str">
        <f>"MAESTRO ENRIQUE COCA PEREZ                                                                          "</f>
        <v xml:space="preserve">MAESTRO ENRIQUE COCA PEREZ                                                                          </v>
      </c>
      <c r="D869" s="26" t="str">
        <f>"JORNADA AMPLIADA"</f>
        <v>JORNADA AMPLIADA</v>
      </c>
      <c r="E869" s="26" t="str">
        <f>"ACAMBARO S/N                                                                    "</f>
        <v xml:space="preserve">ACAMBARO S/N                                                                    </v>
      </c>
      <c r="F869" s="26" t="str">
        <f>"OLIVAR DE LOS PADRES                                                                                                                        "</f>
        <v xml:space="preserve">OLIVAR DE LOS PADRES                                                                                                                        </v>
      </c>
      <c r="G869" s="26" t="str">
        <f>"ALVARO OBREGON                                                                  "</f>
        <v xml:space="preserve">ALVARO OBREGON                                                                  </v>
      </c>
      <c r="H869" s="26" t="str">
        <f>"405"</f>
        <v>405</v>
      </c>
      <c r="I869" s="26" t="str">
        <f t="shared" si="140"/>
        <v>00</v>
      </c>
      <c r="J869" s="26" t="str">
        <f>"44 "</f>
        <v xml:space="preserve">44 </v>
      </c>
      <c r="K869" s="26" t="str">
        <f t="shared" si="142"/>
        <v>PR</v>
      </c>
      <c r="L869" s="26" t="str">
        <f t="shared" si="143"/>
        <v>DGOSE</v>
      </c>
      <c r="M869" s="26" t="str">
        <f t="shared" si="141"/>
        <v>FEDERAL</v>
      </c>
      <c r="N869" s="26">
        <v>342</v>
      </c>
      <c r="O869" s="26">
        <v>177</v>
      </c>
      <c r="P869" s="26">
        <v>165</v>
      </c>
      <c r="Q869" s="26">
        <v>12</v>
      </c>
      <c r="R869" s="26">
        <v>1</v>
      </c>
      <c r="S869" s="26">
        <v>11</v>
      </c>
      <c r="T869" s="26">
        <v>6</v>
      </c>
      <c r="U869" s="26">
        <v>18</v>
      </c>
      <c r="V869" s="26">
        <v>1</v>
      </c>
      <c r="W869" s="26" t="s">
        <v>2076</v>
      </c>
    </row>
    <row r="870" spans="1:23" x14ac:dyDescent="0.25">
      <c r="A870" s="26" t="str">
        <f t="shared" si="139"/>
        <v>PRIMARIA</v>
      </c>
      <c r="B870" s="26" t="str">
        <f>"09DPR1900M"</f>
        <v>09DPR1900M</v>
      </c>
      <c r="C870" s="26" t="str">
        <f>"LIC. EDUARDO FACHA GUTIERREZ                                                                        "</f>
        <v xml:space="preserve">LIC. EDUARDO FACHA GUTIERREZ                                                                        </v>
      </c>
      <c r="D870" s="26" t="str">
        <f>"MATUTINO"</f>
        <v>MATUTINO</v>
      </c>
      <c r="E870" s="26" t="str">
        <f>"CALZADA LAS AGUILAS S/N                                                         "</f>
        <v xml:space="preserve">CALZADA LAS AGUILAS S/N                                                         </v>
      </c>
      <c r="F870" s="26" t="str">
        <f>"LAS AGUILAS                                                                                                                                 "</f>
        <v xml:space="preserve">LAS AGUILAS                                                                                                                                 </v>
      </c>
      <c r="G870" s="26" t="str">
        <f>"ALVARO OBREGON                                                                  "</f>
        <v xml:space="preserve">ALVARO OBREGON                                                                  </v>
      </c>
      <c r="H870" s="26" t="str">
        <f>"322"</f>
        <v>322</v>
      </c>
      <c r="I870" s="26" t="str">
        <f t="shared" si="140"/>
        <v>00</v>
      </c>
      <c r="J870" s="26" t="str">
        <f>"43 "</f>
        <v xml:space="preserve">43 </v>
      </c>
      <c r="K870" s="26" t="str">
        <f t="shared" si="142"/>
        <v>PR</v>
      </c>
      <c r="L870" s="26" t="str">
        <f t="shared" si="143"/>
        <v>DGOSE</v>
      </c>
      <c r="M870" s="26" t="str">
        <f t="shared" si="141"/>
        <v>FEDERAL</v>
      </c>
      <c r="N870" s="26">
        <v>230</v>
      </c>
      <c r="O870" s="26">
        <v>108</v>
      </c>
      <c r="P870" s="26">
        <v>122</v>
      </c>
      <c r="Q870" s="26">
        <v>9</v>
      </c>
      <c r="R870" s="26">
        <v>1</v>
      </c>
      <c r="S870" s="26">
        <v>9</v>
      </c>
      <c r="T870" s="26">
        <v>10</v>
      </c>
      <c r="U870" s="26">
        <v>20</v>
      </c>
      <c r="V870" s="26">
        <v>1</v>
      </c>
      <c r="W870" s="26"/>
    </row>
    <row r="871" spans="1:23" x14ac:dyDescent="0.25">
      <c r="A871" s="26" t="str">
        <f t="shared" si="139"/>
        <v>PRIMARIA</v>
      </c>
      <c r="B871" s="26" t="str">
        <f>"09DPR1901L"</f>
        <v>09DPR1901L</v>
      </c>
      <c r="C871" s="26" t="str">
        <f>"LIC. EDUARDO FACHA GUTIERREZ                                                                        "</f>
        <v xml:space="preserve">LIC. EDUARDO FACHA GUTIERREZ                                                                        </v>
      </c>
      <c r="D871" s="26" t="str">
        <f>"VESPERTINO"</f>
        <v>VESPERTINO</v>
      </c>
      <c r="E871" s="26" t="str">
        <f>"CALZADA LAS AGUILAS S/N                                                         "</f>
        <v xml:space="preserve">CALZADA LAS AGUILAS S/N                                                         </v>
      </c>
      <c r="F871" s="26" t="str">
        <f>"LAS AGUILAS                                                                                                                                 "</f>
        <v xml:space="preserve">LAS AGUILAS                                                                                                                                 </v>
      </c>
      <c r="G871" s="26" t="str">
        <f>"ALVARO OBREGON                                                                  "</f>
        <v xml:space="preserve">ALVARO OBREGON                                                                  </v>
      </c>
      <c r="H871" s="26" t="str">
        <f>"322"</f>
        <v>322</v>
      </c>
      <c r="I871" s="26" t="str">
        <f t="shared" si="140"/>
        <v>00</v>
      </c>
      <c r="J871" s="26" t="str">
        <f>"43 "</f>
        <v xml:space="preserve">43 </v>
      </c>
      <c r="K871" s="26" t="str">
        <f t="shared" si="142"/>
        <v>PR</v>
      </c>
      <c r="L871" s="26" t="str">
        <f t="shared" si="143"/>
        <v>DGOSE</v>
      </c>
      <c r="M871" s="26" t="str">
        <f t="shared" si="141"/>
        <v>FEDERAL</v>
      </c>
      <c r="N871" s="26">
        <v>101</v>
      </c>
      <c r="O871" s="26">
        <v>49</v>
      </c>
      <c r="P871" s="26">
        <v>52</v>
      </c>
      <c r="Q871" s="26">
        <v>6</v>
      </c>
      <c r="R871" s="26">
        <v>1</v>
      </c>
      <c r="S871" s="26">
        <v>6</v>
      </c>
      <c r="T871" s="26">
        <v>6</v>
      </c>
      <c r="U871" s="26">
        <v>13</v>
      </c>
      <c r="V871" s="26">
        <v>1</v>
      </c>
      <c r="W871" s="26"/>
    </row>
    <row r="872" spans="1:23" x14ac:dyDescent="0.25">
      <c r="A872" s="26" t="str">
        <f t="shared" si="139"/>
        <v>PRIMARIA</v>
      </c>
      <c r="B872" s="26" t="str">
        <f>"09DPR1902K"</f>
        <v>09DPR1902K</v>
      </c>
      <c r="C872" s="26" t="str">
        <f>"HEROES DE CHURUBUSCO                                                                                "</f>
        <v xml:space="preserve">HEROES DE CHURUBUSCO                                                                                </v>
      </c>
      <c r="D872" s="26" t="str">
        <f>"JORNADA AMPLIADA"</f>
        <v>JORNADA AMPLIADA</v>
      </c>
      <c r="E872" s="26" t="str">
        <f>"VICENTE GARCIA TORRES NO 13                                                     "</f>
        <v xml:space="preserve">VICENTE GARCIA TORRES NO 13                                                     </v>
      </c>
      <c r="F872" s="26" t="str">
        <f>"SAN LUCAS                                                                                                                                   "</f>
        <v xml:space="preserve">SAN LUCAS                                                                                                                                   </v>
      </c>
      <c r="G872" s="26" t="str">
        <f>"COYOACAN                                                                        "</f>
        <v xml:space="preserve">COYOACAN                                                                        </v>
      </c>
      <c r="H872" s="26" t="str">
        <f>"434"</f>
        <v>434</v>
      </c>
      <c r="I872" s="26" t="str">
        <f t="shared" si="140"/>
        <v>00</v>
      </c>
      <c r="J872" s="26" t="str">
        <f>"44 "</f>
        <v xml:space="preserve">44 </v>
      </c>
      <c r="K872" s="26" t="str">
        <f t="shared" si="142"/>
        <v>PR</v>
      </c>
      <c r="L872" s="26" t="str">
        <f t="shared" si="143"/>
        <v>DGOSE</v>
      </c>
      <c r="M872" s="26" t="str">
        <f t="shared" si="141"/>
        <v>FEDERAL</v>
      </c>
      <c r="N872" s="26">
        <v>342</v>
      </c>
      <c r="O872" s="26">
        <v>173</v>
      </c>
      <c r="P872" s="26">
        <v>169</v>
      </c>
      <c r="Q872" s="26">
        <v>12</v>
      </c>
      <c r="R872" s="26">
        <v>1</v>
      </c>
      <c r="S872" s="26">
        <v>11</v>
      </c>
      <c r="T872" s="26">
        <v>10</v>
      </c>
      <c r="U872" s="26">
        <v>22</v>
      </c>
      <c r="V872" s="26">
        <v>1</v>
      </c>
      <c r="W872" s="26" t="s">
        <v>2076</v>
      </c>
    </row>
    <row r="873" spans="1:23" x14ac:dyDescent="0.25">
      <c r="A873" s="26" t="str">
        <f t="shared" si="139"/>
        <v>PRIMARIA</v>
      </c>
      <c r="B873" s="26" t="str">
        <f>"09DPR1903J"</f>
        <v>09DPR1903J</v>
      </c>
      <c r="C873" s="26" t="str">
        <f>"CENOBIA GARCIA NAVA                                                                                 "</f>
        <v xml:space="preserve">CENOBIA GARCIA NAVA                                                                                 </v>
      </c>
      <c r="D873" s="26" t="str">
        <f>"MATUTINO"</f>
        <v>MATUTINO</v>
      </c>
      <c r="E873" s="26" t="str">
        <f>"RAFAEL CHECA NO 2                                                               "</f>
        <v xml:space="preserve">RAFAEL CHECA NO 2                                                               </v>
      </c>
      <c r="F873" s="26" t="str">
        <f>"SANTA ROSA XOCHIAC                                                                                                                          "</f>
        <v xml:space="preserve">SANTA ROSA XOCHIAC                                                                                                                          </v>
      </c>
      <c r="G873" s="26" t="str">
        <f>"ALVARO OBREGON                                                                  "</f>
        <v xml:space="preserve">ALVARO OBREGON                                                                  </v>
      </c>
      <c r="H873" s="26" t="str">
        <f>"330"</f>
        <v>330</v>
      </c>
      <c r="I873" s="26" t="str">
        <f t="shared" si="140"/>
        <v>00</v>
      </c>
      <c r="J873" s="26" t="str">
        <f>"43 "</f>
        <v xml:space="preserve">43 </v>
      </c>
      <c r="K873" s="26" t="str">
        <f t="shared" si="142"/>
        <v>PR</v>
      </c>
      <c r="L873" s="26" t="str">
        <f t="shared" si="143"/>
        <v>DGOSE</v>
      </c>
      <c r="M873" s="26" t="str">
        <f t="shared" si="141"/>
        <v>FEDERAL</v>
      </c>
      <c r="N873" s="26">
        <v>712</v>
      </c>
      <c r="O873" s="26">
        <v>356</v>
      </c>
      <c r="P873" s="26">
        <v>356</v>
      </c>
      <c r="Q873" s="26">
        <v>21</v>
      </c>
      <c r="R873" s="26">
        <v>1</v>
      </c>
      <c r="S873" s="26">
        <v>21</v>
      </c>
      <c r="T873" s="26">
        <v>8</v>
      </c>
      <c r="U873" s="26">
        <v>30</v>
      </c>
      <c r="V873" s="26">
        <v>1</v>
      </c>
      <c r="W873" s="26"/>
    </row>
    <row r="874" spans="1:23" x14ac:dyDescent="0.25">
      <c r="A874" s="26" t="str">
        <f t="shared" si="139"/>
        <v>PRIMARIA</v>
      </c>
      <c r="B874" s="26" t="str">
        <f>"09DPR1904I"</f>
        <v>09DPR1904I</v>
      </c>
      <c r="C874" s="26" t="str">
        <f>"XICOTENCATL                                                                                         "</f>
        <v xml:space="preserve">XICOTENCATL                                                                                         </v>
      </c>
      <c r="D874" s="26" t="str">
        <f>"MATUTINO"</f>
        <v>MATUTINO</v>
      </c>
      <c r="E874" s="26" t="str">
        <f>"AV EMILIANO ZAPATA 4                                                            "</f>
        <v xml:space="preserve">AV EMILIANO ZAPATA 4                                                            </v>
      </c>
      <c r="F874" s="26" t="str">
        <f>"SAN BERNABE OCOTEPEC                                                                                                                        "</f>
        <v xml:space="preserve">SAN BERNABE OCOTEPEC                                                                                                                        </v>
      </c>
      <c r="G874" s="26" t="str">
        <f>"LA MAGDALENA CONTRERAS                                                          "</f>
        <v xml:space="preserve">LA MAGDALENA CONTRERAS                                                          </v>
      </c>
      <c r="H874" s="26" t="str">
        <f>"335"</f>
        <v>335</v>
      </c>
      <c r="I874" s="26" t="str">
        <f t="shared" si="140"/>
        <v>00</v>
      </c>
      <c r="J874" s="26" t="str">
        <f>"43 "</f>
        <v xml:space="preserve">43 </v>
      </c>
      <c r="K874" s="26" t="str">
        <f t="shared" si="142"/>
        <v>PR</v>
      </c>
      <c r="L874" s="26" t="str">
        <f t="shared" si="143"/>
        <v>DGOSE</v>
      </c>
      <c r="M874" s="26" t="str">
        <f t="shared" si="141"/>
        <v>FEDERAL</v>
      </c>
      <c r="N874" s="26">
        <v>615</v>
      </c>
      <c r="O874" s="26">
        <v>315</v>
      </c>
      <c r="P874" s="26">
        <v>300</v>
      </c>
      <c r="Q874" s="26">
        <v>18</v>
      </c>
      <c r="R874" s="26">
        <v>1</v>
      </c>
      <c r="S874" s="26">
        <v>15</v>
      </c>
      <c r="T874" s="26">
        <v>9</v>
      </c>
      <c r="U874" s="26">
        <v>25</v>
      </c>
      <c r="V874" s="26">
        <v>1</v>
      </c>
      <c r="W874" s="26"/>
    </row>
    <row r="875" spans="1:23" x14ac:dyDescent="0.25">
      <c r="A875" s="26" t="str">
        <f t="shared" si="139"/>
        <v>PRIMARIA</v>
      </c>
      <c r="B875" s="26" t="str">
        <f>"09DPR1907F"</f>
        <v>09DPR1907F</v>
      </c>
      <c r="C875" s="26" t="str">
        <f>"RUBEN DARIO                                                                                         "</f>
        <v xml:space="preserve">RUBEN DARIO                                                                                         </v>
      </c>
      <c r="D875" s="26" t="str">
        <f>"MATUTINO"</f>
        <v>MATUTINO</v>
      </c>
      <c r="E875" s="26" t="str">
        <f>"CRUZ VERDE 86                                                                   "</f>
        <v xml:space="preserve">CRUZ VERDE 86                                                                   </v>
      </c>
      <c r="F875" s="26" t="str">
        <f>"LOMAS QUEBRADAS                                                                                                                             "</f>
        <v xml:space="preserve">LOMAS QUEBRADAS                                                                                                                             </v>
      </c>
      <c r="G875" s="26" t="str">
        <f>"LA MAGDALENA CONTRERAS                                                          "</f>
        <v xml:space="preserve">LA MAGDALENA CONTRERAS                                                          </v>
      </c>
      <c r="H875" s="26" t="str">
        <f>"332"</f>
        <v>332</v>
      </c>
      <c r="I875" s="26" t="str">
        <f t="shared" si="140"/>
        <v>00</v>
      </c>
      <c r="J875" s="26" t="str">
        <f>"43 "</f>
        <v xml:space="preserve">43 </v>
      </c>
      <c r="K875" s="26" t="str">
        <f t="shared" si="142"/>
        <v>PR</v>
      </c>
      <c r="L875" s="26" t="str">
        <f t="shared" si="143"/>
        <v>DGOSE</v>
      </c>
      <c r="M875" s="26" t="str">
        <f t="shared" si="141"/>
        <v>FEDERAL</v>
      </c>
      <c r="N875" s="26">
        <v>562</v>
      </c>
      <c r="O875" s="26">
        <v>270</v>
      </c>
      <c r="P875" s="26">
        <v>292</v>
      </c>
      <c r="Q875" s="26">
        <v>18</v>
      </c>
      <c r="R875" s="26">
        <v>1</v>
      </c>
      <c r="S875" s="26">
        <v>18</v>
      </c>
      <c r="T875" s="26">
        <v>11</v>
      </c>
      <c r="U875" s="26">
        <v>30</v>
      </c>
      <c r="V875" s="26">
        <v>1</v>
      </c>
      <c r="W875" s="26"/>
    </row>
    <row r="876" spans="1:23" x14ac:dyDescent="0.25">
      <c r="A876" s="26" t="str">
        <f t="shared" si="139"/>
        <v>PRIMARIA</v>
      </c>
      <c r="B876" s="26" t="str">
        <f>"09DPR1908E"</f>
        <v>09DPR1908E</v>
      </c>
      <c r="C876" s="26" t="str">
        <f>"RICARDO GOMEZ                                                                                       "</f>
        <v xml:space="preserve">RICARDO GOMEZ                                                                                       </v>
      </c>
      <c r="D876" s="26" t="str">
        <f>"JORNADA AMPLIADA"</f>
        <v>JORNADA AMPLIADA</v>
      </c>
      <c r="E876" s="26" t="str">
        <f>"AV MEXICO NUM 19                                                                "</f>
        <v xml:space="preserve">AV MEXICO NUM 19                                                                </v>
      </c>
      <c r="F876" s="26" t="str">
        <f>"TIZAPAN                                                                                                                                     "</f>
        <v xml:space="preserve">TIZAPAN                                                                                                                                     </v>
      </c>
      <c r="G876" s="26" t="str">
        <f>"ALVARO OBREGON                                                                  "</f>
        <v xml:space="preserve">ALVARO OBREGON                                                                  </v>
      </c>
      <c r="H876" s="26" t="str">
        <f>"406"</f>
        <v>406</v>
      </c>
      <c r="I876" s="26" t="str">
        <f t="shared" si="140"/>
        <v>00</v>
      </c>
      <c r="J876" s="26" t="str">
        <f>"44 "</f>
        <v xml:space="preserve">44 </v>
      </c>
      <c r="K876" s="26" t="str">
        <f t="shared" si="142"/>
        <v>PR</v>
      </c>
      <c r="L876" s="26" t="str">
        <f t="shared" si="143"/>
        <v>DGOSE</v>
      </c>
      <c r="M876" s="26" t="str">
        <f t="shared" si="141"/>
        <v>FEDERAL</v>
      </c>
      <c r="N876" s="26">
        <v>345</v>
      </c>
      <c r="O876" s="26">
        <v>174</v>
      </c>
      <c r="P876" s="26">
        <v>171</v>
      </c>
      <c r="Q876" s="26">
        <v>12</v>
      </c>
      <c r="R876" s="26">
        <v>1</v>
      </c>
      <c r="S876" s="26">
        <v>12</v>
      </c>
      <c r="T876" s="26">
        <v>10</v>
      </c>
      <c r="U876" s="26">
        <v>23</v>
      </c>
      <c r="V876" s="26">
        <v>1</v>
      </c>
      <c r="W876" s="26" t="s">
        <v>2076</v>
      </c>
    </row>
    <row r="877" spans="1:23" x14ac:dyDescent="0.25">
      <c r="A877" s="26" t="str">
        <f t="shared" si="139"/>
        <v>PRIMARIA</v>
      </c>
      <c r="B877" s="26" t="str">
        <f>"09DPR1909D"</f>
        <v>09DPR1909D</v>
      </c>
      <c r="C877" s="26" t="str">
        <f>"RUBEN DARIO                                                                                         "</f>
        <v xml:space="preserve">RUBEN DARIO                                                                                         </v>
      </c>
      <c r="D877" s="26" t="str">
        <f>"VESPERTINO"</f>
        <v>VESPERTINO</v>
      </c>
      <c r="E877" s="26" t="str">
        <f>"CRUZ VERDE 86                                                                   "</f>
        <v xml:space="preserve">CRUZ VERDE 86                                                                   </v>
      </c>
      <c r="F877" s="26" t="str">
        <f>"LOMAS QUEBRADAS                                                                                                                             "</f>
        <v xml:space="preserve">LOMAS QUEBRADAS                                                                                                                             </v>
      </c>
      <c r="G877" s="26" t="str">
        <f>"LA MAGDALENA CONTRERAS                                                          "</f>
        <v xml:space="preserve">LA MAGDALENA CONTRERAS                                                          </v>
      </c>
      <c r="H877" s="26" t="str">
        <f>"332"</f>
        <v>332</v>
      </c>
      <c r="I877" s="26" t="str">
        <f t="shared" si="140"/>
        <v>00</v>
      </c>
      <c r="J877" s="26" t="str">
        <f>"43 "</f>
        <v xml:space="preserve">43 </v>
      </c>
      <c r="K877" s="26" t="str">
        <f t="shared" si="142"/>
        <v>PR</v>
      </c>
      <c r="L877" s="26" t="str">
        <f t="shared" si="143"/>
        <v>DGOSE</v>
      </c>
      <c r="M877" s="26" t="str">
        <f t="shared" si="141"/>
        <v>FEDERAL</v>
      </c>
      <c r="N877" s="26">
        <v>302</v>
      </c>
      <c r="O877" s="26">
        <v>150</v>
      </c>
      <c r="P877" s="26">
        <v>152</v>
      </c>
      <c r="Q877" s="26">
        <v>13</v>
      </c>
      <c r="R877" s="26">
        <v>1</v>
      </c>
      <c r="S877" s="26">
        <v>13</v>
      </c>
      <c r="T877" s="26">
        <v>8</v>
      </c>
      <c r="U877" s="26">
        <v>22</v>
      </c>
      <c r="V877" s="26">
        <v>1</v>
      </c>
      <c r="W877" s="26"/>
    </row>
    <row r="878" spans="1:23" x14ac:dyDescent="0.25">
      <c r="A878" s="26" t="str">
        <f t="shared" si="139"/>
        <v>PRIMARIA</v>
      </c>
      <c r="B878" s="26" t="str">
        <f>"09DPR1913Q"</f>
        <v>09DPR1913Q</v>
      </c>
      <c r="C878" s="26" t="str">
        <f>"MAESTRO RAFAEL RAMIREZ                                                                              "</f>
        <v xml:space="preserve">MAESTRO RAFAEL RAMIREZ                                                                              </v>
      </c>
      <c r="D878" s="26" t="str">
        <f>"JORNADA AMPLIADA"</f>
        <v>JORNADA AMPLIADA</v>
      </c>
      <c r="E878" s="26" t="str">
        <f>"EMILIANO ZAPATA NO. 179                                                         "</f>
        <v xml:space="preserve">EMILIANO ZAPATA NO. 179                                                         </v>
      </c>
      <c r="F878" s="26" t="str">
        <f>"SAN JERONIMO ACULCO ZONA URBANA EJI                                                                                                         "</f>
        <v xml:space="preserve">SAN JERONIMO ACULCO ZONA URBANA EJI                                                                                                         </v>
      </c>
      <c r="G878" s="26" t="str">
        <f>"LA MAGDALENA CONTRERAS                                                          "</f>
        <v xml:space="preserve">LA MAGDALENA CONTRERAS                                                          </v>
      </c>
      <c r="H878" s="26" t="str">
        <f>"407"</f>
        <v>407</v>
      </c>
      <c r="I878" s="26" t="str">
        <f t="shared" si="140"/>
        <v>00</v>
      </c>
      <c r="J878" s="26" t="str">
        <f>"44 "</f>
        <v xml:space="preserve">44 </v>
      </c>
      <c r="K878" s="26" t="str">
        <f t="shared" si="142"/>
        <v>PR</v>
      </c>
      <c r="L878" s="26" t="str">
        <f t="shared" si="143"/>
        <v>DGOSE</v>
      </c>
      <c r="M878" s="26" t="str">
        <f t="shared" si="141"/>
        <v>FEDERAL</v>
      </c>
      <c r="N878" s="26">
        <v>195</v>
      </c>
      <c r="O878" s="26">
        <v>112</v>
      </c>
      <c r="P878" s="26">
        <v>83</v>
      </c>
      <c r="Q878" s="26">
        <v>6</v>
      </c>
      <c r="R878" s="26">
        <v>1</v>
      </c>
      <c r="S878" s="26">
        <v>6</v>
      </c>
      <c r="T878" s="26">
        <v>6</v>
      </c>
      <c r="U878" s="26">
        <v>13</v>
      </c>
      <c r="V878" s="26">
        <v>1</v>
      </c>
      <c r="W878" s="26" t="s">
        <v>2076</v>
      </c>
    </row>
    <row r="879" spans="1:23" x14ac:dyDescent="0.25">
      <c r="A879" s="26" t="str">
        <f t="shared" si="139"/>
        <v>PRIMARIA</v>
      </c>
      <c r="B879" s="26" t="str">
        <f>"09DPR1914P"</f>
        <v>09DPR1914P</v>
      </c>
      <c r="C879" s="26" t="str">
        <f>"PROCERES DE LA REVOLUCION                                                                           "</f>
        <v xml:space="preserve">PROCERES DE LA REVOLUCION                                                                           </v>
      </c>
      <c r="D879" s="26" t="str">
        <f>"MATUTINO"</f>
        <v>MATUTINO</v>
      </c>
      <c r="E879" s="26" t="str">
        <f>"ANILLO PERIFERICO NUM 2811                                                      "</f>
        <v xml:space="preserve">ANILLO PERIFERICO NUM 2811                                                      </v>
      </c>
      <c r="F879" s="26" t="str">
        <f>"UNIDAD INDEPENDENCIA BATAN NORTE                                                                                                            "</f>
        <v xml:space="preserve">UNIDAD INDEPENDENCIA BATAN NORTE                                                                                                            </v>
      </c>
      <c r="G879" s="26" t="str">
        <f>"LA MAGDALENA CONTRERAS                                                          "</f>
        <v xml:space="preserve">LA MAGDALENA CONTRERAS                                                          </v>
      </c>
      <c r="H879" s="26" t="str">
        <f>"331"</f>
        <v>331</v>
      </c>
      <c r="I879" s="26" t="str">
        <f t="shared" si="140"/>
        <v>00</v>
      </c>
      <c r="J879" s="26" t="str">
        <f>"43 "</f>
        <v xml:space="preserve">43 </v>
      </c>
      <c r="K879" s="26" t="str">
        <f t="shared" si="142"/>
        <v>PR</v>
      </c>
      <c r="L879" s="26" t="str">
        <f t="shared" si="143"/>
        <v>DGOSE</v>
      </c>
      <c r="M879" s="26" t="str">
        <f t="shared" si="141"/>
        <v>FEDERAL</v>
      </c>
      <c r="N879" s="26">
        <v>225</v>
      </c>
      <c r="O879" s="26">
        <v>122</v>
      </c>
      <c r="P879" s="26">
        <v>103</v>
      </c>
      <c r="Q879" s="26">
        <v>10</v>
      </c>
      <c r="R879" s="26">
        <v>1</v>
      </c>
      <c r="S879" s="26">
        <v>10</v>
      </c>
      <c r="T879" s="26">
        <v>6</v>
      </c>
      <c r="U879" s="26">
        <v>17</v>
      </c>
      <c r="V879" s="26">
        <v>1</v>
      </c>
      <c r="W879" s="26"/>
    </row>
    <row r="880" spans="1:23" x14ac:dyDescent="0.25">
      <c r="A880" s="26" t="str">
        <f t="shared" si="139"/>
        <v>PRIMARIA</v>
      </c>
      <c r="B880" s="26" t="str">
        <f>"09DPR1915O"</f>
        <v>09DPR1915O</v>
      </c>
      <c r="C880" s="26" t="str">
        <f>"DOCTOR PORFIRIO PARRA                                                                               "</f>
        <v xml:space="preserve">DOCTOR PORFIRIO PARRA                                                                               </v>
      </c>
      <c r="D880" s="26" t="str">
        <f>"VESPERTINO"</f>
        <v>VESPERTINO</v>
      </c>
      <c r="E880" s="26" t="str">
        <f>"JUAREZ NO 11                                                                    "</f>
        <v xml:space="preserve">JUAREZ NO 11                                                                    </v>
      </c>
      <c r="F880" s="26" t="str">
        <f>"SAN ANGEL                                                                                                                                   "</f>
        <v xml:space="preserve">SAN ANGEL                                                                                                                                   </v>
      </c>
      <c r="G880" s="26" t="str">
        <f>"ALVARO OBREGON                                                                  "</f>
        <v xml:space="preserve">ALVARO OBREGON                                                                  </v>
      </c>
      <c r="H880" s="26" t="str">
        <f>"325"</f>
        <v>325</v>
      </c>
      <c r="I880" s="26" t="str">
        <f t="shared" si="140"/>
        <v>00</v>
      </c>
      <c r="J880" s="26" t="str">
        <f>"43 "</f>
        <v xml:space="preserve">43 </v>
      </c>
      <c r="K880" s="26" t="str">
        <f t="shared" si="142"/>
        <v>PR</v>
      </c>
      <c r="L880" s="26" t="str">
        <f t="shared" si="143"/>
        <v>DGOSE</v>
      </c>
      <c r="M880" s="26" t="str">
        <f t="shared" si="141"/>
        <v>FEDERAL</v>
      </c>
      <c r="N880" s="26">
        <v>159</v>
      </c>
      <c r="O880" s="26">
        <v>80</v>
      </c>
      <c r="P880" s="26">
        <v>79</v>
      </c>
      <c r="Q880" s="26">
        <v>7</v>
      </c>
      <c r="R880" s="26">
        <v>1</v>
      </c>
      <c r="S880" s="26">
        <v>7</v>
      </c>
      <c r="T880" s="26">
        <v>8</v>
      </c>
      <c r="U880" s="26">
        <v>16</v>
      </c>
      <c r="V880" s="26">
        <v>1</v>
      </c>
      <c r="W880" s="26"/>
    </row>
    <row r="881" spans="1:23" x14ac:dyDescent="0.25">
      <c r="A881" s="26" t="str">
        <f t="shared" si="139"/>
        <v>PRIMARIA</v>
      </c>
      <c r="B881" s="26" t="str">
        <f>"09DPR1916N"</f>
        <v>09DPR1916N</v>
      </c>
      <c r="C881" s="26" t="str">
        <f>"PROCERES DE LA REFORMA                                                                              "</f>
        <v xml:space="preserve">PROCERES DE LA REFORMA                                                                              </v>
      </c>
      <c r="D881" s="26" t="str">
        <f>"TIEMPO COMPLETO"</f>
        <v>TIEMPO COMPLETO</v>
      </c>
      <c r="E881" s="26" t="str">
        <f>"POEMAS RUSTICOS S/N                                                             "</f>
        <v xml:space="preserve">POEMAS RUSTICOS S/N                                                             </v>
      </c>
      <c r="F881" s="26" t="str">
        <f>"UNIDAD INDEPENDENCIA                                                                                                                        "</f>
        <v xml:space="preserve">UNIDAD INDEPENDENCIA                                                                                                                        </v>
      </c>
      <c r="G881" s="26" t="str">
        <f>"LA MAGDALENA CONTRERAS                                                          "</f>
        <v xml:space="preserve">LA MAGDALENA CONTRERAS                                                          </v>
      </c>
      <c r="H881" s="26" t="str">
        <f>"407"</f>
        <v>407</v>
      </c>
      <c r="I881" s="26" t="str">
        <f t="shared" si="140"/>
        <v>00</v>
      </c>
      <c r="J881" s="26" t="str">
        <f>"44 "</f>
        <v xml:space="preserve">44 </v>
      </c>
      <c r="K881" s="26" t="str">
        <f t="shared" si="142"/>
        <v>PR</v>
      </c>
      <c r="L881" s="26" t="str">
        <f t="shared" si="143"/>
        <v>DGOSE</v>
      </c>
      <c r="M881" s="26" t="str">
        <f t="shared" si="141"/>
        <v>FEDERAL</v>
      </c>
      <c r="N881" s="26">
        <v>394</v>
      </c>
      <c r="O881" s="26">
        <v>209</v>
      </c>
      <c r="P881" s="26">
        <v>185</v>
      </c>
      <c r="Q881" s="26">
        <v>12</v>
      </c>
      <c r="R881" s="26">
        <v>1</v>
      </c>
      <c r="S881" s="26">
        <v>11</v>
      </c>
      <c r="T881" s="26">
        <v>13</v>
      </c>
      <c r="U881" s="26">
        <v>25</v>
      </c>
      <c r="V881" s="26">
        <v>1</v>
      </c>
      <c r="W881" s="26" t="s">
        <v>218</v>
      </c>
    </row>
    <row r="882" spans="1:23" x14ac:dyDescent="0.25">
      <c r="A882" s="26" t="str">
        <f t="shared" si="139"/>
        <v>PRIMARIA</v>
      </c>
      <c r="B882" s="26" t="str">
        <f>"09DPR1917M"</f>
        <v>09DPR1917M</v>
      </c>
      <c r="C882" s="26" t="str">
        <f>"PROCERES DE LA REVOLUCION                                                                           "</f>
        <v xml:space="preserve">PROCERES DE LA REVOLUCION                                                                           </v>
      </c>
      <c r="D882" s="26" t="str">
        <f>"VESPERTINO"</f>
        <v>VESPERTINO</v>
      </c>
      <c r="E882" s="26" t="str">
        <f>"ANILLO PERIFERICO NUM 2811                                                      "</f>
        <v xml:space="preserve">ANILLO PERIFERICO NUM 2811                                                      </v>
      </c>
      <c r="F882" s="26" t="str">
        <f>"UNIDAD INDEPENDENCIA BATAN NORTE                                                                                                            "</f>
        <v xml:space="preserve">UNIDAD INDEPENDENCIA BATAN NORTE                                                                                                            </v>
      </c>
      <c r="G882" s="26" t="str">
        <f>"LA MAGDALENA CONTRERAS                                                          "</f>
        <v xml:space="preserve">LA MAGDALENA CONTRERAS                                                          </v>
      </c>
      <c r="H882" s="26" t="str">
        <f>"331"</f>
        <v>331</v>
      </c>
      <c r="I882" s="26" t="str">
        <f t="shared" si="140"/>
        <v>00</v>
      </c>
      <c r="J882" s="26" t="str">
        <f>"43 "</f>
        <v xml:space="preserve">43 </v>
      </c>
      <c r="K882" s="26" t="str">
        <f t="shared" si="142"/>
        <v>PR</v>
      </c>
      <c r="L882" s="26" t="str">
        <f t="shared" si="143"/>
        <v>DGOSE</v>
      </c>
      <c r="M882" s="26" t="str">
        <f t="shared" si="141"/>
        <v>FEDERAL</v>
      </c>
      <c r="N882" s="26">
        <v>139</v>
      </c>
      <c r="O882" s="26">
        <v>75</v>
      </c>
      <c r="P882" s="26">
        <v>64</v>
      </c>
      <c r="Q882" s="26">
        <v>7</v>
      </c>
      <c r="R882" s="26">
        <v>1</v>
      </c>
      <c r="S882" s="26">
        <v>7</v>
      </c>
      <c r="T882" s="26">
        <v>4</v>
      </c>
      <c r="U882" s="26">
        <v>12</v>
      </c>
      <c r="V882" s="26">
        <v>1</v>
      </c>
      <c r="W882" s="26"/>
    </row>
    <row r="883" spans="1:23" x14ac:dyDescent="0.25">
      <c r="A883" s="26" t="str">
        <f t="shared" si="139"/>
        <v>PRIMARIA</v>
      </c>
      <c r="B883" s="26" t="str">
        <f>"09DPR1920Z"</f>
        <v>09DPR1920Z</v>
      </c>
      <c r="C883" s="26" t="str">
        <f>"DOCTOR PORFIRIO PARRA                                                                               "</f>
        <v xml:space="preserve">DOCTOR PORFIRIO PARRA                                                                               </v>
      </c>
      <c r="D883" s="26" t="str">
        <f>"MATUTINO"</f>
        <v>MATUTINO</v>
      </c>
      <c r="E883" s="26" t="str">
        <f>"JUAREZ NO. 11                                                                   "</f>
        <v xml:space="preserve">JUAREZ NO. 11                                                                   </v>
      </c>
      <c r="F883" s="26" t="str">
        <f>"SAN ANGEL                                                                                                                                   "</f>
        <v xml:space="preserve">SAN ANGEL                                                                                                                                   </v>
      </c>
      <c r="G883" s="26" t="str">
        <f>"ALVARO OBREGON                                                                  "</f>
        <v xml:space="preserve">ALVARO OBREGON                                                                  </v>
      </c>
      <c r="H883" s="26" t="str">
        <f>"325"</f>
        <v>325</v>
      </c>
      <c r="I883" s="26" t="str">
        <f t="shared" si="140"/>
        <v>00</v>
      </c>
      <c r="J883" s="26" t="str">
        <f>"43 "</f>
        <v xml:space="preserve">43 </v>
      </c>
      <c r="K883" s="26" t="str">
        <f t="shared" si="142"/>
        <v>PR</v>
      </c>
      <c r="L883" s="26" t="str">
        <f t="shared" si="143"/>
        <v>DGOSE</v>
      </c>
      <c r="M883" s="26" t="str">
        <f t="shared" si="141"/>
        <v>FEDERAL</v>
      </c>
      <c r="N883" s="26">
        <v>520</v>
      </c>
      <c r="O883" s="26">
        <v>273</v>
      </c>
      <c r="P883" s="26">
        <v>247</v>
      </c>
      <c r="Q883" s="26">
        <v>18</v>
      </c>
      <c r="R883" s="26">
        <v>1</v>
      </c>
      <c r="S883" s="26">
        <v>18</v>
      </c>
      <c r="T883" s="26">
        <v>10</v>
      </c>
      <c r="U883" s="26">
        <v>29</v>
      </c>
      <c r="V883" s="26">
        <v>1</v>
      </c>
      <c r="W883" s="26"/>
    </row>
    <row r="884" spans="1:23" x14ac:dyDescent="0.25">
      <c r="A884" s="26" t="str">
        <f t="shared" si="139"/>
        <v>PRIMARIA</v>
      </c>
      <c r="B884" s="26" t="str">
        <f>"09DPR1921Z"</f>
        <v>09DPR1921Z</v>
      </c>
      <c r="C884" s="26" t="str">
        <f>"PROCERES DE LA INDEPENDENCIA                                                                        "</f>
        <v xml:space="preserve">PROCERES DE LA INDEPENDENCIA                                                                        </v>
      </c>
      <c r="D884" s="26" t="str">
        <f>"JORNADA AMPLIADA"</f>
        <v>JORNADA AMPLIADA</v>
      </c>
      <c r="E884" s="26" t="str">
        <f>"JARANA NUM 2                                                                    "</f>
        <v xml:space="preserve">JARANA NUM 2                                                                    </v>
      </c>
      <c r="F884" s="26" t="str">
        <f>"UNIDAD INDEPENDENCIA                                                                                                                        "</f>
        <v xml:space="preserve">UNIDAD INDEPENDENCIA                                                                                                                        </v>
      </c>
      <c r="G884" s="26" t="str">
        <f>"LA MAGDALENA CONTRERAS                                                          "</f>
        <v xml:space="preserve">LA MAGDALENA CONTRERAS                                                          </v>
      </c>
      <c r="H884" s="26" t="str">
        <f>"407"</f>
        <v>407</v>
      </c>
      <c r="I884" s="26" t="str">
        <f t="shared" si="140"/>
        <v>00</v>
      </c>
      <c r="J884" s="26" t="str">
        <f>"44 "</f>
        <v xml:space="preserve">44 </v>
      </c>
      <c r="K884" s="26" t="str">
        <f t="shared" si="142"/>
        <v>PR</v>
      </c>
      <c r="L884" s="26" t="str">
        <f t="shared" si="143"/>
        <v>DGOSE</v>
      </c>
      <c r="M884" s="26" t="str">
        <f t="shared" si="141"/>
        <v>FEDERAL</v>
      </c>
      <c r="N884" s="26">
        <v>313</v>
      </c>
      <c r="O884" s="26">
        <v>155</v>
      </c>
      <c r="P884" s="26">
        <v>158</v>
      </c>
      <c r="Q884" s="26">
        <v>10</v>
      </c>
      <c r="R884" s="26">
        <v>1</v>
      </c>
      <c r="S884" s="26">
        <v>10</v>
      </c>
      <c r="T884" s="26">
        <v>8</v>
      </c>
      <c r="U884" s="26">
        <v>19</v>
      </c>
      <c r="V884" s="26">
        <v>1</v>
      </c>
      <c r="W884" s="26" t="s">
        <v>2076</v>
      </c>
    </row>
    <row r="885" spans="1:23" x14ac:dyDescent="0.25">
      <c r="A885" s="26" t="str">
        <f t="shared" si="139"/>
        <v>PRIMARIA</v>
      </c>
      <c r="B885" s="26" t="str">
        <f>"09DPR1922Y"</f>
        <v>09DPR1922Y</v>
      </c>
      <c r="C885" s="26" t="str">
        <f>"PROFR. ONOFRE MELENDEZ B.                                                                           "</f>
        <v xml:space="preserve">PROFR. ONOFRE MELENDEZ B.                                                                           </v>
      </c>
      <c r="D885" s="26" t="str">
        <f>"MATUTINO"</f>
        <v>MATUTINO</v>
      </c>
      <c r="E885" s="26" t="str">
        <f>"HIDALGO NUM 37                                                                  "</f>
        <v xml:space="preserve">HIDALGO NUM 37                                                                  </v>
      </c>
      <c r="F885" s="26" t="str">
        <f>"SAN BARTOLO AMEYALCO                                                                                                                        "</f>
        <v xml:space="preserve">SAN BARTOLO AMEYALCO                                                                                                                        </v>
      </c>
      <c r="G885" s="26" t="str">
        <f>"ALVARO OBREGON                                                                  "</f>
        <v xml:space="preserve">ALVARO OBREGON                                                                  </v>
      </c>
      <c r="H885" s="26" t="str">
        <f>"330"</f>
        <v>330</v>
      </c>
      <c r="I885" s="26" t="str">
        <f t="shared" si="140"/>
        <v>00</v>
      </c>
      <c r="J885" s="26" t="str">
        <f>"43 "</f>
        <v xml:space="preserve">43 </v>
      </c>
      <c r="K885" s="26" t="str">
        <f t="shared" si="142"/>
        <v>PR</v>
      </c>
      <c r="L885" s="26" t="str">
        <f t="shared" si="143"/>
        <v>DGOSE</v>
      </c>
      <c r="M885" s="26" t="str">
        <f t="shared" si="141"/>
        <v>FEDERAL</v>
      </c>
      <c r="N885" s="26">
        <v>212</v>
      </c>
      <c r="O885" s="26">
        <v>106</v>
      </c>
      <c r="P885" s="26">
        <v>106</v>
      </c>
      <c r="Q885" s="26">
        <v>6</v>
      </c>
      <c r="R885" s="26">
        <v>1</v>
      </c>
      <c r="S885" s="26">
        <v>6</v>
      </c>
      <c r="T885" s="26">
        <v>6</v>
      </c>
      <c r="U885" s="26">
        <v>13</v>
      </c>
      <c r="V885" s="26">
        <v>1</v>
      </c>
      <c r="W885" s="26"/>
    </row>
    <row r="886" spans="1:23" x14ac:dyDescent="0.25">
      <c r="A886" s="26" t="str">
        <f t="shared" si="139"/>
        <v>PRIMARIA</v>
      </c>
      <c r="B886" s="26" t="str">
        <f>"09DPR1924W"</f>
        <v>09DPR1924W</v>
      </c>
      <c r="C886" s="26" t="str">
        <f>"MELCHOR MUZQUIZ                                                                                     "</f>
        <v xml:space="preserve">MELCHOR MUZQUIZ                                                                                     </v>
      </c>
      <c r="D886" s="26" t="str">
        <f>"TIEMPO COMPLETO"</f>
        <v>TIEMPO COMPLETO</v>
      </c>
      <c r="E886" s="26" t="str">
        <f>"MELCHOR MUZQUIZ 1                                                               "</f>
        <v xml:space="preserve">MELCHOR MUZQUIZ 1                                                               </v>
      </c>
      <c r="F886" s="26" t="str">
        <f>"SAN ANGEL                                                                                                                                   "</f>
        <v xml:space="preserve">SAN ANGEL                                                                                                                                   </v>
      </c>
      <c r="G886" s="26" t="str">
        <f>"ALVARO OBREGON                                                                  "</f>
        <v xml:space="preserve">ALVARO OBREGON                                                                  </v>
      </c>
      <c r="H886" s="26" t="str">
        <f>"405"</f>
        <v>405</v>
      </c>
      <c r="I886" s="26" t="str">
        <f t="shared" si="140"/>
        <v>00</v>
      </c>
      <c r="J886" s="26" t="str">
        <f>"44 "</f>
        <v xml:space="preserve">44 </v>
      </c>
      <c r="K886" s="26" t="str">
        <f t="shared" si="142"/>
        <v>PR</v>
      </c>
      <c r="L886" s="26" t="str">
        <f t="shared" si="143"/>
        <v>DGOSE</v>
      </c>
      <c r="M886" s="26" t="str">
        <f t="shared" si="141"/>
        <v>FEDERAL</v>
      </c>
      <c r="N886" s="26">
        <v>350</v>
      </c>
      <c r="O886" s="26">
        <v>187</v>
      </c>
      <c r="P886" s="26">
        <v>163</v>
      </c>
      <c r="Q886" s="26">
        <v>12</v>
      </c>
      <c r="R886" s="26">
        <v>1</v>
      </c>
      <c r="S886" s="26">
        <v>12</v>
      </c>
      <c r="T886" s="26">
        <v>12</v>
      </c>
      <c r="U886" s="26">
        <v>25</v>
      </c>
      <c r="V886" s="26">
        <v>1</v>
      </c>
      <c r="W886" s="26" t="s">
        <v>218</v>
      </c>
    </row>
    <row r="887" spans="1:23" x14ac:dyDescent="0.25">
      <c r="A887" s="26" t="str">
        <f t="shared" si="139"/>
        <v>PRIMARIA</v>
      </c>
      <c r="B887" s="26" t="str">
        <f>"09DPR1926U"</f>
        <v>09DPR1926U</v>
      </c>
      <c r="C887" s="26" t="str">
        <f>"MARIANO ABASOLO                                                                                     "</f>
        <v xml:space="preserve">MARIANO ABASOLO                                                                                     </v>
      </c>
      <c r="D887" s="26" t="str">
        <f>"VESPERTINO"</f>
        <v>VESPERTINO</v>
      </c>
      <c r="E887" s="26" t="str">
        <f>"FELIPE ANGELES 1                                                                "</f>
        <v xml:space="preserve">FELIPE ANGELES 1                                                                </v>
      </c>
      <c r="F887" s="26" t="str">
        <f>"LA CONCEPCION                                                                                                                               "</f>
        <v xml:space="preserve">LA CONCEPCION                                                                                                                               </v>
      </c>
      <c r="G887" s="26" t="str">
        <f>"LA MAGDALENA CONTRERAS                                                          "</f>
        <v xml:space="preserve">LA MAGDALENA CONTRERAS                                                          </v>
      </c>
      <c r="H887" s="26" t="str">
        <f>"337"</f>
        <v>337</v>
      </c>
      <c r="I887" s="26" t="str">
        <f t="shared" si="140"/>
        <v>00</v>
      </c>
      <c r="J887" s="26" t="str">
        <f>"43 "</f>
        <v xml:space="preserve">43 </v>
      </c>
      <c r="K887" s="26" t="str">
        <f t="shared" si="142"/>
        <v>PR</v>
      </c>
      <c r="L887" s="26" t="str">
        <f t="shared" si="143"/>
        <v>DGOSE</v>
      </c>
      <c r="M887" s="26" t="str">
        <f t="shared" si="141"/>
        <v>FEDERAL</v>
      </c>
      <c r="N887" s="26">
        <v>161</v>
      </c>
      <c r="O887" s="26">
        <v>83</v>
      </c>
      <c r="P887" s="26">
        <v>78</v>
      </c>
      <c r="Q887" s="26">
        <v>14</v>
      </c>
      <c r="R887" s="26">
        <v>1</v>
      </c>
      <c r="S887" s="26">
        <v>10</v>
      </c>
      <c r="T887" s="26">
        <v>8</v>
      </c>
      <c r="U887" s="26">
        <v>19</v>
      </c>
      <c r="V887" s="26">
        <v>1</v>
      </c>
      <c r="W887" s="26"/>
    </row>
    <row r="888" spans="1:23" x14ac:dyDescent="0.25">
      <c r="A888" s="26" t="str">
        <f t="shared" si="139"/>
        <v>PRIMARIA</v>
      </c>
      <c r="B888" s="26" t="str">
        <f>"09DPR1927T"</f>
        <v>09DPR1927T</v>
      </c>
      <c r="C888" s="26" t="str">
        <f>"MARIANO ABASOLO                                                                                     "</f>
        <v xml:space="preserve">MARIANO ABASOLO                                                                                     </v>
      </c>
      <c r="D888" s="26" t="str">
        <f>"MATUTINO"</f>
        <v>MATUTINO</v>
      </c>
      <c r="E888" s="26" t="str">
        <f>"FELIPE ANGELES 1                                                                "</f>
        <v xml:space="preserve">FELIPE ANGELES 1                                                                </v>
      </c>
      <c r="F888" s="26" t="str">
        <f>"LA CONCEPCION                                                                                                                               "</f>
        <v xml:space="preserve">LA CONCEPCION                                                                                                                               </v>
      </c>
      <c r="G888" s="26" t="str">
        <f>"LA MAGDALENA CONTRERAS                                                          "</f>
        <v xml:space="preserve">LA MAGDALENA CONTRERAS                                                          </v>
      </c>
      <c r="H888" s="26" t="str">
        <f>"337"</f>
        <v>337</v>
      </c>
      <c r="I888" s="26" t="str">
        <f t="shared" si="140"/>
        <v>00</v>
      </c>
      <c r="J888" s="26" t="str">
        <f>"43 "</f>
        <v xml:space="preserve">43 </v>
      </c>
      <c r="K888" s="26" t="str">
        <f t="shared" si="142"/>
        <v>PR</v>
      </c>
      <c r="L888" s="26" t="str">
        <f t="shared" si="143"/>
        <v>DGOSE</v>
      </c>
      <c r="M888" s="26" t="str">
        <f t="shared" si="141"/>
        <v>FEDERAL</v>
      </c>
      <c r="N888" s="26">
        <v>569</v>
      </c>
      <c r="O888" s="26">
        <v>260</v>
      </c>
      <c r="P888" s="26">
        <v>309</v>
      </c>
      <c r="Q888" s="26">
        <v>18</v>
      </c>
      <c r="R888" s="26">
        <v>1</v>
      </c>
      <c r="S888" s="26">
        <v>18</v>
      </c>
      <c r="T888" s="26">
        <v>8</v>
      </c>
      <c r="U888" s="26">
        <v>27</v>
      </c>
      <c r="V888" s="26">
        <v>1</v>
      </c>
      <c r="W888" s="26"/>
    </row>
    <row r="889" spans="1:23" x14ac:dyDescent="0.25">
      <c r="A889" s="26" t="str">
        <f t="shared" si="139"/>
        <v>PRIMARIA</v>
      </c>
      <c r="B889" s="26" t="str">
        <f>"09DPR1929R"</f>
        <v>09DPR1929R</v>
      </c>
      <c r="C889" s="26" t="str">
        <f>"LIDICE                                                                                              "</f>
        <v xml:space="preserve">LIDICE                                                                                              </v>
      </c>
      <c r="D889" s="26" t="str">
        <f>"JORNADA AMPLIADA"</f>
        <v>JORNADA AMPLIADA</v>
      </c>
      <c r="E889" s="26" t="str">
        <f>"MORELOS 36                                                                      "</f>
        <v xml:space="preserve">MORELOS 36                                                                      </v>
      </c>
      <c r="F889" s="26" t="str">
        <f>"SAN JERONIMO LIDICE                                                                                                                         "</f>
        <v xml:space="preserve">SAN JERONIMO LIDICE                                                                                                                         </v>
      </c>
      <c r="G889" s="26" t="str">
        <f>"LA MAGDALENA CONTRERAS                                                          "</f>
        <v xml:space="preserve">LA MAGDALENA CONTRERAS                                                          </v>
      </c>
      <c r="H889" s="26" t="str">
        <f>"407"</f>
        <v>407</v>
      </c>
      <c r="I889" s="26" t="str">
        <f t="shared" si="140"/>
        <v>00</v>
      </c>
      <c r="J889" s="26" t="str">
        <f>"44 "</f>
        <v xml:space="preserve">44 </v>
      </c>
      <c r="K889" s="26" t="str">
        <f t="shared" si="142"/>
        <v>PR</v>
      </c>
      <c r="L889" s="26" t="str">
        <f t="shared" si="143"/>
        <v>DGOSE</v>
      </c>
      <c r="M889" s="26" t="str">
        <f t="shared" si="141"/>
        <v>FEDERAL</v>
      </c>
      <c r="N889" s="26">
        <v>575</v>
      </c>
      <c r="O889" s="26">
        <v>308</v>
      </c>
      <c r="P889" s="26">
        <v>267</v>
      </c>
      <c r="Q889" s="26">
        <v>18</v>
      </c>
      <c r="R889" s="26">
        <v>1</v>
      </c>
      <c r="S889" s="26">
        <v>18</v>
      </c>
      <c r="T889" s="26">
        <v>10</v>
      </c>
      <c r="U889" s="26">
        <v>29</v>
      </c>
      <c r="V889" s="26">
        <v>1</v>
      </c>
      <c r="W889" s="26" t="s">
        <v>2076</v>
      </c>
    </row>
    <row r="890" spans="1:23" x14ac:dyDescent="0.25">
      <c r="A890" s="26" t="str">
        <f t="shared" si="139"/>
        <v>PRIMARIA</v>
      </c>
      <c r="B890" s="26" t="str">
        <f>"09DPR1930G"</f>
        <v>09DPR1930G</v>
      </c>
      <c r="C890" s="26" t="str">
        <f>"JUVENTINO ROSAS                                                                                     "</f>
        <v xml:space="preserve">JUVENTINO ROSAS                                                                                     </v>
      </c>
      <c r="D890" s="26" t="str">
        <f>"VESPERTINO"</f>
        <v>VESPERTINO</v>
      </c>
      <c r="E890" s="26" t="str">
        <f>"AV ALVARO OBREGON 74                                                            "</f>
        <v xml:space="preserve">AV ALVARO OBREGON 74                                                            </v>
      </c>
      <c r="F890" s="26" t="str">
        <f>"LA GUADALUPE                                                                                                                                "</f>
        <v xml:space="preserve">LA GUADALUPE                                                                                                                                </v>
      </c>
      <c r="G890" s="26" t="str">
        <f>"LA MAGDALENA CONTRERAS                                                          "</f>
        <v xml:space="preserve">LA MAGDALENA CONTRERAS                                                          </v>
      </c>
      <c r="H890" s="26" t="str">
        <f>"337"</f>
        <v>337</v>
      </c>
      <c r="I890" s="26" t="str">
        <f t="shared" si="140"/>
        <v>00</v>
      </c>
      <c r="J890" s="26" t="str">
        <f>"43 "</f>
        <v xml:space="preserve">43 </v>
      </c>
      <c r="K890" s="26" t="str">
        <f t="shared" si="142"/>
        <v>PR</v>
      </c>
      <c r="L890" s="26" t="str">
        <f t="shared" si="143"/>
        <v>DGOSE</v>
      </c>
      <c r="M890" s="26" t="str">
        <f t="shared" si="141"/>
        <v>FEDERAL</v>
      </c>
      <c r="N890" s="26">
        <v>154</v>
      </c>
      <c r="O890" s="26">
        <v>82</v>
      </c>
      <c r="P890" s="26">
        <v>72</v>
      </c>
      <c r="Q890" s="26">
        <v>7</v>
      </c>
      <c r="R890" s="26">
        <v>1</v>
      </c>
      <c r="S890" s="26">
        <v>7</v>
      </c>
      <c r="T890" s="26">
        <v>5</v>
      </c>
      <c r="U890" s="26">
        <v>13</v>
      </c>
      <c r="V890" s="26">
        <v>1</v>
      </c>
      <c r="W890" s="26"/>
    </row>
    <row r="891" spans="1:23" x14ac:dyDescent="0.25">
      <c r="A891" s="26" t="str">
        <f t="shared" si="139"/>
        <v>PRIMARIA</v>
      </c>
      <c r="B891" s="26" t="str">
        <f>"09DPR1931F"</f>
        <v>09DPR1931F</v>
      </c>
      <c r="C891" s="26" t="str">
        <f>"GRAL. JUAN N. ALVAREZ                                                                               "</f>
        <v xml:space="preserve">GRAL. JUAN N. ALVAREZ                                                                               </v>
      </c>
      <c r="D891" s="26" t="str">
        <f>"JORNADA AMPLIADA"</f>
        <v>JORNADA AMPLIADA</v>
      </c>
      <c r="E891" s="26" t="str">
        <f>"SAN JERONIMO S N                                                                "</f>
        <v xml:space="preserve">SAN JERONIMO S N                                                                </v>
      </c>
      <c r="F891" s="26" t="str">
        <f>"TIZAPAN                                                                                                                                     "</f>
        <v xml:space="preserve">TIZAPAN                                                                                                                                     </v>
      </c>
      <c r="G891" s="26" t="str">
        <f>"ALVARO OBREGON                                                                  "</f>
        <v xml:space="preserve">ALVARO OBREGON                                                                  </v>
      </c>
      <c r="H891" s="26" t="str">
        <f>"406"</f>
        <v>406</v>
      </c>
      <c r="I891" s="26" t="str">
        <f t="shared" si="140"/>
        <v>00</v>
      </c>
      <c r="J891" s="26" t="str">
        <f>"44 "</f>
        <v xml:space="preserve">44 </v>
      </c>
      <c r="K891" s="26" t="str">
        <f t="shared" si="142"/>
        <v>PR</v>
      </c>
      <c r="L891" s="26" t="str">
        <f t="shared" si="143"/>
        <v>DGOSE</v>
      </c>
      <c r="M891" s="26" t="str">
        <f t="shared" si="141"/>
        <v>FEDERAL</v>
      </c>
      <c r="N891" s="26">
        <v>322</v>
      </c>
      <c r="O891" s="26">
        <v>153</v>
      </c>
      <c r="P891" s="26">
        <v>169</v>
      </c>
      <c r="Q891" s="26">
        <v>12</v>
      </c>
      <c r="R891" s="26">
        <v>1</v>
      </c>
      <c r="S891" s="26">
        <v>12</v>
      </c>
      <c r="T891" s="26">
        <v>8</v>
      </c>
      <c r="U891" s="26">
        <v>21</v>
      </c>
      <c r="V891" s="26">
        <v>1</v>
      </c>
      <c r="W891" s="26" t="s">
        <v>2076</v>
      </c>
    </row>
    <row r="892" spans="1:23" x14ac:dyDescent="0.25">
      <c r="A892" s="26" t="str">
        <f t="shared" si="139"/>
        <v>PRIMARIA</v>
      </c>
      <c r="B892" s="26" t="str">
        <f>"09DPR1932E"</f>
        <v>09DPR1932E</v>
      </c>
      <c r="C892" s="26" t="str">
        <f>"JUVENTINO ROSAS                                                                                     "</f>
        <v xml:space="preserve">JUVENTINO ROSAS                                                                                     </v>
      </c>
      <c r="D892" s="26" t="str">
        <f>"MATUTINO"</f>
        <v>MATUTINO</v>
      </c>
      <c r="E892" s="26" t="str">
        <f>"AV ALVARO OBREGON 74                                                            "</f>
        <v xml:space="preserve">AV ALVARO OBREGON 74                                                            </v>
      </c>
      <c r="F892" s="26" t="str">
        <f>"LA GUADALUPE                                                                                                                                "</f>
        <v xml:space="preserve">LA GUADALUPE                                                                                                                                </v>
      </c>
      <c r="G892" s="26" t="str">
        <f>"LA MAGDALENA CONTRERAS                                                          "</f>
        <v xml:space="preserve">LA MAGDALENA CONTRERAS                                                          </v>
      </c>
      <c r="H892" s="26" t="str">
        <f>"337"</f>
        <v>337</v>
      </c>
      <c r="I892" s="26" t="str">
        <f t="shared" si="140"/>
        <v>00</v>
      </c>
      <c r="J892" s="26" t="str">
        <f>"43 "</f>
        <v xml:space="preserve">43 </v>
      </c>
      <c r="K892" s="26" t="str">
        <f t="shared" si="142"/>
        <v>PR</v>
      </c>
      <c r="L892" s="26" t="str">
        <f t="shared" si="143"/>
        <v>DGOSE</v>
      </c>
      <c r="M892" s="26" t="str">
        <f t="shared" si="141"/>
        <v>FEDERAL</v>
      </c>
      <c r="N892" s="26">
        <v>532</v>
      </c>
      <c r="O892" s="26">
        <v>251</v>
      </c>
      <c r="P892" s="26">
        <v>281</v>
      </c>
      <c r="Q892" s="26">
        <v>16</v>
      </c>
      <c r="R892" s="26">
        <v>1</v>
      </c>
      <c r="S892" s="26">
        <v>16</v>
      </c>
      <c r="T892" s="26">
        <v>9</v>
      </c>
      <c r="U892" s="26">
        <v>26</v>
      </c>
      <c r="V892" s="26">
        <v>1</v>
      </c>
      <c r="W892" s="26"/>
    </row>
    <row r="893" spans="1:23" x14ac:dyDescent="0.25">
      <c r="A893" s="26" t="str">
        <f t="shared" si="139"/>
        <v>PRIMARIA</v>
      </c>
      <c r="B893" s="26" t="str">
        <f>"09DPR1934C"</f>
        <v>09DPR1934C</v>
      </c>
      <c r="C893" s="26" t="str">
        <f>"GRAL. JUAN N. ALVAREZ                                                                               "</f>
        <v xml:space="preserve">GRAL. JUAN N. ALVAREZ                                                                               </v>
      </c>
      <c r="D893" s="26" t="str">
        <f>"JORNADA AMPLIADA"</f>
        <v>JORNADA AMPLIADA</v>
      </c>
      <c r="E893" s="26" t="str">
        <f>"FRATERNIDAD NUM 5                                                               "</f>
        <v xml:space="preserve">FRATERNIDAD NUM 5                                                               </v>
      </c>
      <c r="F893" s="26" t="str">
        <f>"TIZAPAN                                                                                                                                     "</f>
        <v xml:space="preserve">TIZAPAN                                                                                                                                     </v>
      </c>
      <c r="G893" s="26" t="str">
        <f>"ALVARO OBREGON                                                                  "</f>
        <v xml:space="preserve">ALVARO OBREGON                                                                  </v>
      </c>
      <c r="H893" s="26" t="str">
        <f>"406"</f>
        <v>406</v>
      </c>
      <c r="I893" s="26" t="str">
        <f t="shared" si="140"/>
        <v>00</v>
      </c>
      <c r="J893" s="26" t="str">
        <f>"44 "</f>
        <v xml:space="preserve">44 </v>
      </c>
      <c r="K893" s="26" t="str">
        <f t="shared" si="142"/>
        <v>PR</v>
      </c>
      <c r="L893" s="26" t="str">
        <f t="shared" si="143"/>
        <v>DGOSE</v>
      </c>
      <c r="M893" s="26" t="str">
        <f t="shared" si="141"/>
        <v>FEDERAL</v>
      </c>
      <c r="N893" s="26">
        <v>295</v>
      </c>
      <c r="O893" s="26">
        <v>156</v>
      </c>
      <c r="P893" s="26">
        <v>139</v>
      </c>
      <c r="Q893" s="26">
        <v>11</v>
      </c>
      <c r="R893" s="26">
        <v>1</v>
      </c>
      <c r="S893" s="26">
        <v>11</v>
      </c>
      <c r="T893" s="26">
        <v>10</v>
      </c>
      <c r="U893" s="26">
        <v>22</v>
      </c>
      <c r="V893" s="26">
        <v>1</v>
      </c>
      <c r="W893" s="26" t="s">
        <v>2076</v>
      </c>
    </row>
    <row r="894" spans="1:23" x14ac:dyDescent="0.25">
      <c r="A894" s="26" t="str">
        <f t="shared" si="139"/>
        <v>PRIMARIA</v>
      </c>
      <c r="B894" s="26" t="str">
        <f>"09DPR1935B"</f>
        <v>09DPR1935B</v>
      </c>
      <c r="C894" s="26" t="str">
        <f>"JOSEFA ORTIZ DE DOMINGUEZ                                                                           "</f>
        <v xml:space="preserve">JOSEFA ORTIZ DE DOMINGUEZ                                                                           </v>
      </c>
      <c r="D894" s="26" t="str">
        <f>"JORNADA AMPLIADA"</f>
        <v>JORNADA AMPLIADA</v>
      </c>
      <c r="E894" s="26" t="str">
        <f>"TARASQUILLO NUM. 30                                                             "</f>
        <v xml:space="preserve">TARASQUILLO NUM. 30                                                             </v>
      </c>
      <c r="F894" s="26" t="str">
        <f>"PUENTE SIERRA                                                                                                                               "</f>
        <v xml:space="preserve">PUENTE SIERRA                                                                                                                               </v>
      </c>
      <c r="G894" s="26" t="str">
        <f>"LA MAGDALENA CONTRERAS                                                          "</f>
        <v xml:space="preserve">LA MAGDALENA CONTRERAS                                                          </v>
      </c>
      <c r="H894" s="26" t="str">
        <f>"407"</f>
        <v>407</v>
      </c>
      <c r="I894" s="26" t="str">
        <f t="shared" si="140"/>
        <v>00</v>
      </c>
      <c r="J894" s="26" t="str">
        <f>"44 "</f>
        <v xml:space="preserve">44 </v>
      </c>
      <c r="K894" s="26" t="str">
        <f t="shared" si="142"/>
        <v>PR</v>
      </c>
      <c r="L894" s="26" t="str">
        <f t="shared" si="143"/>
        <v>DGOSE</v>
      </c>
      <c r="M894" s="26" t="str">
        <f t="shared" si="141"/>
        <v>FEDERAL</v>
      </c>
      <c r="N894" s="26">
        <v>470</v>
      </c>
      <c r="O894" s="26">
        <v>252</v>
      </c>
      <c r="P894" s="26">
        <v>218</v>
      </c>
      <c r="Q894" s="26">
        <v>15</v>
      </c>
      <c r="R894" s="26">
        <v>2</v>
      </c>
      <c r="S894" s="26">
        <v>14</v>
      </c>
      <c r="T894" s="26">
        <v>12</v>
      </c>
      <c r="U894" s="26">
        <v>28</v>
      </c>
      <c r="V894" s="26">
        <v>1</v>
      </c>
      <c r="W894" s="26" t="s">
        <v>2076</v>
      </c>
    </row>
    <row r="895" spans="1:23" x14ac:dyDescent="0.25">
      <c r="A895" s="26" t="str">
        <f t="shared" si="139"/>
        <v>PRIMARIA</v>
      </c>
      <c r="B895" s="26" t="str">
        <f>"09DPR1936A"</f>
        <v>09DPR1936A</v>
      </c>
      <c r="C895" s="26" t="str">
        <f>"JUAN ESCUTIA                                                                                        "</f>
        <v xml:space="preserve">JUAN ESCUTIA                                                                                        </v>
      </c>
      <c r="D895" s="26" t="str">
        <f>"TIEMPO COMPLETO"</f>
        <v>TIEMPO COMPLETO</v>
      </c>
      <c r="E895" s="26" t="str">
        <f>"EL BALCON S/N                                                                   "</f>
        <v xml:space="preserve">EL BALCON S/N                                                                   </v>
      </c>
      <c r="F895" s="26" t="str">
        <f>"TETELPAN                                                                                                                                    "</f>
        <v xml:space="preserve">TETELPAN                                                                                                                                    </v>
      </c>
      <c r="G895" s="26" t="str">
        <f>"ALVARO OBREGON                                                                  "</f>
        <v xml:space="preserve">ALVARO OBREGON                                                                  </v>
      </c>
      <c r="H895" s="26" t="str">
        <f>"406"</f>
        <v>406</v>
      </c>
      <c r="I895" s="26" t="str">
        <f t="shared" si="140"/>
        <v>00</v>
      </c>
      <c r="J895" s="26" t="str">
        <f>"44 "</f>
        <v xml:space="preserve">44 </v>
      </c>
      <c r="K895" s="26" t="str">
        <f t="shared" si="142"/>
        <v>PR</v>
      </c>
      <c r="L895" s="26" t="str">
        <f t="shared" si="143"/>
        <v>DGOSE</v>
      </c>
      <c r="M895" s="26" t="str">
        <f t="shared" si="141"/>
        <v>FEDERAL</v>
      </c>
      <c r="N895" s="26">
        <v>566</v>
      </c>
      <c r="O895" s="26">
        <v>283</v>
      </c>
      <c r="P895" s="26">
        <v>283</v>
      </c>
      <c r="Q895" s="26">
        <v>18</v>
      </c>
      <c r="R895" s="26">
        <v>1</v>
      </c>
      <c r="S895" s="26">
        <v>18</v>
      </c>
      <c r="T895" s="26">
        <v>14</v>
      </c>
      <c r="U895" s="26">
        <v>33</v>
      </c>
      <c r="V895" s="26">
        <v>1</v>
      </c>
      <c r="W895" s="26" t="s">
        <v>218</v>
      </c>
    </row>
    <row r="896" spans="1:23" x14ac:dyDescent="0.25">
      <c r="A896" s="26" t="str">
        <f t="shared" si="139"/>
        <v>PRIMARIA</v>
      </c>
      <c r="B896" s="26" t="str">
        <f>"09DPR1937Z"</f>
        <v>09DPR1937Z</v>
      </c>
      <c r="C896" s="26" t="str">
        <f>"JOHN F. KENNEDY                                                                                     "</f>
        <v xml:space="preserve">JOHN F. KENNEDY                                                                                     </v>
      </c>
      <c r="D896" s="26" t="str">
        <f>"MATUTINO"</f>
        <v>MATUTINO</v>
      </c>
      <c r="E896" s="26" t="str">
        <f>"CAÑADA 370                                                                      "</f>
        <v xml:space="preserve">CAÑADA 370                                                                      </v>
      </c>
      <c r="F896" s="26" t="str">
        <f>"JARDINES DEL PEDREGAL                                                                                                                       "</f>
        <v xml:space="preserve">JARDINES DEL PEDREGAL                                                                                                                       </v>
      </c>
      <c r="G896" s="26" t="str">
        <f>"ALVARO OBREGON                                                                  "</f>
        <v xml:space="preserve">ALVARO OBREGON                                                                  </v>
      </c>
      <c r="H896" s="26" t="str">
        <f>"327"</f>
        <v>327</v>
      </c>
      <c r="I896" s="26" t="str">
        <f t="shared" si="140"/>
        <v>00</v>
      </c>
      <c r="J896" s="26" t="str">
        <f>"43 "</f>
        <v xml:space="preserve">43 </v>
      </c>
      <c r="K896" s="26" t="str">
        <f t="shared" si="142"/>
        <v>PR</v>
      </c>
      <c r="L896" s="26" t="str">
        <f t="shared" si="143"/>
        <v>DGOSE</v>
      </c>
      <c r="M896" s="26" t="str">
        <f t="shared" si="141"/>
        <v>FEDERAL</v>
      </c>
      <c r="N896" s="26">
        <v>352</v>
      </c>
      <c r="O896" s="26">
        <v>182</v>
      </c>
      <c r="P896" s="26">
        <v>170</v>
      </c>
      <c r="Q896" s="26">
        <v>13</v>
      </c>
      <c r="R896" s="26">
        <v>1</v>
      </c>
      <c r="S896" s="26">
        <v>13</v>
      </c>
      <c r="T896" s="26">
        <v>6</v>
      </c>
      <c r="U896" s="26">
        <v>20</v>
      </c>
      <c r="V896" s="26">
        <v>1</v>
      </c>
      <c r="W896" s="26"/>
    </row>
    <row r="897" spans="1:23" x14ac:dyDescent="0.25">
      <c r="A897" s="26" t="str">
        <f t="shared" si="139"/>
        <v>PRIMARIA</v>
      </c>
      <c r="B897" s="26" t="str">
        <f>"09DPR1939Y"</f>
        <v>09DPR1939Y</v>
      </c>
      <c r="C897" s="26" t="str">
        <f>"ANDRES QUINTANA ROO                                                                                 "</f>
        <v xml:space="preserve">ANDRES QUINTANA ROO                                                                                 </v>
      </c>
      <c r="D897" s="26" t="str">
        <f>"JORNADA AMPLIADA"</f>
        <v>JORNADA AMPLIADA</v>
      </c>
      <c r="E897" s="26" t="str">
        <f>"AV. CENTRAL NUM 78                                                              "</f>
        <v xml:space="preserve">AV. CENTRAL NUM 78                                                              </v>
      </c>
      <c r="F897" s="26" t="str">
        <f>"ATLANTIDA                                                                                                                                   "</f>
        <v xml:space="preserve">ATLANTIDA                                                                                                                                   </v>
      </c>
      <c r="G897" s="26" t="str">
        <f t="shared" ref="G897:G911" si="144">"COYOACAN                                                                        "</f>
        <v xml:space="preserve">COYOACAN                                                                        </v>
      </c>
      <c r="H897" s="26" t="str">
        <f>"434"</f>
        <v>434</v>
      </c>
      <c r="I897" s="26" t="str">
        <f t="shared" si="140"/>
        <v>00</v>
      </c>
      <c r="J897" s="26" t="str">
        <f>"44 "</f>
        <v xml:space="preserve">44 </v>
      </c>
      <c r="K897" s="26" t="str">
        <f t="shared" si="142"/>
        <v>PR</v>
      </c>
      <c r="L897" s="26" t="str">
        <f t="shared" si="143"/>
        <v>DGOSE</v>
      </c>
      <c r="M897" s="26" t="str">
        <f t="shared" si="141"/>
        <v>FEDERAL</v>
      </c>
      <c r="N897" s="26">
        <v>309</v>
      </c>
      <c r="O897" s="26">
        <v>147</v>
      </c>
      <c r="P897" s="26">
        <v>162</v>
      </c>
      <c r="Q897" s="26">
        <v>10</v>
      </c>
      <c r="R897" s="26">
        <v>1</v>
      </c>
      <c r="S897" s="26">
        <v>10</v>
      </c>
      <c r="T897" s="26">
        <v>8</v>
      </c>
      <c r="U897" s="26">
        <v>19</v>
      </c>
      <c r="V897" s="26">
        <v>1</v>
      </c>
      <c r="W897" s="26" t="s">
        <v>2076</v>
      </c>
    </row>
    <row r="898" spans="1:23" x14ac:dyDescent="0.25">
      <c r="A898" s="26" t="str">
        <f t="shared" ref="A898:A961" si="145">"PRIMARIA"</f>
        <v>PRIMARIA</v>
      </c>
      <c r="B898" s="26" t="str">
        <f>"09DPR1941M"</f>
        <v>09DPR1941M</v>
      </c>
      <c r="C898" s="26" t="str">
        <f>"21 DE AGOSTO DE 1944                                                                                "</f>
        <v xml:space="preserve">21 DE AGOSTO DE 1944                                                                                </v>
      </c>
      <c r="D898" s="26" t="str">
        <f>"JORNADA AMPLIADA"</f>
        <v>JORNADA AMPLIADA</v>
      </c>
      <c r="E898" s="26" t="str">
        <f>"AV VICTORIA 17                                                                  "</f>
        <v xml:space="preserve">AV VICTORIA 17                                                                  </v>
      </c>
      <c r="F898" s="26" t="str">
        <f>"COPILCO EL BAJO                                                                                                                             "</f>
        <v xml:space="preserve">COPILCO EL BAJO                                                                                                                             </v>
      </c>
      <c r="G898" s="26" t="str">
        <f t="shared" si="144"/>
        <v xml:space="preserve">COYOACAN                                                                        </v>
      </c>
      <c r="H898" s="26" t="str">
        <f>"434"</f>
        <v>434</v>
      </c>
      <c r="I898" s="26" t="str">
        <f t="shared" ref="I898:I961" si="146">"00"</f>
        <v>00</v>
      </c>
      <c r="J898" s="26" t="str">
        <f>"44 "</f>
        <v xml:space="preserve">44 </v>
      </c>
      <c r="K898" s="26" t="str">
        <f t="shared" si="142"/>
        <v>PR</v>
      </c>
      <c r="L898" s="26" t="str">
        <f t="shared" si="143"/>
        <v>DGOSE</v>
      </c>
      <c r="M898" s="26" t="str">
        <f t="shared" ref="M898:M961" si="147">"FEDERAL"</f>
        <v>FEDERAL</v>
      </c>
      <c r="N898" s="26">
        <v>196</v>
      </c>
      <c r="O898" s="26">
        <v>106</v>
      </c>
      <c r="P898" s="26">
        <v>90</v>
      </c>
      <c r="Q898" s="26">
        <v>6</v>
      </c>
      <c r="R898" s="26">
        <v>1</v>
      </c>
      <c r="S898" s="26">
        <v>6</v>
      </c>
      <c r="T898" s="26">
        <v>6</v>
      </c>
      <c r="U898" s="26">
        <v>13</v>
      </c>
      <c r="V898" s="26">
        <v>1</v>
      </c>
      <c r="W898" s="26" t="s">
        <v>2076</v>
      </c>
    </row>
    <row r="899" spans="1:23" x14ac:dyDescent="0.25">
      <c r="A899" s="26" t="str">
        <f t="shared" si="145"/>
        <v>PRIMARIA</v>
      </c>
      <c r="B899" s="26" t="str">
        <f>"09DPR1944J"</f>
        <v>09DPR1944J</v>
      </c>
      <c r="C899" s="26" t="str">
        <f>"REPUBLICA DE SUAZILANDIA                                                                            "</f>
        <v xml:space="preserve">REPUBLICA DE SUAZILANDIA                                                                            </v>
      </c>
      <c r="D899" s="26" t="str">
        <f>"MATUTINO"</f>
        <v>MATUTINO</v>
      </c>
      <c r="E899" s="26" t="str">
        <f>"CORAS S/N ESQ MOCTECUZOMA                                                       "</f>
        <v xml:space="preserve">CORAS S/N ESQ MOCTECUZOMA                                                       </v>
      </c>
      <c r="F899" s="26" t="str">
        <f>"AJUSCO                                                                                                                                      "</f>
        <v xml:space="preserve">AJUSCO                                                                                                                                      </v>
      </c>
      <c r="G899" s="26" t="str">
        <f t="shared" si="144"/>
        <v xml:space="preserve">COYOACAN                                                                        </v>
      </c>
      <c r="H899" s="26" t="str">
        <f>"505"</f>
        <v>505</v>
      </c>
      <c r="I899" s="26" t="str">
        <f t="shared" si="146"/>
        <v>00</v>
      </c>
      <c r="J899" s="26" t="str">
        <f>"45 "</f>
        <v xml:space="preserve">45 </v>
      </c>
      <c r="K899" s="26" t="str">
        <f t="shared" si="142"/>
        <v>PR</v>
      </c>
      <c r="L899" s="26" t="str">
        <f t="shared" si="143"/>
        <v>DGOSE</v>
      </c>
      <c r="M899" s="26" t="str">
        <f t="shared" si="147"/>
        <v>FEDERAL</v>
      </c>
      <c r="N899" s="26">
        <v>412</v>
      </c>
      <c r="O899" s="26">
        <v>213</v>
      </c>
      <c r="P899" s="26">
        <v>199</v>
      </c>
      <c r="Q899" s="26">
        <v>18</v>
      </c>
      <c r="R899" s="26">
        <v>1</v>
      </c>
      <c r="S899" s="26">
        <v>17</v>
      </c>
      <c r="T899" s="26">
        <v>12</v>
      </c>
      <c r="U899" s="26">
        <v>30</v>
      </c>
      <c r="V899" s="26">
        <v>1</v>
      </c>
      <c r="W899" s="26"/>
    </row>
    <row r="900" spans="1:23" x14ac:dyDescent="0.25">
      <c r="A900" s="26" t="str">
        <f t="shared" si="145"/>
        <v>PRIMARIA</v>
      </c>
      <c r="B900" s="26" t="str">
        <f>"09DPR1945I"</f>
        <v>09DPR1945I</v>
      </c>
      <c r="C900" s="26" t="str">
        <f>"IDEARIO DE JUAREZ                                                                                   "</f>
        <v xml:space="preserve">IDEARIO DE JUAREZ                                                                                   </v>
      </c>
      <c r="D900" s="26" t="str">
        <f>"JORNADA AMPLIADA"</f>
        <v>JORNADA AMPLIADA</v>
      </c>
      <c r="E900" s="26" t="str">
        <f>"IZQUITECATL ESQ IXTLIXOCHITL S/N                                                "</f>
        <v xml:space="preserve">IZQUITECATL ESQ IXTLIXOCHITL S/N                                                </v>
      </c>
      <c r="F900" s="26" t="str">
        <f>"ADOLFO RUIZ CORTINES                                                                                                                        "</f>
        <v xml:space="preserve">ADOLFO RUIZ CORTINES                                                                                                                        </v>
      </c>
      <c r="G900" s="26" t="str">
        <f t="shared" si="144"/>
        <v xml:space="preserve">COYOACAN                                                                        </v>
      </c>
      <c r="H900" s="26" t="str">
        <f>"437"</f>
        <v>437</v>
      </c>
      <c r="I900" s="26" t="str">
        <f t="shared" si="146"/>
        <v>00</v>
      </c>
      <c r="J900" s="26" t="str">
        <f t="shared" ref="J900:J909" si="148">"44 "</f>
        <v xml:space="preserve">44 </v>
      </c>
      <c r="K900" s="26" t="str">
        <f t="shared" si="142"/>
        <v>PR</v>
      </c>
      <c r="L900" s="26" t="str">
        <f t="shared" si="143"/>
        <v>DGOSE</v>
      </c>
      <c r="M900" s="26" t="str">
        <f t="shared" si="147"/>
        <v>FEDERAL</v>
      </c>
      <c r="N900" s="26">
        <v>338</v>
      </c>
      <c r="O900" s="26">
        <v>179</v>
      </c>
      <c r="P900" s="26">
        <v>159</v>
      </c>
      <c r="Q900" s="26">
        <v>11</v>
      </c>
      <c r="R900" s="26">
        <v>1</v>
      </c>
      <c r="S900" s="26">
        <v>11</v>
      </c>
      <c r="T900" s="26">
        <v>10</v>
      </c>
      <c r="U900" s="26">
        <v>22</v>
      </c>
      <c r="V900" s="26">
        <v>1</v>
      </c>
      <c r="W900" s="26" t="s">
        <v>2076</v>
      </c>
    </row>
    <row r="901" spans="1:23" x14ac:dyDescent="0.25">
      <c r="A901" s="26" t="str">
        <f t="shared" si="145"/>
        <v>PRIMARIA</v>
      </c>
      <c r="B901" s="26" t="str">
        <f>"09DPR1947G"</f>
        <v>09DPR1947G</v>
      </c>
      <c r="C901" s="26" t="str">
        <f>"PROFR. CANDIDO JARAMILLO GONZALEZ                                                                   "</f>
        <v xml:space="preserve">PROFR. CANDIDO JARAMILLO GONZALEZ                                                                   </v>
      </c>
      <c r="D901" s="26" t="str">
        <f>"JORNADA AMPLIADA"</f>
        <v>JORNADA AMPLIADA</v>
      </c>
      <c r="E901" s="26" t="str">
        <f>"CALZADA TAXQUEÑA NO 1811                                                        "</f>
        <v xml:space="preserve">CALZADA TAXQUEÑA NO 1811                                                        </v>
      </c>
      <c r="F901" s="26" t="str">
        <f>"SAN FRANCISCO CULHUACAN                                                                                                                     "</f>
        <v xml:space="preserve">SAN FRANCISCO CULHUACAN                                                                                                                     </v>
      </c>
      <c r="G901" s="26" t="str">
        <f t="shared" si="144"/>
        <v xml:space="preserve">COYOACAN                                                                        </v>
      </c>
      <c r="H901" s="26" t="str">
        <f>"439"</f>
        <v>439</v>
      </c>
      <c r="I901" s="26" t="str">
        <f t="shared" si="146"/>
        <v>00</v>
      </c>
      <c r="J901" s="26" t="str">
        <f t="shared" si="148"/>
        <v xml:space="preserve">44 </v>
      </c>
      <c r="K901" s="26" t="str">
        <f t="shared" si="142"/>
        <v>PR</v>
      </c>
      <c r="L901" s="26" t="str">
        <f t="shared" si="143"/>
        <v>DGOSE</v>
      </c>
      <c r="M901" s="26" t="str">
        <f t="shared" si="147"/>
        <v>FEDERAL</v>
      </c>
      <c r="N901" s="26">
        <v>341</v>
      </c>
      <c r="O901" s="26">
        <v>166</v>
      </c>
      <c r="P901" s="26">
        <v>175</v>
      </c>
      <c r="Q901" s="26">
        <v>12</v>
      </c>
      <c r="R901" s="26">
        <v>1</v>
      </c>
      <c r="S901" s="26">
        <v>12</v>
      </c>
      <c r="T901" s="26">
        <v>12</v>
      </c>
      <c r="U901" s="26">
        <v>25</v>
      </c>
      <c r="V901" s="26">
        <v>1</v>
      </c>
      <c r="W901" s="26" t="s">
        <v>2076</v>
      </c>
    </row>
    <row r="902" spans="1:23" x14ac:dyDescent="0.25">
      <c r="A902" s="26" t="str">
        <f t="shared" si="145"/>
        <v>PRIMARIA</v>
      </c>
      <c r="B902" s="26" t="str">
        <f>"09DPR1948F"</f>
        <v>09DPR1948F</v>
      </c>
      <c r="C902" s="26" t="str">
        <f>"SAUL M. CARASSO                                                                                     "</f>
        <v xml:space="preserve">SAUL M. CARASSO                                                                                     </v>
      </c>
      <c r="D902" s="26" t="str">
        <f>"JORNADA AMPLIADA"</f>
        <v>JORNADA AMPLIADA</v>
      </c>
      <c r="E902" s="26" t="str">
        <f>"DAKOTA NO 39                                                                    "</f>
        <v xml:space="preserve">DAKOTA NO 39                                                                    </v>
      </c>
      <c r="F902" s="26" t="str">
        <f>"PARQUE SAN ANDRES                                                                                                                           "</f>
        <v xml:space="preserve">PARQUE SAN ANDRES                                                                                                                           </v>
      </c>
      <c r="G902" s="26" t="str">
        <f t="shared" si="144"/>
        <v xml:space="preserve">COYOACAN                                                                        </v>
      </c>
      <c r="H902" s="26" t="str">
        <f>"436"</f>
        <v>436</v>
      </c>
      <c r="I902" s="26" t="str">
        <f t="shared" si="146"/>
        <v>00</v>
      </c>
      <c r="J902" s="26" t="str">
        <f t="shared" si="148"/>
        <v xml:space="preserve">44 </v>
      </c>
      <c r="K902" s="26" t="str">
        <f t="shared" si="142"/>
        <v>PR</v>
      </c>
      <c r="L902" s="26" t="str">
        <f t="shared" si="143"/>
        <v>DGOSE</v>
      </c>
      <c r="M902" s="26" t="str">
        <f t="shared" si="147"/>
        <v>FEDERAL</v>
      </c>
      <c r="N902" s="26">
        <v>198</v>
      </c>
      <c r="O902" s="26">
        <v>100</v>
      </c>
      <c r="P902" s="26">
        <v>98</v>
      </c>
      <c r="Q902" s="26">
        <v>6</v>
      </c>
      <c r="R902" s="26">
        <v>1</v>
      </c>
      <c r="S902" s="26">
        <v>6</v>
      </c>
      <c r="T902" s="26">
        <v>6</v>
      </c>
      <c r="U902" s="26">
        <v>13</v>
      </c>
      <c r="V902" s="26">
        <v>1</v>
      </c>
      <c r="W902" s="26" t="s">
        <v>2076</v>
      </c>
    </row>
    <row r="903" spans="1:23" x14ac:dyDescent="0.25">
      <c r="A903" s="26" t="str">
        <f t="shared" si="145"/>
        <v>PRIMARIA</v>
      </c>
      <c r="B903" s="26" t="str">
        <f>"09DPR1949E"</f>
        <v>09DPR1949E</v>
      </c>
      <c r="C903" s="26" t="str">
        <f>"REPUBLICA DE NICARAGUA                                                                              "</f>
        <v xml:space="preserve">REPUBLICA DE NICARAGUA                                                                              </v>
      </c>
      <c r="D903" s="26" t="str">
        <f>"JORNADA AMPLIADA"</f>
        <v>JORNADA AMPLIADA</v>
      </c>
      <c r="E903" s="26" t="str">
        <f>"RETORNO 47 S/N                                                                  "</f>
        <v xml:space="preserve">RETORNO 47 S/N                                                                  </v>
      </c>
      <c r="F903" s="26" t="str">
        <f>"AVANTE                                                                                                                                      "</f>
        <v xml:space="preserve">AVANTE                                                                                                                                      </v>
      </c>
      <c r="G903" s="26" t="str">
        <f t="shared" si="144"/>
        <v xml:space="preserve">COYOACAN                                                                        </v>
      </c>
      <c r="H903" s="26" t="str">
        <f>"440"</f>
        <v>440</v>
      </c>
      <c r="I903" s="26" t="str">
        <f t="shared" si="146"/>
        <v>00</v>
      </c>
      <c r="J903" s="26" t="str">
        <f t="shared" si="148"/>
        <v xml:space="preserve">44 </v>
      </c>
      <c r="K903" s="26" t="str">
        <f t="shared" si="142"/>
        <v>PR</v>
      </c>
      <c r="L903" s="26" t="str">
        <f t="shared" si="143"/>
        <v>DGOSE</v>
      </c>
      <c r="M903" s="26" t="str">
        <f t="shared" si="147"/>
        <v>FEDERAL</v>
      </c>
      <c r="N903" s="26">
        <v>300</v>
      </c>
      <c r="O903" s="26">
        <v>163</v>
      </c>
      <c r="P903" s="26">
        <v>137</v>
      </c>
      <c r="Q903" s="26">
        <v>11</v>
      </c>
      <c r="R903" s="26">
        <v>1</v>
      </c>
      <c r="S903" s="26">
        <v>10</v>
      </c>
      <c r="T903" s="26">
        <v>10</v>
      </c>
      <c r="U903" s="26">
        <v>21</v>
      </c>
      <c r="V903" s="26">
        <v>1</v>
      </c>
      <c r="W903" s="26" t="s">
        <v>2076</v>
      </c>
    </row>
    <row r="904" spans="1:23" x14ac:dyDescent="0.25">
      <c r="A904" s="26" t="str">
        <f t="shared" si="145"/>
        <v>PRIMARIA</v>
      </c>
      <c r="B904" s="26" t="str">
        <f>"09DPR1950U"</f>
        <v>09DPR1950U</v>
      </c>
      <c r="C904" s="26" t="str">
        <f>"REPUBLICA DE FINLANDIA                                                                              "</f>
        <v xml:space="preserve">REPUBLICA DE FINLANDIA                                                                              </v>
      </c>
      <c r="D904" s="26" t="str">
        <f>"TIEMPO COMPLETO"</f>
        <v>TIEMPO COMPLETO</v>
      </c>
      <c r="E904" s="26" t="str">
        <f>"CERRO GORDO NUM 99                                                              "</f>
        <v xml:space="preserve">CERRO GORDO NUM 99                                                              </v>
      </c>
      <c r="F904" s="26" t="str">
        <f>"CAMPESTRE CHURUBUSCO                                                                                                                        "</f>
        <v xml:space="preserve">CAMPESTRE CHURUBUSCO                                                                                                                        </v>
      </c>
      <c r="G904" s="26" t="str">
        <f t="shared" si="144"/>
        <v xml:space="preserve">COYOACAN                                                                        </v>
      </c>
      <c r="H904" s="26" t="str">
        <f>"435"</f>
        <v>435</v>
      </c>
      <c r="I904" s="26" t="str">
        <f t="shared" si="146"/>
        <v>00</v>
      </c>
      <c r="J904" s="26" t="str">
        <f t="shared" si="148"/>
        <v xml:space="preserve">44 </v>
      </c>
      <c r="K904" s="26" t="str">
        <f t="shared" si="142"/>
        <v>PR</v>
      </c>
      <c r="L904" s="26" t="str">
        <f t="shared" si="143"/>
        <v>DGOSE</v>
      </c>
      <c r="M904" s="26" t="str">
        <f t="shared" si="147"/>
        <v>FEDERAL</v>
      </c>
      <c r="N904" s="26">
        <v>409</v>
      </c>
      <c r="O904" s="26">
        <v>202</v>
      </c>
      <c r="P904" s="26">
        <v>207</v>
      </c>
      <c r="Q904" s="26">
        <v>14</v>
      </c>
      <c r="R904" s="26">
        <v>1</v>
      </c>
      <c r="S904" s="26">
        <v>14</v>
      </c>
      <c r="T904" s="26">
        <v>13</v>
      </c>
      <c r="U904" s="26">
        <v>28</v>
      </c>
      <c r="V904" s="26">
        <v>1</v>
      </c>
      <c r="W904" s="26" t="s">
        <v>218</v>
      </c>
    </row>
    <row r="905" spans="1:23" x14ac:dyDescent="0.25">
      <c r="A905" s="26" t="str">
        <f t="shared" si="145"/>
        <v>PRIMARIA</v>
      </c>
      <c r="B905" s="26" t="str">
        <f>"09DPR1951T"</f>
        <v>09DPR1951T</v>
      </c>
      <c r="C905" s="26" t="str">
        <f>"REPUBLICA DE GUATEMALA                                                                              "</f>
        <v xml:space="preserve">REPUBLICA DE GUATEMALA                                                                              </v>
      </c>
      <c r="D905" s="26" t="str">
        <f>"JORNADA AMPLIADA"</f>
        <v>JORNADA AMPLIADA</v>
      </c>
      <c r="E905" s="26" t="str">
        <f>"MELCHOR OCAMPO NUM 20                                                           "</f>
        <v xml:space="preserve">MELCHOR OCAMPO NUM 20                                                           </v>
      </c>
      <c r="F905" s="26" t="str">
        <f>"VIVEROS DE COYOACAN                                                                                                                         "</f>
        <v xml:space="preserve">VIVEROS DE COYOACAN                                                                                                                         </v>
      </c>
      <c r="G905" s="26" t="str">
        <f t="shared" si="144"/>
        <v xml:space="preserve">COYOACAN                                                                        </v>
      </c>
      <c r="H905" s="26" t="str">
        <f>"433"</f>
        <v>433</v>
      </c>
      <c r="I905" s="26" t="str">
        <f t="shared" si="146"/>
        <v>00</v>
      </c>
      <c r="J905" s="26" t="str">
        <f t="shared" si="148"/>
        <v xml:space="preserve">44 </v>
      </c>
      <c r="K905" s="26" t="str">
        <f t="shared" si="142"/>
        <v>PR</v>
      </c>
      <c r="L905" s="26" t="str">
        <f t="shared" si="143"/>
        <v>DGOSE</v>
      </c>
      <c r="M905" s="26" t="str">
        <f t="shared" si="147"/>
        <v>FEDERAL</v>
      </c>
      <c r="N905" s="26">
        <v>342</v>
      </c>
      <c r="O905" s="26">
        <v>198</v>
      </c>
      <c r="P905" s="26">
        <v>144</v>
      </c>
      <c r="Q905" s="26">
        <v>12</v>
      </c>
      <c r="R905" s="26">
        <v>1</v>
      </c>
      <c r="S905" s="26">
        <v>12</v>
      </c>
      <c r="T905" s="26">
        <v>12</v>
      </c>
      <c r="U905" s="26">
        <v>25</v>
      </c>
      <c r="V905" s="26">
        <v>1</v>
      </c>
      <c r="W905" s="26" t="s">
        <v>2076</v>
      </c>
    </row>
    <row r="906" spans="1:23" x14ac:dyDescent="0.25">
      <c r="A906" s="26" t="str">
        <f t="shared" si="145"/>
        <v>PRIMARIA</v>
      </c>
      <c r="B906" s="26" t="str">
        <f>"09DPR1952S"</f>
        <v>09DPR1952S</v>
      </c>
      <c r="C906" s="26" t="str">
        <f>"REPUBLICA DE CHECOSLOVAQUIA                                                                         "</f>
        <v xml:space="preserve">REPUBLICA DE CHECOSLOVAQUIA                                                                         </v>
      </c>
      <c r="D906" s="26" t="str">
        <f>"JORNADA AMPLIADA"</f>
        <v>JORNADA AMPLIADA</v>
      </c>
      <c r="E906" s="26" t="str">
        <f>"RET. 20 S/N                                                                     "</f>
        <v xml:space="preserve">RET. 20 S/N                                                                     </v>
      </c>
      <c r="F906" s="26" t="str">
        <f>"AVANTE                                                                                                                                      "</f>
        <v xml:space="preserve">AVANTE                                                                                                                                      </v>
      </c>
      <c r="G906" s="26" t="str">
        <f t="shared" si="144"/>
        <v xml:space="preserve">COYOACAN                                                                        </v>
      </c>
      <c r="H906" s="26" t="str">
        <f>"440"</f>
        <v>440</v>
      </c>
      <c r="I906" s="26" t="str">
        <f t="shared" si="146"/>
        <v>00</v>
      </c>
      <c r="J906" s="26" t="str">
        <f t="shared" si="148"/>
        <v xml:space="preserve">44 </v>
      </c>
      <c r="K906" s="26" t="str">
        <f t="shared" ref="K906:K969" si="149">"PR"</f>
        <v>PR</v>
      </c>
      <c r="L906" s="26" t="str">
        <f t="shared" ref="L906:L969" si="150">"DGOSE"</f>
        <v>DGOSE</v>
      </c>
      <c r="M906" s="26" t="str">
        <f t="shared" si="147"/>
        <v>FEDERAL</v>
      </c>
      <c r="N906" s="26">
        <v>496</v>
      </c>
      <c r="O906" s="26">
        <v>233</v>
      </c>
      <c r="P906" s="26">
        <v>263</v>
      </c>
      <c r="Q906" s="26">
        <v>16</v>
      </c>
      <c r="R906" s="26">
        <v>1</v>
      </c>
      <c r="S906" s="26">
        <v>15</v>
      </c>
      <c r="T906" s="26">
        <v>11</v>
      </c>
      <c r="U906" s="26">
        <v>27</v>
      </c>
      <c r="V906" s="26">
        <v>1</v>
      </c>
      <c r="W906" s="26" t="s">
        <v>2076</v>
      </c>
    </row>
    <row r="907" spans="1:23" x14ac:dyDescent="0.25">
      <c r="A907" s="26" t="str">
        <f t="shared" si="145"/>
        <v>PRIMARIA</v>
      </c>
      <c r="B907" s="26" t="str">
        <f>"09DPR1953R"</f>
        <v>09DPR1953R</v>
      </c>
      <c r="C907" s="26" t="str">
        <f>"PLAN DE AYUTLA                                                                                      "</f>
        <v xml:space="preserve">PLAN DE AYUTLA                                                                                      </v>
      </c>
      <c r="D907" s="26" t="str">
        <f>"JORNADA AMPLIADA"</f>
        <v>JORNADA AMPLIADA</v>
      </c>
      <c r="E907" s="26" t="str">
        <f>"AV COROLA S/N                                                                   "</f>
        <v xml:space="preserve">AV COROLA S/N                                                                   </v>
      </c>
      <c r="F907" s="26" t="str">
        <f>"EL RELOJ                                                                                                                                    "</f>
        <v xml:space="preserve">EL RELOJ                                                                                                                                    </v>
      </c>
      <c r="G907" s="26" t="str">
        <f t="shared" si="144"/>
        <v xml:space="preserve">COYOACAN                                                                        </v>
      </c>
      <c r="H907" s="26" t="str">
        <f>"440"</f>
        <v>440</v>
      </c>
      <c r="I907" s="26" t="str">
        <f t="shared" si="146"/>
        <v>00</v>
      </c>
      <c r="J907" s="26" t="str">
        <f t="shared" si="148"/>
        <v xml:space="preserve">44 </v>
      </c>
      <c r="K907" s="26" t="str">
        <f t="shared" si="149"/>
        <v>PR</v>
      </c>
      <c r="L907" s="26" t="str">
        <f t="shared" si="150"/>
        <v>DGOSE</v>
      </c>
      <c r="M907" s="26" t="str">
        <f t="shared" si="147"/>
        <v>FEDERAL</v>
      </c>
      <c r="N907" s="26">
        <v>565</v>
      </c>
      <c r="O907" s="26">
        <v>293</v>
      </c>
      <c r="P907" s="26">
        <v>272</v>
      </c>
      <c r="Q907" s="26">
        <v>18</v>
      </c>
      <c r="R907" s="26">
        <v>1</v>
      </c>
      <c r="S907" s="26">
        <v>16</v>
      </c>
      <c r="T907" s="26">
        <v>11</v>
      </c>
      <c r="U907" s="26">
        <v>28</v>
      </c>
      <c r="V907" s="26">
        <v>1</v>
      </c>
      <c r="W907" s="26" t="s">
        <v>2076</v>
      </c>
    </row>
    <row r="908" spans="1:23" x14ac:dyDescent="0.25">
      <c r="A908" s="26" t="str">
        <f t="shared" si="145"/>
        <v>PRIMARIA</v>
      </c>
      <c r="B908" s="26" t="str">
        <f>"09DPR1955P"</f>
        <v>09DPR1955P</v>
      </c>
      <c r="C908" s="26" t="str">
        <f>"PEDAGOGIA                                                                                           "</f>
        <v xml:space="preserve">PEDAGOGIA                                                                                           </v>
      </c>
      <c r="D908" s="26" t="str">
        <f>"JORNADA AMPLIADA"</f>
        <v>JORNADA AMPLIADA</v>
      </c>
      <c r="E908" s="26" t="str">
        <f>"CALLE A S/N MANZANA X                                                           "</f>
        <v xml:space="preserve">CALLE A S/N MANZANA X                                                           </v>
      </c>
      <c r="F908" s="26" t="str">
        <f>"EDUCACION                                                                                                                                   "</f>
        <v xml:space="preserve">EDUCACION                                                                                                                                   </v>
      </c>
      <c r="G908" s="26" t="str">
        <f t="shared" si="144"/>
        <v xml:space="preserve">COYOACAN                                                                        </v>
      </c>
      <c r="H908" s="26" t="str">
        <f>"436"</f>
        <v>436</v>
      </c>
      <c r="I908" s="26" t="str">
        <f t="shared" si="146"/>
        <v>00</v>
      </c>
      <c r="J908" s="26" t="str">
        <f t="shared" si="148"/>
        <v xml:space="preserve">44 </v>
      </c>
      <c r="K908" s="26" t="str">
        <f t="shared" si="149"/>
        <v>PR</v>
      </c>
      <c r="L908" s="26" t="str">
        <f t="shared" si="150"/>
        <v>DGOSE</v>
      </c>
      <c r="M908" s="26" t="str">
        <f t="shared" si="147"/>
        <v>FEDERAL</v>
      </c>
      <c r="N908" s="26">
        <v>385</v>
      </c>
      <c r="O908" s="26">
        <v>194</v>
      </c>
      <c r="P908" s="26">
        <v>191</v>
      </c>
      <c r="Q908" s="26">
        <v>13</v>
      </c>
      <c r="R908" s="26">
        <v>1</v>
      </c>
      <c r="S908" s="26">
        <v>13</v>
      </c>
      <c r="T908" s="26">
        <v>10</v>
      </c>
      <c r="U908" s="26">
        <v>24</v>
      </c>
      <c r="V908" s="26">
        <v>1</v>
      </c>
      <c r="W908" s="26" t="s">
        <v>2076</v>
      </c>
    </row>
    <row r="909" spans="1:23" x14ac:dyDescent="0.25">
      <c r="A909" s="26" t="str">
        <f t="shared" si="145"/>
        <v>PRIMARIA</v>
      </c>
      <c r="B909" s="26" t="str">
        <f>"09DPR1957N"</f>
        <v>09DPR1957N</v>
      </c>
      <c r="C909" s="26" t="str">
        <f>"LUIS HIDALGO MONROY                                                                                 "</f>
        <v xml:space="preserve">LUIS HIDALGO MONROY                                                                                 </v>
      </c>
      <c r="D909" s="26" t="str">
        <f>"JORNADA AMPLIADA"</f>
        <v>JORNADA AMPLIADA</v>
      </c>
      <c r="E909" s="26" t="str">
        <f>"ABASOLO 36                                                                      "</f>
        <v xml:space="preserve">ABASOLO 36                                                                      </v>
      </c>
      <c r="F909" s="26" t="str">
        <f>"DEL CARMEN                                                                                                                                  "</f>
        <v xml:space="preserve">DEL CARMEN                                                                                                                                  </v>
      </c>
      <c r="G909" s="26" t="str">
        <f t="shared" si="144"/>
        <v xml:space="preserve">COYOACAN                                                                        </v>
      </c>
      <c r="H909" s="26" t="str">
        <f>"433"</f>
        <v>433</v>
      </c>
      <c r="I909" s="26" t="str">
        <f t="shared" si="146"/>
        <v>00</v>
      </c>
      <c r="J909" s="26" t="str">
        <f t="shared" si="148"/>
        <v xml:space="preserve">44 </v>
      </c>
      <c r="K909" s="26" t="str">
        <f t="shared" si="149"/>
        <v>PR</v>
      </c>
      <c r="L909" s="26" t="str">
        <f t="shared" si="150"/>
        <v>DGOSE</v>
      </c>
      <c r="M909" s="26" t="str">
        <f t="shared" si="147"/>
        <v>FEDERAL</v>
      </c>
      <c r="N909" s="26">
        <v>421</v>
      </c>
      <c r="O909" s="26">
        <v>235</v>
      </c>
      <c r="P909" s="26">
        <v>186</v>
      </c>
      <c r="Q909" s="26">
        <v>14</v>
      </c>
      <c r="R909" s="26">
        <v>1</v>
      </c>
      <c r="S909" s="26">
        <v>14</v>
      </c>
      <c r="T909" s="26">
        <v>11</v>
      </c>
      <c r="U909" s="26">
        <v>26</v>
      </c>
      <c r="V909" s="26">
        <v>1</v>
      </c>
      <c r="W909" s="26" t="s">
        <v>2076</v>
      </c>
    </row>
    <row r="910" spans="1:23" x14ac:dyDescent="0.25">
      <c r="A910" s="26" t="str">
        <f t="shared" si="145"/>
        <v>PRIMARIA</v>
      </c>
      <c r="B910" s="26" t="str">
        <f>"09DPR1958M"</f>
        <v>09DPR1958M</v>
      </c>
      <c r="C910" s="26" t="str">
        <f>"LIBERAL                                                                                             "</f>
        <v xml:space="preserve">LIBERAL                                                                                             </v>
      </c>
      <c r="D910" s="26" t="str">
        <f>"MATUTINO"</f>
        <v>MATUTINO</v>
      </c>
      <c r="E910" s="26" t="str">
        <f>"AV TECACALO Y PEHUAME                                                           "</f>
        <v xml:space="preserve">AV TECACALO Y PEHUAME                                                           </v>
      </c>
      <c r="F910" s="26" t="str">
        <f>"ADOLFO RUIZ CORTINES                                                                                                                        "</f>
        <v xml:space="preserve">ADOLFO RUIZ CORTINES                                                                                                                        </v>
      </c>
      <c r="G910" s="26" t="str">
        <f t="shared" si="144"/>
        <v xml:space="preserve">COYOACAN                                                                        </v>
      </c>
      <c r="H910" s="26" t="str">
        <f>"503"</f>
        <v>503</v>
      </c>
      <c r="I910" s="26" t="str">
        <f t="shared" si="146"/>
        <v>00</v>
      </c>
      <c r="J910" s="26" t="str">
        <f>"45 "</f>
        <v xml:space="preserve">45 </v>
      </c>
      <c r="K910" s="26" t="str">
        <f t="shared" si="149"/>
        <v>PR</v>
      </c>
      <c r="L910" s="26" t="str">
        <f t="shared" si="150"/>
        <v>DGOSE</v>
      </c>
      <c r="M910" s="26" t="str">
        <f t="shared" si="147"/>
        <v>FEDERAL</v>
      </c>
      <c r="N910" s="26">
        <v>535</v>
      </c>
      <c r="O910" s="26">
        <v>274</v>
      </c>
      <c r="P910" s="26">
        <v>261</v>
      </c>
      <c r="Q910" s="26">
        <v>18</v>
      </c>
      <c r="R910" s="26">
        <v>1</v>
      </c>
      <c r="S910" s="26">
        <v>18</v>
      </c>
      <c r="T910" s="26">
        <v>8</v>
      </c>
      <c r="U910" s="26">
        <v>27</v>
      </c>
      <c r="V910" s="26">
        <v>1</v>
      </c>
      <c r="W910" s="26"/>
    </row>
    <row r="911" spans="1:23" x14ac:dyDescent="0.25">
      <c r="A911" s="26" t="str">
        <f t="shared" si="145"/>
        <v>PRIMARIA</v>
      </c>
      <c r="B911" s="26" t="str">
        <f>"09DPR1960A"</f>
        <v>09DPR1960A</v>
      </c>
      <c r="C911" s="26" t="str">
        <f>"LIBERAL                                                                                             "</f>
        <v xml:space="preserve">LIBERAL                                                                                             </v>
      </c>
      <c r="D911" s="26" t="str">
        <f>"VESPERTINO"</f>
        <v>VESPERTINO</v>
      </c>
      <c r="E911" s="26" t="str">
        <f>"AV TECACALO Y PEHUAME                                                           "</f>
        <v xml:space="preserve">AV TECACALO Y PEHUAME                                                           </v>
      </c>
      <c r="F911" s="26" t="str">
        <f>"ADOLFO RUIZ CORTINES                                                                                                                        "</f>
        <v xml:space="preserve">ADOLFO RUIZ CORTINES                                                                                                                        </v>
      </c>
      <c r="G911" s="26" t="str">
        <f t="shared" si="144"/>
        <v xml:space="preserve">COYOACAN                                                                        </v>
      </c>
      <c r="H911" s="26" t="str">
        <f>"503"</f>
        <v>503</v>
      </c>
      <c r="I911" s="26" t="str">
        <f t="shared" si="146"/>
        <v>00</v>
      </c>
      <c r="J911" s="26" t="str">
        <f>"45 "</f>
        <v xml:space="preserve">45 </v>
      </c>
      <c r="K911" s="26" t="str">
        <f t="shared" si="149"/>
        <v>PR</v>
      </c>
      <c r="L911" s="26" t="str">
        <f t="shared" si="150"/>
        <v>DGOSE</v>
      </c>
      <c r="M911" s="26" t="str">
        <f t="shared" si="147"/>
        <v>FEDERAL</v>
      </c>
      <c r="N911" s="26">
        <v>268</v>
      </c>
      <c r="O911" s="26">
        <v>127</v>
      </c>
      <c r="P911" s="26">
        <v>141</v>
      </c>
      <c r="Q911" s="26">
        <v>14</v>
      </c>
      <c r="R911" s="26">
        <v>1</v>
      </c>
      <c r="S911" s="26">
        <v>13</v>
      </c>
      <c r="T911" s="26">
        <v>8</v>
      </c>
      <c r="U911" s="26">
        <v>22</v>
      </c>
      <c r="V911" s="26">
        <v>1</v>
      </c>
      <c r="W911" s="26"/>
    </row>
    <row r="912" spans="1:23" x14ac:dyDescent="0.25">
      <c r="A912" s="26" t="str">
        <f t="shared" si="145"/>
        <v>PRIMARIA</v>
      </c>
      <c r="B912" s="26" t="str">
        <f>"09DPR1961Z"</f>
        <v>09DPR1961Z</v>
      </c>
      <c r="C912" s="26" t="str">
        <f>"JACINTO CANEK                                                                                       "</f>
        <v xml:space="preserve">JACINTO CANEK                                                                                       </v>
      </c>
      <c r="D912" s="26" t="str">
        <f>"VESPERTINO"</f>
        <v>VESPERTINO</v>
      </c>
      <c r="E912" s="26" t="str">
        <f>"HUEHUETAN NO.230 ESQ. TIZIMIN                                                   "</f>
        <v xml:space="preserve">HUEHUETAN NO.230 ESQ. TIZIMIN                                                   </v>
      </c>
      <c r="F912" s="26" t="str">
        <f>"HEROES DE PADIERNA                                                                                                                          "</f>
        <v xml:space="preserve">HEROES DE PADIERNA                                                                                                                          </v>
      </c>
      <c r="G912" s="26" t="str">
        <f>"TLALPAN                                                                         "</f>
        <v xml:space="preserve">TLALPAN                                                                         </v>
      </c>
      <c r="H912" s="26" t="str">
        <f>"513"</f>
        <v>513</v>
      </c>
      <c r="I912" s="26" t="str">
        <f t="shared" si="146"/>
        <v>00</v>
      </c>
      <c r="J912" s="26" t="str">
        <f>"45 "</f>
        <v xml:space="preserve">45 </v>
      </c>
      <c r="K912" s="26" t="str">
        <f t="shared" si="149"/>
        <v>PR</v>
      </c>
      <c r="L912" s="26" t="str">
        <f t="shared" si="150"/>
        <v>DGOSE</v>
      </c>
      <c r="M912" s="26" t="str">
        <f t="shared" si="147"/>
        <v>FEDERAL</v>
      </c>
      <c r="N912" s="26">
        <v>434</v>
      </c>
      <c r="O912" s="26">
        <v>222</v>
      </c>
      <c r="P912" s="26">
        <v>212</v>
      </c>
      <c r="Q912" s="26">
        <v>18</v>
      </c>
      <c r="R912" s="26">
        <v>1</v>
      </c>
      <c r="S912" s="26">
        <v>17</v>
      </c>
      <c r="T912" s="26">
        <v>7</v>
      </c>
      <c r="U912" s="26">
        <v>25</v>
      </c>
      <c r="V912" s="26">
        <v>1</v>
      </c>
      <c r="W912" s="26"/>
    </row>
    <row r="913" spans="1:23" x14ac:dyDescent="0.25">
      <c r="A913" s="26" t="str">
        <f t="shared" si="145"/>
        <v>PRIMARIA</v>
      </c>
      <c r="B913" s="26" t="str">
        <f>"09DPR1962Z"</f>
        <v>09DPR1962Z</v>
      </c>
      <c r="C913" s="26" t="str">
        <f>"LIC. GABRIEL RAMOS MILLAN                                                                           "</f>
        <v xml:space="preserve">LIC. GABRIEL RAMOS MILLAN                                                                           </v>
      </c>
      <c r="D913" s="26" t="str">
        <f>"TIEMPO COMPLETO"</f>
        <v>TIEMPO COMPLETO</v>
      </c>
      <c r="E913" s="26" t="str">
        <f>"CALZ DE TLALPAN NO 2822                                                         "</f>
        <v xml:space="preserve">CALZ DE TLALPAN NO 2822                                                         </v>
      </c>
      <c r="F913" s="26" t="str">
        <f>"SAN PABLO TEPETLAPA PUEBLO                                                                                                                  "</f>
        <v xml:space="preserve">SAN PABLO TEPETLAPA PUEBLO                                                                                                                  </v>
      </c>
      <c r="G913" s="26" t="str">
        <f>"COYOACAN                                                                        "</f>
        <v xml:space="preserve">COYOACAN                                                                        </v>
      </c>
      <c r="H913" s="26" t="str">
        <f>"440"</f>
        <v>440</v>
      </c>
      <c r="I913" s="26" t="str">
        <f t="shared" si="146"/>
        <v>00</v>
      </c>
      <c r="J913" s="26" t="str">
        <f>"44 "</f>
        <v xml:space="preserve">44 </v>
      </c>
      <c r="K913" s="26" t="str">
        <f t="shared" si="149"/>
        <v>PR</v>
      </c>
      <c r="L913" s="26" t="str">
        <f t="shared" si="150"/>
        <v>DGOSE</v>
      </c>
      <c r="M913" s="26" t="str">
        <f t="shared" si="147"/>
        <v>FEDERAL</v>
      </c>
      <c r="N913" s="26">
        <v>425</v>
      </c>
      <c r="O913" s="26">
        <v>224</v>
      </c>
      <c r="P913" s="26">
        <v>201</v>
      </c>
      <c r="Q913" s="26">
        <v>15</v>
      </c>
      <c r="R913" s="26">
        <v>1</v>
      </c>
      <c r="S913" s="26">
        <v>15</v>
      </c>
      <c r="T913" s="26">
        <v>18</v>
      </c>
      <c r="U913" s="26">
        <v>34</v>
      </c>
      <c r="V913" s="26">
        <v>1</v>
      </c>
      <c r="W913" s="26" t="s">
        <v>218</v>
      </c>
    </row>
    <row r="914" spans="1:23" x14ac:dyDescent="0.25">
      <c r="A914" s="26" t="str">
        <f t="shared" si="145"/>
        <v>PRIMARIA</v>
      </c>
      <c r="B914" s="26" t="str">
        <f>"09DPR1963Y"</f>
        <v>09DPR1963Y</v>
      </c>
      <c r="C914" s="26" t="str">
        <f>"FRAY EUSEBIO FRANCISCO KINO                                                                         "</f>
        <v xml:space="preserve">FRAY EUSEBIO FRANCISCO KINO                                                                         </v>
      </c>
      <c r="D914" s="26" t="str">
        <f>"JORNADA AMPLIADA"</f>
        <v>JORNADA AMPLIADA</v>
      </c>
      <c r="E914" s="26" t="str">
        <f>"RETORNO 803 S/N                                                                 "</f>
        <v xml:space="preserve">RETORNO 803 S/N                                                                 </v>
      </c>
      <c r="F914" s="26" t="str">
        <f>"CENTINELA                                                                                                                                   "</f>
        <v xml:space="preserve">CENTINELA                                                                                                                                   </v>
      </c>
      <c r="G914" s="26" t="str">
        <f>"COYOACAN                                                                        "</f>
        <v xml:space="preserve">COYOACAN                                                                        </v>
      </c>
      <c r="H914" s="26" t="str">
        <f>"436"</f>
        <v>436</v>
      </c>
      <c r="I914" s="26" t="str">
        <f t="shared" si="146"/>
        <v>00</v>
      </c>
      <c r="J914" s="26" t="str">
        <f>"44 "</f>
        <v xml:space="preserve">44 </v>
      </c>
      <c r="K914" s="26" t="str">
        <f t="shared" si="149"/>
        <v>PR</v>
      </c>
      <c r="L914" s="26" t="str">
        <f t="shared" si="150"/>
        <v>DGOSE</v>
      </c>
      <c r="M914" s="26" t="str">
        <f t="shared" si="147"/>
        <v>FEDERAL</v>
      </c>
      <c r="N914" s="26">
        <v>348</v>
      </c>
      <c r="O914" s="26">
        <v>165</v>
      </c>
      <c r="P914" s="26">
        <v>183</v>
      </c>
      <c r="Q914" s="26">
        <v>12</v>
      </c>
      <c r="R914" s="26">
        <v>1</v>
      </c>
      <c r="S914" s="26">
        <v>12</v>
      </c>
      <c r="T914" s="26">
        <v>12</v>
      </c>
      <c r="U914" s="26">
        <v>25</v>
      </c>
      <c r="V914" s="26">
        <v>1</v>
      </c>
      <c r="W914" s="26" t="s">
        <v>2076</v>
      </c>
    </row>
    <row r="915" spans="1:23" x14ac:dyDescent="0.25">
      <c r="A915" s="26" t="str">
        <f t="shared" si="145"/>
        <v>PRIMARIA</v>
      </c>
      <c r="B915" s="26" t="str">
        <f>"09DPR1965W"</f>
        <v>09DPR1965W</v>
      </c>
      <c r="C915" s="26" t="str">
        <f>"FRAY ANTONIO MARGIL DE JESUS                                                                        "</f>
        <v xml:space="preserve">FRAY ANTONIO MARGIL DE JESUS                                                                        </v>
      </c>
      <c r="D915" s="26" t="str">
        <f>"JORNADA AMPLIADA"</f>
        <v>JORNADA AMPLIADA</v>
      </c>
      <c r="E915" s="26" t="str">
        <f>"PROLG ATRIO DE SAN FRANCISCO No 78                                              "</f>
        <v xml:space="preserve">PROLG ATRIO DE SAN FRANCISCO No 78                                              </v>
      </c>
      <c r="F915" s="26" t="str">
        <f>"CUADRANTE DE SAN FRANCISCO                                                                                                                  "</f>
        <v xml:space="preserve">CUADRANTE DE SAN FRANCISCO                                                                                                                  </v>
      </c>
      <c r="G915" s="26" t="str">
        <f>"COYOACAN                                                                        "</f>
        <v xml:space="preserve">COYOACAN                                                                        </v>
      </c>
      <c r="H915" s="26" t="str">
        <f>"434"</f>
        <v>434</v>
      </c>
      <c r="I915" s="26" t="str">
        <f t="shared" si="146"/>
        <v>00</v>
      </c>
      <c r="J915" s="26" t="str">
        <f>"44 "</f>
        <v xml:space="preserve">44 </v>
      </c>
      <c r="K915" s="26" t="str">
        <f t="shared" si="149"/>
        <v>PR</v>
      </c>
      <c r="L915" s="26" t="str">
        <f t="shared" si="150"/>
        <v>DGOSE</v>
      </c>
      <c r="M915" s="26" t="str">
        <f t="shared" si="147"/>
        <v>FEDERAL</v>
      </c>
      <c r="N915" s="26">
        <v>208</v>
      </c>
      <c r="O915" s="26">
        <v>109</v>
      </c>
      <c r="P915" s="26">
        <v>99</v>
      </c>
      <c r="Q915" s="26">
        <v>7</v>
      </c>
      <c r="R915" s="26">
        <v>1</v>
      </c>
      <c r="S915" s="26">
        <v>7</v>
      </c>
      <c r="T915" s="26">
        <v>7</v>
      </c>
      <c r="U915" s="26">
        <v>15</v>
      </c>
      <c r="V915" s="26">
        <v>1</v>
      </c>
      <c r="W915" s="26" t="s">
        <v>2076</v>
      </c>
    </row>
    <row r="916" spans="1:23" x14ac:dyDescent="0.25">
      <c r="A916" s="26" t="str">
        <f t="shared" si="145"/>
        <v>PRIMARIA</v>
      </c>
      <c r="B916" s="26" t="str">
        <f>"09DPR1966V"</f>
        <v>09DPR1966V</v>
      </c>
      <c r="C916" s="26" t="str">
        <f>"GENERAL FELIPE ANGELES                                                                              "</f>
        <v xml:space="preserve">GENERAL FELIPE ANGELES                                                                              </v>
      </c>
      <c r="D916" s="26" t="str">
        <f>"VESPERTINO"</f>
        <v>VESPERTINO</v>
      </c>
      <c r="E916" s="26" t="str">
        <f>"JOHN F KENNEDY 1                                                                "</f>
        <v xml:space="preserve">JOHN F KENNEDY 1                                                                </v>
      </c>
      <c r="F916" s="26" t="str">
        <f>"ISIDRO FABELA                                                                                                                               "</f>
        <v xml:space="preserve">ISIDRO FABELA                                                                                                                               </v>
      </c>
      <c r="G916" s="26" t="str">
        <f>"TLALPAN                                                                         "</f>
        <v xml:space="preserve">TLALPAN                                                                         </v>
      </c>
      <c r="H916" s="26" t="str">
        <f>"519"</f>
        <v>519</v>
      </c>
      <c r="I916" s="26" t="str">
        <f t="shared" si="146"/>
        <v>00</v>
      </c>
      <c r="J916" s="26" t="str">
        <f>"45 "</f>
        <v xml:space="preserve">45 </v>
      </c>
      <c r="K916" s="26" t="str">
        <f t="shared" si="149"/>
        <v>PR</v>
      </c>
      <c r="L916" s="26" t="str">
        <f t="shared" si="150"/>
        <v>DGOSE</v>
      </c>
      <c r="M916" s="26" t="str">
        <f t="shared" si="147"/>
        <v>FEDERAL</v>
      </c>
      <c r="N916" s="26">
        <v>171</v>
      </c>
      <c r="O916" s="26">
        <v>98</v>
      </c>
      <c r="P916" s="26">
        <v>73</v>
      </c>
      <c r="Q916" s="26">
        <v>6</v>
      </c>
      <c r="R916" s="26">
        <v>1</v>
      </c>
      <c r="S916" s="26">
        <v>6</v>
      </c>
      <c r="T916" s="26">
        <v>7</v>
      </c>
      <c r="U916" s="26">
        <v>14</v>
      </c>
      <c r="V916" s="26">
        <v>1</v>
      </c>
      <c r="W916" s="26"/>
    </row>
    <row r="917" spans="1:23" x14ac:dyDescent="0.25">
      <c r="A917" s="26" t="str">
        <f t="shared" si="145"/>
        <v>PRIMARIA</v>
      </c>
      <c r="B917" s="26" t="str">
        <f>"09DPR1967U"</f>
        <v>09DPR1967U</v>
      </c>
      <c r="C917" s="26" t="str">
        <f>"DR. FRANCISCO VAZQUEZ GOMEZ                                                                         "</f>
        <v xml:space="preserve">DR. FRANCISCO VAZQUEZ GOMEZ                                                                         </v>
      </c>
      <c r="D917" s="26" t="str">
        <f>"VESPERTINO"</f>
        <v>VESPERTINO</v>
      </c>
      <c r="E917" s="26" t="str">
        <f>"16 DE SEPTIEMBRE NUM 10                                                         "</f>
        <v xml:space="preserve">16 DE SEPTIEMBRE NUM 10                                                         </v>
      </c>
      <c r="F917" s="26" t="str">
        <f>"SAN FRANCISCO CULHUACAN                                                                                                                     "</f>
        <v xml:space="preserve">SAN FRANCISCO CULHUACAN                                                                                                                     </v>
      </c>
      <c r="G917" s="26" t="str">
        <f t="shared" ref="G917:G929" si="151">"COYOACAN                                                                        "</f>
        <v xml:space="preserve">COYOACAN                                                                        </v>
      </c>
      <c r="H917" s="26" t="str">
        <f>"509"</f>
        <v>509</v>
      </c>
      <c r="I917" s="26" t="str">
        <f t="shared" si="146"/>
        <v>00</v>
      </c>
      <c r="J917" s="26" t="str">
        <f>"45 "</f>
        <v xml:space="preserve">45 </v>
      </c>
      <c r="K917" s="26" t="str">
        <f t="shared" si="149"/>
        <v>PR</v>
      </c>
      <c r="L917" s="26" t="str">
        <f t="shared" si="150"/>
        <v>DGOSE</v>
      </c>
      <c r="M917" s="26" t="str">
        <f t="shared" si="147"/>
        <v>FEDERAL</v>
      </c>
      <c r="N917" s="26">
        <v>181</v>
      </c>
      <c r="O917" s="26">
        <v>91</v>
      </c>
      <c r="P917" s="26">
        <v>90</v>
      </c>
      <c r="Q917" s="26">
        <v>12</v>
      </c>
      <c r="R917" s="26">
        <v>1</v>
      </c>
      <c r="S917" s="26">
        <v>12</v>
      </c>
      <c r="T917" s="26">
        <v>7</v>
      </c>
      <c r="U917" s="26">
        <v>20</v>
      </c>
      <c r="V917" s="26">
        <v>1</v>
      </c>
      <c r="W917" s="26"/>
    </row>
    <row r="918" spans="1:23" x14ac:dyDescent="0.25">
      <c r="A918" s="26" t="str">
        <f t="shared" si="145"/>
        <v>PRIMARIA</v>
      </c>
      <c r="B918" s="26" t="str">
        <f>"09DPR1968T"</f>
        <v>09DPR1968T</v>
      </c>
      <c r="C918" s="26" t="str">
        <f>"FRANCISCO CESAR MORALES                                                                             "</f>
        <v xml:space="preserve">FRANCISCO CESAR MORALES                                                                             </v>
      </c>
      <c r="D918" s="26" t="str">
        <f>"JORNADA AMPLIADA"</f>
        <v>JORNADA AMPLIADA</v>
      </c>
      <c r="E918" s="26" t="str">
        <f>"CERROS SN ANTONIO/STA ISABEL S/N                                                "</f>
        <v xml:space="preserve">CERROS SN ANTONIO/STA ISABEL S/N                                                </v>
      </c>
      <c r="F918" s="26" t="str">
        <f>"CAMPESTRE CHURUBUSCO                                                                                                                        "</f>
        <v xml:space="preserve">CAMPESTRE CHURUBUSCO                                                                                                                        </v>
      </c>
      <c r="G918" s="26" t="str">
        <f t="shared" si="151"/>
        <v xml:space="preserve">COYOACAN                                                                        </v>
      </c>
      <c r="H918" s="26" t="str">
        <f>"435"</f>
        <v>435</v>
      </c>
      <c r="I918" s="26" t="str">
        <f t="shared" si="146"/>
        <v>00</v>
      </c>
      <c r="J918" s="26" t="str">
        <f>"44 "</f>
        <v xml:space="preserve">44 </v>
      </c>
      <c r="K918" s="26" t="str">
        <f t="shared" si="149"/>
        <v>PR</v>
      </c>
      <c r="L918" s="26" t="str">
        <f t="shared" si="150"/>
        <v>DGOSE</v>
      </c>
      <c r="M918" s="26" t="str">
        <f t="shared" si="147"/>
        <v>FEDERAL</v>
      </c>
      <c r="N918" s="26">
        <v>183</v>
      </c>
      <c r="O918" s="26">
        <v>97</v>
      </c>
      <c r="P918" s="26">
        <v>86</v>
      </c>
      <c r="Q918" s="26">
        <v>6</v>
      </c>
      <c r="R918" s="26">
        <v>1</v>
      </c>
      <c r="S918" s="26">
        <v>6</v>
      </c>
      <c r="T918" s="26">
        <v>7</v>
      </c>
      <c r="U918" s="26">
        <v>14</v>
      </c>
      <c r="V918" s="26">
        <v>1</v>
      </c>
      <c r="W918" s="26" t="s">
        <v>2076</v>
      </c>
    </row>
    <row r="919" spans="1:23" x14ac:dyDescent="0.25">
      <c r="A919" s="26" t="str">
        <f t="shared" si="145"/>
        <v>PRIMARIA</v>
      </c>
      <c r="B919" s="26" t="str">
        <f>"09DPR1969S"</f>
        <v>09DPR1969S</v>
      </c>
      <c r="C919" s="26" t="str">
        <f>"ESTATUTO JURIDICO                                                                                   "</f>
        <v xml:space="preserve">ESTATUTO JURIDICO                                                                                   </v>
      </c>
      <c r="D919" s="26" t="str">
        <f>"JORNADA AMPLIADA"</f>
        <v>JORNADA AMPLIADA</v>
      </c>
      <c r="E919" s="26" t="str">
        <f>"JACARANDAS Y COPA DE ORO S/N                                                    "</f>
        <v xml:space="preserve">JACARANDAS Y COPA DE ORO S/N                                                    </v>
      </c>
      <c r="F919" s="26" t="str">
        <f>"CIUDAD JARDIN                                                                                                                               "</f>
        <v xml:space="preserve">CIUDAD JARDIN                                                                                                                               </v>
      </c>
      <c r="G919" s="26" t="str">
        <f t="shared" si="151"/>
        <v xml:space="preserve">COYOACAN                                                                        </v>
      </c>
      <c r="H919" s="26" t="str">
        <f>"436"</f>
        <v>436</v>
      </c>
      <c r="I919" s="26" t="str">
        <f t="shared" si="146"/>
        <v>00</v>
      </c>
      <c r="J919" s="26" t="str">
        <f>"44 "</f>
        <v xml:space="preserve">44 </v>
      </c>
      <c r="K919" s="26" t="str">
        <f t="shared" si="149"/>
        <v>PR</v>
      </c>
      <c r="L919" s="26" t="str">
        <f t="shared" si="150"/>
        <v>DGOSE</v>
      </c>
      <c r="M919" s="26" t="str">
        <f t="shared" si="147"/>
        <v>FEDERAL</v>
      </c>
      <c r="N919" s="26">
        <v>642</v>
      </c>
      <c r="O919" s="26">
        <v>319</v>
      </c>
      <c r="P919" s="26">
        <v>323</v>
      </c>
      <c r="Q919" s="26">
        <v>21</v>
      </c>
      <c r="R919" s="26">
        <v>1</v>
      </c>
      <c r="S919" s="26">
        <v>21</v>
      </c>
      <c r="T919" s="26">
        <v>15</v>
      </c>
      <c r="U919" s="26">
        <v>37</v>
      </c>
      <c r="V919" s="26">
        <v>1</v>
      </c>
      <c r="W919" s="26" t="s">
        <v>2076</v>
      </c>
    </row>
    <row r="920" spans="1:23" x14ac:dyDescent="0.25">
      <c r="A920" s="26" t="str">
        <f t="shared" si="145"/>
        <v>PRIMARIA</v>
      </c>
      <c r="B920" s="26" t="str">
        <f>"09DPR1971G"</f>
        <v>09DPR1971G</v>
      </c>
      <c r="C920" s="26" t="str">
        <f>"ESPERANZA LOPEZ MATEOS                                                                              "</f>
        <v xml:space="preserve">ESPERANZA LOPEZ MATEOS                                                                              </v>
      </c>
      <c r="D920" s="26" t="str">
        <f>"VESPERTINO"</f>
        <v>VESPERTINO</v>
      </c>
      <c r="E920" s="26" t="str">
        <f>"SAN LEON Y SAN RAUL S/N                                                         "</f>
        <v xml:space="preserve">SAN LEON Y SAN RAUL S/N                                                         </v>
      </c>
      <c r="F920" s="26" t="str">
        <f>"PEDREGAL DE SANTA URSULA                                                                                                                    "</f>
        <v xml:space="preserve">PEDREGAL DE SANTA URSULA                                                                                                                    </v>
      </c>
      <c r="G920" s="26" t="str">
        <f t="shared" si="151"/>
        <v xml:space="preserve">COYOACAN                                                                        </v>
      </c>
      <c r="H920" s="26" t="str">
        <f>"507"</f>
        <v>507</v>
      </c>
      <c r="I920" s="26" t="str">
        <f t="shared" si="146"/>
        <v>00</v>
      </c>
      <c r="J920" s="26" t="str">
        <f>"45 "</f>
        <v xml:space="preserve">45 </v>
      </c>
      <c r="K920" s="26" t="str">
        <f t="shared" si="149"/>
        <v>PR</v>
      </c>
      <c r="L920" s="26" t="str">
        <f t="shared" si="150"/>
        <v>DGOSE</v>
      </c>
      <c r="M920" s="26" t="str">
        <f t="shared" si="147"/>
        <v>FEDERAL</v>
      </c>
      <c r="N920" s="26">
        <v>302</v>
      </c>
      <c r="O920" s="26">
        <v>167</v>
      </c>
      <c r="P920" s="26">
        <v>135</v>
      </c>
      <c r="Q920" s="26">
        <v>17</v>
      </c>
      <c r="R920" s="26">
        <v>1</v>
      </c>
      <c r="S920" s="26">
        <v>16</v>
      </c>
      <c r="T920" s="26">
        <v>10</v>
      </c>
      <c r="U920" s="26">
        <v>27</v>
      </c>
      <c r="V920" s="26">
        <v>1</v>
      </c>
      <c r="W920" s="26"/>
    </row>
    <row r="921" spans="1:23" x14ac:dyDescent="0.25">
      <c r="A921" s="26" t="str">
        <f t="shared" si="145"/>
        <v>PRIMARIA</v>
      </c>
      <c r="B921" s="26" t="str">
        <f>"09DPR1973E"</f>
        <v>09DPR1973E</v>
      </c>
      <c r="C921" s="26" t="str">
        <f>"EJERCITO NACIONAL                                                                                   "</f>
        <v xml:space="preserve">EJERCITO NACIONAL                                                                                   </v>
      </c>
      <c r="D921" s="26" t="str">
        <f>"VESPERTINO"</f>
        <v>VESPERTINO</v>
      </c>
      <c r="E921" s="26" t="str">
        <f>"LEOPOLDO SALAZAR S/N                                                            "</f>
        <v xml:space="preserve">LEOPOLDO SALAZAR S/N                                                            </v>
      </c>
      <c r="F921" s="26" t="str">
        <f>"COPILCO EL ALTO                                                                                                                             "</f>
        <v xml:space="preserve">COPILCO EL ALTO                                                                                                                             </v>
      </c>
      <c r="G921" s="26" t="str">
        <f t="shared" si="151"/>
        <v xml:space="preserve">COYOACAN                                                                        </v>
      </c>
      <c r="H921" s="26" t="str">
        <f>"501"</f>
        <v>501</v>
      </c>
      <c r="I921" s="26" t="str">
        <f t="shared" si="146"/>
        <v>00</v>
      </c>
      <c r="J921" s="26" t="str">
        <f>"45 "</f>
        <v xml:space="preserve">45 </v>
      </c>
      <c r="K921" s="26" t="str">
        <f t="shared" si="149"/>
        <v>PR</v>
      </c>
      <c r="L921" s="26" t="str">
        <f t="shared" si="150"/>
        <v>DGOSE</v>
      </c>
      <c r="M921" s="26" t="str">
        <f t="shared" si="147"/>
        <v>FEDERAL</v>
      </c>
      <c r="N921" s="26">
        <v>100</v>
      </c>
      <c r="O921" s="26">
        <v>53</v>
      </c>
      <c r="P921" s="26">
        <v>47</v>
      </c>
      <c r="Q921" s="26">
        <v>10</v>
      </c>
      <c r="R921" s="26">
        <v>1</v>
      </c>
      <c r="S921" s="26">
        <v>7</v>
      </c>
      <c r="T921" s="26">
        <v>5</v>
      </c>
      <c r="U921" s="26">
        <v>13</v>
      </c>
      <c r="V921" s="26">
        <v>1</v>
      </c>
      <c r="W921" s="26"/>
    </row>
    <row r="922" spans="1:23" x14ac:dyDescent="0.25">
      <c r="A922" s="26" t="str">
        <f t="shared" si="145"/>
        <v>PRIMARIA</v>
      </c>
      <c r="B922" s="26" t="str">
        <f>"09DPR1974D"</f>
        <v>09DPR1974D</v>
      </c>
      <c r="C922" s="26" t="str">
        <f>"ESPERANZA LOPEZ MATEOS                                                                              "</f>
        <v xml:space="preserve">ESPERANZA LOPEZ MATEOS                                                                              </v>
      </c>
      <c r="D922" s="26" t="str">
        <f>"MATUTINO"</f>
        <v>MATUTINO</v>
      </c>
      <c r="E922" s="26" t="str">
        <f>"SAN LEON Y SAN RAUL S/N                                                         "</f>
        <v xml:space="preserve">SAN LEON Y SAN RAUL S/N                                                         </v>
      </c>
      <c r="F922" s="26" t="str">
        <f>"PEDREGAL DE SANTA URSULA                                                                                                                    "</f>
        <v xml:space="preserve">PEDREGAL DE SANTA URSULA                                                                                                                    </v>
      </c>
      <c r="G922" s="26" t="str">
        <f t="shared" si="151"/>
        <v xml:space="preserve">COYOACAN                                                                        </v>
      </c>
      <c r="H922" s="26" t="str">
        <f>"507"</f>
        <v>507</v>
      </c>
      <c r="I922" s="26" t="str">
        <f t="shared" si="146"/>
        <v>00</v>
      </c>
      <c r="J922" s="26" t="str">
        <f>"45 "</f>
        <v xml:space="preserve">45 </v>
      </c>
      <c r="K922" s="26" t="str">
        <f t="shared" si="149"/>
        <v>PR</v>
      </c>
      <c r="L922" s="26" t="str">
        <f t="shared" si="150"/>
        <v>DGOSE</v>
      </c>
      <c r="M922" s="26" t="str">
        <f t="shared" si="147"/>
        <v>FEDERAL</v>
      </c>
      <c r="N922" s="26">
        <v>600</v>
      </c>
      <c r="O922" s="26">
        <v>331</v>
      </c>
      <c r="P922" s="26">
        <v>269</v>
      </c>
      <c r="Q922" s="26">
        <v>20</v>
      </c>
      <c r="R922" s="26">
        <v>1</v>
      </c>
      <c r="S922" s="26">
        <v>20</v>
      </c>
      <c r="T922" s="26">
        <v>12</v>
      </c>
      <c r="U922" s="26">
        <v>33</v>
      </c>
      <c r="V922" s="26">
        <v>1</v>
      </c>
      <c r="W922" s="26"/>
    </row>
    <row r="923" spans="1:23" x14ac:dyDescent="0.25">
      <c r="A923" s="26" t="str">
        <f t="shared" si="145"/>
        <v>PRIMARIA</v>
      </c>
      <c r="B923" s="26" t="str">
        <f>"09DPR1975C"</f>
        <v>09DPR1975C</v>
      </c>
      <c r="C923" s="26" t="str">
        <f>"DIEGO RIVERA                                                                                        "</f>
        <v xml:space="preserve">DIEGO RIVERA                                                                                        </v>
      </c>
      <c r="D923" s="26" t="str">
        <f>"JORNADA AMPLIADA"</f>
        <v>JORNADA AMPLIADA</v>
      </c>
      <c r="E923" s="26" t="str">
        <f>"PROLG MOCTEZUMA OTE S/N                                                         "</f>
        <v xml:space="preserve">PROLG MOCTEZUMA OTE S/N                                                         </v>
      </c>
      <c r="F923" s="26" t="str">
        <f>"ROMERO DE TERREROS FRACCIONAMIENTO                                                                                                          "</f>
        <v xml:space="preserve">ROMERO DE TERREROS FRACCIONAMIENTO                                                                                                          </v>
      </c>
      <c r="G923" s="26" t="str">
        <f t="shared" si="151"/>
        <v xml:space="preserve">COYOACAN                                                                        </v>
      </c>
      <c r="H923" s="26" t="str">
        <f>"434"</f>
        <v>434</v>
      </c>
      <c r="I923" s="26" t="str">
        <f t="shared" si="146"/>
        <v>00</v>
      </c>
      <c r="J923" s="26" t="str">
        <f>"44 "</f>
        <v xml:space="preserve">44 </v>
      </c>
      <c r="K923" s="26" t="str">
        <f t="shared" si="149"/>
        <v>PR</v>
      </c>
      <c r="L923" s="26" t="str">
        <f t="shared" si="150"/>
        <v>DGOSE</v>
      </c>
      <c r="M923" s="26" t="str">
        <f t="shared" si="147"/>
        <v>FEDERAL</v>
      </c>
      <c r="N923" s="26">
        <v>354</v>
      </c>
      <c r="O923" s="26">
        <v>189</v>
      </c>
      <c r="P923" s="26">
        <v>165</v>
      </c>
      <c r="Q923" s="26">
        <v>12</v>
      </c>
      <c r="R923" s="26">
        <v>1</v>
      </c>
      <c r="S923" s="26">
        <v>12</v>
      </c>
      <c r="T923" s="26">
        <v>11</v>
      </c>
      <c r="U923" s="26">
        <v>24</v>
      </c>
      <c r="V923" s="26">
        <v>1</v>
      </c>
      <c r="W923" s="26" t="s">
        <v>2076</v>
      </c>
    </row>
    <row r="924" spans="1:23" x14ac:dyDescent="0.25">
      <c r="A924" s="26" t="str">
        <f t="shared" si="145"/>
        <v>PRIMARIA</v>
      </c>
      <c r="B924" s="26" t="str">
        <f>"09DPR1976B"</f>
        <v>09DPR1976B</v>
      </c>
      <c r="C924" s="26" t="str">
        <f>"EJERCITO NACIONAL                                                                                   "</f>
        <v xml:space="preserve">EJERCITO NACIONAL                                                                                   </v>
      </c>
      <c r="D924" s="26" t="str">
        <f>"MATUTINO"</f>
        <v>MATUTINO</v>
      </c>
      <c r="E924" s="26" t="str">
        <f>"LEOPOLDO SALAZAR S/N                                                            "</f>
        <v xml:space="preserve">LEOPOLDO SALAZAR S/N                                                            </v>
      </c>
      <c r="F924" s="26" t="str">
        <f>"COPILCO EL ALTO                                                                                                                             "</f>
        <v xml:space="preserve">COPILCO EL ALTO                                                                                                                             </v>
      </c>
      <c r="G924" s="26" t="str">
        <f t="shared" si="151"/>
        <v xml:space="preserve">COYOACAN                                                                        </v>
      </c>
      <c r="H924" s="26" t="str">
        <f>"501"</f>
        <v>501</v>
      </c>
      <c r="I924" s="26" t="str">
        <f t="shared" si="146"/>
        <v>00</v>
      </c>
      <c r="J924" s="26" t="str">
        <f>"45 "</f>
        <v xml:space="preserve">45 </v>
      </c>
      <c r="K924" s="26" t="str">
        <f t="shared" si="149"/>
        <v>PR</v>
      </c>
      <c r="L924" s="26" t="str">
        <f t="shared" si="150"/>
        <v>DGOSE</v>
      </c>
      <c r="M924" s="26" t="str">
        <f t="shared" si="147"/>
        <v>FEDERAL</v>
      </c>
      <c r="N924" s="26">
        <v>321</v>
      </c>
      <c r="O924" s="26">
        <v>168</v>
      </c>
      <c r="P924" s="26">
        <v>153</v>
      </c>
      <c r="Q924" s="26">
        <v>12</v>
      </c>
      <c r="R924" s="26">
        <v>1</v>
      </c>
      <c r="S924" s="26">
        <v>12</v>
      </c>
      <c r="T924" s="26">
        <v>9</v>
      </c>
      <c r="U924" s="26">
        <v>22</v>
      </c>
      <c r="V924" s="26">
        <v>1</v>
      </c>
      <c r="W924" s="26"/>
    </row>
    <row r="925" spans="1:23" x14ac:dyDescent="0.25">
      <c r="A925" s="26" t="str">
        <f t="shared" si="145"/>
        <v>PRIMARIA</v>
      </c>
      <c r="B925" s="26" t="str">
        <f>"09DPR1977A"</f>
        <v>09DPR1977A</v>
      </c>
      <c r="C925" s="26" t="str">
        <f>"CLUB DE LEONES NUMERO 3                                                                             "</f>
        <v xml:space="preserve">CLUB DE LEONES NUMERO 3                                                                             </v>
      </c>
      <c r="D925" s="26" t="str">
        <f>"JORNADA AMPLIADA"</f>
        <v>JORNADA AMPLIADA</v>
      </c>
      <c r="E925" s="26" t="str">
        <f>"CANDELARIA S/N Y PACIFICO                                                       "</f>
        <v xml:space="preserve">CANDELARIA S/N Y PACIFICO                                                       </v>
      </c>
      <c r="F925" s="26" t="str">
        <f>"LA CANDELARIA                                                                                                                               "</f>
        <v xml:space="preserve">LA CANDELARIA                                                                                                                               </v>
      </c>
      <c r="G925" s="26" t="str">
        <f t="shared" si="151"/>
        <v xml:space="preserve">COYOACAN                                                                        </v>
      </c>
      <c r="H925" s="26" t="str">
        <f>"436"</f>
        <v>436</v>
      </c>
      <c r="I925" s="26" t="str">
        <f t="shared" si="146"/>
        <v>00</v>
      </c>
      <c r="J925" s="26" t="str">
        <f>"44 "</f>
        <v xml:space="preserve">44 </v>
      </c>
      <c r="K925" s="26" t="str">
        <f t="shared" si="149"/>
        <v>PR</v>
      </c>
      <c r="L925" s="26" t="str">
        <f t="shared" si="150"/>
        <v>DGOSE</v>
      </c>
      <c r="M925" s="26" t="str">
        <f t="shared" si="147"/>
        <v>FEDERAL</v>
      </c>
      <c r="N925" s="26">
        <v>642</v>
      </c>
      <c r="O925" s="26">
        <v>334</v>
      </c>
      <c r="P925" s="26">
        <v>308</v>
      </c>
      <c r="Q925" s="26">
        <v>19</v>
      </c>
      <c r="R925" s="26">
        <v>1</v>
      </c>
      <c r="S925" s="26">
        <v>19</v>
      </c>
      <c r="T925" s="26">
        <v>13</v>
      </c>
      <c r="U925" s="26">
        <v>33</v>
      </c>
      <c r="V925" s="26">
        <v>1</v>
      </c>
      <c r="W925" s="26" t="s">
        <v>2076</v>
      </c>
    </row>
    <row r="926" spans="1:23" x14ac:dyDescent="0.25">
      <c r="A926" s="26" t="str">
        <f t="shared" si="145"/>
        <v>PRIMARIA</v>
      </c>
      <c r="B926" s="26" t="str">
        <f>"09DPR1978Z"</f>
        <v>09DPR1978Z</v>
      </c>
      <c r="C926" s="26" t="str">
        <f>"PROFR. CARLOS HERNANDEZ SELVAS                                                                      "</f>
        <v xml:space="preserve">PROFR. CARLOS HERNANDEZ SELVAS                                                                      </v>
      </c>
      <c r="D926" s="26" t="str">
        <f>"MATUTINO"</f>
        <v>MATUTINO</v>
      </c>
      <c r="E926" s="26" t="str">
        <f>"AV AZTECAS S/N ESQ IXTLIXOCHITL                                                 "</f>
        <v xml:space="preserve">AV AZTECAS S/N ESQ IXTLIXOCHITL                                                 </v>
      </c>
      <c r="F926" s="26" t="str">
        <f>"AJUSCO                                                                                                                                      "</f>
        <v xml:space="preserve">AJUSCO                                                                                                                                      </v>
      </c>
      <c r="G926" s="26" t="str">
        <f t="shared" si="151"/>
        <v xml:space="preserve">COYOACAN                                                                        </v>
      </c>
      <c r="H926" s="26" t="str">
        <f>"504"</f>
        <v>504</v>
      </c>
      <c r="I926" s="26" t="str">
        <f t="shared" si="146"/>
        <v>00</v>
      </c>
      <c r="J926" s="26" t="str">
        <f>"45 "</f>
        <v xml:space="preserve">45 </v>
      </c>
      <c r="K926" s="26" t="str">
        <f t="shared" si="149"/>
        <v>PR</v>
      </c>
      <c r="L926" s="26" t="str">
        <f t="shared" si="150"/>
        <v>DGOSE</v>
      </c>
      <c r="M926" s="26" t="str">
        <f t="shared" si="147"/>
        <v>FEDERAL</v>
      </c>
      <c r="N926" s="26">
        <v>424</v>
      </c>
      <c r="O926" s="26">
        <v>219</v>
      </c>
      <c r="P926" s="26">
        <v>205</v>
      </c>
      <c r="Q926" s="26">
        <v>16</v>
      </c>
      <c r="R926" s="26">
        <v>1</v>
      </c>
      <c r="S926" s="26">
        <v>15</v>
      </c>
      <c r="T926" s="26">
        <v>10</v>
      </c>
      <c r="U926" s="26">
        <v>26</v>
      </c>
      <c r="V926" s="26">
        <v>1</v>
      </c>
      <c r="W926" s="26"/>
    </row>
    <row r="927" spans="1:23" x14ac:dyDescent="0.25">
      <c r="A927" s="26" t="str">
        <f t="shared" si="145"/>
        <v>PRIMARIA</v>
      </c>
      <c r="B927" s="26" t="str">
        <f>"09DPR1979Z"</f>
        <v>09DPR1979Z</v>
      </c>
      <c r="C927" s="26" t="str">
        <f>"PROFR. CARLOS HERNANDEZ SELVAS                                                                      "</f>
        <v xml:space="preserve">PROFR. CARLOS HERNANDEZ SELVAS                                                                      </v>
      </c>
      <c r="D927" s="26" t="str">
        <f>"VESPERTINO"</f>
        <v>VESPERTINO</v>
      </c>
      <c r="E927" s="26" t="str">
        <f>"AVENIDA AZTECAS S/N                                                             "</f>
        <v xml:space="preserve">AVENIDA AZTECAS S/N                                                             </v>
      </c>
      <c r="F927" s="26" t="str">
        <f>"AJUSCO                                                                                                                                      "</f>
        <v xml:space="preserve">AJUSCO                                                                                                                                      </v>
      </c>
      <c r="G927" s="26" t="str">
        <f t="shared" si="151"/>
        <v xml:space="preserve">COYOACAN                                                                        </v>
      </c>
      <c r="H927" s="26" t="str">
        <f>"504"</f>
        <v>504</v>
      </c>
      <c r="I927" s="26" t="str">
        <f t="shared" si="146"/>
        <v>00</v>
      </c>
      <c r="J927" s="26" t="str">
        <f>"45 "</f>
        <v xml:space="preserve">45 </v>
      </c>
      <c r="K927" s="26" t="str">
        <f t="shared" si="149"/>
        <v>PR</v>
      </c>
      <c r="L927" s="26" t="str">
        <f t="shared" si="150"/>
        <v>DGOSE</v>
      </c>
      <c r="M927" s="26" t="str">
        <f t="shared" si="147"/>
        <v>FEDERAL</v>
      </c>
      <c r="N927" s="26">
        <v>168</v>
      </c>
      <c r="O927" s="26">
        <v>97</v>
      </c>
      <c r="P927" s="26">
        <v>71</v>
      </c>
      <c r="Q927" s="26">
        <v>9</v>
      </c>
      <c r="R927" s="26">
        <v>1</v>
      </c>
      <c r="S927" s="26">
        <v>9</v>
      </c>
      <c r="T927" s="26">
        <v>7</v>
      </c>
      <c r="U927" s="26">
        <v>17</v>
      </c>
      <c r="V927" s="26">
        <v>1</v>
      </c>
      <c r="W927" s="26"/>
    </row>
    <row r="928" spans="1:23" x14ac:dyDescent="0.25">
      <c r="A928" s="26" t="str">
        <f t="shared" si="145"/>
        <v>PRIMARIA</v>
      </c>
      <c r="B928" s="26" t="str">
        <f>"09DPR1980O"</f>
        <v>09DPR1980O</v>
      </c>
      <c r="C928" s="26" t="str">
        <f>"PROFR. CANDELARIO MEJIA Y CERVANTES                                                                 "</f>
        <v xml:space="preserve">PROFR. CANDELARIO MEJIA Y CERVANTES                                                                 </v>
      </c>
      <c r="D928" s="26" t="str">
        <f>"JORNADA AMPLIADA"</f>
        <v>JORNADA AMPLIADA</v>
      </c>
      <c r="E928" s="26" t="str">
        <f>"PLAZUELA DE LOS REYES S/N                                                       "</f>
        <v xml:space="preserve">PLAZUELA DE LOS REYES S/N                                                       </v>
      </c>
      <c r="F928" s="26" t="str">
        <f>"LOS REYES                                                                                                                                   "</f>
        <v xml:space="preserve">LOS REYES                                                                                                                                   </v>
      </c>
      <c r="G928" s="26" t="str">
        <f t="shared" si="151"/>
        <v xml:space="preserve">COYOACAN                                                                        </v>
      </c>
      <c r="H928" s="26" t="str">
        <f>"436"</f>
        <v>436</v>
      </c>
      <c r="I928" s="26" t="str">
        <f t="shared" si="146"/>
        <v>00</v>
      </c>
      <c r="J928" s="26" t="str">
        <f>"44 "</f>
        <v xml:space="preserve">44 </v>
      </c>
      <c r="K928" s="26" t="str">
        <f t="shared" si="149"/>
        <v>PR</v>
      </c>
      <c r="L928" s="26" t="str">
        <f t="shared" si="150"/>
        <v>DGOSE</v>
      </c>
      <c r="M928" s="26" t="str">
        <f t="shared" si="147"/>
        <v>FEDERAL</v>
      </c>
      <c r="N928" s="26">
        <v>562</v>
      </c>
      <c r="O928" s="26">
        <v>275</v>
      </c>
      <c r="P928" s="26">
        <v>287</v>
      </c>
      <c r="Q928" s="26">
        <v>18</v>
      </c>
      <c r="R928" s="26">
        <v>1</v>
      </c>
      <c r="S928" s="26">
        <v>17</v>
      </c>
      <c r="T928" s="26">
        <v>13</v>
      </c>
      <c r="U928" s="26">
        <v>31</v>
      </c>
      <c r="V928" s="26">
        <v>1</v>
      </c>
      <c r="W928" s="26" t="s">
        <v>2076</v>
      </c>
    </row>
    <row r="929" spans="1:23" x14ac:dyDescent="0.25">
      <c r="A929" s="26" t="str">
        <f t="shared" si="145"/>
        <v>PRIMARIA</v>
      </c>
      <c r="B929" s="26" t="str">
        <f>"09DPR1984K"</f>
        <v>09DPR1984K</v>
      </c>
      <c r="C929" s="26" t="str">
        <f>"REPUBLICA DE BULGARIA                                                                               "</f>
        <v xml:space="preserve">REPUBLICA DE BULGARIA                                                                               </v>
      </c>
      <c r="D929" s="26" t="str">
        <f>"JORNADA AMPLIADA"</f>
        <v>JORNADA AMPLIADA</v>
      </c>
      <c r="E929" s="26" t="str">
        <f>"CALLE ETA S/N                                                                   "</f>
        <v xml:space="preserve">CALLE ETA S/N                                                                   </v>
      </c>
      <c r="F929" s="26" t="str">
        <f>"MANUEL ROMERO DE TERREROS                                                                                                                   "</f>
        <v xml:space="preserve">MANUEL ROMERO DE TERREROS                                                                                                                   </v>
      </c>
      <c r="G929" s="26" t="str">
        <f t="shared" si="151"/>
        <v xml:space="preserve">COYOACAN                                                                        </v>
      </c>
      <c r="H929" s="26" t="str">
        <f>"433"</f>
        <v>433</v>
      </c>
      <c r="I929" s="26" t="str">
        <f t="shared" si="146"/>
        <v>00</v>
      </c>
      <c r="J929" s="26" t="str">
        <f>"44 "</f>
        <v xml:space="preserve">44 </v>
      </c>
      <c r="K929" s="26" t="str">
        <f t="shared" si="149"/>
        <v>PR</v>
      </c>
      <c r="L929" s="26" t="str">
        <f t="shared" si="150"/>
        <v>DGOSE</v>
      </c>
      <c r="M929" s="26" t="str">
        <f t="shared" si="147"/>
        <v>FEDERAL</v>
      </c>
      <c r="N929" s="26">
        <v>352</v>
      </c>
      <c r="O929" s="26">
        <v>167</v>
      </c>
      <c r="P929" s="26">
        <v>185</v>
      </c>
      <c r="Q929" s="26">
        <v>12</v>
      </c>
      <c r="R929" s="26">
        <v>1</v>
      </c>
      <c r="S929" s="26">
        <v>12</v>
      </c>
      <c r="T929" s="26">
        <v>10</v>
      </c>
      <c r="U929" s="26">
        <v>23</v>
      </c>
      <c r="V929" s="26">
        <v>1</v>
      </c>
      <c r="W929" s="26" t="s">
        <v>2076</v>
      </c>
    </row>
    <row r="930" spans="1:23" x14ac:dyDescent="0.25">
      <c r="A930" s="26" t="str">
        <f t="shared" si="145"/>
        <v>PRIMARIA</v>
      </c>
      <c r="B930" s="26" t="str">
        <f>"09DPR1985J"</f>
        <v>09DPR1985J</v>
      </c>
      <c r="C930" s="26" t="str">
        <f>"GENERAL FELIPE ANGELES                                                                              "</f>
        <v xml:space="preserve">GENERAL FELIPE ANGELES                                                                              </v>
      </c>
      <c r="D930" s="26" t="str">
        <f>"MATUTINO"</f>
        <v>MATUTINO</v>
      </c>
      <c r="E930" s="26" t="str">
        <f>"JOHN F KENNEDY NO 1                                                             "</f>
        <v xml:space="preserve">JOHN F KENNEDY NO 1                                                             </v>
      </c>
      <c r="F930" s="26" t="str">
        <f>"ISIDRO FABELA                                                                                                                               "</f>
        <v xml:space="preserve">ISIDRO FABELA                                                                                                                               </v>
      </c>
      <c r="G930" s="26" t="str">
        <f t="shared" ref="G930:G936" si="152">"TLALPAN                                                                         "</f>
        <v xml:space="preserve">TLALPAN                                                                         </v>
      </c>
      <c r="H930" s="26" t="str">
        <f>"519"</f>
        <v>519</v>
      </c>
      <c r="I930" s="26" t="str">
        <f t="shared" si="146"/>
        <v>00</v>
      </c>
      <c r="J930" s="26" t="str">
        <f>"45 "</f>
        <v xml:space="preserve">45 </v>
      </c>
      <c r="K930" s="26" t="str">
        <f t="shared" si="149"/>
        <v>PR</v>
      </c>
      <c r="L930" s="26" t="str">
        <f t="shared" si="150"/>
        <v>DGOSE</v>
      </c>
      <c r="M930" s="26" t="str">
        <f t="shared" si="147"/>
        <v>FEDERAL</v>
      </c>
      <c r="N930" s="26">
        <v>354</v>
      </c>
      <c r="O930" s="26">
        <v>198</v>
      </c>
      <c r="P930" s="26">
        <v>156</v>
      </c>
      <c r="Q930" s="26">
        <v>14</v>
      </c>
      <c r="R930" s="26">
        <v>0</v>
      </c>
      <c r="S930" s="26">
        <v>9</v>
      </c>
      <c r="T930" s="26">
        <v>7</v>
      </c>
      <c r="U930" s="26">
        <v>16</v>
      </c>
      <c r="V930" s="26">
        <v>1</v>
      </c>
      <c r="W930" s="26"/>
    </row>
    <row r="931" spans="1:23" x14ac:dyDescent="0.25">
      <c r="A931" s="26" t="str">
        <f t="shared" si="145"/>
        <v>PRIMARIA</v>
      </c>
      <c r="B931" s="26" t="str">
        <f>"09DPR1986I"</f>
        <v>09DPR1986I</v>
      </c>
      <c r="C931" s="26" t="str">
        <f>"FRANCISCO I. MADERO                                                                                 "</f>
        <v xml:space="preserve">FRANCISCO I. MADERO                                                                                 </v>
      </c>
      <c r="D931" s="26" t="str">
        <f>"VESPERTINO"</f>
        <v>VESPERTINO</v>
      </c>
      <c r="E931" s="26" t="str">
        <f>"DAMIAN CARMONA 5                                                                "</f>
        <v xml:space="preserve">DAMIAN CARMONA 5                                                                </v>
      </c>
      <c r="F931" s="26" t="str">
        <f>"SANTO TOMAS AJUSCO                                                                                                                          "</f>
        <v xml:space="preserve">SANTO TOMAS AJUSCO                                                                                                                          </v>
      </c>
      <c r="G931" s="26" t="str">
        <f t="shared" si="152"/>
        <v xml:space="preserve">TLALPAN                                                                         </v>
      </c>
      <c r="H931" s="26" t="str">
        <f>"530"</f>
        <v>530</v>
      </c>
      <c r="I931" s="26" t="str">
        <f t="shared" si="146"/>
        <v>00</v>
      </c>
      <c r="J931" s="26" t="str">
        <f>"45 "</f>
        <v xml:space="preserve">45 </v>
      </c>
      <c r="K931" s="26" t="str">
        <f t="shared" si="149"/>
        <v>PR</v>
      </c>
      <c r="L931" s="26" t="str">
        <f t="shared" si="150"/>
        <v>DGOSE</v>
      </c>
      <c r="M931" s="26" t="str">
        <f t="shared" si="147"/>
        <v>FEDERAL</v>
      </c>
      <c r="N931" s="26">
        <v>772</v>
      </c>
      <c r="O931" s="26">
        <v>404</v>
      </c>
      <c r="P931" s="26">
        <v>368</v>
      </c>
      <c r="Q931" s="26">
        <v>20</v>
      </c>
      <c r="R931" s="26">
        <v>1</v>
      </c>
      <c r="S931" s="26">
        <v>16</v>
      </c>
      <c r="T931" s="26">
        <v>10</v>
      </c>
      <c r="U931" s="26">
        <v>27</v>
      </c>
      <c r="V931" s="26">
        <v>1</v>
      </c>
      <c r="W931" s="26"/>
    </row>
    <row r="932" spans="1:23" x14ac:dyDescent="0.25">
      <c r="A932" s="26" t="str">
        <f t="shared" si="145"/>
        <v>PRIMARIA</v>
      </c>
      <c r="B932" s="26" t="str">
        <f>"09DPR1987H"</f>
        <v>09DPR1987H</v>
      </c>
      <c r="C932" s="26" t="str">
        <f>"FRANCISCO I. MADERO                                                                                 "</f>
        <v xml:space="preserve">FRANCISCO I. MADERO                                                                                 </v>
      </c>
      <c r="D932" s="26" t="str">
        <f>"MATUTINO"</f>
        <v>MATUTINO</v>
      </c>
      <c r="E932" s="26" t="str">
        <f>"DAMIAN CARMONA 5                                                                "</f>
        <v xml:space="preserve">DAMIAN CARMONA 5                                                                </v>
      </c>
      <c r="F932" s="26" t="str">
        <f>"SANTO TOMAS AJUSCO                                                                                                                          "</f>
        <v xml:space="preserve">SANTO TOMAS AJUSCO                                                                                                                          </v>
      </c>
      <c r="G932" s="26" t="str">
        <f t="shared" si="152"/>
        <v xml:space="preserve">TLALPAN                                                                         </v>
      </c>
      <c r="H932" s="26" t="str">
        <f>"530"</f>
        <v>530</v>
      </c>
      <c r="I932" s="26" t="str">
        <f t="shared" si="146"/>
        <v>00</v>
      </c>
      <c r="J932" s="26" t="str">
        <f>"45 "</f>
        <v xml:space="preserve">45 </v>
      </c>
      <c r="K932" s="26" t="str">
        <f t="shared" si="149"/>
        <v>PR</v>
      </c>
      <c r="L932" s="26" t="str">
        <f t="shared" si="150"/>
        <v>DGOSE</v>
      </c>
      <c r="M932" s="26" t="str">
        <f t="shared" si="147"/>
        <v>FEDERAL</v>
      </c>
      <c r="N932" s="26">
        <v>808</v>
      </c>
      <c r="O932" s="26">
        <v>417</v>
      </c>
      <c r="P932" s="26">
        <v>391</v>
      </c>
      <c r="Q932" s="26">
        <v>20</v>
      </c>
      <c r="R932" s="26">
        <v>1</v>
      </c>
      <c r="S932" s="26">
        <v>18</v>
      </c>
      <c r="T932" s="26">
        <v>14</v>
      </c>
      <c r="U932" s="26">
        <v>33</v>
      </c>
      <c r="V932" s="26">
        <v>1</v>
      </c>
      <c r="W932" s="26"/>
    </row>
    <row r="933" spans="1:23" x14ac:dyDescent="0.25">
      <c r="A933" s="26" t="str">
        <f t="shared" si="145"/>
        <v>PRIMARIA</v>
      </c>
      <c r="B933" s="26" t="str">
        <f>"09DPR1988G"</f>
        <v>09DPR1988G</v>
      </c>
      <c r="C933" s="26" t="str">
        <f>"CAJEME                                                                                              "</f>
        <v xml:space="preserve">CAJEME                                                                                              </v>
      </c>
      <c r="D933" s="26" t="str">
        <f>"MATUTINO"</f>
        <v>MATUTINO</v>
      </c>
      <c r="E933" s="26" t="str">
        <f>"MORELOS NUM 10                                                                  "</f>
        <v xml:space="preserve">MORELOS NUM 10                                                                  </v>
      </c>
      <c r="F933" s="26" t="str">
        <f>"SAN ANDRES TOTOLTEPEC                                                                                                                       "</f>
        <v xml:space="preserve">SAN ANDRES TOTOLTEPEC                                                                                                                       </v>
      </c>
      <c r="G933" s="26" t="str">
        <f t="shared" si="152"/>
        <v xml:space="preserve">TLALPAN                                                                         </v>
      </c>
      <c r="H933" s="26" t="str">
        <f>"529"</f>
        <v>529</v>
      </c>
      <c r="I933" s="26" t="str">
        <f t="shared" si="146"/>
        <v>00</v>
      </c>
      <c r="J933" s="26" t="str">
        <f>"45 "</f>
        <v xml:space="preserve">45 </v>
      </c>
      <c r="K933" s="26" t="str">
        <f t="shared" si="149"/>
        <v>PR</v>
      </c>
      <c r="L933" s="26" t="str">
        <f t="shared" si="150"/>
        <v>DGOSE</v>
      </c>
      <c r="M933" s="26" t="str">
        <f t="shared" si="147"/>
        <v>FEDERAL</v>
      </c>
      <c r="N933" s="26">
        <v>272</v>
      </c>
      <c r="O933" s="26">
        <v>144</v>
      </c>
      <c r="P933" s="26">
        <v>128</v>
      </c>
      <c r="Q933" s="26">
        <v>7</v>
      </c>
      <c r="R933" s="26">
        <v>1</v>
      </c>
      <c r="S933" s="26">
        <v>7</v>
      </c>
      <c r="T933" s="26">
        <v>4</v>
      </c>
      <c r="U933" s="26">
        <v>12</v>
      </c>
      <c r="V933" s="26">
        <v>1</v>
      </c>
      <c r="W933" s="26"/>
    </row>
    <row r="934" spans="1:23" x14ac:dyDescent="0.25">
      <c r="A934" s="26" t="str">
        <f t="shared" si="145"/>
        <v>PRIMARIA</v>
      </c>
      <c r="B934" s="26" t="str">
        <f>"09DPR1990V"</f>
        <v>09DPR1990V</v>
      </c>
      <c r="C934" s="26" t="str">
        <f>"ESTADO DE SAN LUIS POTOSI                                                                           "</f>
        <v xml:space="preserve">ESTADO DE SAN LUIS POTOSI                                                                           </v>
      </c>
      <c r="D934" s="26" t="str">
        <f>"VESPERTINO"</f>
        <v>VESPERTINO</v>
      </c>
      <c r="E934" s="26" t="str">
        <f>"ACUEDUCTO Y SN JUAN BOSCO NO 39                                                 "</f>
        <v xml:space="preserve">ACUEDUCTO Y SN JUAN BOSCO NO 39                                                 </v>
      </c>
      <c r="F934" s="26" t="str">
        <f>"HUIPULCO                                                                                                                                    "</f>
        <v xml:space="preserve">HUIPULCO                                                                                                                                    </v>
      </c>
      <c r="G934" s="26" t="str">
        <f t="shared" si="152"/>
        <v xml:space="preserve">TLALPAN                                                                         </v>
      </c>
      <c r="H934" s="26" t="str">
        <f>"524"</f>
        <v>524</v>
      </c>
      <c r="I934" s="26" t="str">
        <f t="shared" si="146"/>
        <v>00</v>
      </c>
      <c r="J934" s="26" t="str">
        <f>"45 "</f>
        <v xml:space="preserve">45 </v>
      </c>
      <c r="K934" s="26" t="str">
        <f t="shared" si="149"/>
        <v>PR</v>
      </c>
      <c r="L934" s="26" t="str">
        <f t="shared" si="150"/>
        <v>DGOSE</v>
      </c>
      <c r="M934" s="26" t="str">
        <f t="shared" si="147"/>
        <v>FEDERAL</v>
      </c>
      <c r="N934" s="26">
        <v>139</v>
      </c>
      <c r="O934" s="26">
        <v>73</v>
      </c>
      <c r="P934" s="26">
        <v>66</v>
      </c>
      <c r="Q934" s="26">
        <v>6</v>
      </c>
      <c r="R934" s="26">
        <v>1</v>
      </c>
      <c r="S934" s="26">
        <v>6</v>
      </c>
      <c r="T934" s="26">
        <v>5</v>
      </c>
      <c r="U934" s="26">
        <v>12</v>
      </c>
      <c r="V934" s="26">
        <v>1</v>
      </c>
      <c r="W934" s="26"/>
    </row>
    <row r="935" spans="1:23" x14ac:dyDescent="0.25">
      <c r="A935" s="26" t="str">
        <f t="shared" si="145"/>
        <v>PRIMARIA</v>
      </c>
      <c r="B935" s="26" t="str">
        <f>"09DPR1991U"</f>
        <v>09DPR1991U</v>
      </c>
      <c r="C935" s="26" t="str">
        <f>"ESTADO DE NAYARIT                                                                                   "</f>
        <v xml:space="preserve">ESTADO DE NAYARIT                                                                                   </v>
      </c>
      <c r="D935" s="26" t="str">
        <f>"JORNADA AMPLIADA"</f>
        <v>JORNADA AMPLIADA</v>
      </c>
      <c r="E935" s="26" t="str">
        <f>"VALLE DE LOS ANGELES 22                                                         "</f>
        <v xml:space="preserve">VALLE DE LOS ANGELES 22                                                         </v>
      </c>
      <c r="F935" s="26" t="str">
        <f>"GUARDA PARRES                                                                                                                               "</f>
        <v xml:space="preserve">GUARDA PARRES                                                                                                                               </v>
      </c>
      <c r="G935" s="26" t="str">
        <f t="shared" si="152"/>
        <v xml:space="preserve">TLALPAN                                                                         </v>
      </c>
      <c r="H935" s="26" t="str">
        <f>"447"</f>
        <v>447</v>
      </c>
      <c r="I935" s="26" t="str">
        <f t="shared" si="146"/>
        <v>00</v>
      </c>
      <c r="J935" s="26" t="str">
        <f>"44 "</f>
        <v xml:space="preserve">44 </v>
      </c>
      <c r="K935" s="26" t="str">
        <f t="shared" si="149"/>
        <v>PR</v>
      </c>
      <c r="L935" s="26" t="str">
        <f t="shared" si="150"/>
        <v>DGOSE</v>
      </c>
      <c r="M935" s="26" t="str">
        <f t="shared" si="147"/>
        <v>FEDERAL</v>
      </c>
      <c r="N935" s="26">
        <v>410</v>
      </c>
      <c r="O935" s="26">
        <v>203</v>
      </c>
      <c r="P935" s="26">
        <v>207</v>
      </c>
      <c r="Q935" s="26">
        <v>12</v>
      </c>
      <c r="R935" s="26">
        <v>1</v>
      </c>
      <c r="S935" s="26">
        <v>12</v>
      </c>
      <c r="T935" s="26">
        <v>9</v>
      </c>
      <c r="U935" s="26">
        <v>22</v>
      </c>
      <c r="V935" s="26">
        <v>1</v>
      </c>
      <c r="W935" s="26" t="s">
        <v>2076</v>
      </c>
    </row>
    <row r="936" spans="1:23" x14ac:dyDescent="0.25">
      <c r="A936" s="26" t="str">
        <f t="shared" si="145"/>
        <v>PRIMARIA</v>
      </c>
      <c r="B936" s="26" t="str">
        <f>"09DPR1992T"</f>
        <v>09DPR1992T</v>
      </c>
      <c r="C936" s="26" t="str">
        <f>"ESTADO DE SAN LUIS POTOSI                                                                           "</f>
        <v xml:space="preserve">ESTADO DE SAN LUIS POTOSI                                                                           </v>
      </c>
      <c r="D936" s="26" t="str">
        <f>"MATUTINO"</f>
        <v>MATUTINO</v>
      </c>
      <c r="E936" s="26" t="str">
        <f>"ACUEDUCTO Y SN JUAN BOSCO NUM 39                                                "</f>
        <v xml:space="preserve">ACUEDUCTO Y SN JUAN BOSCO NUM 39                                                </v>
      </c>
      <c r="F936" s="26" t="str">
        <f>"HUIPULCO                                                                                                                                    "</f>
        <v xml:space="preserve">HUIPULCO                                                                                                                                    </v>
      </c>
      <c r="G936" s="26" t="str">
        <f t="shared" si="152"/>
        <v xml:space="preserve">TLALPAN                                                                         </v>
      </c>
      <c r="H936" s="26" t="str">
        <f>"524"</f>
        <v>524</v>
      </c>
      <c r="I936" s="26" t="str">
        <f t="shared" si="146"/>
        <v>00</v>
      </c>
      <c r="J936" s="26" t="str">
        <f>"45 "</f>
        <v xml:space="preserve">45 </v>
      </c>
      <c r="K936" s="26" t="str">
        <f t="shared" si="149"/>
        <v>PR</v>
      </c>
      <c r="L936" s="26" t="str">
        <f t="shared" si="150"/>
        <v>DGOSE</v>
      </c>
      <c r="M936" s="26" t="str">
        <f t="shared" si="147"/>
        <v>FEDERAL</v>
      </c>
      <c r="N936" s="26">
        <v>462</v>
      </c>
      <c r="O936" s="26">
        <v>226</v>
      </c>
      <c r="P936" s="26">
        <v>236</v>
      </c>
      <c r="Q936" s="26">
        <v>18</v>
      </c>
      <c r="R936" s="26">
        <v>1</v>
      </c>
      <c r="S936" s="26">
        <v>18</v>
      </c>
      <c r="T936" s="26">
        <v>9</v>
      </c>
      <c r="U936" s="26">
        <v>28</v>
      </c>
      <c r="V936" s="26">
        <v>1</v>
      </c>
      <c r="W936" s="26"/>
    </row>
    <row r="937" spans="1:23" x14ac:dyDescent="0.25">
      <c r="A937" s="26" t="str">
        <f t="shared" si="145"/>
        <v>PRIMARIA</v>
      </c>
      <c r="B937" s="26" t="str">
        <f>"09DPR1994R"</f>
        <v>09DPR1994R</v>
      </c>
      <c r="C937" s="26" t="str">
        <f>"ESPARTACO                                                                                           "</f>
        <v xml:space="preserve">ESPARTACO                                                                                           </v>
      </c>
      <c r="D937" s="26" t="str">
        <f>"JORNADA AMPLIADA"</f>
        <v>JORNADA AMPLIADA</v>
      </c>
      <c r="E937" s="26" t="str">
        <f>"CALLE 8 S/N                                                                     "</f>
        <v xml:space="preserve">CALLE 8 S/N                                                                     </v>
      </c>
      <c r="F937" s="26" t="str">
        <f>"ESPARTACO                                                                                                                                   "</f>
        <v xml:space="preserve">ESPARTACO                                                                                                                                   </v>
      </c>
      <c r="G937" s="26" t="str">
        <f>"COYOACAN                                                                        "</f>
        <v xml:space="preserve">COYOACAN                                                                        </v>
      </c>
      <c r="H937" s="26" t="str">
        <f>"440"</f>
        <v>440</v>
      </c>
      <c r="I937" s="26" t="str">
        <f t="shared" si="146"/>
        <v>00</v>
      </c>
      <c r="J937" s="26" t="str">
        <f>"44 "</f>
        <v xml:space="preserve">44 </v>
      </c>
      <c r="K937" s="26" t="str">
        <f t="shared" si="149"/>
        <v>PR</v>
      </c>
      <c r="L937" s="26" t="str">
        <f t="shared" si="150"/>
        <v>DGOSE</v>
      </c>
      <c r="M937" s="26" t="str">
        <f t="shared" si="147"/>
        <v>FEDERAL</v>
      </c>
      <c r="N937" s="26">
        <v>423</v>
      </c>
      <c r="O937" s="26">
        <v>208</v>
      </c>
      <c r="P937" s="26">
        <v>215</v>
      </c>
      <c r="Q937" s="26">
        <v>15</v>
      </c>
      <c r="R937" s="26">
        <v>1</v>
      </c>
      <c r="S937" s="26">
        <v>15</v>
      </c>
      <c r="T937" s="26">
        <v>9</v>
      </c>
      <c r="U937" s="26">
        <v>25</v>
      </c>
      <c r="V937" s="26">
        <v>1</v>
      </c>
      <c r="W937" s="26" t="s">
        <v>2076</v>
      </c>
    </row>
    <row r="938" spans="1:23" x14ac:dyDescent="0.25">
      <c r="A938" s="26" t="str">
        <f t="shared" si="145"/>
        <v>PRIMARIA</v>
      </c>
      <c r="B938" s="26" t="str">
        <f>"09DPR1995Q"</f>
        <v>09DPR1995Q</v>
      </c>
      <c r="C938" s="26" t="str">
        <f>"PROFR. XAVIER MEJÍA                                                                                 "</f>
        <v xml:space="preserve">PROFR. XAVIER MEJÍA                                                                                 </v>
      </c>
      <c r="D938" s="26" t="str">
        <f>"JORNADA AMPLIADA"</f>
        <v>JORNADA AMPLIADA</v>
      </c>
      <c r="E938" s="26" t="str">
        <f>"CALZ DE TLALPAN NO 3352                                                         "</f>
        <v xml:space="preserve">CALZ DE TLALPAN NO 3352                                                         </v>
      </c>
      <c r="F938" s="26" t="str">
        <f>"SANTA URSULA COAPA                                                                                                                          "</f>
        <v xml:space="preserve">SANTA URSULA COAPA                                                                                                                          </v>
      </c>
      <c r="G938" s="26" t="str">
        <f>"COYOACAN                                                                        "</f>
        <v xml:space="preserve">COYOACAN                                                                        </v>
      </c>
      <c r="H938" s="26" t="str">
        <f>"436"</f>
        <v>436</v>
      </c>
      <c r="I938" s="26" t="str">
        <f t="shared" si="146"/>
        <v>00</v>
      </c>
      <c r="J938" s="26" t="str">
        <f>"44 "</f>
        <v xml:space="preserve">44 </v>
      </c>
      <c r="K938" s="26" t="str">
        <f t="shared" si="149"/>
        <v>PR</v>
      </c>
      <c r="L938" s="26" t="str">
        <f t="shared" si="150"/>
        <v>DGOSE</v>
      </c>
      <c r="M938" s="26" t="str">
        <f t="shared" si="147"/>
        <v>FEDERAL</v>
      </c>
      <c r="N938" s="26">
        <v>543</v>
      </c>
      <c r="O938" s="26">
        <v>285</v>
      </c>
      <c r="P938" s="26">
        <v>258</v>
      </c>
      <c r="Q938" s="26">
        <v>18</v>
      </c>
      <c r="R938" s="26">
        <v>1</v>
      </c>
      <c r="S938" s="26">
        <v>18</v>
      </c>
      <c r="T938" s="26">
        <v>11</v>
      </c>
      <c r="U938" s="26">
        <v>30</v>
      </c>
      <c r="V938" s="26">
        <v>1</v>
      </c>
      <c r="W938" s="26" t="s">
        <v>2076</v>
      </c>
    </row>
    <row r="939" spans="1:23" x14ac:dyDescent="0.25">
      <c r="A939" s="26" t="str">
        <f t="shared" si="145"/>
        <v>PRIMARIA</v>
      </c>
      <c r="B939" s="26" t="str">
        <f>"09DPR1996P"</f>
        <v>09DPR1996P</v>
      </c>
      <c r="C939" s="26" t="str">
        <f>"IGNACIO RAMIREZ                                                                                     "</f>
        <v xml:space="preserve">IGNACIO RAMIREZ                                                                                     </v>
      </c>
      <c r="D939" s="26" t="str">
        <f>"VESPERTINO"</f>
        <v>VESPERTINO</v>
      </c>
      <c r="E939" s="26" t="str">
        <f>"PEDRO RAMIREZ DEL CASTILLO S/N                                                  "</f>
        <v xml:space="preserve">PEDRO RAMIREZ DEL CASTILLO S/N                                                  </v>
      </c>
      <c r="F939" s="26" t="str">
        <f>"SAN PEDRO                                                                                                                                   "</f>
        <v xml:space="preserve">SAN PEDRO                                                                                                                                   </v>
      </c>
      <c r="G939" s="26" t="str">
        <f>"XOCHIMILCO                                                                      "</f>
        <v xml:space="preserve">XOCHIMILCO                                                                      </v>
      </c>
      <c r="H939" s="26" t="str">
        <f>"537"</f>
        <v>537</v>
      </c>
      <c r="I939" s="26" t="str">
        <f t="shared" si="146"/>
        <v>00</v>
      </c>
      <c r="J939" s="26" t="str">
        <f>"45 "</f>
        <v xml:space="preserve">45 </v>
      </c>
      <c r="K939" s="26" t="str">
        <f t="shared" si="149"/>
        <v>PR</v>
      </c>
      <c r="L939" s="26" t="str">
        <f t="shared" si="150"/>
        <v>DGOSE</v>
      </c>
      <c r="M939" s="26" t="str">
        <f t="shared" si="147"/>
        <v>FEDERAL</v>
      </c>
      <c r="N939" s="26">
        <v>243</v>
      </c>
      <c r="O939" s="26">
        <v>126</v>
      </c>
      <c r="P939" s="26">
        <v>117</v>
      </c>
      <c r="Q939" s="26">
        <v>15</v>
      </c>
      <c r="R939" s="26">
        <v>1</v>
      </c>
      <c r="S939" s="26">
        <v>13</v>
      </c>
      <c r="T939" s="26">
        <v>10</v>
      </c>
      <c r="U939" s="26">
        <v>24</v>
      </c>
      <c r="V939" s="26">
        <v>1</v>
      </c>
      <c r="W939" s="26"/>
    </row>
    <row r="940" spans="1:23" x14ac:dyDescent="0.25">
      <c r="A940" s="26" t="str">
        <f t="shared" si="145"/>
        <v>PRIMARIA</v>
      </c>
      <c r="B940" s="26" t="str">
        <f>"09DPR1997O"</f>
        <v>09DPR1997O</v>
      </c>
      <c r="C940" s="26" t="str">
        <f>"TIBURCIO MONTIEL                                                                                    "</f>
        <v xml:space="preserve">TIBURCIO MONTIEL                                                                                    </v>
      </c>
      <c r="D940" s="26" t="str">
        <f>"VESPERTINO"</f>
        <v>VESPERTINO</v>
      </c>
      <c r="E940" s="26" t="str">
        <f>"5 DE MAYO NUM. 55                                                               "</f>
        <v xml:space="preserve">5 DE MAYO NUM. 55                                                               </v>
      </c>
      <c r="F940" s="26" t="str">
        <f>"SAN ANDRES TOTOLTEPEC                                                                                                                       "</f>
        <v xml:space="preserve">SAN ANDRES TOTOLTEPEC                                                                                                                       </v>
      </c>
      <c r="G940" s="26" t="str">
        <f>"TLALPAN                                                                         "</f>
        <v xml:space="preserve">TLALPAN                                                                         </v>
      </c>
      <c r="H940" s="26" t="str">
        <f>"528"</f>
        <v>528</v>
      </c>
      <c r="I940" s="26" t="str">
        <f t="shared" si="146"/>
        <v>00</v>
      </c>
      <c r="J940" s="26" t="str">
        <f>"45 "</f>
        <v xml:space="preserve">45 </v>
      </c>
      <c r="K940" s="26" t="str">
        <f t="shared" si="149"/>
        <v>PR</v>
      </c>
      <c r="L940" s="26" t="str">
        <f t="shared" si="150"/>
        <v>DGOSE</v>
      </c>
      <c r="M940" s="26" t="str">
        <f t="shared" si="147"/>
        <v>FEDERAL</v>
      </c>
      <c r="N940" s="26">
        <v>651</v>
      </c>
      <c r="O940" s="26">
        <v>328</v>
      </c>
      <c r="P940" s="26">
        <v>323</v>
      </c>
      <c r="Q940" s="26">
        <v>19</v>
      </c>
      <c r="R940" s="26">
        <v>1</v>
      </c>
      <c r="S940" s="26">
        <v>19</v>
      </c>
      <c r="T940" s="26">
        <v>9</v>
      </c>
      <c r="U940" s="26">
        <v>29</v>
      </c>
      <c r="V940" s="26">
        <v>1</v>
      </c>
      <c r="W940" s="26"/>
    </row>
    <row r="941" spans="1:23" x14ac:dyDescent="0.25">
      <c r="A941" s="26" t="str">
        <f t="shared" si="145"/>
        <v>PRIMARIA</v>
      </c>
      <c r="B941" s="26" t="str">
        <f>"09DPR1998N"</f>
        <v>09DPR1998N</v>
      </c>
      <c r="C941" s="26" t="str">
        <f>"QUILAZTLI                                                                                           "</f>
        <v xml:space="preserve">QUILAZTLI                                                                                           </v>
      </c>
      <c r="D941" s="26" t="str">
        <f>"VESPERTINO"</f>
        <v>VESPERTINO</v>
      </c>
      <c r="E941" s="26" t="str">
        <f>"MORELOS Y SELVA S/N                                                             "</f>
        <v xml:space="preserve">MORELOS Y SELVA S/N                                                             </v>
      </c>
      <c r="F941" s="26" t="str">
        <f>"XALTOCAN                                                                                                                                    "</f>
        <v xml:space="preserve">XALTOCAN                                                                                                                                    </v>
      </c>
      <c r="G941" s="26" t="str">
        <f>"XOCHIMILCO                                                                      "</f>
        <v xml:space="preserve">XOCHIMILCO                                                                      </v>
      </c>
      <c r="H941" s="26" t="str">
        <f>"538"</f>
        <v>538</v>
      </c>
      <c r="I941" s="26" t="str">
        <f t="shared" si="146"/>
        <v>00</v>
      </c>
      <c r="J941" s="26" t="str">
        <f>"45 "</f>
        <v xml:space="preserve">45 </v>
      </c>
      <c r="K941" s="26" t="str">
        <f t="shared" si="149"/>
        <v>PR</v>
      </c>
      <c r="L941" s="26" t="str">
        <f t="shared" si="150"/>
        <v>DGOSE</v>
      </c>
      <c r="M941" s="26" t="str">
        <f t="shared" si="147"/>
        <v>FEDERAL</v>
      </c>
      <c r="N941" s="26">
        <v>268</v>
      </c>
      <c r="O941" s="26">
        <v>140</v>
      </c>
      <c r="P941" s="26">
        <v>128</v>
      </c>
      <c r="Q941" s="26">
        <v>10</v>
      </c>
      <c r="R941" s="26">
        <v>2</v>
      </c>
      <c r="S941" s="26">
        <v>10</v>
      </c>
      <c r="T941" s="26">
        <v>7</v>
      </c>
      <c r="U941" s="26">
        <v>19</v>
      </c>
      <c r="V941" s="26">
        <v>1</v>
      </c>
      <c r="W941" s="26"/>
    </row>
    <row r="942" spans="1:23" x14ac:dyDescent="0.25">
      <c r="A942" s="26" t="str">
        <f t="shared" si="145"/>
        <v>PRIMARIA</v>
      </c>
      <c r="B942" s="26" t="str">
        <f>"09DPR1999M"</f>
        <v>09DPR1999M</v>
      </c>
      <c r="C942" s="26" t="str">
        <f>"TIBURCIO MONTIEL                                                                                    "</f>
        <v xml:space="preserve">TIBURCIO MONTIEL                                                                                    </v>
      </c>
      <c r="D942" s="26" t="str">
        <f>"MATUTINO"</f>
        <v>MATUTINO</v>
      </c>
      <c r="E942" s="26" t="str">
        <f>"5 DE MAYO NO 55                                                                 "</f>
        <v xml:space="preserve">5 DE MAYO NO 55                                                                 </v>
      </c>
      <c r="F942" s="26" t="str">
        <f>"SAN ANDRES TOTOLTEPEC                                                                                                                       "</f>
        <v xml:space="preserve">SAN ANDRES TOTOLTEPEC                                                                                                                       </v>
      </c>
      <c r="G942" s="26" t="str">
        <f t="shared" ref="G942:G955" si="153">"TLALPAN                                                                         "</f>
        <v xml:space="preserve">TLALPAN                                                                         </v>
      </c>
      <c r="H942" s="26" t="str">
        <f>"528"</f>
        <v>528</v>
      </c>
      <c r="I942" s="26" t="str">
        <f t="shared" si="146"/>
        <v>00</v>
      </c>
      <c r="J942" s="26" t="str">
        <f>"45 "</f>
        <v xml:space="preserve">45 </v>
      </c>
      <c r="K942" s="26" t="str">
        <f t="shared" si="149"/>
        <v>PR</v>
      </c>
      <c r="L942" s="26" t="str">
        <f t="shared" si="150"/>
        <v>DGOSE</v>
      </c>
      <c r="M942" s="26" t="str">
        <f t="shared" si="147"/>
        <v>FEDERAL</v>
      </c>
      <c r="N942" s="26">
        <v>762</v>
      </c>
      <c r="O942" s="26">
        <v>363</v>
      </c>
      <c r="P942" s="26">
        <v>399</v>
      </c>
      <c r="Q942" s="26">
        <v>19</v>
      </c>
      <c r="R942" s="26">
        <v>1</v>
      </c>
      <c r="S942" s="26">
        <v>18</v>
      </c>
      <c r="T942" s="26">
        <v>9</v>
      </c>
      <c r="U942" s="26">
        <v>28</v>
      </c>
      <c r="V942" s="26">
        <v>1</v>
      </c>
      <c r="W942" s="26"/>
    </row>
    <row r="943" spans="1:23" x14ac:dyDescent="0.25">
      <c r="A943" s="26" t="str">
        <f t="shared" si="145"/>
        <v>PRIMARIA</v>
      </c>
      <c r="B943" s="26" t="str">
        <f>"09DPR2000B"</f>
        <v>09DPR2000B</v>
      </c>
      <c r="C943" s="26" t="str">
        <f>"ARABIA SAUDITA                                                                                      "</f>
        <v xml:space="preserve">ARABIA SAUDITA                                                                                      </v>
      </c>
      <c r="D943" s="26" t="str">
        <f>"JORNADA AMPLIADA"</f>
        <v>JORNADA AMPLIADA</v>
      </c>
      <c r="E943" s="26" t="str">
        <f>"AV SILOS NO 34 SUPER MZNA 1                                                     "</f>
        <v xml:space="preserve">AV SILOS NO 34 SUPER MZNA 1                                                     </v>
      </c>
      <c r="F943" s="26" t="str">
        <f>"VILLA COAPA                                                                                                                                 "</f>
        <v xml:space="preserve">VILLA COAPA                                                                                                                                 </v>
      </c>
      <c r="G943" s="26" t="str">
        <f t="shared" si="153"/>
        <v xml:space="preserve">TLALPAN                                                                         </v>
      </c>
      <c r="H943" s="26" t="str">
        <f>"445"</f>
        <v>445</v>
      </c>
      <c r="I943" s="26" t="str">
        <f t="shared" si="146"/>
        <v>00</v>
      </c>
      <c r="J943" s="26" t="str">
        <f>"44 "</f>
        <v xml:space="preserve">44 </v>
      </c>
      <c r="K943" s="26" t="str">
        <f t="shared" si="149"/>
        <v>PR</v>
      </c>
      <c r="L943" s="26" t="str">
        <f t="shared" si="150"/>
        <v>DGOSE</v>
      </c>
      <c r="M943" s="26" t="str">
        <f t="shared" si="147"/>
        <v>FEDERAL</v>
      </c>
      <c r="N943" s="26">
        <v>490</v>
      </c>
      <c r="O943" s="26">
        <v>231</v>
      </c>
      <c r="P943" s="26">
        <v>259</v>
      </c>
      <c r="Q943" s="26">
        <v>14</v>
      </c>
      <c r="R943" s="26">
        <v>1</v>
      </c>
      <c r="S943" s="26">
        <v>14</v>
      </c>
      <c r="T943" s="26">
        <v>11</v>
      </c>
      <c r="U943" s="26">
        <v>26</v>
      </c>
      <c r="V943" s="26">
        <v>1</v>
      </c>
      <c r="W943" s="26" t="s">
        <v>2076</v>
      </c>
    </row>
    <row r="944" spans="1:23" x14ac:dyDescent="0.25">
      <c r="A944" s="26" t="str">
        <f t="shared" si="145"/>
        <v>PRIMARIA</v>
      </c>
      <c r="B944" s="26" t="str">
        <f>"09DPR2001A"</f>
        <v>09DPR2001A</v>
      </c>
      <c r="C944" s="26" t="str">
        <f>"UCRANIA                                                                                             "</f>
        <v xml:space="preserve">UCRANIA                                                                                             </v>
      </c>
      <c r="D944" s="26" t="str">
        <f>"TIEMPO COMPLETO"</f>
        <v>TIEMPO COMPLETO</v>
      </c>
      <c r="E944" s="26" t="str">
        <f>"AND 62 DE AV ACOXPA NO 63                                                       "</f>
        <v xml:space="preserve">AND 62 DE AV ACOXPA NO 63                                                       </v>
      </c>
      <c r="F944" s="26" t="str">
        <f>"VILLA COAPA                                                                                                                                 "</f>
        <v xml:space="preserve">VILLA COAPA                                                                                                                                 </v>
      </c>
      <c r="G944" s="26" t="str">
        <f t="shared" si="153"/>
        <v xml:space="preserve">TLALPAN                                                                         </v>
      </c>
      <c r="H944" s="26" t="str">
        <f>"445"</f>
        <v>445</v>
      </c>
      <c r="I944" s="26" t="str">
        <f t="shared" si="146"/>
        <v>00</v>
      </c>
      <c r="J944" s="26" t="str">
        <f>"44 "</f>
        <v xml:space="preserve">44 </v>
      </c>
      <c r="K944" s="26" t="str">
        <f t="shared" si="149"/>
        <v>PR</v>
      </c>
      <c r="L944" s="26" t="str">
        <f t="shared" si="150"/>
        <v>DGOSE</v>
      </c>
      <c r="M944" s="26" t="str">
        <f t="shared" si="147"/>
        <v>FEDERAL</v>
      </c>
      <c r="N944" s="26">
        <v>411</v>
      </c>
      <c r="O944" s="26">
        <v>209</v>
      </c>
      <c r="P944" s="26">
        <v>202</v>
      </c>
      <c r="Q944" s="26">
        <v>12</v>
      </c>
      <c r="R944" s="26">
        <v>0</v>
      </c>
      <c r="S944" s="26">
        <v>12</v>
      </c>
      <c r="T944" s="26">
        <v>14</v>
      </c>
      <c r="U944" s="26">
        <v>26</v>
      </c>
      <c r="V944" s="26">
        <v>1</v>
      </c>
      <c r="W944" s="26" t="s">
        <v>218</v>
      </c>
    </row>
    <row r="945" spans="1:23" x14ac:dyDescent="0.25">
      <c r="A945" s="26" t="str">
        <f t="shared" si="145"/>
        <v>PRIMARIA</v>
      </c>
      <c r="B945" s="26" t="str">
        <f>"09DPR2002Z"</f>
        <v>09DPR2002Z</v>
      </c>
      <c r="C945" s="26" t="str">
        <f>"SALVADOR TREJO ESCOBEDO                                                                             "</f>
        <v xml:space="preserve">SALVADOR TREJO ESCOBEDO                                                                             </v>
      </c>
      <c r="D945" s="26" t="str">
        <f>"MATUTINO"</f>
        <v>MATUTINO</v>
      </c>
      <c r="E945" s="26" t="str">
        <f>"PLAZA JUAREZ NO 28                                                              "</f>
        <v xml:space="preserve">PLAZA JUAREZ NO 28                                                              </v>
      </c>
      <c r="F945" s="26" t="str">
        <f>"SAN MIGUEL TOPILEJO                                                                                                                         "</f>
        <v xml:space="preserve">SAN MIGUEL TOPILEJO                                                                                                                         </v>
      </c>
      <c r="G945" s="26" t="str">
        <f t="shared" si="153"/>
        <v xml:space="preserve">TLALPAN                                                                         </v>
      </c>
      <c r="H945" s="26" t="str">
        <f>"531"</f>
        <v>531</v>
      </c>
      <c r="I945" s="26" t="str">
        <f t="shared" si="146"/>
        <v>00</v>
      </c>
      <c r="J945" s="26" t="str">
        <f>"45 "</f>
        <v xml:space="preserve">45 </v>
      </c>
      <c r="K945" s="26" t="str">
        <f t="shared" si="149"/>
        <v>PR</v>
      </c>
      <c r="L945" s="26" t="str">
        <f t="shared" si="150"/>
        <v>DGOSE</v>
      </c>
      <c r="M945" s="26" t="str">
        <f t="shared" si="147"/>
        <v>FEDERAL</v>
      </c>
      <c r="N945" s="26">
        <v>693</v>
      </c>
      <c r="O945" s="26">
        <v>340</v>
      </c>
      <c r="P945" s="26">
        <v>353</v>
      </c>
      <c r="Q945" s="26">
        <v>19</v>
      </c>
      <c r="R945" s="26">
        <v>1</v>
      </c>
      <c r="S945" s="26">
        <v>18</v>
      </c>
      <c r="T945" s="26">
        <v>11</v>
      </c>
      <c r="U945" s="26">
        <v>30</v>
      </c>
      <c r="V945" s="26">
        <v>1</v>
      </c>
      <c r="W945" s="26"/>
    </row>
    <row r="946" spans="1:23" x14ac:dyDescent="0.25">
      <c r="A946" s="26" t="str">
        <f t="shared" si="145"/>
        <v>PRIMARIA</v>
      </c>
      <c r="B946" s="26" t="str">
        <f>"09DPR2003Z"</f>
        <v>09DPR2003Z</v>
      </c>
      <c r="C946" s="26" t="str">
        <f>"NIGER                                                                                               "</f>
        <v xml:space="preserve">NIGER                                                                                               </v>
      </c>
      <c r="D946" s="26" t="str">
        <f>"JORNADA AMPLIADA"</f>
        <v>JORNADA AMPLIADA</v>
      </c>
      <c r="E946" s="26" t="str">
        <f>"AV. EL TORREON S/N MANZANA 7                                                    "</f>
        <v xml:space="preserve">AV. EL TORREON S/N MANZANA 7                                                    </v>
      </c>
      <c r="F946" s="26" t="str">
        <f>"VILLA COAPA                                                                                                                                 "</f>
        <v xml:space="preserve">VILLA COAPA                                                                                                                                 </v>
      </c>
      <c r="G946" s="26" t="str">
        <f t="shared" si="153"/>
        <v xml:space="preserve">TLALPAN                                                                         </v>
      </c>
      <c r="H946" s="26" t="str">
        <f>"445"</f>
        <v>445</v>
      </c>
      <c r="I946" s="26" t="str">
        <f t="shared" si="146"/>
        <v>00</v>
      </c>
      <c r="J946" s="26" t="str">
        <f>"44 "</f>
        <v xml:space="preserve">44 </v>
      </c>
      <c r="K946" s="26" t="str">
        <f t="shared" si="149"/>
        <v>PR</v>
      </c>
      <c r="L946" s="26" t="str">
        <f t="shared" si="150"/>
        <v>DGOSE</v>
      </c>
      <c r="M946" s="26" t="str">
        <f t="shared" si="147"/>
        <v>FEDERAL</v>
      </c>
      <c r="N946" s="26">
        <v>482</v>
      </c>
      <c r="O946" s="26">
        <v>242</v>
      </c>
      <c r="P946" s="26">
        <v>240</v>
      </c>
      <c r="Q946" s="26">
        <v>14</v>
      </c>
      <c r="R946" s="26">
        <v>1</v>
      </c>
      <c r="S946" s="26">
        <v>13</v>
      </c>
      <c r="T946" s="26">
        <v>13</v>
      </c>
      <c r="U946" s="26">
        <v>27</v>
      </c>
      <c r="V946" s="26">
        <v>1</v>
      </c>
      <c r="W946" s="26" t="s">
        <v>2076</v>
      </c>
    </row>
    <row r="947" spans="1:23" x14ac:dyDescent="0.25">
      <c r="A947" s="26" t="str">
        <f t="shared" si="145"/>
        <v>PRIMARIA</v>
      </c>
      <c r="B947" s="26" t="str">
        <f>"09DPR2004Y"</f>
        <v>09DPR2004Y</v>
      </c>
      <c r="C947" s="26" t="str">
        <f>"RIO PANUCO                                                                                          "</f>
        <v xml:space="preserve">RIO PANUCO                                                                                          </v>
      </c>
      <c r="D947" s="26" t="str">
        <f>"MATUTINO"</f>
        <v>MATUTINO</v>
      </c>
      <c r="E947" s="26" t="str">
        <f>"PUENTE DE PIEDRA NUM. 72                                                        "</f>
        <v xml:space="preserve">PUENTE DE PIEDRA NUM. 72                                                        </v>
      </c>
      <c r="F947" s="26" t="str">
        <f>"TORIELLO GUERRA                                                                                                                             "</f>
        <v xml:space="preserve">TORIELLO GUERRA                                                                                                                             </v>
      </c>
      <c r="G947" s="26" t="str">
        <f t="shared" si="153"/>
        <v xml:space="preserve">TLALPAN                                                                         </v>
      </c>
      <c r="H947" s="26" t="str">
        <f>"523"</f>
        <v>523</v>
      </c>
      <c r="I947" s="26" t="str">
        <f t="shared" si="146"/>
        <v>00</v>
      </c>
      <c r="J947" s="26" t="str">
        <f>"45 "</f>
        <v xml:space="preserve">45 </v>
      </c>
      <c r="K947" s="26" t="str">
        <f t="shared" si="149"/>
        <v>PR</v>
      </c>
      <c r="L947" s="26" t="str">
        <f t="shared" si="150"/>
        <v>DGOSE</v>
      </c>
      <c r="M947" s="26" t="str">
        <f t="shared" si="147"/>
        <v>FEDERAL</v>
      </c>
      <c r="N947" s="26">
        <v>362</v>
      </c>
      <c r="O947" s="26">
        <v>177</v>
      </c>
      <c r="P947" s="26">
        <v>185</v>
      </c>
      <c r="Q947" s="26">
        <v>13</v>
      </c>
      <c r="R947" s="26">
        <v>1</v>
      </c>
      <c r="S947" s="26">
        <v>12</v>
      </c>
      <c r="T947" s="26">
        <v>10</v>
      </c>
      <c r="U947" s="26">
        <v>23</v>
      </c>
      <c r="V947" s="26">
        <v>1</v>
      </c>
      <c r="W947" s="26"/>
    </row>
    <row r="948" spans="1:23" x14ac:dyDescent="0.25">
      <c r="A948" s="26" t="str">
        <f t="shared" si="145"/>
        <v>PRIMARIA</v>
      </c>
      <c r="B948" s="26" t="str">
        <f>"09DPR2005X"</f>
        <v>09DPR2005X</v>
      </c>
      <c r="C948" s="26" t="str">
        <f>"PRIMERO DE MAYO                                                                                     "</f>
        <v xml:space="preserve">PRIMERO DE MAYO                                                                                     </v>
      </c>
      <c r="D948" s="26" t="str">
        <f>"JORNADA AMPLIADA"</f>
        <v>JORNADA AMPLIADA</v>
      </c>
      <c r="E948" s="26" t="str">
        <f>"FUENTES NUM 16                                                                  "</f>
        <v xml:space="preserve">FUENTES NUM 16                                                                  </v>
      </c>
      <c r="F948" s="26" t="str">
        <f>"TLALPAN                                                                                                                                     "</f>
        <v xml:space="preserve">TLALPAN                                                                                                                                     </v>
      </c>
      <c r="G948" s="26" t="str">
        <f t="shared" si="153"/>
        <v xml:space="preserve">TLALPAN                                                                         </v>
      </c>
      <c r="H948" s="26" t="str">
        <f>"446"</f>
        <v>446</v>
      </c>
      <c r="I948" s="26" t="str">
        <f t="shared" si="146"/>
        <v>00</v>
      </c>
      <c r="J948" s="26" t="str">
        <f>"44 "</f>
        <v xml:space="preserve">44 </v>
      </c>
      <c r="K948" s="26" t="str">
        <f t="shared" si="149"/>
        <v>PR</v>
      </c>
      <c r="L948" s="26" t="str">
        <f t="shared" si="150"/>
        <v>DGOSE</v>
      </c>
      <c r="M948" s="26" t="str">
        <f t="shared" si="147"/>
        <v>FEDERAL</v>
      </c>
      <c r="N948" s="26">
        <v>635</v>
      </c>
      <c r="O948" s="26">
        <v>342</v>
      </c>
      <c r="P948" s="26">
        <v>293</v>
      </c>
      <c r="Q948" s="26">
        <v>20</v>
      </c>
      <c r="R948" s="26">
        <v>1</v>
      </c>
      <c r="S948" s="26">
        <v>18</v>
      </c>
      <c r="T948" s="26">
        <v>14</v>
      </c>
      <c r="U948" s="26">
        <v>33</v>
      </c>
      <c r="V948" s="26">
        <v>1</v>
      </c>
      <c r="W948" s="26" t="s">
        <v>2076</v>
      </c>
    </row>
    <row r="949" spans="1:23" x14ac:dyDescent="0.25">
      <c r="A949" s="26" t="str">
        <f t="shared" si="145"/>
        <v>PRIMARIA</v>
      </c>
      <c r="B949" s="26" t="str">
        <f>"09DPR2006W"</f>
        <v>09DPR2006W</v>
      </c>
      <c r="C949" s="26" t="str">
        <f>"MARTINA ISLAS                                                                                       "</f>
        <v xml:space="preserve">MARTINA ISLAS                                                                                       </v>
      </c>
      <c r="D949" s="26" t="str">
        <f>"MATUTINO"</f>
        <v>MATUTINO</v>
      </c>
      <c r="E949" s="26" t="str">
        <f>"ENSEÑANZA NO 3                                                                  "</f>
        <v xml:space="preserve">ENSEÑANZA NO 3                                                                  </v>
      </c>
      <c r="F949" s="26" t="str">
        <f>"SAN PEDRO MARTIR                                                                                                                            "</f>
        <v xml:space="preserve">SAN PEDRO MARTIR                                                                                                                            </v>
      </c>
      <c r="G949" s="26" t="str">
        <f t="shared" si="153"/>
        <v xml:space="preserve">TLALPAN                                                                         </v>
      </c>
      <c r="H949" s="26" t="str">
        <f>"527"</f>
        <v>527</v>
      </c>
      <c r="I949" s="26" t="str">
        <f t="shared" si="146"/>
        <v>00</v>
      </c>
      <c r="J949" s="26" t="str">
        <f>"45 "</f>
        <v xml:space="preserve">45 </v>
      </c>
      <c r="K949" s="26" t="str">
        <f t="shared" si="149"/>
        <v>PR</v>
      </c>
      <c r="L949" s="26" t="str">
        <f t="shared" si="150"/>
        <v>DGOSE</v>
      </c>
      <c r="M949" s="26" t="str">
        <f t="shared" si="147"/>
        <v>FEDERAL</v>
      </c>
      <c r="N949" s="26">
        <v>369</v>
      </c>
      <c r="O949" s="26">
        <v>176</v>
      </c>
      <c r="P949" s="26">
        <v>193</v>
      </c>
      <c r="Q949" s="26">
        <v>10</v>
      </c>
      <c r="R949" s="26">
        <v>1</v>
      </c>
      <c r="S949" s="26">
        <v>10</v>
      </c>
      <c r="T949" s="26">
        <v>6</v>
      </c>
      <c r="U949" s="26">
        <v>17</v>
      </c>
      <c r="V949" s="26">
        <v>1</v>
      </c>
      <c r="W949" s="26"/>
    </row>
    <row r="950" spans="1:23" x14ac:dyDescent="0.25">
      <c r="A950" s="26" t="str">
        <f t="shared" si="145"/>
        <v>PRIMARIA</v>
      </c>
      <c r="B950" s="26" t="str">
        <f>"09DPR2007V"</f>
        <v>09DPR2007V</v>
      </c>
      <c r="C950" s="26" t="str">
        <f>"NIÑO ARTILLERO NARCISO MENDOZA                                                                      "</f>
        <v xml:space="preserve">NIÑO ARTILLERO NARCISO MENDOZA                                                                      </v>
      </c>
      <c r="D950" s="26" t="str">
        <f>"JORNADA AMPLIADA"</f>
        <v>JORNADA AMPLIADA</v>
      </c>
      <c r="E950" s="26" t="str">
        <f>"MAGISTERIO NACIONAL 80                                                          "</f>
        <v xml:space="preserve">MAGISTERIO NACIONAL 80                                                          </v>
      </c>
      <c r="F950" s="26" t="str">
        <f>"TLALPAN                                                                                                                                     "</f>
        <v xml:space="preserve">TLALPAN                                                                                                                                     </v>
      </c>
      <c r="G950" s="26" t="str">
        <f t="shared" si="153"/>
        <v xml:space="preserve">TLALPAN                                                                         </v>
      </c>
      <c r="H950" s="26" t="str">
        <f>"446"</f>
        <v>446</v>
      </c>
      <c r="I950" s="26" t="str">
        <f t="shared" si="146"/>
        <v>00</v>
      </c>
      <c r="J950" s="26" t="str">
        <f>"44 "</f>
        <v xml:space="preserve">44 </v>
      </c>
      <c r="K950" s="26" t="str">
        <f t="shared" si="149"/>
        <v>PR</v>
      </c>
      <c r="L950" s="26" t="str">
        <f t="shared" si="150"/>
        <v>DGOSE</v>
      </c>
      <c r="M950" s="26" t="str">
        <f t="shared" si="147"/>
        <v>FEDERAL</v>
      </c>
      <c r="N950" s="26">
        <v>364</v>
      </c>
      <c r="O950" s="26">
        <v>174</v>
      </c>
      <c r="P950" s="26">
        <v>190</v>
      </c>
      <c r="Q950" s="26">
        <v>10</v>
      </c>
      <c r="R950" s="26">
        <v>1</v>
      </c>
      <c r="S950" s="26">
        <v>10</v>
      </c>
      <c r="T950" s="26">
        <v>9</v>
      </c>
      <c r="U950" s="26">
        <v>20</v>
      </c>
      <c r="V950" s="26">
        <v>1</v>
      </c>
      <c r="W950" s="26" t="s">
        <v>2076</v>
      </c>
    </row>
    <row r="951" spans="1:23" x14ac:dyDescent="0.25">
      <c r="A951" s="26" t="str">
        <f t="shared" si="145"/>
        <v>PRIMARIA</v>
      </c>
      <c r="B951" s="26" t="str">
        <f>"09DPR2008U"</f>
        <v>09DPR2008U</v>
      </c>
      <c r="C951" s="26" t="str">
        <f>"MARTINA ISLAS                                                                                       "</f>
        <v xml:space="preserve">MARTINA ISLAS                                                                                       </v>
      </c>
      <c r="D951" s="26" t="str">
        <f>"VESPERTINO"</f>
        <v>VESPERTINO</v>
      </c>
      <c r="E951" s="26" t="str">
        <f>"ENSEÑANZA NO 3                                                                  "</f>
        <v xml:space="preserve">ENSEÑANZA NO 3                                                                  </v>
      </c>
      <c r="F951" s="26" t="str">
        <f>"SAN PEDRO MARTIR                                                                                                                            "</f>
        <v xml:space="preserve">SAN PEDRO MARTIR                                                                                                                            </v>
      </c>
      <c r="G951" s="26" t="str">
        <f t="shared" si="153"/>
        <v xml:space="preserve">TLALPAN                                                                         </v>
      </c>
      <c r="H951" s="26" t="str">
        <f>"527"</f>
        <v>527</v>
      </c>
      <c r="I951" s="26" t="str">
        <f t="shared" si="146"/>
        <v>00</v>
      </c>
      <c r="J951" s="26" t="str">
        <f>"45 "</f>
        <v xml:space="preserve">45 </v>
      </c>
      <c r="K951" s="26" t="str">
        <f t="shared" si="149"/>
        <v>PR</v>
      </c>
      <c r="L951" s="26" t="str">
        <f t="shared" si="150"/>
        <v>DGOSE</v>
      </c>
      <c r="M951" s="26" t="str">
        <f t="shared" si="147"/>
        <v>FEDERAL</v>
      </c>
      <c r="N951" s="26">
        <v>292</v>
      </c>
      <c r="O951" s="26">
        <v>142</v>
      </c>
      <c r="P951" s="26">
        <v>150</v>
      </c>
      <c r="Q951" s="26">
        <v>12</v>
      </c>
      <c r="R951" s="26">
        <v>1</v>
      </c>
      <c r="S951" s="26">
        <v>10</v>
      </c>
      <c r="T951" s="26">
        <v>5</v>
      </c>
      <c r="U951" s="26">
        <v>16</v>
      </c>
      <c r="V951" s="26">
        <v>1</v>
      </c>
      <c r="W951" s="26"/>
    </row>
    <row r="952" spans="1:23" x14ac:dyDescent="0.25">
      <c r="A952" s="26" t="str">
        <f t="shared" si="145"/>
        <v>PRIMARIA</v>
      </c>
      <c r="B952" s="26" t="str">
        <f>"09DPR2009T"</f>
        <v>09DPR2009T</v>
      </c>
      <c r="C952" s="26" t="str">
        <f>"MIGUEL RAMIREZ CASTAÑEDA                                                                            "</f>
        <v xml:space="preserve">MIGUEL RAMIREZ CASTAÑEDA                                                                            </v>
      </c>
      <c r="D952" s="26" t="str">
        <f>"VESPERTINO"</f>
        <v>VESPERTINO</v>
      </c>
      <c r="E952" s="26" t="str">
        <f>"SOR JUANA INES DE LA CRUZ NO 35                                                 "</f>
        <v xml:space="preserve">SOR JUANA INES DE LA CRUZ NO 35                                                 </v>
      </c>
      <c r="F952" s="26" t="str">
        <f>"MIGUEL HIDALGO                                                                                                                              "</f>
        <v xml:space="preserve">MIGUEL HIDALGO                                                                                                                              </v>
      </c>
      <c r="G952" s="26" t="str">
        <f t="shared" si="153"/>
        <v xml:space="preserve">TLALPAN                                                                         </v>
      </c>
      <c r="H952" s="26" t="str">
        <f>"518"</f>
        <v>518</v>
      </c>
      <c r="I952" s="26" t="str">
        <f t="shared" si="146"/>
        <v>00</v>
      </c>
      <c r="J952" s="26" t="str">
        <f>"45 "</f>
        <v xml:space="preserve">45 </v>
      </c>
      <c r="K952" s="26" t="str">
        <f t="shared" si="149"/>
        <v>PR</v>
      </c>
      <c r="L952" s="26" t="str">
        <f t="shared" si="150"/>
        <v>DGOSE</v>
      </c>
      <c r="M952" s="26" t="str">
        <f t="shared" si="147"/>
        <v>FEDERAL</v>
      </c>
      <c r="N952" s="26">
        <v>210</v>
      </c>
      <c r="O952" s="26">
        <v>131</v>
      </c>
      <c r="P952" s="26">
        <v>79</v>
      </c>
      <c r="Q952" s="26">
        <v>12</v>
      </c>
      <c r="R952" s="26">
        <v>1</v>
      </c>
      <c r="S952" s="26">
        <v>7</v>
      </c>
      <c r="T952" s="26">
        <v>5</v>
      </c>
      <c r="U952" s="26">
        <v>13</v>
      </c>
      <c r="V952" s="26">
        <v>1</v>
      </c>
      <c r="W952" s="26"/>
    </row>
    <row r="953" spans="1:23" x14ac:dyDescent="0.25">
      <c r="A953" s="26" t="str">
        <f t="shared" si="145"/>
        <v>PRIMARIA</v>
      </c>
      <c r="B953" s="26" t="str">
        <f>"09DPR2010I"</f>
        <v>09DPR2010I</v>
      </c>
      <c r="C953" s="26" t="str">
        <f>"MIGUEL RAMIREZ CASTAÑEDA                                                                            "</f>
        <v xml:space="preserve">MIGUEL RAMIREZ CASTAÑEDA                                                                            </v>
      </c>
      <c r="D953" s="26" t="str">
        <f>"MATUTINO"</f>
        <v>MATUTINO</v>
      </c>
      <c r="E953" s="26" t="str">
        <f>"SOR JUANA INES DE LA CRUZ NUM.35                                                "</f>
        <v xml:space="preserve">SOR JUANA INES DE LA CRUZ NUM.35                                                </v>
      </c>
      <c r="F953" s="26" t="str">
        <f>"MIGUEL HIDALGO                                                                                                                              "</f>
        <v xml:space="preserve">MIGUEL HIDALGO                                                                                                                              </v>
      </c>
      <c r="G953" s="26" t="str">
        <f t="shared" si="153"/>
        <v xml:space="preserve">TLALPAN                                                                         </v>
      </c>
      <c r="H953" s="26" t="str">
        <f>"518"</f>
        <v>518</v>
      </c>
      <c r="I953" s="26" t="str">
        <f t="shared" si="146"/>
        <v>00</v>
      </c>
      <c r="J953" s="26" t="str">
        <f>"45 "</f>
        <v xml:space="preserve">45 </v>
      </c>
      <c r="K953" s="26" t="str">
        <f t="shared" si="149"/>
        <v>PR</v>
      </c>
      <c r="L953" s="26" t="str">
        <f t="shared" si="150"/>
        <v>DGOSE</v>
      </c>
      <c r="M953" s="26" t="str">
        <f t="shared" si="147"/>
        <v>FEDERAL</v>
      </c>
      <c r="N953" s="26">
        <v>567</v>
      </c>
      <c r="O953" s="26">
        <v>294</v>
      </c>
      <c r="P953" s="26">
        <v>273</v>
      </c>
      <c r="Q953" s="26">
        <v>18</v>
      </c>
      <c r="R953" s="26">
        <v>1</v>
      </c>
      <c r="S953" s="26">
        <v>18</v>
      </c>
      <c r="T953" s="26">
        <v>7</v>
      </c>
      <c r="U953" s="26">
        <v>26</v>
      </c>
      <c r="V953" s="26">
        <v>1</v>
      </c>
      <c r="W953" s="26"/>
    </row>
    <row r="954" spans="1:23" x14ac:dyDescent="0.25">
      <c r="A954" s="26" t="str">
        <f t="shared" si="145"/>
        <v>PRIMARIA</v>
      </c>
      <c r="B954" s="26" t="str">
        <f>"09DPR2011H"</f>
        <v>09DPR2011H</v>
      </c>
      <c r="C954" s="26" t="str">
        <f>"LUIS DE LA BRENA                                                                                    "</f>
        <v xml:space="preserve">LUIS DE LA BRENA                                                                                    </v>
      </c>
      <c r="D954" s="26" t="str">
        <f>"TIEMPO COMPLETO"</f>
        <v>TIEMPO COMPLETO</v>
      </c>
      <c r="E954" s="26" t="str">
        <f>"REFORMA NUM. 1                                                                  "</f>
        <v xml:space="preserve">REFORMA NUM. 1                                                                  </v>
      </c>
      <c r="F954" s="26" t="str">
        <f>"SAN MIGUEL XICALCO                                                                                                                          "</f>
        <v xml:space="preserve">SAN MIGUEL XICALCO                                                                                                                          </v>
      </c>
      <c r="G954" s="26" t="str">
        <f t="shared" si="153"/>
        <v xml:space="preserve">TLALPAN                                                                         </v>
      </c>
      <c r="H954" s="26" t="str">
        <f>"447"</f>
        <v>447</v>
      </c>
      <c r="I954" s="26" t="str">
        <f t="shared" si="146"/>
        <v>00</v>
      </c>
      <c r="J954" s="26" t="str">
        <f>"44 "</f>
        <v xml:space="preserve">44 </v>
      </c>
      <c r="K954" s="26" t="str">
        <f t="shared" si="149"/>
        <v>PR</v>
      </c>
      <c r="L954" s="26" t="str">
        <f t="shared" si="150"/>
        <v>DGOSE</v>
      </c>
      <c r="M954" s="26" t="str">
        <f t="shared" si="147"/>
        <v>FEDERAL</v>
      </c>
      <c r="N954" s="26">
        <v>582</v>
      </c>
      <c r="O954" s="26">
        <v>312</v>
      </c>
      <c r="P954" s="26">
        <v>270</v>
      </c>
      <c r="Q954" s="26">
        <v>16</v>
      </c>
      <c r="R954" s="26">
        <v>1</v>
      </c>
      <c r="S954" s="26">
        <v>14</v>
      </c>
      <c r="T954" s="26">
        <v>12</v>
      </c>
      <c r="U954" s="26">
        <v>27</v>
      </c>
      <c r="V954" s="26">
        <v>1</v>
      </c>
      <c r="W954" s="26" t="s">
        <v>218</v>
      </c>
    </row>
    <row r="955" spans="1:23" x14ac:dyDescent="0.25">
      <c r="A955" s="26" t="str">
        <f t="shared" si="145"/>
        <v>PRIMARIA</v>
      </c>
      <c r="B955" s="26" t="str">
        <f>"09DPR2012G"</f>
        <v>09DPR2012G</v>
      </c>
      <c r="C955" s="26" t="str">
        <f>"LEYES DE REFORMA DEL 57                                                                             "</f>
        <v xml:space="preserve">LEYES DE REFORMA DEL 57                                                                             </v>
      </c>
      <c r="D955" s="26" t="str">
        <f>"MATUTINO"</f>
        <v>MATUTINO</v>
      </c>
      <c r="E955" s="26" t="str">
        <f>"HIDALGO NUM. 54                                                                 "</f>
        <v xml:space="preserve">HIDALGO NUM. 54                                                                 </v>
      </c>
      <c r="F955" s="26" t="str">
        <f>"SAN MIGUEL AJUSCO                                                                                                                           "</f>
        <v xml:space="preserve">SAN MIGUEL AJUSCO                                                                                                                           </v>
      </c>
      <c r="G955" s="26" t="str">
        <f t="shared" si="153"/>
        <v xml:space="preserve">TLALPAN                                                                         </v>
      </c>
      <c r="H955" s="26" t="str">
        <f>"530"</f>
        <v>530</v>
      </c>
      <c r="I955" s="26" t="str">
        <f t="shared" si="146"/>
        <v>00</v>
      </c>
      <c r="J955" s="26" t="str">
        <f t="shared" ref="J955:J964" si="154">"45 "</f>
        <v xml:space="preserve">45 </v>
      </c>
      <c r="K955" s="26" t="str">
        <f t="shared" si="149"/>
        <v>PR</v>
      </c>
      <c r="L955" s="26" t="str">
        <f t="shared" si="150"/>
        <v>DGOSE</v>
      </c>
      <c r="M955" s="26" t="str">
        <f t="shared" si="147"/>
        <v>FEDERAL</v>
      </c>
      <c r="N955" s="26">
        <v>917</v>
      </c>
      <c r="O955" s="26">
        <v>457</v>
      </c>
      <c r="P955" s="26">
        <v>460</v>
      </c>
      <c r="Q955" s="26">
        <v>23</v>
      </c>
      <c r="R955" s="26">
        <v>1</v>
      </c>
      <c r="S955" s="26">
        <v>23</v>
      </c>
      <c r="T955" s="26">
        <v>12</v>
      </c>
      <c r="U955" s="26">
        <v>36</v>
      </c>
      <c r="V955" s="26">
        <v>1</v>
      </c>
      <c r="W955" s="26"/>
    </row>
    <row r="956" spans="1:23" x14ac:dyDescent="0.25">
      <c r="A956" s="26" t="str">
        <f t="shared" si="145"/>
        <v>PRIMARIA</v>
      </c>
      <c r="B956" s="26" t="str">
        <f>"09DPR2013F"</f>
        <v>09DPR2013F</v>
      </c>
      <c r="C956" s="26" t="str">
        <f>"JUAREZ Y CONSTITUCION                                                                               "</f>
        <v xml:space="preserve">JUAREZ Y CONSTITUCION                                                                               </v>
      </c>
      <c r="D956" s="26" t="str">
        <f>"VESPERTINO"</f>
        <v>VESPERTINO</v>
      </c>
      <c r="E956" s="26" t="str">
        <f>"FRANCISCO PRESA 3                                                               "</f>
        <v xml:space="preserve">FRANCISCO PRESA 3                                                               </v>
      </c>
      <c r="F956" s="26" t="str">
        <f>"SAN SEBASTIAN                                                                                                                               "</f>
        <v xml:space="preserve">SAN SEBASTIAN                                                                                                                               </v>
      </c>
      <c r="G956" s="26" t="str">
        <f>"XOCHIMILCO                                                                      "</f>
        <v xml:space="preserve">XOCHIMILCO                                                                      </v>
      </c>
      <c r="H956" s="26" t="str">
        <f>"545"</f>
        <v>545</v>
      </c>
      <c r="I956" s="26" t="str">
        <f t="shared" si="146"/>
        <v>00</v>
      </c>
      <c r="J956" s="26" t="str">
        <f t="shared" si="154"/>
        <v xml:space="preserve">45 </v>
      </c>
      <c r="K956" s="26" t="str">
        <f t="shared" si="149"/>
        <v>PR</v>
      </c>
      <c r="L956" s="26" t="str">
        <f t="shared" si="150"/>
        <v>DGOSE</v>
      </c>
      <c r="M956" s="26" t="str">
        <f t="shared" si="147"/>
        <v>FEDERAL</v>
      </c>
      <c r="N956" s="26">
        <v>499</v>
      </c>
      <c r="O956" s="26">
        <v>257</v>
      </c>
      <c r="P956" s="26">
        <v>242</v>
      </c>
      <c r="Q956" s="26">
        <v>18</v>
      </c>
      <c r="R956" s="26">
        <v>1</v>
      </c>
      <c r="S956" s="26">
        <v>18</v>
      </c>
      <c r="T956" s="26">
        <v>8</v>
      </c>
      <c r="U956" s="26">
        <v>27</v>
      </c>
      <c r="V956" s="26">
        <v>1</v>
      </c>
      <c r="W956" s="26"/>
    </row>
    <row r="957" spans="1:23" x14ac:dyDescent="0.25">
      <c r="A957" s="26" t="str">
        <f t="shared" si="145"/>
        <v>PRIMARIA</v>
      </c>
      <c r="B957" s="26" t="str">
        <f>"09DPR2014E"</f>
        <v>09DPR2014E</v>
      </c>
      <c r="C957" s="26" t="str">
        <f>"IGNACIO RODRIGUEZ GALVAN                                                                            "</f>
        <v xml:space="preserve">IGNACIO RODRIGUEZ GALVAN                                                                            </v>
      </c>
      <c r="D957" s="26" t="str">
        <f>"VESPERTINO"</f>
        <v>VESPERTINO</v>
      </c>
      <c r="E957" s="26" t="str">
        <f>"MAGISTERIO NACIONAL 118                                                         "</f>
        <v xml:space="preserve">MAGISTERIO NACIONAL 118                                                         </v>
      </c>
      <c r="F957" s="26" t="str">
        <f>"TLALPAN                                                                                                                                     "</f>
        <v xml:space="preserve">TLALPAN                                                                                                                                     </v>
      </c>
      <c r="G957" s="26" t="str">
        <f>"TLALPAN                                                                         "</f>
        <v xml:space="preserve">TLALPAN                                                                         </v>
      </c>
      <c r="H957" s="26" t="str">
        <f>"520"</f>
        <v>520</v>
      </c>
      <c r="I957" s="26" t="str">
        <f t="shared" si="146"/>
        <v>00</v>
      </c>
      <c r="J957" s="26" t="str">
        <f t="shared" si="154"/>
        <v xml:space="preserve">45 </v>
      </c>
      <c r="K957" s="26" t="str">
        <f t="shared" si="149"/>
        <v>PR</v>
      </c>
      <c r="L957" s="26" t="str">
        <f t="shared" si="150"/>
        <v>DGOSE</v>
      </c>
      <c r="M957" s="26" t="str">
        <f t="shared" si="147"/>
        <v>FEDERAL</v>
      </c>
      <c r="N957" s="26">
        <v>195</v>
      </c>
      <c r="O957" s="26">
        <v>109</v>
      </c>
      <c r="P957" s="26">
        <v>86</v>
      </c>
      <c r="Q957" s="26">
        <v>11</v>
      </c>
      <c r="R957" s="26">
        <v>1</v>
      </c>
      <c r="S957" s="26">
        <v>11</v>
      </c>
      <c r="T957" s="26">
        <v>4</v>
      </c>
      <c r="U957" s="26">
        <v>16</v>
      </c>
      <c r="V957" s="26">
        <v>1</v>
      </c>
      <c r="W957" s="26"/>
    </row>
    <row r="958" spans="1:23" x14ac:dyDescent="0.25">
      <c r="A958" s="26" t="str">
        <f t="shared" si="145"/>
        <v>PRIMARIA</v>
      </c>
      <c r="B958" s="26" t="str">
        <f>"09DPR2016C"</f>
        <v>09DPR2016C</v>
      </c>
      <c r="C958" s="26" t="str">
        <f>"IGNACIO RODRIGUEZ GALVAN                                                                            "</f>
        <v xml:space="preserve">IGNACIO RODRIGUEZ GALVAN                                                                            </v>
      </c>
      <c r="D958" s="26" t="str">
        <f>"MATUTINO"</f>
        <v>MATUTINO</v>
      </c>
      <c r="E958" s="26" t="str">
        <f>"MAGISTERIO NACIONAL 118                                                         "</f>
        <v xml:space="preserve">MAGISTERIO NACIONAL 118                                                         </v>
      </c>
      <c r="F958" s="26" t="str">
        <f>"TLALPAN                                                                                                                                     "</f>
        <v xml:space="preserve">TLALPAN                                                                                                                                     </v>
      </c>
      <c r="G958" s="26" t="str">
        <f>"TLALPAN                                                                         "</f>
        <v xml:space="preserve">TLALPAN                                                                         </v>
      </c>
      <c r="H958" s="26" t="str">
        <f>"520"</f>
        <v>520</v>
      </c>
      <c r="I958" s="26" t="str">
        <f t="shared" si="146"/>
        <v>00</v>
      </c>
      <c r="J958" s="26" t="str">
        <f t="shared" si="154"/>
        <v xml:space="preserve">45 </v>
      </c>
      <c r="K958" s="26" t="str">
        <f t="shared" si="149"/>
        <v>PR</v>
      </c>
      <c r="L958" s="26" t="str">
        <f t="shared" si="150"/>
        <v>DGOSE</v>
      </c>
      <c r="M958" s="26" t="str">
        <f t="shared" si="147"/>
        <v>FEDERAL</v>
      </c>
      <c r="N958" s="26">
        <v>462</v>
      </c>
      <c r="O958" s="26">
        <v>231</v>
      </c>
      <c r="P958" s="26">
        <v>231</v>
      </c>
      <c r="Q958" s="26">
        <v>13</v>
      </c>
      <c r="R958" s="26">
        <v>1</v>
      </c>
      <c r="S958" s="26">
        <v>13</v>
      </c>
      <c r="T958" s="26">
        <v>8</v>
      </c>
      <c r="U958" s="26">
        <v>22</v>
      </c>
      <c r="V958" s="26">
        <v>1</v>
      </c>
      <c r="W958" s="26"/>
    </row>
    <row r="959" spans="1:23" x14ac:dyDescent="0.25">
      <c r="A959" s="26" t="str">
        <f t="shared" si="145"/>
        <v>PRIMARIA</v>
      </c>
      <c r="B959" s="26" t="str">
        <f>"09DPR2017B"</f>
        <v>09DPR2017B</v>
      </c>
      <c r="C959" s="26" t="str">
        <f>"HEROES DE CHAPULTEPEC                                                                               "</f>
        <v xml:space="preserve">HEROES DE CHAPULTEPEC                                                                               </v>
      </c>
      <c r="D959" s="26" t="str">
        <f>"MATUTINO"</f>
        <v>MATUTINO</v>
      </c>
      <c r="E959" s="26" t="str">
        <f>"TEPEHUANOS Y OTOMIES S/N                                                        "</f>
        <v xml:space="preserve">TEPEHUANOS Y OTOMIES S/N                                                        </v>
      </c>
      <c r="F959" s="26" t="str">
        <f>"TLALCOLIGIA                                                                                                                                 "</f>
        <v xml:space="preserve">TLALCOLIGIA                                                                                                                                 </v>
      </c>
      <c r="G959" s="26" t="str">
        <f>"TLALPAN                                                                         "</f>
        <v xml:space="preserve">TLALPAN                                                                         </v>
      </c>
      <c r="H959" s="26" t="str">
        <f>"521"</f>
        <v>521</v>
      </c>
      <c r="I959" s="26" t="str">
        <f t="shared" si="146"/>
        <v>00</v>
      </c>
      <c r="J959" s="26" t="str">
        <f t="shared" si="154"/>
        <v xml:space="preserve">45 </v>
      </c>
      <c r="K959" s="26" t="str">
        <f t="shared" si="149"/>
        <v>PR</v>
      </c>
      <c r="L959" s="26" t="str">
        <f t="shared" si="150"/>
        <v>DGOSE</v>
      </c>
      <c r="M959" s="26" t="str">
        <f t="shared" si="147"/>
        <v>FEDERAL</v>
      </c>
      <c r="N959" s="26">
        <v>589</v>
      </c>
      <c r="O959" s="26">
        <v>312</v>
      </c>
      <c r="P959" s="26">
        <v>277</v>
      </c>
      <c r="Q959" s="26">
        <v>17</v>
      </c>
      <c r="R959" s="26">
        <v>1</v>
      </c>
      <c r="S959" s="26">
        <v>17</v>
      </c>
      <c r="T959" s="26">
        <v>7</v>
      </c>
      <c r="U959" s="26">
        <v>25</v>
      </c>
      <c r="V959" s="26">
        <v>1</v>
      </c>
      <c r="W959" s="26"/>
    </row>
    <row r="960" spans="1:23" x14ac:dyDescent="0.25">
      <c r="A960" s="26" t="str">
        <f t="shared" si="145"/>
        <v>PRIMARIA</v>
      </c>
      <c r="B960" s="26" t="str">
        <f>"09DPR2018A"</f>
        <v>09DPR2018A</v>
      </c>
      <c r="C960" s="26" t="str">
        <f>"HEROES DE CHAPULTEPEC                                                                               "</f>
        <v xml:space="preserve">HEROES DE CHAPULTEPEC                                                                               </v>
      </c>
      <c r="D960" s="26" t="str">
        <f>"VESPERTINO"</f>
        <v>VESPERTINO</v>
      </c>
      <c r="E960" s="26" t="str">
        <f>"TEPEHUANOS Y OTOMIES S/N                                                        "</f>
        <v xml:space="preserve">TEPEHUANOS Y OTOMIES S/N                                                        </v>
      </c>
      <c r="F960" s="26" t="str">
        <f>"TLALCOLIGIA                                                                                                                                 "</f>
        <v xml:space="preserve">TLALCOLIGIA                                                                                                                                 </v>
      </c>
      <c r="G960" s="26" t="str">
        <f>"TLALPAN                                                                         "</f>
        <v xml:space="preserve">TLALPAN                                                                         </v>
      </c>
      <c r="H960" s="26" t="str">
        <f>"521"</f>
        <v>521</v>
      </c>
      <c r="I960" s="26" t="str">
        <f t="shared" si="146"/>
        <v>00</v>
      </c>
      <c r="J960" s="26" t="str">
        <f t="shared" si="154"/>
        <v xml:space="preserve">45 </v>
      </c>
      <c r="K960" s="26" t="str">
        <f t="shared" si="149"/>
        <v>PR</v>
      </c>
      <c r="L960" s="26" t="str">
        <f t="shared" si="150"/>
        <v>DGOSE</v>
      </c>
      <c r="M960" s="26" t="str">
        <f t="shared" si="147"/>
        <v>FEDERAL</v>
      </c>
      <c r="N960" s="26">
        <v>388</v>
      </c>
      <c r="O960" s="26">
        <v>200</v>
      </c>
      <c r="P960" s="26">
        <v>188</v>
      </c>
      <c r="Q960" s="26">
        <v>15</v>
      </c>
      <c r="R960" s="26">
        <v>1</v>
      </c>
      <c r="S960" s="26">
        <v>14</v>
      </c>
      <c r="T960" s="26">
        <v>7</v>
      </c>
      <c r="U960" s="26">
        <v>22</v>
      </c>
      <c r="V960" s="26">
        <v>1</v>
      </c>
      <c r="W960" s="26"/>
    </row>
    <row r="961" spans="1:23" x14ac:dyDescent="0.25">
      <c r="A961" s="26" t="str">
        <f t="shared" si="145"/>
        <v>PRIMARIA</v>
      </c>
      <c r="B961" s="26" t="str">
        <f>"09DPR2019Z"</f>
        <v>09DPR2019Z</v>
      </c>
      <c r="C961" s="26" t="str">
        <f>"ADAM MICKIEWICZ                                                                                     "</f>
        <v xml:space="preserve">ADAM MICKIEWICZ                                                                                     </v>
      </c>
      <c r="D961" s="26" t="str">
        <f>"VESPERTINO"</f>
        <v>VESPERTINO</v>
      </c>
      <c r="E961" s="26" t="str">
        <f>"AV HIDALGO 5                                                                    "</f>
        <v xml:space="preserve">AV HIDALGO 5                                                                    </v>
      </c>
      <c r="F961" s="26" t="str">
        <f>"SAN MATEO XALPA                                                                                                                             "</f>
        <v xml:space="preserve">SAN MATEO XALPA                                                                                                                             </v>
      </c>
      <c r="G961" s="26" t="str">
        <f>"XOCHIMILCO                                                                      "</f>
        <v xml:space="preserve">XOCHIMILCO                                                                      </v>
      </c>
      <c r="H961" s="26" t="str">
        <f>"539"</f>
        <v>539</v>
      </c>
      <c r="I961" s="26" t="str">
        <f t="shared" si="146"/>
        <v>00</v>
      </c>
      <c r="J961" s="26" t="str">
        <f t="shared" si="154"/>
        <v xml:space="preserve">45 </v>
      </c>
      <c r="K961" s="26" t="str">
        <f t="shared" si="149"/>
        <v>PR</v>
      </c>
      <c r="L961" s="26" t="str">
        <f t="shared" si="150"/>
        <v>DGOSE</v>
      </c>
      <c r="M961" s="26" t="str">
        <f t="shared" si="147"/>
        <v>FEDERAL</v>
      </c>
      <c r="N961" s="26">
        <v>474</v>
      </c>
      <c r="O961" s="26">
        <v>274</v>
      </c>
      <c r="P961" s="26">
        <v>200</v>
      </c>
      <c r="Q961" s="26">
        <v>16</v>
      </c>
      <c r="R961" s="26">
        <v>1</v>
      </c>
      <c r="S961" s="26">
        <v>15</v>
      </c>
      <c r="T961" s="26">
        <v>9</v>
      </c>
      <c r="U961" s="26">
        <v>25</v>
      </c>
      <c r="V961" s="26">
        <v>1</v>
      </c>
      <c r="W961" s="26"/>
    </row>
    <row r="962" spans="1:23" x14ac:dyDescent="0.25">
      <c r="A962" s="26" t="str">
        <f t="shared" ref="A962:A1025" si="155">"PRIMARIA"</f>
        <v>PRIMARIA</v>
      </c>
      <c r="B962" s="26" t="str">
        <f>"09DPR2020P"</f>
        <v>09DPR2020P</v>
      </c>
      <c r="C962" s="26" t="str">
        <f>"FRANCISCO HERNANDEZ DE CORDOBA                                                                      "</f>
        <v xml:space="preserve">FRANCISCO HERNANDEZ DE CORDOBA                                                                      </v>
      </c>
      <c r="D962" s="26" t="str">
        <f>"MATUTINO"</f>
        <v>MATUTINO</v>
      </c>
      <c r="E962" s="26" t="str">
        <f>"IGNACIO ZARAGOZA S/N                                                            "</f>
        <v xml:space="preserve">IGNACIO ZARAGOZA S/N                                                            </v>
      </c>
      <c r="F962" s="26" t="str">
        <f>"SAN JUAN IXTAYOPAN                                                                                                                          "</f>
        <v xml:space="preserve">SAN JUAN IXTAYOPAN                                                                                                                          </v>
      </c>
      <c r="G962" s="26" t="str">
        <f>"TLAHUAC                                                                         "</f>
        <v xml:space="preserve">TLAHUAC                                                                         </v>
      </c>
      <c r="H962" s="26" t="str">
        <f>"559"</f>
        <v>559</v>
      </c>
      <c r="I962" s="26" t="str">
        <f t="shared" ref="I962:I1025" si="156">"00"</f>
        <v>00</v>
      </c>
      <c r="J962" s="26" t="str">
        <f t="shared" si="154"/>
        <v xml:space="preserve">45 </v>
      </c>
      <c r="K962" s="26" t="str">
        <f t="shared" si="149"/>
        <v>PR</v>
      </c>
      <c r="L962" s="26" t="str">
        <f t="shared" si="150"/>
        <v>DGOSE</v>
      </c>
      <c r="M962" s="26" t="str">
        <f t="shared" ref="M962:M1025" si="157">"FEDERAL"</f>
        <v>FEDERAL</v>
      </c>
      <c r="N962" s="26">
        <v>772</v>
      </c>
      <c r="O962" s="26">
        <v>388</v>
      </c>
      <c r="P962" s="26">
        <v>384</v>
      </c>
      <c r="Q962" s="26">
        <v>20</v>
      </c>
      <c r="R962" s="26">
        <v>0</v>
      </c>
      <c r="S962" s="26">
        <v>19</v>
      </c>
      <c r="T962" s="26">
        <v>12</v>
      </c>
      <c r="U962" s="26">
        <v>31</v>
      </c>
      <c r="V962" s="26">
        <v>1</v>
      </c>
      <c r="W962" s="26"/>
    </row>
    <row r="963" spans="1:23" x14ac:dyDescent="0.25">
      <c r="A963" s="26" t="str">
        <f t="shared" si="155"/>
        <v>PRIMARIA</v>
      </c>
      <c r="B963" s="26" t="str">
        <f>"09DPR2021O"</f>
        <v>09DPR2021O</v>
      </c>
      <c r="C963" s="26" t="str">
        <f>"MAESTRO FELIX JIMENEZ NAJERA                                                                        "</f>
        <v xml:space="preserve">MAESTRO FELIX JIMENEZ NAJERA                                                                        </v>
      </c>
      <c r="D963" s="26" t="str">
        <f>"MATUTINO"</f>
        <v>MATUTINO</v>
      </c>
      <c r="E963" s="26" t="str">
        <f>"PROL. MIGUEL NEGRETE S/N                                                        "</f>
        <v xml:space="preserve">PROL. MIGUEL NEGRETE S/N                                                        </v>
      </c>
      <c r="F963" s="26" t="str">
        <f>"SAN JUAN IXTAYOPAN                                                                                                                          "</f>
        <v xml:space="preserve">SAN JUAN IXTAYOPAN                                                                                                                          </v>
      </c>
      <c r="G963" s="26" t="str">
        <f>"TLAHUAC                                                                         "</f>
        <v xml:space="preserve">TLAHUAC                                                                         </v>
      </c>
      <c r="H963" s="26" t="str">
        <f>"559"</f>
        <v>559</v>
      </c>
      <c r="I963" s="26" t="str">
        <f t="shared" si="156"/>
        <v>00</v>
      </c>
      <c r="J963" s="26" t="str">
        <f t="shared" si="154"/>
        <v xml:space="preserve">45 </v>
      </c>
      <c r="K963" s="26" t="str">
        <f t="shared" si="149"/>
        <v>PR</v>
      </c>
      <c r="L963" s="26" t="str">
        <f t="shared" si="150"/>
        <v>DGOSE</v>
      </c>
      <c r="M963" s="26" t="str">
        <f t="shared" si="157"/>
        <v>FEDERAL</v>
      </c>
      <c r="N963" s="26">
        <v>452</v>
      </c>
      <c r="O963" s="26">
        <v>224</v>
      </c>
      <c r="P963" s="26">
        <v>228</v>
      </c>
      <c r="Q963" s="26">
        <v>14</v>
      </c>
      <c r="R963" s="26">
        <v>1</v>
      </c>
      <c r="S963" s="26">
        <v>14</v>
      </c>
      <c r="T963" s="26">
        <v>6</v>
      </c>
      <c r="U963" s="26">
        <v>21</v>
      </c>
      <c r="V963" s="26">
        <v>1</v>
      </c>
      <c r="W963" s="26"/>
    </row>
    <row r="964" spans="1:23" x14ac:dyDescent="0.25">
      <c r="A964" s="26" t="str">
        <f t="shared" si="155"/>
        <v>PRIMARIA</v>
      </c>
      <c r="B964" s="26" t="str">
        <f>"09DPR2022N"</f>
        <v>09DPR2022N</v>
      </c>
      <c r="C964" s="26" t="str">
        <f>"ING. ESTANISLAO RAMIREZ RUIZ                                                                        "</f>
        <v xml:space="preserve">ING. ESTANISLAO RAMIREZ RUIZ                                                                        </v>
      </c>
      <c r="D964" s="26" t="str">
        <f>"MATUTINO"</f>
        <v>MATUTINO</v>
      </c>
      <c r="E964" s="26" t="str">
        <f>"ADOLFO RIVERA VELAZCO S/N                                                       "</f>
        <v xml:space="preserve">ADOLFO RIVERA VELAZCO S/N                                                       </v>
      </c>
      <c r="F964" s="26" t="str">
        <f>"SANTA CECILIA                                                                                                                               "</f>
        <v xml:space="preserve">SANTA CECILIA                                                                                                                               </v>
      </c>
      <c r="G964" s="26" t="str">
        <f>"TLAHUAC                                                                         "</f>
        <v xml:space="preserve">TLAHUAC                                                                         </v>
      </c>
      <c r="H964" s="26" t="str">
        <f>"557"</f>
        <v>557</v>
      </c>
      <c r="I964" s="26" t="str">
        <f t="shared" si="156"/>
        <v>00</v>
      </c>
      <c r="J964" s="26" t="str">
        <f t="shared" si="154"/>
        <v xml:space="preserve">45 </v>
      </c>
      <c r="K964" s="26" t="str">
        <f t="shared" si="149"/>
        <v>PR</v>
      </c>
      <c r="L964" s="26" t="str">
        <f t="shared" si="150"/>
        <v>DGOSE</v>
      </c>
      <c r="M964" s="26" t="str">
        <f t="shared" si="157"/>
        <v>FEDERAL</v>
      </c>
      <c r="N964" s="26">
        <v>504</v>
      </c>
      <c r="O964" s="26">
        <v>250</v>
      </c>
      <c r="P964" s="26">
        <v>254</v>
      </c>
      <c r="Q964" s="26">
        <v>15</v>
      </c>
      <c r="R964" s="26">
        <v>1</v>
      </c>
      <c r="S964" s="26">
        <v>13</v>
      </c>
      <c r="T964" s="26">
        <v>11</v>
      </c>
      <c r="U964" s="26">
        <v>25</v>
      </c>
      <c r="V964" s="26">
        <v>1</v>
      </c>
      <c r="W964" s="26"/>
    </row>
    <row r="965" spans="1:23" x14ac:dyDescent="0.25">
      <c r="A965" s="26" t="str">
        <f t="shared" si="155"/>
        <v>PRIMARIA</v>
      </c>
      <c r="B965" s="26" t="str">
        <f>"09DPR2023M"</f>
        <v>09DPR2023M</v>
      </c>
      <c r="C965" s="26" t="str">
        <f>"ANTONIO CASO                                                                                        "</f>
        <v xml:space="preserve">ANTONIO CASO                                                                                        </v>
      </c>
      <c r="D965" s="26" t="str">
        <f>"JORNADA AMPLIADA"</f>
        <v>JORNADA AMPLIADA</v>
      </c>
      <c r="E965" s="26" t="str">
        <f>"JUAN MENDOZA S/N Y LA RONDALLA                                                  "</f>
        <v xml:space="preserve">JUAN MENDOZA S/N Y LA RONDALLA                                                  </v>
      </c>
      <c r="F965" s="26" t="str">
        <f>"SAN JOSE                                                                                                                                    "</f>
        <v xml:space="preserve">SAN JOSE                                                                                                                                    </v>
      </c>
      <c r="G965" s="26" t="str">
        <f>"TLAHUAC                                                                         "</f>
        <v xml:space="preserve">TLAHUAC                                                                         </v>
      </c>
      <c r="H965" s="26" t="str">
        <f>"450"</f>
        <v>450</v>
      </c>
      <c r="I965" s="26" t="str">
        <f t="shared" si="156"/>
        <v>00</v>
      </c>
      <c r="J965" s="26" t="str">
        <f>"44 "</f>
        <v xml:space="preserve">44 </v>
      </c>
      <c r="K965" s="26" t="str">
        <f t="shared" si="149"/>
        <v>PR</v>
      </c>
      <c r="L965" s="26" t="str">
        <f t="shared" si="150"/>
        <v>DGOSE</v>
      </c>
      <c r="M965" s="26" t="str">
        <f t="shared" si="157"/>
        <v>FEDERAL</v>
      </c>
      <c r="N965" s="26">
        <v>554</v>
      </c>
      <c r="O965" s="26">
        <v>274</v>
      </c>
      <c r="P965" s="26">
        <v>280</v>
      </c>
      <c r="Q965" s="26">
        <v>14</v>
      </c>
      <c r="R965" s="26">
        <v>1</v>
      </c>
      <c r="S965" s="26">
        <v>13</v>
      </c>
      <c r="T965" s="26">
        <v>13</v>
      </c>
      <c r="U965" s="26">
        <v>27</v>
      </c>
      <c r="V965" s="26">
        <v>1</v>
      </c>
      <c r="W965" s="26" t="s">
        <v>2076</v>
      </c>
    </row>
    <row r="966" spans="1:23" x14ac:dyDescent="0.25">
      <c r="A966" s="26" t="str">
        <f t="shared" si="155"/>
        <v>PRIMARIA</v>
      </c>
      <c r="B966" s="26" t="str">
        <f>"09DPR2024L"</f>
        <v>09DPR2024L</v>
      </c>
      <c r="C966" s="26" t="str">
        <f>"CRISTOBAL COLON                                                                                     "</f>
        <v xml:space="preserve">CRISTOBAL COLON                                                                                     </v>
      </c>
      <c r="D966" s="26" t="str">
        <f>"VESPERTINO"</f>
        <v>VESPERTINO</v>
      </c>
      <c r="E966" s="26" t="str">
        <f>"PLAZA JUAREZ NUM.17                                                             "</f>
        <v xml:space="preserve">PLAZA JUAREZ NUM.17                                                             </v>
      </c>
      <c r="F966" s="26" t="str">
        <f>"SAN ANDRES MIXQUIC                                                                                                                          "</f>
        <v xml:space="preserve">SAN ANDRES MIXQUIC                                                                                                                          </v>
      </c>
      <c r="G966" s="26" t="str">
        <f>"TLAHUAC                                                                         "</f>
        <v xml:space="preserve">TLAHUAC                                                                         </v>
      </c>
      <c r="H966" s="26" t="str">
        <f>"560"</f>
        <v>560</v>
      </c>
      <c r="I966" s="26" t="str">
        <f t="shared" si="156"/>
        <v>00</v>
      </c>
      <c r="J966" s="26" t="str">
        <f>"45 "</f>
        <v xml:space="preserve">45 </v>
      </c>
      <c r="K966" s="26" t="str">
        <f t="shared" si="149"/>
        <v>PR</v>
      </c>
      <c r="L966" s="26" t="str">
        <f t="shared" si="150"/>
        <v>DGOSE</v>
      </c>
      <c r="M966" s="26" t="str">
        <f t="shared" si="157"/>
        <v>FEDERAL</v>
      </c>
      <c r="N966" s="26">
        <v>558</v>
      </c>
      <c r="O966" s="26">
        <v>279</v>
      </c>
      <c r="P966" s="26">
        <v>279</v>
      </c>
      <c r="Q966" s="26">
        <v>20</v>
      </c>
      <c r="R966" s="26">
        <v>1</v>
      </c>
      <c r="S966" s="26">
        <v>20</v>
      </c>
      <c r="T966" s="26">
        <v>7</v>
      </c>
      <c r="U966" s="26">
        <v>28</v>
      </c>
      <c r="V966" s="26">
        <v>1</v>
      </c>
      <c r="W966" s="26"/>
    </row>
    <row r="967" spans="1:23" x14ac:dyDescent="0.25">
      <c r="A967" s="26" t="str">
        <f t="shared" si="155"/>
        <v>PRIMARIA</v>
      </c>
      <c r="B967" s="26" t="str">
        <f>"09DPR2025K"</f>
        <v>09DPR2025K</v>
      </c>
      <c r="C967" s="26" t="str">
        <f>"ENRIQUE C. REBSAMEN                                                                                 "</f>
        <v xml:space="preserve">ENRIQUE C. REBSAMEN                                                                                 </v>
      </c>
      <c r="D967" s="26" t="str">
        <f>"MATUTINO"</f>
        <v>MATUTINO</v>
      </c>
      <c r="E967" s="26" t="str">
        <f>"IGNACIO ZARAGOZA S/N                                                            "</f>
        <v xml:space="preserve">IGNACIO ZARAGOZA S/N                                                            </v>
      </c>
      <c r="F967" s="26" t="str">
        <f>"SANTIAGO TULYEHUALCO                                                                                                                        "</f>
        <v xml:space="preserve">SANTIAGO TULYEHUALCO                                                                                                                        </v>
      </c>
      <c r="G967" s="26" t="str">
        <f>"XOCHIMILCO                                                                      "</f>
        <v xml:space="preserve">XOCHIMILCO                                                                      </v>
      </c>
      <c r="H967" s="26" t="str">
        <f>"544"</f>
        <v>544</v>
      </c>
      <c r="I967" s="26" t="str">
        <f t="shared" si="156"/>
        <v>00</v>
      </c>
      <c r="J967" s="26" t="str">
        <f>"45 "</f>
        <v xml:space="preserve">45 </v>
      </c>
      <c r="K967" s="26" t="str">
        <f t="shared" si="149"/>
        <v>PR</v>
      </c>
      <c r="L967" s="26" t="str">
        <f t="shared" si="150"/>
        <v>DGOSE</v>
      </c>
      <c r="M967" s="26" t="str">
        <f t="shared" si="157"/>
        <v>FEDERAL</v>
      </c>
      <c r="N967" s="26">
        <v>897</v>
      </c>
      <c r="O967" s="26">
        <v>472</v>
      </c>
      <c r="P967" s="26">
        <v>425</v>
      </c>
      <c r="Q967" s="26">
        <v>20</v>
      </c>
      <c r="R967" s="26">
        <v>1</v>
      </c>
      <c r="S967" s="26">
        <v>20</v>
      </c>
      <c r="T967" s="26">
        <v>8</v>
      </c>
      <c r="U967" s="26">
        <v>29</v>
      </c>
      <c r="V967" s="26">
        <v>1</v>
      </c>
      <c r="W967" s="26"/>
    </row>
    <row r="968" spans="1:23" x14ac:dyDescent="0.25">
      <c r="A968" s="26" t="str">
        <f t="shared" si="155"/>
        <v>PRIMARIA</v>
      </c>
      <c r="B968" s="26" t="str">
        <f>"09DPR2026J"</f>
        <v>09DPR2026J</v>
      </c>
      <c r="C968" s="26" t="str">
        <f>"CRISTOBAL COLON                                                                                     "</f>
        <v xml:space="preserve">CRISTOBAL COLON                                                                                     </v>
      </c>
      <c r="D968" s="26" t="str">
        <f>"MATUTINO"</f>
        <v>MATUTINO</v>
      </c>
      <c r="E968" s="26" t="str">
        <f>"AV. DEL TRABAJO Y CUAUHTEMOC                                                    "</f>
        <v xml:space="preserve">AV. DEL TRABAJO Y CUAUHTEMOC                                                    </v>
      </c>
      <c r="F968" s="26" t="str">
        <f>"SANTIAGO TEPALCATLAPAN                                                                                                                      "</f>
        <v xml:space="preserve">SANTIAGO TEPALCATLAPAN                                                                                                                      </v>
      </c>
      <c r="G968" s="26" t="str">
        <f>"XOCHIMILCO                                                                      "</f>
        <v xml:space="preserve">XOCHIMILCO                                                                      </v>
      </c>
      <c r="H968" s="26" t="str">
        <f>"533"</f>
        <v>533</v>
      </c>
      <c r="I968" s="26" t="str">
        <f t="shared" si="156"/>
        <v>00</v>
      </c>
      <c r="J968" s="26" t="str">
        <f>"45 "</f>
        <v xml:space="preserve">45 </v>
      </c>
      <c r="K968" s="26" t="str">
        <f t="shared" si="149"/>
        <v>PR</v>
      </c>
      <c r="L968" s="26" t="str">
        <f t="shared" si="150"/>
        <v>DGOSE</v>
      </c>
      <c r="M968" s="26" t="str">
        <f t="shared" si="157"/>
        <v>FEDERAL</v>
      </c>
      <c r="N968" s="26">
        <v>598</v>
      </c>
      <c r="O968" s="26">
        <v>284</v>
      </c>
      <c r="P968" s="26">
        <v>314</v>
      </c>
      <c r="Q968" s="26">
        <v>15</v>
      </c>
      <c r="R968" s="26">
        <v>1</v>
      </c>
      <c r="S968" s="26">
        <v>14</v>
      </c>
      <c r="T968" s="26">
        <v>9</v>
      </c>
      <c r="U968" s="26">
        <v>24</v>
      </c>
      <c r="V968" s="26">
        <v>1</v>
      </c>
      <c r="W968" s="26"/>
    </row>
    <row r="969" spans="1:23" x14ac:dyDescent="0.25">
      <c r="A969" s="26" t="str">
        <f t="shared" si="155"/>
        <v>PRIMARIA</v>
      </c>
      <c r="B969" s="26" t="str">
        <f>"09DPR2027I"</f>
        <v>09DPR2027I</v>
      </c>
      <c r="C969" s="26" t="str">
        <f>"CRISTOBAL COLON                                                                                     "</f>
        <v xml:space="preserve">CRISTOBAL COLON                                                                                     </v>
      </c>
      <c r="D969" s="26" t="str">
        <f>"MATUTINO"</f>
        <v>MATUTINO</v>
      </c>
      <c r="E969" s="26" t="str">
        <f>"PLAZA JUAREZ 17                                                                 "</f>
        <v xml:space="preserve">PLAZA JUAREZ 17                                                                 </v>
      </c>
      <c r="F969" s="26" t="str">
        <f>"SAN ANDRES MIXQUIC                                                                                                                          "</f>
        <v xml:space="preserve">SAN ANDRES MIXQUIC                                                                                                                          </v>
      </c>
      <c r="G969" s="26" t="str">
        <f>"TLAHUAC                                                                         "</f>
        <v xml:space="preserve">TLAHUAC                                                                         </v>
      </c>
      <c r="H969" s="26" t="str">
        <f>"560"</f>
        <v>560</v>
      </c>
      <c r="I969" s="26" t="str">
        <f t="shared" si="156"/>
        <v>00</v>
      </c>
      <c r="J969" s="26" t="str">
        <f>"45 "</f>
        <v xml:space="preserve">45 </v>
      </c>
      <c r="K969" s="26" t="str">
        <f t="shared" si="149"/>
        <v>PR</v>
      </c>
      <c r="L969" s="26" t="str">
        <f t="shared" si="150"/>
        <v>DGOSE</v>
      </c>
      <c r="M969" s="26" t="str">
        <f t="shared" si="157"/>
        <v>FEDERAL</v>
      </c>
      <c r="N969" s="26">
        <v>838</v>
      </c>
      <c r="O969" s="26">
        <v>407</v>
      </c>
      <c r="P969" s="26">
        <v>431</v>
      </c>
      <c r="Q969" s="26">
        <v>21</v>
      </c>
      <c r="R969" s="26">
        <v>0</v>
      </c>
      <c r="S969" s="26">
        <v>21</v>
      </c>
      <c r="T969" s="26">
        <v>13</v>
      </c>
      <c r="U969" s="26">
        <v>34</v>
      </c>
      <c r="V969" s="26">
        <v>1</v>
      </c>
      <c r="W969" s="26"/>
    </row>
    <row r="970" spans="1:23" x14ac:dyDescent="0.25">
      <c r="A970" s="26" t="str">
        <f t="shared" si="155"/>
        <v>PRIMARIA</v>
      </c>
      <c r="B970" s="26" t="str">
        <f>"09DPR2028H"</f>
        <v>09DPR2028H</v>
      </c>
      <c r="C970" s="26" t="str">
        <f>"CARLOS GARCIA                                                                                       "</f>
        <v xml:space="preserve">CARLOS GARCIA                                                                                       </v>
      </c>
      <c r="D970" s="26" t="str">
        <f>"MATUTINO"</f>
        <v>MATUTINO</v>
      </c>
      <c r="E970" s="26" t="str">
        <f>"NARCISO MENDOZA NO 19                                                           "</f>
        <v xml:space="preserve">NARCISO MENDOZA NO 19                                                           </v>
      </c>
      <c r="F970" s="26" t="str">
        <f>"SANTA MARIA NATIVITAS                                                                                                                       "</f>
        <v xml:space="preserve">SANTA MARIA NATIVITAS                                                                                                                       </v>
      </c>
      <c r="G970" s="26" t="str">
        <f>"XOCHIMILCO                                                                      "</f>
        <v xml:space="preserve">XOCHIMILCO                                                                      </v>
      </c>
      <c r="H970" s="26" t="str">
        <f>"540"</f>
        <v>540</v>
      </c>
      <c r="I970" s="26" t="str">
        <f t="shared" si="156"/>
        <v>00</v>
      </c>
      <c r="J970" s="26" t="str">
        <f>"45 "</f>
        <v xml:space="preserve">45 </v>
      </c>
      <c r="K970" s="26" t="str">
        <f t="shared" ref="K970:K1022" si="158">"PR"</f>
        <v>PR</v>
      </c>
      <c r="L970" s="26" t="str">
        <f t="shared" ref="L970:L1022" si="159">"DGOSE"</f>
        <v>DGOSE</v>
      </c>
      <c r="M970" s="26" t="str">
        <f t="shared" si="157"/>
        <v>FEDERAL</v>
      </c>
      <c r="N970" s="26">
        <v>545</v>
      </c>
      <c r="O970" s="26">
        <v>299</v>
      </c>
      <c r="P970" s="26">
        <v>246</v>
      </c>
      <c r="Q970" s="26">
        <v>15</v>
      </c>
      <c r="R970" s="26">
        <v>1</v>
      </c>
      <c r="S970" s="26">
        <v>15</v>
      </c>
      <c r="T970" s="26">
        <v>9</v>
      </c>
      <c r="U970" s="26">
        <v>25</v>
      </c>
      <c r="V970" s="26">
        <v>1</v>
      </c>
      <c r="W970" s="26"/>
    </row>
    <row r="971" spans="1:23" x14ac:dyDescent="0.25">
      <c r="A971" s="26" t="str">
        <f t="shared" si="155"/>
        <v>PRIMARIA</v>
      </c>
      <c r="B971" s="26" t="str">
        <f>"09DPR2029G"</f>
        <v>09DPR2029G</v>
      </c>
      <c r="C971" s="26" t="str">
        <f>"CHICHEN ITZA                                                                                        "</f>
        <v xml:space="preserve">CHICHEN ITZA                                                                                        </v>
      </c>
      <c r="D971" s="26" t="str">
        <f>"JORNADA AMPLIADA"</f>
        <v>JORNADA AMPLIADA</v>
      </c>
      <c r="E971" s="26" t="str">
        <f>"AV 5 DE MAYO S/N                                                                "</f>
        <v xml:space="preserve">AV 5 DE MAYO S/N                                                                </v>
      </c>
      <c r="F971" s="26" t="str">
        <f>"SANTIAGO TEPALCATLAPAN                                                                                                                      "</f>
        <v xml:space="preserve">SANTIAGO TEPALCATLAPAN                                                                                                                      </v>
      </c>
      <c r="G971" s="26" t="str">
        <f>"XOCHIMILCO                                                                      "</f>
        <v xml:space="preserve">XOCHIMILCO                                                                      </v>
      </c>
      <c r="H971" s="26" t="str">
        <f>"449"</f>
        <v>449</v>
      </c>
      <c r="I971" s="26" t="str">
        <f t="shared" si="156"/>
        <v>00</v>
      </c>
      <c r="J971" s="26" t="str">
        <f>"44 "</f>
        <v xml:space="preserve">44 </v>
      </c>
      <c r="K971" s="26" t="str">
        <f t="shared" si="158"/>
        <v>PR</v>
      </c>
      <c r="L971" s="26" t="str">
        <f t="shared" si="159"/>
        <v>DGOSE</v>
      </c>
      <c r="M971" s="26" t="str">
        <f t="shared" si="157"/>
        <v>FEDERAL</v>
      </c>
      <c r="N971" s="26">
        <v>752</v>
      </c>
      <c r="O971" s="26">
        <v>377</v>
      </c>
      <c r="P971" s="26">
        <v>375</v>
      </c>
      <c r="Q971" s="26">
        <v>21</v>
      </c>
      <c r="R971" s="26">
        <v>1</v>
      </c>
      <c r="S971" s="26">
        <v>19</v>
      </c>
      <c r="T971" s="26">
        <v>16</v>
      </c>
      <c r="U971" s="26">
        <v>36</v>
      </c>
      <c r="V971" s="26">
        <v>1</v>
      </c>
      <c r="W971" s="26" t="s">
        <v>2076</v>
      </c>
    </row>
    <row r="972" spans="1:23" x14ac:dyDescent="0.25">
      <c r="A972" s="26" t="str">
        <f t="shared" si="155"/>
        <v>PRIMARIA</v>
      </c>
      <c r="B972" s="26" t="str">
        <f>"09DPR2030W"</f>
        <v>09DPR2030W</v>
      </c>
      <c r="C972" s="26" t="str">
        <f>"AURELIANO CASTILLO                                                                                  "</f>
        <v xml:space="preserve">AURELIANO CASTILLO                                                                                  </v>
      </c>
      <c r="D972" s="26" t="str">
        <f>"MATUTINO"</f>
        <v>MATUTINO</v>
      </c>
      <c r="E972" s="26" t="str">
        <f>"FLORICULTOR NUM. 2                                                              "</f>
        <v xml:space="preserve">FLORICULTOR NUM. 2                                                              </v>
      </c>
      <c r="F972" s="26" t="str">
        <f>"SAN LUIS TLAXIALTEMALCO                                                                                                                     "</f>
        <v xml:space="preserve">SAN LUIS TLAXIALTEMALCO                                                                                                                     </v>
      </c>
      <c r="G972" s="26" t="str">
        <f>"XOCHIMILCO                                                                      "</f>
        <v xml:space="preserve">XOCHIMILCO                                                                      </v>
      </c>
      <c r="H972" s="26" t="str">
        <f>"543"</f>
        <v>543</v>
      </c>
      <c r="I972" s="26" t="str">
        <f t="shared" si="156"/>
        <v>00</v>
      </c>
      <c r="J972" s="26" t="str">
        <f>"45 "</f>
        <v xml:space="preserve">45 </v>
      </c>
      <c r="K972" s="26" t="str">
        <f t="shared" si="158"/>
        <v>PR</v>
      </c>
      <c r="L972" s="26" t="str">
        <f t="shared" si="159"/>
        <v>DGOSE</v>
      </c>
      <c r="M972" s="26" t="str">
        <f t="shared" si="157"/>
        <v>FEDERAL</v>
      </c>
      <c r="N972" s="26">
        <v>785</v>
      </c>
      <c r="O972" s="26">
        <v>404</v>
      </c>
      <c r="P972" s="26">
        <v>381</v>
      </c>
      <c r="Q972" s="26">
        <v>19</v>
      </c>
      <c r="R972" s="26">
        <v>1</v>
      </c>
      <c r="S972" s="26">
        <v>19</v>
      </c>
      <c r="T972" s="26">
        <v>8</v>
      </c>
      <c r="U972" s="26">
        <v>28</v>
      </c>
      <c r="V972" s="26">
        <v>1</v>
      </c>
      <c r="W972" s="26"/>
    </row>
    <row r="973" spans="1:23" x14ac:dyDescent="0.25">
      <c r="A973" s="26" t="str">
        <f t="shared" si="155"/>
        <v>PRIMARIA</v>
      </c>
      <c r="B973" s="26" t="str">
        <f>"09DPR2031V"</f>
        <v>09DPR2031V</v>
      </c>
      <c r="C973" s="26" t="str">
        <f>"BENITO JUAREZ                                                                                       "</f>
        <v xml:space="preserve">BENITO JUAREZ                                                                                       </v>
      </c>
      <c r="D973" s="26" t="str">
        <f>"MATUTINO"</f>
        <v>MATUTINO</v>
      </c>
      <c r="E973" s="26" t="str">
        <f>"AV. CINCO DE MAYO 42                                                            "</f>
        <v xml:space="preserve">AV. CINCO DE MAYO 42                                                            </v>
      </c>
      <c r="F973" s="26" t="str">
        <f>"SAN BARTOLOME XICOMULCO                                                                                                                     "</f>
        <v xml:space="preserve">SAN BARTOLOME XICOMULCO                                                                                                                     </v>
      </c>
      <c r="G973" s="26" t="str">
        <f>"MILPA ALTA                                                                      "</f>
        <v xml:space="preserve">MILPA ALTA                                                                      </v>
      </c>
      <c r="H973" s="26" t="str">
        <f>"564"</f>
        <v>564</v>
      </c>
      <c r="I973" s="26" t="str">
        <f t="shared" si="156"/>
        <v>00</v>
      </c>
      <c r="J973" s="26" t="str">
        <f>"45 "</f>
        <v xml:space="preserve">45 </v>
      </c>
      <c r="K973" s="26" t="str">
        <f t="shared" si="158"/>
        <v>PR</v>
      </c>
      <c r="L973" s="26" t="str">
        <f t="shared" si="159"/>
        <v>DGOSE</v>
      </c>
      <c r="M973" s="26" t="str">
        <f t="shared" si="157"/>
        <v>FEDERAL</v>
      </c>
      <c r="N973" s="26">
        <v>398</v>
      </c>
      <c r="O973" s="26">
        <v>219</v>
      </c>
      <c r="P973" s="26">
        <v>179</v>
      </c>
      <c r="Q973" s="26">
        <v>12</v>
      </c>
      <c r="R973" s="26">
        <v>1</v>
      </c>
      <c r="S973" s="26">
        <v>12</v>
      </c>
      <c r="T973" s="26">
        <v>9</v>
      </c>
      <c r="U973" s="26">
        <v>22</v>
      </c>
      <c r="V973" s="26">
        <v>1</v>
      </c>
      <c r="W973" s="26"/>
    </row>
    <row r="974" spans="1:23" x14ac:dyDescent="0.25">
      <c r="A974" s="26" t="str">
        <f t="shared" si="155"/>
        <v>PRIMARIA</v>
      </c>
      <c r="B974" s="26" t="str">
        <f>"09DPR2032U"</f>
        <v>09DPR2032U</v>
      </c>
      <c r="C974" s="26" t="str">
        <f>"ALVARO OBREGON                                                                                      "</f>
        <v xml:space="preserve">ALVARO OBREGON                                                                                      </v>
      </c>
      <c r="D974" s="26" t="str">
        <f>"MATUTINO"</f>
        <v>MATUTINO</v>
      </c>
      <c r="E974" s="26" t="str">
        <f>"AV CUAUHTEMOC NO 28                                                             "</f>
        <v xml:space="preserve">AV CUAUHTEMOC NO 28                                                             </v>
      </c>
      <c r="F974" s="26" t="str">
        <f>"SAN PEDRO ATOCPAN                                                                                                                           "</f>
        <v xml:space="preserve">SAN PEDRO ATOCPAN                                                                                                                           </v>
      </c>
      <c r="G974" s="26" t="str">
        <f>"MILPA ALTA                                                                      "</f>
        <v xml:space="preserve">MILPA ALTA                                                                      </v>
      </c>
      <c r="H974" s="26" t="str">
        <f>"564"</f>
        <v>564</v>
      </c>
      <c r="I974" s="26" t="str">
        <f t="shared" si="156"/>
        <v>00</v>
      </c>
      <c r="J974" s="26" t="str">
        <f>"45 "</f>
        <v xml:space="preserve">45 </v>
      </c>
      <c r="K974" s="26" t="str">
        <f t="shared" si="158"/>
        <v>PR</v>
      </c>
      <c r="L974" s="26" t="str">
        <f t="shared" si="159"/>
        <v>DGOSE</v>
      </c>
      <c r="M974" s="26" t="str">
        <f t="shared" si="157"/>
        <v>FEDERAL</v>
      </c>
      <c r="N974" s="26">
        <v>681</v>
      </c>
      <c r="O974" s="26">
        <v>376</v>
      </c>
      <c r="P974" s="26">
        <v>305</v>
      </c>
      <c r="Q974" s="26">
        <v>18</v>
      </c>
      <c r="R974" s="26">
        <v>0</v>
      </c>
      <c r="S974" s="26">
        <v>18</v>
      </c>
      <c r="T974" s="26">
        <v>12</v>
      </c>
      <c r="U974" s="26">
        <v>30</v>
      </c>
      <c r="V974" s="26">
        <v>1</v>
      </c>
      <c r="W974" s="26"/>
    </row>
    <row r="975" spans="1:23" x14ac:dyDescent="0.25">
      <c r="A975" s="26" t="str">
        <f t="shared" si="155"/>
        <v>PRIMARIA</v>
      </c>
      <c r="B975" s="26" t="str">
        <f>"09DPR2033T"</f>
        <v>09DPR2033T</v>
      </c>
      <c r="C975" s="26" t="str">
        <f>"GENERAL ANTONIO DE LEON Y LOYOLA                                                                    "</f>
        <v xml:space="preserve">GENERAL ANTONIO DE LEON Y LOYOLA                                                                    </v>
      </c>
      <c r="D975" s="26" t="str">
        <f>"JORNADA AMPLIADA"</f>
        <v>JORNADA AMPLIADA</v>
      </c>
      <c r="E975" s="26" t="str">
        <f>"CALLE LA PURISIMA S/N                                                           "</f>
        <v xml:space="preserve">CALLE LA PURISIMA S/N                                                           </v>
      </c>
      <c r="F975" s="26" t="str">
        <f>"SAN JUAN TEPENAHUAC                                                                                                                         "</f>
        <v xml:space="preserve">SAN JUAN TEPENAHUAC                                                                                                                         </v>
      </c>
      <c r="G975" s="26" t="str">
        <f>"MILPA ALTA                                                                      "</f>
        <v xml:space="preserve">MILPA ALTA                                                                      </v>
      </c>
      <c r="H975" s="26" t="str">
        <f>"451"</f>
        <v>451</v>
      </c>
      <c r="I975" s="26" t="str">
        <f t="shared" si="156"/>
        <v>00</v>
      </c>
      <c r="J975" s="26" t="str">
        <f>"44 "</f>
        <v xml:space="preserve">44 </v>
      </c>
      <c r="K975" s="26" t="str">
        <f t="shared" si="158"/>
        <v>PR</v>
      </c>
      <c r="L975" s="26" t="str">
        <f t="shared" si="159"/>
        <v>DGOSE</v>
      </c>
      <c r="M975" s="26" t="str">
        <f t="shared" si="157"/>
        <v>FEDERAL</v>
      </c>
      <c r="N975" s="26">
        <v>238</v>
      </c>
      <c r="O975" s="26">
        <v>116</v>
      </c>
      <c r="P975" s="26">
        <v>122</v>
      </c>
      <c r="Q975" s="26">
        <v>6</v>
      </c>
      <c r="R975" s="26">
        <v>1</v>
      </c>
      <c r="S975" s="26">
        <v>6</v>
      </c>
      <c r="T975" s="26">
        <v>6</v>
      </c>
      <c r="U975" s="26">
        <v>13</v>
      </c>
      <c r="V975" s="26">
        <v>1</v>
      </c>
      <c r="W975" s="26" t="s">
        <v>2076</v>
      </c>
    </row>
    <row r="976" spans="1:23" x14ac:dyDescent="0.25">
      <c r="A976" s="26" t="str">
        <f t="shared" si="155"/>
        <v>PRIMARIA</v>
      </c>
      <c r="B976" s="26" t="str">
        <f>"09DPR2034S"</f>
        <v>09DPR2034S</v>
      </c>
      <c r="C976" s="26" t="str">
        <f>"MAESTRO ADOLFO VALLES                                                                               "</f>
        <v xml:space="preserve">MAESTRO ADOLFO VALLES                                                                               </v>
      </c>
      <c r="D976" s="26" t="str">
        <f>"MATUTINO"</f>
        <v>MATUTINO</v>
      </c>
      <c r="E976" s="26" t="str">
        <f>"AV JUAREZ NUM 21                                                                "</f>
        <v xml:space="preserve">AV JUAREZ NUM 21                                                                </v>
      </c>
      <c r="F976" s="26" t="str">
        <f>"SAN ANDRES AHUAYUCAN                                                                                                                        "</f>
        <v xml:space="preserve">SAN ANDRES AHUAYUCAN                                                                                                                        </v>
      </c>
      <c r="G976" s="26" t="str">
        <f>"XOCHIMILCO                                                                      "</f>
        <v xml:space="preserve">XOCHIMILCO                                                                      </v>
      </c>
      <c r="H976" s="26" t="str">
        <f>"541"</f>
        <v>541</v>
      </c>
      <c r="I976" s="26" t="str">
        <f t="shared" si="156"/>
        <v>00</v>
      </c>
      <c r="J976" s="26" t="str">
        <f t="shared" ref="J976:J989" si="160">"45 "</f>
        <v xml:space="preserve">45 </v>
      </c>
      <c r="K976" s="26" t="str">
        <f t="shared" si="158"/>
        <v>PR</v>
      </c>
      <c r="L976" s="26" t="str">
        <f t="shared" si="159"/>
        <v>DGOSE</v>
      </c>
      <c r="M976" s="26" t="str">
        <f t="shared" si="157"/>
        <v>FEDERAL</v>
      </c>
      <c r="N976" s="26">
        <v>678</v>
      </c>
      <c r="O976" s="26">
        <v>347</v>
      </c>
      <c r="P976" s="26">
        <v>331</v>
      </c>
      <c r="Q976" s="26">
        <v>18</v>
      </c>
      <c r="R976" s="26">
        <v>1</v>
      </c>
      <c r="S976" s="26">
        <v>17</v>
      </c>
      <c r="T976" s="26">
        <v>9</v>
      </c>
      <c r="U976" s="26">
        <v>27</v>
      </c>
      <c r="V976" s="26">
        <v>1</v>
      </c>
      <c r="W976" s="26"/>
    </row>
    <row r="977" spans="1:23" x14ac:dyDescent="0.25">
      <c r="A977" s="26" t="str">
        <f t="shared" si="155"/>
        <v>PRIMARIA</v>
      </c>
      <c r="B977" s="26" t="str">
        <f>"09DPR2035R"</f>
        <v>09DPR2035R</v>
      </c>
      <c r="C977" s="26" t="str">
        <f>"AGUSTIN LEGORRETA                                                                                   "</f>
        <v xml:space="preserve">AGUSTIN LEGORRETA                                                                                   </v>
      </c>
      <c r="D977" s="26" t="str">
        <f>"MATUTINO"</f>
        <v>MATUTINO</v>
      </c>
      <c r="E977" s="26" t="str">
        <f>"I.ZARAGOZA Y FCO.DEL OLMO                                                       "</f>
        <v xml:space="preserve">I.ZARAGOZA Y FCO.DEL OLMO                                                       </v>
      </c>
      <c r="F977" s="26" t="str">
        <f>"SAN ANTONIO TECOMITL                                                                                                                        "</f>
        <v xml:space="preserve">SAN ANTONIO TECOMITL                                                                                                                        </v>
      </c>
      <c r="G977" s="26" t="str">
        <f>"MILPA ALTA                                                                      "</f>
        <v xml:space="preserve">MILPA ALTA                                                                      </v>
      </c>
      <c r="H977" s="26" t="str">
        <f>"561"</f>
        <v>561</v>
      </c>
      <c r="I977" s="26" t="str">
        <f t="shared" si="156"/>
        <v>00</v>
      </c>
      <c r="J977" s="26" t="str">
        <f t="shared" si="160"/>
        <v xml:space="preserve">45 </v>
      </c>
      <c r="K977" s="26" t="str">
        <f t="shared" si="158"/>
        <v>PR</v>
      </c>
      <c r="L977" s="26" t="str">
        <f t="shared" si="159"/>
        <v>DGOSE</v>
      </c>
      <c r="M977" s="26" t="str">
        <f t="shared" si="157"/>
        <v>FEDERAL</v>
      </c>
      <c r="N977" s="26">
        <v>991</v>
      </c>
      <c r="O977" s="26">
        <v>494</v>
      </c>
      <c r="P977" s="26">
        <v>497</v>
      </c>
      <c r="Q977" s="26">
        <v>24</v>
      </c>
      <c r="R977" s="26">
        <v>1</v>
      </c>
      <c r="S977" s="26">
        <v>24</v>
      </c>
      <c r="T977" s="26">
        <v>13</v>
      </c>
      <c r="U977" s="26">
        <v>38</v>
      </c>
      <c r="V977" s="26">
        <v>1</v>
      </c>
      <c r="W977" s="26"/>
    </row>
    <row r="978" spans="1:23" x14ac:dyDescent="0.25">
      <c r="A978" s="26" t="str">
        <f t="shared" si="155"/>
        <v>PRIMARIA</v>
      </c>
      <c r="B978" s="26" t="str">
        <f>"09DPR2036Q"</f>
        <v>09DPR2036Q</v>
      </c>
      <c r="C978" s="26" t="str">
        <f>"VICENTE RIVA PALACIO                                                                                "</f>
        <v xml:space="preserve">VICENTE RIVA PALACIO                                                                                </v>
      </c>
      <c r="D978" s="26" t="str">
        <f>"MATUTINO"</f>
        <v>MATUTINO</v>
      </c>
      <c r="E978" s="26" t="str">
        <f>"AV. JUAREZ 38                                                                   "</f>
        <v xml:space="preserve">AV. JUAREZ 38                                                                   </v>
      </c>
      <c r="F978" s="26" t="str">
        <f>"CONCEPCION TLACOAPA                                                                                                                         "</f>
        <v xml:space="preserve">CONCEPCION TLACOAPA                                                                                                                         </v>
      </c>
      <c r="G978" s="26" t="str">
        <f>"XOCHIMILCO                                                                      "</f>
        <v xml:space="preserve">XOCHIMILCO                                                                      </v>
      </c>
      <c r="H978" s="26" t="str">
        <f>"536"</f>
        <v>536</v>
      </c>
      <c r="I978" s="26" t="str">
        <f t="shared" si="156"/>
        <v>00</v>
      </c>
      <c r="J978" s="26" t="str">
        <f t="shared" si="160"/>
        <v xml:space="preserve">45 </v>
      </c>
      <c r="K978" s="26" t="str">
        <f t="shared" si="158"/>
        <v>PR</v>
      </c>
      <c r="L978" s="26" t="str">
        <f t="shared" si="159"/>
        <v>DGOSE</v>
      </c>
      <c r="M978" s="26" t="str">
        <f t="shared" si="157"/>
        <v>FEDERAL</v>
      </c>
      <c r="N978" s="26">
        <v>635</v>
      </c>
      <c r="O978" s="26">
        <v>298</v>
      </c>
      <c r="P978" s="26">
        <v>337</v>
      </c>
      <c r="Q978" s="26">
        <v>18</v>
      </c>
      <c r="R978" s="26">
        <v>1</v>
      </c>
      <c r="S978" s="26">
        <v>17</v>
      </c>
      <c r="T978" s="26">
        <v>11</v>
      </c>
      <c r="U978" s="26">
        <v>29</v>
      </c>
      <c r="V978" s="26">
        <v>1</v>
      </c>
      <c r="W978" s="26"/>
    </row>
    <row r="979" spans="1:23" x14ac:dyDescent="0.25">
      <c r="A979" s="26" t="str">
        <f t="shared" si="155"/>
        <v>PRIMARIA</v>
      </c>
      <c r="B979" s="26" t="str">
        <f>"09DPR2037P"</f>
        <v>09DPR2037P</v>
      </c>
      <c r="C979" s="26" t="str">
        <f>"VICENTE RIVA PALACIO                                                                                "</f>
        <v xml:space="preserve">VICENTE RIVA PALACIO                                                                                </v>
      </c>
      <c r="D979" s="26" t="str">
        <f>"VESPERTINO"</f>
        <v>VESPERTINO</v>
      </c>
      <c r="E979" s="26" t="str">
        <f>"AV. JUAREZ NUM. 38                                                              "</f>
        <v xml:space="preserve">AV. JUAREZ NUM. 38                                                              </v>
      </c>
      <c r="F979" s="26" t="str">
        <f>"CONCEPCION TLACOAPA                                                                                                                         "</f>
        <v xml:space="preserve">CONCEPCION TLACOAPA                                                                                                                         </v>
      </c>
      <c r="G979" s="26" t="str">
        <f>"XOCHIMILCO                                                                      "</f>
        <v xml:space="preserve">XOCHIMILCO                                                                      </v>
      </c>
      <c r="H979" s="26" t="str">
        <f>"536"</f>
        <v>536</v>
      </c>
      <c r="I979" s="26" t="str">
        <f t="shared" si="156"/>
        <v>00</v>
      </c>
      <c r="J979" s="26" t="str">
        <f t="shared" si="160"/>
        <v xml:space="preserve">45 </v>
      </c>
      <c r="K979" s="26" t="str">
        <f t="shared" si="158"/>
        <v>PR</v>
      </c>
      <c r="L979" s="26" t="str">
        <f t="shared" si="159"/>
        <v>DGOSE</v>
      </c>
      <c r="M979" s="26" t="str">
        <f t="shared" si="157"/>
        <v>FEDERAL</v>
      </c>
      <c r="N979" s="26">
        <v>388</v>
      </c>
      <c r="O979" s="26">
        <v>192</v>
      </c>
      <c r="P979" s="26">
        <v>196</v>
      </c>
      <c r="Q979" s="26">
        <v>19</v>
      </c>
      <c r="R979" s="26">
        <v>1</v>
      </c>
      <c r="S979" s="26">
        <v>17</v>
      </c>
      <c r="T979" s="26">
        <v>9</v>
      </c>
      <c r="U979" s="26">
        <v>27</v>
      </c>
      <c r="V979" s="26">
        <v>1</v>
      </c>
      <c r="W979" s="26"/>
    </row>
    <row r="980" spans="1:23" x14ac:dyDescent="0.25">
      <c r="A980" s="26" t="str">
        <f t="shared" si="155"/>
        <v>PRIMARIA</v>
      </c>
      <c r="B980" s="26" t="str">
        <f>"09DPR2038O"</f>
        <v>09DPR2038O</v>
      </c>
      <c r="C980" s="26" t="str">
        <f>"TLAMACHKALI                                                                                         "</f>
        <v xml:space="preserve">TLAMACHKALI                                                                                         </v>
      </c>
      <c r="D980" s="26" t="str">
        <f>"MATUTINO"</f>
        <v>MATUTINO</v>
      </c>
      <c r="E980" s="26" t="str">
        <f>"THAIS S/N                                                                       "</f>
        <v xml:space="preserve">THAIS S/N                                                                       </v>
      </c>
      <c r="F980" s="26" t="str">
        <f>"LA NOPALERA                                                                                                                                 "</f>
        <v xml:space="preserve">LA NOPALERA                                                                                                                                 </v>
      </c>
      <c r="G980" s="26" t="str">
        <f>"TLAHUAC                                                                         "</f>
        <v xml:space="preserve">TLAHUAC                                                                         </v>
      </c>
      <c r="H980" s="26" t="str">
        <f>"548"</f>
        <v>548</v>
      </c>
      <c r="I980" s="26" t="str">
        <f t="shared" si="156"/>
        <v>00</v>
      </c>
      <c r="J980" s="26" t="str">
        <f t="shared" si="160"/>
        <v xml:space="preserve">45 </v>
      </c>
      <c r="K980" s="26" t="str">
        <f t="shared" si="158"/>
        <v>PR</v>
      </c>
      <c r="L980" s="26" t="str">
        <f t="shared" si="159"/>
        <v>DGOSE</v>
      </c>
      <c r="M980" s="26" t="str">
        <f t="shared" si="157"/>
        <v>FEDERAL</v>
      </c>
      <c r="N980" s="26">
        <v>756</v>
      </c>
      <c r="O980" s="26">
        <v>377</v>
      </c>
      <c r="P980" s="26">
        <v>379</v>
      </c>
      <c r="Q980" s="26">
        <v>20</v>
      </c>
      <c r="R980" s="26">
        <v>1</v>
      </c>
      <c r="S980" s="26">
        <v>17</v>
      </c>
      <c r="T980" s="26">
        <v>12</v>
      </c>
      <c r="U980" s="26">
        <v>30</v>
      </c>
      <c r="V980" s="26">
        <v>1</v>
      </c>
      <c r="W980" s="26"/>
    </row>
    <row r="981" spans="1:23" x14ac:dyDescent="0.25">
      <c r="A981" s="26" t="str">
        <f t="shared" si="155"/>
        <v>PRIMARIA</v>
      </c>
      <c r="B981" s="26" t="str">
        <f>"09DPR2039N"</f>
        <v>09DPR2039N</v>
      </c>
      <c r="C981" s="26" t="str">
        <f>"TLAMACHKALI                                                                                         "</f>
        <v xml:space="preserve">TLAMACHKALI                                                                                         </v>
      </c>
      <c r="D981" s="26" t="str">
        <f>"VESPERTINO"</f>
        <v>VESPERTINO</v>
      </c>
      <c r="E981" s="26" t="str">
        <f>"THAIS S/N                                                                       "</f>
        <v xml:space="preserve">THAIS S/N                                                                       </v>
      </c>
      <c r="F981" s="26" t="str">
        <f>"LA NOPALERA                                                                                                                                 "</f>
        <v xml:space="preserve">LA NOPALERA                                                                                                                                 </v>
      </c>
      <c r="G981" s="26" t="str">
        <f>"TLAHUAC                                                                         "</f>
        <v xml:space="preserve">TLAHUAC                                                                         </v>
      </c>
      <c r="H981" s="26" t="str">
        <f>"548"</f>
        <v>548</v>
      </c>
      <c r="I981" s="26" t="str">
        <f t="shared" si="156"/>
        <v>00</v>
      </c>
      <c r="J981" s="26" t="str">
        <f t="shared" si="160"/>
        <v xml:space="preserve">45 </v>
      </c>
      <c r="K981" s="26" t="str">
        <f t="shared" si="158"/>
        <v>PR</v>
      </c>
      <c r="L981" s="26" t="str">
        <f t="shared" si="159"/>
        <v>DGOSE</v>
      </c>
      <c r="M981" s="26" t="str">
        <f t="shared" si="157"/>
        <v>FEDERAL</v>
      </c>
      <c r="N981" s="26">
        <v>422</v>
      </c>
      <c r="O981" s="26">
        <v>218</v>
      </c>
      <c r="P981" s="26">
        <v>204</v>
      </c>
      <c r="Q981" s="26">
        <v>18</v>
      </c>
      <c r="R981" s="26">
        <v>1</v>
      </c>
      <c r="S981" s="26">
        <v>18</v>
      </c>
      <c r="T981" s="26">
        <v>9</v>
      </c>
      <c r="U981" s="26">
        <v>28</v>
      </c>
      <c r="V981" s="26">
        <v>1</v>
      </c>
      <c r="W981" s="26"/>
    </row>
    <row r="982" spans="1:23" x14ac:dyDescent="0.25">
      <c r="A982" s="26" t="str">
        <f t="shared" si="155"/>
        <v>PRIMARIA</v>
      </c>
      <c r="B982" s="26" t="str">
        <f>"09DPR2040C"</f>
        <v>09DPR2040C</v>
      </c>
      <c r="C982" s="26" t="str">
        <f>"TEUHTLI                                                                                             "</f>
        <v xml:space="preserve">TEUHTLI                                                                                             </v>
      </c>
      <c r="D982" s="26" t="str">
        <f t="shared" ref="D982:D988" si="161">"MATUTINO"</f>
        <v>MATUTINO</v>
      </c>
      <c r="E982" s="26" t="str">
        <f>"XACALIPA S/N                                                                    "</f>
        <v xml:space="preserve">XACALIPA S/N                                                                    </v>
      </c>
      <c r="F982" s="26" t="str">
        <f>"SAN FRANCISCO TECOXPA                                                                                                                       "</f>
        <v xml:space="preserve">SAN FRANCISCO TECOXPA                                                                                                                       </v>
      </c>
      <c r="G982" s="26" t="str">
        <f>"MILPA ALTA                                                                      "</f>
        <v xml:space="preserve">MILPA ALTA                                                                      </v>
      </c>
      <c r="H982" s="26" t="str">
        <f>"562"</f>
        <v>562</v>
      </c>
      <c r="I982" s="26" t="str">
        <f t="shared" si="156"/>
        <v>00</v>
      </c>
      <c r="J982" s="26" t="str">
        <f t="shared" si="160"/>
        <v xml:space="preserve">45 </v>
      </c>
      <c r="K982" s="26" t="str">
        <f t="shared" si="158"/>
        <v>PR</v>
      </c>
      <c r="L982" s="26" t="str">
        <f t="shared" si="159"/>
        <v>DGOSE</v>
      </c>
      <c r="M982" s="26" t="str">
        <f t="shared" si="157"/>
        <v>FEDERAL</v>
      </c>
      <c r="N982" s="26">
        <v>381</v>
      </c>
      <c r="O982" s="26">
        <v>199</v>
      </c>
      <c r="P982" s="26">
        <v>182</v>
      </c>
      <c r="Q982" s="26">
        <v>13</v>
      </c>
      <c r="R982" s="26">
        <v>1</v>
      </c>
      <c r="S982" s="26">
        <v>13</v>
      </c>
      <c r="T982" s="26">
        <v>5</v>
      </c>
      <c r="U982" s="26">
        <v>19</v>
      </c>
      <c r="V982" s="26">
        <v>1</v>
      </c>
      <c r="W982" s="26"/>
    </row>
    <row r="983" spans="1:23" x14ac:dyDescent="0.25">
      <c r="A983" s="26" t="str">
        <f t="shared" si="155"/>
        <v>PRIMARIA</v>
      </c>
      <c r="B983" s="26" t="str">
        <f>"09DPR2041B"</f>
        <v>09DPR2041B</v>
      </c>
      <c r="C983" s="26" t="str">
        <f>"QUILAZTLI                                                                                           "</f>
        <v xml:space="preserve">QUILAZTLI                                                                                           </v>
      </c>
      <c r="D983" s="26" t="str">
        <f t="shared" si="161"/>
        <v>MATUTINO</v>
      </c>
      <c r="E983" s="26" t="str">
        <f>"MORELOS Y SELVA S/N                                                             "</f>
        <v xml:space="preserve">MORELOS Y SELVA S/N                                                             </v>
      </c>
      <c r="F983" s="26" t="str">
        <f>"XALTOCAN                                                                                                                                    "</f>
        <v xml:space="preserve">XALTOCAN                                                                                                                                    </v>
      </c>
      <c r="G983" s="26" t="str">
        <f>"XOCHIMILCO                                                                      "</f>
        <v xml:space="preserve">XOCHIMILCO                                                                      </v>
      </c>
      <c r="H983" s="26" t="str">
        <f>"538"</f>
        <v>538</v>
      </c>
      <c r="I983" s="26" t="str">
        <f t="shared" si="156"/>
        <v>00</v>
      </c>
      <c r="J983" s="26" t="str">
        <f t="shared" si="160"/>
        <v xml:space="preserve">45 </v>
      </c>
      <c r="K983" s="26" t="str">
        <f t="shared" si="158"/>
        <v>PR</v>
      </c>
      <c r="L983" s="26" t="str">
        <f t="shared" si="159"/>
        <v>DGOSE</v>
      </c>
      <c r="M983" s="26" t="str">
        <f t="shared" si="157"/>
        <v>FEDERAL</v>
      </c>
      <c r="N983" s="26">
        <v>562</v>
      </c>
      <c r="O983" s="26">
        <v>272</v>
      </c>
      <c r="P983" s="26">
        <v>290</v>
      </c>
      <c r="Q983" s="26">
        <v>15</v>
      </c>
      <c r="R983" s="26">
        <v>1</v>
      </c>
      <c r="S983" s="26">
        <v>15</v>
      </c>
      <c r="T983" s="26">
        <v>10</v>
      </c>
      <c r="U983" s="26">
        <v>26</v>
      </c>
      <c r="V983" s="26">
        <v>1</v>
      </c>
      <c r="W983" s="26"/>
    </row>
    <row r="984" spans="1:23" x14ac:dyDescent="0.25">
      <c r="A984" s="26" t="str">
        <f t="shared" si="155"/>
        <v>PRIMARIA</v>
      </c>
      <c r="B984" s="26" t="str">
        <f>"09DPR2042A"</f>
        <v>09DPR2042A</v>
      </c>
      <c r="C984" s="26" t="str">
        <f>"PINTOR DIEGO RIVERA                                                                                 "</f>
        <v xml:space="preserve">PINTOR DIEGO RIVERA                                                                                 </v>
      </c>
      <c r="D984" s="26" t="str">
        <f t="shared" si="161"/>
        <v>MATUTINO</v>
      </c>
      <c r="E984" s="26" t="str">
        <f>"AV MORELOS S/N                                                                  "</f>
        <v xml:space="preserve">AV MORELOS S/N                                                                  </v>
      </c>
      <c r="F984" s="26" t="str">
        <f>"SAN SALVADOR CUAUHTENCO                                                                                                                     "</f>
        <v xml:space="preserve">SAN SALVADOR CUAUHTENCO                                                                                                                     </v>
      </c>
      <c r="G984" s="26" t="str">
        <f>"MILPA ALTA                                                                      "</f>
        <v xml:space="preserve">MILPA ALTA                                                                      </v>
      </c>
      <c r="H984" s="26" t="str">
        <f>"565"</f>
        <v>565</v>
      </c>
      <c r="I984" s="26" t="str">
        <f t="shared" si="156"/>
        <v>00</v>
      </c>
      <c r="J984" s="26" t="str">
        <f t="shared" si="160"/>
        <v xml:space="preserve">45 </v>
      </c>
      <c r="K984" s="26" t="str">
        <f t="shared" si="158"/>
        <v>PR</v>
      </c>
      <c r="L984" s="26" t="str">
        <f t="shared" si="159"/>
        <v>DGOSE</v>
      </c>
      <c r="M984" s="26" t="str">
        <f t="shared" si="157"/>
        <v>FEDERAL</v>
      </c>
      <c r="N984" s="26">
        <v>541</v>
      </c>
      <c r="O984" s="26">
        <v>276</v>
      </c>
      <c r="P984" s="26">
        <v>265</v>
      </c>
      <c r="Q984" s="26">
        <v>14</v>
      </c>
      <c r="R984" s="26">
        <v>1</v>
      </c>
      <c r="S984" s="26">
        <v>14</v>
      </c>
      <c r="T984" s="26">
        <v>7</v>
      </c>
      <c r="U984" s="26">
        <v>22</v>
      </c>
      <c r="V984" s="26">
        <v>1</v>
      </c>
      <c r="W984" s="26"/>
    </row>
    <row r="985" spans="1:23" x14ac:dyDescent="0.25">
      <c r="A985" s="26" t="str">
        <f t="shared" si="155"/>
        <v>PRIMARIA</v>
      </c>
      <c r="B985" s="26" t="str">
        <f>"09DPR2044Z"</f>
        <v>09DPR2044Z</v>
      </c>
      <c r="C985" s="26" t="str">
        <f>"CUAHILAMA                                                                                           "</f>
        <v xml:space="preserve">CUAHILAMA                                                                                           </v>
      </c>
      <c r="D985" s="26" t="str">
        <f t="shared" si="161"/>
        <v>MATUTINO</v>
      </c>
      <c r="E985" s="26" t="str">
        <f>"JARDIN LAZARO CARDENAS S/N                                                      "</f>
        <v xml:space="preserve">JARDIN LAZARO CARDENAS S/N                                                      </v>
      </c>
      <c r="F985" s="26" t="str">
        <f>"SANTA CRUZ ACALPIXCA                                                                                                                        "</f>
        <v xml:space="preserve">SANTA CRUZ ACALPIXCA                                                                                                                        </v>
      </c>
      <c r="G985" s="26" t="str">
        <f>"XOCHIMILCO                                                                      "</f>
        <v xml:space="preserve">XOCHIMILCO                                                                      </v>
      </c>
      <c r="H985" s="26" t="str">
        <f>"542"</f>
        <v>542</v>
      </c>
      <c r="I985" s="26" t="str">
        <f t="shared" si="156"/>
        <v>00</v>
      </c>
      <c r="J985" s="26" t="str">
        <f t="shared" si="160"/>
        <v xml:space="preserve">45 </v>
      </c>
      <c r="K985" s="26" t="str">
        <f t="shared" si="158"/>
        <v>PR</v>
      </c>
      <c r="L985" s="26" t="str">
        <f t="shared" si="159"/>
        <v>DGOSE</v>
      </c>
      <c r="M985" s="26" t="str">
        <f t="shared" si="157"/>
        <v>FEDERAL</v>
      </c>
      <c r="N985" s="26">
        <v>485</v>
      </c>
      <c r="O985" s="26">
        <v>251</v>
      </c>
      <c r="P985" s="26">
        <v>234</v>
      </c>
      <c r="Q985" s="26">
        <v>13</v>
      </c>
      <c r="R985" s="26">
        <v>1</v>
      </c>
      <c r="S985" s="26">
        <v>12</v>
      </c>
      <c r="T985" s="26">
        <v>9</v>
      </c>
      <c r="U985" s="26">
        <v>22</v>
      </c>
      <c r="V985" s="26">
        <v>1</v>
      </c>
      <c r="W985" s="26"/>
    </row>
    <row r="986" spans="1:23" x14ac:dyDescent="0.25">
      <c r="A986" s="26" t="str">
        <f t="shared" si="155"/>
        <v>PRIMARIA</v>
      </c>
      <c r="B986" s="26" t="str">
        <f>"09DPR2045Y"</f>
        <v>09DPR2045Y</v>
      </c>
      <c r="C986" s="26" t="str">
        <f>"REY TIZOC                                                                                           "</f>
        <v xml:space="preserve">REY TIZOC                                                                                           </v>
      </c>
      <c r="D986" s="26" t="str">
        <f t="shared" si="161"/>
        <v>MATUTINO</v>
      </c>
      <c r="E986" s="26" t="str">
        <f>"AV. MEXICO NUM. 6131                                                            "</f>
        <v xml:space="preserve">AV. MEXICO NUM. 6131                                                            </v>
      </c>
      <c r="F986" s="26" t="str">
        <f>"HUICHAPAN                                                                                                                                   "</f>
        <v xml:space="preserve">HUICHAPAN                                                                                                                                   </v>
      </c>
      <c r="G986" s="26" t="str">
        <f>"XOCHIMILCO                                                                      "</f>
        <v xml:space="preserve">XOCHIMILCO                                                                      </v>
      </c>
      <c r="H986" s="26" t="str">
        <f>"534"</f>
        <v>534</v>
      </c>
      <c r="I986" s="26" t="str">
        <f t="shared" si="156"/>
        <v>00</v>
      </c>
      <c r="J986" s="26" t="str">
        <f t="shared" si="160"/>
        <v xml:space="preserve">45 </v>
      </c>
      <c r="K986" s="26" t="str">
        <f t="shared" si="158"/>
        <v>PR</v>
      </c>
      <c r="L986" s="26" t="str">
        <f t="shared" si="159"/>
        <v>DGOSE</v>
      </c>
      <c r="M986" s="26" t="str">
        <f t="shared" si="157"/>
        <v>FEDERAL</v>
      </c>
      <c r="N986" s="26">
        <v>728</v>
      </c>
      <c r="O986" s="26">
        <v>363</v>
      </c>
      <c r="P986" s="26">
        <v>365</v>
      </c>
      <c r="Q986" s="26">
        <v>23</v>
      </c>
      <c r="R986" s="26">
        <v>1</v>
      </c>
      <c r="S986" s="26">
        <v>20</v>
      </c>
      <c r="T986" s="26">
        <v>16</v>
      </c>
      <c r="U986" s="26">
        <v>37</v>
      </c>
      <c r="V986" s="26">
        <v>1</v>
      </c>
      <c r="W986" s="26"/>
    </row>
    <row r="987" spans="1:23" x14ac:dyDescent="0.25">
      <c r="A987" s="26" t="str">
        <f t="shared" si="155"/>
        <v>PRIMARIA</v>
      </c>
      <c r="B987" s="26" t="str">
        <f>"09DPR2046X"</f>
        <v>09DPR2046X</v>
      </c>
      <c r="C987" s="26" t="str">
        <f>"ROBERTO MEDELLIN                                                                                    "</f>
        <v xml:space="preserve">ROBERTO MEDELLIN                                                                                    </v>
      </c>
      <c r="D987" s="26" t="str">
        <f t="shared" si="161"/>
        <v>MATUTINO</v>
      </c>
      <c r="E987" s="26" t="str">
        <f>"AV.EMILIANO ZAPATA NUM.30                                                       "</f>
        <v xml:space="preserve">AV.EMILIANO ZAPATA NUM.30                                                       </v>
      </c>
      <c r="F987" s="26" t="str">
        <f>"SAN NICOLAS TETELCO                                                                                                                         "</f>
        <v xml:space="preserve">SAN NICOLAS TETELCO                                                                                                                         </v>
      </c>
      <c r="G987" s="26" t="str">
        <f>"TLAHUAC                                                                         "</f>
        <v xml:space="preserve">TLAHUAC                                                                         </v>
      </c>
      <c r="H987" s="26" t="str">
        <f>"560"</f>
        <v>560</v>
      </c>
      <c r="I987" s="26" t="str">
        <f t="shared" si="156"/>
        <v>00</v>
      </c>
      <c r="J987" s="26" t="str">
        <f t="shared" si="160"/>
        <v xml:space="preserve">45 </v>
      </c>
      <c r="K987" s="26" t="str">
        <f t="shared" si="158"/>
        <v>PR</v>
      </c>
      <c r="L987" s="26" t="str">
        <f t="shared" si="159"/>
        <v>DGOSE</v>
      </c>
      <c r="M987" s="26" t="str">
        <f t="shared" si="157"/>
        <v>FEDERAL</v>
      </c>
      <c r="N987" s="26">
        <v>521</v>
      </c>
      <c r="O987" s="26">
        <v>248</v>
      </c>
      <c r="P987" s="26">
        <v>273</v>
      </c>
      <c r="Q987" s="26">
        <v>13</v>
      </c>
      <c r="R987" s="26">
        <v>1</v>
      </c>
      <c r="S987" s="26">
        <v>13</v>
      </c>
      <c r="T987" s="26">
        <v>9</v>
      </c>
      <c r="U987" s="26">
        <v>23</v>
      </c>
      <c r="V987" s="26">
        <v>1</v>
      </c>
      <c r="W987" s="26"/>
    </row>
    <row r="988" spans="1:23" x14ac:dyDescent="0.25">
      <c r="A988" s="26" t="str">
        <f t="shared" si="155"/>
        <v>PRIMARIA</v>
      </c>
      <c r="B988" s="26" t="str">
        <f>"09DPR2047W"</f>
        <v>09DPR2047W</v>
      </c>
      <c r="C988" s="26" t="str">
        <f>"REPUBLICA DE LA INDIA                                                                               "</f>
        <v xml:space="preserve">REPUBLICA DE LA INDIA                                                                               </v>
      </c>
      <c r="D988" s="26" t="str">
        <f t="shared" si="161"/>
        <v>MATUTINO</v>
      </c>
      <c r="E988" s="26" t="str">
        <f>"CONSTITUCION NUM. 20                                                            "</f>
        <v xml:space="preserve">CONSTITUCION NUM. 20                                                            </v>
      </c>
      <c r="F988" s="26" t="str">
        <f>"SAN FRANCISCO TLALNEPANTLA                                                                                                                  "</f>
        <v xml:space="preserve">SAN FRANCISCO TLALNEPANTLA                                                                                                                  </v>
      </c>
      <c r="G988" s="26" t="str">
        <f>"XOCHIMILCO                                                                      "</f>
        <v xml:space="preserve">XOCHIMILCO                                                                      </v>
      </c>
      <c r="H988" s="26" t="str">
        <f>"541"</f>
        <v>541</v>
      </c>
      <c r="I988" s="26" t="str">
        <f t="shared" si="156"/>
        <v>00</v>
      </c>
      <c r="J988" s="26" t="str">
        <f t="shared" si="160"/>
        <v xml:space="preserve">45 </v>
      </c>
      <c r="K988" s="26" t="str">
        <f t="shared" si="158"/>
        <v>PR</v>
      </c>
      <c r="L988" s="26" t="str">
        <f t="shared" si="159"/>
        <v>DGOSE</v>
      </c>
      <c r="M988" s="26" t="str">
        <f t="shared" si="157"/>
        <v>FEDERAL</v>
      </c>
      <c r="N988" s="26">
        <v>455</v>
      </c>
      <c r="O988" s="26">
        <v>215</v>
      </c>
      <c r="P988" s="26">
        <v>240</v>
      </c>
      <c r="Q988" s="26">
        <v>12</v>
      </c>
      <c r="R988" s="26">
        <v>1</v>
      </c>
      <c r="S988" s="26">
        <v>12</v>
      </c>
      <c r="T988" s="26">
        <v>10</v>
      </c>
      <c r="U988" s="26">
        <v>23</v>
      </c>
      <c r="V988" s="26">
        <v>1</v>
      </c>
      <c r="W988" s="26"/>
    </row>
    <row r="989" spans="1:23" x14ac:dyDescent="0.25">
      <c r="A989" s="26" t="str">
        <f t="shared" si="155"/>
        <v>PRIMARIA</v>
      </c>
      <c r="B989" s="26" t="str">
        <f>"09DPR2048V"</f>
        <v>09DPR2048V</v>
      </c>
      <c r="C989" s="26" t="str">
        <f>"REY TIZOC                                                                                           "</f>
        <v xml:space="preserve">REY TIZOC                                                                                           </v>
      </c>
      <c r="D989" s="26" t="str">
        <f>"VESPERTINO"</f>
        <v>VESPERTINO</v>
      </c>
      <c r="E989" s="26" t="str">
        <f>"AV MEXICO NO 6131                                                               "</f>
        <v xml:space="preserve">AV MEXICO NO 6131                                                               </v>
      </c>
      <c r="F989" s="26" t="str">
        <f>"HUICHAPAN                                                                                                                                   "</f>
        <v xml:space="preserve">HUICHAPAN                                                                                                                                   </v>
      </c>
      <c r="G989" s="26" t="str">
        <f>"XOCHIMILCO                                                                      "</f>
        <v xml:space="preserve">XOCHIMILCO                                                                      </v>
      </c>
      <c r="H989" s="26" t="str">
        <f>"534"</f>
        <v>534</v>
      </c>
      <c r="I989" s="26" t="str">
        <f t="shared" si="156"/>
        <v>00</v>
      </c>
      <c r="J989" s="26" t="str">
        <f t="shared" si="160"/>
        <v xml:space="preserve">45 </v>
      </c>
      <c r="K989" s="26" t="str">
        <f t="shared" si="158"/>
        <v>PR</v>
      </c>
      <c r="L989" s="26" t="str">
        <f t="shared" si="159"/>
        <v>DGOSE</v>
      </c>
      <c r="M989" s="26" t="str">
        <f t="shared" si="157"/>
        <v>FEDERAL</v>
      </c>
      <c r="N989" s="26">
        <v>240</v>
      </c>
      <c r="O989" s="26">
        <v>107</v>
      </c>
      <c r="P989" s="26">
        <v>133</v>
      </c>
      <c r="Q989" s="26">
        <v>14</v>
      </c>
      <c r="R989" s="26">
        <v>1</v>
      </c>
      <c r="S989" s="26">
        <v>11</v>
      </c>
      <c r="T989" s="26">
        <v>7</v>
      </c>
      <c r="U989" s="26">
        <v>19</v>
      </c>
      <c r="V989" s="26">
        <v>1</v>
      </c>
      <c r="W989" s="26"/>
    </row>
    <row r="990" spans="1:23" x14ac:dyDescent="0.25">
      <c r="A990" s="26" t="str">
        <f t="shared" si="155"/>
        <v>PRIMARIA</v>
      </c>
      <c r="B990" s="26" t="str">
        <f>"09DPR2049U"</f>
        <v>09DPR2049U</v>
      </c>
      <c r="C990" s="26" t="str">
        <f>"AURELIO MANRIQUE                                                                                    "</f>
        <v xml:space="preserve">AURELIO MANRIQUE                                                                                    </v>
      </c>
      <c r="D990" s="26" t="str">
        <f>"TIEMPO COMPLETO"</f>
        <v>TIEMPO COMPLETO</v>
      </c>
      <c r="E990" s="26" t="str">
        <f>"SABINOS NUM 100                                                                 "</f>
        <v xml:space="preserve">SABINOS NUM 100                                                                 </v>
      </c>
      <c r="F990" s="26" t="str">
        <f>"SANTA ANITA                                                                                                                                 "</f>
        <v xml:space="preserve">SANTA ANITA                                                                                                                                 </v>
      </c>
      <c r="G990" s="26" t="str">
        <f>"IZTACALCO                                                                       "</f>
        <v xml:space="preserve">IZTACALCO                                                                       </v>
      </c>
      <c r="H990" s="26" t="str">
        <f>"431"</f>
        <v>431</v>
      </c>
      <c r="I990" s="26" t="str">
        <f t="shared" si="156"/>
        <v>00</v>
      </c>
      <c r="J990" s="26" t="str">
        <f>"44 "</f>
        <v xml:space="preserve">44 </v>
      </c>
      <c r="K990" s="26" t="str">
        <f t="shared" si="158"/>
        <v>PR</v>
      </c>
      <c r="L990" s="26" t="str">
        <f t="shared" si="159"/>
        <v>DGOSE</v>
      </c>
      <c r="M990" s="26" t="str">
        <f t="shared" si="157"/>
        <v>FEDERAL</v>
      </c>
      <c r="N990" s="26">
        <v>345</v>
      </c>
      <c r="O990" s="26">
        <v>191</v>
      </c>
      <c r="P990" s="26">
        <v>154</v>
      </c>
      <c r="Q990" s="26">
        <v>12</v>
      </c>
      <c r="R990" s="26">
        <v>1</v>
      </c>
      <c r="S990" s="26">
        <v>12</v>
      </c>
      <c r="T990" s="26">
        <v>18</v>
      </c>
      <c r="U990" s="26">
        <v>31</v>
      </c>
      <c r="V990" s="26">
        <v>1</v>
      </c>
      <c r="W990" s="26" t="s">
        <v>218</v>
      </c>
    </row>
    <row r="991" spans="1:23" x14ac:dyDescent="0.25">
      <c r="A991" s="26" t="str">
        <f t="shared" si="155"/>
        <v>PRIMARIA</v>
      </c>
      <c r="B991" s="26" t="str">
        <f>"09DPR2050J"</f>
        <v>09DPR2050J</v>
      </c>
      <c r="C991" s="26" t="str">
        <f>"MELCHOR OCAMPO                                                                                      "</f>
        <v xml:space="preserve">MELCHOR OCAMPO                                                                                      </v>
      </c>
      <c r="D991" s="26" t="str">
        <f>"MATUTINO"</f>
        <v>MATUTINO</v>
      </c>
      <c r="E991" s="26" t="str">
        <f>"AV LAZARO CARDENAS S/N                                                          "</f>
        <v xml:space="preserve">AV LAZARO CARDENAS S/N                                                          </v>
      </c>
      <c r="F991" s="26" t="str">
        <f>"CUAUTEPEC DE MADERO                                                                                                                         "</f>
        <v xml:space="preserve">CUAUTEPEC DE MADERO                                                                                                                         </v>
      </c>
      <c r="G991" s="26" t="str">
        <f>"GUSTAVO A. MADERO                                                               "</f>
        <v xml:space="preserve">GUSTAVO A. MADERO                                                               </v>
      </c>
      <c r="H991" s="26" t="str">
        <f>"231"</f>
        <v>231</v>
      </c>
      <c r="I991" s="26" t="str">
        <f t="shared" si="156"/>
        <v>00</v>
      </c>
      <c r="J991" s="26" t="str">
        <f>"42 "</f>
        <v xml:space="preserve">42 </v>
      </c>
      <c r="K991" s="26" t="str">
        <f t="shared" si="158"/>
        <v>PR</v>
      </c>
      <c r="L991" s="26" t="str">
        <f t="shared" si="159"/>
        <v>DGOSE</v>
      </c>
      <c r="M991" s="26" t="str">
        <f t="shared" si="157"/>
        <v>FEDERAL</v>
      </c>
      <c r="N991" s="26">
        <v>578</v>
      </c>
      <c r="O991" s="26">
        <v>281</v>
      </c>
      <c r="P991" s="26">
        <v>297</v>
      </c>
      <c r="Q991" s="26">
        <v>18</v>
      </c>
      <c r="R991" s="26">
        <v>1</v>
      </c>
      <c r="S991" s="26">
        <v>18</v>
      </c>
      <c r="T991" s="26">
        <v>10</v>
      </c>
      <c r="U991" s="26">
        <v>29</v>
      </c>
      <c r="V991" s="26">
        <v>1</v>
      </c>
      <c r="W991" s="26"/>
    </row>
    <row r="992" spans="1:23" x14ac:dyDescent="0.25">
      <c r="A992" s="26" t="str">
        <f t="shared" si="155"/>
        <v>PRIMARIA</v>
      </c>
      <c r="B992" s="26" t="str">
        <f>"09DPR2051I"</f>
        <v>09DPR2051I</v>
      </c>
      <c r="C992" s="26" t="str">
        <f>"QUIRINO MENDOZA Y CORTES                                                                            "</f>
        <v xml:space="preserve">QUIRINO MENDOZA Y CORTES                                                                            </v>
      </c>
      <c r="D992" s="26" t="str">
        <f>"MATUTINO"</f>
        <v>MATUTINO</v>
      </c>
      <c r="E992" s="26" t="str">
        <f>"PEDRO RAMIREZ DEL CASTILLO S/N                                                  "</f>
        <v xml:space="preserve">PEDRO RAMIREZ DEL CASTILLO S/N                                                  </v>
      </c>
      <c r="F992" s="26" t="str">
        <f>"SAN PEDRO                                                                                                                                   "</f>
        <v xml:space="preserve">SAN PEDRO                                                                                                                                   </v>
      </c>
      <c r="G992" s="26" t="str">
        <f>"XOCHIMILCO                                                                      "</f>
        <v xml:space="preserve">XOCHIMILCO                                                                      </v>
      </c>
      <c r="H992" s="26" t="str">
        <f>"537"</f>
        <v>537</v>
      </c>
      <c r="I992" s="26" t="str">
        <f t="shared" si="156"/>
        <v>00</v>
      </c>
      <c r="J992" s="26" t="str">
        <f t="shared" ref="J992:J1001" si="162">"45 "</f>
        <v xml:space="preserve">45 </v>
      </c>
      <c r="K992" s="26" t="str">
        <f t="shared" si="158"/>
        <v>PR</v>
      </c>
      <c r="L992" s="26" t="str">
        <f t="shared" si="159"/>
        <v>DGOSE</v>
      </c>
      <c r="M992" s="26" t="str">
        <f t="shared" si="157"/>
        <v>FEDERAL</v>
      </c>
      <c r="N992" s="26">
        <v>781</v>
      </c>
      <c r="O992" s="26">
        <v>362</v>
      </c>
      <c r="P992" s="26">
        <v>419</v>
      </c>
      <c r="Q992" s="26">
        <v>20</v>
      </c>
      <c r="R992" s="26">
        <v>1</v>
      </c>
      <c r="S992" s="26">
        <v>20</v>
      </c>
      <c r="T992" s="26">
        <v>13</v>
      </c>
      <c r="U992" s="26">
        <v>34</v>
      </c>
      <c r="V992" s="26">
        <v>1</v>
      </c>
      <c r="W992" s="26"/>
    </row>
    <row r="993" spans="1:23" x14ac:dyDescent="0.25">
      <c r="A993" s="26" t="str">
        <f t="shared" si="155"/>
        <v>PRIMARIA</v>
      </c>
      <c r="B993" s="26" t="str">
        <f>"09DPR2052H"</f>
        <v>09DPR2052H</v>
      </c>
      <c r="C993" s="26" t="str">
        <f>"RICARDO FLORES MAGON                                                                                "</f>
        <v xml:space="preserve">RICARDO FLORES MAGON                                                                                </v>
      </c>
      <c r="D993" s="26" t="str">
        <f>"VESPERTINO"</f>
        <v>VESPERTINO</v>
      </c>
      <c r="E993" s="26" t="str">
        <f>"AV TLAHUAC KM 23                                                                "</f>
        <v xml:space="preserve">AV TLAHUAC KM 23                                                                </v>
      </c>
      <c r="F993" s="26" t="str">
        <f>"SANTIAGO ZAPOTITLAN                                                                                                                         "</f>
        <v xml:space="preserve">SANTIAGO ZAPOTITLAN                                                                                                                         </v>
      </c>
      <c r="G993" s="26" t="str">
        <f>"TLAHUAC                                                                         "</f>
        <v xml:space="preserve">TLAHUAC                                                                         </v>
      </c>
      <c r="H993" s="26" t="str">
        <f>"553"</f>
        <v>553</v>
      </c>
      <c r="I993" s="26" t="str">
        <f t="shared" si="156"/>
        <v>00</v>
      </c>
      <c r="J993" s="26" t="str">
        <f t="shared" si="162"/>
        <v xml:space="preserve">45 </v>
      </c>
      <c r="K993" s="26" t="str">
        <f t="shared" si="158"/>
        <v>PR</v>
      </c>
      <c r="L993" s="26" t="str">
        <f t="shared" si="159"/>
        <v>DGOSE</v>
      </c>
      <c r="M993" s="26" t="str">
        <f t="shared" si="157"/>
        <v>FEDERAL</v>
      </c>
      <c r="N993" s="26">
        <v>542</v>
      </c>
      <c r="O993" s="26">
        <v>294</v>
      </c>
      <c r="P993" s="26">
        <v>248</v>
      </c>
      <c r="Q993" s="26">
        <v>18</v>
      </c>
      <c r="R993" s="26">
        <v>1</v>
      </c>
      <c r="S993" s="26">
        <v>17</v>
      </c>
      <c r="T993" s="26">
        <v>7</v>
      </c>
      <c r="U993" s="26">
        <v>25</v>
      </c>
      <c r="V993" s="26">
        <v>1</v>
      </c>
      <c r="W993" s="26"/>
    </row>
    <row r="994" spans="1:23" x14ac:dyDescent="0.25">
      <c r="A994" s="26" t="str">
        <f t="shared" si="155"/>
        <v>PRIMARIA</v>
      </c>
      <c r="B994" s="26" t="str">
        <f>"09DPR2053G"</f>
        <v>09DPR2053G</v>
      </c>
      <c r="C994" s="26" t="str">
        <f>"PLAN SEXENAL                                                                                        "</f>
        <v xml:space="preserve">PLAN SEXENAL                                                                                        </v>
      </c>
      <c r="D994" s="26" t="str">
        <f>"MATUTINO"</f>
        <v>MATUTINO</v>
      </c>
      <c r="E994" s="26" t="str">
        <f>"JAVIER ROJO GOMEZ 22                                                            "</f>
        <v xml:space="preserve">JAVIER ROJO GOMEZ 22                                                            </v>
      </c>
      <c r="F994" s="26" t="str">
        <f>"SAN PABLO OZTOTEPEC                                                                                                                         "</f>
        <v xml:space="preserve">SAN PABLO OZTOTEPEC                                                                                                                         </v>
      </c>
      <c r="G994" s="26" t="str">
        <f>"MILPA ALTA                                                                      "</f>
        <v xml:space="preserve">MILPA ALTA                                                                      </v>
      </c>
      <c r="H994" s="26" t="str">
        <f>"565"</f>
        <v>565</v>
      </c>
      <c r="I994" s="26" t="str">
        <f t="shared" si="156"/>
        <v>00</v>
      </c>
      <c r="J994" s="26" t="str">
        <f t="shared" si="162"/>
        <v xml:space="preserve">45 </v>
      </c>
      <c r="K994" s="26" t="str">
        <f t="shared" si="158"/>
        <v>PR</v>
      </c>
      <c r="L994" s="26" t="str">
        <f t="shared" si="159"/>
        <v>DGOSE</v>
      </c>
      <c r="M994" s="26" t="str">
        <f t="shared" si="157"/>
        <v>FEDERAL</v>
      </c>
      <c r="N994" s="26">
        <v>735</v>
      </c>
      <c r="O994" s="26">
        <v>353</v>
      </c>
      <c r="P994" s="26">
        <v>382</v>
      </c>
      <c r="Q994" s="26">
        <v>18</v>
      </c>
      <c r="R994" s="26">
        <v>1</v>
      </c>
      <c r="S994" s="26">
        <v>17</v>
      </c>
      <c r="T994" s="26">
        <v>8</v>
      </c>
      <c r="U994" s="26">
        <v>26</v>
      </c>
      <c r="V994" s="26">
        <v>1</v>
      </c>
      <c r="W994" s="26"/>
    </row>
    <row r="995" spans="1:23" x14ac:dyDescent="0.25">
      <c r="A995" s="26" t="str">
        <f t="shared" si="155"/>
        <v>PRIMARIA</v>
      </c>
      <c r="B995" s="26" t="str">
        <f>"09DPR2054F"</f>
        <v>09DPR2054F</v>
      </c>
      <c r="C995" s="26" t="str">
        <f>"PROGRESO CAMPESINO                                                                                  "</f>
        <v xml:space="preserve">PROGRESO CAMPESINO                                                                                  </v>
      </c>
      <c r="D995" s="26" t="str">
        <f>"MATUTINO"</f>
        <v>MATUTINO</v>
      </c>
      <c r="E995" s="26" t="str">
        <f>"NIÑOS HEROES NO 16                                                              "</f>
        <v xml:space="preserve">NIÑOS HEROES NO 16                                                              </v>
      </c>
      <c r="F995" s="26" t="str">
        <f>"SAN LORENZO TLACOYUCAN                                                                                                                      "</f>
        <v xml:space="preserve">SAN LORENZO TLACOYUCAN                                                                                                                      </v>
      </c>
      <c r="G995" s="26" t="str">
        <f>"MILPA ALTA                                                                      "</f>
        <v xml:space="preserve">MILPA ALTA                                                                      </v>
      </c>
      <c r="H995" s="26" t="str">
        <f>"563"</f>
        <v>563</v>
      </c>
      <c r="I995" s="26" t="str">
        <f t="shared" si="156"/>
        <v>00</v>
      </c>
      <c r="J995" s="26" t="str">
        <f t="shared" si="162"/>
        <v xml:space="preserve">45 </v>
      </c>
      <c r="K995" s="26" t="str">
        <f t="shared" si="158"/>
        <v>PR</v>
      </c>
      <c r="L995" s="26" t="str">
        <f t="shared" si="159"/>
        <v>DGOSE</v>
      </c>
      <c r="M995" s="26" t="str">
        <f t="shared" si="157"/>
        <v>FEDERAL</v>
      </c>
      <c r="N995" s="26">
        <v>372</v>
      </c>
      <c r="O995" s="26">
        <v>196</v>
      </c>
      <c r="P995" s="26">
        <v>176</v>
      </c>
      <c r="Q995" s="26">
        <v>11</v>
      </c>
      <c r="R995" s="26">
        <v>1</v>
      </c>
      <c r="S995" s="26">
        <v>11</v>
      </c>
      <c r="T995" s="26">
        <v>5</v>
      </c>
      <c r="U995" s="26">
        <v>17</v>
      </c>
      <c r="V995" s="26">
        <v>1</v>
      </c>
      <c r="W995" s="26"/>
    </row>
    <row r="996" spans="1:23" x14ac:dyDescent="0.25">
      <c r="A996" s="26" t="str">
        <f t="shared" si="155"/>
        <v>PRIMARIA</v>
      </c>
      <c r="B996" s="26" t="str">
        <f>"09DPR2055E"</f>
        <v>09DPR2055E</v>
      </c>
      <c r="C996" s="26" t="str">
        <f>"PLAN DE GUADALUPE                                                                                   "</f>
        <v xml:space="preserve">PLAN DE GUADALUPE                                                                                   </v>
      </c>
      <c r="D996" s="26" t="str">
        <f>"MATUTINO"</f>
        <v>MATUTINO</v>
      </c>
      <c r="E996" s="26" t="str">
        <f>"RICARDO FLORES MAGON S/N                                                        "</f>
        <v xml:space="preserve">RICARDO FLORES MAGON S/N                                                        </v>
      </c>
      <c r="F996" s="26" t="str">
        <f>"SANTIAGO ZAPOTITLAN                                                                                                                         "</f>
        <v xml:space="preserve">SANTIAGO ZAPOTITLAN                                                                                                                         </v>
      </c>
      <c r="G996" s="26" t="str">
        <f>"TLAHUAC                                                                         "</f>
        <v xml:space="preserve">TLAHUAC                                                                         </v>
      </c>
      <c r="H996" s="26" t="str">
        <f>"553"</f>
        <v>553</v>
      </c>
      <c r="I996" s="26" t="str">
        <f t="shared" si="156"/>
        <v>00</v>
      </c>
      <c r="J996" s="26" t="str">
        <f t="shared" si="162"/>
        <v xml:space="preserve">45 </v>
      </c>
      <c r="K996" s="26" t="str">
        <f t="shared" si="158"/>
        <v>PR</v>
      </c>
      <c r="L996" s="26" t="str">
        <f t="shared" si="159"/>
        <v>DGOSE</v>
      </c>
      <c r="M996" s="26" t="str">
        <f t="shared" si="157"/>
        <v>FEDERAL</v>
      </c>
      <c r="N996" s="26">
        <v>662</v>
      </c>
      <c r="O996" s="26">
        <v>348</v>
      </c>
      <c r="P996" s="26">
        <v>314</v>
      </c>
      <c r="Q996" s="26">
        <v>18</v>
      </c>
      <c r="R996" s="26">
        <v>1</v>
      </c>
      <c r="S996" s="26">
        <v>18</v>
      </c>
      <c r="T996" s="26">
        <v>10</v>
      </c>
      <c r="U996" s="26">
        <v>29</v>
      </c>
      <c r="V996" s="26">
        <v>1</v>
      </c>
      <c r="W996" s="26"/>
    </row>
    <row r="997" spans="1:23" x14ac:dyDescent="0.25">
      <c r="A997" s="26" t="str">
        <f t="shared" si="155"/>
        <v>PRIMARIA</v>
      </c>
      <c r="B997" s="26" t="str">
        <f>"09DPR2056D"</f>
        <v>09DPR2056D</v>
      </c>
      <c r="C997" s="26" t="str">
        <f>"PLAN DE GUADALUPE                                                                                   "</f>
        <v xml:space="preserve">PLAN DE GUADALUPE                                                                                   </v>
      </c>
      <c r="D997" s="26" t="str">
        <f>"VESPERTINO"</f>
        <v>VESPERTINO</v>
      </c>
      <c r="E997" s="26" t="str">
        <f>"RICARDO FLORES MAGON S/N                                                        "</f>
        <v xml:space="preserve">RICARDO FLORES MAGON S/N                                                        </v>
      </c>
      <c r="F997" s="26" t="str">
        <f>"SANTIAGO ZAPOTITLAN                                                                                                                         "</f>
        <v xml:space="preserve">SANTIAGO ZAPOTITLAN                                                                                                                         </v>
      </c>
      <c r="G997" s="26" t="str">
        <f>"TLAHUAC                                                                         "</f>
        <v xml:space="preserve">TLAHUAC                                                                         </v>
      </c>
      <c r="H997" s="26" t="str">
        <f>"553"</f>
        <v>553</v>
      </c>
      <c r="I997" s="26" t="str">
        <f t="shared" si="156"/>
        <v>00</v>
      </c>
      <c r="J997" s="26" t="str">
        <f t="shared" si="162"/>
        <v xml:space="preserve">45 </v>
      </c>
      <c r="K997" s="26" t="str">
        <f t="shared" si="158"/>
        <v>PR</v>
      </c>
      <c r="L997" s="26" t="str">
        <f t="shared" si="159"/>
        <v>DGOSE</v>
      </c>
      <c r="M997" s="26" t="str">
        <f t="shared" si="157"/>
        <v>FEDERAL</v>
      </c>
      <c r="N997" s="26">
        <v>331</v>
      </c>
      <c r="O997" s="26">
        <v>173</v>
      </c>
      <c r="P997" s="26">
        <v>158</v>
      </c>
      <c r="Q997" s="26">
        <v>13</v>
      </c>
      <c r="R997" s="26">
        <v>1</v>
      </c>
      <c r="S997" s="26">
        <v>13</v>
      </c>
      <c r="T997" s="26">
        <v>7</v>
      </c>
      <c r="U997" s="26">
        <v>21</v>
      </c>
      <c r="V997" s="26">
        <v>1</v>
      </c>
      <c r="W997" s="26"/>
    </row>
    <row r="998" spans="1:23" x14ac:dyDescent="0.25">
      <c r="A998" s="26" t="str">
        <f t="shared" si="155"/>
        <v>PRIMARIA</v>
      </c>
      <c r="B998" s="26" t="str">
        <f>"09DPR2057C"</f>
        <v>09DPR2057C</v>
      </c>
      <c r="C998" s="26" t="str">
        <f>"PLAN DE AYALA                                                                                       "</f>
        <v xml:space="preserve">PLAN DE AYALA                                                                                       </v>
      </c>
      <c r="D998" s="26" t="str">
        <f>"MATUTINO"</f>
        <v>MATUTINO</v>
      </c>
      <c r="E998" s="26" t="str">
        <f>"VICENTE GUERRERO 8                                                              "</f>
        <v xml:space="preserve">VICENTE GUERRERO 8                                                              </v>
      </c>
      <c r="F998" s="26" t="str">
        <f>"SAN FRANCISCO TLALTENCO                                                                                                                     "</f>
        <v xml:space="preserve">SAN FRANCISCO TLALTENCO                                                                                                                     </v>
      </c>
      <c r="G998" s="26" t="str">
        <f>"TLAHUAC                                                                         "</f>
        <v xml:space="preserve">TLAHUAC                                                                         </v>
      </c>
      <c r="H998" s="26" t="str">
        <f>"554"</f>
        <v>554</v>
      </c>
      <c r="I998" s="26" t="str">
        <f t="shared" si="156"/>
        <v>00</v>
      </c>
      <c r="J998" s="26" t="str">
        <f t="shared" si="162"/>
        <v xml:space="preserve">45 </v>
      </c>
      <c r="K998" s="26" t="str">
        <f t="shared" si="158"/>
        <v>PR</v>
      </c>
      <c r="L998" s="26" t="str">
        <f t="shared" si="159"/>
        <v>DGOSE</v>
      </c>
      <c r="M998" s="26" t="str">
        <f t="shared" si="157"/>
        <v>FEDERAL</v>
      </c>
      <c r="N998" s="26">
        <v>721</v>
      </c>
      <c r="O998" s="26">
        <v>376</v>
      </c>
      <c r="P998" s="26">
        <v>345</v>
      </c>
      <c r="Q998" s="26">
        <v>22</v>
      </c>
      <c r="R998" s="26">
        <v>1</v>
      </c>
      <c r="S998" s="26">
        <v>19</v>
      </c>
      <c r="T998" s="26">
        <v>9</v>
      </c>
      <c r="U998" s="26">
        <v>29</v>
      </c>
      <c r="V998" s="26">
        <v>1</v>
      </c>
      <c r="W998" s="26"/>
    </row>
    <row r="999" spans="1:23" x14ac:dyDescent="0.25">
      <c r="A999" s="26" t="str">
        <f t="shared" si="155"/>
        <v>PRIMARIA</v>
      </c>
      <c r="B999" s="26" t="str">
        <f>"09DPR2058B"</f>
        <v>09DPR2058B</v>
      </c>
      <c r="C999" s="26" t="str">
        <f>"PLAN DE AYALA                                                                                       "</f>
        <v xml:space="preserve">PLAN DE AYALA                                                                                       </v>
      </c>
      <c r="D999" s="26" t="str">
        <f>"MATUTINO"</f>
        <v>MATUTINO</v>
      </c>
      <c r="E999" s="26" t="str">
        <f>"AV PLAN DE AYUTLA NO. 45                                                        "</f>
        <v xml:space="preserve">AV PLAN DE AYUTLA NO. 45                                                        </v>
      </c>
      <c r="F999" s="26" t="str">
        <f>"SAN FRANCISCO TLALTENCO                                                                                                                     "</f>
        <v xml:space="preserve">SAN FRANCISCO TLALTENCO                                                                                                                     </v>
      </c>
      <c r="G999" s="26" t="str">
        <f>"TLAHUAC                                                                         "</f>
        <v xml:space="preserve">TLAHUAC                                                                         </v>
      </c>
      <c r="H999" s="26" t="str">
        <f>"554"</f>
        <v>554</v>
      </c>
      <c r="I999" s="26" t="str">
        <f t="shared" si="156"/>
        <v>00</v>
      </c>
      <c r="J999" s="26" t="str">
        <f t="shared" si="162"/>
        <v xml:space="preserve">45 </v>
      </c>
      <c r="K999" s="26" t="str">
        <f t="shared" si="158"/>
        <v>PR</v>
      </c>
      <c r="L999" s="26" t="str">
        <f t="shared" si="159"/>
        <v>DGOSE</v>
      </c>
      <c r="M999" s="26" t="str">
        <f t="shared" si="157"/>
        <v>FEDERAL</v>
      </c>
      <c r="N999" s="26">
        <v>619</v>
      </c>
      <c r="O999" s="26">
        <v>310</v>
      </c>
      <c r="P999" s="26">
        <v>309</v>
      </c>
      <c r="Q999" s="26">
        <v>15</v>
      </c>
      <c r="R999" s="26">
        <v>1</v>
      </c>
      <c r="S999" s="26">
        <v>14</v>
      </c>
      <c r="T999" s="26">
        <v>7</v>
      </c>
      <c r="U999" s="26">
        <v>22</v>
      </c>
      <c r="V999" s="26">
        <v>1</v>
      </c>
      <c r="W999" s="26"/>
    </row>
    <row r="1000" spans="1:23" x14ac:dyDescent="0.25">
      <c r="A1000" s="26" t="str">
        <f t="shared" si="155"/>
        <v>PRIMARIA</v>
      </c>
      <c r="B1000" s="26" t="str">
        <f>"09DPR2059A"</f>
        <v>09DPR2059A</v>
      </c>
      <c r="C1000" s="26" t="str">
        <f>"ING. MIGUEL BERNARD                                                                                 "</f>
        <v xml:space="preserve">ING. MIGUEL BERNARD                                                                                 </v>
      </c>
      <c r="D1000" s="26" t="str">
        <f>"MATUTINO"</f>
        <v>MATUTINO</v>
      </c>
      <c r="E1000" s="26" t="str">
        <f>"AV HIDALGO NO 4                                                                 "</f>
        <v xml:space="preserve">AV HIDALGO NO 4                                                                 </v>
      </c>
      <c r="F1000" s="26" t="str">
        <f>"SAN GREGORIO ATLAPULCO                                                                                                                      "</f>
        <v xml:space="preserve">SAN GREGORIO ATLAPULCO                                                                                                                      </v>
      </c>
      <c r="G1000" s="26" t="str">
        <f>"XOCHIMILCO                                                                      "</f>
        <v xml:space="preserve">XOCHIMILCO                                                                      </v>
      </c>
      <c r="H1000" s="26" t="str">
        <f>"543"</f>
        <v>543</v>
      </c>
      <c r="I1000" s="26" t="str">
        <f t="shared" si="156"/>
        <v>00</v>
      </c>
      <c r="J1000" s="26" t="str">
        <f t="shared" si="162"/>
        <v xml:space="preserve">45 </v>
      </c>
      <c r="K1000" s="26" t="str">
        <f t="shared" si="158"/>
        <v>PR</v>
      </c>
      <c r="L1000" s="26" t="str">
        <f t="shared" si="159"/>
        <v>DGOSE</v>
      </c>
      <c r="M1000" s="26" t="str">
        <f t="shared" si="157"/>
        <v>FEDERAL</v>
      </c>
      <c r="N1000" s="26">
        <v>1079</v>
      </c>
      <c r="O1000" s="26">
        <v>561</v>
      </c>
      <c r="P1000" s="26">
        <v>518</v>
      </c>
      <c r="Q1000" s="26">
        <v>26</v>
      </c>
      <c r="R1000" s="26">
        <v>1</v>
      </c>
      <c r="S1000" s="26">
        <v>26</v>
      </c>
      <c r="T1000" s="26">
        <v>17</v>
      </c>
      <c r="U1000" s="26">
        <v>44</v>
      </c>
      <c r="V1000" s="26">
        <v>1</v>
      </c>
      <c r="W1000" s="26"/>
    </row>
    <row r="1001" spans="1:23" x14ac:dyDescent="0.25">
      <c r="A1001" s="26" t="str">
        <f t="shared" si="155"/>
        <v>PRIMARIA</v>
      </c>
      <c r="B1001" s="26" t="str">
        <f>"09DPR2060Q"</f>
        <v>09DPR2060Q</v>
      </c>
      <c r="C1001" s="26" t="str">
        <f>"MIGUEL HIDALGO Y COSTILLA                                                                           "</f>
        <v xml:space="preserve">MIGUEL HIDALGO Y COSTILLA                                                                           </v>
      </c>
      <c r="D1001" s="26" t="str">
        <f>"MATUTINO"</f>
        <v>MATUTINO</v>
      </c>
      <c r="E1001" s="26" t="str">
        <f>"EMILIANO ZAPATA NUM.50                                                          "</f>
        <v xml:space="preserve">EMILIANO ZAPATA NUM.50                                                          </v>
      </c>
      <c r="F1001" s="26" t="str">
        <f>"SAN PABLO OZTOTEPEC                                                                                                                         "</f>
        <v xml:space="preserve">SAN PABLO OZTOTEPEC                                                                                                                         </v>
      </c>
      <c r="G1001" s="26" t="str">
        <f>"MILPA ALTA                                                                      "</f>
        <v xml:space="preserve">MILPA ALTA                                                                      </v>
      </c>
      <c r="H1001" s="26" t="str">
        <f>"565"</f>
        <v>565</v>
      </c>
      <c r="I1001" s="26" t="str">
        <f t="shared" si="156"/>
        <v>00</v>
      </c>
      <c r="J1001" s="26" t="str">
        <f t="shared" si="162"/>
        <v xml:space="preserve">45 </v>
      </c>
      <c r="K1001" s="26" t="str">
        <f t="shared" si="158"/>
        <v>PR</v>
      </c>
      <c r="L1001" s="26" t="str">
        <f t="shared" si="159"/>
        <v>DGOSE</v>
      </c>
      <c r="M1001" s="26" t="str">
        <f t="shared" si="157"/>
        <v>FEDERAL</v>
      </c>
      <c r="N1001" s="26">
        <v>498</v>
      </c>
      <c r="O1001" s="26">
        <v>269</v>
      </c>
      <c r="P1001" s="26">
        <v>229</v>
      </c>
      <c r="Q1001" s="26">
        <v>12</v>
      </c>
      <c r="R1001" s="26">
        <v>1</v>
      </c>
      <c r="S1001" s="26">
        <v>9</v>
      </c>
      <c r="T1001" s="26">
        <v>6</v>
      </c>
      <c r="U1001" s="26">
        <v>16</v>
      </c>
      <c r="V1001" s="26">
        <v>1</v>
      </c>
      <c r="W1001" s="26"/>
    </row>
    <row r="1002" spans="1:23" x14ac:dyDescent="0.25">
      <c r="A1002" s="26" t="str">
        <f t="shared" si="155"/>
        <v>PRIMARIA</v>
      </c>
      <c r="B1002" s="26" t="str">
        <f>"09DPR2061P"</f>
        <v>09DPR2061P</v>
      </c>
      <c r="C1002" s="26" t="str">
        <f>"MARTIN TORRES PADILLA                                                                               "</f>
        <v xml:space="preserve">MARTIN TORRES PADILLA                                                                               </v>
      </c>
      <c r="D1002" s="26" t="str">
        <f>"JORNADA AMPLIADA"</f>
        <v>JORNADA AMPLIADA</v>
      </c>
      <c r="E1002" s="26" t="str">
        <f>" TRANSMISIONES NUM. 7                                                           "</f>
        <v xml:space="preserve"> TRANSMISIONES NUM. 7                                                           </v>
      </c>
      <c r="F1002" s="26" t="str">
        <f>"A M S A                                                                                                                                     "</f>
        <v xml:space="preserve">A M S A                                                                                                                                     </v>
      </c>
      <c r="G1002" s="26" t="str">
        <f>"TLALPAN                                                                         "</f>
        <v xml:space="preserve">TLALPAN                                                                         </v>
      </c>
      <c r="H1002" s="26" t="str">
        <f>"446"</f>
        <v>446</v>
      </c>
      <c r="I1002" s="26" t="str">
        <f t="shared" si="156"/>
        <v>00</v>
      </c>
      <c r="J1002" s="26" t="str">
        <f>"44 "</f>
        <v xml:space="preserve">44 </v>
      </c>
      <c r="K1002" s="26" t="str">
        <f t="shared" si="158"/>
        <v>PR</v>
      </c>
      <c r="L1002" s="26" t="str">
        <f t="shared" si="159"/>
        <v>DGOSE</v>
      </c>
      <c r="M1002" s="26" t="str">
        <f t="shared" si="157"/>
        <v>FEDERAL</v>
      </c>
      <c r="N1002" s="26">
        <v>354</v>
      </c>
      <c r="O1002" s="26">
        <v>178</v>
      </c>
      <c r="P1002" s="26">
        <v>176</v>
      </c>
      <c r="Q1002" s="26">
        <v>12</v>
      </c>
      <c r="R1002" s="26">
        <v>1</v>
      </c>
      <c r="S1002" s="26">
        <v>12</v>
      </c>
      <c r="T1002" s="26">
        <v>10</v>
      </c>
      <c r="U1002" s="26">
        <v>23</v>
      </c>
      <c r="V1002" s="26">
        <v>1</v>
      </c>
      <c r="W1002" s="26" t="s">
        <v>2076</v>
      </c>
    </row>
    <row r="1003" spans="1:23" x14ac:dyDescent="0.25">
      <c r="A1003" s="26" t="str">
        <f t="shared" si="155"/>
        <v>PRIMARIA</v>
      </c>
      <c r="B1003" s="26" t="str">
        <f>"09DPR2062O"</f>
        <v>09DPR2062O</v>
      </c>
      <c r="C1003" s="26" t="str">
        <f>"LIC. MIGUEL ALEMAN                                                                                  "</f>
        <v xml:space="preserve">LIC. MIGUEL ALEMAN                                                                                  </v>
      </c>
      <c r="D1003" s="26" t="str">
        <f>"MATUTINO"</f>
        <v>MATUTINO</v>
      </c>
      <c r="E1003" s="26" t="str">
        <f>"AV MORELOS S/N                                                                  "</f>
        <v xml:space="preserve">AV MORELOS S/N                                                                  </v>
      </c>
      <c r="F1003" s="26" t="str">
        <f>"SAN SALVADOR CUAUHTENCO                                                                                                                     "</f>
        <v xml:space="preserve">SAN SALVADOR CUAUHTENCO                                                                                                                     </v>
      </c>
      <c r="G1003" s="26" t="str">
        <f>"MILPA ALTA                                                                      "</f>
        <v xml:space="preserve">MILPA ALTA                                                                      </v>
      </c>
      <c r="H1003" s="26" t="str">
        <f>"565"</f>
        <v>565</v>
      </c>
      <c r="I1003" s="26" t="str">
        <f t="shared" si="156"/>
        <v>00</v>
      </c>
      <c r="J1003" s="26" t="str">
        <f>"45 "</f>
        <v xml:space="preserve">45 </v>
      </c>
      <c r="K1003" s="26" t="str">
        <f t="shared" si="158"/>
        <v>PR</v>
      </c>
      <c r="L1003" s="26" t="str">
        <f t="shared" si="159"/>
        <v>DGOSE</v>
      </c>
      <c r="M1003" s="26" t="str">
        <f t="shared" si="157"/>
        <v>FEDERAL</v>
      </c>
      <c r="N1003" s="26">
        <v>398</v>
      </c>
      <c r="O1003" s="26">
        <v>198</v>
      </c>
      <c r="P1003" s="26">
        <v>200</v>
      </c>
      <c r="Q1003" s="26">
        <v>10</v>
      </c>
      <c r="R1003" s="26">
        <v>1</v>
      </c>
      <c r="S1003" s="26">
        <v>10</v>
      </c>
      <c r="T1003" s="26">
        <v>7</v>
      </c>
      <c r="U1003" s="26">
        <v>18</v>
      </c>
      <c r="V1003" s="26">
        <v>1</v>
      </c>
      <c r="W1003" s="26"/>
    </row>
    <row r="1004" spans="1:23" x14ac:dyDescent="0.25">
      <c r="A1004" s="26" t="str">
        <f t="shared" si="155"/>
        <v>PRIMARIA</v>
      </c>
      <c r="B1004" s="26" t="str">
        <f>"09DPR2063N"</f>
        <v>09DPR2063N</v>
      </c>
      <c r="C1004" s="26" t="str">
        <f>"JUAREZ Y CONSTITUCION                                                                               "</f>
        <v xml:space="preserve">JUAREZ Y CONSTITUCION                                                                               </v>
      </c>
      <c r="D1004" s="26" t="str">
        <f>"MATUTINO"</f>
        <v>MATUTINO</v>
      </c>
      <c r="E1004" s="26" t="str">
        <f>"FRANCISCO PRESA 3                                                               "</f>
        <v xml:space="preserve">FRANCISCO PRESA 3                                                               </v>
      </c>
      <c r="F1004" s="26" t="str">
        <f>"SAN SEBASTIAN                                                                                                                               "</f>
        <v xml:space="preserve">SAN SEBASTIAN                                                                                                                               </v>
      </c>
      <c r="G1004" s="26" t="str">
        <f>"XOCHIMILCO                                                                      "</f>
        <v xml:space="preserve">XOCHIMILCO                                                                      </v>
      </c>
      <c r="H1004" s="26" t="str">
        <f>"545"</f>
        <v>545</v>
      </c>
      <c r="I1004" s="26" t="str">
        <f t="shared" si="156"/>
        <v>00</v>
      </c>
      <c r="J1004" s="26" t="str">
        <f>"45 "</f>
        <v xml:space="preserve">45 </v>
      </c>
      <c r="K1004" s="26" t="str">
        <f t="shared" si="158"/>
        <v>PR</v>
      </c>
      <c r="L1004" s="26" t="str">
        <f t="shared" si="159"/>
        <v>DGOSE</v>
      </c>
      <c r="M1004" s="26" t="str">
        <f t="shared" si="157"/>
        <v>FEDERAL</v>
      </c>
      <c r="N1004" s="26">
        <v>720</v>
      </c>
      <c r="O1004" s="26">
        <v>344</v>
      </c>
      <c r="P1004" s="26">
        <v>376</v>
      </c>
      <c r="Q1004" s="26">
        <v>18</v>
      </c>
      <c r="R1004" s="26">
        <v>0</v>
      </c>
      <c r="S1004" s="26">
        <v>18</v>
      </c>
      <c r="T1004" s="26">
        <v>10</v>
      </c>
      <c r="U1004" s="26">
        <v>28</v>
      </c>
      <c r="V1004" s="26">
        <v>1</v>
      </c>
      <c r="W1004" s="26"/>
    </row>
    <row r="1005" spans="1:23" x14ac:dyDescent="0.25">
      <c r="A1005" s="26" t="str">
        <f t="shared" si="155"/>
        <v>PRIMARIA</v>
      </c>
      <c r="B1005" s="26" t="str">
        <f>"09DPR2064M"</f>
        <v>09DPR2064M</v>
      </c>
      <c r="C1005" s="26" t="str">
        <f>"PROFR. LUIS VILLARREAL MARTINEZ                                                                     "</f>
        <v xml:space="preserve">PROFR. LUIS VILLARREAL MARTINEZ                                                                     </v>
      </c>
      <c r="D1005" s="26" t="str">
        <f>"MATUTINO"</f>
        <v>MATUTINO</v>
      </c>
      <c r="E1005" s="26" t="str">
        <f>"AV. GUADALUPE I. RAMIREZ NO. 5                                                  "</f>
        <v xml:space="preserve">AV. GUADALUPE I. RAMIREZ NO. 5                                                  </v>
      </c>
      <c r="F1005" s="26" t="str">
        <f>"SAN LUCAS XOCHIMANCA                                                                                                                        "</f>
        <v xml:space="preserve">SAN LUCAS XOCHIMANCA                                                                                                                        </v>
      </c>
      <c r="G1005" s="26" t="str">
        <f>"XOCHIMILCO                                                                      "</f>
        <v xml:space="preserve">XOCHIMILCO                                                                      </v>
      </c>
      <c r="H1005" s="26" t="str">
        <f>"539"</f>
        <v>539</v>
      </c>
      <c r="I1005" s="26" t="str">
        <f t="shared" si="156"/>
        <v>00</v>
      </c>
      <c r="J1005" s="26" t="str">
        <f>"45 "</f>
        <v xml:space="preserve">45 </v>
      </c>
      <c r="K1005" s="26" t="str">
        <f t="shared" si="158"/>
        <v>PR</v>
      </c>
      <c r="L1005" s="26" t="str">
        <f t="shared" si="159"/>
        <v>DGOSE</v>
      </c>
      <c r="M1005" s="26" t="str">
        <f t="shared" si="157"/>
        <v>FEDERAL</v>
      </c>
      <c r="N1005" s="26">
        <v>493</v>
      </c>
      <c r="O1005" s="26">
        <v>237</v>
      </c>
      <c r="P1005" s="26">
        <v>256</v>
      </c>
      <c r="Q1005" s="26">
        <v>15</v>
      </c>
      <c r="R1005" s="26">
        <v>1</v>
      </c>
      <c r="S1005" s="26">
        <v>15</v>
      </c>
      <c r="T1005" s="26">
        <v>9</v>
      </c>
      <c r="U1005" s="26">
        <v>25</v>
      </c>
      <c r="V1005" s="26">
        <v>1</v>
      </c>
      <c r="W1005" s="26"/>
    </row>
    <row r="1006" spans="1:23" x14ac:dyDescent="0.25">
      <c r="A1006" s="26" t="str">
        <f t="shared" si="155"/>
        <v>PRIMARIA</v>
      </c>
      <c r="B1006" s="26" t="str">
        <f>"09DPR2065L"</f>
        <v>09DPR2065L</v>
      </c>
      <c r="C1006" s="26" t="str">
        <f>"JUAN DE LA BARRERA                                                                                  "</f>
        <v xml:space="preserve">JUAN DE LA BARRERA                                                                                  </v>
      </c>
      <c r="D1006" s="26" t="str">
        <f>"JORNADA AMPLIADA"</f>
        <v>JORNADA AMPLIADA</v>
      </c>
      <c r="E1006" s="26" t="str">
        <f>"COMERCIO NO 3                                                                   "</f>
        <v xml:space="preserve">COMERCIO NO 3                                                                   </v>
      </c>
      <c r="F1006" s="26" t="str">
        <f>"SANTA CRUZ XOCHITEPEC                                                                                                                       "</f>
        <v xml:space="preserve">SANTA CRUZ XOCHITEPEC                                                                                                                       </v>
      </c>
      <c r="G1006" s="26" t="str">
        <f>"XOCHIMILCO                                                                      "</f>
        <v xml:space="preserve">XOCHIMILCO                                                                      </v>
      </c>
      <c r="H1006" s="26" t="str">
        <f>"449"</f>
        <v>449</v>
      </c>
      <c r="I1006" s="26" t="str">
        <f t="shared" si="156"/>
        <v>00</v>
      </c>
      <c r="J1006" s="26" t="str">
        <f>"44 "</f>
        <v xml:space="preserve">44 </v>
      </c>
      <c r="K1006" s="26" t="str">
        <f t="shared" si="158"/>
        <v>PR</v>
      </c>
      <c r="L1006" s="26" t="str">
        <f t="shared" si="159"/>
        <v>DGOSE</v>
      </c>
      <c r="M1006" s="26" t="str">
        <f t="shared" si="157"/>
        <v>FEDERAL</v>
      </c>
      <c r="N1006" s="26">
        <v>405</v>
      </c>
      <c r="O1006" s="26">
        <v>196</v>
      </c>
      <c r="P1006" s="26">
        <v>209</v>
      </c>
      <c r="Q1006" s="26">
        <v>12</v>
      </c>
      <c r="R1006" s="26">
        <v>1</v>
      </c>
      <c r="S1006" s="26">
        <v>10</v>
      </c>
      <c r="T1006" s="26">
        <v>10</v>
      </c>
      <c r="U1006" s="26">
        <v>21</v>
      </c>
      <c r="V1006" s="26">
        <v>1</v>
      </c>
      <c r="W1006" s="26" t="s">
        <v>2076</v>
      </c>
    </row>
    <row r="1007" spans="1:23" x14ac:dyDescent="0.25">
      <c r="A1007" s="26" t="str">
        <f t="shared" si="155"/>
        <v>PRIMARIA</v>
      </c>
      <c r="B1007" s="26" t="str">
        <f>"09DPR2066K"</f>
        <v>09DPR2066K</v>
      </c>
      <c r="C1007" s="26" t="str">
        <f>"MELCHOR OCAMPO                                                                                      "</f>
        <v xml:space="preserve">MELCHOR OCAMPO                                                                                      </v>
      </c>
      <c r="D1007" s="26" t="str">
        <f>"VESPERTINO"</f>
        <v>VESPERTINO</v>
      </c>
      <c r="E1007" s="26" t="str">
        <f>"AV LAZARO CARDENAS S/N                                                          "</f>
        <v xml:space="preserve">AV LAZARO CARDENAS S/N                                                          </v>
      </c>
      <c r="F1007" s="26" t="str">
        <f>"CUAUTEPEC DE MADERO                                                                                                                         "</f>
        <v xml:space="preserve">CUAUTEPEC DE MADERO                                                                                                                         </v>
      </c>
      <c r="G1007" s="26" t="str">
        <f>"GUSTAVO A. MADERO                                                               "</f>
        <v xml:space="preserve">GUSTAVO A. MADERO                                                               </v>
      </c>
      <c r="H1007" s="26" t="str">
        <f>"231"</f>
        <v>231</v>
      </c>
      <c r="I1007" s="26" t="str">
        <f t="shared" si="156"/>
        <v>00</v>
      </c>
      <c r="J1007" s="26" t="str">
        <f>"42 "</f>
        <v xml:space="preserve">42 </v>
      </c>
      <c r="K1007" s="26" t="str">
        <f t="shared" si="158"/>
        <v>PR</v>
      </c>
      <c r="L1007" s="26" t="str">
        <f t="shared" si="159"/>
        <v>DGOSE</v>
      </c>
      <c r="M1007" s="26" t="str">
        <f t="shared" si="157"/>
        <v>FEDERAL</v>
      </c>
      <c r="N1007" s="26">
        <v>280</v>
      </c>
      <c r="O1007" s="26">
        <v>148</v>
      </c>
      <c r="P1007" s="26">
        <v>132</v>
      </c>
      <c r="Q1007" s="26">
        <v>13</v>
      </c>
      <c r="R1007" s="26">
        <v>1</v>
      </c>
      <c r="S1007" s="26">
        <v>13</v>
      </c>
      <c r="T1007" s="26">
        <v>8</v>
      </c>
      <c r="U1007" s="26">
        <v>22</v>
      </c>
      <c r="V1007" s="26">
        <v>1</v>
      </c>
      <c r="W1007" s="26"/>
    </row>
    <row r="1008" spans="1:23" x14ac:dyDescent="0.25">
      <c r="A1008" s="26" t="str">
        <f t="shared" si="155"/>
        <v>PRIMARIA</v>
      </c>
      <c r="B1008" s="26" t="str">
        <f>"09DPR2067J"</f>
        <v>09DPR2067J</v>
      </c>
      <c r="C1008" s="26" t="str">
        <f>"JOSE MARIA MORELOS                                                                                  "</f>
        <v xml:space="preserve">JOSE MARIA MORELOS                                                                                  </v>
      </c>
      <c r="D1008" s="26" t="str">
        <f>"MATUTINO"</f>
        <v>MATUTINO</v>
      </c>
      <c r="E1008" s="26" t="str">
        <f>"AV SINALOA NORTE S/N                                                            "</f>
        <v xml:space="preserve">AV SINALOA NORTE S/N                                                            </v>
      </c>
      <c r="F1008" s="26" t="str">
        <f>"SANTA MARTA BARRIO                                                                                                                          "</f>
        <v xml:space="preserve">SANTA MARTA BARRIO                                                                                                                          </v>
      </c>
      <c r="G1008" s="26" t="str">
        <f>"MILPA ALTA                                                                      "</f>
        <v xml:space="preserve">MILPA ALTA                                                                      </v>
      </c>
      <c r="H1008" s="26" t="str">
        <f>"563"</f>
        <v>563</v>
      </c>
      <c r="I1008" s="26" t="str">
        <f t="shared" si="156"/>
        <v>00</v>
      </c>
      <c r="J1008" s="26" t="str">
        <f t="shared" ref="J1008:J1015" si="163">"45 "</f>
        <v xml:space="preserve">45 </v>
      </c>
      <c r="K1008" s="26" t="str">
        <f t="shared" si="158"/>
        <v>PR</v>
      </c>
      <c r="L1008" s="26" t="str">
        <f t="shared" si="159"/>
        <v>DGOSE</v>
      </c>
      <c r="M1008" s="26" t="str">
        <f t="shared" si="157"/>
        <v>FEDERAL</v>
      </c>
      <c r="N1008" s="26">
        <v>703</v>
      </c>
      <c r="O1008" s="26">
        <v>350</v>
      </c>
      <c r="P1008" s="26">
        <v>353</v>
      </c>
      <c r="Q1008" s="26">
        <v>18</v>
      </c>
      <c r="R1008" s="26">
        <v>1</v>
      </c>
      <c r="S1008" s="26">
        <v>17</v>
      </c>
      <c r="T1008" s="26">
        <v>10</v>
      </c>
      <c r="U1008" s="26">
        <v>28</v>
      </c>
      <c r="V1008" s="26">
        <v>1</v>
      </c>
      <c r="W1008" s="26"/>
    </row>
    <row r="1009" spans="1:23" x14ac:dyDescent="0.25">
      <c r="A1009" s="26" t="str">
        <f t="shared" si="155"/>
        <v>PRIMARIA</v>
      </c>
      <c r="B1009" s="26" t="str">
        <f>"09DPR2068I"</f>
        <v>09DPR2068I</v>
      </c>
      <c r="C1009" s="26" t="str">
        <f>"ITZCOATL                                                                                            "</f>
        <v xml:space="preserve">ITZCOATL                                                                                            </v>
      </c>
      <c r="D1009" s="26" t="str">
        <f>"MATUTINO"</f>
        <v>MATUTINO</v>
      </c>
      <c r="E1009" s="26" t="str">
        <f>"CAMINO VIEJO SAN LORENZO S/N                                                    "</f>
        <v xml:space="preserve">CAMINO VIEJO SAN LORENZO S/N                                                    </v>
      </c>
      <c r="F1009" s="26" t="str">
        <f>"SANTA MARIA NATIVITAS                                                                                                                       "</f>
        <v xml:space="preserve">SANTA MARIA NATIVITAS                                                                                                                       </v>
      </c>
      <c r="G1009" s="26" t="str">
        <f>"XOCHIMILCO                                                                      "</f>
        <v xml:space="preserve">XOCHIMILCO                                                                      </v>
      </c>
      <c r="H1009" s="26" t="str">
        <f>"540"</f>
        <v>540</v>
      </c>
      <c r="I1009" s="26" t="str">
        <f t="shared" si="156"/>
        <v>00</v>
      </c>
      <c r="J1009" s="26" t="str">
        <f t="shared" si="163"/>
        <v xml:space="preserve">45 </v>
      </c>
      <c r="K1009" s="26" t="str">
        <f t="shared" si="158"/>
        <v>PR</v>
      </c>
      <c r="L1009" s="26" t="str">
        <f t="shared" si="159"/>
        <v>DGOSE</v>
      </c>
      <c r="M1009" s="26" t="str">
        <f t="shared" si="157"/>
        <v>FEDERAL</v>
      </c>
      <c r="N1009" s="26">
        <v>532</v>
      </c>
      <c r="O1009" s="26">
        <v>248</v>
      </c>
      <c r="P1009" s="26">
        <v>284</v>
      </c>
      <c r="Q1009" s="26">
        <v>14</v>
      </c>
      <c r="R1009" s="26">
        <v>1</v>
      </c>
      <c r="S1009" s="26">
        <v>13</v>
      </c>
      <c r="T1009" s="26">
        <v>10</v>
      </c>
      <c r="U1009" s="26">
        <v>24</v>
      </c>
      <c r="V1009" s="26">
        <v>1</v>
      </c>
      <c r="W1009" s="26"/>
    </row>
    <row r="1010" spans="1:23" x14ac:dyDescent="0.25">
      <c r="A1010" s="26" t="str">
        <f t="shared" si="155"/>
        <v>PRIMARIA</v>
      </c>
      <c r="B1010" s="26" t="str">
        <f>"09DPR2069H"</f>
        <v>09DPR2069H</v>
      </c>
      <c r="C1010" s="26" t="str">
        <f>"INDEPENDENCIA ECONOMICA DE MEXICO                                                                   "</f>
        <v xml:space="preserve">INDEPENDENCIA ECONOMICA DE MEXICO                                                                   </v>
      </c>
      <c r="D1010" s="26" t="str">
        <f>"MATUTINO"</f>
        <v>MATUTINO</v>
      </c>
      <c r="E1010" s="26" t="str">
        <f>"AV DIAZ ORDAZ S/N                                                               "</f>
        <v xml:space="preserve">AV DIAZ ORDAZ S/N                                                               </v>
      </c>
      <c r="F1010" s="26" t="str">
        <f>"SAN GREGORIO ATLAPULCO                                                                                                                      "</f>
        <v xml:space="preserve">SAN GREGORIO ATLAPULCO                                                                                                                      </v>
      </c>
      <c r="G1010" s="26" t="str">
        <f>"XOCHIMILCO                                                                      "</f>
        <v xml:space="preserve">XOCHIMILCO                                                                      </v>
      </c>
      <c r="H1010" s="26" t="str">
        <f>"542"</f>
        <v>542</v>
      </c>
      <c r="I1010" s="26" t="str">
        <f t="shared" si="156"/>
        <v>00</v>
      </c>
      <c r="J1010" s="26" t="str">
        <f t="shared" si="163"/>
        <v xml:space="preserve">45 </v>
      </c>
      <c r="K1010" s="26" t="str">
        <f t="shared" si="158"/>
        <v>PR</v>
      </c>
      <c r="L1010" s="26" t="str">
        <f t="shared" si="159"/>
        <v>DGOSE</v>
      </c>
      <c r="M1010" s="26" t="str">
        <f t="shared" si="157"/>
        <v>FEDERAL</v>
      </c>
      <c r="N1010" s="26">
        <v>735</v>
      </c>
      <c r="O1010" s="26">
        <v>389</v>
      </c>
      <c r="P1010" s="26">
        <v>346</v>
      </c>
      <c r="Q1010" s="26">
        <v>18</v>
      </c>
      <c r="R1010" s="26">
        <v>1</v>
      </c>
      <c r="S1010" s="26">
        <v>18</v>
      </c>
      <c r="T1010" s="26">
        <v>10</v>
      </c>
      <c r="U1010" s="26">
        <v>29</v>
      </c>
      <c r="V1010" s="26">
        <v>1</v>
      </c>
      <c r="W1010" s="26"/>
    </row>
    <row r="1011" spans="1:23" x14ac:dyDescent="0.25">
      <c r="A1011" s="26" t="str">
        <f t="shared" si="155"/>
        <v>PRIMARIA</v>
      </c>
      <c r="B1011" s="26" t="str">
        <f>"09DPR2070X"</f>
        <v>09DPR2070X</v>
      </c>
      <c r="C1011" s="26" t="str">
        <f>"INDEPENDENCIA ECONOMICA DE MEXICO                                                                   "</f>
        <v xml:space="preserve">INDEPENDENCIA ECONOMICA DE MEXICO                                                                   </v>
      </c>
      <c r="D1011" s="26" t="str">
        <f>"VESPERTINO"</f>
        <v>VESPERTINO</v>
      </c>
      <c r="E1011" s="26" t="str">
        <f>"AV DIAZ ORDAZ S/N                                                               "</f>
        <v xml:space="preserve">AV DIAZ ORDAZ S/N                                                               </v>
      </c>
      <c r="F1011" s="26" t="str">
        <f>"SAN GREGORIO ATLAPULCO                                                                                                                      "</f>
        <v xml:space="preserve">SAN GREGORIO ATLAPULCO                                                                                                                      </v>
      </c>
      <c r="G1011" s="26" t="str">
        <f>"XOCHIMILCO                                                                      "</f>
        <v xml:space="preserve">XOCHIMILCO                                                                      </v>
      </c>
      <c r="H1011" s="26" t="str">
        <f>"542"</f>
        <v>542</v>
      </c>
      <c r="I1011" s="26" t="str">
        <f t="shared" si="156"/>
        <v>00</v>
      </c>
      <c r="J1011" s="26" t="str">
        <f t="shared" si="163"/>
        <v xml:space="preserve">45 </v>
      </c>
      <c r="K1011" s="26" t="str">
        <f t="shared" si="158"/>
        <v>PR</v>
      </c>
      <c r="L1011" s="26" t="str">
        <f t="shared" si="159"/>
        <v>DGOSE</v>
      </c>
      <c r="M1011" s="26" t="str">
        <f t="shared" si="157"/>
        <v>FEDERAL</v>
      </c>
      <c r="N1011" s="26">
        <v>606</v>
      </c>
      <c r="O1011" s="26">
        <v>330</v>
      </c>
      <c r="P1011" s="26">
        <v>276</v>
      </c>
      <c r="Q1011" s="26">
        <v>18</v>
      </c>
      <c r="R1011" s="26">
        <v>1</v>
      </c>
      <c r="S1011" s="26">
        <v>18</v>
      </c>
      <c r="T1011" s="26">
        <v>9</v>
      </c>
      <c r="U1011" s="26">
        <v>28</v>
      </c>
      <c r="V1011" s="26">
        <v>1</v>
      </c>
      <c r="W1011" s="26"/>
    </row>
    <row r="1012" spans="1:23" x14ac:dyDescent="0.25">
      <c r="A1012" s="26" t="str">
        <f t="shared" si="155"/>
        <v>PRIMARIA</v>
      </c>
      <c r="B1012" s="26" t="str">
        <f>"09DPR2072V"</f>
        <v>09DPR2072V</v>
      </c>
      <c r="C1012" s="26" t="str">
        <f>"HEROES DE LA INDEPENDENCIA                                                                          "</f>
        <v xml:space="preserve">HEROES DE LA INDEPENDENCIA                                                                          </v>
      </c>
      <c r="D1012" s="26" t="str">
        <f>"MATUTINO"</f>
        <v>MATUTINO</v>
      </c>
      <c r="E1012" s="26" t="str">
        <f>"CUAUHTEMOC NUM. 5                                                               "</f>
        <v xml:space="preserve">CUAUHTEMOC NUM. 5                                                               </v>
      </c>
      <c r="F1012" s="26" t="str">
        <f>"TEPEPAN                                                                                                                                     "</f>
        <v xml:space="preserve">TEPEPAN                                                                                                                                     </v>
      </c>
      <c r="G1012" s="26" t="str">
        <f>"XOCHIMILCO                                                                      "</f>
        <v xml:space="preserve">XOCHIMILCO                                                                      </v>
      </c>
      <c r="H1012" s="26" t="str">
        <f>"532"</f>
        <v>532</v>
      </c>
      <c r="I1012" s="26" t="str">
        <f t="shared" si="156"/>
        <v>00</v>
      </c>
      <c r="J1012" s="26" t="str">
        <f t="shared" si="163"/>
        <v xml:space="preserve">45 </v>
      </c>
      <c r="K1012" s="26" t="str">
        <f t="shared" si="158"/>
        <v>PR</v>
      </c>
      <c r="L1012" s="26" t="str">
        <f t="shared" si="159"/>
        <v>DGOSE</v>
      </c>
      <c r="M1012" s="26" t="str">
        <f t="shared" si="157"/>
        <v>FEDERAL</v>
      </c>
      <c r="N1012" s="26">
        <v>449</v>
      </c>
      <c r="O1012" s="26">
        <v>213</v>
      </c>
      <c r="P1012" s="26">
        <v>236</v>
      </c>
      <c r="Q1012" s="26">
        <v>18</v>
      </c>
      <c r="R1012" s="26">
        <v>1</v>
      </c>
      <c r="S1012" s="26">
        <v>17</v>
      </c>
      <c r="T1012" s="26">
        <v>8</v>
      </c>
      <c r="U1012" s="26">
        <v>26</v>
      </c>
      <c r="V1012" s="26">
        <v>1</v>
      </c>
      <c r="W1012" s="26"/>
    </row>
    <row r="1013" spans="1:23" x14ac:dyDescent="0.25">
      <c r="A1013" s="26" t="str">
        <f t="shared" si="155"/>
        <v>PRIMARIA</v>
      </c>
      <c r="B1013" s="26" t="str">
        <f>"09DPR2073U"</f>
        <v>09DPR2073U</v>
      </c>
      <c r="C1013" s="26" t="str">
        <f>"IGNACIO RAMIREZ                                                                                     "</f>
        <v xml:space="preserve">IGNACIO RAMIREZ                                                                                     </v>
      </c>
      <c r="D1013" s="26" t="str">
        <f>"MATUTINO"</f>
        <v>MATUTINO</v>
      </c>
      <c r="E1013" s="26" t="str">
        <f>"PEDRO RAMIREZ DEL CASTILLO S/N                                                  "</f>
        <v xml:space="preserve">PEDRO RAMIREZ DEL CASTILLO S/N                                                  </v>
      </c>
      <c r="F1013" s="26" t="str">
        <f>"SAN PEDRO                                                                                                                                   "</f>
        <v xml:space="preserve">SAN PEDRO                                                                                                                                   </v>
      </c>
      <c r="G1013" s="26" t="str">
        <f>"XOCHIMILCO                                                                      "</f>
        <v xml:space="preserve">XOCHIMILCO                                                                      </v>
      </c>
      <c r="H1013" s="26" t="str">
        <f>"537"</f>
        <v>537</v>
      </c>
      <c r="I1013" s="26" t="str">
        <f t="shared" si="156"/>
        <v>00</v>
      </c>
      <c r="J1013" s="26" t="str">
        <f t="shared" si="163"/>
        <v xml:space="preserve">45 </v>
      </c>
      <c r="K1013" s="26" t="str">
        <f t="shared" si="158"/>
        <v>PR</v>
      </c>
      <c r="L1013" s="26" t="str">
        <f t="shared" si="159"/>
        <v>DGOSE</v>
      </c>
      <c r="M1013" s="26" t="str">
        <f t="shared" si="157"/>
        <v>FEDERAL</v>
      </c>
      <c r="N1013" s="26">
        <v>641</v>
      </c>
      <c r="O1013" s="26">
        <v>304</v>
      </c>
      <c r="P1013" s="26">
        <v>337</v>
      </c>
      <c r="Q1013" s="26">
        <v>18</v>
      </c>
      <c r="R1013" s="26">
        <v>1</v>
      </c>
      <c r="S1013" s="26">
        <v>17</v>
      </c>
      <c r="T1013" s="26">
        <v>9</v>
      </c>
      <c r="U1013" s="26">
        <v>27</v>
      </c>
      <c r="V1013" s="26">
        <v>1</v>
      </c>
      <c r="W1013" s="26"/>
    </row>
    <row r="1014" spans="1:23" x14ac:dyDescent="0.25">
      <c r="A1014" s="26" t="str">
        <f t="shared" si="155"/>
        <v>PRIMARIA</v>
      </c>
      <c r="B1014" s="26" t="str">
        <f>"09DPR2074T"</f>
        <v>09DPR2074T</v>
      </c>
      <c r="C1014" s="26" t="str">
        <f>"GREGORIO TORRES QUINTERO                                                                            "</f>
        <v xml:space="preserve">GREGORIO TORRES QUINTERO                                                                            </v>
      </c>
      <c r="D1014" s="26" t="str">
        <f>"VESPERTINO"</f>
        <v>VESPERTINO</v>
      </c>
      <c r="E1014" s="26" t="str">
        <f>"FRANCISCO JAVIER MINA S/N                                                       "</f>
        <v xml:space="preserve">FRANCISCO JAVIER MINA S/N                                                       </v>
      </c>
      <c r="F1014" s="26" t="str">
        <f>"SAN MATEO                                                                                                                                   "</f>
        <v xml:space="preserve">SAN MATEO                                                                                                                                   </v>
      </c>
      <c r="G1014" s="26" t="str">
        <f>"TLAHUAC                                                                         "</f>
        <v xml:space="preserve">TLAHUAC                                                                         </v>
      </c>
      <c r="H1014" s="26" t="str">
        <f>"558"</f>
        <v>558</v>
      </c>
      <c r="I1014" s="26" t="str">
        <f t="shared" si="156"/>
        <v>00</v>
      </c>
      <c r="J1014" s="26" t="str">
        <f t="shared" si="163"/>
        <v xml:space="preserve">45 </v>
      </c>
      <c r="K1014" s="26" t="str">
        <f t="shared" si="158"/>
        <v>PR</v>
      </c>
      <c r="L1014" s="26" t="str">
        <f t="shared" si="159"/>
        <v>DGOSE</v>
      </c>
      <c r="M1014" s="26" t="str">
        <f t="shared" si="157"/>
        <v>FEDERAL</v>
      </c>
      <c r="N1014" s="26">
        <v>440</v>
      </c>
      <c r="O1014" s="26">
        <v>238</v>
      </c>
      <c r="P1014" s="26">
        <v>202</v>
      </c>
      <c r="Q1014" s="26">
        <v>18</v>
      </c>
      <c r="R1014" s="26">
        <v>1</v>
      </c>
      <c r="S1014" s="26">
        <v>18</v>
      </c>
      <c r="T1014" s="26">
        <v>12</v>
      </c>
      <c r="U1014" s="26">
        <v>31</v>
      </c>
      <c r="V1014" s="26">
        <v>1</v>
      </c>
      <c r="W1014" s="26"/>
    </row>
    <row r="1015" spans="1:23" x14ac:dyDescent="0.25">
      <c r="A1015" s="26" t="str">
        <f t="shared" si="155"/>
        <v>PRIMARIA</v>
      </c>
      <c r="B1015" s="26" t="str">
        <f>"09DPR2075S"</f>
        <v>09DPR2075S</v>
      </c>
      <c r="C1015" s="26" t="str">
        <f>"GREGORIO TORRES QUINTERO                                                                            "</f>
        <v xml:space="preserve">GREGORIO TORRES QUINTERO                                                                            </v>
      </c>
      <c r="D1015" s="26" t="str">
        <f>"MATUTINO"</f>
        <v>MATUTINO</v>
      </c>
      <c r="E1015" s="26" t="str">
        <f>"HOMBRES ILUSTRES 101                                                            "</f>
        <v xml:space="preserve">HOMBRES ILUSTRES 101                                                            </v>
      </c>
      <c r="F1015" s="26" t="str">
        <f>"SANTA CECILIA TEPETLAPA                                                                                                                     "</f>
        <v xml:space="preserve">SANTA CECILIA TEPETLAPA                                                                                                                     </v>
      </c>
      <c r="G1015" s="26" t="str">
        <f>"XOCHIMILCO                                                                      "</f>
        <v xml:space="preserve">XOCHIMILCO                                                                      </v>
      </c>
      <c r="H1015" s="26" t="str">
        <f>"541"</f>
        <v>541</v>
      </c>
      <c r="I1015" s="26" t="str">
        <f t="shared" si="156"/>
        <v>00</v>
      </c>
      <c r="J1015" s="26" t="str">
        <f t="shared" si="163"/>
        <v xml:space="preserve">45 </v>
      </c>
      <c r="K1015" s="26" t="str">
        <f t="shared" si="158"/>
        <v>PR</v>
      </c>
      <c r="L1015" s="26" t="str">
        <f t="shared" si="159"/>
        <v>DGOSE</v>
      </c>
      <c r="M1015" s="26" t="str">
        <f t="shared" si="157"/>
        <v>FEDERAL</v>
      </c>
      <c r="N1015" s="26">
        <v>463</v>
      </c>
      <c r="O1015" s="26">
        <v>234</v>
      </c>
      <c r="P1015" s="26">
        <v>229</v>
      </c>
      <c r="Q1015" s="26">
        <v>12</v>
      </c>
      <c r="R1015" s="26">
        <v>1</v>
      </c>
      <c r="S1015" s="26">
        <v>12</v>
      </c>
      <c r="T1015" s="26">
        <v>6</v>
      </c>
      <c r="U1015" s="26">
        <v>19</v>
      </c>
      <c r="V1015" s="26">
        <v>1</v>
      </c>
      <c r="W1015" s="26"/>
    </row>
    <row r="1016" spans="1:23" x14ac:dyDescent="0.25">
      <c r="A1016" s="26" t="str">
        <f t="shared" si="155"/>
        <v>PRIMARIA</v>
      </c>
      <c r="B1016" s="26" t="str">
        <f>"09DPR2076R"</f>
        <v>09DPR2076R</v>
      </c>
      <c r="C1016" s="26" t="str">
        <f>"GRECIA                                                                                              "</f>
        <v xml:space="preserve">GRECIA                                                                                              </v>
      </c>
      <c r="D1016" s="26" t="str">
        <f>"JORNADA AMPLIADA"</f>
        <v>JORNADA AMPLIADA</v>
      </c>
      <c r="E1016" s="26" t="str">
        <f>"2A CERRADA ABASOLO S/N                                                          "</f>
        <v xml:space="preserve">2A CERRADA ABASOLO S/N                                                          </v>
      </c>
      <c r="F1016" s="26" t="str">
        <f>"SANTA MARIA TEPEPAN                                                                                                                         "</f>
        <v xml:space="preserve">SANTA MARIA TEPEPAN                                                                                                                         </v>
      </c>
      <c r="G1016" s="26" t="str">
        <f>"XOCHIMILCO                                                                      "</f>
        <v xml:space="preserve">XOCHIMILCO                                                                      </v>
      </c>
      <c r="H1016" s="26" t="str">
        <f>"449"</f>
        <v>449</v>
      </c>
      <c r="I1016" s="26" t="str">
        <f t="shared" si="156"/>
        <v>00</v>
      </c>
      <c r="J1016" s="26" t="str">
        <f>"44 "</f>
        <v xml:space="preserve">44 </v>
      </c>
      <c r="K1016" s="26" t="str">
        <f t="shared" si="158"/>
        <v>PR</v>
      </c>
      <c r="L1016" s="26" t="str">
        <f t="shared" si="159"/>
        <v>DGOSE</v>
      </c>
      <c r="M1016" s="26" t="str">
        <f t="shared" si="157"/>
        <v>FEDERAL</v>
      </c>
      <c r="N1016" s="26">
        <v>626</v>
      </c>
      <c r="O1016" s="26">
        <v>326</v>
      </c>
      <c r="P1016" s="26">
        <v>300</v>
      </c>
      <c r="Q1016" s="26">
        <v>18</v>
      </c>
      <c r="R1016" s="26">
        <v>1</v>
      </c>
      <c r="S1016" s="26">
        <v>18</v>
      </c>
      <c r="T1016" s="26">
        <v>11</v>
      </c>
      <c r="U1016" s="26">
        <v>30</v>
      </c>
      <c r="V1016" s="26">
        <v>1</v>
      </c>
      <c r="W1016" s="26" t="s">
        <v>2076</v>
      </c>
    </row>
    <row r="1017" spans="1:23" x14ac:dyDescent="0.25">
      <c r="A1017" s="26" t="str">
        <f t="shared" si="155"/>
        <v>PRIMARIA</v>
      </c>
      <c r="B1017" s="26" t="str">
        <f>"09DPR2077Q"</f>
        <v>09DPR2077Q</v>
      </c>
      <c r="C1017" s="26" t="str">
        <f>"GREGORIO TORRES QUINTERO                                                                            "</f>
        <v xml:space="preserve">GREGORIO TORRES QUINTERO                                                                            </v>
      </c>
      <c r="D1017" s="26" t="str">
        <f>"MATUTINO"</f>
        <v>MATUTINO</v>
      </c>
      <c r="E1017" s="26" t="str">
        <f>"FCO J MINA ESQ RAFAEL CASTILLO                                                  "</f>
        <v xml:space="preserve">FCO J MINA ESQ RAFAEL CASTILLO                                                  </v>
      </c>
      <c r="F1017" s="26" t="str">
        <f>"SAN MATEO                                                                                                                                   "</f>
        <v xml:space="preserve">SAN MATEO                                                                                                                                   </v>
      </c>
      <c r="G1017" s="26" t="str">
        <f>"TLAHUAC                                                                         "</f>
        <v xml:space="preserve">TLAHUAC                                                                         </v>
      </c>
      <c r="H1017" s="26" t="str">
        <f>"558"</f>
        <v>558</v>
      </c>
      <c r="I1017" s="26" t="str">
        <f t="shared" si="156"/>
        <v>00</v>
      </c>
      <c r="J1017" s="26" t="str">
        <f>"45 "</f>
        <v xml:space="preserve">45 </v>
      </c>
      <c r="K1017" s="26" t="str">
        <f t="shared" si="158"/>
        <v>PR</v>
      </c>
      <c r="L1017" s="26" t="str">
        <f t="shared" si="159"/>
        <v>DGOSE</v>
      </c>
      <c r="M1017" s="26" t="str">
        <f t="shared" si="157"/>
        <v>FEDERAL</v>
      </c>
      <c r="N1017" s="26">
        <v>675</v>
      </c>
      <c r="O1017" s="26">
        <v>328</v>
      </c>
      <c r="P1017" s="26">
        <v>347</v>
      </c>
      <c r="Q1017" s="26">
        <v>19</v>
      </c>
      <c r="R1017" s="26">
        <v>1</v>
      </c>
      <c r="S1017" s="26">
        <v>19</v>
      </c>
      <c r="T1017" s="26">
        <v>13</v>
      </c>
      <c r="U1017" s="26">
        <v>33</v>
      </c>
      <c r="V1017" s="26">
        <v>1</v>
      </c>
      <c r="W1017" s="26"/>
    </row>
    <row r="1018" spans="1:23" x14ac:dyDescent="0.25">
      <c r="A1018" s="26" t="str">
        <f t="shared" si="155"/>
        <v>PRIMARIA</v>
      </c>
      <c r="B1018" s="26" t="str">
        <f>"09DPR2078P"</f>
        <v>09DPR2078P</v>
      </c>
      <c r="C1018" s="26" t="str">
        <f>"FRANCISCO DEL OLMO                                                                                  "</f>
        <v xml:space="preserve">FRANCISCO DEL OLMO                                                                                  </v>
      </c>
      <c r="D1018" s="26" t="str">
        <f>"MATUTINO"</f>
        <v>MATUTINO</v>
      </c>
      <c r="E1018" s="26" t="str">
        <f>"FRANCISCO I MADERO 15                                                           "</f>
        <v xml:space="preserve">FRANCISCO I MADERO 15                                                           </v>
      </c>
      <c r="F1018" s="26" t="str">
        <f>"SANTA ANA TLACOTENCO                                                                                                                        "</f>
        <v xml:space="preserve">SANTA ANA TLACOTENCO                                                                                                                        </v>
      </c>
      <c r="G1018" s="26" t="str">
        <f>"MILPA ALTA                                                                      "</f>
        <v xml:space="preserve">MILPA ALTA                                                                      </v>
      </c>
      <c r="H1018" s="26" t="str">
        <f>"562"</f>
        <v>562</v>
      </c>
      <c r="I1018" s="26" t="str">
        <f t="shared" si="156"/>
        <v>00</v>
      </c>
      <c r="J1018" s="26" t="str">
        <f>"45 "</f>
        <v xml:space="preserve">45 </v>
      </c>
      <c r="K1018" s="26" t="str">
        <f t="shared" si="158"/>
        <v>PR</v>
      </c>
      <c r="L1018" s="26" t="str">
        <f t="shared" si="159"/>
        <v>DGOSE</v>
      </c>
      <c r="M1018" s="26" t="str">
        <f t="shared" si="157"/>
        <v>FEDERAL</v>
      </c>
      <c r="N1018" s="26">
        <v>471</v>
      </c>
      <c r="O1018" s="26">
        <v>243</v>
      </c>
      <c r="P1018" s="26">
        <v>228</v>
      </c>
      <c r="Q1018" s="26">
        <v>14</v>
      </c>
      <c r="R1018" s="26">
        <v>1</v>
      </c>
      <c r="S1018" s="26">
        <v>14</v>
      </c>
      <c r="T1018" s="26">
        <v>12</v>
      </c>
      <c r="U1018" s="26">
        <v>27</v>
      </c>
      <c r="V1018" s="26">
        <v>1</v>
      </c>
      <c r="W1018" s="26"/>
    </row>
    <row r="1019" spans="1:23" x14ac:dyDescent="0.25">
      <c r="A1019" s="26" t="str">
        <f t="shared" si="155"/>
        <v>PRIMARIA</v>
      </c>
      <c r="B1019" s="26" t="str">
        <f>"09DPR2080D"</f>
        <v>09DPR2080D</v>
      </c>
      <c r="C1019" s="26" t="s">
        <v>3972</v>
      </c>
      <c r="D1019" s="26" t="str">
        <f>"MATUTINO"</f>
        <v>MATUTINO</v>
      </c>
      <c r="E1019" s="26" t="str">
        <f>"JOSEFA ORTIZ DE DOMINGUEZ S/N                                                   "</f>
        <v xml:space="preserve">JOSEFA ORTIZ DE DOMINGUEZ S/N                                                   </v>
      </c>
      <c r="F1019" s="26" t="str">
        <f>"LA ASUNCION                                                                                                                                 "</f>
        <v xml:space="preserve">LA ASUNCION                                                                                                                                 </v>
      </c>
      <c r="G1019" s="26" t="str">
        <f>"XOCHIMILCO                                                                      "</f>
        <v xml:space="preserve">XOCHIMILCO                                                                      </v>
      </c>
      <c r="H1019" s="26" t="str">
        <f>"536"</f>
        <v>536</v>
      </c>
      <c r="I1019" s="26" t="str">
        <f t="shared" si="156"/>
        <v>00</v>
      </c>
      <c r="J1019" s="26" t="str">
        <f>"45 "</f>
        <v xml:space="preserve">45 </v>
      </c>
      <c r="K1019" s="26" t="str">
        <f t="shared" si="158"/>
        <v>PR</v>
      </c>
      <c r="L1019" s="26" t="str">
        <f t="shared" si="159"/>
        <v>DGOSE</v>
      </c>
      <c r="M1019" s="26" t="str">
        <f t="shared" si="157"/>
        <v>FEDERAL</v>
      </c>
      <c r="N1019" s="26">
        <v>952</v>
      </c>
      <c r="O1019" s="26">
        <v>511</v>
      </c>
      <c r="P1019" s="26">
        <v>441</v>
      </c>
      <c r="Q1019" s="26">
        <v>26</v>
      </c>
      <c r="R1019" s="26">
        <v>1</v>
      </c>
      <c r="S1019" s="26">
        <v>25</v>
      </c>
      <c r="T1019" s="26">
        <v>17</v>
      </c>
      <c r="U1019" s="26">
        <v>43</v>
      </c>
      <c r="V1019" s="26">
        <v>1</v>
      </c>
      <c r="W1019" s="26"/>
    </row>
    <row r="1020" spans="1:23" x14ac:dyDescent="0.25">
      <c r="A1020" s="26" t="str">
        <f t="shared" si="155"/>
        <v>PRIMARIA</v>
      </c>
      <c r="B1020" s="26" t="str">
        <f>"09DPR2081C"</f>
        <v>09DPR2081C</v>
      </c>
      <c r="C1020" s="26" t="s">
        <v>3972</v>
      </c>
      <c r="D1020" s="26" t="str">
        <f>"VESPERTINO"</f>
        <v>VESPERTINO</v>
      </c>
      <c r="E1020" s="26" t="str">
        <f>"JOSEFA ORTIZ DE DOMINGUEZ S N                                                   "</f>
        <v xml:space="preserve">JOSEFA ORTIZ DE DOMINGUEZ S N                                                   </v>
      </c>
      <c r="F1020" s="26" t="str">
        <f>"LA ASUNCION                                                                                                                                 "</f>
        <v xml:space="preserve">LA ASUNCION                                                                                                                                 </v>
      </c>
      <c r="G1020" s="26" t="str">
        <f>"XOCHIMILCO                                                                      "</f>
        <v xml:space="preserve">XOCHIMILCO                                                                      </v>
      </c>
      <c r="H1020" s="26" t="str">
        <f>"536"</f>
        <v>536</v>
      </c>
      <c r="I1020" s="26" t="str">
        <f t="shared" si="156"/>
        <v>00</v>
      </c>
      <c r="J1020" s="26" t="str">
        <f>"45 "</f>
        <v xml:space="preserve">45 </v>
      </c>
      <c r="K1020" s="26" t="str">
        <f t="shared" si="158"/>
        <v>PR</v>
      </c>
      <c r="L1020" s="26" t="str">
        <f t="shared" si="159"/>
        <v>DGOSE</v>
      </c>
      <c r="M1020" s="26" t="str">
        <f t="shared" si="157"/>
        <v>FEDERAL</v>
      </c>
      <c r="N1020" s="26">
        <v>597</v>
      </c>
      <c r="O1020" s="26">
        <v>316</v>
      </c>
      <c r="P1020" s="26">
        <v>281</v>
      </c>
      <c r="Q1020" s="26">
        <v>21</v>
      </c>
      <c r="R1020" s="26">
        <v>1</v>
      </c>
      <c r="S1020" s="26">
        <v>21</v>
      </c>
      <c r="T1020" s="26">
        <v>11</v>
      </c>
      <c r="U1020" s="26">
        <v>33</v>
      </c>
      <c r="V1020" s="26">
        <v>1</v>
      </c>
      <c r="W1020" s="26"/>
    </row>
    <row r="1021" spans="1:23" x14ac:dyDescent="0.25">
      <c r="A1021" s="26" t="str">
        <f t="shared" si="155"/>
        <v>PRIMARIA</v>
      </c>
      <c r="B1021" s="26" t="str">
        <f>"09DPR2083A"</f>
        <v>09DPR2083A</v>
      </c>
      <c r="C1021" s="26" t="str">
        <f>"TONALAMATL                                                                                          "</f>
        <v xml:space="preserve">TONALAMATL                                                                                          </v>
      </c>
      <c r="D1021" s="26" t="str">
        <f>"JORNADA AMPLIADA"</f>
        <v>JORNADA AMPLIADA</v>
      </c>
      <c r="E1021" s="26" t="str">
        <f>"SUR 111-A NUM 2270                                                              "</f>
        <v xml:space="preserve">SUR 111-A NUM 2270                                                              </v>
      </c>
      <c r="F1021" s="26" t="str">
        <f>"JUVENTINO ROSAS                                                                                                                             "</f>
        <v xml:space="preserve">JUVENTINO ROSAS                                                                                                                             </v>
      </c>
      <c r="G1021" s="26" t="str">
        <f>"IZTACALCO                                                                       "</f>
        <v xml:space="preserve">IZTACALCO                                                                       </v>
      </c>
      <c r="H1021" s="26" t="str">
        <f>"430"</f>
        <v>430</v>
      </c>
      <c r="I1021" s="26" t="str">
        <f t="shared" si="156"/>
        <v>00</v>
      </c>
      <c r="J1021" s="26" t="str">
        <f>"44 "</f>
        <v xml:space="preserve">44 </v>
      </c>
      <c r="K1021" s="26" t="str">
        <f t="shared" si="158"/>
        <v>PR</v>
      </c>
      <c r="L1021" s="26" t="str">
        <f t="shared" si="159"/>
        <v>DGOSE</v>
      </c>
      <c r="M1021" s="26" t="str">
        <f t="shared" si="157"/>
        <v>FEDERAL</v>
      </c>
      <c r="N1021" s="26">
        <v>324</v>
      </c>
      <c r="O1021" s="26">
        <v>169</v>
      </c>
      <c r="P1021" s="26">
        <v>155</v>
      </c>
      <c r="Q1021" s="26">
        <v>12</v>
      </c>
      <c r="R1021" s="26">
        <v>1</v>
      </c>
      <c r="S1021" s="26">
        <v>12</v>
      </c>
      <c r="T1021" s="26">
        <v>8</v>
      </c>
      <c r="U1021" s="26">
        <v>21</v>
      </c>
      <c r="V1021" s="26">
        <v>1</v>
      </c>
      <c r="W1021" s="26" t="s">
        <v>2076</v>
      </c>
    </row>
    <row r="1022" spans="1:23" x14ac:dyDescent="0.25">
      <c r="A1022" s="26" t="str">
        <f t="shared" si="155"/>
        <v>PRIMARIA</v>
      </c>
      <c r="B1022" s="26" t="str">
        <f>"09DPR2086Y"</f>
        <v>09DPR2086Y</v>
      </c>
      <c r="C1022" s="26" t="str">
        <f>"GUILLERMO BONILLA S.                                                                                "</f>
        <v xml:space="preserve">GUILLERMO BONILLA S.                                                                                </v>
      </c>
      <c r="D1022" s="26" t="str">
        <f>"VESPERTINO"</f>
        <v>VESPERTINO</v>
      </c>
      <c r="E1022" s="26" t="str">
        <f>"SUR 28 No.110                                                                   "</f>
        <v xml:space="preserve">SUR 28 No.110                                                                   </v>
      </c>
      <c r="F1022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1022" s="26" t="str">
        <f>"IZTACALCO                                                                       "</f>
        <v xml:space="preserve">IZTACALCO                                                                       </v>
      </c>
      <c r="H1022" s="26" t="str">
        <f>"357"</f>
        <v>357</v>
      </c>
      <c r="I1022" s="26" t="str">
        <f t="shared" si="156"/>
        <v>00</v>
      </c>
      <c r="J1022" s="26" t="str">
        <f>"43 "</f>
        <v xml:space="preserve">43 </v>
      </c>
      <c r="K1022" s="26" t="str">
        <f t="shared" si="158"/>
        <v>PR</v>
      </c>
      <c r="L1022" s="26" t="str">
        <f t="shared" si="159"/>
        <v>DGOSE</v>
      </c>
      <c r="M1022" s="26" t="str">
        <f t="shared" si="157"/>
        <v>FEDERAL</v>
      </c>
      <c r="N1022" s="26">
        <v>276</v>
      </c>
      <c r="O1022" s="26">
        <v>161</v>
      </c>
      <c r="P1022" s="26">
        <v>115</v>
      </c>
      <c r="Q1022" s="26">
        <v>13</v>
      </c>
      <c r="R1022" s="26">
        <v>1</v>
      </c>
      <c r="S1022" s="26">
        <v>12</v>
      </c>
      <c r="T1022" s="26">
        <v>8</v>
      </c>
      <c r="U1022" s="26">
        <v>21</v>
      </c>
      <c r="V1022" s="26">
        <v>1</v>
      </c>
      <c r="W1022" s="26"/>
    </row>
    <row r="1023" spans="1:23" x14ac:dyDescent="0.25">
      <c r="A1023" s="26" t="str">
        <f t="shared" si="155"/>
        <v>PRIMARIA</v>
      </c>
      <c r="B1023" s="26" t="str">
        <f>"09DPR2087X"</f>
        <v>09DPR2087X</v>
      </c>
      <c r="C1023" s="26" t="str">
        <f>"24 DE FEBRERO                                                                                       "</f>
        <v xml:space="preserve">24 DE FEBRERO                                                                                       </v>
      </c>
      <c r="D1023" s="26" t="str">
        <f>"MATUTINO"</f>
        <v>MATUTINO</v>
      </c>
      <c r="E1023" s="26" t="str">
        <f>"TITO FERRER NO. 18                                                              "</f>
        <v xml:space="preserve">TITO FERRER NO. 18                                                              </v>
      </c>
      <c r="F1023" s="26" t="str">
        <f>"SANTA MARTHA ACATITLA                                                                                                                       "</f>
        <v xml:space="preserve">SANTA MARTHA ACATITLA                                                                                                                       </v>
      </c>
      <c r="G1023" s="26" t="str">
        <f t="shared" ref="G1023:G1029" si="164">"IZTAPALAPA                                                                      "</f>
        <v xml:space="preserve">IZTAPALAPA                                                                      </v>
      </c>
      <c r="H1023" s="26" t="str">
        <f>"024"</f>
        <v>024</v>
      </c>
      <c r="I1023" s="26" t="str">
        <f t="shared" si="156"/>
        <v>00</v>
      </c>
      <c r="J1023" s="26" t="str">
        <f>"62 "</f>
        <v xml:space="preserve">62 </v>
      </c>
      <c r="K1023" s="26" t="str">
        <f t="shared" ref="K1023:K1029" si="165">"IZ"</f>
        <v>IZ</v>
      </c>
      <c r="L1023" s="26" t="str">
        <f t="shared" ref="L1023:L1029" si="166">"DGSEI"</f>
        <v>DGSEI</v>
      </c>
      <c r="M1023" s="26" t="str">
        <f t="shared" si="157"/>
        <v>FEDERAL</v>
      </c>
      <c r="N1023" s="26">
        <v>492</v>
      </c>
      <c r="O1023" s="26">
        <v>260</v>
      </c>
      <c r="P1023" s="26">
        <v>232</v>
      </c>
      <c r="Q1023" s="26">
        <v>17</v>
      </c>
      <c r="R1023" s="26">
        <v>1</v>
      </c>
      <c r="S1023" s="26">
        <v>15</v>
      </c>
      <c r="T1023" s="26">
        <v>10</v>
      </c>
      <c r="U1023" s="26">
        <v>26</v>
      </c>
      <c r="V1023" s="26">
        <v>1</v>
      </c>
      <c r="W1023" s="26"/>
    </row>
    <row r="1024" spans="1:23" x14ac:dyDescent="0.25">
      <c r="A1024" s="26" t="str">
        <f t="shared" si="155"/>
        <v>PRIMARIA</v>
      </c>
      <c r="B1024" s="26" t="str">
        <f>"09DPR2088W"</f>
        <v>09DPR2088W</v>
      </c>
      <c r="C1024" s="26" t="str">
        <f>"DR. MANUEL GAMIO                                                                                    "</f>
        <v xml:space="preserve">DR. MANUEL GAMIO                                                                                    </v>
      </c>
      <c r="D1024" s="26" t="str">
        <f>"MATUTINO"</f>
        <v>MATUTINO</v>
      </c>
      <c r="E1024" s="26" t="str">
        <f>"FRANCISCO I. MADERO NO. 3                                                       "</f>
        <v xml:space="preserve">FRANCISCO I. MADERO NO. 3                                                       </v>
      </c>
      <c r="F1024" s="26" t="str">
        <f>"SANTA MARTHA ACATITLA                                                                                                                       "</f>
        <v xml:space="preserve">SANTA MARTHA ACATITLA                                                                                                                       </v>
      </c>
      <c r="G1024" s="26" t="str">
        <f t="shared" si="164"/>
        <v xml:space="preserve">IZTAPALAPA                                                                      </v>
      </c>
      <c r="H1024" s="26" t="str">
        <f>"026"</f>
        <v>026</v>
      </c>
      <c r="I1024" s="26" t="str">
        <f t="shared" si="156"/>
        <v>00</v>
      </c>
      <c r="J1024" s="26" t="str">
        <f>"62 "</f>
        <v xml:space="preserve">62 </v>
      </c>
      <c r="K1024" s="26" t="str">
        <f t="shared" si="165"/>
        <v>IZ</v>
      </c>
      <c r="L1024" s="26" t="str">
        <f t="shared" si="166"/>
        <v>DGSEI</v>
      </c>
      <c r="M1024" s="26" t="str">
        <f t="shared" si="157"/>
        <v>FEDERAL</v>
      </c>
      <c r="N1024" s="26">
        <v>380</v>
      </c>
      <c r="O1024" s="26">
        <v>175</v>
      </c>
      <c r="P1024" s="26">
        <v>205</v>
      </c>
      <c r="Q1024" s="26">
        <v>12</v>
      </c>
      <c r="R1024" s="26">
        <v>1</v>
      </c>
      <c r="S1024" s="26">
        <v>12</v>
      </c>
      <c r="T1024" s="26">
        <v>7</v>
      </c>
      <c r="U1024" s="26">
        <v>20</v>
      </c>
      <c r="V1024" s="26">
        <v>1</v>
      </c>
      <c r="W1024" s="26"/>
    </row>
    <row r="1025" spans="1:23" x14ac:dyDescent="0.25">
      <c r="A1025" s="26" t="str">
        <f t="shared" si="155"/>
        <v>PRIMARIA</v>
      </c>
      <c r="B1025" s="26" t="str">
        <f>"09DPR2089V"</f>
        <v>09DPR2089V</v>
      </c>
      <c r="C1025" s="26" t="str">
        <f>"24 DE FEBRERO                                                                                       "</f>
        <v xml:space="preserve">24 DE FEBRERO                                                                                       </v>
      </c>
      <c r="D1025" s="26" t="str">
        <f>"VESPERTINO"</f>
        <v>VESPERTINO</v>
      </c>
      <c r="E1025" s="26" t="str">
        <f>"TITO FERRER NO. 18                                                              "</f>
        <v xml:space="preserve">TITO FERRER NO. 18                                                              </v>
      </c>
      <c r="F1025" s="26" t="str">
        <f>"SANTA MARTHA ACATITLA                                                                                                                       "</f>
        <v xml:space="preserve">SANTA MARTHA ACATITLA                                                                                                                       </v>
      </c>
      <c r="G1025" s="26" t="str">
        <f t="shared" si="164"/>
        <v xml:space="preserve">IZTAPALAPA                                                                      </v>
      </c>
      <c r="H1025" s="26" t="str">
        <f>"024"</f>
        <v>024</v>
      </c>
      <c r="I1025" s="26" t="str">
        <f t="shared" si="156"/>
        <v>00</v>
      </c>
      <c r="J1025" s="26" t="str">
        <f>"62 "</f>
        <v xml:space="preserve">62 </v>
      </c>
      <c r="K1025" s="26" t="str">
        <f t="shared" si="165"/>
        <v>IZ</v>
      </c>
      <c r="L1025" s="26" t="str">
        <f t="shared" si="166"/>
        <v>DGSEI</v>
      </c>
      <c r="M1025" s="26" t="str">
        <f t="shared" si="157"/>
        <v>FEDERAL</v>
      </c>
      <c r="N1025" s="26">
        <v>153</v>
      </c>
      <c r="O1025" s="26">
        <v>86</v>
      </c>
      <c r="P1025" s="26">
        <v>67</v>
      </c>
      <c r="Q1025" s="26">
        <v>7</v>
      </c>
      <c r="R1025" s="26">
        <v>1</v>
      </c>
      <c r="S1025" s="26">
        <v>6</v>
      </c>
      <c r="T1025" s="26">
        <v>7</v>
      </c>
      <c r="U1025" s="26">
        <v>14</v>
      </c>
      <c r="V1025" s="26">
        <v>1</v>
      </c>
      <c r="W1025" s="26"/>
    </row>
    <row r="1026" spans="1:23" x14ac:dyDescent="0.25">
      <c r="A1026" s="26" t="str">
        <f t="shared" ref="A1026:A1089" si="167">"PRIMARIA"</f>
        <v>PRIMARIA</v>
      </c>
      <c r="B1026" s="26" t="str">
        <f>"09DPR2090K"</f>
        <v>09DPR2090K</v>
      </c>
      <c r="C1026" s="26" t="str">
        <f>"REPUBLICA DE MADAGASCAR                                                                             "</f>
        <v xml:space="preserve">REPUBLICA DE MADAGASCAR                                                                             </v>
      </c>
      <c r="D1026" s="26" t="str">
        <f>"MATUTINO"</f>
        <v>MATUTINO</v>
      </c>
      <c r="E1026" s="26" t="str">
        <f>"ING. GUILLERMO GONZALEZ CAMARENA NO. 120                                        "</f>
        <v xml:space="preserve">ING. GUILLERMO GONZALEZ CAMARENA NO. 120                                        </v>
      </c>
      <c r="F1026" s="26" t="str">
        <f>"JACARANDAS                                                                                                                                  "</f>
        <v xml:space="preserve">JACARANDAS                                                                                                                                  </v>
      </c>
      <c r="G1026" s="26" t="str">
        <f t="shared" si="164"/>
        <v xml:space="preserve">IZTAPALAPA                                                                      </v>
      </c>
      <c r="H1026" s="26" t="str">
        <f>"016"</f>
        <v>016</v>
      </c>
      <c r="I1026" s="26" t="str">
        <f t="shared" ref="I1026:I1089" si="168">"00"</f>
        <v>00</v>
      </c>
      <c r="J1026" s="26" t="str">
        <f>"62 "</f>
        <v xml:space="preserve">62 </v>
      </c>
      <c r="K1026" s="26" t="str">
        <f t="shared" si="165"/>
        <v>IZ</v>
      </c>
      <c r="L1026" s="26" t="str">
        <f t="shared" si="166"/>
        <v>DGSEI</v>
      </c>
      <c r="M1026" s="26" t="str">
        <f t="shared" ref="M1026:M1089" si="169">"FEDERAL"</f>
        <v>FEDERAL</v>
      </c>
      <c r="N1026" s="26">
        <v>526</v>
      </c>
      <c r="O1026" s="26">
        <v>268</v>
      </c>
      <c r="P1026" s="26">
        <v>258</v>
      </c>
      <c r="Q1026" s="26">
        <v>18</v>
      </c>
      <c r="R1026" s="26">
        <v>1</v>
      </c>
      <c r="S1026" s="26">
        <v>18</v>
      </c>
      <c r="T1026" s="26">
        <v>9</v>
      </c>
      <c r="U1026" s="26">
        <v>28</v>
      </c>
      <c r="V1026" s="26">
        <v>1</v>
      </c>
      <c r="W1026" s="26"/>
    </row>
    <row r="1027" spans="1:23" x14ac:dyDescent="0.25">
      <c r="A1027" s="26" t="str">
        <f t="shared" si="167"/>
        <v>PRIMARIA</v>
      </c>
      <c r="B1027" s="26" t="str">
        <f>"09DPR2091J"</f>
        <v>09DPR2091J</v>
      </c>
      <c r="C1027" s="26" t="str">
        <f>"GUADALUPE CENICEROS DE PEREZ ZAVALETA                                                               "</f>
        <v xml:space="preserve">GUADALUPE CENICEROS DE PEREZ ZAVALETA                                                               </v>
      </c>
      <c r="D1027" s="26" t="str">
        <f>"MATUTINO"</f>
        <v>MATUTINO</v>
      </c>
      <c r="E1027" s="26" t="str">
        <f>"ANTONIO NORZAGARAY NO. 40                                                       "</f>
        <v xml:space="preserve">ANTONIO NORZAGARAY NO. 40                                                       </v>
      </c>
      <c r="F1027" s="26" t="str">
        <f>"CONSTITUCION 1917                                                                                                                           "</f>
        <v xml:space="preserve">CONSTITUCION 1917                                                                                                                           </v>
      </c>
      <c r="G1027" s="26" t="str">
        <f t="shared" si="164"/>
        <v xml:space="preserve">IZTAPALAPA                                                                      </v>
      </c>
      <c r="H1027" s="26" t="str">
        <f>"016"</f>
        <v>016</v>
      </c>
      <c r="I1027" s="26" t="str">
        <f t="shared" si="168"/>
        <v>00</v>
      </c>
      <c r="J1027" s="26" t="str">
        <f>"62 "</f>
        <v xml:space="preserve">62 </v>
      </c>
      <c r="K1027" s="26" t="str">
        <f t="shared" si="165"/>
        <v>IZ</v>
      </c>
      <c r="L1027" s="26" t="str">
        <f t="shared" si="166"/>
        <v>DGSEI</v>
      </c>
      <c r="M1027" s="26" t="str">
        <f t="shared" si="169"/>
        <v>FEDERAL</v>
      </c>
      <c r="N1027" s="26">
        <v>483</v>
      </c>
      <c r="O1027" s="26">
        <v>243</v>
      </c>
      <c r="P1027" s="26">
        <v>240</v>
      </c>
      <c r="Q1027" s="26">
        <v>16</v>
      </c>
      <c r="R1027" s="26">
        <v>1</v>
      </c>
      <c r="S1027" s="26">
        <v>16</v>
      </c>
      <c r="T1027" s="26">
        <v>8</v>
      </c>
      <c r="U1027" s="26">
        <v>25</v>
      </c>
      <c r="V1027" s="26">
        <v>1</v>
      </c>
      <c r="W1027" s="26"/>
    </row>
    <row r="1028" spans="1:23" x14ac:dyDescent="0.25">
      <c r="A1028" s="26" t="str">
        <f t="shared" si="167"/>
        <v>PRIMARIA</v>
      </c>
      <c r="B1028" s="26" t="str">
        <f>"09DPR2093H"</f>
        <v>09DPR2093H</v>
      </c>
      <c r="C1028" s="26" t="str">
        <f>"FRANCISCO VILLA                                                                                     "</f>
        <v xml:space="preserve">FRANCISCO VILLA                                                                                     </v>
      </c>
      <c r="D1028" s="26" t="str">
        <f>"MATUTINO"</f>
        <v>MATUTINO</v>
      </c>
      <c r="E1028" s="26" t="str">
        <f>"CIUDAD JUAREZ NO. 50                                                            "</f>
        <v xml:space="preserve">CIUDAD JUAREZ NO. 50                                                            </v>
      </c>
      <c r="F1028" s="26" t="str">
        <f>"FRANCISCO VILLA                                                                                                                             "</f>
        <v xml:space="preserve">FRANCISCO VILLA                                                                                                                             </v>
      </c>
      <c r="G1028" s="26" t="str">
        <f t="shared" si="164"/>
        <v xml:space="preserve">IZTAPALAPA                                                                      </v>
      </c>
      <c r="H1028" s="26" t="str">
        <f>"052"</f>
        <v>052</v>
      </c>
      <c r="I1028" s="26" t="str">
        <f t="shared" si="168"/>
        <v>00</v>
      </c>
      <c r="J1028" s="26" t="str">
        <f>"64 "</f>
        <v xml:space="preserve">64 </v>
      </c>
      <c r="K1028" s="26" t="str">
        <f t="shared" si="165"/>
        <v>IZ</v>
      </c>
      <c r="L1028" s="26" t="str">
        <f t="shared" si="166"/>
        <v>DGSEI</v>
      </c>
      <c r="M1028" s="26" t="str">
        <f t="shared" si="169"/>
        <v>FEDERAL</v>
      </c>
      <c r="N1028" s="26">
        <v>409</v>
      </c>
      <c r="O1028" s="26">
        <v>198</v>
      </c>
      <c r="P1028" s="26">
        <v>211</v>
      </c>
      <c r="Q1028" s="26">
        <v>17</v>
      </c>
      <c r="R1028" s="26">
        <v>1</v>
      </c>
      <c r="S1028" s="26">
        <v>16</v>
      </c>
      <c r="T1028" s="26">
        <v>7</v>
      </c>
      <c r="U1028" s="26">
        <v>24</v>
      </c>
      <c r="V1028" s="26">
        <v>1</v>
      </c>
      <c r="W1028" s="26"/>
    </row>
    <row r="1029" spans="1:23" x14ac:dyDescent="0.25">
      <c r="A1029" s="26" t="str">
        <f t="shared" si="167"/>
        <v>PRIMARIA</v>
      </c>
      <c r="B1029" s="26" t="str">
        <f>"09DPR2094G"</f>
        <v>09DPR2094G</v>
      </c>
      <c r="C1029" s="26" t="str">
        <f>"GUADALUPE CENICEROS DE PEREZ ZAVALETA                                                               "</f>
        <v xml:space="preserve">GUADALUPE CENICEROS DE PEREZ ZAVALETA                                                               </v>
      </c>
      <c r="D1029" s="26" t="str">
        <f>"VESPERTINO"</f>
        <v>VESPERTINO</v>
      </c>
      <c r="E1029" s="26" t="str">
        <f>"ANTONIO NORZAGARAY NO. 40                                                       "</f>
        <v xml:space="preserve">ANTONIO NORZAGARAY NO. 40                                                       </v>
      </c>
      <c r="F1029" s="26" t="str">
        <f>"CONSTITUCION 1917                                                                                                                           "</f>
        <v xml:space="preserve">CONSTITUCION 1917                                                                                                                           </v>
      </c>
      <c r="G1029" s="26" t="str">
        <f t="shared" si="164"/>
        <v xml:space="preserve">IZTAPALAPA                                                                      </v>
      </c>
      <c r="H1029" s="26" t="str">
        <f>"016"</f>
        <v>016</v>
      </c>
      <c r="I1029" s="26" t="str">
        <f t="shared" si="168"/>
        <v>00</v>
      </c>
      <c r="J1029" s="26" t="str">
        <f>"62 "</f>
        <v xml:space="preserve">62 </v>
      </c>
      <c r="K1029" s="26" t="str">
        <f t="shared" si="165"/>
        <v>IZ</v>
      </c>
      <c r="L1029" s="26" t="str">
        <f t="shared" si="166"/>
        <v>DGSEI</v>
      </c>
      <c r="M1029" s="26" t="str">
        <f t="shared" si="169"/>
        <v>FEDERAL</v>
      </c>
      <c r="N1029" s="26">
        <v>180</v>
      </c>
      <c r="O1029" s="26">
        <v>107</v>
      </c>
      <c r="P1029" s="26">
        <v>73</v>
      </c>
      <c r="Q1029" s="26">
        <v>8</v>
      </c>
      <c r="R1029" s="26">
        <v>1</v>
      </c>
      <c r="S1029" s="26">
        <v>7</v>
      </c>
      <c r="T1029" s="26">
        <v>3</v>
      </c>
      <c r="U1029" s="26">
        <v>11</v>
      </c>
      <c r="V1029" s="26">
        <v>1</v>
      </c>
      <c r="W1029" s="26"/>
    </row>
    <row r="1030" spans="1:23" x14ac:dyDescent="0.25">
      <c r="A1030" s="26" t="str">
        <f t="shared" si="167"/>
        <v>PRIMARIA</v>
      </c>
      <c r="B1030" s="26" t="str">
        <f>"09DPR2099B"</f>
        <v>09DPR2099B</v>
      </c>
      <c r="C1030" s="26" t="str">
        <f>"CEYLAN                                                                                              "</f>
        <v xml:space="preserve">CEYLAN                                                                                              </v>
      </c>
      <c r="D1030" s="26" t="str">
        <f>"TIEMPO COMPLETO"</f>
        <v>TIEMPO COMPLETO</v>
      </c>
      <c r="E1030" s="26" t="str">
        <f>"RETORNO 3 Y 4 LICENCIADO CECILIO ROBELO S/N                                     "</f>
        <v xml:space="preserve">RETORNO 3 Y 4 LICENCIADO CECILIO ROBELO S/N                                     </v>
      </c>
      <c r="F1030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1030" s="26" t="str">
        <f>"VENUSTIANO CARRANZA                                                             "</f>
        <v xml:space="preserve">VENUSTIANO CARRANZA                                                             </v>
      </c>
      <c r="H1030" s="26" t="str">
        <f>"422"</f>
        <v>422</v>
      </c>
      <c r="I1030" s="26" t="str">
        <f t="shared" si="168"/>
        <v>00</v>
      </c>
      <c r="J1030" s="26" t="str">
        <f>"44 "</f>
        <v xml:space="preserve">44 </v>
      </c>
      <c r="K1030" s="26" t="str">
        <f>"PR"</f>
        <v>PR</v>
      </c>
      <c r="L1030" s="26" t="str">
        <f>"DGOSE"</f>
        <v>DGOSE</v>
      </c>
      <c r="M1030" s="26" t="str">
        <f t="shared" si="169"/>
        <v>FEDERAL</v>
      </c>
      <c r="N1030" s="26">
        <v>507</v>
      </c>
      <c r="O1030" s="26">
        <v>249</v>
      </c>
      <c r="P1030" s="26">
        <v>258</v>
      </c>
      <c r="Q1030" s="26">
        <v>17</v>
      </c>
      <c r="R1030" s="26">
        <v>1</v>
      </c>
      <c r="S1030" s="26">
        <v>17</v>
      </c>
      <c r="T1030" s="26">
        <v>15</v>
      </c>
      <c r="U1030" s="26">
        <v>33</v>
      </c>
      <c r="V1030" s="26">
        <v>1</v>
      </c>
      <c r="W1030" s="26" t="s">
        <v>218</v>
      </c>
    </row>
    <row r="1031" spans="1:23" x14ac:dyDescent="0.25">
      <c r="A1031" s="26" t="str">
        <f t="shared" si="167"/>
        <v>PRIMARIA</v>
      </c>
      <c r="B1031" s="26" t="str">
        <f>"09DPR2100A"</f>
        <v>09DPR2100A</v>
      </c>
      <c r="C1031" s="26" t="str">
        <f>"PRESIDENTE JOHN F KENNEDY                                                                           "</f>
        <v xml:space="preserve">PRESIDENTE JOHN F KENNEDY                                                                           </v>
      </c>
      <c r="D1031" s="26" t="str">
        <f>"VESPERTINO"</f>
        <v>VESPERTINO</v>
      </c>
      <c r="E1031" s="26" t="str">
        <f>"FRAY SERVANDO TERESA DE MIER SIN NUMERO                                         "</f>
        <v xml:space="preserve">FRAY SERVANDO TERESA DE MIER SIN NUMERO                                         </v>
      </c>
      <c r="F1031" s="26" t="str">
        <f>"AERONAUTICA MILITAR                                                                                                                         "</f>
        <v xml:space="preserve">AERONAUTICA MILITAR                                                                                                                         </v>
      </c>
      <c r="G1031" s="26" t="str">
        <f>"VENUSTIANO CARRANZA                                                             "</f>
        <v xml:space="preserve">VENUSTIANO CARRANZA                                                             </v>
      </c>
      <c r="H1031" s="26" t="str">
        <f>"347"</f>
        <v>347</v>
      </c>
      <c r="I1031" s="26" t="str">
        <f t="shared" si="168"/>
        <v>00</v>
      </c>
      <c r="J1031" s="26" t="str">
        <f>"43 "</f>
        <v xml:space="preserve">43 </v>
      </c>
      <c r="K1031" s="26" t="str">
        <f>"PR"</f>
        <v>PR</v>
      </c>
      <c r="L1031" s="26" t="str">
        <f>"DGOSE"</f>
        <v>DGOSE</v>
      </c>
      <c r="M1031" s="26" t="str">
        <f t="shared" si="169"/>
        <v>FEDERAL</v>
      </c>
      <c r="N1031" s="26">
        <v>230</v>
      </c>
      <c r="O1031" s="26">
        <v>120</v>
      </c>
      <c r="P1031" s="26">
        <v>110</v>
      </c>
      <c r="Q1031" s="26">
        <v>15</v>
      </c>
      <c r="R1031" s="26">
        <v>1</v>
      </c>
      <c r="S1031" s="26">
        <v>13</v>
      </c>
      <c r="T1031" s="26">
        <v>15</v>
      </c>
      <c r="U1031" s="26">
        <v>29</v>
      </c>
      <c r="V1031" s="26">
        <v>1</v>
      </c>
      <c r="W1031" s="26"/>
    </row>
    <row r="1032" spans="1:23" x14ac:dyDescent="0.25">
      <c r="A1032" s="26" t="str">
        <f t="shared" si="167"/>
        <v>PRIMARIA</v>
      </c>
      <c r="B1032" s="26" t="str">
        <f>"09DPR2103Y"</f>
        <v>09DPR2103Y</v>
      </c>
      <c r="C1032" s="26" t="str">
        <f>"CIUDAD PROCER DE GUANAJUATO                                                                         "</f>
        <v xml:space="preserve">CIUDAD PROCER DE GUANAJUATO                                                                         </v>
      </c>
      <c r="D1032" s="26" t="str">
        <f>"JORNADA AMPLIADA"</f>
        <v>JORNADA AMPLIADA</v>
      </c>
      <c r="E1032" s="26" t="str">
        <f>"RETORNO 2 DE DR NICOLAS LEON S/N                                                "</f>
        <v xml:space="preserve">RETORNO 2 DE DR NICOLAS LEON S/N                                                </v>
      </c>
      <c r="F1032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1032" s="26" t="str">
        <f>"VENUSTIANO CARRANZA                                                             "</f>
        <v xml:space="preserve">VENUSTIANO CARRANZA                                                             </v>
      </c>
      <c r="H1032" s="26" t="str">
        <f>"422"</f>
        <v>422</v>
      </c>
      <c r="I1032" s="26" t="str">
        <f t="shared" si="168"/>
        <v>00</v>
      </c>
      <c r="J1032" s="26" t="str">
        <f>"44 "</f>
        <v xml:space="preserve">44 </v>
      </c>
      <c r="K1032" s="26" t="str">
        <f>"PR"</f>
        <v>PR</v>
      </c>
      <c r="L1032" s="26" t="str">
        <f>"DGOSE"</f>
        <v>DGOSE</v>
      </c>
      <c r="M1032" s="26" t="str">
        <f t="shared" si="169"/>
        <v>FEDERAL</v>
      </c>
      <c r="N1032" s="26">
        <v>338</v>
      </c>
      <c r="O1032" s="26">
        <v>168</v>
      </c>
      <c r="P1032" s="26">
        <v>170</v>
      </c>
      <c r="Q1032" s="26">
        <v>12</v>
      </c>
      <c r="R1032" s="26">
        <v>1</v>
      </c>
      <c r="S1032" s="26">
        <v>12</v>
      </c>
      <c r="T1032" s="26">
        <v>10</v>
      </c>
      <c r="U1032" s="26">
        <v>23</v>
      </c>
      <c r="V1032" s="26">
        <v>1</v>
      </c>
      <c r="W1032" s="26" t="s">
        <v>2076</v>
      </c>
    </row>
    <row r="1033" spans="1:23" x14ac:dyDescent="0.25">
      <c r="A1033" s="26" t="str">
        <f t="shared" si="167"/>
        <v>PRIMARIA</v>
      </c>
      <c r="B1033" s="26" t="str">
        <f>"09DPR2108T"</f>
        <v>09DPR2108T</v>
      </c>
      <c r="C1033" s="26" t="str">
        <f>"ARTEMIO DE VALLE ARIZPE                                                                             "</f>
        <v xml:space="preserve">ARTEMIO DE VALLE ARIZPE                                                                             </v>
      </c>
      <c r="D1033" s="26" t="str">
        <f>"VESPERTINO"</f>
        <v>VESPERTINO</v>
      </c>
      <c r="E1033" s="26" t="str">
        <f>"PRIVADA CUCURPE NUM 10                                                          "</f>
        <v xml:space="preserve">PRIVADA CUCURPE NUM 10                                                          </v>
      </c>
      <c r="F1033" s="26" t="str">
        <f>"EL PARQUE                                                                                                                                   "</f>
        <v xml:space="preserve">EL PARQUE                                                                                                                                   </v>
      </c>
      <c r="G1033" s="26" t="str">
        <f>"VENUSTIANO CARRANZA                                                             "</f>
        <v xml:space="preserve">VENUSTIANO CARRANZA                                                             </v>
      </c>
      <c r="H1033" s="26" t="str">
        <f>"348"</f>
        <v>348</v>
      </c>
      <c r="I1033" s="26" t="str">
        <f t="shared" si="168"/>
        <v>00</v>
      </c>
      <c r="J1033" s="26" t="str">
        <f>"43 "</f>
        <v xml:space="preserve">43 </v>
      </c>
      <c r="K1033" s="26" t="str">
        <f>"PR"</f>
        <v>PR</v>
      </c>
      <c r="L1033" s="26" t="str">
        <f>"DGOSE"</f>
        <v>DGOSE</v>
      </c>
      <c r="M1033" s="26" t="str">
        <f t="shared" si="169"/>
        <v>FEDERAL</v>
      </c>
      <c r="N1033" s="26">
        <v>232</v>
      </c>
      <c r="O1033" s="26">
        <v>128</v>
      </c>
      <c r="P1033" s="26">
        <v>104</v>
      </c>
      <c r="Q1033" s="26">
        <v>13</v>
      </c>
      <c r="R1033" s="26">
        <v>1</v>
      </c>
      <c r="S1033" s="26">
        <v>13</v>
      </c>
      <c r="T1033" s="26">
        <v>15</v>
      </c>
      <c r="U1033" s="26">
        <v>29</v>
      </c>
      <c r="V1033" s="26">
        <v>1</v>
      </c>
      <c r="W1033" s="26"/>
    </row>
    <row r="1034" spans="1:23" x14ac:dyDescent="0.25">
      <c r="A1034" s="26" t="str">
        <f t="shared" si="167"/>
        <v>PRIMARIA</v>
      </c>
      <c r="B1034" s="26" t="str">
        <f>"09DPR2109S"</f>
        <v>09DPR2109S</v>
      </c>
      <c r="C1034" s="26" t="str">
        <f>"LEOPOLDO KIEL                                                                                       "</f>
        <v xml:space="preserve">LEOPOLDO KIEL                                                                                       </v>
      </c>
      <c r="D1034" s="26" t="str">
        <f>"MATUTINO"</f>
        <v>MATUTINO</v>
      </c>
      <c r="E1034" s="26" t="str">
        <f>"CORONEL LINO MERINO NO. 525                                                     "</f>
        <v xml:space="preserve">CORONEL LINO MERINO NO. 525                                                     </v>
      </c>
      <c r="F1034" s="26" t="str">
        <f>"JUAN ESCUTIA                                                                                                                                "</f>
        <v xml:space="preserve">JUAN ESCUTIA                                                                                                                                </v>
      </c>
      <c r="G1034" s="26" t="str">
        <f>"IZTAPALAPA                                                                      "</f>
        <v xml:space="preserve">IZTAPALAPA                                                                      </v>
      </c>
      <c r="H1034" s="26" t="str">
        <f>"028"</f>
        <v>028</v>
      </c>
      <c r="I1034" s="26" t="str">
        <f t="shared" si="168"/>
        <v>00</v>
      </c>
      <c r="J1034" s="26" t="str">
        <f>"62 "</f>
        <v xml:space="preserve">62 </v>
      </c>
      <c r="K1034" s="26" t="str">
        <f>"IZ"</f>
        <v>IZ</v>
      </c>
      <c r="L1034" s="26" t="str">
        <f>"DGSEI"</f>
        <v>DGSEI</v>
      </c>
      <c r="M1034" s="26" t="str">
        <f t="shared" si="169"/>
        <v>FEDERAL</v>
      </c>
      <c r="N1034" s="26">
        <v>590</v>
      </c>
      <c r="O1034" s="26">
        <v>300</v>
      </c>
      <c r="P1034" s="26">
        <v>290</v>
      </c>
      <c r="Q1034" s="26">
        <v>19</v>
      </c>
      <c r="R1034" s="26">
        <v>0</v>
      </c>
      <c r="S1034" s="26">
        <v>19</v>
      </c>
      <c r="T1034" s="26">
        <v>8</v>
      </c>
      <c r="U1034" s="26">
        <v>27</v>
      </c>
      <c r="V1034" s="26">
        <v>1</v>
      </c>
      <c r="W1034" s="26"/>
    </row>
    <row r="1035" spans="1:23" x14ac:dyDescent="0.25">
      <c r="A1035" s="26" t="str">
        <f t="shared" si="167"/>
        <v>PRIMARIA</v>
      </c>
      <c r="B1035" s="26" t="str">
        <f>"09DPR2110H"</f>
        <v>09DPR2110H</v>
      </c>
      <c r="C1035" s="26" t="str">
        <f>"LEOPOLDO KIEL                                                                                       "</f>
        <v xml:space="preserve">LEOPOLDO KIEL                                                                                       </v>
      </c>
      <c r="D1035" s="26" t="str">
        <f>"VESPERTINO"</f>
        <v>VESPERTINO</v>
      </c>
      <c r="E1035" s="26" t="str">
        <f>"CORONEL LINO MERINO NO. 525                                                     "</f>
        <v xml:space="preserve">CORONEL LINO MERINO NO. 525                                                     </v>
      </c>
      <c r="F1035" s="26" t="str">
        <f>"JUAN ESCUTIA                                                                                                                                "</f>
        <v xml:space="preserve">JUAN ESCUTIA                                                                                                                                </v>
      </c>
      <c r="G1035" s="26" t="str">
        <f>"IZTAPALAPA                                                                      "</f>
        <v xml:space="preserve">IZTAPALAPA                                                                      </v>
      </c>
      <c r="H1035" s="26" t="str">
        <f>"028"</f>
        <v>028</v>
      </c>
      <c r="I1035" s="26" t="str">
        <f t="shared" si="168"/>
        <v>00</v>
      </c>
      <c r="J1035" s="26" t="str">
        <f>"62 "</f>
        <v xml:space="preserve">62 </v>
      </c>
      <c r="K1035" s="26" t="str">
        <f>"IZ"</f>
        <v>IZ</v>
      </c>
      <c r="L1035" s="26" t="str">
        <f>"DGSEI"</f>
        <v>DGSEI</v>
      </c>
      <c r="M1035" s="26" t="str">
        <f t="shared" si="169"/>
        <v>FEDERAL</v>
      </c>
      <c r="N1035" s="26">
        <v>301</v>
      </c>
      <c r="O1035" s="26">
        <v>168</v>
      </c>
      <c r="P1035" s="26">
        <v>133</v>
      </c>
      <c r="Q1035" s="26">
        <v>14</v>
      </c>
      <c r="R1035" s="26">
        <v>1</v>
      </c>
      <c r="S1035" s="26">
        <v>13</v>
      </c>
      <c r="T1035" s="26">
        <v>11</v>
      </c>
      <c r="U1035" s="26">
        <v>25</v>
      </c>
      <c r="V1035" s="26">
        <v>1</v>
      </c>
      <c r="W1035" s="26"/>
    </row>
    <row r="1036" spans="1:23" x14ac:dyDescent="0.25">
      <c r="A1036" s="26" t="str">
        <f t="shared" si="167"/>
        <v>PRIMARIA</v>
      </c>
      <c r="B1036" s="26" t="str">
        <f>"09DPR2111G"</f>
        <v>09DPR2111G</v>
      </c>
      <c r="C1036" s="26" t="str">
        <f>"JUAN RODRIGUEZ PUEBLA                                                                               "</f>
        <v xml:space="preserve">JUAN RODRIGUEZ PUEBLA                                                                               </v>
      </c>
      <c r="D1036" s="26" t="str">
        <f>"VESPERTINO"</f>
        <v>VESPERTINO</v>
      </c>
      <c r="E1036" s="26" t="str">
        <f>"MANUEL PEREZ ROMERO NO. 126                                                     "</f>
        <v xml:space="preserve">MANUEL PEREZ ROMERO NO. 126                                                     </v>
      </c>
      <c r="F1036" s="26" t="str">
        <f>"SANTA MARTHA ACATITLA AMPLIACION                                                                                                            "</f>
        <v xml:space="preserve">SANTA MARTHA ACATITLA AMPLIACION                                                                                                            </v>
      </c>
      <c r="G1036" s="26" t="str">
        <f>"IZTAPALAPA                                                                      "</f>
        <v xml:space="preserve">IZTAPALAPA                                                                      </v>
      </c>
      <c r="H1036" s="26" t="str">
        <f>"030"</f>
        <v>030</v>
      </c>
      <c r="I1036" s="26" t="str">
        <f t="shared" si="168"/>
        <v>00</v>
      </c>
      <c r="J1036" s="26" t="str">
        <f>"62 "</f>
        <v xml:space="preserve">62 </v>
      </c>
      <c r="K1036" s="26" t="str">
        <f>"IZ"</f>
        <v>IZ</v>
      </c>
      <c r="L1036" s="26" t="str">
        <f>"DGSEI"</f>
        <v>DGSEI</v>
      </c>
      <c r="M1036" s="26" t="str">
        <f t="shared" si="169"/>
        <v>FEDERAL</v>
      </c>
      <c r="N1036" s="26">
        <v>358</v>
      </c>
      <c r="O1036" s="26">
        <v>190</v>
      </c>
      <c r="P1036" s="26">
        <v>168</v>
      </c>
      <c r="Q1036" s="26">
        <v>16</v>
      </c>
      <c r="R1036" s="26">
        <v>1</v>
      </c>
      <c r="S1036" s="26">
        <v>14</v>
      </c>
      <c r="T1036" s="26">
        <v>8</v>
      </c>
      <c r="U1036" s="26">
        <v>23</v>
      </c>
      <c r="V1036" s="26">
        <v>1</v>
      </c>
      <c r="W1036" s="26"/>
    </row>
    <row r="1037" spans="1:23" x14ac:dyDescent="0.25">
      <c r="A1037" s="26" t="str">
        <f t="shared" si="167"/>
        <v>PRIMARIA</v>
      </c>
      <c r="B1037" s="26" t="str">
        <f>"09DPR2112F"</f>
        <v>09DPR2112F</v>
      </c>
      <c r="C1037" s="26" t="str">
        <f>"VOCEADORES DE MEXICO                                                                                "</f>
        <v xml:space="preserve">VOCEADORES DE MEXICO                                                                                </v>
      </c>
      <c r="D1037" s="26" t="str">
        <f>"JORNADA AMPLIADA"</f>
        <v>JORNADA AMPLIADA</v>
      </c>
      <c r="E1037" s="26" t="str">
        <f>"RETORNO 52 DE CECILIO ROBELO S/N                                                "</f>
        <v xml:space="preserve">RETORNO 52 DE CECILIO ROBELO S/N                                                </v>
      </c>
      <c r="F1037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1037" s="26" t="str">
        <f>"VENUSTIANO CARRANZA                                                             "</f>
        <v xml:space="preserve">VENUSTIANO CARRANZA                                                             </v>
      </c>
      <c r="H1037" s="26" t="str">
        <f>"423"</f>
        <v>423</v>
      </c>
      <c r="I1037" s="26" t="str">
        <f t="shared" si="168"/>
        <v>00</v>
      </c>
      <c r="J1037" s="26" t="str">
        <f>"44 "</f>
        <v xml:space="preserve">44 </v>
      </c>
      <c r="K1037" s="26" t="str">
        <f>"PR"</f>
        <v>PR</v>
      </c>
      <c r="L1037" s="26" t="str">
        <f>"DGOSE"</f>
        <v>DGOSE</v>
      </c>
      <c r="M1037" s="26" t="str">
        <f t="shared" si="169"/>
        <v>FEDERAL</v>
      </c>
      <c r="N1037" s="26">
        <v>231</v>
      </c>
      <c r="O1037" s="26">
        <v>116</v>
      </c>
      <c r="P1037" s="26">
        <v>115</v>
      </c>
      <c r="Q1037" s="26">
        <v>11</v>
      </c>
      <c r="R1037" s="26">
        <v>1</v>
      </c>
      <c r="S1037" s="26">
        <v>11</v>
      </c>
      <c r="T1037" s="26">
        <v>10</v>
      </c>
      <c r="U1037" s="26">
        <v>22</v>
      </c>
      <c r="V1037" s="26">
        <v>1</v>
      </c>
      <c r="W1037" s="26" t="s">
        <v>2076</v>
      </c>
    </row>
    <row r="1038" spans="1:23" x14ac:dyDescent="0.25">
      <c r="A1038" s="26" t="str">
        <f t="shared" si="167"/>
        <v>PRIMARIA</v>
      </c>
      <c r="B1038" s="26" t="str">
        <f>"09DPR2115C"</f>
        <v>09DPR2115C</v>
      </c>
      <c r="C1038" s="26" t="str">
        <f>"CLUB DE LEONES DE LA VILLA NUM. 4                                                                   "</f>
        <v xml:space="preserve">CLUB DE LEONES DE LA VILLA NUM. 4                                                                   </v>
      </c>
      <c r="D1038" s="26" t="str">
        <f>"JORNADA AMPLIADA"</f>
        <v>JORNADA AMPLIADA</v>
      </c>
      <c r="E1038" s="26" t="str">
        <f>"CERRO DE GUERRERO S/N                                                           "</f>
        <v xml:space="preserve">CERRO DE GUERRERO S/N                                                           </v>
      </c>
      <c r="F1038" s="26" t="str">
        <f>"GABRIEL HERNANDEZ                                                                                                                           "</f>
        <v xml:space="preserve">GABRIEL HERNANDEZ                                                                                                                           </v>
      </c>
      <c r="G1038" s="26" t="str">
        <f>"GUSTAVO A. MADERO                                                               "</f>
        <v xml:space="preserve">GUSTAVO A. MADERO                                                               </v>
      </c>
      <c r="H1038" s="26" t="str">
        <f>"138"</f>
        <v>138</v>
      </c>
      <c r="I1038" s="26" t="str">
        <f t="shared" si="168"/>
        <v>00</v>
      </c>
      <c r="J1038" s="26" t="str">
        <f>"41 "</f>
        <v xml:space="preserve">41 </v>
      </c>
      <c r="K1038" s="26" t="str">
        <f>"PR"</f>
        <v>PR</v>
      </c>
      <c r="L1038" s="26" t="str">
        <f>"DGOSE"</f>
        <v>DGOSE</v>
      </c>
      <c r="M1038" s="26" t="str">
        <f t="shared" si="169"/>
        <v>FEDERAL</v>
      </c>
      <c r="N1038" s="26">
        <v>120</v>
      </c>
      <c r="O1038" s="26">
        <v>59</v>
      </c>
      <c r="P1038" s="26">
        <v>61</v>
      </c>
      <c r="Q1038" s="26">
        <v>6</v>
      </c>
      <c r="R1038" s="26">
        <v>1</v>
      </c>
      <c r="S1038" s="26">
        <v>6</v>
      </c>
      <c r="T1038" s="26">
        <v>5</v>
      </c>
      <c r="U1038" s="26">
        <v>12</v>
      </c>
      <c r="V1038" s="26">
        <v>1</v>
      </c>
      <c r="W1038" s="26" t="s">
        <v>2076</v>
      </c>
    </row>
    <row r="1039" spans="1:23" x14ac:dyDescent="0.25">
      <c r="A1039" s="26" t="str">
        <f t="shared" si="167"/>
        <v>PRIMARIA</v>
      </c>
      <c r="B1039" s="26" t="str">
        <f>"09DPR2117A"</f>
        <v>09DPR2117A</v>
      </c>
      <c r="C1039" s="26" t="str">
        <f>"JOSE MARIA TAPIA FREYDING                                                                           "</f>
        <v xml:space="preserve">JOSE MARIA TAPIA FREYDING                                                                           </v>
      </c>
      <c r="D1039" s="26" t="str">
        <f>"MATUTINO"</f>
        <v>MATUTINO</v>
      </c>
      <c r="E1039" s="26" t="str">
        <f>"MORELOS 19                                                                      "</f>
        <v xml:space="preserve">MORELOS 19                                                                      </v>
      </c>
      <c r="F1039" s="26" t="str">
        <f>"UNIDAD HABITACIONAL PREDIO DE TLAYA                                                                                                         "</f>
        <v xml:space="preserve">UNIDAD HABITACIONAL PREDIO DE TLAYA                                                                                                         </v>
      </c>
      <c r="G1039" s="26" t="str">
        <f>"ALVARO OBREGON                                                                  "</f>
        <v xml:space="preserve">ALVARO OBREGON                                                                  </v>
      </c>
      <c r="H1039" s="26" t="str">
        <f>"318"</f>
        <v>318</v>
      </c>
      <c r="I1039" s="26" t="str">
        <f t="shared" si="168"/>
        <v>00</v>
      </c>
      <c r="J1039" s="26" t="str">
        <f>"43 "</f>
        <v xml:space="preserve">43 </v>
      </c>
      <c r="K1039" s="26" t="str">
        <f>"PR"</f>
        <v>PR</v>
      </c>
      <c r="L1039" s="26" t="str">
        <f>"DGOSE"</f>
        <v>DGOSE</v>
      </c>
      <c r="M1039" s="26" t="str">
        <f t="shared" si="169"/>
        <v>FEDERAL</v>
      </c>
      <c r="N1039" s="26">
        <v>406</v>
      </c>
      <c r="O1039" s="26">
        <v>212</v>
      </c>
      <c r="P1039" s="26">
        <v>194</v>
      </c>
      <c r="Q1039" s="26">
        <v>12</v>
      </c>
      <c r="R1039" s="26">
        <v>1</v>
      </c>
      <c r="S1039" s="26">
        <v>11</v>
      </c>
      <c r="T1039" s="26">
        <v>8</v>
      </c>
      <c r="U1039" s="26">
        <v>20</v>
      </c>
      <c r="V1039" s="26">
        <v>1</v>
      </c>
      <c r="W1039" s="26"/>
    </row>
    <row r="1040" spans="1:23" x14ac:dyDescent="0.25">
      <c r="A1040" s="26" t="str">
        <f t="shared" si="167"/>
        <v>PRIMARIA</v>
      </c>
      <c r="B1040" s="26" t="str">
        <f>"09DPR2119Z"</f>
        <v>09DPR2119Z</v>
      </c>
      <c r="C1040" s="26" t="str">
        <f>"PROFR. LUIS GUEVARA RAMIREZ                                                                         "</f>
        <v xml:space="preserve">PROFR. LUIS GUEVARA RAMIREZ                                                                         </v>
      </c>
      <c r="D1040" s="26" t="str">
        <f>"VESPERTINO"</f>
        <v>VESPERTINO</v>
      </c>
      <c r="E1040" s="26" t="str">
        <f>"CALZ. SAN LORENZO S/N.                                                          "</f>
        <v xml:space="preserve">CALZ. SAN LORENZO S/N.                                                          </v>
      </c>
      <c r="F1040" s="26" t="str">
        <f>"UNIDAD HABITACIONAL BELLAVISTA                                                                                                              "</f>
        <v xml:space="preserve">UNIDAD HABITACIONAL BELLAVISTA                                                                                                              </v>
      </c>
      <c r="G1040" s="26" t="str">
        <f>"IZTAPALAPA                                                                      "</f>
        <v xml:space="preserve">IZTAPALAPA                                                                      </v>
      </c>
      <c r="H1040" s="26" t="str">
        <f>"044"</f>
        <v>044</v>
      </c>
      <c r="I1040" s="26" t="str">
        <f t="shared" si="168"/>
        <v>00</v>
      </c>
      <c r="J1040" s="26" t="str">
        <f>"63 "</f>
        <v xml:space="preserve">63 </v>
      </c>
      <c r="K1040" s="26" t="str">
        <f>"IZ"</f>
        <v>IZ</v>
      </c>
      <c r="L1040" s="26" t="str">
        <f>"DGSEI"</f>
        <v>DGSEI</v>
      </c>
      <c r="M1040" s="26" t="str">
        <f t="shared" si="169"/>
        <v>FEDERAL</v>
      </c>
      <c r="N1040" s="26">
        <v>195</v>
      </c>
      <c r="O1040" s="26">
        <v>102</v>
      </c>
      <c r="P1040" s="26">
        <v>93</v>
      </c>
      <c r="Q1040" s="26">
        <v>13</v>
      </c>
      <c r="R1040" s="26">
        <v>1</v>
      </c>
      <c r="S1040" s="26">
        <v>13</v>
      </c>
      <c r="T1040" s="26">
        <v>6</v>
      </c>
      <c r="U1040" s="26">
        <v>20</v>
      </c>
      <c r="V1040" s="26">
        <v>1</v>
      </c>
      <c r="W1040" s="26"/>
    </row>
    <row r="1041" spans="1:23" x14ac:dyDescent="0.25">
      <c r="A1041" s="26" t="str">
        <f t="shared" si="167"/>
        <v>PRIMARIA</v>
      </c>
      <c r="B1041" s="26" t="str">
        <f>"09DPR2120O"</f>
        <v>09DPR2120O</v>
      </c>
      <c r="C1041" s="26" t="str">
        <f>"PROFR. ERASTO VALLE ALCARAZ                                                                         "</f>
        <v xml:space="preserve">PROFR. ERASTO VALLE ALCARAZ                                                                         </v>
      </c>
      <c r="D1041" s="26" t="str">
        <f>"VESPERTINO"</f>
        <v>VESPERTINO</v>
      </c>
      <c r="E1041" s="26" t="str">
        <f>"CAPULA S/N                                                                      "</f>
        <v xml:space="preserve">CAPULA S/N                                                                      </v>
      </c>
      <c r="F1041" s="26" t="str">
        <f>"EL POCITO                                                                                                                                   "</f>
        <v xml:space="preserve">EL POCITO                                                                                                                                   </v>
      </c>
      <c r="G1041" s="26" t="str">
        <f>"ALVARO OBREGON                                                                  "</f>
        <v xml:space="preserve">ALVARO OBREGON                                                                  </v>
      </c>
      <c r="H1041" s="26" t="str">
        <f>"309"</f>
        <v>309</v>
      </c>
      <c r="I1041" s="26" t="str">
        <f t="shared" si="168"/>
        <v>00</v>
      </c>
      <c r="J1041" s="26" t="str">
        <f>"43 "</f>
        <v xml:space="preserve">43 </v>
      </c>
      <c r="K1041" s="26" t="str">
        <f t="shared" ref="K1041:K1104" si="170">"PR"</f>
        <v>PR</v>
      </c>
      <c r="L1041" s="26" t="str">
        <f t="shared" ref="L1041:L1104" si="171">"DGOSE"</f>
        <v>DGOSE</v>
      </c>
      <c r="M1041" s="26" t="str">
        <f t="shared" si="169"/>
        <v>FEDERAL</v>
      </c>
      <c r="N1041" s="26">
        <v>281</v>
      </c>
      <c r="O1041" s="26">
        <v>144</v>
      </c>
      <c r="P1041" s="26">
        <v>137</v>
      </c>
      <c r="Q1041" s="26">
        <v>12</v>
      </c>
      <c r="R1041" s="26">
        <v>1</v>
      </c>
      <c r="S1041" s="26">
        <v>12</v>
      </c>
      <c r="T1041" s="26">
        <v>6</v>
      </c>
      <c r="U1041" s="26">
        <v>19</v>
      </c>
      <c r="V1041" s="26">
        <v>1</v>
      </c>
      <c r="W1041" s="26"/>
    </row>
    <row r="1042" spans="1:23" x14ac:dyDescent="0.25">
      <c r="A1042" s="26" t="str">
        <f t="shared" si="167"/>
        <v>PRIMARIA</v>
      </c>
      <c r="B1042" s="26" t="str">
        <f>"09DPR2121N"</f>
        <v>09DPR2121N</v>
      </c>
      <c r="C1042" s="26" t="str">
        <f>"HEROES DE LA NAVAL                                                                                  "</f>
        <v xml:space="preserve">HEROES DE LA NAVAL                                                                                  </v>
      </c>
      <c r="D1042" s="26" t="str">
        <f>"VESPERTINO"</f>
        <v>VESPERTINO</v>
      </c>
      <c r="E1042" s="26" t="str">
        <f>"AV STA LUCIA NUM 5                                                              "</f>
        <v xml:space="preserve">AV STA LUCIA NUM 5                                                              </v>
      </c>
      <c r="F1042" s="26" t="str">
        <f>"OLIVAR DEL CONDE 1A SECCION                                                                                                                 "</f>
        <v xml:space="preserve">OLIVAR DEL CONDE 1A SECCION                                                                                                                 </v>
      </c>
      <c r="G1042" s="26" t="str">
        <f>"ALVARO OBREGON                                                                  "</f>
        <v xml:space="preserve">ALVARO OBREGON                                                                  </v>
      </c>
      <c r="H1042" s="26" t="str">
        <f>"314"</f>
        <v>314</v>
      </c>
      <c r="I1042" s="26" t="str">
        <f t="shared" si="168"/>
        <v>00</v>
      </c>
      <c r="J1042" s="26" t="str">
        <f>"43 "</f>
        <v xml:space="preserve">43 </v>
      </c>
      <c r="K1042" s="26" t="str">
        <f t="shared" si="170"/>
        <v>PR</v>
      </c>
      <c r="L1042" s="26" t="str">
        <f t="shared" si="171"/>
        <v>DGOSE</v>
      </c>
      <c r="M1042" s="26" t="str">
        <f t="shared" si="169"/>
        <v>FEDERAL</v>
      </c>
      <c r="N1042" s="26">
        <v>121</v>
      </c>
      <c r="O1042" s="26">
        <v>60</v>
      </c>
      <c r="P1042" s="26">
        <v>61</v>
      </c>
      <c r="Q1042" s="26">
        <v>6</v>
      </c>
      <c r="R1042" s="26">
        <v>1</v>
      </c>
      <c r="S1042" s="26">
        <v>6</v>
      </c>
      <c r="T1042" s="26">
        <v>4</v>
      </c>
      <c r="U1042" s="26">
        <v>11</v>
      </c>
      <c r="V1042" s="26">
        <v>1</v>
      </c>
      <c r="W1042" s="26"/>
    </row>
    <row r="1043" spans="1:23" x14ac:dyDescent="0.25">
      <c r="A1043" s="26" t="str">
        <f t="shared" si="167"/>
        <v>PRIMARIA</v>
      </c>
      <c r="B1043" s="26" t="str">
        <f>"09DPR2122M"</f>
        <v>09DPR2122M</v>
      </c>
      <c r="C1043" s="26" t="str">
        <f>"HEROES DE LA NAVAL                                                                                  "</f>
        <v xml:space="preserve">HEROES DE LA NAVAL                                                                                  </v>
      </c>
      <c r="D1043" s="26" t="str">
        <f>"MATUTINO"</f>
        <v>MATUTINO</v>
      </c>
      <c r="E1043" s="26" t="str">
        <f>"AV STA LUCIA NUM 5                                                              "</f>
        <v xml:space="preserve">AV STA LUCIA NUM 5                                                              </v>
      </c>
      <c r="F1043" s="26" t="str">
        <f>"OLIVAR DEL CONDE 1A SECCION                                                                                                                 "</f>
        <v xml:space="preserve">OLIVAR DEL CONDE 1A SECCION                                                                                                                 </v>
      </c>
      <c r="G1043" s="26" t="str">
        <f>"ALVARO OBREGON                                                                  "</f>
        <v xml:space="preserve">ALVARO OBREGON                                                                  </v>
      </c>
      <c r="H1043" s="26" t="str">
        <f>"314"</f>
        <v>314</v>
      </c>
      <c r="I1043" s="26" t="str">
        <f t="shared" si="168"/>
        <v>00</v>
      </c>
      <c r="J1043" s="26" t="str">
        <f>"43 "</f>
        <v xml:space="preserve">43 </v>
      </c>
      <c r="K1043" s="26" t="str">
        <f t="shared" si="170"/>
        <v>PR</v>
      </c>
      <c r="L1043" s="26" t="str">
        <f t="shared" si="171"/>
        <v>DGOSE</v>
      </c>
      <c r="M1043" s="26" t="str">
        <f t="shared" si="169"/>
        <v>FEDERAL</v>
      </c>
      <c r="N1043" s="26">
        <v>294</v>
      </c>
      <c r="O1043" s="26">
        <v>151</v>
      </c>
      <c r="P1043" s="26">
        <v>143</v>
      </c>
      <c r="Q1043" s="26">
        <v>11</v>
      </c>
      <c r="R1043" s="26">
        <v>1</v>
      </c>
      <c r="S1043" s="26">
        <v>11</v>
      </c>
      <c r="T1043" s="26">
        <v>6</v>
      </c>
      <c r="U1043" s="26">
        <v>18</v>
      </c>
      <c r="V1043" s="26">
        <v>1</v>
      </c>
      <c r="W1043" s="26"/>
    </row>
    <row r="1044" spans="1:23" x14ac:dyDescent="0.25">
      <c r="A1044" s="26" t="str">
        <f t="shared" si="167"/>
        <v>PRIMARIA</v>
      </c>
      <c r="B1044" s="26" t="str">
        <f>"09DPR2124K"</f>
        <v>09DPR2124K</v>
      </c>
      <c r="C1044" s="26" t="str">
        <f>"WINSTON CHURCHILL                                                                                   "</f>
        <v xml:space="preserve">WINSTON CHURCHILL                                                                                   </v>
      </c>
      <c r="D1044" s="26" t="str">
        <f>"VESPERTINO"</f>
        <v>VESPERTINO</v>
      </c>
      <c r="E1044" s="26" t="str">
        <f>"AVENIDA 563 S/N PLAZA 10                                                        "</f>
        <v xml:space="preserve">AVENIDA 563 S/N PLAZA 10                                                        </v>
      </c>
      <c r="F1044" s="26" t="str">
        <f>"UNIDAD SAN JUAN DE ARAGON 1A SECCIO                                                                                                         "</f>
        <v xml:space="preserve">UNIDAD SAN JUAN DE ARAGON 1A SECCIO                                                                                                         </v>
      </c>
      <c r="G1044" s="26" t="str">
        <f>"GUSTAVO A. MADERO                                                               "</f>
        <v xml:space="preserve">GUSTAVO A. MADERO                                                               </v>
      </c>
      <c r="H1044" s="26" t="str">
        <f>"269"</f>
        <v>269</v>
      </c>
      <c r="I1044" s="26" t="str">
        <f t="shared" si="168"/>
        <v>00</v>
      </c>
      <c r="J1044" s="26" t="str">
        <f t="shared" ref="J1044:J1054" si="172">"42 "</f>
        <v xml:space="preserve">42 </v>
      </c>
      <c r="K1044" s="26" t="str">
        <f t="shared" si="170"/>
        <v>PR</v>
      </c>
      <c r="L1044" s="26" t="str">
        <f t="shared" si="171"/>
        <v>DGOSE</v>
      </c>
      <c r="M1044" s="26" t="str">
        <f t="shared" si="169"/>
        <v>FEDERAL</v>
      </c>
      <c r="N1044" s="26">
        <v>83</v>
      </c>
      <c r="O1044" s="26">
        <v>37</v>
      </c>
      <c r="P1044" s="26">
        <v>46</v>
      </c>
      <c r="Q1044" s="26">
        <v>6</v>
      </c>
      <c r="R1044" s="26">
        <v>1</v>
      </c>
      <c r="S1044" s="26">
        <v>6</v>
      </c>
      <c r="T1044" s="26">
        <v>8</v>
      </c>
      <c r="U1044" s="26">
        <v>15</v>
      </c>
      <c r="V1044" s="26">
        <v>1</v>
      </c>
      <c r="W1044" s="26"/>
    </row>
    <row r="1045" spans="1:23" x14ac:dyDescent="0.25">
      <c r="A1045" s="26" t="str">
        <f t="shared" si="167"/>
        <v>PRIMARIA</v>
      </c>
      <c r="B1045" s="26" t="str">
        <f>"09DPR2127H"</f>
        <v>09DPR2127H</v>
      </c>
      <c r="C1045" s="26" t="str">
        <f>"JULIO VERNE                                                                                         "</f>
        <v xml:space="preserve">JULIO VERNE                                                                                         </v>
      </c>
      <c r="D1045" s="26" t="str">
        <f>"MATUTINO"</f>
        <v>MATUTINO</v>
      </c>
      <c r="E1045" s="26" t="str">
        <f>"MANUEL SALAZAR Y SANCHEZ COLIN S/N                                              "</f>
        <v xml:space="preserve">MANUEL SALAZAR Y SANCHEZ COLIN S/N                                              </v>
      </c>
      <c r="F1045" s="26" t="str">
        <f>"LA PROVIDENCIA                                                                                                                              "</f>
        <v xml:space="preserve">LA PROVIDENCIA                                                                                                                              </v>
      </c>
      <c r="G1045" s="26" t="str">
        <f>"AZCAPOTZALCO                                                                    "</f>
        <v xml:space="preserve">AZCAPOTZALCO                                                                    </v>
      </c>
      <c r="H1045" s="26" t="str">
        <f>"201"</f>
        <v>201</v>
      </c>
      <c r="I1045" s="26" t="str">
        <f t="shared" si="168"/>
        <v>00</v>
      </c>
      <c r="J1045" s="26" t="str">
        <f t="shared" si="172"/>
        <v xml:space="preserve">42 </v>
      </c>
      <c r="K1045" s="26" t="str">
        <f t="shared" si="170"/>
        <v>PR</v>
      </c>
      <c r="L1045" s="26" t="str">
        <f t="shared" si="171"/>
        <v>DGOSE</v>
      </c>
      <c r="M1045" s="26" t="str">
        <f t="shared" si="169"/>
        <v>FEDERAL</v>
      </c>
      <c r="N1045" s="26">
        <v>332</v>
      </c>
      <c r="O1045" s="26">
        <v>181</v>
      </c>
      <c r="P1045" s="26">
        <v>151</v>
      </c>
      <c r="Q1045" s="26">
        <v>12</v>
      </c>
      <c r="R1045" s="26">
        <v>1</v>
      </c>
      <c r="S1045" s="26">
        <v>12</v>
      </c>
      <c r="T1045" s="26">
        <v>7</v>
      </c>
      <c r="U1045" s="26">
        <v>20</v>
      </c>
      <c r="V1045" s="26">
        <v>1</v>
      </c>
      <c r="W1045" s="26"/>
    </row>
    <row r="1046" spans="1:23" x14ac:dyDescent="0.25">
      <c r="A1046" s="26" t="str">
        <f t="shared" si="167"/>
        <v>PRIMARIA</v>
      </c>
      <c r="B1046" s="26" t="str">
        <f>"09DPR2128G"</f>
        <v>09DPR2128G</v>
      </c>
      <c r="C1046" s="26" t="str">
        <f>"JULIO VERNE                                                                                         "</f>
        <v xml:space="preserve">JULIO VERNE                                                                                         </v>
      </c>
      <c r="D1046" s="26" t="str">
        <f>"VESPERTINO"</f>
        <v>VESPERTINO</v>
      </c>
      <c r="E1046" s="26" t="str">
        <f>"MANUEL SALAZAR Y SANCHEZ COLIN S/N                                              "</f>
        <v xml:space="preserve">MANUEL SALAZAR Y SANCHEZ COLIN S/N                                              </v>
      </c>
      <c r="F1046" s="26" t="str">
        <f>"LA PROVIDENCIA                                                                                                                              "</f>
        <v xml:space="preserve">LA PROVIDENCIA                                                                                                                              </v>
      </c>
      <c r="G1046" s="26" t="str">
        <f>"AZCAPOTZALCO                                                                    "</f>
        <v xml:space="preserve">AZCAPOTZALCO                                                                    </v>
      </c>
      <c r="H1046" s="26" t="str">
        <f>"201"</f>
        <v>201</v>
      </c>
      <c r="I1046" s="26" t="str">
        <f t="shared" si="168"/>
        <v>00</v>
      </c>
      <c r="J1046" s="26" t="str">
        <f t="shared" si="172"/>
        <v xml:space="preserve">42 </v>
      </c>
      <c r="K1046" s="26" t="str">
        <f t="shared" si="170"/>
        <v>PR</v>
      </c>
      <c r="L1046" s="26" t="str">
        <f t="shared" si="171"/>
        <v>DGOSE</v>
      </c>
      <c r="M1046" s="26" t="str">
        <f t="shared" si="169"/>
        <v>FEDERAL</v>
      </c>
      <c r="N1046" s="26">
        <v>148</v>
      </c>
      <c r="O1046" s="26">
        <v>85</v>
      </c>
      <c r="P1046" s="26">
        <v>63</v>
      </c>
      <c r="Q1046" s="26">
        <v>7</v>
      </c>
      <c r="R1046" s="26">
        <v>1</v>
      </c>
      <c r="S1046" s="26">
        <v>7</v>
      </c>
      <c r="T1046" s="26">
        <v>8</v>
      </c>
      <c r="U1046" s="26">
        <v>16</v>
      </c>
      <c r="V1046" s="26">
        <v>1</v>
      </c>
      <c r="W1046" s="26"/>
    </row>
    <row r="1047" spans="1:23" x14ac:dyDescent="0.25">
      <c r="A1047" s="26" t="str">
        <f t="shared" si="167"/>
        <v>PRIMARIA</v>
      </c>
      <c r="B1047" s="26" t="str">
        <f>"09DPR2129F"</f>
        <v>09DPR2129F</v>
      </c>
      <c r="C1047" s="26" t="str">
        <f>"PABLO NERUDA                                                                                        "</f>
        <v xml:space="preserve">PABLO NERUDA                                                                                        </v>
      </c>
      <c r="D1047" s="26" t="str">
        <f>"MATUTINO"</f>
        <v>MATUTINO</v>
      </c>
      <c r="E1047" s="26" t="str">
        <f>"CIPACTLI Y HUITZILIHUITL S/N                                                    "</f>
        <v xml:space="preserve">CIPACTLI Y HUITZILIHUITL S/N                                                    </v>
      </c>
      <c r="F1047" s="26" t="str">
        <f>"LA PRECIOSA                                                                                                                                 "</f>
        <v xml:space="preserve">LA PRECIOSA                                                                                                                                 </v>
      </c>
      <c r="G1047" s="26" t="str">
        <f>"AZCAPOTZALCO                                                                    "</f>
        <v xml:space="preserve">AZCAPOTZALCO                                                                    </v>
      </c>
      <c r="H1047" s="26" t="str">
        <f>"204"</f>
        <v>204</v>
      </c>
      <c r="I1047" s="26" t="str">
        <f t="shared" si="168"/>
        <v>00</v>
      </c>
      <c r="J1047" s="26" t="str">
        <f t="shared" si="172"/>
        <v xml:space="preserve">42 </v>
      </c>
      <c r="K1047" s="26" t="str">
        <f t="shared" si="170"/>
        <v>PR</v>
      </c>
      <c r="L1047" s="26" t="str">
        <f t="shared" si="171"/>
        <v>DGOSE</v>
      </c>
      <c r="M1047" s="26" t="str">
        <f t="shared" si="169"/>
        <v>FEDERAL</v>
      </c>
      <c r="N1047" s="26">
        <v>326</v>
      </c>
      <c r="O1047" s="26">
        <v>169</v>
      </c>
      <c r="P1047" s="26">
        <v>157</v>
      </c>
      <c r="Q1047" s="26">
        <v>12</v>
      </c>
      <c r="R1047" s="26">
        <v>1</v>
      </c>
      <c r="S1047" s="26">
        <v>11</v>
      </c>
      <c r="T1047" s="26">
        <v>9</v>
      </c>
      <c r="U1047" s="26">
        <v>21</v>
      </c>
      <c r="V1047" s="26">
        <v>1</v>
      </c>
      <c r="W1047" s="26"/>
    </row>
    <row r="1048" spans="1:23" x14ac:dyDescent="0.25">
      <c r="A1048" s="26" t="str">
        <f t="shared" si="167"/>
        <v>PRIMARIA</v>
      </c>
      <c r="B1048" s="26" t="str">
        <f>"09DPR2130V"</f>
        <v>09DPR2130V</v>
      </c>
      <c r="C1048" s="26" t="str">
        <f>"MTRO. ENRIQUE C. REBSAMEN                                                                           "</f>
        <v xml:space="preserve">MTRO. ENRIQUE C. REBSAMEN                                                                           </v>
      </c>
      <c r="D1048" s="26" t="str">
        <f>"MATUTINO"</f>
        <v>MATUTINO</v>
      </c>
      <c r="E1048" s="26" t="str">
        <f>"20 DE NOVIEMBRE S/N                                                             "</f>
        <v xml:space="preserve">20 DE NOVIEMBRE S/N                                                             </v>
      </c>
      <c r="F1048" s="26" t="str">
        <f>"25 DE JULIO                                                                                                                                 "</f>
        <v xml:space="preserve">25 DE JULIO                                                                                                                                 </v>
      </c>
      <c r="G1048" s="26" t="str">
        <f>"GUSTAVO A. MADERO                                                               "</f>
        <v xml:space="preserve">GUSTAVO A. MADERO                                                               </v>
      </c>
      <c r="H1048" s="26" t="str">
        <f>"261"</f>
        <v>261</v>
      </c>
      <c r="I1048" s="26" t="str">
        <f t="shared" si="168"/>
        <v>00</v>
      </c>
      <c r="J1048" s="26" t="str">
        <f t="shared" si="172"/>
        <v xml:space="preserve">42 </v>
      </c>
      <c r="K1048" s="26" t="str">
        <f t="shared" si="170"/>
        <v>PR</v>
      </c>
      <c r="L1048" s="26" t="str">
        <f t="shared" si="171"/>
        <v>DGOSE</v>
      </c>
      <c r="M1048" s="26" t="str">
        <f t="shared" si="169"/>
        <v>FEDERAL</v>
      </c>
      <c r="N1048" s="26">
        <v>369</v>
      </c>
      <c r="O1048" s="26">
        <v>175</v>
      </c>
      <c r="P1048" s="26">
        <v>194</v>
      </c>
      <c r="Q1048" s="26">
        <v>13</v>
      </c>
      <c r="R1048" s="26">
        <v>1</v>
      </c>
      <c r="S1048" s="26">
        <v>13</v>
      </c>
      <c r="T1048" s="26">
        <v>9</v>
      </c>
      <c r="U1048" s="26">
        <v>23</v>
      </c>
      <c r="V1048" s="26">
        <v>1</v>
      </c>
      <c r="W1048" s="26"/>
    </row>
    <row r="1049" spans="1:23" x14ac:dyDescent="0.25">
      <c r="A1049" s="26" t="str">
        <f t="shared" si="167"/>
        <v>PRIMARIA</v>
      </c>
      <c r="B1049" s="26" t="str">
        <f>"09DPR2131U"</f>
        <v>09DPR2131U</v>
      </c>
      <c r="C1049" s="26" t="str">
        <f>"MTRO. ENRIQUE C. REBSAMEN                                                                           "</f>
        <v xml:space="preserve">MTRO. ENRIQUE C. REBSAMEN                                                                           </v>
      </c>
      <c r="D1049" s="26" t="str">
        <f>"VESPERTINO"</f>
        <v>VESPERTINO</v>
      </c>
      <c r="E1049" s="26" t="str">
        <f>"20 DE NOVIEMBRE S/N                                                             "</f>
        <v xml:space="preserve">20 DE NOVIEMBRE S/N                                                             </v>
      </c>
      <c r="F1049" s="26" t="str">
        <f>"25 DE JULIO                                                                                                                                 "</f>
        <v xml:space="preserve">25 DE JULIO                                                                                                                                 </v>
      </c>
      <c r="G1049" s="26" t="str">
        <f>"GUSTAVO A. MADERO                                                               "</f>
        <v xml:space="preserve">GUSTAVO A. MADERO                                                               </v>
      </c>
      <c r="H1049" s="26" t="str">
        <f>"261"</f>
        <v>261</v>
      </c>
      <c r="I1049" s="26" t="str">
        <f t="shared" si="168"/>
        <v>00</v>
      </c>
      <c r="J1049" s="26" t="str">
        <f t="shared" si="172"/>
        <v xml:space="preserve">42 </v>
      </c>
      <c r="K1049" s="26" t="str">
        <f t="shared" si="170"/>
        <v>PR</v>
      </c>
      <c r="L1049" s="26" t="str">
        <f t="shared" si="171"/>
        <v>DGOSE</v>
      </c>
      <c r="M1049" s="26" t="str">
        <f t="shared" si="169"/>
        <v>FEDERAL</v>
      </c>
      <c r="N1049" s="26">
        <v>166</v>
      </c>
      <c r="O1049" s="26">
        <v>93</v>
      </c>
      <c r="P1049" s="26">
        <v>73</v>
      </c>
      <c r="Q1049" s="26">
        <v>7</v>
      </c>
      <c r="R1049" s="26">
        <v>1</v>
      </c>
      <c r="S1049" s="26">
        <v>7</v>
      </c>
      <c r="T1049" s="26">
        <v>6</v>
      </c>
      <c r="U1049" s="26">
        <v>14</v>
      </c>
      <c r="V1049" s="26">
        <v>1</v>
      </c>
      <c r="W1049" s="26"/>
    </row>
    <row r="1050" spans="1:23" x14ac:dyDescent="0.25">
      <c r="A1050" s="26" t="str">
        <f t="shared" si="167"/>
        <v>PRIMARIA</v>
      </c>
      <c r="B1050" s="26" t="str">
        <f>"09DPR2132T"</f>
        <v>09DPR2132T</v>
      </c>
      <c r="C1050" s="26" t="str">
        <f>"ESTADO DE GUANAJUATO                                                                                "</f>
        <v xml:space="preserve">ESTADO DE GUANAJUATO                                                                                </v>
      </c>
      <c r="D1050" s="26" t="str">
        <f>"VESPERTINO"</f>
        <v>VESPERTINO</v>
      </c>
      <c r="E1050" s="26" t="str">
        <f>"CAMPO MOLOACAN 16                                                               "</f>
        <v xml:space="preserve">CAMPO MOLOACAN 16                                                               </v>
      </c>
      <c r="F1050" s="26" t="str">
        <f>"REYNOSA TAMAULIPAS                                                                                                                          "</f>
        <v xml:space="preserve">REYNOSA TAMAULIPAS                                                                                                                          </v>
      </c>
      <c r="G1050" s="26" t="str">
        <f t="shared" ref="G1050:G1056" si="173">"AZCAPOTZALCO                                                                    "</f>
        <v xml:space="preserve">AZCAPOTZALCO                                                                    </v>
      </c>
      <c r="H1050" s="26" t="str">
        <f>"202"</f>
        <v>202</v>
      </c>
      <c r="I1050" s="26" t="str">
        <f t="shared" si="168"/>
        <v>00</v>
      </c>
      <c r="J1050" s="26" t="str">
        <f t="shared" si="172"/>
        <v xml:space="preserve">42 </v>
      </c>
      <c r="K1050" s="26" t="str">
        <f t="shared" si="170"/>
        <v>PR</v>
      </c>
      <c r="L1050" s="26" t="str">
        <f t="shared" si="171"/>
        <v>DGOSE</v>
      </c>
      <c r="M1050" s="26" t="str">
        <f t="shared" si="169"/>
        <v>FEDERAL</v>
      </c>
      <c r="N1050" s="26">
        <v>142</v>
      </c>
      <c r="O1050" s="26">
        <v>71</v>
      </c>
      <c r="P1050" s="26">
        <v>71</v>
      </c>
      <c r="Q1050" s="26">
        <v>6</v>
      </c>
      <c r="R1050" s="26">
        <v>1</v>
      </c>
      <c r="S1050" s="26">
        <v>6</v>
      </c>
      <c r="T1050" s="26">
        <v>6</v>
      </c>
      <c r="U1050" s="26">
        <v>13</v>
      </c>
      <c r="V1050" s="26">
        <v>1</v>
      </c>
      <c r="W1050" s="26"/>
    </row>
    <row r="1051" spans="1:23" x14ac:dyDescent="0.25">
      <c r="A1051" s="26" t="str">
        <f t="shared" si="167"/>
        <v>PRIMARIA</v>
      </c>
      <c r="B1051" s="26" t="str">
        <f>"09DPR2133S"</f>
        <v>09DPR2133S</v>
      </c>
      <c r="C1051" s="26" t="str">
        <f>"OBRERO MEXICANO                                                                                     "</f>
        <v xml:space="preserve">OBRERO MEXICANO                                                                                     </v>
      </c>
      <c r="D1051" s="26" t="str">
        <f>"MATUTINO"</f>
        <v>MATUTINO</v>
      </c>
      <c r="E1051" s="26" t="str">
        <f>"AV. CEYLAN Y PONIENTE 146 S/N                                                   "</f>
        <v xml:space="preserve">AV. CEYLAN Y PONIENTE 146 S/N                                                   </v>
      </c>
      <c r="F1051" s="26" t="str">
        <f>"FERRERIA                                                                                                                                    "</f>
        <v xml:space="preserve">FERRERIA                                                                                                                                    </v>
      </c>
      <c r="G1051" s="26" t="str">
        <f t="shared" si="173"/>
        <v xml:space="preserve">AZCAPOTZALCO                                                                    </v>
      </c>
      <c r="H1051" s="26" t="str">
        <f>"207"</f>
        <v>207</v>
      </c>
      <c r="I1051" s="26" t="str">
        <f t="shared" si="168"/>
        <v>00</v>
      </c>
      <c r="J1051" s="26" t="str">
        <f t="shared" si="172"/>
        <v xml:space="preserve">42 </v>
      </c>
      <c r="K1051" s="26" t="str">
        <f t="shared" si="170"/>
        <v>PR</v>
      </c>
      <c r="L1051" s="26" t="str">
        <f t="shared" si="171"/>
        <v>DGOSE</v>
      </c>
      <c r="M1051" s="26" t="str">
        <f t="shared" si="169"/>
        <v>FEDERAL</v>
      </c>
      <c r="N1051" s="26">
        <v>489</v>
      </c>
      <c r="O1051" s="26">
        <v>254</v>
      </c>
      <c r="P1051" s="26">
        <v>235</v>
      </c>
      <c r="Q1051" s="26">
        <v>18</v>
      </c>
      <c r="R1051" s="26">
        <v>1</v>
      </c>
      <c r="S1051" s="26">
        <v>18</v>
      </c>
      <c r="T1051" s="26">
        <v>8</v>
      </c>
      <c r="U1051" s="26">
        <v>27</v>
      </c>
      <c r="V1051" s="26">
        <v>1</v>
      </c>
      <c r="W1051" s="26"/>
    </row>
    <row r="1052" spans="1:23" x14ac:dyDescent="0.25">
      <c r="A1052" s="26" t="str">
        <f t="shared" si="167"/>
        <v>PRIMARIA</v>
      </c>
      <c r="B1052" s="26" t="str">
        <f>"09DPR2134R"</f>
        <v>09DPR2134R</v>
      </c>
      <c r="C1052" s="26" t="str">
        <f>"MARTIRES DEL AGRARISMO                                                                              "</f>
        <v xml:space="preserve">MARTIRES DEL AGRARISMO                                                                              </v>
      </c>
      <c r="D1052" s="26" t="str">
        <f>"VESPERTINO"</f>
        <v>VESPERTINO</v>
      </c>
      <c r="E1052" s="26" t="str">
        <f>"CALZ SAN ISIDRO Y FRANCITA S/N                                                  "</f>
        <v xml:space="preserve">CALZ SAN ISIDRO Y FRANCITA S/N                                                  </v>
      </c>
      <c r="F1052" s="26" t="str">
        <f>"PETROLERA                                                                                                                                   "</f>
        <v xml:space="preserve">PETROLERA                                                                                                                                   </v>
      </c>
      <c r="G1052" s="26" t="str">
        <f t="shared" si="173"/>
        <v xml:space="preserve">AZCAPOTZALCO                                                                    </v>
      </c>
      <c r="H1052" s="26" t="str">
        <f>"204"</f>
        <v>204</v>
      </c>
      <c r="I1052" s="26" t="str">
        <f t="shared" si="168"/>
        <v>00</v>
      </c>
      <c r="J1052" s="26" t="str">
        <f t="shared" si="172"/>
        <v xml:space="preserve">42 </v>
      </c>
      <c r="K1052" s="26" t="str">
        <f t="shared" si="170"/>
        <v>PR</v>
      </c>
      <c r="L1052" s="26" t="str">
        <f t="shared" si="171"/>
        <v>DGOSE</v>
      </c>
      <c r="M1052" s="26" t="str">
        <f t="shared" si="169"/>
        <v>FEDERAL</v>
      </c>
      <c r="N1052" s="26">
        <v>41</v>
      </c>
      <c r="O1052" s="26">
        <v>24</v>
      </c>
      <c r="P1052" s="26">
        <v>17</v>
      </c>
      <c r="Q1052" s="26">
        <v>4</v>
      </c>
      <c r="R1052" s="26">
        <v>1</v>
      </c>
      <c r="S1052" s="26">
        <v>2</v>
      </c>
      <c r="T1052" s="26">
        <v>6</v>
      </c>
      <c r="U1052" s="26">
        <v>9</v>
      </c>
      <c r="V1052" s="26">
        <v>1</v>
      </c>
      <c r="W1052" s="26"/>
    </row>
    <row r="1053" spans="1:23" x14ac:dyDescent="0.25">
      <c r="A1053" s="26" t="str">
        <f t="shared" si="167"/>
        <v>PRIMARIA</v>
      </c>
      <c r="B1053" s="26" t="str">
        <f>"09DPR2135Q"</f>
        <v>09DPR2135Q</v>
      </c>
      <c r="C1053" s="26" t="str">
        <f>"REPUBLICA MEXICANA                                                                                  "</f>
        <v xml:space="preserve">REPUBLICA MEXICANA                                                                                  </v>
      </c>
      <c r="D1053" s="26" t="str">
        <f>"MATUTINO"</f>
        <v>MATUTINO</v>
      </c>
      <c r="E1053" s="26" t="str">
        <f>"CAMPOS TASAJERAS Y VERDE S/N                                                    "</f>
        <v xml:space="preserve">CAMPOS TASAJERAS Y VERDE S/N                                                    </v>
      </c>
      <c r="F1053" s="26" t="str">
        <f>"PETROLERA AMPLIACION                                                                                                                        "</f>
        <v xml:space="preserve">PETROLERA AMPLIACION                                                                                                                        </v>
      </c>
      <c r="G1053" s="26" t="str">
        <f t="shared" si="173"/>
        <v xml:space="preserve">AZCAPOTZALCO                                                                    </v>
      </c>
      <c r="H1053" s="26" t="str">
        <f>"203"</f>
        <v>203</v>
      </c>
      <c r="I1053" s="26" t="str">
        <f t="shared" si="168"/>
        <v>00</v>
      </c>
      <c r="J1053" s="26" t="str">
        <f t="shared" si="172"/>
        <v xml:space="preserve">42 </v>
      </c>
      <c r="K1053" s="26" t="str">
        <f t="shared" si="170"/>
        <v>PR</v>
      </c>
      <c r="L1053" s="26" t="str">
        <f t="shared" si="171"/>
        <v>DGOSE</v>
      </c>
      <c r="M1053" s="26" t="str">
        <f t="shared" si="169"/>
        <v>FEDERAL</v>
      </c>
      <c r="N1053" s="26">
        <v>240</v>
      </c>
      <c r="O1053" s="26">
        <v>122</v>
      </c>
      <c r="P1053" s="26">
        <v>118</v>
      </c>
      <c r="Q1053" s="26">
        <v>9</v>
      </c>
      <c r="R1053" s="26">
        <v>1</v>
      </c>
      <c r="S1053" s="26">
        <v>9</v>
      </c>
      <c r="T1053" s="26">
        <v>9</v>
      </c>
      <c r="U1053" s="26">
        <v>19</v>
      </c>
      <c r="V1053" s="26">
        <v>1</v>
      </c>
      <c r="W1053" s="26"/>
    </row>
    <row r="1054" spans="1:23" x14ac:dyDescent="0.25">
      <c r="A1054" s="26" t="str">
        <f t="shared" si="167"/>
        <v>PRIMARIA</v>
      </c>
      <c r="B1054" s="26" t="str">
        <f>"09DPR2136P"</f>
        <v>09DPR2136P</v>
      </c>
      <c r="C1054" s="26" t="str">
        <f>"REPUBLICA MEXICANA                                                                                  "</f>
        <v xml:space="preserve">REPUBLICA MEXICANA                                                                                  </v>
      </c>
      <c r="D1054" s="26" t="str">
        <f>"VESPERTINO"</f>
        <v>VESPERTINO</v>
      </c>
      <c r="E1054" s="26" t="str">
        <f>"CAMPOS TASAJERAS Y VERDE S/N                                                    "</f>
        <v xml:space="preserve">CAMPOS TASAJERAS Y VERDE S/N                                                    </v>
      </c>
      <c r="F1054" s="26" t="str">
        <f>"PETROLERA AMPLIACION                                                                                                                        "</f>
        <v xml:space="preserve">PETROLERA AMPLIACION                                                                                                                        </v>
      </c>
      <c r="G1054" s="26" t="str">
        <f t="shared" si="173"/>
        <v xml:space="preserve">AZCAPOTZALCO                                                                    </v>
      </c>
      <c r="H1054" s="26" t="str">
        <f>"203"</f>
        <v>203</v>
      </c>
      <c r="I1054" s="26" t="str">
        <f t="shared" si="168"/>
        <v>00</v>
      </c>
      <c r="J1054" s="26" t="str">
        <f t="shared" si="172"/>
        <v xml:space="preserve">42 </v>
      </c>
      <c r="K1054" s="26" t="str">
        <f t="shared" si="170"/>
        <v>PR</v>
      </c>
      <c r="L1054" s="26" t="str">
        <f t="shared" si="171"/>
        <v>DGOSE</v>
      </c>
      <c r="M1054" s="26" t="str">
        <f t="shared" si="169"/>
        <v>FEDERAL</v>
      </c>
      <c r="N1054" s="26">
        <v>110</v>
      </c>
      <c r="O1054" s="26">
        <v>60</v>
      </c>
      <c r="P1054" s="26">
        <v>50</v>
      </c>
      <c r="Q1054" s="26">
        <v>11</v>
      </c>
      <c r="R1054" s="26">
        <v>1</v>
      </c>
      <c r="S1054" s="26">
        <v>9</v>
      </c>
      <c r="T1054" s="26">
        <v>8</v>
      </c>
      <c r="U1054" s="26">
        <v>18</v>
      </c>
      <c r="V1054" s="26">
        <v>1</v>
      </c>
      <c r="W1054" s="26"/>
    </row>
    <row r="1055" spans="1:23" x14ac:dyDescent="0.25">
      <c r="A1055" s="26" t="str">
        <f t="shared" si="167"/>
        <v>PRIMARIA</v>
      </c>
      <c r="B1055" s="26" t="str">
        <f>"09DPR2138N"</f>
        <v>09DPR2138N</v>
      </c>
      <c r="C1055" s="26" t="str">
        <f>"14 DE JULIO                                                                                         "</f>
        <v xml:space="preserve">14 DE JULIO                                                                                         </v>
      </c>
      <c r="D1055" s="26" t="str">
        <f>"JORNADA AMPLIADA"</f>
        <v>JORNADA AMPLIADA</v>
      </c>
      <c r="E1055" s="26" t="str">
        <f>"PRIVADA DE JORULLO S/N                                                          "</f>
        <v xml:space="preserve">PRIVADA DE JORULLO S/N                                                          </v>
      </c>
      <c r="F1055" s="26" t="str">
        <f>"DEL GAS                                                                                                                                     "</f>
        <v xml:space="preserve">DEL GAS                                                                                                                                     </v>
      </c>
      <c r="G1055" s="26" t="str">
        <f t="shared" si="173"/>
        <v xml:space="preserve">AZCAPOTZALCO                                                                    </v>
      </c>
      <c r="H1055" s="26" t="str">
        <f>"108"</f>
        <v>108</v>
      </c>
      <c r="I1055" s="26" t="str">
        <f t="shared" si="168"/>
        <v>00</v>
      </c>
      <c r="J1055" s="26" t="str">
        <f>"41 "</f>
        <v xml:space="preserve">41 </v>
      </c>
      <c r="K1055" s="26" t="str">
        <f t="shared" si="170"/>
        <v>PR</v>
      </c>
      <c r="L1055" s="26" t="str">
        <f t="shared" si="171"/>
        <v>DGOSE</v>
      </c>
      <c r="M1055" s="26" t="str">
        <f t="shared" si="169"/>
        <v>FEDERAL</v>
      </c>
      <c r="N1055" s="26">
        <v>179</v>
      </c>
      <c r="O1055" s="26">
        <v>99</v>
      </c>
      <c r="P1055" s="26">
        <v>80</v>
      </c>
      <c r="Q1055" s="26">
        <v>8</v>
      </c>
      <c r="R1055" s="26">
        <v>1</v>
      </c>
      <c r="S1055" s="26">
        <v>8</v>
      </c>
      <c r="T1055" s="26">
        <v>5</v>
      </c>
      <c r="U1055" s="26">
        <v>14</v>
      </c>
      <c r="V1055" s="26">
        <v>1</v>
      </c>
      <c r="W1055" s="26" t="s">
        <v>2076</v>
      </c>
    </row>
    <row r="1056" spans="1:23" x14ac:dyDescent="0.25">
      <c r="A1056" s="26" t="str">
        <f t="shared" si="167"/>
        <v>PRIMARIA</v>
      </c>
      <c r="B1056" s="26" t="str">
        <f>"09DPR2140B"</f>
        <v>09DPR2140B</v>
      </c>
      <c r="C1056" s="26" t="str">
        <f>"EMILIANO ZAPATA                                                                                     "</f>
        <v xml:space="preserve">EMILIANO ZAPATA                                                                                     </v>
      </c>
      <c r="D1056" s="26" t="str">
        <f>"JORNADA AMPLIADA"</f>
        <v>JORNADA AMPLIADA</v>
      </c>
      <c r="E1056" s="26" t="str">
        <f>"PROLONGACION SABINO S/N                                                         "</f>
        <v xml:space="preserve">PROLONGACION SABINO S/N                                                         </v>
      </c>
      <c r="F1056" s="26" t="str">
        <f>"DEL GAS                                                                                                                                     "</f>
        <v xml:space="preserve">DEL GAS                                                                                                                                     </v>
      </c>
      <c r="G1056" s="26" t="str">
        <f t="shared" si="173"/>
        <v xml:space="preserve">AZCAPOTZALCO                                                                    </v>
      </c>
      <c r="H1056" s="26" t="str">
        <f>"108"</f>
        <v>108</v>
      </c>
      <c r="I1056" s="26" t="str">
        <f t="shared" si="168"/>
        <v>00</v>
      </c>
      <c r="J1056" s="26" t="str">
        <f>"41 "</f>
        <v xml:space="preserve">41 </v>
      </c>
      <c r="K1056" s="26" t="str">
        <f t="shared" si="170"/>
        <v>PR</v>
      </c>
      <c r="L1056" s="26" t="str">
        <f t="shared" si="171"/>
        <v>DGOSE</v>
      </c>
      <c r="M1056" s="26" t="str">
        <f t="shared" si="169"/>
        <v>FEDERAL</v>
      </c>
      <c r="N1056" s="26">
        <v>349</v>
      </c>
      <c r="O1056" s="26">
        <v>173</v>
      </c>
      <c r="P1056" s="26">
        <v>176</v>
      </c>
      <c r="Q1056" s="26">
        <v>16</v>
      </c>
      <c r="R1056" s="26">
        <v>1</v>
      </c>
      <c r="S1056" s="26">
        <v>16</v>
      </c>
      <c r="T1056" s="26">
        <v>12</v>
      </c>
      <c r="U1056" s="26">
        <v>29</v>
      </c>
      <c r="V1056" s="26">
        <v>1</v>
      </c>
      <c r="W1056" s="26" t="s">
        <v>2076</v>
      </c>
    </row>
    <row r="1057" spans="1:23" x14ac:dyDescent="0.25">
      <c r="A1057" s="26" t="str">
        <f t="shared" si="167"/>
        <v>PRIMARIA</v>
      </c>
      <c r="B1057" s="26" t="str">
        <f>"09DPR2141A"</f>
        <v>09DPR2141A</v>
      </c>
      <c r="C1057" s="26" t="str">
        <f>"MIGUEL HIDALGO                                                                                      "</f>
        <v xml:space="preserve">MIGUEL HIDALGO                                                                                      </v>
      </c>
      <c r="D1057" s="26" t="str">
        <f>"TIEMPO COMPLETO"</f>
        <v>TIEMPO COMPLETO</v>
      </c>
      <c r="E1057" s="26" t="str">
        <f>"CALZ. MEXICO TACUBA NUM 479                                                     "</f>
        <v xml:space="preserve">CALZ. MEXICO TACUBA NUM 479                                                     </v>
      </c>
      <c r="F1057" s="26" t="str">
        <f>"POPOTLA                                                                                                                                     "</f>
        <v xml:space="preserve">POPOTLA                                                                                                                                     </v>
      </c>
      <c r="G1057" s="26" t="str">
        <f>"MIGUEL HIDALGO                                                                  "</f>
        <v xml:space="preserve">MIGUEL HIDALGO                                                                  </v>
      </c>
      <c r="H1057" s="26" t="str">
        <f>"115"</f>
        <v>115</v>
      </c>
      <c r="I1057" s="26" t="str">
        <f t="shared" si="168"/>
        <v>00</v>
      </c>
      <c r="J1057" s="26" t="str">
        <f>"41 "</f>
        <v xml:space="preserve">41 </v>
      </c>
      <c r="K1057" s="26" t="str">
        <f t="shared" si="170"/>
        <v>PR</v>
      </c>
      <c r="L1057" s="26" t="str">
        <f t="shared" si="171"/>
        <v>DGOSE</v>
      </c>
      <c r="M1057" s="26" t="str">
        <f t="shared" si="169"/>
        <v>FEDERAL</v>
      </c>
      <c r="N1057" s="26">
        <v>347</v>
      </c>
      <c r="O1057" s="26">
        <v>186</v>
      </c>
      <c r="P1057" s="26">
        <v>161</v>
      </c>
      <c r="Q1057" s="26">
        <v>13</v>
      </c>
      <c r="R1057" s="26">
        <v>1</v>
      </c>
      <c r="S1057" s="26">
        <v>13</v>
      </c>
      <c r="T1057" s="26">
        <v>18</v>
      </c>
      <c r="U1057" s="26">
        <v>32</v>
      </c>
      <c r="V1057" s="26">
        <v>1</v>
      </c>
      <c r="W1057" s="26" t="s">
        <v>218</v>
      </c>
    </row>
    <row r="1058" spans="1:23" x14ac:dyDescent="0.25">
      <c r="A1058" s="26" t="str">
        <f t="shared" si="167"/>
        <v>PRIMARIA</v>
      </c>
      <c r="B1058" s="26" t="str">
        <f>"09DPR2142Z"</f>
        <v>09DPR2142Z</v>
      </c>
      <c r="C1058" s="26" t="str">
        <f>"EJERCITO MEXICANO                                                                                   "</f>
        <v xml:space="preserve">EJERCITO MEXICANO                                                                                   </v>
      </c>
      <c r="D1058" s="26" t="str">
        <f>"TIEMPO COMPLETO"</f>
        <v>TIEMPO COMPLETO</v>
      </c>
      <c r="E1058" s="26" t="str">
        <f>"AV. CONSCRIPTO PTA. 9 C.M. 1                                                    "</f>
        <v xml:space="preserve">AV. CONSCRIPTO PTA. 9 C.M. 1                                                    </v>
      </c>
      <c r="F1058" s="26" t="str">
        <f>"LOMAS DE SOTELO                                                                                                                             "</f>
        <v xml:space="preserve">LOMAS DE SOTELO                                                                                                                             </v>
      </c>
      <c r="G1058" s="26" t="str">
        <f>"MIGUEL HIDALGO                                                                  "</f>
        <v xml:space="preserve">MIGUEL HIDALGO                                                                  </v>
      </c>
      <c r="H1058" s="26" t="str">
        <f>"111"</f>
        <v>111</v>
      </c>
      <c r="I1058" s="26" t="str">
        <f t="shared" si="168"/>
        <v>00</v>
      </c>
      <c r="J1058" s="26" t="str">
        <f>"41 "</f>
        <v xml:space="preserve">41 </v>
      </c>
      <c r="K1058" s="26" t="str">
        <f t="shared" si="170"/>
        <v>PR</v>
      </c>
      <c r="L1058" s="26" t="str">
        <f t="shared" si="171"/>
        <v>DGOSE</v>
      </c>
      <c r="M1058" s="26" t="str">
        <f t="shared" si="169"/>
        <v>FEDERAL</v>
      </c>
      <c r="N1058" s="26">
        <v>412</v>
      </c>
      <c r="O1058" s="26">
        <v>213</v>
      </c>
      <c r="P1058" s="26">
        <v>199</v>
      </c>
      <c r="Q1058" s="26">
        <v>12</v>
      </c>
      <c r="R1058" s="26">
        <v>1</v>
      </c>
      <c r="S1058" s="26">
        <v>12</v>
      </c>
      <c r="T1058" s="26">
        <v>9</v>
      </c>
      <c r="U1058" s="26">
        <v>22</v>
      </c>
      <c r="V1058" s="26">
        <v>1</v>
      </c>
      <c r="W1058" s="26" t="s">
        <v>218</v>
      </c>
    </row>
    <row r="1059" spans="1:23" x14ac:dyDescent="0.25">
      <c r="A1059" s="26" t="str">
        <f t="shared" si="167"/>
        <v>PRIMARIA</v>
      </c>
      <c r="B1059" s="26" t="str">
        <f>"09DPR2143Z"</f>
        <v>09DPR2143Z</v>
      </c>
      <c r="C1059" s="26" t="str">
        <f>"PROFR. TEODORO MONTIEL                                                                              "</f>
        <v xml:space="preserve">PROFR. TEODORO MONTIEL                                                                              </v>
      </c>
      <c r="D1059" s="26" t="str">
        <f>"VESPERTINO"</f>
        <v>VESPERTINO</v>
      </c>
      <c r="E1059" s="26" t="str">
        <f>"CUAUHTEMOC NO 20                                                                "</f>
        <v xml:space="preserve">CUAUHTEMOC NO 20                                                                </v>
      </c>
      <c r="F1059" s="26" t="str">
        <f>"ARAGON                                                                                                                                      "</f>
        <v xml:space="preserve">ARAGON                                                                                                                                      </v>
      </c>
      <c r="G1059" s="26" t="str">
        <f>"GUSTAVO A. MADERO                                                               "</f>
        <v xml:space="preserve">GUSTAVO A. MADERO                                                               </v>
      </c>
      <c r="H1059" s="26" t="str">
        <f>"245"</f>
        <v>245</v>
      </c>
      <c r="I1059" s="26" t="str">
        <f t="shared" si="168"/>
        <v>00</v>
      </c>
      <c r="J1059" s="26" t="str">
        <f>"42 "</f>
        <v xml:space="preserve">42 </v>
      </c>
      <c r="K1059" s="26" t="str">
        <f t="shared" si="170"/>
        <v>PR</v>
      </c>
      <c r="L1059" s="26" t="str">
        <f t="shared" si="171"/>
        <v>DGOSE</v>
      </c>
      <c r="M1059" s="26" t="str">
        <f t="shared" si="169"/>
        <v>FEDERAL</v>
      </c>
      <c r="N1059" s="26">
        <v>32</v>
      </c>
      <c r="O1059" s="26">
        <v>15</v>
      </c>
      <c r="P1059" s="26">
        <v>17</v>
      </c>
      <c r="Q1059" s="26">
        <v>5</v>
      </c>
      <c r="R1059" s="26">
        <v>1</v>
      </c>
      <c r="S1059" s="26">
        <v>5</v>
      </c>
      <c r="T1059" s="26">
        <v>4</v>
      </c>
      <c r="U1059" s="26">
        <v>10</v>
      </c>
      <c r="V1059" s="26">
        <v>1</v>
      </c>
      <c r="W1059" s="26"/>
    </row>
    <row r="1060" spans="1:23" x14ac:dyDescent="0.25">
      <c r="A1060" s="26" t="str">
        <f t="shared" si="167"/>
        <v>PRIMARIA</v>
      </c>
      <c r="B1060" s="26" t="str">
        <f>"09DPR2144Y"</f>
        <v>09DPR2144Y</v>
      </c>
      <c r="C1060" s="26" t="str">
        <f>"MARGARITA MAZA DE JUAREZ                                                                            "</f>
        <v xml:space="preserve">MARGARITA MAZA DE JUAREZ                                                                            </v>
      </c>
      <c r="D1060" s="26" t="str">
        <f>"JORNADA AMPLIADA"</f>
        <v>JORNADA AMPLIADA</v>
      </c>
      <c r="E1060" s="26" t="str">
        <f>"ALFONSO HERRERA NUM 2                                                           "</f>
        <v xml:space="preserve">ALFONSO HERRERA NUM 2                                                           </v>
      </c>
      <c r="F1060" s="26" t="str">
        <f>"SAN RAFAEL                                                                                                                                  "</f>
        <v xml:space="preserve">SAN RAFAEL                                                                                                                                  </v>
      </c>
      <c r="G1060" s="26" t="str">
        <f>"CUAUHTEMOC                                                                      "</f>
        <v xml:space="preserve">CUAUHTEMOC                                                                      </v>
      </c>
      <c r="H1060" s="26" t="str">
        <f>"123"</f>
        <v>123</v>
      </c>
      <c r="I1060" s="26" t="str">
        <f t="shared" si="168"/>
        <v>00</v>
      </c>
      <c r="J1060" s="26" t="str">
        <f>"41 "</f>
        <v xml:space="preserve">41 </v>
      </c>
      <c r="K1060" s="26" t="str">
        <f t="shared" si="170"/>
        <v>PR</v>
      </c>
      <c r="L1060" s="26" t="str">
        <f t="shared" si="171"/>
        <v>DGOSE</v>
      </c>
      <c r="M1060" s="26" t="str">
        <f t="shared" si="169"/>
        <v>FEDERAL</v>
      </c>
      <c r="N1060" s="26">
        <v>516</v>
      </c>
      <c r="O1060" s="26">
        <v>250</v>
      </c>
      <c r="P1060" s="26">
        <v>266</v>
      </c>
      <c r="Q1060" s="26">
        <v>19</v>
      </c>
      <c r="R1060" s="26">
        <v>1</v>
      </c>
      <c r="S1060" s="26">
        <v>19</v>
      </c>
      <c r="T1060" s="26">
        <v>15</v>
      </c>
      <c r="U1060" s="26">
        <v>35</v>
      </c>
      <c r="V1060" s="26">
        <v>1</v>
      </c>
      <c r="W1060" s="26" t="s">
        <v>2076</v>
      </c>
    </row>
    <row r="1061" spans="1:23" x14ac:dyDescent="0.25">
      <c r="A1061" s="26" t="str">
        <f t="shared" si="167"/>
        <v>PRIMARIA</v>
      </c>
      <c r="B1061" s="26" t="str">
        <f>"09DPR2145X"</f>
        <v>09DPR2145X</v>
      </c>
      <c r="C1061" s="26" t="str">
        <f>"JUAN AMOS COMENIO                                                                                   "</f>
        <v xml:space="preserve">JUAN AMOS COMENIO                                                                                   </v>
      </c>
      <c r="D1061" s="26" t="str">
        <f>"JORNADA AMPLIADA"</f>
        <v>JORNADA AMPLIADA</v>
      </c>
      <c r="E1061" s="26" t="str">
        <f>"PRESA FALCON Y RIO SAN JOAQUIN                                                  "</f>
        <v xml:space="preserve">PRESA FALCON Y RIO SAN JOAQUIN                                                  </v>
      </c>
      <c r="F1061" s="26" t="str">
        <f>"IRRIGACION                                                                                                                                  "</f>
        <v xml:space="preserve">IRRIGACION                                                                                                                                  </v>
      </c>
      <c r="G1061" s="26" t="str">
        <f>"MIGUEL HIDALGO                                                                  "</f>
        <v xml:space="preserve">MIGUEL HIDALGO                                                                  </v>
      </c>
      <c r="H1061" s="26" t="str">
        <f>"113"</f>
        <v>113</v>
      </c>
      <c r="I1061" s="26" t="str">
        <f t="shared" si="168"/>
        <v>00</v>
      </c>
      <c r="J1061" s="26" t="str">
        <f>"41 "</f>
        <v xml:space="preserve">41 </v>
      </c>
      <c r="K1061" s="26" t="str">
        <f t="shared" si="170"/>
        <v>PR</v>
      </c>
      <c r="L1061" s="26" t="str">
        <f t="shared" si="171"/>
        <v>DGOSE</v>
      </c>
      <c r="M1061" s="26" t="str">
        <f t="shared" si="169"/>
        <v>FEDERAL</v>
      </c>
      <c r="N1061" s="26">
        <v>301</v>
      </c>
      <c r="O1061" s="26">
        <v>158</v>
      </c>
      <c r="P1061" s="26">
        <v>143</v>
      </c>
      <c r="Q1061" s="26">
        <v>12</v>
      </c>
      <c r="R1061" s="26">
        <v>1</v>
      </c>
      <c r="S1061" s="26">
        <v>12</v>
      </c>
      <c r="T1061" s="26">
        <v>10</v>
      </c>
      <c r="U1061" s="26">
        <v>23</v>
      </c>
      <c r="V1061" s="26">
        <v>1</v>
      </c>
      <c r="W1061" s="26" t="s">
        <v>2076</v>
      </c>
    </row>
    <row r="1062" spans="1:23" x14ac:dyDescent="0.25">
      <c r="A1062" s="26" t="str">
        <f t="shared" si="167"/>
        <v>PRIMARIA</v>
      </c>
      <c r="B1062" s="26" t="str">
        <f>"09DPR2146W"</f>
        <v>09DPR2146W</v>
      </c>
      <c r="C1062" s="26" t="str">
        <f>"REPUBLICA DE PANAMA                                                                                 "</f>
        <v xml:space="preserve">REPUBLICA DE PANAMA                                                                                 </v>
      </c>
      <c r="D1062" s="26" t="str">
        <f>"MATUTINO"</f>
        <v>MATUTINO</v>
      </c>
      <c r="E1062" s="26" t="str">
        <f>"CARMEN 39                                                                       "</f>
        <v xml:space="preserve">CARMEN 39                                                                       </v>
      </c>
      <c r="F1062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1062" s="26" t="str">
        <f>"CUAUHTEMOC                                                                      "</f>
        <v xml:space="preserve">CUAUHTEMOC                                                                      </v>
      </c>
      <c r="H1062" s="26" t="str">
        <f>"216"</f>
        <v>216</v>
      </c>
      <c r="I1062" s="26" t="str">
        <f t="shared" si="168"/>
        <v>00</v>
      </c>
      <c r="J1062" s="26" t="str">
        <f>"42 "</f>
        <v xml:space="preserve">42 </v>
      </c>
      <c r="K1062" s="26" t="str">
        <f t="shared" si="170"/>
        <v>PR</v>
      </c>
      <c r="L1062" s="26" t="str">
        <f t="shared" si="171"/>
        <v>DGOSE</v>
      </c>
      <c r="M1062" s="26" t="str">
        <f t="shared" si="169"/>
        <v>FEDERAL</v>
      </c>
      <c r="N1062" s="26">
        <v>265</v>
      </c>
      <c r="O1062" s="26">
        <v>133</v>
      </c>
      <c r="P1062" s="26">
        <v>132</v>
      </c>
      <c r="Q1062" s="26">
        <v>12</v>
      </c>
      <c r="R1062" s="26">
        <v>1</v>
      </c>
      <c r="S1062" s="26">
        <v>12</v>
      </c>
      <c r="T1062" s="26">
        <v>7</v>
      </c>
      <c r="U1062" s="26">
        <v>20</v>
      </c>
      <c r="V1062" s="26">
        <v>1</v>
      </c>
      <c r="W1062" s="26"/>
    </row>
    <row r="1063" spans="1:23" x14ac:dyDescent="0.25">
      <c r="A1063" s="26" t="str">
        <f t="shared" si="167"/>
        <v>PRIMARIA</v>
      </c>
      <c r="B1063" s="26" t="str">
        <f>"09DPR2147V"</f>
        <v>09DPR2147V</v>
      </c>
      <c r="C1063" s="26" t="str">
        <f>"FERNANDO MONTES DE OCA                                                                              "</f>
        <v xml:space="preserve">FERNANDO MONTES DE OCA                                                                              </v>
      </c>
      <c r="D1063" s="26" t="str">
        <f>"JORNADA AMPLIADA"</f>
        <v>JORNADA AMPLIADA</v>
      </c>
      <c r="E1063" s="26" t="str">
        <f>"AV VICTOR HERNANDEZ COVARRUBIAS S/N                                             "</f>
        <v xml:space="preserve">AV VICTOR HERNANDEZ COVARRUBIAS S/N                                             </v>
      </c>
      <c r="F1063" s="26" t="str">
        <f>"PRESIDENTE MADERO                                                                                                                           "</f>
        <v xml:space="preserve">PRESIDENTE MADERO                                                                                                                           </v>
      </c>
      <c r="G1063" s="26" t="str">
        <f>"AZCAPOTZALCO                                                                    "</f>
        <v xml:space="preserve">AZCAPOTZALCO                                                                    </v>
      </c>
      <c r="H1063" s="26" t="str">
        <f>"101"</f>
        <v>101</v>
      </c>
      <c r="I1063" s="26" t="str">
        <f t="shared" si="168"/>
        <v>00</v>
      </c>
      <c r="J1063" s="26" t="str">
        <f>"41 "</f>
        <v xml:space="preserve">41 </v>
      </c>
      <c r="K1063" s="26" t="str">
        <f t="shared" si="170"/>
        <v>PR</v>
      </c>
      <c r="L1063" s="26" t="str">
        <f t="shared" si="171"/>
        <v>DGOSE</v>
      </c>
      <c r="M1063" s="26" t="str">
        <f t="shared" si="169"/>
        <v>FEDERAL</v>
      </c>
      <c r="N1063" s="26">
        <v>298</v>
      </c>
      <c r="O1063" s="26">
        <v>147</v>
      </c>
      <c r="P1063" s="26">
        <v>151</v>
      </c>
      <c r="Q1063" s="26">
        <v>10</v>
      </c>
      <c r="R1063" s="26">
        <v>1</v>
      </c>
      <c r="S1063" s="26">
        <v>10</v>
      </c>
      <c r="T1063" s="26">
        <v>10</v>
      </c>
      <c r="U1063" s="26">
        <v>21</v>
      </c>
      <c r="V1063" s="26">
        <v>1</v>
      </c>
      <c r="W1063" s="26" t="s">
        <v>2076</v>
      </c>
    </row>
    <row r="1064" spans="1:23" x14ac:dyDescent="0.25">
      <c r="A1064" s="26" t="str">
        <f t="shared" si="167"/>
        <v>PRIMARIA</v>
      </c>
      <c r="B1064" s="26" t="str">
        <f>"09DPR2148U"</f>
        <v>09DPR2148U</v>
      </c>
      <c r="C1064" s="26" t="str">
        <f>"MAGISTERIO MEXICANO                                                                                 "</f>
        <v xml:space="preserve">MAGISTERIO MEXICANO                                                                                 </v>
      </c>
      <c r="D1064" s="26" t="str">
        <f>"MATUTINO"</f>
        <v>MATUTINO</v>
      </c>
      <c r="E1064" s="26" t="str">
        <f>"TLAHUICAS S/N Y TOTONACAS                                                       "</f>
        <v xml:space="preserve">TLAHUICAS S/N Y TOTONACAS                                                       </v>
      </c>
      <c r="F1064" s="26" t="str">
        <f>"TEZOZOMOC                                                                                                                                   "</f>
        <v xml:space="preserve">TEZOZOMOC                                                                                                                                   </v>
      </c>
      <c r="G1064" s="26" t="str">
        <f>"AZCAPOTZALCO                                                                    "</f>
        <v xml:space="preserve">AZCAPOTZALCO                                                                    </v>
      </c>
      <c r="H1064" s="26" t="str">
        <f>"204"</f>
        <v>204</v>
      </c>
      <c r="I1064" s="26" t="str">
        <f t="shared" si="168"/>
        <v>00</v>
      </c>
      <c r="J1064" s="26" t="str">
        <f>"42 "</f>
        <v xml:space="preserve">42 </v>
      </c>
      <c r="K1064" s="26" t="str">
        <f t="shared" si="170"/>
        <v>PR</v>
      </c>
      <c r="L1064" s="26" t="str">
        <f t="shared" si="171"/>
        <v>DGOSE</v>
      </c>
      <c r="M1064" s="26" t="str">
        <f t="shared" si="169"/>
        <v>FEDERAL</v>
      </c>
      <c r="N1064" s="26">
        <v>287</v>
      </c>
      <c r="O1064" s="26">
        <v>160</v>
      </c>
      <c r="P1064" s="26">
        <v>127</v>
      </c>
      <c r="Q1064" s="26">
        <v>11</v>
      </c>
      <c r="R1064" s="26">
        <v>1</v>
      </c>
      <c r="S1064" s="26">
        <v>11</v>
      </c>
      <c r="T1064" s="26">
        <v>7</v>
      </c>
      <c r="U1064" s="26">
        <v>19</v>
      </c>
      <c r="V1064" s="26">
        <v>1</v>
      </c>
      <c r="W1064" s="26"/>
    </row>
    <row r="1065" spans="1:23" x14ac:dyDescent="0.25">
      <c r="A1065" s="26" t="str">
        <f t="shared" si="167"/>
        <v>PRIMARIA</v>
      </c>
      <c r="B1065" s="26" t="str">
        <f>"09DPR2149T"</f>
        <v>09DPR2149T</v>
      </c>
      <c r="C1065" s="26" t="str">
        <f>"LEYES DE REFORMA                                                                                    "</f>
        <v xml:space="preserve">LEYES DE REFORMA                                                                                    </v>
      </c>
      <c r="D1065" s="26" t="str">
        <f>"JORNADA AMPLIADA"</f>
        <v>JORNADA AMPLIADA</v>
      </c>
      <c r="E1065" s="26" t="str">
        <f>"PROL GERANIO Y AV RIO CONSULADO                                                 "</f>
        <v xml:space="preserve">PROL GERANIO Y AV RIO CONSULADO                                                 </v>
      </c>
      <c r="F1065" s="26" t="str">
        <f>"ARENAL                                                                                                                                      "</f>
        <v xml:space="preserve">ARENAL                                                                                                                                      </v>
      </c>
      <c r="G1065" s="26" t="str">
        <f>"AZCAPOTZALCO                                                                    "</f>
        <v xml:space="preserve">AZCAPOTZALCO                                                                    </v>
      </c>
      <c r="H1065" s="26" t="str">
        <f>"108"</f>
        <v>108</v>
      </c>
      <c r="I1065" s="26" t="str">
        <f t="shared" si="168"/>
        <v>00</v>
      </c>
      <c r="J1065" s="26" t="str">
        <f>"41 "</f>
        <v xml:space="preserve">41 </v>
      </c>
      <c r="K1065" s="26" t="str">
        <f t="shared" si="170"/>
        <v>PR</v>
      </c>
      <c r="L1065" s="26" t="str">
        <f t="shared" si="171"/>
        <v>DGOSE</v>
      </c>
      <c r="M1065" s="26" t="str">
        <f t="shared" si="169"/>
        <v>FEDERAL</v>
      </c>
      <c r="N1065" s="26">
        <v>228</v>
      </c>
      <c r="O1065" s="26">
        <v>108</v>
      </c>
      <c r="P1065" s="26">
        <v>120</v>
      </c>
      <c r="Q1065" s="26">
        <v>7</v>
      </c>
      <c r="R1065" s="26">
        <v>1</v>
      </c>
      <c r="S1065" s="26">
        <v>7</v>
      </c>
      <c r="T1065" s="26">
        <v>6</v>
      </c>
      <c r="U1065" s="26">
        <v>14</v>
      </c>
      <c r="V1065" s="26">
        <v>1</v>
      </c>
      <c r="W1065" s="26" t="s">
        <v>2076</v>
      </c>
    </row>
    <row r="1066" spans="1:23" x14ac:dyDescent="0.25">
      <c r="A1066" s="26" t="str">
        <f t="shared" si="167"/>
        <v>PRIMARIA</v>
      </c>
      <c r="B1066" s="26" t="str">
        <f>"09DPR2151H"</f>
        <v>09DPR2151H</v>
      </c>
      <c r="C1066" s="26" t="str">
        <f>"CONGRESO DE CHILPANCINGO                                                                            "</f>
        <v xml:space="preserve">CONGRESO DE CHILPANCINGO                                                                            </v>
      </c>
      <c r="D1066" s="26" t="str">
        <f>"MATUTINO"</f>
        <v>MATUTINO</v>
      </c>
      <c r="E1066" s="26" t="str">
        <f>"CONCHA MANZANA 20 S/N                                                           "</f>
        <v xml:space="preserve">CONCHA MANZANA 20 S/N                                                           </v>
      </c>
      <c r="F1066" s="26" t="str">
        <f>"CARACOL                                                                                                                                     "</f>
        <v xml:space="preserve">CARACOL                                                                                                                                     </v>
      </c>
      <c r="G1066" s="26" t="str">
        <f>"VENUSTIANO CARRANZA                                                             "</f>
        <v xml:space="preserve">VENUSTIANO CARRANZA                                                             </v>
      </c>
      <c r="H1066" s="26" t="str">
        <f>"352"</f>
        <v>352</v>
      </c>
      <c r="I1066" s="26" t="str">
        <f t="shared" si="168"/>
        <v>00</v>
      </c>
      <c r="J1066" s="26" t="str">
        <f>"43 "</f>
        <v xml:space="preserve">43 </v>
      </c>
      <c r="K1066" s="26" t="str">
        <f t="shared" si="170"/>
        <v>PR</v>
      </c>
      <c r="L1066" s="26" t="str">
        <f t="shared" si="171"/>
        <v>DGOSE</v>
      </c>
      <c r="M1066" s="26" t="str">
        <f t="shared" si="169"/>
        <v>FEDERAL</v>
      </c>
      <c r="N1066" s="26">
        <v>641</v>
      </c>
      <c r="O1066" s="26">
        <v>325</v>
      </c>
      <c r="P1066" s="26">
        <v>316</v>
      </c>
      <c r="Q1066" s="26">
        <v>24</v>
      </c>
      <c r="R1066" s="26">
        <v>1</v>
      </c>
      <c r="S1066" s="26">
        <v>24</v>
      </c>
      <c r="T1066" s="26">
        <v>12</v>
      </c>
      <c r="U1066" s="26">
        <v>37</v>
      </c>
      <c r="V1066" s="26">
        <v>1</v>
      </c>
      <c r="W1066" s="26"/>
    </row>
    <row r="1067" spans="1:23" x14ac:dyDescent="0.25">
      <c r="A1067" s="26" t="str">
        <f t="shared" si="167"/>
        <v>PRIMARIA</v>
      </c>
      <c r="B1067" s="26" t="str">
        <f>"09DPR2152G"</f>
        <v>09DPR2152G</v>
      </c>
      <c r="C1067" s="26" t="str">
        <f>"AURELIO MALDONADO CEDILLO                                                                           "</f>
        <v xml:space="preserve">AURELIO MALDONADO CEDILLO                                                                           </v>
      </c>
      <c r="D1067" s="26" t="str">
        <f>"MATUTINO"</f>
        <v>MATUTINO</v>
      </c>
      <c r="E1067" s="26" t="str">
        <f>"MICHOACAN Y QUERETARO S/N                                                       "</f>
        <v xml:space="preserve">MICHOACAN Y QUERETARO S/N                                                       </v>
      </c>
      <c r="F1067" s="26" t="str">
        <f>"CHALMA DE GUADALUPE                                                                                                                         "</f>
        <v xml:space="preserve">CHALMA DE GUADALUPE                                                                                                                         </v>
      </c>
      <c r="G1067" s="26" t="str">
        <f t="shared" ref="G1067:G1104" si="174">"GUSTAVO A. MADERO                                                               "</f>
        <v xml:space="preserve">GUSTAVO A. MADERO                                                               </v>
      </c>
      <c r="H1067" s="26" t="str">
        <f>"232"</f>
        <v>232</v>
      </c>
      <c r="I1067" s="26" t="str">
        <f t="shared" si="168"/>
        <v>00</v>
      </c>
      <c r="J1067" s="26" t="str">
        <f>"42 "</f>
        <v xml:space="preserve">42 </v>
      </c>
      <c r="K1067" s="26" t="str">
        <f t="shared" si="170"/>
        <v>PR</v>
      </c>
      <c r="L1067" s="26" t="str">
        <f t="shared" si="171"/>
        <v>DGOSE</v>
      </c>
      <c r="M1067" s="26" t="str">
        <f t="shared" si="169"/>
        <v>FEDERAL</v>
      </c>
      <c r="N1067" s="26">
        <v>496</v>
      </c>
      <c r="O1067" s="26">
        <v>241</v>
      </c>
      <c r="P1067" s="26">
        <v>255</v>
      </c>
      <c r="Q1067" s="26">
        <v>17</v>
      </c>
      <c r="R1067" s="26">
        <v>1</v>
      </c>
      <c r="S1067" s="26">
        <v>17</v>
      </c>
      <c r="T1067" s="26">
        <v>12</v>
      </c>
      <c r="U1067" s="26">
        <v>30</v>
      </c>
      <c r="V1067" s="26">
        <v>1</v>
      </c>
      <c r="W1067" s="26"/>
    </row>
    <row r="1068" spans="1:23" x14ac:dyDescent="0.25">
      <c r="A1068" s="26" t="str">
        <f t="shared" si="167"/>
        <v>PRIMARIA</v>
      </c>
      <c r="B1068" s="26" t="str">
        <f>"09DPR2155D"</f>
        <v>09DPR2155D</v>
      </c>
      <c r="C1068" s="26" t="str">
        <f>"PRESIDENTE PASCUAL ORTIZ RUBIO                                                                      "</f>
        <v xml:space="preserve">PRESIDENTE PASCUAL ORTIZ RUBIO                                                                      </v>
      </c>
      <c r="D1068" s="26" t="str">
        <f>"VESPERTINO"</f>
        <v>VESPERTINO</v>
      </c>
      <c r="E1068" s="26" t="str">
        <f>"AV TICOMAN NUM 159                                                              "</f>
        <v xml:space="preserve">AV TICOMAN NUM 159                                                              </v>
      </c>
      <c r="F1068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1068" s="26" t="str">
        <f t="shared" si="174"/>
        <v xml:space="preserve">GUSTAVO A. MADERO                                                               </v>
      </c>
      <c r="H1068" s="26" t="str">
        <f>"243"</f>
        <v>243</v>
      </c>
      <c r="I1068" s="26" t="str">
        <f t="shared" si="168"/>
        <v>00</v>
      </c>
      <c r="J1068" s="26" t="str">
        <f>"42 "</f>
        <v xml:space="preserve">42 </v>
      </c>
      <c r="K1068" s="26" t="str">
        <f t="shared" si="170"/>
        <v>PR</v>
      </c>
      <c r="L1068" s="26" t="str">
        <f t="shared" si="171"/>
        <v>DGOSE</v>
      </c>
      <c r="M1068" s="26" t="str">
        <f t="shared" si="169"/>
        <v>FEDERAL</v>
      </c>
      <c r="N1068" s="26">
        <v>95</v>
      </c>
      <c r="O1068" s="26">
        <v>47</v>
      </c>
      <c r="P1068" s="26">
        <v>48</v>
      </c>
      <c r="Q1068" s="26">
        <v>6</v>
      </c>
      <c r="R1068" s="26">
        <v>1</v>
      </c>
      <c r="S1068" s="26">
        <v>6</v>
      </c>
      <c r="T1068" s="26">
        <v>6</v>
      </c>
      <c r="U1068" s="26">
        <v>13</v>
      </c>
      <c r="V1068" s="26">
        <v>1</v>
      </c>
      <c r="W1068" s="26"/>
    </row>
    <row r="1069" spans="1:23" x14ac:dyDescent="0.25">
      <c r="A1069" s="26" t="str">
        <f t="shared" si="167"/>
        <v>PRIMARIA</v>
      </c>
      <c r="B1069" s="26" t="str">
        <f>"09DPR2157B"</f>
        <v>09DPR2157B</v>
      </c>
      <c r="C1069" s="26" t="str">
        <f>"REPUBLICA DE HUNGRIA                                                                                "</f>
        <v xml:space="preserve">REPUBLICA DE HUNGRIA                                                                                </v>
      </c>
      <c r="D1069" s="26" t="str">
        <f>"MATUTINO"</f>
        <v>MATUTINO</v>
      </c>
      <c r="E1069" s="26" t="str">
        <f>"GLORIA Y GIRASOL S/N                                                            "</f>
        <v xml:space="preserve">GLORIA Y GIRASOL S/N                                                            </v>
      </c>
      <c r="F1069" s="26" t="str">
        <f>"JUAN GONZALEZ ROMERO                                                                                                                        "</f>
        <v xml:space="preserve">JUAN GONZALEZ ROMERO                                                                                                                        </v>
      </c>
      <c r="G1069" s="26" t="str">
        <f t="shared" si="174"/>
        <v xml:space="preserve">GUSTAVO A. MADERO                                                               </v>
      </c>
      <c r="H1069" s="26" t="str">
        <f>"256"</f>
        <v>256</v>
      </c>
      <c r="I1069" s="26" t="str">
        <f t="shared" si="168"/>
        <v>00</v>
      </c>
      <c r="J1069" s="26" t="str">
        <f>"42 "</f>
        <v xml:space="preserve">42 </v>
      </c>
      <c r="K1069" s="26" t="str">
        <f t="shared" si="170"/>
        <v>PR</v>
      </c>
      <c r="L1069" s="26" t="str">
        <f t="shared" si="171"/>
        <v>DGOSE</v>
      </c>
      <c r="M1069" s="26" t="str">
        <f t="shared" si="169"/>
        <v>FEDERAL</v>
      </c>
      <c r="N1069" s="26">
        <v>375</v>
      </c>
      <c r="O1069" s="26">
        <v>203</v>
      </c>
      <c r="P1069" s="26">
        <v>172</v>
      </c>
      <c r="Q1069" s="26">
        <v>14</v>
      </c>
      <c r="R1069" s="26">
        <v>1</v>
      </c>
      <c r="S1069" s="26">
        <v>14</v>
      </c>
      <c r="T1069" s="26">
        <v>9</v>
      </c>
      <c r="U1069" s="26">
        <v>24</v>
      </c>
      <c r="V1069" s="26">
        <v>1</v>
      </c>
      <c r="W1069" s="26"/>
    </row>
    <row r="1070" spans="1:23" x14ac:dyDescent="0.25">
      <c r="A1070" s="26" t="str">
        <f t="shared" si="167"/>
        <v>PRIMARIA</v>
      </c>
      <c r="B1070" s="26" t="str">
        <f>"09DPR2158A"</f>
        <v>09DPR2158A</v>
      </c>
      <c r="C1070" s="26" t="str">
        <f>"REPUBLICA DE HUNGRIA                                                                                "</f>
        <v xml:space="preserve">REPUBLICA DE HUNGRIA                                                                                </v>
      </c>
      <c r="D1070" s="26" t="str">
        <f>"VESPERTINO"</f>
        <v>VESPERTINO</v>
      </c>
      <c r="E1070" s="26" t="str">
        <f>"GLORIA Y GIRASOL S/N                                                            "</f>
        <v xml:space="preserve">GLORIA Y GIRASOL S/N                                                            </v>
      </c>
      <c r="F1070" s="26" t="str">
        <f>"JUAN GONZALEZ ROMERO                                                                                                                        "</f>
        <v xml:space="preserve">JUAN GONZALEZ ROMERO                                                                                                                        </v>
      </c>
      <c r="G1070" s="26" t="str">
        <f t="shared" si="174"/>
        <v xml:space="preserve">GUSTAVO A. MADERO                                                               </v>
      </c>
      <c r="H1070" s="26" t="str">
        <f>"256"</f>
        <v>256</v>
      </c>
      <c r="I1070" s="26" t="str">
        <f t="shared" si="168"/>
        <v>00</v>
      </c>
      <c r="J1070" s="26" t="str">
        <f>"42 "</f>
        <v xml:space="preserve">42 </v>
      </c>
      <c r="K1070" s="26" t="str">
        <f t="shared" si="170"/>
        <v>PR</v>
      </c>
      <c r="L1070" s="26" t="str">
        <f t="shared" si="171"/>
        <v>DGOSE</v>
      </c>
      <c r="M1070" s="26" t="str">
        <f t="shared" si="169"/>
        <v>FEDERAL</v>
      </c>
      <c r="N1070" s="26">
        <v>103</v>
      </c>
      <c r="O1070" s="26">
        <v>53</v>
      </c>
      <c r="P1070" s="26">
        <v>50</v>
      </c>
      <c r="Q1070" s="26">
        <v>6</v>
      </c>
      <c r="R1070" s="26">
        <v>1</v>
      </c>
      <c r="S1070" s="26">
        <v>6</v>
      </c>
      <c r="T1070" s="26">
        <v>5</v>
      </c>
      <c r="U1070" s="26">
        <v>12</v>
      </c>
      <c r="V1070" s="26">
        <v>1</v>
      </c>
      <c r="W1070" s="26"/>
    </row>
    <row r="1071" spans="1:23" x14ac:dyDescent="0.25">
      <c r="A1071" s="26" t="str">
        <f t="shared" si="167"/>
        <v>PRIMARIA</v>
      </c>
      <c r="B1071" s="26" t="str">
        <f>"09DPR2159Z"</f>
        <v>09DPR2159Z</v>
      </c>
      <c r="C1071" s="26" t="str">
        <f>"PROFR. VALENTIN ZAMORA OROZCO                                                                       "</f>
        <v xml:space="preserve">PROFR. VALENTIN ZAMORA OROZCO                                                                       </v>
      </c>
      <c r="D1071" s="26" t="str">
        <f>"JORNADA AMPLIADA"</f>
        <v>JORNADA AMPLIADA</v>
      </c>
      <c r="E1071" s="26" t="str">
        <f>"PRIV DEL OLMO Y A CRAVIOTO S/N                                                  "</f>
        <v xml:space="preserve">PRIV DEL OLMO Y A CRAVIOTO S/N                                                  </v>
      </c>
      <c r="F1071" s="26" t="str">
        <f>"UNIDAD CTM ATZACOALCO                                                                                                                       "</f>
        <v xml:space="preserve">UNIDAD CTM ATZACOALCO                                                                                                                       </v>
      </c>
      <c r="G1071" s="26" t="str">
        <f t="shared" si="174"/>
        <v xml:space="preserve">GUSTAVO A. MADERO                                                               </v>
      </c>
      <c r="H1071" s="26" t="str">
        <f>"138"</f>
        <v>138</v>
      </c>
      <c r="I1071" s="26" t="str">
        <f t="shared" si="168"/>
        <v>00</v>
      </c>
      <c r="J1071" s="26" t="str">
        <f>"41 "</f>
        <v xml:space="preserve">41 </v>
      </c>
      <c r="K1071" s="26" t="str">
        <f t="shared" si="170"/>
        <v>PR</v>
      </c>
      <c r="L1071" s="26" t="str">
        <f t="shared" si="171"/>
        <v>DGOSE</v>
      </c>
      <c r="M1071" s="26" t="str">
        <f t="shared" si="169"/>
        <v>FEDERAL</v>
      </c>
      <c r="N1071" s="26">
        <v>397</v>
      </c>
      <c r="O1071" s="26">
        <v>181</v>
      </c>
      <c r="P1071" s="26">
        <v>216</v>
      </c>
      <c r="Q1071" s="26">
        <v>12</v>
      </c>
      <c r="R1071" s="26">
        <v>1</v>
      </c>
      <c r="S1071" s="26">
        <v>12</v>
      </c>
      <c r="T1071" s="26">
        <v>8</v>
      </c>
      <c r="U1071" s="26">
        <v>21</v>
      </c>
      <c r="V1071" s="26">
        <v>1</v>
      </c>
      <c r="W1071" s="26" t="s">
        <v>2076</v>
      </c>
    </row>
    <row r="1072" spans="1:23" x14ac:dyDescent="0.25">
      <c r="A1072" s="26" t="str">
        <f t="shared" si="167"/>
        <v>PRIMARIA</v>
      </c>
      <c r="B1072" s="26" t="str">
        <f>"09DPR2161O"</f>
        <v>09DPR2161O</v>
      </c>
      <c r="C1072" s="26" t="str">
        <f>"PROFR. ALFONSO ANZORENA GONZALEZ                                                                    "</f>
        <v xml:space="preserve">PROFR. ALFONSO ANZORENA GONZALEZ                                                                    </v>
      </c>
      <c r="D1072" s="26" t="str">
        <f>"MATUTINO"</f>
        <v>MATUTINO</v>
      </c>
      <c r="E1072" s="26" t="str">
        <f>"RET ARMANDO LEAL S/N                                                            "</f>
        <v xml:space="preserve">RET ARMANDO LEAL S/N                                                            </v>
      </c>
      <c r="F1072" s="26" t="str">
        <f>"UNIDAD CTM ATZACOALCO                                                                                                                       "</f>
        <v xml:space="preserve">UNIDAD CTM ATZACOALCO                                                                                                                       </v>
      </c>
      <c r="G1072" s="26" t="str">
        <f t="shared" si="174"/>
        <v xml:space="preserve">GUSTAVO A. MADERO                                                               </v>
      </c>
      <c r="H1072" s="26" t="str">
        <f>"255"</f>
        <v>255</v>
      </c>
      <c r="I1072" s="26" t="str">
        <f t="shared" si="168"/>
        <v>00</v>
      </c>
      <c r="J1072" s="26" t="str">
        <f>"42 "</f>
        <v xml:space="preserve">42 </v>
      </c>
      <c r="K1072" s="26" t="str">
        <f t="shared" si="170"/>
        <v>PR</v>
      </c>
      <c r="L1072" s="26" t="str">
        <f t="shared" si="171"/>
        <v>DGOSE</v>
      </c>
      <c r="M1072" s="26" t="str">
        <f t="shared" si="169"/>
        <v>FEDERAL</v>
      </c>
      <c r="N1072" s="26">
        <v>333</v>
      </c>
      <c r="O1072" s="26">
        <v>169</v>
      </c>
      <c r="P1072" s="26">
        <v>164</v>
      </c>
      <c r="Q1072" s="26">
        <v>12</v>
      </c>
      <c r="R1072" s="26">
        <v>1</v>
      </c>
      <c r="S1072" s="26">
        <v>12</v>
      </c>
      <c r="T1072" s="26">
        <v>9</v>
      </c>
      <c r="U1072" s="26">
        <v>22</v>
      </c>
      <c r="V1072" s="26">
        <v>1</v>
      </c>
      <c r="W1072" s="26"/>
    </row>
    <row r="1073" spans="1:23" x14ac:dyDescent="0.25">
      <c r="A1073" s="26" t="str">
        <f t="shared" si="167"/>
        <v>PRIMARIA</v>
      </c>
      <c r="B1073" s="26" t="str">
        <f>"09DPR2162N"</f>
        <v>09DPR2162N</v>
      </c>
      <c r="C1073" s="26" t="str">
        <f>"PROFR. ALFONSO ANZORENA GONZALEZ                                                                    "</f>
        <v xml:space="preserve">PROFR. ALFONSO ANZORENA GONZALEZ                                                                    </v>
      </c>
      <c r="D1073" s="26" t="str">
        <f>"VESPERTINO"</f>
        <v>VESPERTINO</v>
      </c>
      <c r="E1073" s="26" t="str">
        <f>"RET ARMANDO LEAL S/N                                                            "</f>
        <v xml:space="preserve">RET ARMANDO LEAL S/N                                                            </v>
      </c>
      <c r="F1073" s="26" t="str">
        <f>"UNIDAD CTM ATZACOALCO                                                                                                                       "</f>
        <v xml:space="preserve">UNIDAD CTM ATZACOALCO                                                                                                                       </v>
      </c>
      <c r="G1073" s="26" t="str">
        <f t="shared" si="174"/>
        <v xml:space="preserve">GUSTAVO A. MADERO                                                               </v>
      </c>
      <c r="H1073" s="26" t="str">
        <f>"255"</f>
        <v>255</v>
      </c>
      <c r="I1073" s="26" t="str">
        <f t="shared" si="168"/>
        <v>00</v>
      </c>
      <c r="J1073" s="26" t="str">
        <f>"42 "</f>
        <v xml:space="preserve">42 </v>
      </c>
      <c r="K1073" s="26" t="str">
        <f t="shared" si="170"/>
        <v>PR</v>
      </c>
      <c r="L1073" s="26" t="str">
        <f t="shared" si="171"/>
        <v>DGOSE</v>
      </c>
      <c r="M1073" s="26" t="str">
        <f t="shared" si="169"/>
        <v>FEDERAL</v>
      </c>
      <c r="N1073" s="26">
        <v>93</v>
      </c>
      <c r="O1073" s="26">
        <v>59</v>
      </c>
      <c r="P1073" s="26">
        <v>34</v>
      </c>
      <c r="Q1073" s="26">
        <v>6</v>
      </c>
      <c r="R1073" s="26">
        <v>1</v>
      </c>
      <c r="S1073" s="26">
        <v>6</v>
      </c>
      <c r="T1073" s="26">
        <v>4</v>
      </c>
      <c r="U1073" s="26">
        <v>11</v>
      </c>
      <c r="V1073" s="26">
        <v>1</v>
      </c>
      <c r="W1073" s="26"/>
    </row>
    <row r="1074" spans="1:23" x14ac:dyDescent="0.25">
      <c r="A1074" s="26" t="str">
        <f t="shared" si="167"/>
        <v>PRIMARIA</v>
      </c>
      <c r="B1074" s="26" t="str">
        <f>"09DPR2163M"</f>
        <v>09DPR2163M</v>
      </c>
      <c r="C1074" s="26" t="str">
        <f>"PROFR. FRANCISCO NAVA BAÑUELOS                                                                      "</f>
        <v xml:space="preserve">PROFR. FRANCISCO NAVA BAÑUELOS                                                                      </v>
      </c>
      <c r="D1074" s="26" t="str">
        <f>"TIEMPO COMPLETO"</f>
        <v>TIEMPO COMPLETO</v>
      </c>
      <c r="E1074" s="26" t="str">
        <f>"AV. PTE. 140 Y NTE. 31 A                                                        "</f>
        <v xml:space="preserve">AV. PTE. 140 Y NTE. 31 A                                                        </v>
      </c>
      <c r="F1074" s="26" t="str">
        <f>"UNIDAD LINDAVISTA VALLEJO                                                                                                                   "</f>
        <v xml:space="preserve">UNIDAD LINDAVISTA VALLEJO                                                                                                                   </v>
      </c>
      <c r="G1074" s="26" t="str">
        <f t="shared" si="174"/>
        <v xml:space="preserve">GUSTAVO A. MADERO                                                               </v>
      </c>
      <c r="H1074" s="26" t="str">
        <f>"134"</f>
        <v>134</v>
      </c>
      <c r="I1074" s="26" t="str">
        <f t="shared" si="168"/>
        <v>00</v>
      </c>
      <c r="J1074" s="26" t="str">
        <f>"41 "</f>
        <v xml:space="preserve">41 </v>
      </c>
      <c r="K1074" s="26" t="str">
        <f t="shared" si="170"/>
        <v>PR</v>
      </c>
      <c r="L1074" s="26" t="str">
        <f t="shared" si="171"/>
        <v>DGOSE</v>
      </c>
      <c r="M1074" s="26" t="str">
        <f t="shared" si="169"/>
        <v>FEDERAL</v>
      </c>
      <c r="N1074" s="26">
        <v>340</v>
      </c>
      <c r="O1074" s="26">
        <v>169</v>
      </c>
      <c r="P1074" s="26">
        <v>171</v>
      </c>
      <c r="Q1074" s="26">
        <v>12</v>
      </c>
      <c r="R1074" s="26">
        <v>1</v>
      </c>
      <c r="S1074" s="26">
        <v>12</v>
      </c>
      <c r="T1074" s="26">
        <v>12</v>
      </c>
      <c r="U1074" s="26">
        <v>25</v>
      </c>
      <c r="V1074" s="26">
        <v>1</v>
      </c>
      <c r="W1074" s="26" t="s">
        <v>218</v>
      </c>
    </row>
    <row r="1075" spans="1:23" x14ac:dyDescent="0.25">
      <c r="A1075" s="26" t="str">
        <f t="shared" si="167"/>
        <v>PRIMARIA</v>
      </c>
      <c r="B1075" s="26" t="str">
        <f>"09DPR2164L"</f>
        <v>09DPR2164L</v>
      </c>
      <c r="C1075" s="26" t="str">
        <f>"GRAL. LAZARO CARDENAS                                                                               "</f>
        <v xml:space="preserve">GRAL. LAZARO CARDENAS                                                                               </v>
      </c>
      <c r="D1075" s="26" t="str">
        <f>"JORNADA AMPLIADA"</f>
        <v>JORNADA AMPLIADA</v>
      </c>
      <c r="E1075" s="26" t="str">
        <f>"AV. LAZARO CARDENAS 105                                                         "</f>
        <v xml:space="preserve">AV. LAZARO CARDENAS 105                                                         </v>
      </c>
      <c r="F1075" s="26" t="str">
        <f>"UNIDAD LINDAVISTA VALLEJO                                                                                                                   "</f>
        <v xml:space="preserve">UNIDAD LINDAVISTA VALLEJO                                                                                                                   </v>
      </c>
      <c r="G1075" s="26" t="str">
        <f t="shared" si="174"/>
        <v xml:space="preserve">GUSTAVO A. MADERO                                                               </v>
      </c>
      <c r="H1075" s="26" t="str">
        <f>"134"</f>
        <v>134</v>
      </c>
      <c r="I1075" s="26" t="str">
        <f t="shared" si="168"/>
        <v>00</v>
      </c>
      <c r="J1075" s="26" t="str">
        <f>"41 "</f>
        <v xml:space="preserve">41 </v>
      </c>
      <c r="K1075" s="26" t="str">
        <f t="shared" si="170"/>
        <v>PR</v>
      </c>
      <c r="L1075" s="26" t="str">
        <f t="shared" si="171"/>
        <v>DGOSE</v>
      </c>
      <c r="M1075" s="26" t="str">
        <f t="shared" si="169"/>
        <v>FEDERAL</v>
      </c>
      <c r="N1075" s="26">
        <v>161</v>
      </c>
      <c r="O1075" s="26">
        <v>94</v>
      </c>
      <c r="P1075" s="26">
        <v>67</v>
      </c>
      <c r="Q1075" s="26">
        <v>6</v>
      </c>
      <c r="R1075" s="26">
        <v>1</v>
      </c>
      <c r="S1075" s="26">
        <v>6</v>
      </c>
      <c r="T1075" s="26">
        <v>6</v>
      </c>
      <c r="U1075" s="26">
        <v>13</v>
      </c>
      <c r="V1075" s="26">
        <v>1</v>
      </c>
      <c r="W1075" s="26" t="s">
        <v>2076</v>
      </c>
    </row>
    <row r="1076" spans="1:23" x14ac:dyDescent="0.25">
      <c r="A1076" s="26" t="str">
        <f t="shared" si="167"/>
        <v>PRIMARIA</v>
      </c>
      <c r="B1076" s="26" t="str">
        <f>"09DPR2165K"</f>
        <v>09DPR2165K</v>
      </c>
      <c r="C1076" s="26" t="str">
        <f>"LORENZO PEDRERO PADILLA                                                                             "</f>
        <v xml:space="preserve">LORENZO PEDRERO PADILLA                                                                             </v>
      </c>
      <c r="D1076" s="26" t="str">
        <f>"TIEMPO COMPLETO"</f>
        <v>TIEMPO COMPLETO</v>
      </c>
      <c r="E1076" s="26" t="str">
        <f>"NORTE 31-A NUM 143                                                              "</f>
        <v xml:space="preserve">NORTE 31-A NUM 143                                                              </v>
      </c>
      <c r="F1076" s="26" t="str">
        <f>"UNIDAD LINDAVISTA VALLEJO                                                                                                                   "</f>
        <v xml:space="preserve">UNIDAD LINDAVISTA VALLEJO                                                                                                                   </v>
      </c>
      <c r="G1076" s="26" t="str">
        <f t="shared" si="174"/>
        <v xml:space="preserve">GUSTAVO A. MADERO                                                               </v>
      </c>
      <c r="H1076" s="26" t="str">
        <f>"134"</f>
        <v>134</v>
      </c>
      <c r="I1076" s="26" t="str">
        <f t="shared" si="168"/>
        <v>00</v>
      </c>
      <c r="J1076" s="26" t="str">
        <f>"41 "</f>
        <v xml:space="preserve">41 </v>
      </c>
      <c r="K1076" s="26" t="str">
        <f t="shared" si="170"/>
        <v>PR</v>
      </c>
      <c r="L1076" s="26" t="str">
        <f t="shared" si="171"/>
        <v>DGOSE</v>
      </c>
      <c r="M1076" s="26" t="str">
        <f t="shared" si="169"/>
        <v>FEDERAL</v>
      </c>
      <c r="N1076" s="26">
        <v>327</v>
      </c>
      <c r="O1076" s="26">
        <v>168</v>
      </c>
      <c r="P1076" s="26">
        <v>159</v>
      </c>
      <c r="Q1076" s="26">
        <v>12</v>
      </c>
      <c r="R1076" s="26">
        <v>1</v>
      </c>
      <c r="S1076" s="26">
        <v>12</v>
      </c>
      <c r="T1076" s="26">
        <v>9</v>
      </c>
      <c r="U1076" s="26">
        <v>22</v>
      </c>
      <c r="V1076" s="26">
        <v>1</v>
      </c>
      <c r="W1076" s="26" t="s">
        <v>218</v>
      </c>
    </row>
    <row r="1077" spans="1:23" x14ac:dyDescent="0.25">
      <c r="A1077" s="26" t="str">
        <f t="shared" si="167"/>
        <v>PRIMARIA</v>
      </c>
      <c r="B1077" s="26" t="str">
        <f>"09DPR2166J"</f>
        <v>09DPR2166J</v>
      </c>
      <c r="C1077" s="26" t="str">
        <f>"QUETZALCOATL                                                                                        "</f>
        <v xml:space="preserve">QUETZALCOATL                                                                                        </v>
      </c>
      <c r="D1077" s="26" t="str">
        <f>"VESPERTINO"</f>
        <v>VESPERTINO</v>
      </c>
      <c r="E1077" s="26" t="str">
        <f>"GUADALUPE VICTORIA Y ESTUD S/N                                                  "</f>
        <v xml:space="preserve">GUADALUPE VICTORIA Y ESTUD S/N                                                  </v>
      </c>
      <c r="F1077" s="26" t="str">
        <f>"25 DE JULIO                                                                                                                                 "</f>
        <v xml:space="preserve">25 DE JULIO                                                                                                                                 </v>
      </c>
      <c r="G1077" s="26" t="str">
        <f t="shared" si="174"/>
        <v xml:space="preserve">GUSTAVO A. MADERO                                                               </v>
      </c>
      <c r="H1077" s="26" t="str">
        <f>"261"</f>
        <v>261</v>
      </c>
      <c r="I1077" s="26" t="str">
        <f t="shared" si="168"/>
        <v>00</v>
      </c>
      <c r="J1077" s="26" t="str">
        <f>"42 "</f>
        <v xml:space="preserve">42 </v>
      </c>
      <c r="K1077" s="26" t="str">
        <f t="shared" si="170"/>
        <v>PR</v>
      </c>
      <c r="L1077" s="26" t="str">
        <f t="shared" si="171"/>
        <v>DGOSE</v>
      </c>
      <c r="M1077" s="26" t="str">
        <f t="shared" si="169"/>
        <v>FEDERAL</v>
      </c>
      <c r="N1077" s="26">
        <v>98</v>
      </c>
      <c r="O1077" s="26">
        <v>68</v>
      </c>
      <c r="P1077" s="26">
        <v>30</v>
      </c>
      <c r="Q1077" s="26">
        <v>6</v>
      </c>
      <c r="R1077" s="26">
        <v>1</v>
      </c>
      <c r="S1077" s="26">
        <v>6</v>
      </c>
      <c r="T1077" s="26">
        <v>6</v>
      </c>
      <c r="U1077" s="26">
        <v>13</v>
      </c>
      <c r="V1077" s="26">
        <v>1</v>
      </c>
      <c r="W1077" s="26"/>
    </row>
    <row r="1078" spans="1:23" x14ac:dyDescent="0.25">
      <c r="A1078" s="26" t="str">
        <f t="shared" si="167"/>
        <v>PRIMARIA</v>
      </c>
      <c r="B1078" s="26" t="str">
        <f>"09DPR2167I"</f>
        <v>09DPR2167I</v>
      </c>
      <c r="C1078" s="26" t="str">
        <f>"KOWEIT                                                                                              "</f>
        <v xml:space="preserve">KOWEIT                                                                                              </v>
      </c>
      <c r="D1078" s="26" t="str">
        <f>"MATUTINO"</f>
        <v>MATUTINO</v>
      </c>
      <c r="E1078" s="26" t="str">
        <f>"TALPA Y HEROE DE NACOZARI S/N                                                   "</f>
        <v xml:space="preserve">TALPA Y HEROE DE NACOZARI S/N                                                   </v>
      </c>
      <c r="F1078" s="26" t="str">
        <f>"SAN FELIPE DE JESUS                                                                                                                         "</f>
        <v xml:space="preserve">SAN FELIPE DE JESUS                                                                                                                         </v>
      </c>
      <c r="G1078" s="26" t="str">
        <f t="shared" si="174"/>
        <v xml:space="preserve">GUSTAVO A. MADERO                                                               </v>
      </c>
      <c r="H1078" s="26" t="str">
        <f>"262"</f>
        <v>262</v>
      </c>
      <c r="I1078" s="26" t="str">
        <f t="shared" si="168"/>
        <v>00</v>
      </c>
      <c r="J1078" s="26" t="str">
        <f>"42 "</f>
        <v xml:space="preserve">42 </v>
      </c>
      <c r="K1078" s="26" t="str">
        <f t="shared" si="170"/>
        <v>PR</v>
      </c>
      <c r="L1078" s="26" t="str">
        <f t="shared" si="171"/>
        <v>DGOSE</v>
      </c>
      <c r="M1078" s="26" t="str">
        <f t="shared" si="169"/>
        <v>FEDERAL</v>
      </c>
      <c r="N1078" s="26">
        <v>359</v>
      </c>
      <c r="O1078" s="26">
        <v>183</v>
      </c>
      <c r="P1078" s="26">
        <v>176</v>
      </c>
      <c r="Q1078" s="26">
        <v>13</v>
      </c>
      <c r="R1078" s="26">
        <v>1</v>
      </c>
      <c r="S1078" s="26">
        <v>12</v>
      </c>
      <c r="T1078" s="26">
        <v>11</v>
      </c>
      <c r="U1078" s="26">
        <v>24</v>
      </c>
      <c r="V1078" s="26">
        <v>1</v>
      </c>
      <c r="W1078" s="26"/>
    </row>
    <row r="1079" spans="1:23" x14ac:dyDescent="0.25">
      <c r="A1079" s="26" t="str">
        <f t="shared" si="167"/>
        <v>PRIMARIA</v>
      </c>
      <c r="B1079" s="26" t="str">
        <f>"09DPR2168H"</f>
        <v>09DPR2168H</v>
      </c>
      <c r="C1079" s="26" t="str">
        <f>"KOWEIT                                                                                              "</f>
        <v xml:space="preserve">KOWEIT                                                                                              </v>
      </c>
      <c r="D1079" s="26" t="str">
        <f>"VESPERTINO"</f>
        <v>VESPERTINO</v>
      </c>
      <c r="E1079" s="26" t="str">
        <f>"TALPA Y HEROE DE NACOZARI                                                       "</f>
        <v xml:space="preserve">TALPA Y HEROE DE NACOZARI                                                       </v>
      </c>
      <c r="F1079" s="26" t="str">
        <f>"SAN FELIPE DE JESUS                                                                                                                         "</f>
        <v xml:space="preserve">SAN FELIPE DE JESUS                                                                                                                         </v>
      </c>
      <c r="G1079" s="26" t="str">
        <f t="shared" si="174"/>
        <v xml:space="preserve">GUSTAVO A. MADERO                                                               </v>
      </c>
      <c r="H1079" s="26" t="str">
        <f>"262"</f>
        <v>262</v>
      </c>
      <c r="I1079" s="26" t="str">
        <f t="shared" si="168"/>
        <v>00</v>
      </c>
      <c r="J1079" s="26" t="str">
        <f>"42 "</f>
        <v xml:space="preserve">42 </v>
      </c>
      <c r="K1079" s="26" t="str">
        <f t="shared" si="170"/>
        <v>PR</v>
      </c>
      <c r="L1079" s="26" t="str">
        <f t="shared" si="171"/>
        <v>DGOSE</v>
      </c>
      <c r="M1079" s="26" t="str">
        <f t="shared" si="169"/>
        <v>FEDERAL</v>
      </c>
      <c r="N1079" s="26">
        <v>128</v>
      </c>
      <c r="O1079" s="26">
        <v>75</v>
      </c>
      <c r="P1079" s="26">
        <v>53</v>
      </c>
      <c r="Q1079" s="26">
        <v>6</v>
      </c>
      <c r="R1079" s="26">
        <v>1</v>
      </c>
      <c r="S1079" s="26">
        <v>6</v>
      </c>
      <c r="T1079" s="26">
        <v>4</v>
      </c>
      <c r="U1079" s="26">
        <v>11</v>
      </c>
      <c r="V1079" s="26">
        <v>1</v>
      </c>
      <c r="W1079" s="26"/>
    </row>
    <row r="1080" spans="1:23" x14ac:dyDescent="0.25">
      <c r="A1080" s="26" t="str">
        <f t="shared" si="167"/>
        <v>PRIMARIA</v>
      </c>
      <c r="B1080" s="26" t="str">
        <f>"09DPR2169G"</f>
        <v>09DPR2169G</v>
      </c>
      <c r="C1080" s="26" t="str">
        <f>"REPUBLICA DE COLOMBIA                                                                               "</f>
        <v xml:space="preserve">REPUBLICA DE COLOMBIA                                                                               </v>
      </c>
      <c r="D1080" s="26" t="str">
        <f>"JORNADA AMPLIADA"</f>
        <v>JORNADA AMPLIADA</v>
      </c>
      <c r="E1080" s="26" t="str">
        <f>"PTE 118 NUM 305                                                                 "</f>
        <v xml:space="preserve">PTE 118 NUM 305                                                                 </v>
      </c>
      <c r="F1080" s="26" t="str">
        <f>"CAPULTITLAN                                                                                                                                 "</f>
        <v xml:space="preserve">CAPULTITLAN                                                                                                                                 </v>
      </c>
      <c r="G1080" s="26" t="str">
        <f t="shared" si="174"/>
        <v xml:space="preserve">GUSTAVO A. MADERO                                                               </v>
      </c>
      <c r="H1080" s="26" t="str">
        <f>"136"</f>
        <v>136</v>
      </c>
      <c r="I1080" s="26" t="str">
        <f t="shared" si="168"/>
        <v>00</v>
      </c>
      <c r="J1080" s="26" t="str">
        <f>"41 "</f>
        <v xml:space="preserve">41 </v>
      </c>
      <c r="K1080" s="26" t="str">
        <f t="shared" si="170"/>
        <v>PR</v>
      </c>
      <c r="L1080" s="26" t="str">
        <f t="shared" si="171"/>
        <v>DGOSE</v>
      </c>
      <c r="M1080" s="26" t="str">
        <f t="shared" si="169"/>
        <v>FEDERAL</v>
      </c>
      <c r="N1080" s="26">
        <v>290</v>
      </c>
      <c r="O1080" s="26">
        <v>156</v>
      </c>
      <c r="P1080" s="26">
        <v>134</v>
      </c>
      <c r="Q1080" s="26">
        <v>11</v>
      </c>
      <c r="R1080" s="26">
        <v>1</v>
      </c>
      <c r="S1080" s="26">
        <v>11</v>
      </c>
      <c r="T1080" s="26">
        <v>10</v>
      </c>
      <c r="U1080" s="26">
        <v>22</v>
      </c>
      <c r="V1080" s="26">
        <v>1</v>
      </c>
      <c r="W1080" s="26" t="s">
        <v>2076</v>
      </c>
    </row>
    <row r="1081" spans="1:23" x14ac:dyDescent="0.25">
      <c r="A1081" s="26" t="str">
        <f t="shared" si="167"/>
        <v>PRIMARIA</v>
      </c>
      <c r="B1081" s="26" t="str">
        <f>"09DPR2171V"</f>
        <v>09DPR2171V</v>
      </c>
      <c r="C1081" s="26" t="str">
        <f>"BOMBERO RAMON ARRIAGA ACEVES                                                                        "</f>
        <v xml:space="preserve">BOMBERO RAMON ARRIAGA ACEVES                                                                        </v>
      </c>
      <c r="D1081" s="26" t="str">
        <f>"MATUTINO"</f>
        <v>MATUTINO</v>
      </c>
      <c r="E1081" s="26" t="str">
        <f>"INSURGENTES NTE Y TENOCHTITLAN                                                  "</f>
        <v xml:space="preserve">INSURGENTES NTE Y TENOCHTITLAN                                                  </v>
      </c>
      <c r="F1081" s="26" t="str">
        <f>"SANTA ISABEL TOLA                                                                                                                           "</f>
        <v xml:space="preserve">SANTA ISABEL TOLA                                                                                                                           </v>
      </c>
      <c r="G1081" s="26" t="str">
        <f t="shared" si="174"/>
        <v xml:space="preserve">GUSTAVO A. MADERO                                                               </v>
      </c>
      <c r="H1081" s="26" t="str">
        <f>"244"</f>
        <v>244</v>
      </c>
      <c r="I1081" s="26" t="str">
        <f t="shared" si="168"/>
        <v>00</v>
      </c>
      <c r="J1081" s="26" t="str">
        <f t="shared" ref="J1081:J1090" si="175">"42 "</f>
        <v xml:space="preserve">42 </v>
      </c>
      <c r="K1081" s="26" t="str">
        <f t="shared" si="170"/>
        <v>PR</v>
      </c>
      <c r="L1081" s="26" t="str">
        <f t="shared" si="171"/>
        <v>DGOSE</v>
      </c>
      <c r="M1081" s="26" t="str">
        <f t="shared" si="169"/>
        <v>FEDERAL</v>
      </c>
      <c r="N1081" s="26">
        <v>528</v>
      </c>
      <c r="O1081" s="26">
        <v>262</v>
      </c>
      <c r="P1081" s="26">
        <v>266</v>
      </c>
      <c r="Q1081" s="26">
        <v>18</v>
      </c>
      <c r="R1081" s="26">
        <v>1</v>
      </c>
      <c r="S1081" s="26">
        <v>18</v>
      </c>
      <c r="T1081" s="26">
        <v>17</v>
      </c>
      <c r="U1081" s="26">
        <v>36</v>
      </c>
      <c r="V1081" s="26">
        <v>1</v>
      </c>
      <c r="W1081" s="26"/>
    </row>
    <row r="1082" spans="1:23" x14ac:dyDescent="0.25">
      <c r="A1082" s="26" t="str">
        <f t="shared" si="167"/>
        <v>PRIMARIA</v>
      </c>
      <c r="B1082" s="26" t="str">
        <f>"09DPR2172U"</f>
        <v>09DPR2172U</v>
      </c>
      <c r="C1082" s="26" t="str">
        <f>"BOMBERO RAMON ARRIAGA ACEVES                                                                        "</f>
        <v xml:space="preserve">BOMBERO RAMON ARRIAGA ACEVES                                                                        </v>
      </c>
      <c r="D1082" s="26" t="str">
        <f>"VESPERTINO"</f>
        <v>VESPERTINO</v>
      </c>
      <c r="E1082" s="26" t="str">
        <f>"INSURGENTES NTE Y TENOCHTITLAN                                                  "</f>
        <v xml:space="preserve">INSURGENTES NTE Y TENOCHTITLAN                                                  </v>
      </c>
      <c r="F1082" s="26" t="str">
        <f>"SANTA ISABEL TOLA                                                                                                                           "</f>
        <v xml:space="preserve">SANTA ISABEL TOLA                                                                                                                           </v>
      </c>
      <c r="G1082" s="26" t="str">
        <f t="shared" si="174"/>
        <v xml:space="preserve">GUSTAVO A. MADERO                                                               </v>
      </c>
      <c r="H1082" s="26" t="str">
        <f>"244"</f>
        <v>244</v>
      </c>
      <c r="I1082" s="26" t="str">
        <f t="shared" si="168"/>
        <v>00</v>
      </c>
      <c r="J1082" s="26" t="str">
        <f t="shared" si="175"/>
        <v xml:space="preserve">42 </v>
      </c>
      <c r="K1082" s="26" t="str">
        <f t="shared" si="170"/>
        <v>PR</v>
      </c>
      <c r="L1082" s="26" t="str">
        <f t="shared" si="171"/>
        <v>DGOSE</v>
      </c>
      <c r="M1082" s="26" t="str">
        <f t="shared" si="169"/>
        <v>FEDERAL</v>
      </c>
      <c r="N1082" s="26">
        <v>135</v>
      </c>
      <c r="O1082" s="26">
        <v>65</v>
      </c>
      <c r="P1082" s="26">
        <v>70</v>
      </c>
      <c r="Q1082" s="26">
        <v>9</v>
      </c>
      <c r="R1082" s="26">
        <v>1</v>
      </c>
      <c r="S1082" s="26">
        <v>6</v>
      </c>
      <c r="T1082" s="26">
        <v>10</v>
      </c>
      <c r="U1082" s="26">
        <v>17</v>
      </c>
      <c r="V1082" s="26">
        <v>1</v>
      </c>
      <c r="W1082" s="26"/>
    </row>
    <row r="1083" spans="1:23" x14ac:dyDescent="0.25">
      <c r="A1083" s="26" t="str">
        <f t="shared" si="167"/>
        <v>PRIMARIA</v>
      </c>
      <c r="B1083" s="26" t="str">
        <f>"09DPR2174S"</f>
        <v>09DPR2174S</v>
      </c>
      <c r="C1083" s="26" t="str">
        <f>"GRAL. VICENTE GUERRERO                                                                              "</f>
        <v xml:space="preserve">GRAL. VICENTE GUERRERO                                                                              </v>
      </c>
      <c r="D1083" s="26" t="str">
        <f>"VESPERTINO"</f>
        <v>VESPERTINO</v>
      </c>
      <c r="E1083" s="26" t="str">
        <f>"MELCHOR MUZQUIZ NUM 116                                                         "</f>
        <v xml:space="preserve">MELCHOR MUZQUIZ NUM 116                                                         </v>
      </c>
      <c r="F1083" s="26" t="str">
        <f>"ESTANZUELA                                                                                                                                  "</f>
        <v xml:space="preserve">ESTANZUELA                                                                                                                                  </v>
      </c>
      <c r="G1083" s="26" t="str">
        <f t="shared" si="174"/>
        <v xml:space="preserve">GUSTAVO A. MADERO                                                               </v>
      </c>
      <c r="H1083" s="26" t="str">
        <f>"248"</f>
        <v>248</v>
      </c>
      <c r="I1083" s="26" t="str">
        <f t="shared" si="168"/>
        <v>00</v>
      </c>
      <c r="J1083" s="26" t="str">
        <f t="shared" si="175"/>
        <v xml:space="preserve">42 </v>
      </c>
      <c r="K1083" s="26" t="str">
        <f t="shared" si="170"/>
        <v>PR</v>
      </c>
      <c r="L1083" s="26" t="str">
        <f t="shared" si="171"/>
        <v>DGOSE</v>
      </c>
      <c r="M1083" s="26" t="str">
        <f t="shared" si="169"/>
        <v>FEDERAL</v>
      </c>
      <c r="N1083" s="26">
        <v>156</v>
      </c>
      <c r="O1083" s="26">
        <v>89</v>
      </c>
      <c r="P1083" s="26">
        <v>67</v>
      </c>
      <c r="Q1083" s="26">
        <v>6</v>
      </c>
      <c r="R1083" s="26">
        <v>1</v>
      </c>
      <c r="S1083" s="26">
        <v>6</v>
      </c>
      <c r="T1083" s="26">
        <v>6</v>
      </c>
      <c r="U1083" s="26">
        <v>13</v>
      </c>
      <c r="V1083" s="26">
        <v>1</v>
      </c>
      <c r="W1083" s="26"/>
    </row>
    <row r="1084" spans="1:23" x14ac:dyDescent="0.25">
      <c r="A1084" s="26" t="str">
        <f t="shared" si="167"/>
        <v>PRIMARIA</v>
      </c>
      <c r="B1084" s="26" t="str">
        <f>"09DPR2175R"</f>
        <v>09DPR2175R</v>
      </c>
      <c r="C1084" s="26" t="str">
        <f>"REPUBLICA DE BIRMANIA                                                                               "</f>
        <v xml:space="preserve">REPUBLICA DE BIRMANIA                                                                               </v>
      </c>
      <c r="D1084" s="26" t="str">
        <f>"MATUTINO"</f>
        <v>MATUTINO</v>
      </c>
      <c r="E1084" s="26" t="str">
        <f>"PICO DE ORIZABA 18                                                              "</f>
        <v xml:space="preserve">PICO DE ORIZABA 18                                                              </v>
      </c>
      <c r="F1084" s="26" t="str">
        <f>"LA PRADERA                                                                                                                                  "</f>
        <v xml:space="preserve">LA PRADERA                                                                                                                                  </v>
      </c>
      <c r="G1084" s="26" t="str">
        <f t="shared" si="174"/>
        <v xml:space="preserve">GUSTAVO A. MADERO                                                               </v>
      </c>
      <c r="H1084" s="26" t="str">
        <f>"266"</f>
        <v>266</v>
      </c>
      <c r="I1084" s="26" t="str">
        <f t="shared" si="168"/>
        <v>00</v>
      </c>
      <c r="J1084" s="26" t="str">
        <f t="shared" si="175"/>
        <v xml:space="preserve">42 </v>
      </c>
      <c r="K1084" s="26" t="str">
        <f t="shared" si="170"/>
        <v>PR</v>
      </c>
      <c r="L1084" s="26" t="str">
        <f t="shared" si="171"/>
        <v>DGOSE</v>
      </c>
      <c r="M1084" s="26" t="str">
        <f t="shared" si="169"/>
        <v>FEDERAL</v>
      </c>
      <c r="N1084" s="26">
        <v>373</v>
      </c>
      <c r="O1084" s="26">
        <v>199</v>
      </c>
      <c r="P1084" s="26">
        <v>174</v>
      </c>
      <c r="Q1084" s="26">
        <v>14</v>
      </c>
      <c r="R1084" s="26">
        <v>1</v>
      </c>
      <c r="S1084" s="26">
        <v>13</v>
      </c>
      <c r="T1084" s="26">
        <v>11</v>
      </c>
      <c r="U1084" s="26">
        <v>25</v>
      </c>
      <c r="V1084" s="26">
        <v>1</v>
      </c>
      <c r="W1084" s="26"/>
    </row>
    <row r="1085" spans="1:23" x14ac:dyDescent="0.25">
      <c r="A1085" s="26" t="str">
        <f t="shared" si="167"/>
        <v>PRIMARIA</v>
      </c>
      <c r="B1085" s="26" t="str">
        <f>"09DPR2176Q"</f>
        <v>09DPR2176Q</v>
      </c>
      <c r="C1085" s="26" t="str">
        <f>"REPUBLICA DE BIRMANIA                                                                               "</f>
        <v xml:space="preserve">REPUBLICA DE BIRMANIA                                                                               </v>
      </c>
      <c r="D1085" s="26" t="str">
        <f>"VESPERTINO"</f>
        <v>VESPERTINO</v>
      </c>
      <c r="E1085" s="26" t="str">
        <f>"PICO DE ORIZABA 18                                                              "</f>
        <v xml:space="preserve">PICO DE ORIZABA 18                                                              </v>
      </c>
      <c r="F1085" s="26" t="str">
        <f>"LA PRADERA                                                                                                                                  "</f>
        <v xml:space="preserve">LA PRADERA                                                                                                                                  </v>
      </c>
      <c r="G1085" s="26" t="str">
        <f t="shared" si="174"/>
        <v xml:space="preserve">GUSTAVO A. MADERO                                                               </v>
      </c>
      <c r="H1085" s="26" t="str">
        <f>"266"</f>
        <v>266</v>
      </c>
      <c r="I1085" s="26" t="str">
        <f t="shared" si="168"/>
        <v>00</v>
      </c>
      <c r="J1085" s="26" t="str">
        <f t="shared" si="175"/>
        <v xml:space="preserve">42 </v>
      </c>
      <c r="K1085" s="26" t="str">
        <f t="shared" si="170"/>
        <v>PR</v>
      </c>
      <c r="L1085" s="26" t="str">
        <f t="shared" si="171"/>
        <v>DGOSE</v>
      </c>
      <c r="M1085" s="26" t="str">
        <f t="shared" si="169"/>
        <v>FEDERAL</v>
      </c>
      <c r="N1085" s="26">
        <v>90</v>
      </c>
      <c r="O1085" s="26">
        <v>48</v>
      </c>
      <c r="P1085" s="26">
        <v>42</v>
      </c>
      <c r="Q1085" s="26">
        <v>6</v>
      </c>
      <c r="R1085" s="26">
        <v>1</v>
      </c>
      <c r="S1085" s="26">
        <v>6</v>
      </c>
      <c r="T1085" s="26">
        <v>4</v>
      </c>
      <c r="U1085" s="26">
        <v>11</v>
      </c>
      <c r="V1085" s="26">
        <v>1</v>
      </c>
      <c r="W1085" s="26"/>
    </row>
    <row r="1086" spans="1:23" x14ac:dyDescent="0.25">
      <c r="A1086" s="26" t="str">
        <f t="shared" si="167"/>
        <v>PRIMARIA</v>
      </c>
      <c r="B1086" s="26" t="str">
        <f>"09DPR2177P"</f>
        <v>09DPR2177P</v>
      </c>
      <c r="C1086" s="26" t="str">
        <f>"MAESTRO MANUEL BONETA MENDEZ                                                                        "</f>
        <v xml:space="preserve">MAESTRO MANUEL BONETA MENDEZ                                                                        </v>
      </c>
      <c r="D1086" s="26" t="str">
        <f>"MATUTINO"</f>
        <v>MATUTINO</v>
      </c>
      <c r="E1086" s="26" t="str">
        <f>"NUEVO LEON Y OAXACA S/N                                                         "</f>
        <v xml:space="preserve">NUEVO LEON Y OAXACA S/N                                                         </v>
      </c>
      <c r="F1086" s="26" t="str">
        <f>"LA PROVIDENCIA                                                                                                                              "</f>
        <v xml:space="preserve">LA PROVIDENCIA                                                                                                                              </v>
      </c>
      <c r="G1086" s="26" t="str">
        <f t="shared" si="174"/>
        <v xml:space="preserve">GUSTAVO A. MADERO                                                               </v>
      </c>
      <c r="H1086" s="26" t="str">
        <f>"265"</f>
        <v>265</v>
      </c>
      <c r="I1086" s="26" t="str">
        <f t="shared" si="168"/>
        <v>00</v>
      </c>
      <c r="J1086" s="26" t="str">
        <f t="shared" si="175"/>
        <v xml:space="preserve">42 </v>
      </c>
      <c r="K1086" s="26" t="str">
        <f t="shared" si="170"/>
        <v>PR</v>
      </c>
      <c r="L1086" s="26" t="str">
        <f t="shared" si="171"/>
        <v>DGOSE</v>
      </c>
      <c r="M1086" s="26" t="str">
        <f t="shared" si="169"/>
        <v>FEDERAL</v>
      </c>
      <c r="N1086" s="26">
        <v>314</v>
      </c>
      <c r="O1086" s="26">
        <v>154</v>
      </c>
      <c r="P1086" s="26">
        <v>160</v>
      </c>
      <c r="Q1086" s="26">
        <v>12</v>
      </c>
      <c r="R1086" s="26">
        <v>1</v>
      </c>
      <c r="S1086" s="26">
        <v>12</v>
      </c>
      <c r="T1086" s="26">
        <v>8</v>
      </c>
      <c r="U1086" s="26">
        <v>21</v>
      </c>
      <c r="V1086" s="26">
        <v>1</v>
      </c>
      <c r="W1086" s="26"/>
    </row>
    <row r="1087" spans="1:23" x14ac:dyDescent="0.25">
      <c r="A1087" s="26" t="str">
        <f t="shared" si="167"/>
        <v>PRIMARIA</v>
      </c>
      <c r="B1087" s="26" t="str">
        <f>"09DPR2178O"</f>
        <v>09DPR2178O</v>
      </c>
      <c r="C1087" s="26" t="str">
        <f>"MAESTRO MANUEL BONETA MENDEZ                                                                        "</f>
        <v xml:space="preserve">MAESTRO MANUEL BONETA MENDEZ                                                                        </v>
      </c>
      <c r="D1087" s="26" t="str">
        <f>"VESPERTINO"</f>
        <v>VESPERTINO</v>
      </c>
      <c r="E1087" s="26" t="str">
        <f>"NUEVO LEON Y OAXACA                                                             "</f>
        <v xml:space="preserve">NUEVO LEON Y OAXACA                                                             </v>
      </c>
      <c r="F1087" s="26" t="str">
        <f>"LA PROVIDENCIA                                                                                                                              "</f>
        <v xml:space="preserve">LA PROVIDENCIA                                                                                                                              </v>
      </c>
      <c r="G1087" s="26" t="str">
        <f t="shared" si="174"/>
        <v xml:space="preserve">GUSTAVO A. MADERO                                                               </v>
      </c>
      <c r="H1087" s="26" t="str">
        <f>"265"</f>
        <v>265</v>
      </c>
      <c r="I1087" s="26" t="str">
        <f t="shared" si="168"/>
        <v>00</v>
      </c>
      <c r="J1087" s="26" t="str">
        <f t="shared" si="175"/>
        <v xml:space="preserve">42 </v>
      </c>
      <c r="K1087" s="26" t="str">
        <f t="shared" si="170"/>
        <v>PR</v>
      </c>
      <c r="L1087" s="26" t="str">
        <f t="shared" si="171"/>
        <v>DGOSE</v>
      </c>
      <c r="M1087" s="26" t="str">
        <f t="shared" si="169"/>
        <v>FEDERAL</v>
      </c>
      <c r="N1087" s="26">
        <v>91</v>
      </c>
      <c r="O1087" s="26">
        <v>47</v>
      </c>
      <c r="P1087" s="26">
        <v>44</v>
      </c>
      <c r="Q1087" s="26">
        <v>6</v>
      </c>
      <c r="R1087" s="26">
        <v>1</v>
      </c>
      <c r="S1087" s="26">
        <v>6</v>
      </c>
      <c r="T1087" s="26">
        <v>6</v>
      </c>
      <c r="U1087" s="26">
        <v>13</v>
      </c>
      <c r="V1087" s="26">
        <v>1</v>
      </c>
      <c r="W1087" s="26"/>
    </row>
    <row r="1088" spans="1:23" x14ac:dyDescent="0.25">
      <c r="A1088" s="26" t="str">
        <f t="shared" si="167"/>
        <v>PRIMARIA</v>
      </c>
      <c r="B1088" s="26" t="str">
        <f>"09DPR2179N"</f>
        <v>09DPR2179N</v>
      </c>
      <c r="C1088" s="26" t="str">
        <f>"REPUBLICA DE SUDAN                                                                                  "</f>
        <v xml:space="preserve">REPUBLICA DE SUDAN                                                                                  </v>
      </c>
      <c r="D1088" s="26" t="str">
        <f>"VESPERTINO"</f>
        <v>VESPERTINO</v>
      </c>
      <c r="E1088" s="26" t="str">
        <f>"EDO DE NAYARIT Y EDO DE TABASCO                                                 "</f>
        <v xml:space="preserve">EDO DE NAYARIT Y EDO DE TABASCO                                                 </v>
      </c>
      <c r="F1088" s="26" t="str">
        <f>"LA PROVIDENCIA                                                                                                                              "</f>
        <v xml:space="preserve">LA PROVIDENCIA                                                                                                                              </v>
      </c>
      <c r="G1088" s="26" t="str">
        <f t="shared" si="174"/>
        <v xml:space="preserve">GUSTAVO A. MADERO                                                               </v>
      </c>
      <c r="H1088" s="26" t="str">
        <f>"265"</f>
        <v>265</v>
      </c>
      <c r="I1088" s="26" t="str">
        <f t="shared" si="168"/>
        <v>00</v>
      </c>
      <c r="J1088" s="26" t="str">
        <f t="shared" si="175"/>
        <v xml:space="preserve">42 </v>
      </c>
      <c r="K1088" s="26" t="str">
        <f t="shared" si="170"/>
        <v>PR</v>
      </c>
      <c r="L1088" s="26" t="str">
        <f t="shared" si="171"/>
        <v>DGOSE</v>
      </c>
      <c r="M1088" s="26" t="str">
        <f t="shared" si="169"/>
        <v>FEDERAL</v>
      </c>
      <c r="N1088" s="26">
        <v>140</v>
      </c>
      <c r="O1088" s="26">
        <v>71</v>
      </c>
      <c r="P1088" s="26">
        <v>69</v>
      </c>
      <c r="Q1088" s="26">
        <v>7</v>
      </c>
      <c r="R1088" s="26">
        <v>1</v>
      </c>
      <c r="S1088" s="26">
        <v>7</v>
      </c>
      <c r="T1088" s="26">
        <v>6</v>
      </c>
      <c r="U1088" s="26">
        <v>14</v>
      </c>
      <c r="V1088" s="26">
        <v>1</v>
      </c>
      <c r="W1088" s="26"/>
    </row>
    <row r="1089" spans="1:23" x14ac:dyDescent="0.25">
      <c r="A1089" s="26" t="str">
        <f t="shared" si="167"/>
        <v>PRIMARIA</v>
      </c>
      <c r="B1089" s="26" t="str">
        <f>"09DPR2180C"</f>
        <v>09DPR2180C</v>
      </c>
      <c r="C1089" s="26" t="str">
        <f>"JAPON                                                                                               "</f>
        <v xml:space="preserve">JAPON                                                                                               </v>
      </c>
      <c r="D1089" s="26" t="str">
        <f>"MATUTINO"</f>
        <v>MATUTINO</v>
      </c>
      <c r="E1089" s="26" t="str">
        <f>"OAXACA Y DURANGO                                                                "</f>
        <v xml:space="preserve">OAXACA Y DURANGO                                                                </v>
      </c>
      <c r="F1089" s="26" t="str">
        <f>"LA PROVIDENCIA                                                                                                                              "</f>
        <v xml:space="preserve">LA PROVIDENCIA                                                                                                                              </v>
      </c>
      <c r="G1089" s="26" t="str">
        <f t="shared" si="174"/>
        <v xml:space="preserve">GUSTAVO A. MADERO                                                               </v>
      </c>
      <c r="H1089" s="26" t="str">
        <f>"265"</f>
        <v>265</v>
      </c>
      <c r="I1089" s="26" t="str">
        <f t="shared" si="168"/>
        <v>00</v>
      </c>
      <c r="J1089" s="26" t="str">
        <f t="shared" si="175"/>
        <v xml:space="preserve">42 </v>
      </c>
      <c r="K1089" s="26" t="str">
        <f t="shared" si="170"/>
        <v>PR</v>
      </c>
      <c r="L1089" s="26" t="str">
        <f t="shared" si="171"/>
        <v>DGOSE</v>
      </c>
      <c r="M1089" s="26" t="str">
        <f t="shared" si="169"/>
        <v>FEDERAL</v>
      </c>
      <c r="N1089" s="26">
        <v>479</v>
      </c>
      <c r="O1089" s="26">
        <v>261</v>
      </c>
      <c r="P1089" s="26">
        <v>218</v>
      </c>
      <c r="Q1089" s="26">
        <v>18</v>
      </c>
      <c r="R1089" s="26">
        <v>1</v>
      </c>
      <c r="S1089" s="26">
        <v>17</v>
      </c>
      <c r="T1089" s="26">
        <v>14</v>
      </c>
      <c r="U1089" s="26">
        <v>32</v>
      </c>
      <c r="V1089" s="26">
        <v>1</v>
      </c>
      <c r="W1089" s="26"/>
    </row>
    <row r="1090" spans="1:23" x14ac:dyDescent="0.25">
      <c r="A1090" s="26" t="str">
        <f t="shared" ref="A1090:A1153" si="176">"PRIMARIA"</f>
        <v>PRIMARIA</v>
      </c>
      <c r="B1090" s="26" t="str">
        <f>"09DPR2181B"</f>
        <v>09DPR2181B</v>
      </c>
      <c r="C1090" s="26" t="str">
        <f>"JAPON                                                                                               "</f>
        <v xml:space="preserve">JAPON                                                                                               </v>
      </c>
      <c r="D1090" s="26" t="str">
        <f>"VESPERTINO"</f>
        <v>VESPERTINO</v>
      </c>
      <c r="E1090" s="26" t="str">
        <f>"OAXACA Y DURANGO S/N                                                            "</f>
        <v xml:space="preserve">OAXACA Y DURANGO S/N                                                            </v>
      </c>
      <c r="F1090" s="26" t="str">
        <f>"LA PROVIDENCIA                                                                                                                              "</f>
        <v xml:space="preserve">LA PROVIDENCIA                                                                                                                              </v>
      </c>
      <c r="G1090" s="26" t="str">
        <f t="shared" si="174"/>
        <v xml:space="preserve">GUSTAVO A. MADERO                                                               </v>
      </c>
      <c r="H1090" s="26" t="str">
        <f>"265"</f>
        <v>265</v>
      </c>
      <c r="I1090" s="26" t="str">
        <f t="shared" ref="I1090:I1153" si="177">"00"</f>
        <v>00</v>
      </c>
      <c r="J1090" s="26" t="str">
        <f t="shared" si="175"/>
        <v xml:space="preserve">42 </v>
      </c>
      <c r="K1090" s="26" t="str">
        <f t="shared" si="170"/>
        <v>PR</v>
      </c>
      <c r="L1090" s="26" t="str">
        <f t="shared" si="171"/>
        <v>DGOSE</v>
      </c>
      <c r="M1090" s="26" t="str">
        <f t="shared" ref="M1090:M1153" si="178">"FEDERAL"</f>
        <v>FEDERAL</v>
      </c>
      <c r="N1090" s="26">
        <v>147</v>
      </c>
      <c r="O1090" s="26">
        <v>82</v>
      </c>
      <c r="P1090" s="26">
        <v>65</v>
      </c>
      <c r="Q1090" s="26">
        <v>8</v>
      </c>
      <c r="R1090" s="26">
        <v>1</v>
      </c>
      <c r="S1090" s="26">
        <v>6</v>
      </c>
      <c r="T1090" s="26">
        <v>6</v>
      </c>
      <c r="U1090" s="26">
        <v>13</v>
      </c>
      <c r="V1090" s="26">
        <v>1</v>
      </c>
      <c r="W1090" s="26"/>
    </row>
    <row r="1091" spans="1:23" x14ac:dyDescent="0.25">
      <c r="A1091" s="26" t="str">
        <f t="shared" si="176"/>
        <v>PRIMARIA</v>
      </c>
      <c r="B1091" s="26" t="str">
        <f>"09DPR2182A"</f>
        <v>09DPR2182A</v>
      </c>
      <c r="C1091" s="26" t="str">
        <f>"REPUBLICA DE PAKISTAN                                                                               "</f>
        <v xml:space="preserve">REPUBLICA DE PAKISTAN                                                                               </v>
      </c>
      <c r="D1091" s="26" t="str">
        <f>"JORNADA AMPLIADA"</f>
        <v>JORNADA AMPLIADA</v>
      </c>
      <c r="E1091" s="26" t="str">
        <f>"AV SAN JUAN NUM 652                                                             "</f>
        <v xml:space="preserve">AV SAN JUAN NUM 652                                                             </v>
      </c>
      <c r="F1091" s="26" t="str">
        <f>"GRANJAS MODERNAS                                                                                                                            "</f>
        <v xml:space="preserve">GRANJAS MODERNAS                                                                                                                            </v>
      </c>
      <c r="G1091" s="26" t="str">
        <f t="shared" si="174"/>
        <v xml:space="preserve">GUSTAVO A. MADERO                                                               </v>
      </c>
      <c r="H1091" s="26" t="str">
        <f>"141"</f>
        <v>141</v>
      </c>
      <c r="I1091" s="26" t="str">
        <f t="shared" si="177"/>
        <v>00</v>
      </c>
      <c r="J1091" s="26" t="str">
        <f>"41 "</f>
        <v xml:space="preserve">41 </v>
      </c>
      <c r="K1091" s="26" t="str">
        <f t="shared" si="170"/>
        <v>PR</v>
      </c>
      <c r="L1091" s="26" t="str">
        <f t="shared" si="171"/>
        <v>DGOSE</v>
      </c>
      <c r="M1091" s="26" t="str">
        <f t="shared" si="178"/>
        <v>FEDERAL</v>
      </c>
      <c r="N1091" s="26">
        <v>420</v>
      </c>
      <c r="O1091" s="26">
        <v>200</v>
      </c>
      <c r="P1091" s="26">
        <v>220</v>
      </c>
      <c r="Q1091" s="26">
        <v>16</v>
      </c>
      <c r="R1091" s="26">
        <v>1</v>
      </c>
      <c r="S1091" s="26">
        <v>16</v>
      </c>
      <c r="T1091" s="26">
        <v>10</v>
      </c>
      <c r="U1091" s="26">
        <v>27</v>
      </c>
      <c r="V1091" s="26">
        <v>1</v>
      </c>
      <c r="W1091" s="26" t="s">
        <v>2076</v>
      </c>
    </row>
    <row r="1092" spans="1:23" x14ac:dyDescent="0.25">
      <c r="A1092" s="26" t="str">
        <f t="shared" si="176"/>
        <v>PRIMARIA</v>
      </c>
      <c r="B1092" s="26" t="str">
        <f>"09DPR2184Z"</f>
        <v>09DPR2184Z</v>
      </c>
      <c r="C1092" s="26" t="str">
        <f>"TRINIDAD Y TOBAGO                                                                                   "</f>
        <v xml:space="preserve">TRINIDAD Y TOBAGO                                                                                   </v>
      </c>
      <c r="D1092" s="26" t="str">
        <f>"MATUTINO"</f>
        <v>MATUTINO</v>
      </c>
      <c r="E1092" s="26" t="str">
        <f>"JUAN FCO Y PTO ENSENADA S/N                                                     "</f>
        <v xml:space="preserve">JUAN FCO Y PTO ENSENADA S/N                                                     </v>
      </c>
      <c r="F1092" s="26" t="str">
        <f>"EL OLIVO                                                                                                                                    "</f>
        <v xml:space="preserve">EL OLIVO                                                                                                                                    </v>
      </c>
      <c r="G1092" s="26" t="str">
        <f t="shared" si="174"/>
        <v xml:space="preserve">GUSTAVO A. MADERO                                                               </v>
      </c>
      <c r="H1092" s="26" t="str">
        <f>"263"</f>
        <v>263</v>
      </c>
      <c r="I1092" s="26" t="str">
        <f t="shared" si="177"/>
        <v>00</v>
      </c>
      <c r="J1092" s="26" t="str">
        <f t="shared" ref="J1092:J1097" si="179">"42 "</f>
        <v xml:space="preserve">42 </v>
      </c>
      <c r="K1092" s="26" t="str">
        <f t="shared" si="170"/>
        <v>PR</v>
      </c>
      <c r="L1092" s="26" t="str">
        <f t="shared" si="171"/>
        <v>DGOSE</v>
      </c>
      <c r="M1092" s="26" t="str">
        <f t="shared" si="178"/>
        <v>FEDERAL</v>
      </c>
      <c r="N1092" s="26">
        <v>331</v>
      </c>
      <c r="O1092" s="26">
        <v>167</v>
      </c>
      <c r="P1092" s="26">
        <v>164</v>
      </c>
      <c r="Q1092" s="26">
        <v>11</v>
      </c>
      <c r="R1092" s="26">
        <v>1</v>
      </c>
      <c r="S1092" s="26">
        <v>10</v>
      </c>
      <c r="T1092" s="26">
        <v>9</v>
      </c>
      <c r="U1092" s="26">
        <v>20</v>
      </c>
      <c r="V1092" s="26">
        <v>1</v>
      </c>
      <c r="W1092" s="26"/>
    </row>
    <row r="1093" spans="1:23" x14ac:dyDescent="0.25">
      <c r="A1093" s="26" t="str">
        <f t="shared" si="176"/>
        <v>PRIMARIA</v>
      </c>
      <c r="B1093" s="26" t="str">
        <f>"09DPR2185Y"</f>
        <v>09DPR2185Y</v>
      </c>
      <c r="C1093" s="26" t="str">
        <f>"TRINIDAD Y TOBAGO                                                                                   "</f>
        <v xml:space="preserve">TRINIDAD Y TOBAGO                                                                                   </v>
      </c>
      <c r="D1093" s="26" t="str">
        <f>"VESPERTINO"</f>
        <v>VESPERTINO</v>
      </c>
      <c r="E1093" s="26" t="str">
        <f>"JUAN FCO Y PTO ENSENADA S/N                                                     "</f>
        <v xml:space="preserve">JUAN FCO Y PTO ENSENADA S/N                                                     </v>
      </c>
      <c r="F1093" s="26" t="str">
        <f>"EL OLIVO                                                                                                                                    "</f>
        <v xml:space="preserve">EL OLIVO                                                                                                                                    </v>
      </c>
      <c r="G1093" s="26" t="str">
        <f t="shared" si="174"/>
        <v xml:space="preserve">GUSTAVO A. MADERO                                                               </v>
      </c>
      <c r="H1093" s="26" t="str">
        <f>"263"</f>
        <v>263</v>
      </c>
      <c r="I1093" s="26" t="str">
        <f t="shared" si="177"/>
        <v>00</v>
      </c>
      <c r="J1093" s="26" t="str">
        <f t="shared" si="179"/>
        <v xml:space="preserve">42 </v>
      </c>
      <c r="K1093" s="26" t="str">
        <f t="shared" si="170"/>
        <v>PR</v>
      </c>
      <c r="L1093" s="26" t="str">
        <f t="shared" si="171"/>
        <v>DGOSE</v>
      </c>
      <c r="M1093" s="26" t="str">
        <f t="shared" si="178"/>
        <v>FEDERAL</v>
      </c>
      <c r="N1093" s="26">
        <v>125</v>
      </c>
      <c r="O1093" s="26">
        <v>60</v>
      </c>
      <c r="P1093" s="26">
        <v>65</v>
      </c>
      <c r="Q1093" s="26">
        <v>6</v>
      </c>
      <c r="R1093" s="26">
        <v>1</v>
      </c>
      <c r="S1093" s="26">
        <v>6</v>
      </c>
      <c r="T1093" s="26">
        <v>8</v>
      </c>
      <c r="U1093" s="26">
        <v>15</v>
      </c>
      <c r="V1093" s="26">
        <v>1</v>
      </c>
      <c r="W1093" s="26"/>
    </row>
    <row r="1094" spans="1:23" x14ac:dyDescent="0.25">
      <c r="A1094" s="26" t="str">
        <f t="shared" si="176"/>
        <v>PRIMARIA</v>
      </c>
      <c r="B1094" s="26" t="str">
        <f>"09DPR2186X"</f>
        <v>09DPR2186X</v>
      </c>
      <c r="C1094" s="26" t="str">
        <f>"MAHATMA GANDHI                                                                                      "</f>
        <v xml:space="preserve">MAHATMA GANDHI                                                                                      </v>
      </c>
      <c r="D1094" s="26" t="str">
        <f>"MATUTINO"</f>
        <v>MATUTINO</v>
      </c>
      <c r="E1094" s="26" t="str">
        <f>"PARQ CENTRAL NTE Y C CAMPESTRE S/N                                              "</f>
        <v xml:space="preserve">PARQ CENTRAL NTE Y C CAMPESTRE S/N                                              </v>
      </c>
      <c r="F1094" s="26" t="str">
        <f>"CAMPESTRE ARAGON                                                                                                                            "</f>
        <v xml:space="preserve">CAMPESTRE ARAGON                                                                                                                            </v>
      </c>
      <c r="G1094" s="26" t="str">
        <f t="shared" si="174"/>
        <v xml:space="preserve">GUSTAVO A. MADERO                                                               </v>
      </c>
      <c r="H1094" s="26" t="str">
        <f>"264"</f>
        <v>264</v>
      </c>
      <c r="I1094" s="26" t="str">
        <f t="shared" si="177"/>
        <v>00</v>
      </c>
      <c r="J1094" s="26" t="str">
        <f t="shared" si="179"/>
        <v xml:space="preserve">42 </v>
      </c>
      <c r="K1094" s="26" t="str">
        <f t="shared" si="170"/>
        <v>PR</v>
      </c>
      <c r="L1094" s="26" t="str">
        <f t="shared" si="171"/>
        <v>DGOSE</v>
      </c>
      <c r="M1094" s="26" t="str">
        <f t="shared" si="178"/>
        <v>FEDERAL</v>
      </c>
      <c r="N1094" s="26">
        <v>407</v>
      </c>
      <c r="O1094" s="26">
        <v>221</v>
      </c>
      <c r="P1094" s="26">
        <v>186</v>
      </c>
      <c r="Q1094" s="26">
        <v>15</v>
      </c>
      <c r="R1094" s="26">
        <v>0</v>
      </c>
      <c r="S1094" s="26">
        <v>15</v>
      </c>
      <c r="T1094" s="26">
        <v>10</v>
      </c>
      <c r="U1094" s="26">
        <v>25</v>
      </c>
      <c r="V1094" s="26">
        <v>1</v>
      </c>
      <c r="W1094" s="26"/>
    </row>
    <row r="1095" spans="1:23" x14ac:dyDescent="0.25">
      <c r="A1095" s="26" t="str">
        <f t="shared" si="176"/>
        <v>PRIMARIA</v>
      </c>
      <c r="B1095" s="26" t="str">
        <f>"09DPR2187W"</f>
        <v>09DPR2187W</v>
      </c>
      <c r="C1095" s="26" t="str">
        <f>"MAHATMA GANDHI                                                                                      "</f>
        <v xml:space="preserve">MAHATMA GANDHI                                                                                      </v>
      </c>
      <c r="D1095" s="26" t="str">
        <f>"VESPERTINO"</f>
        <v>VESPERTINO</v>
      </c>
      <c r="E1095" s="26" t="str">
        <f>"PARQ CENTRAL NTE Y C CAMPESTRE S/N                                              "</f>
        <v xml:space="preserve">PARQ CENTRAL NTE Y C CAMPESTRE S/N                                              </v>
      </c>
      <c r="F1095" s="26" t="str">
        <f>"CAMPESTRE ARAGON                                                                                                                            "</f>
        <v xml:space="preserve">CAMPESTRE ARAGON                                                                                                                            </v>
      </c>
      <c r="G1095" s="26" t="str">
        <f t="shared" si="174"/>
        <v xml:space="preserve">GUSTAVO A. MADERO                                                               </v>
      </c>
      <c r="H1095" s="26" t="str">
        <f>"264"</f>
        <v>264</v>
      </c>
      <c r="I1095" s="26" t="str">
        <f t="shared" si="177"/>
        <v>00</v>
      </c>
      <c r="J1095" s="26" t="str">
        <f t="shared" si="179"/>
        <v xml:space="preserve">42 </v>
      </c>
      <c r="K1095" s="26" t="str">
        <f t="shared" si="170"/>
        <v>PR</v>
      </c>
      <c r="L1095" s="26" t="str">
        <f t="shared" si="171"/>
        <v>DGOSE</v>
      </c>
      <c r="M1095" s="26" t="str">
        <f t="shared" si="178"/>
        <v>FEDERAL</v>
      </c>
      <c r="N1095" s="26">
        <v>148</v>
      </c>
      <c r="O1095" s="26">
        <v>80</v>
      </c>
      <c r="P1095" s="26">
        <v>68</v>
      </c>
      <c r="Q1095" s="26">
        <v>7</v>
      </c>
      <c r="R1095" s="26">
        <v>1</v>
      </c>
      <c r="S1095" s="26">
        <v>7</v>
      </c>
      <c r="T1095" s="26">
        <v>7</v>
      </c>
      <c r="U1095" s="26">
        <v>15</v>
      </c>
      <c r="V1095" s="26">
        <v>1</v>
      </c>
      <c r="W1095" s="26"/>
    </row>
    <row r="1096" spans="1:23" x14ac:dyDescent="0.25">
      <c r="A1096" s="26" t="str">
        <f t="shared" si="176"/>
        <v>PRIMARIA</v>
      </c>
      <c r="B1096" s="26" t="str">
        <f>"09DPR2189U"</f>
        <v>09DPR2189U</v>
      </c>
      <c r="C1096" s="26" t="str">
        <f>"NEPAL                                                                                               "</f>
        <v xml:space="preserve">NEPAL                                                                                               </v>
      </c>
      <c r="D1096" s="26" t="str">
        <f>"MATUTINO"</f>
        <v>MATUTINO</v>
      </c>
      <c r="E1096" s="26" t="str">
        <f>"AV 509 PLAZA 3                                                                  "</f>
        <v xml:space="preserve">AV 509 PLAZA 3                                                                  </v>
      </c>
      <c r="F1096" s="26" t="str">
        <f>"UNIDAD SAN JUAN DE ARAGON 1A SECCIO                                                                                                         "</f>
        <v xml:space="preserve">UNIDAD SAN JUAN DE ARAGON 1A SECCIO                                                                                                         </v>
      </c>
      <c r="G1096" s="26" t="str">
        <f t="shared" si="174"/>
        <v xml:space="preserve">GUSTAVO A. MADERO                                                               </v>
      </c>
      <c r="H1096" s="26" t="str">
        <f>"269"</f>
        <v>269</v>
      </c>
      <c r="I1096" s="26" t="str">
        <f t="shared" si="177"/>
        <v>00</v>
      </c>
      <c r="J1096" s="26" t="str">
        <f t="shared" si="179"/>
        <v xml:space="preserve">42 </v>
      </c>
      <c r="K1096" s="26" t="str">
        <f t="shared" si="170"/>
        <v>PR</v>
      </c>
      <c r="L1096" s="26" t="str">
        <f t="shared" si="171"/>
        <v>DGOSE</v>
      </c>
      <c r="M1096" s="26" t="str">
        <f t="shared" si="178"/>
        <v>FEDERAL</v>
      </c>
      <c r="N1096" s="26">
        <v>415</v>
      </c>
      <c r="O1096" s="26">
        <v>214</v>
      </c>
      <c r="P1096" s="26">
        <v>201</v>
      </c>
      <c r="Q1096" s="26">
        <v>17</v>
      </c>
      <c r="R1096" s="26">
        <v>1</v>
      </c>
      <c r="S1096" s="26">
        <v>15</v>
      </c>
      <c r="T1096" s="26">
        <v>12</v>
      </c>
      <c r="U1096" s="26">
        <v>28</v>
      </c>
      <c r="V1096" s="26">
        <v>1</v>
      </c>
      <c r="W1096" s="26"/>
    </row>
    <row r="1097" spans="1:23" x14ac:dyDescent="0.25">
      <c r="A1097" s="26" t="str">
        <f t="shared" si="176"/>
        <v>PRIMARIA</v>
      </c>
      <c r="B1097" s="26" t="str">
        <f>"09DPR2190J"</f>
        <v>09DPR2190J</v>
      </c>
      <c r="C1097" s="26" t="str">
        <f>"NEPAL                                                                                               "</f>
        <v xml:space="preserve">NEPAL                                                                                               </v>
      </c>
      <c r="D1097" s="26" t="str">
        <f>"VESPERTINO"</f>
        <v>VESPERTINO</v>
      </c>
      <c r="E1097" s="26" t="str">
        <f>"AV 509 PLAZA 3                                                                  "</f>
        <v xml:space="preserve">AV 509 PLAZA 3                                                                  </v>
      </c>
      <c r="F1097" s="26" t="str">
        <f>"UNIDAD SAN JUAN DE ARAGON 1A SECCIO                                                                                                         "</f>
        <v xml:space="preserve">UNIDAD SAN JUAN DE ARAGON 1A SECCIO                                                                                                         </v>
      </c>
      <c r="G1097" s="26" t="str">
        <f t="shared" si="174"/>
        <v xml:space="preserve">GUSTAVO A. MADERO                                                               </v>
      </c>
      <c r="H1097" s="26" t="str">
        <f>"269"</f>
        <v>269</v>
      </c>
      <c r="I1097" s="26" t="str">
        <f t="shared" si="177"/>
        <v>00</v>
      </c>
      <c r="J1097" s="26" t="str">
        <f t="shared" si="179"/>
        <v xml:space="preserve">42 </v>
      </c>
      <c r="K1097" s="26" t="str">
        <f t="shared" si="170"/>
        <v>PR</v>
      </c>
      <c r="L1097" s="26" t="str">
        <f t="shared" si="171"/>
        <v>DGOSE</v>
      </c>
      <c r="M1097" s="26" t="str">
        <f t="shared" si="178"/>
        <v>FEDERAL</v>
      </c>
      <c r="N1097" s="26">
        <v>92</v>
      </c>
      <c r="O1097" s="26">
        <v>53</v>
      </c>
      <c r="P1097" s="26">
        <v>39</v>
      </c>
      <c r="Q1097" s="26">
        <v>5</v>
      </c>
      <c r="R1097" s="26">
        <v>1</v>
      </c>
      <c r="S1097" s="26">
        <v>5</v>
      </c>
      <c r="T1097" s="26">
        <v>5</v>
      </c>
      <c r="U1097" s="26">
        <v>11</v>
      </c>
      <c r="V1097" s="26">
        <v>1</v>
      </c>
      <c r="W1097" s="26"/>
    </row>
    <row r="1098" spans="1:23" x14ac:dyDescent="0.25">
      <c r="A1098" s="26" t="str">
        <f t="shared" si="176"/>
        <v>PRIMARIA</v>
      </c>
      <c r="B1098" s="26" t="str">
        <f>"09DPR2191I"</f>
        <v>09DPR2191I</v>
      </c>
      <c r="C1098" s="26" t="str">
        <f>"LEYES DE REFORMA                                                                                    "</f>
        <v xml:space="preserve">LEYES DE REFORMA                                                                                    </v>
      </c>
      <c r="D1098" s="26" t="str">
        <f>"JORNADA AMPLIADA"</f>
        <v>JORNADA AMPLIADA</v>
      </c>
      <c r="E1098" s="26" t="str">
        <f>"CALLE 607 PLAZA 14                                                              "</f>
        <v xml:space="preserve">CALLE 607 PLAZA 14                                                              </v>
      </c>
      <c r="F1098" s="26" t="str">
        <f>"UNIDAD SAN JUAN DE ARAGON                                                                                                                   "</f>
        <v xml:space="preserve">UNIDAD SAN JUAN DE ARAGON                                                                                                                   </v>
      </c>
      <c r="G1098" s="26" t="str">
        <f t="shared" si="174"/>
        <v xml:space="preserve">GUSTAVO A. MADERO                                                               </v>
      </c>
      <c r="H1098" s="26" t="str">
        <f>"144"</f>
        <v>144</v>
      </c>
      <c r="I1098" s="26" t="str">
        <f t="shared" si="177"/>
        <v>00</v>
      </c>
      <c r="J1098" s="26" t="str">
        <f>"41 "</f>
        <v xml:space="preserve">41 </v>
      </c>
      <c r="K1098" s="26" t="str">
        <f t="shared" si="170"/>
        <v>PR</v>
      </c>
      <c r="L1098" s="26" t="str">
        <f t="shared" si="171"/>
        <v>DGOSE</v>
      </c>
      <c r="M1098" s="26" t="str">
        <f t="shared" si="178"/>
        <v>FEDERAL</v>
      </c>
      <c r="N1098" s="26">
        <v>414</v>
      </c>
      <c r="O1098" s="26">
        <v>205</v>
      </c>
      <c r="P1098" s="26">
        <v>209</v>
      </c>
      <c r="Q1098" s="26">
        <v>15</v>
      </c>
      <c r="R1098" s="26">
        <v>1</v>
      </c>
      <c r="S1098" s="26">
        <v>15</v>
      </c>
      <c r="T1098" s="26">
        <v>12</v>
      </c>
      <c r="U1098" s="26">
        <v>28</v>
      </c>
      <c r="V1098" s="26">
        <v>1</v>
      </c>
      <c r="W1098" s="26" t="s">
        <v>2076</v>
      </c>
    </row>
    <row r="1099" spans="1:23" x14ac:dyDescent="0.25">
      <c r="A1099" s="26" t="str">
        <f t="shared" si="176"/>
        <v>PRIMARIA</v>
      </c>
      <c r="B1099" s="26" t="str">
        <f>"09DPR2193G"</f>
        <v>09DPR2193G</v>
      </c>
      <c r="C1099" s="26" t="str">
        <f>"EMPERADOR CUAUHTEMOC                                                                                "</f>
        <v xml:space="preserve">EMPERADOR CUAUHTEMOC                                                                                </v>
      </c>
      <c r="D1099" s="26" t="str">
        <f>"MATUTINO"</f>
        <v>MATUTINO</v>
      </c>
      <c r="E1099" s="26" t="str">
        <f>"AV CUCHILLA DEL TESORO NO 174                                                   "</f>
        <v xml:space="preserve">AV CUCHILLA DEL TESORO NO 174                                                   </v>
      </c>
      <c r="F1099" s="26" t="str">
        <f>"CUCHILLA DEL TESORO                                                                                                                         "</f>
        <v xml:space="preserve">CUCHILLA DEL TESORO                                                                                                                         </v>
      </c>
      <c r="G1099" s="26" t="str">
        <f t="shared" si="174"/>
        <v xml:space="preserve">GUSTAVO A. MADERO                                                               </v>
      </c>
      <c r="H1099" s="26" t="str">
        <f>"271"</f>
        <v>271</v>
      </c>
      <c r="I1099" s="26" t="str">
        <f t="shared" si="177"/>
        <v>00</v>
      </c>
      <c r="J1099" s="26" t="str">
        <f>"42 "</f>
        <v xml:space="preserve">42 </v>
      </c>
      <c r="K1099" s="26" t="str">
        <f t="shared" si="170"/>
        <v>PR</v>
      </c>
      <c r="L1099" s="26" t="str">
        <f t="shared" si="171"/>
        <v>DGOSE</v>
      </c>
      <c r="M1099" s="26" t="str">
        <f t="shared" si="178"/>
        <v>FEDERAL</v>
      </c>
      <c r="N1099" s="26">
        <v>1006</v>
      </c>
      <c r="O1099" s="26">
        <v>496</v>
      </c>
      <c r="P1099" s="26">
        <v>510</v>
      </c>
      <c r="Q1099" s="26">
        <v>25</v>
      </c>
      <c r="R1099" s="26">
        <v>1</v>
      </c>
      <c r="S1099" s="26">
        <v>24</v>
      </c>
      <c r="T1099" s="26">
        <v>16</v>
      </c>
      <c r="U1099" s="26">
        <v>41</v>
      </c>
      <c r="V1099" s="26">
        <v>1</v>
      </c>
      <c r="W1099" s="26"/>
    </row>
    <row r="1100" spans="1:23" x14ac:dyDescent="0.25">
      <c r="A1100" s="26" t="str">
        <f t="shared" si="176"/>
        <v>PRIMARIA</v>
      </c>
      <c r="B1100" s="26" t="str">
        <f>"09DPR2194F"</f>
        <v>09DPR2194F</v>
      </c>
      <c r="C1100" s="26" t="str">
        <f>"EMPERADOR CUAUHTEMOC                                                                                "</f>
        <v xml:space="preserve">EMPERADOR CUAUHTEMOC                                                                                </v>
      </c>
      <c r="D1100" s="26" t="str">
        <f>"VESPERTINO"</f>
        <v>VESPERTINO</v>
      </c>
      <c r="E1100" s="26" t="str">
        <f>"AV CUCHILLA DEL TESORO NUM 174                                                  "</f>
        <v xml:space="preserve">AV CUCHILLA DEL TESORO NUM 174                                                  </v>
      </c>
      <c r="F1100" s="26" t="str">
        <f>"CUCHILLA DEL TESORO                                                                                                                         "</f>
        <v xml:space="preserve">CUCHILLA DEL TESORO                                                                                                                         </v>
      </c>
      <c r="G1100" s="26" t="str">
        <f t="shared" si="174"/>
        <v xml:space="preserve">GUSTAVO A. MADERO                                                               </v>
      </c>
      <c r="H1100" s="26" t="str">
        <f>"271"</f>
        <v>271</v>
      </c>
      <c r="I1100" s="26" t="str">
        <f t="shared" si="177"/>
        <v>00</v>
      </c>
      <c r="J1100" s="26" t="str">
        <f>"42 "</f>
        <v xml:space="preserve">42 </v>
      </c>
      <c r="K1100" s="26" t="str">
        <f t="shared" si="170"/>
        <v>PR</v>
      </c>
      <c r="L1100" s="26" t="str">
        <f t="shared" si="171"/>
        <v>DGOSE</v>
      </c>
      <c r="M1100" s="26" t="str">
        <f t="shared" si="178"/>
        <v>FEDERAL</v>
      </c>
      <c r="N1100" s="26">
        <v>250</v>
      </c>
      <c r="O1100" s="26">
        <v>140</v>
      </c>
      <c r="P1100" s="26">
        <v>110</v>
      </c>
      <c r="Q1100" s="26">
        <v>16</v>
      </c>
      <c r="R1100" s="26">
        <v>1</v>
      </c>
      <c r="S1100" s="26">
        <v>12</v>
      </c>
      <c r="T1100" s="26">
        <v>10</v>
      </c>
      <c r="U1100" s="26">
        <v>23</v>
      </c>
      <c r="V1100" s="26">
        <v>1</v>
      </c>
      <c r="W1100" s="26"/>
    </row>
    <row r="1101" spans="1:23" x14ac:dyDescent="0.25">
      <c r="A1101" s="26" t="str">
        <f t="shared" si="176"/>
        <v>PRIMARIA</v>
      </c>
      <c r="B1101" s="26" t="str">
        <f>"09DPR2195E"</f>
        <v>09DPR2195E</v>
      </c>
      <c r="C1101" s="26" t="str">
        <f>"FORJADORES DE LA CULTURA                                                                            "</f>
        <v xml:space="preserve">FORJADORES DE LA CULTURA                                                                            </v>
      </c>
      <c r="D1101" s="26" t="str">
        <f>"JORNADA AMPLIADA"</f>
        <v>JORNADA AMPLIADA</v>
      </c>
      <c r="E1101" s="26" t="str">
        <f>"AV. 539 PLAZA 9                                                                 "</f>
        <v xml:space="preserve">AV. 539 PLAZA 9                                                                 </v>
      </c>
      <c r="F1101" s="26" t="str">
        <f>"UNIDAD SAN JUAN DE ARAGON                                                                                                                   "</f>
        <v xml:space="preserve">UNIDAD SAN JUAN DE ARAGON                                                                                                                   </v>
      </c>
      <c r="G1101" s="26" t="str">
        <f t="shared" si="174"/>
        <v xml:space="preserve">GUSTAVO A. MADERO                                                               </v>
      </c>
      <c r="H1101" s="26" t="str">
        <f>"143"</f>
        <v>143</v>
      </c>
      <c r="I1101" s="26" t="str">
        <f t="shared" si="177"/>
        <v>00</v>
      </c>
      <c r="J1101" s="26" t="str">
        <f>"41 "</f>
        <v xml:space="preserve">41 </v>
      </c>
      <c r="K1101" s="26" t="str">
        <f t="shared" si="170"/>
        <v>PR</v>
      </c>
      <c r="L1101" s="26" t="str">
        <f t="shared" si="171"/>
        <v>DGOSE</v>
      </c>
      <c r="M1101" s="26" t="str">
        <f t="shared" si="178"/>
        <v>FEDERAL</v>
      </c>
      <c r="N1101" s="26">
        <v>554</v>
      </c>
      <c r="O1101" s="26">
        <v>273</v>
      </c>
      <c r="P1101" s="26">
        <v>281</v>
      </c>
      <c r="Q1101" s="26">
        <v>18</v>
      </c>
      <c r="R1101" s="26">
        <v>1</v>
      </c>
      <c r="S1101" s="26">
        <v>18</v>
      </c>
      <c r="T1101" s="26">
        <v>13</v>
      </c>
      <c r="U1101" s="26">
        <v>32</v>
      </c>
      <c r="V1101" s="26">
        <v>1</v>
      </c>
      <c r="W1101" s="26" t="s">
        <v>2076</v>
      </c>
    </row>
    <row r="1102" spans="1:23" x14ac:dyDescent="0.25">
      <c r="A1102" s="26" t="str">
        <f t="shared" si="176"/>
        <v>PRIMARIA</v>
      </c>
      <c r="B1102" s="26" t="str">
        <f>"09DPR2196D"</f>
        <v>09DPR2196D</v>
      </c>
      <c r="C1102" s="26" t="str">
        <f>"GRAL. PEDRO OGAZON                                                                                  "</f>
        <v xml:space="preserve">GRAL. PEDRO OGAZON                                                                                  </v>
      </c>
      <c r="D1102" s="26" t="str">
        <f>"MATUTINO"</f>
        <v>MATUTINO</v>
      </c>
      <c r="E1102" s="26" t="str">
        <f>"AV 412-A NUM 258 VI SECCION                                                     "</f>
        <v xml:space="preserve">AV 412-A NUM 258 VI SECCION                                                     </v>
      </c>
      <c r="F1102" s="26" t="str">
        <f>"UNIDAD SAN JUAN DE ARAGON 6A SECCIO                                                                                                         "</f>
        <v xml:space="preserve">UNIDAD SAN JUAN DE ARAGON 6A SECCIO                                                                                                         </v>
      </c>
      <c r="G1102" s="26" t="str">
        <f t="shared" si="174"/>
        <v xml:space="preserve">GUSTAVO A. MADERO                                                               </v>
      </c>
      <c r="H1102" s="26" t="str">
        <f>"267"</f>
        <v>267</v>
      </c>
      <c r="I1102" s="26" t="str">
        <f t="shared" si="177"/>
        <v>00</v>
      </c>
      <c r="J1102" s="26" t="str">
        <f>"42 "</f>
        <v xml:space="preserve">42 </v>
      </c>
      <c r="K1102" s="26" t="str">
        <f t="shared" si="170"/>
        <v>PR</v>
      </c>
      <c r="L1102" s="26" t="str">
        <f t="shared" si="171"/>
        <v>DGOSE</v>
      </c>
      <c r="M1102" s="26" t="str">
        <f t="shared" si="178"/>
        <v>FEDERAL</v>
      </c>
      <c r="N1102" s="26">
        <v>383</v>
      </c>
      <c r="O1102" s="26">
        <v>168</v>
      </c>
      <c r="P1102" s="26">
        <v>215</v>
      </c>
      <c r="Q1102" s="26">
        <v>14</v>
      </c>
      <c r="R1102" s="26">
        <v>1</v>
      </c>
      <c r="S1102" s="26">
        <v>14</v>
      </c>
      <c r="T1102" s="26">
        <v>12</v>
      </c>
      <c r="U1102" s="26">
        <v>27</v>
      </c>
      <c r="V1102" s="26">
        <v>1</v>
      </c>
      <c r="W1102" s="26"/>
    </row>
    <row r="1103" spans="1:23" x14ac:dyDescent="0.25">
      <c r="A1103" s="26" t="str">
        <f t="shared" si="176"/>
        <v>PRIMARIA</v>
      </c>
      <c r="B1103" s="26" t="str">
        <f>"09DPR2197C"</f>
        <v>09DPR2197C</v>
      </c>
      <c r="C1103" s="26" t="str">
        <f>"GRAL. PEDRO OGAZON                                                                                  "</f>
        <v xml:space="preserve">GRAL. PEDRO OGAZON                                                                                  </v>
      </c>
      <c r="D1103" s="26" t="str">
        <f>"VESPERTINO"</f>
        <v>VESPERTINO</v>
      </c>
      <c r="E1103" s="26" t="str">
        <f>"AV 412 -A NUM 258 VI SECCION                                                    "</f>
        <v xml:space="preserve">AV 412 -A NUM 258 VI SECCION                                                    </v>
      </c>
      <c r="F1103" s="26" t="str">
        <f>"UNIDAD SAN JUAN DE ARAGON 6A SECCIO                                                                                                         "</f>
        <v xml:space="preserve">UNIDAD SAN JUAN DE ARAGON 6A SECCIO                                                                                                         </v>
      </c>
      <c r="G1103" s="26" t="str">
        <f t="shared" si="174"/>
        <v xml:space="preserve">GUSTAVO A. MADERO                                                               </v>
      </c>
      <c r="H1103" s="26" t="str">
        <f>"267"</f>
        <v>267</v>
      </c>
      <c r="I1103" s="26" t="str">
        <f t="shared" si="177"/>
        <v>00</v>
      </c>
      <c r="J1103" s="26" t="str">
        <f>"42 "</f>
        <v xml:space="preserve">42 </v>
      </c>
      <c r="K1103" s="26" t="str">
        <f t="shared" si="170"/>
        <v>PR</v>
      </c>
      <c r="L1103" s="26" t="str">
        <f t="shared" si="171"/>
        <v>DGOSE</v>
      </c>
      <c r="M1103" s="26" t="str">
        <f t="shared" si="178"/>
        <v>FEDERAL</v>
      </c>
      <c r="N1103" s="26">
        <v>215</v>
      </c>
      <c r="O1103" s="26">
        <v>112</v>
      </c>
      <c r="P1103" s="26">
        <v>103</v>
      </c>
      <c r="Q1103" s="26">
        <v>11</v>
      </c>
      <c r="R1103" s="26">
        <v>1</v>
      </c>
      <c r="S1103" s="26">
        <v>11</v>
      </c>
      <c r="T1103" s="26">
        <v>8</v>
      </c>
      <c r="U1103" s="26">
        <v>20</v>
      </c>
      <c r="V1103" s="26">
        <v>1</v>
      </c>
      <c r="W1103" s="26"/>
    </row>
    <row r="1104" spans="1:23" x14ac:dyDescent="0.25">
      <c r="A1104" s="26" t="str">
        <f t="shared" si="176"/>
        <v>PRIMARIA</v>
      </c>
      <c r="B1104" s="26" t="str">
        <f>"09DPR2198B"</f>
        <v>09DPR2198B</v>
      </c>
      <c r="C1104" s="26" t="str">
        <f>"PROFR. OCAMPO NABOR BOLAÑOS SOTO                                                                    "</f>
        <v xml:space="preserve">PROFR. OCAMPO NABOR BOLAÑOS SOTO                                                                    </v>
      </c>
      <c r="D1104" s="26" t="str">
        <f>"JORNADA AMPLIADA"</f>
        <v>JORNADA AMPLIADA</v>
      </c>
      <c r="E1104" s="26" t="str">
        <f>"CALLE 1513 Y AV. 414 A PLAZA 33                                                 "</f>
        <v xml:space="preserve">CALLE 1513 Y AV. 414 A PLAZA 33                                                 </v>
      </c>
      <c r="F1104" s="26" t="str">
        <f>"UNIDAD SAN JUAN DE ARAGON 6A SECCIO                                                                                                         "</f>
        <v xml:space="preserve">UNIDAD SAN JUAN DE ARAGON 6A SECCIO                                                                                                         </v>
      </c>
      <c r="G1104" s="26" t="str">
        <f t="shared" si="174"/>
        <v xml:space="preserve">GUSTAVO A. MADERO                                                               </v>
      </c>
      <c r="H1104" s="26" t="str">
        <f>"142"</f>
        <v>142</v>
      </c>
      <c r="I1104" s="26" t="str">
        <f t="shared" si="177"/>
        <v>00</v>
      </c>
      <c r="J1104" s="26" t="str">
        <f>"41 "</f>
        <v xml:space="preserve">41 </v>
      </c>
      <c r="K1104" s="26" t="str">
        <f t="shared" si="170"/>
        <v>PR</v>
      </c>
      <c r="L1104" s="26" t="str">
        <f t="shared" si="171"/>
        <v>DGOSE</v>
      </c>
      <c r="M1104" s="26" t="str">
        <f t="shared" si="178"/>
        <v>FEDERAL</v>
      </c>
      <c r="N1104" s="26">
        <v>555</v>
      </c>
      <c r="O1104" s="26">
        <v>255</v>
      </c>
      <c r="P1104" s="26">
        <v>300</v>
      </c>
      <c r="Q1104" s="26">
        <v>18</v>
      </c>
      <c r="R1104" s="26">
        <v>1</v>
      </c>
      <c r="S1104" s="26">
        <v>18</v>
      </c>
      <c r="T1104" s="26">
        <v>14</v>
      </c>
      <c r="U1104" s="26">
        <v>33</v>
      </c>
      <c r="V1104" s="26">
        <v>1</v>
      </c>
      <c r="W1104" s="26" t="s">
        <v>2076</v>
      </c>
    </row>
    <row r="1105" spans="1:23" x14ac:dyDescent="0.25">
      <c r="A1105" s="26" t="str">
        <f t="shared" si="176"/>
        <v>PRIMARIA</v>
      </c>
      <c r="B1105" s="26" t="str">
        <f>"09DPR2200Z"</f>
        <v>09DPR2200Z</v>
      </c>
      <c r="C1105" s="26" t="str">
        <f>"SIRIA                                                                                               "</f>
        <v xml:space="preserve">SIRIA                                                                                               </v>
      </c>
      <c r="D1105" s="26" t="str">
        <f>"JORNADA AMPLIADA"</f>
        <v>JORNADA AMPLIADA</v>
      </c>
      <c r="E1105" s="26" t="str">
        <f>"JAPON Y CANTON S/N                                                              "</f>
        <v xml:space="preserve">JAPON Y CANTON S/N                                                              </v>
      </c>
      <c r="F1105" s="26" t="str">
        <f>"ROMERO RUBIO                                                                                                                                "</f>
        <v xml:space="preserve">ROMERO RUBIO                                                                                                                                </v>
      </c>
      <c r="G1105" s="26" t="str">
        <f>"VENUSTIANO CARRANZA                                                             "</f>
        <v xml:space="preserve">VENUSTIANO CARRANZA                                                             </v>
      </c>
      <c r="H1105" s="26" t="str">
        <f>"420"</f>
        <v>420</v>
      </c>
      <c r="I1105" s="26" t="str">
        <f t="shared" si="177"/>
        <v>00</v>
      </c>
      <c r="J1105" s="26" t="str">
        <f>"44 "</f>
        <v xml:space="preserve">44 </v>
      </c>
      <c r="K1105" s="26" t="str">
        <f t="shared" ref="K1105:K1142" si="180">"PR"</f>
        <v>PR</v>
      </c>
      <c r="L1105" s="26" t="str">
        <f t="shared" ref="L1105:L1142" si="181">"DGOSE"</f>
        <v>DGOSE</v>
      </c>
      <c r="M1105" s="26" t="str">
        <f t="shared" si="178"/>
        <v>FEDERAL</v>
      </c>
      <c r="N1105" s="26">
        <v>455</v>
      </c>
      <c r="O1105" s="26">
        <v>232</v>
      </c>
      <c r="P1105" s="26">
        <v>223</v>
      </c>
      <c r="Q1105" s="26">
        <v>16</v>
      </c>
      <c r="R1105" s="26">
        <v>1</v>
      </c>
      <c r="S1105" s="26">
        <v>15</v>
      </c>
      <c r="T1105" s="26">
        <v>13</v>
      </c>
      <c r="U1105" s="26">
        <v>29</v>
      </c>
      <c r="V1105" s="26">
        <v>1</v>
      </c>
      <c r="W1105" s="26" t="s">
        <v>2076</v>
      </c>
    </row>
    <row r="1106" spans="1:23" x14ac:dyDescent="0.25">
      <c r="A1106" s="26" t="str">
        <f t="shared" si="176"/>
        <v>PRIMARIA</v>
      </c>
      <c r="B1106" s="26" t="str">
        <f>"09DPR2203X"</f>
        <v>09DPR2203X</v>
      </c>
      <c r="C1106" s="26" t="str">
        <f>"PROFR. BENJAMIN GURROLA CARRERA                                                                     "</f>
        <v xml:space="preserve">PROFR. BENJAMIN GURROLA CARRERA                                                                     </v>
      </c>
      <c r="D1106" s="26" t="str">
        <f>"MATUTINO"</f>
        <v>MATUTINO</v>
      </c>
      <c r="E1106" s="26" t="str">
        <f>"AV. ING. EDUARDO MOLINA Y OTE. 95                                               "</f>
        <v xml:space="preserve">AV. ING. EDUARDO MOLINA Y OTE. 95                                               </v>
      </c>
      <c r="F1106" s="26" t="str">
        <f>"NUEVA TENOCHTITLAN                                                                                                                          "</f>
        <v xml:space="preserve">NUEVA TENOCHTITLAN                                                                                                                          </v>
      </c>
      <c r="G1106" s="26" t="str">
        <f>"GUSTAVO A. MADERO                                                               "</f>
        <v xml:space="preserve">GUSTAVO A. MADERO                                                               </v>
      </c>
      <c r="H1106" s="26" t="str">
        <f>"251"</f>
        <v>251</v>
      </c>
      <c r="I1106" s="26" t="str">
        <f t="shared" si="177"/>
        <v>00</v>
      </c>
      <c r="J1106" s="26" t="str">
        <f>"42 "</f>
        <v xml:space="preserve">42 </v>
      </c>
      <c r="K1106" s="26" t="str">
        <f t="shared" si="180"/>
        <v>PR</v>
      </c>
      <c r="L1106" s="26" t="str">
        <f t="shared" si="181"/>
        <v>DGOSE</v>
      </c>
      <c r="M1106" s="26" t="str">
        <f t="shared" si="178"/>
        <v>FEDERAL</v>
      </c>
      <c r="N1106" s="26">
        <v>414</v>
      </c>
      <c r="O1106" s="26">
        <v>186</v>
      </c>
      <c r="P1106" s="26">
        <v>228</v>
      </c>
      <c r="Q1106" s="26">
        <v>14</v>
      </c>
      <c r="R1106" s="26">
        <v>0</v>
      </c>
      <c r="S1106" s="26">
        <v>12</v>
      </c>
      <c r="T1106" s="26">
        <v>12</v>
      </c>
      <c r="U1106" s="26">
        <v>24</v>
      </c>
      <c r="V1106" s="26">
        <v>1</v>
      </c>
      <c r="W1106" s="26"/>
    </row>
    <row r="1107" spans="1:23" x14ac:dyDescent="0.25">
      <c r="A1107" s="26" t="str">
        <f t="shared" si="176"/>
        <v>PRIMARIA</v>
      </c>
      <c r="B1107" s="26" t="str">
        <f>"09DPR2204W"</f>
        <v>09DPR2204W</v>
      </c>
      <c r="C1107" s="26" t="str">
        <f>"PROFR. BENJAMIN GURROLA CARRERA                                                                     "</f>
        <v xml:space="preserve">PROFR. BENJAMIN GURROLA CARRERA                                                                     </v>
      </c>
      <c r="D1107" s="26" t="str">
        <f>"VESPERTINO"</f>
        <v>VESPERTINO</v>
      </c>
      <c r="E1107" s="26" t="str">
        <f>"AV. ING. EDUARDO MOLINA Y OTE. 95                                               "</f>
        <v xml:space="preserve">AV. ING. EDUARDO MOLINA Y OTE. 95                                               </v>
      </c>
      <c r="F1107" s="26" t="str">
        <f>"NUEVA TENOCHTITLAN                                                                                                                          "</f>
        <v xml:space="preserve">NUEVA TENOCHTITLAN                                                                                                                          </v>
      </c>
      <c r="G1107" s="26" t="str">
        <f>"GUSTAVO A. MADERO                                                               "</f>
        <v xml:space="preserve">GUSTAVO A. MADERO                                                               </v>
      </c>
      <c r="H1107" s="26" t="str">
        <f>"251"</f>
        <v>251</v>
      </c>
      <c r="I1107" s="26" t="str">
        <f t="shared" si="177"/>
        <v>00</v>
      </c>
      <c r="J1107" s="26" t="str">
        <f>"42 "</f>
        <v xml:space="preserve">42 </v>
      </c>
      <c r="K1107" s="26" t="str">
        <f t="shared" si="180"/>
        <v>PR</v>
      </c>
      <c r="L1107" s="26" t="str">
        <f t="shared" si="181"/>
        <v>DGOSE</v>
      </c>
      <c r="M1107" s="26" t="str">
        <f t="shared" si="178"/>
        <v>FEDERAL</v>
      </c>
      <c r="N1107" s="26">
        <v>64</v>
      </c>
      <c r="O1107" s="26">
        <v>33</v>
      </c>
      <c r="P1107" s="26">
        <v>31</v>
      </c>
      <c r="Q1107" s="26">
        <v>5</v>
      </c>
      <c r="R1107" s="26">
        <v>1</v>
      </c>
      <c r="S1107" s="26">
        <v>5</v>
      </c>
      <c r="T1107" s="26">
        <v>6</v>
      </c>
      <c r="U1107" s="26">
        <v>12</v>
      </c>
      <c r="V1107" s="26">
        <v>1</v>
      </c>
      <c r="W1107" s="26"/>
    </row>
    <row r="1108" spans="1:23" x14ac:dyDescent="0.25">
      <c r="A1108" s="26" t="str">
        <f t="shared" si="176"/>
        <v>PRIMARIA</v>
      </c>
      <c r="B1108" s="26" t="str">
        <f>"09DPR2205V"</f>
        <v>09DPR2205V</v>
      </c>
      <c r="C1108" s="26" t="str">
        <f>"MARRUECOS                                                                                           "</f>
        <v xml:space="preserve">MARRUECOS                                                                                           </v>
      </c>
      <c r="D1108" s="26" t="str">
        <f>"TIEMPO COMPLETO"</f>
        <v>TIEMPO COMPLETO</v>
      </c>
      <c r="E1108" s="26" t="str">
        <f>"RIO CONSULADO Y QUETZALCOATL S/N                                                "</f>
        <v xml:space="preserve">RIO CONSULADO Y QUETZALCOATL S/N                                                </v>
      </c>
      <c r="F1108" s="26" t="str">
        <f>"PEÑON DE LOS BAÑOS                                                                                                                          "</f>
        <v xml:space="preserve">PEÑON DE LOS BAÑOS                                                                                                                          </v>
      </c>
      <c r="G1108" s="26" t="str">
        <f>"VENUSTIANO CARRANZA                                                             "</f>
        <v xml:space="preserve">VENUSTIANO CARRANZA                                                             </v>
      </c>
      <c r="H1108" s="26" t="str">
        <f>"421"</f>
        <v>421</v>
      </c>
      <c r="I1108" s="26" t="str">
        <f t="shared" si="177"/>
        <v>00</v>
      </c>
      <c r="J1108" s="26" t="str">
        <f>"44 "</f>
        <v xml:space="preserve">44 </v>
      </c>
      <c r="K1108" s="26" t="str">
        <f t="shared" si="180"/>
        <v>PR</v>
      </c>
      <c r="L1108" s="26" t="str">
        <f t="shared" si="181"/>
        <v>DGOSE</v>
      </c>
      <c r="M1108" s="26" t="str">
        <f t="shared" si="178"/>
        <v>FEDERAL</v>
      </c>
      <c r="N1108" s="26">
        <v>311</v>
      </c>
      <c r="O1108" s="26">
        <v>157</v>
      </c>
      <c r="P1108" s="26">
        <v>154</v>
      </c>
      <c r="Q1108" s="26">
        <v>12</v>
      </c>
      <c r="R1108" s="26">
        <v>1</v>
      </c>
      <c r="S1108" s="26">
        <v>12</v>
      </c>
      <c r="T1108" s="26">
        <v>14</v>
      </c>
      <c r="U1108" s="26">
        <v>27</v>
      </c>
      <c r="V1108" s="26">
        <v>1</v>
      </c>
      <c r="W1108" s="26" t="s">
        <v>218</v>
      </c>
    </row>
    <row r="1109" spans="1:23" x14ac:dyDescent="0.25">
      <c r="A1109" s="26" t="str">
        <f t="shared" si="176"/>
        <v>PRIMARIA</v>
      </c>
      <c r="B1109" s="26" t="str">
        <f>"09DPR2207T"</f>
        <v>09DPR2207T</v>
      </c>
      <c r="C1109" s="26" t="str">
        <f>"PROFR. ABEL GAMIZ OLIVAS                                                                            "</f>
        <v xml:space="preserve">PROFR. ABEL GAMIZ OLIVAS                                                                            </v>
      </c>
      <c r="D1109" s="26" t="str">
        <f>"JORNADA AMPLIADA"</f>
        <v>JORNADA AMPLIADA</v>
      </c>
      <c r="E1109" s="26" t="str">
        <f>"NORTE 200 S/N ESQUINA NORTE 198                                                 "</f>
        <v xml:space="preserve">NORTE 200 S/N ESQUINA NORTE 198                                                 </v>
      </c>
      <c r="F1109" s="26" t="str">
        <f>"PENSADOR MEXICANO                                                                                                                           "</f>
        <v xml:space="preserve">PENSADOR MEXICANO                                                                                                                           </v>
      </c>
      <c r="G1109" s="26" t="str">
        <f>"VENUSTIANO CARRANZA                                                             "</f>
        <v xml:space="preserve">VENUSTIANO CARRANZA                                                             </v>
      </c>
      <c r="H1109" s="26" t="str">
        <f>"421"</f>
        <v>421</v>
      </c>
      <c r="I1109" s="26" t="str">
        <f t="shared" si="177"/>
        <v>00</v>
      </c>
      <c r="J1109" s="26" t="str">
        <f>"44 "</f>
        <v xml:space="preserve">44 </v>
      </c>
      <c r="K1109" s="26" t="str">
        <f t="shared" si="180"/>
        <v>PR</v>
      </c>
      <c r="L1109" s="26" t="str">
        <f t="shared" si="181"/>
        <v>DGOSE</v>
      </c>
      <c r="M1109" s="26" t="str">
        <f t="shared" si="178"/>
        <v>FEDERAL</v>
      </c>
      <c r="N1109" s="26">
        <v>359</v>
      </c>
      <c r="O1109" s="26">
        <v>168</v>
      </c>
      <c r="P1109" s="26">
        <v>191</v>
      </c>
      <c r="Q1109" s="26">
        <v>13</v>
      </c>
      <c r="R1109" s="26">
        <v>0</v>
      </c>
      <c r="S1109" s="26">
        <v>13</v>
      </c>
      <c r="T1109" s="26">
        <v>12</v>
      </c>
      <c r="U1109" s="26">
        <v>25</v>
      </c>
      <c r="V1109" s="26">
        <v>1</v>
      </c>
      <c r="W1109" s="26" t="s">
        <v>2076</v>
      </c>
    </row>
    <row r="1110" spans="1:23" x14ac:dyDescent="0.25">
      <c r="A1110" s="26" t="str">
        <f t="shared" si="176"/>
        <v>PRIMARIA</v>
      </c>
      <c r="B1110" s="26" t="str">
        <f>"09DPR2208S"</f>
        <v>09DPR2208S</v>
      </c>
      <c r="C1110" s="26" t="str">
        <f>"REPUBLICA DE ISLANDIA                                                                               "</f>
        <v xml:space="preserve">REPUBLICA DE ISLANDIA                                                                               </v>
      </c>
      <c r="D1110" s="26" t="str">
        <f>"MATUTINO"</f>
        <v>MATUTINO</v>
      </c>
      <c r="E1110" s="26" t="str">
        <f>"NTE 174 ESQ. CON TRANSVAL                                                       "</f>
        <v xml:space="preserve">NTE 174 ESQ. CON TRANSVAL                                                       </v>
      </c>
      <c r="F1110" s="26" t="str">
        <f>"PENSADOR MEXICANO                                                                                                                           "</f>
        <v xml:space="preserve">PENSADOR MEXICANO                                                                                                                           </v>
      </c>
      <c r="G1110" s="26" t="str">
        <f>"VENUSTIANO CARRANZA                                                             "</f>
        <v xml:space="preserve">VENUSTIANO CARRANZA                                                             </v>
      </c>
      <c r="H1110" s="26" t="str">
        <f>"345"</f>
        <v>345</v>
      </c>
      <c r="I1110" s="26" t="str">
        <f t="shared" si="177"/>
        <v>00</v>
      </c>
      <c r="J1110" s="26" t="str">
        <f>"43 "</f>
        <v xml:space="preserve">43 </v>
      </c>
      <c r="K1110" s="26" t="str">
        <f t="shared" si="180"/>
        <v>PR</v>
      </c>
      <c r="L1110" s="26" t="str">
        <f t="shared" si="181"/>
        <v>DGOSE</v>
      </c>
      <c r="M1110" s="26" t="str">
        <f t="shared" si="178"/>
        <v>FEDERAL</v>
      </c>
      <c r="N1110" s="26">
        <v>314</v>
      </c>
      <c r="O1110" s="26">
        <v>157</v>
      </c>
      <c r="P1110" s="26">
        <v>157</v>
      </c>
      <c r="Q1110" s="26">
        <v>14</v>
      </c>
      <c r="R1110" s="26">
        <v>1</v>
      </c>
      <c r="S1110" s="26">
        <v>14</v>
      </c>
      <c r="T1110" s="26">
        <v>7</v>
      </c>
      <c r="U1110" s="26">
        <v>22</v>
      </c>
      <c r="V1110" s="26">
        <v>1</v>
      </c>
      <c r="W1110" s="26"/>
    </row>
    <row r="1111" spans="1:23" x14ac:dyDescent="0.25">
      <c r="A1111" s="26" t="str">
        <f t="shared" si="176"/>
        <v>PRIMARIA</v>
      </c>
      <c r="B1111" s="26" t="str">
        <f>"09DPR2209R"</f>
        <v>09DPR2209R</v>
      </c>
      <c r="C1111" s="26" t="str">
        <f>"REPUBLICA DE ISLANDIA                                                                               "</f>
        <v xml:space="preserve">REPUBLICA DE ISLANDIA                                                                               </v>
      </c>
      <c r="D1111" s="26" t="str">
        <f>"VESPERTINO"</f>
        <v>VESPERTINO</v>
      </c>
      <c r="E1111" s="26" t="str">
        <f>"NTE 174 ESQ. CON TRANSVAL                                                       "</f>
        <v xml:space="preserve">NTE 174 ESQ. CON TRANSVAL                                                       </v>
      </c>
      <c r="F1111" s="26" t="str">
        <f>"PENSADOR MEXICANO                                                                                                                           "</f>
        <v xml:space="preserve">PENSADOR MEXICANO                                                                                                                           </v>
      </c>
      <c r="G1111" s="26" t="str">
        <f>"VENUSTIANO CARRANZA                                                             "</f>
        <v xml:space="preserve">VENUSTIANO CARRANZA                                                             </v>
      </c>
      <c r="H1111" s="26" t="str">
        <f>"345"</f>
        <v>345</v>
      </c>
      <c r="I1111" s="26" t="str">
        <f t="shared" si="177"/>
        <v>00</v>
      </c>
      <c r="J1111" s="26" t="str">
        <f>"43 "</f>
        <v xml:space="preserve">43 </v>
      </c>
      <c r="K1111" s="26" t="str">
        <f t="shared" si="180"/>
        <v>PR</v>
      </c>
      <c r="L1111" s="26" t="str">
        <f t="shared" si="181"/>
        <v>DGOSE</v>
      </c>
      <c r="M1111" s="26" t="str">
        <f t="shared" si="178"/>
        <v>FEDERAL</v>
      </c>
      <c r="N1111" s="26">
        <v>101</v>
      </c>
      <c r="O1111" s="26">
        <v>54</v>
      </c>
      <c r="P1111" s="26">
        <v>47</v>
      </c>
      <c r="Q1111" s="26">
        <v>6</v>
      </c>
      <c r="R1111" s="26">
        <v>1</v>
      </c>
      <c r="S1111" s="26">
        <v>6</v>
      </c>
      <c r="T1111" s="26">
        <v>3</v>
      </c>
      <c r="U1111" s="26">
        <v>10</v>
      </c>
      <c r="V1111" s="26">
        <v>1</v>
      </c>
      <c r="W1111" s="26"/>
    </row>
    <row r="1112" spans="1:23" x14ac:dyDescent="0.25">
      <c r="A1112" s="26" t="str">
        <f t="shared" si="176"/>
        <v>PRIMARIA</v>
      </c>
      <c r="B1112" s="26" t="str">
        <f>"09DPR2213D"</f>
        <v>09DPR2213D</v>
      </c>
      <c r="C1112" s="26" t="str">
        <f>"AMISTAD MUNDIAL                                                                                     "</f>
        <v xml:space="preserve">AMISTAD MUNDIAL                                                                                     </v>
      </c>
      <c r="D1112" s="26" t="str">
        <f>"TIEMPO COMPLETO"</f>
        <v>TIEMPO COMPLETO</v>
      </c>
      <c r="E1112" s="26" t="str">
        <f>"ROSA TREPADORA Y PONIENTE                                                       "</f>
        <v xml:space="preserve">ROSA TREPADORA Y PONIENTE                                                       </v>
      </c>
      <c r="F1112" s="26" t="str">
        <f>"MOLINO DE ROSAS                                                                                                                             "</f>
        <v xml:space="preserve">MOLINO DE ROSAS                                                                                                                             </v>
      </c>
      <c r="G1112" s="26" t="str">
        <f t="shared" ref="G1112:G1120" si="182">"ALVARO OBREGON                                                                  "</f>
        <v xml:space="preserve">ALVARO OBREGON                                                                  </v>
      </c>
      <c r="H1112" s="26" t="str">
        <f>"402"</f>
        <v>402</v>
      </c>
      <c r="I1112" s="26" t="str">
        <f t="shared" si="177"/>
        <v>00</v>
      </c>
      <c r="J1112" s="26" t="str">
        <f>"44 "</f>
        <v xml:space="preserve">44 </v>
      </c>
      <c r="K1112" s="26" t="str">
        <f t="shared" si="180"/>
        <v>PR</v>
      </c>
      <c r="L1112" s="26" t="str">
        <f t="shared" si="181"/>
        <v>DGOSE</v>
      </c>
      <c r="M1112" s="26" t="str">
        <f t="shared" si="178"/>
        <v>FEDERAL</v>
      </c>
      <c r="N1112" s="26">
        <v>365</v>
      </c>
      <c r="O1112" s="26">
        <v>180</v>
      </c>
      <c r="P1112" s="26">
        <v>185</v>
      </c>
      <c r="Q1112" s="26">
        <v>11</v>
      </c>
      <c r="R1112" s="26">
        <v>1</v>
      </c>
      <c r="S1112" s="26">
        <v>11</v>
      </c>
      <c r="T1112" s="26">
        <v>9</v>
      </c>
      <c r="U1112" s="26">
        <v>21</v>
      </c>
      <c r="V1112" s="26">
        <v>1</v>
      </c>
      <c r="W1112" s="26" t="s">
        <v>218</v>
      </c>
    </row>
    <row r="1113" spans="1:23" x14ac:dyDescent="0.25">
      <c r="A1113" s="26" t="str">
        <f t="shared" si="176"/>
        <v>PRIMARIA</v>
      </c>
      <c r="B1113" s="26" t="str">
        <f>"09DPR2214C"</f>
        <v>09DPR2214C</v>
      </c>
      <c r="C1113" s="26" t="str">
        <f>"FORD 20                                                                                             "</f>
        <v xml:space="preserve">FORD 20                                                                                             </v>
      </c>
      <c r="D1113" s="26" t="str">
        <f>"MATUTINO"</f>
        <v>MATUTINO</v>
      </c>
      <c r="E1113" s="26" t="str">
        <f>"PETRELES S\N                                                                    "</f>
        <v xml:space="preserve">PETRELES S\N                                                                    </v>
      </c>
      <c r="F1113" s="26" t="str">
        <f>"PUENTE COLORADO                                                                                                                             "</f>
        <v xml:space="preserve">PUENTE COLORADO                                                                                                                             </v>
      </c>
      <c r="G1113" s="26" t="str">
        <f t="shared" si="182"/>
        <v xml:space="preserve">ALVARO OBREGON                                                                  </v>
      </c>
      <c r="H1113" s="26" t="str">
        <f>"322"</f>
        <v>322</v>
      </c>
      <c r="I1113" s="26" t="str">
        <f t="shared" si="177"/>
        <v>00</v>
      </c>
      <c r="J1113" s="26" t="str">
        <f>"43 "</f>
        <v xml:space="preserve">43 </v>
      </c>
      <c r="K1113" s="26" t="str">
        <f t="shared" si="180"/>
        <v>PR</v>
      </c>
      <c r="L1113" s="26" t="str">
        <f t="shared" si="181"/>
        <v>DGOSE</v>
      </c>
      <c r="M1113" s="26" t="str">
        <f t="shared" si="178"/>
        <v>FEDERAL</v>
      </c>
      <c r="N1113" s="26">
        <v>403</v>
      </c>
      <c r="O1113" s="26">
        <v>211</v>
      </c>
      <c r="P1113" s="26">
        <v>192</v>
      </c>
      <c r="Q1113" s="26">
        <v>14</v>
      </c>
      <c r="R1113" s="26">
        <v>1</v>
      </c>
      <c r="S1113" s="26">
        <v>14</v>
      </c>
      <c r="T1113" s="26">
        <v>6</v>
      </c>
      <c r="U1113" s="26">
        <v>21</v>
      </c>
      <c r="V1113" s="26">
        <v>1</v>
      </c>
      <c r="W1113" s="26"/>
    </row>
    <row r="1114" spans="1:23" x14ac:dyDescent="0.25">
      <c r="A1114" s="26" t="str">
        <f t="shared" si="176"/>
        <v>PRIMARIA</v>
      </c>
      <c r="B1114" s="26" t="str">
        <f>"09DPR2215B"</f>
        <v>09DPR2215B</v>
      </c>
      <c r="C1114" s="26" t="str">
        <f>"THAILANDIA                                                                                          "</f>
        <v xml:space="preserve">THAILANDIA                                                                                          </v>
      </c>
      <c r="D1114" s="26" t="str">
        <f>"MATUTINO"</f>
        <v>MATUTINO</v>
      </c>
      <c r="E1114" s="26" t="str">
        <f>"PTO MAZATLAN MANZANA 11 LOTE 5                                                  "</f>
        <v xml:space="preserve">PTO MAZATLAN MANZANA 11 LOTE 5                                                  </v>
      </c>
      <c r="F1114" s="26" t="str">
        <f>"PILOTO ADOLFO LOPEZ MATEOS                                                                                                                  "</f>
        <v xml:space="preserve">PILOTO ADOLFO LOPEZ MATEOS                                                                                                                  </v>
      </c>
      <c r="G1114" s="26" t="str">
        <f t="shared" si="182"/>
        <v xml:space="preserve">ALVARO OBREGON                                                                  </v>
      </c>
      <c r="H1114" s="26" t="str">
        <f>"315"</f>
        <v>315</v>
      </c>
      <c r="I1114" s="26" t="str">
        <f t="shared" si="177"/>
        <v>00</v>
      </c>
      <c r="J1114" s="26" t="str">
        <f>"43 "</f>
        <v xml:space="preserve">43 </v>
      </c>
      <c r="K1114" s="26" t="str">
        <f t="shared" si="180"/>
        <v>PR</v>
      </c>
      <c r="L1114" s="26" t="str">
        <f t="shared" si="181"/>
        <v>DGOSE</v>
      </c>
      <c r="M1114" s="26" t="str">
        <f t="shared" si="178"/>
        <v>FEDERAL</v>
      </c>
      <c r="N1114" s="26">
        <v>593</v>
      </c>
      <c r="O1114" s="26">
        <v>301</v>
      </c>
      <c r="P1114" s="26">
        <v>292</v>
      </c>
      <c r="Q1114" s="26">
        <v>18</v>
      </c>
      <c r="R1114" s="26">
        <v>1</v>
      </c>
      <c r="S1114" s="26">
        <v>18</v>
      </c>
      <c r="T1114" s="26">
        <v>8</v>
      </c>
      <c r="U1114" s="26">
        <v>27</v>
      </c>
      <c r="V1114" s="26">
        <v>1</v>
      </c>
      <c r="W1114" s="26"/>
    </row>
    <row r="1115" spans="1:23" x14ac:dyDescent="0.25">
      <c r="A1115" s="26" t="str">
        <f t="shared" si="176"/>
        <v>PRIMARIA</v>
      </c>
      <c r="B1115" s="26" t="str">
        <f>"09DPR2216A"</f>
        <v>09DPR2216A</v>
      </c>
      <c r="C1115" s="26" t="str">
        <f>"MADRE MEXICANA                                                                                      "</f>
        <v xml:space="preserve">MADRE MEXICANA                                                                                      </v>
      </c>
      <c r="D1115" s="26" t="str">
        <f>"VESPERTINO"</f>
        <v>VESPERTINO</v>
      </c>
      <c r="E1115" s="26" t="str">
        <f>"RAFAEL CHECA NO. 59                                                             "</f>
        <v xml:space="preserve">RAFAEL CHECA NO. 59                                                             </v>
      </c>
      <c r="F1115" s="26" t="str">
        <f>"SANTA ROSA XOCHIAC                                                                                                                          "</f>
        <v xml:space="preserve">SANTA ROSA XOCHIAC                                                                                                                          </v>
      </c>
      <c r="G1115" s="26" t="str">
        <f t="shared" si="182"/>
        <v xml:space="preserve">ALVARO OBREGON                                                                  </v>
      </c>
      <c r="H1115" s="26" t="str">
        <f>"330"</f>
        <v>330</v>
      </c>
      <c r="I1115" s="26" t="str">
        <f t="shared" si="177"/>
        <v>00</v>
      </c>
      <c r="J1115" s="26" t="str">
        <f>"43 "</f>
        <v xml:space="preserve">43 </v>
      </c>
      <c r="K1115" s="26" t="str">
        <f t="shared" si="180"/>
        <v>PR</v>
      </c>
      <c r="L1115" s="26" t="str">
        <f t="shared" si="181"/>
        <v>DGOSE</v>
      </c>
      <c r="M1115" s="26" t="str">
        <f t="shared" si="178"/>
        <v>FEDERAL</v>
      </c>
      <c r="N1115" s="26">
        <v>224</v>
      </c>
      <c r="O1115" s="26">
        <v>121</v>
      </c>
      <c r="P1115" s="26">
        <v>103</v>
      </c>
      <c r="Q1115" s="26">
        <v>7</v>
      </c>
      <c r="R1115" s="26">
        <v>1</v>
      </c>
      <c r="S1115" s="26">
        <v>7</v>
      </c>
      <c r="T1115" s="26">
        <v>3</v>
      </c>
      <c r="U1115" s="26">
        <v>11</v>
      </c>
      <c r="V1115" s="26">
        <v>1</v>
      </c>
      <c r="W1115" s="26"/>
    </row>
    <row r="1116" spans="1:23" x14ac:dyDescent="0.25">
      <c r="A1116" s="26" t="str">
        <f t="shared" si="176"/>
        <v>PRIMARIA</v>
      </c>
      <c r="B1116" s="26" t="str">
        <f>"09DPR2217Z"</f>
        <v>09DPR2217Z</v>
      </c>
      <c r="C1116" s="26" t="str">
        <f>"PROFR. JORGE CASAHONDA CASTILLO                                                                     "</f>
        <v xml:space="preserve">PROFR. JORGE CASAHONDA CASTILLO                                                                     </v>
      </c>
      <c r="D1116" s="26" t="str">
        <f>"JORNADA AMPLIADA"</f>
        <v>JORNADA AMPLIADA</v>
      </c>
      <c r="E1116" s="26" t="str">
        <f>"PLAZA DEL CARMEN No 3                                                           "</f>
        <v xml:space="preserve">PLAZA DEL CARMEN No 3                                                           </v>
      </c>
      <c r="F1116" s="26" t="str">
        <f>"SAN ANGEL                                                                                                                                   "</f>
        <v xml:space="preserve">SAN ANGEL                                                                                                                                   </v>
      </c>
      <c r="G1116" s="26" t="str">
        <f t="shared" si="182"/>
        <v xml:space="preserve">ALVARO OBREGON                                                                  </v>
      </c>
      <c r="H1116" s="26" t="str">
        <f>"405"</f>
        <v>405</v>
      </c>
      <c r="I1116" s="26" t="str">
        <f t="shared" si="177"/>
        <v>00</v>
      </c>
      <c r="J1116" s="26" t="str">
        <f>"44 "</f>
        <v xml:space="preserve">44 </v>
      </c>
      <c r="K1116" s="26" t="str">
        <f t="shared" si="180"/>
        <v>PR</v>
      </c>
      <c r="L1116" s="26" t="str">
        <f t="shared" si="181"/>
        <v>DGOSE</v>
      </c>
      <c r="M1116" s="26" t="str">
        <f t="shared" si="178"/>
        <v>FEDERAL</v>
      </c>
      <c r="N1116" s="26">
        <v>456</v>
      </c>
      <c r="O1116" s="26">
        <v>229</v>
      </c>
      <c r="P1116" s="26">
        <v>227</v>
      </c>
      <c r="Q1116" s="26">
        <v>15</v>
      </c>
      <c r="R1116" s="26">
        <v>1</v>
      </c>
      <c r="S1116" s="26">
        <v>15</v>
      </c>
      <c r="T1116" s="26">
        <v>8</v>
      </c>
      <c r="U1116" s="26">
        <v>24</v>
      </c>
      <c r="V1116" s="26">
        <v>1</v>
      </c>
      <c r="W1116" s="26" t="s">
        <v>2076</v>
      </c>
    </row>
    <row r="1117" spans="1:23" x14ac:dyDescent="0.25">
      <c r="A1117" s="26" t="str">
        <f t="shared" si="176"/>
        <v>PRIMARIA</v>
      </c>
      <c r="B1117" s="26" t="str">
        <f>"09DPR2218Z"</f>
        <v>09DPR2218Z</v>
      </c>
      <c r="C1117" s="26" t="str">
        <f>"LUXEMBURGO                                                                                          "</f>
        <v xml:space="preserve">LUXEMBURGO                                                                                          </v>
      </c>
      <c r="D1117" s="26" t="str">
        <f>"TIEMPO COMPLETO"</f>
        <v>TIEMPO COMPLETO</v>
      </c>
      <c r="E1117" s="26" t="str">
        <f>"MANZ F EDIF. 35 S/N                                                             "</f>
        <v xml:space="preserve">MANZ F EDIF. 35 S/N                                                             </v>
      </c>
      <c r="F1117" s="26" t="str">
        <f>"LOMAS DE PLATEROS                                                                                                                           "</f>
        <v xml:space="preserve">LOMAS DE PLATEROS                                                                                                                           </v>
      </c>
      <c r="G1117" s="26" t="str">
        <f t="shared" si="182"/>
        <v xml:space="preserve">ALVARO OBREGON                                                                  </v>
      </c>
      <c r="H1117" s="26" t="str">
        <f>"403"</f>
        <v>403</v>
      </c>
      <c r="I1117" s="26" t="str">
        <f t="shared" si="177"/>
        <v>00</v>
      </c>
      <c r="J1117" s="26" t="str">
        <f>"44 "</f>
        <v xml:space="preserve">44 </v>
      </c>
      <c r="K1117" s="26" t="str">
        <f t="shared" si="180"/>
        <v>PR</v>
      </c>
      <c r="L1117" s="26" t="str">
        <f t="shared" si="181"/>
        <v>DGOSE</v>
      </c>
      <c r="M1117" s="26" t="str">
        <f t="shared" si="178"/>
        <v>FEDERAL</v>
      </c>
      <c r="N1117" s="26">
        <v>452</v>
      </c>
      <c r="O1117" s="26">
        <v>220</v>
      </c>
      <c r="P1117" s="26">
        <v>232</v>
      </c>
      <c r="Q1117" s="26">
        <v>15</v>
      </c>
      <c r="R1117" s="26">
        <v>1</v>
      </c>
      <c r="S1117" s="26">
        <v>15</v>
      </c>
      <c r="T1117" s="26">
        <v>9</v>
      </c>
      <c r="U1117" s="26">
        <v>25</v>
      </c>
      <c r="V1117" s="26">
        <v>1</v>
      </c>
      <c r="W1117" s="26" t="s">
        <v>218</v>
      </c>
    </row>
    <row r="1118" spans="1:23" x14ac:dyDescent="0.25">
      <c r="A1118" s="26" t="str">
        <f t="shared" si="176"/>
        <v>PRIMARIA</v>
      </c>
      <c r="B1118" s="26" t="str">
        <f>"09DPR2220N"</f>
        <v>09DPR2220N</v>
      </c>
      <c r="C1118" s="26" t="str">
        <f>"MATILDE ACOSTA                                                                                      "</f>
        <v xml:space="preserve">MATILDE ACOSTA                                                                                      </v>
      </c>
      <c r="D1118" s="26" t="str">
        <f>"TIEMPO COMPLETO"</f>
        <v>TIEMPO COMPLETO</v>
      </c>
      <c r="E1118" s="26" t="str">
        <f>"MANZANA G ENTRE EDIFICIO G3 G20                                                 "</f>
        <v xml:space="preserve">MANZANA G ENTRE EDIFICIO G3 G20                                                 </v>
      </c>
      <c r="F1118" s="26" t="str">
        <f>"LOMAS DE PLATEROS                                                                                                                           "</f>
        <v xml:space="preserve">LOMAS DE PLATEROS                                                                                                                           </v>
      </c>
      <c r="G1118" s="26" t="str">
        <f t="shared" si="182"/>
        <v xml:space="preserve">ALVARO OBREGON                                                                  </v>
      </c>
      <c r="H1118" s="26" t="str">
        <f>"404"</f>
        <v>404</v>
      </c>
      <c r="I1118" s="26" t="str">
        <f t="shared" si="177"/>
        <v>00</v>
      </c>
      <c r="J1118" s="26" t="str">
        <f>"44 "</f>
        <v xml:space="preserve">44 </v>
      </c>
      <c r="K1118" s="26" t="str">
        <f t="shared" si="180"/>
        <v>PR</v>
      </c>
      <c r="L1118" s="26" t="str">
        <f t="shared" si="181"/>
        <v>DGOSE</v>
      </c>
      <c r="M1118" s="26" t="str">
        <f t="shared" si="178"/>
        <v>FEDERAL</v>
      </c>
      <c r="N1118" s="26">
        <v>546</v>
      </c>
      <c r="O1118" s="26">
        <v>273</v>
      </c>
      <c r="P1118" s="26">
        <v>273</v>
      </c>
      <c r="Q1118" s="26">
        <v>18</v>
      </c>
      <c r="R1118" s="26">
        <v>1</v>
      </c>
      <c r="S1118" s="26">
        <v>17</v>
      </c>
      <c r="T1118" s="26">
        <v>10</v>
      </c>
      <c r="U1118" s="26">
        <v>28</v>
      </c>
      <c r="V1118" s="26">
        <v>1</v>
      </c>
      <c r="W1118" s="26" t="s">
        <v>218</v>
      </c>
    </row>
    <row r="1119" spans="1:23" x14ac:dyDescent="0.25">
      <c r="A1119" s="26" t="str">
        <f t="shared" si="176"/>
        <v>PRIMARIA</v>
      </c>
      <c r="B1119" s="26" t="str">
        <f>"09DPR2221M"</f>
        <v>09DPR2221M</v>
      </c>
      <c r="C1119" s="26" t="str">
        <f>"ZIMBABWE                                                                                            "</f>
        <v xml:space="preserve">ZIMBABWE                                                                                            </v>
      </c>
      <c r="D1119" s="26" t="str">
        <f>"JORNADA AMPLIADA"</f>
        <v>JORNADA AMPLIADA</v>
      </c>
      <c r="E1119" s="26" t="str">
        <f>"ZONA COMERCIAL LOMAS DE PLATEROS                                                "</f>
        <v xml:space="preserve">ZONA COMERCIAL LOMAS DE PLATEROS                                                </v>
      </c>
      <c r="F1119" s="26" t="str">
        <f>"LOMAS DE PLATEROS                                                                                                                           "</f>
        <v xml:space="preserve">LOMAS DE PLATEROS                                                                                                                           </v>
      </c>
      <c r="G1119" s="26" t="str">
        <f t="shared" si="182"/>
        <v xml:space="preserve">ALVARO OBREGON                                                                  </v>
      </c>
      <c r="H1119" s="26" t="str">
        <f>"403"</f>
        <v>403</v>
      </c>
      <c r="I1119" s="26" t="str">
        <f t="shared" si="177"/>
        <v>00</v>
      </c>
      <c r="J1119" s="26" t="str">
        <f>"44 "</f>
        <v xml:space="preserve">44 </v>
      </c>
      <c r="K1119" s="26" t="str">
        <f t="shared" si="180"/>
        <v>PR</v>
      </c>
      <c r="L1119" s="26" t="str">
        <f t="shared" si="181"/>
        <v>DGOSE</v>
      </c>
      <c r="M1119" s="26" t="str">
        <f t="shared" si="178"/>
        <v>FEDERAL</v>
      </c>
      <c r="N1119" s="26">
        <v>562</v>
      </c>
      <c r="O1119" s="26">
        <v>284</v>
      </c>
      <c r="P1119" s="26">
        <v>278</v>
      </c>
      <c r="Q1119" s="26">
        <v>21</v>
      </c>
      <c r="R1119" s="26">
        <v>1</v>
      </c>
      <c r="S1119" s="26">
        <v>21</v>
      </c>
      <c r="T1119" s="26">
        <v>10</v>
      </c>
      <c r="U1119" s="26">
        <v>32</v>
      </c>
      <c r="V1119" s="26">
        <v>1</v>
      </c>
      <c r="W1119" s="26" t="s">
        <v>2076</v>
      </c>
    </row>
    <row r="1120" spans="1:23" x14ac:dyDescent="0.25">
      <c r="A1120" s="26" t="str">
        <f t="shared" si="176"/>
        <v>PRIMARIA</v>
      </c>
      <c r="B1120" s="26" t="str">
        <f>"09DPR2222L"</f>
        <v>09DPR2222L</v>
      </c>
      <c r="C1120" s="26" t="str">
        <f>"ZAMBIA                                                                                              "</f>
        <v xml:space="preserve">ZAMBIA                                                                                              </v>
      </c>
      <c r="D1120" s="26" t="str">
        <f>"MATUTINO"</f>
        <v>MATUTINO</v>
      </c>
      <c r="E1120" s="26" t="str">
        <f>"MANZANA H 24                                                                    "</f>
        <v xml:space="preserve">MANZANA H 24                                                                    </v>
      </c>
      <c r="F1120" s="26" t="str">
        <f>"LOMAS DE PLATEROS                                                                                                                           "</f>
        <v xml:space="preserve">LOMAS DE PLATEROS                                                                                                                           </v>
      </c>
      <c r="G1120" s="26" t="str">
        <f t="shared" si="182"/>
        <v xml:space="preserve">ALVARO OBREGON                                                                  </v>
      </c>
      <c r="H1120" s="26" t="str">
        <f>"319"</f>
        <v>319</v>
      </c>
      <c r="I1120" s="26" t="str">
        <f t="shared" si="177"/>
        <v>00</v>
      </c>
      <c r="J1120" s="26" t="str">
        <f>"43 "</f>
        <v xml:space="preserve">43 </v>
      </c>
      <c r="K1120" s="26" t="str">
        <f t="shared" si="180"/>
        <v>PR</v>
      </c>
      <c r="L1120" s="26" t="str">
        <f t="shared" si="181"/>
        <v>DGOSE</v>
      </c>
      <c r="M1120" s="26" t="str">
        <f t="shared" si="178"/>
        <v>FEDERAL</v>
      </c>
      <c r="N1120" s="26">
        <v>394</v>
      </c>
      <c r="O1120" s="26">
        <v>181</v>
      </c>
      <c r="P1120" s="26">
        <v>213</v>
      </c>
      <c r="Q1120" s="26">
        <v>13</v>
      </c>
      <c r="R1120" s="26">
        <v>1</v>
      </c>
      <c r="S1120" s="26">
        <v>13</v>
      </c>
      <c r="T1120" s="26">
        <v>9</v>
      </c>
      <c r="U1120" s="26">
        <v>23</v>
      </c>
      <c r="V1120" s="26">
        <v>1</v>
      </c>
      <c r="W1120" s="26"/>
    </row>
    <row r="1121" spans="1:23" x14ac:dyDescent="0.25">
      <c r="A1121" s="26" t="str">
        <f t="shared" si="176"/>
        <v>PRIMARIA</v>
      </c>
      <c r="B1121" s="26" t="str">
        <f>"09DPR2224J"</f>
        <v>09DPR2224J</v>
      </c>
      <c r="C1121" s="26" t="str">
        <f>"XICOTENCATL                                                                                         "</f>
        <v xml:space="preserve">XICOTENCATL                                                                                         </v>
      </c>
      <c r="D1121" s="26" t="str">
        <f>"VESPERTINO"</f>
        <v>VESPERTINO</v>
      </c>
      <c r="E1121" s="26" t="str">
        <f>"AV EMILIANO ZAPATA 4                                                            "</f>
        <v xml:space="preserve">AV EMILIANO ZAPATA 4                                                            </v>
      </c>
      <c r="F1121" s="26" t="str">
        <f>"SAN BERNABE OCOTEPEC                                                                                                                        "</f>
        <v xml:space="preserve">SAN BERNABE OCOTEPEC                                                                                                                        </v>
      </c>
      <c r="G1121" s="26" t="str">
        <f>"LA MAGDALENA CONTRERAS                                                          "</f>
        <v xml:space="preserve">LA MAGDALENA CONTRERAS                                                          </v>
      </c>
      <c r="H1121" s="26" t="str">
        <f>"335"</f>
        <v>335</v>
      </c>
      <c r="I1121" s="26" t="str">
        <f t="shared" si="177"/>
        <v>00</v>
      </c>
      <c r="J1121" s="26" t="str">
        <f>"43 "</f>
        <v xml:space="preserve">43 </v>
      </c>
      <c r="K1121" s="26" t="str">
        <f t="shared" si="180"/>
        <v>PR</v>
      </c>
      <c r="L1121" s="26" t="str">
        <f t="shared" si="181"/>
        <v>DGOSE</v>
      </c>
      <c r="M1121" s="26" t="str">
        <f t="shared" si="178"/>
        <v>FEDERAL</v>
      </c>
      <c r="N1121" s="26">
        <v>311</v>
      </c>
      <c r="O1121" s="26">
        <v>171</v>
      </c>
      <c r="P1121" s="26">
        <v>140</v>
      </c>
      <c r="Q1121" s="26">
        <v>15</v>
      </c>
      <c r="R1121" s="26">
        <v>1</v>
      </c>
      <c r="S1121" s="26">
        <v>15</v>
      </c>
      <c r="T1121" s="26">
        <v>7</v>
      </c>
      <c r="U1121" s="26">
        <v>23</v>
      </c>
      <c r="V1121" s="26">
        <v>1</v>
      </c>
      <c r="W1121" s="26"/>
    </row>
    <row r="1122" spans="1:23" x14ac:dyDescent="0.25">
      <c r="A1122" s="26" t="str">
        <f t="shared" si="176"/>
        <v>PRIMARIA</v>
      </c>
      <c r="B1122" s="26" t="str">
        <f>"09DPR2225I"</f>
        <v>09DPR2225I</v>
      </c>
      <c r="C1122" s="26" t="str">
        <f>"GAMBIA                                                                                              "</f>
        <v xml:space="preserve">GAMBIA                                                                                              </v>
      </c>
      <c r="D1122" s="26" t="str">
        <f>"JORNADA AMPLIADA"</f>
        <v>JORNADA AMPLIADA</v>
      </c>
      <c r="E1122" s="26" t="str">
        <f>"POLONI NUM 54                                                                   "</f>
        <v xml:space="preserve">POLONI NUM 54                                                                   </v>
      </c>
      <c r="F1122" s="26" t="str">
        <f>"LA MAGDALENA CONTRERAS                                                                                                                      "</f>
        <v xml:space="preserve">LA MAGDALENA CONTRERAS                                                                                                                      </v>
      </c>
      <c r="G1122" s="26" t="str">
        <f>"LA MAGDALENA CONTRERAS                                                          "</f>
        <v xml:space="preserve">LA MAGDALENA CONTRERAS                                                          </v>
      </c>
      <c r="H1122" s="26" t="str">
        <f>"409"</f>
        <v>409</v>
      </c>
      <c r="I1122" s="26" t="str">
        <f t="shared" si="177"/>
        <v>00</v>
      </c>
      <c r="J1122" s="26" t="str">
        <f>"44 "</f>
        <v xml:space="preserve">44 </v>
      </c>
      <c r="K1122" s="26" t="str">
        <f t="shared" si="180"/>
        <v>PR</v>
      </c>
      <c r="L1122" s="26" t="str">
        <f t="shared" si="181"/>
        <v>DGOSE</v>
      </c>
      <c r="M1122" s="26" t="str">
        <f t="shared" si="178"/>
        <v>FEDERAL</v>
      </c>
      <c r="N1122" s="26">
        <v>326</v>
      </c>
      <c r="O1122" s="26">
        <v>156</v>
      </c>
      <c r="P1122" s="26">
        <v>170</v>
      </c>
      <c r="Q1122" s="26">
        <v>9</v>
      </c>
      <c r="R1122" s="26">
        <v>1</v>
      </c>
      <c r="S1122" s="26">
        <v>9</v>
      </c>
      <c r="T1122" s="26">
        <v>8</v>
      </c>
      <c r="U1122" s="26">
        <v>18</v>
      </c>
      <c r="V1122" s="26">
        <v>1</v>
      </c>
      <c r="W1122" s="26" t="s">
        <v>2076</v>
      </c>
    </row>
    <row r="1123" spans="1:23" x14ac:dyDescent="0.25">
      <c r="A1123" s="26" t="str">
        <f t="shared" si="176"/>
        <v>PRIMARIA</v>
      </c>
      <c r="B1123" s="26" t="str">
        <f>"09DPR2226H"</f>
        <v>09DPR2226H</v>
      </c>
      <c r="C1123" s="26" t="str">
        <f>"MIGUEL ANGEL DE QUEVEDO                                                                             "</f>
        <v xml:space="preserve">MIGUEL ANGEL DE QUEVEDO                                                                             </v>
      </c>
      <c r="D1123" s="26" t="str">
        <f>"JORNADA AMPLIADA"</f>
        <v>JORNADA AMPLIADA</v>
      </c>
      <c r="E1123" s="26" t="str">
        <f>"AV TECOLALCO S N                                                                "</f>
        <v xml:space="preserve">AV TECOLALCO S N                                                                </v>
      </c>
      <c r="F1123" s="26" t="str">
        <f>"TECOLALCO                                                                                                                                   "</f>
        <v xml:space="preserve">TECOLALCO                                                                                                                                   </v>
      </c>
      <c r="G1123" s="26" t="str">
        <f>"ALVARO OBREGON                                                                  "</f>
        <v xml:space="preserve">ALVARO OBREGON                                                                  </v>
      </c>
      <c r="H1123" s="26" t="str">
        <f>"401"</f>
        <v>401</v>
      </c>
      <c r="I1123" s="26" t="str">
        <f t="shared" si="177"/>
        <v>00</v>
      </c>
      <c r="J1123" s="26" t="str">
        <f>"44 "</f>
        <v xml:space="preserve">44 </v>
      </c>
      <c r="K1123" s="26" t="str">
        <f t="shared" si="180"/>
        <v>PR</v>
      </c>
      <c r="L1123" s="26" t="str">
        <f t="shared" si="181"/>
        <v>DGOSE</v>
      </c>
      <c r="M1123" s="26" t="str">
        <f t="shared" si="178"/>
        <v>FEDERAL</v>
      </c>
      <c r="N1123" s="26">
        <v>243</v>
      </c>
      <c r="O1123" s="26">
        <v>136</v>
      </c>
      <c r="P1123" s="26">
        <v>107</v>
      </c>
      <c r="Q1123" s="26">
        <v>11</v>
      </c>
      <c r="R1123" s="26">
        <v>1</v>
      </c>
      <c r="S1123" s="26">
        <v>9</v>
      </c>
      <c r="T1123" s="26">
        <v>8</v>
      </c>
      <c r="U1123" s="26">
        <v>18</v>
      </c>
      <c r="V1123" s="26">
        <v>1</v>
      </c>
      <c r="W1123" s="26" t="s">
        <v>2076</v>
      </c>
    </row>
    <row r="1124" spans="1:23" x14ac:dyDescent="0.25">
      <c r="A1124" s="26" t="str">
        <f t="shared" si="176"/>
        <v>PRIMARIA</v>
      </c>
      <c r="B1124" s="26" t="str">
        <f>"09DPR2227G"</f>
        <v>09DPR2227G</v>
      </c>
      <c r="C1124" s="26" t="str">
        <f>"MAESTROS MEXICANOS                                                                                  "</f>
        <v xml:space="preserve">MAESTROS MEXICANOS                                                                                  </v>
      </c>
      <c r="D1124" s="26" t="str">
        <f>"JORNADA AMPLIADA"</f>
        <v>JORNADA AMPLIADA</v>
      </c>
      <c r="E1124" s="26" t="str">
        <f>"TOLUCA NO. 2                                                                    "</f>
        <v xml:space="preserve">TOLUCA NO. 2                                                                    </v>
      </c>
      <c r="F1124" s="26" t="str">
        <f>"SANTA TERESA                                                                                                                                "</f>
        <v xml:space="preserve">SANTA TERESA                                                                                                                                </v>
      </c>
      <c r="G1124" s="26" t="str">
        <f>"LA MAGDALENA CONTRERAS                                                          "</f>
        <v xml:space="preserve">LA MAGDALENA CONTRERAS                                                          </v>
      </c>
      <c r="H1124" s="26" t="str">
        <f>"408"</f>
        <v>408</v>
      </c>
      <c r="I1124" s="26" t="str">
        <f t="shared" si="177"/>
        <v>00</v>
      </c>
      <c r="J1124" s="26" t="str">
        <f>"44 "</f>
        <v xml:space="preserve">44 </v>
      </c>
      <c r="K1124" s="26" t="str">
        <f t="shared" si="180"/>
        <v>PR</v>
      </c>
      <c r="L1124" s="26" t="str">
        <f t="shared" si="181"/>
        <v>DGOSE</v>
      </c>
      <c r="M1124" s="26" t="str">
        <f t="shared" si="178"/>
        <v>FEDERAL</v>
      </c>
      <c r="N1124" s="26">
        <v>379</v>
      </c>
      <c r="O1124" s="26">
        <v>209</v>
      </c>
      <c r="P1124" s="26">
        <v>170</v>
      </c>
      <c r="Q1124" s="26">
        <v>14</v>
      </c>
      <c r="R1124" s="26">
        <v>1</v>
      </c>
      <c r="S1124" s="26">
        <v>12</v>
      </c>
      <c r="T1124" s="26">
        <v>9</v>
      </c>
      <c r="U1124" s="26">
        <v>22</v>
      </c>
      <c r="V1124" s="26">
        <v>1</v>
      </c>
      <c r="W1124" s="26" t="s">
        <v>2076</v>
      </c>
    </row>
    <row r="1125" spans="1:23" x14ac:dyDescent="0.25">
      <c r="A1125" s="26" t="str">
        <f t="shared" si="176"/>
        <v>PRIMARIA</v>
      </c>
      <c r="B1125" s="26" t="str">
        <f>"09DPR2228F"</f>
        <v>09DPR2228F</v>
      </c>
      <c r="C1125" s="26" t="str">
        <f>"INGENIERO JAVIER BARROS SIERRA                                                                      "</f>
        <v xml:space="preserve">INGENIERO JAVIER BARROS SIERRA                                                                      </v>
      </c>
      <c r="D1125" s="26" t="str">
        <f>"MATUTINO"</f>
        <v>MATUTINO</v>
      </c>
      <c r="E1125" s="26" t="str">
        <f>"PRIMERA CDA. SAN JOSE Y AV. TOLUCA                                              "</f>
        <v xml:space="preserve">PRIMERA CDA. SAN JOSE Y AV. TOLUCA                                              </v>
      </c>
      <c r="F1125" s="26" t="str">
        <f>"OLIVAR DE LOS PADRES                                                                                                                        "</f>
        <v xml:space="preserve">OLIVAR DE LOS PADRES                                                                                                                        </v>
      </c>
      <c r="G1125" s="26" t="str">
        <f>"ALVARO OBREGON                                                                  "</f>
        <v xml:space="preserve">ALVARO OBREGON                                                                  </v>
      </c>
      <c r="H1125" s="26" t="str">
        <f>"328"</f>
        <v>328</v>
      </c>
      <c r="I1125" s="26" t="str">
        <f t="shared" si="177"/>
        <v>00</v>
      </c>
      <c r="J1125" s="26" t="str">
        <f>"43 "</f>
        <v xml:space="preserve">43 </v>
      </c>
      <c r="K1125" s="26" t="str">
        <f t="shared" si="180"/>
        <v>PR</v>
      </c>
      <c r="L1125" s="26" t="str">
        <f t="shared" si="181"/>
        <v>DGOSE</v>
      </c>
      <c r="M1125" s="26" t="str">
        <f t="shared" si="178"/>
        <v>FEDERAL</v>
      </c>
      <c r="N1125" s="26">
        <v>537</v>
      </c>
      <c r="O1125" s="26">
        <v>261</v>
      </c>
      <c r="P1125" s="26">
        <v>276</v>
      </c>
      <c r="Q1125" s="26">
        <v>15</v>
      </c>
      <c r="R1125" s="26">
        <v>1</v>
      </c>
      <c r="S1125" s="26">
        <v>15</v>
      </c>
      <c r="T1125" s="26">
        <v>8</v>
      </c>
      <c r="U1125" s="26">
        <v>24</v>
      </c>
      <c r="V1125" s="26">
        <v>1</v>
      </c>
      <c r="W1125" s="26"/>
    </row>
    <row r="1126" spans="1:23" x14ac:dyDescent="0.25">
      <c r="A1126" s="26" t="str">
        <f t="shared" si="176"/>
        <v>PRIMARIA</v>
      </c>
      <c r="B1126" s="26" t="str">
        <f>"09DPR2229E"</f>
        <v>09DPR2229E</v>
      </c>
      <c r="C1126" s="26" t="str">
        <f>"MAESTROS DE MEXICO                                                                                  "</f>
        <v xml:space="preserve">MAESTROS DE MEXICO                                                                                  </v>
      </c>
      <c r="D1126" s="26" t="str">
        <f>"MATUTINO"</f>
        <v>MATUTINO</v>
      </c>
      <c r="E1126" s="26" t="str">
        <f>"MINA NUM 12                                                                     "</f>
        <v xml:space="preserve">MINA NUM 12                                                                     </v>
      </c>
      <c r="F1126" s="26" t="str">
        <f>"SAN MATEO TLALTENANGO                                                                                                                       "</f>
        <v xml:space="preserve">SAN MATEO TLALTENANGO                                                                                                                       </v>
      </c>
      <c r="G1126" s="26" t="str">
        <f>"CUAJIMALPA DE MORELOS                                                           "</f>
        <v xml:space="preserve">CUAJIMALPA DE MORELOS                                                           </v>
      </c>
      <c r="H1126" s="26" t="str">
        <f>"303"</f>
        <v>303</v>
      </c>
      <c r="I1126" s="26" t="str">
        <f t="shared" si="177"/>
        <v>00</v>
      </c>
      <c r="J1126" s="26" t="str">
        <f>"43 "</f>
        <v xml:space="preserve">43 </v>
      </c>
      <c r="K1126" s="26" t="str">
        <f t="shared" si="180"/>
        <v>PR</v>
      </c>
      <c r="L1126" s="26" t="str">
        <f t="shared" si="181"/>
        <v>DGOSE</v>
      </c>
      <c r="M1126" s="26" t="str">
        <f t="shared" si="178"/>
        <v>FEDERAL</v>
      </c>
      <c r="N1126" s="26">
        <v>364</v>
      </c>
      <c r="O1126" s="26">
        <v>198</v>
      </c>
      <c r="P1126" s="26">
        <v>166</v>
      </c>
      <c r="Q1126" s="26">
        <v>10</v>
      </c>
      <c r="R1126" s="26">
        <v>1</v>
      </c>
      <c r="S1126" s="26">
        <v>10</v>
      </c>
      <c r="T1126" s="26">
        <v>4</v>
      </c>
      <c r="U1126" s="26">
        <v>15</v>
      </c>
      <c r="V1126" s="26">
        <v>1</v>
      </c>
      <c r="W1126" s="26"/>
    </row>
    <row r="1127" spans="1:23" x14ac:dyDescent="0.25">
      <c r="A1127" s="26" t="str">
        <f t="shared" si="176"/>
        <v>PRIMARIA</v>
      </c>
      <c r="B1127" s="26" t="str">
        <f>"09DPR2230U"</f>
        <v>09DPR2230U</v>
      </c>
      <c r="C1127" s="26" t="str">
        <f>"MAESTROS DE MEXICO                                                                                  "</f>
        <v xml:space="preserve">MAESTROS DE MEXICO                                                                                  </v>
      </c>
      <c r="D1127" s="26" t="str">
        <f>"VESPERTINO"</f>
        <v>VESPERTINO</v>
      </c>
      <c r="E1127" s="26" t="str">
        <f>"MINA NO 12                                                                      "</f>
        <v xml:space="preserve">MINA NO 12                                                                      </v>
      </c>
      <c r="F1127" s="26" t="str">
        <f>"SAN MATEO TLALTENANGO                                                                                                                       "</f>
        <v xml:space="preserve">SAN MATEO TLALTENANGO                                                                                                                       </v>
      </c>
      <c r="G1127" s="26" t="str">
        <f>"CUAJIMALPA DE MORELOS                                                           "</f>
        <v xml:space="preserve">CUAJIMALPA DE MORELOS                                                           </v>
      </c>
      <c r="H1127" s="26" t="str">
        <f>"303"</f>
        <v>303</v>
      </c>
      <c r="I1127" s="26" t="str">
        <f t="shared" si="177"/>
        <v>00</v>
      </c>
      <c r="J1127" s="26" t="str">
        <f>"43 "</f>
        <v xml:space="preserve">43 </v>
      </c>
      <c r="K1127" s="26" t="str">
        <f t="shared" si="180"/>
        <v>PR</v>
      </c>
      <c r="L1127" s="26" t="str">
        <f t="shared" si="181"/>
        <v>DGOSE</v>
      </c>
      <c r="M1127" s="26" t="str">
        <f t="shared" si="178"/>
        <v>FEDERAL</v>
      </c>
      <c r="N1127" s="26">
        <v>300</v>
      </c>
      <c r="O1127" s="26">
        <v>162</v>
      </c>
      <c r="P1127" s="26">
        <v>138</v>
      </c>
      <c r="Q1127" s="26">
        <v>9</v>
      </c>
      <c r="R1127" s="26">
        <v>1</v>
      </c>
      <c r="S1127" s="26">
        <v>9</v>
      </c>
      <c r="T1127" s="26">
        <v>5</v>
      </c>
      <c r="U1127" s="26">
        <v>15</v>
      </c>
      <c r="V1127" s="26">
        <v>1</v>
      </c>
      <c r="W1127" s="26"/>
    </row>
    <row r="1128" spans="1:23" x14ac:dyDescent="0.25">
      <c r="A1128" s="26" t="str">
        <f t="shared" si="176"/>
        <v>PRIMARIA</v>
      </c>
      <c r="B1128" s="26" t="str">
        <f>"09DPR2231T"</f>
        <v>09DPR2231T</v>
      </c>
      <c r="C1128" s="26" t="str">
        <f>"SOMALIA                                                                                             "</f>
        <v xml:space="preserve">SOMALIA                                                                                             </v>
      </c>
      <c r="D1128" s="26" t="str">
        <f>"TIEMPO COMPLETO"</f>
        <v>TIEMPO COMPLETO</v>
      </c>
      <c r="E1128" s="26" t="str">
        <f>"AV EL FORTIN NUM 46                                                             "</f>
        <v xml:space="preserve">AV EL FORTIN NUM 46                                                             </v>
      </c>
      <c r="F1128" s="26" t="str">
        <f>"VILLA COAPA                                                                                                                                 "</f>
        <v xml:space="preserve">VILLA COAPA                                                                                                                                 </v>
      </c>
      <c r="G1128" s="26" t="str">
        <f>"TLALPAN                                                                         "</f>
        <v xml:space="preserve">TLALPAN                                                                         </v>
      </c>
      <c r="H1128" s="26" t="str">
        <f>"445"</f>
        <v>445</v>
      </c>
      <c r="I1128" s="26" t="str">
        <f t="shared" si="177"/>
        <v>00</v>
      </c>
      <c r="J1128" s="26" t="str">
        <f>"44 "</f>
        <v xml:space="preserve">44 </v>
      </c>
      <c r="K1128" s="26" t="str">
        <f t="shared" si="180"/>
        <v>PR</v>
      </c>
      <c r="L1128" s="26" t="str">
        <f t="shared" si="181"/>
        <v>DGOSE</v>
      </c>
      <c r="M1128" s="26" t="str">
        <f t="shared" si="178"/>
        <v>FEDERAL</v>
      </c>
      <c r="N1128" s="26">
        <v>527</v>
      </c>
      <c r="O1128" s="26">
        <v>278</v>
      </c>
      <c r="P1128" s="26">
        <v>249</v>
      </c>
      <c r="Q1128" s="26">
        <v>15</v>
      </c>
      <c r="R1128" s="26">
        <v>1</v>
      </c>
      <c r="S1128" s="26">
        <v>14</v>
      </c>
      <c r="T1128" s="26">
        <v>16</v>
      </c>
      <c r="U1128" s="26">
        <v>31</v>
      </c>
      <c r="V1128" s="26">
        <v>1</v>
      </c>
      <c r="W1128" s="26" t="s">
        <v>218</v>
      </c>
    </row>
    <row r="1129" spans="1:23" x14ac:dyDescent="0.25">
      <c r="A1129" s="26" t="str">
        <f t="shared" si="176"/>
        <v>PRIMARIA</v>
      </c>
      <c r="B1129" s="26" t="str">
        <f>"09DPR2232S"</f>
        <v>09DPR2232S</v>
      </c>
      <c r="C1129" s="26" t="str">
        <f>"MARTIN DE LA CRUZ                                                                                   "</f>
        <v xml:space="preserve">MARTIN DE LA CRUZ                                                                                   </v>
      </c>
      <c r="D1129" s="26" t="str">
        <f>"JORNADA AMPLIADA"</f>
        <v>JORNADA AMPLIADA</v>
      </c>
      <c r="E1129" s="26" t="str">
        <f>"AV LA CARRETA NUM 72 S MANZANA 2                                                "</f>
        <v xml:space="preserve">AV LA CARRETA NUM 72 S MANZANA 2                                                </v>
      </c>
      <c r="F1129" s="26" t="str">
        <f>"VILLA COAPA                                                                                                                                 "</f>
        <v xml:space="preserve">VILLA COAPA                                                                                                                                 </v>
      </c>
      <c r="G1129" s="26" t="str">
        <f>"TLALPAN                                                                         "</f>
        <v xml:space="preserve">TLALPAN                                                                         </v>
      </c>
      <c r="H1129" s="26" t="str">
        <f>"445"</f>
        <v>445</v>
      </c>
      <c r="I1129" s="26" t="str">
        <f t="shared" si="177"/>
        <v>00</v>
      </c>
      <c r="J1129" s="26" t="str">
        <f>"44 "</f>
        <v xml:space="preserve">44 </v>
      </c>
      <c r="K1129" s="26" t="str">
        <f t="shared" si="180"/>
        <v>PR</v>
      </c>
      <c r="L1129" s="26" t="str">
        <f t="shared" si="181"/>
        <v>DGOSE</v>
      </c>
      <c r="M1129" s="26" t="str">
        <f t="shared" si="178"/>
        <v>FEDERAL</v>
      </c>
      <c r="N1129" s="26">
        <v>461</v>
      </c>
      <c r="O1129" s="26">
        <v>234</v>
      </c>
      <c r="P1129" s="26">
        <v>227</v>
      </c>
      <c r="Q1129" s="26">
        <v>14</v>
      </c>
      <c r="R1129" s="26">
        <v>1</v>
      </c>
      <c r="S1129" s="26">
        <v>14</v>
      </c>
      <c r="T1129" s="26">
        <v>10</v>
      </c>
      <c r="U1129" s="26">
        <v>25</v>
      </c>
      <c r="V1129" s="26">
        <v>1</v>
      </c>
      <c r="W1129" s="26" t="s">
        <v>2076</v>
      </c>
    </row>
    <row r="1130" spans="1:23" x14ac:dyDescent="0.25">
      <c r="A1130" s="26" t="str">
        <f t="shared" si="176"/>
        <v>PRIMARIA</v>
      </c>
      <c r="B1130" s="26" t="str">
        <f>"09DPR2233R"</f>
        <v>09DPR2233R</v>
      </c>
      <c r="C1130" s="26" t="str">
        <f>"MAURITANIA                                                                                          "</f>
        <v xml:space="preserve">MAURITANIA                                                                                          </v>
      </c>
      <c r="D1130" s="26" t="str">
        <f>"MATUTINO"</f>
        <v>MATUTINO</v>
      </c>
      <c r="E1130" s="26" t="str">
        <f>"SANTA CRUZ NO 6                                                                 "</f>
        <v xml:space="preserve">SANTA CRUZ NO 6                                                                 </v>
      </c>
      <c r="F1130" s="26" t="str">
        <f>"SAN MIGUEL TOPILEJO                                                                                                                         "</f>
        <v xml:space="preserve">SAN MIGUEL TOPILEJO                                                                                                                         </v>
      </c>
      <c r="G1130" s="26" t="str">
        <f>"TLALPAN                                                                         "</f>
        <v xml:space="preserve">TLALPAN                                                                         </v>
      </c>
      <c r="H1130" s="26" t="str">
        <f>"531"</f>
        <v>531</v>
      </c>
      <c r="I1130" s="26" t="str">
        <f t="shared" si="177"/>
        <v>00</v>
      </c>
      <c r="J1130" s="26" t="str">
        <f>"45 "</f>
        <v xml:space="preserve">45 </v>
      </c>
      <c r="K1130" s="26" t="str">
        <f t="shared" si="180"/>
        <v>PR</v>
      </c>
      <c r="L1130" s="26" t="str">
        <f t="shared" si="181"/>
        <v>DGOSE</v>
      </c>
      <c r="M1130" s="26" t="str">
        <f t="shared" si="178"/>
        <v>FEDERAL</v>
      </c>
      <c r="N1130" s="26">
        <v>866</v>
      </c>
      <c r="O1130" s="26">
        <v>449</v>
      </c>
      <c r="P1130" s="26">
        <v>417</v>
      </c>
      <c r="Q1130" s="26">
        <v>25</v>
      </c>
      <c r="R1130" s="26">
        <v>1</v>
      </c>
      <c r="S1130" s="26">
        <v>25</v>
      </c>
      <c r="T1130" s="26">
        <v>13</v>
      </c>
      <c r="U1130" s="26">
        <v>39</v>
      </c>
      <c r="V1130" s="26">
        <v>1</v>
      </c>
      <c r="W1130" s="26"/>
    </row>
    <row r="1131" spans="1:23" x14ac:dyDescent="0.25">
      <c r="A1131" s="26" t="str">
        <f t="shared" si="176"/>
        <v>PRIMARIA</v>
      </c>
      <c r="B1131" s="26" t="str">
        <f>"09DPR2234Q"</f>
        <v>09DPR2234Q</v>
      </c>
      <c r="C1131" s="26" t="str">
        <f>"GRAL. LAZARO CARDENAS DEL RIO                                                                       "</f>
        <v xml:space="preserve">GRAL. LAZARO CARDENAS DEL RIO                                                                       </v>
      </c>
      <c r="D1131" s="26" t="str">
        <f>"MATUTINO"</f>
        <v>MATUTINO</v>
      </c>
      <c r="E1131" s="26" t="str">
        <f>"CLUB DPVO. UNIVERSIDAD NUM. 300                                                 "</f>
        <v xml:space="preserve">CLUB DPVO. UNIVERSIDAD NUM. 300                                                 </v>
      </c>
      <c r="F1131" s="26" t="str">
        <f>"VILLA LAZARO CARDENAS                                                                                                                       "</f>
        <v xml:space="preserve">VILLA LAZARO CARDENAS                                                                                                                       </v>
      </c>
      <c r="G1131" s="26" t="str">
        <f>"TLALPAN                                                                         "</f>
        <v xml:space="preserve">TLALPAN                                                                         </v>
      </c>
      <c r="H1131" s="26" t="str">
        <f>"524"</f>
        <v>524</v>
      </c>
      <c r="I1131" s="26" t="str">
        <f t="shared" si="177"/>
        <v>00</v>
      </c>
      <c r="J1131" s="26" t="str">
        <f>"45 "</f>
        <v xml:space="preserve">45 </v>
      </c>
      <c r="K1131" s="26" t="str">
        <f t="shared" si="180"/>
        <v>PR</v>
      </c>
      <c r="L1131" s="26" t="str">
        <f t="shared" si="181"/>
        <v>DGOSE</v>
      </c>
      <c r="M1131" s="26" t="str">
        <f t="shared" si="178"/>
        <v>FEDERAL</v>
      </c>
      <c r="N1131" s="26">
        <v>507</v>
      </c>
      <c r="O1131" s="26">
        <v>273</v>
      </c>
      <c r="P1131" s="26">
        <v>234</v>
      </c>
      <c r="Q1131" s="26">
        <v>18</v>
      </c>
      <c r="R1131" s="26">
        <v>1</v>
      </c>
      <c r="S1131" s="26">
        <v>18</v>
      </c>
      <c r="T1131" s="26">
        <v>10</v>
      </c>
      <c r="U1131" s="26">
        <v>29</v>
      </c>
      <c r="V1131" s="26">
        <v>1</v>
      </c>
      <c r="W1131" s="26"/>
    </row>
    <row r="1132" spans="1:23" x14ac:dyDescent="0.25">
      <c r="A1132" s="26" t="str">
        <f t="shared" si="176"/>
        <v>PRIMARIA</v>
      </c>
      <c r="B1132" s="26" t="str">
        <f>"09DPR2235P"</f>
        <v>09DPR2235P</v>
      </c>
      <c r="C1132" s="26" t="str">
        <f>"LEGION AMERICANA                                                                                    "</f>
        <v xml:space="preserve">LEGION AMERICANA                                                                                    </v>
      </c>
      <c r="D1132" s="26" t="str">
        <f>"MATUTINO"</f>
        <v>MATUTINO</v>
      </c>
      <c r="E1132" s="26" t="str">
        <f>"AV MEXICO AJUSCO NO 25                                                          "</f>
        <v xml:space="preserve">AV MEXICO AJUSCO NO 25                                                          </v>
      </c>
      <c r="F1132" s="26" t="str">
        <f>"MAGDALENA PETLACALCO                                                                                                                        "</f>
        <v xml:space="preserve">MAGDALENA PETLACALCO                                                                                                                        </v>
      </c>
      <c r="G1132" s="26" t="str">
        <f>"TLALPAN                                                                         "</f>
        <v xml:space="preserve">TLALPAN                                                                         </v>
      </c>
      <c r="H1132" s="26" t="str">
        <f>"530"</f>
        <v>530</v>
      </c>
      <c r="I1132" s="26" t="str">
        <f t="shared" si="177"/>
        <v>00</v>
      </c>
      <c r="J1132" s="26" t="str">
        <f>"45 "</f>
        <v xml:space="preserve">45 </v>
      </c>
      <c r="K1132" s="26" t="str">
        <f t="shared" si="180"/>
        <v>PR</v>
      </c>
      <c r="L1132" s="26" t="str">
        <f t="shared" si="181"/>
        <v>DGOSE</v>
      </c>
      <c r="M1132" s="26" t="str">
        <f t="shared" si="178"/>
        <v>FEDERAL</v>
      </c>
      <c r="N1132" s="26">
        <v>699</v>
      </c>
      <c r="O1132" s="26">
        <v>351</v>
      </c>
      <c r="P1132" s="26">
        <v>348</v>
      </c>
      <c r="Q1132" s="26">
        <v>17</v>
      </c>
      <c r="R1132" s="26">
        <v>1</v>
      </c>
      <c r="S1132" s="26">
        <v>17</v>
      </c>
      <c r="T1132" s="26">
        <v>14</v>
      </c>
      <c r="U1132" s="26">
        <v>32</v>
      </c>
      <c r="V1132" s="26">
        <v>1</v>
      </c>
      <c r="W1132" s="26"/>
    </row>
    <row r="1133" spans="1:23" x14ac:dyDescent="0.25">
      <c r="A1133" s="26" t="str">
        <f t="shared" si="176"/>
        <v>PRIMARIA</v>
      </c>
      <c r="B1133" s="26" t="str">
        <f>"09DPR2236O"</f>
        <v>09DPR2236O</v>
      </c>
      <c r="C1133" s="26" t="str">
        <f>"REPUBLICA DE CAMERUN                                                                                "</f>
        <v xml:space="preserve">REPUBLICA DE CAMERUN                                                                                </v>
      </c>
      <c r="D1133" s="26" t="str">
        <f>"MATUTINO"</f>
        <v>MATUTINO</v>
      </c>
      <c r="E1133" s="26" t="str">
        <f>"LUIS ECHEVERRIA S/N                                                             "</f>
        <v xml:space="preserve">LUIS ECHEVERRIA S/N                                                             </v>
      </c>
      <c r="F1133" s="26" t="str">
        <f>"PRESIDENTES                                                                                                                                 "</f>
        <v xml:space="preserve">PRESIDENTES                                                                                                                                 </v>
      </c>
      <c r="G1133" s="26" t="str">
        <f>"ALVARO OBREGON                                                                  "</f>
        <v xml:space="preserve">ALVARO OBREGON                                                                  </v>
      </c>
      <c r="H1133" s="26" t="str">
        <f>"309"</f>
        <v>309</v>
      </c>
      <c r="I1133" s="26" t="str">
        <f t="shared" si="177"/>
        <v>00</v>
      </c>
      <c r="J1133" s="26" t="str">
        <f>"43 "</f>
        <v xml:space="preserve">43 </v>
      </c>
      <c r="K1133" s="26" t="str">
        <f t="shared" si="180"/>
        <v>PR</v>
      </c>
      <c r="L1133" s="26" t="str">
        <f t="shared" si="181"/>
        <v>DGOSE</v>
      </c>
      <c r="M1133" s="26" t="str">
        <f t="shared" si="178"/>
        <v>FEDERAL</v>
      </c>
      <c r="N1133" s="26">
        <v>548</v>
      </c>
      <c r="O1133" s="26">
        <v>287</v>
      </c>
      <c r="P1133" s="26">
        <v>261</v>
      </c>
      <c r="Q1133" s="26">
        <v>17</v>
      </c>
      <c r="R1133" s="26">
        <v>1</v>
      </c>
      <c r="S1133" s="26">
        <v>17</v>
      </c>
      <c r="T1133" s="26">
        <v>9</v>
      </c>
      <c r="U1133" s="26">
        <v>27</v>
      </c>
      <c r="V1133" s="26">
        <v>1</v>
      </c>
      <c r="W1133" s="26"/>
    </row>
    <row r="1134" spans="1:23" x14ac:dyDescent="0.25">
      <c r="A1134" s="26" t="str">
        <f t="shared" si="176"/>
        <v>PRIMARIA</v>
      </c>
      <c r="B1134" s="26" t="str">
        <f>"09DPR2237N"</f>
        <v>09DPR2237N</v>
      </c>
      <c r="C1134" s="26" t="str">
        <f>"CUAUHTEMOC                                                                                          "</f>
        <v xml:space="preserve">CUAUHTEMOC                                                                                          </v>
      </c>
      <c r="D1134" s="26" t="str">
        <f>"MATUTINO"</f>
        <v>MATUTINO</v>
      </c>
      <c r="E1134" s="26" t="str">
        <f>"AV SAN BERNABE 95                                                               "</f>
        <v xml:space="preserve">AV SAN BERNABE 95                                                               </v>
      </c>
      <c r="F1134" s="26" t="str">
        <f>"CUAUHTEMOC                                                                                                                                  "</f>
        <v xml:space="preserve">CUAUHTEMOC                                                                                                                                  </v>
      </c>
      <c r="G1134" s="26" t="str">
        <f>"LA MAGDALENA CONTRERAS                                                          "</f>
        <v xml:space="preserve">LA MAGDALENA CONTRERAS                                                          </v>
      </c>
      <c r="H1134" s="26" t="str">
        <f>"332"</f>
        <v>332</v>
      </c>
      <c r="I1134" s="26" t="str">
        <f t="shared" si="177"/>
        <v>00</v>
      </c>
      <c r="J1134" s="26" t="str">
        <f>"43 "</f>
        <v xml:space="preserve">43 </v>
      </c>
      <c r="K1134" s="26" t="str">
        <f t="shared" si="180"/>
        <v>PR</v>
      </c>
      <c r="L1134" s="26" t="str">
        <f t="shared" si="181"/>
        <v>DGOSE</v>
      </c>
      <c r="M1134" s="26" t="str">
        <f t="shared" si="178"/>
        <v>FEDERAL</v>
      </c>
      <c r="N1134" s="26">
        <v>664</v>
      </c>
      <c r="O1134" s="26">
        <v>352</v>
      </c>
      <c r="P1134" s="26">
        <v>312</v>
      </c>
      <c r="Q1134" s="26">
        <v>20</v>
      </c>
      <c r="R1134" s="26">
        <v>1</v>
      </c>
      <c r="S1134" s="26">
        <v>20</v>
      </c>
      <c r="T1134" s="26">
        <v>10</v>
      </c>
      <c r="U1134" s="26">
        <v>31</v>
      </c>
      <c r="V1134" s="26">
        <v>1</v>
      </c>
      <c r="W1134" s="26"/>
    </row>
    <row r="1135" spans="1:23" x14ac:dyDescent="0.25">
      <c r="A1135" s="26" t="str">
        <f t="shared" si="176"/>
        <v>PRIMARIA</v>
      </c>
      <c r="B1135" s="26" t="str">
        <f>"09DPR2238M"</f>
        <v>09DPR2238M</v>
      </c>
      <c r="C1135" s="26" t="str">
        <f>"CUAUHTEMOC                                                                                          "</f>
        <v xml:space="preserve">CUAUHTEMOC                                                                                          </v>
      </c>
      <c r="D1135" s="26" t="str">
        <f>"VESPERTINO"</f>
        <v>VESPERTINO</v>
      </c>
      <c r="E1135" s="26" t="str">
        <f>"AV SAN BERNABE 95                                                               "</f>
        <v xml:space="preserve">AV SAN BERNABE 95                                                               </v>
      </c>
      <c r="F1135" s="26" t="str">
        <f>"CUAUHTEMOC                                                                                                                                  "</f>
        <v xml:space="preserve">CUAUHTEMOC                                                                                                                                  </v>
      </c>
      <c r="G1135" s="26" t="str">
        <f>"LA MAGDALENA CONTRERAS                                                          "</f>
        <v xml:space="preserve">LA MAGDALENA CONTRERAS                                                          </v>
      </c>
      <c r="H1135" s="26" t="str">
        <f>"332"</f>
        <v>332</v>
      </c>
      <c r="I1135" s="26" t="str">
        <f t="shared" si="177"/>
        <v>00</v>
      </c>
      <c r="J1135" s="26" t="str">
        <f>"43 "</f>
        <v xml:space="preserve">43 </v>
      </c>
      <c r="K1135" s="26" t="str">
        <f t="shared" si="180"/>
        <v>PR</v>
      </c>
      <c r="L1135" s="26" t="str">
        <f t="shared" si="181"/>
        <v>DGOSE</v>
      </c>
      <c r="M1135" s="26" t="str">
        <f t="shared" si="178"/>
        <v>FEDERAL</v>
      </c>
      <c r="N1135" s="26">
        <v>473</v>
      </c>
      <c r="O1135" s="26">
        <v>227</v>
      </c>
      <c r="P1135" s="26">
        <v>246</v>
      </c>
      <c r="Q1135" s="26">
        <v>18</v>
      </c>
      <c r="R1135" s="26">
        <v>1</v>
      </c>
      <c r="S1135" s="26">
        <v>18</v>
      </c>
      <c r="T1135" s="26">
        <v>9</v>
      </c>
      <c r="U1135" s="26">
        <v>28</v>
      </c>
      <c r="V1135" s="26">
        <v>1</v>
      </c>
      <c r="W1135" s="26"/>
    </row>
    <row r="1136" spans="1:23" x14ac:dyDescent="0.25">
      <c r="A1136" s="26" t="str">
        <f t="shared" si="176"/>
        <v>PRIMARIA</v>
      </c>
      <c r="B1136" s="26" t="str">
        <f>"09DPR2239L"</f>
        <v>09DPR2239L</v>
      </c>
      <c r="C1136" s="26" t="str">
        <f>"FRANCISCO GABILONDO SOLER                                                                           "</f>
        <v xml:space="preserve">FRANCISCO GABILONDO SOLER                                                                           </v>
      </c>
      <c r="D1136" s="26" t="str">
        <f>"MATUTINO"</f>
        <v>MATUTINO</v>
      </c>
      <c r="E1136" s="26" t="str">
        <f>"REMOLINO NO. 4                                                                  "</f>
        <v xml:space="preserve">REMOLINO NO. 4                                                                  </v>
      </c>
      <c r="F1136" s="26" t="str">
        <f>"ALPES                                                                                                                                       "</f>
        <v xml:space="preserve">ALPES                                                                                                                                       </v>
      </c>
      <c r="G1136" s="26" t="str">
        <f>"ALVARO OBREGON                                                                  "</f>
        <v xml:space="preserve">ALVARO OBREGON                                                                  </v>
      </c>
      <c r="H1136" s="26" t="str">
        <f>"321"</f>
        <v>321</v>
      </c>
      <c r="I1136" s="26" t="str">
        <f t="shared" si="177"/>
        <v>00</v>
      </c>
      <c r="J1136" s="26" t="str">
        <f>"43 "</f>
        <v xml:space="preserve">43 </v>
      </c>
      <c r="K1136" s="26" t="str">
        <f t="shared" si="180"/>
        <v>PR</v>
      </c>
      <c r="L1136" s="26" t="str">
        <f t="shared" si="181"/>
        <v>DGOSE</v>
      </c>
      <c r="M1136" s="26" t="str">
        <f t="shared" si="178"/>
        <v>FEDERAL</v>
      </c>
      <c r="N1136" s="26">
        <v>194</v>
      </c>
      <c r="O1136" s="26">
        <v>93</v>
      </c>
      <c r="P1136" s="26">
        <v>101</v>
      </c>
      <c r="Q1136" s="26">
        <v>6</v>
      </c>
      <c r="R1136" s="26">
        <v>1</v>
      </c>
      <c r="S1136" s="26">
        <v>6</v>
      </c>
      <c r="T1136" s="26">
        <v>4</v>
      </c>
      <c r="U1136" s="26">
        <v>11</v>
      </c>
      <c r="V1136" s="26">
        <v>1</v>
      </c>
      <c r="W1136" s="26"/>
    </row>
    <row r="1137" spans="1:23" x14ac:dyDescent="0.25">
      <c r="A1137" s="26" t="str">
        <f t="shared" si="176"/>
        <v>PRIMARIA</v>
      </c>
      <c r="B1137" s="26" t="str">
        <f>"09DPR2240A"</f>
        <v>09DPR2240A</v>
      </c>
      <c r="C1137" s="26" t="str">
        <f>"FRANCISCO GABILONDO SOLER                                                                           "</f>
        <v xml:space="preserve">FRANCISCO GABILONDO SOLER                                                                           </v>
      </c>
      <c r="D1137" s="26" t="str">
        <f>"VESPERTINO"</f>
        <v>VESPERTINO</v>
      </c>
      <c r="E1137" s="26" t="str">
        <f>"REMOLINO NO. 4                                                                  "</f>
        <v xml:space="preserve">REMOLINO NO. 4                                                                  </v>
      </c>
      <c r="F1137" s="26" t="str">
        <f>"ALPES                                                                                                                                       "</f>
        <v xml:space="preserve">ALPES                                                                                                                                       </v>
      </c>
      <c r="G1137" s="26" t="str">
        <f>"ALVARO OBREGON                                                                  "</f>
        <v xml:space="preserve">ALVARO OBREGON                                                                  </v>
      </c>
      <c r="H1137" s="26" t="str">
        <f>"321"</f>
        <v>321</v>
      </c>
      <c r="I1137" s="26" t="str">
        <f t="shared" si="177"/>
        <v>00</v>
      </c>
      <c r="J1137" s="26" t="str">
        <f>"43 "</f>
        <v xml:space="preserve">43 </v>
      </c>
      <c r="K1137" s="26" t="str">
        <f t="shared" si="180"/>
        <v>PR</v>
      </c>
      <c r="L1137" s="26" t="str">
        <f t="shared" si="181"/>
        <v>DGOSE</v>
      </c>
      <c r="M1137" s="26" t="str">
        <f t="shared" si="178"/>
        <v>FEDERAL</v>
      </c>
      <c r="N1137" s="26">
        <v>126</v>
      </c>
      <c r="O1137" s="26">
        <v>67</v>
      </c>
      <c r="P1137" s="26">
        <v>59</v>
      </c>
      <c r="Q1137" s="26">
        <v>6</v>
      </c>
      <c r="R1137" s="26">
        <v>1</v>
      </c>
      <c r="S1137" s="26">
        <v>6</v>
      </c>
      <c r="T1137" s="26">
        <v>4</v>
      </c>
      <c r="U1137" s="26">
        <v>11</v>
      </c>
      <c r="V1137" s="26">
        <v>1</v>
      </c>
      <c r="W1137" s="26"/>
    </row>
    <row r="1138" spans="1:23" x14ac:dyDescent="0.25">
      <c r="A1138" s="26" t="str">
        <f t="shared" si="176"/>
        <v>PRIMARIA</v>
      </c>
      <c r="B1138" s="26" t="str">
        <f>"09DPR2241Z"</f>
        <v>09DPR2241Z</v>
      </c>
      <c r="C1138" s="26" t="str">
        <f>"BENITO JUAREZ                                                                                       "</f>
        <v xml:space="preserve">BENITO JUAREZ                                                                                       </v>
      </c>
      <c r="D1138" s="26" t="str">
        <f>"TIEMPO COMPLETO"</f>
        <v>TIEMPO COMPLETO</v>
      </c>
      <c r="E1138" s="26" t="str">
        <f>"PROLONGACION DE OCAMPO NO 98                                                    "</f>
        <v xml:space="preserve">PROLONGACION DE OCAMPO NO 98                                                    </v>
      </c>
      <c r="F1138" s="26" t="str">
        <f>"SAN LORENZO ACOPILCO                                                                                                                        "</f>
        <v xml:space="preserve">SAN LORENZO ACOPILCO                                                                                                                        </v>
      </c>
      <c r="G1138" s="26" t="str">
        <f>"CUAJIMALPA DE MORELOS                                                           "</f>
        <v xml:space="preserve">CUAJIMALPA DE MORELOS                                                           </v>
      </c>
      <c r="H1138" s="26" t="str">
        <f>"145"</f>
        <v>145</v>
      </c>
      <c r="I1138" s="26" t="str">
        <f t="shared" si="177"/>
        <v>00</v>
      </c>
      <c r="J1138" s="26" t="str">
        <f>"41 "</f>
        <v xml:space="preserve">41 </v>
      </c>
      <c r="K1138" s="26" t="str">
        <f t="shared" si="180"/>
        <v>PR</v>
      </c>
      <c r="L1138" s="26" t="str">
        <f t="shared" si="181"/>
        <v>DGOSE</v>
      </c>
      <c r="M1138" s="26" t="str">
        <f t="shared" si="178"/>
        <v>FEDERAL</v>
      </c>
      <c r="N1138" s="26">
        <v>591</v>
      </c>
      <c r="O1138" s="26">
        <v>305</v>
      </c>
      <c r="P1138" s="26">
        <v>286</v>
      </c>
      <c r="Q1138" s="26">
        <v>18</v>
      </c>
      <c r="R1138" s="26">
        <v>1</v>
      </c>
      <c r="S1138" s="26">
        <v>18</v>
      </c>
      <c r="T1138" s="26">
        <v>13</v>
      </c>
      <c r="U1138" s="26">
        <v>32</v>
      </c>
      <c r="V1138" s="26">
        <v>1</v>
      </c>
      <c r="W1138" s="26" t="s">
        <v>218</v>
      </c>
    </row>
    <row r="1139" spans="1:23" x14ac:dyDescent="0.25">
      <c r="A1139" s="26" t="str">
        <f t="shared" si="176"/>
        <v>PRIMARIA</v>
      </c>
      <c r="B1139" s="26" t="str">
        <f>"09DPR2243Y"</f>
        <v>09DPR2243Y</v>
      </c>
      <c r="C1139" s="26" t="str">
        <f>"ANTONIA ARELLANO LUNA                                                                               "</f>
        <v xml:space="preserve">ANTONIA ARELLANO LUNA                                                                               </v>
      </c>
      <c r="D1139" s="26" t="str">
        <f>"MATUTINO"</f>
        <v>MATUTINO</v>
      </c>
      <c r="E1139" s="26" t="str">
        <f>"CALZADA DE LA VIGA NUM 97                                                       "</f>
        <v xml:space="preserve">CALZADA DE LA VIGA NUM 97                                                       </v>
      </c>
      <c r="F1139" s="26" t="str">
        <f>"ESPERANZA                                                                                                                                   "</f>
        <v xml:space="preserve">ESPERANZA                                                                                                                                   </v>
      </c>
      <c r="G1139" s="26" t="str">
        <f>"CUAUHTEMOC                                                                      "</f>
        <v xml:space="preserve">CUAUHTEMOC                                                                      </v>
      </c>
      <c r="H1139" s="26" t="str">
        <f>"223"</f>
        <v>223</v>
      </c>
      <c r="I1139" s="26" t="str">
        <f t="shared" si="177"/>
        <v>00</v>
      </c>
      <c r="J1139" s="26" t="str">
        <f>"42 "</f>
        <v xml:space="preserve">42 </v>
      </c>
      <c r="K1139" s="26" t="str">
        <f t="shared" si="180"/>
        <v>PR</v>
      </c>
      <c r="L1139" s="26" t="str">
        <f t="shared" si="181"/>
        <v>DGOSE</v>
      </c>
      <c r="M1139" s="26" t="str">
        <f t="shared" si="178"/>
        <v>FEDERAL</v>
      </c>
      <c r="N1139" s="26">
        <v>166</v>
      </c>
      <c r="O1139" s="26">
        <v>84</v>
      </c>
      <c r="P1139" s="26">
        <v>82</v>
      </c>
      <c r="Q1139" s="26">
        <v>7</v>
      </c>
      <c r="R1139" s="26">
        <v>1</v>
      </c>
      <c r="S1139" s="26">
        <v>7</v>
      </c>
      <c r="T1139" s="26">
        <v>11</v>
      </c>
      <c r="U1139" s="26">
        <v>19</v>
      </c>
      <c r="V1139" s="26">
        <v>1</v>
      </c>
      <c r="W1139" s="26"/>
    </row>
    <row r="1140" spans="1:23" x14ac:dyDescent="0.25">
      <c r="A1140" s="26" t="str">
        <f t="shared" si="176"/>
        <v>PRIMARIA</v>
      </c>
      <c r="B1140" s="26" t="str">
        <f>"09DPR2244X"</f>
        <v>09DPR2244X</v>
      </c>
      <c r="C1140" s="26" t="str">
        <f>"REPUBLICA DE NIGERIA                                                                                "</f>
        <v xml:space="preserve">REPUBLICA DE NIGERIA                                                                                </v>
      </c>
      <c r="D1140" s="26" t="str">
        <f>"TIEMPO COMPLETO"</f>
        <v>TIEMPO COMPLETO</v>
      </c>
      <c r="E1140" s="26" t="str">
        <f>"RETORNO 4 M RIVERA CAMBAS                                                       "</f>
        <v xml:space="preserve">RETORNO 4 M RIVERA CAMBAS                                                       </v>
      </c>
      <c r="F1140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1140" s="26" t="str">
        <f>"VENUSTIANO CARRANZA                                                             "</f>
        <v xml:space="preserve">VENUSTIANO CARRANZA                                                             </v>
      </c>
      <c r="H1140" s="26" t="str">
        <f>"422"</f>
        <v>422</v>
      </c>
      <c r="I1140" s="26" t="str">
        <f t="shared" si="177"/>
        <v>00</v>
      </c>
      <c r="J1140" s="26" t="str">
        <f>"44 "</f>
        <v xml:space="preserve">44 </v>
      </c>
      <c r="K1140" s="26" t="str">
        <f t="shared" si="180"/>
        <v>PR</v>
      </c>
      <c r="L1140" s="26" t="str">
        <f t="shared" si="181"/>
        <v>DGOSE</v>
      </c>
      <c r="M1140" s="26" t="str">
        <f t="shared" si="178"/>
        <v>FEDERAL</v>
      </c>
      <c r="N1140" s="26">
        <v>485</v>
      </c>
      <c r="O1140" s="26">
        <v>218</v>
      </c>
      <c r="P1140" s="26">
        <v>267</v>
      </c>
      <c r="Q1140" s="26">
        <v>17</v>
      </c>
      <c r="R1140" s="26">
        <v>1</v>
      </c>
      <c r="S1140" s="26">
        <v>17</v>
      </c>
      <c r="T1140" s="26">
        <v>20</v>
      </c>
      <c r="U1140" s="26">
        <v>38</v>
      </c>
      <c r="V1140" s="26">
        <v>1</v>
      </c>
      <c r="W1140" s="26" t="s">
        <v>218</v>
      </c>
    </row>
    <row r="1141" spans="1:23" x14ac:dyDescent="0.25">
      <c r="A1141" s="26" t="str">
        <f t="shared" si="176"/>
        <v>PRIMARIA</v>
      </c>
      <c r="B1141" s="26" t="str">
        <f>"09DPR2245W"</f>
        <v>09DPR2245W</v>
      </c>
      <c r="C1141" s="26" t="str">
        <f>"REPUBLICA DE TANZANIA                                                                               "</f>
        <v xml:space="preserve">REPUBLICA DE TANZANIA                                                                               </v>
      </c>
      <c r="D1141" s="26" t="str">
        <f>"MATUTINO"</f>
        <v>MATUTINO</v>
      </c>
      <c r="E1141" s="26" t="str">
        <f>"PLAYA FLAMINGOS NO 64                                                           "</f>
        <v xml:space="preserve">PLAYA FLAMINGOS NO 64                                                           </v>
      </c>
      <c r="F1141" s="26" t="str">
        <f>"MILITAR MARTE                                                                                                                               "</f>
        <v xml:space="preserve">MILITAR MARTE                                                                                                                               </v>
      </c>
      <c r="G1141" s="26" t="str">
        <f>"IZTACALCO                                                                       "</f>
        <v xml:space="preserve">IZTACALCO                                                                       </v>
      </c>
      <c r="H1141" s="26" t="str">
        <f>"363"</f>
        <v>363</v>
      </c>
      <c r="I1141" s="26" t="str">
        <f t="shared" si="177"/>
        <v>00</v>
      </c>
      <c r="J1141" s="26" t="str">
        <f>"43 "</f>
        <v xml:space="preserve">43 </v>
      </c>
      <c r="K1141" s="26" t="str">
        <f t="shared" si="180"/>
        <v>PR</v>
      </c>
      <c r="L1141" s="26" t="str">
        <f t="shared" si="181"/>
        <v>DGOSE</v>
      </c>
      <c r="M1141" s="26" t="str">
        <f t="shared" si="178"/>
        <v>FEDERAL</v>
      </c>
      <c r="N1141" s="26">
        <v>504</v>
      </c>
      <c r="O1141" s="26">
        <v>252</v>
      </c>
      <c r="P1141" s="26">
        <v>252</v>
      </c>
      <c r="Q1141" s="26">
        <v>17</v>
      </c>
      <c r="R1141" s="26">
        <v>1</v>
      </c>
      <c r="S1141" s="26">
        <v>17</v>
      </c>
      <c r="T1141" s="26">
        <v>12</v>
      </c>
      <c r="U1141" s="26">
        <v>30</v>
      </c>
      <c r="V1141" s="26">
        <v>1</v>
      </c>
      <c r="W1141" s="26"/>
    </row>
    <row r="1142" spans="1:23" x14ac:dyDescent="0.25">
      <c r="A1142" s="26" t="str">
        <f t="shared" si="176"/>
        <v>PRIMARIA</v>
      </c>
      <c r="B1142" s="26" t="str">
        <f>"09DPR2246V"</f>
        <v>09DPR2246V</v>
      </c>
      <c r="C1142" s="26" t="str">
        <f>"REPUBLICA DE TANZANIA                                                                               "</f>
        <v xml:space="preserve">REPUBLICA DE TANZANIA                                                                               </v>
      </c>
      <c r="D1142" s="26" t="str">
        <f>"VESPERTINO"</f>
        <v>VESPERTINO</v>
      </c>
      <c r="E1142" s="26" t="str">
        <f>"PLAYA FLAMINGOS NO. 64                                                          "</f>
        <v xml:space="preserve">PLAYA FLAMINGOS NO. 64                                                          </v>
      </c>
      <c r="F1142" s="26" t="str">
        <f>"MILITAR MARTE                                                                                                                               "</f>
        <v xml:space="preserve">MILITAR MARTE                                                                                                                               </v>
      </c>
      <c r="G1142" s="26" t="str">
        <f>"IZTACALCO                                                                       "</f>
        <v xml:space="preserve">IZTACALCO                                                                       </v>
      </c>
      <c r="H1142" s="26" t="str">
        <f>"363"</f>
        <v>363</v>
      </c>
      <c r="I1142" s="26" t="str">
        <f t="shared" si="177"/>
        <v>00</v>
      </c>
      <c r="J1142" s="26" t="str">
        <f>"43 "</f>
        <v xml:space="preserve">43 </v>
      </c>
      <c r="K1142" s="26" t="str">
        <f t="shared" si="180"/>
        <v>PR</v>
      </c>
      <c r="L1142" s="26" t="str">
        <f t="shared" si="181"/>
        <v>DGOSE</v>
      </c>
      <c r="M1142" s="26" t="str">
        <f t="shared" si="178"/>
        <v>FEDERAL</v>
      </c>
      <c r="N1142" s="26">
        <v>123</v>
      </c>
      <c r="O1142" s="26">
        <v>72</v>
      </c>
      <c r="P1142" s="26">
        <v>51</v>
      </c>
      <c r="Q1142" s="26">
        <v>6</v>
      </c>
      <c r="R1142" s="26">
        <v>1</v>
      </c>
      <c r="S1142" s="26">
        <v>6</v>
      </c>
      <c r="T1142" s="26">
        <v>6</v>
      </c>
      <c r="U1142" s="26">
        <v>13</v>
      </c>
      <c r="V1142" s="26">
        <v>1</v>
      </c>
      <c r="W1142" s="26"/>
    </row>
    <row r="1143" spans="1:23" x14ac:dyDescent="0.25">
      <c r="A1143" s="26" t="str">
        <f t="shared" si="176"/>
        <v>PRIMARIA</v>
      </c>
      <c r="B1143" s="26" t="str">
        <f>"09DPR2248T"</f>
        <v>09DPR2248T</v>
      </c>
      <c r="C1143" s="26" t="str">
        <f>"MARIANO HIDALGO                                                                                     "</f>
        <v xml:space="preserve">MARIANO HIDALGO                                                                                     </v>
      </c>
      <c r="D1143" s="26" t="str">
        <f>"VESPERTINO"</f>
        <v>VESPERTINO</v>
      </c>
      <c r="E1143" s="26" t="str">
        <f>"MOCTEZUMA NO. 1                                                                 "</f>
        <v xml:space="preserve">MOCTEZUMA NO. 1                                                                 </v>
      </c>
      <c r="F1143" s="26" t="str">
        <f>"SANTIAGO ACAHUALTEPEC                                                                                                                       "</f>
        <v xml:space="preserve">SANTIAGO ACAHUALTEPEC                                                                                                                       </v>
      </c>
      <c r="G1143" s="26" t="str">
        <f>"IZTAPALAPA                                                                      "</f>
        <v xml:space="preserve">IZTAPALAPA                                                                      </v>
      </c>
      <c r="H1143" s="26" t="str">
        <f>"065"</f>
        <v>065</v>
      </c>
      <c r="I1143" s="26" t="str">
        <f t="shared" si="177"/>
        <v>00</v>
      </c>
      <c r="J1143" s="26" t="str">
        <f>"64 "</f>
        <v xml:space="preserve">64 </v>
      </c>
      <c r="K1143" s="26" t="str">
        <f>"IZ"</f>
        <v>IZ</v>
      </c>
      <c r="L1143" s="26" t="str">
        <f>"DGSEI"</f>
        <v>DGSEI</v>
      </c>
      <c r="M1143" s="26" t="str">
        <f t="shared" si="178"/>
        <v>FEDERAL</v>
      </c>
      <c r="N1143" s="26">
        <v>480</v>
      </c>
      <c r="O1143" s="26">
        <v>237</v>
      </c>
      <c r="P1143" s="26">
        <v>243</v>
      </c>
      <c r="Q1143" s="26">
        <v>19</v>
      </c>
      <c r="R1143" s="26">
        <v>1</v>
      </c>
      <c r="S1143" s="26">
        <v>19</v>
      </c>
      <c r="T1143" s="26">
        <v>8</v>
      </c>
      <c r="U1143" s="26">
        <v>28</v>
      </c>
      <c r="V1143" s="26">
        <v>1</v>
      </c>
      <c r="W1143" s="26"/>
    </row>
    <row r="1144" spans="1:23" x14ac:dyDescent="0.25">
      <c r="A1144" s="26" t="str">
        <f t="shared" si="176"/>
        <v>PRIMARIA</v>
      </c>
      <c r="B1144" s="26" t="str">
        <f>"09DPR2249S"</f>
        <v>09DPR2249S</v>
      </c>
      <c r="C1144" s="26" t="str">
        <f>"LIC. MARIANO OTERO                                                                                  "</f>
        <v xml:space="preserve">LIC. MARIANO OTERO                                                                                  </v>
      </c>
      <c r="D1144" s="26" t="str">
        <f>"VESPERTINO"</f>
        <v>VESPERTINO</v>
      </c>
      <c r="E1144" s="26" t="str">
        <f>"AV. GOBERNACION NO. 19                                                          "</f>
        <v xml:space="preserve">AV. GOBERNACION NO. 19                                                          </v>
      </c>
      <c r="F1144" s="26" t="str">
        <f>"SAN SIMON CULHUACAN                                                                                                                         "</f>
        <v xml:space="preserve">SAN SIMON CULHUACAN                                                                                                                         </v>
      </c>
      <c r="G1144" s="26" t="str">
        <f>"IZTAPALAPA                                                                      "</f>
        <v xml:space="preserve">IZTAPALAPA                                                                      </v>
      </c>
      <c r="H1144" s="26" t="str">
        <f>"040"</f>
        <v>040</v>
      </c>
      <c r="I1144" s="26" t="str">
        <f t="shared" si="177"/>
        <v>00</v>
      </c>
      <c r="J1144" s="26" t="str">
        <f>"63 "</f>
        <v xml:space="preserve">63 </v>
      </c>
      <c r="K1144" s="26" t="str">
        <f>"IZ"</f>
        <v>IZ</v>
      </c>
      <c r="L1144" s="26" t="str">
        <f>"DGSEI"</f>
        <v>DGSEI</v>
      </c>
      <c r="M1144" s="26" t="str">
        <f t="shared" si="178"/>
        <v>FEDERAL</v>
      </c>
      <c r="N1144" s="26">
        <v>221</v>
      </c>
      <c r="O1144" s="26">
        <v>122</v>
      </c>
      <c r="P1144" s="26">
        <v>99</v>
      </c>
      <c r="Q1144" s="26">
        <v>13</v>
      </c>
      <c r="R1144" s="26">
        <v>1</v>
      </c>
      <c r="S1144" s="26">
        <v>12</v>
      </c>
      <c r="T1144" s="26">
        <v>6</v>
      </c>
      <c r="U1144" s="26">
        <v>19</v>
      </c>
      <c r="V1144" s="26">
        <v>1</v>
      </c>
      <c r="W1144" s="26"/>
    </row>
    <row r="1145" spans="1:23" x14ac:dyDescent="0.25">
      <c r="A1145" s="26" t="str">
        <f t="shared" si="176"/>
        <v>PRIMARIA</v>
      </c>
      <c r="B1145" s="26" t="str">
        <f>"09DPR2251G"</f>
        <v>09DPR2251G</v>
      </c>
      <c r="C1145" s="26" t="str">
        <f>"MA. MAGDALENA PACHECO BLANCO                                                                        "</f>
        <v xml:space="preserve">MA. MAGDALENA PACHECO BLANCO                                                                        </v>
      </c>
      <c r="D1145" s="26" t="str">
        <f>"MATUTINO"</f>
        <v>MATUTINO</v>
      </c>
      <c r="E1145" s="26" t="str">
        <f>"LA TURBA NUM. 198                                                               "</f>
        <v xml:space="preserve">LA TURBA NUM. 198                                                               </v>
      </c>
      <c r="F1145" s="26" t="str">
        <f>"GRANJAS CABRERA                                                                                                                             "</f>
        <v xml:space="preserve">GRANJAS CABRERA                                                                                                                             </v>
      </c>
      <c r="G1145" s="26" t="str">
        <f>"TLAHUAC                                                                         "</f>
        <v xml:space="preserve">TLAHUAC                                                                         </v>
      </c>
      <c r="H1145" s="26" t="str">
        <f>"549"</f>
        <v>549</v>
      </c>
      <c r="I1145" s="26" t="str">
        <f t="shared" si="177"/>
        <v>00</v>
      </c>
      <c r="J1145" s="26" t="str">
        <f>"45 "</f>
        <v xml:space="preserve">45 </v>
      </c>
      <c r="K1145" s="26" t="str">
        <f>"PR"</f>
        <v>PR</v>
      </c>
      <c r="L1145" s="26" t="str">
        <f>"DGOSE"</f>
        <v>DGOSE</v>
      </c>
      <c r="M1145" s="26" t="str">
        <f t="shared" si="178"/>
        <v>FEDERAL</v>
      </c>
      <c r="N1145" s="26">
        <v>413</v>
      </c>
      <c r="O1145" s="26">
        <v>196</v>
      </c>
      <c r="P1145" s="26">
        <v>217</v>
      </c>
      <c r="Q1145" s="26">
        <v>12</v>
      </c>
      <c r="R1145" s="26">
        <v>1</v>
      </c>
      <c r="S1145" s="26">
        <v>12</v>
      </c>
      <c r="T1145" s="26">
        <v>8</v>
      </c>
      <c r="U1145" s="26">
        <v>21</v>
      </c>
      <c r="V1145" s="26">
        <v>1</v>
      </c>
      <c r="W1145" s="26"/>
    </row>
    <row r="1146" spans="1:23" x14ac:dyDescent="0.25">
      <c r="A1146" s="26" t="str">
        <f t="shared" si="176"/>
        <v>PRIMARIA</v>
      </c>
      <c r="B1146" s="26" t="str">
        <f>"09DPR2252F"</f>
        <v>09DPR2252F</v>
      </c>
      <c r="C1146" s="26" t="str">
        <f>"MA. MAGDALENA PACHECO BLANCO                                                                        "</f>
        <v xml:space="preserve">MA. MAGDALENA PACHECO BLANCO                                                                        </v>
      </c>
      <c r="D1146" s="26" t="str">
        <f>"VESPERTINO"</f>
        <v>VESPERTINO</v>
      </c>
      <c r="E1146" s="26" t="str">
        <f>"CALLE DE LA TURBA 198                                                           "</f>
        <v xml:space="preserve">CALLE DE LA TURBA 198                                                           </v>
      </c>
      <c r="F1146" s="26" t="str">
        <f>"GRANJAS CABRERA                                                                                                                             "</f>
        <v xml:space="preserve">GRANJAS CABRERA                                                                                                                             </v>
      </c>
      <c r="G1146" s="26" t="str">
        <f>"TLAHUAC                                                                         "</f>
        <v xml:space="preserve">TLAHUAC                                                                         </v>
      </c>
      <c r="H1146" s="26" t="str">
        <f>"549"</f>
        <v>549</v>
      </c>
      <c r="I1146" s="26" t="str">
        <f t="shared" si="177"/>
        <v>00</v>
      </c>
      <c r="J1146" s="26" t="str">
        <f>"45 "</f>
        <v xml:space="preserve">45 </v>
      </c>
      <c r="K1146" s="26" t="str">
        <f>"PR"</f>
        <v>PR</v>
      </c>
      <c r="L1146" s="26" t="str">
        <f>"DGOSE"</f>
        <v>DGOSE</v>
      </c>
      <c r="M1146" s="26" t="str">
        <f t="shared" si="178"/>
        <v>FEDERAL</v>
      </c>
      <c r="N1146" s="26">
        <v>245</v>
      </c>
      <c r="O1146" s="26">
        <v>133</v>
      </c>
      <c r="P1146" s="26">
        <v>112</v>
      </c>
      <c r="Q1146" s="26">
        <v>12</v>
      </c>
      <c r="R1146" s="26">
        <v>1</v>
      </c>
      <c r="S1146" s="26">
        <v>12</v>
      </c>
      <c r="T1146" s="26">
        <v>6</v>
      </c>
      <c r="U1146" s="26">
        <v>19</v>
      </c>
      <c r="V1146" s="26">
        <v>1</v>
      </c>
      <c r="W1146" s="26"/>
    </row>
    <row r="1147" spans="1:23" x14ac:dyDescent="0.25">
      <c r="A1147" s="26" t="str">
        <f t="shared" si="176"/>
        <v>PRIMARIA</v>
      </c>
      <c r="B1147" s="26" t="str">
        <f>"09DPR2253E"</f>
        <v>09DPR2253E</v>
      </c>
      <c r="C1147" s="26" t="str">
        <f>"PRINCIPADO DE MONACO                                                                                "</f>
        <v xml:space="preserve">PRINCIPADO DE MONACO                                                                                </v>
      </c>
      <c r="D1147" s="26" t="str">
        <f>"MATUTINO"</f>
        <v>MATUTINO</v>
      </c>
      <c r="E1147" s="26" t="str">
        <f>"VICENTE GUERRERO 14                                                             "</f>
        <v xml:space="preserve">VICENTE GUERRERO 14                                                             </v>
      </c>
      <c r="F1147" s="26" t="str">
        <f>"SAN FRANCISCO TLALTENCO                                                                                                                     "</f>
        <v xml:space="preserve">SAN FRANCISCO TLALTENCO                                                                                                                     </v>
      </c>
      <c r="G1147" s="26" t="str">
        <f>"TLAHUAC                                                                         "</f>
        <v xml:space="preserve">TLAHUAC                                                                         </v>
      </c>
      <c r="H1147" s="26" t="str">
        <f>"554"</f>
        <v>554</v>
      </c>
      <c r="I1147" s="26" t="str">
        <f t="shared" si="177"/>
        <v>00</v>
      </c>
      <c r="J1147" s="26" t="str">
        <f>"45 "</f>
        <v xml:space="preserve">45 </v>
      </c>
      <c r="K1147" s="26" t="str">
        <f>"PR"</f>
        <v>PR</v>
      </c>
      <c r="L1147" s="26" t="str">
        <f>"DGOSE"</f>
        <v>DGOSE</v>
      </c>
      <c r="M1147" s="26" t="str">
        <f t="shared" si="178"/>
        <v>FEDERAL</v>
      </c>
      <c r="N1147" s="26">
        <v>603</v>
      </c>
      <c r="O1147" s="26">
        <v>299</v>
      </c>
      <c r="P1147" s="26">
        <v>304</v>
      </c>
      <c r="Q1147" s="26">
        <v>16</v>
      </c>
      <c r="R1147" s="26">
        <v>1</v>
      </c>
      <c r="S1147" s="26">
        <v>15</v>
      </c>
      <c r="T1147" s="26">
        <v>11</v>
      </c>
      <c r="U1147" s="26">
        <v>27</v>
      </c>
      <c r="V1147" s="26">
        <v>1</v>
      </c>
      <c r="W1147" s="26"/>
    </row>
    <row r="1148" spans="1:23" x14ac:dyDescent="0.25">
      <c r="A1148" s="26" t="str">
        <f t="shared" si="176"/>
        <v>PRIMARIA</v>
      </c>
      <c r="B1148" s="26" t="str">
        <f>"09DPR2254D"</f>
        <v>09DPR2254D</v>
      </c>
      <c r="C1148" s="26" t="str">
        <f>"REPUBLICA DE MADAGASCAR                                                                             "</f>
        <v xml:space="preserve">REPUBLICA DE MADAGASCAR                                                                             </v>
      </c>
      <c r="D1148" s="26" t="str">
        <f>"VESPERTINO"</f>
        <v>VESPERTINO</v>
      </c>
      <c r="E1148" s="26" t="str">
        <f>"ING. GUILLERMO GONZALEZ CAMARENA NO. 120                                        "</f>
        <v xml:space="preserve">ING. GUILLERMO GONZALEZ CAMARENA NO. 120                                        </v>
      </c>
      <c r="F1148" s="26" t="str">
        <f>"JACARANDAS                                                                                                                                  "</f>
        <v xml:space="preserve">JACARANDAS                                                                                                                                  </v>
      </c>
      <c r="G1148" s="26" t="str">
        <f>"IZTAPALAPA                                                                      "</f>
        <v xml:space="preserve">IZTAPALAPA                                                                      </v>
      </c>
      <c r="H1148" s="26" t="str">
        <f>"016"</f>
        <v>016</v>
      </c>
      <c r="I1148" s="26" t="str">
        <f t="shared" si="177"/>
        <v>00</v>
      </c>
      <c r="J1148" s="26" t="str">
        <f>"62 "</f>
        <v xml:space="preserve">62 </v>
      </c>
      <c r="K1148" s="26" t="str">
        <f>"IZ"</f>
        <v>IZ</v>
      </c>
      <c r="L1148" s="26" t="str">
        <f>"DGSEI"</f>
        <v>DGSEI</v>
      </c>
      <c r="M1148" s="26" t="str">
        <f t="shared" si="178"/>
        <v>FEDERAL</v>
      </c>
      <c r="N1148" s="26">
        <v>157</v>
      </c>
      <c r="O1148" s="26">
        <v>74</v>
      </c>
      <c r="P1148" s="26">
        <v>83</v>
      </c>
      <c r="Q1148" s="26">
        <v>6</v>
      </c>
      <c r="R1148" s="26">
        <v>1</v>
      </c>
      <c r="S1148" s="26">
        <v>6</v>
      </c>
      <c r="T1148" s="26">
        <v>3</v>
      </c>
      <c r="U1148" s="26">
        <v>10</v>
      </c>
      <c r="V1148" s="26">
        <v>1</v>
      </c>
      <c r="W1148" s="26"/>
    </row>
    <row r="1149" spans="1:23" x14ac:dyDescent="0.25">
      <c r="A1149" s="26" t="str">
        <f t="shared" si="176"/>
        <v>PRIMARIA</v>
      </c>
      <c r="B1149" s="26" t="str">
        <f>"09DPR2256B"</f>
        <v>09DPR2256B</v>
      </c>
      <c r="C1149" s="26" t="str">
        <f>"REPUBLICA DE SUAZILANDIA                                                                            "</f>
        <v xml:space="preserve">REPUBLICA DE SUAZILANDIA                                                                            </v>
      </c>
      <c r="D1149" s="26" t="str">
        <f>"VESPERTINO"</f>
        <v>VESPERTINO</v>
      </c>
      <c r="E1149" s="26" t="str">
        <f>"CORAS S/N ESQ MOCTECUZOMA                                                       "</f>
        <v xml:space="preserve">CORAS S/N ESQ MOCTECUZOMA                                                       </v>
      </c>
      <c r="F1149" s="26" t="str">
        <f>"AJUSCO                                                                                                                                      "</f>
        <v xml:space="preserve">AJUSCO                                                                                                                                      </v>
      </c>
      <c r="G1149" s="26" t="str">
        <f>"COYOACAN                                                                        "</f>
        <v xml:space="preserve">COYOACAN                                                                        </v>
      </c>
      <c r="H1149" s="26" t="str">
        <f>"505"</f>
        <v>505</v>
      </c>
      <c r="I1149" s="26" t="str">
        <f t="shared" si="177"/>
        <v>00</v>
      </c>
      <c r="J1149" s="26" t="str">
        <f>"45 "</f>
        <v xml:space="preserve">45 </v>
      </c>
      <c r="K1149" s="26" t="str">
        <f>"PR"</f>
        <v>PR</v>
      </c>
      <c r="L1149" s="26" t="str">
        <f>"DGOSE"</f>
        <v>DGOSE</v>
      </c>
      <c r="M1149" s="26" t="str">
        <f t="shared" si="178"/>
        <v>FEDERAL</v>
      </c>
      <c r="N1149" s="26">
        <v>130</v>
      </c>
      <c r="O1149" s="26">
        <v>74</v>
      </c>
      <c r="P1149" s="26">
        <v>56</v>
      </c>
      <c r="Q1149" s="26">
        <v>7</v>
      </c>
      <c r="R1149" s="26">
        <v>1</v>
      </c>
      <c r="S1149" s="26">
        <v>7</v>
      </c>
      <c r="T1149" s="26">
        <v>7</v>
      </c>
      <c r="U1149" s="26">
        <v>15</v>
      </c>
      <c r="V1149" s="26">
        <v>1</v>
      </c>
      <c r="W1149" s="26"/>
    </row>
    <row r="1150" spans="1:23" x14ac:dyDescent="0.25">
      <c r="A1150" s="26" t="str">
        <f t="shared" si="176"/>
        <v>PRIMARIA</v>
      </c>
      <c r="B1150" s="26" t="str">
        <f>"09DPR2257A"</f>
        <v>09DPR2257A</v>
      </c>
      <c r="C1150" s="26" t="str">
        <f>"REINO DE JORDANIA                                                                                   "</f>
        <v xml:space="preserve">REINO DE JORDANIA                                                                                   </v>
      </c>
      <c r="D1150" s="26" t="str">
        <f>"JORNADA AMPLIADA"</f>
        <v>JORNADA AMPLIADA</v>
      </c>
      <c r="E1150" s="26" t="str">
        <f>"CERRO ACASULCO S/N                                                              "</f>
        <v xml:space="preserve">CERRO ACASULCO S/N                                                              </v>
      </c>
      <c r="F1150" s="26" t="str">
        <f>"OXTOPULCO                                                                                                                                   "</f>
        <v xml:space="preserve">OXTOPULCO                                                                                                                                   </v>
      </c>
      <c r="G1150" s="26" t="str">
        <f>"COYOACAN                                                                        "</f>
        <v xml:space="preserve">COYOACAN                                                                        </v>
      </c>
      <c r="H1150" s="26" t="str">
        <f>"434"</f>
        <v>434</v>
      </c>
      <c r="I1150" s="26" t="str">
        <f t="shared" si="177"/>
        <v>00</v>
      </c>
      <c r="J1150" s="26" t="str">
        <f>"44 "</f>
        <v xml:space="preserve">44 </v>
      </c>
      <c r="K1150" s="26" t="str">
        <f>"PR"</f>
        <v>PR</v>
      </c>
      <c r="L1150" s="26" t="str">
        <f>"DGOSE"</f>
        <v>DGOSE</v>
      </c>
      <c r="M1150" s="26" t="str">
        <f t="shared" si="178"/>
        <v>FEDERAL</v>
      </c>
      <c r="N1150" s="26">
        <v>457</v>
      </c>
      <c r="O1150" s="26">
        <v>232</v>
      </c>
      <c r="P1150" s="26">
        <v>225</v>
      </c>
      <c r="Q1150" s="26">
        <v>14</v>
      </c>
      <c r="R1150" s="26">
        <v>0</v>
      </c>
      <c r="S1150" s="26">
        <v>14</v>
      </c>
      <c r="T1150" s="26">
        <v>10</v>
      </c>
      <c r="U1150" s="26">
        <v>24</v>
      </c>
      <c r="V1150" s="26">
        <v>1</v>
      </c>
      <c r="W1150" s="26" t="s">
        <v>2076</v>
      </c>
    </row>
    <row r="1151" spans="1:23" x14ac:dyDescent="0.25">
      <c r="A1151" s="26" t="str">
        <f t="shared" si="176"/>
        <v>PRIMARIA</v>
      </c>
      <c r="B1151" s="26" t="str">
        <f>"09DPR2258Z"</f>
        <v>09DPR2258Z</v>
      </c>
      <c r="C1151" s="26" t="str">
        <f>"DR. PEDRO DE ALBA                                                                                   "</f>
        <v xml:space="preserve">DR. PEDRO DE ALBA                                                                                   </v>
      </c>
      <c r="D1151" s="26" t="str">
        <f>"VESPERTINO"</f>
        <v>VESPERTINO</v>
      </c>
      <c r="E1151" s="26" t="str">
        <f>"TOLTECA 22 Y 26                                                                 "</f>
        <v xml:space="preserve">TOLTECA 22 Y 26                                                                 </v>
      </c>
      <c r="F1151" s="26" t="str">
        <f>"SANTA BARBARA BARRIO                                                                                                                        "</f>
        <v xml:space="preserve">SANTA BARBARA BARRIO                                                                                                                        </v>
      </c>
      <c r="G1151" s="26" t="str">
        <f>"IZTAPALAPA                                                                      "</f>
        <v xml:space="preserve">IZTAPALAPA                                                                      </v>
      </c>
      <c r="H1151" s="26" t="str">
        <f>"036"</f>
        <v>036</v>
      </c>
      <c r="I1151" s="26" t="str">
        <f t="shared" si="177"/>
        <v>00</v>
      </c>
      <c r="J1151" s="26" t="str">
        <f>"63 "</f>
        <v xml:space="preserve">63 </v>
      </c>
      <c r="K1151" s="26" t="str">
        <f>"IZ"</f>
        <v>IZ</v>
      </c>
      <c r="L1151" s="26" t="str">
        <f>"DGSEI"</f>
        <v>DGSEI</v>
      </c>
      <c r="M1151" s="26" t="str">
        <f t="shared" si="178"/>
        <v>FEDERAL</v>
      </c>
      <c r="N1151" s="26">
        <v>187</v>
      </c>
      <c r="O1151" s="26">
        <v>92</v>
      </c>
      <c r="P1151" s="26">
        <v>95</v>
      </c>
      <c r="Q1151" s="26">
        <v>11</v>
      </c>
      <c r="R1151" s="26">
        <v>1</v>
      </c>
      <c r="S1151" s="26">
        <v>11</v>
      </c>
      <c r="T1151" s="26">
        <v>6</v>
      </c>
      <c r="U1151" s="26">
        <v>18</v>
      </c>
      <c r="V1151" s="26">
        <v>1</v>
      </c>
      <c r="W1151" s="26"/>
    </row>
    <row r="1152" spans="1:23" x14ac:dyDescent="0.25">
      <c r="A1152" s="26" t="str">
        <f t="shared" si="176"/>
        <v>PRIMARIA</v>
      </c>
      <c r="B1152" s="26" t="str">
        <f>"09DPR2260O"</f>
        <v>09DPR2260O</v>
      </c>
      <c r="C1152" s="26" t="str">
        <f>"JOSE MANCISIDOR ORTIZ                                                                               "</f>
        <v xml:space="preserve">JOSE MANCISIDOR ORTIZ                                                                               </v>
      </c>
      <c r="D1152" s="26" t="str">
        <f>"JORNADA AMPLIADA"</f>
        <v>JORNADA AMPLIADA</v>
      </c>
      <c r="E1152" s="26" t="str">
        <f>"OTE 229 No.290                                                                  "</f>
        <v xml:space="preserve">OTE 229 No.290                                                                  </v>
      </c>
      <c r="F1152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1152" s="26" t="str">
        <f>"IZTACALCO                                                                       "</f>
        <v xml:space="preserve">IZTACALCO                                                                       </v>
      </c>
      <c r="H1152" s="26" t="str">
        <f>"428"</f>
        <v>428</v>
      </c>
      <c r="I1152" s="26" t="str">
        <f t="shared" si="177"/>
        <v>00</v>
      </c>
      <c r="J1152" s="26" t="str">
        <f>"44 "</f>
        <v xml:space="preserve">44 </v>
      </c>
      <c r="K1152" s="26" t="str">
        <f>"PR"</f>
        <v>PR</v>
      </c>
      <c r="L1152" s="26" t="str">
        <f>"DGOSE"</f>
        <v>DGOSE</v>
      </c>
      <c r="M1152" s="26" t="str">
        <f t="shared" si="178"/>
        <v>FEDERAL</v>
      </c>
      <c r="N1152" s="26">
        <v>338</v>
      </c>
      <c r="O1152" s="26">
        <v>159</v>
      </c>
      <c r="P1152" s="26">
        <v>179</v>
      </c>
      <c r="Q1152" s="26">
        <v>12</v>
      </c>
      <c r="R1152" s="26">
        <v>1</v>
      </c>
      <c r="S1152" s="26">
        <v>12</v>
      </c>
      <c r="T1152" s="26">
        <v>10</v>
      </c>
      <c r="U1152" s="26">
        <v>23</v>
      </c>
      <c r="V1152" s="26">
        <v>1</v>
      </c>
      <c r="W1152" s="26" t="s">
        <v>2076</v>
      </c>
    </row>
    <row r="1153" spans="1:23" x14ac:dyDescent="0.25">
      <c r="A1153" s="26" t="str">
        <f t="shared" si="176"/>
        <v>PRIMARIA</v>
      </c>
      <c r="B1153" s="26" t="str">
        <f>"09DPR2262M"</f>
        <v>09DPR2262M</v>
      </c>
      <c r="C1153" s="26" t="str">
        <f>"ESTADO DE LESOTHO                                                                                   "</f>
        <v xml:space="preserve">ESTADO DE LESOTHO                                                                                   </v>
      </c>
      <c r="D1153" s="26" t="str">
        <f>"MATUTINO"</f>
        <v>MATUTINO</v>
      </c>
      <c r="E1153" s="26" t="str">
        <f>"GRAL. JUAN ENRIQUEZ NO. 253-A                                                   "</f>
        <v xml:space="preserve">GRAL. JUAN ENRIQUEZ NO. 253-A                                                   </v>
      </c>
      <c r="F1153" s="26" t="str">
        <f>"JUAN ESCUTIA                                                                                                                                "</f>
        <v xml:space="preserve">JUAN ESCUTIA                                                                                                                                </v>
      </c>
      <c r="G1153" s="26" t="str">
        <f>"IZTAPALAPA                                                                      "</f>
        <v xml:space="preserve">IZTAPALAPA                                                                      </v>
      </c>
      <c r="H1153" s="26" t="str">
        <f>"027"</f>
        <v>027</v>
      </c>
      <c r="I1153" s="26" t="str">
        <f t="shared" si="177"/>
        <v>00</v>
      </c>
      <c r="J1153" s="26" t="str">
        <f>"62 "</f>
        <v xml:space="preserve">62 </v>
      </c>
      <c r="K1153" s="26" t="str">
        <f>"IZ"</f>
        <v>IZ</v>
      </c>
      <c r="L1153" s="26" t="str">
        <f>"DGSEI"</f>
        <v>DGSEI</v>
      </c>
      <c r="M1153" s="26" t="str">
        <f t="shared" si="178"/>
        <v>FEDERAL</v>
      </c>
      <c r="N1153" s="26">
        <v>451</v>
      </c>
      <c r="O1153" s="26">
        <v>255</v>
      </c>
      <c r="P1153" s="26">
        <v>196</v>
      </c>
      <c r="Q1153" s="26">
        <v>16</v>
      </c>
      <c r="R1153" s="26">
        <v>2</v>
      </c>
      <c r="S1153" s="26">
        <v>15</v>
      </c>
      <c r="T1153" s="26">
        <v>7</v>
      </c>
      <c r="U1153" s="26">
        <v>24</v>
      </c>
      <c r="V1153" s="26">
        <v>1</v>
      </c>
      <c r="W1153" s="26"/>
    </row>
    <row r="1154" spans="1:23" x14ac:dyDescent="0.25">
      <c r="A1154" s="26" t="str">
        <f t="shared" ref="A1154:A1217" si="183">"PRIMARIA"</f>
        <v>PRIMARIA</v>
      </c>
      <c r="B1154" s="26" t="str">
        <f>"09DPR2263L"</f>
        <v>09DPR2263L</v>
      </c>
      <c r="C1154" s="26" t="str">
        <f>"ESTADO DE LESOTHO                                                                                   "</f>
        <v xml:space="preserve">ESTADO DE LESOTHO                                                                                   </v>
      </c>
      <c r="D1154" s="26" t="str">
        <f>"VESPERTINO"</f>
        <v>VESPERTINO</v>
      </c>
      <c r="E1154" s="26" t="str">
        <f>"GRAL. JUAN ENRIQUEZ NO. 253-A                                                   "</f>
        <v xml:space="preserve">GRAL. JUAN ENRIQUEZ NO. 253-A                                                   </v>
      </c>
      <c r="F1154" s="26" t="str">
        <f>"JUAN ESCUTIA                                                                                                                                "</f>
        <v xml:space="preserve">JUAN ESCUTIA                                                                                                                                </v>
      </c>
      <c r="G1154" s="26" t="str">
        <f>"IZTAPALAPA                                                                      "</f>
        <v xml:space="preserve">IZTAPALAPA                                                                      </v>
      </c>
      <c r="H1154" s="26" t="str">
        <f>"027"</f>
        <v>027</v>
      </c>
      <c r="I1154" s="26" t="str">
        <f t="shared" ref="I1154:I1217" si="184">"00"</f>
        <v>00</v>
      </c>
      <c r="J1154" s="26" t="str">
        <f>"62 "</f>
        <v xml:space="preserve">62 </v>
      </c>
      <c r="K1154" s="26" t="str">
        <f>"IZ"</f>
        <v>IZ</v>
      </c>
      <c r="L1154" s="26" t="str">
        <f>"DGSEI"</f>
        <v>DGSEI</v>
      </c>
      <c r="M1154" s="26" t="str">
        <f t="shared" ref="M1154:M1217" si="185">"FEDERAL"</f>
        <v>FEDERAL</v>
      </c>
      <c r="N1154" s="26">
        <v>148</v>
      </c>
      <c r="O1154" s="26">
        <v>71</v>
      </c>
      <c r="P1154" s="26">
        <v>77</v>
      </c>
      <c r="Q1154" s="26">
        <v>8</v>
      </c>
      <c r="R1154" s="26">
        <v>1</v>
      </c>
      <c r="S1154" s="26">
        <v>8</v>
      </c>
      <c r="T1154" s="26">
        <v>4</v>
      </c>
      <c r="U1154" s="26">
        <v>13</v>
      </c>
      <c r="V1154" s="26">
        <v>1</v>
      </c>
      <c r="W1154" s="26"/>
    </row>
    <row r="1155" spans="1:23" x14ac:dyDescent="0.25">
      <c r="A1155" s="26" t="str">
        <f t="shared" si="183"/>
        <v>PRIMARIA</v>
      </c>
      <c r="B1155" s="26" t="str">
        <f>"09DPR2264K"</f>
        <v>09DPR2264K</v>
      </c>
      <c r="C1155" s="26" t="str">
        <f>"REPUBLICA DE RUANDA                                                                                 "</f>
        <v xml:space="preserve">REPUBLICA DE RUANDA                                                                                 </v>
      </c>
      <c r="D1155" s="26" t="str">
        <f>"VESPERTINO"</f>
        <v>VESPERTINO</v>
      </c>
      <c r="E1155" s="26" t="str">
        <f>"SUR 159 No.1909                                                                 "</f>
        <v xml:space="preserve">SUR 159 No.1909                                                                 </v>
      </c>
      <c r="F1155" s="26" t="str">
        <f>"GABRIEL RAMOS MILLAN                                                                                                                        "</f>
        <v xml:space="preserve">GABRIEL RAMOS MILLAN                                                                                                                        </v>
      </c>
      <c r="G1155" s="26" t="str">
        <f>"IZTACALCO                                                                       "</f>
        <v xml:space="preserve">IZTACALCO                                                                       </v>
      </c>
      <c r="H1155" s="26" t="str">
        <f>"358"</f>
        <v>358</v>
      </c>
      <c r="I1155" s="26" t="str">
        <f t="shared" si="184"/>
        <v>00</v>
      </c>
      <c r="J1155" s="26" t="str">
        <f>"43 "</f>
        <v xml:space="preserve">43 </v>
      </c>
      <c r="K1155" s="26" t="str">
        <f>"PR"</f>
        <v>PR</v>
      </c>
      <c r="L1155" s="26" t="str">
        <f>"DGOSE"</f>
        <v>DGOSE</v>
      </c>
      <c r="M1155" s="26" t="str">
        <f t="shared" si="185"/>
        <v>FEDERAL</v>
      </c>
      <c r="N1155" s="26">
        <v>69</v>
      </c>
      <c r="O1155" s="26">
        <v>42</v>
      </c>
      <c r="P1155" s="26">
        <v>27</v>
      </c>
      <c r="Q1155" s="26">
        <v>6</v>
      </c>
      <c r="R1155" s="26">
        <v>1</v>
      </c>
      <c r="S1155" s="26">
        <v>6</v>
      </c>
      <c r="T1155" s="26">
        <v>2</v>
      </c>
      <c r="U1155" s="26">
        <v>9</v>
      </c>
      <c r="V1155" s="26">
        <v>1</v>
      </c>
      <c r="W1155" s="26"/>
    </row>
    <row r="1156" spans="1:23" x14ac:dyDescent="0.25">
      <c r="A1156" s="26" t="str">
        <f t="shared" si="183"/>
        <v>PRIMARIA</v>
      </c>
      <c r="B1156" s="26" t="str">
        <f>"09DPR2265J"</f>
        <v>09DPR2265J</v>
      </c>
      <c r="C1156" s="26" t="str">
        <f>"REPUBLICA DE GUINEA                                                                                 "</f>
        <v xml:space="preserve">REPUBLICA DE GUINEA                                                                                 </v>
      </c>
      <c r="D1156" s="26" t="str">
        <f>"MATUTINO"</f>
        <v>MATUTINO</v>
      </c>
      <c r="E1156" s="26" t="str">
        <f>"RAFAEL SIERRA NO. 52                                                            "</f>
        <v xml:space="preserve">RAFAEL SIERRA NO. 52                                                            </v>
      </c>
      <c r="F1156" s="26" t="str">
        <f>"PARAJE SAN JUAN                                                                                                                             "</f>
        <v xml:space="preserve">PARAJE SAN JUAN                                                                                                                             </v>
      </c>
      <c r="G1156" s="26" t="str">
        <f t="shared" ref="G1156:G1163" si="186">"IZTAPALAPA                                                                      "</f>
        <v xml:space="preserve">IZTAPALAPA                                                                      </v>
      </c>
      <c r="H1156" s="26" t="str">
        <f>"046"</f>
        <v>046</v>
      </c>
      <c r="I1156" s="26" t="str">
        <f t="shared" si="184"/>
        <v>00</v>
      </c>
      <c r="J1156" s="26" t="str">
        <f>"63 "</f>
        <v xml:space="preserve">63 </v>
      </c>
      <c r="K1156" s="26" t="str">
        <f t="shared" ref="K1156:K1163" si="187">"IZ"</f>
        <v>IZ</v>
      </c>
      <c r="L1156" s="26" t="str">
        <f t="shared" ref="L1156:L1163" si="188">"DGSEI"</f>
        <v>DGSEI</v>
      </c>
      <c r="M1156" s="26" t="str">
        <f t="shared" si="185"/>
        <v>FEDERAL</v>
      </c>
      <c r="N1156" s="26">
        <v>520</v>
      </c>
      <c r="O1156" s="26">
        <v>262</v>
      </c>
      <c r="P1156" s="26">
        <v>258</v>
      </c>
      <c r="Q1156" s="26">
        <v>18</v>
      </c>
      <c r="R1156" s="26">
        <v>1</v>
      </c>
      <c r="S1156" s="26">
        <v>18</v>
      </c>
      <c r="T1156" s="26">
        <v>10</v>
      </c>
      <c r="U1156" s="26">
        <v>29</v>
      </c>
      <c r="V1156" s="26">
        <v>1</v>
      </c>
      <c r="W1156" s="26"/>
    </row>
    <row r="1157" spans="1:23" x14ac:dyDescent="0.25">
      <c r="A1157" s="26" t="str">
        <f t="shared" si="183"/>
        <v>PRIMARIA</v>
      </c>
      <c r="B1157" s="26" t="str">
        <f>"09DPR2266I"</f>
        <v>09DPR2266I</v>
      </c>
      <c r="C1157" s="26" t="str">
        <f>"REPUBLICA DE GUINEA                                                                                 "</f>
        <v xml:space="preserve">REPUBLICA DE GUINEA                                                                                 </v>
      </c>
      <c r="D1157" s="26" t="str">
        <f>"VESPERTINO"</f>
        <v>VESPERTINO</v>
      </c>
      <c r="E1157" s="26" t="str">
        <f>"RAFAEL SIERRA NO. 52                                                            "</f>
        <v xml:space="preserve">RAFAEL SIERRA NO. 52                                                            </v>
      </c>
      <c r="F1157" s="26" t="str">
        <f>"PARAJE SAN JUAN                                                                                                                             "</f>
        <v xml:space="preserve">PARAJE SAN JUAN                                                                                                                             </v>
      </c>
      <c r="G1157" s="26" t="str">
        <f t="shared" si="186"/>
        <v xml:space="preserve">IZTAPALAPA                                                                      </v>
      </c>
      <c r="H1157" s="26" t="str">
        <f>"046"</f>
        <v>046</v>
      </c>
      <c r="I1157" s="26" t="str">
        <f t="shared" si="184"/>
        <v>00</v>
      </c>
      <c r="J1157" s="26" t="str">
        <f>"63 "</f>
        <v xml:space="preserve">63 </v>
      </c>
      <c r="K1157" s="26" t="str">
        <f t="shared" si="187"/>
        <v>IZ</v>
      </c>
      <c r="L1157" s="26" t="str">
        <f t="shared" si="188"/>
        <v>DGSEI</v>
      </c>
      <c r="M1157" s="26" t="str">
        <f t="shared" si="185"/>
        <v>FEDERAL</v>
      </c>
      <c r="N1157" s="26">
        <v>183</v>
      </c>
      <c r="O1157" s="26">
        <v>92</v>
      </c>
      <c r="P1157" s="26">
        <v>91</v>
      </c>
      <c r="Q1157" s="26">
        <v>11</v>
      </c>
      <c r="R1157" s="26">
        <v>1</v>
      </c>
      <c r="S1157" s="26">
        <v>10</v>
      </c>
      <c r="T1157" s="26">
        <v>4</v>
      </c>
      <c r="U1157" s="26">
        <v>15</v>
      </c>
      <c r="V1157" s="26">
        <v>1</v>
      </c>
      <c r="W1157" s="26"/>
    </row>
    <row r="1158" spans="1:23" x14ac:dyDescent="0.25">
      <c r="A1158" s="26" t="str">
        <f t="shared" si="183"/>
        <v>PRIMARIA</v>
      </c>
      <c r="B1158" s="26" t="str">
        <f>"09DPR2267H"</f>
        <v>09DPR2267H</v>
      </c>
      <c r="C1158" s="26" t="str">
        <f>"MANUEL C. TELLO                                                                                     "</f>
        <v xml:space="preserve">MANUEL C. TELLO                                                                                     </v>
      </c>
      <c r="D1158" s="26" t="str">
        <f>"MATUTINO"</f>
        <v>MATUTINO</v>
      </c>
      <c r="E1158" s="26" t="str">
        <f>"TRINIDAD NO. 43                                                                 "</f>
        <v xml:space="preserve">TRINIDAD NO. 43                                                                 </v>
      </c>
      <c r="F1158" s="26" t="str">
        <f>"SAN LORENZO XICOTENCATL                                                                                                                     "</f>
        <v xml:space="preserve">SAN LORENZO XICOTENCATL                                                                                                                     </v>
      </c>
      <c r="G1158" s="26" t="str">
        <f t="shared" si="186"/>
        <v xml:space="preserve">IZTAPALAPA                                                                      </v>
      </c>
      <c r="H1158" s="26" t="str">
        <f>"029"</f>
        <v>029</v>
      </c>
      <c r="I1158" s="26" t="str">
        <f t="shared" si="184"/>
        <v>00</v>
      </c>
      <c r="J1158" s="26" t="str">
        <f>"62 "</f>
        <v xml:space="preserve">62 </v>
      </c>
      <c r="K1158" s="26" t="str">
        <f t="shared" si="187"/>
        <v>IZ</v>
      </c>
      <c r="L1158" s="26" t="str">
        <f t="shared" si="188"/>
        <v>DGSEI</v>
      </c>
      <c r="M1158" s="26" t="str">
        <f t="shared" si="185"/>
        <v>FEDERAL</v>
      </c>
      <c r="N1158" s="26">
        <v>522</v>
      </c>
      <c r="O1158" s="26">
        <v>263</v>
      </c>
      <c r="P1158" s="26">
        <v>259</v>
      </c>
      <c r="Q1158" s="26">
        <v>18</v>
      </c>
      <c r="R1158" s="26">
        <v>1</v>
      </c>
      <c r="S1158" s="26">
        <v>15</v>
      </c>
      <c r="T1158" s="26">
        <v>9</v>
      </c>
      <c r="U1158" s="26">
        <v>25</v>
      </c>
      <c r="V1158" s="26">
        <v>1</v>
      </c>
      <c r="W1158" s="26"/>
    </row>
    <row r="1159" spans="1:23" x14ac:dyDescent="0.25">
      <c r="A1159" s="26" t="str">
        <f t="shared" si="183"/>
        <v>PRIMARIA</v>
      </c>
      <c r="B1159" s="26" t="str">
        <f>"09DPR2268G"</f>
        <v>09DPR2268G</v>
      </c>
      <c r="C1159" s="26" t="str">
        <f>"MANUEL C. TELLO                                                                                     "</f>
        <v xml:space="preserve">MANUEL C. TELLO                                                                                     </v>
      </c>
      <c r="D1159" s="26" t="str">
        <f>"VESPERTINO"</f>
        <v>VESPERTINO</v>
      </c>
      <c r="E1159" s="26" t="str">
        <f>"TRINIDAD NO. 43                                                                 "</f>
        <v xml:space="preserve">TRINIDAD NO. 43                                                                 </v>
      </c>
      <c r="F1159" s="26" t="str">
        <f>"SAN LORENZO XICOTENCATL                                                                                                                     "</f>
        <v xml:space="preserve">SAN LORENZO XICOTENCATL                                                                                                                     </v>
      </c>
      <c r="G1159" s="26" t="str">
        <f t="shared" si="186"/>
        <v xml:space="preserve">IZTAPALAPA                                                                      </v>
      </c>
      <c r="H1159" s="26" t="str">
        <f>"029"</f>
        <v>029</v>
      </c>
      <c r="I1159" s="26" t="str">
        <f t="shared" si="184"/>
        <v>00</v>
      </c>
      <c r="J1159" s="26" t="str">
        <f>"62 "</f>
        <v xml:space="preserve">62 </v>
      </c>
      <c r="K1159" s="26" t="str">
        <f t="shared" si="187"/>
        <v>IZ</v>
      </c>
      <c r="L1159" s="26" t="str">
        <f t="shared" si="188"/>
        <v>DGSEI</v>
      </c>
      <c r="M1159" s="26" t="str">
        <f t="shared" si="185"/>
        <v>FEDERAL</v>
      </c>
      <c r="N1159" s="26">
        <v>226</v>
      </c>
      <c r="O1159" s="26">
        <v>114</v>
      </c>
      <c r="P1159" s="26">
        <v>112</v>
      </c>
      <c r="Q1159" s="26">
        <v>10</v>
      </c>
      <c r="R1159" s="26">
        <v>1</v>
      </c>
      <c r="S1159" s="26">
        <v>9</v>
      </c>
      <c r="T1159" s="26">
        <v>6</v>
      </c>
      <c r="U1159" s="26">
        <v>16</v>
      </c>
      <c r="V1159" s="26">
        <v>1</v>
      </c>
      <c r="W1159" s="26"/>
    </row>
    <row r="1160" spans="1:23" x14ac:dyDescent="0.25">
      <c r="A1160" s="26" t="str">
        <f t="shared" si="183"/>
        <v>PRIMARIA</v>
      </c>
      <c r="B1160" s="26" t="str">
        <f>"09DPR2270V"</f>
        <v>09DPR2270V</v>
      </c>
      <c r="C1160" s="26" t="str">
        <f>"REPUBLICA DE MALI                                                                                   "</f>
        <v xml:space="preserve">REPUBLICA DE MALI                                                                                   </v>
      </c>
      <c r="D1160" s="26" t="str">
        <f>"TIEMPO COMPLETO"</f>
        <v>TIEMPO COMPLETO</v>
      </c>
      <c r="E1160" s="26" t="str">
        <f>"RET. 406 DE EX-HDA GUADALUPE NO. 21                                             "</f>
        <v xml:space="preserve">RET. 406 DE EX-HDA GUADALUPE NO. 21                                             </v>
      </c>
      <c r="F1160" s="26" t="str">
        <f>"UNIDAD MODELO                                                                                                                               "</f>
        <v xml:space="preserve">UNIDAD MODELO                                                                                                                               </v>
      </c>
      <c r="G1160" s="26" t="str">
        <f t="shared" si="186"/>
        <v xml:space="preserve">IZTAPALAPA                                                                      </v>
      </c>
      <c r="H1160" s="26" t="str">
        <f>"001"</f>
        <v>001</v>
      </c>
      <c r="I1160" s="26" t="str">
        <f t="shared" si="184"/>
        <v>00</v>
      </c>
      <c r="J1160" s="26" t="str">
        <f>"61 "</f>
        <v xml:space="preserve">61 </v>
      </c>
      <c r="K1160" s="26" t="str">
        <f t="shared" si="187"/>
        <v>IZ</v>
      </c>
      <c r="L1160" s="26" t="str">
        <f t="shared" si="188"/>
        <v>DGSEI</v>
      </c>
      <c r="M1160" s="26" t="str">
        <f t="shared" si="185"/>
        <v>FEDERAL</v>
      </c>
      <c r="N1160" s="26">
        <v>344</v>
      </c>
      <c r="O1160" s="26">
        <v>175</v>
      </c>
      <c r="P1160" s="26">
        <v>169</v>
      </c>
      <c r="Q1160" s="26">
        <v>12</v>
      </c>
      <c r="R1160" s="26">
        <v>1</v>
      </c>
      <c r="S1160" s="26">
        <v>11</v>
      </c>
      <c r="T1160" s="26">
        <v>14</v>
      </c>
      <c r="U1160" s="26">
        <v>26</v>
      </c>
      <c r="V1160" s="26">
        <v>1</v>
      </c>
      <c r="W1160" s="26" t="s">
        <v>218</v>
      </c>
    </row>
    <row r="1161" spans="1:23" x14ac:dyDescent="0.25">
      <c r="A1161" s="26" t="str">
        <f t="shared" si="183"/>
        <v>PRIMARIA</v>
      </c>
      <c r="B1161" s="26" t="str">
        <f>"09DPR2271U"</f>
        <v>09DPR2271U</v>
      </c>
      <c r="C1161" s="26" t="str">
        <f>"LOS DERECHOS DEL NIÑO                                                                               "</f>
        <v xml:space="preserve">LOS DERECHOS DEL NIÑO                                                                               </v>
      </c>
      <c r="D1161" s="26" t="str">
        <f>"MATUTINO"</f>
        <v>MATUTINO</v>
      </c>
      <c r="E1161" s="26" t="str">
        <f>"CALLE 17 NO. 25                                                                 "</f>
        <v xml:space="preserve">CALLE 17 NO. 25                                                                 </v>
      </c>
      <c r="F1161" s="26" t="str">
        <f>"SANTA CRUZ MEYEHUALCO                                                                                                                       "</f>
        <v xml:space="preserve">SANTA CRUZ MEYEHUALCO                                                                                                                       </v>
      </c>
      <c r="G1161" s="26" t="str">
        <f t="shared" si="186"/>
        <v xml:space="preserve">IZTAPALAPA                                                                      </v>
      </c>
      <c r="H1161" s="26" t="str">
        <f>"059"</f>
        <v>059</v>
      </c>
      <c r="I1161" s="26" t="str">
        <f t="shared" si="184"/>
        <v>00</v>
      </c>
      <c r="J1161" s="26" t="str">
        <f>"64 "</f>
        <v xml:space="preserve">64 </v>
      </c>
      <c r="K1161" s="26" t="str">
        <f t="shared" si="187"/>
        <v>IZ</v>
      </c>
      <c r="L1161" s="26" t="str">
        <f t="shared" si="188"/>
        <v>DGSEI</v>
      </c>
      <c r="M1161" s="26" t="str">
        <f t="shared" si="185"/>
        <v>FEDERAL</v>
      </c>
      <c r="N1161" s="26">
        <v>521</v>
      </c>
      <c r="O1161" s="26">
        <v>262</v>
      </c>
      <c r="P1161" s="26">
        <v>259</v>
      </c>
      <c r="Q1161" s="26">
        <v>18</v>
      </c>
      <c r="R1161" s="26">
        <v>1</v>
      </c>
      <c r="S1161" s="26">
        <v>16</v>
      </c>
      <c r="T1161" s="26">
        <v>8</v>
      </c>
      <c r="U1161" s="26">
        <v>25</v>
      </c>
      <c r="V1161" s="26">
        <v>1</v>
      </c>
      <c r="W1161" s="26"/>
    </row>
    <row r="1162" spans="1:23" x14ac:dyDescent="0.25">
      <c r="A1162" s="26" t="str">
        <f t="shared" si="183"/>
        <v>PRIMARIA</v>
      </c>
      <c r="B1162" s="26" t="str">
        <f>"09DPR2272T"</f>
        <v>09DPR2272T</v>
      </c>
      <c r="C1162" s="26" t="str">
        <f>"LOS DERECHOS DEL NIÑO                                                                               "</f>
        <v xml:space="preserve">LOS DERECHOS DEL NIÑO                                                                               </v>
      </c>
      <c r="D1162" s="26" t="str">
        <f>"VESPERTINO"</f>
        <v>VESPERTINO</v>
      </c>
      <c r="E1162" s="26" t="str">
        <f>"CALLE 17 NO. 25                                                                 "</f>
        <v xml:space="preserve">CALLE 17 NO. 25                                                                 </v>
      </c>
      <c r="F1162" s="26" t="str">
        <f>"SANTA CRUZ MEYEHUALCO                                                                                                                       "</f>
        <v xml:space="preserve">SANTA CRUZ MEYEHUALCO                                                                                                                       </v>
      </c>
      <c r="G1162" s="26" t="str">
        <f t="shared" si="186"/>
        <v xml:space="preserve">IZTAPALAPA                                                                      </v>
      </c>
      <c r="H1162" s="26" t="str">
        <f>"059"</f>
        <v>059</v>
      </c>
      <c r="I1162" s="26" t="str">
        <f t="shared" si="184"/>
        <v>00</v>
      </c>
      <c r="J1162" s="26" t="str">
        <f>"64 "</f>
        <v xml:space="preserve">64 </v>
      </c>
      <c r="K1162" s="26" t="str">
        <f t="shared" si="187"/>
        <v>IZ</v>
      </c>
      <c r="L1162" s="26" t="str">
        <f t="shared" si="188"/>
        <v>DGSEI</v>
      </c>
      <c r="M1162" s="26" t="str">
        <f t="shared" si="185"/>
        <v>FEDERAL</v>
      </c>
      <c r="N1162" s="26">
        <v>237</v>
      </c>
      <c r="O1162" s="26">
        <v>120</v>
      </c>
      <c r="P1162" s="26">
        <v>117</v>
      </c>
      <c r="Q1162" s="26">
        <v>17</v>
      </c>
      <c r="R1162" s="26">
        <v>1</v>
      </c>
      <c r="S1162" s="26">
        <v>17</v>
      </c>
      <c r="T1162" s="26">
        <v>6</v>
      </c>
      <c r="U1162" s="26">
        <v>24</v>
      </c>
      <c r="V1162" s="26">
        <v>1</v>
      </c>
      <c r="W1162" s="26"/>
    </row>
    <row r="1163" spans="1:23" x14ac:dyDescent="0.25">
      <c r="A1163" s="26" t="str">
        <f t="shared" si="183"/>
        <v>PRIMARIA</v>
      </c>
      <c r="B1163" s="26" t="str">
        <f>"09DPR2274R"</f>
        <v>09DPR2274R</v>
      </c>
      <c r="C1163" s="26" t="str">
        <f>"CONSTITUCION DE 1917                                                                                "</f>
        <v xml:space="preserve">CONSTITUCION DE 1917                                                                                </v>
      </c>
      <c r="D1163" s="26" t="str">
        <f>"JORNADA AMPLIADA"</f>
        <v>JORNADA AMPLIADA</v>
      </c>
      <c r="E1163" s="26" t="str">
        <f>"DR. ARTURO MENDEZ NO. 44                                                        "</f>
        <v xml:space="preserve">DR. ARTURO MENDEZ NO. 44                                                        </v>
      </c>
      <c r="F1163" s="26" t="str">
        <f>"CONSTITUCION 1917                                                                                                                           "</f>
        <v xml:space="preserve">CONSTITUCION 1917                                                                                                                           </v>
      </c>
      <c r="G1163" s="26" t="str">
        <f t="shared" si="186"/>
        <v xml:space="preserve">IZTAPALAPA                                                                      </v>
      </c>
      <c r="H1163" s="26" t="str">
        <f>"007"</f>
        <v>007</v>
      </c>
      <c r="I1163" s="26" t="str">
        <f t="shared" si="184"/>
        <v>00</v>
      </c>
      <c r="J1163" s="26" t="str">
        <f>"61 "</f>
        <v xml:space="preserve">61 </v>
      </c>
      <c r="K1163" s="26" t="str">
        <f t="shared" si="187"/>
        <v>IZ</v>
      </c>
      <c r="L1163" s="26" t="str">
        <f t="shared" si="188"/>
        <v>DGSEI</v>
      </c>
      <c r="M1163" s="26" t="str">
        <f t="shared" si="185"/>
        <v>FEDERAL</v>
      </c>
      <c r="N1163" s="26">
        <v>703</v>
      </c>
      <c r="O1163" s="26">
        <v>366</v>
      </c>
      <c r="P1163" s="26">
        <v>337</v>
      </c>
      <c r="Q1163" s="26">
        <v>22</v>
      </c>
      <c r="R1163" s="26">
        <v>1</v>
      </c>
      <c r="S1163" s="26">
        <v>22</v>
      </c>
      <c r="T1163" s="26">
        <v>9</v>
      </c>
      <c r="U1163" s="26">
        <v>32</v>
      </c>
      <c r="V1163" s="26">
        <v>1</v>
      </c>
      <c r="W1163" s="26" t="s">
        <v>2076</v>
      </c>
    </row>
    <row r="1164" spans="1:23" x14ac:dyDescent="0.25">
      <c r="A1164" s="26" t="str">
        <f t="shared" si="183"/>
        <v>PRIMARIA</v>
      </c>
      <c r="B1164" s="26" t="str">
        <f>"09DPR2275Q"</f>
        <v>09DPR2275Q</v>
      </c>
      <c r="C1164" s="26" t="str">
        <f>"VALENTIN ZAMORA OROZCO                                                                              "</f>
        <v xml:space="preserve">VALENTIN ZAMORA OROZCO                                                                              </v>
      </c>
      <c r="D1164" s="26" t="str">
        <f>"JORNADA AMPLIADA"</f>
        <v>JORNADA AMPLIADA</v>
      </c>
      <c r="E1164" s="26" t="str">
        <f>"EUSEBIO ROSAS DE LA ROSA Y RETORNO 34                                           "</f>
        <v xml:space="preserve">EUSEBIO ROSAS DE LA ROSA Y RETORNO 34                                           </v>
      </c>
      <c r="F1164" s="26" t="str">
        <f>"AVANTE                                                                                                                                      "</f>
        <v xml:space="preserve">AVANTE                                                                                                                                      </v>
      </c>
      <c r="G1164" s="26" t="str">
        <f>"COYOACAN                                                                        "</f>
        <v xml:space="preserve">COYOACAN                                                                        </v>
      </c>
      <c r="H1164" s="26" t="str">
        <f>"440"</f>
        <v>440</v>
      </c>
      <c r="I1164" s="26" t="str">
        <f t="shared" si="184"/>
        <v>00</v>
      </c>
      <c r="J1164" s="26" t="str">
        <f>"44 "</f>
        <v xml:space="preserve">44 </v>
      </c>
      <c r="K1164" s="26" t="str">
        <f>"PR"</f>
        <v>PR</v>
      </c>
      <c r="L1164" s="26" t="str">
        <f>"DGOSE"</f>
        <v>DGOSE</v>
      </c>
      <c r="M1164" s="26" t="str">
        <f t="shared" si="185"/>
        <v>FEDERAL</v>
      </c>
      <c r="N1164" s="26">
        <v>485</v>
      </c>
      <c r="O1164" s="26">
        <v>235</v>
      </c>
      <c r="P1164" s="26">
        <v>250</v>
      </c>
      <c r="Q1164" s="26">
        <v>16</v>
      </c>
      <c r="R1164" s="26">
        <v>1</v>
      </c>
      <c r="S1164" s="26">
        <v>16</v>
      </c>
      <c r="T1164" s="26">
        <v>7</v>
      </c>
      <c r="U1164" s="26">
        <v>24</v>
      </c>
      <c r="V1164" s="26">
        <v>1</v>
      </c>
      <c r="W1164" s="26" t="s">
        <v>2076</v>
      </c>
    </row>
    <row r="1165" spans="1:23" x14ac:dyDescent="0.25">
      <c r="A1165" s="26" t="str">
        <f t="shared" si="183"/>
        <v>PRIMARIA</v>
      </c>
      <c r="B1165" s="26" t="str">
        <f>"09DPR2276P"</f>
        <v>09DPR2276P</v>
      </c>
      <c r="C1165" s="26" t="str">
        <f>"COCONENCALLI                                                                                        "</f>
        <v xml:space="preserve">COCONENCALLI                                                                                        </v>
      </c>
      <c r="D1165" s="26" t="str">
        <f>"MATUTINO"</f>
        <v>MATUTINO</v>
      </c>
      <c r="E1165" s="26" t="str">
        <f>"XOCHITLAN SUR Y XOCHIAPA S/N                                                    "</f>
        <v xml:space="preserve">XOCHITLAN SUR Y XOCHIAPA S/N                                                    </v>
      </c>
      <c r="F1165" s="26" t="str">
        <f>"ARENAL 4A SECCION                                                                                                                           "</f>
        <v xml:space="preserve">ARENAL 4A SECCION                                                                                                                           </v>
      </c>
      <c r="G1165" s="26" t="str">
        <f>"VENUSTIANO CARRANZA                                                             "</f>
        <v xml:space="preserve">VENUSTIANO CARRANZA                                                             </v>
      </c>
      <c r="H1165" s="26" t="str">
        <f>"353"</f>
        <v>353</v>
      </c>
      <c r="I1165" s="26" t="str">
        <f t="shared" si="184"/>
        <v>00</v>
      </c>
      <c r="J1165" s="26" t="str">
        <f>"43 "</f>
        <v xml:space="preserve">43 </v>
      </c>
      <c r="K1165" s="26" t="str">
        <f>"PR"</f>
        <v>PR</v>
      </c>
      <c r="L1165" s="26" t="str">
        <f>"DGOSE"</f>
        <v>DGOSE</v>
      </c>
      <c r="M1165" s="26" t="str">
        <f t="shared" si="185"/>
        <v>FEDERAL</v>
      </c>
      <c r="N1165" s="26">
        <v>553</v>
      </c>
      <c r="O1165" s="26">
        <v>280</v>
      </c>
      <c r="P1165" s="26">
        <v>273</v>
      </c>
      <c r="Q1165" s="26">
        <v>17</v>
      </c>
      <c r="R1165" s="26">
        <v>1</v>
      </c>
      <c r="S1165" s="26">
        <v>17</v>
      </c>
      <c r="T1165" s="26">
        <v>8</v>
      </c>
      <c r="U1165" s="26">
        <v>26</v>
      </c>
      <c r="V1165" s="26">
        <v>1</v>
      </c>
      <c r="W1165" s="26"/>
    </row>
    <row r="1166" spans="1:23" x14ac:dyDescent="0.25">
      <c r="A1166" s="26" t="str">
        <f t="shared" si="183"/>
        <v>PRIMARIA</v>
      </c>
      <c r="B1166" s="26" t="str">
        <f>"09DPR2277O"</f>
        <v>09DPR2277O</v>
      </c>
      <c r="C1166" s="26" t="str">
        <f>"COCONENCALLI                                                                                        "</f>
        <v xml:space="preserve">COCONENCALLI                                                                                        </v>
      </c>
      <c r="D1166" s="26" t="str">
        <f>"VESPERTINO"</f>
        <v>VESPERTINO</v>
      </c>
      <c r="E1166" s="26" t="str">
        <f>"XOCHITLAN SUR Y XOCHIAPA S/N                                                    "</f>
        <v xml:space="preserve">XOCHITLAN SUR Y XOCHIAPA S/N                                                    </v>
      </c>
      <c r="F1166" s="26" t="str">
        <f>"ARENAL 4A SECCION                                                                                                                           "</f>
        <v xml:space="preserve">ARENAL 4A SECCION                                                                                                                           </v>
      </c>
      <c r="G1166" s="26" t="str">
        <f>"VENUSTIANO CARRANZA                                                             "</f>
        <v xml:space="preserve">VENUSTIANO CARRANZA                                                             </v>
      </c>
      <c r="H1166" s="26" t="str">
        <f>"353"</f>
        <v>353</v>
      </c>
      <c r="I1166" s="26" t="str">
        <f t="shared" si="184"/>
        <v>00</v>
      </c>
      <c r="J1166" s="26" t="str">
        <f>"43 "</f>
        <v xml:space="preserve">43 </v>
      </c>
      <c r="K1166" s="26" t="str">
        <f>"PR"</f>
        <v>PR</v>
      </c>
      <c r="L1166" s="26" t="str">
        <f>"DGOSE"</f>
        <v>DGOSE</v>
      </c>
      <c r="M1166" s="26" t="str">
        <f t="shared" si="185"/>
        <v>FEDERAL</v>
      </c>
      <c r="N1166" s="26">
        <v>240</v>
      </c>
      <c r="O1166" s="26">
        <v>110</v>
      </c>
      <c r="P1166" s="26">
        <v>130</v>
      </c>
      <c r="Q1166" s="26">
        <v>12</v>
      </c>
      <c r="R1166" s="26">
        <v>1</v>
      </c>
      <c r="S1166" s="26">
        <v>12</v>
      </c>
      <c r="T1166" s="26">
        <v>7</v>
      </c>
      <c r="U1166" s="26">
        <v>20</v>
      </c>
      <c r="V1166" s="26">
        <v>1</v>
      </c>
      <c r="W1166" s="26"/>
    </row>
    <row r="1167" spans="1:23" x14ac:dyDescent="0.25">
      <c r="A1167" s="26" t="str">
        <f t="shared" si="183"/>
        <v>PRIMARIA</v>
      </c>
      <c r="B1167" s="26" t="str">
        <f>"09DPR2278N"</f>
        <v>09DPR2278N</v>
      </c>
      <c r="C1167" s="26" t="str">
        <f>"AÑO DE JUAREZ                                                                                       "</f>
        <v xml:space="preserve">AÑO DE JUAREZ                                                                                       </v>
      </c>
      <c r="D1167" s="26" t="str">
        <f>"MATUTINO"</f>
        <v>MATUTINO</v>
      </c>
      <c r="E1167" s="26" t="str">
        <f>"LIBERTAD NO. 23                                                                 "</f>
        <v xml:space="preserve">LIBERTAD NO. 23                                                                 </v>
      </c>
      <c r="F1167" s="26" t="str">
        <f>"SAN LUCAS                                                                                                                                   "</f>
        <v xml:space="preserve">SAN LUCAS                                                                                                                                   </v>
      </c>
      <c r="G1167" s="26" t="str">
        <f>"IZTAPALAPA                                                                      "</f>
        <v xml:space="preserve">IZTAPALAPA                                                                      </v>
      </c>
      <c r="H1167" s="26" t="str">
        <f>"036"</f>
        <v>036</v>
      </c>
      <c r="I1167" s="26" t="str">
        <f t="shared" si="184"/>
        <v>00</v>
      </c>
      <c r="J1167" s="26" t="str">
        <f>"63 "</f>
        <v xml:space="preserve">63 </v>
      </c>
      <c r="K1167" s="26" t="str">
        <f>"IZ"</f>
        <v>IZ</v>
      </c>
      <c r="L1167" s="26" t="str">
        <f>"DGSEI"</f>
        <v>DGSEI</v>
      </c>
      <c r="M1167" s="26" t="str">
        <f t="shared" si="185"/>
        <v>FEDERAL</v>
      </c>
      <c r="N1167" s="26">
        <v>323</v>
      </c>
      <c r="O1167" s="26">
        <v>170</v>
      </c>
      <c r="P1167" s="26">
        <v>153</v>
      </c>
      <c r="Q1167" s="26">
        <v>12</v>
      </c>
      <c r="R1167" s="26">
        <v>1</v>
      </c>
      <c r="S1167" s="26">
        <v>12</v>
      </c>
      <c r="T1167" s="26">
        <v>7</v>
      </c>
      <c r="U1167" s="26">
        <v>20</v>
      </c>
      <c r="V1167" s="26">
        <v>1</v>
      </c>
      <c r="W1167" s="26"/>
    </row>
    <row r="1168" spans="1:23" x14ac:dyDescent="0.25">
      <c r="A1168" s="26" t="str">
        <f t="shared" si="183"/>
        <v>PRIMARIA</v>
      </c>
      <c r="B1168" s="26" t="str">
        <f>"09DPR2279M"</f>
        <v>09DPR2279M</v>
      </c>
      <c r="C1168" s="26" t="str">
        <f>"AÑO DE JUAREZ                                                                                       "</f>
        <v xml:space="preserve">AÑO DE JUAREZ                                                                                       </v>
      </c>
      <c r="D1168" s="26" t="str">
        <f>"VESPERTINO"</f>
        <v>VESPERTINO</v>
      </c>
      <c r="E1168" s="26" t="str">
        <f>"LIBERTAD NO. 23                                                                 "</f>
        <v xml:space="preserve">LIBERTAD NO. 23                                                                 </v>
      </c>
      <c r="F1168" s="26" t="str">
        <f>"SAN LUCAS                                                                                                                                   "</f>
        <v xml:space="preserve">SAN LUCAS                                                                                                                                   </v>
      </c>
      <c r="G1168" s="26" t="str">
        <f>"IZTAPALAPA                                                                      "</f>
        <v xml:space="preserve">IZTAPALAPA                                                                      </v>
      </c>
      <c r="H1168" s="26" t="str">
        <f>"036"</f>
        <v>036</v>
      </c>
      <c r="I1168" s="26" t="str">
        <f t="shared" si="184"/>
        <v>00</v>
      </c>
      <c r="J1168" s="26" t="str">
        <f>"63 "</f>
        <v xml:space="preserve">63 </v>
      </c>
      <c r="K1168" s="26" t="str">
        <f>"IZ"</f>
        <v>IZ</v>
      </c>
      <c r="L1168" s="26" t="str">
        <f>"DGSEI"</f>
        <v>DGSEI</v>
      </c>
      <c r="M1168" s="26" t="str">
        <f t="shared" si="185"/>
        <v>FEDERAL</v>
      </c>
      <c r="N1168" s="26">
        <v>119</v>
      </c>
      <c r="O1168" s="26">
        <v>69</v>
      </c>
      <c r="P1168" s="26">
        <v>50</v>
      </c>
      <c r="Q1168" s="26">
        <v>6</v>
      </c>
      <c r="R1168" s="26">
        <v>1</v>
      </c>
      <c r="S1168" s="26">
        <v>6</v>
      </c>
      <c r="T1168" s="26">
        <v>3</v>
      </c>
      <c r="U1168" s="26">
        <v>10</v>
      </c>
      <c r="V1168" s="26">
        <v>1</v>
      </c>
      <c r="W1168" s="26"/>
    </row>
    <row r="1169" spans="1:23" x14ac:dyDescent="0.25">
      <c r="A1169" s="26" t="str">
        <f t="shared" si="183"/>
        <v>PRIMARIA</v>
      </c>
      <c r="B1169" s="26" t="str">
        <f>"09DPR2280B"</f>
        <v>09DPR2280B</v>
      </c>
      <c r="C1169" s="26" t="str">
        <f>"REPUBLICA ITALIANA                                                                                  "</f>
        <v xml:space="preserve">REPUBLICA ITALIANA                                                                                  </v>
      </c>
      <c r="D1169" s="26" t="str">
        <f>"TIEMPO COMPLETO"</f>
        <v>TIEMPO COMPLETO</v>
      </c>
      <c r="E1169" s="26" t="str">
        <f>"CERRO GORDO Y CERRO BOLUDO S/N                                                  "</f>
        <v xml:space="preserve">CERRO GORDO Y CERRO BOLUDO S/N                                                  </v>
      </c>
      <c r="F1169" s="26" t="str">
        <f>"CAMPESTRE CHURUBUSCO                                                                                                                        "</f>
        <v xml:space="preserve">CAMPESTRE CHURUBUSCO                                                                                                                        </v>
      </c>
      <c r="G1169" s="26" t="str">
        <f>"COYOACAN                                                                        "</f>
        <v xml:space="preserve">COYOACAN                                                                        </v>
      </c>
      <c r="H1169" s="26" t="str">
        <f>"435"</f>
        <v>435</v>
      </c>
      <c r="I1169" s="26" t="str">
        <f t="shared" si="184"/>
        <v>00</v>
      </c>
      <c r="J1169" s="26" t="str">
        <f>"44 "</f>
        <v xml:space="preserve">44 </v>
      </c>
      <c r="K1169" s="26" t="str">
        <f>"PR"</f>
        <v>PR</v>
      </c>
      <c r="L1169" s="26" t="str">
        <f>"DGOSE"</f>
        <v>DGOSE</v>
      </c>
      <c r="M1169" s="26" t="str">
        <f t="shared" si="185"/>
        <v>FEDERAL</v>
      </c>
      <c r="N1169" s="26">
        <v>392</v>
      </c>
      <c r="O1169" s="26">
        <v>203</v>
      </c>
      <c r="P1169" s="26">
        <v>189</v>
      </c>
      <c r="Q1169" s="26">
        <v>13</v>
      </c>
      <c r="R1169" s="26">
        <v>1</v>
      </c>
      <c r="S1169" s="26">
        <v>12</v>
      </c>
      <c r="T1169" s="26">
        <v>15</v>
      </c>
      <c r="U1169" s="26">
        <v>28</v>
      </c>
      <c r="V1169" s="26">
        <v>1</v>
      </c>
      <c r="W1169" s="26" t="s">
        <v>218</v>
      </c>
    </row>
    <row r="1170" spans="1:23" x14ac:dyDescent="0.25">
      <c r="A1170" s="26" t="str">
        <f t="shared" si="183"/>
        <v>PRIMARIA</v>
      </c>
      <c r="B1170" s="26" t="str">
        <f>"09DPR2281A"</f>
        <v>09DPR2281A</v>
      </c>
      <c r="C1170" s="26" t="str">
        <f>"MAHATMA GANDHI                                                                                      "</f>
        <v xml:space="preserve">MAHATMA GANDHI                                                                                      </v>
      </c>
      <c r="D1170" s="26" t="str">
        <f>"JORNADA AMPLIADA"</f>
        <v>JORNADA AMPLIADA</v>
      </c>
      <c r="E1170" s="26" t="str">
        <f>"QUETZAL NO. 25 Y FAISAN                                                         "</f>
        <v xml:space="preserve">QUETZAL NO. 25 Y FAISAN                                                         </v>
      </c>
      <c r="F1170" s="26" t="str">
        <f>"PURISIMA                                                                                                                                    "</f>
        <v xml:space="preserve">PURISIMA                                                                                                                                    </v>
      </c>
      <c r="G1170" s="26" t="str">
        <f>"IZTAPALAPA                                                                      "</f>
        <v xml:space="preserve">IZTAPALAPA                                                                      </v>
      </c>
      <c r="H1170" s="26" t="str">
        <f>"005"</f>
        <v>005</v>
      </c>
      <c r="I1170" s="26" t="str">
        <f t="shared" si="184"/>
        <v>00</v>
      </c>
      <c r="J1170" s="26" t="str">
        <f>"61 "</f>
        <v xml:space="preserve">61 </v>
      </c>
      <c r="K1170" s="26" t="str">
        <f>"IZ"</f>
        <v>IZ</v>
      </c>
      <c r="L1170" s="26" t="str">
        <f>"DGSEI"</f>
        <v>DGSEI</v>
      </c>
      <c r="M1170" s="26" t="str">
        <f t="shared" si="185"/>
        <v>FEDERAL</v>
      </c>
      <c r="N1170" s="26">
        <v>443</v>
      </c>
      <c r="O1170" s="26">
        <v>197</v>
      </c>
      <c r="P1170" s="26">
        <v>246</v>
      </c>
      <c r="Q1170" s="26">
        <v>13</v>
      </c>
      <c r="R1170" s="26">
        <v>1</v>
      </c>
      <c r="S1170" s="26">
        <v>13</v>
      </c>
      <c r="T1170" s="26">
        <v>5</v>
      </c>
      <c r="U1170" s="26">
        <v>19</v>
      </c>
      <c r="V1170" s="26">
        <v>1</v>
      </c>
      <c r="W1170" s="26" t="s">
        <v>2076</v>
      </c>
    </row>
    <row r="1171" spans="1:23" x14ac:dyDescent="0.25">
      <c r="A1171" s="26" t="str">
        <f t="shared" si="183"/>
        <v>PRIMARIA</v>
      </c>
      <c r="B1171" s="26" t="str">
        <f>"09DPR2283Z"</f>
        <v>09DPR2283Z</v>
      </c>
      <c r="C1171" s="26" t="str">
        <f>"CARMEN SERDAN ALATRISTE                                                                             "</f>
        <v xml:space="preserve">CARMEN SERDAN ALATRISTE                                                                             </v>
      </c>
      <c r="D1171" s="26" t="str">
        <f>"JORNADA AMPLIADA"</f>
        <v>JORNADA AMPLIADA</v>
      </c>
      <c r="E1171" s="26" t="str">
        <f>"CALZADA DE TLALPAN NUM 1728                                                     "</f>
        <v xml:space="preserve">CALZADA DE TLALPAN NUM 1728                                                     </v>
      </c>
      <c r="F1171" s="26" t="str">
        <f>"COUNTRY CLUB CHURUBUSCO                                                                                                                     "</f>
        <v xml:space="preserve">COUNTRY CLUB CHURUBUSCO                                                                                                                     </v>
      </c>
      <c r="G1171" s="26" t="str">
        <f>"COYOACAN                                                                        "</f>
        <v xml:space="preserve">COYOACAN                                                                        </v>
      </c>
      <c r="H1171" s="26" t="str">
        <f>"435"</f>
        <v>435</v>
      </c>
      <c r="I1171" s="26" t="str">
        <f t="shared" si="184"/>
        <v>00</v>
      </c>
      <c r="J1171" s="26" t="str">
        <f>"44 "</f>
        <v xml:space="preserve">44 </v>
      </c>
      <c r="K1171" s="26" t="str">
        <f>"PR"</f>
        <v>PR</v>
      </c>
      <c r="L1171" s="26" t="str">
        <f>"DGOSE"</f>
        <v>DGOSE</v>
      </c>
      <c r="M1171" s="26" t="str">
        <f t="shared" si="185"/>
        <v>FEDERAL</v>
      </c>
      <c r="N1171" s="26">
        <v>170</v>
      </c>
      <c r="O1171" s="26">
        <v>94</v>
      </c>
      <c r="P1171" s="26">
        <v>76</v>
      </c>
      <c r="Q1171" s="26">
        <v>6</v>
      </c>
      <c r="R1171" s="26">
        <v>1</v>
      </c>
      <c r="S1171" s="26">
        <v>6</v>
      </c>
      <c r="T1171" s="26">
        <v>11</v>
      </c>
      <c r="U1171" s="26">
        <v>18</v>
      </c>
      <c r="V1171" s="26">
        <v>1</v>
      </c>
      <c r="W1171" s="26" t="s">
        <v>2076</v>
      </c>
    </row>
    <row r="1172" spans="1:23" x14ac:dyDescent="0.25">
      <c r="A1172" s="26" t="str">
        <f t="shared" si="183"/>
        <v>PRIMARIA</v>
      </c>
      <c r="B1172" s="26" t="str">
        <f>"09DPR2284Y"</f>
        <v>09DPR2284Y</v>
      </c>
      <c r="C1172" s="26" t="str">
        <f>"REPUBLICA DE IRAK                                                                                   "</f>
        <v xml:space="preserve">REPUBLICA DE IRAK                                                                                   </v>
      </c>
      <c r="D1172" s="26" t="str">
        <f>"TIEMPO COMPLETO"</f>
        <v>TIEMPO COMPLETO</v>
      </c>
      <c r="E1172" s="26" t="str">
        <f>"RODOLFO USIGLI Y SUR 101-A                                                      "</f>
        <v xml:space="preserve">RODOLFO USIGLI Y SUR 101-A                                                      </v>
      </c>
      <c r="F1172" s="26" t="str">
        <f>"SECTOR POPULAR                                                                                                                              "</f>
        <v xml:space="preserve">SECTOR POPULAR                                                                                                                              </v>
      </c>
      <c r="G1172" s="26" t="str">
        <f>"IZTAPALAPA                                                                      "</f>
        <v xml:space="preserve">IZTAPALAPA                                                                      </v>
      </c>
      <c r="H1172" s="26" t="str">
        <f>"071"</f>
        <v>071</v>
      </c>
      <c r="I1172" s="26" t="str">
        <f t="shared" si="184"/>
        <v>00</v>
      </c>
      <c r="J1172" s="26" t="str">
        <f>"61 "</f>
        <v xml:space="preserve">61 </v>
      </c>
      <c r="K1172" s="26" t="str">
        <f>"IZ"</f>
        <v>IZ</v>
      </c>
      <c r="L1172" s="26" t="str">
        <f>"DGSEI"</f>
        <v>DGSEI</v>
      </c>
      <c r="M1172" s="26" t="str">
        <f t="shared" si="185"/>
        <v>FEDERAL</v>
      </c>
      <c r="N1172" s="26">
        <v>438</v>
      </c>
      <c r="O1172" s="26">
        <v>222</v>
      </c>
      <c r="P1172" s="26">
        <v>216</v>
      </c>
      <c r="Q1172" s="26">
        <v>15</v>
      </c>
      <c r="R1172" s="26">
        <v>0</v>
      </c>
      <c r="S1172" s="26">
        <v>13</v>
      </c>
      <c r="T1172" s="26">
        <v>9</v>
      </c>
      <c r="U1172" s="26">
        <v>22</v>
      </c>
      <c r="V1172" s="26">
        <v>1</v>
      </c>
      <c r="W1172" s="26" t="s">
        <v>218</v>
      </c>
    </row>
    <row r="1173" spans="1:23" x14ac:dyDescent="0.25">
      <c r="A1173" s="26" t="str">
        <f t="shared" si="183"/>
        <v>PRIMARIA</v>
      </c>
      <c r="B1173" s="26" t="str">
        <f>"09DPR2285X"</f>
        <v>09DPR2285X</v>
      </c>
      <c r="C1173" s="26" t="str">
        <f>"REPUBLICA DE SENEGAL                                                                                "</f>
        <v xml:space="preserve">REPUBLICA DE SENEGAL                                                                                </v>
      </c>
      <c r="D1173" s="26" t="str">
        <f>"JORNADA AMPLIADA"</f>
        <v>JORNADA AMPLIADA</v>
      </c>
      <c r="E1173" s="26" t="str">
        <f>"CALLE SELVA S/N                                                                 "</f>
        <v xml:space="preserve">CALLE SELVA S/N                                                                 </v>
      </c>
      <c r="F1173" s="26" t="str">
        <f>"INSURGENTES CUICUILCO                                                                                                                       "</f>
        <v xml:space="preserve">INSURGENTES CUICUILCO                                                                                                                       </v>
      </c>
      <c r="G1173" s="26" t="str">
        <f>"COYOACAN                                                                        "</f>
        <v xml:space="preserve">COYOACAN                                                                        </v>
      </c>
      <c r="H1173" s="26" t="str">
        <f>"437"</f>
        <v>437</v>
      </c>
      <c r="I1173" s="26" t="str">
        <f t="shared" si="184"/>
        <v>00</v>
      </c>
      <c r="J1173" s="26" t="str">
        <f>"44 "</f>
        <v xml:space="preserve">44 </v>
      </c>
      <c r="K1173" s="26" t="str">
        <f>"PR"</f>
        <v>PR</v>
      </c>
      <c r="L1173" s="26" t="str">
        <f>"DGOSE"</f>
        <v>DGOSE</v>
      </c>
      <c r="M1173" s="26" t="str">
        <f t="shared" si="185"/>
        <v>FEDERAL</v>
      </c>
      <c r="N1173" s="26">
        <v>533</v>
      </c>
      <c r="O1173" s="26">
        <v>242</v>
      </c>
      <c r="P1173" s="26">
        <v>291</v>
      </c>
      <c r="Q1173" s="26">
        <v>16</v>
      </c>
      <c r="R1173" s="26">
        <v>1</v>
      </c>
      <c r="S1173" s="26">
        <v>16</v>
      </c>
      <c r="T1173" s="26">
        <v>10</v>
      </c>
      <c r="U1173" s="26">
        <v>27</v>
      </c>
      <c r="V1173" s="26">
        <v>1</v>
      </c>
      <c r="W1173" s="26" t="s">
        <v>2076</v>
      </c>
    </row>
    <row r="1174" spans="1:23" x14ac:dyDescent="0.25">
      <c r="A1174" s="26" t="str">
        <f t="shared" si="183"/>
        <v>PRIMARIA</v>
      </c>
      <c r="B1174" s="26" t="str">
        <f>"09DPR2286W"</f>
        <v>09DPR2286W</v>
      </c>
      <c r="C1174" s="26" t="str">
        <f>"ACAMAPICHTLI                                                                                        "</f>
        <v xml:space="preserve">ACAMAPICHTLI                                                                                        </v>
      </c>
      <c r="D1174" s="26" t="str">
        <f>"JORNADA AMPLIADA"</f>
        <v>JORNADA AMPLIADA</v>
      </c>
      <c r="E1174" s="26" t="str">
        <f>"CALLE 2 Y CALZ IGNACIO ZARAGOZA                                                 "</f>
        <v xml:space="preserve">CALLE 2 Y CALZ IGNACIO ZARAGOZA                                                 </v>
      </c>
      <c r="F1174" s="26" t="str">
        <f>"AGRICOLA PANTITLAN                                                                                                                          "</f>
        <v xml:space="preserve">AGRICOLA PANTITLAN                                                                                                                          </v>
      </c>
      <c r="G1174" s="26" t="str">
        <f>"IZTACALCO                                                                       "</f>
        <v xml:space="preserve">IZTACALCO                                                                       </v>
      </c>
      <c r="H1174" s="26" t="str">
        <f>"429"</f>
        <v>429</v>
      </c>
      <c r="I1174" s="26" t="str">
        <f t="shared" si="184"/>
        <v>00</v>
      </c>
      <c r="J1174" s="26" t="str">
        <f>"44 "</f>
        <v xml:space="preserve">44 </v>
      </c>
      <c r="K1174" s="26" t="str">
        <f>"PR"</f>
        <v>PR</v>
      </c>
      <c r="L1174" s="26" t="str">
        <f>"DGOSE"</f>
        <v>DGOSE</v>
      </c>
      <c r="M1174" s="26" t="str">
        <f t="shared" si="185"/>
        <v>FEDERAL</v>
      </c>
      <c r="N1174" s="26">
        <v>451</v>
      </c>
      <c r="O1174" s="26">
        <v>249</v>
      </c>
      <c r="P1174" s="26">
        <v>202</v>
      </c>
      <c r="Q1174" s="26">
        <v>16</v>
      </c>
      <c r="R1174" s="26">
        <v>1</v>
      </c>
      <c r="S1174" s="26">
        <v>16</v>
      </c>
      <c r="T1174" s="26">
        <v>10</v>
      </c>
      <c r="U1174" s="26">
        <v>27</v>
      </c>
      <c r="V1174" s="26">
        <v>1</v>
      </c>
      <c r="W1174" s="26" t="s">
        <v>2076</v>
      </c>
    </row>
    <row r="1175" spans="1:23" x14ac:dyDescent="0.25">
      <c r="A1175" s="26" t="str">
        <f t="shared" si="183"/>
        <v>PRIMARIA</v>
      </c>
      <c r="B1175" s="26" t="str">
        <f>"09DPR2288U"</f>
        <v>09DPR2288U</v>
      </c>
      <c r="C1175" s="26" t="str">
        <f>"JUAN RODRIGUEZ PUEBLA                                                                               "</f>
        <v xml:space="preserve">JUAN RODRIGUEZ PUEBLA                                                                               </v>
      </c>
      <c r="D1175" s="26" t="str">
        <f>"MATUTINO"</f>
        <v>MATUTINO</v>
      </c>
      <c r="E1175" s="26" t="str">
        <f>"MANUEL PEREZ ROMERO NO. 126                                                     "</f>
        <v xml:space="preserve">MANUEL PEREZ ROMERO NO. 126                                                     </v>
      </c>
      <c r="F1175" s="26" t="str">
        <f>"SANTA MARTHA ACATITLA AMPLIACION                                                                                                            "</f>
        <v xml:space="preserve">SANTA MARTHA ACATITLA AMPLIACION                                                                                                            </v>
      </c>
      <c r="G1175" s="26" t="str">
        <f>"IZTAPALAPA                                                                      "</f>
        <v xml:space="preserve">IZTAPALAPA                                                                      </v>
      </c>
      <c r="H1175" s="26" t="str">
        <f>"030"</f>
        <v>030</v>
      </c>
      <c r="I1175" s="26" t="str">
        <f t="shared" si="184"/>
        <v>00</v>
      </c>
      <c r="J1175" s="26" t="str">
        <f>"62 "</f>
        <v xml:space="preserve">62 </v>
      </c>
      <c r="K1175" s="26" t="str">
        <f>"IZ"</f>
        <v>IZ</v>
      </c>
      <c r="L1175" s="26" t="str">
        <f>"DGSEI"</f>
        <v>DGSEI</v>
      </c>
      <c r="M1175" s="26" t="str">
        <f t="shared" si="185"/>
        <v>FEDERAL</v>
      </c>
      <c r="N1175" s="26">
        <v>682</v>
      </c>
      <c r="O1175" s="26">
        <v>347</v>
      </c>
      <c r="P1175" s="26">
        <v>335</v>
      </c>
      <c r="Q1175" s="26">
        <v>23</v>
      </c>
      <c r="R1175" s="26">
        <v>1</v>
      </c>
      <c r="S1175" s="26">
        <v>21</v>
      </c>
      <c r="T1175" s="26">
        <v>11</v>
      </c>
      <c r="U1175" s="26">
        <v>33</v>
      </c>
      <c r="V1175" s="26">
        <v>1</v>
      </c>
      <c r="W1175" s="26"/>
    </row>
    <row r="1176" spans="1:23" x14ac:dyDescent="0.25">
      <c r="A1176" s="26" t="str">
        <f t="shared" si="183"/>
        <v>PRIMARIA</v>
      </c>
      <c r="B1176" s="26" t="str">
        <f>"09DPR2289T"</f>
        <v>09DPR2289T</v>
      </c>
      <c r="C1176" s="26" t="str">
        <f>"REVOLUCION MEXICANA                                                                                 "</f>
        <v xml:space="preserve">REVOLUCION MEXICANA                                                                                 </v>
      </c>
      <c r="D1176" s="26" t="str">
        <f>"MATUTINO"</f>
        <v>MATUTINO</v>
      </c>
      <c r="E1176" s="26" t="str">
        <f>"COCONETLA NUM 53                                                                "</f>
        <v xml:space="preserve">COCONETLA NUM 53                                                                </v>
      </c>
      <c r="F1176" s="26" t="str">
        <f>"LA CRUZ                                                                                                                                     "</f>
        <v xml:space="preserve">LA CRUZ                                                                                                                                     </v>
      </c>
      <c r="G1176" s="26" t="str">
        <f>"IZTACALCO                                                                       "</f>
        <v xml:space="preserve">IZTACALCO                                                                       </v>
      </c>
      <c r="H1176" s="26" t="str">
        <f>"362"</f>
        <v>362</v>
      </c>
      <c r="I1176" s="26" t="str">
        <f t="shared" si="184"/>
        <v>00</v>
      </c>
      <c r="J1176" s="26" t="str">
        <f>"43 "</f>
        <v xml:space="preserve">43 </v>
      </c>
      <c r="K1176" s="26" t="str">
        <f t="shared" ref="K1176:K1195" si="189">"PR"</f>
        <v>PR</v>
      </c>
      <c r="L1176" s="26" t="str">
        <f t="shared" ref="L1176:L1195" si="190">"DGOSE"</f>
        <v>DGOSE</v>
      </c>
      <c r="M1176" s="26" t="str">
        <f t="shared" si="185"/>
        <v>FEDERAL</v>
      </c>
      <c r="N1176" s="26">
        <v>470</v>
      </c>
      <c r="O1176" s="26">
        <v>245</v>
      </c>
      <c r="P1176" s="26">
        <v>225</v>
      </c>
      <c r="Q1176" s="26">
        <v>16</v>
      </c>
      <c r="R1176" s="26">
        <v>1</v>
      </c>
      <c r="S1176" s="26">
        <v>16</v>
      </c>
      <c r="T1176" s="26">
        <v>10</v>
      </c>
      <c r="U1176" s="26">
        <v>27</v>
      </c>
      <c r="V1176" s="26">
        <v>1</v>
      </c>
      <c r="W1176" s="26"/>
    </row>
    <row r="1177" spans="1:23" x14ac:dyDescent="0.25">
      <c r="A1177" s="26" t="str">
        <f t="shared" si="183"/>
        <v>PRIMARIA</v>
      </c>
      <c r="B1177" s="26" t="str">
        <f>"09DPR2291H"</f>
        <v>09DPR2291H</v>
      </c>
      <c r="C1177" s="26" t="str">
        <f>"PROFR. PONCIANO RODRIGUEZ                                                                           "</f>
        <v xml:space="preserve">PROFR. PONCIANO RODRIGUEZ                                                                           </v>
      </c>
      <c r="D1177" s="26" t="str">
        <f>"JORNADA AMPLIADA"</f>
        <v>JORNADA AMPLIADA</v>
      </c>
      <c r="E1177" s="26" t="str">
        <f>"MAYORAZGO NUM 80                                                                "</f>
        <v xml:space="preserve">MAYORAZGO NUM 80                                                                </v>
      </c>
      <c r="F1177" s="26" t="str">
        <f>"XOCO                                                                                                                                        "</f>
        <v xml:space="preserve">XOCO                                                                                                                                        </v>
      </c>
      <c r="G1177" s="26" t="str">
        <f>"BENITO JUAREZ                                                                   "</f>
        <v xml:space="preserve">BENITO JUAREZ                                                                   </v>
      </c>
      <c r="H1177" s="26" t="str">
        <f>"416"</f>
        <v>416</v>
      </c>
      <c r="I1177" s="26" t="str">
        <f t="shared" si="184"/>
        <v>00</v>
      </c>
      <c r="J1177" s="26" t="str">
        <f>"44 "</f>
        <v xml:space="preserve">44 </v>
      </c>
      <c r="K1177" s="26" t="str">
        <f t="shared" si="189"/>
        <v>PR</v>
      </c>
      <c r="L1177" s="26" t="str">
        <f t="shared" si="190"/>
        <v>DGOSE</v>
      </c>
      <c r="M1177" s="26" t="str">
        <f t="shared" si="185"/>
        <v>FEDERAL</v>
      </c>
      <c r="N1177" s="26">
        <v>207</v>
      </c>
      <c r="O1177" s="26">
        <v>101</v>
      </c>
      <c r="P1177" s="26">
        <v>106</v>
      </c>
      <c r="Q1177" s="26">
        <v>8</v>
      </c>
      <c r="R1177" s="26">
        <v>1</v>
      </c>
      <c r="S1177" s="26">
        <v>8</v>
      </c>
      <c r="T1177" s="26">
        <v>8</v>
      </c>
      <c r="U1177" s="26">
        <v>17</v>
      </c>
      <c r="V1177" s="26">
        <v>1</v>
      </c>
      <c r="W1177" s="26" t="s">
        <v>2076</v>
      </c>
    </row>
    <row r="1178" spans="1:23" x14ac:dyDescent="0.25">
      <c r="A1178" s="26" t="str">
        <f t="shared" si="183"/>
        <v>PRIMARIA</v>
      </c>
      <c r="B1178" s="26" t="str">
        <f>"09DPR2292G"</f>
        <v>09DPR2292G</v>
      </c>
      <c r="C1178" s="26" t="str">
        <f>"DR. SAMUEL RAMOS                                                                                    "</f>
        <v xml:space="preserve">DR. SAMUEL RAMOS                                                                                    </v>
      </c>
      <c r="D1178" s="26" t="str">
        <f>"VESPERTINO"</f>
        <v>VESPERTINO</v>
      </c>
      <c r="E1178" s="26" t="str">
        <f>"TIZIANO Y VAN OSTADE NO 8                                                       "</f>
        <v xml:space="preserve">TIZIANO Y VAN OSTADE NO 8                                                       </v>
      </c>
      <c r="F1178" s="26" t="str">
        <f>"ALFONSO XIII                                                                                                                                "</f>
        <v xml:space="preserve">ALFONSO XIII                                                                                                                                </v>
      </c>
      <c r="G1178" s="26" t="str">
        <f>"ALVARO OBREGON                                                                  "</f>
        <v xml:space="preserve">ALVARO OBREGON                                                                  </v>
      </c>
      <c r="H1178" s="26" t="str">
        <f>"313"</f>
        <v>313</v>
      </c>
      <c r="I1178" s="26" t="str">
        <f t="shared" si="184"/>
        <v>00</v>
      </c>
      <c r="J1178" s="26" t="str">
        <f>"43 "</f>
        <v xml:space="preserve">43 </v>
      </c>
      <c r="K1178" s="26" t="str">
        <f t="shared" si="189"/>
        <v>PR</v>
      </c>
      <c r="L1178" s="26" t="str">
        <f t="shared" si="190"/>
        <v>DGOSE</v>
      </c>
      <c r="M1178" s="26" t="str">
        <f t="shared" si="185"/>
        <v>FEDERAL</v>
      </c>
      <c r="N1178" s="26">
        <v>219</v>
      </c>
      <c r="O1178" s="26">
        <v>124</v>
      </c>
      <c r="P1178" s="26">
        <v>95</v>
      </c>
      <c r="Q1178" s="26">
        <v>10</v>
      </c>
      <c r="R1178" s="26">
        <v>1</v>
      </c>
      <c r="S1178" s="26">
        <v>10</v>
      </c>
      <c r="T1178" s="26">
        <v>6</v>
      </c>
      <c r="U1178" s="26">
        <v>17</v>
      </c>
      <c r="V1178" s="26">
        <v>1</v>
      </c>
      <c r="W1178" s="26"/>
    </row>
    <row r="1179" spans="1:23" x14ac:dyDescent="0.25">
      <c r="A1179" s="26" t="str">
        <f t="shared" si="183"/>
        <v>PRIMARIA</v>
      </c>
      <c r="B1179" s="26" t="str">
        <f>"09DPR2293F"</f>
        <v>09DPR2293F</v>
      </c>
      <c r="C1179" s="26" t="str">
        <f>"REPUBLICA DE JAMAICA                                                                                "</f>
        <v xml:space="preserve">REPUBLICA DE JAMAICA                                                                                </v>
      </c>
      <c r="D1179" s="26" t="str">
        <f>"MATUTINO"</f>
        <v>MATUTINO</v>
      </c>
      <c r="E1179" s="26" t="str">
        <f>"JACARANDAS S/N .                                                                "</f>
        <v xml:space="preserve">JACARANDAS S/N .                                                                </v>
      </c>
      <c r="F1179" s="26" t="str">
        <f>"EL PIRUL                                                                                                                                    "</f>
        <v xml:space="preserve">EL PIRUL                                                                                                                                    </v>
      </c>
      <c r="G1179" s="26" t="str">
        <f>"ALVARO OBREGON                                                                  "</f>
        <v xml:space="preserve">ALVARO OBREGON                                                                  </v>
      </c>
      <c r="H1179" s="26" t="str">
        <f>"312"</f>
        <v>312</v>
      </c>
      <c r="I1179" s="26" t="str">
        <f t="shared" si="184"/>
        <v>00</v>
      </c>
      <c r="J1179" s="26" t="str">
        <f>"43 "</f>
        <v xml:space="preserve">43 </v>
      </c>
      <c r="K1179" s="26" t="str">
        <f t="shared" si="189"/>
        <v>PR</v>
      </c>
      <c r="L1179" s="26" t="str">
        <f t="shared" si="190"/>
        <v>DGOSE</v>
      </c>
      <c r="M1179" s="26" t="str">
        <f t="shared" si="185"/>
        <v>FEDERAL</v>
      </c>
      <c r="N1179" s="26">
        <v>355</v>
      </c>
      <c r="O1179" s="26">
        <v>193</v>
      </c>
      <c r="P1179" s="26">
        <v>162</v>
      </c>
      <c r="Q1179" s="26">
        <v>13</v>
      </c>
      <c r="R1179" s="26">
        <v>1</v>
      </c>
      <c r="S1179" s="26">
        <v>13</v>
      </c>
      <c r="T1179" s="26">
        <v>9</v>
      </c>
      <c r="U1179" s="26">
        <v>23</v>
      </c>
      <c r="V1179" s="26">
        <v>1</v>
      </c>
      <c r="W1179" s="26"/>
    </row>
    <row r="1180" spans="1:23" x14ac:dyDescent="0.25">
      <c r="A1180" s="26" t="str">
        <f t="shared" si="183"/>
        <v>PRIMARIA</v>
      </c>
      <c r="B1180" s="26" t="str">
        <f>"09DPR2294E"</f>
        <v>09DPR2294E</v>
      </c>
      <c r="C1180" s="26" t="str">
        <f>"CARLOS DE SIGÜENZA Y GONGORA                                                                        "</f>
        <v xml:space="preserve">CARLOS DE SIGÜENZA Y GONGORA                                                                        </v>
      </c>
      <c r="D1180" s="26" t="str">
        <f>"VESPERTINO"</f>
        <v>VESPERTINO</v>
      </c>
      <c r="E1180" s="26" t="str">
        <f>"AV SAN JERONIMO NUM 29                                                          "</f>
        <v xml:space="preserve">AV SAN JERONIMO NUM 29                                                          </v>
      </c>
      <c r="F1180" s="26" t="str">
        <f>"EL TORO                                                                                                                                     "</f>
        <v xml:space="preserve">EL TORO                                                                                                                                     </v>
      </c>
      <c r="G1180" s="26" t="str">
        <f>"LA MAGDALENA CONTRERAS                                                          "</f>
        <v xml:space="preserve">LA MAGDALENA CONTRERAS                                                          </v>
      </c>
      <c r="H1180" s="26" t="str">
        <f>"336"</f>
        <v>336</v>
      </c>
      <c r="I1180" s="26" t="str">
        <f t="shared" si="184"/>
        <v>00</v>
      </c>
      <c r="J1180" s="26" t="str">
        <f>"43 "</f>
        <v xml:space="preserve">43 </v>
      </c>
      <c r="K1180" s="26" t="str">
        <f t="shared" si="189"/>
        <v>PR</v>
      </c>
      <c r="L1180" s="26" t="str">
        <f t="shared" si="190"/>
        <v>DGOSE</v>
      </c>
      <c r="M1180" s="26" t="str">
        <f t="shared" si="185"/>
        <v>FEDERAL</v>
      </c>
      <c r="N1180" s="26">
        <v>254</v>
      </c>
      <c r="O1180" s="26">
        <v>128</v>
      </c>
      <c r="P1180" s="26">
        <v>126</v>
      </c>
      <c r="Q1180" s="26">
        <v>12</v>
      </c>
      <c r="R1180" s="26">
        <v>1</v>
      </c>
      <c r="S1180" s="26">
        <v>11</v>
      </c>
      <c r="T1180" s="26">
        <v>6</v>
      </c>
      <c r="U1180" s="26">
        <v>18</v>
      </c>
      <c r="V1180" s="26">
        <v>1</v>
      </c>
      <c r="W1180" s="26"/>
    </row>
    <row r="1181" spans="1:23" x14ac:dyDescent="0.25">
      <c r="A1181" s="26" t="str">
        <f t="shared" si="183"/>
        <v>PRIMARIA</v>
      </c>
      <c r="B1181" s="26" t="str">
        <f>"09DPR2295D"</f>
        <v>09DPR2295D</v>
      </c>
      <c r="C1181" s="26" t="str">
        <f>"TEOFILO ALVAREZ BORBOA                                                                              "</f>
        <v xml:space="preserve">TEOFILO ALVAREZ BORBOA                                                                              </v>
      </c>
      <c r="D1181" s="26" t="str">
        <f>"JORNADA AMPLIADA"</f>
        <v>JORNADA AMPLIADA</v>
      </c>
      <c r="E1181" s="26" t="str">
        <f>"CALLE ESCUELA NO 127                                                            "</f>
        <v xml:space="preserve">CALLE ESCUELA NO 127                                                            </v>
      </c>
      <c r="F1181" s="26" t="str">
        <f>"EJIDOS DE HUIPULCO                                                                                                                          "</f>
        <v xml:space="preserve">EJIDOS DE HUIPULCO                                                                                                                          </v>
      </c>
      <c r="G1181" s="26" t="str">
        <f>"TLALPAN                                                                         "</f>
        <v xml:space="preserve">TLALPAN                                                                         </v>
      </c>
      <c r="H1181" s="26" t="str">
        <f>"446"</f>
        <v>446</v>
      </c>
      <c r="I1181" s="26" t="str">
        <f t="shared" si="184"/>
        <v>00</v>
      </c>
      <c r="J1181" s="26" t="str">
        <f>"44 "</f>
        <v xml:space="preserve">44 </v>
      </c>
      <c r="K1181" s="26" t="str">
        <f t="shared" si="189"/>
        <v>PR</v>
      </c>
      <c r="L1181" s="26" t="str">
        <f t="shared" si="190"/>
        <v>DGOSE</v>
      </c>
      <c r="M1181" s="26" t="str">
        <f t="shared" si="185"/>
        <v>FEDERAL</v>
      </c>
      <c r="N1181" s="26">
        <v>381</v>
      </c>
      <c r="O1181" s="26">
        <v>195</v>
      </c>
      <c r="P1181" s="26">
        <v>186</v>
      </c>
      <c r="Q1181" s="26">
        <v>15</v>
      </c>
      <c r="R1181" s="26">
        <v>1</v>
      </c>
      <c r="S1181" s="26">
        <v>15</v>
      </c>
      <c r="T1181" s="26">
        <v>11</v>
      </c>
      <c r="U1181" s="26">
        <v>27</v>
      </c>
      <c r="V1181" s="26">
        <v>1</v>
      </c>
      <c r="W1181" s="26" t="s">
        <v>2076</v>
      </c>
    </row>
    <row r="1182" spans="1:23" x14ac:dyDescent="0.25">
      <c r="A1182" s="26" t="str">
        <f t="shared" si="183"/>
        <v>PRIMARIA</v>
      </c>
      <c r="B1182" s="26" t="str">
        <f>"09DPR2296C"</f>
        <v>09DPR2296C</v>
      </c>
      <c r="C1182" s="26" t="str">
        <f>"FORD 20                                                                                             "</f>
        <v xml:space="preserve">FORD 20                                                                                             </v>
      </c>
      <c r="D1182" s="26" t="str">
        <f>"VESPERTINO"</f>
        <v>VESPERTINO</v>
      </c>
      <c r="E1182" s="26" t="str">
        <f>"PETRELES S\N                                                                    "</f>
        <v xml:space="preserve">PETRELES S\N                                                                    </v>
      </c>
      <c r="F1182" s="26" t="str">
        <f>"PUENTE COLORADO                                                                                                                             "</f>
        <v xml:space="preserve">PUENTE COLORADO                                                                                                                             </v>
      </c>
      <c r="G1182" s="26" t="str">
        <f>"ALVARO OBREGON                                                                  "</f>
        <v xml:space="preserve">ALVARO OBREGON                                                                  </v>
      </c>
      <c r="H1182" s="26" t="str">
        <f>"322"</f>
        <v>322</v>
      </c>
      <c r="I1182" s="26" t="str">
        <f t="shared" si="184"/>
        <v>00</v>
      </c>
      <c r="J1182" s="26" t="str">
        <f>"43 "</f>
        <v xml:space="preserve">43 </v>
      </c>
      <c r="K1182" s="26" t="str">
        <f t="shared" si="189"/>
        <v>PR</v>
      </c>
      <c r="L1182" s="26" t="str">
        <f t="shared" si="190"/>
        <v>DGOSE</v>
      </c>
      <c r="M1182" s="26" t="str">
        <f t="shared" si="185"/>
        <v>FEDERAL</v>
      </c>
      <c r="N1182" s="26">
        <v>286</v>
      </c>
      <c r="O1182" s="26">
        <v>158</v>
      </c>
      <c r="P1182" s="26">
        <v>128</v>
      </c>
      <c r="Q1182" s="26">
        <v>12</v>
      </c>
      <c r="R1182" s="26">
        <v>1</v>
      </c>
      <c r="S1182" s="26">
        <v>12</v>
      </c>
      <c r="T1182" s="26">
        <v>9</v>
      </c>
      <c r="U1182" s="26">
        <v>22</v>
      </c>
      <c r="V1182" s="26">
        <v>1</v>
      </c>
      <c r="W1182" s="26"/>
    </row>
    <row r="1183" spans="1:23" x14ac:dyDescent="0.25">
      <c r="A1183" s="26" t="str">
        <f t="shared" si="183"/>
        <v>PRIMARIA</v>
      </c>
      <c r="B1183" s="26" t="str">
        <f>"09DPR2297B"</f>
        <v>09DPR2297B</v>
      </c>
      <c r="C1183" s="26" t="str">
        <f>"PROFRA. CONCEPCION PATIÑO VALDEZ                                                                    "</f>
        <v xml:space="preserve">PROFRA. CONCEPCION PATIÑO VALDEZ                                                                    </v>
      </c>
      <c r="D1183" s="26" t="str">
        <f>"MATUTINO"</f>
        <v>MATUTINO</v>
      </c>
      <c r="E1183" s="26" t="str">
        <f>"IZAMAL 70                                                                       "</f>
        <v xml:space="preserve">IZAMAL 70                                                                       </v>
      </c>
      <c r="F1183" s="26" t="str">
        <f>"HEROES DE PADIERNA                                                                                                                          "</f>
        <v xml:space="preserve">HEROES DE PADIERNA                                                                                                                          </v>
      </c>
      <c r="G1183" s="26" t="str">
        <f>"TLALPAN                                                                         "</f>
        <v xml:space="preserve">TLALPAN                                                                         </v>
      </c>
      <c r="H1183" s="26" t="str">
        <f>"511"</f>
        <v>511</v>
      </c>
      <c r="I1183" s="26" t="str">
        <f t="shared" si="184"/>
        <v>00</v>
      </c>
      <c r="J1183" s="26" t="str">
        <f>"45 "</f>
        <v xml:space="preserve">45 </v>
      </c>
      <c r="K1183" s="26" t="str">
        <f t="shared" si="189"/>
        <v>PR</v>
      </c>
      <c r="L1183" s="26" t="str">
        <f t="shared" si="190"/>
        <v>DGOSE</v>
      </c>
      <c r="M1183" s="26" t="str">
        <f t="shared" si="185"/>
        <v>FEDERAL</v>
      </c>
      <c r="N1183" s="26">
        <v>324</v>
      </c>
      <c r="O1183" s="26">
        <v>174</v>
      </c>
      <c r="P1183" s="26">
        <v>150</v>
      </c>
      <c r="Q1183" s="26">
        <v>9</v>
      </c>
      <c r="R1183" s="26">
        <v>1</v>
      </c>
      <c r="S1183" s="26">
        <v>9</v>
      </c>
      <c r="T1183" s="26">
        <v>6</v>
      </c>
      <c r="U1183" s="26">
        <v>16</v>
      </c>
      <c r="V1183" s="26">
        <v>1</v>
      </c>
      <c r="W1183" s="26"/>
    </row>
    <row r="1184" spans="1:23" x14ac:dyDescent="0.25">
      <c r="A1184" s="26" t="str">
        <f t="shared" si="183"/>
        <v>PRIMARIA</v>
      </c>
      <c r="B1184" s="26" t="str">
        <f>"09DPR2298A"</f>
        <v>09DPR2298A</v>
      </c>
      <c r="C1184" s="26" t="str">
        <f>"PROFRA. CONCEPCION PATIÑO VALDEZ                                                                    "</f>
        <v xml:space="preserve">PROFRA. CONCEPCION PATIÑO VALDEZ                                                                    </v>
      </c>
      <c r="D1184" s="26" t="str">
        <f>"VESPERTINO"</f>
        <v>VESPERTINO</v>
      </c>
      <c r="E1184" s="26" t="str">
        <f>"IZAMAL NUM 70                                                                   "</f>
        <v xml:space="preserve">IZAMAL NUM 70                                                                   </v>
      </c>
      <c r="F1184" s="26" t="str">
        <f>"HEROES DE PADIERNA                                                                                                                          "</f>
        <v xml:space="preserve">HEROES DE PADIERNA                                                                                                                          </v>
      </c>
      <c r="G1184" s="26" t="str">
        <f>"TLALPAN                                                                         "</f>
        <v xml:space="preserve">TLALPAN                                                                         </v>
      </c>
      <c r="H1184" s="26" t="str">
        <f>"511"</f>
        <v>511</v>
      </c>
      <c r="I1184" s="26" t="str">
        <f t="shared" si="184"/>
        <v>00</v>
      </c>
      <c r="J1184" s="26" t="str">
        <f>"45 "</f>
        <v xml:space="preserve">45 </v>
      </c>
      <c r="K1184" s="26" t="str">
        <f t="shared" si="189"/>
        <v>PR</v>
      </c>
      <c r="L1184" s="26" t="str">
        <f t="shared" si="190"/>
        <v>DGOSE</v>
      </c>
      <c r="M1184" s="26" t="str">
        <f t="shared" si="185"/>
        <v>FEDERAL</v>
      </c>
      <c r="N1184" s="26">
        <v>188</v>
      </c>
      <c r="O1184" s="26">
        <v>97</v>
      </c>
      <c r="P1184" s="26">
        <v>91</v>
      </c>
      <c r="Q1184" s="26">
        <v>9</v>
      </c>
      <c r="R1184" s="26">
        <v>1</v>
      </c>
      <c r="S1184" s="26">
        <v>9</v>
      </c>
      <c r="T1184" s="26">
        <v>5</v>
      </c>
      <c r="U1184" s="26">
        <v>15</v>
      </c>
      <c r="V1184" s="26">
        <v>1</v>
      </c>
      <c r="W1184" s="26"/>
    </row>
    <row r="1185" spans="1:23" x14ac:dyDescent="0.25">
      <c r="A1185" s="26" t="str">
        <f t="shared" si="183"/>
        <v>PRIMARIA</v>
      </c>
      <c r="B1185" s="26" t="str">
        <f>"09DPR2299Z"</f>
        <v>09DPR2299Z</v>
      </c>
      <c r="C1185" s="26" t="str">
        <f>"PROFR ADOLFO VELASQUEZ VILCHES                                                                      "</f>
        <v xml:space="preserve">PROFR ADOLFO VELASQUEZ VILCHES                                                                      </v>
      </c>
      <c r="D1185" s="26" t="str">
        <f>"JORNADA AMPLIADA"</f>
        <v>JORNADA AMPLIADA</v>
      </c>
      <c r="E1185" s="26" t="str">
        <f>"AV INFORME DE GOBIERNO S/N                                                      "</f>
        <v xml:space="preserve">AV INFORME DE GOBIERNO S/N                                                      </v>
      </c>
      <c r="F1185" s="26" t="str">
        <f>"LA CONCHITA                                                                                                                                 "</f>
        <v xml:space="preserve">LA CONCHITA                                                                                                                                 </v>
      </c>
      <c r="G1185" s="26" t="str">
        <f>"ALVARO OBREGON                                                                  "</f>
        <v xml:space="preserve">ALVARO OBREGON                                                                  </v>
      </c>
      <c r="H1185" s="26" t="str">
        <f>"401"</f>
        <v>401</v>
      </c>
      <c r="I1185" s="26" t="str">
        <f t="shared" si="184"/>
        <v>00</v>
      </c>
      <c r="J1185" s="26" t="str">
        <f>"44 "</f>
        <v xml:space="preserve">44 </v>
      </c>
      <c r="K1185" s="26" t="str">
        <f t="shared" si="189"/>
        <v>PR</v>
      </c>
      <c r="L1185" s="26" t="str">
        <f t="shared" si="190"/>
        <v>DGOSE</v>
      </c>
      <c r="M1185" s="26" t="str">
        <f t="shared" si="185"/>
        <v>FEDERAL</v>
      </c>
      <c r="N1185" s="26">
        <v>158</v>
      </c>
      <c r="O1185" s="26">
        <v>87</v>
      </c>
      <c r="P1185" s="26">
        <v>71</v>
      </c>
      <c r="Q1185" s="26">
        <v>6</v>
      </c>
      <c r="R1185" s="26">
        <v>1</v>
      </c>
      <c r="S1185" s="26">
        <v>6</v>
      </c>
      <c r="T1185" s="26">
        <v>7</v>
      </c>
      <c r="U1185" s="26">
        <v>14</v>
      </c>
      <c r="V1185" s="26">
        <v>1</v>
      </c>
      <c r="W1185" s="26" t="s">
        <v>2076</v>
      </c>
    </row>
    <row r="1186" spans="1:23" x14ac:dyDescent="0.25">
      <c r="A1186" s="26" t="str">
        <f t="shared" si="183"/>
        <v>PRIMARIA</v>
      </c>
      <c r="B1186" s="26" t="str">
        <f>"09DPR2300Z"</f>
        <v>09DPR2300Z</v>
      </c>
      <c r="C1186" s="26" t="str">
        <f>"PROFR. MANUEL QUIROZ MARTINEZ                                                                       "</f>
        <v xml:space="preserve">PROFR. MANUEL QUIROZ MARTINEZ                                                                       </v>
      </c>
      <c r="D1186" s="26" t="str">
        <f>"JORNADA AMPLIADA"</f>
        <v>JORNADA AMPLIADA</v>
      </c>
      <c r="E1186" s="26" t="str">
        <f>"AV ANTIGUA VIA LA VENTA S/N                                                     "</f>
        <v xml:space="preserve">AV ANTIGUA VIA LA VENTA S/N                                                     </v>
      </c>
      <c r="F1186" s="26" t="str">
        <f>"LOMAS DE BECERRA                                                                                                                            "</f>
        <v xml:space="preserve">LOMAS DE BECERRA                                                                                                                            </v>
      </c>
      <c r="G1186" s="26" t="str">
        <f>"ALVARO OBREGON                                                                  "</f>
        <v xml:space="preserve">ALVARO OBREGON                                                                  </v>
      </c>
      <c r="H1186" s="26" t="str">
        <f>"402"</f>
        <v>402</v>
      </c>
      <c r="I1186" s="26" t="str">
        <f t="shared" si="184"/>
        <v>00</v>
      </c>
      <c r="J1186" s="26" t="str">
        <f>"44 "</f>
        <v xml:space="preserve">44 </v>
      </c>
      <c r="K1186" s="26" t="str">
        <f t="shared" si="189"/>
        <v>PR</v>
      </c>
      <c r="L1186" s="26" t="str">
        <f t="shared" si="190"/>
        <v>DGOSE</v>
      </c>
      <c r="M1186" s="26" t="str">
        <f t="shared" si="185"/>
        <v>FEDERAL</v>
      </c>
      <c r="N1186" s="26">
        <v>513</v>
      </c>
      <c r="O1186" s="26">
        <v>264</v>
      </c>
      <c r="P1186" s="26">
        <v>249</v>
      </c>
      <c r="Q1186" s="26">
        <v>18</v>
      </c>
      <c r="R1186" s="26">
        <v>1</v>
      </c>
      <c r="S1186" s="26">
        <v>17</v>
      </c>
      <c r="T1186" s="26">
        <v>13</v>
      </c>
      <c r="U1186" s="26">
        <v>31</v>
      </c>
      <c r="V1186" s="26">
        <v>1</v>
      </c>
      <c r="W1186" s="26" t="s">
        <v>2076</v>
      </c>
    </row>
    <row r="1187" spans="1:23" x14ac:dyDescent="0.25">
      <c r="A1187" s="26" t="str">
        <f t="shared" si="183"/>
        <v>PRIMARIA</v>
      </c>
      <c r="B1187" s="26" t="str">
        <f>"09DPR2301Y"</f>
        <v>09DPR2301Y</v>
      </c>
      <c r="C1187" s="26" t="str">
        <f>"FUERZAS ARMADAS DE MEXICO                                                                           "</f>
        <v xml:space="preserve">FUERZAS ARMADAS DE MEXICO                                                                           </v>
      </c>
      <c r="D1187" s="26" t="str">
        <f>"MATUTINO"</f>
        <v>MATUTINO</v>
      </c>
      <c r="E1187" s="26" t="str">
        <f>"REFORMA AGRARIA NUM 1                                                           "</f>
        <v xml:space="preserve">REFORMA AGRARIA NUM 1                                                           </v>
      </c>
      <c r="F1187" s="26" t="str">
        <f>"UNIDAD HABITACIONAL ISSFAM 1                                                                                                                "</f>
        <v xml:space="preserve">UNIDAD HABITACIONAL ISSFAM 1                                                                                                                </v>
      </c>
      <c r="G1187" s="26" t="str">
        <f>"TLALPAN                                                                         "</f>
        <v xml:space="preserve">TLALPAN                                                                         </v>
      </c>
      <c r="H1187" s="26" t="str">
        <f>"522"</f>
        <v>522</v>
      </c>
      <c r="I1187" s="26" t="str">
        <f t="shared" si="184"/>
        <v>00</v>
      </c>
      <c r="J1187" s="26" t="str">
        <f>"45 "</f>
        <v xml:space="preserve">45 </v>
      </c>
      <c r="K1187" s="26" t="str">
        <f t="shared" si="189"/>
        <v>PR</v>
      </c>
      <c r="L1187" s="26" t="str">
        <f t="shared" si="190"/>
        <v>DGOSE</v>
      </c>
      <c r="M1187" s="26" t="str">
        <f t="shared" si="185"/>
        <v>FEDERAL</v>
      </c>
      <c r="N1187" s="26">
        <v>439</v>
      </c>
      <c r="O1187" s="26">
        <v>225</v>
      </c>
      <c r="P1187" s="26">
        <v>214</v>
      </c>
      <c r="Q1187" s="26">
        <v>12</v>
      </c>
      <c r="R1187" s="26">
        <v>1</v>
      </c>
      <c r="S1187" s="26">
        <v>11</v>
      </c>
      <c r="T1187" s="26">
        <v>6</v>
      </c>
      <c r="U1187" s="26">
        <v>18</v>
      </c>
      <c r="V1187" s="26">
        <v>1</v>
      </c>
      <c r="W1187" s="26"/>
    </row>
    <row r="1188" spans="1:23" x14ac:dyDescent="0.25">
      <c r="A1188" s="26" t="str">
        <f t="shared" si="183"/>
        <v>PRIMARIA</v>
      </c>
      <c r="B1188" s="26" t="str">
        <f>"09DPR2302X"</f>
        <v>09DPR2302X</v>
      </c>
      <c r="C1188" s="26" t="str">
        <f>"GRAL. JOSÉ MARIANO MONTERDE                                                                         "</f>
        <v xml:space="preserve">GRAL. JOSÉ MARIANO MONTERDE                                                                         </v>
      </c>
      <c r="D1188" s="26" t="str">
        <f>"JORNADA AMPLIADA"</f>
        <v>JORNADA AMPLIADA</v>
      </c>
      <c r="E1188" s="26" t="str">
        <f>"ZONA HABITACIONAL DEL H. COLEGIO MILITAR                                        "</f>
        <v xml:space="preserve">ZONA HABITACIONAL DEL H. COLEGIO MILITAR                                        </v>
      </c>
      <c r="F1188" s="26" t="str">
        <f>"SAN PEDRO MARTIR                                                                                                                            "</f>
        <v xml:space="preserve">SAN PEDRO MARTIR                                                                                                                            </v>
      </c>
      <c r="G1188" s="26" t="str">
        <f>"TLALPAN                                                                         "</f>
        <v xml:space="preserve">TLALPAN                                                                         </v>
      </c>
      <c r="H1188" s="26" t="str">
        <f>"449"</f>
        <v>449</v>
      </c>
      <c r="I1188" s="26" t="str">
        <f t="shared" si="184"/>
        <v>00</v>
      </c>
      <c r="J1188" s="26" t="str">
        <f>"44 "</f>
        <v xml:space="preserve">44 </v>
      </c>
      <c r="K1188" s="26" t="str">
        <f t="shared" si="189"/>
        <v>PR</v>
      </c>
      <c r="L1188" s="26" t="str">
        <f t="shared" si="190"/>
        <v>DGOSE</v>
      </c>
      <c r="M1188" s="26" t="str">
        <f t="shared" si="185"/>
        <v>FEDERAL</v>
      </c>
      <c r="N1188" s="26">
        <v>697</v>
      </c>
      <c r="O1188" s="26">
        <v>354</v>
      </c>
      <c r="P1188" s="26">
        <v>343</v>
      </c>
      <c r="Q1188" s="26">
        <v>18</v>
      </c>
      <c r="R1188" s="26">
        <v>1</v>
      </c>
      <c r="S1188" s="26">
        <v>18</v>
      </c>
      <c r="T1188" s="26">
        <v>10</v>
      </c>
      <c r="U1188" s="26">
        <v>29</v>
      </c>
      <c r="V1188" s="26">
        <v>1</v>
      </c>
      <c r="W1188" s="26" t="s">
        <v>2076</v>
      </c>
    </row>
    <row r="1189" spans="1:23" x14ac:dyDescent="0.25">
      <c r="A1189" s="26" t="str">
        <f t="shared" si="183"/>
        <v>PRIMARIA</v>
      </c>
      <c r="B1189" s="26" t="str">
        <f>"09DPR2303W"</f>
        <v>09DPR2303W</v>
      </c>
      <c r="C1189" s="26" t="str">
        <f>"VENUSTIANO CARRANZA                                                                                 "</f>
        <v xml:space="preserve">VENUSTIANO CARRANZA                                                                                 </v>
      </c>
      <c r="D1189" s="26" t="str">
        <f>"VESPERTINO"</f>
        <v>VESPERTINO</v>
      </c>
      <c r="E1189" s="26" t="str">
        <f>"AV VASCO DE QUIROGA 1401                                                        "</f>
        <v xml:space="preserve">AV VASCO DE QUIROGA 1401                                                        </v>
      </c>
      <c r="F1189" s="26" t="str">
        <f>"SANTA FE                                                                                                                                    "</f>
        <v xml:space="preserve">SANTA FE                                                                                                                                    </v>
      </c>
      <c r="G1189" s="26" t="str">
        <f>"ALVARO OBREGON                                                                  "</f>
        <v xml:space="preserve">ALVARO OBREGON                                                                  </v>
      </c>
      <c r="H1189" s="26" t="str">
        <f>"311"</f>
        <v>311</v>
      </c>
      <c r="I1189" s="26" t="str">
        <f t="shared" si="184"/>
        <v>00</v>
      </c>
      <c r="J1189" s="26" t="str">
        <f>"43 "</f>
        <v xml:space="preserve">43 </v>
      </c>
      <c r="K1189" s="26" t="str">
        <f t="shared" si="189"/>
        <v>PR</v>
      </c>
      <c r="L1189" s="26" t="str">
        <f t="shared" si="190"/>
        <v>DGOSE</v>
      </c>
      <c r="M1189" s="26" t="str">
        <f t="shared" si="185"/>
        <v>FEDERAL</v>
      </c>
      <c r="N1189" s="26">
        <v>193</v>
      </c>
      <c r="O1189" s="26">
        <v>96</v>
      </c>
      <c r="P1189" s="26">
        <v>97</v>
      </c>
      <c r="Q1189" s="26">
        <v>9</v>
      </c>
      <c r="R1189" s="26">
        <v>1</v>
      </c>
      <c r="S1189" s="26">
        <v>8</v>
      </c>
      <c r="T1189" s="26">
        <v>5</v>
      </c>
      <c r="U1189" s="26">
        <v>14</v>
      </c>
      <c r="V1189" s="26">
        <v>1</v>
      </c>
      <c r="W1189" s="26"/>
    </row>
    <row r="1190" spans="1:23" x14ac:dyDescent="0.25">
      <c r="A1190" s="26" t="str">
        <f t="shared" si="183"/>
        <v>PRIMARIA</v>
      </c>
      <c r="B1190" s="26" t="str">
        <f>"09DPR2305U"</f>
        <v>09DPR2305U</v>
      </c>
      <c r="C1190" s="26" t="str">
        <f>"REPUBLICA DE JAMAICA                                                                                "</f>
        <v xml:space="preserve">REPUBLICA DE JAMAICA                                                                                </v>
      </c>
      <c r="D1190" s="26" t="str">
        <f>"VESPERTINO"</f>
        <v>VESPERTINO</v>
      </c>
      <c r="E1190" s="26" t="str">
        <f>"JACARANDAS S/N                                                                  "</f>
        <v xml:space="preserve">JACARANDAS S/N                                                                  </v>
      </c>
      <c r="F1190" s="26" t="str">
        <f>"EL PIRUL                                                                                                                                    "</f>
        <v xml:space="preserve">EL PIRUL                                                                                                                                    </v>
      </c>
      <c r="G1190" s="26" t="str">
        <f>"ALVARO OBREGON                                                                  "</f>
        <v xml:space="preserve">ALVARO OBREGON                                                                  </v>
      </c>
      <c r="H1190" s="26" t="str">
        <f>"312"</f>
        <v>312</v>
      </c>
      <c r="I1190" s="26" t="str">
        <f t="shared" si="184"/>
        <v>00</v>
      </c>
      <c r="J1190" s="26" t="str">
        <f>"43 "</f>
        <v xml:space="preserve">43 </v>
      </c>
      <c r="K1190" s="26" t="str">
        <f t="shared" si="189"/>
        <v>PR</v>
      </c>
      <c r="L1190" s="26" t="str">
        <f t="shared" si="190"/>
        <v>DGOSE</v>
      </c>
      <c r="M1190" s="26" t="str">
        <f t="shared" si="185"/>
        <v>FEDERAL</v>
      </c>
      <c r="N1190" s="26">
        <v>165</v>
      </c>
      <c r="O1190" s="26">
        <v>66</v>
      </c>
      <c r="P1190" s="26">
        <v>99</v>
      </c>
      <c r="Q1190" s="26">
        <v>7</v>
      </c>
      <c r="R1190" s="26">
        <v>1</v>
      </c>
      <c r="S1190" s="26">
        <v>7</v>
      </c>
      <c r="T1190" s="26">
        <v>2</v>
      </c>
      <c r="U1190" s="26">
        <v>10</v>
      </c>
      <c r="V1190" s="26">
        <v>1</v>
      </c>
      <c r="W1190" s="26"/>
    </row>
    <row r="1191" spans="1:23" x14ac:dyDescent="0.25">
      <c r="A1191" s="26" t="str">
        <f t="shared" si="183"/>
        <v>PRIMARIA</v>
      </c>
      <c r="B1191" s="26" t="str">
        <f>"09DPR2309Q"</f>
        <v>09DPR2309Q</v>
      </c>
      <c r="C1191" s="26" t="str">
        <f>"MANUEL BUENDIA                                                                                      "</f>
        <v xml:space="preserve">MANUEL BUENDIA                                                                                      </v>
      </c>
      <c r="D1191" s="26" t="str">
        <f>"JORNADA AMPLIADA"</f>
        <v>JORNADA AMPLIADA</v>
      </c>
      <c r="E1191" s="26" t="str">
        <f>"AV SANTIAGO NO 2                                                                "</f>
        <v xml:space="preserve">AV SANTIAGO NO 2                                                                </v>
      </c>
      <c r="F1191" s="26" t="str">
        <f>"IZTACALCO                                                                                                                                   "</f>
        <v xml:space="preserve">IZTACALCO                                                                                                                                   </v>
      </c>
      <c r="G1191" s="26" t="str">
        <f>"IZTACALCO                                                                       "</f>
        <v xml:space="preserve">IZTACALCO                                                                       </v>
      </c>
      <c r="H1191" s="26" t="str">
        <f>"430"</f>
        <v>430</v>
      </c>
      <c r="I1191" s="26" t="str">
        <f t="shared" si="184"/>
        <v>00</v>
      </c>
      <c r="J1191" s="26" t="str">
        <f>"44 "</f>
        <v xml:space="preserve">44 </v>
      </c>
      <c r="K1191" s="26" t="str">
        <f t="shared" si="189"/>
        <v>PR</v>
      </c>
      <c r="L1191" s="26" t="str">
        <f t="shared" si="190"/>
        <v>DGOSE</v>
      </c>
      <c r="M1191" s="26" t="str">
        <f t="shared" si="185"/>
        <v>FEDERAL</v>
      </c>
      <c r="N1191" s="26">
        <v>379</v>
      </c>
      <c r="O1191" s="26">
        <v>210</v>
      </c>
      <c r="P1191" s="26">
        <v>169</v>
      </c>
      <c r="Q1191" s="26">
        <v>13</v>
      </c>
      <c r="R1191" s="26">
        <v>1</v>
      </c>
      <c r="S1191" s="26">
        <v>12</v>
      </c>
      <c r="T1191" s="26">
        <v>12</v>
      </c>
      <c r="U1191" s="26">
        <v>25</v>
      </c>
      <c r="V1191" s="26">
        <v>1</v>
      </c>
      <c r="W1191" s="26" t="s">
        <v>2076</v>
      </c>
    </row>
    <row r="1192" spans="1:23" x14ac:dyDescent="0.25">
      <c r="A1192" s="26" t="str">
        <f t="shared" si="183"/>
        <v>PRIMARIA</v>
      </c>
      <c r="B1192" s="26" t="str">
        <f>"09DPR2310F"</f>
        <v>09DPR2310F</v>
      </c>
      <c r="C1192" s="26" t="str">
        <f>"AFGANISTAN                                                                                          "</f>
        <v xml:space="preserve">AFGANISTAN                                                                                          </v>
      </c>
      <c r="D1192" s="26" t="str">
        <f>"JORNADA AMPLIADA"</f>
        <v>JORNADA AMPLIADA</v>
      </c>
      <c r="E1192" s="26" t="str">
        <f>"JUAN CARBONERO NUM 120                                                          "</f>
        <v xml:space="preserve">JUAN CARBONERO NUM 120                                                          </v>
      </c>
      <c r="F1192" s="26" t="str">
        <f>"CUCHILLA RAMOS MILLAN                                                                                                                       "</f>
        <v xml:space="preserve">CUCHILLA RAMOS MILLAN                                                                                                                       </v>
      </c>
      <c r="G1192" s="26" t="str">
        <f>"IZTACALCO                                                                       "</f>
        <v xml:space="preserve">IZTACALCO                                                                       </v>
      </c>
      <c r="H1192" s="26" t="str">
        <f>"428"</f>
        <v>428</v>
      </c>
      <c r="I1192" s="26" t="str">
        <f t="shared" si="184"/>
        <v>00</v>
      </c>
      <c r="J1192" s="26" t="str">
        <f>"44 "</f>
        <v xml:space="preserve">44 </v>
      </c>
      <c r="K1192" s="26" t="str">
        <f t="shared" si="189"/>
        <v>PR</v>
      </c>
      <c r="L1192" s="26" t="str">
        <f t="shared" si="190"/>
        <v>DGOSE</v>
      </c>
      <c r="M1192" s="26" t="str">
        <f t="shared" si="185"/>
        <v>FEDERAL</v>
      </c>
      <c r="N1192" s="26">
        <v>370</v>
      </c>
      <c r="O1192" s="26">
        <v>186</v>
      </c>
      <c r="P1192" s="26">
        <v>184</v>
      </c>
      <c r="Q1192" s="26">
        <v>12</v>
      </c>
      <c r="R1192" s="26">
        <v>1</v>
      </c>
      <c r="S1192" s="26">
        <v>12</v>
      </c>
      <c r="T1192" s="26">
        <v>11</v>
      </c>
      <c r="U1192" s="26">
        <v>24</v>
      </c>
      <c r="V1192" s="26">
        <v>1</v>
      </c>
      <c r="W1192" s="26" t="s">
        <v>2076</v>
      </c>
    </row>
    <row r="1193" spans="1:23" x14ac:dyDescent="0.25">
      <c r="A1193" s="26" t="str">
        <f t="shared" si="183"/>
        <v>PRIMARIA</v>
      </c>
      <c r="B1193" s="26" t="str">
        <f>"09DPR2311E"</f>
        <v>09DPR2311E</v>
      </c>
      <c r="C1193" s="26" t="str">
        <f>"REPUBLICA DE HAITI                                                                                  "</f>
        <v xml:space="preserve">REPUBLICA DE HAITI                                                                                  </v>
      </c>
      <c r="D1193" s="26" t="str">
        <f>"TIEMPO COMPLETO"</f>
        <v>TIEMPO COMPLETO</v>
      </c>
      <c r="E1193" s="26" t="str">
        <f>"CDA DE MIGUEL SILVA NUM 20                                                      "</f>
        <v xml:space="preserve">CDA DE MIGUEL SILVA NUM 20                                                      </v>
      </c>
      <c r="F1193" s="26" t="str">
        <f>"ARGENTINA ANTIGUA                                                                                                                           "</f>
        <v xml:space="preserve">ARGENTINA ANTIGUA                                                                                                                           </v>
      </c>
      <c r="G1193" s="26" t="str">
        <f>"MIGUEL HIDALGO                                                                  "</f>
        <v xml:space="preserve">MIGUEL HIDALGO                                                                  </v>
      </c>
      <c r="H1193" s="26" t="str">
        <f>"109"</f>
        <v>109</v>
      </c>
      <c r="I1193" s="26" t="str">
        <f t="shared" si="184"/>
        <v>00</v>
      </c>
      <c r="J1193" s="26" t="str">
        <f>"41 "</f>
        <v xml:space="preserve">41 </v>
      </c>
      <c r="K1193" s="26" t="str">
        <f t="shared" si="189"/>
        <v>PR</v>
      </c>
      <c r="L1193" s="26" t="str">
        <f t="shared" si="190"/>
        <v>DGOSE</v>
      </c>
      <c r="M1193" s="26" t="str">
        <f t="shared" si="185"/>
        <v>FEDERAL</v>
      </c>
      <c r="N1193" s="26">
        <v>335</v>
      </c>
      <c r="O1193" s="26">
        <v>170</v>
      </c>
      <c r="P1193" s="26">
        <v>165</v>
      </c>
      <c r="Q1193" s="26">
        <v>12</v>
      </c>
      <c r="R1193" s="26">
        <v>1</v>
      </c>
      <c r="S1193" s="26">
        <v>12</v>
      </c>
      <c r="T1193" s="26">
        <v>14</v>
      </c>
      <c r="U1193" s="26">
        <v>27</v>
      </c>
      <c r="V1193" s="26">
        <v>1</v>
      </c>
      <c r="W1193" s="26" t="s">
        <v>218</v>
      </c>
    </row>
    <row r="1194" spans="1:23" x14ac:dyDescent="0.25">
      <c r="A1194" s="26" t="str">
        <f t="shared" si="183"/>
        <v>PRIMARIA</v>
      </c>
      <c r="B1194" s="26" t="str">
        <f>"09DPR2312D"</f>
        <v>09DPR2312D</v>
      </c>
      <c r="C1194" s="26" t="str">
        <f>"REPUBLICA DE ARGELIA                                                                                "</f>
        <v xml:space="preserve">REPUBLICA DE ARGELIA                                                                                </v>
      </c>
      <c r="D1194" s="26" t="str">
        <f>"MATUTINO"</f>
        <v>MATUTINO</v>
      </c>
      <c r="E1194" s="26" t="str">
        <f>"AVENIDA APATLACO SIN NUMERO                                                     "</f>
        <v xml:space="preserve">AVENIDA APATLACO SIN NUMERO                                                     </v>
      </c>
      <c r="F1194" s="26" t="str">
        <f>"CAMPAMENTO 2 DE OCTUBRE                                                                                                                     "</f>
        <v xml:space="preserve">CAMPAMENTO 2 DE OCTUBRE                                                                                                                     </v>
      </c>
      <c r="G1194" s="26" t="str">
        <f>"IZTACALCO                                                                       "</f>
        <v xml:space="preserve">IZTACALCO                                                                       </v>
      </c>
      <c r="H1194" s="26" t="str">
        <f>"360"</f>
        <v>360</v>
      </c>
      <c r="I1194" s="26" t="str">
        <f t="shared" si="184"/>
        <v>00</v>
      </c>
      <c r="J1194" s="26" t="str">
        <f>"43 "</f>
        <v xml:space="preserve">43 </v>
      </c>
      <c r="K1194" s="26" t="str">
        <f t="shared" si="189"/>
        <v>PR</v>
      </c>
      <c r="L1194" s="26" t="str">
        <f t="shared" si="190"/>
        <v>DGOSE</v>
      </c>
      <c r="M1194" s="26" t="str">
        <f t="shared" si="185"/>
        <v>FEDERAL</v>
      </c>
      <c r="N1194" s="26">
        <v>311</v>
      </c>
      <c r="O1194" s="26">
        <v>159</v>
      </c>
      <c r="P1194" s="26">
        <v>152</v>
      </c>
      <c r="Q1194" s="26">
        <v>12</v>
      </c>
      <c r="R1194" s="26">
        <v>1</v>
      </c>
      <c r="S1194" s="26">
        <v>12</v>
      </c>
      <c r="T1194" s="26">
        <v>7</v>
      </c>
      <c r="U1194" s="26">
        <v>20</v>
      </c>
      <c r="V1194" s="26">
        <v>1</v>
      </c>
      <c r="W1194" s="26"/>
    </row>
    <row r="1195" spans="1:23" x14ac:dyDescent="0.25">
      <c r="A1195" s="26" t="str">
        <f t="shared" si="183"/>
        <v>PRIMARIA</v>
      </c>
      <c r="B1195" s="26" t="str">
        <f>"09DPR2313C"</f>
        <v>09DPR2313C</v>
      </c>
      <c r="C1195" s="26" t="str">
        <f>"ARTEMIO DE VALLE ARIZPE                                                                             "</f>
        <v xml:space="preserve">ARTEMIO DE VALLE ARIZPE                                                                             </v>
      </c>
      <c r="D1195" s="26" t="str">
        <f>"MATUTINO"</f>
        <v>MATUTINO</v>
      </c>
      <c r="E1195" s="26" t="str">
        <f>"PRIVADA CUCURPE No 10                                                           "</f>
        <v xml:space="preserve">PRIVADA CUCURPE No 10                                                           </v>
      </c>
      <c r="F1195" s="26" t="str">
        <f>"EL PARQUE                                                                                                                                   "</f>
        <v xml:space="preserve">EL PARQUE                                                                                                                                   </v>
      </c>
      <c r="G1195" s="26" t="str">
        <f>"VENUSTIANO CARRANZA                                                             "</f>
        <v xml:space="preserve">VENUSTIANO CARRANZA                                                             </v>
      </c>
      <c r="H1195" s="26" t="str">
        <f>"348"</f>
        <v>348</v>
      </c>
      <c r="I1195" s="26" t="str">
        <f t="shared" si="184"/>
        <v>00</v>
      </c>
      <c r="J1195" s="26" t="str">
        <f>"43 "</f>
        <v xml:space="preserve">43 </v>
      </c>
      <c r="K1195" s="26" t="str">
        <f t="shared" si="189"/>
        <v>PR</v>
      </c>
      <c r="L1195" s="26" t="str">
        <f t="shared" si="190"/>
        <v>DGOSE</v>
      </c>
      <c r="M1195" s="26" t="str">
        <f t="shared" si="185"/>
        <v>FEDERAL</v>
      </c>
      <c r="N1195" s="26">
        <v>532</v>
      </c>
      <c r="O1195" s="26">
        <v>274</v>
      </c>
      <c r="P1195" s="26">
        <v>258</v>
      </c>
      <c r="Q1195" s="26">
        <v>19</v>
      </c>
      <c r="R1195" s="26">
        <v>1</v>
      </c>
      <c r="S1195" s="26">
        <v>19</v>
      </c>
      <c r="T1195" s="26">
        <v>15</v>
      </c>
      <c r="U1195" s="26">
        <v>35</v>
      </c>
      <c r="V1195" s="26">
        <v>1</v>
      </c>
      <c r="W1195" s="26"/>
    </row>
    <row r="1196" spans="1:23" x14ac:dyDescent="0.25">
      <c r="A1196" s="26" t="str">
        <f t="shared" si="183"/>
        <v>PRIMARIA</v>
      </c>
      <c r="B1196" s="26" t="str">
        <f>"09DPR2314B"</f>
        <v>09DPR2314B</v>
      </c>
      <c r="C1196" s="26" t="str">
        <f>"FRAY BARTOLOME DE LAS CASAS                                                                         "</f>
        <v xml:space="preserve">FRAY BARTOLOME DE LAS CASAS                                                                         </v>
      </c>
      <c r="D1196" s="26" t="str">
        <f>"MATUTINO"</f>
        <v>MATUTINO</v>
      </c>
      <c r="E1196" s="26" t="str">
        <f>"CALLEJON DE STA. MARIA NO. 22                                                   "</f>
        <v xml:space="preserve">CALLEJON DE STA. MARIA NO. 22                                                   </v>
      </c>
      <c r="F1196" s="26" t="str">
        <f>"MAGDALENA ATLAZOLPA                                                                                                                         "</f>
        <v xml:space="preserve">MAGDALENA ATLAZOLPA                                                                                                                         </v>
      </c>
      <c r="G1196" s="26" t="str">
        <f>"IZTAPALAPA                                                                      "</f>
        <v xml:space="preserve">IZTAPALAPA                                                                      </v>
      </c>
      <c r="H1196" s="26" t="str">
        <f>"033"</f>
        <v>033</v>
      </c>
      <c r="I1196" s="26" t="str">
        <f t="shared" si="184"/>
        <v>00</v>
      </c>
      <c r="J1196" s="26" t="str">
        <f>"63 "</f>
        <v xml:space="preserve">63 </v>
      </c>
      <c r="K1196" s="26" t="str">
        <f>"IZ"</f>
        <v>IZ</v>
      </c>
      <c r="L1196" s="26" t="str">
        <f>"DGSEI"</f>
        <v>DGSEI</v>
      </c>
      <c r="M1196" s="26" t="str">
        <f t="shared" si="185"/>
        <v>FEDERAL</v>
      </c>
      <c r="N1196" s="26">
        <v>440</v>
      </c>
      <c r="O1196" s="26">
        <v>237</v>
      </c>
      <c r="P1196" s="26">
        <v>203</v>
      </c>
      <c r="Q1196" s="26">
        <v>17</v>
      </c>
      <c r="R1196" s="26">
        <v>1</v>
      </c>
      <c r="S1196" s="26">
        <v>17</v>
      </c>
      <c r="T1196" s="26">
        <v>7</v>
      </c>
      <c r="U1196" s="26">
        <v>25</v>
      </c>
      <c r="V1196" s="26">
        <v>1</v>
      </c>
      <c r="W1196" s="26"/>
    </row>
    <row r="1197" spans="1:23" x14ac:dyDescent="0.25">
      <c r="A1197" s="26" t="str">
        <f t="shared" si="183"/>
        <v>PRIMARIA</v>
      </c>
      <c r="B1197" s="26" t="str">
        <f>"09DPR2316Z"</f>
        <v>09DPR2316Z</v>
      </c>
      <c r="C1197" s="26" t="str">
        <f>"CENTENARIO DEL 47                                                                                   "</f>
        <v xml:space="preserve">CENTENARIO DEL 47                                                                                   </v>
      </c>
      <c r="D1197" s="26" t="str">
        <f>"VESPERTINO"</f>
        <v>VESPERTINO</v>
      </c>
      <c r="E1197" s="26" t="str">
        <f>"NORTE 70 NUM 5210                                                               "</f>
        <v xml:space="preserve">NORTE 70 NUM 5210                                                               </v>
      </c>
      <c r="F1197" s="26" t="str">
        <f>"BONDOJITO                                                                                                                                   "</f>
        <v xml:space="preserve">BONDOJITO                                                                                                                                   </v>
      </c>
      <c r="G1197" s="26" t="str">
        <f>"GUSTAVO A. MADERO                                                               "</f>
        <v xml:space="preserve">GUSTAVO A. MADERO                                                               </v>
      </c>
      <c r="H1197" s="26" t="str">
        <f>"251"</f>
        <v>251</v>
      </c>
      <c r="I1197" s="26" t="str">
        <f t="shared" si="184"/>
        <v>00</v>
      </c>
      <c r="J1197" s="26" t="str">
        <f>"42 "</f>
        <v xml:space="preserve">42 </v>
      </c>
      <c r="K1197" s="26" t="str">
        <f>"PR"</f>
        <v>PR</v>
      </c>
      <c r="L1197" s="26" t="str">
        <f>"DGOSE"</f>
        <v>DGOSE</v>
      </c>
      <c r="M1197" s="26" t="str">
        <f t="shared" si="185"/>
        <v>FEDERAL</v>
      </c>
      <c r="N1197" s="26">
        <v>54</v>
      </c>
      <c r="O1197" s="26">
        <v>27</v>
      </c>
      <c r="P1197" s="26">
        <v>27</v>
      </c>
      <c r="Q1197" s="26">
        <v>5</v>
      </c>
      <c r="R1197" s="26">
        <v>1</v>
      </c>
      <c r="S1197" s="26">
        <v>5</v>
      </c>
      <c r="T1197" s="26">
        <v>4</v>
      </c>
      <c r="U1197" s="26">
        <v>10</v>
      </c>
      <c r="V1197" s="26">
        <v>1</v>
      </c>
      <c r="W1197" s="26"/>
    </row>
    <row r="1198" spans="1:23" x14ac:dyDescent="0.25">
      <c r="A1198" s="26" t="str">
        <f t="shared" si="183"/>
        <v>PRIMARIA</v>
      </c>
      <c r="B1198" s="26" t="str">
        <f>"09DPR2317Z"</f>
        <v>09DPR2317Z</v>
      </c>
      <c r="C1198" s="26" t="str">
        <f>"EFRAINA ROCHA MARTINEZ                                                                              "</f>
        <v xml:space="preserve">EFRAINA ROCHA MARTINEZ                                                                              </v>
      </c>
      <c r="D1198" s="26" t="str">
        <f>"MATUTINO"</f>
        <v>MATUTINO</v>
      </c>
      <c r="E1198" s="26" t="str">
        <f>"ANDADOR JUANA DE ARCO NO. 1                                                     "</f>
        <v xml:space="preserve">ANDADOR JUANA DE ARCO NO. 1                                                     </v>
      </c>
      <c r="F1198" s="26" t="str">
        <f>"MARGARITA MAZA DE JUAREZ                                                                                                                    "</f>
        <v xml:space="preserve">MARGARITA MAZA DE JUAREZ                                                                                                                    </v>
      </c>
      <c r="G1198" s="26" t="str">
        <f>"IZTAPALAPA                                                                      "</f>
        <v xml:space="preserve">IZTAPALAPA                                                                      </v>
      </c>
      <c r="H1198" s="26" t="str">
        <f>"039"</f>
        <v>039</v>
      </c>
      <c r="I1198" s="26" t="str">
        <f t="shared" si="184"/>
        <v>00</v>
      </c>
      <c r="J1198" s="26" t="str">
        <f>"63 "</f>
        <v xml:space="preserve">63 </v>
      </c>
      <c r="K1198" s="26" t="str">
        <f>"IZ"</f>
        <v>IZ</v>
      </c>
      <c r="L1198" s="26" t="str">
        <f>"DGSEI"</f>
        <v>DGSEI</v>
      </c>
      <c r="M1198" s="26" t="str">
        <f t="shared" si="185"/>
        <v>FEDERAL</v>
      </c>
      <c r="N1198" s="26">
        <v>420</v>
      </c>
      <c r="O1198" s="26">
        <v>213</v>
      </c>
      <c r="P1198" s="26">
        <v>207</v>
      </c>
      <c r="Q1198" s="26">
        <v>12</v>
      </c>
      <c r="R1198" s="26">
        <v>1</v>
      </c>
      <c r="S1198" s="26">
        <v>12</v>
      </c>
      <c r="T1198" s="26">
        <v>8</v>
      </c>
      <c r="U1198" s="26">
        <v>21</v>
      </c>
      <c r="V1198" s="26">
        <v>1</v>
      </c>
      <c r="W1198" s="26"/>
    </row>
    <row r="1199" spans="1:23" x14ac:dyDescent="0.25">
      <c r="A1199" s="26" t="str">
        <f t="shared" si="183"/>
        <v>PRIMARIA</v>
      </c>
      <c r="B1199" s="26" t="str">
        <f>"09DPR2318Y"</f>
        <v>09DPR2318Y</v>
      </c>
      <c r="C1199" s="26" t="str">
        <f>"NIÑO JESUS GUARNEROS                                                                                "</f>
        <v xml:space="preserve">NIÑO JESUS GUARNEROS                                                                                </v>
      </c>
      <c r="D1199" s="26" t="str">
        <f>"TIEMPO COMPLETO"</f>
        <v>TIEMPO COMPLETO</v>
      </c>
      <c r="E1199" s="26" t="str">
        <f>"PROLG. PELUQUEROS S/N                                                           "</f>
        <v xml:space="preserve">PROLG. PELUQUEROS S/N                                                           </v>
      </c>
      <c r="F1199" s="26" t="str">
        <f>"MICHOACANA                                                                                                                                  "</f>
        <v xml:space="preserve">MICHOACANA                                                                                                                                  </v>
      </c>
      <c r="G1199" s="26" t="str">
        <f>"VENUSTIANO CARRANZA                                                             "</f>
        <v xml:space="preserve">VENUSTIANO CARRANZA                                                             </v>
      </c>
      <c r="H1199" s="26" t="str">
        <f>"419"</f>
        <v>419</v>
      </c>
      <c r="I1199" s="26" t="str">
        <f t="shared" si="184"/>
        <v>00</v>
      </c>
      <c r="J1199" s="26" t="str">
        <f>"44 "</f>
        <v xml:space="preserve">44 </v>
      </c>
      <c r="K1199" s="26" t="str">
        <f t="shared" ref="K1199:K1262" si="191">"PR"</f>
        <v>PR</v>
      </c>
      <c r="L1199" s="26" t="str">
        <f t="shared" ref="L1199:L1262" si="192">"DGOSE"</f>
        <v>DGOSE</v>
      </c>
      <c r="M1199" s="26" t="str">
        <f t="shared" si="185"/>
        <v>FEDERAL</v>
      </c>
      <c r="N1199" s="26">
        <v>470</v>
      </c>
      <c r="O1199" s="26">
        <v>233</v>
      </c>
      <c r="P1199" s="26">
        <v>237</v>
      </c>
      <c r="Q1199" s="26">
        <v>15</v>
      </c>
      <c r="R1199" s="26">
        <v>1</v>
      </c>
      <c r="S1199" s="26">
        <v>15</v>
      </c>
      <c r="T1199" s="26">
        <v>16</v>
      </c>
      <c r="U1199" s="26">
        <v>32</v>
      </c>
      <c r="V1199" s="26">
        <v>1</v>
      </c>
      <c r="W1199" s="26" t="s">
        <v>218</v>
      </c>
    </row>
    <row r="1200" spans="1:23" x14ac:dyDescent="0.25">
      <c r="A1200" s="26" t="str">
        <f t="shared" si="183"/>
        <v>PRIMARIA</v>
      </c>
      <c r="B1200" s="26" t="str">
        <f>"09DPR2319X"</f>
        <v>09DPR2319X</v>
      </c>
      <c r="C1200" s="26" t="str">
        <f>"NARCISO MENDOZA                                                                                     "</f>
        <v xml:space="preserve">NARCISO MENDOZA                                                                                     </v>
      </c>
      <c r="D1200" s="26" t="str">
        <f>"JORNADA AMPLIADA"</f>
        <v>JORNADA AMPLIADA</v>
      </c>
      <c r="E1200" s="26" t="str">
        <f>"PLATINO Y CANANEA S/N                                                           "</f>
        <v xml:space="preserve">PLATINO Y CANANEA S/N                                                           </v>
      </c>
      <c r="F1200" s="26" t="str">
        <f>"VALLE GOMEZ                                                                                                                                 "</f>
        <v xml:space="preserve">VALLE GOMEZ                                                                                                                                 </v>
      </c>
      <c r="G1200" s="26" t="str">
        <f>"VENUSTIANO CARRANZA                                                             "</f>
        <v xml:space="preserve">VENUSTIANO CARRANZA                                                             </v>
      </c>
      <c r="H1200" s="26" t="str">
        <f>"418"</f>
        <v>418</v>
      </c>
      <c r="I1200" s="26" t="str">
        <f t="shared" si="184"/>
        <v>00</v>
      </c>
      <c r="J1200" s="26" t="str">
        <f>"44 "</f>
        <v xml:space="preserve">44 </v>
      </c>
      <c r="K1200" s="26" t="str">
        <f t="shared" si="191"/>
        <v>PR</v>
      </c>
      <c r="L1200" s="26" t="str">
        <f t="shared" si="192"/>
        <v>DGOSE</v>
      </c>
      <c r="M1200" s="26" t="str">
        <f t="shared" si="185"/>
        <v>FEDERAL</v>
      </c>
      <c r="N1200" s="26">
        <v>391</v>
      </c>
      <c r="O1200" s="26">
        <v>205</v>
      </c>
      <c r="P1200" s="26">
        <v>186</v>
      </c>
      <c r="Q1200" s="26">
        <v>14</v>
      </c>
      <c r="R1200" s="26">
        <v>1</v>
      </c>
      <c r="S1200" s="26">
        <v>14</v>
      </c>
      <c r="T1200" s="26">
        <v>10</v>
      </c>
      <c r="U1200" s="26">
        <v>25</v>
      </c>
      <c r="V1200" s="26">
        <v>1</v>
      </c>
      <c r="W1200" s="26" t="s">
        <v>2076</v>
      </c>
    </row>
    <row r="1201" spans="1:23" x14ac:dyDescent="0.25">
      <c r="A1201" s="26" t="str">
        <f t="shared" si="183"/>
        <v>PRIMARIA</v>
      </c>
      <c r="B1201" s="26" t="str">
        <f>"09DPR2320M"</f>
        <v>09DPR2320M</v>
      </c>
      <c r="C1201" s="26" t="str">
        <f>"REPUBLICA DOMINICANA                                                                                "</f>
        <v xml:space="preserve">REPUBLICA DOMINICANA                                                                                </v>
      </c>
      <c r="D1201" s="26" t="str">
        <f>"VESPERTINO"</f>
        <v>VESPERTINO</v>
      </c>
      <c r="E1201" s="26" t="str">
        <f>"CONSTANCIA NUM 68                                                               "</f>
        <v xml:space="preserve">CONSTANCIA NUM 68                                                               </v>
      </c>
      <c r="F1201" s="26" t="str">
        <f>"MORELOS AMPLIACION                                                                                                                          "</f>
        <v xml:space="preserve">MORELOS AMPLIACION                                                                                                                          </v>
      </c>
      <c r="G1201" s="26" t="str">
        <f>"CUAUHTEMOC                                                                      "</f>
        <v xml:space="preserve">CUAUHTEMOC                                                                      </v>
      </c>
      <c r="H1201" s="26" t="str">
        <f>"216"</f>
        <v>216</v>
      </c>
      <c r="I1201" s="26" t="str">
        <f t="shared" si="184"/>
        <v>00</v>
      </c>
      <c r="J1201" s="26" t="str">
        <f>"42 "</f>
        <v xml:space="preserve">42 </v>
      </c>
      <c r="K1201" s="26" t="str">
        <f t="shared" si="191"/>
        <v>PR</v>
      </c>
      <c r="L1201" s="26" t="str">
        <f t="shared" si="192"/>
        <v>DGOSE</v>
      </c>
      <c r="M1201" s="26" t="str">
        <f t="shared" si="185"/>
        <v>FEDERAL</v>
      </c>
      <c r="N1201" s="26">
        <v>106</v>
      </c>
      <c r="O1201" s="26">
        <v>66</v>
      </c>
      <c r="P1201" s="26">
        <v>40</v>
      </c>
      <c r="Q1201" s="26">
        <v>10</v>
      </c>
      <c r="R1201" s="26">
        <v>0</v>
      </c>
      <c r="S1201" s="26">
        <v>7</v>
      </c>
      <c r="T1201" s="26">
        <v>5</v>
      </c>
      <c r="U1201" s="26">
        <v>12</v>
      </c>
      <c r="V1201" s="26">
        <v>1</v>
      </c>
      <c r="W1201" s="26"/>
    </row>
    <row r="1202" spans="1:23" x14ac:dyDescent="0.25">
      <c r="A1202" s="26" t="str">
        <f t="shared" si="183"/>
        <v>PRIMARIA</v>
      </c>
      <c r="B1202" s="26" t="str">
        <f>"09DPR2321L"</f>
        <v>09DPR2321L</v>
      </c>
      <c r="C1202" s="26" t="str">
        <f>"IGNACIO M. ALTAMIRANO                                                                               "</f>
        <v xml:space="preserve">IGNACIO M. ALTAMIRANO                                                                               </v>
      </c>
      <c r="D1202" s="26" t="str">
        <f>"MATUTINO"</f>
        <v>MATUTINO</v>
      </c>
      <c r="E1202" s="26" t="str">
        <f>"HEROES NUM. 27                                                                  "</f>
        <v xml:space="preserve">HEROES NUM. 27                                                                  </v>
      </c>
      <c r="F1202" s="26" t="str">
        <f>"GUERRERO                                                                                                                                    "</f>
        <v xml:space="preserve">GUERRERO                                                                                                                                    </v>
      </c>
      <c r="G1202" s="26" t="str">
        <f>"CUAUHTEMOC                                                                      "</f>
        <v xml:space="preserve">CUAUHTEMOC                                                                      </v>
      </c>
      <c r="H1202" s="26" t="str">
        <f>"218"</f>
        <v>218</v>
      </c>
      <c r="I1202" s="26" t="str">
        <f t="shared" si="184"/>
        <v>00</v>
      </c>
      <c r="J1202" s="26" t="str">
        <f>"42 "</f>
        <v xml:space="preserve">42 </v>
      </c>
      <c r="K1202" s="26" t="str">
        <f t="shared" si="191"/>
        <v>PR</v>
      </c>
      <c r="L1202" s="26" t="str">
        <f t="shared" si="192"/>
        <v>DGOSE</v>
      </c>
      <c r="M1202" s="26" t="str">
        <f t="shared" si="185"/>
        <v>FEDERAL</v>
      </c>
      <c r="N1202" s="26">
        <v>331</v>
      </c>
      <c r="O1202" s="26">
        <v>163</v>
      </c>
      <c r="P1202" s="26">
        <v>168</v>
      </c>
      <c r="Q1202" s="26">
        <v>12</v>
      </c>
      <c r="R1202" s="26">
        <v>1</v>
      </c>
      <c r="S1202" s="26">
        <v>12</v>
      </c>
      <c r="T1202" s="26">
        <v>11</v>
      </c>
      <c r="U1202" s="26">
        <v>24</v>
      </c>
      <c r="V1202" s="26">
        <v>1</v>
      </c>
      <c r="W1202" s="26"/>
    </row>
    <row r="1203" spans="1:23" x14ac:dyDescent="0.25">
      <c r="A1203" s="26" t="str">
        <f t="shared" si="183"/>
        <v>PRIMARIA</v>
      </c>
      <c r="B1203" s="26" t="str">
        <f>"09DPR2324I"</f>
        <v>09DPR2324I</v>
      </c>
      <c r="C1203" s="26" t="str">
        <f>"30 DE SEPTIEMBRE                                                                                    "</f>
        <v xml:space="preserve">30 DE SEPTIEMBRE                                                                                    </v>
      </c>
      <c r="D1203" s="26" t="str">
        <f>"JORNADA AMPLIADA"</f>
        <v>JORNADA AMPLIADA</v>
      </c>
      <c r="E1203" s="26" t="str">
        <f>"SARAZATE NO. 94                                                                 "</f>
        <v xml:space="preserve">SARAZATE NO. 94                                                                 </v>
      </c>
      <c r="F1203" s="26" t="str">
        <f>"PERALVILLO                                                                                                                                  "</f>
        <v xml:space="preserve">PERALVILLO                                                                                                                                  </v>
      </c>
      <c r="G1203" s="26" t="str">
        <f>"CUAUHTEMOC                                                                      "</f>
        <v xml:space="preserve">CUAUHTEMOC                                                                      </v>
      </c>
      <c r="H1203" s="26" t="str">
        <f>"118"</f>
        <v>118</v>
      </c>
      <c r="I1203" s="26" t="str">
        <f t="shared" si="184"/>
        <v>00</v>
      </c>
      <c r="J1203" s="26" t="str">
        <f>"41 "</f>
        <v xml:space="preserve">41 </v>
      </c>
      <c r="K1203" s="26" t="str">
        <f t="shared" si="191"/>
        <v>PR</v>
      </c>
      <c r="L1203" s="26" t="str">
        <f t="shared" si="192"/>
        <v>DGOSE</v>
      </c>
      <c r="M1203" s="26" t="str">
        <f t="shared" si="185"/>
        <v>FEDERAL</v>
      </c>
      <c r="N1203" s="26">
        <v>260</v>
      </c>
      <c r="O1203" s="26">
        <v>127</v>
      </c>
      <c r="P1203" s="26">
        <v>133</v>
      </c>
      <c r="Q1203" s="26">
        <v>11</v>
      </c>
      <c r="R1203" s="26">
        <v>1</v>
      </c>
      <c r="S1203" s="26">
        <v>11</v>
      </c>
      <c r="T1203" s="26">
        <v>11</v>
      </c>
      <c r="U1203" s="26">
        <v>23</v>
      </c>
      <c r="V1203" s="26">
        <v>1</v>
      </c>
      <c r="W1203" s="26" t="s">
        <v>2076</v>
      </c>
    </row>
    <row r="1204" spans="1:23" x14ac:dyDescent="0.25">
      <c r="A1204" s="26" t="str">
        <f t="shared" si="183"/>
        <v>PRIMARIA</v>
      </c>
      <c r="B1204" s="26" t="str">
        <f>"09DPR2327F"</f>
        <v>09DPR2327F</v>
      </c>
      <c r="C1204" s="26" t="str">
        <f>"MTRO. SALVADOR M. LIMA                                                                              "</f>
        <v xml:space="preserve">MTRO. SALVADOR M. LIMA                                                                              </v>
      </c>
      <c r="D1204" s="26" t="str">
        <f>"JORNADA AMPLIADA"</f>
        <v>JORNADA AMPLIADA</v>
      </c>
      <c r="E1204" s="26" t="str">
        <f>"AV DEL TRABAJO 258                                                              "</f>
        <v xml:space="preserve">AV DEL TRABAJO 258                                                              </v>
      </c>
      <c r="F1204" s="26" t="str">
        <f>"MORELOS                                                                                                                                     "</f>
        <v xml:space="preserve">MORELOS                                                                                                                                     </v>
      </c>
      <c r="G1204" s="26" t="str">
        <f>"VENUSTIANO CARRANZA                                                             "</f>
        <v xml:space="preserve">VENUSTIANO CARRANZA                                                             </v>
      </c>
      <c r="H1204" s="26" t="str">
        <f>"418"</f>
        <v>418</v>
      </c>
      <c r="I1204" s="26" t="str">
        <f t="shared" si="184"/>
        <v>00</v>
      </c>
      <c r="J1204" s="26" t="str">
        <f>"44 "</f>
        <v xml:space="preserve">44 </v>
      </c>
      <c r="K1204" s="26" t="str">
        <f t="shared" si="191"/>
        <v>PR</v>
      </c>
      <c r="L1204" s="26" t="str">
        <f t="shared" si="192"/>
        <v>DGOSE</v>
      </c>
      <c r="M1204" s="26" t="str">
        <f t="shared" si="185"/>
        <v>FEDERAL</v>
      </c>
      <c r="N1204" s="26">
        <v>177</v>
      </c>
      <c r="O1204" s="26">
        <v>104</v>
      </c>
      <c r="P1204" s="26">
        <v>73</v>
      </c>
      <c r="Q1204" s="26">
        <v>6</v>
      </c>
      <c r="R1204" s="26">
        <v>1</v>
      </c>
      <c r="S1204" s="26">
        <v>6</v>
      </c>
      <c r="T1204" s="26">
        <v>6</v>
      </c>
      <c r="U1204" s="26">
        <v>13</v>
      </c>
      <c r="V1204" s="26">
        <v>1</v>
      </c>
      <c r="W1204" s="26" t="s">
        <v>2076</v>
      </c>
    </row>
    <row r="1205" spans="1:23" x14ac:dyDescent="0.25">
      <c r="A1205" s="26" t="str">
        <f t="shared" si="183"/>
        <v>PRIMARIA</v>
      </c>
      <c r="B1205" s="26" t="str">
        <f>"09DPR2329D"</f>
        <v>09DPR2329D</v>
      </c>
      <c r="C1205" s="26" t="str">
        <f>"PROFR. DAVID VILCHIS                                                                                "</f>
        <v xml:space="preserve">PROFR. DAVID VILCHIS                                                                                </v>
      </c>
      <c r="D1205" s="26" t="str">
        <f>"JORNADA AMPLIADA"</f>
        <v>JORNADA AMPLIADA</v>
      </c>
      <c r="E1205" s="26" t="str">
        <f>"SCHUBERT NUM 210                                                                "</f>
        <v xml:space="preserve">SCHUBERT NUM 210                                                                </v>
      </c>
      <c r="F1205" s="26" t="str">
        <f>"PERALVILLO                                                                                                                                  "</f>
        <v xml:space="preserve">PERALVILLO                                                                                                                                  </v>
      </c>
      <c r="G1205" s="26" t="str">
        <f t="shared" ref="G1205:G1212" si="193">"CUAUHTEMOC                                                                      "</f>
        <v xml:space="preserve">CUAUHTEMOC                                                                      </v>
      </c>
      <c r="H1205" s="26" t="str">
        <f>"118"</f>
        <v>118</v>
      </c>
      <c r="I1205" s="26" t="str">
        <f t="shared" si="184"/>
        <v>00</v>
      </c>
      <c r="J1205" s="26" t="str">
        <f>"41 "</f>
        <v xml:space="preserve">41 </v>
      </c>
      <c r="K1205" s="26" t="str">
        <f t="shared" si="191"/>
        <v>PR</v>
      </c>
      <c r="L1205" s="26" t="str">
        <f t="shared" si="192"/>
        <v>DGOSE</v>
      </c>
      <c r="M1205" s="26" t="str">
        <f t="shared" si="185"/>
        <v>FEDERAL</v>
      </c>
      <c r="N1205" s="26">
        <v>305</v>
      </c>
      <c r="O1205" s="26">
        <v>156</v>
      </c>
      <c r="P1205" s="26">
        <v>149</v>
      </c>
      <c r="Q1205" s="26">
        <v>12</v>
      </c>
      <c r="R1205" s="26">
        <v>1</v>
      </c>
      <c r="S1205" s="26">
        <v>10</v>
      </c>
      <c r="T1205" s="26">
        <v>10</v>
      </c>
      <c r="U1205" s="26">
        <v>21</v>
      </c>
      <c r="V1205" s="26">
        <v>1</v>
      </c>
      <c r="W1205" s="26" t="s">
        <v>2076</v>
      </c>
    </row>
    <row r="1206" spans="1:23" x14ac:dyDescent="0.25">
      <c r="A1206" s="26" t="str">
        <f t="shared" si="183"/>
        <v>PRIMARIA</v>
      </c>
      <c r="B1206" s="26" t="str">
        <f>"09DPR2330T"</f>
        <v>09DPR2330T</v>
      </c>
      <c r="C1206" s="26" t="str">
        <f>"IGNACIO M. ALTAMIRANO                                                                               "</f>
        <v xml:space="preserve">IGNACIO M. ALTAMIRANO                                                                               </v>
      </c>
      <c r="D1206" s="26" t="str">
        <f>"VESPERTINO"</f>
        <v>VESPERTINO</v>
      </c>
      <c r="E1206" s="26" t="str">
        <f>"HEROES NUM. 27                                                                  "</f>
        <v xml:space="preserve">HEROES NUM. 27                                                                  </v>
      </c>
      <c r="F1206" s="26" t="str">
        <f>"GUERRERO                                                                                                                                    "</f>
        <v xml:space="preserve">GUERRERO                                                                                                                                    </v>
      </c>
      <c r="G1206" s="26" t="str">
        <f t="shared" si="193"/>
        <v xml:space="preserve">CUAUHTEMOC                                                                      </v>
      </c>
      <c r="H1206" s="26" t="str">
        <f>"218"</f>
        <v>218</v>
      </c>
      <c r="I1206" s="26" t="str">
        <f t="shared" si="184"/>
        <v>00</v>
      </c>
      <c r="J1206" s="26" t="str">
        <f>"42 "</f>
        <v xml:space="preserve">42 </v>
      </c>
      <c r="K1206" s="26" t="str">
        <f t="shared" si="191"/>
        <v>PR</v>
      </c>
      <c r="L1206" s="26" t="str">
        <f t="shared" si="192"/>
        <v>DGOSE</v>
      </c>
      <c r="M1206" s="26" t="str">
        <f t="shared" si="185"/>
        <v>FEDERAL</v>
      </c>
      <c r="N1206" s="26">
        <v>115</v>
      </c>
      <c r="O1206" s="26">
        <v>66</v>
      </c>
      <c r="P1206" s="26">
        <v>49</v>
      </c>
      <c r="Q1206" s="26">
        <v>7</v>
      </c>
      <c r="R1206" s="26">
        <v>1</v>
      </c>
      <c r="S1206" s="26">
        <v>7</v>
      </c>
      <c r="T1206" s="26">
        <v>6</v>
      </c>
      <c r="U1206" s="26">
        <v>14</v>
      </c>
      <c r="V1206" s="26">
        <v>1</v>
      </c>
      <c r="W1206" s="26"/>
    </row>
    <row r="1207" spans="1:23" x14ac:dyDescent="0.25">
      <c r="A1207" s="26" t="str">
        <f t="shared" si="183"/>
        <v>PRIMARIA</v>
      </c>
      <c r="B1207" s="26" t="str">
        <f>"09DPR2331S"</f>
        <v>09DPR2331S</v>
      </c>
      <c r="C1207" s="26" t="str">
        <f>"REPUBLICA DOMINICANA                                                                                "</f>
        <v xml:space="preserve">REPUBLICA DOMINICANA                                                                                </v>
      </c>
      <c r="D1207" s="26" t="str">
        <f>"MATUTINO"</f>
        <v>MATUTINO</v>
      </c>
      <c r="E1207" s="26" t="str">
        <f>"CONSTANCIA NO 68                                                                "</f>
        <v xml:space="preserve">CONSTANCIA NO 68                                                                </v>
      </c>
      <c r="F1207" s="26" t="str">
        <f>"MORELOS AMPLIACION                                                                                                                          "</f>
        <v xml:space="preserve">MORELOS AMPLIACION                                                                                                                          </v>
      </c>
      <c r="G1207" s="26" t="str">
        <f t="shared" si="193"/>
        <v xml:space="preserve">CUAUHTEMOC                                                                      </v>
      </c>
      <c r="H1207" s="26" t="str">
        <f>"216"</f>
        <v>216</v>
      </c>
      <c r="I1207" s="26" t="str">
        <f t="shared" si="184"/>
        <v>00</v>
      </c>
      <c r="J1207" s="26" t="str">
        <f>"42 "</f>
        <v xml:space="preserve">42 </v>
      </c>
      <c r="K1207" s="26" t="str">
        <f t="shared" si="191"/>
        <v>PR</v>
      </c>
      <c r="L1207" s="26" t="str">
        <f t="shared" si="192"/>
        <v>DGOSE</v>
      </c>
      <c r="M1207" s="26" t="str">
        <f t="shared" si="185"/>
        <v>FEDERAL</v>
      </c>
      <c r="N1207" s="26">
        <v>281</v>
      </c>
      <c r="O1207" s="26">
        <v>150</v>
      </c>
      <c r="P1207" s="26">
        <v>131</v>
      </c>
      <c r="Q1207" s="26">
        <v>12</v>
      </c>
      <c r="R1207" s="26">
        <v>1</v>
      </c>
      <c r="S1207" s="26">
        <v>12</v>
      </c>
      <c r="T1207" s="26">
        <v>8</v>
      </c>
      <c r="U1207" s="26">
        <v>21</v>
      </c>
      <c r="V1207" s="26">
        <v>1</v>
      </c>
      <c r="W1207" s="26"/>
    </row>
    <row r="1208" spans="1:23" x14ac:dyDescent="0.25">
      <c r="A1208" s="26" t="str">
        <f t="shared" si="183"/>
        <v>PRIMARIA</v>
      </c>
      <c r="B1208" s="26" t="str">
        <f>"09DPR2334P"</f>
        <v>09DPR2334P</v>
      </c>
      <c r="C1208" s="26" t="str">
        <f>"ESTADO DE DURANGO                                                                                   "</f>
        <v xml:space="preserve">ESTADO DE DURANGO                                                                                   </v>
      </c>
      <c r="D1208" s="26" t="str">
        <f>"JORNADA AMPLIADA"</f>
        <v>JORNADA AMPLIADA</v>
      </c>
      <c r="E1208" s="26" t="str">
        <f>"FCO GONZALEZ BOCANEGRA NO. 74                                                   "</f>
        <v xml:space="preserve">FCO GONZALEZ BOCANEGRA NO. 74                                                   </v>
      </c>
      <c r="F1208" s="26" t="str">
        <f>"MORELOS AMPLIACION                                                                                                                          "</f>
        <v xml:space="preserve">MORELOS AMPLIACION                                                                                                                          </v>
      </c>
      <c r="G1208" s="26" t="str">
        <f t="shared" si="193"/>
        <v xml:space="preserve">CUAUHTEMOC                                                                      </v>
      </c>
      <c r="H1208" s="26" t="str">
        <f>"120"</f>
        <v>120</v>
      </c>
      <c r="I1208" s="26" t="str">
        <f t="shared" si="184"/>
        <v>00</v>
      </c>
      <c r="J1208" s="26" t="str">
        <f>"41 "</f>
        <v xml:space="preserve">41 </v>
      </c>
      <c r="K1208" s="26" t="str">
        <f t="shared" si="191"/>
        <v>PR</v>
      </c>
      <c r="L1208" s="26" t="str">
        <f t="shared" si="192"/>
        <v>DGOSE</v>
      </c>
      <c r="M1208" s="26" t="str">
        <f t="shared" si="185"/>
        <v>FEDERAL</v>
      </c>
      <c r="N1208" s="26">
        <v>400</v>
      </c>
      <c r="O1208" s="26">
        <v>199</v>
      </c>
      <c r="P1208" s="26">
        <v>201</v>
      </c>
      <c r="Q1208" s="26">
        <v>14</v>
      </c>
      <c r="R1208" s="26">
        <v>1</v>
      </c>
      <c r="S1208" s="26">
        <v>13</v>
      </c>
      <c r="T1208" s="26">
        <v>11</v>
      </c>
      <c r="U1208" s="26">
        <v>25</v>
      </c>
      <c r="V1208" s="26">
        <v>1</v>
      </c>
      <c r="W1208" s="26" t="s">
        <v>2076</v>
      </c>
    </row>
    <row r="1209" spans="1:23" x14ac:dyDescent="0.25">
      <c r="A1209" s="26" t="str">
        <f t="shared" si="183"/>
        <v>PRIMARIA</v>
      </c>
      <c r="B1209" s="26" t="str">
        <f>"09DPR2335O"</f>
        <v>09DPR2335O</v>
      </c>
      <c r="C1209" s="26" t="str">
        <f>"MARCELINO DAVALOS                                                                                   "</f>
        <v xml:space="preserve">MARCELINO DAVALOS                                                                                   </v>
      </c>
      <c r="D1209" s="26" t="str">
        <f>"JORNADA AMPLIADA"</f>
        <v>JORNADA AMPLIADA</v>
      </c>
      <c r="E1209" s="26" t="str">
        <f>"ACADEMIA NUM. 12                                                                "</f>
        <v xml:space="preserve">ACADEMIA NUM. 12                                                                </v>
      </c>
      <c r="F1209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1209" s="26" t="str">
        <f t="shared" si="193"/>
        <v xml:space="preserve">CUAUHTEMOC                                                                      </v>
      </c>
      <c r="H1209" s="26" t="str">
        <f>"130"</f>
        <v>130</v>
      </c>
      <c r="I1209" s="26" t="str">
        <f t="shared" si="184"/>
        <v>00</v>
      </c>
      <c r="J1209" s="26" t="str">
        <f>"41 "</f>
        <v xml:space="preserve">41 </v>
      </c>
      <c r="K1209" s="26" t="str">
        <f t="shared" si="191"/>
        <v>PR</v>
      </c>
      <c r="L1209" s="26" t="str">
        <f t="shared" si="192"/>
        <v>DGOSE</v>
      </c>
      <c r="M1209" s="26" t="str">
        <f t="shared" si="185"/>
        <v>FEDERAL</v>
      </c>
      <c r="N1209" s="26">
        <v>201</v>
      </c>
      <c r="O1209" s="26">
        <v>101</v>
      </c>
      <c r="P1209" s="26">
        <v>100</v>
      </c>
      <c r="Q1209" s="26">
        <v>10</v>
      </c>
      <c r="R1209" s="26">
        <v>1</v>
      </c>
      <c r="S1209" s="26">
        <v>7</v>
      </c>
      <c r="T1209" s="26">
        <v>8</v>
      </c>
      <c r="U1209" s="26">
        <v>16</v>
      </c>
      <c r="V1209" s="26">
        <v>1</v>
      </c>
      <c r="W1209" s="26" t="s">
        <v>2076</v>
      </c>
    </row>
    <row r="1210" spans="1:23" x14ac:dyDescent="0.25">
      <c r="A1210" s="26" t="str">
        <f t="shared" si="183"/>
        <v>PRIMARIA</v>
      </c>
      <c r="B1210" s="26" t="str">
        <f>"09DPR2336N"</f>
        <v>09DPR2336N</v>
      </c>
      <c r="C1210" s="26" t="str">
        <f>"LIC. MIGUEL SERRANO                                                                                 "</f>
        <v xml:space="preserve">LIC. MIGUEL SERRANO                                                                                 </v>
      </c>
      <c r="D1210" s="26" t="str">
        <f>"MATUTINO"</f>
        <v>MATUTINO</v>
      </c>
      <c r="E1210" s="26" t="str">
        <f>"REPUBLICA DE CUBA NUM 95                                                        "</f>
        <v xml:space="preserve">REPUBLICA DE CUBA NUM 95                                                        </v>
      </c>
      <c r="F1210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1210" s="26" t="str">
        <f t="shared" si="193"/>
        <v xml:space="preserve">CUAUHTEMOC                                                                      </v>
      </c>
      <c r="H1210" s="26" t="str">
        <f>"222"</f>
        <v>222</v>
      </c>
      <c r="I1210" s="26" t="str">
        <f t="shared" si="184"/>
        <v>00</v>
      </c>
      <c r="J1210" s="26" t="str">
        <f>"42 "</f>
        <v xml:space="preserve">42 </v>
      </c>
      <c r="K1210" s="26" t="str">
        <f t="shared" si="191"/>
        <v>PR</v>
      </c>
      <c r="L1210" s="26" t="str">
        <f t="shared" si="192"/>
        <v>DGOSE</v>
      </c>
      <c r="M1210" s="26" t="str">
        <f t="shared" si="185"/>
        <v>FEDERAL</v>
      </c>
      <c r="N1210" s="26">
        <v>213</v>
      </c>
      <c r="O1210" s="26">
        <v>98</v>
      </c>
      <c r="P1210" s="26">
        <v>115</v>
      </c>
      <c r="Q1210" s="26">
        <v>9</v>
      </c>
      <c r="R1210" s="26">
        <v>1</v>
      </c>
      <c r="S1210" s="26">
        <v>9</v>
      </c>
      <c r="T1210" s="26">
        <v>7</v>
      </c>
      <c r="U1210" s="26">
        <v>17</v>
      </c>
      <c r="V1210" s="26">
        <v>1</v>
      </c>
      <c r="W1210" s="26"/>
    </row>
    <row r="1211" spans="1:23" x14ac:dyDescent="0.25">
      <c r="A1211" s="26" t="str">
        <f t="shared" si="183"/>
        <v>PRIMARIA</v>
      </c>
      <c r="B1211" s="26" t="str">
        <f>"09DPR2338L"</f>
        <v>09DPR2338L</v>
      </c>
      <c r="C1211" s="26" t="str">
        <f>"LIC. MIGUEL SERRANO                                                                                 "</f>
        <v xml:space="preserve">LIC. MIGUEL SERRANO                                                                                 </v>
      </c>
      <c r="D1211" s="26" t="str">
        <f>"VESPERTINO"</f>
        <v>VESPERTINO</v>
      </c>
      <c r="E1211" s="26" t="str">
        <f>"REPUBLICA DE CUBA NUM 95                                                        "</f>
        <v xml:space="preserve">REPUBLICA DE CUBA NUM 95                                                        </v>
      </c>
      <c r="F1211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1211" s="26" t="str">
        <f t="shared" si="193"/>
        <v xml:space="preserve">CUAUHTEMOC                                                                      </v>
      </c>
      <c r="H1211" s="26" t="str">
        <f>"222"</f>
        <v>222</v>
      </c>
      <c r="I1211" s="26" t="str">
        <f t="shared" si="184"/>
        <v>00</v>
      </c>
      <c r="J1211" s="26" t="str">
        <f>"42 "</f>
        <v xml:space="preserve">42 </v>
      </c>
      <c r="K1211" s="26" t="str">
        <f t="shared" si="191"/>
        <v>PR</v>
      </c>
      <c r="L1211" s="26" t="str">
        <f t="shared" si="192"/>
        <v>DGOSE</v>
      </c>
      <c r="M1211" s="26" t="str">
        <f t="shared" si="185"/>
        <v>FEDERAL</v>
      </c>
      <c r="N1211" s="26">
        <v>101</v>
      </c>
      <c r="O1211" s="26">
        <v>46</v>
      </c>
      <c r="P1211" s="26">
        <v>55</v>
      </c>
      <c r="Q1211" s="26">
        <v>6</v>
      </c>
      <c r="R1211" s="26">
        <v>1</v>
      </c>
      <c r="S1211" s="26">
        <v>6</v>
      </c>
      <c r="T1211" s="26">
        <v>6</v>
      </c>
      <c r="U1211" s="26">
        <v>13</v>
      </c>
      <c r="V1211" s="26">
        <v>1</v>
      </c>
      <c r="W1211" s="26"/>
    </row>
    <row r="1212" spans="1:23" x14ac:dyDescent="0.25">
      <c r="A1212" s="26" t="str">
        <f t="shared" si="183"/>
        <v>PRIMARIA</v>
      </c>
      <c r="B1212" s="26" t="str">
        <f>"09DPR2339K"</f>
        <v>09DPR2339K</v>
      </c>
      <c r="C1212" s="26" t="str">
        <f>"GABINO BARREDA                                                                                      "</f>
        <v xml:space="preserve">GABINO BARREDA                                                                                      </v>
      </c>
      <c r="D1212" s="26" t="str">
        <f>"VESPERTINO"</f>
        <v>VESPERTINO</v>
      </c>
      <c r="E1212" s="26" t="str">
        <f>"ALHONDIGA Y SOLEDAD SIN NUMERO                                                  "</f>
        <v xml:space="preserve">ALHONDIGA Y SOLEDAD SIN NUMERO                                                  </v>
      </c>
      <c r="F1212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1212" s="26" t="str">
        <f t="shared" si="193"/>
        <v xml:space="preserve">CUAUHTEMOC                                                                      </v>
      </c>
      <c r="H1212" s="26" t="str">
        <f>"224"</f>
        <v>224</v>
      </c>
      <c r="I1212" s="26" t="str">
        <f t="shared" si="184"/>
        <v>00</v>
      </c>
      <c r="J1212" s="26" t="str">
        <f>"42 "</f>
        <v xml:space="preserve">42 </v>
      </c>
      <c r="K1212" s="26" t="str">
        <f t="shared" si="191"/>
        <v>PR</v>
      </c>
      <c r="L1212" s="26" t="str">
        <f t="shared" si="192"/>
        <v>DGOSE</v>
      </c>
      <c r="M1212" s="26" t="str">
        <f t="shared" si="185"/>
        <v>FEDERAL</v>
      </c>
      <c r="N1212" s="26">
        <v>142</v>
      </c>
      <c r="O1212" s="26">
        <v>74</v>
      </c>
      <c r="P1212" s="26">
        <v>68</v>
      </c>
      <c r="Q1212" s="26">
        <v>6</v>
      </c>
      <c r="R1212" s="26">
        <v>1</v>
      </c>
      <c r="S1212" s="26">
        <v>6</v>
      </c>
      <c r="T1212" s="26">
        <v>7</v>
      </c>
      <c r="U1212" s="26">
        <v>14</v>
      </c>
      <c r="V1212" s="26">
        <v>1</v>
      </c>
      <c r="W1212" s="26"/>
    </row>
    <row r="1213" spans="1:23" x14ac:dyDescent="0.25">
      <c r="A1213" s="26" t="str">
        <f t="shared" si="183"/>
        <v>PRIMARIA</v>
      </c>
      <c r="B1213" s="26" t="str">
        <f>"09DPR2340Z"</f>
        <v>09DPR2340Z</v>
      </c>
      <c r="C1213" s="26" t="str">
        <f>"BATALLON DE SAN BLAS                                                                                "</f>
        <v xml:space="preserve">BATALLON DE SAN BLAS                                                                                </v>
      </c>
      <c r="D1213" s="26" t="str">
        <f>"JORNADA AMPLIADA"</f>
        <v>JORNADA AMPLIADA</v>
      </c>
      <c r="E1213" s="26" t="str">
        <f>"ALUMINIO Y CIENEGUILLAS S/N                                                     "</f>
        <v xml:space="preserve">ALUMINIO Y CIENEGUILLAS S/N                                                     </v>
      </c>
      <c r="F1213" s="26" t="str">
        <f>"FELIPE ANGELES                                                                                                                              "</f>
        <v xml:space="preserve">FELIPE ANGELES                                                                                                                              </v>
      </c>
      <c r="G1213" s="26" t="str">
        <f>"VENUSTIANO CARRANZA                                                             "</f>
        <v xml:space="preserve">VENUSTIANO CARRANZA                                                             </v>
      </c>
      <c r="H1213" s="26" t="str">
        <f>"420"</f>
        <v>420</v>
      </c>
      <c r="I1213" s="26" t="str">
        <f t="shared" si="184"/>
        <v>00</v>
      </c>
      <c r="J1213" s="26" t="str">
        <f>"44 "</f>
        <v xml:space="preserve">44 </v>
      </c>
      <c r="K1213" s="26" t="str">
        <f t="shared" si="191"/>
        <v>PR</v>
      </c>
      <c r="L1213" s="26" t="str">
        <f t="shared" si="192"/>
        <v>DGOSE</v>
      </c>
      <c r="M1213" s="26" t="str">
        <f t="shared" si="185"/>
        <v>FEDERAL</v>
      </c>
      <c r="N1213" s="26">
        <v>327</v>
      </c>
      <c r="O1213" s="26">
        <v>177</v>
      </c>
      <c r="P1213" s="26">
        <v>150</v>
      </c>
      <c r="Q1213" s="26">
        <v>11</v>
      </c>
      <c r="R1213" s="26">
        <v>1</v>
      </c>
      <c r="S1213" s="26">
        <v>11</v>
      </c>
      <c r="T1213" s="26">
        <v>6</v>
      </c>
      <c r="U1213" s="26">
        <v>18</v>
      </c>
      <c r="V1213" s="26">
        <v>1</v>
      </c>
      <c r="W1213" s="26" t="s">
        <v>2076</v>
      </c>
    </row>
    <row r="1214" spans="1:23" x14ac:dyDescent="0.25">
      <c r="A1214" s="26" t="str">
        <f t="shared" si="183"/>
        <v>PRIMARIA</v>
      </c>
      <c r="B1214" s="26" t="str">
        <f>"09DPR2342Y"</f>
        <v>09DPR2342Y</v>
      </c>
      <c r="C1214" s="26" t="str">
        <f>"RODOLFO MENENDEZ                                                                                    "</f>
        <v xml:space="preserve">RODOLFO MENENDEZ                                                                                    </v>
      </c>
      <c r="D1214" s="26" t="str">
        <f>"VESPERTINO"</f>
        <v>VESPERTINO</v>
      </c>
      <c r="E1214" s="26" t="str">
        <f>"SAN ILDEFONSO NUM. 59                                                           "</f>
        <v xml:space="preserve">SAN ILDEFONSO NUM. 59                                                           </v>
      </c>
      <c r="F1214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1214" s="26" t="str">
        <f>"CUAUHTEMOC                                                                      "</f>
        <v xml:space="preserve">CUAUHTEMOC                                                                      </v>
      </c>
      <c r="H1214" s="26" t="str">
        <f>"222"</f>
        <v>222</v>
      </c>
      <c r="I1214" s="26" t="str">
        <f t="shared" si="184"/>
        <v>00</v>
      </c>
      <c r="J1214" s="26" t="str">
        <f>"42 "</f>
        <v xml:space="preserve">42 </v>
      </c>
      <c r="K1214" s="26" t="str">
        <f t="shared" si="191"/>
        <v>PR</v>
      </c>
      <c r="L1214" s="26" t="str">
        <f t="shared" si="192"/>
        <v>DGOSE</v>
      </c>
      <c r="M1214" s="26" t="str">
        <f t="shared" si="185"/>
        <v>FEDERAL</v>
      </c>
      <c r="N1214" s="26">
        <v>86</v>
      </c>
      <c r="O1214" s="26">
        <v>48</v>
      </c>
      <c r="P1214" s="26">
        <v>38</v>
      </c>
      <c r="Q1214" s="26">
        <v>6</v>
      </c>
      <c r="R1214" s="26">
        <v>1</v>
      </c>
      <c r="S1214" s="26">
        <v>6</v>
      </c>
      <c r="T1214" s="26">
        <v>4</v>
      </c>
      <c r="U1214" s="26">
        <v>11</v>
      </c>
      <c r="V1214" s="26">
        <v>1</v>
      </c>
      <c r="W1214" s="26"/>
    </row>
    <row r="1215" spans="1:23" x14ac:dyDescent="0.25">
      <c r="A1215" s="26" t="str">
        <f t="shared" si="183"/>
        <v>PRIMARIA</v>
      </c>
      <c r="B1215" s="26" t="str">
        <f>"09DPR2343X"</f>
        <v>09DPR2343X</v>
      </c>
      <c r="C1215" s="26" t="str">
        <f>"SARA MANZANO                                                                                        "</f>
        <v xml:space="preserve">SARA MANZANO                                                                                        </v>
      </c>
      <c r="D1215" s="26" t="str">
        <f>"TIEMPO COMPLETO"</f>
        <v>TIEMPO COMPLETO</v>
      </c>
      <c r="E1215" s="26" t="str">
        <f>"CARMEN NUM 63                                                                   "</f>
        <v xml:space="preserve">CARMEN NUM 63                                                                   </v>
      </c>
      <c r="F1215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1215" s="26" t="str">
        <f>"CUAUHTEMOC                                                                      "</f>
        <v xml:space="preserve">CUAUHTEMOC                                                                      </v>
      </c>
      <c r="H1215" s="26" t="str">
        <f>"120"</f>
        <v>120</v>
      </c>
      <c r="I1215" s="26" t="str">
        <f t="shared" si="184"/>
        <v>00</v>
      </c>
      <c r="J1215" s="26" t="str">
        <f>"41 "</f>
        <v xml:space="preserve">41 </v>
      </c>
      <c r="K1215" s="26" t="str">
        <f t="shared" si="191"/>
        <v>PR</v>
      </c>
      <c r="L1215" s="26" t="str">
        <f t="shared" si="192"/>
        <v>DGOSE</v>
      </c>
      <c r="M1215" s="26" t="str">
        <f t="shared" si="185"/>
        <v>FEDERAL</v>
      </c>
      <c r="N1215" s="26">
        <v>274</v>
      </c>
      <c r="O1215" s="26">
        <v>130</v>
      </c>
      <c r="P1215" s="26">
        <v>144</v>
      </c>
      <c r="Q1215" s="26">
        <v>9</v>
      </c>
      <c r="R1215" s="26">
        <v>1</v>
      </c>
      <c r="S1215" s="26">
        <v>9</v>
      </c>
      <c r="T1215" s="26">
        <v>11</v>
      </c>
      <c r="U1215" s="26">
        <v>21</v>
      </c>
      <c r="V1215" s="26">
        <v>1</v>
      </c>
      <c r="W1215" s="26" t="s">
        <v>218</v>
      </c>
    </row>
    <row r="1216" spans="1:23" x14ac:dyDescent="0.25">
      <c r="A1216" s="26" t="str">
        <f t="shared" si="183"/>
        <v>PRIMARIA</v>
      </c>
      <c r="B1216" s="26" t="str">
        <f>"09DPR2345V"</f>
        <v>09DPR2345V</v>
      </c>
      <c r="C1216" s="26" t="str">
        <f>"GUADALUPE CENICEROS DE ZAVALETA                                                                     "</f>
        <v xml:space="preserve">GUADALUPE CENICEROS DE ZAVALETA                                                                     </v>
      </c>
      <c r="D1216" s="26" t="str">
        <f>"VESPERTINO"</f>
        <v>VESPERTINO</v>
      </c>
      <c r="E1216" s="26" t="str">
        <f>"REP DE BOLIVIA NO 56                                                            "</f>
        <v xml:space="preserve">REP DE BOLIVIA NO 56                                                            </v>
      </c>
      <c r="F1216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1216" s="26" t="str">
        <f>"CUAUHTEMOC                                                                      "</f>
        <v xml:space="preserve">CUAUHTEMOC                                                                      </v>
      </c>
      <c r="H1216" s="26" t="str">
        <f>"216"</f>
        <v>216</v>
      </c>
      <c r="I1216" s="26" t="str">
        <f t="shared" si="184"/>
        <v>00</v>
      </c>
      <c r="J1216" s="26" t="str">
        <f>"42 "</f>
        <v xml:space="preserve">42 </v>
      </c>
      <c r="K1216" s="26" t="str">
        <f t="shared" si="191"/>
        <v>PR</v>
      </c>
      <c r="L1216" s="26" t="str">
        <f t="shared" si="192"/>
        <v>DGOSE</v>
      </c>
      <c r="M1216" s="26" t="str">
        <f t="shared" si="185"/>
        <v>FEDERAL</v>
      </c>
      <c r="N1216" s="26">
        <v>170</v>
      </c>
      <c r="O1216" s="26">
        <v>91</v>
      </c>
      <c r="P1216" s="26">
        <v>79</v>
      </c>
      <c r="Q1216" s="26">
        <v>12</v>
      </c>
      <c r="R1216" s="26">
        <v>1</v>
      </c>
      <c r="S1216" s="26">
        <v>10</v>
      </c>
      <c r="T1216" s="26">
        <v>7</v>
      </c>
      <c r="U1216" s="26">
        <v>18</v>
      </c>
      <c r="V1216" s="26">
        <v>1</v>
      </c>
      <c r="W1216" s="26"/>
    </row>
    <row r="1217" spans="1:23" x14ac:dyDescent="0.25">
      <c r="A1217" s="26" t="str">
        <f t="shared" si="183"/>
        <v>PRIMARIA</v>
      </c>
      <c r="B1217" s="26" t="str">
        <f>"09DPR2346U"</f>
        <v>09DPR2346U</v>
      </c>
      <c r="C1217" s="26" t="str">
        <f>"GUADALUPE CENICEROS DE ZAVALETA                                                                     "</f>
        <v xml:space="preserve">GUADALUPE CENICEROS DE ZAVALETA                                                                     </v>
      </c>
      <c r="D1217" s="26" t="str">
        <f>"MATUTINO"</f>
        <v>MATUTINO</v>
      </c>
      <c r="E1217" s="26" t="str">
        <f>"REP DE BOLIVIA NO 56                                                            "</f>
        <v xml:space="preserve">REP DE BOLIVIA NO 56                                                            </v>
      </c>
      <c r="F1217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1217" s="26" t="str">
        <f>"CUAUHTEMOC                                                                      "</f>
        <v xml:space="preserve">CUAUHTEMOC                                                                      </v>
      </c>
      <c r="H1217" s="26" t="str">
        <f>"216"</f>
        <v>216</v>
      </c>
      <c r="I1217" s="26" t="str">
        <f t="shared" si="184"/>
        <v>00</v>
      </c>
      <c r="J1217" s="26" t="str">
        <f>"42 "</f>
        <v xml:space="preserve">42 </v>
      </c>
      <c r="K1217" s="26" t="str">
        <f t="shared" si="191"/>
        <v>PR</v>
      </c>
      <c r="L1217" s="26" t="str">
        <f t="shared" si="192"/>
        <v>DGOSE</v>
      </c>
      <c r="M1217" s="26" t="str">
        <f t="shared" si="185"/>
        <v>FEDERAL</v>
      </c>
      <c r="N1217" s="26">
        <v>223</v>
      </c>
      <c r="O1217" s="26">
        <v>121</v>
      </c>
      <c r="P1217" s="26">
        <v>102</v>
      </c>
      <c r="Q1217" s="26">
        <v>10</v>
      </c>
      <c r="R1217" s="26">
        <v>1</v>
      </c>
      <c r="S1217" s="26">
        <v>10</v>
      </c>
      <c r="T1217" s="26">
        <v>7</v>
      </c>
      <c r="U1217" s="26">
        <v>18</v>
      </c>
      <c r="V1217" s="26">
        <v>1</v>
      </c>
      <c r="W1217" s="26"/>
    </row>
    <row r="1218" spans="1:23" x14ac:dyDescent="0.25">
      <c r="A1218" s="26" t="str">
        <f t="shared" ref="A1218:A1281" si="194">"PRIMARIA"</f>
        <v>PRIMARIA</v>
      </c>
      <c r="B1218" s="26" t="str">
        <f>"09DPR2348S"</f>
        <v>09DPR2348S</v>
      </c>
      <c r="C1218" s="26" t="str">
        <f>"FRAY MELCHOR DE TALAMANTES                                                                          "</f>
        <v xml:space="preserve">FRAY MELCHOR DE TALAMANTES                                                                          </v>
      </c>
      <c r="D1218" s="26" t="str">
        <f>"JORNADA AMPLIADA"</f>
        <v>JORNADA AMPLIADA</v>
      </c>
      <c r="E1218" s="26" t="str">
        <f>"FERR DE CINTURA S/N Y LECUMBERRI                                                "</f>
        <v xml:space="preserve">FERR DE CINTURA S/N Y LECUMBERRI                                                </v>
      </c>
      <c r="F1218" s="26" t="str">
        <f>"MORELOS                                                                                                                                     "</f>
        <v xml:space="preserve">MORELOS                                                                                                                                     </v>
      </c>
      <c r="G1218" s="26" t="str">
        <f>"VENUSTIANO CARRANZA                                                             "</f>
        <v xml:space="preserve">VENUSTIANO CARRANZA                                                             </v>
      </c>
      <c r="H1218" s="26" t="str">
        <f>"418"</f>
        <v>418</v>
      </c>
      <c r="I1218" s="26" t="str">
        <f t="shared" ref="I1218:I1281" si="195">"00"</f>
        <v>00</v>
      </c>
      <c r="J1218" s="26" t="str">
        <f>"44 "</f>
        <v xml:space="preserve">44 </v>
      </c>
      <c r="K1218" s="26" t="str">
        <f t="shared" si="191"/>
        <v>PR</v>
      </c>
      <c r="L1218" s="26" t="str">
        <f t="shared" si="192"/>
        <v>DGOSE</v>
      </c>
      <c r="M1218" s="26" t="str">
        <f t="shared" ref="M1218:M1281" si="196">"FEDERAL"</f>
        <v>FEDERAL</v>
      </c>
      <c r="N1218" s="26">
        <v>360</v>
      </c>
      <c r="O1218" s="26">
        <v>177</v>
      </c>
      <c r="P1218" s="26">
        <v>183</v>
      </c>
      <c r="Q1218" s="26">
        <v>12</v>
      </c>
      <c r="R1218" s="26">
        <v>1</v>
      </c>
      <c r="S1218" s="26">
        <v>12</v>
      </c>
      <c r="T1218" s="26">
        <v>8</v>
      </c>
      <c r="U1218" s="26">
        <v>21</v>
      </c>
      <c r="V1218" s="26">
        <v>1</v>
      </c>
      <c r="W1218" s="26" t="s">
        <v>2076</v>
      </c>
    </row>
    <row r="1219" spans="1:23" x14ac:dyDescent="0.25">
      <c r="A1219" s="26" t="str">
        <f t="shared" si="194"/>
        <v>PRIMARIA</v>
      </c>
      <c r="B1219" s="26" t="str">
        <f>"09DPR2352E"</f>
        <v>09DPR2352E</v>
      </c>
      <c r="C1219" s="26" t="str">
        <f>"PENSIONES                                                                                           "</f>
        <v xml:space="preserve">PENSIONES                                                                                           </v>
      </c>
      <c r="D1219" s="26" t="str">
        <f>"JORNADA AMPLIADA"</f>
        <v>JORNADA AMPLIADA</v>
      </c>
      <c r="E1219" s="26" t="str">
        <f>"IGNACIO RAMIREZ NUM 6                                                           "</f>
        <v xml:space="preserve">IGNACIO RAMIREZ NUM 6                                                           </v>
      </c>
      <c r="F1219" s="26" t="str">
        <f>"TABACALERA                                                                                                                                  "</f>
        <v xml:space="preserve">TABACALERA                                                                                                                                  </v>
      </c>
      <c r="G1219" s="26" t="str">
        <f>"CUAUHTEMOC                                                                      "</f>
        <v xml:space="preserve">CUAUHTEMOC                                                                      </v>
      </c>
      <c r="H1219" s="26" t="str">
        <f>"127"</f>
        <v>127</v>
      </c>
      <c r="I1219" s="26" t="str">
        <f t="shared" si="195"/>
        <v>00</v>
      </c>
      <c r="J1219" s="26" t="str">
        <f>"41 "</f>
        <v xml:space="preserve">41 </v>
      </c>
      <c r="K1219" s="26" t="str">
        <f t="shared" si="191"/>
        <v>PR</v>
      </c>
      <c r="L1219" s="26" t="str">
        <f t="shared" si="192"/>
        <v>DGOSE</v>
      </c>
      <c r="M1219" s="26" t="str">
        <f t="shared" si="196"/>
        <v>FEDERAL</v>
      </c>
      <c r="N1219" s="26">
        <v>240</v>
      </c>
      <c r="O1219" s="26">
        <v>119</v>
      </c>
      <c r="P1219" s="26">
        <v>121</v>
      </c>
      <c r="Q1219" s="26">
        <v>12</v>
      </c>
      <c r="R1219" s="26">
        <v>1</v>
      </c>
      <c r="S1219" s="26">
        <v>12</v>
      </c>
      <c r="T1219" s="26">
        <v>10</v>
      </c>
      <c r="U1219" s="26">
        <v>23</v>
      </c>
      <c r="V1219" s="26">
        <v>1</v>
      </c>
      <c r="W1219" s="26" t="s">
        <v>2076</v>
      </c>
    </row>
    <row r="1220" spans="1:23" x14ac:dyDescent="0.25">
      <c r="A1220" s="26" t="str">
        <f t="shared" si="194"/>
        <v>PRIMARIA</v>
      </c>
      <c r="B1220" s="26" t="str">
        <f>"09DPR2354C"</f>
        <v>09DPR2354C</v>
      </c>
      <c r="C1220" s="26" t="str">
        <f>"REPUBLICA DE ARGENTINA                                                                              "</f>
        <v xml:space="preserve">REPUBLICA DE ARGENTINA                                                                              </v>
      </c>
      <c r="D1220" s="26" t="str">
        <f>"JORNADA AMPLIADA"</f>
        <v>JORNADA AMPLIADA</v>
      </c>
      <c r="E1220" s="26" t="str">
        <f>"REPUBLICA DE ARGENTINA NOS. 68 Y 70                                             "</f>
        <v xml:space="preserve">REPUBLICA DE ARGENTINA NOS. 68 Y 70                                             </v>
      </c>
      <c r="F1220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1220" s="26" t="str">
        <f>"CUAUHTEMOC                                                                      "</f>
        <v xml:space="preserve">CUAUHTEMOC                                                                      </v>
      </c>
      <c r="H1220" s="26" t="str">
        <f>"120"</f>
        <v>120</v>
      </c>
      <c r="I1220" s="26" t="str">
        <f t="shared" si="195"/>
        <v>00</v>
      </c>
      <c r="J1220" s="26" t="str">
        <f>"41 "</f>
        <v xml:space="preserve">41 </v>
      </c>
      <c r="K1220" s="26" t="str">
        <f t="shared" si="191"/>
        <v>PR</v>
      </c>
      <c r="L1220" s="26" t="str">
        <f t="shared" si="192"/>
        <v>DGOSE</v>
      </c>
      <c r="M1220" s="26" t="str">
        <f t="shared" si="196"/>
        <v>FEDERAL</v>
      </c>
      <c r="N1220" s="26">
        <v>362</v>
      </c>
      <c r="O1220" s="26">
        <v>207</v>
      </c>
      <c r="P1220" s="26">
        <v>155</v>
      </c>
      <c r="Q1220" s="26">
        <v>14</v>
      </c>
      <c r="R1220" s="26">
        <v>1</v>
      </c>
      <c r="S1220" s="26">
        <v>14</v>
      </c>
      <c r="T1220" s="26">
        <v>11</v>
      </c>
      <c r="U1220" s="26">
        <v>26</v>
      </c>
      <c r="V1220" s="26">
        <v>1</v>
      </c>
      <c r="W1220" s="26" t="s">
        <v>2076</v>
      </c>
    </row>
    <row r="1221" spans="1:23" x14ac:dyDescent="0.25">
      <c r="A1221" s="26" t="str">
        <f t="shared" si="194"/>
        <v>PRIMARIA</v>
      </c>
      <c r="B1221" s="26" t="str">
        <f>"09DPR2355B"</f>
        <v>09DPR2355B</v>
      </c>
      <c r="C1221" s="26" t="str">
        <f>"ESTADO DE QUINTANA ROO                                                                              "</f>
        <v xml:space="preserve">ESTADO DE QUINTANA ROO                                                                              </v>
      </c>
      <c r="D1221" s="26" t="str">
        <f>"JORNADA AMPLIADA"</f>
        <v>JORNADA AMPLIADA</v>
      </c>
      <c r="E1221" s="26" t="str">
        <f>"LAGO WINNIPEG NUM. 7                                                            "</f>
        <v xml:space="preserve">LAGO WINNIPEG NUM. 7                                                            </v>
      </c>
      <c r="F1221" s="26" t="str">
        <f>"PENSIL NORTE                                                                                                                                "</f>
        <v xml:space="preserve">PENSIL NORTE                                                                                                                                </v>
      </c>
      <c r="G1221" s="26" t="str">
        <f>"MIGUEL HIDALGO                                                                  "</f>
        <v xml:space="preserve">MIGUEL HIDALGO                                                                  </v>
      </c>
      <c r="H1221" s="26" t="str">
        <f>"116"</f>
        <v>116</v>
      </c>
      <c r="I1221" s="26" t="str">
        <f t="shared" si="195"/>
        <v>00</v>
      </c>
      <c r="J1221" s="26" t="str">
        <f>"41 "</f>
        <v xml:space="preserve">41 </v>
      </c>
      <c r="K1221" s="26" t="str">
        <f t="shared" si="191"/>
        <v>PR</v>
      </c>
      <c r="L1221" s="26" t="str">
        <f t="shared" si="192"/>
        <v>DGOSE</v>
      </c>
      <c r="M1221" s="26" t="str">
        <f t="shared" si="196"/>
        <v>FEDERAL</v>
      </c>
      <c r="N1221" s="26">
        <v>398</v>
      </c>
      <c r="O1221" s="26">
        <v>209</v>
      </c>
      <c r="P1221" s="26">
        <v>189</v>
      </c>
      <c r="Q1221" s="26">
        <v>17</v>
      </c>
      <c r="R1221" s="26">
        <v>1</v>
      </c>
      <c r="S1221" s="26">
        <v>17</v>
      </c>
      <c r="T1221" s="26">
        <v>14</v>
      </c>
      <c r="U1221" s="26">
        <v>32</v>
      </c>
      <c r="V1221" s="26">
        <v>1</v>
      </c>
      <c r="W1221" s="26" t="s">
        <v>2076</v>
      </c>
    </row>
    <row r="1222" spans="1:23" x14ac:dyDescent="0.25">
      <c r="A1222" s="26" t="str">
        <f t="shared" si="194"/>
        <v>PRIMARIA</v>
      </c>
      <c r="B1222" s="26" t="str">
        <f>"09DPR2357Z"</f>
        <v>09DPR2357Z</v>
      </c>
      <c r="C1222" s="26" t="str">
        <f>"LIC. PONCIANO ARRIAGA                                                                               "</f>
        <v xml:space="preserve">LIC. PONCIANO ARRIAGA                                                                               </v>
      </c>
      <c r="D1222" s="26" t="str">
        <f>"MATUTINO"</f>
        <v>MATUTINO</v>
      </c>
      <c r="E1222" s="26" t="str">
        <f>"JESUS MARIA NUM. 5                                                              "</f>
        <v xml:space="preserve">JESUS MARIA NUM. 5                                                              </v>
      </c>
      <c r="F1222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1222" s="26" t="str">
        <f t="shared" ref="G1222:G1228" si="197">"CUAUHTEMOC                                                                      "</f>
        <v xml:space="preserve">CUAUHTEMOC                                                                      </v>
      </c>
      <c r="H1222" s="26" t="str">
        <f>"224"</f>
        <v>224</v>
      </c>
      <c r="I1222" s="26" t="str">
        <f t="shared" si="195"/>
        <v>00</v>
      </c>
      <c r="J1222" s="26" t="str">
        <f>"42 "</f>
        <v xml:space="preserve">42 </v>
      </c>
      <c r="K1222" s="26" t="str">
        <f t="shared" si="191"/>
        <v>PR</v>
      </c>
      <c r="L1222" s="26" t="str">
        <f t="shared" si="192"/>
        <v>DGOSE</v>
      </c>
      <c r="M1222" s="26" t="str">
        <f t="shared" si="196"/>
        <v>FEDERAL</v>
      </c>
      <c r="N1222" s="26">
        <v>167</v>
      </c>
      <c r="O1222" s="26">
        <v>90</v>
      </c>
      <c r="P1222" s="26">
        <v>77</v>
      </c>
      <c r="Q1222" s="26">
        <v>6</v>
      </c>
      <c r="R1222" s="26">
        <v>1</v>
      </c>
      <c r="S1222" s="26">
        <v>6</v>
      </c>
      <c r="T1222" s="26">
        <v>5</v>
      </c>
      <c r="U1222" s="26">
        <v>12</v>
      </c>
      <c r="V1222" s="26">
        <v>1</v>
      </c>
      <c r="W1222" s="26"/>
    </row>
    <row r="1223" spans="1:23" x14ac:dyDescent="0.25">
      <c r="A1223" s="26" t="str">
        <f t="shared" si="194"/>
        <v>PRIMARIA</v>
      </c>
      <c r="B1223" s="26" t="str">
        <f>"09DPR2361M"</f>
        <v>09DPR2361M</v>
      </c>
      <c r="C1223" s="26" t="str">
        <f>"RODOLFO MENENDEZ                                                                                    "</f>
        <v xml:space="preserve">RODOLFO MENENDEZ                                                                                    </v>
      </c>
      <c r="D1223" s="26" t="str">
        <f>"MATUTINO"</f>
        <v>MATUTINO</v>
      </c>
      <c r="E1223" s="26" t="str">
        <f>"SAN ILDEFONSO NUM. 59                                                           "</f>
        <v xml:space="preserve">SAN ILDEFONSO NUM. 59                                                           </v>
      </c>
      <c r="F1223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1223" s="26" t="str">
        <f t="shared" si="197"/>
        <v xml:space="preserve">CUAUHTEMOC                                                                      </v>
      </c>
      <c r="H1223" s="26" t="str">
        <f>"222"</f>
        <v>222</v>
      </c>
      <c r="I1223" s="26" t="str">
        <f t="shared" si="195"/>
        <v>00</v>
      </c>
      <c r="J1223" s="26" t="str">
        <f>"42 "</f>
        <v xml:space="preserve">42 </v>
      </c>
      <c r="K1223" s="26" t="str">
        <f t="shared" si="191"/>
        <v>PR</v>
      </c>
      <c r="L1223" s="26" t="str">
        <f t="shared" si="192"/>
        <v>DGOSE</v>
      </c>
      <c r="M1223" s="26" t="str">
        <f t="shared" si="196"/>
        <v>FEDERAL</v>
      </c>
      <c r="N1223" s="26">
        <v>261</v>
      </c>
      <c r="O1223" s="26">
        <v>144</v>
      </c>
      <c r="P1223" s="26">
        <v>117</v>
      </c>
      <c r="Q1223" s="26">
        <v>12</v>
      </c>
      <c r="R1223" s="26">
        <v>1</v>
      </c>
      <c r="S1223" s="26">
        <v>12</v>
      </c>
      <c r="T1223" s="26">
        <v>8</v>
      </c>
      <c r="U1223" s="26">
        <v>21</v>
      </c>
      <c r="V1223" s="26">
        <v>1</v>
      </c>
      <c r="W1223" s="26"/>
    </row>
    <row r="1224" spans="1:23" x14ac:dyDescent="0.25">
      <c r="A1224" s="26" t="str">
        <f t="shared" si="194"/>
        <v>PRIMARIA</v>
      </c>
      <c r="B1224" s="26" t="str">
        <f>"09DPR2362L"</f>
        <v>09DPR2362L</v>
      </c>
      <c r="C1224" s="26" t="str">
        <f>"REPUBLICA DE LIBANO                                                                                 "</f>
        <v xml:space="preserve">REPUBLICA DE LIBANO                                                                                 </v>
      </c>
      <c r="D1224" s="26" t="str">
        <f>"JORNADA AMPLIADA"</f>
        <v>JORNADA AMPLIADA</v>
      </c>
      <c r="E1224" s="26" t="str">
        <f>"LAS CRUCES NO 45                                                                "</f>
        <v xml:space="preserve">LAS CRUCES NO 45                                                                </v>
      </c>
      <c r="F1224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1224" s="26" t="str">
        <f t="shared" si="197"/>
        <v xml:space="preserve">CUAUHTEMOC                                                                      </v>
      </c>
      <c r="H1224" s="26" t="str">
        <f>"130"</f>
        <v>130</v>
      </c>
      <c r="I1224" s="26" t="str">
        <f t="shared" si="195"/>
        <v>00</v>
      </c>
      <c r="J1224" s="26" t="str">
        <f>"41 "</f>
        <v xml:space="preserve">41 </v>
      </c>
      <c r="K1224" s="26" t="str">
        <f t="shared" si="191"/>
        <v>PR</v>
      </c>
      <c r="L1224" s="26" t="str">
        <f t="shared" si="192"/>
        <v>DGOSE</v>
      </c>
      <c r="M1224" s="26" t="str">
        <f t="shared" si="196"/>
        <v>FEDERAL</v>
      </c>
      <c r="N1224" s="26">
        <v>365</v>
      </c>
      <c r="O1224" s="26">
        <v>191</v>
      </c>
      <c r="P1224" s="26">
        <v>174</v>
      </c>
      <c r="Q1224" s="26">
        <v>13</v>
      </c>
      <c r="R1224" s="26">
        <v>1</v>
      </c>
      <c r="S1224" s="26">
        <v>13</v>
      </c>
      <c r="T1224" s="26">
        <v>9</v>
      </c>
      <c r="U1224" s="26">
        <v>23</v>
      </c>
      <c r="V1224" s="26">
        <v>1</v>
      </c>
      <c r="W1224" s="26" t="s">
        <v>2076</v>
      </c>
    </row>
    <row r="1225" spans="1:23" x14ac:dyDescent="0.25">
      <c r="A1225" s="26" t="str">
        <f t="shared" si="194"/>
        <v>PRIMARIA</v>
      </c>
      <c r="B1225" s="26" t="str">
        <f>"09DPR2364J"</f>
        <v>09DPR2364J</v>
      </c>
      <c r="C1225" s="26" t="str">
        <f>"REPUBLICA DE PANAMA                                                                                 "</f>
        <v xml:space="preserve">REPUBLICA DE PANAMA                                                                                 </v>
      </c>
      <c r="D1225" s="26" t="str">
        <f>"VESPERTINO"</f>
        <v>VESPERTINO</v>
      </c>
      <c r="E1225" s="26" t="str">
        <f>"CARMEN 39                                                                       "</f>
        <v xml:space="preserve">CARMEN 39                                                                       </v>
      </c>
      <c r="F1225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1225" s="26" t="str">
        <f t="shared" si="197"/>
        <v xml:space="preserve">CUAUHTEMOC                                                                      </v>
      </c>
      <c r="H1225" s="26" t="str">
        <f>"216"</f>
        <v>216</v>
      </c>
      <c r="I1225" s="26" t="str">
        <f t="shared" si="195"/>
        <v>00</v>
      </c>
      <c r="J1225" s="26" t="str">
        <f>"42 "</f>
        <v xml:space="preserve">42 </v>
      </c>
      <c r="K1225" s="26" t="str">
        <f t="shared" si="191"/>
        <v>PR</v>
      </c>
      <c r="L1225" s="26" t="str">
        <f t="shared" si="192"/>
        <v>DGOSE</v>
      </c>
      <c r="M1225" s="26" t="str">
        <f t="shared" si="196"/>
        <v>FEDERAL</v>
      </c>
      <c r="N1225" s="26">
        <v>107</v>
      </c>
      <c r="O1225" s="26">
        <v>55</v>
      </c>
      <c r="P1225" s="26">
        <v>52</v>
      </c>
      <c r="Q1225" s="26">
        <v>6</v>
      </c>
      <c r="R1225" s="26">
        <v>1</v>
      </c>
      <c r="S1225" s="26">
        <v>6</v>
      </c>
      <c r="T1225" s="26">
        <v>5</v>
      </c>
      <c r="U1225" s="26">
        <v>12</v>
      </c>
      <c r="V1225" s="26">
        <v>1</v>
      </c>
      <c r="W1225" s="26"/>
    </row>
    <row r="1226" spans="1:23" x14ac:dyDescent="0.25">
      <c r="A1226" s="26" t="str">
        <f t="shared" si="194"/>
        <v>PRIMARIA</v>
      </c>
      <c r="B1226" s="26" t="str">
        <f>"09DPR2366H"</f>
        <v>09DPR2366H</v>
      </c>
      <c r="C1226" s="26" t="str">
        <f>"PABLO MORENO                                                                                        "</f>
        <v xml:space="preserve">PABLO MORENO                                                                                        </v>
      </c>
      <c r="D1226" s="26" t="str">
        <f>"JORNADA AMPLIADA"</f>
        <v>JORNADA AMPLIADA</v>
      </c>
      <c r="E1226" s="26" t="str">
        <f>"REP. DE BOLIVIA NUM. 12                                                         "</f>
        <v xml:space="preserve">REP. DE BOLIVIA NUM. 12                                                         </v>
      </c>
      <c r="F1226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1226" s="26" t="str">
        <f t="shared" si="197"/>
        <v xml:space="preserve">CUAUHTEMOC                                                                      </v>
      </c>
      <c r="H1226" s="26" t="str">
        <f>"120"</f>
        <v>120</v>
      </c>
      <c r="I1226" s="26" t="str">
        <f t="shared" si="195"/>
        <v>00</v>
      </c>
      <c r="J1226" s="26" t="str">
        <f>"41 "</f>
        <v xml:space="preserve">41 </v>
      </c>
      <c r="K1226" s="26" t="str">
        <f t="shared" si="191"/>
        <v>PR</v>
      </c>
      <c r="L1226" s="26" t="str">
        <f t="shared" si="192"/>
        <v>DGOSE</v>
      </c>
      <c r="M1226" s="26" t="str">
        <f t="shared" si="196"/>
        <v>FEDERAL</v>
      </c>
      <c r="N1226" s="26">
        <v>210</v>
      </c>
      <c r="O1226" s="26">
        <v>119</v>
      </c>
      <c r="P1226" s="26">
        <v>91</v>
      </c>
      <c r="Q1226" s="26">
        <v>8</v>
      </c>
      <c r="R1226" s="26">
        <v>1</v>
      </c>
      <c r="S1226" s="26">
        <v>8</v>
      </c>
      <c r="T1226" s="26">
        <v>9</v>
      </c>
      <c r="U1226" s="26">
        <v>18</v>
      </c>
      <c r="V1226" s="26">
        <v>1</v>
      </c>
      <c r="W1226" s="26" t="s">
        <v>2076</v>
      </c>
    </row>
    <row r="1227" spans="1:23" x14ac:dyDescent="0.25">
      <c r="A1227" s="26" t="str">
        <f t="shared" si="194"/>
        <v>PRIMARIA</v>
      </c>
      <c r="B1227" s="26" t="str">
        <f>"09DPR2368F"</f>
        <v>09DPR2368F</v>
      </c>
      <c r="C1227" s="26" t="str">
        <f>"FRANCISCO GARCIA SALINAS                                                                            "</f>
        <v xml:space="preserve">FRANCISCO GARCIA SALINAS                                                                            </v>
      </c>
      <c r="D1227" s="26" t="str">
        <f>"VESPERTINO"</f>
        <v>VESPERTINO</v>
      </c>
      <c r="E1227" s="26" t="str">
        <f>"CALZADA DE LA VIGA NUM 97                                                       "</f>
        <v xml:space="preserve">CALZADA DE LA VIGA NUM 97                                                       </v>
      </c>
      <c r="F1227" s="26" t="str">
        <f>"ESPERANZA                                                                                                                                   "</f>
        <v xml:space="preserve">ESPERANZA                                                                                                                                   </v>
      </c>
      <c r="G1227" s="26" t="str">
        <f t="shared" si="197"/>
        <v xml:space="preserve">CUAUHTEMOC                                                                      </v>
      </c>
      <c r="H1227" s="26" t="str">
        <f>"223"</f>
        <v>223</v>
      </c>
      <c r="I1227" s="26" t="str">
        <f t="shared" si="195"/>
        <v>00</v>
      </c>
      <c r="J1227" s="26" t="str">
        <f>"42 "</f>
        <v xml:space="preserve">42 </v>
      </c>
      <c r="K1227" s="26" t="str">
        <f t="shared" si="191"/>
        <v>PR</v>
      </c>
      <c r="L1227" s="26" t="str">
        <f t="shared" si="192"/>
        <v>DGOSE</v>
      </c>
      <c r="M1227" s="26" t="str">
        <f t="shared" si="196"/>
        <v>FEDERAL</v>
      </c>
      <c r="N1227" s="26">
        <v>88</v>
      </c>
      <c r="O1227" s="26">
        <v>58</v>
      </c>
      <c r="P1227" s="26">
        <v>30</v>
      </c>
      <c r="Q1227" s="26">
        <v>6</v>
      </c>
      <c r="R1227" s="26">
        <v>1</v>
      </c>
      <c r="S1227" s="26">
        <v>6</v>
      </c>
      <c r="T1227" s="26">
        <v>5</v>
      </c>
      <c r="U1227" s="26">
        <v>12</v>
      </c>
      <c r="V1227" s="26">
        <v>1</v>
      </c>
      <c r="W1227" s="26"/>
    </row>
    <row r="1228" spans="1:23" x14ac:dyDescent="0.25">
      <c r="A1228" s="26" t="str">
        <f t="shared" si="194"/>
        <v>PRIMARIA</v>
      </c>
      <c r="B1228" s="26" t="str">
        <f>"09DPR2369E"</f>
        <v>09DPR2369E</v>
      </c>
      <c r="C1228" s="26" t="str">
        <f>"NICOLAS RANGEL                                                                                      "</f>
        <v xml:space="preserve">NICOLAS RANGEL                                                                                      </v>
      </c>
      <c r="D1228" s="26" t="str">
        <f>"JORNADA AMPLIADA"</f>
        <v>JORNADA AMPLIADA</v>
      </c>
      <c r="E1228" s="26" t="str">
        <f>"CALLE ALMACENES NO 92                                                           "</f>
        <v xml:space="preserve">CALLE ALMACENES NO 92                                                           </v>
      </c>
      <c r="F1228" s="26" t="str">
        <f>"UNIDAD NONOALCO TLATELOLCO                                                                                                                  "</f>
        <v xml:space="preserve">UNIDAD NONOALCO TLATELOLCO                                                                                                                  </v>
      </c>
      <c r="G1228" s="26" t="str">
        <f t="shared" si="197"/>
        <v xml:space="preserve">CUAUHTEMOC                                                                      </v>
      </c>
      <c r="H1228" s="26" t="str">
        <f>"119"</f>
        <v>119</v>
      </c>
      <c r="I1228" s="26" t="str">
        <f t="shared" si="195"/>
        <v>00</v>
      </c>
      <c r="J1228" s="26" t="str">
        <f>"41 "</f>
        <v xml:space="preserve">41 </v>
      </c>
      <c r="K1228" s="26" t="str">
        <f t="shared" si="191"/>
        <v>PR</v>
      </c>
      <c r="L1228" s="26" t="str">
        <f t="shared" si="192"/>
        <v>DGOSE</v>
      </c>
      <c r="M1228" s="26" t="str">
        <f t="shared" si="196"/>
        <v>FEDERAL</v>
      </c>
      <c r="N1228" s="26">
        <v>343</v>
      </c>
      <c r="O1228" s="26">
        <v>176</v>
      </c>
      <c r="P1228" s="26">
        <v>167</v>
      </c>
      <c r="Q1228" s="26">
        <v>12</v>
      </c>
      <c r="R1228" s="26">
        <v>1</v>
      </c>
      <c r="S1228" s="26">
        <v>12</v>
      </c>
      <c r="T1228" s="26">
        <v>11</v>
      </c>
      <c r="U1228" s="26">
        <v>24</v>
      </c>
      <c r="V1228" s="26">
        <v>1</v>
      </c>
      <c r="W1228" s="26" t="s">
        <v>2076</v>
      </c>
    </row>
    <row r="1229" spans="1:23" x14ac:dyDescent="0.25">
      <c r="A1229" s="26" t="str">
        <f t="shared" si="194"/>
        <v>PRIMARIA</v>
      </c>
      <c r="B1229" s="26" t="str">
        <f>"09DPR2371T"</f>
        <v>09DPR2371T</v>
      </c>
      <c r="C1229" s="26" t="str">
        <f>"ARQ. MANUEL TOLSA                                                                                   "</f>
        <v xml:space="preserve">ARQ. MANUEL TOLSA                                                                                   </v>
      </c>
      <c r="D1229" s="26" t="str">
        <f>"VESPERTINO"</f>
        <v>VESPERTINO</v>
      </c>
      <c r="E1229" s="26" t="str">
        <f>"PROLONGACION PELUQUEROS S/N                                                     "</f>
        <v xml:space="preserve">PROLONGACION PELUQUEROS S/N                                                     </v>
      </c>
      <c r="F1229" s="26" t="str">
        <f>"MICHOACANA                                                                                                                                  "</f>
        <v xml:space="preserve">MICHOACANA                                                                                                                                  </v>
      </c>
      <c r="G1229" s="26" t="str">
        <f>"VENUSTIANO CARRANZA                                                             "</f>
        <v xml:space="preserve">VENUSTIANO CARRANZA                                                             </v>
      </c>
      <c r="H1229" s="26" t="str">
        <f>"342"</f>
        <v>342</v>
      </c>
      <c r="I1229" s="26" t="str">
        <f t="shared" si="195"/>
        <v>00</v>
      </c>
      <c r="J1229" s="26" t="str">
        <f>"43 "</f>
        <v xml:space="preserve">43 </v>
      </c>
      <c r="K1229" s="26" t="str">
        <f t="shared" si="191"/>
        <v>PR</v>
      </c>
      <c r="L1229" s="26" t="str">
        <f t="shared" si="192"/>
        <v>DGOSE</v>
      </c>
      <c r="M1229" s="26" t="str">
        <f t="shared" si="196"/>
        <v>FEDERAL</v>
      </c>
      <c r="N1229" s="26">
        <v>190</v>
      </c>
      <c r="O1229" s="26">
        <v>91</v>
      </c>
      <c r="P1229" s="26">
        <v>99</v>
      </c>
      <c r="Q1229" s="26">
        <v>9</v>
      </c>
      <c r="R1229" s="26">
        <v>1</v>
      </c>
      <c r="S1229" s="26">
        <v>7</v>
      </c>
      <c r="T1229" s="26">
        <v>4</v>
      </c>
      <c r="U1229" s="26">
        <v>12</v>
      </c>
      <c r="V1229" s="26">
        <v>1</v>
      </c>
      <c r="W1229" s="26"/>
    </row>
    <row r="1230" spans="1:23" x14ac:dyDescent="0.25">
      <c r="A1230" s="26" t="str">
        <f t="shared" si="194"/>
        <v>PRIMARIA</v>
      </c>
      <c r="B1230" s="26" t="str">
        <f>"09DPR2372S"</f>
        <v>09DPR2372S</v>
      </c>
      <c r="C1230" s="26" t="str">
        <f>"GRAL. MIGUEL ALEMAN                                                                                 "</f>
        <v xml:space="preserve">GRAL. MIGUEL ALEMAN                                                                                 </v>
      </c>
      <c r="D1230" s="26" t="str">
        <f>"VESPERTINO"</f>
        <v>VESPERTINO</v>
      </c>
      <c r="E1230" s="26" t="str">
        <f>"JARDINEROS S/N Y AV. DEL TRABAJO                                                "</f>
        <v xml:space="preserve">JARDINEROS S/N Y AV. DEL TRABAJO                                                </v>
      </c>
      <c r="F1230" s="26" t="str">
        <f>"MORELOS                                                                                                                                     "</f>
        <v xml:space="preserve">MORELOS                                                                                                                                     </v>
      </c>
      <c r="G1230" s="26" t="str">
        <f>"VENUSTIANO CARRANZA                                                             "</f>
        <v xml:space="preserve">VENUSTIANO CARRANZA                                                             </v>
      </c>
      <c r="H1230" s="26" t="str">
        <f>"343"</f>
        <v>343</v>
      </c>
      <c r="I1230" s="26" t="str">
        <f t="shared" si="195"/>
        <v>00</v>
      </c>
      <c r="J1230" s="26" t="str">
        <f>"43 "</f>
        <v xml:space="preserve">43 </v>
      </c>
      <c r="K1230" s="26" t="str">
        <f t="shared" si="191"/>
        <v>PR</v>
      </c>
      <c r="L1230" s="26" t="str">
        <f t="shared" si="192"/>
        <v>DGOSE</v>
      </c>
      <c r="M1230" s="26" t="str">
        <f t="shared" si="196"/>
        <v>FEDERAL</v>
      </c>
      <c r="N1230" s="26">
        <v>113</v>
      </c>
      <c r="O1230" s="26">
        <v>58</v>
      </c>
      <c r="P1230" s="26">
        <v>55</v>
      </c>
      <c r="Q1230" s="26">
        <v>6</v>
      </c>
      <c r="R1230" s="26">
        <v>1</v>
      </c>
      <c r="S1230" s="26">
        <v>6</v>
      </c>
      <c r="T1230" s="26">
        <v>4</v>
      </c>
      <c r="U1230" s="26">
        <v>11</v>
      </c>
      <c r="V1230" s="26">
        <v>1</v>
      </c>
      <c r="W1230" s="26"/>
    </row>
    <row r="1231" spans="1:23" x14ac:dyDescent="0.25">
      <c r="A1231" s="26" t="str">
        <f t="shared" si="194"/>
        <v>PRIMARIA</v>
      </c>
      <c r="B1231" s="26" t="str">
        <f>"09DPR2373R"</f>
        <v>09DPR2373R</v>
      </c>
      <c r="C1231" s="26" t="str">
        <f>"ARQ. MANUEL TOLSA                                                                                   "</f>
        <v xml:space="preserve">ARQ. MANUEL TOLSA                                                                                   </v>
      </c>
      <c r="D1231" s="26" t="str">
        <f>"MATUTINO"</f>
        <v>MATUTINO</v>
      </c>
      <c r="E1231" s="26" t="str">
        <f>"PROLONGACION PELUQUEROS S/N                                                     "</f>
        <v xml:space="preserve">PROLONGACION PELUQUEROS S/N                                                     </v>
      </c>
      <c r="F1231" s="26" t="str">
        <f>"MICHOACANA                                                                                                                                  "</f>
        <v xml:space="preserve">MICHOACANA                                                                                                                                  </v>
      </c>
      <c r="G1231" s="26" t="str">
        <f>"VENUSTIANO CARRANZA                                                             "</f>
        <v xml:space="preserve">VENUSTIANO CARRANZA                                                             </v>
      </c>
      <c r="H1231" s="26" t="str">
        <f>"342"</f>
        <v>342</v>
      </c>
      <c r="I1231" s="26" t="str">
        <f t="shared" si="195"/>
        <v>00</v>
      </c>
      <c r="J1231" s="26" t="str">
        <f>"43 "</f>
        <v xml:space="preserve">43 </v>
      </c>
      <c r="K1231" s="26" t="str">
        <f t="shared" si="191"/>
        <v>PR</v>
      </c>
      <c r="L1231" s="26" t="str">
        <f t="shared" si="192"/>
        <v>DGOSE</v>
      </c>
      <c r="M1231" s="26" t="str">
        <f t="shared" si="196"/>
        <v>FEDERAL</v>
      </c>
      <c r="N1231" s="26">
        <v>477</v>
      </c>
      <c r="O1231" s="26">
        <v>233</v>
      </c>
      <c r="P1231" s="26">
        <v>244</v>
      </c>
      <c r="Q1231" s="26">
        <v>17</v>
      </c>
      <c r="R1231" s="26">
        <v>1</v>
      </c>
      <c r="S1231" s="26">
        <v>17</v>
      </c>
      <c r="T1231" s="26">
        <v>10</v>
      </c>
      <c r="U1231" s="26">
        <v>28</v>
      </c>
      <c r="V1231" s="26">
        <v>1</v>
      </c>
      <c r="W1231" s="26"/>
    </row>
    <row r="1232" spans="1:23" x14ac:dyDescent="0.25">
      <c r="A1232" s="26" t="str">
        <f t="shared" si="194"/>
        <v>PRIMARIA</v>
      </c>
      <c r="B1232" s="26" t="str">
        <f>"09DPR2376O"</f>
        <v>09DPR2376O</v>
      </c>
      <c r="C1232" s="26" t="str">
        <f>"LUCIO TAPIA                                                                                         "</f>
        <v xml:space="preserve">LUCIO TAPIA                                                                                         </v>
      </c>
      <c r="D1232" s="26" t="str">
        <f>"JORNADA AMPLIADA"</f>
        <v>JORNADA AMPLIADA</v>
      </c>
      <c r="E1232" s="26" t="str">
        <f>"JESUS CARRANZA NUM 38                                                           "</f>
        <v xml:space="preserve">JESUS CARRANZA NUM 38                                                           </v>
      </c>
      <c r="F1232" s="26" t="str">
        <f>"MORELOS AMPLIACION                                                                                                                          "</f>
        <v xml:space="preserve">MORELOS AMPLIACION                                                                                                                          </v>
      </c>
      <c r="G1232" s="26" t="str">
        <f>"CUAUHTEMOC                                                                      "</f>
        <v xml:space="preserve">CUAUHTEMOC                                                                      </v>
      </c>
      <c r="H1232" s="26" t="str">
        <f>"120"</f>
        <v>120</v>
      </c>
      <c r="I1232" s="26" t="str">
        <f t="shared" si="195"/>
        <v>00</v>
      </c>
      <c r="J1232" s="26" t="str">
        <f>"41 "</f>
        <v xml:space="preserve">41 </v>
      </c>
      <c r="K1232" s="26" t="str">
        <f t="shared" si="191"/>
        <v>PR</v>
      </c>
      <c r="L1232" s="26" t="str">
        <f t="shared" si="192"/>
        <v>DGOSE</v>
      </c>
      <c r="M1232" s="26" t="str">
        <f t="shared" si="196"/>
        <v>FEDERAL</v>
      </c>
      <c r="N1232" s="26">
        <v>193</v>
      </c>
      <c r="O1232" s="26">
        <v>104</v>
      </c>
      <c r="P1232" s="26">
        <v>89</v>
      </c>
      <c r="Q1232" s="26">
        <v>7</v>
      </c>
      <c r="R1232" s="26">
        <v>1</v>
      </c>
      <c r="S1232" s="26">
        <v>7</v>
      </c>
      <c r="T1232" s="26">
        <v>11</v>
      </c>
      <c r="U1232" s="26">
        <v>19</v>
      </c>
      <c r="V1232" s="26">
        <v>1</v>
      </c>
      <c r="W1232" s="26" t="s">
        <v>2076</v>
      </c>
    </row>
    <row r="1233" spans="1:23" x14ac:dyDescent="0.25">
      <c r="A1233" s="26" t="str">
        <f t="shared" si="194"/>
        <v>PRIMARIA</v>
      </c>
      <c r="B1233" s="26" t="str">
        <f>"09DPR2377N"</f>
        <v>09DPR2377N</v>
      </c>
      <c r="C1233" s="26" t="str">
        <f>"LORENZA ROSALES                                                                                     "</f>
        <v xml:space="preserve">LORENZA ROSALES                                                                                     </v>
      </c>
      <c r="D1233" s="26" t="str">
        <f>"JORNADA AMPLIADA"</f>
        <v>JORNADA AMPLIADA</v>
      </c>
      <c r="E1233" s="26" t="str">
        <f>"AV DEL TRABAJO # 228                                                            "</f>
        <v xml:space="preserve">AV DEL TRABAJO # 228                                                            </v>
      </c>
      <c r="F1233" s="26" t="str">
        <f>"MORELOS                                                                                                                                     "</f>
        <v xml:space="preserve">MORELOS                                                                                                                                     </v>
      </c>
      <c r="G1233" s="26" t="str">
        <f>"VENUSTIANO CARRANZA                                                             "</f>
        <v xml:space="preserve">VENUSTIANO CARRANZA                                                             </v>
      </c>
      <c r="H1233" s="26" t="str">
        <f>"418"</f>
        <v>418</v>
      </c>
      <c r="I1233" s="26" t="str">
        <f t="shared" si="195"/>
        <v>00</v>
      </c>
      <c r="J1233" s="26" t="str">
        <f>"44 "</f>
        <v xml:space="preserve">44 </v>
      </c>
      <c r="K1233" s="26" t="str">
        <f t="shared" si="191"/>
        <v>PR</v>
      </c>
      <c r="L1233" s="26" t="str">
        <f t="shared" si="192"/>
        <v>DGOSE</v>
      </c>
      <c r="M1233" s="26" t="str">
        <f t="shared" si="196"/>
        <v>FEDERAL</v>
      </c>
      <c r="N1233" s="26">
        <v>161</v>
      </c>
      <c r="O1233" s="26">
        <v>79</v>
      </c>
      <c r="P1233" s="26">
        <v>82</v>
      </c>
      <c r="Q1233" s="26">
        <v>6</v>
      </c>
      <c r="R1233" s="26">
        <v>1</v>
      </c>
      <c r="S1233" s="26">
        <v>6</v>
      </c>
      <c r="T1233" s="26">
        <v>8</v>
      </c>
      <c r="U1233" s="26">
        <v>15</v>
      </c>
      <c r="V1233" s="26">
        <v>1</v>
      </c>
      <c r="W1233" s="26" t="s">
        <v>2076</v>
      </c>
    </row>
    <row r="1234" spans="1:23" x14ac:dyDescent="0.25">
      <c r="A1234" s="26" t="str">
        <f t="shared" si="194"/>
        <v>PRIMARIA</v>
      </c>
      <c r="B1234" s="26" t="str">
        <f>"09DPR2378M"</f>
        <v>09DPR2378M</v>
      </c>
      <c r="C1234" s="26" t="str">
        <f>"LUIS G. LEON                                                                                        "</f>
        <v xml:space="preserve">LUIS G. LEON                                                                                        </v>
      </c>
      <c r="D1234" s="26" t="str">
        <f>"JORNADA AMPLIADA"</f>
        <v>JORNADA AMPLIADA</v>
      </c>
      <c r="E1234" s="26" t="str">
        <f>"PERALVILLO 51                                                                   "</f>
        <v xml:space="preserve">PERALVILLO 51                                                                   </v>
      </c>
      <c r="F1234" s="26" t="str">
        <f>"MORELOS AMPLIACION                                                                                                                          "</f>
        <v xml:space="preserve">MORELOS AMPLIACION                                                                                                                          </v>
      </c>
      <c r="G1234" s="26" t="str">
        <f>"CUAUHTEMOC                                                                      "</f>
        <v xml:space="preserve">CUAUHTEMOC                                                                      </v>
      </c>
      <c r="H1234" s="26" t="str">
        <f>"120"</f>
        <v>120</v>
      </c>
      <c r="I1234" s="26" t="str">
        <f t="shared" si="195"/>
        <v>00</v>
      </c>
      <c r="J1234" s="26" t="str">
        <f>"41 "</f>
        <v xml:space="preserve">41 </v>
      </c>
      <c r="K1234" s="26" t="str">
        <f t="shared" si="191"/>
        <v>PR</v>
      </c>
      <c r="L1234" s="26" t="str">
        <f t="shared" si="192"/>
        <v>DGOSE</v>
      </c>
      <c r="M1234" s="26" t="str">
        <f t="shared" si="196"/>
        <v>FEDERAL</v>
      </c>
      <c r="N1234" s="26">
        <v>172</v>
      </c>
      <c r="O1234" s="26">
        <v>78</v>
      </c>
      <c r="P1234" s="26">
        <v>94</v>
      </c>
      <c r="Q1234" s="26">
        <v>6</v>
      </c>
      <c r="R1234" s="26">
        <v>1</v>
      </c>
      <c r="S1234" s="26">
        <v>6</v>
      </c>
      <c r="T1234" s="26">
        <v>8</v>
      </c>
      <c r="U1234" s="26">
        <v>15</v>
      </c>
      <c r="V1234" s="26">
        <v>1</v>
      </c>
      <c r="W1234" s="26" t="s">
        <v>2076</v>
      </c>
    </row>
    <row r="1235" spans="1:23" x14ac:dyDescent="0.25">
      <c r="A1235" s="26" t="str">
        <f t="shared" si="194"/>
        <v>PRIMARIA</v>
      </c>
      <c r="B1235" s="26" t="str">
        <f>"09DPR2379L"</f>
        <v>09DPR2379L</v>
      </c>
      <c r="C1235" s="26" t="str">
        <f>"DR. BELISARIO DOMINGUEZ                                                                             "</f>
        <v xml:space="preserve">DR. BELISARIO DOMINGUEZ                                                                             </v>
      </c>
      <c r="D1235" s="26" t="str">
        <f>"JORNADA AMPLIADA"</f>
        <v>JORNADA AMPLIADA</v>
      </c>
      <c r="E1235" s="26" t="str">
        <f>"HEROES NUM. 25                                                                  "</f>
        <v xml:space="preserve">HEROES NUM. 25                                                                  </v>
      </c>
      <c r="F1235" s="26" t="str">
        <f>"GUERRERO                                                                                                                                    "</f>
        <v xml:space="preserve">GUERRERO                                                                                                                                    </v>
      </c>
      <c r="G1235" s="26" t="str">
        <f>"CUAUHTEMOC                                                                      "</f>
        <v xml:space="preserve">CUAUHTEMOC                                                                      </v>
      </c>
      <c r="H1235" s="26" t="str">
        <f>"127"</f>
        <v>127</v>
      </c>
      <c r="I1235" s="26" t="str">
        <f t="shared" si="195"/>
        <v>00</v>
      </c>
      <c r="J1235" s="26" t="str">
        <f>"41 "</f>
        <v xml:space="preserve">41 </v>
      </c>
      <c r="K1235" s="26" t="str">
        <f t="shared" si="191"/>
        <v>PR</v>
      </c>
      <c r="L1235" s="26" t="str">
        <f t="shared" si="192"/>
        <v>DGOSE</v>
      </c>
      <c r="M1235" s="26" t="str">
        <f t="shared" si="196"/>
        <v>FEDERAL</v>
      </c>
      <c r="N1235" s="26">
        <v>312</v>
      </c>
      <c r="O1235" s="26">
        <v>165</v>
      </c>
      <c r="P1235" s="26">
        <v>147</v>
      </c>
      <c r="Q1235" s="26">
        <v>12</v>
      </c>
      <c r="R1235" s="26">
        <v>1</v>
      </c>
      <c r="S1235" s="26">
        <v>12</v>
      </c>
      <c r="T1235" s="26">
        <v>12</v>
      </c>
      <c r="U1235" s="26">
        <v>25</v>
      </c>
      <c r="V1235" s="26">
        <v>1</v>
      </c>
      <c r="W1235" s="26" t="s">
        <v>2076</v>
      </c>
    </row>
    <row r="1236" spans="1:23" x14ac:dyDescent="0.25">
      <c r="A1236" s="26" t="str">
        <f t="shared" si="194"/>
        <v>PRIMARIA</v>
      </c>
      <c r="B1236" s="26" t="str">
        <f>"09DPR2380A"</f>
        <v>09DPR2380A</v>
      </c>
      <c r="C1236" s="26" t="str">
        <f>"IGNACIO ALLENDE                                                                                     "</f>
        <v xml:space="preserve">IGNACIO ALLENDE                                                                                     </v>
      </c>
      <c r="D1236" s="26" t="str">
        <f>"MATUTINO"</f>
        <v>MATUTINO</v>
      </c>
      <c r="E1236" s="26" t="str">
        <f>"PLOMO 113                                                                       "</f>
        <v xml:space="preserve">PLOMO 113                                                                       </v>
      </c>
      <c r="F1236" s="26" t="str">
        <f>"VALLE GOMEZ                                                                                                                                 "</f>
        <v xml:space="preserve">VALLE GOMEZ                                                                                                                                 </v>
      </c>
      <c r="G1236" s="26" t="str">
        <f>"VENUSTIANO CARRANZA                                                             "</f>
        <v xml:space="preserve">VENUSTIANO CARRANZA                                                             </v>
      </c>
      <c r="H1236" s="26" t="str">
        <f>"343"</f>
        <v>343</v>
      </c>
      <c r="I1236" s="26" t="str">
        <f t="shared" si="195"/>
        <v>00</v>
      </c>
      <c r="J1236" s="26" t="str">
        <f>"43 "</f>
        <v xml:space="preserve">43 </v>
      </c>
      <c r="K1236" s="26" t="str">
        <f t="shared" si="191"/>
        <v>PR</v>
      </c>
      <c r="L1236" s="26" t="str">
        <f t="shared" si="192"/>
        <v>DGOSE</v>
      </c>
      <c r="M1236" s="26" t="str">
        <f t="shared" si="196"/>
        <v>FEDERAL</v>
      </c>
      <c r="N1236" s="26">
        <v>168</v>
      </c>
      <c r="O1236" s="26">
        <v>91</v>
      </c>
      <c r="P1236" s="26">
        <v>77</v>
      </c>
      <c r="Q1236" s="26">
        <v>6</v>
      </c>
      <c r="R1236" s="26">
        <v>1</v>
      </c>
      <c r="S1236" s="26">
        <v>6</v>
      </c>
      <c r="T1236" s="26">
        <v>4</v>
      </c>
      <c r="U1236" s="26">
        <v>11</v>
      </c>
      <c r="V1236" s="26">
        <v>1</v>
      </c>
      <c r="W1236" s="26"/>
    </row>
    <row r="1237" spans="1:23" x14ac:dyDescent="0.25">
      <c r="A1237" s="26" t="str">
        <f t="shared" si="194"/>
        <v>PRIMARIA</v>
      </c>
      <c r="B1237" s="26" t="str">
        <f>"09DPR2381Z"</f>
        <v>09DPR2381Z</v>
      </c>
      <c r="C1237" s="26" t="str">
        <f>"PROFRA. GUADALUPE MAYOL DE GONZALEZ                                                                 "</f>
        <v xml:space="preserve">PROFRA. GUADALUPE MAYOL DE GONZALEZ                                                                 </v>
      </c>
      <c r="D1237" s="26" t="str">
        <f>"TIEMPO COMPLETO"</f>
        <v>TIEMPO COMPLETO</v>
      </c>
      <c r="E1237" s="26" t="str">
        <f>"SARASATE NUM. 94 BIS                                                            "</f>
        <v xml:space="preserve">SARASATE NUM. 94 BIS                                                            </v>
      </c>
      <c r="F1237" s="26" t="str">
        <f>"PERALVILLO                                                                                                                                  "</f>
        <v xml:space="preserve">PERALVILLO                                                                                                                                  </v>
      </c>
      <c r="G1237" s="26" t="str">
        <f>"CUAUHTEMOC                                                                      "</f>
        <v xml:space="preserve">CUAUHTEMOC                                                                      </v>
      </c>
      <c r="H1237" s="26" t="str">
        <f>"118"</f>
        <v>118</v>
      </c>
      <c r="I1237" s="26" t="str">
        <f t="shared" si="195"/>
        <v>00</v>
      </c>
      <c r="J1237" s="26" t="str">
        <f>"41 "</f>
        <v xml:space="preserve">41 </v>
      </c>
      <c r="K1237" s="26" t="str">
        <f t="shared" si="191"/>
        <v>PR</v>
      </c>
      <c r="L1237" s="26" t="str">
        <f t="shared" si="192"/>
        <v>DGOSE</v>
      </c>
      <c r="M1237" s="26" t="str">
        <f t="shared" si="196"/>
        <v>FEDERAL</v>
      </c>
      <c r="N1237" s="26">
        <v>203</v>
      </c>
      <c r="O1237" s="26">
        <v>103</v>
      </c>
      <c r="P1237" s="26">
        <v>100</v>
      </c>
      <c r="Q1237" s="26">
        <v>7</v>
      </c>
      <c r="R1237" s="26">
        <v>1</v>
      </c>
      <c r="S1237" s="26">
        <v>7</v>
      </c>
      <c r="T1237" s="26">
        <v>11</v>
      </c>
      <c r="U1237" s="26">
        <v>19</v>
      </c>
      <c r="V1237" s="26">
        <v>1</v>
      </c>
      <c r="W1237" s="26" t="s">
        <v>218</v>
      </c>
    </row>
    <row r="1238" spans="1:23" x14ac:dyDescent="0.25">
      <c r="A1238" s="26" t="str">
        <f t="shared" si="194"/>
        <v>PRIMARIA</v>
      </c>
      <c r="B1238" s="26" t="str">
        <f>"09DPR2384X"</f>
        <v>09DPR2384X</v>
      </c>
      <c r="C1238" s="26" t="str">
        <f>"PROFRA. VICENTA TRUJILLO                                                                            "</f>
        <v xml:space="preserve">PROFRA. VICENTA TRUJILLO                                                                            </v>
      </c>
      <c r="D1238" s="26" t="str">
        <f>"MATUTINO"</f>
        <v>MATUTINO</v>
      </c>
      <c r="E1238" s="26" t="str">
        <f>"LERDO NUM 246                                                                   "</f>
        <v xml:space="preserve">LERDO NUM 246                                                                   </v>
      </c>
      <c r="F1238" s="26" t="str">
        <f>"UNIDAD NONOALCO TLATELOLCO                                                                                                                  "</f>
        <v xml:space="preserve">UNIDAD NONOALCO TLATELOLCO                                                                                                                  </v>
      </c>
      <c r="G1238" s="26" t="str">
        <f>"CUAUHTEMOC                                                                      "</f>
        <v xml:space="preserve">CUAUHTEMOC                                                                      </v>
      </c>
      <c r="H1238" s="26" t="str">
        <f>"217"</f>
        <v>217</v>
      </c>
      <c r="I1238" s="26" t="str">
        <f t="shared" si="195"/>
        <v>00</v>
      </c>
      <c r="J1238" s="26" t="str">
        <f>"42 "</f>
        <v xml:space="preserve">42 </v>
      </c>
      <c r="K1238" s="26" t="str">
        <f t="shared" si="191"/>
        <v>PR</v>
      </c>
      <c r="L1238" s="26" t="str">
        <f t="shared" si="192"/>
        <v>DGOSE</v>
      </c>
      <c r="M1238" s="26" t="str">
        <f t="shared" si="196"/>
        <v>FEDERAL</v>
      </c>
      <c r="N1238" s="26">
        <v>423</v>
      </c>
      <c r="O1238" s="26">
        <v>216</v>
      </c>
      <c r="P1238" s="26">
        <v>207</v>
      </c>
      <c r="Q1238" s="26">
        <v>17</v>
      </c>
      <c r="R1238" s="26">
        <v>1</v>
      </c>
      <c r="S1238" s="26">
        <v>16</v>
      </c>
      <c r="T1238" s="26">
        <v>11</v>
      </c>
      <c r="U1238" s="26">
        <v>28</v>
      </c>
      <c r="V1238" s="26">
        <v>1</v>
      </c>
      <c r="W1238" s="26"/>
    </row>
    <row r="1239" spans="1:23" x14ac:dyDescent="0.25">
      <c r="A1239" s="26" t="str">
        <f t="shared" si="194"/>
        <v>PRIMARIA</v>
      </c>
      <c r="B1239" s="26" t="str">
        <f>"09DPR2385W"</f>
        <v>09DPR2385W</v>
      </c>
      <c r="C1239" s="26" t="str">
        <f>"JULIO ZARATE                                                                                        "</f>
        <v xml:space="preserve">JULIO ZARATE                                                                                        </v>
      </c>
      <c r="D1239" s="26" t="str">
        <f>"VESPERTINO"</f>
        <v>VESPERTINO</v>
      </c>
      <c r="E1239" s="26" t="str">
        <f>"HOJALATERIA NUM 28                                                              "</f>
        <v xml:space="preserve">HOJALATERIA NUM 28                                                              </v>
      </c>
      <c r="F1239" s="26" t="str">
        <f>"MORELOS                                                                                                                                     "</f>
        <v xml:space="preserve">MORELOS                                                                                                                                     </v>
      </c>
      <c r="G1239" s="26" t="str">
        <f>"VENUSTIANO CARRANZA                                                             "</f>
        <v xml:space="preserve">VENUSTIANO CARRANZA                                                             </v>
      </c>
      <c r="H1239" s="26" t="str">
        <f>"343"</f>
        <v>343</v>
      </c>
      <c r="I1239" s="26" t="str">
        <f t="shared" si="195"/>
        <v>00</v>
      </c>
      <c r="J1239" s="26" t="str">
        <f>"43 "</f>
        <v xml:space="preserve">43 </v>
      </c>
      <c r="K1239" s="26" t="str">
        <f t="shared" si="191"/>
        <v>PR</v>
      </c>
      <c r="L1239" s="26" t="str">
        <f t="shared" si="192"/>
        <v>DGOSE</v>
      </c>
      <c r="M1239" s="26" t="str">
        <f t="shared" si="196"/>
        <v>FEDERAL</v>
      </c>
      <c r="N1239" s="26">
        <v>181</v>
      </c>
      <c r="O1239" s="26">
        <v>101</v>
      </c>
      <c r="P1239" s="26">
        <v>80</v>
      </c>
      <c r="Q1239" s="26">
        <v>9</v>
      </c>
      <c r="R1239" s="26">
        <v>1</v>
      </c>
      <c r="S1239" s="26">
        <v>9</v>
      </c>
      <c r="T1239" s="26">
        <v>4</v>
      </c>
      <c r="U1239" s="26">
        <v>14</v>
      </c>
      <c r="V1239" s="26">
        <v>1</v>
      </c>
      <c r="W1239" s="26"/>
    </row>
    <row r="1240" spans="1:23" x14ac:dyDescent="0.25">
      <c r="A1240" s="26" t="str">
        <f t="shared" si="194"/>
        <v>PRIMARIA</v>
      </c>
      <c r="B1240" s="26" t="str">
        <f>"09DPR2386V"</f>
        <v>09DPR2386V</v>
      </c>
      <c r="C1240" s="26" t="str">
        <f>"JULIO ZARATE                                                                                        "</f>
        <v xml:space="preserve">JULIO ZARATE                                                                                        </v>
      </c>
      <c r="D1240" s="26" t="str">
        <f>"MATUTINO"</f>
        <v>MATUTINO</v>
      </c>
      <c r="E1240" s="26" t="str">
        <f>"HOJALATERIA NO 28                                                               "</f>
        <v xml:space="preserve">HOJALATERIA NO 28                                                               </v>
      </c>
      <c r="F1240" s="26" t="str">
        <f>"MORELOS                                                                                                                                     "</f>
        <v xml:space="preserve">MORELOS                                                                                                                                     </v>
      </c>
      <c r="G1240" s="26" t="str">
        <f>"VENUSTIANO CARRANZA                                                             "</f>
        <v xml:space="preserve">VENUSTIANO CARRANZA                                                             </v>
      </c>
      <c r="H1240" s="26" t="str">
        <f>"343"</f>
        <v>343</v>
      </c>
      <c r="I1240" s="26" t="str">
        <f t="shared" si="195"/>
        <v>00</v>
      </c>
      <c r="J1240" s="26" t="str">
        <f>"43 "</f>
        <v xml:space="preserve">43 </v>
      </c>
      <c r="K1240" s="26" t="str">
        <f t="shared" si="191"/>
        <v>PR</v>
      </c>
      <c r="L1240" s="26" t="str">
        <f t="shared" si="192"/>
        <v>DGOSE</v>
      </c>
      <c r="M1240" s="26" t="str">
        <f t="shared" si="196"/>
        <v>FEDERAL</v>
      </c>
      <c r="N1240" s="26">
        <v>201</v>
      </c>
      <c r="O1240" s="26">
        <v>105</v>
      </c>
      <c r="P1240" s="26">
        <v>96</v>
      </c>
      <c r="Q1240" s="26">
        <v>6</v>
      </c>
      <c r="R1240" s="26">
        <v>1</v>
      </c>
      <c r="S1240" s="26">
        <v>6</v>
      </c>
      <c r="T1240" s="26">
        <v>5</v>
      </c>
      <c r="U1240" s="26">
        <v>12</v>
      </c>
      <c r="V1240" s="26">
        <v>1</v>
      </c>
      <c r="W1240" s="26"/>
    </row>
    <row r="1241" spans="1:23" x14ac:dyDescent="0.25">
      <c r="A1241" s="26" t="str">
        <f t="shared" si="194"/>
        <v>PRIMARIA</v>
      </c>
      <c r="B1241" s="26" t="str">
        <f>"09DPR2388T"</f>
        <v>09DPR2388T</v>
      </c>
      <c r="C1241" s="26" t="str">
        <f>"MAESTRO JULIAN CARRILLO                                                                             "</f>
        <v xml:space="preserve">MAESTRO JULIAN CARRILLO                                                                             </v>
      </c>
      <c r="D1241" s="26" t="str">
        <f>"MATUTINO"</f>
        <v>MATUTINO</v>
      </c>
      <c r="E1241" s="26" t="str">
        <f>"CARUSO NUM 98                                                                   "</f>
        <v xml:space="preserve">CARUSO NUM 98                                                                   </v>
      </c>
      <c r="F1241" s="26" t="str">
        <f>"PERALVILLO                                                                                                                                  "</f>
        <v xml:space="preserve">PERALVILLO                                                                                                                                  </v>
      </c>
      <c r="G1241" s="26" t="str">
        <f t="shared" ref="G1241:G1246" si="198">"CUAUHTEMOC                                                                      "</f>
        <v xml:space="preserve">CUAUHTEMOC                                                                      </v>
      </c>
      <c r="H1241" s="26" t="str">
        <f>"217"</f>
        <v>217</v>
      </c>
      <c r="I1241" s="26" t="str">
        <f t="shared" si="195"/>
        <v>00</v>
      </c>
      <c r="J1241" s="26" t="str">
        <f>"42 "</f>
        <v xml:space="preserve">42 </v>
      </c>
      <c r="K1241" s="26" t="str">
        <f t="shared" si="191"/>
        <v>PR</v>
      </c>
      <c r="L1241" s="26" t="str">
        <f t="shared" si="192"/>
        <v>DGOSE</v>
      </c>
      <c r="M1241" s="26" t="str">
        <f t="shared" si="196"/>
        <v>FEDERAL</v>
      </c>
      <c r="N1241" s="26">
        <v>281</v>
      </c>
      <c r="O1241" s="26">
        <v>138</v>
      </c>
      <c r="P1241" s="26">
        <v>143</v>
      </c>
      <c r="Q1241" s="26">
        <v>11</v>
      </c>
      <c r="R1241" s="26">
        <v>1</v>
      </c>
      <c r="S1241" s="26">
        <v>11</v>
      </c>
      <c r="T1241" s="26">
        <v>10</v>
      </c>
      <c r="U1241" s="26">
        <v>22</v>
      </c>
      <c r="V1241" s="26">
        <v>1</v>
      </c>
      <c r="W1241" s="26"/>
    </row>
    <row r="1242" spans="1:23" x14ac:dyDescent="0.25">
      <c r="A1242" s="26" t="str">
        <f t="shared" si="194"/>
        <v>PRIMARIA</v>
      </c>
      <c r="B1242" s="26" t="str">
        <f>"09DPR2389S"</f>
        <v>09DPR2389S</v>
      </c>
      <c r="C1242" s="26" t="str">
        <f>"LEONARDO BRAVO                                                                                      "</f>
        <v xml:space="preserve">LEONARDO BRAVO                                                                                      </v>
      </c>
      <c r="D1242" s="26" t="str">
        <f>"MATUTINO"</f>
        <v>MATUTINO</v>
      </c>
      <c r="E1242" s="26" t="str">
        <f>"MISTERIOS 227 Y RIO CONSULADO                                                   "</f>
        <v xml:space="preserve">MISTERIOS 227 Y RIO CONSULADO                                                   </v>
      </c>
      <c r="F1242" s="26" t="str">
        <f>"PERALVILLO                                                                                                                                  "</f>
        <v xml:space="preserve">PERALVILLO                                                                                                                                  </v>
      </c>
      <c r="G1242" s="26" t="str">
        <f t="shared" si="198"/>
        <v xml:space="preserve">CUAUHTEMOC                                                                      </v>
      </c>
      <c r="H1242" s="26" t="str">
        <f>"217"</f>
        <v>217</v>
      </c>
      <c r="I1242" s="26" t="str">
        <f t="shared" si="195"/>
        <v>00</v>
      </c>
      <c r="J1242" s="26" t="str">
        <f>"42 "</f>
        <v xml:space="preserve">42 </v>
      </c>
      <c r="K1242" s="26" t="str">
        <f t="shared" si="191"/>
        <v>PR</v>
      </c>
      <c r="L1242" s="26" t="str">
        <f t="shared" si="192"/>
        <v>DGOSE</v>
      </c>
      <c r="M1242" s="26" t="str">
        <f t="shared" si="196"/>
        <v>FEDERAL</v>
      </c>
      <c r="N1242" s="26">
        <v>296</v>
      </c>
      <c r="O1242" s="26">
        <v>145</v>
      </c>
      <c r="P1242" s="26">
        <v>151</v>
      </c>
      <c r="Q1242" s="26">
        <v>12</v>
      </c>
      <c r="R1242" s="26">
        <v>1</v>
      </c>
      <c r="S1242" s="26">
        <v>11</v>
      </c>
      <c r="T1242" s="26">
        <v>10</v>
      </c>
      <c r="U1242" s="26">
        <v>22</v>
      </c>
      <c r="V1242" s="26">
        <v>1</v>
      </c>
      <c r="W1242" s="26"/>
    </row>
    <row r="1243" spans="1:23" x14ac:dyDescent="0.25">
      <c r="A1243" s="26" t="str">
        <f t="shared" si="194"/>
        <v>PRIMARIA</v>
      </c>
      <c r="B1243" s="26" t="str">
        <f>"09DPR2390H"</f>
        <v>09DPR2390H</v>
      </c>
      <c r="C1243" s="26" t="str">
        <f>"LEONARDO BRAVO                                                                                      "</f>
        <v xml:space="preserve">LEONARDO BRAVO                                                                                      </v>
      </c>
      <c r="D1243" s="26" t="str">
        <f>"VESPERTINO"</f>
        <v>VESPERTINO</v>
      </c>
      <c r="E1243" s="26" t="str">
        <f>"MISTERIOS NUM. 227 Y RIO CONSULADO                                              "</f>
        <v xml:space="preserve">MISTERIOS NUM. 227 Y RIO CONSULADO                                              </v>
      </c>
      <c r="F1243" s="26" t="str">
        <f>"PERALVILLO                                                                                                                                  "</f>
        <v xml:space="preserve">PERALVILLO                                                                                                                                  </v>
      </c>
      <c r="G1243" s="26" t="str">
        <f t="shared" si="198"/>
        <v xml:space="preserve">CUAUHTEMOC                                                                      </v>
      </c>
      <c r="H1243" s="26" t="str">
        <f>"217"</f>
        <v>217</v>
      </c>
      <c r="I1243" s="26" t="str">
        <f t="shared" si="195"/>
        <v>00</v>
      </c>
      <c r="J1243" s="26" t="str">
        <f>"42 "</f>
        <v xml:space="preserve">42 </v>
      </c>
      <c r="K1243" s="26" t="str">
        <f t="shared" si="191"/>
        <v>PR</v>
      </c>
      <c r="L1243" s="26" t="str">
        <f t="shared" si="192"/>
        <v>DGOSE</v>
      </c>
      <c r="M1243" s="26" t="str">
        <f t="shared" si="196"/>
        <v>FEDERAL</v>
      </c>
      <c r="N1243" s="26">
        <v>97</v>
      </c>
      <c r="O1243" s="26">
        <v>51</v>
      </c>
      <c r="P1243" s="26">
        <v>46</v>
      </c>
      <c r="Q1243" s="26">
        <v>6</v>
      </c>
      <c r="R1243" s="26">
        <v>1</v>
      </c>
      <c r="S1243" s="26">
        <v>5</v>
      </c>
      <c r="T1243" s="26">
        <v>9</v>
      </c>
      <c r="U1243" s="26">
        <v>15</v>
      </c>
      <c r="V1243" s="26">
        <v>1</v>
      </c>
      <c r="W1243" s="26"/>
    </row>
    <row r="1244" spans="1:23" x14ac:dyDescent="0.25">
      <c r="A1244" s="26" t="str">
        <f t="shared" si="194"/>
        <v>PRIMARIA</v>
      </c>
      <c r="B1244" s="26" t="str">
        <f>"09DPR2391G"</f>
        <v>09DPR2391G</v>
      </c>
      <c r="C1244" s="26" t="str">
        <f>"LEOPOLDO RIO DE LA LOZA                                                                             "</f>
        <v xml:space="preserve">LEOPOLDO RIO DE LA LOZA                                                                             </v>
      </c>
      <c r="D1244" s="26" t="str">
        <f>"JORNADA AMPLIADA"</f>
        <v>JORNADA AMPLIADA</v>
      </c>
      <c r="E1244" s="26" t="str">
        <f>"CONSTANCIA 35                                                                   "</f>
        <v xml:space="preserve">CONSTANCIA 35                                                                   </v>
      </c>
      <c r="F1244" s="26" t="str">
        <f>"MORELOS                                                                                                                                     "</f>
        <v xml:space="preserve">MORELOS                                                                                                                                     </v>
      </c>
      <c r="G1244" s="26" t="str">
        <f t="shared" si="198"/>
        <v xml:space="preserve">CUAUHTEMOC                                                                      </v>
      </c>
      <c r="H1244" s="26" t="str">
        <f>"119"</f>
        <v>119</v>
      </c>
      <c r="I1244" s="26" t="str">
        <f t="shared" si="195"/>
        <v>00</v>
      </c>
      <c r="J1244" s="26" t="str">
        <f>"41 "</f>
        <v xml:space="preserve">41 </v>
      </c>
      <c r="K1244" s="26" t="str">
        <f t="shared" si="191"/>
        <v>PR</v>
      </c>
      <c r="L1244" s="26" t="str">
        <f t="shared" si="192"/>
        <v>DGOSE</v>
      </c>
      <c r="M1244" s="26" t="str">
        <f t="shared" si="196"/>
        <v>FEDERAL</v>
      </c>
      <c r="N1244" s="26">
        <v>172</v>
      </c>
      <c r="O1244" s="26">
        <v>79</v>
      </c>
      <c r="P1244" s="26">
        <v>93</v>
      </c>
      <c r="Q1244" s="26">
        <v>6</v>
      </c>
      <c r="R1244" s="26">
        <v>1</v>
      </c>
      <c r="S1244" s="26">
        <v>6</v>
      </c>
      <c r="T1244" s="26">
        <v>7</v>
      </c>
      <c r="U1244" s="26">
        <v>14</v>
      </c>
      <c r="V1244" s="26">
        <v>1</v>
      </c>
      <c r="W1244" s="26" t="s">
        <v>2076</v>
      </c>
    </row>
    <row r="1245" spans="1:23" x14ac:dyDescent="0.25">
      <c r="A1245" s="26" t="str">
        <f t="shared" si="194"/>
        <v>PRIMARIA</v>
      </c>
      <c r="B1245" s="26" t="str">
        <f>"09DPR2393E"</f>
        <v>09DPR2393E</v>
      </c>
      <c r="C1245" s="26" t="str">
        <f>"JOSE MARIA PINO SUAREZ                                                                              "</f>
        <v xml:space="preserve">JOSE MARIA PINO SUAREZ                                                                              </v>
      </c>
      <c r="D1245" s="26" t="str">
        <f>"JORNADA AMPLIADA"</f>
        <v>JORNADA AMPLIADA</v>
      </c>
      <c r="E1245" s="26" t="str">
        <f>"JESUS CARRANZA NUM 83                                                           "</f>
        <v xml:space="preserve">JESUS CARRANZA NUM 83                                                           </v>
      </c>
      <c r="F1245" s="26" t="str">
        <f>"MORELOS                                                                                                                                     "</f>
        <v xml:space="preserve">MORELOS                                                                                                                                     </v>
      </c>
      <c r="G1245" s="26" t="str">
        <f t="shared" si="198"/>
        <v xml:space="preserve">CUAUHTEMOC                                                                      </v>
      </c>
      <c r="H1245" s="26" t="str">
        <f>"119"</f>
        <v>119</v>
      </c>
      <c r="I1245" s="26" t="str">
        <f t="shared" si="195"/>
        <v>00</v>
      </c>
      <c r="J1245" s="26" t="str">
        <f>"41 "</f>
        <v xml:space="preserve">41 </v>
      </c>
      <c r="K1245" s="26" t="str">
        <f t="shared" si="191"/>
        <v>PR</v>
      </c>
      <c r="L1245" s="26" t="str">
        <f t="shared" si="192"/>
        <v>DGOSE</v>
      </c>
      <c r="M1245" s="26" t="str">
        <f t="shared" si="196"/>
        <v>FEDERAL</v>
      </c>
      <c r="N1245" s="26">
        <v>180</v>
      </c>
      <c r="O1245" s="26">
        <v>99</v>
      </c>
      <c r="P1245" s="26">
        <v>81</v>
      </c>
      <c r="Q1245" s="26">
        <v>8</v>
      </c>
      <c r="R1245" s="26">
        <v>1</v>
      </c>
      <c r="S1245" s="26">
        <v>8</v>
      </c>
      <c r="T1245" s="26">
        <v>7</v>
      </c>
      <c r="U1245" s="26">
        <v>16</v>
      </c>
      <c r="V1245" s="26">
        <v>1</v>
      </c>
      <c r="W1245" s="26" t="s">
        <v>2076</v>
      </c>
    </row>
    <row r="1246" spans="1:23" x14ac:dyDescent="0.25">
      <c r="A1246" s="26" t="str">
        <f t="shared" si="194"/>
        <v>PRIMARIA</v>
      </c>
      <c r="B1246" s="26" t="str">
        <f>"09DPR2394D"</f>
        <v>09DPR2394D</v>
      </c>
      <c r="C1246" s="26" t="str">
        <f>"MAESTRO JULIAN CARRILLO                                                                             "</f>
        <v xml:space="preserve">MAESTRO JULIAN CARRILLO                                                                             </v>
      </c>
      <c r="D1246" s="26" t="str">
        <f>"VESPERTINO"</f>
        <v>VESPERTINO</v>
      </c>
      <c r="E1246" s="26" t="str">
        <f>"CARUSO NUM. 98                                                                  "</f>
        <v xml:space="preserve">CARUSO NUM. 98                                                                  </v>
      </c>
      <c r="F1246" s="26" t="str">
        <f>"PERALVILLO                                                                                                                                  "</f>
        <v xml:space="preserve">PERALVILLO                                                                                                                                  </v>
      </c>
      <c r="G1246" s="26" t="str">
        <f t="shared" si="198"/>
        <v xml:space="preserve">CUAUHTEMOC                                                                      </v>
      </c>
      <c r="H1246" s="26" t="str">
        <f>"217"</f>
        <v>217</v>
      </c>
      <c r="I1246" s="26" t="str">
        <f t="shared" si="195"/>
        <v>00</v>
      </c>
      <c r="J1246" s="26" t="str">
        <f>"42 "</f>
        <v xml:space="preserve">42 </v>
      </c>
      <c r="K1246" s="26" t="str">
        <f t="shared" si="191"/>
        <v>PR</v>
      </c>
      <c r="L1246" s="26" t="str">
        <f t="shared" si="192"/>
        <v>DGOSE</v>
      </c>
      <c r="M1246" s="26" t="str">
        <f t="shared" si="196"/>
        <v>FEDERAL</v>
      </c>
      <c r="N1246" s="26">
        <v>141</v>
      </c>
      <c r="O1246" s="26">
        <v>82</v>
      </c>
      <c r="P1246" s="26">
        <v>59</v>
      </c>
      <c r="Q1246" s="26">
        <v>6</v>
      </c>
      <c r="R1246" s="26">
        <v>1</v>
      </c>
      <c r="S1246" s="26">
        <v>6</v>
      </c>
      <c r="T1246" s="26">
        <v>5</v>
      </c>
      <c r="U1246" s="26">
        <v>12</v>
      </c>
      <c r="V1246" s="26">
        <v>1</v>
      </c>
      <c r="W1246" s="26"/>
    </row>
    <row r="1247" spans="1:23" x14ac:dyDescent="0.25">
      <c r="A1247" s="26" t="str">
        <f t="shared" si="194"/>
        <v>PRIMARIA</v>
      </c>
      <c r="B1247" s="26" t="str">
        <f>"09DPR2395C"</f>
        <v>09DPR2395C</v>
      </c>
      <c r="C1247" s="26" t="str">
        <f>"PROFR. SABINO RODRIGUEZ                                                                             "</f>
        <v xml:space="preserve">PROFR. SABINO RODRIGUEZ                                                                             </v>
      </c>
      <c r="D1247" s="26" t="str">
        <f>"TIEMPO COMPLETO"</f>
        <v>TIEMPO COMPLETO</v>
      </c>
      <c r="E1247" s="26" t="str">
        <f>"BAHIAS SANTA BARBARA Y DESCANSO                                                 "</f>
        <v xml:space="preserve">BAHIAS SANTA BARBARA Y DESCANSO                                                 </v>
      </c>
      <c r="F1247" s="26" t="str">
        <f>"HUASTECA                                                                                                                                    "</f>
        <v xml:space="preserve">HUASTECA                                                                                                                                    </v>
      </c>
      <c r="G1247" s="26" t="str">
        <f>"MIGUEL HIDALGO                                                                  "</f>
        <v xml:space="preserve">MIGUEL HIDALGO                                                                  </v>
      </c>
      <c r="H1247" s="26" t="str">
        <f>"117"</f>
        <v>117</v>
      </c>
      <c r="I1247" s="26" t="str">
        <f t="shared" si="195"/>
        <v>00</v>
      </c>
      <c r="J1247" s="26" t="str">
        <f>"41 "</f>
        <v xml:space="preserve">41 </v>
      </c>
      <c r="K1247" s="26" t="str">
        <f t="shared" si="191"/>
        <v>PR</v>
      </c>
      <c r="L1247" s="26" t="str">
        <f t="shared" si="192"/>
        <v>DGOSE</v>
      </c>
      <c r="M1247" s="26" t="str">
        <f t="shared" si="196"/>
        <v>FEDERAL</v>
      </c>
      <c r="N1247" s="26">
        <v>554</v>
      </c>
      <c r="O1247" s="26">
        <v>297</v>
      </c>
      <c r="P1247" s="26">
        <v>257</v>
      </c>
      <c r="Q1247" s="26">
        <v>18</v>
      </c>
      <c r="R1247" s="26">
        <v>1</v>
      </c>
      <c r="S1247" s="26">
        <v>18</v>
      </c>
      <c r="T1247" s="26">
        <v>19</v>
      </c>
      <c r="U1247" s="26">
        <v>38</v>
      </c>
      <c r="V1247" s="26">
        <v>1</v>
      </c>
      <c r="W1247" s="26" t="s">
        <v>218</v>
      </c>
    </row>
    <row r="1248" spans="1:23" x14ac:dyDescent="0.25">
      <c r="A1248" s="26" t="str">
        <f t="shared" si="194"/>
        <v>PRIMARIA</v>
      </c>
      <c r="B1248" s="26" t="str">
        <f>"09DPR2396B"</f>
        <v>09DPR2396B</v>
      </c>
      <c r="C1248" s="26" t="str">
        <f>"IGNACIO ALLENDE                                                                                     "</f>
        <v xml:space="preserve">IGNACIO ALLENDE                                                                                     </v>
      </c>
      <c r="D1248" s="26" t="str">
        <f>"VESPERTINO"</f>
        <v>VESPERTINO</v>
      </c>
      <c r="E1248" s="26" t="str">
        <f>"PLOMO NUM 113                                                                   "</f>
        <v xml:space="preserve">PLOMO NUM 113                                                                   </v>
      </c>
      <c r="F1248" s="26" t="str">
        <f>"VALLE GOMEZ                                                                                                                                 "</f>
        <v xml:space="preserve">VALLE GOMEZ                                                                                                                                 </v>
      </c>
      <c r="G1248" s="26" t="str">
        <f>"VENUSTIANO CARRANZA                                                             "</f>
        <v xml:space="preserve">VENUSTIANO CARRANZA                                                             </v>
      </c>
      <c r="H1248" s="26" t="str">
        <f>"343"</f>
        <v>343</v>
      </c>
      <c r="I1248" s="26" t="str">
        <f t="shared" si="195"/>
        <v>00</v>
      </c>
      <c r="J1248" s="26" t="str">
        <f>"43 "</f>
        <v xml:space="preserve">43 </v>
      </c>
      <c r="K1248" s="26" t="str">
        <f t="shared" si="191"/>
        <v>PR</v>
      </c>
      <c r="L1248" s="26" t="str">
        <f t="shared" si="192"/>
        <v>DGOSE</v>
      </c>
      <c r="M1248" s="26" t="str">
        <f t="shared" si="196"/>
        <v>FEDERAL</v>
      </c>
      <c r="N1248" s="26">
        <v>82</v>
      </c>
      <c r="O1248" s="26">
        <v>45</v>
      </c>
      <c r="P1248" s="26">
        <v>37</v>
      </c>
      <c r="Q1248" s="26">
        <v>5</v>
      </c>
      <c r="R1248" s="26">
        <v>1</v>
      </c>
      <c r="S1248" s="26">
        <v>5</v>
      </c>
      <c r="T1248" s="26">
        <v>3</v>
      </c>
      <c r="U1248" s="26">
        <v>9</v>
      </c>
      <c r="V1248" s="26">
        <v>1</v>
      </c>
      <c r="W1248" s="26"/>
    </row>
    <row r="1249" spans="1:23" x14ac:dyDescent="0.25">
      <c r="A1249" s="26" t="str">
        <f t="shared" si="194"/>
        <v>PRIMARIA</v>
      </c>
      <c r="B1249" s="26" t="str">
        <f>"09DPR2398Z"</f>
        <v>09DPR2398Z</v>
      </c>
      <c r="C1249" s="26" t="str">
        <f>"MANUEL M. PONCE                                                                                     "</f>
        <v xml:space="preserve">MANUEL M. PONCE                                                                                     </v>
      </c>
      <c r="D1249" s="26" t="str">
        <f>"VESPERTINO"</f>
        <v>VESPERTINO</v>
      </c>
      <c r="E1249" s="26" t="str">
        <f>"CALZADA DEL PEÑON Y REFINERIA S/N                                               "</f>
        <v xml:space="preserve">CALZADA DEL PEÑON Y REFINERIA S/N                                               </v>
      </c>
      <c r="F1249" s="26" t="str">
        <f>"AZTECA                                                                                                                                      "</f>
        <v xml:space="preserve">AZTECA                                                                                                                                      </v>
      </c>
      <c r="G1249" s="26" t="str">
        <f>"VENUSTIANO CARRANZA                                                             "</f>
        <v xml:space="preserve">VENUSTIANO CARRANZA                                                             </v>
      </c>
      <c r="H1249" s="26" t="str">
        <f>"344"</f>
        <v>344</v>
      </c>
      <c r="I1249" s="26" t="str">
        <f t="shared" si="195"/>
        <v>00</v>
      </c>
      <c r="J1249" s="26" t="str">
        <f>"43 "</f>
        <v xml:space="preserve">43 </v>
      </c>
      <c r="K1249" s="26" t="str">
        <f t="shared" si="191"/>
        <v>PR</v>
      </c>
      <c r="L1249" s="26" t="str">
        <f t="shared" si="192"/>
        <v>DGOSE</v>
      </c>
      <c r="M1249" s="26" t="str">
        <f t="shared" si="196"/>
        <v>FEDERAL</v>
      </c>
      <c r="N1249" s="26">
        <v>65</v>
      </c>
      <c r="O1249" s="26">
        <v>39</v>
      </c>
      <c r="P1249" s="26">
        <v>26</v>
      </c>
      <c r="Q1249" s="26">
        <v>5</v>
      </c>
      <c r="R1249" s="26">
        <v>1</v>
      </c>
      <c r="S1249" s="26">
        <v>5</v>
      </c>
      <c r="T1249" s="26">
        <v>2</v>
      </c>
      <c r="U1249" s="26">
        <v>8</v>
      </c>
      <c r="V1249" s="26">
        <v>1</v>
      </c>
      <c r="W1249" s="26"/>
    </row>
    <row r="1250" spans="1:23" x14ac:dyDescent="0.25">
      <c r="A1250" s="26" t="str">
        <f t="shared" si="194"/>
        <v>PRIMARIA</v>
      </c>
      <c r="B1250" s="26" t="str">
        <f>"09DPR2400Y"</f>
        <v>09DPR2400Y</v>
      </c>
      <c r="C1250" s="26" t="str">
        <f>"LISANDRO CALDERON                                                                                   "</f>
        <v xml:space="preserve">LISANDRO CALDERON                                                                                   </v>
      </c>
      <c r="D1250" s="26" t="str">
        <f>"JORNADA AMPLIADA"</f>
        <v>JORNADA AMPLIADA</v>
      </c>
      <c r="E1250" s="26" t="str">
        <f>"CALZADA DE GUADALUPE NUM. 166                                                   "</f>
        <v xml:space="preserve">CALZADA DE GUADALUPE NUM. 166                                                   </v>
      </c>
      <c r="F1250" s="26" t="str">
        <f>"PERALVILLO                                                                                                                                  "</f>
        <v xml:space="preserve">PERALVILLO                                                                                                                                  </v>
      </c>
      <c r="G1250" s="26" t="str">
        <f>"CUAUHTEMOC                                                                      "</f>
        <v xml:space="preserve">CUAUHTEMOC                                                                      </v>
      </c>
      <c r="H1250" s="26" t="str">
        <f>"118"</f>
        <v>118</v>
      </c>
      <c r="I1250" s="26" t="str">
        <f t="shared" si="195"/>
        <v>00</v>
      </c>
      <c r="J1250" s="26" t="str">
        <f>"41 "</f>
        <v xml:space="preserve">41 </v>
      </c>
      <c r="K1250" s="26" t="str">
        <f t="shared" si="191"/>
        <v>PR</v>
      </c>
      <c r="L1250" s="26" t="str">
        <f t="shared" si="192"/>
        <v>DGOSE</v>
      </c>
      <c r="M1250" s="26" t="str">
        <f t="shared" si="196"/>
        <v>FEDERAL</v>
      </c>
      <c r="N1250" s="26">
        <v>346</v>
      </c>
      <c r="O1250" s="26">
        <v>189</v>
      </c>
      <c r="P1250" s="26">
        <v>157</v>
      </c>
      <c r="Q1250" s="26">
        <v>13</v>
      </c>
      <c r="R1250" s="26">
        <v>1</v>
      </c>
      <c r="S1250" s="26">
        <v>13</v>
      </c>
      <c r="T1250" s="26">
        <v>9</v>
      </c>
      <c r="U1250" s="26">
        <v>23</v>
      </c>
      <c r="V1250" s="26">
        <v>1</v>
      </c>
      <c r="W1250" s="26" t="s">
        <v>2076</v>
      </c>
    </row>
    <row r="1251" spans="1:23" x14ac:dyDescent="0.25">
      <c r="A1251" s="26" t="str">
        <f t="shared" si="194"/>
        <v>PRIMARIA</v>
      </c>
      <c r="B1251" s="26" t="str">
        <f>"09DPR2402W"</f>
        <v>09DPR2402W</v>
      </c>
      <c r="C1251" s="26" t="str">
        <f>"PROFR. JACINTO N. CHAGOYA                                                                           "</f>
        <v xml:space="preserve">PROFR. JACINTO N. CHAGOYA                                                                           </v>
      </c>
      <c r="D1251" s="26" t="str">
        <f>"JORNADA AMPLIADA"</f>
        <v>JORNADA AMPLIADA</v>
      </c>
      <c r="E1251" s="26" t="str">
        <f>"RICARDO BELL NUM 95                                                             "</f>
        <v xml:space="preserve">RICARDO BELL NUM 95                                                             </v>
      </c>
      <c r="F1251" s="26" t="str">
        <f>"PERALVILLO                                                                                                                                  "</f>
        <v xml:space="preserve">PERALVILLO                                                                                                                                  </v>
      </c>
      <c r="G1251" s="26" t="str">
        <f>"CUAUHTEMOC                                                                      "</f>
        <v xml:space="preserve">CUAUHTEMOC                                                                      </v>
      </c>
      <c r="H1251" s="26" t="str">
        <f>"118"</f>
        <v>118</v>
      </c>
      <c r="I1251" s="26" t="str">
        <f t="shared" si="195"/>
        <v>00</v>
      </c>
      <c r="J1251" s="26" t="str">
        <f>"41 "</f>
        <v xml:space="preserve">41 </v>
      </c>
      <c r="K1251" s="26" t="str">
        <f t="shared" si="191"/>
        <v>PR</v>
      </c>
      <c r="L1251" s="26" t="str">
        <f t="shared" si="192"/>
        <v>DGOSE</v>
      </c>
      <c r="M1251" s="26" t="str">
        <f t="shared" si="196"/>
        <v>FEDERAL</v>
      </c>
      <c r="N1251" s="26">
        <v>272</v>
      </c>
      <c r="O1251" s="26">
        <v>148</v>
      </c>
      <c r="P1251" s="26">
        <v>124</v>
      </c>
      <c r="Q1251" s="26">
        <v>12</v>
      </c>
      <c r="R1251" s="26">
        <v>1</v>
      </c>
      <c r="S1251" s="26">
        <v>12</v>
      </c>
      <c r="T1251" s="26">
        <v>6</v>
      </c>
      <c r="U1251" s="26">
        <v>19</v>
      </c>
      <c r="V1251" s="26">
        <v>1</v>
      </c>
      <c r="W1251" s="26" t="s">
        <v>2076</v>
      </c>
    </row>
    <row r="1252" spans="1:23" x14ac:dyDescent="0.25">
      <c r="A1252" s="26" t="str">
        <f t="shared" si="194"/>
        <v>PRIMARIA</v>
      </c>
      <c r="B1252" s="26" t="str">
        <f>"09DPR2406S"</f>
        <v>09DPR2406S</v>
      </c>
      <c r="C1252" s="26" t="str">
        <f>"GRAL. MIGUEL ALEMAN                                                                                 "</f>
        <v xml:space="preserve">GRAL. MIGUEL ALEMAN                                                                                 </v>
      </c>
      <c r="D1252" s="26" t="str">
        <f>"MATUTINO"</f>
        <v>MATUTINO</v>
      </c>
      <c r="E1252" s="26" t="str">
        <f>"JARDINEROS Y AV. DEL TRABAJO                                                    "</f>
        <v xml:space="preserve">JARDINEROS Y AV. DEL TRABAJO                                                    </v>
      </c>
      <c r="F1252" s="26" t="str">
        <f>"MORELOS                                                                                                                                     "</f>
        <v xml:space="preserve">MORELOS                                                                                                                                     </v>
      </c>
      <c r="G1252" s="26" t="str">
        <f>"VENUSTIANO CARRANZA                                                             "</f>
        <v xml:space="preserve">VENUSTIANO CARRANZA                                                             </v>
      </c>
      <c r="H1252" s="26" t="str">
        <f>"343"</f>
        <v>343</v>
      </c>
      <c r="I1252" s="26" t="str">
        <f t="shared" si="195"/>
        <v>00</v>
      </c>
      <c r="J1252" s="26" t="str">
        <f>"43 "</f>
        <v xml:space="preserve">43 </v>
      </c>
      <c r="K1252" s="26" t="str">
        <f t="shared" si="191"/>
        <v>PR</v>
      </c>
      <c r="L1252" s="26" t="str">
        <f t="shared" si="192"/>
        <v>DGOSE</v>
      </c>
      <c r="M1252" s="26" t="str">
        <f t="shared" si="196"/>
        <v>FEDERAL</v>
      </c>
      <c r="N1252" s="26">
        <v>316</v>
      </c>
      <c r="O1252" s="26">
        <v>162</v>
      </c>
      <c r="P1252" s="26">
        <v>154</v>
      </c>
      <c r="Q1252" s="26">
        <v>12</v>
      </c>
      <c r="R1252" s="26">
        <v>1</v>
      </c>
      <c r="S1252" s="26">
        <v>12</v>
      </c>
      <c r="T1252" s="26">
        <v>7</v>
      </c>
      <c r="U1252" s="26">
        <v>20</v>
      </c>
      <c r="V1252" s="26">
        <v>1</v>
      </c>
      <c r="W1252" s="26"/>
    </row>
    <row r="1253" spans="1:23" x14ac:dyDescent="0.25">
      <c r="A1253" s="26" t="str">
        <f t="shared" si="194"/>
        <v>PRIMARIA</v>
      </c>
      <c r="B1253" s="26" t="str">
        <f>"09DPR2407R"</f>
        <v>09DPR2407R</v>
      </c>
      <c r="C1253" s="26" t="str">
        <f>"GABRIEL LEYVA SOLANO                                                                                "</f>
        <v xml:space="preserve">GABRIEL LEYVA SOLANO                                                                                </v>
      </c>
      <c r="D1253" s="26" t="str">
        <f>"JORNADA AMPLIADA"</f>
        <v>JORNADA AMPLIADA</v>
      </c>
      <c r="E1253" s="26" t="str">
        <f>"CONSTANTINO NUM. 35                                                             "</f>
        <v xml:space="preserve">CONSTANTINO NUM. 35                                                             </v>
      </c>
      <c r="F1253" s="26" t="str">
        <f>"EX-HIPODROMO DE PERALVILLO                                                                                                                  "</f>
        <v xml:space="preserve">EX-HIPODROMO DE PERALVILLO                                                                                                                  </v>
      </c>
      <c r="G1253" s="26" t="str">
        <f>"CUAUHTEMOC                                                                      "</f>
        <v xml:space="preserve">CUAUHTEMOC                                                                      </v>
      </c>
      <c r="H1253" s="26" t="str">
        <f>"119"</f>
        <v>119</v>
      </c>
      <c r="I1253" s="26" t="str">
        <f t="shared" si="195"/>
        <v>00</v>
      </c>
      <c r="J1253" s="26" t="str">
        <f>"41 "</f>
        <v xml:space="preserve">41 </v>
      </c>
      <c r="K1253" s="26" t="str">
        <f t="shared" si="191"/>
        <v>PR</v>
      </c>
      <c r="L1253" s="26" t="str">
        <f t="shared" si="192"/>
        <v>DGOSE</v>
      </c>
      <c r="M1253" s="26" t="str">
        <f t="shared" si="196"/>
        <v>FEDERAL</v>
      </c>
      <c r="N1253" s="26">
        <v>302</v>
      </c>
      <c r="O1253" s="26">
        <v>161</v>
      </c>
      <c r="P1253" s="26">
        <v>141</v>
      </c>
      <c r="Q1253" s="26">
        <v>12</v>
      </c>
      <c r="R1253" s="26">
        <v>1</v>
      </c>
      <c r="S1253" s="26">
        <v>12</v>
      </c>
      <c r="T1253" s="26">
        <v>9</v>
      </c>
      <c r="U1253" s="26">
        <v>22</v>
      </c>
      <c r="V1253" s="26">
        <v>1</v>
      </c>
      <c r="W1253" s="26" t="s">
        <v>2076</v>
      </c>
    </row>
    <row r="1254" spans="1:23" x14ac:dyDescent="0.25">
      <c r="A1254" s="26" t="str">
        <f t="shared" si="194"/>
        <v>PRIMARIA</v>
      </c>
      <c r="B1254" s="26" t="str">
        <f>"09DPR2408Q"</f>
        <v>09DPR2408Q</v>
      </c>
      <c r="C1254" s="26" t="str">
        <f>"REPUBLICA DE HONDURAS                                                                               "</f>
        <v xml:space="preserve">REPUBLICA DE HONDURAS                                                                               </v>
      </c>
      <c r="D1254" s="26" t="str">
        <f>"JORNADA AMPLIADA"</f>
        <v>JORNADA AMPLIADA</v>
      </c>
      <c r="E1254" s="26" t="str">
        <f>"HEROES NUM 121                                                                  "</f>
        <v xml:space="preserve">HEROES NUM 121                                                                  </v>
      </c>
      <c r="F1254" s="26" t="str">
        <f>"GUERRERO                                                                                                                                    "</f>
        <v xml:space="preserve">GUERRERO                                                                                                                                    </v>
      </c>
      <c r="G1254" s="26" t="str">
        <f>"CUAUHTEMOC                                                                      "</f>
        <v xml:space="preserve">CUAUHTEMOC                                                                      </v>
      </c>
      <c r="H1254" s="26" t="str">
        <f>"122"</f>
        <v>122</v>
      </c>
      <c r="I1254" s="26" t="str">
        <f t="shared" si="195"/>
        <v>00</v>
      </c>
      <c r="J1254" s="26" t="str">
        <f>"41 "</f>
        <v xml:space="preserve">41 </v>
      </c>
      <c r="K1254" s="26" t="str">
        <f t="shared" si="191"/>
        <v>PR</v>
      </c>
      <c r="L1254" s="26" t="str">
        <f t="shared" si="192"/>
        <v>DGOSE</v>
      </c>
      <c r="M1254" s="26" t="str">
        <f t="shared" si="196"/>
        <v>FEDERAL</v>
      </c>
      <c r="N1254" s="26">
        <v>182</v>
      </c>
      <c r="O1254" s="26">
        <v>95</v>
      </c>
      <c r="P1254" s="26">
        <v>87</v>
      </c>
      <c r="Q1254" s="26">
        <v>6</v>
      </c>
      <c r="R1254" s="26">
        <v>1</v>
      </c>
      <c r="S1254" s="26">
        <v>6</v>
      </c>
      <c r="T1254" s="26">
        <v>7</v>
      </c>
      <c r="U1254" s="26">
        <v>14</v>
      </c>
      <c r="V1254" s="26">
        <v>1</v>
      </c>
      <c r="W1254" s="26" t="s">
        <v>2076</v>
      </c>
    </row>
    <row r="1255" spans="1:23" x14ac:dyDescent="0.25">
      <c r="A1255" s="26" t="str">
        <f t="shared" si="194"/>
        <v>PRIMARIA</v>
      </c>
      <c r="B1255" s="26" t="str">
        <f>"09DPR2409P"</f>
        <v>09DPR2409P</v>
      </c>
      <c r="C1255" s="26" t="str">
        <f>"DR. MIGUEL SILVA                                                                                    "</f>
        <v xml:space="preserve">DR. MIGUEL SILVA                                                                                    </v>
      </c>
      <c r="D1255" s="26" t="str">
        <f>"JORNADA AMPLIADA"</f>
        <v>JORNADA AMPLIADA</v>
      </c>
      <c r="E1255" s="26" t="str">
        <f>"AV EDUARDO MOLINA NO 43                                                         "</f>
        <v xml:space="preserve">AV EDUARDO MOLINA NO 43                                                         </v>
      </c>
      <c r="F1255" s="26" t="str">
        <f>"20 DE NOVIEMBRE                                                                                                                             "</f>
        <v xml:space="preserve">20 DE NOVIEMBRE                                                                                                                             </v>
      </c>
      <c r="G1255" s="26" t="str">
        <f>"VENUSTIANO CARRANZA                                                             "</f>
        <v xml:space="preserve">VENUSTIANO CARRANZA                                                             </v>
      </c>
      <c r="H1255" s="26" t="str">
        <f>"419"</f>
        <v>419</v>
      </c>
      <c r="I1255" s="26" t="str">
        <f t="shared" si="195"/>
        <v>00</v>
      </c>
      <c r="J1255" s="26" t="str">
        <f>"44 "</f>
        <v xml:space="preserve">44 </v>
      </c>
      <c r="K1255" s="26" t="str">
        <f t="shared" si="191"/>
        <v>PR</v>
      </c>
      <c r="L1255" s="26" t="str">
        <f t="shared" si="192"/>
        <v>DGOSE</v>
      </c>
      <c r="M1255" s="26" t="str">
        <f t="shared" si="196"/>
        <v>FEDERAL</v>
      </c>
      <c r="N1255" s="26">
        <v>390</v>
      </c>
      <c r="O1255" s="26">
        <v>192</v>
      </c>
      <c r="P1255" s="26">
        <v>198</v>
      </c>
      <c r="Q1255" s="26">
        <v>12</v>
      </c>
      <c r="R1255" s="26">
        <v>1</v>
      </c>
      <c r="S1255" s="26">
        <v>12</v>
      </c>
      <c r="T1255" s="26">
        <v>10</v>
      </c>
      <c r="U1255" s="26">
        <v>23</v>
      </c>
      <c r="V1255" s="26">
        <v>1</v>
      </c>
      <c r="W1255" s="26" t="s">
        <v>2076</v>
      </c>
    </row>
    <row r="1256" spans="1:23" x14ac:dyDescent="0.25">
      <c r="A1256" s="26" t="str">
        <f t="shared" si="194"/>
        <v>PRIMARIA</v>
      </c>
      <c r="B1256" s="26" t="str">
        <f>"09DPR2410E"</f>
        <v>09DPR2410E</v>
      </c>
      <c r="C1256" s="26" t="str">
        <f>"PROFRA. VICENTA TRUJILLO                                                                            "</f>
        <v xml:space="preserve">PROFRA. VICENTA TRUJILLO                                                                            </v>
      </c>
      <c r="D1256" s="26" t="str">
        <f>"VESPERTINO"</f>
        <v>VESPERTINO</v>
      </c>
      <c r="E1256" s="26" t="str">
        <f>"LERDO NUM 246                                                                   "</f>
        <v xml:space="preserve">LERDO NUM 246                                                                   </v>
      </c>
      <c r="F1256" s="26" t="str">
        <f>"UNIDAD NONOALCO TLATELOLCO                                                                                                                  "</f>
        <v xml:space="preserve">UNIDAD NONOALCO TLATELOLCO                                                                                                                  </v>
      </c>
      <c r="G1256" s="26" t="str">
        <f t="shared" ref="G1256:G1261" si="199">"CUAUHTEMOC                                                                      "</f>
        <v xml:space="preserve">CUAUHTEMOC                                                                      </v>
      </c>
      <c r="H1256" s="26" t="str">
        <f>"217"</f>
        <v>217</v>
      </c>
      <c r="I1256" s="26" t="str">
        <f t="shared" si="195"/>
        <v>00</v>
      </c>
      <c r="J1256" s="26" t="str">
        <f>"42 "</f>
        <v xml:space="preserve">42 </v>
      </c>
      <c r="K1256" s="26" t="str">
        <f t="shared" si="191"/>
        <v>PR</v>
      </c>
      <c r="L1256" s="26" t="str">
        <f t="shared" si="192"/>
        <v>DGOSE</v>
      </c>
      <c r="M1256" s="26" t="str">
        <f t="shared" si="196"/>
        <v>FEDERAL</v>
      </c>
      <c r="N1256" s="26">
        <v>97</v>
      </c>
      <c r="O1256" s="26">
        <v>41</v>
      </c>
      <c r="P1256" s="26">
        <v>56</v>
      </c>
      <c r="Q1256" s="26">
        <v>6</v>
      </c>
      <c r="R1256" s="26">
        <v>1</v>
      </c>
      <c r="S1256" s="26">
        <v>6</v>
      </c>
      <c r="T1256" s="26">
        <v>4</v>
      </c>
      <c r="U1256" s="26">
        <v>11</v>
      </c>
      <c r="V1256" s="26">
        <v>1</v>
      </c>
      <c r="W1256" s="26"/>
    </row>
    <row r="1257" spans="1:23" x14ac:dyDescent="0.25">
      <c r="A1257" s="26" t="str">
        <f t="shared" si="194"/>
        <v>PRIMARIA</v>
      </c>
      <c r="B1257" s="26" t="str">
        <f>"09DPR2411D"</f>
        <v>09DPR2411D</v>
      </c>
      <c r="C1257" s="26" t="str">
        <f>"DOLORES CORREA ZAPATA                                                                               "</f>
        <v xml:space="preserve">DOLORES CORREA ZAPATA                                                                               </v>
      </c>
      <c r="D1257" s="26" t="str">
        <f>"JORNADA AMPLIADA"</f>
        <v>JORNADA AMPLIADA</v>
      </c>
      <c r="E1257" s="26" t="str">
        <f>"JAIME NUNO NUM. 39                                                              "</f>
        <v xml:space="preserve">JAIME NUNO NUM. 39                                                              </v>
      </c>
      <c r="F1257" s="26" t="str">
        <f>"MORELOS AMPLIACION                                                                                                                          "</f>
        <v xml:space="preserve">MORELOS AMPLIACION                                                                                                                          </v>
      </c>
      <c r="G1257" s="26" t="str">
        <f t="shared" si="199"/>
        <v xml:space="preserve">CUAUHTEMOC                                                                      </v>
      </c>
      <c r="H1257" s="26" t="str">
        <f>"122"</f>
        <v>122</v>
      </c>
      <c r="I1257" s="26" t="str">
        <f t="shared" si="195"/>
        <v>00</v>
      </c>
      <c r="J1257" s="26" t="str">
        <f>"41 "</f>
        <v xml:space="preserve">41 </v>
      </c>
      <c r="K1257" s="26" t="str">
        <f t="shared" si="191"/>
        <v>PR</v>
      </c>
      <c r="L1257" s="26" t="str">
        <f t="shared" si="192"/>
        <v>DGOSE</v>
      </c>
      <c r="M1257" s="26" t="str">
        <f t="shared" si="196"/>
        <v>FEDERAL</v>
      </c>
      <c r="N1257" s="26">
        <v>276</v>
      </c>
      <c r="O1257" s="26">
        <v>148</v>
      </c>
      <c r="P1257" s="26">
        <v>128</v>
      </c>
      <c r="Q1257" s="26">
        <v>9</v>
      </c>
      <c r="R1257" s="26">
        <v>1</v>
      </c>
      <c r="S1257" s="26">
        <v>9</v>
      </c>
      <c r="T1257" s="26">
        <v>8</v>
      </c>
      <c r="U1257" s="26">
        <v>18</v>
      </c>
      <c r="V1257" s="26">
        <v>1</v>
      </c>
      <c r="W1257" s="26" t="s">
        <v>2076</v>
      </c>
    </row>
    <row r="1258" spans="1:23" x14ac:dyDescent="0.25">
      <c r="A1258" s="26" t="str">
        <f t="shared" si="194"/>
        <v>PRIMARIA</v>
      </c>
      <c r="B1258" s="26" t="str">
        <f>"09DPR2414A"</f>
        <v>09DPR2414A</v>
      </c>
      <c r="C1258" s="26" t="str">
        <f>"EZEQUIEL A. CHAVEZ                                                                                  "</f>
        <v xml:space="preserve">EZEQUIEL A. CHAVEZ                                                                                  </v>
      </c>
      <c r="D1258" s="26" t="str">
        <f>"VESPERTINO"</f>
        <v>VESPERTINO</v>
      </c>
      <c r="E1258" s="26" t="str">
        <f>"MIRTO NUM 11                                                                    "</f>
        <v xml:space="preserve">MIRTO NUM 11                                                                    </v>
      </c>
      <c r="F1258" s="26" t="str">
        <f>"SANTA MARIA LA RIBERA                                                                                                                       "</f>
        <v xml:space="preserve">SANTA MARIA LA RIBERA                                                                                                                       </v>
      </c>
      <c r="G1258" s="26" t="str">
        <f t="shared" si="199"/>
        <v xml:space="preserve">CUAUHTEMOC                                                                      </v>
      </c>
      <c r="H1258" s="26" t="str">
        <f>"219"</f>
        <v>219</v>
      </c>
      <c r="I1258" s="26" t="str">
        <f t="shared" si="195"/>
        <v>00</v>
      </c>
      <c r="J1258" s="26" t="str">
        <f>"42 "</f>
        <v xml:space="preserve">42 </v>
      </c>
      <c r="K1258" s="26" t="str">
        <f t="shared" si="191"/>
        <v>PR</v>
      </c>
      <c r="L1258" s="26" t="str">
        <f t="shared" si="192"/>
        <v>DGOSE</v>
      </c>
      <c r="M1258" s="26" t="str">
        <f t="shared" si="196"/>
        <v>FEDERAL</v>
      </c>
      <c r="N1258" s="26">
        <v>183</v>
      </c>
      <c r="O1258" s="26">
        <v>108</v>
      </c>
      <c r="P1258" s="26">
        <v>75</v>
      </c>
      <c r="Q1258" s="26">
        <v>12</v>
      </c>
      <c r="R1258" s="26">
        <v>1</v>
      </c>
      <c r="S1258" s="26">
        <v>10</v>
      </c>
      <c r="T1258" s="26">
        <v>7</v>
      </c>
      <c r="U1258" s="26">
        <v>18</v>
      </c>
      <c r="V1258" s="26">
        <v>1</v>
      </c>
      <c r="W1258" s="26"/>
    </row>
    <row r="1259" spans="1:23" x14ac:dyDescent="0.25">
      <c r="A1259" s="26" t="str">
        <f t="shared" si="194"/>
        <v>PRIMARIA</v>
      </c>
      <c r="B1259" s="26" t="str">
        <f>"09DPR2415Z"</f>
        <v>09DPR2415Z</v>
      </c>
      <c r="C1259" s="26" t="str">
        <f>"FLORENCIO M. DEL CASTILLO                                                                           "</f>
        <v xml:space="preserve">FLORENCIO M. DEL CASTILLO                                                                           </v>
      </c>
      <c r="D1259" s="26" t="str">
        <f>"VESPERTINO"</f>
        <v>VESPERTINO</v>
      </c>
      <c r="E1259" s="26" t="str">
        <f>"SERAPIO RENDON NUM 48                                                           "</f>
        <v xml:space="preserve">SERAPIO RENDON NUM 48                                                           </v>
      </c>
      <c r="F1259" s="26" t="str">
        <f>"SAN RAFAEL                                                                                                                                  "</f>
        <v xml:space="preserve">SAN RAFAEL                                                                                                                                  </v>
      </c>
      <c r="G1259" s="26" t="str">
        <f t="shared" si="199"/>
        <v xml:space="preserve">CUAUHTEMOC                                                                      </v>
      </c>
      <c r="H1259" s="26" t="str">
        <f>"220"</f>
        <v>220</v>
      </c>
      <c r="I1259" s="26" t="str">
        <f t="shared" si="195"/>
        <v>00</v>
      </c>
      <c r="J1259" s="26" t="str">
        <f>"42 "</f>
        <v xml:space="preserve">42 </v>
      </c>
      <c r="K1259" s="26" t="str">
        <f t="shared" si="191"/>
        <v>PR</v>
      </c>
      <c r="L1259" s="26" t="str">
        <f t="shared" si="192"/>
        <v>DGOSE</v>
      </c>
      <c r="M1259" s="26" t="str">
        <f t="shared" si="196"/>
        <v>FEDERAL</v>
      </c>
      <c r="N1259" s="26">
        <v>106</v>
      </c>
      <c r="O1259" s="26">
        <v>57</v>
      </c>
      <c r="P1259" s="26">
        <v>49</v>
      </c>
      <c r="Q1259" s="26">
        <v>6</v>
      </c>
      <c r="R1259" s="26">
        <v>1</v>
      </c>
      <c r="S1259" s="26">
        <v>6</v>
      </c>
      <c r="T1259" s="26">
        <v>6</v>
      </c>
      <c r="U1259" s="26">
        <v>13</v>
      </c>
      <c r="V1259" s="26">
        <v>1</v>
      </c>
      <c r="W1259" s="26"/>
    </row>
    <row r="1260" spans="1:23" x14ac:dyDescent="0.25">
      <c r="A1260" s="26" t="str">
        <f t="shared" si="194"/>
        <v>PRIMARIA</v>
      </c>
      <c r="B1260" s="26" t="str">
        <f>"09DPR2417Y"</f>
        <v>09DPR2417Y</v>
      </c>
      <c r="C1260" s="26" t="str">
        <f>"DR. HECTOR PEREZ MARTINEZ                                                                           "</f>
        <v xml:space="preserve">DR. HECTOR PEREZ MARTINEZ                                                                           </v>
      </c>
      <c r="D1260" s="26" t="str">
        <f>"JORNADA AMPLIADA"</f>
        <v>JORNADA AMPLIADA</v>
      </c>
      <c r="E1260" s="26" t="str">
        <f>"OYAMEL S/N                                                                      "</f>
        <v xml:space="preserve">OYAMEL S/N                                                                      </v>
      </c>
      <c r="F1260" s="26" t="str">
        <f>"ATLAMPA                                                                                                                                     "</f>
        <v xml:space="preserve">ATLAMPA                                                                                                                                     </v>
      </c>
      <c r="G1260" s="26" t="str">
        <f t="shared" si="199"/>
        <v xml:space="preserve">CUAUHTEMOC                                                                      </v>
      </c>
      <c r="H1260" s="26" t="str">
        <f>"121"</f>
        <v>121</v>
      </c>
      <c r="I1260" s="26" t="str">
        <f t="shared" si="195"/>
        <v>00</v>
      </c>
      <c r="J1260" s="26" t="str">
        <f>"41 "</f>
        <v xml:space="preserve">41 </v>
      </c>
      <c r="K1260" s="26" t="str">
        <f t="shared" si="191"/>
        <v>PR</v>
      </c>
      <c r="L1260" s="26" t="str">
        <f t="shared" si="192"/>
        <v>DGOSE</v>
      </c>
      <c r="M1260" s="26" t="str">
        <f t="shared" si="196"/>
        <v>FEDERAL</v>
      </c>
      <c r="N1260" s="26">
        <v>148</v>
      </c>
      <c r="O1260" s="26">
        <v>73</v>
      </c>
      <c r="P1260" s="26">
        <v>75</v>
      </c>
      <c r="Q1260" s="26">
        <v>6</v>
      </c>
      <c r="R1260" s="26">
        <v>1</v>
      </c>
      <c r="S1260" s="26">
        <v>6</v>
      </c>
      <c r="T1260" s="26">
        <v>7</v>
      </c>
      <c r="U1260" s="26">
        <v>14</v>
      </c>
      <c r="V1260" s="26">
        <v>1</v>
      </c>
      <c r="W1260" s="26" t="s">
        <v>2076</v>
      </c>
    </row>
    <row r="1261" spans="1:23" x14ac:dyDescent="0.25">
      <c r="A1261" s="26" t="str">
        <f t="shared" si="194"/>
        <v>PRIMARIA</v>
      </c>
      <c r="B1261" s="26" t="str">
        <f>"09DPR2420L"</f>
        <v>09DPR2420L</v>
      </c>
      <c r="C1261" s="26" t="str">
        <f>"FRAY LUIS DE LEON                                                                                   "</f>
        <v xml:space="preserve">FRAY LUIS DE LEON                                                                                   </v>
      </c>
      <c r="D1261" s="26" t="str">
        <f>"VESPERTINO"</f>
        <v>VESPERTINO</v>
      </c>
      <c r="E1261" s="26" t="str">
        <f>"PEDRO MORENO NUM 141 Y HEROES                                                   "</f>
        <v xml:space="preserve">PEDRO MORENO NUM 141 Y HEROES                                                   </v>
      </c>
      <c r="F1261" s="26" t="str">
        <f>"GUERRERO                                                                                                                                    "</f>
        <v xml:space="preserve">GUERRERO                                                                                                                                    </v>
      </c>
      <c r="G1261" s="26" t="str">
        <f t="shared" si="199"/>
        <v xml:space="preserve">CUAUHTEMOC                                                                      </v>
      </c>
      <c r="H1261" s="26" t="str">
        <f>"219"</f>
        <v>219</v>
      </c>
      <c r="I1261" s="26" t="str">
        <f t="shared" si="195"/>
        <v>00</v>
      </c>
      <c r="J1261" s="26" t="str">
        <f>"42 "</f>
        <v xml:space="preserve">42 </v>
      </c>
      <c r="K1261" s="26" t="str">
        <f t="shared" si="191"/>
        <v>PR</v>
      </c>
      <c r="L1261" s="26" t="str">
        <f t="shared" si="192"/>
        <v>DGOSE</v>
      </c>
      <c r="M1261" s="26" t="str">
        <f t="shared" si="196"/>
        <v>FEDERAL</v>
      </c>
      <c r="N1261" s="26">
        <v>108</v>
      </c>
      <c r="O1261" s="26">
        <v>53</v>
      </c>
      <c r="P1261" s="26">
        <v>55</v>
      </c>
      <c r="Q1261" s="26">
        <v>6</v>
      </c>
      <c r="R1261" s="26">
        <v>1</v>
      </c>
      <c r="S1261" s="26">
        <v>6</v>
      </c>
      <c r="T1261" s="26">
        <v>6</v>
      </c>
      <c r="U1261" s="26">
        <v>13</v>
      </c>
      <c r="V1261" s="26">
        <v>1</v>
      </c>
      <c r="W1261" s="26"/>
    </row>
    <row r="1262" spans="1:23" x14ac:dyDescent="0.25">
      <c r="A1262" s="26" t="str">
        <f t="shared" si="194"/>
        <v>PRIMARIA</v>
      </c>
      <c r="B1262" s="26" t="str">
        <f>"09DPR2424H"</f>
        <v>09DPR2424H</v>
      </c>
      <c r="C1262" s="26" t="str">
        <f>"MAO TSE TUNG                                                                                        "</f>
        <v xml:space="preserve">MAO TSE TUNG                                                                                        </v>
      </c>
      <c r="D1262" s="26" t="str">
        <f>"MATUTINO"</f>
        <v>MATUTINO</v>
      </c>
      <c r="E1262" s="26" t="str">
        <f>"SANTOS DEGOLLADO NUM 16                                                         "</f>
        <v xml:space="preserve">SANTOS DEGOLLADO NUM 16                                                         </v>
      </c>
      <c r="F1262" s="26" t="str">
        <f>"BENITO JUAREZ  FRACCIONAMIENTO                                                                                                              "</f>
        <v xml:space="preserve">BENITO JUAREZ  FRACCIONAMIENTO                                                                                                              </v>
      </c>
      <c r="G1262" s="26" t="str">
        <f>"IZTACALCO                                                                       "</f>
        <v xml:space="preserve">IZTACALCO                                                                       </v>
      </c>
      <c r="H1262" s="26" t="str">
        <f>"360"</f>
        <v>360</v>
      </c>
      <c r="I1262" s="26" t="str">
        <f t="shared" si="195"/>
        <v>00</v>
      </c>
      <c r="J1262" s="26" t="str">
        <f>"43 "</f>
        <v xml:space="preserve">43 </v>
      </c>
      <c r="K1262" s="26" t="str">
        <f t="shared" si="191"/>
        <v>PR</v>
      </c>
      <c r="L1262" s="26" t="str">
        <f t="shared" si="192"/>
        <v>DGOSE</v>
      </c>
      <c r="M1262" s="26" t="str">
        <f t="shared" si="196"/>
        <v>FEDERAL</v>
      </c>
      <c r="N1262" s="26">
        <v>189</v>
      </c>
      <c r="O1262" s="26">
        <v>75</v>
      </c>
      <c r="P1262" s="26">
        <v>114</v>
      </c>
      <c r="Q1262" s="26">
        <v>7</v>
      </c>
      <c r="R1262" s="26">
        <v>1</v>
      </c>
      <c r="S1262" s="26">
        <v>7</v>
      </c>
      <c r="T1262" s="26">
        <v>7</v>
      </c>
      <c r="U1262" s="26">
        <v>15</v>
      </c>
      <c r="V1262" s="26">
        <v>1</v>
      </c>
      <c r="W1262" s="26"/>
    </row>
    <row r="1263" spans="1:23" x14ac:dyDescent="0.25">
      <c r="A1263" s="26" t="str">
        <f t="shared" si="194"/>
        <v>PRIMARIA</v>
      </c>
      <c r="B1263" s="26" t="str">
        <f>"09DPR2425G"</f>
        <v>09DPR2425G</v>
      </c>
      <c r="C1263" s="26" t="str">
        <f>"PROFR. GUILLERMO SHERWELL                                                                           "</f>
        <v xml:space="preserve">PROFR. GUILLERMO SHERWELL                                                                           </v>
      </c>
      <c r="D1263" s="26" t="str">
        <f>"JORNADA AMPLIADA"</f>
        <v>JORNADA AMPLIADA</v>
      </c>
      <c r="E1263" s="26" t="str">
        <f>"CALLE X S/N                                                                     "</f>
        <v xml:space="preserve">CALLE X S/N                                                                     </v>
      </c>
      <c r="F1263" s="26" t="str">
        <f>"UNIDAD HABITACIONAL ALIANZA POPULAR                                                                                                         "</f>
        <v xml:space="preserve">UNIDAD HABITACIONAL ALIANZA POPULAR                                                                                                         </v>
      </c>
      <c r="G1263" s="26" t="str">
        <f>"COYOACAN                                                                        "</f>
        <v xml:space="preserve">COYOACAN                                                                        </v>
      </c>
      <c r="H1263" s="26" t="str">
        <f>"443"</f>
        <v>443</v>
      </c>
      <c r="I1263" s="26" t="str">
        <f t="shared" si="195"/>
        <v>00</v>
      </c>
      <c r="J1263" s="26" t="str">
        <f>"44 "</f>
        <v xml:space="preserve">44 </v>
      </c>
      <c r="K1263" s="26" t="str">
        <f t="shared" ref="K1263" si="200">"PR"</f>
        <v>PR</v>
      </c>
      <c r="L1263" s="26" t="str">
        <f t="shared" ref="L1263" si="201">"DGOSE"</f>
        <v>DGOSE</v>
      </c>
      <c r="M1263" s="26" t="str">
        <f t="shared" si="196"/>
        <v>FEDERAL</v>
      </c>
      <c r="N1263" s="26">
        <v>308</v>
      </c>
      <c r="O1263" s="26">
        <v>165</v>
      </c>
      <c r="P1263" s="26">
        <v>143</v>
      </c>
      <c r="Q1263" s="26">
        <v>10</v>
      </c>
      <c r="R1263" s="26">
        <v>1</v>
      </c>
      <c r="S1263" s="26">
        <v>8</v>
      </c>
      <c r="T1263" s="26">
        <v>8</v>
      </c>
      <c r="U1263" s="26">
        <v>17</v>
      </c>
      <c r="V1263" s="26">
        <v>1</v>
      </c>
      <c r="W1263" s="26" t="s">
        <v>2076</v>
      </c>
    </row>
    <row r="1264" spans="1:23" x14ac:dyDescent="0.25">
      <c r="A1264" s="26" t="str">
        <f t="shared" si="194"/>
        <v>PRIMARIA</v>
      </c>
      <c r="B1264" s="26" t="str">
        <f>"09DPR2426F"</f>
        <v>09DPR2426F</v>
      </c>
      <c r="C1264" s="26" t="str">
        <f>"PROFR. LUIS GUEVARA RAMIREZ                                                                         "</f>
        <v xml:space="preserve">PROFR. LUIS GUEVARA RAMIREZ                                                                         </v>
      </c>
      <c r="D1264" s="26" t="str">
        <f>"MATUTINO"</f>
        <v>MATUTINO</v>
      </c>
      <c r="E1264" s="26" t="str">
        <f>"CALZ. SAN LORENZO S/N.                                                          "</f>
        <v xml:space="preserve">CALZ. SAN LORENZO S/N.                                                          </v>
      </c>
      <c r="F1264" s="26" t="str">
        <f>"UNIDAD HABITACIONAL BELLAVISTA                                                                                                              "</f>
        <v xml:space="preserve">UNIDAD HABITACIONAL BELLAVISTA                                                                                                              </v>
      </c>
      <c r="G1264" s="26" t="str">
        <f>"IZTAPALAPA                                                                      "</f>
        <v xml:space="preserve">IZTAPALAPA                                                                      </v>
      </c>
      <c r="H1264" s="26" t="str">
        <f>"044"</f>
        <v>044</v>
      </c>
      <c r="I1264" s="26" t="str">
        <f t="shared" si="195"/>
        <v>00</v>
      </c>
      <c r="J1264" s="26" t="str">
        <f>"63 "</f>
        <v xml:space="preserve">63 </v>
      </c>
      <c r="K1264" s="26" t="str">
        <f>"IZ"</f>
        <v>IZ</v>
      </c>
      <c r="L1264" s="26" t="str">
        <f>"DGSEI"</f>
        <v>DGSEI</v>
      </c>
      <c r="M1264" s="26" t="str">
        <f t="shared" si="196"/>
        <v>FEDERAL</v>
      </c>
      <c r="N1264" s="26">
        <v>478</v>
      </c>
      <c r="O1264" s="26">
        <v>232</v>
      </c>
      <c r="P1264" s="26">
        <v>246</v>
      </c>
      <c r="Q1264" s="26">
        <v>16</v>
      </c>
      <c r="R1264" s="26">
        <v>1</v>
      </c>
      <c r="S1264" s="26">
        <v>14</v>
      </c>
      <c r="T1264" s="26">
        <v>7</v>
      </c>
      <c r="U1264" s="26">
        <v>22</v>
      </c>
      <c r="V1264" s="26">
        <v>1</v>
      </c>
      <c r="W1264" s="26"/>
    </row>
    <row r="1265" spans="1:23" x14ac:dyDescent="0.25">
      <c r="A1265" s="26" t="str">
        <f t="shared" si="194"/>
        <v>PRIMARIA</v>
      </c>
      <c r="B1265" s="26" t="str">
        <f>"09DPR2427E"</f>
        <v>09DPR2427E</v>
      </c>
      <c r="C1265" s="26" t="str">
        <f>"ESTADO DE VERACRUZ                                                                                  "</f>
        <v xml:space="preserve">ESTADO DE VERACRUZ                                                                                  </v>
      </c>
      <c r="D1265" s="26" t="str">
        <f>"JORNADA AMPLIADA"</f>
        <v>JORNADA AMPLIADA</v>
      </c>
      <c r="E1265" s="26" t="str">
        <f>"ZARCO NUM 55                                                                    "</f>
        <v xml:space="preserve">ZARCO NUM 55                                                                    </v>
      </c>
      <c r="F1265" s="26" t="str">
        <f>"GUERRERO                                                                                                                                    "</f>
        <v xml:space="preserve">GUERRERO                                                                                                                                    </v>
      </c>
      <c r="G1265" s="26" t="str">
        <f>"CUAUHTEMOC                                                                      "</f>
        <v xml:space="preserve">CUAUHTEMOC                                                                      </v>
      </c>
      <c r="H1265" s="26" t="str">
        <f>"122"</f>
        <v>122</v>
      </c>
      <c r="I1265" s="26" t="str">
        <f t="shared" si="195"/>
        <v>00</v>
      </c>
      <c r="J1265" s="26" t="str">
        <f>"41 "</f>
        <v xml:space="preserve">41 </v>
      </c>
      <c r="K1265" s="26" t="str">
        <f t="shared" ref="K1265:K1283" si="202">"PR"</f>
        <v>PR</v>
      </c>
      <c r="L1265" s="26" t="str">
        <f t="shared" ref="L1265:L1283" si="203">"DGOSE"</f>
        <v>DGOSE</v>
      </c>
      <c r="M1265" s="26" t="str">
        <f t="shared" si="196"/>
        <v>FEDERAL</v>
      </c>
      <c r="N1265" s="26">
        <v>299</v>
      </c>
      <c r="O1265" s="26">
        <v>147</v>
      </c>
      <c r="P1265" s="26">
        <v>152</v>
      </c>
      <c r="Q1265" s="26">
        <v>11</v>
      </c>
      <c r="R1265" s="26">
        <v>1</v>
      </c>
      <c r="S1265" s="26">
        <v>11</v>
      </c>
      <c r="T1265" s="26">
        <v>11</v>
      </c>
      <c r="U1265" s="26">
        <v>23</v>
      </c>
      <c r="V1265" s="26">
        <v>1</v>
      </c>
      <c r="W1265" s="26" t="s">
        <v>2076</v>
      </c>
    </row>
    <row r="1266" spans="1:23" x14ac:dyDescent="0.25">
      <c r="A1266" s="26" t="str">
        <f t="shared" si="194"/>
        <v>PRIMARIA</v>
      </c>
      <c r="B1266" s="26" t="str">
        <f>"09DPR2428D"</f>
        <v>09DPR2428D</v>
      </c>
      <c r="C1266" s="26" t="str">
        <f>"ESTADO DE TAMAULIPAS                                                                                "</f>
        <v xml:space="preserve">ESTADO DE TAMAULIPAS                                                                                </v>
      </c>
      <c r="D1266" s="26" t="str">
        <f>"JORNADA AMPLIADA"</f>
        <v>JORNADA AMPLIADA</v>
      </c>
      <c r="E1266" s="26" t="str">
        <f>"AV DEL TALLER NO 344                                                            "</f>
        <v xml:space="preserve">AV DEL TALLER NO 344                                                            </v>
      </c>
      <c r="F1266" s="26" t="str">
        <f>"EL PARQUE                                                                                                                                   "</f>
        <v xml:space="preserve">EL PARQUE                                                                                                                                   </v>
      </c>
      <c r="G1266" s="26" t="str">
        <f>"VENUSTIANO CARRANZA                                                             "</f>
        <v xml:space="preserve">VENUSTIANO CARRANZA                                                             </v>
      </c>
      <c r="H1266" s="26" t="str">
        <f>"424"</f>
        <v>424</v>
      </c>
      <c r="I1266" s="26" t="str">
        <f t="shared" si="195"/>
        <v>00</v>
      </c>
      <c r="J1266" s="26" t="str">
        <f>"44 "</f>
        <v xml:space="preserve">44 </v>
      </c>
      <c r="K1266" s="26" t="str">
        <f t="shared" si="202"/>
        <v>PR</v>
      </c>
      <c r="L1266" s="26" t="str">
        <f t="shared" si="203"/>
        <v>DGOSE</v>
      </c>
      <c r="M1266" s="26" t="str">
        <f t="shared" si="196"/>
        <v>FEDERAL</v>
      </c>
      <c r="N1266" s="26">
        <v>348</v>
      </c>
      <c r="O1266" s="26">
        <v>163</v>
      </c>
      <c r="P1266" s="26">
        <v>185</v>
      </c>
      <c r="Q1266" s="26">
        <v>12</v>
      </c>
      <c r="R1266" s="26">
        <v>1</v>
      </c>
      <c r="S1266" s="26">
        <v>12</v>
      </c>
      <c r="T1266" s="26">
        <v>12</v>
      </c>
      <c r="U1266" s="26">
        <v>25</v>
      </c>
      <c r="V1266" s="26">
        <v>1</v>
      </c>
      <c r="W1266" s="26" t="s">
        <v>2076</v>
      </c>
    </row>
    <row r="1267" spans="1:23" x14ac:dyDescent="0.25">
      <c r="A1267" s="26" t="str">
        <f t="shared" si="194"/>
        <v>PRIMARIA</v>
      </c>
      <c r="B1267" s="26" t="str">
        <f>"09DPR2429C"</f>
        <v>09DPR2429C</v>
      </c>
      <c r="C1267" s="26" t="str">
        <f>"CRISTOBAL COLON                                                                                     "</f>
        <v xml:space="preserve">CRISTOBAL COLON                                                                                     </v>
      </c>
      <c r="D1267" s="26" t="str">
        <f>"JORNADA AMPLIADA"</f>
        <v>JORNADA AMPLIADA</v>
      </c>
      <c r="E1267" s="26" t="str">
        <f>"CORREGIDORA NUM 83                                                              "</f>
        <v xml:space="preserve">CORREGIDORA NUM 83                                                              </v>
      </c>
      <c r="F1267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1267" s="26" t="str">
        <f t="shared" ref="G1267:G1272" si="204">"CUAUHTEMOC                                                                      "</f>
        <v xml:space="preserve">CUAUHTEMOC                                                                      </v>
      </c>
      <c r="H1267" s="26" t="str">
        <f>"130"</f>
        <v>130</v>
      </c>
      <c r="I1267" s="26" t="str">
        <f t="shared" si="195"/>
        <v>00</v>
      </c>
      <c r="J1267" s="26" t="str">
        <f t="shared" ref="J1267:J1272" si="205">"41 "</f>
        <v xml:space="preserve">41 </v>
      </c>
      <c r="K1267" s="26" t="str">
        <f t="shared" si="202"/>
        <v>PR</v>
      </c>
      <c r="L1267" s="26" t="str">
        <f t="shared" si="203"/>
        <v>DGOSE</v>
      </c>
      <c r="M1267" s="26" t="str">
        <f t="shared" si="196"/>
        <v>FEDERAL</v>
      </c>
      <c r="N1267" s="26">
        <v>106</v>
      </c>
      <c r="O1267" s="26">
        <v>47</v>
      </c>
      <c r="P1267" s="26">
        <v>59</v>
      </c>
      <c r="Q1267" s="26">
        <v>6</v>
      </c>
      <c r="R1267" s="26">
        <v>1</v>
      </c>
      <c r="S1267" s="26">
        <v>6</v>
      </c>
      <c r="T1267" s="26">
        <v>6</v>
      </c>
      <c r="U1267" s="26">
        <v>13</v>
      </c>
      <c r="V1267" s="26">
        <v>1</v>
      </c>
      <c r="W1267" s="26" t="s">
        <v>2076</v>
      </c>
    </row>
    <row r="1268" spans="1:23" x14ac:dyDescent="0.25">
      <c r="A1268" s="26" t="str">
        <f t="shared" si="194"/>
        <v>PRIMARIA</v>
      </c>
      <c r="B1268" s="26" t="str">
        <f>"09DPR2430S"</f>
        <v>09DPR2430S</v>
      </c>
      <c r="C1268" s="26" t="str">
        <f>"FRANCISCO DIAZ COVARRUBIAS                                                                          "</f>
        <v xml:space="preserve">FRANCISCO DIAZ COVARRUBIAS                                                                          </v>
      </c>
      <c r="D1268" s="26" t="str">
        <f>"JORNADA AMPLIADA"</f>
        <v>JORNADA AMPLIADA</v>
      </c>
      <c r="E1268" s="26" t="str">
        <f>"CALZ VALLEJO NO 1                                                               "</f>
        <v xml:space="preserve">CALZ VALLEJO NO 1                                                               </v>
      </c>
      <c r="F1268" s="26" t="str">
        <f>"SAN SIMON TOLNAHUAC                                                                                                                         "</f>
        <v xml:space="preserve">SAN SIMON TOLNAHUAC                                                                                                                         </v>
      </c>
      <c r="G1268" s="26" t="str">
        <f t="shared" si="204"/>
        <v xml:space="preserve">CUAUHTEMOC                                                                      </v>
      </c>
      <c r="H1268" s="26" t="str">
        <f>"118"</f>
        <v>118</v>
      </c>
      <c r="I1268" s="26" t="str">
        <f t="shared" si="195"/>
        <v>00</v>
      </c>
      <c r="J1268" s="26" t="str">
        <f t="shared" si="205"/>
        <v xml:space="preserve">41 </v>
      </c>
      <c r="K1268" s="26" t="str">
        <f t="shared" si="202"/>
        <v>PR</v>
      </c>
      <c r="L1268" s="26" t="str">
        <f t="shared" si="203"/>
        <v>DGOSE</v>
      </c>
      <c r="M1268" s="26" t="str">
        <f t="shared" si="196"/>
        <v>FEDERAL</v>
      </c>
      <c r="N1268" s="26">
        <v>321</v>
      </c>
      <c r="O1268" s="26">
        <v>149</v>
      </c>
      <c r="P1268" s="26">
        <v>172</v>
      </c>
      <c r="Q1268" s="26">
        <v>12</v>
      </c>
      <c r="R1268" s="26">
        <v>1</v>
      </c>
      <c r="S1268" s="26">
        <v>12</v>
      </c>
      <c r="T1268" s="26">
        <v>10</v>
      </c>
      <c r="U1268" s="26">
        <v>23</v>
      </c>
      <c r="V1268" s="26">
        <v>1</v>
      </c>
      <c r="W1268" s="26" t="s">
        <v>2076</v>
      </c>
    </row>
    <row r="1269" spans="1:23" x14ac:dyDescent="0.25">
      <c r="A1269" s="26" t="str">
        <f t="shared" si="194"/>
        <v>PRIMARIA</v>
      </c>
      <c r="B1269" s="26" t="str">
        <f>"09DPR2431R"</f>
        <v>09DPR2431R</v>
      </c>
      <c r="C1269" s="26" t="str">
        <f>"FRAY BARTOLOME DE LAS CASAS                                                                         "</f>
        <v xml:space="preserve">FRAY BARTOLOME DE LAS CASAS                                                                         </v>
      </c>
      <c r="D1269" s="26" t="str">
        <f>"TIEMPO COMPLETO"</f>
        <v>TIEMPO COMPLETO</v>
      </c>
      <c r="E1269" s="26" t="str">
        <f>"ZARAGOZA NUM 64                                                                 "</f>
        <v xml:space="preserve">ZARAGOZA NUM 64                                                                 </v>
      </c>
      <c r="F1269" s="26" t="str">
        <f>"BUENAVISTA                                                                                                                                  "</f>
        <v xml:space="preserve">BUENAVISTA                                                                                                                                  </v>
      </c>
      <c r="G1269" s="26" t="str">
        <f t="shared" si="204"/>
        <v xml:space="preserve">CUAUHTEMOC                                                                      </v>
      </c>
      <c r="H1269" s="26" t="str">
        <f>"127"</f>
        <v>127</v>
      </c>
      <c r="I1269" s="26" t="str">
        <f t="shared" si="195"/>
        <v>00</v>
      </c>
      <c r="J1269" s="26" t="str">
        <f t="shared" si="205"/>
        <v xml:space="preserve">41 </v>
      </c>
      <c r="K1269" s="26" t="str">
        <f t="shared" si="202"/>
        <v>PR</v>
      </c>
      <c r="L1269" s="26" t="str">
        <f t="shared" si="203"/>
        <v>DGOSE</v>
      </c>
      <c r="M1269" s="26" t="str">
        <f t="shared" si="196"/>
        <v>FEDERAL</v>
      </c>
      <c r="N1269" s="26">
        <v>284</v>
      </c>
      <c r="O1269" s="26">
        <v>146</v>
      </c>
      <c r="P1269" s="26">
        <v>138</v>
      </c>
      <c r="Q1269" s="26">
        <v>12</v>
      </c>
      <c r="R1269" s="26">
        <v>1</v>
      </c>
      <c r="S1269" s="26">
        <v>12</v>
      </c>
      <c r="T1269" s="26">
        <v>10</v>
      </c>
      <c r="U1269" s="26">
        <v>23</v>
      </c>
      <c r="V1269" s="26">
        <v>1</v>
      </c>
      <c r="W1269" s="26" t="s">
        <v>218</v>
      </c>
    </row>
    <row r="1270" spans="1:23" x14ac:dyDescent="0.25">
      <c r="A1270" s="26" t="str">
        <f t="shared" si="194"/>
        <v>PRIMARIA</v>
      </c>
      <c r="B1270" s="26" t="str">
        <f>"09DPR2432Q"</f>
        <v>09DPR2432Q</v>
      </c>
      <c r="C1270" s="26" t="str">
        <f>"FRAY MELCHOR DE TALAMANTES                                                                          "</f>
        <v xml:space="preserve">FRAY MELCHOR DE TALAMANTES                                                                          </v>
      </c>
      <c r="D1270" s="26" t="str">
        <f>"TIEMPO COMPLETO"</f>
        <v>TIEMPO COMPLETO</v>
      </c>
      <c r="E1270" s="26" t="str">
        <f>"CALZ. RICARDO FLORES M. NUM 165                                                 "</f>
        <v xml:space="preserve">CALZ. RICARDO FLORES M. NUM 165                                                 </v>
      </c>
      <c r="F1270" s="26" t="str">
        <f>"UNIDAD NONOALCO TLATELOLCO                                                                                                                  "</f>
        <v xml:space="preserve">UNIDAD NONOALCO TLATELOLCO                                                                                                                  </v>
      </c>
      <c r="G1270" s="26" t="str">
        <f t="shared" si="204"/>
        <v xml:space="preserve">CUAUHTEMOC                                                                      </v>
      </c>
      <c r="H1270" s="26" t="str">
        <f>"121"</f>
        <v>121</v>
      </c>
      <c r="I1270" s="26" t="str">
        <f t="shared" si="195"/>
        <v>00</v>
      </c>
      <c r="J1270" s="26" t="str">
        <f t="shared" si="205"/>
        <v xml:space="preserve">41 </v>
      </c>
      <c r="K1270" s="26" t="str">
        <f t="shared" si="202"/>
        <v>PR</v>
      </c>
      <c r="L1270" s="26" t="str">
        <f t="shared" si="203"/>
        <v>DGOSE</v>
      </c>
      <c r="M1270" s="26" t="str">
        <f t="shared" si="196"/>
        <v>FEDERAL</v>
      </c>
      <c r="N1270" s="26">
        <v>590</v>
      </c>
      <c r="O1270" s="26">
        <v>291</v>
      </c>
      <c r="P1270" s="26">
        <v>299</v>
      </c>
      <c r="Q1270" s="26">
        <v>17</v>
      </c>
      <c r="R1270" s="26">
        <v>1</v>
      </c>
      <c r="S1270" s="26">
        <v>17</v>
      </c>
      <c r="T1270" s="26">
        <v>21</v>
      </c>
      <c r="U1270" s="26">
        <v>39</v>
      </c>
      <c r="V1270" s="26">
        <v>1</v>
      </c>
      <c r="W1270" s="26" t="s">
        <v>218</v>
      </c>
    </row>
    <row r="1271" spans="1:23" x14ac:dyDescent="0.25">
      <c r="A1271" s="26" t="str">
        <f t="shared" si="194"/>
        <v>PRIMARIA</v>
      </c>
      <c r="B1271" s="26" t="str">
        <f>"09DPR2434O"</f>
        <v>09DPR2434O</v>
      </c>
      <c r="C1271" s="26" t="str">
        <f>"FRANCISCO MEDINA ASCENCIO                                                                           "</f>
        <v xml:space="preserve">FRANCISCO MEDINA ASCENCIO                                                                           </v>
      </c>
      <c r="D1271" s="26" t="str">
        <f>"JORNADA AMPLIADA"</f>
        <v>JORNADA AMPLIADA</v>
      </c>
      <c r="E1271" s="26" t="str">
        <f>"MANUEL GONZALEZ NUM. 180                                                        "</f>
        <v xml:space="preserve">MANUEL GONZALEZ NUM. 180                                                        </v>
      </c>
      <c r="F1271" s="26" t="str">
        <f>"UNIDAD NONOALCO TLATELOLCO                                                                                                                  "</f>
        <v xml:space="preserve">UNIDAD NONOALCO TLATELOLCO                                                                                                                  </v>
      </c>
      <c r="G1271" s="26" t="str">
        <f t="shared" si="204"/>
        <v xml:space="preserve">CUAUHTEMOC                                                                      </v>
      </c>
      <c r="H1271" s="26" t="str">
        <f>"118"</f>
        <v>118</v>
      </c>
      <c r="I1271" s="26" t="str">
        <f t="shared" si="195"/>
        <v>00</v>
      </c>
      <c r="J1271" s="26" t="str">
        <f t="shared" si="205"/>
        <v xml:space="preserve">41 </v>
      </c>
      <c r="K1271" s="26" t="str">
        <f t="shared" si="202"/>
        <v>PR</v>
      </c>
      <c r="L1271" s="26" t="str">
        <f t="shared" si="203"/>
        <v>DGOSE</v>
      </c>
      <c r="M1271" s="26" t="str">
        <f t="shared" si="196"/>
        <v>FEDERAL</v>
      </c>
      <c r="N1271" s="26">
        <v>392</v>
      </c>
      <c r="O1271" s="26">
        <v>190</v>
      </c>
      <c r="P1271" s="26">
        <v>202</v>
      </c>
      <c r="Q1271" s="26">
        <v>15</v>
      </c>
      <c r="R1271" s="26">
        <v>1</v>
      </c>
      <c r="S1271" s="26">
        <v>15</v>
      </c>
      <c r="T1271" s="26">
        <v>11</v>
      </c>
      <c r="U1271" s="26">
        <v>27</v>
      </c>
      <c r="V1271" s="26">
        <v>1</v>
      </c>
      <c r="W1271" s="26" t="s">
        <v>2076</v>
      </c>
    </row>
    <row r="1272" spans="1:23" x14ac:dyDescent="0.25">
      <c r="A1272" s="26" t="str">
        <f t="shared" si="194"/>
        <v>PRIMARIA</v>
      </c>
      <c r="B1272" s="26" t="str">
        <f>"09DPR2435N"</f>
        <v>09DPR2435N</v>
      </c>
      <c r="C1272" s="26" t="str">
        <f>"FRANCISCO GONZALEZ BOCANEGRA                                                                        "</f>
        <v xml:space="preserve">FRANCISCO GONZALEZ BOCANEGRA                                                                        </v>
      </c>
      <c r="D1272" s="26" t="str">
        <f>"TIEMPO COMPLETO"</f>
        <v>TIEMPO COMPLETO</v>
      </c>
      <c r="E1272" s="26" t="str">
        <f>"VICENTE RIVA PALACIO NUM 59                                                     "</f>
        <v xml:space="preserve">VICENTE RIVA PALACIO NUM 59                                                     </v>
      </c>
      <c r="F1272" s="26" t="str">
        <f>"GUERRERO                                                                                                                                    "</f>
        <v xml:space="preserve">GUERRERO                                                                                                                                    </v>
      </c>
      <c r="G1272" s="26" t="str">
        <f t="shared" si="204"/>
        <v xml:space="preserve">CUAUHTEMOC                                                                      </v>
      </c>
      <c r="H1272" s="26" t="str">
        <f>"122"</f>
        <v>122</v>
      </c>
      <c r="I1272" s="26" t="str">
        <f t="shared" si="195"/>
        <v>00</v>
      </c>
      <c r="J1272" s="26" t="str">
        <f t="shared" si="205"/>
        <v xml:space="preserve">41 </v>
      </c>
      <c r="K1272" s="26" t="str">
        <f t="shared" si="202"/>
        <v>PR</v>
      </c>
      <c r="L1272" s="26" t="str">
        <f t="shared" si="203"/>
        <v>DGOSE</v>
      </c>
      <c r="M1272" s="26" t="str">
        <f t="shared" si="196"/>
        <v>FEDERAL</v>
      </c>
      <c r="N1272" s="26">
        <v>147</v>
      </c>
      <c r="O1272" s="26">
        <v>69</v>
      </c>
      <c r="P1272" s="26">
        <v>78</v>
      </c>
      <c r="Q1272" s="26">
        <v>7</v>
      </c>
      <c r="R1272" s="26">
        <v>1</v>
      </c>
      <c r="S1272" s="26">
        <v>7</v>
      </c>
      <c r="T1272" s="26">
        <v>10</v>
      </c>
      <c r="U1272" s="26">
        <v>18</v>
      </c>
      <c r="V1272" s="26">
        <v>1</v>
      </c>
      <c r="W1272" s="26" t="s">
        <v>218</v>
      </c>
    </row>
    <row r="1273" spans="1:23" x14ac:dyDescent="0.25">
      <c r="A1273" s="26" t="str">
        <f t="shared" si="194"/>
        <v>PRIMARIA</v>
      </c>
      <c r="B1273" s="26" t="str">
        <f>"09DPR2436M"</f>
        <v>09DPR2436M</v>
      </c>
      <c r="C1273" s="26" t="str">
        <f>"ESTADO DE MICHOACAN                                                                                 "</f>
        <v xml:space="preserve">ESTADO DE MICHOACAN                                                                                 </v>
      </c>
      <c r="D1273" s="26" t="str">
        <f>"MATUTINO"</f>
        <v>MATUTINO</v>
      </c>
      <c r="E1273" s="26" t="str">
        <f>"PROLONGACION PLOMEROS S/N                                                       "</f>
        <v xml:space="preserve">PROLONGACION PLOMEROS S/N                                                       </v>
      </c>
      <c r="F1273" s="26" t="str">
        <f>"MICHOACANA                                                                                                                                  "</f>
        <v xml:space="preserve">MICHOACANA                                                                                                                                  </v>
      </c>
      <c r="G1273" s="26" t="str">
        <f>"VENUSTIANO CARRANZA                                                             "</f>
        <v xml:space="preserve">VENUSTIANO CARRANZA                                                             </v>
      </c>
      <c r="H1273" s="26" t="str">
        <f>"342"</f>
        <v>342</v>
      </c>
      <c r="I1273" s="26" t="str">
        <f t="shared" si="195"/>
        <v>00</v>
      </c>
      <c r="J1273" s="26" t="str">
        <f>"43 "</f>
        <v xml:space="preserve">43 </v>
      </c>
      <c r="K1273" s="26" t="str">
        <f t="shared" si="202"/>
        <v>PR</v>
      </c>
      <c r="L1273" s="26" t="str">
        <f t="shared" si="203"/>
        <v>DGOSE</v>
      </c>
      <c r="M1273" s="26" t="str">
        <f t="shared" si="196"/>
        <v>FEDERAL</v>
      </c>
      <c r="N1273" s="26">
        <v>549</v>
      </c>
      <c r="O1273" s="26">
        <v>269</v>
      </c>
      <c r="P1273" s="26">
        <v>280</v>
      </c>
      <c r="Q1273" s="26">
        <v>20</v>
      </c>
      <c r="R1273" s="26">
        <v>1</v>
      </c>
      <c r="S1273" s="26">
        <v>20</v>
      </c>
      <c r="T1273" s="26">
        <v>12</v>
      </c>
      <c r="U1273" s="26">
        <v>33</v>
      </c>
      <c r="V1273" s="26">
        <v>1</v>
      </c>
      <c r="W1273" s="26"/>
    </row>
    <row r="1274" spans="1:23" x14ac:dyDescent="0.25">
      <c r="A1274" s="26" t="str">
        <f t="shared" si="194"/>
        <v>PRIMARIA</v>
      </c>
      <c r="B1274" s="26" t="str">
        <f>"09DPR2438K"</f>
        <v>09DPR2438K</v>
      </c>
      <c r="C1274" s="26" t="str">
        <f>"ESTADO DE MICHOACAN                                                                                 "</f>
        <v xml:space="preserve">ESTADO DE MICHOACAN                                                                                 </v>
      </c>
      <c r="D1274" s="26" t="str">
        <f>"VESPERTINO"</f>
        <v>VESPERTINO</v>
      </c>
      <c r="E1274" s="26" t="str">
        <f>"PROLONGACION PLOMEROS S/N                                                       "</f>
        <v xml:space="preserve">PROLONGACION PLOMEROS S/N                                                       </v>
      </c>
      <c r="F1274" s="26" t="str">
        <f>"MICHOACANA                                                                                                                                  "</f>
        <v xml:space="preserve">MICHOACANA                                                                                                                                  </v>
      </c>
      <c r="G1274" s="26" t="str">
        <f>"VENUSTIANO CARRANZA                                                             "</f>
        <v xml:space="preserve">VENUSTIANO CARRANZA                                                             </v>
      </c>
      <c r="H1274" s="26" t="str">
        <f>"342"</f>
        <v>342</v>
      </c>
      <c r="I1274" s="26" t="str">
        <f t="shared" si="195"/>
        <v>00</v>
      </c>
      <c r="J1274" s="26" t="str">
        <f>"43 "</f>
        <v xml:space="preserve">43 </v>
      </c>
      <c r="K1274" s="26" t="str">
        <f t="shared" si="202"/>
        <v>PR</v>
      </c>
      <c r="L1274" s="26" t="str">
        <f t="shared" si="203"/>
        <v>DGOSE</v>
      </c>
      <c r="M1274" s="26" t="str">
        <f t="shared" si="196"/>
        <v>FEDERAL</v>
      </c>
      <c r="N1274" s="26">
        <v>108</v>
      </c>
      <c r="O1274" s="26">
        <v>58</v>
      </c>
      <c r="P1274" s="26">
        <v>50</v>
      </c>
      <c r="Q1274" s="26">
        <v>9</v>
      </c>
      <c r="R1274" s="26">
        <v>1</v>
      </c>
      <c r="S1274" s="26">
        <v>7</v>
      </c>
      <c r="T1274" s="26">
        <v>9</v>
      </c>
      <c r="U1274" s="26">
        <v>17</v>
      </c>
      <c r="V1274" s="26">
        <v>1</v>
      </c>
      <c r="W1274" s="26"/>
    </row>
    <row r="1275" spans="1:23" x14ac:dyDescent="0.25">
      <c r="A1275" s="26" t="str">
        <f t="shared" si="194"/>
        <v>PRIMARIA</v>
      </c>
      <c r="B1275" s="26" t="str">
        <f>"09DPR2441Y"</f>
        <v>09DPR2441Y</v>
      </c>
      <c r="C1275" s="26" t="str">
        <f>"FRAY LUIS DE LEON                                                                                   "</f>
        <v xml:space="preserve">FRAY LUIS DE LEON                                                                                   </v>
      </c>
      <c r="D1275" s="26" t="str">
        <f>"MATUTINO"</f>
        <v>MATUTINO</v>
      </c>
      <c r="E1275" s="26" t="str">
        <f>"PEDRO MORENO NUM 141 Y HEROES                                                   "</f>
        <v xml:space="preserve">PEDRO MORENO NUM 141 Y HEROES                                                   </v>
      </c>
      <c r="F1275" s="26" t="str">
        <f>"GUERRERO                                                                                                                                    "</f>
        <v xml:space="preserve">GUERRERO                                                                                                                                    </v>
      </c>
      <c r="G1275" s="26" t="str">
        <f>"CUAUHTEMOC                                                                      "</f>
        <v xml:space="preserve">CUAUHTEMOC                                                                      </v>
      </c>
      <c r="H1275" s="26" t="str">
        <f>"219"</f>
        <v>219</v>
      </c>
      <c r="I1275" s="26" t="str">
        <f t="shared" si="195"/>
        <v>00</v>
      </c>
      <c r="J1275" s="26" t="str">
        <f>"42 "</f>
        <v xml:space="preserve">42 </v>
      </c>
      <c r="K1275" s="26" t="str">
        <f t="shared" si="202"/>
        <v>PR</v>
      </c>
      <c r="L1275" s="26" t="str">
        <f t="shared" si="203"/>
        <v>DGOSE</v>
      </c>
      <c r="M1275" s="26" t="str">
        <f t="shared" si="196"/>
        <v>FEDERAL</v>
      </c>
      <c r="N1275" s="26">
        <v>215</v>
      </c>
      <c r="O1275" s="26">
        <v>106</v>
      </c>
      <c r="P1275" s="26">
        <v>109</v>
      </c>
      <c r="Q1275" s="26">
        <v>10</v>
      </c>
      <c r="R1275" s="26">
        <v>1</v>
      </c>
      <c r="S1275" s="26">
        <v>10</v>
      </c>
      <c r="T1275" s="26">
        <v>8</v>
      </c>
      <c r="U1275" s="26">
        <v>19</v>
      </c>
      <c r="V1275" s="26">
        <v>1</v>
      </c>
      <c r="W1275" s="26"/>
    </row>
    <row r="1276" spans="1:23" x14ac:dyDescent="0.25">
      <c r="A1276" s="26" t="str">
        <f t="shared" si="194"/>
        <v>PRIMARIA</v>
      </c>
      <c r="B1276" s="26" t="str">
        <f>"09DPR2442X"</f>
        <v>09DPR2442X</v>
      </c>
      <c r="C1276" s="26" t="str">
        <f>"ESTADO DE TLAXCALA                                                                                  "</f>
        <v xml:space="preserve">ESTADO DE TLAXCALA                                                                                  </v>
      </c>
      <c r="D1276" s="26" t="str">
        <f>"VESPERTINO"</f>
        <v>VESPERTINO</v>
      </c>
      <c r="E1276" s="26" t="str">
        <f>"ENRIQUE BORDES M ANGEL NO 4000                                                  "</f>
        <v xml:space="preserve">ENRIQUE BORDES M ANGEL NO 4000                                                  </v>
      </c>
      <c r="F1276" s="26" t="str">
        <f>"ASTURIAS AMPLIACION                                                                                                                         "</f>
        <v xml:space="preserve">ASTURIAS AMPLIACION                                                                                                                         </v>
      </c>
      <c r="G1276" s="26" t="str">
        <f>"CUAUHTEMOC                                                                      "</f>
        <v xml:space="preserve">CUAUHTEMOC                                                                      </v>
      </c>
      <c r="H1276" s="26" t="str">
        <f>"225"</f>
        <v>225</v>
      </c>
      <c r="I1276" s="26" t="str">
        <f t="shared" si="195"/>
        <v>00</v>
      </c>
      <c r="J1276" s="26" t="str">
        <f>"42 "</f>
        <v xml:space="preserve">42 </v>
      </c>
      <c r="K1276" s="26" t="str">
        <f t="shared" si="202"/>
        <v>PR</v>
      </c>
      <c r="L1276" s="26" t="str">
        <f t="shared" si="203"/>
        <v>DGOSE</v>
      </c>
      <c r="M1276" s="26" t="str">
        <f t="shared" si="196"/>
        <v>FEDERAL</v>
      </c>
      <c r="N1276" s="26">
        <v>96</v>
      </c>
      <c r="O1276" s="26">
        <v>42</v>
      </c>
      <c r="P1276" s="26">
        <v>54</v>
      </c>
      <c r="Q1276" s="26">
        <v>6</v>
      </c>
      <c r="R1276" s="26">
        <v>1</v>
      </c>
      <c r="S1276" s="26">
        <v>6</v>
      </c>
      <c r="T1276" s="26">
        <v>4</v>
      </c>
      <c r="U1276" s="26">
        <v>11</v>
      </c>
      <c r="V1276" s="26">
        <v>1</v>
      </c>
      <c r="W1276" s="26"/>
    </row>
    <row r="1277" spans="1:23" x14ac:dyDescent="0.25">
      <c r="A1277" s="26" t="str">
        <f t="shared" si="194"/>
        <v>PRIMARIA</v>
      </c>
      <c r="B1277" s="26" t="str">
        <f>"09DPR2444V"</f>
        <v>09DPR2444V</v>
      </c>
      <c r="C1277" s="26" t="str">
        <f>"GUELATAO DE JUAREZ                                                                                  "</f>
        <v xml:space="preserve">GUELATAO DE JUAREZ                                                                                  </v>
      </c>
      <c r="D1277" s="26" t="str">
        <f>"VESPERTINO"</f>
        <v>VESPERTINO</v>
      </c>
      <c r="E1277" s="26" t="str">
        <f>"5 DE FEBRERO NO 188                                                             "</f>
        <v xml:space="preserve">5 DE FEBRERO NO 188                                                             </v>
      </c>
      <c r="F1277" s="26" t="str">
        <f>"OBRERA                                                                                                                                      "</f>
        <v xml:space="preserve">OBRERA                                                                                                                                      </v>
      </c>
      <c r="G1277" s="26" t="str">
        <f>"CUAUHTEMOC                                                                      "</f>
        <v xml:space="preserve">CUAUHTEMOC                                                                      </v>
      </c>
      <c r="H1277" s="26" t="str">
        <f>"223"</f>
        <v>223</v>
      </c>
      <c r="I1277" s="26" t="str">
        <f t="shared" si="195"/>
        <v>00</v>
      </c>
      <c r="J1277" s="26" t="str">
        <f>"42 "</f>
        <v xml:space="preserve">42 </v>
      </c>
      <c r="K1277" s="26" t="str">
        <f t="shared" si="202"/>
        <v>PR</v>
      </c>
      <c r="L1277" s="26" t="str">
        <f t="shared" si="203"/>
        <v>DGOSE</v>
      </c>
      <c r="M1277" s="26" t="str">
        <f t="shared" si="196"/>
        <v>FEDERAL</v>
      </c>
      <c r="N1277" s="26">
        <v>101</v>
      </c>
      <c r="O1277" s="26">
        <v>60</v>
      </c>
      <c r="P1277" s="26">
        <v>41</v>
      </c>
      <c r="Q1277" s="26">
        <v>6</v>
      </c>
      <c r="R1277" s="26">
        <v>1</v>
      </c>
      <c r="S1277" s="26">
        <v>6</v>
      </c>
      <c r="T1277" s="26">
        <v>5</v>
      </c>
      <c r="U1277" s="26">
        <v>12</v>
      </c>
      <c r="V1277" s="26">
        <v>1</v>
      </c>
      <c r="W1277" s="26"/>
    </row>
    <row r="1278" spans="1:23" x14ac:dyDescent="0.25">
      <c r="A1278" s="26" t="str">
        <f t="shared" si="194"/>
        <v>PRIMARIA</v>
      </c>
      <c r="B1278" s="26" t="str">
        <f>"09DPR2446T"</f>
        <v>09DPR2446T</v>
      </c>
      <c r="C1278" s="26" t="str">
        <f>"PROFRA. ROSA TORRE GONZALEZ                                                                         "</f>
        <v xml:space="preserve">PROFRA. ROSA TORRE GONZALEZ                                                                         </v>
      </c>
      <c r="D1278" s="26" t="str">
        <f>"JORNADA AMPLIADA"</f>
        <v>JORNADA AMPLIADA</v>
      </c>
      <c r="E1278" s="26" t="str">
        <f>"CINEMATOGRAFIA S/N.                                                             "</f>
        <v xml:space="preserve">CINEMATOGRAFIA S/N.                                                             </v>
      </c>
      <c r="F1278" s="26" t="str">
        <f>"UNIDAD INFONAVIT EL ROSARIO                                                                                                                 "</f>
        <v xml:space="preserve">UNIDAD INFONAVIT EL ROSARIO                                                                                                                 </v>
      </c>
      <c r="G1278" s="26" t="str">
        <f>"AZCAPOTZALCO                                                                    "</f>
        <v xml:space="preserve">AZCAPOTZALCO                                                                    </v>
      </c>
      <c r="H1278" s="26" t="str">
        <f>"100"</f>
        <v>100</v>
      </c>
      <c r="I1278" s="26" t="str">
        <f t="shared" si="195"/>
        <v>00</v>
      </c>
      <c r="J1278" s="26" t="str">
        <f>"41 "</f>
        <v xml:space="preserve">41 </v>
      </c>
      <c r="K1278" s="26" t="str">
        <f t="shared" si="202"/>
        <v>PR</v>
      </c>
      <c r="L1278" s="26" t="str">
        <f t="shared" si="203"/>
        <v>DGOSE</v>
      </c>
      <c r="M1278" s="26" t="str">
        <f t="shared" si="196"/>
        <v>FEDERAL</v>
      </c>
      <c r="N1278" s="26">
        <v>387</v>
      </c>
      <c r="O1278" s="26">
        <v>185</v>
      </c>
      <c r="P1278" s="26">
        <v>202</v>
      </c>
      <c r="Q1278" s="26">
        <v>13</v>
      </c>
      <c r="R1278" s="26">
        <v>1</v>
      </c>
      <c r="S1278" s="26">
        <v>13</v>
      </c>
      <c r="T1278" s="26">
        <v>14</v>
      </c>
      <c r="U1278" s="26">
        <v>28</v>
      </c>
      <c r="V1278" s="26">
        <v>1</v>
      </c>
      <c r="W1278" s="26" t="s">
        <v>2076</v>
      </c>
    </row>
    <row r="1279" spans="1:23" x14ac:dyDescent="0.25">
      <c r="A1279" s="26" t="str">
        <f t="shared" si="194"/>
        <v>PRIMARIA</v>
      </c>
      <c r="B1279" s="26" t="str">
        <f>"09DPR2447S"</f>
        <v>09DPR2447S</v>
      </c>
      <c r="C1279" s="26" t="str">
        <f>"NARCISO BASSOLS                                                                                     "</f>
        <v xml:space="preserve">NARCISO BASSOLS                                                                                     </v>
      </c>
      <c r="D1279" s="26" t="str">
        <f>"VESPERTINO"</f>
        <v>VESPERTINO</v>
      </c>
      <c r="E1279" s="26" t="str">
        <f>"MATEMATICAS S/N                                                                 "</f>
        <v xml:space="preserve">MATEMATICAS S/N                                                                 </v>
      </c>
      <c r="F1279" s="26" t="str">
        <f>"UNIDAD INFONAVIT EL ROSARIO                                                                                                                 "</f>
        <v xml:space="preserve">UNIDAD INFONAVIT EL ROSARIO                                                                                                                 </v>
      </c>
      <c r="G1279" s="26" t="str">
        <f>"AZCAPOTZALCO                                                                    "</f>
        <v xml:space="preserve">AZCAPOTZALCO                                                                    </v>
      </c>
      <c r="H1279" s="26" t="str">
        <f>"200"</f>
        <v>200</v>
      </c>
      <c r="I1279" s="26" t="str">
        <f t="shared" si="195"/>
        <v>00</v>
      </c>
      <c r="J1279" s="26" t="str">
        <f>"42 "</f>
        <v xml:space="preserve">42 </v>
      </c>
      <c r="K1279" s="26" t="str">
        <f t="shared" si="202"/>
        <v>PR</v>
      </c>
      <c r="L1279" s="26" t="str">
        <f t="shared" si="203"/>
        <v>DGOSE</v>
      </c>
      <c r="M1279" s="26" t="str">
        <f t="shared" si="196"/>
        <v>FEDERAL</v>
      </c>
      <c r="N1279" s="26">
        <v>127</v>
      </c>
      <c r="O1279" s="26">
        <v>76</v>
      </c>
      <c r="P1279" s="26">
        <v>51</v>
      </c>
      <c r="Q1279" s="26">
        <v>6</v>
      </c>
      <c r="R1279" s="26">
        <v>1</v>
      </c>
      <c r="S1279" s="26">
        <v>5</v>
      </c>
      <c r="T1279" s="26">
        <v>11</v>
      </c>
      <c r="U1279" s="26">
        <v>17</v>
      </c>
      <c r="V1279" s="26">
        <v>1</v>
      </c>
      <c r="W1279" s="26"/>
    </row>
    <row r="1280" spans="1:23" x14ac:dyDescent="0.25">
      <c r="A1280" s="26" t="str">
        <f t="shared" si="194"/>
        <v>PRIMARIA</v>
      </c>
      <c r="B1280" s="26" t="str">
        <f>"09DPR2450F"</f>
        <v>09DPR2450F</v>
      </c>
      <c r="C1280" s="26" t="str">
        <f>"ERASMO CASTELLANOS QUINTO                                                                           "</f>
        <v xml:space="preserve">ERASMO CASTELLANOS QUINTO                                                                           </v>
      </c>
      <c r="D1280" s="26" t="str">
        <f>"JORNADA AMPLIADA"</f>
        <v>JORNADA AMPLIADA</v>
      </c>
      <c r="E1280" s="26" t="str">
        <f>"RIO FRIO Y NICOLAS BRAVO                                                        "</f>
        <v xml:space="preserve">RIO FRIO Y NICOLAS BRAVO                                                        </v>
      </c>
      <c r="F1280" s="26" t="str">
        <f>"MAGDALENA MIXHUCA                                                                                                                           "</f>
        <v xml:space="preserve">MAGDALENA MIXHUCA                                                                                                                           </v>
      </c>
      <c r="G1280" s="26" t="str">
        <f>"VENUSTIANO CARRANZA                                                             "</f>
        <v xml:space="preserve">VENUSTIANO CARRANZA                                                             </v>
      </c>
      <c r="H1280" s="26" t="str">
        <f>"431"</f>
        <v>431</v>
      </c>
      <c r="I1280" s="26" t="str">
        <f t="shared" si="195"/>
        <v>00</v>
      </c>
      <c r="J1280" s="26" t="str">
        <f>"44 "</f>
        <v xml:space="preserve">44 </v>
      </c>
      <c r="K1280" s="26" t="str">
        <f t="shared" si="202"/>
        <v>PR</v>
      </c>
      <c r="L1280" s="26" t="str">
        <f t="shared" si="203"/>
        <v>DGOSE</v>
      </c>
      <c r="M1280" s="26" t="str">
        <f t="shared" si="196"/>
        <v>FEDERAL</v>
      </c>
      <c r="N1280" s="26">
        <v>436</v>
      </c>
      <c r="O1280" s="26">
        <v>231</v>
      </c>
      <c r="P1280" s="26">
        <v>205</v>
      </c>
      <c r="Q1280" s="26">
        <v>17</v>
      </c>
      <c r="R1280" s="26">
        <v>1</v>
      </c>
      <c r="S1280" s="26">
        <v>17</v>
      </c>
      <c r="T1280" s="26">
        <v>15</v>
      </c>
      <c r="U1280" s="26">
        <v>33</v>
      </c>
      <c r="V1280" s="26">
        <v>1</v>
      </c>
      <c r="W1280" s="26" t="s">
        <v>2076</v>
      </c>
    </row>
    <row r="1281" spans="1:23" x14ac:dyDescent="0.25">
      <c r="A1281" s="26" t="str">
        <f t="shared" si="194"/>
        <v>PRIMARIA</v>
      </c>
      <c r="B1281" s="26" t="str">
        <f>"09DPR2451E"</f>
        <v>09DPR2451E</v>
      </c>
      <c r="C1281" s="26" t="str">
        <f>"PROFR. GABRIEL LUCIO ARGUELLES                                                                      "</f>
        <v xml:space="preserve">PROFR. GABRIEL LUCIO ARGUELLES                                                                      </v>
      </c>
      <c r="D1281" s="26" t="str">
        <f>"TIEMPO COMPLETO"</f>
        <v>TIEMPO COMPLETO</v>
      </c>
      <c r="E1281" s="26" t="str">
        <f>"CALLE 10 DE ABRIL S/N                                                           "</f>
        <v xml:space="preserve">CALLE 10 DE ABRIL S/N                                                           </v>
      </c>
      <c r="F1281" s="26" t="str">
        <f>"UNIDAD HABITACIONAL EMILIANO ZAPATA                                                                                                         "</f>
        <v xml:space="preserve">UNIDAD HABITACIONAL EMILIANO ZAPATA                                                                                                         </v>
      </c>
      <c r="G1281" s="26" t="str">
        <f>"COYOACAN                                                                        "</f>
        <v xml:space="preserve">COYOACAN                                                                        </v>
      </c>
      <c r="H1281" s="26" t="str">
        <f>"442"</f>
        <v>442</v>
      </c>
      <c r="I1281" s="26" t="str">
        <f t="shared" si="195"/>
        <v>00</v>
      </c>
      <c r="J1281" s="26" t="str">
        <f>"44 "</f>
        <v xml:space="preserve">44 </v>
      </c>
      <c r="K1281" s="26" t="str">
        <f t="shared" si="202"/>
        <v>PR</v>
      </c>
      <c r="L1281" s="26" t="str">
        <f t="shared" si="203"/>
        <v>DGOSE</v>
      </c>
      <c r="M1281" s="26" t="str">
        <f t="shared" si="196"/>
        <v>FEDERAL</v>
      </c>
      <c r="N1281" s="26">
        <v>230</v>
      </c>
      <c r="O1281" s="26">
        <v>121</v>
      </c>
      <c r="P1281" s="26">
        <v>109</v>
      </c>
      <c r="Q1281" s="26">
        <v>8</v>
      </c>
      <c r="R1281" s="26">
        <v>1</v>
      </c>
      <c r="S1281" s="26">
        <v>8</v>
      </c>
      <c r="T1281" s="26">
        <v>12</v>
      </c>
      <c r="U1281" s="26">
        <v>21</v>
      </c>
      <c r="V1281" s="26">
        <v>1</v>
      </c>
      <c r="W1281" s="26" t="s">
        <v>218</v>
      </c>
    </row>
    <row r="1282" spans="1:23" x14ac:dyDescent="0.25">
      <c r="A1282" s="26" t="str">
        <f t="shared" ref="A1282:A1345" si="206">"PRIMARIA"</f>
        <v>PRIMARIA</v>
      </c>
      <c r="B1282" s="26" t="str">
        <f>"09DPR2453C"</f>
        <v>09DPR2453C</v>
      </c>
      <c r="C1282" s="26" t="str">
        <f>"GUELATAO DE JUAREZ                                                                                  "</f>
        <v xml:space="preserve">GUELATAO DE JUAREZ                                                                                  </v>
      </c>
      <c r="D1282" s="26" t="str">
        <f>"MATUTINO"</f>
        <v>MATUTINO</v>
      </c>
      <c r="E1282" s="26" t="str">
        <f>"5 DE FEBRERO NO 188                                                             "</f>
        <v xml:space="preserve">5 DE FEBRERO NO 188                                                             </v>
      </c>
      <c r="F1282" s="26" t="str">
        <f>"OBRERA                                                                                                                                      "</f>
        <v xml:space="preserve">OBRERA                                                                                                                                      </v>
      </c>
      <c r="G1282" s="26" t="str">
        <f>"CUAUHTEMOC                                                                      "</f>
        <v xml:space="preserve">CUAUHTEMOC                                                                      </v>
      </c>
      <c r="H1282" s="26" t="str">
        <f>"223"</f>
        <v>223</v>
      </c>
      <c r="I1282" s="26" t="str">
        <f t="shared" ref="I1282:I1345" si="207">"00"</f>
        <v>00</v>
      </c>
      <c r="J1282" s="26" t="str">
        <f>"42 "</f>
        <v xml:space="preserve">42 </v>
      </c>
      <c r="K1282" s="26" t="str">
        <f t="shared" si="202"/>
        <v>PR</v>
      </c>
      <c r="L1282" s="26" t="str">
        <f t="shared" si="203"/>
        <v>DGOSE</v>
      </c>
      <c r="M1282" s="26" t="str">
        <f t="shared" ref="M1282:M1345" si="208">"FEDERAL"</f>
        <v>FEDERAL</v>
      </c>
      <c r="N1282" s="26">
        <v>403</v>
      </c>
      <c r="O1282" s="26">
        <v>225</v>
      </c>
      <c r="P1282" s="26">
        <v>178</v>
      </c>
      <c r="Q1282" s="26">
        <v>15</v>
      </c>
      <c r="R1282" s="26">
        <v>1</v>
      </c>
      <c r="S1282" s="26">
        <v>15</v>
      </c>
      <c r="T1282" s="26">
        <v>8</v>
      </c>
      <c r="U1282" s="26">
        <v>24</v>
      </c>
      <c r="V1282" s="26">
        <v>1</v>
      </c>
      <c r="W1282" s="26"/>
    </row>
    <row r="1283" spans="1:23" x14ac:dyDescent="0.25">
      <c r="A1283" s="26" t="str">
        <f t="shared" si="206"/>
        <v>PRIMARIA</v>
      </c>
      <c r="B1283" s="26" t="str">
        <f>"09DPR2454B"</f>
        <v>09DPR2454B</v>
      </c>
      <c r="C1283" s="26" t="str">
        <f>"FRANCISCO GINER DE LOS RIOS                                                                         "</f>
        <v xml:space="preserve">FRANCISCO GINER DE LOS RIOS                                                                         </v>
      </c>
      <c r="D1283" s="26" t="str">
        <f>"JORNADA AMPLIADA"</f>
        <v>JORNADA AMPLIADA</v>
      </c>
      <c r="E1283" s="26" t="str">
        <f>"ISABEL LA CATOLICA NUM 370                                                      "</f>
        <v xml:space="preserve">ISABEL LA CATOLICA NUM 370                                                      </v>
      </c>
      <c r="F1283" s="26" t="str">
        <f>"OBRERA                                                                                                                                      "</f>
        <v xml:space="preserve">OBRERA                                                                                                                                      </v>
      </c>
      <c r="G1283" s="26" t="str">
        <f>"CUAUHTEMOC                                                                      "</f>
        <v xml:space="preserve">CUAUHTEMOC                                                                      </v>
      </c>
      <c r="H1283" s="26" t="str">
        <f>"128"</f>
        <v>128</v>
      </c>
      <c r="I1283" s="26" t="str">
        <f t="shared" si="207"/>
        <v>00</v>
      </c>
      <c r="J1283" s="26" t="str">
        <f>"41 "</f>
        <v xml:space="preserve">41 </v>
      </c>
      <c r="K1283" s="26" t="str">
        <f t="shared" si="202"/>
        <v>PR</v>
      </c>
      <c r="L1283" s="26" t="str">
        <f t="shared" si="203"/>
        <v>DGOSE</v>
      </c>
      <c r="M1283" s="26" t="str">
        <f t="shared" si="208"/>
        <v>FEDERAL</v>
      </c>
      <c r="N1283" s="26">
        <v>465</v>
      </c>
      <c r="O1283" s="26">
        <v>226</v>
      </c>
      <c r="P1283" s="26">
        <v>239</v>
      </c>
      <c r="Q1283" s="26">
        <v>15</v>
      </c>
      <c r="R1283" s="26">
        <v>1</v>
      </c>
      <c r="S1283" s="26">
        <v>15</v>
      </c>
      <c r="T1283" s="26">
        <v>8</v>
      </c>
      <c r="U1283" s="26">
        <v>24</v>
      </c>
      <c r="V1283" s="26">
        <v>1</v>
      </c>
      <c r="W1283" s="26" t="s">
        <v>2076</v>
      </c>
    </row>
    <row r="1284" spans="1:23" x14ac:dyDescent="0.25">
      <c r="A1284" s="26" t="str">
        <f t="shared" si="206"/>
        <v>PRIMARIA</v>
      </c>
      <c r="B1284" s="26" t="str">
        <f>"09DPR2455A"</f>
        <v>09DPR2455A</v>
      </c>
      <c r="C1284" s="26" t="str">
        <f>"HIMNO NACIONAL MEXICANO                                                                             "</f>
        <v xml:space="preserve">HIMNO NACIONAL MEXICANO                                                                             </v>
      </c>
      <c r="D1284" s="26" t="str">
        <f>"TIEMPO COMPLETO"</f>
        <v>TIEMPO COMPLETO</v>
      </c>
      <c r="E1284" s="26" t="str">
        <f>"FISCALES S/N.                                                                   "</f>
        <v xml:space="preserve">FISCALES S/N.                                                                   </v>
      </c>
      <c r="F1284" s="26" t="str">
        <f>"EL SIFON                                                                                                                                    "</f>
        <v xml:space="preserve">EL SIFON                                                                                                                                    </v>
      </c>
      <c r="G1284" s="26" t="str">
        <f>"IZTAPALAPA                                                                      "</f>
        <v xml:space="preserve">IZTAPALAPA                                                                      </v>
      </c>
      <c r="H1284" s="26" t="str">
        <f>"071"</f>
        <v>071</v>
      </c>
      <c r="I1284" s="26" t="str">
        <f t="shared" si="207"/>
        <v>00</v>
      </c>
      <c r="J1284" s="26" t="str">
        <f>"61 "</f>
        <v xml:space="preserve">61 </v>
      </c>
      <c r="K1284" s="26" t="str">
        <f>"IZ"</f>
        <v>IZ</v>
      </c>
      <c r="L1284" s="26" t="str">
        <f>"DGSEI"</f>
        <v>DGSEI</v>
      </c>
      <c r="M1284" s="26" t="str">
        <f t="shared" si="208"/>
        <v>FEDERAL</v>
      </c>
      <c r="N1284" s="26">
        <v>362</v>
      </c>
      <c r="O1284" s="26">
        <v>185</v>
      </c>
      <c r="P1284" s="26">
        <v>177</v>
      </c>
      <c r="Q1284" s="26">
        <v>12</v>
      </c>
      <c r="R1284" s="26">
        <v>1</v>
      </c>
      <c r="S1284" s="26">
        <v>12</v>
      </c>
      <c r="T1284" s="26">
        <v>11</v>
      </c>
      <c r="U1284" s="26">
        <v>24</v>
      </c>
      <c r="V1284" s="26">
        <v>1</v>
      </c>
      <c r="W1284" s="26" t="s">
        <v>218</v>
      </c>
    </row>
    <row r="1285" spans="1:23" x14ac:dyDescent="0.25">
      <c r="A1285" s="26" t="str">
        <f t="shared" si="206"/>
        <v>PRIMARIA</v>
      </c>
      <c r="B1285" s="26" t="str">
        <f>"09DPR2457Z"</f>
        <v>09DPR2457Z</v>
      </c>
      <c r="C1285" s="26" t="str">
        <f>"PROFR. MANUEL S. HIDALGO                                                                            "</f>
        <v xml:space="preserve">PROFR. MANUEL S. HIDALGO                                                                            </v>
      </c>
      <c r="D1285" s="26" t="str">
        <f>"JORNADA AMPLIADA"</f>
        <v>JORNADA AMPLIADA</v>
      </c>
      <c r="E1285" s="26" t="str">
        <f>"FFCC NALES Y AV DE LAS CULTURAS                                                 "</f>
        <v xml:space="preserve">FFCC NALES Y AV DE LAS CULTURAS                                                 </v>
      </c>
      <c r="F1285" s="26" t="str">
        <f>"UNIDAD INFONAVIT EL ROSARIO                                                                                                                 "</f>
        <v xml:space="preserve">UNIDAD INFONAVIT EL ROSARIO                                                                                                                 </v>
      </c>
      <c r="G1285" s="26" t="str">
        <f>"AZCAPOTZALCO                                                                    "</f>
        <v xml:space="preserve">AZCAPOTZALCO                                                                    </v>
      </c>
      <c r="H1285" s="26" t="str">
        <f>"100"</f>
        <v>100</v>
      </c>
      <c r="I1285" s="26" t="str">
        <f t="shared" si="207"/>
        <v>00</v>
      </c>
      <c r="J1285" s="26" t="str">
        <f>"41 "</f>
        <v xml:space="preserve">41 </v>
      </c>
      <c r="K1285" s="26" t="str">
        <f t="shared" ref="K1285:K1291" si="209">"PR"</f>
        <v>PR</v>
      </c>
      <c r="L1285" s="26" t="str">
        <f t="shared" ref="L1285:L1291" si="210">"DGOSE"</f>
        <v>DGOSE</v>
      </c>
      <c r="M1285" s="26" t="str">
        <f t="shared" si="208"/>
        <v>FEDERAL</v>
      </c>
      <c r="N1285" s="26">
        <v>420</v>
      </c>
      <c r="O1285" s="26">
        <v>210</v>
      </c>
      <c r="P1285" s="26">
        <v>210</v>
      </c>
      <c r="Q1285" s="26">
        <v>14</v>
      </c>
      <c r="R1285" s="26">
        <v>1</v>
      </c>
      <c r="S1285" s="26">
        <v>13</v>
      </c>
      <c r="T1285" s="26">
        <v>11</v>
      </c>
      <c r="U1285" s="26">
        <v>25</v>
      </c>
      <c r="V1285" s="26">
        <v>1</v>
      </c>
      <c r="W1285" s="26" t="s">
        <v>2076</v>
      </c>
    </row>
    <row r="1286" spans="1:23" x14ac:dyDescent="0.25">
      <c r="A1286" s="26" t="str">
        <f t="shared" si="206"/>
        <v>PRIMARIA</v>
      </c>
      <c r="B1286" s="26" t="str">
        <f>"09DPR2458Y"</f>
        <v>09DPR2458Y</v>
      </c>
      <c r="C1286" s="26" t="str">
        <f>"JUVENTINO ROSAS                                                                                     "</f>
        <v xml:space="preserve">JUVENTINO ROSAS                                                                                     </v>
      </c>
      <c r="D1286" s="26" t="str">
        <f>"MATUTINO"</f>
        <v>MATUTINO</v>
      </c>
      <c r="E1286" s="26" t="str">
        <f>"JOSE MOJICA Y MIGUEL LERDO DE TEJADA S/N                                        "</f>
        <v xml:space="preserve">JOSE MOJICA Y MIGUEL LERDO DE TEJADA S/N                                        </v>
      </c>
      <c r="F1286" s="26" t="str">
        <f>"LA FORESTAL                                                                                                                                 "</f>
        <v xml:space="preserve">LA FORESTAL                                                                                                                                 </v>
      </c>
      <c r="G1286" s="26" t="str">
        <f>"GUSTAVO A. MADERO                                                               "</f>
        <v xml:space="preserve">GUSTAVO A. MADERO                                                               </v>
      </c>
      <c r="H1286" s="26" t="str">
        <f>"227"</f>
        <v>227</v>
      </c>
      <c r="I1286" s="26" t="str">
        <f t="shared" si="207"/>
        <v>00</v>
      </c>
      <c r="J1286" s="26" t="str">
        <f>"42 "</f>
        <v xml:space="preserve">42 </v>
      </c>
      <c r="K1286" s="26" t="str">
        <f t="shared" si="209"/>
        <v>PR</v>
      </c>
      <c r="L1286" s="26" t="str">
        <f t="shared" si="210"/>
        <v>DGOSE</v>
      </c>
      <c r="M1286" s="26" t="str">
        <f t="shared" si="208"/>
        <v>FEDERAL</v>
      </c>
      <c r="N1286" s="26">
        <v>673</v>
      </c>
      <c r="O1286" s="26">
        <v>333</v>
      </c>
      <c r="P1286" s="26">
        <v>340</v>
      </c>
      <c r="Q1286" s="26">
        <v>18</v>
      </c>
      <c r="R1286" s="26">
        <v>1</v>
      </c>
      <c r="S1286" s="26">
        <v>18</v>
      </c>
      <c r="T1286" s="26">
        <v>12</v>
      </c>
      <c r="U1286" s="26">
        <v>31</v>
      </c>
      <c r="V1286" s="26">
        <v>1</v>
      </c>
      <c r="W1286" s="26"/>
    </row>
    <row r="1287" spans="1:23" x14ac:dyDescent="0.25">
      <c r="A1287" s="26" t="str">
        <f t="shared" si="206"/>
        <v>PRIMARIA</v>
      </c>
      <c r="B1287" s="26" t="str">
        <f>"09DPR2459X"</f>
        <v>09DPR2459X</v>
      </c>
      <c r="C1287" s="26" t="str">
        <f>"FUNDACION DE MEXICO                                                                                 "</f>
        <v xml:space="preserve">FUNDACION DE MEXICO                                                                                 </v>
      </c>
      <c r="D1287" s="26" t="str">
        <f>"JORNADA AMPLIADA"</f>
        <v>JORNADA AMPLIADA</v>
      </c>
      <c r="E1287" s="26" t="str">
        <f>"PASEO DE LOS DIOSES AZTECAS SN                                                  "</f>
        <v xml:space="preserve">PASEO DE LOS DIOSES AZTECAS SN                                                  </v>
      </c>
      <c r="F1287" s="26" t="str">
        <f>"CULHUACAN SECTOR PILOTO                                                                                                                     "</f>
        <v xml:space="preserve">CULHUACAN SECTOR PILOTO                                                                                                                     </v>
      </c>
      <c r="G1287" s="26" t="str">
        <f>"COYOACAN                                                                        "</f>
        <v xml:space="preserve">COYOACAN                                                                        </v>
      </c>
      <c r="H1287" s="26" t="str">
        <f>"441"</f>
        <v>441</v>
      </c>
      <c r="I1287" s="26" t="str">
        <f t="shared" si="207"/>
        <v>00</v>
      </c>
      <c r="J1287" s="26" t="str">
        <f>"44 "</f>
        <v xml:space="preserve">44 </v>
      </c>
      <c r="K1287" s="26" t="str">
        <f t="shared" si="209"/>
        <v>PR</v>
      </c>
      <c r="L1287" s="26" t="str">
        <f t="shared" si="210"/>
        <v>DGOSE</v>
      </c>
      <c r="M1287" s="26" t="str">
        <f t="shared" si="208"/>
        <v>FEDERAL</v>
      </c>
      <c r="N1287" s="26">
        <v>381</v>
      </c>
      <c r="O1287" s="26">
        <v>220</v>
      </c>
      <c r="P1287" s="26">
        <v>161</v>
      </c>
      <c r="Q1287" s="26">
        <v>13</v>
      </c>
      <c r="R1287" s="26">
        <v>1</v>
      </c>
      <c r="S1287" s="26">
        <v>13</v>
      </c>
      <c r="T1287" s="26">
        <v>11</v>
      </c>
      <c r="U1287" s="26">
        <v>25</v>
      </c>
      <c r="V1287" s="26">
        <v>1</v>
      </c>
      <c r="W1287" s="26" t="s">
        <v>2076</v>
      </c>
    </row>
    <row r="1288" spans="1:23" x14ac:dyDescent="0.25">
      <c r="A1288" s="26" t="str">
        <f t="shared" si="206"/>
        <v>PRIMARIA</v>
      </c>
      <c r="B1288" s="26" t="str">
        <f>"09DPR2460M"</f>
        <v>09DPR2460M</v>
      </c>
      <c r="C1288" s="26" t="str">
        <f>"SOSTENES NICOLAS CHAPA NIETO                                                                        "</f>
        <v xml:space="preserve">SOSTENES NICOLAS CHAPA NIETO                                                                        </v>
      </c>
      <c r="D1288" s="26" t="str">
        <f>"MATUTINO"</f>
        <v>MATUTINO</v>
      </c>
      <c r="E1288" s="26" t="str">
        <f>"RUPERTO PEREZ DE LEON                                                           "</f>
        <v xml:space="preserve">RUPERTO PEREZ DE LEON                                                           </v>
      </c>
      <c r="F1288" s="26" t="str">
        <f>"LA CONCHITA ZAPOTITLAN                                                                                                                      "</f>
        <v xml:space="preserve">LA CONCHITA ZAPOTITLAN                                                                                                                      </v>
      </c>
      <c r="G1288" s="26" t="str">
        <f>"TLAHUAC                                                                         "</f>
        <v xml:space="preserve">TLAHUAC                                                                         </v>
      </c>
      <c r="H1288" s="26" t="str">
        <f>"553"</f>
        <v>553</v>
      </c>
      <c r="I1288" s="26" t="str">
        <f t="shared" si="207"/>
        <v>00</v>
      </c>
      <c r="J1288" s="26" t="str">
        <f>"45 "</f>
        <v xml:space="preserve">45 </v>
      </c>
      <c r="K1288" s="26" t="str">
        <f t="shared" si="209"/>
        <v>PR</v>
      </c>
      <c r="L1288" s="26" t="str">
        <f t="shared" si="210"/>
        <v>DGOSE</v>
      </c>
      <c r="M1288" s="26" t="str">
        <f t="shared" si="208"/>
        <v>FEDERAL</v>
      </c>
      <c r="N1288" s="26">
        <v>690</v>
      </c>
      <c r="O1288" s="26">
        <v>348</v>
      </c>
      <c r="P1288" s="26">
        <v>342</v>
      </c>
      <c r="Q1288" s="26">
        <v>18</v>
      </c>
      <c r="R1288" s="26">
        <v>1</v>
      </c>
      <c r="S1288" s="26">
        <v>18</v>
      </c>
      <c r="T1288" s="26">
        <v>10</v>
      </c>
      <c r="U1288" s="26">
        <v>29</v>
      </c>
      <c r="V1288" s="26">
        <v>1</v>
      </c>
      <c r="W1288" s="26"/>
    </row>
    <row r="1289" spans="1:23" x14ac:dyDescent="0.25">
      <c r="A1289" s="26" t="str">
        <f t="shared" si="206"/>
        <v>PRIMARIA</v>
      </c>
      <c r="B1289" s="26" t="str">
        <f>"09DPR2461L"</f>
        <v>09DPR2461L</v>
      </c>
      <c r="C1289" s="26" t="str">
        <f>"RUMANIA                                                                                             "</f>
        <v xml:space="preserve">RUMANIA                                                                                             </v>
      </c>
      <c r="D1289" s="26" t="str">
        <f>"JORNADA AMPLIADA"</f>
        <v>JORNADA AMPLIADA</v>
      </c>
      <c r="E1289" s="26" t="str">
        <f>"AV PANAMERICANA S/N                                                             "</f>
        <v xml:space="preserve">AV PANAMERICANA S/N                                                             </v>
      </c>
      <c r="F1289" s="26" t="str">
        <f>"PEDREGAL DE CARRASCO                                                                                                                        "</f>
        <v xml:space="preserve">PEDREGAL DE CARRASCO                                                                                                                        </v>
      </c>
      <c r="G1289" s="26" t="str">
        <f>"COYOACAN                                                                        "</f>
        <v xml:space="preserve">COYOACAN                                                                        </v>
      </c>
      <c r="H1289" s="26" t="str">
        <f>"437"</f>
        <v>437</v>
      </c>
      <c r="I1289" s="26" t="str">
        <f t="shared" si="207"/>
        <v>00</v>
      </c>
      <c r="J1289" s="26" t="str">
        <f>"44 "</f>
        <v xml:space="preserve">44 </v>
      </c>
      <c r="K1289" s="26" t="str">
        <f t="shared" si="209"/>
        <v>PR</v>
      </c>
      <c r="L1289" s="26" t="str">
        <f t="shared" si="210"/>
        <v>DGOSE</v>
      </c>
      <c r="M1289" s="26" t="str">
        <f t="shared" si="208"/>
        <v>FEDERAL</v>
      </c>
      <c r="N1289" s="26">
        <v>482</v>
      </c>
      <c r="O1289" s="26">
        <v>239</v>
      </c>
      <c r="P1289" s="26">
        <v>243</v>
      </c>
      <c r="Q1289" s="26">
        <v>16</v>
      </c>
      <c r="R1289" s="26">
        <v>1</v>
      </c>
      <c r="S1289" s="26">
        <v>16</v>
      </c>
      <c r="T1289" s="26">
        <v>10</v>
      </c>
      <c r="U1289" s="26">
        <v>27</v>
      </c>
      <c r="V1289" s="26">
        <v>1</v>
      </c>
      <c r="W1289" s="26" t="s">
        <v>2076</v>
      </c>
    </row>
    <row r="1290" spans="1:23" x14ac:dyDescent="0.25">
      <c r="A1290" s="26" t="str">
        <f t="shared" si="206"/>
        <v>PRIMARIA</v>
      </c>
      <c r="B1290" s="26" t="str">
        <f>"09DPR2463J"</f>
        <v>09DPR2463J</v>
      </c>
      <c r="C1290" s="26" t="str">
        <f>"FRAY PEDRO DE GANTE                                                                                 "</f>
        <v xml:space="preserve">FRAY PEDRO DE GANTE                                                                                 </v>
      </c>
      <c r="D1290" s="26" t="str">
        <f>"MATUTINO"</f>
        <v>MATUTINO</v>
      </c>
      <c r="E1290" s="26" t="str">
        <f>"REGINA NUM 86                                                                   "</f>
        <v xml:space="preserve">REGINA NUM 86                                                                   </v>
      </c>
      <c r="F1290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1290" s="26" t="str">
        <f>"CUAUHTEMOC                                                                      "</f>
        <v xml:space="preserve">CUAUHTEMOC                                                                      </v>
      </c>
      <c r="H1290" s="26" t="str">
        <f>"222"</f>
        <v>222</v>
      </c>
      <c r="I1290" s="26" t="str">
        <f t="shared" si="207"/>
        <v>00</v>
      </c>
      <c r="J1290" s="26" t="str">
        <f>"42 "</f>
        <v xml:space="preserve">42 </v>
      </c>
      <c r="K1290" s="26" t="str">
        <f t="shared" si="209"/>
        <v>PR</v>
      </c>
      <c r="L1290" s="26" t="str">
        <f t="shared" si="210"/>
        <v>DGOSE</v>
      </c>
      <c r="M1290" s="26" t="str">
        <f t="shared" si="208"/>
        <v>FEDERAL</v>
      </c>
      <c r="N1290" s="26">
        <v>571</v>
      </c>
      <c r="O1290" s="26">
        <v>292</v>
      </c>
      <c r="P1290" s="26">
        <v>279</v>
      </c>
      <c r="Q1290" s="26">
        <v>23</v>
      </c>
      <c r="R1290" s="26">
        <v>1</v>
      </c>
      <c r="S1290" s="26">
        <v>23</v>
      </c>
      <c r="T1290" s="26">
        <v>13</v>
      </c>
      <c r="U1290" s="26">
        <v>37</v>
      </c>
      <c r="V1290" s="26">
        <v>1</v>
      </c>
      <c r="W1290" s="26"/>
    </row>
    <row r="1291" spans="1:23" x14ac:dyDescent="0.25">
      <c r="A1291" s="26" t="str">
        <f t="shared" si="206"/>
        <v>PRIMARIA</v>
      </c>
      <c r="B1291" s="26" t="str">
        <f>"09DPR2465H"</f>
        <v>09DPR2465H</v>
      </c>
      <c r="C1291" s="26" t="str">
        <f>"ENRIQUE C. REBSAMEN                                                                                 "</f>
        <v xml:space="preserve">ENRIQUE C. REBSAMEN                                                                                 </v>
      </c>
      <c r="D1291" s="26" t="str">
        <f>"VESPERTINO"</f>
        <v>VESPERTINO</v>
      </c>
      <c r="E1291" s="26" t="str">
        <f>"IGNACIO ZARAGOZA S/N                                                            "</f>
        <v xml:space="preserve">IGNACIO ZARAGOZA S/N                                                            </v>
      </c>
      <c r="F1291" s="26" t="str">
        <f>"SANTIAGO TULYEHUALCO                                                                                                                        "</f>
        <v xml:space="preserve">SANTIAGO TULYEHUALCO                                                                                                                        </v>
      </c>
      <c r="G1291" s="26" t="str">
        <f>"XOCHIMILCO                                                                      "</f>
        <v xml:space="preserve">XOCHIMILCO                                                                      </v>
      </c>
      <c r="H1291" s="26" t="str">
        <f>"544"</f>
        <v>544</v>
      </c>
      <c r="I1291" s="26" t="str">
        <f t="shared" si="207"/>
        <v>00</v>
      </c>
      <c r="J1291" s="26" t="str">
        <f>"45 "</f>
        <v xml:space="preserve">45 </v>
      </c>
      <c r="K1291" s="26" t="str">
        <f t="shared" si="209"/>
        <v>PR</v>
      </c>
      <c r="L1291" s="26" t="str">
        <f t="shared" si="210"/>
        <v>DGOSE</v>
      </c>
      <c r="M1291" s="26" t="str">
        <f t="shared" si="208"/>
        <v>FEDERAL</v>
      </c>
      <c r="N1291" s="26">
        <v>724</v>
      </c>
      <c r="O1291" s="26">
        <v>365</v>
      </c>
      <c r="P1291" s="26">
        <v>359</v>
      </c>
      <c r="Q1291" s="26">
        <v>20</v>
      </c>
      <c r="R1291" s="26">
        <v>1</v>
      </c>
      <c r="S1291" s="26">
        <v>20</v>
      </c>
      <c r="T1291" s="26">
        <v>11</v>
      </c>
      <c r="U1291" s="26">
        <v>32</v>
      </c>
      <c r="V1291" s="26">
        <v>1</v>
      </c>
      <c r="W1291" s="26"/>
    </row>
    <row r="1292" spans="1:23" x14ac:dyDescent="0.25">
      <c r="A1292" s="26" t="str">
        <f t="shared" si="206"/>
        <v>PRIMARIA</v>
      </c>
      <c r="B1292" s="26" t="str">
        <f>"09DPR2466G"</f>
        <v>09DPR2466G</v>
      </c>
      <c r="C1292" s="26" t="str">
        <f>"LEANDRO VALLE                                                                                       "</f>
        <v xml:space="preserve">LEANDRO VALLE                                                                                       </v>
      </c>
      <c r="D1292" s="26" t="str">
        <f>"VESPERTINO"</f>
        <v>VESPERTINO</v>
      </c>
      <c r="E1292" s="26" t="str">
        <f>"GUERRA DE REFORMA NO. 38                                                        "</f>
        <v xml:space="preserve">GUERRA DE REFORMA NO. 38                                                        </v>
      </c>
      <c r="F1292" s="26" t="str">
        <f>"LEYES DE REFORMA                                                                                                                            "</f>
        <v xml:space="preserve">LEYES DE REFORMA                                                                                                                            </v>
      </c>
      <c r="G1292" s="26" t="str">
        <f>"IZTAPALAPA                                                                      "</f>
        <v xml:space="preserve">IZTAPALAPA                                                                      </v>
      </c>
      <c r="H1292" s="26" t="str">
        <f>"014"</f>
        <v>014</v>
      </c>
      <c r="I1292" s="26" t="str">
        <f t="shared" si="207"/>
        <v>00</v>
      </c>
      <c r="J1292" s="26" t="str">
        <f>"62 "</f>
        <v xml:space="preserve">62 </v>
      </c>
      <c r="K1292" s="26" t="str">
        <f>"IZ"</f>
        <v>IZ</v>
      </c>
      <c r="L1292" s="26" t="str">
        <f>"DGSEI"</f>
        <v>DGSEI</v>
      </c>
      <c r="M1292" s="26" t="str">
        <f t="shared" si="208"/>
        <v>FEDERAL</v>
      </c>
      <c r="N1292" s="26">
        <v>347</v>
      </c>
      <c r="O1292" s="26">
        <v>179</v>
      </c>
      <c r="P1292" s="26">
        <v>168</v>
      </c>
      <c r="Q1292" s="26">
        <v>17</v>
      </c>
      <c r="R1292" s="26">
        <v>1</v>
      </c>
      <c r="S1292" s="26">
        <v>15</v>
      </c>
      <c r="T1292" s="26">
        <v>7</v>
      </c>
      <c r="U1292" s="26">
        <v>23</v>
      </c>
      <c r="V1292" s="26">
        <v>1</v>
      </c>
      <c r="W1292" s="26"/>
    </row>
    <row r="1293" spans="1:23" x14ac:dyDescent="0.25">
      <c r="A1293" s="26" t="str">
        <f t="shared" si="206"/>
        <v>PRIMARIA</v>
      </c>
      <c r="B1293" s="26" t="str">
        <f>"09DPR2467F"</f>
        <v>09DPR2467F</v>
      </c>
      <c r="C1293" s="26" t="str">
        <f>"DR. ANGEL MA. GARIBAY                                                                               "</f>
        <v xml:space="preserve">DR. ANGEL MA. GARIBAY                                                                               </v>
      </c>
      <c r="D1293" s="26" t="str">
        <f>"MATUTINO"</f>
        <v>MATUTINO</v>
      </c>
      <c r="E1293" s="26" t="str">
        <f>"CDA. DE TEPECIN S/N                                                             "</f>
        <v xml:space="preserve">CDA. DE TEPECIN S/N                                                             </v>
      </c>
      <c r="F1293" s="26" t="str">
        <f>"PEDREGAL DE SANTO DOMINGO                                                                                                                   "</f>
        <v xml:space="preserve">PEDREGAL DE SANTO DOMINGO                                                                                                                   </v>
      </c>
      <c r="G1293" s="26" t="str">
        <f>"COYOACAN                                                                        "</f>
        <v xml:space="preserve">COYOACAN                                                                        </v>
      </c>
      <c r="H1293" s="26" t="str">
        <f>"506"</f>
        <v>506</v>
      </c>
      <c r="I1293" s="26" t="str">
        <f t="shared" si="207"/>
        <v>00</v>
      </c>
      <c r="J1293" s="26" t="str">
        <f>"45 "</f>
        <v xml:space="preserve">45 </v>
      </c>
      <c r="K1293" s="26" t="str">
        <f>"PR"</f>
        <v>PR</v>
      </c>
      <c r="L1293" s="26" t="str">
        <f>"DGOSE"</f>
        <v>DGOSE</v>
      </c>
      <c r="M1293" s="26" t="str">
        <f t="shared" si="208"/>
        <v>FEDERAL</v>
      </c>
      <c r="N1293" s="26">
        <v>327</v>
      </c>
      <c r="O1293" s="26">
        <v>186</v>
      </c>
      <c r="P1293" s="26">
        <v>141</v>
      </c>
      <c r="Q1293" s="26">
        <v>13</v>
      </c>
      <c r="R1293" s="26">
        <v>1</v>
      </c>
      <c r="S1293" s="26">
        <v>13</v>
      </c>
      <c r="T1293" s="26">
        <v>9</v>
      </c>
      <c r="U1293" s="26">
        <v>23</v>
      </c>
      <c r="V1293" s="26">
        <v>1</v>
      </c>
      <c r="W1293" s="26"/>
    </row>
    <row r="1294" spans="1:23" x14ac:dyDescent="0.25">
      <c r="A1294" s="26" t="str">
        <f t="shared" si="206"/>
        <v>PRIMARIA</v>
      </c>
      <c r="B1294" s="26" t="str">
        <f>"09DPR2469D"</f>
        <v>09DPR2469D</v>
      </c>
      <c r="C1294" s="26" t="str">
        <f>"PROFR. RAFAEL LOPEZ                                                                                 "</f>
        <v xml:space="preserve">PROFR. RAFAEL LOPEZ                                                                                 </v>
      </c>
      <c r="D1294" s="26" t="str">
        <f>"VESPERTINO"</f>
        <v>VESPERTINO</v>
      </c>
      <c r="E1294" s="26" t="str">
        <f>"CDA. APATZINGAN NO. 9 3RA. SECCION                                              "</f>
        <v xml:space="preserve">CDA. APATZINGAN NO. 9 3RA. SECCION                                              </v>
      </c>
      <c r="F1294" s="26" t="str">
        <f>"CONJUNTO URBANO POPULAR ERMITA ZARA                                                                                                         "</f>
        <v xml:space="preserve">CONJUNTO URBANO POPULAR ERMITA ZARA                                                                                                         </v>
      </c>
      <c r="G1294" s="26" t="str">
        <f>"IZTAPALAPA                                                                      "</f>
        <v xml:space="preserve">IZTAPALAPA                                                                      </v>
      </c>
      <c r="H1294" s="26" t="str">
        <f>"032"</f>
        <v>032</v>
      </c>
      <c r="I1294" s="26" t="str">
        <f t="shared" si="207"/>
        <v>00</v>
      </c>
      <c r="J1294" s="26" t="str">
        <f>"62 "</f>
        <v xml:space="preserve">62 </v>
      </c>
      <c r="K1294" s="26" t="str">
        <f>"IZ"</f>
        <v>IZ</v>
      </c>
      <c r="L1294" s="26" t="str">
        <f>"DGSEI"</f>
        <v>DGSEI</v>
      </c>
      <c r="M1294" s="26" t="str">
        <f t="shared" si="208"/>
        <v>FEDERAL</v>
      </c>
      <c r="N1294" s="26">
        <v>107</v>
      </c>
      <c r="O1294" s="26">
        <v>60</v>
      </c>
      <c r="P1294" s="26">
        <v>47</v>
      </c>
      <c r="Q1294" s="26">
        <v>6</v>
      </c>
      <c r="R1294" s="26">
        <v>0</v>
      </c>
      <c r="S1294" s="26">
        <v>6</v>
      </c>
      <c r="T1294" s="26">
        <v>4</v>
      </c>
      <c r="U1294" s="26">
        <v>10</v>
      </c>
      <c r="V1294" s="26">
        <v>1</v>
      </c>
      <c r="W1294" s="26"/>
    </row>
    <row r="1295" spans="1:23" x14ac:dyDescent="0.25">
      <c r="A1295" s="26" t="str">
        <f t="shared" si="206"/>
        <v>PRIMARIA</v>
      </c>
      <c r="B1295" s="26" t="str">
        <f>"09DPR2470T"</f>
        <v>09DPR2470T</v>
      </c>
      <c r="C1295" s="26" t="str">
        <f>"PROFR. RAFAEL LOPEZ                                                                                 "</f>
        <v xml:space="preserve">PROFR. RAFAEL LOPEZ                                                                                 </v>
      </c>
      <c r="D1295" s="26" t="str">
        <f>"MATUTINO"</f>
        <v>MATUTINO</v>
      </c>
      <c r="E1295" s="26" t="str">
        <f>"CDA. APATZINGAN NO. 9 3RA. SECCION                                              "</f>
        <v xml:space="preserve">CDA. APATZINGAN NO. 9 3RA. SECCION                                              </v>
      </c>
      <c r="F1295" s="26" t="str">
        <f>"CONJUNTO URBANO POPULAR ERMITA ZARA                                                                                                         "</f>
        <v xml:space="preserve">CONJUNTO URBANO POPULAR ERMITA ZARA                                                                                                         </v>
      </c>
      <c r="G1295" s="26" t="str">
        <f>"IZTAPALAPA                                                                      "</f>
        <v xml:space="preserve">IZTAPALAPA                                                                      </v>
      </c>
      <c r="H1295" s="26" t="str">
        <f>"032"</f>
        <v>032</v>
      </c>
      <c r="I1295" s="26" t="str">
        <f t="shared" si="207"/>
        <v>00</v>
      </c>
      <c r="J1295" s="26" t="str">
        <f>"62 "</f>
        <v xml:space="preserve">62 </v>
      </c>
      <c r="K1295" s="26" t="str">
        <f>"IZ"</f>
        <v>IZ</v>
      </c>
      <c r="L1295" s="26" t="str">
        <f>"DGSEI"</f>
        <v>DGSEI</v>
      </c>
      <c r="M1295" s="26" t="str">
        <f t="shared" si="208"/>
        <v>FEDERAL</v>
      </c>
      <c r="N1295" s="26">
        <v>431</v>
      </c>
      <c r="O1295" s="26">
        <v>211</v>
      </c>
      <c r="P1295" s="26">
        <v>220</v>
      </c>
      <c r="Q1295" s="26">
        <v>16</v>
      </c>
      <c r="R1295" s="26">
        <v>1</v>
      </c>
      <c r="S1295" s="26">
        <v>16</v>
      </c>
      <c r="T1295" s="26">
        <v>9</v>
      </c>
      <c r="U1295" s="26">
        <v>26</v>
      </c>
      <c r="V1295" s="26">
        <v>1</v>
      </c>
      <c r="W1295" s="26"/>
    </row>
    <row r="1296" spans="1:23" x14ac:dyDescent="0.25">
      <c r="A1296" s="26" t="str">
        <f t="shared" si="206"/>
        <v>PRIMARIA</v>
      </c>
      <c r="B1296" s="26" t="str">
        <f>"09DPR2471S"</f>
        <v>09DPR2471S</v>
      </c>
      <c r="C1296" s="26" t="str">
        <f>"MI PATRIA ES PRIMERO                                                                                "</f>
        <v xml:space="preserve">MI PATRIA ES PRIMERO                                                                                </v>
      </c>
      <c r="D1296" s="26" t="str">
        <f>"VESPERTINO"</f>
        <v>VESPERTINO</v>
      </c>
      <c r="E1296" s="26" t="str">
        <f>"SUPER MANZANA 2 S/N.                                                            "</f>
        <v xml:space="preserve">SUPER MANZANA 2 S/N.                                                            </v>
      </c>
      <c r="F1296" s="26" t="str">
        <f>"UNIDAD HABITACIONAL VICENTE GUERRER                                                                                                         "</f>
        <v xml:space="preserve">UNIDAD HABITACIONAL VICENTE GUERRER                                                                                                         </v>
      </c>
      <c r="G1296" s="26" t="str">
        <f>"IZTAPALAPA                                                                      "</f>
        <v xml:space="preserve">IZTAPALAPA                                                                      </v>
      </c>
      <c r="H1296" s="26" t="str">
        <f>"017"</f>
        <v>017</v>
      </c>
      <c r="I1296" s="26" t="str">
        <f t="shared" si="207"/>
        <v>00</v>
      </c>
      <c r="J1296" s="26" t="str">
        <f>"62 "</f>
        <v xml:space="preserve">62 </v>
      </c>
      <c r="K1296" s="26" t="str">
        <f>"IZ"</f>
        <v>IZ</v>
      </c>
      <c r="L1296" s="26" t="str">
        <f>"DGSEI"</f>
        <v>DGSEI</v>
      </c>
      <c r="M1296" s="26" t="str">
        <f t="shared" si="208"/>
        <v>FEDERAL</v>
      </c>
      <c r="N1296" s="26">
        <v>140</v>
      </c>
      <c r="O1296" s="26">
        <v>80</v>
      </c>
      <c r="P1296" s="26">
        <v>60</v>
      </c>
      <c r="Q1296" s="26">
        <v>9</v>
      </c>
      <c r="R1296" s="26">
        <v>1</v>
      </c>
      <c r="S1296" s="26">
        <v>9</v>
      </c>
      <c r="T1296" s="26">
        <v>7</v>
      </c>
      <c r="U1296" s="26">
        <v>17</v>
      </c>
      <c r="V1296" s="26">
        <v>1</v>
      </c>
      <c r="W1296" s="26"/>
    </row>
    <row r="1297" spans="1:23" x14ac:dyDescent="0.25">
      <c r="A1297" s="26" t="str">
        <f t="shared" si="206"/>
        <v>PRIMARIA</v>
      </c>
      <c r="B1297" s="26" t="str">
        <f>"09DPR2472R"</f>
        <v>09DPR2472R</v>
      </c>
      <c r="C1297" s="26" t="str">
        <f>"PLAN SEXENAL                                                                                        "</f>
        <v xml:space="preserve">PLAN SEXENAL                                                                                        </v>
      </c>
      <c r="D1297" s="26" t="str">
        <f>"VESPERTINO"</f>
        <v>VESPERTINO</v>
      </c>
      <c r="E1297" s="26" t="str">
        <f>"JAVIER ROJO GOMEZ 22                                                            "</f>
        <v xml:space="preserve">JAVIER ROJO GOMEZ 22                                                            </v>
      </c>
      <c r="F1297" s="26" t="str">
        <f>"SAN PABLO OZTOTEPEC                                                                                                                         "</f>
        <v xml:space="preserve">SAN PABLO OZTOTEPEC                                                                                                                         </v>
      </c>
      <c r="G1297" s="26" t="str">
        <f>"MILPA ALTA                                                                      "</f>
        <v xml:space="preserve">MILPA ALTA                                                                      </v>
      </c>
      <c r="H1297" s="26" t="str">
        <f>"565"</f>
        <v>565</v>
      </c>
      <c r="I1297" s="26" t="str">
        <f t="shared" si="207"/>
        <v>00</v>
      </c>
      <c r="J1297" s="26" t="str">
        <f>"45 "</f>
        <v xml:space="preserve">45 </v>
      </c>
      <c r="K1297" s="26" t="str">
        <f>"PR"</f>
        <v>PR</v>
      </c>
      <c r="L1297" s="26" t="str">
        <f>"DGOSE"</f>
        <v>DGOSE</v>
      </c>
      <c r="M1297" s="26" t="str">
        <f t="shared" si="208"/>
        <v>FEDERAL</v>
      </c>
      <c r="N1297" s="26">
        <v>655</v>
      </c>
      <c r="O1297" s="26">
        <v>336</v>
      </c>
      <c r="P1297" s="26">
        <v>319</v>
      </c>
      <c r="Q1297" s="26">
        <v>18</v>
      </c>
      <c r="R1297" s="26">
        <v>1</v>
      </c>
      <c r="S1297" s="26">
        <v>16</v>
      </c>
      <c r="T1297" s="26">
        <v>8</v>
      </c>
      <c r="U1297" s="26">
        <v>25</v>
      </c>
      <c r="V1297" s="26">
        <v>1</v>
      </c>
      <c r="W1297" s="26"/>
    </row>
    <row r="1298" spans="1:23" x14ac:dyDescent="0.25">
      <c r="A1298" s="26" t="str">
        <f t="shared" si="206"/>
        <v>PRIMARIA</v>
      </c>
      <c r="B1298" s="26" t="str">
        <f>"09DPR2473Q"</f>
        <v>09DPR2473Q</v>
      </c>
      <c r="C1298" s="26" t="str">
        <f>"GRAL. LAZARO CARDENAS DEL RIO                                                                       "</f>
        <v xml:space="preserve">GRAL. LAZARO CARDENAS DEL RIO                                                                       </v>
      </c>
      <c r="D1298" s="26" t="str">
        <f>"VESPERTINO"</f>
        <v>VESPERTINO</v>
      </c>
      <c r="E1298" s="26" t="str">
        <f>"CLUB DPVO. UNIVERSIDAD NUM. 300                                                 "</f>
        <v xml:space="preserve">CLUB DPVO. UNIVERSIDAD NUM. 300                                                 </v>
      </c>
      <c r="F1298" s="26" t="str">
        <f>"VILLA LAZARO CARDENAS                                                                                                                       "</f>
        <v xml:space="preserve">VILLA LAZARO CARDENAS                                                                                                                       </v>
      </c>
      <c r="G1298" s="26" t="str">
        <f>"TLALPAN                                                                         "</f>
        <v xml:space="preserve">TLALPAN                                                                         </v>
      </c>
      <c r="H1298" s="26" t="str">
        <f>"524"</f>
        <v>524</v>
      </c>
      <c r="I1298" s="26" t="str">
        <f t="shared" si="207"/>
        <v>00</v>
      </c>
      <c r="J1298" s="26" t="str">
        <f>"45 "</f>
        <v xml:space="preserve">45 </v>
      </c>
      <c r="K1298" s="26" t="str">
        <f>"PR"</f>
        <v>PR</v>
      </c>
      <c r="L1298" s="26" t="str">
        <f>"DGOSE"</f>
        <v>DGOSE</v>
      </c>
      <c r="M1298" s="26" t="str">
        <f t="shared" si="208"/>
        <v>FEDERAL</v>
      </c>
      <c r="N1298" s="26">
        <v>153</v>
      </c>
      <c r="O1298" s="26">
        <v>91</v>
      </c>
      <c r="P1298" s="26">
        <v>62</v>
      </c>
      <c r="Q1298" s="26">
        <v>7</v>
      </c>
      <c r="R1298" s="26">
        <v>1</v>
      </c>
      <c r="S1298" s="26">
        <v>7</v>
      </c>
      <c r="T1298" s="26">
        <v>7</v>
      </c>
      <c r="U1298" s="26">
        <v>15</v>
      </c>
      <c r="V1298" s="26">
        <v>1</v>
      </c>
      <c r="W1298" s="26"/>
    </row>
    <row r="1299" spans="1:23" x14ac:dyDescent="0.25">
      <c r="A1299" s="26" t="str">
        <f t="shared" si="206"/>
        <v>PRIMARIA</v>
      </c>
      <c r="B1299" s="26" t="str">
        <f>"09DPR2475O"</f>
        <v>09DPR2475O</v>
      </c>
      <c r="C1299" s="26" t="str">
        <f>"ROBERTO MEDELLIN                                                                                    "</f>
        <v xml:space="preserve">ROBERTO MEDELLIN                                                                                    </v>
      </c>
      <c r="D1299" s="26" t="str">
        <f>"VESPERTINO"</f>
        <v>VESPERTINO</v>
      </c>
      <c r="E1299" s="26" t="str">
        <f>"AV EMILIANO ZAPATA NO 30                                                        "</f>
        <v xml:space="preserve">AV EMILIANO ZAPATA NO 30                                                        </v>
      </c>
      <c r="F1299" s="26" t="str">
        <f>"SAN NICOLAS TETELCO                                                                                                                         "</f>
        <v xml:space="preserve">SAN NICOLAS TETELCO                                                                                                                         </v>
      </c>
      <c r="G1299" s="26" t="str">
        <f>"TLAHUAC                                                                         "</f>
        <v xml:space="preserve">TLAHUAC                                                                         </v>
      </c>
      <c r="H1299" s="26" t="str">
        <f>"560"</f>
        <v>560</v>
      </c>
      <c r="I1299" s="26" t="str">
        <f t="shared" si="207"/>
        <v>00</v>
      </c>
      <c r="J1299" s="26" t="str">
        <f>"45 "</f>
        <v xml:space="preserve">45 </v>
      </c>
      <c r="K1299" s="26" t="str">
        <f>"PR"</f>
        <v>PR</v>
      </c>
      <c r="L1299" s="26" t="str">
        <f>"DGOSE"</f>
        <v>DGOSE</v>
      </c>
      <c r="M1299" s="26" t="str">
        <f t="shared" si="208"/>
        <v>FEDERAL</v>
      </c>
      <c r="N1299" s="26">
        <v>472</v>
      </c>
      <c r="O1299" s="26">
        <v>231</v>
      </c>
      <c r="P1299" s="26">
        <v>241</v>
      </c>
      <c r="Q1299" s="26">
        <v>13</v>
      </c>
      <c r="R1299" s="26">
        <v>1</v>
      </c>
      <c r="S1299" s="26">
        <v>13</v>
      </c>
      <c r="T1299" s="26">
        <v>7</v>
      </c>
      <c r="U1299" s="26">
        <v>21</v>
      </c>
      <c r="V1299" s="26">
        <v>1</v>
      </c>
      <c r="W1299" s="26"/>
    </row>
    <row r="1300" spans="1:23" x14ac:dyDescent="0.25">
      <c r="A1300" s="26" t="str">
        <f t="shared" si="206"/>
        <v>PRIMARIA</v>
      </c>
      <c r="B1300" s="26" t="str">
        <f>"09DPR2476N"</f>
        <v>09DPR2476N</v>
      </c>
      <c r="C1300" s="26" t="str">
        <f>"30 DE ABRIL                                                                                         "</f>
        <v xml:space="preserve">30 DE ABRIL                                                                                         </v>
      </c>
      <c r="D1300" s="26" t="str">
        <f>"VESPERTINO"</f>
        <v>VESPERTINO</v>
      </c>
      <c r="E1300" s="26" t="str">
        <f>"AV. HIDALGO NO. 522                                                             "</f>
        <v xml:space="preserve">AV. HIDALGO NO. 522                                                             </v>
      </c>
      <c r="F1300" s="26" t="str">
        <f>"PURISIMA                                                                                                                                    "</f>
        <v xml:space="preserve">PURISIMA                                                                                                                                    </v>
      </c>
      <c r="G1300" s="26" t="str">
        <f>"IZTAPALAPA                                                                      "</f>
        <v xml:space="preserve">IZTAPALAPA                                                                      </v>
      </c>
      <c r="H1300" s="26" t="str">
        <f>"015"</f>
        <v>015</v>
      </c>
      <c r="I1300" s="26" t="str">
        <f t="shared" si="207"/>
        <v>00</v>
      </c>
      <c r="J1300" s="26" t="str">
        <f>"62 "</f>
        <v xml:space="preserve">62 </v>
      </c>
      <c r="K1300" s="26" t="str">
        <f>"IZ"</f>
        <v>IZ</v>
      </c>
      <c r="L1300" s="26" t="str">
        <f>"DGSEI"</f>
        <v>DGSEI</v>
      </c>
      <c r="M1300" s="26" t="str">
        <f t="shared" si="208"/>
        <v>FEDERAL</v>
      </c>
      <c r="N1300" s="26">
        <v>112</v>
      </c>
      <c r="O1300" s="26">
        <v>64</v>
      </c>
      <c r="P1300" s="26">
        <v>48</v>
      </c>
      <c r="Q1300" s="26">
        <v>6</v>
      </c>
      <c r="R1300" s="26">
        <v>1</v>
      </c>
      <c r="S1300" s="26">
        <v>3</v>
      </c>
      <c r="T1300" s="26">
        <v>2</v>
      </c>
      <c r="U1300" s="26">
        <v>6</v>
      </c>
      <c r="V1300" s="26">
        <v>1</v>
      </c>
      <c r="W1300" s="26"/>
    </row>
    <row r="1301" spans="1:23" x14ac:dyDescent="0.25">
      <c r="A1301" s="26" t="str">
        <f t="shared" si="206"/>
        <v>PRIMARIA</v>
      </c>
      <c r="B1301" s="26" t="str">
        <f>"09DPR2477M"</f>
        <v>09DPR2477M</v>
      </c>
      <c r="C1301" s="26" t="str">
        <f>"GABINO BARREDA                                                                                      "</f>
        <v xml:space="preserve">GABINO BARREDA                                                                                      </v>
      </c>
      <c r="D1301" s="26" t="str">
        <f>"MATUTINO"</f>
        <v>MATUTINO</v>
      </c>
      <c r="E1301" s="26" t="str">
        <f>"ALHONDIGA Y SOLEDAD S/N                                                         "</f>
        <v xml:space="preserve">ALHONDIGA Y SOLEDAD S/N                                                         </v>
      </c>
      <c r="F1301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1301" s="26" t="str">
        <f>"CUAUHTEMOC                                                                      "</f>
        <v xml:space="preserve">CUAUHTEMOC                                                                      </v>
      </c>
      <c r="H1301" s="26" t="str">
        <f>"224"</f>
        <v>224</v>
      </c>
      <c r="I1301" s="26" t="str">
        <f t="shared" si="207"/>
        <v>00</v>
      </c>
      <c r="J1301" s="26" t="str">
        <f>"42 "</f>
        <v xml:space="preserve">42 </v>
      </c>
      <c r="K1301" s="26" t="str">
        <f t="shared" ref="K1301:K1329" si="211">"PR"</f>
        <v>PR</v>
      </c>
      <c r="L1301" s="26" t="str">
        <f t="shared" ref="L1301:L1329" si="212">"DGOSE"</f>
        <v>DGOSE</v>
      </c>
      <c r="M1301" s="26" t="str">
        <f t="shared" si="208"/>
        <v>FEDERAL</v>
      </c>
      <c r="N1301" s="26">
        <v>156</v>
      </c>
      <c r="O1301" s="26">
        <v>82</v>
      </c>
      <c r="P1301" s="26">
        <v>74</v>
      </c>
      <c r="Q1301" s="26">
        <v>6</v>
      </c>
      <c r="R1301" s="26">
        <v>1</v>
      </c>
      <c r="S1301" s="26">
        <v>6</v>
      </c>
      <c r="T1301" s="26">
        <v>7</v>
      </c>
      <c r="U1301" s="26">
        <v>14</v>
      </c>
      <c r="V1301" s="26">
        <v>1</v>
      </c>
      <c r="W1301" s="26"/>
    </row>
    <row r="1302" spans="1:23" x14ac:dyDescent="0.25">
      <c r="A1302" s="26" t="str">
        <f t="shared" si="206"/>
        <v>PRIMARIA</v>
      </c>
      <c r="B1302" s="26" t="str">
        <f>"09DPR2478L"</f>
        <v>09DPR2478L</v>
      </c>
      <c r="C1302" s="26" t="str">
        <f>"LUIS MURILLO                                                                                        "</f>
        <v xml:space="preserve">LUIS MURILLO                                                                                        </v>
      </c>
      <c r="D1302" s="26" t="str">
        <f>"JORNADA AMPLIADA"</f>
        <v>JORNADA AMPLIADA</v>
      </c>
      <c r="E1302" s="26" t="str">
        <f>"INCAS NO 7                                                                      "</f>
        <v xml:space="preserve">INCAS NO 7                                                                      </v>
      </c>
      <c r="F1302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1302" s="26" t="str">
        <f>"CUAUHTEMOC                                                                      "</f>
        <v xml:space="preserve">CUAUHTEMOC                                                                      </v>
      </c>
      <c r="H1302" s="26" t="str">
        <f>"122"</f>
        <v>122</v>
      </c>
      <c r="I1302" s="26" t="str">
        <f t="shared" si="207"/>
        <v>00</v>
      </c>
      <c r="J1302" s="26" t="str">
        <f>"41 "</f>
        <v xml:space="preserve">41 </v>
      </c>
      <c r="K1302" s="26" t="str">
        <f t="shared" si="211"/>
        <v>PR</v>
      </c>
      <c r="L1302" s="26" t="str">
        <f t="shared" si="212"/>
        <v>DGOSE</v>
      </c>
      <c r="M1302" s="26" t="str">
        <f t="shared" si="208"/>
        <v>FEDERAL</v>
      </c>
      <c r="N1302" s="26">
        <v>207</v>
      </c>
      <c r="O1302" s="26">
        <v>108</v>
      </c>
      <c r="P1302" s="26">
        <v>99</v>
      </c>
      <c r="Q1302" s="26">
        <v>7</v>
      </c>
      <c r="R1302" s="26">
        <v>1</v>
      </c>
      <c r="S1302" s="26">
        <v>7</v>
      </c>
      <c r="T1302" s="26">
        <v>9</v>
      </c>
      <c r="U1302" s="26">
        <v>17</v>
      </c>
      <c r="V1302" s="26">
        <v>1</v>
      </c>
      <c r="W1302" s="26" t="s">
        <v>2076</v>
      </c>
    </row>
    <row r="1303" spans="1:23" x14ac:dyDescent="0.25">
      <c r="A1303" s="26" t="str">
        <f t="shared" si="206"/>
        <v>PRIMARIA</v>
      </c>
      <c r="B1303" s="26" t="str">
        <f>"09DPR2479K"</f>
        <v>09DPR2479K</v>
      </c>
      <c r="C1303" s="26" t="str">
        <f>"ALFREDO E. URUCHURTU                                                                                "</f>
        <v xml:space="preserve">ALFREDO E. URUCHURTU                                                                                </v>
      </c>
      <c r="D1303" s="26" t="str">
        <f>"VESPERTINO"</f>
        <v>VESPERTINO</v>
      </c>
      <c r="E1303" s="26" t="str">
        <f>"MANUEL DOBLADO NUM 75                                                           "</f>
        <v xml:space="preserve">MANUEL DOBLADO NUM 75                                                           </v>
      </c>
      <c r="F1303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1303" s="26" t="str">
        <f>"CUAUHTEMOC                                                                      "</f>
        <v xml:space="preserve">CUAUHTEMOC                                                                      </v>
      </c>
      <c r="H1303" s="26" t="str">
        <f>"224"</f>
        <v>224</v>
      </c>
      <c r="I1303" s="26" t="str">
        <f t="shared" si="207"/>
        <v>00</v>
      </c>
      <c r="J1303" s="26" t="str">
        <f>"42 "</f>
        <v xml:space="preserve">42 </v>
      </c>
      <c r="K1303" s="26" t="str">
        <f t="shared" si="211"/>
        <v>PR</v>
      </c>
      <c r="L1303" s="26" t="str">
        <f t="shared" si="212"/>
        <v>DGOSE</v>
      </c>
      <c r="M1303" s="26" t="str">
        <f t="shared" si="208"/>
        <v>FEDERAL</v>
      </c>
      <c r="N1303" s="26">
        <v>130</v>
      </c>
      <c r="O1303" s="26">
        <v>69</v>
      </c>
      <c r="P1303" s="26">
        <v>61</v>
      </c>
      <c r="Q1303" s="26">
        <v>7</v>
      </c>
      <c r="R1303" s="26">
        <v>1</v>
      </c>
      <c r="S1303" s="26">
        <v>7</v>
      </c>
      <c r="T1303" s="26">
        <v>5</v>
      </c>
      <c r="U1303" s="26">
        <v>13</v>
      </c>
      <c r="V1303" s="26">
        <v>1</v>
      </c>
      <c r="W1303" s="26"/>
    </row>
    <row r="1304" spans="1:23" x14ac:dyDescent="0.25">
      <c r="A1304" s="26" t="str">
        <f t="shared" si="206"/>
        <v>PRIMARIA</v>
      </c>
      <c r="B1304" s="26" t="str">
        <f>"09DPR2482Y"</f>
        <v>09DPR2482Y</v>
      </c>
      <c r="C1304" s="26" t="str">
        <f>"ALFREDO E. URUCHURTU                                                                                "</f>
        <v xml:space="preserve">ALFREDO E. URUCHURTU                                                                                </v>
      </c>
      <c r="D1304" s="26" t="str">
        <f>"MATUTINO"</f>
        <v>MATUTINO</v>
      </c>
      <c r="E1304" s="26" t="str">
        <f>"MANUEL DOBLADO NUM 75                                                           "</f>
        <v xml:space="preserve">MANUEL DOBLADO NUM 75                                                           </v>
      </c>
      <c r="F1304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1304" s="26" t="str">
        <f>"CUAUHTEMOC                                                                      "</f>
        <v xml:space="preserve">CUAUHTEMOC                                                                      </v>
      </c>
      <c r="H1304" s="26" t="str">
        <f>"224"</f>
        <v>224</v>
      </c>
      <c r="I1304" s="26" t="str">
        <f t="shared" si="207"/>
        <v>00</v>
      </c>
      <c r="J1304" s="26" t="str">
        <f>"42 "</f>
        <v xml:space="preserve">42 </v>
      </c>
      <c r="K1304" s="26" t="str">
        <f t="shared" si="211"/>
        <v>PR</v>
      </c>
      <c r="L1304" s="26" t="str">
        <f t="shared" si="212"/>
        <v>DGOSE</v>
      </c>
      <c r="M1304" s="26" t="str">
        <f t="shared" si="208"/>
        <v>FEDERAL</v>
      </c>
      <c r="N1304" s="26">
        <v>294</v>
      </c>
      <c r="O1304" s="26">
        <v>160</v>
      </c>
      <c r="P1304" s="26">
        <v>134</v>
      </c>
      <c r="Q1304" s="26">
        <v>12</v>
      </c>
      <c r="R1304" s="26">
        <v>1</v>
      </c>
      <c r="S1304" s="26">
        <v>12</v>
      </c>
      <c r="T1304" s="26">
        <v>7</v>
      </c>
      <c r="U1304" s="26">
        <v>20</v>
      </c>
      <c r="V1304" s="26">
        <v>1</v>
      </c>
      <c r="W1304" s="26"/>
    </row>
    <row r="1305" spans="1:23" x14ac:dyDescent="0.25">
      <c r="A1305" s="26" t="str">
        <f t="shared" si="206"/>
        <v>PRIMARIA</v>
      </c>
      <c r="B1305" s="26" t="str">
        <f>"09DPR2485V"</f>
        <v>09DPR2485V</v>
      </c>
      <c r="C1305" s="26" t="str">
        <f>"ABRAHAM CASTELLANOS                                                                                 "</f>
        <v xml:space="preserve">ABRAHAM CASTELLANOS                                                                                 </v>
      </c>
      <c r="D1305" s="26" t="str">
        <f>"JORNADA AMPLIADA"</f>
        <v>JORNADA AMPLIADA</v>
      </c>
      <c r="E1305" s="26" t="str">
        <f>"PLAZA DEL ESTUDIANTE 4                                                          "</f>
        <v xml:space="preserve">PLAZA DEL ESTUDIANTE 4                                                          </v>
      </c>
      <c r="F1305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1305" s="26" t="str">
        <f>"CUAUHTEMOC                                                                      "</f>
        <v xml:space="preserve">CUAUHTEMOC                                                                      </v>
      </c>
      <c r="H1305" s="26" t="str">
        <f>"120"</f>
        <v>120</v>
      </c>
      <c r="I1305" s="26" t="str">
        <f t="shared" si="207"/>
        <v>00</v>
      </c>
      <c r="J1305" s="26" t="str">
        <f>"41 "</f>
        <v xml:space="preserve">41 </v>
      </c>
      <c r="K1305" s="26" t="str">
        <f t="shared" si="211"/>
        <v>PR</v>
      </c>
      <c r="L1305" s="26" t="str">
        <f t="shared" si="212"/>
        <v>DGOSE</v>
      </c>
      <c r="M1305" s="26" t="str">
        <f t="shared" si="208"/>
        <v>FEDERAL</v>
      </c>
      <c r="N1305" s="26">
        <v>296</v>
      </c>
      <c r="O1305" s="26">
        <v>148</v>
      </c>
      <c r="P1305" s="26">
        <v>148</v>
      </c>
      <c r="Q1305" s="26">
        <v>12</v>
      </c>
      <c r="R1305" s="26">
        <v>1</v>
      </c>
      <c r="S1305" s="26">
        <v>12</v>
      </c>
      <c r="T1305" s="26">
        <v>11</v>
      </c>
      <c r="U1305" s="26">
        <v>24</v>
      </c>
      <c r="V1305" s="26">
        <v>1</v>
      </c>
      <c r="W1305" s="26" t="s">
        <v>2076</v>
      </c>
    </row>
    <row r="1306" spans="1:23" x14ac:dyDescent="0.25">
      <c r="A1306" s="26" t="str">
        <f t="shared" si="206"/>
        <v>PRIMARIA</v>
      </c>
      <c r="B1306" s="26" t="str">
        <f>"09DPR2486U"</f>
        <v>09DPR2486U</v>
      </c>
      <c r="C1306" s="26" t="str">
        <f>"LUIS DE LA ROSA                                                                                     "</f>
        <v xml:space="preserve">LUIS DE LA ROSA                                                                                     </v>
      </c>
      <c r="D1306" s="26" t="str">
        <f>"TIEMPO COMPLETO"</f>
        <v>TIEMPO COMPLETO</v>
      </c>
      <c r="E1306" s="26" t="str">
        <f>"CALLE BRAVO NO 67                                                               "</f>
        <v xml:space="preserve">CALLE BRAVO NO 67                                                               </v>
      </c>
      <c r="F1306" s="26" t="str">
        <f>"MORELOS                                                                                                                                     "</f>
        <v xml:space="preserve">MORELOS                                                                                                                                     </v>
      </c>
      <c r="G1306" s="26" t="str">
        <f>"VENUSTIANO CARRANZA                                                             "</f>
        <v xml:space="preserve">VENUSTIANO CARRANZA                                                             </v>
      </c>
      <c r="H1306" s="26" t="str">
        <f>"418"</f>
        <v>418</v>
      </c>
      <c r="I1306" s="26" t="str">
        <f t="shared" si="207"/>
        <v>00</v>
      </c>
      <c r="J1306" s="26" t="str">
        <f>"44 "</f>
        <v xml:space="preserve">44 </v>
      </c>
      <c r="K1306" s="26" t="str">
        <f t="shared" si="211"/>
        <v>PR</v>
      </c>
      <c r="L1306" s="26" t="str">
        <f t="shared" si="212"/>
        <v>DGOSE</v>
      </c>
      <c r="M1306" s="26" t="str">
        <f t="shared" si="208"/>
        <v>FEDERAL</v>
      </c>
      <c r="N1306" s="26">
        <v>193</v>
      </c>
      <c r="O1306" s="26">
        <v>113</v>
      </c>
      <c r="P1306" s="26">
        <v>80</v>
      </c>
      <c r="Q1306" s="26">
        <v>8</v>
      </c>
      <c r="R1306" s="26">
        <v>1</v>
      </c>
      <c r="S1306" s="26">
        <v>8</v>
      </c>
      <c r="T1306" s="26">
        <v>5</v>
      </c>
      <c r="U1306" s="26">
        <v>14</v>
      </c>
      <c r="V1306" s="26">
        <v>1</v>
      </c>
      <c r="W1306" s="26" t="s">
        <v>218</v>
      </c>
    </row>
    <row r="1307" spans="1:23" x14ac:dyDescent="0.25">
      <c r="A1307" s="26" t="str">
        <f t="shared" si="206"/>
        <v>PRIMARIA</v>
      </c>
      <c r="B1307" s="26" t="str">
        <f>"09DPR2490G"</f>
        <v>09DPR2490G</v>
      </c>
      <c r="C1307" s="26" t="str">
        <f>"JOAQUIN GARCIA ICAZBALCETA                                                                          "</f>
        <v xml:space="preserve">JOAQUIN GARCIA ICAZBALCETA                                                                          </v>
      </c>
      <c r="D1307" s="26" t="str">
        <f>"VESPERTINO"</f>
        <v>VESPERTINO</v>
      </c>
      <c r="E1307" s="26" t="str">
        <f>"SEGUNDO CALLEJON DE MESONES 1                                                   "</f>
        <v xml:space="preserve">SEGUNDO CALLEJON DE MESONES 1                                                   </v>
      </c>
      <c r="F1307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1307" s="26" t="str">
        <f>"CUAUHTEMOC                                                                      "</f>
        <v xml:space="preserve">CUAUHTEMOC                                                                      </v>
      </c>
      <c r="H1307" s="26" t="str">
        <f>"224"</f>
        <v>224</v>
      </c>
      <c r="I1307" s="26" t="str">
        <f t="shared" si="207"/>
        <v>00</v>
      </c>
      <c r="J1307" s="26" t="str">
        <f>"42 "</f>
        <v xml:space="preserve">42 </v>
      </c>
      <c r="K1307" s="26" t="str">
        <f t="shared" si="211"/>
        <v>PR</v>
      </c>
      <c r="L1307" s="26" t="str">
        <f t="shared" si="212"/>
        <v>DGOSE</v>
      </c>
      <c r="M1307" s="26" t="str">
        <f t="shared" si="208"/>
        <v>FEDERAL</v>
      </c>
      <c r="N1307" s="26">
        <v>116</v>
      </c>
      <c r="O1307" s="26">
        <v>61</v>
      </c>
      <c r="P1307" s="26">
        <v>55</v>
      </c>
      <c r="Q1307" s="26">
        <v>6</v>
      </c>
      <c r="R1307" s="26">
        <v>1</v>
      </c>
      <c r="S1307" s="26">
        <v>6</v>
      </c>
      <c r="T1307" s="26">
        <v>7</v>
      </c>
      <c r="U1307" s="26">
        <v>14</v>
      </c>
      <c r="V1307" s="26">
        <v>1</v>
      </c>
      <c r="W1307" s="26"/>
    </row>
    <row r="1308" spans="1:23" x14ac:dyDescent="0.25">
      <c r="A1308" s="26" t="str">
        <f t="shared" si="206"/>
        <v>PRIMARIA</v>
      </c>
      <c r="B1308" s="26" t="str">
        <f>"09DPR2491F"</f>
        <v>09DPR2491F</v>
      </c>
      <c r="C1308" s="26" t="str">
        <f>"JOAQUIN GARCIA ICAZBALCETA                                                                          "</f>
        <v xml:space="preserve">JOAQUIN GARCIA ICAZBALCETA                                                                          </v>
      </c>
      <c r="D1308" s="26" t="str">
        <f>"MATUTINO"</f>
        <v>MATUTINO</v>
      </c>
      <c r="E1308" s="26" t="str">
        <f>"SEGUNDO CALLEJON DE MESONES NUM. 1                                              "</f>
        <v xml:space="preserve">SEGUNDO CALLEJON DE MESONES NUM. 1                                              </v>
      </c>
      <c r="F1308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1308" s="26" t="str">
        <f>"CUAUHTEMOC                                                                      "</f>
        <v xml:space="preserve">CUAUHTEMOC                                                                      </v>
      </c>
      <c r="H1308" s="26" t="str">
        <f>"224"</f>
        <v>224</v>
      </c>
      <c r="I1308" s="26" t="str">
        <f t="shared" si="207"/>
        <v>00</v>
      </c>
      <c r="J1308" s="26" t="str">
        <f>"42 "</f>
        <v xml:space="preserve">42 </v>
      </c>
      <c r="K1308" s="26" t="str">
        <f t="shared" si="211"/>
        <v>PR</v>
      </c>
      <c r="L1308" s="26" t="str">
        <f t="shared" si="212"/>
        <v>DGOSE</v>
      </c>
      <c r="M1308" s="26" t="str">
        <f t="shared" si="208"/>
        <v>FEDERAL</v>
      </c>
      <c r="N1308" s="26">
        <v>297</v>
      </c>
      <c r="O1308" s="26">
        <v>149</v>
      </c>
      <c r="P1308" s="26">
        <v>148</v>
      </c>
      <c r="Q1308" s="26">
        <v>12</v>
      </c>
      <c r="R1308" s="26">
        <v>1</v>
      </c>
      <c r="S1308" s="26">
        <v>12</v>
      </c>
      <c r="T1308" s="26">
        <v>8</v>
      </c>
      <c r="U1308" s="26">
        <v>21</v>
      </c>
      <c r="V1308" s="26">
        <v>1</v>
      </c>
      <c r="W1308" s="26"/>
    </row>
    <row r="1309" spans="1:23" x14ac:dyDescent="0.25">
      <c r="A1309" s="26" t="str">
        <f t="shared" si="206"/>
        <v>PRIMARIA</v>
      </c>
      <c r="B1309" s="26" t="str">
        <f>"09DPR2495B"</f>
        <v>09DPR2495B</v>
      </c>
      <c r="C1309" s="26" t="str">
        <f>"PROFRA. ELMIRA ROCHA GARCIA                                                                         "</f>
        <v xml:space="preserve">PROFRA. ELMIRA ROCHA GARCIA                                                                         </v>
      </c>
      <c r="D1309" s="26" t="str">
        <f>"JORNADA AMPLIADA"</f>
        <v>JORNADA AMPLIADA</v>
      </c>
      <c r="E1309" s="26" t="str">
        <f>"OSA MAYOR S/N SECTOR 1 D                                                        "</f>
        <v xml:space="preserve">OSA MAYOR S/N SECTOR 1 D                                                        </v>
      </c>
      <c r="F1309" s="26" t="str">
        <f>"UNIDAD INFONAVIT EL ROSARIO                                                                                                                 "</f>
        <v xml:space="preserve">UNIDAD INFONAVIT EL ROSARIO                                                                                                                 </v>
      </c>
      <c r="G1309" s="26" t="str">
        <f>"AZCAPOTZALCO                                                                    "</f>
        <v xml:space="preserve">AZCAPOTZALCO                                                                    </v>
      </c>
      <c r="H1309" s="26" t="str">
        <f>"100"</f>
        <v>100</v>
      </c>
      <c r="I1309" s="26" t="str">
        <f t="shared" si="207"/>
        <v>00</v>
      </c>
      <c r="J1309" s="26" t="str">
        <f>"41 "</f>
        <v xml:space="preserve">41 </v>
      </c>
      <c r="K1309" s="26" t="str">
        <f t="shared" si="211"/>
        <v>PR</v>
      </c>
      <c r="L1309" s="26" t="str">
        <f t="shared" si="212"/>
        <v>DGOSE</v>
      </c>
      <c r="M1309" s="26" t="str">
        <f t="shared" si="208"/>
        <v>FEDERAL</v>
      </c>
      <c r="N1309" s="26">
        <v>478</v>
      </c>
      <c r="O1309" s="26">
        <v>233</v>
      </c>
      <c r="P1309" s="26">
        <v>245</v>
      </c>
      <c r="Q1309" s="26">
        <v>18</v>
      </c>
      <c r="R1309" s="26">
        <v>0</v>
      </c>
      <c r="S1309" s="26">
        <v>18</v>
      </c>
      <c r="T1309" s="26">
        <v>15</v>
      </c>
      <c r="U1309" s="26">
        <v>33</v>
      </c>
      <c r="V1309" s="26">
        <v>1</v>
      </c>
      <c r="W1309" s="26" t="s">
        <v>2076</v>
      </c>
    </row>
    <row r="1310" spans="1:23" x14ac:dyDescent="0.25">
      <c r="A1310" s="26" t="str">
        <f t="shared" si="206"/>
        <v>PRIMARIA</v>
      </c>
      <c r="B1310" s="26" t="str">
        <f>"09DPR2497Z"</f>
        <v>09DPR2497Z</v>
      </c>
      <c r="C1310" s="26" t="str">
        <f>"ESTADO DE CHIHUAHUA                                                                                 "</f>
        <v xml:space="preserve">ESTADO DE CHIHUAHUA                                                                                 </v>
      </c>
      <c r="D1310" s="26" t="str">
        <f>"JORNADA AMPLIADA"</f>
        <v>JORNADA AMPLIADA</v>
      </c>
      <c r="E1310" s="26" t="str">
        <f>"LUNA NUM 131                                                                    "</f>
        <v xml:space="preserve">LUNA NUM 131                                                                    </v>
      </c>
      <c r="F1310" s="26" t="str">
        <f>"GUERRERO                                                                                                                                    "</f>
        <v xml:space="preserve">GUERRERO                                                                                                                                    </v>
      </c>
      <c r="G1310" s="26" t="str">
        <f>"CUAUHTEMOC                                                                      "</f>
        <v xml:space="preserve">CUAUHTEMOC                                                                      </v>
      </c>
      <c r="H1310" s="26" t="str">
        <f>"121"</f>
        <v>121</v>
      </c>
      <c r="I1310" s="26" t="str">
        <f t="shared" si="207"/>
        <v>00</v>
      </c>
      <c r="J1310" s="26" t="str">
        <f>"41 "</f>
        <v xml:space="preserve">41 </v>
      </c>
      <c r="K1310" s="26" t="str">
        <f t="shared" si="211"/>
        <v>PR</v>
      </c>
      <c r="L1310" s="26" t="str">
        <f t="shared" si="212"/>
        <v>DGOSE</v>
      </c>
      <c r="M1310" s="26" t="str">
        <f t="shared" si="208"/>
        <v>FEDERAL</v>
      </c>
      <c r="N1310" s="26">
        <v>390</v>
      </c>
      <c r="O1310" s="26">
        <v>212</v>
      </c>
      <c r="P1310" s="26">
        <v>178</v>
      </c>
      <c r="Q1310" s="26">
        <v>13</v>
      </c>
      <c r="R1310" s="26">
        <v>1</v>
      </c>
      <c r="S1310" s="26">
        <v>13</v>
      </c>
      <c r="T1310" s="26">
        <v>11</v>
      </c>
      <c r="U1310" s="26">
        <v>25</v>
      </c>
      <c r="V1310" s="26">
        <v>1</v>
      </c>
      <c r="W1310" s="26" t="s">
        <v>2076</v>
      </c>
    </row>
    <row r="1311" spans="1:23" x14ac:dyDescent="0.25">
      <c r="A1311" s="26" t="str">
        <f t="shared" si="206"/>
        <v>PRIMARIA</v>
      </c>
      <c r="B1311" s="26" t="str">
        <f>"09DPR2498Z"</f>
        <v>09DPR2498Z</v>
      </c>
      <c r="C1311" s="26" t="str">
        <f>"EZEQUIEL A. CHAVEZ                                                                                  "</f>
        <v xml:space="preserve">EZEQUIEL A. CHAVEZ                                                                                  </v>
      </c>
      <c r="D1311" s="26" t="str">
        <f>"MATUTINO"</f>
        <v>MATUTINO</v>
      </c>
      <c r="E1311" s="26" t="str">
        <f>"MIRTO 11                                                                        "</f>
        <v xml:space="preserve">MIRTO 11                                                                        </v>
      </c>
      <c r="F1311" s="26" t="str">
        <f>"SANTA MARIA LA RIBERA                                                                                                                       "</f>
        <v xml:space="preserve">SANTA MARIA LA RIBERA                                                                                                                       </v>
      </c>
      <c r="G1311" s="26" t="str">
        <f>"CUAUHTEMOC                                                                      "</f>
        <v xml:space="preserve">CUAUHTEMOC                                                                      </v>
      </c>
      <c r="H1311" s="26" t="str">
        <f>"219"</f>
        <v>219</v>
      </c>
      <c r="I1311" s="26" t="str">
        <f t="shared" si="207"/>
        <v>00</v>
      </c>
      <c r="J1311" s="26" t="str">
        <f>"42 "</f>
        <v xml:space="preserve">42 </v>
      </c>
      <c r="K1311" s="26" t="str">
        <f t="shared" si="211"/>
        <v>PR</v>
      </c>
      <c r="L1311" s="26" t="str">
        <f t="shared" si="212"/>
        <v>DGOSE</v>
      </c>
      <c r="M1311" s="26" t="str">
        <f t="shared" si="208"/>
        <v>FEDERAL</v>
      </c>
      <c r="N1311" s="26">
        <v>401</v>
      </c>
      <c r="O1311" s="26">
        <v>202</v>
      </c>
      <c r="P1311" s="26">
        <v>199</v>
      </c>
      <c r="Q1311" s="26">
        <v>16</v>
      </c>
      <c r="R1311" s="26">
        <v>0</v>
      </c>
      <c r="S1311" s="26">
        <v>15</v>
      </c>
      <c r="T1311" s="26">
        <v>14</v>
      </c>
      <c r="U1311" s="26">
        <v>29</v>
      </c>
      <c r="V1311" s="26">
        <v>1</v>
      </c>
      <c r="W1311" s="26"/>
    </row>
    <row r="1312" spans="1:23" x14ac:dyDescent="0.25">
      <c r="A1312" s="26" t="str">
        <f t="shared" si="206"/>
        <v>PRIMARIA</v>
      </c>
      <c r="B1312" s="26" t="str">
        <f>"09DPR2500X"</f>
        <v>09DPR2500X</v>
      </c>
      <c r="C1312" s="26" t="str">
        <f>"FRAY PEDRO DE GANTE                                                                                 "</f>
        <v xml:space="preserve">FRAY PEDRO DE GANTE                                                                                 </v>
      </c>
      <c r="D1312" s="26" t="str">
        <f>"VESPERTINO"</f>
        <v>VESPERTINO</v>
      </c>
      <c r="E1312" s="26" t="str">
        <f>"REGINA NUM 86                                                                   "</f>
        <v xml:space="preserve">REGINA NUM 86                                                                   </v>
      </c>
      <c r="F1312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1312" s="26" t="str">
        <f>"CUAUHTEMOC                                                                      "</f>
        <v xml:space="preserve">CUAUHTEMOC                                                                      </v>
      </c>
      <c r="H1312" s="26" t="str">
        <f>"222"</f>
        <v>222</v>
      </c>
      <c r="I1312" s="26" t="str">
        <f t="shared" si="207"/>
        <v>00</v>
      </c>
      <c r="J1312" s="26" t="str">
        <f>"42 "</f>
        <v xml:space="preserve">42 </v>
      </c>
      <c r="K1312" s="26" t="str">
        <f t="shared" si="211"/>
        <v>PR</v>
      </c>
      <c r="L1312" s="26" t="str">
        <f t="shared" si="212"/>
        <v>DGOSE</v>
      </c>
      <c r="M1312" s="26" t="str">
        <f t="shared" si="208"/>
        <v>FEDERAL</v>
      </c>
      <c r="N1312" s="26">
        <v>79</v>
      </c>
      <c r="O1312" s="26">
        <v>42</v>
      </c>
      <c r="P1312" s="26">
        <v>37</v>
      </c>
      <c r="Q1312" s="26">
        <v>11</v>
      </c>
      <c r="R1312" s="26">
        <v>1</v>
      </c>
      <c r="S1312" s="26">
        <v>8</v>
      </c>
      <c r="T1312" s="26">
        <v>6</v>
      </c>
      <c r="U1312" s="26">
        <v>15</v>
      </c>
      <c r="V1312" s="26">
        <v>1</v>
      </c>
      <c r="W1312" s="26"/>
    </row>
    <row r="1313" spans="1:23" x14ac:dyDescent="0.25">
      <c r="A1313" s="26" t="str">
        <f t="shared" si="206"/>
        <v>PRIMARIA</v>
      </c>
      <c r="B1313" s="26" t="str">
        <f>"09DPR2501W"</f>
        <v>09DPR2501W</v>
      </c>
      <c r="C1313" s="26" t="str">
        <f>"AUGUSTO CESAR SANDINO                                                                               "</f>
        <v xml:space="preserve">AUGUSTO CESAR SANDINO                                                                               </v>
      </c>
      <c r="D1313" s="26" t="str">
        <f>"JORNADA AMPLIADA"</f>
        <v>JORNADA AMPLIADA</v>
      </c>
      <c r="E1313" s="26" t="str">
        <f>"CEDRO NUM. 348                                                                  "</f>
        <v xml:space="preserve">CEDRO NUM. 348                                                                  </v>
      </c>
      <c r="F1313" s="26" t="str">
        <f>"SANTA MARIA LA RIBERA                                                                                                                       "</f>
        <v xml:space="preserve">SANTA MARIA LA RIBERA                                                                                                                       </v>
      </c>
      <c r="G1313" s="26" t="str">
        <f>"CUAUHTEMOC                                                                      "</f>
        <v xml:space="preserve">CUAUHTEMOC                                                                      </v>
      </c>
      <c r="H1313" s="26" t="str">
        <f>"123"</f>
        <v>123</v>
      </c>
      <c r="I1313" s="26" t="str">
        <f t="shared" si="207"/>
        <v>00</v>
      </c>
      <c r="J1313" s="26" t="str">
        <f>"41 "</f>
        <v xml:space="preserve">41 </v>
      </c>
      <c r="K1313" s="26" t="str">
        <f t="shared" si="211"/>
        <v>PR</v>
      </c>
      <c r="L1313" s="26" t="str">
        <f t="shared" si="212"/>
        <v>DGOSE</v>
      </c>
      <c r="M1313" s="26" t="str">
        <f t="shared" si="208"/>
        <v>FEDERAL</v>
      </c>
      <c r="N1313" s="26">
        <v>172</v>
      </c>
      <c r="O1313" s="26">
        <v>92</v>
      </c>
      <c r="P1313" s="26">
        <v>80</v>
      </c>
      <c r="Q1313" s="26">
        <v>6</v>
      </c>
      <c r="R1313" s="26">
        <v>1</v>
      </c>
      <c r="S1313" s="26">
        <v>6</v>
      </c>
      <c r="T1313" s="26">
        <v>6</v>
      </c>
      <c r="U1313" s="26">
        <v>13</v>
      </c>
      <c r="V1313" s="26">
        <v>1</v>
      </c>
      <c r="W1313" s="26" t="s">
        <v>2076</v>
      </c>
    </row>
    <row r="1314" spans="1:23" x14ac:dyDescent="0.25">
      <c r="A1314" s="26" t="str">
        <f t="shared" si="206"/>
        <v>PRIMARIA</v>
      </c>
      <c r="B1314" s="26" t="str">
        <f>"09DPR2502V"</f>
        <v>09DPR2502V</v>
      </c>
      <c r="C1314" s="26" t="str">
        <f>"ESTADO DE SINALOA                                                                                   "</f>
        <v xml:space="preserve">ESTADO DE SINALOA                                                                                   </v>
      </c>
      <c r="D1314" s="26" t="str">
        <f>"VESPERTINO"</f>
        <v>VESPERTINO</v>
      </c>
      <c r="E1314" s="26" t="str">
        <f>"CALZADA COYUYA No 22                                                            "</f>
        <v xml:space="preserve">CALZADA COYUYA No 22                                                            </v>
      </c>
      <c r="F1314" s="26" t="str">
        <f>"LA CRUZ                                                                                                                                     "</f>
        <v xml:space="preserve">LA CRUZ                                                                                                                                     </v>
      </c>
      <c r="G1314" s="26" t="str">
        <f>"IZTACALCO                                                                       "</f>
        <v xml:space="preserve">IZTACALCO                                                                       </v>
      </c>
      <c r="H1314" s="26" t="str">
        <f>"362"</f>
        <v>362</v>
      </c>
      <c r="I1314" s="26" t="str">
        <f t="shared" si="207"/>
        <v>00</v>
      </c>
      <c r="J1314" s="26" t="str">
        <f>"43 "</f>
        <v xml:space="preserve">43 </v>
      </c>
      <c r="K1314" s="26" t="str">
        <f t="shared" si="211"/>
        <v>PR</v>
      </c>
      <c r="L1314" s="26" t="str">
        <f t="shared" si="212"/>
        <v>DGOSE</v>
      </c>
      <c r="M1314" s="26" t="str">
        <f t="shared" si="208"/>
        <v>FEDERAL</v>
      </c>
      <c r="N1314" s="26">
        <v>83</v>
      </c>
      <c r="O1314" s="26">
        <v>42</v>
      </c>
      <c r="P1314" s="26">
        <v>41</v>
      </c>
      <c r="Q1314" s="26">
        <v>6</v>
      </c>
      <c r="R1314" s="26">
        <v>1</v>
      </c>
      <c r="S1314" s="26">
        <v>6</v>
      </c>
      <c r="T1314" s="26">
        <v>8</v>
      </c>
      <c r="U1314" s="26">
        <v>15</v>
      </c>
      <c r="V1314" s="26">
        <v>1</v>
      </c>
      <c r="W1314" s="26"/>
    </row>
    <row r="1315" spans="1:23" x14ac:dyDescent="0.25">
      <c r="A1315" s="26" t="str">
        <f t="shared" si="206"/>
        <v>PRIMARIA</v>
      </c>
      <c r="B1315" s="26" t="str">
        <f>"09DPR2503U"</f>
        <v>09DPR2503U</v>
      </c>
      <c r="C1315" s="26" t="str">
        <f>"ESPAÑA                                                                                              "</f>
        <v xml:space="preserve">ESPAÑA                                                                                              </v>
      </c>
      <c r="D1315" s="26" t="str">
        <f>"JORNADA AMPLIADA"</f>
        <v>JORNADA AMPLIADA</v>
      </c>
      <c r="E1315" s="26" t="str">
        <f>"SAN JERONIMO NUM 112 BIS                                                        "</f>
        <v xml:space="preserve">SAN JERONIMO NUM 112 BIS                                                        </v>
      </c>
      <c r="F1315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1315" s="26" t="str">
        <f>"CUAUHTEMOC                                                                      "</f>
        <v xml:space="preserve">CUAUHTEMOC                                                                      </v>
      </c>
      <c r="H1315" s="26" t="str">
        <f>"130"</f>
        <v>130</v>
      </c>
      <c r="I1315" s="26" t="str">
        <f t="shared" si="207"/>
        <v>00</v>
      </c>
      <c r="J1315" s="26" t="str">
        <f>"41 "</f>
        <v xml:space="preserve">41 </v>
      </c>
      <c r="K1315" s="26" t="str">
        <f t="shared" si="211"/>
        <v>PR</v>
      </c>
      <c r="L1315" s="26" t="str">
        <f t="shared" si="212"/>
        <v>DGOSE</v>
      </c>
      <c r="M1315" s="26" t="str">
        <f t="shared" si="208"/>
        <v>FEDERAL</v>
      </c>
      <c r="N1315" s="26">
        <v>257</v>
      </c>
      <c r="O1315" s="26">
        <v>128</v>
      </c>
      <c r="P1315" s="26">
        <v>129</v>
      </c>
      <c r="Q1315" s="26">
        <v>9</v>
      </c>
      <c r="R1315" s="26">
        <v>1</v>
      </c>
      <c r="S1315" s="26">
        <v>9</v>
      </c>
      <c r="T1315" s="26">
        <v>12</v>
      </c>
      <c r="U1315" s="26">
        <v>22</v>
      </c>
      <c r="V1315" s="26">
        <v>1</v>
      </c>
      <c r="W1315" s="26" t="s">
        <v>2076</v>
      </c>
    </row>
    <row r="1316" spans="1:23" x14ac:dyDescent="0.25">
      <c r="A1316" s="26" t="str">
        <f t="shared" si="206"/>
        <v>PRIMARIA</v>
      </c>
      <c r="B1316" s="26" t="str">
        <f>"09DPR2505S"</f>
        <v>09DPR2505S</v>
      </c>
      <c r="C1316" s="26" t="str">
        <f>"DR. AGUSTIN RIVERA                                                                                  "</f>
        <v xml:space="preserve">DR. AGUSTIN RIVERA                                                                                  </v>
      </c>
      <c r="D1316" s="26" t="str">
        <f>"JORNADA AMPLIADA"</f>
        <v>JORNADA AMPLIADA</v>
      </c>
      <c r="E1316" s="26" t="str">
        <f>"ARCOS DE BELEN NUM 45                                                           "</f>
        <v xml:space="preserve">ARCOS DE BELEN NUM 45                                                           </v>
      </c>
      <c r="F1316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1316" s="26" t="str">
        <f>"CUAUHTEMOC                                                                      "</f>
        <v xml:space="preserve">CUAUHTEMOC                                                                      </v>
      </c>
      <c r="H1316" s="26" t="str">
        <f>"127"</f>
        <v>127</v>
      </c>
      <c r="I1316" s="26" t="str">
        <f t="shared" si="207"/>
        <v>00</v>
      </c>
      <c r="J1316" s="26" t="str">
        <f>"41 "</f>
        <v xml:space="preserve">41 </v>
      </c>
      <c r="K1316" s="26" t="str">
        <f t="shared" si="211"/>
        <v>PR</v>
      </c>
      <c r="L1316" s="26" t="str">
        <f t="shared" si="212"/>
        <v>DGOSE</v>
      </c>
      <c r="M1316" s="26" t="str">
        <f t="shared" si="208"/>
        <v>FEDERAL</v>
      </c>
      <c r="N1316" s="26">
        <v>372</v>
      </c>
      <c r="O1316" s="26">
        <v>183</v>
      </c>
      <c r="P1316" s="26">
        <v>189</v>
      </c>
      <c r="Q1316" s="26">
        <v>13</v>
      </c>
      <c r="R1316" s="26">
        <v>1</v>
      </c>
      <c r="S1316" s="26">
        <v>13</v>
      </c>
      <c r="T1316" s="26">
        <v>15</v>
      </c>
      <c r="U1316" s="26">
        <v>29</v>
      </c>
      <c r="V1316" s="26">
        <v>1</v>
      </c>
      <c r="W1316" s="26" t="s">
        <v>2076</v>
      </c>
    </row>
    <row r="1317" spans="1:23" x14ac:dyDescent="0.25">
      <c r="A1317" s="26" t="str">
        <f t="shared" si="206"/>
        <v>PRIMARIA</v>
      </c>
      <c r="B1317" s="26" t="str">
        <f>"09DPR2509O"</f>
        <v>09DPR2509O</v>
      </c>
      <c r="C1317" s="26" t="str">
        <f>"ANDRES BELLO                                                                                        "</f>
        <v xml:space="preserve">ANDRES BELLO                                                                                        </v>
      </c>
      <c r="D1317" s="26" t="str">
        <f>"JORNADA AMPLIADA"</f>
        <v>JORNADA AMPLIADA</v>
      </c>
      <c r="E1317" s="26" t="str">
        <f>"MARIANO AZUELA NUM. 128                                                         "</f>
        <v xml:space="preserve">MARIANO AZUELA NUM. 128                                                         </v>
      </c>
      <c r="F1317" s="26" t="str">
        <f>"SANTA MARIA LA RIBERA                                                                                                                       "</f>
        <v xml:space="preserve">SANTA MARIA LA RIBERA                                                                                                                       </v>
      </c>
      <c r="G1317" s="26" t="str">
        <f>"CUAUHTEMOC                                                                      "</f>
        <v xml:space="preserve">CUAUHTEMOC                                                                      </v>
      </c>
      <c r="H1317" s="26" t="str">
        <f>"123"</f>
        <v>123</v>
      </c>
      <c r="I1317" s="26" t="str">
        <f t="shared" si="207"/>
        <v>00</v>
      </c>
      <c r="J1317" s="26" t="str">
        <f>"41 "</f>
        <v xml:space="preserve">41 </v>
      </c>
      <c r="K1317" s="26" t="str">
        <f t="shared" si="211"/>
        <v>PR</v>
      </c>
      <c r="L1317" s="26" t="str">
        <f t="shared" si="212"/>
        <v>DGOSE</v>
      </c>
      <c r="M1317" s="26" t="str">
        <f t="shared" si="208"/>
        <v>FEDERAL</v>
      </c>
      <c r="N1317" s="26">
        <v>476</v>
      </c>
      <c r="O1317" s="26">
        <v>251</v>
      </c>
      <c r="P1317" s="26">
        <v>225</v>
      </c>
      <c r="Q1317" s="26">
        <v>16</v>
      </c>
      <c r="R1317" s="26">
        <v>1</v>
      </c>
      <c r="S1317" s="26">
        <v>16</v>
      </c>
      <c r="T1317" s="26">
        <v>13</v>
      </c>
      <c r="U1317" s="26">
        <v>30</v>
      </c>
      <c r="V1317" s="26">
        <v>1</v>
      </c>
      <c r="W1317" s="26" t="s">
        <v>2076</v>
      </c>
    </row>
    <row r="1318" spans="1:23" x14ac:dyDescent="0.25">
      <c r="A1318" s="26" t="str">
        <f t="shared" si="206"/>
        <v>PRIMARIA</v>
      </c>
      <c r="B1318" s="26" t="str">
        <f>"09DPR2513A"</f>
        <v>09DPR2513A</v>
      </c>
      <c r="C1318" s="26" t="str">
        <f>"SECRETARIA DEL TRABAJO Y PREVISION SOCIAL                                                           "</f>
        <v xml:space="preserve">SECRETARIA DEL TRABAJO Y PREVISION SOCIAL                                                           </v>
      </c>
      <c r="D1318" s="26" t="str">
        <f>"JORNADA AMPLIADA"</f>
        <v>JORNADA AMPLIADA</v>
      </c>
      <c r="E1318" s="26" t="str">
        <f>"DR LAVISTA NO 61                                                                "</f>
        <v xml:space="preserve">DR LAVISTA NO 61                                                                </v>
      </c>
      <c r="F1318" s="26" t="str">
        <f>"DOCTORES                                                                                                                                    "</f>
        <v xml:space="preserve">DOCTORES                                                                                                                                    </v>
      </c>
      <c r="G1318" s="26" t="str">
        <f>"CUAUHTEMOC                                                                      "</f>
        <v xml:space="preserve">CUAUHTEMOC                                                                      </v>
      </c>
      <c r="H1318" s="26" t="str">
        <f>"130"</f>
        <v>130</v>
      </c>
      <c r="I1318" s="26" t="str">
        <f t="shared" si="207"/>
        <v>00</v>
      </c>
      <c r="J1318" s="26" t="str">
        <f>"41 "</f>
        <v xml:space="preserve">41 </v>
      </c>
      <c r="K1318" s="26" t="str">
        <f t="shared" si="211"/>
        <v>PR</v>
      </c>
      <c r="L1318" s="26" t="str">
        <f t="shared" si="212"/>
        <v>DGOSE</v>
      </c>
      <c r="M1318" s="26" t="str">
        <f t="shared" si="208"/>
        <v>FEDERAL</v>
      </c>
      <c r="N1318" s="26">
        <v>535</v>
      </c>
      <c r="O1318" s="26">
        <v>264</v>
      </c>
      <c r="P1318" s="26">
        <v>271</v>
      </c>
      <c r="Q1318" s="26">
        <v>18</v>
      </c>
      <c r="R1318" s="26">
        <v>1</v>
      </c>
      <c r="S1318" s="26">
        <v>18</v>
      </c>
      <c r="T1318" s="26">
        <v>12</v>
      </c>
      <c r="U1318" s="26">
        <v>31</v>
      </c>
      <c r="V1318" s="26">
        <v>1</v>
      </c>
      <c r="W1318" s="26" t="s">
        <v>2076</v>
      </c>
    </row>
    <row r="1319" spans="1:23" x14ac:dyDescent="0.25">
      <c r="A1319" s="26" t="str">
        <f t="shared" si="206"/>
        <v>PRIMARIA</v>
      </c>
      <c r="B1319" s="26" t="str">
        <f>"09DPR2515Z"</f>
        <v>09DPR2515Z</v>
      </c>
      <c r="C1319" s="26" t="str">
        <f>"MIGUEL DE UNAMUNO                                                                                   "</f>
        <v xml:space="preserve">MIGUEL DE UNAMUNO                                                                                   </v>
      </c>
      <c r="D1319" s="26" t="str">
        <f>"JORNADA AMPLIADA"</f>
        <v>JORNADA AMPLIADA</v>
      </c>
      <c r="E1319" s="26" t="str">
        <f>"NAPOLES NUM 67                                                                  "</f>
        <v xml:space="preserve">NAPOLES NUM 67                                                                  </v>
      </c>
      <c r="F1319" s="26" t="str">
        <f>"JUAREZ                                                                                                                                      "</f>
        <v xml:space="preserve">JUAREZ                                                                                                                                      </v>
      </c>
      <c r="G1319" s="26" t="str">
        <f>"CUAUHTEMOC                                                                      "</f>
        <v xml:space="preserve">CUAUHTEMOC                                                                      </v>
      </c>
      <c r="H1319" s="26" t="str">
        <f>"124"</f>
        <v>124</v>
      </c>
      <c r="I1319" s="26" t="str">
        <f t="shared" si="207"/>
        <v>00</v>
      </c>
      <c r="J1319" s="26" t="str">
        <f>"41 "</f>
        <v xml:space="preserve">41 </v>
      </c>
      <c r="K1319" s="26" t="str">
        <f t="shared" si="211"/>
        <v>PR</v>
      </c>
      <c r="L1319" s="26" t="str">
        <f t="shared" si="212"/>
        <v>DGOSE</v>
      </c>
      <c r="M1319" s="26" t="str">
        <f t="shared" si="208"/>
        <v>FEDERAL</v>
      </c>
      <c r="N1319" s="26">
        <v>259</v>
      </c>
      <c r="O1319" s="26">
        <v>122</v>
      </c>
      <c r="P1319" s="26">
        <v>137</v>
      </c>
      <c r="Q1319" s="26">
        <v>12</v>
      </c>
      <c r="R1319" s="26">
        <v>1</v>
      </c>
      <c r="S1319" s="26">
        <v>12</v>
      </c>
      <c r="T1319" s="26">
        <v>9</v>
      </c>
      <c r="U1319" s="26">
        <v>22</v>
      </c>
      <c r="V1319" s="26">
        <v>1</v>
      </c>
      <c r="W1319" s="26" t="s">
        <v>2076</v>
      </c>
    </row>
    <row r="1320" spans="1:23" x14ac:dyDescent="0.25">
      <c r="A1320" s="26" t="str">
        <f t="shared" si="206"/>
        <v>PRIMARIA</v>
      </c>
      <c r="B1320" s="26" t="str">
        <f>"09DPR2518W"</f>
        <v>09DPR2518W</v>
      </c>
      <c r="C1320" s="26" t="str">
        <f>"FRANCISCO GABILONDO SOLER                                                                           "</f>
        <v xml:space="preserve">FRANCISCO GABILONDO SOLER                                                                           </v>
      </c>
      <c r="D1320" s="26" t="str">
        <f>"VESPERTINO"</f>
        <v>VESPERTINO</v>
      </c>
      <c r="E1320" s="26" t="str">
        <f>"AVENIDA TEZONTLE Y CORALES SIN NUMERO                                           "</f>
        <v xml:space="preserve">AVENIDA TEZONTLE Y CORALES SIN NUMERO                                           </v>
      </c>
      <c r="F1320" s="26" t="str">
        <f>"UNIDAD HABITACIONAL INFONAVIT                                                                                                               "</f>
        <v xml:space="preserve">UNIDAD HABITACIONAL INFONAVIT                                                                                                               </v>
      </c>
      <c r="G1320" s="26" t="str">
        <f>"IZTACALCO                                                                       "</f>
        <v xml:space="preserve">IZTACALCO                                                                       </v>
      </c>
      <c r="H1320" s="26" t="str">
        <f>"359"</f>
        <v>359</v>
      </c>
      <c r="I1320" s="26" t="str">
        <f t="shared" si="207"/>
        <v>00</v>
      </c>
      <c r="J1320" s="26" t="str">
        <f>"43 "</f>
        <v xml:space="preserve">43 </v>
      </c>
      <c r="K1320" s="26" t="str">
        <f t="shared" si="211"/>
        <v>PR</v>
      </c>
      <c r="L1320" s="26" t="str">
        <f t="shared" si="212"/>
        <v>DGOSE</v>
      </c>
      <c r="M1320" s="26" t="str">
        <f t="shared" si="208"/>
        <v>FEDERAL</v>
      </c>
      <c r="N1320" s="26">
        <v>87</v>
      </c>
      <c r="O1320" s="26">
        <v>39</v>
      </c>
      <c r="P1320" s="26">
        <v>48</v>
      </c>
      <c r="Q1320" s="26">
        <v>6</v>
      </c>
      <c r="R1320" s="26">
        <v>1</v>
      </c>
      <c r="S1320" s="26">
        <v>6</v>
      </c>
      <c r="T1320" s="26">
        <v>4</v>
      </c>
      <c r="U1320" s="26">
        <v>11</v>
      </c>
      <c r="V1320" s="26">
        <v>1</v>
      </c>
      <c r="W1320" s="26"/>
    </row>
    <row r="1321" spans="1:23" x14ac:dyDescent="0.25">
      <c r="A1321" s="26" t="str">
        <f t="shared" si="206"/>
        <v>PRIMARIA</v>
      </c>
      <c r="B1321" s="26" t="str">
        <f>"09DPR2519V"</f>
        <v>09DPR2519V</v>
      </c>
      <c r="C1321" s="26" t="str">
        <f>"MAO TSE TUNG                                                                                        "</f>
        <v xml:space="preserve">MAO TSE TUNG                                                                                        </v>
      </c>
      <c r="D1321" s="26" t="str">
        <f>"VESPERTINO"</f>
        <v>VESPERTINO</v>
      </c>
      <c r="E1321" s="26" t="str">
        <f>"SANTOS DEGOLLADO NUM 16                                                         "</f>
        <v xml:space="preserve">SANTOS DEGOLLADO NUM 16                                                         </v>
      </c>
      <c r="F1321" s="26" t="str">
        <f>"BENITO JUAREZ  FRACCIONAMIENTO                                                                                                              "</f>
        <v xml:space="preserve">BENITO JUAREZ  FRACCIONAMIENTO                                                                                                              </v>
      </c>
      <c r="G1321" s="26" t="str">
        <f>"IZTACALCO                                                                       "</f>
        <v xml:space="preserve">IZTACALCO                                                                       </v>
      </c>
      <c r="H1321" s="26" t="str">
        <f>"360"</f>
        <v>360</v>
      </c>
      <c r="I1321" s="26" t="str">
        <f t="shared" si="207"/>
        <v>00</v>
      </c>
      <c r="J1321" s="26" t="str">
        <f>"43 "</f>
        <v xml:space="preserve">43 </v>
      </c>
      <c r="K1321" s="26" t="str">
        <f t="shared" si="211"/>
        <v>PR</v>
      </c>
      <c r="L1321" s="26" t="str">
        <f t="shared" si="212"/>
        <v>DGOSE</v>
      </c>
      <c r="M1321" s="26" t="str">
        <f t="shared" si="208"/>
        <v>FEDERAL</v>
      </c>
      <c r="N1321" s="26">
        <v>116</v>
      </c>
      <c r="O1321" s="26">
        <v>71</v>
      </c>
      <c r="P1321" s="26">
        <v>45</v>
      </c>
      <c r="Q1321" s="26">
        <v>9</v>
      </c>
      <c r="R1321" s="26">
        <v>1</v>
      </c>
      <c r="S1321" s="26">
        <v>8</v>
      </c>
      <c r="T1321" s="26">
        <v>4</v>
      </c>
      <c r="U1321" s="26">
        <v>13</v>
      </c>
      <c r="V1321" s="26">
        <v>1</v>
      </c>
      <c r="W1321" s="26"/>
    </row>
    <row r="1322" spans="1:23" x14ac:dyDescent="0.25">
      <c r="A1322" s="26" t="str">
        <f t="shared" si="206"/>
        <v>PRIMARIA</v>
      </c>
      <c r="B1322" s="26" t="str">
        <f>"09DPR2521J"</f>
        <v>09DPR2521J</v>
      </c>
      <c r="C1322" s="26" t="str">
        <f>"JOSE MARIA IGLESIAS                                                                                 "</f>
        <v xml:space="preserve">JOSE MARIA IGLESIAS                                                                                 </v>
      </c>
      <c r="D1322" s="26" t="str">
        <f>"JORNADA AMPLIADA"</f>
        <v>JORNADA AMPLIADA</v>
      </c>
      <c r="E1322" s="26" t="str">
        <f>"COLIMA NUM 383                                                                  "</f>
        <v xml:space="preserve">COLIMA NUM 383                                                                  </v>
      </c>
      <c r="F1322" s="26" t="str">
        <f>"ROMA NORTE                                                                                                                                  "</f>
        <v xml:space="preserve">ROMA NORTE                                                                                                                                  </v>
      </c>
      <c r="G1322" s="26" t="str">
        <f>"CUAUHTEMOC                                                                      "</f>
        <v xml:space="preserve">CUAUHTEMOC                                                                      </v>
      </c>
      <c r="H1322" s="26" t="str">
        <f>"129"</f>
        <v>129</v>
      </c>
      <c r="I1322" s="26" t="str">
        <f t="shared" si="207"/>
        <v>00</v>
      </c>
      <c r="J1322" s="26" t="str">
        <f>"41 "</f>
        <v xml:space="preserve">41 </v>
      </c>
      <c r="K1322" s="26" t="str">
        <f t="shared" si="211"/>
        <v>PR</v>
      </c>
      <c r="L1322" s="26" t="str">
        <f t="shared" si="212"/>
        <v>DGOSE</v>
      </c>
      <c r="M1322" s="26" t="str">
        <f t="shared" si="208"/>
        <v>FEDERAL</v>
      </c>
      <c r="N1322" s="26">
        <v>244</v>
      </c>
      <c r="O1322" s="26">
        <v>121</v>
      </c>
      <c r="P1322" s="26">
        <v>123</v>
      </c>
      <c r="Q1322" s="26">
        <v>12</v>
      </c>
      <c r="R1322" s="26">
        <v>1</v>
      </c>
      <c r="S1322" s="26">
        <v>12</v>
      </c>
      <c r="T1322" s="26">
        <v>10</v>
      </c>
      <c r="U1322" s="26">
        <v>23</v>
      </c>
      <c r="V1322" s="26">
        <v>1</v>
      </c>
      <c r="W1322" s="26" t="s">
        <v>2076</v>
      </c>
    </row>
    <row r="1323" spans="1:23" x14ac:dyDescent="0.25">
      <c r="A1323" s="26" t="str">
        <f t="shared" si="206"/>
        <v>PRIMARIA</v>
      </c>
      <c r="B1323" s="26" t="str">
        <f>"09DPR2522I"</f>
        <v>09DPR2522I</v>
      </c>
      <c r="C1323" s="26" t="str">
        <f>"GRAL. FELIPE ANGELES                                                                                "</f>
        <v xml:space="preserve">GRAL. FELIPE ANGELES                                                                                </v>
      </c>
      <c r="D1323" s="26" t="str">
        <f>"JORNADA AMPLIADA"</f>
        <v>JORNADA AMPLIADA</v>
      </c>
      <c r="E1323" s="26" t="str">
        <f>"PLOMEROS S/N ESQ EDUARDO MOLINA                                                 "</f>
        <v xml:space="preserve">PLOMEROS S/N ESQ EDUARDO MOLINA                                                 </v>
      </c>
      <c r="F1323" s="26" t="str">
        <f>"MICHOACANA                                                                                                                                  "</f>
        <v xml:space="preserve">MICHOACANA                                                                                                                                  </v>
      </c>
      <c r="G1323" s="26" t="str">
        <f>"VENUSTIANO CARRANZA                                                             "</f>
        <v xml:space="preserve">VENUSTIANO CARRANZA                                                             </v>
      </c>
      <c r="H1323" s="26" t="str">
        <f>"419"</f>
        <v>419</v>
      </c>
      <c r="I1323" s="26" t="str">
        <f t="shared" si="207"/>
        <v>00</v>
      </c>
      <c r="J1323" s="26" t="str">
        <f>"44 "</f>
        <v xml:space="preserve">44 </v>
      </c>
      <c r="K1323" s="26" t="str">
        <f t="shared" si="211"/>
        <v>PR</v>
      </c>
      <c r="L1323" s="26" t="str">
        <f t="shared" si="212"/>
        <v>DGOSE</v>
      </c>
      <c r="M1323" s="26" t="str">
        <f t="shared" si="208"/>
        <v>FEDERAL</v>
      </c>
      <c r="N1323" s="26">
        <v>552</v>
      </c>
      <c r="O1323" s="26">
        <v>289</v>
      </c>
      <c r="P1323" s="26">
        <v>263</v>
      </c>
      <c r="Q1323" s="26">
        <v>18</v>
      </c>
      <c r="R1323" s="26">
        <v>1</v>
      </c>
      <c r="S1323" s="26">
        <v>18</v>
      </c>
      <c r="T1323" s="26">
        <v>14</v>
      </c>
      <c r="U1323" s="26">
        <v>33</v>
      </c>
      <c r="V1323" s="26">
        <v>1</v>
      </c>
      <c r="W1323" s="26" t="s">
        <v>2076</v>
      </c>
    </row>
    <row r="1324" spans="1:23" x14ac:dyDescent="0.25">
      <c r="A1324" s="26" t="str">
        <f t="shared" si="206"/>
        <v>PRIMARIA</v>
      </c>
      <c r="B1324" s="26" t="str">
        <f>"09DPR2524G"</f>
        <v>09DPR2524G</v>
      </c>
      <c r="C1324" s="26" t="str">
        <f>"ALBERTO CORREA                                                                                      "</f>
        <v xml:space="preserve">ALBERTO CORREA                                                                                      </v>
      </c>
      <c r="D1324" s="26" t="str">
        <f>"VESPERTINO"</f>
        <v>VESPERTINO</v>
      </c>
      <c r="E1324" s="26" t="str">
        <f>"COLIMA NUM 291                                                                  "</f>
        <v xml:space="preserve">COLIMA NUM 291                                                                  </v>
      </c>
      <c r="F1324" s="26" t="str">
        <f>"ROMA NORTE                                                                                                                                  "</f>
        <v xml:space="preserve">ROMA NORTE                                                                                                                                  </v>
      </c>
      <c r="G1324" s="26" t="str">
        <f t="shared" ref="G1324:G1329" si="213">"CUAUHTEMOC                                                                      "</f>
        <v xml:space="preserve">CUAUHTEMOC                                                                      </v>
      </c>
      <c r="H1324" s="26" t="str">
        <f>"221"</f>
        <v>221</v>
      </c>
      <c r="I1324" s="26" t="str">
        <f t="shared" si="207"/>
        <v>00</v>
      </c>
      <c r="J1324" s="26" t="str">
        <f>"42 "</f>
        <v xml:space="preserve">42 </v>
      </c>
      <c r="K1324" s="26" t="str">
        <f t="shared" si="211"/>
        <v>PR</v>
      </c>
      <c r="L1324" s="26" t="str">
        <f t="shared" si="212"/>
        <v>DGOSE</v>
      </c>
      <c r="M1324" s="26" t="str">
        <f t="shared" si="208"/>
        <v>FEDERAL</v>
      </c>
      <c r="N1324" s="26">
        <v>103</v>
      </c>
      <c r="O1324" s="26">
        <v>47</v>
      </c>
      <c r="P1324" s="26">
        <v>56</v>
      </c>
      <c r="Q1324" s="26">
        <v>6</v>
      </c>
      <c r="R1324" s="26">
        <v>1</v>
      </c>
      <c r="S1324" s="26">
        <v>6</v>
      </c>
      <c r="T1324" s="26">
        <v>11</v>
      </c>
      <c r="U1324" s="26">
        <v>18</v>
      </c>
      <c r="V1324" s="26">
        <v>1</v>
      </c>
      <c r="W1324" s="26"/>
    </row>
    <row r="1325" spans="1:23" x14ac:dyDescent="0.25">
      <c r="A1325" s="26" t="str">
        <f t="shared" si="206"/>
        <v>PRIMARIA</v>
      </c>
      <c r="B1325" s="26" t="str">
        <f>"09DPR2525F"</f>
        <v>09DPR2525F</v>
      </c>
      <c r="C1325" s="26" t="str">
        <f>"MANUEL LOPEZ COTILLA                                                                                "</f>
        <v xml:space="preserve">MANUEL LOPEZ COTILLA                                                                                </v>
      </c>
      <c r="D1325" s="26" t="str">
        <f>"JORNADA AMPLIADA"</f>
        <v>JORNADA AMPLIADA</v>
      </c>
      <c r="E1325" s="26" t="str">
        <f>"PZA DE LA VILLA DE MADRID NUM 16                                                "</f>
        <v xml:space="preserve">PZA DE LA VILLA DE MADRID NUM 16                                                </v>
      </c>
      <c r="F1325" s="26" t="str">
        <f>"ROMA NORTE                                                                                                                                  "</f>
        <v xml:space="preserve">ROMA NORTE                                                                                                                                  </v>
      </c>
      <c r="G1325" s="26" t="str">
        <f t="shared" si="213"/>
        <v xml:space="preserve">CUAUHTEMOC                                                                      </v>
      </c>
      <c r="H1325" s="26" t="str">
        <f>"125"</f>
        <v>125</v>
      </c>
      <c r="I1325" s="26" t="str">
        <f t="shared" si="207"/>
        <v>00</v>
      </c>
      <c r="J1325" s="26" t="str">
        <f>"41 "</f>
        <v xml:space="preserve">41 </v>
      </c>
      <c r="K1325" s="26" t="str">
        <f t="shared" si="211"/>
        <v>PR</v>
      </c>
      <c r="L1325" s="26" t="str">
        <f t="shared" si="212"/>
        <v>DGOSE</v>
      </c>
      <c r="M1325" s="26" t="str">
        <f t="shared" si="208"/>
        <v>FEDERAL</v>
      </c>
      <c r="N1325" s="26">
        <v>333</v>
      </c>
      <c r="O1325" s="26">
        <v>167</v>
      </c>
      <c r="P1325" s="26">
        <v>166</v>
      </c>
      <c r="Q1325" s="26">
        <v>11</v>
      </c>
      <c r="R1325" s="26">
        <v>1</v>
      </c>
      <c r="S1325" s="26">
        <v>11</v>
      </c>
      <c r="T1325" s="26">
        <v>10</v>
      </c>
      <c r="U1325" s="26">
        <v>22</v>
      </c>
      <c r="V1325" s="26">
        <v>1</v>
      </c>
      <c r="W1325" s="26" t="s">
        <v>2076</v>
      </c>
    </row>
    <row r="1326" spans="1:23" x14ac:dyDescent="0.25">
      <c r="A1326" s="26" t="str">
        <f t="shared" si="206"/>
        <v>PRIMARIA</v>
      </c>
      <c r="B1326" s="26" t="str">
        <f>"09DPR2527D"</f>
        <v>09DPR2527D</v>
      </c>
      <c r="C1326" s="26" t="str">
        <f>"LIC. FELIPE RIVERA                                                                                  "</f>
        <v xml:space="preserve">LIC. FELIPE RIVERA                                                                                  </v>
      </c>
      <c r="D1326" s="26" t="str">
        <f>"JORNADA AMPLIADA"</f>
        <v>JORNADA AMPLIADA</v>
      </c>
      <c r="E1326" s="26" t="str">
        <f>"DR ANDRADE NUM 367                                                              "</f>
        <v xml:space="preserve">DR ANDRADE NUM 367                                                              </v>
      </c>
      <c r="F1326" s="26" t="str">
        <f>"BUENOS AIRES                                                                                                                                "</f>
        <v xml:space="preserve">BUENOS AIRES                                                                                                                                </v>
      </c>
      <c r="G1326" s="26" t="str">
        <f t="shared" si="213"/>
        <v xml:space="preserve">CUAUHTEMOC                                                                      </v>
      </c>
      <c r="H1326" s="26" t="str">
        <f>"126"</f>
        <v>126</v>
      </c>
      <c r="I1326" s="26" t="str">
        <f t="shared" si="207"/>
        <v>00</v>
      </c>
      <c r="J1326" s="26" t="str">
        <f>"41 "</f>
        <v xml:space="preserve">41 </v>
      </c>
      <c r="K1326" s="26" t="str">
        <f t="shared" si="211"/>
        <v>PR</v>
      </c>
      <c r="L1326" s="26" t="str">
        <f t="shared" si="212"/>
        <v>DGOSE</v>
      </c>
      <c r="M1326" s="26" t="str">
        <f t="shared" si="208"/>
        <v>FEDERAL</v>
      </c>
      <c r="N1326" s="26">
        <v>137</v>
      </c>
      <c r="O1326" s="26">
        <v>74</v>
      </c>
      <c r="P1326" s="26">
        <v>63</v>
      </c>
      <c r="Q1326" s="26">
        <v>6</v>
      </c>
      <c r="R1326" s="26">
        <v>1</v>
      </c>
      <c r="S1326" s="26">
        <v>6</v>
      </c>
      <c r="T1326" s="26">
        <v>5</v>
      </c>
      <c r="U1326" s="26">
        <v>12</v>
      </c>
      <c r="V1326" s="26">
        <v>1</v>
      </c>
      <c r="W1326" s="26" t="s">
        <v>2076</v>
      </c>
    </row>
    <row r="1327" spans="1:23" x14ac:dyDescent="0.25">
      <c r="A1327" s="26" t="str">
        <f t="shared" si="206"/>
        <v>PRIMARIA</v>
      </c>
      <c r="B1327" s="26" t="str">
        <f>"09DPR2528C"</f>
        <v>09DPR2528C</v>
      </c>
      <c r="C1327" s="26" t="str">
        <f>"REVOLUCION                                                                                          "</f>
        <v xml:space="preserve">REVOLUCION                                                                                          </v>
      </c>
      <c r="D1327" s="26" t="str">
        <f>"VESPERTINO"</f>
        <v>VESPERTINO</v>
      </c>
      <c r="E1327" s="26" t="str">
        <f>"AV ARCOS DE BELEN NUM 82                                                        "</f>
        <v xml:space="preserve">AV ARCOS DE BELEN NUM 82                                                        </v>
      </c>
      <c r="F1327" s="26" t="str">
        <f>"DOCTORES                                                                                                                                    "</f>
        <v xml:space="preserve">DOCTORES                                                                                                                                    </v>
      </c>
      <c r="G1327" s="26" t="str">
        <f t="shared" si="213"/>
        <v xml:space="preserve">CUAUHTEMOC                                                                      </v>
      </c>
      <c r="H1327" s="26" t="str">
        <f>"222"</f>
        <v>222</v>
      </c>
      <c r="I1327" s="26" t="str">
        <f t="shared" si="207"/>
        <v>00</v>
      </c>
      <c r="J1327" s="26" t="str">
        <f>"42 "</f>
        <v xml:space="preserve">42 </v>
      </c>
      <c r="K1327" s="26" t="str">
        <f t="shared" si="211"/>
        <v>PR</v>
      </c>
      <c r="L1327" s="26" t="str">
        <f t="shared" si="212"/>
        <v>DGOSE</v>
      </c>
      <c r="M1327" s="26" t="str">
        <f t="shared" si="208"/>
        <v>FEDERAL</v>
      </c>
      <c r="N1327" s="26">
        <v>184</v>
      </c>
      <c r="O1327" s="26">
        <v>89</v>
      </c>
      <c r="P1327" s="26">
        <v>95</v>
      </c>
      <c r="Q1327" s="26">
        <v>14</v>
      </c>
      <c r="R1327" s="26">
        <v>1</v>
      </c>
      <c r="S1327" s="26">
        <v>10</v>
      </c>
      <c r="T1327" s="26">
        <v>7</v>
      </c>
      <c r="U1327" s="26">
        <v>18</v>
      </c>
      <c r="V1327" s="26">
        <v>1</v>
      </c>
      <c r="W1327" s="26"/>
    </row>
    <row r="1328" spans="1:23" x14ac:dyDescent="0.25">
      <c r="A1328" s="26" t="str">
        <f t="shared" si="206"/>
        <v>PRIMARIA</v>
      </c>
      <c r="B1328" s="26" t="str">
        <f>"09DPR2529B"</f>
        <v>09DPR2529B</v>
      </c>
      <c r="C1328" s="26" t="str">
        <f>"ALBERTO CORREA                                                                                      "</f>
        <v xml:space="preserve">ALBERTO CORREA                                                                                      </v>
      </c>
      <c r="D1328" s="26" t="str">
        <f>"MATUTINO"</f>
        <v>MATUTINO</v>
      </c>
      <c r="E1328" s="26" t="str">
        <f>"COLIMA NO 291                                                                   "</f>
        <v xml:space="preserve">COLIMA NO 291                                                                   </v>
      </c>
      <c r="F1328" s="26" t="str">
        <f>"ROMA NORTE                                                                                                                                  "</f>
        <v xml:space="preserve">ROMA NORTE                                                                                                                                  </v>
      </c>
      <c r="G1328" s="26" t="str">
        <f t="shared" si="213"/>
        <v xml:space="preserve">CUAUHTEMOC                                                                      </v>
      </c>
      <c r="H1328" s="26" t="str">
        <f>"221"</f>
        <v>221</v>
      </c>
      <c r="I1328" s="26" t="str">
        <f t="shared" si="207"/>
        <v>00</v>
      </c>
      <c r="J1328" s="26" t="str">
        <f>"42 "</f>
        <v xml:space="preserve">42 </v>
      </c>
      <c r="K1328" s="26" t="str">
        <f t="shared" si="211"/>
        <v>PR</v>
      </c>
      <c r="L1328" s="26" t="str">
        <f t="shared" si="212"/>
        <v>DGOSE</v>
      </c>
      <c r="M1328" s="26" t="str">
        <f t="shared" si="208"/>
        <v>FEDERAL</v>
      </c>
      <c r="N1328" s="26">
        <v>362</v>
      </c>
      <c r="O1328" s="26">
        <v>191</v>
      </c>
      <c r="P1328" s="26">
        <v>171</v>
      </c>
      <c r="Q1328" s="26">
        <v>15</v>
      </c>
      <c r="R1328" s="26">
        <v>0</v>
      </c>
      <c r="S1328" s="26">
        <v>15</v>
      </c>
      <c r="T1328" s="26">
        <v>19</v>
      </c>
      <c r="U1328" s="26">
        <v>34</v>
      </c>
      <c r="V1328" s="26">
        <v>1</v>
      </c>
      <c r="W1328" s="26"/>
    </row>
    <row r="1329" spans="1:23" x14ac:dyDescent="0.25">
      <c r="A1329" s="26" t="str">
        <f t="shared" si="206"/>
        <v>PRIMARIA</v>
      </c>
      <c r="B1329" s="26" t="str">
        <f>"09DPR2530R"</f>
        <v>09DPR2530R</v>
      </c>
      <c r="C1329" s="26" t="str">
        <f>"ESTADO DE COAHUILA                                                                                  "</f>
        <v xml:space="preserve">ESTADO DE COAHUILA                                                                                  </v>
      </c>
      <c r="D1329" s="26" t="str">
        <f>"TIEMPO COMPLETO"</f>
        <v>TIEMPO COMPLETO</v>
      </c>
      <c r="E1329" s="26" t="str">
        <f>"CHIHUAHUA NUM 54                                                                "</f>
        <v xml:space="preserve">CHIHUAHUA NUM 54                                                                </v>
      </c>
      <c r="F1329" s="26" t="str">
        <f>"ROMA NORTE                                                                                                                                  "</f>
        <v xml:space="preserve">ROMA NORTE                                                                                                                                  </v>
      </c>
      <c r="G1329" s="26" t="str">
        <f t="shared" si="213"/>
        <v xml:space="preserve">CUAUHTEMOC                                                                      </v>
      </c>
      <c r="H1329" s="26" t="str">
        <f>"125"</f>
        <v>125</v>
      </c>
      <c r="I1329" s="26" t="str">
        <f t="shared" si="207"/>
        <v>00</v>
      </c>
      <c r="J1329" s="26" t="str">
        <f>"41 "</f>
        <v xml:space="preserve">41 </v>
      </c>
      <c r="K1329" s="26" t="str">
        <f t="shared" si="211"/>
        <v>PR</v>
      </c>
      <c r="L1329" s="26" t="str">
        <f t="shared" si="212"/>
        <v>DGOSE</v>
      </c>
      <c r="M1329" s="26" t="str">
        <f t="shared" si="208"/>
        <v>FEDERAL</v>
      </c>
      <c r="N1329" s="26">
        <v>218</v>
      </c>
      <c r="O1329" s="26">
        <v>117</v>
      </c>
      <c r="P1329" s="26">
        <v>101</v>
      </c>
      <c r="Q1329" s="26">
        <v>7</v>
      </c>
      <c r="R1329" s="26">
        <v>1</v>
      </c>
      <c r="S1329" s="26">
        <v>7</v>
      </c>
      <c r="T1329" s="26">
        <v>11</v>
      </c>
      <c r="U1329" s="26">
        <v>19</v>
      </c>
      <c r="V1329" s="26">
        <v>1</v>
      </c>
      <c r="W1329" s="26" t="s">
        <v>218</v>
      </c>
    </row>
    <row r="1330" spans="1:23" x14ac:dyDescent="0.25">
      <c r="A1330" s="26" t="str">
        <f t="shared" si="206"/>
        <v>PRIMARIA</v>
      </c>
      <c r="B1330" s="26" t="str">
        <f>"09DPR2531Q"</f>
        <v>09DPR2531Q</v>
      </c>
      <c r="C1330" s="26" t="str">
        <f>"ANIBAL PONCE                                                                                        "</f>
        <v xml:space="preserve">ANIBAL PONCE                                                                                        </v>
      </c>
      <c r="D1330" s="26" t="str">
        <f>"MATUTINO"</f>
        <v>MATUTINO</v>
      </c>
      <c r="E1330" s="26" t="str">
        <f>"AV. DE LAS MINAS NO. 105                                                        "</f>
        <v xml:space="preserve">AV. DE LAS MINAS NO. 105                                                        </v>
      </c>
      <c r="F1330" s="26" t="str">
        <f>"XALPA                                                                                                                                       "</f>
        <v xml:space="preserve">XALPA                                                                                                                                       </v>
      </c>
      <c r="G1330" s="26" t="str">
        <f>"IZTAPALAPA                                                                      "</f>
        <v xml:space="preserve">IZTAPALAPA                                                                      </v>
      </c>
      <c r="H1330" s="26" t="str">
        <f>"062"</f>
        <v>062</v>
      </c>
      <c r="I1330" s="26" t="str">
        <f t="shared" si="207"/>
        <v>00</v>
      </c>
      <c r="J1330" s="26" t="str">
        <f>"64 "</f>
        <v xml:space="preserve">64 </v>
      </c>
      <c r="K1330" s="26" t="str">
        <f>"IZ"</f>
        <v>IZ</v>
      </c>
      <c r="L1330" s="26" t="str">
        <f>"DGSEI"</f>
        <v>DGSEI</v>
      </c>
      <c r="M1330" s="26" t="str">
        <f t="shared" si="208"/>
        <v>FEDERAL</v>
      </c>
      <c r="N1330" s="26">
        <v>645</v>
      </c>
      <c r="O1330" s="26">
        <v>343</v>
      </c>
      <c r="P1330" s="26">
        <v>302</v>
      </c>
      <c r="Q1330" s="26">
        <v>21</v>
      </c>
      <c r="R1330" s="26">
        <v>1</v>
      </c>
      <c r="S1330" s="26">
        <v>18</v>
      </c>
      <c r="T1330" s="26">
        <v>9</v>
      </c>
      <c r="U1330" s="26">
        <v>28</v>
      </c>
      <c r="V1330" s="26">
        <v>1</v>
      </c>
      <c r="W1330" s="26"/>
    </row>
    <row r="1331" spans="1:23" x14ac:dyDescent="0.25">
      <c r="A1331" s="26" t="str">
        <f t="shared" si="206"/>
        <v>PRIMARIA</v>
      </c>
      <c r="B1331" s="26" t="str">
        <f>"09DPR2532P"</f>
        <v>09DPR2532P</v>
      </c>
      <c r="C1331" s="26" t="str">
        <f>"JAIME NUNO                                                                                          "</f>
        <v xml:space="preserve">JAIME NUNO                                                                                          </v>
      </c>
      <c r="D1331" s="26" t="str">
        <f>"MATUTINO"</f>
        <v>MATUTINO</v>
      </c>
      <c r="E1331" s="26" t="str">
        <f>"ALLENDE NUM 120                                                                 "</f>
        <v xml:space="preserve">ALLENDE NUM 120                                                                 </v>
      </c>
      <c r="F1331" s="26" t="str">
        <f>"MORELOS AMPLIACION                                                                                                                          "</f>
        <v xml:space="preserve">MORELOS AMPLIACION                                                                                                                          </v>
      </c>
      <c r="G1331" s="26" t="str">
        <f t="shared" ref="G1331:G1336" si="214">"CUAUHTEMOC                                                                      "</f>
        <v xml:space="preserve">CUAUHTEMOC                                                                      </v>
      </c>
      <c r="H1331" s="26" t="str">
        <f>"218"</f>
        <v>218</v>
      </c>
      <c r="I1331" s="26" t="str">
        <f t="shared" si="207"/>
        <v>00</v>
      </c>
      <c r="J1331" s="26" t="str">
        <f>"42 "</f>
        <v xml:space="preserve">42 </v>
      </c>
      <c r="K1331" s="26" t="str">
        <f t="shared" ref="K1331:K1348" si="215">"PR"</f>
        <v>PR</v>
      </c>
      <c r="L1331" s="26" t="str">
        <f t="shared" ref="L1331:L1348" si="216">"DGOSE"</f>
        <v>DGOSE</v>
      </c>
      <c r="M1331" s="26" t="str">
        <f t="shared" si="208"/>
        <v>FEDERAL</v>
      </c>
      <c r="N1331" s="26">
        <v>312</v>
      </c>
      <c r="O1331" s="26">
        <v>157</v>
      </c>
      <c r="P1331" s="26">
        <v>155</v>
      </c>
      <c r="Q1331" s="26">
        <v>12</v>
      </c>
      <c r="R1331" s="26">
        <v>1</v>
      </c>
      <c r="S1331" s="26">
        <v>12</v>
      </c>
      <c r="T1331" s="26">
        <v>8</v>
      </c>
      <c r="U1331" s="26">
        <v>21</v>
      </c>
      <c r="V1331" s="26">
        <v>1</v>
      </c>
      <c r="W1331" s="26"/>
    </row>
    <row r="1332" spans="1:23" x14ac:dyDescent="0.25">
      <c r="A1332" s="26" t="str">
        <f t="shared" si="206"/>
        <v>PRIMARIA</v>
      </c>
      <c r="B1332" s="26" t="str">
        <f>"09DPR2535M"</f>
        <v>09DPR2535M</v>
      </c>
      <c r="C1332" s="26" t="str">
        <f>"REPUBLICA POPULAR CHINA                                                                             "</f>
        <v xml:space="preserve">REPUBLICA POPULAR CHINA                                                                             </v>
      </c>
      <c r="D1332" s="26" t="str">
        <f t="shared" ref="D1332:D1337" si="217">"JORNADA AMPLIADA"</f>
        <v>JORNADA AMPLIADA</v>
      </c>
      <c r="E1332" s="26" t="str">
        <f>"DR FEDERICO GOMEZ SANTOS NUM 141                                                "</f>
        <v xml:space="preserve">DR FEDERICO GOMEZ SANTOS NUM 141                                                </v>
      </c>
      <c r="F1332" s="26" t="str">
        <f>"BUENOS AIRES                                                                                                                                "</f>
        <v xml:space="preserve">BUENOS AIRES                                                                                                                                </v>
      </c>
      <c r="G1332" s="26" t="str">
        <f t="shared" si="214"/>
        <v xml:space="preserve">CUAUHTEMOC                                                                      </v>
      </c>
      <c r="H1332" s="26" t="str">
        <f>"126"</f>
        <v>126</v>
      </c>
      <c r="I1332" s="26" t="str">
        <f t="shared" si="207"/>
        <v>00</v>
      </c>
      <c r="J1332" s="26" t="str">
        <f>"41 "</f>
        <v xml:space="preserve">41 </v>
      </c>
      <c r="K1332" s="26" t="str">
        <f t="shared" si="215"/>
        <v>PR</v>
      </c>
      <c r="L1332" s="26" t="str">
        <f t="shared" si="216"/>
        <v>DGOSE</v>
      </c>
      <c r="M1332" s="26" t="str">
        <f t="shared" si="208"/>
        <v>FEDERAL</v>
      </c>
      <c r="N1332" s="26">
        <v>140</v>
      </c>
      <c r="O1332" s="26">
        <v>80</v>
      </c>
      <c r="P1332" s="26">
        <v>60</v>
      </c>
      <c r="Q1332" s="26">
        <v>6</v>
      </c>
      <c r="R1332" s="26">
        <v>1</v>
      </c>
      <c r="S1332" s="26">
        <v>6</v>
      </c>
      <c r="T1332" s="26">
        <v>6</v>
      </c>
      <c r="U1332" s="26">
        <v>13</v>
      </c>
      <c r="V1332" s="26">
        <v>1</v>
      </c>
      <c r="W1332" s="26" t="s">
        <v>2076</v>
      </c>
    </row>
    <row r="1333" spans="1:23" x14ac:dyDescent="0.25">
      <c r="A1333" s="26" t="str">
        <f t="shared" si="206"/>
        <v>PRIMARIA</v>
      </c>
      <c r="B1333" s="26" t="str">
        <f>"09DPR2537K"</f>
        <v>09DPR2537K</v>
      </c>
      <c r="C1333" s="26" t="str">
        <f>"MAESTRO CELERINO CANO PALACIOS                                                                      "</f>
        <v xml:space="preserve">MAESTRO CELERINO CANO PALACIOS                                                                      </v>
      </c>
      <c r="D1333" s="26" t="str">
        <f t="shared" si="217"/>
        <v>JORNADA AMPLIADA</v>
      </c>
      <c r="E1333" s="26" t="str">
        <f>"VIADUCTO MIGUEL ALEMAN NO 117                                                   "</f>
        <v xml:space="preserve">VIADUCTO MIGUEL ALEMAN NO 117                                                   </v>
      </c>
      <c r="F1333" s="26" t="str">
        <f>"BUENOS AIRES                                                                                                                                "</f>
        <v xml:space="preserve">BUENOS AIRES                                                                                                                                </v>
      </c>
      <c r="G1333" s="26" t="str">
        <f t="shared" si="214"/>
        <v xml:space="preserve">CUAUHTEMOC                                                                      </v>
      </c>
      <c r="H1333" s="26" t="str">
        <f>"126"</f>
        <v>126</v>
      </c>
      <c r="I1333" s="26" t="str">
        <f t="shared" si="207"/>
        <v>00</v>
      </c>
      <c r="J1333" s="26" t="str">
        <f>"41 "</f>
        <v xml:space="preserve">41 </v>
      </c>
      <c r="K1333" s="26" t="str">
        <f t="shared" si="215"/>
        <v>PR</v>
      </c>
      <c r="L1333" s="26" t="str">
        <f t="shared" si="216"/>
        <v>DGOSE</v>
      </c>
      <c r="M1333" s="26" t="str">
        <f t="shared" si="208"/>
        <v>FEDERAL</v>
      </c>
      <c r="N1333" s="26">
        <v>150</v>
      </c>
      <c r="O1333" s="26">
        <v>88</v>
      </c>
      <c r="P1333" s="26">
        <v>62</v>
      </c>
      <c r="Q1333" s="26">
        <v>6</v>
      </c>
      <c r="R1333" s="26">
        <v>1</v>
      </c>
      <c r="S1333" s="26">
        <v>6</v>
      </c>
      <c r="T1333" s="26">
        <v>10</v>
      </c>
      <c r="U1333" s="26">
        <v>17</v>
      </c>
      <c r="V1333" s="26">
        <v>1</v>
      </c>
      <c r="W1333" s="26" t="s">
        <v>2076</v>
      </c>
    </row>
    <row r="1334" spans="1:23" x14ac:dyDescent="0.25">
      <c r="A1334" s="26" t="str">
        <f t="shared" si="206"/>
        <v>PRIMARIA</v>
      </c>
      <c r="B1334" s="26" t="str">
        <f>"09DPR2538J"</f>
        <v>09DPR2538J</v>
      </c>
      <c r="C1334" s="26" t="str">
        <f>"VICTOR MARIA FLORES                                                                                 "</f>
        <v xml:space="preserve">VICTOR MARIA FLORES                                                                                 </v>
      </c>
      <c r="D1334" s="26" t="str">
        <f t="shared" si="217"/>
        <v>JORNADA AMPLIADA</v>
      </c>
      <c r="E1334" s="26" t="str">
        <f>"BARCELONA NUM 15                                                                "</f>
        <v xml:space="preserve">BARCELONA NUM 15                                                                </v>
      </c>
      <c r="F1334" s="26" t="str">
        <f>"JUAREZ                                                                                                                                      "</f>
        <v xml:space="preserve">JUAREZ                                                                                                                                      </v>
      </c>
      <c r="G1334" s="26" t="str">
        <f t="shared" si="214"/>
        <v xml:space="preserve">CUAUHTEMOC                                                                      </v>
      </c>
      <c r="H1334" s="26" t="str">
        <f>"124"</f>
        <v>124</v>
      </c>
      <c r="I1334" s="26" t="str">
        <f t="shared" si="207"/>
        <v>00</v>
      </c>
      <c r="J1334" s="26" t="str">
        <f>"41 "</f>
        <v xml:space="preserve">41 </v>
      </c>
      <c r="K1334" s="26" t="str">
        <f t="shared" si="215"/>
        <v>PR</v>
      </c>
      <c r="L1334" s="26" t="str">
        <f t="shared" si="216"/>
        <v>DGOSE</v>
      </c>
      <c r="M1334" s="26" t="str">
        <f t="shared" si="208"/>
        <v>FEDERAL</v>
      </c>
      <c r="N1334" s="26">
        <v>295</v>
      </c>
      <c r="O1334" s="26">
        <v>156</v>
      </c>
      <c r="P1334" s="26">
        <v>139</v>
      </c>
      <c r="Q1334" s="26">
        <v>17</v>
      </c>
      <c r="R1334" s="26">
        <v>1</v>
      </c>
      <c r="S1334" s="26">
        <v>13</v>
      </c>
      <c r="T1334" s="26">
        <v>10</v>
      </c>
      <c r="U1334" s="26">
        <v>24</v>
      </c>
      <c r="V1334" s="26">
        <v>1</v>
      </c>
      <c r="W1334" s="26" t="s">
        <v>2076</v>
      </c>
    </row>
    <row r="1335" spans="1:23" x14ac:dyDescent="0.25">
      <c r="A1335" s="26" t="str">
        <f t="shared" si="206"/>
        <v>PRIMARIA</v>
      </c>
      <c r="B1335" s="26" t="str">
        <f>"09DPR2539I"</f>
        <v>09DPR2539I</v>
      </c>
      <c r="C1335" s="26" t="str">
        <f>"HORACIO MANN                                                                                        "</f>
        <v xml:space="preserve">HORACIO MANN                                                                                        </v>
      </c>
      <c r="D1335" s="26" t="str">
        <f t="shared" si="217"/>
        <v>JORNADA AMPLIADA</v>
      </c>
      <c r="E1335" s="26" t="str">
        <f>"ABRAHAM GONZALEZ NUM 151                                                        "</f>
        <v xml:space="preserve">ABRAHAM GONZALEZ NUM 151                                                        </v>
      </c>
      <c r="F1335" s="26" t="str">
        <f>"JUAREZ                                                                                                                                      "</f>
        <v xml:space="preserve">JUAREZ                                                                                                                                      </v>
      </c>
      <c r="G1335" s="26" t="str">
        <f t="shared" si="214"/>
        <v xml:space="preserve">CUAUHTEMOC                                                                      </v>
      </c>
      <c r="H1335" s="26" t="str">
        <f>"124"</f>
        <v>124</v>
      </c>
      <c r="I1335" s="26" t="str">
        <f t="shared" si="207"/>
        <v>00</v>
      </c>
      <c r="J1335" s="26" t="str">
        <f>"41 "</f>
        <v xml:space="preserve">41 </v>
      </c>
      <c r="K1335" s="26" t="str">
        <f t="shared" si="215"/>
        <v>PR</v>
      </c>
      <c r="L1335" s="26" t="str">
        <f t="shared" si="216"/>
        <v>DGOSE</v>
      </c>
      <c r="M1335" s="26" t="str">
        <f t="shared" si="208"/>
        <v>FEDERAL</v>
      </c>
      <c r="N1335" s="26">
        <v>191</v>
      </c>
      <c r="O1335" s="26">
        <v>95</v>
      </c>
      <c r="P1335" s="26">
        <v>96</v>
      </c>
      <c r="Q1335" s="26">
        <v>10</v>
      </c>
      <c r="R1335" s="26">
        <v>1</v>
      </c>
      <c r="S1335" s="26">
        <v>10</v>
      </c>
      <c r="T1335" s="26">
        <v>10</v>
      </c>
      <c r="U1335" s="26">
        <v>21</v>
      </c>
      <c r="V1335" s="26">
        <v>1</v>
      </c>
      <c r="W1335" s="26" t="s">
        <v>2076</v>
      </c>
    </row>
    <row r="1336" spans="1:23" x14ac:dyDescent="0.25">
      <c r="A1336" s="26" t="str">
        <f t="shared" si="206"/>
        <v>PRIMARIA</v>
      </c>
      <c r="B1336" s="26" t="str">
        <f>"09DPR2541X"</f>
        <v>09DPR2541X</v>
      </c>
      <c r="C1336" s="26" t="str">
        <f>"CAPITAN EMILIO CARRANZA                                                                             "</f>
        <v xml:space="preserve">CAPITAN EMILIO CARRANZA                                                                             </v>
      </c>
      <c r="D1336" s="26" t="str">
        <f t="shared" si="217"/>
        <v>JORNADA AMPLIADA</v>
      </c>
      <c r="E1336" s="26" t="str">
        <f>"ORIZABA NUM 90                                                                  "</f>
        <v xml:space="preserve">ORIZABA NUM 90                                                                  </v>
      </c>
      <c r="F1336" s="26" t="str">
        <f>"ROMA NORTE                                                                                                                                  "</f>
        <v xml:space="preserve">ROMA NORTE                                                                                                                                  </v>
      </c>
      <c r="G1336" s="26" t="str">
        <f t="shared" si="214"/>
        <v xml:space="preserve">CUAUHTEMOC                                                                      </v>
      </c>
      <c r="H1336" s="26" t="str">
        <f>"125"</f>
        <v>125</v>
      </c>
      <c r="I1336" s="26" t="str">
        <f t="shared" si="207"/>
        <v>00</v>
      </c>
      <c r="J1336" s="26" t="str">
        <f>"41 "</f>
        <v xml:space="preserve">41 </v>
      </c>
      <c r="K1336" s="26" t="str">
        <f t="shared" si="215"/>
        <v>PR</v>
      </c>
      <c r="L1336" s="26" t="str">
        <f t="shared" si="216"/>
        <v>DGOSE</v>
      </c>
      <c r="M1336" s="26" t="str">
        <f t="shared" si="208"/>
        <v>FEDERAL</v>
      </c>
      <c r="N1336" s="26">
        <v>283</v>
      </c>
      <c r="O1336" s="26">
        <v>156</v>
      </c>
      <c r="P1336" s="26">
        <v>127</v>
      </c>
      <c r="Q1336" s="26">
        <v>13</v>
      </c>
      <c r="R1336" s="26">
        <v>1</v>
      </c>
      <c r="S1336" s="26">
        <v>13</v>
      </c>
      <c r="T1336" s="26">
        <v>8</v>
      </c>
      <c r="U1336" s="26">
        <v>22</v>
      </c>
      <c r="V1336" s="26">
        <v>1</v>
      </c>
      <c r="W1336" s="26" t="s">
        <v>2076</v>
      </c>
    </row>
    <row r="1337" spans="1:23" x14ac:dyDescent="0.25">
      <c r="A1337" s="26" t="str">
        <f t="shared" si="206"/>
        <v>PRIMARIA</v>
      </c>
      <c r="B1337" s="26" t="str">
        <f>"09DPR2544U"</f>
        <v>09DPR2544U</v>
      </c>
      <c r="C1337" s="26" t="str">
        <f>"GRAL. DE DIVISION MARCIANO GONZALEZ                                                                 "</f>
        <v xml:space="preserve">GRAL. DE DIVISION MARCIANO GONZALEZ                                                                 </v>
      </c>
      <c r="D1337" s="26" t="str">
        <f t="shared" si="217"/>
        <v>JORNADA AMPLIADA</v>
      </c>
      <c r="E1337" s="26" t="str">
        <f>"HUATUSCO S/N                                                                    "</f>
        <v xml:space="preserve">HUATUSCO S/N                                                                    </v>
      </c>
      <c r="F1337" s="26" t="str">
        <f>"SAN FRANCISCO CULHUACAN                                                                                                                     "</f>
        <v xml:space="preserve">SAN FRANCISCO CULHUACAN                                                                                                                     </v>
      </c>
      <c r="G1337" s="26" t="str">
        <f>"COYOACAN                                                                        "</f>
        <v xml:space="preserve">COYOACAN                                                                        </v>
      </c>
      <c r="H1337" s="26" t="str">
        <f>"441"</f>
        <v>441</v>
      </c>
      <c r="I1337" s="26" t="str">
        <f t="shared" si="207"/>
        <v>00</v>
      </c>
      <c r="J1337" s="26" t="str">
        <f>"44 "</f>
        <v xml:space="preserve">44 </v>
      </c>
      <c r="K1337" s="26" t="str">
        <f t="shared" si="215"/>
        <v>PR</v>
      </c>
      <c r="L1337" s="26" t="str">
        <f t="shared" si="216"/>
        <v>DGOSE</v>
      </c>
      <c r="M1337" s="26" t="str">
        <f t="shared" si="208"/>
        <v>FEDERAL</v>
      </c>
      <c r="N1337" s="26">
        <v>460</v>
      </c>
      <c r="O1337" s="26">
        <v>230</v>
      </c>
      <c r="P1337" s="26">
        <v>230</v>
      </c>
      <c r="Q1337" s="26">
        <v>16</v>
      </c>
      <c r="R1337" s="26">
        <v>1</v>
      </c>
      <c r="S1337" s="26">
        <v>15</v>
      </c>
      <c r="T1337" s="26">
        <v>11</v>
      </c>
      <c r="U1337" s="26">
        <v>27</v>
      </c>
      <c r="V1337" s="26">
        <v>1</v>
      </c>
      <c r="W1337" s="26" t="s">
        <v>2076</v>
      </c>
    </row>
    <row r="1338" spans="1:23" x14ac:dyDescent="0.25">
      <c r="A1338" s="26" t="str">
        <f t="shared" si="206"/>
        <v>PRIMARIA</v>
      </c>
      <c r="B1338" s="26" t="str">
        <f>"09DPR2545T"</f>
        <v>09DPR2545T</v>
      </c>
      <c r="C1338" s="26" t="str">
        <f>"JUAN BADIANO                                                                                        "</f>
        <v xml:space="preserve">JUAN BADIANO                                                                                        </v>
      </c>
      <c r="D1338" s="26" t="str">
        <f>"MATUTINO"</f>
        <v>MATUTINO</v>
      </c>
      <c r="E1338" s="26" t="str">
        <f>"CDA. MIRAVALLE S/N                                                              "</f>
        <v xml:space="preserve">CDA. MIRAVALLE S/N                                                              </v>
      </c>
      <c r="F1338" s="26" t="str">
        <f>"TEPEPAN AMPLIACION                                                                                                                          "</f>
        <v xml:space="preserve">TEPEPAN AMPLIACION                                                                                                                          </v>
      </c>
      <c r="G1338" s="26" t="str">
        <f>"XOCHIMILCO                                                                      "</f>
        <v xml:space="preserve">XOCHIMILCO                                                                      </v>
      </c>
      <c r="H1338" s="26" t="str">
        <f>"533"</f>
        <v>533</v>
      </c>
      <c r="I1338" s="26" t="str">
        <f t="shared" si="207"/>
        <v>00</v>
      </c>
      <c r="J1338" s="26" t="str">
        <f>"45 "</f>
        <v xml:space="preserve">45 </v>
      </c>
      <c r="K1338" s="26" t="str">
        <f t="shared" si="215"/>
        <v>PR</v>
      </c>
      <c r="L1338" s="26" t="str">
        <f t="shared" si="216"/>
        <v>DGOSE</v>
      </c>
      <c r="M1338" s="26" t="str">
        <f t="shared" si="208"/>
        <v>FEDERAL</v>
      </c>
      <c r="N1338" s="26">
        <v>397</v>
      </c>
      <c r="O1338" s="26">
        <v>198</v>
      </c>
      <c r="P1338" s="26">
        <v>199</v>
      </c>
      <c r="Q1338" s="26">
        <v>14</v>
      </c>
      <c r="R1338" s="26">
        <v>1</v>
      </c>
      <c r="S1338" s="26">
        <v>13</v>
      </c>
      <c r="T1338" s="26">
        <v>7</v>
      </c>
      <c r="U1338" s="26">
        <v>21</v>
      </c>
      <c r="V1338" s="26">
        <v>1</v>
      </c>
      <c r="W1338" s="26"/>
    </row>
    <row r="1339" spans="1:23" x14ac:dyDescent="0.25">
      <c r="A1339" s="26" t="str">
        <f t="shared" si="206"/>
        <v>PRIMARIA</v>
      </c>
      <c r="B1339" s="26" t="str">
        <f>"09DPR2546S"</f>
        <v>09DPR2546S</v>
      </c>
      <c r="C1339" s="26" t="str">
        <f>"MTRA. GABRIELA MISTRAL                                                                              "</f>
        <v xml:space="preserve">MTRA. GABRIELA MISTRAL                                                                              </v>
      </c>
      <c r="D1339" s="26" t="str">
        <f>"MATUTINO"</f>
        <v>MATUTINO</v>
      </c>
      <c r="E1339" s="26" t="str">
        <f>"SAN HERMILO Y SAN VALENTIN S/N                                                  "</f>
        <v xml:space="preserve">SAN HERMILO Y SAN VALENTIN S/N                                                  </v>
      </c>
      <c r="F1339" s="26" t="str">
        <f>"AJUSCO                                                                                                                                      "</f>
        <v xml:space="preserve">AJUSCO                                                                                                                                      </v>
      </c>
      <c r="G1339" s="26" t="str">
        <f>"COYOACAN                                                                        "</f>
        <v xml:space="preserve">COYOACAN                                                                        </v>
      </c>
      <c r="H1339" s="26" t="str">
        <f>"505"</f>
        <v>505</v>
      </c>
      <c r="I1339" s="26" t="str">
        <f t="shared" si="207"/>
        <v>00</v>
      </c>
      <c r="J1339" s="26" t="str">
        <f>"45 "</f>
        <v xml:space="preserve">45 </v>
      </c>
      <c r="K1339" s="26" t="str">
        <f t="shared" si="215"/>
        <v>PR</v>
      </c>
      <c r="L1339" s="26" t="str">
        <f t="shared" si="216"/>
        <v>DGOSE</v>
      </c>
      <c r="M1339" s="26" t="str">
        <f t="shared" si="208"/>
        <v>FEDERAL</v>
      </c>
      <c r="N1339" s="26">
        <v>393</v>
      </c>
      <c r="O1339" s="26">
        <v>193</v>
      </c>
      <c r="P1339" s="26">
        <v>200</v>
      </c>
      <c r="Q1339" s="26">
        <v>18</v>
      </c>
      <c r="R1339" s="26">
        <v>1</v>
      </c>
      <c r="S1339" s="26">
        <v>18</v>
      </c>
      <c r="T1339" s="26">
        <v>10</v>
      </c>
      <c r="U1339" s="26">
        <v>29</v>
      </c>
      <c r="V1339" s="26">
        <v>1</v>
      </c>
      <c r="W1339" s="26"/>
    </row>
    <row r="1340" spans="1:23" x14ac:dyDescent="0.25">
      <c r="A1340" s="26" t="str">
        <f t="shared" si="206"/>
        <v>PRIMARIA</v>
      </c>
      <c r="B1340" s="26" t="str">
        <f>"09DPR2552C"</f>
        <v>09DPR2552C</v>
      </c>
      <c r="C1340" s="26" t="str">
        <f>"REVOLUCION MEXICANA                                                                                 "</f>
        <v xml:space="preserve">REVOLUCION MEXICANA                                                                                 </v>
      </c>
      <c r="D1340" s="26" t="str">
        <f>"VESPERTINO"</f>
        <v>VESPERTINO</v>
      </c>
      <c r="E1340" s="26" t="str">
        <f>"COCONETLA NO 53                                                                 "</f>
        <v xml:space="preserve">COCONETLA NO 53                                                                 </v>
      </c>
      <c r="F1340" s="26" t="str">
        <f>"LA CRUZ                                                                                                                                     "</f>
        <v xml:space="preserve">LA CRUZ                                                                                                                                     </v>
      </c>
      <c r="G1340" s="26" t="str">
        <f>"IZTACALCO                                                                       "</f>
        <v xml:space="preserve">IZTACALCO                                                                       </v>
      </c>
      <c r="H1340" s="26" t="str">
        <f>"362"</f>
        <v>362</v>
      </c>
      <c r="I1340" s="26" t="str">
        <f t="shared" si="207"/>
        <v>00</v>
      </c>
      <c r="J1340" s="26" t="str">
        <f>"43 "</f>
        <v xml:space="preserve">43 </v>
      </c>
      <c r="K1340" s="26" t="str">
        <f t="shared" si="215"/>
        <v>PR</v>
      </c>
      <c r="L1340" s="26" t="str">
        <f t="shared" si="216"/>
        <v>DGOSE</v>
      </c>
      <c r="M1340" s="26" t="str">
        <f t="shared" si="208"/>
        <v>FEDERAL</v>
      </c>
      <c r="N1340" s="26">
        <v>54</v>
      </c>
      <c r="O1340" s="26">
        <v>30</v>
      </c>
      <c r="P1340" s="26">
        <v>24</v>
      </c>
      <c r="Q1340" s="26">
        <v>4</v>
      </c>
      <c r="R1340" s="26">
        <v>1</v>
      </c>
      <c r="S1340" s="26">
        <v>4</v>
      </c>
      <c r="T1340" s="26">
        <v>5</v>
      </c>
      <c r="U1340" s="26">
        <v>10</v>
      </c>
      <c r="V1340" s="26">
        <v>1</v>
      </c>
      <c r="W1340" s="26"/>
    </row>
    <row r="1341" spans="1:23" x14ac:dyDescent="0.25">
      <c r="A1341" s="26" t="str">
        <f t="shared" si="206"/>
        <v>PRIMARIA</v>
      </c>
      <c r="B1341" s="26" t="str">
        <f>"09DPR2558X"</f>
        <v>09DPR2558X</v>
      </c>
      <c r="C1341" s="26" t="str">
        <f>"ESTADOS UNIDOS DE AMERICA                                                                           "</f>
        <v xml:space="preserve">ESTADOS UNIDOS DE AMERICA                                                                           </v>
      </c>
      <c r="D1341" s="26" t="str">
        <f>"TIEMPO COMPLETO"</f>
        <v>TIEMPO COMPLETO</v>
      </c>
      <c r="E1341" s="26" t="str">
        <f>"FCO DEL PASO Y TRONCOSO S/N                                                     "</f>
        <v xml:space="preserve">FCO DEL PASO Y TRONCOSO S/N                                                     </v>
      </c>
      <c r="F1341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1341" s="26" t="str">
        <f>"VENUSTIANO CARRANZA                                                             "</f>
        <v xml:space="preserve">VENUSTIANO CARRANZA                                                             </v>
      </c>
      <c r="H1341" s="26" t="str">
        <f>"424"</f>
        <v>424</v>
      </c>
      <c r="I1341" s="26" t="str">
        <f t="shared" si="207"/>
        <v>00</v>
      </c>
      <c r="J1341" s="26" t="str">
        <f>"44 "</f>
        <v xml:space="preserve">44 </v>
      </c>
      <c r="K1341" s="26" t="str">
        <f t="shared" si="215"/>
        <v>PR</v>
      </c>
      <c r="L1341" s="26" t="str">
        <f t="shared" si="216"/>
        <v>DGOSE</v>
      </c>
      <c r="M1341" s="26" t="str">
        <f t="shared" si="208"/>
        <v>FEDERAL</v>
      </c>
      <c r="N1341" s="26">
        <v>342</v>
      </c>
      <c r="O1341" s="26">
        <v>171</v>
      </c>
      <c r="P1341" s="26">
        <v>171</v>
      </c>
      <c r="Q1341" s="26">
        <v>12</v>
      </c>
      <c r="R1341" s="26">
        <v>1</v>
      </c>
      <c r="S1341" s="26">
        <v>12</v>
      </c>
      <c r="T1341" s="26">
        <v>16</v>
      </c>
      <c r="U1341" s="26">
        <v>29</v>
      </c>
      <c r="V1341" s="26">
        <v>1</v>
      </c>
      <c r="W1341" s="26" t="s">
        <v>218</v>
      </c>
    </row>
    <row r="1342" spans="1:23" x14ac:dyDescent="0.25">
      <c r="A1342" s="26" t="str">
        <f t="shared" si="206"/>
        <v>PRIMARIA</v>
      </c>
      <c r="B1342" s="26" t="str">
        <f>"09DPR2561K"</f>
        <v>09DPR2561K</v>
      </c>
      <c r="C1342" s="26" t="str">
        <f>"LIC. PROTASIO TAGLE                                                                                 "</f>
        <v xml:space="preserve">LIC. PROTASIO TAGLE                                                                                 </v>
      </c>
      <c r="D1342" s="26" t="str">
        <f>"JORNADA AMPLIADA"</f>
        <v>JORNADA AMPLIADA</v>
      </c>
      <c r="E1342" s="26" t="str">
        <f>"AV. CENTENARIO NUM 28                                                           "</f>
        <v xml:space="preserve">AV. CENTENARIO NUM 28                                                           </v>
      </c>
      <c r="F1342" s="26" t="str">
        <f>"DEL CARMEN                                                                                                                                  "</f>
        <v xml:space="preserve">DEL CARMEN                                                                                                                                  </v>
      </c>
      <c r="G1342" s="26" t="str">
        <f>"COYOACAN                                                                        "</f>
        <v xml:space="preserve">COYOACAN                                                                        </v>
      </c>
      <c r="H1342" s="26" t="str">
        <f>"433"</f>
        <v>433</v>
      </c>
      <c r="I1342" s="26" t="str">
        <f t="shared" si="207"/>
        <v>00</v>
      </c>
      <c r="J1342" s="26" t="str">
        <f>"44 "</f>
        <v xml:space="preserve">44 </v>
      </c>
      <c r="K1342" s="26" t="str">
        <f t="shared" si="215"/>
        <v>PR</v>
      </c>
      <c r="L1342" s="26" t="str">
        <f t="shared" si="216"/>
        <v>DGOSE</v>
      </c>
      <c r="M1342" s="26" t="str">
        <f t="shared" si="208"/>
        <v>FEDERAL</v>
      </c>
      <c r="N1342" s="26">
        <v>449</v>
      </c>
      <c r="O1342" s="26">
        <v>238</v>
      </c>
      <c r="P1342" s="26">
        <v>211</v>
      </c>
      <c r="Q1342" s="26">
        <v>15</v>
      </c>
      <c r="R1342" s="26">
        <v>1</v>
      </c>
      <c r="S1342" s="26">
        <v>15</v>
      </c>
      <c r="T1342" s="26">
        <v>12</v>
      </c>
      <c r="U1342" s="26">
        <v>28</v>
      </c>
      <c r="V1342" s="26">
        <v>1</v>
      </c>
      <c r="W1342" s="26" t="s">
        <v>2076</v>
      </c>
    </row>
    <row r="1343" spans="1:23" x14ac:dyDescent="0.25">
      <c r="A1343" s="26" t="str">
        <f t="shared" si="206"/>
        <v>PRIMARIA</v>
      </c>
      <c r="B1343" s="26" t="str">
        <f>"09DPR2562J"</f>
        <v>09DPR2562J</v>
      </c>
      <c r="C1343" s="26" t="str">
        <f>"PROFR. JORGE CASAHONDA CASTILLO                                                                     "</f>
        <v xml:space="preserve">PROFR. JORGE CASAHONDA CASTILLO                                                                     </v>
      </c>
      <c r="D1343" s="26" t="str">
        <f>"MATUTINO"</f>
        <v>MATUTINO</v>
      </c>
      <c r="E1343" s="26" t="str">
        <f>"5 DE MAYO Y FCO VILLA                                                           "</f>
        <v xml:space="preserve">5 DE MAYO Y FCO VILLA                                                           </v>
      </c>
      <c r="F1343" s="26" t="str">
        <f>"CUAUTEPEC DE MADERO                                                                                                                         "</f>
        <v xml:space="preserve">CUAUTEPEC DE MADERO                                                                                                                         </v>
      </c>
      <c r="G1343" s="26" t="str">
        <f>"GUSTAVO A. MADERO                                                               "</f>
        <v xml:space="preserve">GUSTAVO A. MADERO                                                               </v>
      </c>
      <c r="H1343" s="26" t="str">
        <f>"229"</f>
        <v>229</v>
      </c>
      <c r="I1343" s="26" t="str">
        <f t="shared" si="207"/>
        <v>00</v>
      </c>
      <c r="J1343" s="26" t="str">
        <f>"42 "</f>
        <v xml:space="preserve">42 </v>
      </c>
      <c r="K1343" s="26" t="str">
        <f t="shared" si="215"/>
        <v>PR</v>
      </c>
      <c r="L1343" s="26" t="str">
        <f t="shared" si="216"/>
        <v>DGOSE</v>
      </c>
      <c r="M1343" s="26" t="str">
        <f t="shared" si="208"/>
        <v>FEDERAL</v>
      </c>
      <c r="N1343" s="26">
        <v>573</v>
      </c>
      <c r="O1343" s="26">
        <v>295</v>
      </c>
      <c r="P1343" s="26">
        <v>278</v>
      </c>
      <c r="Q1343" s="26">
        <v>18</v>
      </c>
      <c r="R1343" s="26">
        <v>1</v>
      </c>
      <c r="S1343" s="26">
        <v>18</v>
      </c>
      <c r="T1343" s="26">
        <v>10</v>
      </c>
      <c r="U1343" s="26">
        <v>29</v>
      </c>
      <c r="V1343" s="26">
        <v>1</v>
      </c>
      <c r="W1343" s="26"/>
    </row>
    <row r="1344" spans="1:23" x14ac:dyDescent="0.25">
      <c r="A1344" s="26" t="str">
        <f t="shared" si="206"/>
        <v>PRIMARIA</v>
      </c>
      <c r="B1344" s="26" t="str">
        <f>"09DPR2563I"</f>
        <v>09DPR2563I</v>
      </c>
      <c r="C1344" s="26" t="str">
        <f>"TLAMACHIHUAPAN                                                                                      "</f>
        <v xml:space="preserve">TLAMACHIHUAPAN                                                                                      </v>
      </c>
      <c r="D1344" s="26" t="str">
        <f>"MATUTINO"</f>
        <v>MATUTINO</v>
      </c>
      <c r="E1344" s="26" t="str">
        <f>"AV. 2 DE ABRIL NUM. 27                                                          "</f>
        <v xml:space="preserve">AV. 2 DE ABRIL NUM. 27                                                          </v>
      </c>
      <c r="F1344" s="26" t="str">
        <f>"SANTA CRUZ ACALPIXCA                                                                                                                        "</f>
        <v xml:space="preserve">SANTA CRUZ ACALPIXCA                                                                                                                        </v>
      </c>
      <c r="G1344" s="26" t="str">
        <f>"XOCHIMILCO                                                                      "</f>
        <v xml:space="preserve">XOCHIMILCO                                                                      </v>
      </c>
      <c r="H1344" s="26" t="str">
        <f>"542"</f>
        <v>542</v>
      </c>
      <c r="I1344" s="26" t="str">
        <f t="shared" si="207"/>
        <v>00</v>
      </c>
      <c r="J1344" s="26" t="str">
        <f>"45 "</f>
        <v xml:space="preserve">45 </v>
      </c>
      <c r="K1344" s="26" t="str">
        <f t="shared" si="215"/>
        <v>PR</v>
      </c>
      <c r="L1344" s="26" t="str">
        <f t="shared" si="216"/>
        <v>DGOSE</v>
      </c>
      <c r="M1344" s="26" t="str">
        <f t="shared" si="208"/>
        <v>FEDERAL</v>
      </c>
      <c r="N1344" s="26">
        <v>690</v>
      </c>
      <c r="O1344" s="26">
        <v>356</v>
      </c>
      <c r="P1344" s="26">
        <v>334</v>
      </c>
      <c r="Q1344" s="26">
        <v>18</v>
      </c>
      <c r="R1344" s="26">
        <v>0</v>
      </c>
      <c r="S1344" s="26">
        <v>18</v>
      </c>
      <c r="T1344" s="26">
        <v>9</v>
      </c>
      <c r="U1344" s="26">
        <v>27</v>
      </c>
      <c r="V1344" s="26">
        <v>1</v>
      </c>
      <c r="W1344" s="26"/>
    </row>
    <row r="1345" spans="1:23" x14ac:dyDescent="0.25">
      <c r="A1345" s="26" t="str">
        <f t="shared" si="206"/>
        <v>PRIMARIA</v>
      </c>
      <c r="B1345" s="26" t="str">
        <f>"09DPR2564H"</f>
        <v>09DPR2564H</v>
      </c>
      <c r="C1345" s="26" t="str">
        <f>"PANAMERICANA                                                                                        "</f>
        <v xml:space="preserve">PANAMERICANA                                                                                        </v>
      </c>
      <c r="D1345" s="26" t="str">
        <f>"MATUTINO"</f>
        <v>MATUTINO</v>
      </c>
      <c r="E1345" s="26" t="str">
        <f>"AV PANAMERICANA S/N                                                             "</f>
        <v xml:space="preserve">AV PANAMERICANA S/N                                                             </v>
      </c>
      <c r="F1345" s="26" t="str">
        <f>"PEDREGAL DE CARRASCO                                                                                                                        "</f>
        <v xml:space="preserve">PEDREGAL DE CARRASCO                                                                                                                        </v>
      </c>
      <c r="G1345" s="26" t="str">
        <f>"COYOACAN                                                                        "</f>
        <v xml:space="preserve">COYOACAN                                                                        </v>
      </c>
      <c r="H1345" s="26" t="str">
        <f>"506"</f>
        <v>506</v>
      </c>
      <c r="I1345" s="26" t="str">
        <f t="shared" si="207"/>
        <v>00</v>
      </c>
      <c r="J1345" s="26" t="str">
        <f>"45 "</f>
        <v xml:space="preserve">45 </v>
      </c>
      <c r="K1345" s="26" t="str">
        <f t="shared" si="215"/>
        <v>PR</v>
      </c>
      <c r="L1345" s="26" t="str">
        <f t="shared" si="216"/>
        <v>DGOSE</v>
      </c>
      <c r="M1345" s="26" t="str">
        <f t="shared" si="208"/>
        <v>FEDERAL</v>
      </c>
      <c r="N1345" s="26">
        <v>475</v>
      </c>
      <c r="O1345" s="26">
        <v>241</v>
      </c>
      <c r="P1345" s="26">
        <v>234</v>
      </c>
      <c r="Q1345" s="26">
        <v>18</v>
      </c>
      <c r="R1345" s="26">
        <v>1</v>
      </c>
      <c r="S1345" s="26">
        <v>17</v>
      </c>
      <c r="T1345" s="26">
        <v>9</v>
      </c>
      <c r="U1345" s="26">
        <v>27</v>
      </c>
      <c r="V1345" s="26">
        <v>1</v>
      </c>
      <c r="W1345" s="26"/>
    </row>
    <row r="1346" spans="1:23" x14ac:dyDescent="0.25">
      <c r="A1346" s="26" t="str">
        <f t="shared" ref="A1346:A1409" si="218">"PRIMARIA"</f>
        <v>PRIMARIA</v>
      </c>
      <c r="B1346" s="26" t="str">
        <f>"09DPR2565G"</f>
        <v>09DPR2565G</v>
      </c>
      <c r="C1346" s="26" t="str">
        <f>"ANDRES DELGADO ""EL GIRO""                                                                            "</f>
        <v xml:space="preserve">ANDRES DELGADO "EL GIRO"                                                                            </v>
      </c>
      <c r="D1346" s="26" t="str">
        <f>"TIEMPO COMPLETO"</f>
        <v>TIEMPO COMPLETO</v>
      </c>
      <c r="E1346" s="26" t="str">
        <f>"MARTIRES DE RIO BLANCO NO 27                                                    "</f>
        <v xml:space="preserve">MARTIRES DE RIO BLANCO NO 27                                                    </v>
      </c>
      <c r="F1346" s="26" t="str">
        <f>"HUICHAPAN                                                                                                                                   "</f>
        <v xml:space="preserve">HUICHAPAN                                                                                                                                   </v>
      </c>
      <c r="G1346" s="26" t="str">
        <f>"XOCHIMILCO                                                                      "</f>
        <v xml:space="preserve">XOCHIMILCO                                                                      </v>
      </c>
      <c r="H1346" s="26" t="str">
        <f>"448"</f>
        <v>448</v>
      </c>
      <c r="I1346" s="26" t="str">
        <f t="shared" ref="I1346:I1409" si="219">"00"</f>
        <v>00</v>
      </c>
      <c r="J1346" s="26" t="str">
        <f>"44 "</f>
        <v xml:space="preserve">44 </v>
      </c>
      <c r="K1346" s="26" t="str">
        <f t="shared" si="215"/>
        <v>PR</v>
      </c>
      <c r="L1346" s="26" t="str">
        <f t="shared" si="216"/>
        <v>DGOSE</v>
      </c>
      <c r="M1346" s="26" t="str">
        <f t="shared" ref="M1346:M1409" si="220">"FEDERAL"</f>
        <v>FEDERAL</v>
      </c>
      <c r="N1346" s="26">
        <v>497</v>
      </c>
      <c r="O1346" s="26">
        <v>241</v>
      </c>
      <c r="P1346" s="26">
        <v>256</v>
      </c>
      <c r="Q1346" s="26">
        <v>13</v>
      </c>
      <c r="R1346" s="26">
        <v>1</v>
      </c>
      <c r="S1346" s="26">
        <v>13</v>
      </c>
      <c r="T1346" s="26">
        <v>18</v>
      </c>
      <c r="U1346" s="26">
        <v>32</v>
      </c>
      <c r="V1346" s="26">
        <v>1</v>
      </c>
      <c r="W1346" s="26" t="s">
        <v>218</v>
      </c>
    </row>
    <row r="1347" spans="1:23" x14ac:dyDescent="0.25">
      <c r="A1347" s="26" t="str">
        <f t="shared" si="218"/>
        <v>PRIMARIA</v>
      </c>
      <c r="B1347" s="26" t="str">
        <f>"09DPR2566F"</f>
        <v>09DPR2566F</v>
      </c>
      <c r="C1347" s="26" t="str">
        <f>"JUAN JACOBO ROUSSEAU                                                                                "</f>
        <v xml:space="preserve">JUAN JACOBO ROUSSEAU                                                                                </v>
      </c>
      <c r="D1347" s="26" t="str">
        <f>"MATUTINO"</f>
        <v>MATUTINO</v>
      </c>
      <c r="E1347" s="26" t="str">
        <f>"VOLCAN IZTACCIHUATL 90 Y AV. LOS PINOS                                          "</f>
        <v xml:space="preserve">VOLCAN IZTACCIHUATL 90 Y AV. LOS PINOS                                          </v>
      </c>
      <c r="F1347" s="26" t="str">
        <f>"LA PRADERA                                                                                                                                  "</f>
        <v xml:space="preserve">LA PRADERA                                                                                                                                  </v>
      </c>
      <c r="G1347" s="26" t="str">
        <f>"GUSTAVO A. MADERO                                                               "</f>
        <v xml:space="preserve">GUSTAVO A. MADERO                                                               </v>
      </c>
      <c r="H1347" s="26" t="str">
        <f>"266"</f>
        <v>266</v>
      </c>
      <c r="I1347" s="26" t="str">
        <f t="shared" si="219"/>
        <v>00</v>
      </c>
      <c r="J1347" s="26" t="str">
        <f>"42 "</f>
        <v xml:space="preserve">42 </v>
      </c>
      <c r="K1347" s="26" t="str">
        <f t="shared" si="215"/>
        <v>PR</v>
      </c>
      <c r="L1347" s="26" t="str">
        <f t="shared" si="216"/>
        <v>DGOSE</v>
      </c>
      <c r="M1347" s="26" t="str">
        <f t="shared" si="220"/>
        <v>FEDERAL</v>
      </c>
      <c r="N1347" s="26">
        <v>359</v>
      </c>
      <c r="O1347" s="26">
        <v>179</v>
      </c>
      <c r="P1347" s="26">
        <v>180</v>
      </c>
      <c r="Q1347" s="26">
        <v>12</v>
      </c>
      <c r="R1347" s="26">
        <v>1</v>
      </c>
      <c r="S1347" s="26">
        <v>12</v>
      </c>
      <c r="T1347" s="26">
        <v>10</v>
      </c>
      <c r="U1347" s="26">
        <v>23</v>
      </c>
      <c r="V1347" s="26">
        <v>1</v>
      </c>
      <c r="W1347" s="26"/>
    </row>
    <row r="1348" spans="1:23" x14ac:dyDescent="0.25">
      <c r="A1348" s="26" t="str">
        <f t="shared" si="218"/>
        <v>PRIMARIA</v>
      </c>
      <c r="B1348" s="26" t="str">
        <f>"09DPR2567E"</f>
        <v>09DPR2567E</v>
      </c>
      <c r="C1348" s="26" t="str">
        <f>"GRAL. FRANCISCO J. MUJICA                                                                           "</f>
        <v xml:space="preserve">GRAL. FRANCISCO J. MUJICA                                                                           </v>
      </c>
      <c r="D1348" s="26" t="str">
        <f>"JORNADA AMPLIADA"</f>
        <v>JORNADA AMPLIADA</v>
      </c>
      <c r="E1348" s="26" t="str">
        <f>"ROMAN LUGO Y ERNESTO P URUCHURTU                                                "</f>
        <v xml:space="preserve">ROMAN LUGO Y ERNESTO P URUCHURTU                                                </v>
      </c>
      <c r="F1348" s="26" t="str">
        <f>"ADOLFO LOPEZ MATEOS                                                                                                                         "</f>
        <v xml:space="preserve">ADOLFO LOPEZ MATEOS                                                                                                                         </v>
      </c>
      <c r="G1348" s="26" t="str">
        <f>"VENUSTIANO CARRANZA                                                             "</f>
        <v xml:space="preserve">VENUSTIANO CARRANZA                                                             </v>
      </c>
      <c r="H1348" s="26" t="str">
        <f>"426"</f>
        <v>426</v>
      </c>
      <c r="I1348" s="26" t="str">
        <f t="shared" si="219"/>
        <v>00</v>
      </c>
      <c r="J1348" s="26" t="str">
        <f>"44 "</f>
        <v xml:space="preserve">44 </v>
      </c>
      <c r="K1348" s="26" t="str">
        <f t="shared" si="215"/>
        <v>PR</v>
      </c>
      <c r="L1348" s="26" t="str">
        <f t="shared" si="216"/>
        <v>DGOSE</v>
      </c>
      <c r="M1348" s="26" t="str">
        <f t="shared" si="220"/>
        <v>FEDERAL</v>
      </c>
      <c r="N1348" s="26">
        <v>361</v>
      </c>
      <c r="O1348" s="26">
        <v>181</v>
      </c>
      <c r="P1348" s="26">
        <v>180</v>
      </c>
      <c r="Q1348" s="26">
        <v>12</v>
      </c>
      <c r="R1348" s="26">
        <v>1</v>
      </c>
      <c r="S1348" s="26">
        <v>12</v>
      </c>
      <c r="T1348" s="26">
        <v>11</v>
      </c>
      <c r="U1348" s="26">
        <v>24</v>
      </c>
      <c r="V1348" s="26">
        <v>1</v>
      </c>
      <c r="W1348" s="26" t="s">
        <v>2076</v>
      </c>
    </row>
    <row r="1349" spans="1:23" x14ac:dyDescent="0.25">
      <c r="A1349" s="26" t="str">
        <f t="shared" si="218"/>
        <v>PRIMARIA</v>
      </c>
      <c r="B1349" s="26" t="str">
        <f>"09DPR2568D"</f>
        <v>09DPR2568D</v>
      </c>
      <c r="C1349" s="26" t="str">
        <f>"FRAY BARTOLOME DE LAS CASAS                                                                         "</f>
        <v xml:space="preserve">FRAY BARTOLOME DE LAS CASAS                                                                         </v>
      </c>
      <c r="D1349" s="26" t="str">
        <f>"VESPERTINO"</f>
        <v>VESPERTINO</v>
      </c>
      <c r="E1349" s="26" t="str">
        <f>"CALLEJON DE STA. MARIA NO. 22                                                   "</f>
        <v xml:space="preserve">CALLEJON DE STA. MARIA NO. 22                                                   </v>
      </c>
      <c r="F1349" s="26" t="str">
        <f>"MAGDALENA ATLAZOLPA                                                                                                                         "</f>
        <v xml:space="preserve">MAGDALENA ATLAZOLPA                                                                                                                         </v>
      </c>
      <c r="G1349" s="26" t="str">
        <f>"IZTAPALAPA                                                                      "</f>
        <v xml:space="preserve">IZTAPALAPA                                                                      </v>
      </c>
      <c r="H1349" s="26" t="str">
        <f>"033"</f>
        <v>033</v>
      </c>
      <c r="I1349" s="26" t="str">
        <f t="shared" si="219"/>
        <v>00</v>
      </c>
      <c r="J1349" s="26" t="str">
        <f>"63 "</f>
        <v xml:space="preserve">63 </v>
      </c>
      <c r="K1349" s="26" t="str">
        <f>"IZ"</f>
        <v>IZ</v>
      </c>
      <c r="L1349" s="26" t="str">
        <f>"DGSEI"</f>
        <v>DGSEI</v>
      </c>
      <c r="M1349" s="26" t="str">
        <f t="shared" si="220"/>
        <v>FEDERAL</v>
      </c>
      <c r="N1349" s="26">
        <v>154</v>
      </c>
      <c r="O1349" s="26">
        <v>86</v>
      </c>
      <c r="P1349" s="26">
        <v>68</v>
      </c>
      <c r="Q1349" s="26">
        <v>14</v>
      </c>
      <c r="R1349" s="26">
        <v>2</v>
      </c>
      <c r="S1349" s="26">
        <v>14</v>
      </c>
      <c r="T1349" s="26">
        <v>8</v>
      </c>
      <c r="U1349" s="26">
        <v>24</v>
      </c>
      <c r="V1349" s="26">
        <v>1</v>
      </c>
      <c r="W1349" s="26"/>
    </row>
    <row r="1350" spans="1:23" x14ac:dyDescent="0.25">
      <c r="A1350" s="26" t="str">
        <f t="shared" si="218"/>
        <v>PRIMARIA</v>
      </c>
      <c r="B1350" s="26" t="str">
        <f>"09DPR2570S"</f>
        <v>09DPR2570S</v>
      </c>
      <c r="C1350" s="26" t="str">
        <f>"REPUBLICA DE YUGOSLAVIA                                                                             "</f>
        <v xml:space="preserve">REPUBLICA DE YUGOSLAVIA                                                                             </v>
      </c>
      <c r="D1350" s="26" t="str">
        <f>"JORNADA AMPLIADA"</f>
        <v>JORNADA AMPLIADA</v>
      </c>
      <c r="E1350" s="26" t="str">
        <f>"SUR 105 Y ORIENTE 30 S/N                                                        "</f>
        <v xml:space="preserve">SUR 105 Y ORIENTE 30 S/N                                                        </v>
      </c>
      <c r="F1350" s="26" t="str">
        <f>"AERONAUTICA MILITAR                                                                                                                         "</f>
        <v xml:space="preserve">AERONAUTICA MILITAR                                                                                                                         </v>
      </c>
      <c r="G1350" s="26" t="str">
        <f>"VENUSTIANO CARRANZA                                                             "</f>
        <v xml:space="preserve">VENUSTIANO CARRANZA                                                             </v>
      </c>
      <c r="H1350" s="26" t="str">
        <f>"424"</f>
        <v>424</v>
      </c>
      <c r="I1350" s="26" t="str">
        <f t="shared" si="219"/>
        <v>00</v>
      </c>
      <c r="J1350" s="26" t="str">
        <f>"44 "</f>
        <v xml:space="preserve">44 </v>
      </c>
      <c r="K1350" s="26" t="str">
        <f t="shared" ref="K1350:K1358" si="221">"PR"</f>
        <v>PR</v>
      </c>
      <c r="L1350" s="26" t="str">
        <f t="shared" ref="L1350:L1358" si="222">"DGOSE"</f>
        <v>DGOSE</v>
      </c>
      <c r="M1350" s="26" t="str">
        <f t="shared" si="220"/>
        <v>FEDERAL</v>
      </c>
      <c r="N1350" s="26">
        <v>423</v>
      </c>
      <c r="O1350" s="26">
        <v>198</v>
      </c>
      <c r="P1350" s="26">
        <v>225</v>
      </c>
      <c r="Q1350" s="26">
        <v>15</v>
      </c>
      <c r="R1350" s="26">
        <v>1</v>
      </c>
      <c r="S1350" s="26">
        <v>15</v>
      </c>
      <c r="T1350" s="26">
        <v>10</v>
      </c>
      <c r="U1350" s="26">
        <v>26</v>
      </c>
      <c r="V1350" s="26">
        <v>1</v>
      </c>
      <c r="W1350" s="26" t="s">
        <v>2076</v>
      </c>
    </row>
    <row r="1351" spans="1:23" x14ac:dyDescent="0.25">
      <c r="A1351" s="26" t="str">
        <f t="shared" si="218"/>
        <v>PRIMARIA</v>
      </c>
      <c r="B1351" s="26" t="str">
        <f>"09DPR2571R"</f>
        <v>09DPR2571R</v>
      </c>
      <c r="C1351" s="26" t="str">
        <f>"CELERINO CANO PALACIO                                                                               "</f>
        <v xml:space="preserve">CELERINO CANO PALACIO                                                                               </v>
      </c>
      <c r="D1351" s="26" t="str">
        <f>"JORNADA AMPLIADA"</f>
        <v>JORNADA AMPLIADA</v>
      </c>
      <c r="E1351" s="26" t="str">
        <f>"RET. 3 FDO IGLESIAS Y CALDERON 38                                               "</f>
        <v xml:space="preserve">RET. 3 FDO IGLESIAS Y CALDERON 38                                               </v>
      </c>
      <c r="F1351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1351" s="26" t="str">
        <f>"VENUSTIANO CARRANZA                                                             "</f>
        <v xml:space="preserve">VENUSTIANO CARRANZA                                                             </v>
      </c>
      <c r="H1351" s="26" t="str">
        <f>"423"</f>
        <v>423</v>
      </c>
      <c r="I1351" s="26" t="str">
        <f t="shared" si="219"/>
        <v>00</v>
      </c>
      <c r="J1351" s="26" t="str">
        <f>"44 "</f>
        <v xml:space="preserve">44 </v>
      </c>
      <c r="K1351" s="26" t="str">
        <f t="shared" si="221"/>
        <v>PR</v>
      </c>
      <c r="L1351" s="26" t="str">
        <f t="shared" si="222"/>
        <v>DGOSE</v>
      </c>
      <c r="M1351" s="26" t="str">
        <f t="shared" si="220"/>
        <v>FEDERAL</v>
      </c>
      <c r="N1351" s="26">
        <v>436</v>
      </c>
      <c r="O1351" s="26">
        <v>219</v>
      </c>
      <c r="P1351" s="26">
        <v>217</v>
      </c>
      <c r="Q1351" s="26">
        <v>14</v>
      </c>
      <c r="R1351" s="26">
        <v>1</v>
      </c>
      <c r="S1351" s="26">
        <v>14</v>
      </c>
      <c r="T1351" s="26">
        <v>12</v>
      </c>
      <c r="U1351" s="26">
        <v>27</v>
      </c>
      <c r="V1351" s="26">
        <v>1</v>
      </c>
      <c r="W1351" s="26" t="s">
        <v>2076</v>
      </c>
    </row>
    <row r="1352" spans="1:23" x14ac:dyDescent="0.25">
      <c r="A1352" s="26" t="str">
        <f t="shared" si="218"/>
        <v>PRIMARIA</v>
      </c>
      <c r="B1352" s="26" t="str">
        <f>"09DPR2574O"</f>
        <v>09DPR2574O</v>
      </c>
      <c r="C1352" s="26" t="str">
        <f>"RAFAEL RAMIREZ CASTAÑEDA                                                                            "</f>
        <v xml:space="preserve">RAFAEL RAMIREZ CASTAÑEDA                                                                            </v>
      </c>
      <c r="D1352" s="26" t="str">
        <f>"MATUTINO"</f>
        <v>MATUTINO</v>
      </c>
      <c r="E1352" s="26" t="str">
        <f>"ALDAMA Y CONCEPCION                                                             "</f>
        <v xml:space="preserve">ALDAMA Y CONCEPCION                                                             </v>
      </c>
      <c r="F1352" s="26" t="str">
        <f>"SANTA CATARINA YECAHUIZOTL PUEBLO                                                                                                           "</f>
        <v xml:space="preserve">SANTA CATARINA YECAHUIZOTL PUEBLO                                                                                                           </v>
      </c>
      <c r="G1352" s="26" t="str">
        <f>"TLAHUAC                                                                         "</f>
        <v xml:space="preserve">TLAHUAC                                                                         </v>
      </c>
      <c r="H1352" s="26" t="str">
        <f>"556"</f>
        <v>556</v>
      </c>
      <c r="I1352" s="26" t="str">
        <f t="shared" si="219"/>
        <v>00</v>
      </c>
      <c r="J1352" s="26" t="str">
        <f>"45 "</f>
        <v xml:space="preserve">45 </v>
      </c>
      <c r="K1352" s="26" t="str">
        <f t="shared" si="221"/>
        <v>PR</v>
      </c>
      <c r="L1352" s="26" t="str">
        <f t="shared" si="222"/>
        <v>DGOSE</v>
      </c>
      <c r="M1352" s="26" t="str">
        <f t="shared" si="220"/>
        <v>FEDERAL</v>
      </c>
      <c r="N1352" s="26">
        <v>755</v>
      </c>
      <c r="O1352" s="26">
        <v>376</v>
      </c>
      <c r="P1352" s="26">
        <v>379</v>
      </c>
      <c r="Q1352" s="26">
        <v>18</v>
      </c>
      <c r="R1352" s="26">
        <v>1</v>
      </c>
      <c r="S1352" s="26">
        <v>18</v>
      </c>
      <c r="T1352" s="26">
        <v>7</v>
      </c>
      <c r="U1352" s="26">
        <v>26</v>
      </c>
      <c r="V1352" s="26">
        <v>1</v>
      </c>
      <c r="W1352" s="26"/>
    </row>
    <row r="1353" spans="1:23" x14ac:dyDescent="0.25">
      <c r="A1353" s="26" t="str">
        <f t="shared" si="218"/>
        <v>PRIMARIA</v>
      </c>
      <c r="B1353" s="26" t="str">
        <f>"09DPR2575N"</f>
        <v>09DPR2575N</v>
      </c>
      <c r="C1353" s="26" t="str">
        <f>"PLAN DE AYALA                                                                                       "</f>
        <v xml:space="preserve">PLAN DE AYALA                                                                                       </v>
      </c>
      <c r="D1353" s="26" t="str">
        <f>"VESPERTINO"</f>
        <v>VESPERTINO</v>
      </c>
      <c r="E1353" s="26" t="str">
        <f>"VICENTE GUERRERO #8                                                             "</f>
        <v xml:space="preserve">VICENTE GUERRERO #8                                                             </v>
      </c>
      <c r="F1353" s="26" t="str">
        <f>"SAN FRANCISCO TLALTENCO                                                                                                                     "</f>
        <v xml:space="preserve">SAN FRANCISCO TLALTENCO                                                                                                                     </v>
      </c>
      <c r="G1353" s="26" t="str">
        <f>"TLAHUAC                                                                         "</f>
        <v xml:space="preserve">TLAHUAC                                                                         </v>
      </c>
      <c r="H1353" s="26" t="str">
        <f>"554"</f>
        <v>554</v>
      </c>
      <c r="I1353" s="26" t="str">
        <f t="shared" si="219"/>
        <v>00</v>
      </c>
      <c r="J1353" s="26" t="str">
        <f>"45 "</f>
        <v xml:space="preserve">45 </v>
      </c>
      <c r="K1353" s="26" t="str">
        <f t="shared" si="221"/>
        <v>PR</v>
      </c>
      <c r="L1353" s="26" t="str">
        <f t="shared" si="222"/>
        <v>DGOSE</v>
      </c>
      <c r="M1353" s="26" t="str">
        <f t="shared" si="220"/>
        <v>FEDERAL</v>
      </c>
      <c r="N1353" s="26">
        <v>312</v>
      </c>
      <c r="O1353" s="26">
        <v>163</v>
      </c>
      <c r="P1353" s="26">
        <v>149</v>
      </c>
      <c r="Q1353" s="26">
        <v>14</v>
      </c>
      <c r="R1353" s="26">
        <v>1</v>
      </c>
      <c r="S1353" s="26">
        <v>14</v>
      </c>
      <c r="T1353" s="26">
        <v>5</v>
      </c>
      <c r="U1353" s="26">
        <v>20</v>
      </c>
      <c r="V1353" s="26">
        <v>1</v>
      </c>
      <c r="W1353" s="26"/>
    </row>
    <row r="1354" spans="1:23" x14ac:dyDescent="0.25">
      <c r="A1354" s="26" t="str">
        <f t="shared" si="218"/>
        <v>PRIMARIA</v>
      </c>
      <c r="B1354" s="26" t="str">
        <f>"09DPR2576M"</f>
        <v>09DPR2576M</v>
      </c>
      <c r="C1354" s="26" t="str">
        <f>"PROFR. URBANO LAVIN ROMAN                                                                           "</f>
        <v xml:space="preserve">PROFR. URBANO LAVIN ROMAN                                                                           </v>
      </c>
      <c r="D1354" s="26" t="str">
        <f>"MATUTINO"</f>
        <v>MATUTINO</v>
      </c>
      <c r="E1354" s="26" t="str">
        <f>"DON GIOVANNI Y NICOLAS CHAMPION S/N                                             "</f>
        <v xml:space="preserve">DON GIOVANNI Y NICOLAS CHAMPION S/N                                             </v>
      </c>
      <c r="F1354" s="26" t="str">
        <f>"MIGUEL HIDALGO                                                                                                                              "</f>
        <v xml:space="preserve">MIGUEL HIDALGO                                                                                                                              </v>
      </c>
      <c r="G1354" s="26" t="str">
        <f>"TLAHUAC                                                                         "</f>
        <v xml:space="preserve">TLAHUAC                                                                         </v>
      </c>
      <c r="H1354" s="26" t="str">
        <f>"548"</f>
        <v>548</v>
      </c>
      <c r="I1354" s="26" t="str">
        <f t="shared" si="219"/>
        <v>00</v>
      </c>
      <c r="J1354" s="26" t="str">
        <f>"45 "</f>
        <v xml:space="preserve">45 </v>
      </c>
      <c r="K1354" s="26" t="str">
        <f t="shared" si="221"/>
        <v>PR</v>
      </c>
      <c r="L1354" s="26" t="str">
        <f t="shared" si="222"/>
        <v>DGOSE</v>
      </c>
      <c r="M1354" s="26" t="str">
        <f t="shared" si="220"/>
        <v>FEDERAL</v>
      </c>
      <c r="N1354" s="26">
        <v>782</v>
      </c>
      <c r="O1354" s="26">
        <v>390</v>
      </c>
      <c r="P1354" s="26">
        <v>392</v>
      </c>
      <c r="Q1354" s="26">
        <v>21</v>
      </c>
      <c r="R1354" s="26">
        <v>1</v>
      </c>
      <c r="S1354" s="26">
        <v>19</v>
      </c>
      <c r="T1354" s="26">
        <v>13</v>
      </c>
      <c r="U1354" s="26">
        <v>33</v>
      </c>
      <c r="V1354" s="26">
        <v>1</v>
      </c>
      <c r="W1354" s="26"/>
    </row>
    <row r="1355" spans="1:23" x14ac:dyDescent="0.25">
      <c r="A1355" s="26" t="str">
        <f t="shared" si="218"/>
        <v>PRIMARIA</v>
      </c>
      <c r="B1355" s="26" t="str">
        <f>"09DPR2577L"</f>
        <v>09DPR2577L</v>
      </c>
      <c r="C1355" s="26" t="str">
        <f>"DR. JAIME TORRES BODET                                                                              "</f>
        <v xml:space="preserve">DR. JAIME TORRES BODET                                                                              </v>
      </c>
      <c r="D1355" s="26" t="str">
        <f>"MATUTINO"</f>
        <v>MATUTINO</v>
      </c>
      <c r="E1355" s="26" t="str">
        <f>"GREGORIO ALLEGRI Y DON GIOVANI S/N                                              "</f>
        <v xml:space="preserve">GREGORIO ALLEGRI Y DON GIOVANI S/N                                              </v>
      </c>
      <c r="F1355" s="26" t="str">
        <f>"SAN MIGUEL ZAPOTITLA                                                                                                                        "</f>
        <v xml:space="preserve">SAN MIGUEL ZAPOTITLA                                                                                                                        </v>
      </c>
      <c r="G1355" s="26" t="str">
        <f>"TLAHUAC                                                                         "</f>
        <v xml:space="preserve">TLAHUAC                                                                         </v>
      </c>
      <c r="H1355" s="26" t="str">
        <f>"548"</f>
        <v>548</v>
      </c>
      <c r="I1355" s="26" t="str">
        <f t="shared" si="219"/>
        <v>00</v>
      </c>
      <c r="J1355" s="26" t="str">
        <f>"45 "</f>
        <v xml:space="preserve">45 </v>
      </c>
      <c r="K1355" s="26" t="str">
        <f t="shared" si="221"/>
        <v>PR</v>
      </c>
      <c r="L1355" s="26" t="str">
        <f t="shared" si="222"/>
        <v>DGOSE</v>
      </c>
      <c r="M1355" s="26" t="str">
        <f t="shared" si="220"/>
        <v>FEDERAL</v>
      </c>
      <c r="N1355" s="26">
        <v>598</v>
      </c>
      <c r="O1355" s="26">
        <v>290</v>
      </c>
      <c r="P1355" s="26">
        <v>308</v>
      </c>
      <c r="Q1355" s="26">
        <v>16</v>
      </c>
      <c r="R1355" s="26">
        <v>1</v>
      </c>
      <c r="S1355" s="26">
        <v>16</v>
      </c>
      <c r="T1355" s="26">
        <v>7</v>
      </c>
      <c r="U1355" s="26">
        <v>24</v>
      </c>
      <c r="V1355" s="26">
        <v>1</v>
      </c>
      <c r="W1355" s="26"/>
    </row>
    <row r="1356" spans="1:23" x14ac:dyDescent="0.25">
      <c r="A1356" s="26" t="str">
        <f t="shared" si="218"/>
        <v>PRIMARIA</v>
      </c>
      <c r="B1356" s="26" t="str">
        <f>"09DPR2580Z"</f>
        <v>09DPR2580Z</v>
      </c>
      <c r="C1356" s="26" t="str">
        <f>"ADAM MICKIEWICZ                                                                                     "</f>
        <v xml:space="preserve">ADAM MICKIEWICZ                                                                                     </v>
      </c>
      <c r="D1356" s="26" t="str">
        <f>"MATUTINO"</f>
        <v>MATUTINO</v>
      </c>
      <c r="E1356" s="26" t="str">
        <f>"AV HIDALGO 5                                                                    "</f>
        <v xml:space="preserve">AV HIDALGO 5                                                                    </v>
      </c>
      <c r="F1356" s="26" t="str">
        <f>"SAN MATEO XALPA                                                                                                                             "</f>
        <v xml:space="preserve">SAN MATEO XALPA                                                                                                                             </v>
      </c>
      <c r="G1356" s="26" t="str">
        <f>"XOCHIMILCO                                                                      "</f>
        <v xml:space="preserve">XOCHIMILCO                                                                      </v>
      </c>
      <c r="H1356" s="26" t="str">
        <f>"539"</f>
        <v>539</v>
      </c>
      <c r="I1356" s="26" t="str">
        <f t="shared" si="219"/>
        <v>00</v>
      </c>
      <c r="J1356" s="26" t="str">
        <f>"45 "</f>
        <v xml:space="preserve">45 </v>
      </c>
      <c r="K1356" s="26" t="str">
        <f t="shared" si="221"/>
        <v>PR</v>
      </c>
      <c r="L1356" s="26" t="str">
        <f t="shared" si="222"/>
        <v>DGOSE</v>
      </c>
      <c r="M1356" s="26" t="str">
        <f t="shared" si="220"/>
        <v>FEDERAL</v>
      </c>
      <c r="N1356" s="26">
        <v>680</v>
      </c>
      <c r="O1356" s="26">
        <v>355</v>
      </c>
      <c r="P1356" s="26">
        <v>325</v>
      </c>
      <c r="Q1356" s="26">
        <v>18</v>
      </c>
      <c r="R1356" s="26">
        <v>0</v>
      </c>
      <c r="S1356" s="26">
        <v>18</v>
      </c>
      <c r="T1356" s="26">
        <v>7</v>
      </c>
      <c r="U1356" s="26">
        <v>25</v>
      </c>
      <c r="V1356" s="26">
        <v>1</v>
      </c>
      <c r="W1356" s="26"/>
    </row>
    <row r="1357" spans="1:23" x14ac:dyDescent="0.25">
      <c r="A1357" s="26" t="str">
        <f t="shared" si="218"/>
        <v>PRIMARIA</v>
      </c>
      <c r="B1357" s="26" t="str">
        <f>"09DPR2582X"</f>
        <v>09DPR2582X</v>
      </c>
      <c r="C1357" s="26" t="str">
        <f>"COYOLXAUHQUI                                                                                        "</f>
        <v xml:space="preserve">COYOLXAUHQUI                                                                                        </v>
      </c>
      <c r="D1357" s="26" t="str">
        <f>"JORNADA AMPLIADA"</f>
        <v>JORNADA AMPLIADA</v>
      </c>
      <c r="E1357" s="26" t="str">
        <f>"CENTRAL S/N                                                                     "</f>
        <v xml:space="preserve">CENTRAL S/N                                                                     </v>
      </c>
      <c r="F1357" s="26" t="str">
        <f>"UNIDAD HABITACIONAL ALIANZA POPULAR                                                                                                         "</f>
        <v xml:space="preserve">UNIDAD HABITACIONAL ALIANZA POPULAR                                                                                                         </v>
      </c>
      <c r="G1357" s="26" t="str">
        <f>"COYOACAN                                                                        "</f>
        <v xml:space="preserve">COYOACAN                                                                        </v>
      </c>
      <c r="H1357" s="26" t="str">
        <f>"443"</f>
        <v>443</v>
      </c>
      <c r="I1357" s="26" t="str">
        <f t="shared" si="219"/>
        <v>00</v>
      </c>
      <c r="J1357" s="26" t="str">
        <f>"44 "</f>
        <v xml:space="preserve">44 </v>
      </c>
      <c r="K1357" s="26" t="str">
        <f t="shared" si="221"/>
        <v>PR</v>
      </c>
      <c r="L1357" s="26" t="str">
        <f t="shared" si="222"/>
        <v>DGOSE</v>
      </c>
      <c r="M1357" s="26" t="str">
        <f t="shared" si="220"/>
        <v>FEDERAL</v>
      </c>
      <c r="N1357" s="26">
        <v>414</v>
      </c>
      <c r="O1357" s="26">
        <v>228</v>
      </c>
      <c r="P1357" s="26">
        <v>186</v>
      </c>
      <c r="Q1357" s="26">
        <v>14</v>
      </c>
      <c r="R1357" s="26">
        <v>1</v>
      </c>
      <c r="S1357" s="26">
        <v>12</v>
      </c>
      <c r="T1357" s="26">
        <v>12</v>
      </c>
      <c r="U1357" s="26">
        <v>25</v>
      </c>
      <c r="V1357" s="26">
        <v>1</v>
      </c>
      <c r="W1357" s="26" t="s">
        <v>2076</v>
      </c>
    </row>
    <row r="1358" spans="1:23" x14ac:dyDescent="0.25">
      <c r="A1358" s="26" t="str">
        <f t="shared" si="218"/>
        <v>PRIMARIA</v>
      </c>
      <c r="B1358" s="26" t="str">
        <f>"09DPR2584V"</f>
        <v>09DPR2584V</v>
      </c>
      <c r="C1358" s="26" t="str">
        <f>"MTRO. MIGUEL A. QUINTANA                                                                            "</f>
        <v xml:space="preserve">MTRO. MIGUEL A. QUINTANA                                                                            </v>
      </c>
      <c r="D1358" s="26" t="str">
        <f>"MATUTINO"</f>
        <v>MATUTINO</v>
      </c>
      <c r="E1358" s="26" t="str">
        <f>"BONAO NO. 88                                                                    "</f>
        <v xml:space="preserve">BONAO NO. 88                                                                    </v>
      </c>
      <c r="F1358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1358" s="26" t="str">
        <f>"GUSTAVO A. MADERO                                                               "</f>
        <v xml:space="preserve">GUSTAVO A. MADERO                                                               </v>
      </c>
      <c r="H1358" s="26" t="str">
        <f>"242"</f>
        <v>242</v>
      </c>
      <c r="I1358" s="26" t="str">
        <f t="shared" si="219"/>
        <v>00</v>
      </c>
      <c r="J1358" s="26" t="str">
        <f>"42 "</f>
        <v xml:space="preserve">42 </v>
      </c>
      <c r="K1358" s="26" t="str">
        <f t="shared" si="221"/>
        <v>PR</v>
      </c>
      <c r="L1358" s="26" t="str">
        <f t="shared" si="222"/>
        <v>DGOSE</v>
      </c>
      <c r="M1358" s="26" t="str">
        <f t="shared" si="220"/>
        <v>FEDERAL</v>
      </c>
      <c r="N1358" s="26">
        <v>403</v>
      </c>
      <c r="O1358" s="26">
        <v>194</v>
      </c>
      <c r="P1358" s="26">
        <v>209</v>
      </c>
      <c r="Q1358" s="26">
        <v>15</v>
      </c>
      <c r="R1358" s="26">
        <v>1</v>
      </c>
      <c r="S1358" s="26">
        <v>15</v>
      </c>
      <c r="T1358" s="26">
        <v>10</v>
      </c>
      <c r="U1358" s="26">
        <v>26</v>
      </c>
      <c r="V1358" s="26">
        <v>1</v>
      </c>
      <c r="W1358" s="26"/>
    </row>
    <row r="1359" spans="1:23" x14ac:dyDescent="0.25">
      <c r="A1359" s="26" t="str">
        <f t="shared" si="218"/>
        <v>PRIMARIA</v>
      </c>
      <c r="B1359" s="26" t="str">
        <f>"09DPR2585U"</f>
        <v>09DPR2585U</v>
      </c>
      <c r="C1359" s="26" t="str">
        <f>"LUIS PASTEUR                                                                                        "</f>
        <v xml:space="preserve">LUIS PASTEUR                                                                                        </v>
      </c>
      <c r="D1359" s="26" t="str">
        <f>"MATUTINO"</f>
        <v>MATUTINO</v>
      </c>
      <c r="E1359" s="26" t="str">
        <f>"AV. TEXCOCO S/N Y AV. SENTIMIENTO A LA NACION                                   "</f>
        <v xml:space="preserve">AV. TEXCOCO S/N Y AV. SENTIMIENTO A LA NACION                                   </v>
      </c>
      <c r="F1359" s="26" t="str">
        <f>"LA COLMENA                                                                                                                                  "</f>
        <v xml:space="preserve">LA COLMENA                                                                                                                                  </v>
      </c>
      <c r="G1359" s="26" t="str">
        <f>"IZTAPALAPA                                                                      "</f>
        <v xml:space="preserve">IZTAPALAPA                                                                      </v>
      </c>
      <c r="H1359" s="26" t="str">
        <f>"031"</f>
        <v>031</v>
      </c>
      <c r="I1359" s="26" t="str">
        <f t="shared" si="219"/>
        <v>00</v>
      </c>
      <c r="J1359" s="26" t="str">
        <f>"62 "</f>
        <v xml:space="preserve">62 </v>
      </c>
      <c r="K1359" s="26" t="str">
        <f>"IZ"</f>
        <v>IZ</v>
      </c>
      <c r="L1359" s="26" t="str">
        <f>"DGSEI"</f>
        <v>DGSEI</v>
      </c>
      <c r="M1359" s="26" t="str">
        <f t="shared" si="220"/>
        <v>FEDERAL</v>
      </c>
      <c r="N1359" s="26">
        <v>392</v>
      </c>
      <c r="O1359" s="26">
        <v>189</v>
      </c>
      <c r="P1359" s="26">
        <v>203</v>
      </c>
      <c r="Q1359" s="26">
        <v>12</v>
      </c>
      <c r="R1359" s="26">
        <v>0</v>
      </c>
      <c r="S1359" s="26">
        <v>12</v>
      </c>
      <c r="T1359" s="26">
        <v>4</v>
      </c>
      <c r="U1359" s="26">
        <v>16</v>
      </c>
      <c r="V1359" s="26">
        <v>1</v>
      </c>
      <c r="W1359" s="26"/>
    </row>
    <row r="1360" spans="1:23" x14ac:dyDescent="0.25">
      <c r="A1360" s="26" t="str">
        <f t="shared" si="218"/>
        <v>PRIMARIA</v>
      </c>
      <c r="B1360" s="26" t="str">
        <f>"09DPR2587S"</f>
        <v>09DPR2587S</v>
      </c>
      <c r="C1360" s="26" t="str">
        <f>"LIC. JOSE LOPEZ PORTILLO Y ROJAS                                                                    "</f>
        <v xml:space="preserve">LIC. JOSE LOPEZ PORTILLO Y ROJAS                                                                    </v>
      </c>
      <c r="D1360" s="26" t="str">
        <f>"MATUTINO"</f>
        <v>MATUTINO</v>
      </c>
      <c r="E1360" s="26" t="str">
        <f>"JOSE  MOJICA S/N                                                                "</f>
        <v xml:space="preserve">JOSE  MOJICA S/N                                                                </v>
      </c>
      <c r="F1360" s="26" t="str">
        <f>"LA FORESTAL                                                                                                                                 "</f>
        <v xml:space="preserve">LA FORESTAL                                                                                                                                 </v>
      </c>
      <c r="G1360" s="26" t="str">
        <f>"GUSTAVO A. MADERO                                                               "</f>
        <v xml:space="preserve">GUSTAVO A. MADERO                                                               </v>
      </c>
      <c r="H1360" s="26" t="str">
        <f>"228"</f>
        <v>228</v>
      </c>
      <c r="I1360" s="26" t="str">
        <f t="shared" si="219"/>
        <v>00</v>
      </c>
      <c r="J1360" s="26" t="str">
        <f>"42 "</f>
        <v xml:space="preserve">42 </v>
      </c>
      <c r="K1360" s="26" t="str">
        <f>"PR"</f>
        <v>PR</v>
      </c>
      <c r="L1360" s="26" t="str">
        <f>"DGOSE"</f>
        <v>DGOSE</v>
      </c>
      <c r="M1360" s="26" t="str">
        <f t="shared" si="220"/>
        <v>FEDERAL</v>
      </c>
      <c r="N1360" s="26">
        <v>662</v>
      </c>
      <c r="O1360" s="26">
        <v>320</v>
      </c>
      <c r="P1360" s="26">
        <v>342</v>
      </c>
      <c r="Q1360" s="26">
        <v>18</v>
      </c>
      <c r="R1360" s="26">
        <v>1</v>
      </c>
      <c r="S1360" s="26">
        <v>18</v>
      </c>
      <c r="T1360" s="26">
        <v>9</v>
      </c>
      <c r="U1360" s="26">
        <v>28</v>
      </c>
      <c r="V1360" s="26">
        <v>1</v>
      </c>
      <c r="W1360" s="26"/>
    </row>
    <row r="1361" spans="1:23" x14ac:dyDescent="0.25">
      <c r="A1361" s="26" t="str">
        <f t="shared" si="218"/>
        <v>PRIMARIA</v>
      </c>
      <c r="B1361" s="26" t="str">
        <f>"09DPR2588R"</f>
        <v>09DPR2588R</v>
      </c>
      <c r="C1361" s="26" t="str">
        <f>"LIC. JOSE LOPEZ PORTILLO Y ROJAS                                                                    "</f>
        <v xml:space="preserve">LIC. JOSE LOPEZ PORTILLO Y ROJAS                                                                    </v>
      </c>
      <c r="D1361" s="26" t="str">
        <f>"VESPERTINO"</f>
        <v>VESPERTINO</v>
      </c>
      <c r="E1361" s="26" t="str">
        <f>"JOSE MOJICA S/N                                                                 "</f>
        <v xml:space="preserve">JOSE MOJICA S/N                                                                 </v>
      </c>
      <c r="F1361" s="26" t="str">
        <f>"LA FORESTAL                                                                                                                                 "</f>
        <v xml:space="preserve">LA FORESTAL                                                                                                                                 </v>
      </c>
      <c r="G1361" s="26" t="str">
        <f>"GUSTAVO A. MADERO                                                               "</f>
        <v xml:space="preserve">GUSTAVO A. MADERO                                                               </v>
      </c>
      <c r="H1361" s="26" t="str">
        <f>"228"</f>
        <v>228</v>
      </c>
      <c r="I1361" s="26" t="str">
        <f t="shared" si="219"/>
        <v>00</v>
      </c>
      <c r="J1361" s="26" t="str">
        <f>"42 "</f>
        <v xml:space="preserve">42 </v>
      </c>
      <c r="K1361" s="26" t="str">
        <f>"PR"</f>
        <v>PR</v>
      </c>
      <c r="L1361" s="26" t="str">
        <f>"DGOSE"</f>
        <v>DGOSE</v>
      </c>
      <c r="M1361" s="26" t="str">
        <f t="shared" si="220"/>
        <v>FEDERAL</v>
      </c>
      <c r="N1361" s="26">
        <v>595</v>
      </c>
      <c r="O1361" s="26">
        <v>281</v>
      </c>
      <c r="P1361" s="26">
        <v>314</v>
      </c>
      <c r="Q1361" s="26">
        <v>18</v>
      </c>
      <c r="R1361" s="26">
        <v>1</v>
      </c>
      <c r="S1361" s="26">
        <v>18</v>
      </c>
      <c r="T1361" s="26">
        <v>11</v>
      </c>
      <c r="U1361" s="26">
        <v>30</v>
      </c>
      <c r="V1361" s="26">
        <v>1</v>
      </c>
      <c r="W1361" s="26"/>
    </row>
    <row r="1362" spans="1:23" x14ac:dyDescent="0.25">
      <c r="A1362" s="26" t="str">
        <f t="shared" si="218"/>
        <v>PRIMARIA</v>
      </c>
      <c r="B1362" s="26" t="str">
        <f>"09DPR2592D"</f>
        <v>09DPR2592D</v>
      </c>
      <c r="C1362" s="26" t="str">
        <f>"EDUCACION PARA TODOS                                                                                "</f>
        <v xml:space="preserve">EDUCACION PARA TODOS                                                                                </v>
      </c>
      <c r="D1362" s="26" t="str">
        <f>"MATUTINO"</f>
        <v>MATUTINO</v>
      </c>
      <c r="E1362" s="26" t="str">
        <f>"ARTURO CASTRO Y V. FABREGAS S. N                                                "</f>
        <v xml:space="preserve">ARTURO CASTRO Y V. FABREGAS S. N                                                </v>
      </c>
      <c r="F1362" s="26" t="str">
        <f>"JORGE NEGRETE                                                                                                                               "</f>
        <v xml:space="preserve">JORGE NEGRETE                                                                                                                               </v>
      </c>
      <c r="G1362" s="26" t="str">
        <f>"GUSTAVO A. MADERO                                                               "</f>
        <v xml:space="preserve">GUSTAVO A. MADERO                                                               </v>
      </c>
      <c r="H1362" s="26" t="str">
        <f>"235"</f>
        <v>235</v>
      </c>
      <c r="I1362" s="26" t="str">
        <f t="shared" si="219"/>
        <v>00</v>
      </c>
      <c r="J1362" s="26" t="str">
        <f>"42 "</f>
        <v xml:space="preserve">42 </v>
      </c>
      <c r="K1362" s="26" t="str">
        <f>"PR"</f>
        <v>PR</v>
      </c>
      <c r="L1362" s="26" t="str">
        <f>"DGOSE"</f>
        <v>DGOSE</v>
      </c>
      <c r="M1362" s="26" t="str">
        <f t="shared" si="220"/>
        <v>FEDERAL</v>
      </c>
      <c r="N1362" s="26">
        <v>435</v>
      </c>
      <c r="O1362" s="26">
        <v>213</v>
      </c>
      <c r="P1362" s="26">
        <v>222</v>
      </c>
      <c r="Q1362" s="26">
        <v>16</v>
      </c>
      <c r="R1362" s="26">
        <v>1</v>
      </c>
      <c r="S1362" s="26">
        <v>15</v>
      </c>
      <c r="T1362" s="26">
        <v>8</v>
      </c>
      <c r="U1362" s="26">
        <v>24</v>
      </c>
      <c r="V1362" s="26">
        <v>1</v>
      </c>
      <c r="W1362" s="26"/>
    </row>
    <row r="1363" spans="1:23" x14ac:dyDescent="0.25">
      <c r="A1363" s="26" t="str">
        <f t="shared" si="218"/>
        <v>PRIMARIA</v>
      </c>
      <c r="B1363" s="26" t="str">
        <f>"09DPR2594B"</f>
        <v>09DPR2594B</v>
      </c>
      <c r="C1363" s="26" t="str">
        <f>"PROFR. SALVADOR VARELA RESENDIZ                                                                     "</f>
        <v xml:space="preserve">PROFR. SALVADOR VARELA RESENDIZ                                                                     </v>
      </c>
      <c r="D1363" s="26" t="str">
        <f>"MATUTINO"</f>
        <v>MATUTINO</v>
      </c>
      <c r="E1363" s="26" t="str">
        <f>"HIDROGENO No. 1                                                                 "</f>
        <v xml:space="preserve">HIDROGENO No. 1                                                                 </v>
      </c>
      <c r="F1363" s="26" t="str">
        <f>"UNIDAD INFONAVIT EL ROSARIO                                                                                                                 "</f>
        <v xml:space="preserve">UNIDAD INFONAVIT EL ROSARIO                                                                                                                 </v>
      </c>
      <c r="G1363" s="26" t="str">
        <f>"AZCAPOTZALCO                                                                    "</f>
        <v xml:space="preserve">AZCAPOTZALCO                                                                    </v>
      </c>
      <c r="H1363" s="26" t="str">
        <f>"200"</f>
        <v>200</v>
      </c>
      <c r="I1363" s="26" t="str">
        <f t="shared" si="219"/>
        <v>00</v>
      </c>
      <c r="J1363" s="26" t="str">
        <f>"42 "</f>
        <v xml:space="preserve">42 </v>
      </c>
      <c r="K1363" s="26" t="str">
        <f>"PR"</f>
        <v>PR</v>
      </c>
      <c r="L1363" s="26" t="str">
        <f>"DGOSE"</f>
        <v>DGOSE</v>
      </c>
      <c r="M1363" s="26" t="str">
        <f t="shared" si="220"/>
        <v>FEDERAL</v>
      </c>
      <c r="N1363" s="26">
        <v>409</v>
      </c>
      <c r="O1363" s="26">
        <v>226</v>
      </c>
      <c r="P1363" s="26">
        <v>183</v>
      </c>
      <c r="Q1363" s="26">
        <v>33</v>
      </c>
      <c r="R1363" s="26">
        <v>2</v>
      </c>
      <c r="S1363" s="26">
        <v>33</v>
      </c>
      <c r="T1363" s="26">
        <v>16</v>
      </c>
      <c r="U1363" s="26">
        <v>51</v>
      </c>
      <c r="V1363" s="26">
        <v>1</v>
      </c>
      <c r="W1363" s="26"/>
    </row>
    <row r="1364" spans="1:23" x14ac:dyDescent="0.25">
      <c r="A1364" s="26" t="str">
        <f t="shared" si="218"/>
        <v>PRIMARIA</v>
      </c>
      <c r="B1364" s="26" t="str">
        <f>"09DPR2597Z"</f>
        <v>09DPR2597Z</v>
      </c>
      <c r="C1364" s="26" t="str">
        <f>"PLAN DE IGUALA                                                                                      "</f>
        <v xml:space="preserve">PLAN DE IGUALA                                                                                      </v>
      </c>
      <c r="D1364" s="26" t="str">
        <f>"TIEMPO COMPLETO"</f>
        <v>TIEMPO COMPLETO</v>
      </c>
      <c r="E1364" s="26" t="str">
        <f>"MANUEL CUEVAS SUPER MANZANA 1 S/N.                                              "</f>
        <v xml:space="preserve">MANUEL CUEVAS SUPER MANZANA 1 S/N.                                              </v>
      </c>
      <c r="F1364" s="26" t="str">
        <f>"UNIDAD HABITACIONAL VICENTE GUERRER                                                                                                         "</f>
        <v xml:space="preserve">UNIDAD HABITACIONAL VICENTE GUERRER                                                                                                         </v>
      </c>
      <c r="G1364" s="26" t="str">
        <f>"IZTAPALAPA                                                                      "</f>
        <v xml:space="preserve">IZTAPALAPA                                                                      </v>
      </c>
      <c r="H1364" s="26" t="str">
        <f>"007"</f>
        <v>007</v>
      </c>
      <c r="I1364" s="26" t="str">
        <f t="shared" si="219"/>
        <v>00</v>
      </c>
      <c r="J1364" s="26" t="str">
        <f>"61 "</f>
        <v xml:space="preserve">61 </v>
      </c>
      <c r="K1364" s="26" t="str">
        <f>"IZ"</f>
        <v>IZ</v>
      </c>
      <c r="L1364" s="26" t="str">
        <f>"DGSEI"</f>
        <v>DGSEI</v>
      </c>
      <c r="M1364" s="26" t="str">
        <f t="shared" si="220"/>
        <v>FEDERAL</v>
      </c>
      <c r="N1364" s="26">
        <v>449</v>
      </c>
      <c r="O1364" s="26">
        <v>230</v>
      </c>
      <c r="P1364" s="26">
        <v>219</v>
      </c>
      <c r="Q1364" s="26">
        <v>14</v>
      </c>
      <c r="R1364" s="26">
        <v>1</v>
      </c>
      <c r="S1364" s="26">
        <v>11</v>
      </c>
      <c r="T1364" s="26">
        <v>11</v>
      </c>
      <c r="U1364" s="26">
        <v>23</v>
      </c>
      <c r="V1364" s="26">
        <v>1</v>
      </c>
      <c r="W1364" s="26" t="s">
        <v>218</v>
      </c>
    </row>
    <row r="1365" spans="1:23" x14ac:dyDescent="0.25">
      <c r="A1365" s="26" t="str">
        <f t="shared" si="218"/>
        <v>PRIMARIA</v>
      </c>
      <c r="B1365" s="26" t="str">
        <f>"09DPR2600W"</f>
        <v>09DPR2600W</v>
      </c>
      <c r="C1365" s="26" t="str">
        <f>"JUAN JOSE MARTINEZ                                                                                  "</f>
        <v xml:space="preserve">JUAN JOSE MARTINEZ                                                                                  </v>
      </c>
      <c r="D1365" s="26" t="str">
        <f>"JORNADA AMPLIADA"</f>
        <v>JORNADA AMPLIADA</v>
      </c>
      <c r="E1365" s="26" t="str">
        <f>"SUR 183 # 1701                                                                  "</f>
        <v xml:space="preserve">SUR 183 # 1701                                                                  </v>
      </c>
      <c r="F1365" s="26" t="str">
        <f>"GABRIEL RAMOS MILLAN                                                                                                                        "</f>
        <v xml:space="preserve">GABRIEL RAMOS MILLAN                                                                                                                        </v>
      </c>
      <c r="G1365" s="26" t="str">
        <f>"IZTACALCO                                                                       "</f>
        <v xml:space="preserve">IZTACALCO                                                                       </v>
      </c>
      <c r="H1365" s="26" t="str">
        <f>"428"</f>
        <v>428</v>
      </c>
      <c r="I1365" s="26" t="str">
        <f t="shared" si="219"/>
        <v>00</v>
      </c>
      <c r="J1365" s="26" t="str">
        <f>"44 "</f>
        <v xml:space="preserve">44 </v>
      </c>
      <c r="K1365" s="26" t="str">
        <f>"PR"</f>
        <v>PR</v>
      </c>
      <c r="L1365" s="26" t="str">
        <f>"DGOSE"</f>
        <v>DGOSE</v>
      </c>
      <c r="M1365" s="26" t="str">
        <f t="shared" si="220"/>
        <v>FEDERAL</v>
      </c>
      <c r="N1365" s="26">
        <v>199</v>
      </c>
      <c r="O1365" s="26">
        <v>119</v>
      </c>
      <c r="P1365" s="26">
        <v>80</v>
      </c>
      <c r="Q1365" s="26">
        <v>7</v>
      </c>
      <c r="R1365" s="26">
        <v>1</v>
      </c>
      <c r="S1365" s="26">
        <v>7</v>
      </c>
      <c r="T1365" s="26">
        <v>8</v>
      </c>
      <c r="U1365" s="26">
        <v>16</v>
      </c>
      <c r="V1365" s="26">
        <v>1</v>
      </c>
      <c r="W1365" s="26" t="s">
        <v>2076</v>
      </c>
    </row>
    <row r="1366" spans="1:23" x14ac:dyDescent="0.25">
      <c r="A1366" s="26" t="str">
        <f t="shared" si="218"/>
        <v>PRIMARIA</v>
      </c>
      <c r="B1366" s="26" t="str">
        <f>"09DPR2605R"</f>
        <v>09DPR2605R</v>
      </c>
      <c r="C1366" s="26" t="str">
        <f>"VICENTE GUERRERO                                                                                    "</f>
        <v xml:space="preserve">VICENTE GUERRERO                                                                                    </v>
      </c>
      <c r="D1366" s="26" t="str">
        <f>"VESPERTINO"</f>
        <v>VESPERTINO</v>
      </c>
      <c r="E1366" s="26" t="str">
        <f>"SUPER MANZANA 4 S/N.                                                            "</f>
        <v xml:space="preserve">SUPER MANZANA 4 S/N.                                                            </v>
      </c>
      <c r="F1366" s="26" t="str">
        <f>"UNIDAD HABITACIONAL VICENTE GUERRER                                                                                                         "</f>
        <v xml:space="preserve">UNIDAD HABITACIONAL VICENTE GUERRER                                                                                                         </v>
      </c>
      <c r="G1366" s="26" t="str">
        <f>"IZTAPALAPA                                                                      "</f>
        <v xml:space="preserve">IZTAPALAPA                                                                      </v>
      </c>
      <c r="H1366" s="26" t="str">
        <f>"016"</f>
        <v>016</v>
      </c>
      <c r="I1366" s="26" t="str">
        <f t="shared" si="219"/>
        <v>00</v>
      </c>
      <c r="J1366" s="26" t="str">
        <f>"62 "</f>
        <v xml:space="preserve">62 </v>
      </c>
      <c r="K1366" s="26" t="str">
        <f>"IZ"</f>
        <v>IZ</v>
      </c>
      <c r="L1366" s="26" t="str">
        <f>"DGSEI"</f>
        <v>DGSEI</v>
      </c>
      <c r="M1366" s="26" t="str">
        <f t="shared" si="220"/>
        <v>FEDERAL</v>
      </c>
      <c r="N1366" s="26">
        <v>268</v>
      </c>
      <c r="O1366" s="26">
        <v>141</v>
      </c>
      <c r="P1366" s="26">
        <v>127</v>
      </c>
      <c r="Q1366" s="26">
        <v>12</v>
      </c>
      <c r="R1366" s="26">
        <v>1</v>
      </c>
      <c r="S1366" s="26">
        <v>12</v>
      </c>
      <c r="T1366" s="26">
        <v>5</v>
      </c>
      <c r="U1366" s="26">
        <v>18</v>
      </c>
      <c r="V1366" s="26">
        <v>1</v>
      </c>
      <c r="W1366" s="26"/>
    </row>
    <row r="1367" spans="1:23" x14ac:dyDescent="0.25">
      <c r="A1367" s="26" t="str">
        <f t="shared" si="218"/>
        <v>PRIMARIA</v>
      </c>
      <c r="B1367" s="26" t="str">
        <f>"09DPR2606Q"</f>
        <v>09DPR2606Q</v>
      </c>
      <c r="C1367" s="26" t="str">
        <f>"IGNACIO GONZALEZ GUZMAN                                                                             "</f>
        <v xml:space="preserve">IGNACIO GONZALEZ GUZMAN                                                                             </v>
      </c>
      <c r="D1367" s="26" t="str">
        <f>"JORNADA AMPLIADA"</f>
        <v>JORNADA AMPLIADA</v>
      </c>
      <c r="E1367" s="26" t="str">
        <f>"SUPER MANZANA 5                                                                 "</f>
        <v xml:space="preserve">SUPER MANZANA 5                                                                 </v>
      </c>
      <c r="F1367" s="26" t="str">
        <f>"UNIDAD HABITACIONAL VICENTE GUERRER                                                                                                         "</f>
        <v xml:space="preserve">UNIDAD HABITACIONAL VICENTE GUERRER                                                                                                         </v>
      </c>
      <c r="G1367" s="26" t="str">
        <f>"IZTAPALAPA                                                                      "</f>
        <v xml:space="preserve">IZTAPALAPA                                                                      </v>
      </c>
      <c r="H1367" s="26" t="str">
        <f>"010"</f>
        <v>010</v>
      </c>
      <c r="I1367" s="26" t="str">
        <f t="shared" si="219"/>
        <v>00</v>
      </c>
      <c r="J1367" s="26" t="str">
        <f>"61 "</f>
        <v xml:space="preserve">61 </v>
      </c>
      <c r="K1367" s="26" t="str">
        <f>"IZ"</f>
        <v>IZ</v>
      </c>
      <c r="L1367" s="26" t="str">
        <f>"DGSEI"</f>
        <v>DGSEI</v>
      </c>
      <c r="M1367" s="26" t="str">
        <f t="shared" si="220"/>
        <v>FEDERAL</v>
      </c>
      <c r="N1367" s="26">
        <v>399</v>
      </c>
      <c r="O1367" s="26">
        <v>198</v>
      </c>
      <c r="P1367" s="26">
        <v>201</v>
      </c>
      <c r="Q1367" s="26">
        <v>12</v>
      </c>
      <c r="R1367" s="26">
        <v>1</v>
      </c>
      <c r="S1367" s="26">
        <v>12</v>
      </c>
      <c r="T1367" s="26">
        <v>8</v>
      </c>
      <c r="U1367" s="26">
        <v>21</v>
      </c>
      <c r="V1367" s="26">
        <v>1</v>
      </c>
      <c r="W1367" s="26" t="s">
        <v>2076</v>
      </c>
    </row>
    <row r="1368" spans="1:23" x14ac:dyDescent="0.25">
      <c r="A1368" s="26" t="str">
        <f t="shared" si="218"/>
        <v>PRIMARIA</v>
      </c>
      <c r="B1368" s="26" t="str">
        <f>"09DPR2608O"</f>
        <v>09DPR2608O</v>
      </c>
      <c r="C1368" s="26" t="str">
        <f>"ROBERTO KOCH                                                                                        "</f>
        <v xml:space="preserve">ROBERTO KOCH                                                                                        </v>
      </c>
      <c r="D1368" s="26" t="str">
        <f>"MATUTINO"</f>
        <v>MATUTINO</v>
      </c>
      <c r="E1368" s="26" t="str">
        <f>"SEGUNDO CALLEJON DE ROBERTO KOCH No 35                                          "</f>
        <v xml:space="preserve">SEGUNDO CALLEJON DE ROBERTO KOCH No 35                                          </v>
      </c>
      <c r="F1368" s="26" t="str">
        <f>"JUVENTINO ROSAS                                                                                                                             "</f>
        <v xml:space="preserve">JUVENTINO ROSAS                                                                                                                             </v>
      </c>
      <c r="G1368" s="26" t="str">
        <f>"IZTACALCO                                                                       "</f>
        <v xml:space="preserve">IZTACALCO                                                                       </v>
      </c>
      <c r="H1368" s="26" t="str">
        <f>"360"</f>
        <v>360</v>
      </c>
      <c r="I1368" s="26" t="str">
        <f t="shared" si="219"/>
        <v>00</v>
      </c>
      <c r="J1368" s="26" t="str">
        <f>"43 "</f>
        <v xml:space="preserve">43 </v>
      </c>
      <c r="K1368" s="26" t="str">
        <f t="shared" ref="K1368:K1378" si="223">"PR"</f>
        <v>PR</v>
      </c>
      <c r="L1368" s="26" t="str">
        <f t="shared" ref="L1368:L1378" si="224">"DGOSE"</f>
        <v>DGOSE</v>
      </c>
      <c r="M1368" s="26" t="str">
        <f t="shared" si="220"/>
        <v>FEDERAL</v>
      </c>
      <c r="N1368" s="26">
        <v>260</v>
      </c>
      <c r="O1368" s="26">
        <v>117</v>
      </c>
      <c r="P1368" s="26">
        <v>143</v>
      </c>
      <c r="Q1368" s="26">
        <v>9</v>
      </c>
      <c r="R1368" s="26">
        <v>1</v>
      </c>
      <c r="S1368" s="26">
        <v>9</v>
      </c>
      <c r="T1368" s="26">
        <v>5</v>
      </c>
      <c r="U1368" s="26">
        <v>15</v>
      </c>
      <c r="V1368" s="26">
        <v>1</v>
      </c>
      <c r="W1368" s="26"/>
    </row>
    <row r="1369" spans="1:23" x14ac:dyDescent="0.25">
      <c r="A1369" s="26" t="str">
        <f t="shared" si="218"/>
        <v>PRIMARIA</v>
      </c>
      <c r="B1369" s="26" t="str">
        <f>"09DPR2610C"</f>
        <v>09DPR2610C</v>
      </c>
      <c r="C1369" s="26" t="str">
        <f>"DR. EDUARDO R. CORONEL                                                                              "</f>
        <v xml:space="preserve">DR. EDUARDO R. CORONEL                                                                              </v>
      </c>
      <c r="D1369" s="26" t="str">
        <f>"JORNADA AMPLIADA"</f>
        <v>JORNADA AMPLIADA</v>
      </c>
      <c r="E1369" s="26" t="str">
        <f>"AV SUR 12 NUM 145                                                               "</f>
        <v xml:space="preserve">AV SUR 12 NUM 145                                                               </v>
      </c>
      <c r="F1369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1369" s="26" t="str">
        <f>"IZTACALCO                                                                       "</f>
        <v xml:space="preserve">IZTACALCO                                                                       </v>
      </c>
      <c r="H1369" s="26" t="str">
        <f>"428"</f>
        <v>428</v>
      </c>
      <c r="I1369" s="26" t="str">
        <f t="shared" si="219"/>
        <v>00</v>
      </c>
      <c r="J1369" s="26" t="str">
        <f>"44 "</f>
        <v xml:space="preserve">44 </v>
      </c>
      <c r="K1369" s="26" t="str">
        <f t="shared" si="223"/>
        <v>PR</v>
      </c>
      <c r="L1369" s="26" t="str">
        <f t="shared" si="224"/>
        <v>DGOSE</v>
      </c>
      <c r="M1369" s="26" t="str">
        <f t="shared" si="220"/>
        <v>FEDERAL</v>
      </c>
      <c r="N1369" s="26">
        <v>356</v>
      </c>
      <c r="O1369" s="26">
        <v>185</v>
      </c>
      <c r="P1369" s="26">
        <v>171</v>
      </c>
      <c r="Q1369" s="26">
        <v>12</v>
      </c>
      <c r="R1369" s="26">
        <v>1</v>
      </c>
      <c r="S1369" s="26">
        <v>12</v>
      </c>
      <c r="T1369" s="26">
        <v>11</v>
      </c>
      <c r="U1369" s="26">
        <v>24</v>
      </c>
      <c r="V1369" s="26">
        <v>1</v>
      </c>
      <c r="W1369" s="26" t="s">
        <v>2076</v>
      </c>
    </row>
    <row r="1370" spans="1:23" x14ac:dyDescent="0.25">
      <c r="A1370" s="26" t="str">
        <f t="shared" si="218"/>
        <v>PRIMARIA</v>
      </c>
      <c r="B1370" s="26" t="str">
        <f>"09DPR2611B"</f>
        <v>09DPR2611B</v>
      </c>
      <c r="C1370" s="26" t="str">
        <f>"TECAYEHUATZIN                                                                                       "</f>
        <v xml:space="preserve">TECAYEHUATZIN                                                                                       </v>
      </c>
      <c r="D1370" s="26" t="str">
        <f>"JORNADA AMPLIADA"</f>
        <v>JORNADA AMPLIADA</v>
      </c>
      <c r="E1370" s="26" t="str">
        <f>"CAHITAS Y SERIS S/N ZONA 2 INFONAVIT                                            "</f>
        <v xml:space="preserve">CAHITAS Y SERIS S/N ZONA 2 INFONAVIT                                            </v>
      </c>
      <c r="F1370" s="26" t="str">
        <f>"SAN FRANCISCO CULHUACAN                                                                                                                     "</f>
        <v xml:space="preserve">SAN FRANCISCO CULHUACAN                                                                                                                     </v>
      </c>
      <c r="G1370" s="26" t="str">
        <f>"COYOACAN                                                                        "</f>
        <v xml:space="preserve">COYOACAN                                                                        </v>
      </c>
      <c r="H1370" s="26" t="str">
        <f>"439"</f>
        <v>439</v>
      </c>
      <c r="I1370" s="26" t="str">
        <f t="shared" si="219"/>
        <v>00</v>
      </c>
      <c r="J1370" s="26" t="str">
        <f>"44 "</f>
        <v xml:space="preserve">44 </v>
      </c>
      <c r="K1370" s="26" t="str">
        <f t="shared" si="223"/>
        <v>PR</v>
      </c>
      <c r="L1370" s="26" t="str">
        <f t="shared" si="224"/>
        <v>DGOSE</v>
      </c>
      <c r="M1370" s="26" t="str">
        <f t="shared" si="220"/>
        <v>FEDERAL</v>
      </c>
      <c r="N1370" s="26">
        <v>355</v>
      </c>
      <c r="O1370" s="26">
        <v>175</v>
      </c>
      <c r="P1370" s="26">
        <v>180</v>
      </c>
      <c r="Q1370" s="26">
        <v>12</v>
      </c>
      <c r="R1370" s="26">
        <v>1</v>
      </c>
      <c r="S1370" s="26">
        <v>11</v>
      </c>
      <c r="T1370" s="26">
        <v>15</v>
      </c>
      <c r="U1370" s="26">
        <v>27</v>
      </c>
      <c r="V1370" s="26">
        <v>1</v>
      </c>
      <c r="W1370" s="26" t="s">
        <v>2076</v>
      </c>
    </row>
    <row r="1371" spans="1:23" x14ac:dyDescent="0.25">
      <c r="A1371" s="26" t="str">
        <f t="shared" si="218"/>
        <v>PRIMARIA</v>
      </c>
      <c r="B1371" s="26" t="str">
        <f>"09DPR2617W"</f>
        <v>09DPR2617W</v>
      </c>
      <c r="C1371" s="26" t="str">
        <f>"ROBERTO KOCH                                                                                        "</f>
        <v xml:space="preserve">ROBERTO KOCH                                                                                        </v>
      </c>
      <c r="D1371" s="26" t="str">
        <f>"VESPERTINO"</f>
        <v>VESPERTINO</v>
      </c>
      <c r="E1371" s="26" t="str">
        <f>"SEGUNDO CALLEJON DE ROBERTO KOCH No 35                                          "</f>
        <v xml:space="preserve">SEGUNDO CALLEJON DE ROBERTO KOCH No 35                                          </v>
      </c>
      <c r="F1371" s="26" t="str">
        <f>"JUVENTINO ROSAS                                                                                                                             "</f>
        <v xml:space="preserve">JUVENTINO ROSAS                                                                                                                             </v>
      </c>
      <c r="G1371" s="26" t="str">
        <f>"IZTACALCO                                                                       "</f>
        <v xml:space="preserve">IZTACALCO                                                                       </v>
      </c>
      <c r="H1371" s="26" t="str">
        <f>"360"</f>
        <v>360</v>
      </c>
      <c r="I1371" s="26" t="str">
        <f t="shared" si="219"/>
        <v>00</v>
      </c>
      <c r="J1371" s="26" t="str">
        <f>"43 "</f>
        <v xml:space="preserve">43 </v>
      </c>
      <c r="K1371" s="26" t="str">
        <f t="shared" si="223"/>
        <v>PR</v>
      </c>
      <c r="L1371" s="26" t="str">
        <f t="shared" si="224"/>
        <v>DGOSE</v>
      </c>
      <c r="M1371" s="26" t="str">
        <f t="shared" si="220"/>
        <v>FEDERAL</v>
      </c>
      <c r="N1371" s="26">
        <v>142</v>
      </c>
      <c r="O1371" s="26">
        <v>74</v>
      </c>
      <c r="P1371" s="26">
        <v>68</v>
      </c>
      <c r="Q1371" s="26">
        <v>6</v>
      </c>
      <c r="R1371" s="26">
        <v>1</v>
      </c>
      <c r="S1371" s="26">
        <v>6</v>
      </c>
      <c r="T1371" s="26">
        <v>6</v>
      </c>
      <c r="U1371" s="26">
        <v>13</v>
      </c>
      <c r="V1371" s="26">
        <v>1</v>
      </c>
      <c r="W1371" s="26"/>
    </row>
    <row r="1372" spans="1:23" x14ac:dyDescent="0.25">
      <c r="A1372" s="26" t="str">
        <f t="shared" si="218"/>
        <v>PRIMARIA</v>
      </c>
      <c r="B1372" s="26" t="str">
        <f>"09DPR2619U"</f>
        <v>09DPR2619U</v>
      </c>
      <c r="C1372" s="26" t="str">
        <f>"PROFRA. EMMA GODOY                                                                                  "</f>
        <v xml:space="preserve">PROFRA. EMMA GODOY                                                                                  </v>
      </c>
      <c r="D1372" s="26" t="str">
        <f>"MATUTINO"</f>
        <v>MATUTINO</v>
      </c>
      <c r="E1372" s="26" t="str">
        <f>"CHAPAB NUM 10                                                                   "</f>
        <v xml:space="preserve">CHAPAB NUM 10                                                                   </v>
      </c>
      <c r="F1372" s="26" t="str">
        <f>"CUCHILLA DE PADIERNA                                                                                                                        "</f>
        <v xml:space="preserve">CUCHILLA DE PADIERNA                                                                                                                        </v>
      </c>
      <c r="G1372" s="26" t="str">
        <f>"TLALPAN                                                                         "</f>
        <v xml:space="preserve">TLALPAN                                                                         </v>
      </c>
      <c r="H1372" s="26" t="str">
        <f>"516"</f>
        <v>516</v>
      </c>
      <c r="I1372" s="26" t="str">
        <f t="shared" si="219"/>
        <v>00</v>
      </c>
      <c r="J1372" s="26" t="str">
        <f>"45 "</f>
        <v xml:space="preserve">45 </v>
      </c>
      <c r="K1372" s="26" t="str">
        <f t="shared" si="223"/>
        <v>PR</v>
      </c>
      <c r="L1372" s="26" t="str">
        <f t="shared" si="224"/>
        <v>DGOSE</v>
      </c>
      <c r="M1372" s="26" t="str">
        <f t="shared" si="220"/>
        <v>FEDERAL</v>
      </c>
      <c r="N1372" s="26">
        <v>439</v>
      </c>
      <c r="O1372" s="26">
        <v>225</v>
      </c>
      <c r="P1372" s="26">
        <v>214</v>
      </c>
      <c r="Q1372" s="26">
        <v>12</v>
      </c>
      <c r="R1372" s="26">
        <v>1</v>
      </c>
      <c r="S1372" s="26">
        <v>11</v>
      </c>
      <c r="T1372" s="26">
        <v>6</v>
      </c>
      <c r="U1372" s="26">
        <v>18</v>
      </c>
      <c r="V1372" s="26">
        <v>1</v>
      </c>
      <c r="W1372" s="26"/>
    </row>
    <row r="1373" spans="1:23" x14ac:dyDescent="0.25">
      <c r="A1373" s="26" t="str">
        <f t="shared" si="218"/>
        <v>PRIMARIA</v>
      </c>
      <c r="B1373" s="26" t="str">
        <f>"09DPR2620J"</f>
        <v>09DPR2620J</v>
      </c>
      <c r="C1373" s="26" t="str">
        <f>"MARIA LUISA ROSS                                                                                    "</f>
        <v xml:space="preserve">MARIA LUISA ROSS                                                                                    </v>
      </c>
      <c r="D1373" s="26" t="str">
        <f>"MATUTINO"</f>
        <v>MATUTINO</v>
      </c>
      <c r="E1373" s="26" t="str">
        <f>"HACIENDA DE LA FLOR S/N.                                                        "</f>
        <v xml:space="preserve">HACIENDA DE LA FLOR S/N.                                                        </v>
      </c>
      <c r="F1373" s="26" t="str">
        <f>"PRESIDENTES AMPLIACION                                                                                                                      "</f>
        <v xml:space="preserve">PRESIDENTES AMPLIACION                                                                                                                      </v>
      </c>
      <c r="G1373" s="26" t="str">
        <f>"ALVARO OBREGON                                                                  "</f>
        <v xml:space="preserve">ALVARO OBREGON                                                                  </v>
      </c>
      <c r="H1373" s="26" t="str">
        <f>"309"</f>
        <v>309</v>
      </c>
      <c r="I1373" s="26" t="str">
        <f t="shared" si="219"/>
        <v>00</v>
      </c>
      <c r="J1373" s="26" t="str">
        <f>"43 "</f>
        <v xml:space="preserve">43 </v>
      </c>
      <c r="K1373" s="26" t="str">
        <f t="shared" si="223"/>
        <v>PR</v>
      </c>
      <c r="L1373" s="26" t="str">
        <f t="shared" si="224"/>
        <v>DGOSE</v>
      </c>
      <c r="M1373" s="26" t="str">
        <f t="shared" si="220"/>
        <v>FEDERAL</v>
      </c>
      <c r="N1373" s="26">
        <v>275</v>
      </c>
      <c r="O1373" s="26">
        <v>128</v>
      </c>
      <c r="P1373" s="26">
        <v>147</v>
      </c>
      <c r="Q1373" s="26">
        <v>9</v>
      </c>
      <c r="R1373" s="26">
        <v>1</v>
      </c>
      <c r="S1373" s="26">
        <v>9</v>
      </c>
      <c r="T1373" s="26">
        <v>6</v>
      </c>
      <c r="U1373" s="26">
        <v>16</v>
      </c>
      <c r="V1373" s="26">
        <v>1</v>
      </c>
      <c r="W1373" s="26"/>
    </row>
    <row r="1374" spans="1:23" x14ac:dyDescent="0.25">
      <c r="A1374" s="26" t="str">
        <f t="shared" si="218"/>
        <v>PRIMARIA</v>
      </c>
      <c r="B1374" s="26" t="str">
        <f>"09DPR2622H"</f>
        <v>09DPR2622H</v>
      </c>
      <c r="C1374" s="26" t="str">
        <f>"PROFRA. AMANDA PALAFOX Y BAZ                                                                        "</f>
        <v xml:space="preserve">PROFRA. AMANDA PALAFOX Y BAZ                                                                        </v>
      </c>
      <c r="D1374" s="26" t="str">
        <f>"MATUTINO"</f>
        <v>MATUTINO</v>
      </c>
      <c r="E1374" s="26" t="str">
        <f>"MONTE ELBRUZ NO 15                                                              "</f>
        <v xml:space="preserve">MONTE ELBRUZ NO 15                                                              </v>
      </c>
      <c r="F1374" s="26" t="str">
        <f>"LOS VOLCANES                                                                                                                                "</f>
        <v xml:space="preserve">LOS VOLCANES                                                                                                                                </v>
      </c>
      <c r="G1374" s="26" t="str">
        <f>"TLALPAN                                                                         "</f>
        <v xml:space="preserve">TLALPAN                                                                         </v>
      </c>
      <c r="H1374" s="26" t="str">
        <f>"522"</f>
        <v>522</v>
      </c>
      <c r="I1374" s="26" t="str">
        <f t="shared" si="219"/>
        <v>00</v>
      </c>
      <c r="J1374" s="26" t="str">
        <f>"45 "</f>
        <v xml:space="preserve">45 </v>
      </c>
      <c r="K1374" s="26" t="str">
        <f t="shared" si="223"/>
        <v>PR</v>
      </c>
      <c r="L1374" s="26" t="str">
        <f t="shared" si="224"/>
        <v>DGOSE</v>
      </c>
      <c r="M1374" s="26" t="str">
        <f t="shared" si="220"/>
        <v>FEDERAL</v>
      </c>
      <c r="N1374" s="26">
        <v>591</v>
      </c>
      <c r="O1374" s="26">
        <v>273</v>
      </c>
      <c r="P1374" s="26">
        <v>318</v>
      </c>
      <c r="Q1374" s="26">
        <v>17</v>
      </c>
      <c r="R1374" s="26">
        <v>1</v>
      </c>
      <c r="S1374" s="26">
        <v>17</v>
      </c>
      <c r="T1374" s="26">
        <v>9</v>
      </c>
      <c r="U1374" s="26">
        <v>27</v>
      </c>
      <c r="V1374" s="26">
        <v>1</v>
      </c>
      <c r="W1374" s="26"/>
    </row>
    <row r="1375" spans="1:23" x14ac:dyDescent="0.25">
      <c r="A1375" s="26" t="str">
        <f t="shared" si="218"/>
        <v>PRIMARIA</v>
      </c>
      <c r="B1375" s="26" t="str">
        <f>"09DPR2623G"</f>
        <v>09DPR2623G</v>
      </c>
      <c r="C1375" s="26" t="str">
        <f>"PROFR. PEDRO LOREDO ORTEGA                                                                          "</f>
        <v xml:space="preserve">PROFR. PEDRO LOREDO ORTEGA                                                                          </v>
      </c>
      <c r="D1375" s="26" t="str">
        <f>"VESPERTINO"</f>
        <v>VESPERTINO</v>
      </c>
      <c r="E1375" s="26" t="str">
        <f>"SINANCHE # 10                                                                   "</f>
        <v xml:space="preserve">SINANCHE # 10                                                                   </v>
      </c>
      <c r="F1375" s="26" t="str">
        <f>"PEDREGAL DE SAN NICOLAS                                                                                                                     "</f>
        <v xml:space="preserve">PEDREGAL DE SAN NICOLAS                                                                                                                     </v>
      </c>
      <c r="G1375" s="26" t="str">
        <f>"TLALPAN                                                                         "</f>
        <v xml:space="preserve">TLALPAN                                                                         </v>
      </c>
      <c r="H1375" s="26" t="str">
        <f>"512"</f>
        <v>512</v>
      </c>
      <c r="I1375" s="26" t="str">
        <f t="shared" si="219"/>
        <v>00</v>
      </c>
      <c r="J1375" s="26" t="str">
        <f>"45 "</f>
        <v xml:space="preserve">45 </v>
      </c>
      <c r="K1375" s="26" t="str">
        <f t="shared" si="223"/>
        <v>PR</v>
      </c>
      <c r="L1375" s="26" t="str">
        <f t="shared" si="224"/>
        <v>DGOSE</v>
      </c>
      <c r="M1375" s="26" t="str">
        <f t="shared" si="220"/>
        <v>FEDERAL</v>
      </c>
      <c r="N1375" s="26">
        <v>368</v>
      </c>
      <c r="O1375" s="26">
        <v>189</v>
      </c>
      <c r="P1375" s="26">
        <v>179</v>
      </c>
      <c r="Q1375" s="26">
        <v>15</v>
      </c>
      <c r="R1375" s="26">
        <v>1</v>
      </c>
      <c r="S1375" s="26">
        <v>14</v>
      </c>
      <c r="T1375" s="26">
        <v>9</v>
      </c>
      <c r="U1375" s="26">
        <v>24</v>
      </c>
      <c r="V1375" s="26">
        <v>1</v>
      </c>
      <c r="W1375" s="26"/>
    </row>
    <row r="1376" spans="1:23" x14ac:dyDescent="0.25">
      <c r="A1376" s="26" t="str">
        <f t="shared" si="218"/>
        <v>PRIMARIA</v>
      </c>
      <c r="B1376" s="26" t="str">
        <f>"09DPR2624F"</f>
        <v>09DPR2624F</v>
      </c>
      <c r="C1376" s="26" t="str">
        <f>"PROFR. SOSTENES NICOLAS CHAPA NIETO                                                                 "</f>
        <v xml:space="preserve">PROFR. SOSTENES NICOLAS CHAPA NIETO                                                                 </v>
      </c>
      <c r="D1376" s="26" t="str">
        <f>"MATUTINO"</f>
        <v>MATUTINO</v>
      </c>
      <c r="E1376" s="26" t="str">
        <f>"CAMELIA Y LOMA BONITA S/N                                                       "</f>
        <v xml:space="preserve">CAMELIA Y LOMA BONITA S/N                                                       </v>
      </c>
      <c r="F1376" s="26" t="str">
        <f>"SAN JUAN TEPECHIMILPA                                                                                                                       "</f>
        <v xml:space="preserve">SAN JUAN TEPECHIMILPA                                                                                                                       </v>
      </c>
      <c r="G1376" s="26" t="str">
        <f>"TLALPAN                                                                         "</f>
        <v xml:space="preserve">TLALPAN                                                                         </v>
      </c>
      <c r="H1376" s="26" t="str">
        <f>"517"</f>
        <v>517</v>
      </c>
      <c r="I1376" s="26" t="str">
        <f t="shared" si="219"/>
        <v>00</v>
      </c>
      <c r="J1376" s="26" t="str">
        <f>"45 "</f>
        <v xml:space="preserve">45 </v>
      </c>
      <c r="K1376" s="26" t="str">
        <f t="shared" si="223"/>
        <v>PR</v>
      </c>
      <c r="L1376" s="26" t="str">
        <f t="shared" si="224"/>
        <v>DGOSE</v>
      </c>
      <c r="M1376" s="26" t="str">
        <f t="shared" si="220"/>
        <v>FEDERAL</v>
      </c>
      <c r="N1376" s="26">
        <v>444</v>
      </c>
      <c r="O1376" s="26">
        <v>229</v>
      </c>
      <c r="P1376" s="26">
        <v>215</v>
      </c>
      <c r="Q1376" s="26">
        <v>12</v>
      </c>
      <c r="R1376" s="26">
        <v>1</v>
      </c>
      <c r="S1376" s="26">
        <v>11</v>
      </c>
      <c r="T1376" s="26">
        <v>5</v>
      </c>
      <c r="U1376" s="26">
        <v>17</v>
      </c>
      <c r="V1376" s="26">
        <v>1</v>
      </c>
      <c r="W1376" s="26"/>
    </row>
    <row r="1377" spans="1:23" x14ac:dyDescent="0.25">
      <c r="A1377" s="26" t="str">
        <f t="shared" si="218"/>
        <v>PRIMARIA</v>
      </c>
      <c r="B1377" s="26" t="str">
        <f>"09DPR2625E"</f>
        <v>09DPR2625E</v>
      </c>
      <c r="C1377" s="26" t="str">
        <f>"PROFRA. AMANDA PALAFOX Y BAZ                                                                        "</f>
        <v xml:space="preserve">PROFRA. AMANDA PALAFOX Y BAZ                                                                        </v>
      </c>
      <c r="D1377" s="26" t="str">
        <f>"VESPERTINO"</f>
        <v>VESPERTINO</v>
      </c>
      <c r="E1377" s="26" t="str">
        <f>"MONTE ELBRUZ 15                                                                 "</f>
        <v xml:space="preserve">MONTE ELBRUZ 15                                                                 </v>
      </c>
      <c r="F1377" s="26" t="str">
        <f>"LOS VOLCANES                                                                                                                                "</f>
        <v xml:space="preserve">LOS VOLCANES                                                                                                                                </v>
      </c>
      <c r="G1377" s="26" t="str">
        <f>"TLALPAN                                                                         "</f>
        <v xml:space="preserve">TLALPAN                                                                         </v>
      </c>
      <c r="H1377" s="26" t="str">
        <f>"522"</f>
        <v>522</v>
      </c>
      <c r="I1377" s="26" t="str">
        <f t="shared" si="219"/>
        <v>00</v>
      </c>
      <c r="J1377" s="26" t="str">
        <f>"45 "</f>
        <v xml:space="preserve">45 </v>
      </c>
      <c r="K1377" s="26" t="str">
        <f t="shared" si="223"/>
        <v>PR</v>
      </c>
      <c r="L1377" s="26" t="str">
        <f t="shared" si="224"/>
        <v>DGOSE</v>
      </c>
      <c r="M1377" s="26" t="str">
        <f t="shared" si="220"/>
        <v>FEDERAL</v>
      </c>
      <c r="N1377" s="26">
        <v>270</v>
      </c>
      <c r="O1377" s="26">
        <v>144</v>
      </c>
      <c r="P1377" s="26">
        <v>126</v>
      </c>
      <c r="Q1377" s="26">
        <v>12</v>
      </c>
      <c r="R1377" s="26">
        <v>1</v>
      </c>
      <c r="S1377" s="26">
        <v>11</v>
      </c>
      <c r="T1377" s="26">
        <v>6</v>
      </c>
      <c r="U1377" s="26">
        <v>18</v>
      </c>
      <c r="V1377" s="26">
        <v>1</v>
      </c>
      <c r="W1377" s="26"/>
    </row>
    <row r="1378" spans="1:23" x14ac:dyDescent="0.25">
      <c r="A1378" s="26" t="str">
        <f t="shared" si="218"/>
        <v>PRIMARIA</v>
      </c>
      <c r="B1378" s="26" t="str">
        <f>"09DPR2628B"</f>
        <v>09DPR2628B</v>
      </c>
      <c r="C1378" s="26" t="str">
        <f>"TLALOC                                                                                              "</f>
        <v xml:space="preserve">TLALOC                                                                                              </v>
      </c>
      <c r="D1378" s="26" t="str">
        <f>"MATUTINO"</f>
        <v>MATUTINO</v>
      </c>
      <c r="E1378" s="26" t="str">
        <f>"MATAMOROS 1                                                                     "</f>
        <v xml:space="preserve">MATAMOROS 1                                                                     </v>
      </c>
      <c r="F1378" s="26" t="str">
        <f>"SAN AGUSTIN OHTENCO                                                                                                                         "</f>
        <v xml:space="preserve">SAN AGUSTIN OHTENCO                                                                                                                         </v>
      </c>
      <c r="G1378" s="26" t="str">
        <f>"MILPA ALTA                                                                      "</f>
        <v xml:space="preserve">MILPA ALTA                                                                      </v>
      </c>
      <c r="H1378" s="26" t="str">
        <f>"562"</f>
        <v>562</v>
      </c>
      <c r="I1378" s="26" t="str">
        <f t="shared" si="219"/>
        <v>00</v>
      </c>
      <c r="J1378" s="26" t="str">
        <f>"45 "</f>
        <v xml:space="preserve">45 </v>
      </c>
      <c r="K1378" s="26" t="str">
        <f t="shared" si="223"/>
        <v>PR</v>
      </c>
      <c r="L1378" s="26" t="str">
        <f t="shared" si="224"/>
        <v>DGOSE</v>
      </c>
      <c r="M1378" s="26" t="str">
        <f t="shared" si="220"/>
        <v>FEDERAL</v>
      </c>
      <c r="N1378" s="26">
        <v>256</v>
      </c>
      <c r="O1378" s="26">
        <v>124</v>
      </c>
      <c r="P1378" s="26">
        <v>132</v>
      </c>
      <c r="Q1378" s="26">
        <v>7</v>
      </c>
      <c r="R1378" s="26">
        <v>1</v>
      </c>
      <c r="S1378" s="26">
        <v>6</v>
      </c>
      <c r="T1378" s="26">
        <v>5</v>
      </c>
      <c r="U1378" s="26">
        <v>12</v>
      </c>
      <c r="V1378" s="26">
        <v>1</v>
      </c>
      <c r="W1378" s="26"/>
    </row>
    <row r="1379" spans="1:23" x14ac:dyDescent="0.25">
      <c r="A1379" s="26" t="str">
        <f t="shared" si="218"/>
        <v>PRIMARIA</v>
      </c>
      <c r="B1379" s="26" t="str">
        <f>"09DPR2629A"</f>
        <v>09DPR2629A</v>
      </c>
      <c r="C1379" s="26" t="str">
        <f>"GENERAL LUCIO BLANCO                                                                                "</f>
        <v xml:space="preserve">GENERAL LUCIO BLANCO                                                                                </v>
      </c>
      <c r="D1379" s="26" t="str">
        <f>"VESPERTINO"</f>
        <v>VESPERTINO</v>
      </c>
      <c r="E1379" s="26" t="str">
        <f>"COLIMA Y CHIHUAHUA S/N (DEPORTIVO)                                              "</f>
        <v xml:space="preserve">COLIMA Y CHIHUAHUA S/N (DEPORTIVO)                                              </v>
      </c>
      <c r="F1379" s="26" t="str">
        <f>"SAN SEBASTIAN TECOLOXTITLAN                                                                                                                 "</f>
        <v xml:space="preserve">SAN SEBASTIAN TECOLOXTITLAN                                                                                                                 </v>
      </c>
      <c r="G1379" s="26" t="str">
        <f>"IZTAPALAPA                                                                      "</f>
        <v xml:space="preserve">IZTAPALAPA                                                                      </v>
      </c>
      <c r="H1379" s="26" t="str">
        <f>"024"</f>
        <v>024</v>
      </c>
      <c r="I1379" s="26" t="str">
        <f t="shared" si="219"/>
        <v>00</v>
      </c>
      <c r="J1379" s="26" t="str">
        <f>"62 "</f>
        <v xml:space="preserve">62 </v>
      </c>
      <c r="K1379" s="26" t="str">
        <f>"IZ"</f>
        <v>IZ</v>
      </c>
      <c r="L1379" s="26" t="str">
        <f>"DGSEI"</f>
        <v>DGSEI</v>
      </c>
      <c r="M1379" s="26" t="str">
        <f t="shared" si="220"/>
        <v>FEDERAL</v>
      </c>
      <c r="N1379" s="26">
        <v>393</v>
      </c>
      <c r="O1379" s="26">
        <v>206</v>
      </c>
      <c r="P1379" s="26">
        <v>187</v>
      </c>
      <c r="Q1379" s="26">
        <v>15</v>
      </c>
      <c r="R1379" s="26">
        <v>1</v>
      </c>
      <c r="S1379" s="26">
        <v>15</v>
      </c>
      <c r="T1379" s="26">
        <v>7</v>
      </c>
      <c r="U1379" s="26">
        <v>23</v>
      </c>
      <c r="V1379" s="26">
        <v>1</v>
      </c>
      <c r="W1379" s="26"/>
    </row>
    <row r="1380" spans="1:23" x14ac:dyDescent="0.25">
      <c r="A1380" s="26" t="str">
        <f t="shared" si="218"/>
        <v>PRIMARIA</v>
      </c>
      <c r="B1380" s="26" t="str">
        <f>"09DPR2630Q"</f>
        <v>09DPR2630Q</v>
      </c>
      <c r="C1380" s="26" t="str">
        <f>"CENTENARIO DE JUAREZ                                                                                "</f>
        <v xml:space="preserve">CENTENARIO DE JUAREZ                                                                                </v>
      </c>
      <c r="D1380" s="26" t="str">
        <f>"TIEMPO COMPLETO"</f>
        <v>TIEMPO COMPLETO</v>
      </c>
      <c r="E1380" s="26" t="str">
        <f>"AV DEL HUIZACHE S/N                                                             "</f>
        <v xml:space="preserve">AV DEL HUIZACHE S/N                                                             </v>
      </c>
      <c r="F1380" s="26" t="str">
        <f>"NUEVA DIAZ ORDAZ                                                                                                                            "</f>
        <v xml:space="preserve">NUEVA DIAZ ORDAZ                                                                                                                            </v>
      </c>
      <c r="G1380" s="26" t="str">
        <f>"COYOACAN                                                                        "</f>
        <v xml:space="preserve">COYOACAN                                                                        </v>
      </c>
      <c r="H1380" s="26" t="str">
        <f>"438"</f>
        <v>438</v>
      </c>
      <c r="I1380" s="26" t="str">
        <f t="shared" si="219"/>
        <v>00</v>
      </c>
      <c r="J1380" s="26" t="str">
        <f>"44 "</f>
        <v xml:space="preserve">44 </v>
      </c>
      <c r="K1380" s="26" t="str">
        <f>"PR"</f>
        <v>PR</v>
      </c>
      <c r="L1380" s="26" t="str">
        <f>"DGOSE"</f>
        <v>DGOSE</v>
      </c>
      <c r="M1380" s="26" t="str">
        <f t="shared" si="220"/>
        <v>FEDERAL</v>
      </c>
      <c r="N1380" s="26">
        <v>428</v>
      </c>
      <c r="O1380" s="26">
        <v>216</v>
      </c>
      <c r="P1380" s="26">
        <v>212</v>
      </c>
      <c r="Q1380" s="26">
        <v>13</v>
      </c>
      <c r="R1380" s="26">
        <v>1</v>
      </c>
      <c r="S1380" s="26">
        <v>12</v>
      </c>
      <c r="T1380" s="26">
        <v>13</v>
      </c>
      <c r="U1380" s="26">
        <v>26</v>
      </c>
      <c r="V1380" s="26">
        <v>1</v>
      </c>
      <c r="W1380" s="26" t="s">
        <v>218</v>
      </c>
    </row>
    <row r="1381" spans="1:23" x14ac:dyDescent="0.25">
      <c r="A1381" s="26" t="str">
        <f t="shared" si="218"/>
        <v>PRIMARIA</v>
      </c>
      <c r="B1381" s="26" t="str">
        <f>"09DPR2631P"</f>
        <v>09DPR2631P</v>
      </c>
      <c r="C1381" s="26" t="str">
        <f>"FRANCISCO VILLA                                                                                     "</f>
        <v xml:space="preserve">FRANCISCO VILLA                                                                                     </v>
      </c>
      <c r="D1381" s="26" t="str">
        <f>"VESPERTINO"</f>
        <v>VESPERTINO</v>
      </c>
      <c r="E1381" s="26" t="str">
        <f>"CIUDAD JUAREZ NO. 50                                                            "</f>
        <v xml:space="preserve">CIUDAD JUAREZ NO. 50                                                            </v>
      </c>
      <c r="F1381" s="26" t="str">
        <f>"FRANCISCO VILLA                                                                                                                             "</f>
        <v xml:space="preserve">FRANCISCO VILLA                                                                                                                             </v>
      </c>
      <c r="G1381" s="26" t="str">
        <f>"IZTAPALAPA                                                                      "</f>
        <v xml:space="preserve">IZTAPALAPA                                                                      </v>
      </c>
      <c r="H1381" s="26" t="str">
        <f>"052"</f>
        <v>052</v>
      </c>
      <c r="I1381" s="26" t="str">
        <f t="shared" si="219"/>
        <v>00</v>
      </c>
      <c r="J1381" s="26" t="str">
        <f>"64 "</f>
        <v xml:space="preserve">64 </v>
      </c>
      <c r="K1381" s="26" t="str">
        <f>"IZ"</f>
        <v>IZ</v>
      </c>
      <c r="L1381" s="26" t="str">
        <f>"DGSEI"</f>
        <v>DGSEI</v>
      </c>
      <c r="M1381" s="26" t="str">
        <f t="shared" si="220"/>
        <v>FEDERAL</v>
      </c>
      <c r="N1381" s="26">
        <v>154</v>
      </c>
      <c r="O1381" s="26">
        <v>74</v>
      </c>
      <c r="P1381" s="26">
        <v>80</v>
      </c>
      <c r="Q1381" s="26">
        <v>8</v>
      </c>
      <c r="R1381" s="26">
        <v>1</v>
      </c>
      <c r="S1381" s="26">
        <v>8</v>
      </c>
      <c r="T1381" s="26">
        <v>6</v>
      </c>
      <c r="U1381" s="26">
        <v>15</v>
      </c>
      <c r="V1381" s="26">
        <v>1</v>
      </c>
      <c r="W1381" s="26"/>
    </row>
    <row r="1382" spans="1:23" x14ac:dyDescent="0.25">
      <c r="A1382" s="26" t="str">
        <f t="shared" si="218"/>
        <v>PRIMARIA</v>
      </c>
      <c r="B1382" s="26" t="str">
        <f>"09DPR2632O"</f>
        <v>09DPR2632O</v>
      </c>
      <c r="C1382" s="26" t="str">
        <f>"MARIA LUISA ROSS                                                                                    "</f>
        <v xml:space="preserve">MARIA LUISA ROSS                                                                                    </v>
      </c>
      <c r="D1382" s="26" t="str">
        <f>"VESPERTINO"</f>
        <v>VESPERTINO</v>
      </c>
      <c r="E1382" s="26" t="str">
        <f>"HDA. DE LA FLOR S/N                                                             "</f>
        <v xml:space="preserve">HDA. DE LA FLOR S/N                                                             </v>
      </c>
      <c r="F1382" s="26" t="str">
        <f>"PRESIDENTES AMPLIACION                                                                                                                      "</f>
        <v xml:space="preserve">PRESIDENTES AMPLIACION                                                                                                                      </v>
      </c>
      <c r="G1382" s="26" t="str">
        <f>"ALVARO OBREGON                                                                  "</f>
        <v xml:space="preserve">ALVARO OBREGON                                                                  </v>
      </c>
      <c r="H1382" s="26" t="str">
        <f>"309"</f>
        <v>309</v>
      </c>
      <c r="I1382" s="26" t="str">
        <f t="shared" si="219"/>
        <v>00</v>
      </c>
      <c r="J1382" s="26" t="str">
        <f>"43 "</f>
        <v xml:space="preserve">43 </v>
      </c>
      <c r="K1382" s="26" t="str">
        <f t="shared" ref="K1382:K1388" si="225">"PR"</f>
        <v>PR</v>
      </c>
      <c r="L1382" s="26" t="str">
        <f t="shared" ref="L1382:L1388" si="226">"DGOSE"</f>
        <v>DGOSE</v>
      </c>
      <c r="M1382" s="26" t="str">
        <f t="shared" si="220"/>
        <v>FEDERAL</v>
      </c>
      <c r="N1382" s="26">
        <v>198</v>
      </c>
      <c r="O1382" s="26">
        <v>99</v>
      </c>
      <c r="P1382" s="26">
        <v>99</v>
      </c>
      <c r="Q1382" s="26">
        <v>9</v>
      </c>
      <c r="R1382" s="26">
        <v>1</v>
      </c>
      <c r="S1382" s="26">
        <v>9</v>
      </c>
      <c r="T1382" s="26">
        <v>6</v>
      </c>
      <c r="U1382" s="26">
        <v>16</v>
      </c>
      <c r="V1382" s="26">
        <v>1</v>
      </c>
      <c r="W1382" s="26"/>
    </row>
    <row r="1383" spans="1:23" x14ac:dyDescent="0.25">
      <c r="A1383" s="26" t="str">
        <f t="shared" si="218"/>
        <v>PRIMARIA</v>
      </c>
      <c r="B1383" s="26" t="str">
        <f>"09DPR2635L"</f>
        <v>09DPR2635L</v>
      </c>
      <c r="C1383" s="26" t="str">
        <f>"PROFRA. MA. ADELINA FLORES MORALES                                                                  "</f>
        <v xml:space="preserve">PROFRA. MA. ADELINA FLORES MORALES                                                                  </v>
      </c>
      <c r="D1383" s="26" t="str">
        <f>"MATUTINO"</f>
        <v>MATUTINO</v>
      </c>
      <c r="E1383" s="26" t="str">
        <f>"MEMBRILLO S/N                                                                   "</f>
        <v xml:space="preserve">MEMBRILLO S/N                                                                   </v>
      </c>
      <c r="F1383" s="26" t="str">
        <f>"CERRO DEL JUDIO                                                                                                                             "</f>
        <v xml:space="preserve">CERRO DEL JUDIO                                                                                                                             </v>
      </c>
      <c r="G1383" s="26" t="str">
        <f>"LA MAGDALENA CONTRERAS                                                          "</f>
        <v xml:space="preserve">LA MAGDALENA CONTRERAS                                                          </v>
      </c>
      <c r="H1383" s="26" t="str">
        <f>"333"</f>
        <v>333</v>
      </c>
      <c r="I1383" s="26" t="str">
        <f t="shared" si="219"/>
        <v>00</v>
      </c>
      <c r="J1383" s="26" t="str">
        <f>"43 "</f>
        <v xml:space="preserve">43 </v>
      </c>
      <c r="K1383" s="26" t="str">
        <f t="shared" si="225"/>
        <v>PR</v>
      </c>
      <c r="L1383" s="26" t="str">
        <f t="shared" si="226"/>
        <v>DGOSE</v>
      </c>
      <c r="M1383" s="26" t="str">
        <f t="shared" si="220"/>
        <v>FEDERAL</v>
      </c>
      <c r="N1383" s="26">
        <v>577</v>
      </c>
      <c r="O1383" s="26">
        <v>304</v>
      </c>
      <c r="P1383" s="26">
        <v>273</v>
      </c>
      <c r="Q1383" s="26">
        <v>18</v>
      </c>
      <c r="R1383" s="26">
        <v>1</v>
      </c>
      <c r="S1383" s="26">
        <v>18</v>
      </c>
      <c r="T1383" s="26">
        <v>11</v>
      </c>
      <c r="U1383" s="26">
        <v>30</v>
      </c>
      <c r="V1383" s="26">
        <v>1</v>
      </c>
      <c r="W1383" s="26"/>
    </row>
    <row r="1384" spans="1:23" x14ac:dyDescent="0.25">
      <c r="A1384" s="26" t="str">
        <f t="shared" si="218"/>
        <v>PRIMARIA</v>
      </c>
      <c r="B1384" s="26" t="str">
        <f>"09DPR2636K"</f>
        <v>09DPR2636K</v>
      </c>
      <c r="C1384" s="26" t="str">
        <f>"PROFRA. BEATRIZ AVILA GARCIA                                                                        "</f>
        <v xml:space="preserve">PROFRA. BEATRIZ AVILA GARCIA                                                                        </v>
      </c>
      <c r="D1384" s="26" t="str">
        <f>"VESPERTINO"</f>
        <v>VESPERTINO</v>
      </c>
      <c r="E1384" s="26" t="str">
        <f>"AV SAN ISIDRO ALTO LERMA S/N                                                    "</f>
        <v xml:space="preserve">AV SAN ISIDRO ALTO LERMA S/N                                                    </v>
      </c>
      <c r="F1384" s="26" t="str">
        <f>"CORPUS CHRISTI                                                                                                                              "</f>
        <v xml:space="preserve">CORPUS CHRISTI                                                                                                                              </v>
      </c>
      <c r="G1384" s="26" t="str">
        <f>"ALVARO OBREGON                                                                  "</f>
        <v xml:space="preserve">ALVARO OBREGON                                                                  </v>
      </c>
      <c r="H1384" s="26" t="str">
        <f>"318"</f>
        <v>318</v>
      </c>
      <c r="I1384" s="26" t="str">
        <f t="shared" si="219"/>
        <v>00</v>
      </c>
      <c r="J1384" s="26" t="str">
        <f>"43 "</f>
        <v xml:space="preserve">43 </v>
      </c>
      <c r="K1384" s="26" t="str">
        <f t="shared" si="225"/>
        <v>PR</v>
      </c>
      <c r="L1384" s="26" t="str">
        <f t="shared" si="226"/>
        <v>DGOSE</v>
      </c>
      <c r="M1384" s="26" t="str">
        <f t="shared" si="220"/>
        <v>FEDERAL</v>
      </c>
      <c r="N1384" s="26">
        <v>292</v>
      </c>
      <c r="O1384" s="26">
        <v>159</v>
      </c>
      <c r="P1384" s="26">
        <v>133</v>
      </c>
      <c r="Q1384" s="26">
        <v>12</v>
      </c>
      <c r="R1384" s="26">
        <v>1</v>
      </c>
      <c r="S1384" s="26">
        <v>12</v>
      </c>
      <c r="T1384" s="26">
        <v>4</v>
      </c>
      <c r="U1384" s="26">
        <v>17</v>
      </c>
      <c r="V1384" s="26">
        <v>1</v>
      </c>
      <c r="W1384" s="26"/>
    </row>
    <row r="1385" spans="1:23" x14ac:dyDescent="0.25">
      <c r="A1385" s="26" t="str">
        <f t="shared" si="218"/>
        <v>PRIMARIA</v>
      </c>
      <c r="B1385" s="26" t="str">
        <f>"09DPR2637J"</f>
        <v>09DPR2637J</v>
      </c>
      <c r="C1385" s="26" t="str">
        <f>"SEBASTIAN LERDO DE TEJADA                                                                           "</f>
        <v xml:space="preserve">SEBASTIAN LERDO DE TEJADA                                                                           </v>
      </c>
      <c r="D1385" s="26" t="str">
        <f>"VESPERTINO"</f>
        <v>VESPERTINO</v>
      </c>
      <c r="E1385" s="26" t="str">
        <f>"CALLE 7 NUM 39                                                                  "</f>
        <v xml:space="preserve">CALLE 7 NUM 39                                                                  </v>
      </c>
      <c r="F1385" s="26" t="str">
        <f>"MIGUEL HIDALGO AMPLIACION                                                                                                                   "</f>
        <v xml:space="preserve">MIGUEL HIDALGO AMPLIACION                                                                                                                   </v>
      </c>
      <c r="G1385" s="26" t="str">
        <f>"TLALPAN                                                                         "</f>
        <v xml:space="preserve">TLALPAN                                                                         </v>
      </c>
      <c r="H1385" s="26" t="str">
        <f>"516"</f>
        <v>516</v>
      </c>
      <c r="I1385" s="26" t="str">
        <f t="shared" si="219"/>
        <v>00</v>
      </c>
      <c r="J1385" s="26" t="str">
        <f>"45 "</f>
        <v xml:space="preserve">45 </v>
      </c>
      <c r="K1385" s="26" t="str">
        <f t="shared" si="225"/>
        <v>PR</v>
      </c>
      <c r="L1385" s="26" t="str">
        <f t="shared" si="226"/>
        <v>DGOSE</v>
      </c>
      <c r="M1385" s="26" t="str">
        <f t="shared" si="220"/>
        <v>FEDERAL</v>
      </c>
      <c r="N1385" s="26">
        <v>355</v>
      </c>
      <c r="O1385" s="26">
        <v>203</v>
      </c>
      <c r="P1385" s="26">
        <v>152</v>
      </c>
      <c r="Q1385" s="26">
        <v>13</v>
      </c>
      <c r="R1385" s="26">
        <v>1</v>
      </c>
      <c r="S1385" s="26">
        <v>12</v>
      </c>
      <c r="T1385" s="26">
        <v>7</v>
      </c>
      <c r="U1385" s="26">
        <v>20</v>
      </c>
      <c r="V1385" s="26">
        <v>1</v>
      </c>
      <c r="W1385" s="26"/>
    </row>
    <row r="1386" spans="1:23" x14ac:dyDescent="0.25">
      <c r="A1386" s="26" t="str">
        <f t="shared" si="218"/>
        <v>PRIMARIA</v>
      </c>
      <c r="B1386" s="26" t="str">
        <f>"09DPR2638I"</f>
        <v>09DPR2638I</v>
      </c>
      <c r="C1386" s="26" t="str">
        <f>"LUCRECIA TORIZ                                                                                      "</f>
        <v xml:space="preserve">LUCRECIA TORIZ                                                                                      </v>
      </c>
      <c r="D1386" s="26" t="str">
        <f>"VESPERTINO"</f>
        <v>VESPERTINO</v>
      </c>
      <c r="E1386" s="26" t="str">
        <f>"AND PUENTE STA ANA NUM 35                                                       "</f>
        <v xml:space="preserve">AND PUENTE STA ANA NUM 35                                                       </v>
      </c>
      <c r="F1386" s="26" t="str">
        <f>"CUCHILLA RAMOS MILLAN                                                                                                                       "</f>
        <v xml:space="preserve">CUCHILLA RAMOS MILLAN                                                                                                                       </v>
      </c>
      <c r="G1386" s="26" t="str">
        <f>"IZTACALCO                                                                       "</f>
        <v xml:space="preserve">IZTACALCO                                                                       </v>
      </c>
      <c r="H1386" s="26" t="str">
        <f>"358"</f>
        <v>358</v>
      </c>
      <c r="I1386" s="26" t="str">
        <f t="shared" si="219"/>
        <v>00</v>
      </c>
      <c r="J1386" s="26" t="str">
        <f>"43 "</f>
        <v xml:space="preserve">43 </v>
      </c>
      <c r="K1386" s="26" t="str">
        <f t="shared" si="225"/>
        <v>PR</v>
      </c>
      <c r="L1386" s="26" t="str">
        <f t="shared" si="226"/>
        <v>DGOSE</v>
      </c>
      <c r="M1386" s="26" t="str">
        <f t="shared" si="220"/>
        <v>FEDERAL</v>
      </c>
      <c r="N1386" s="26">
        <v>214</v>
      </c>
      <c r="O1386" s="26">
        <v>121</v>
      </c>
      <c r="P1386" s="26">
        <v>93</v>
      </c>
      <c r="Q1386" s="26">
        <v>7</v>
      </c>
      <c r="R1386" s="26">
        <v>1</v>
      </c>
      <c r="S1386" s="26">
        <v>7</v>
      </c>
      <c r="T1386" s="26">
        <v>7</v>
      </c>
      <c r="U1386" s="26">
        <v>15</v>
      </c>
      <c r="V1386" s="26">
        <v>1</v>
      </c>
      <c r="W1386" s="26"/>
    </row>
    <row r="1387" spans="1:23" x14ac:dyDescent="0.25">
      <c r="A1387" s="26" t="str">
        <f t="shared" si="218"/>
        <v>PRIMARIA</v>
      </c>
      <c r="B1387" s="26" t="str">
        <f>"09DPR2639H"</f>
        <v>09DPR2639H</v>
      </c>
      <c r="C1387" s="26" t="str">
        <f>"PROFR. SOSTENES NICOLAS CHAPA NIETO                                                                 "</f>
        <v xml:space="preserve">PROFR. SOSTENES NICOLAS CHAPA NIETO                                                                 </v>
      </c>
      <c r="D1387" s="26" t="str">
        <f>"VESPERTINO"</f>
        <v>VESPERTINO</v>
      </c>
      <c r="E1387" s="26" t="str">
        <f>"CAMELIA Y LOMA BONITA S/N                                                       "</f>
        <v xml:space="preserve">CAMELIA Y LOMA BONITA S/N                                                       </v>
      </c>
      <c r="F1387" s="26" t="str">
        <f>"SAN JUAN TEPECHIMILPA                                                                                                                       "</f>
        <v xml:space="preserve">SAN JUAN TEPECHIMILPA                                                                                                                       </v>
      </c>
      <c r="G1387" s="26" t="str">
        <f>"TLALPAN                                                                         "</f>
        <v xml:space="preserve">TLALPAN                                                                         </v>
      </c>
      <c r="H1387" s="26" t="str">
        <f>"517"</f>
        <v>517</v>
      </c>
      <c r="I1387" s="26" t="str">
        <f t="shared" si="219"/>
        <v>00</v>
      </c>
      <c r="J1387" s="26" t="str">
        <f>"45 "</f>
        <v xml:space="preserve">45 </v>
      </c>
      <c r="K1387" s="26" t="str">
        <f t="shared" si="225"/>
        <v>PR</v>
      </c>
      <c r="L1387" s="26" t="str">
        <f t="shared" si="226"/>
        <v>DGOSE</v>
      </c>
      <c r="M1387" s="26" t="str">
        <f t="shared" si="220"/>
        <v>FEDERAL</v>
      </c>
      <c r="N1387" s="26">
        <v>281</v>
      </c>
      <c r="O1387" s="26">
        <v>152</v>
      </c>
      <c r="P1387" s="26">
        <v>129</v>
      </c>
      <c r="Q1387" s="26">
        <v>12</v>
      </c>
      <c r="R1387" s="26">
        <v>1</v>
      </c>
      <c r="S1387" s="26">
        <v>11</v>
      </c>
      <c r="T1387" s="26">
        <v>6</v>
      </c>
      <c r="U1387" s="26">
        <v>18</v>
      </c>
      <c r="V1387" s="26">
        <v>1</v>
      </c>
      <c r="W1387" s="26"/>
    </row>
    <row r="1388" spans="1:23" x14ac:dyDescent="0.25">
      <c r="A1388" s="26" t="str">
        <f t="shared" si="218"/>
        <v>PRIMARIA</v>
      </c>
      <c r="B1388" s="26" t="str">
        <f>"09DPR2640X"</f>
        <v>09DPR2640X</v>
      </c>
      <c r="C1388" s="26" t="str">
        <f>"PROFR. PEDRO LOREDO ORTEGA                                                                          "</f>
        <v xml:space="preserve">PROFR. PEDRO LOREDO ORTEGA                                                                          </v>
      </c>
      <c r="D1388" s="26" t="str">
        <f>"MATUTINO"</f>
        <v>MATUTINO</v>
      </c>
      <c r="E1388" s="26" t="str">
        <f>"SINANCHE #10                                                                    "</f>
        <v xml:space="preserve">SINANCHE #10                                                                    </v>
      </c>
      <c r="F1388" s="26" t="str">
        <f>"PEDREGAL DE SAN NICOLAS                                                                                                                     "</f>
        <v xml:space="preserve">PEDREGAL DE SAN NICOLAS                                                                                                                     </v>
      </c>
      <c r="G1388" s="26" t="str">
        <f>"TLALPAN                                                                         "</f>
        <v xml:space="preserve">TLALPAN                                                                         </v>
      </c>
      <c r="H1388" s="26" t="str">
        <f>"512"</f>
        <v>512</v>
      </c>
      <c r="I1388" s="26" t="str">
        <f t="shared" si="219"/>
        <v>00</v>
      </c>
      <c r="J1388" s="26" t="str">
        <f>"45 "</f>
        <v xml:space="preserve">45 </v>
      </c>
      <c r="K1388" s="26" t="str">
        <f t="shared" si="225"/>
        <v>PR</v>
      </c>
      <c r="L1388" s="26" t="str">
        <f t="shared" si="226"/>
        <v>DGOSE</v>
      </c>
      <c r="M1388" s="26" t="str">
        <f t="shared" si="220"/>
        <v>FEDERAL</v>
      </c>
      <c r="N1388" s="26">
        <v>658</v>
      </c>
      <c r="O1388" s="26">
        <v>351</v>
      </c>
      <c r="P1388" s="26">
        <v>307</v>
      </c>
      <c r="Q1388" s="26">
        <v>18</v>
      </c>
      <c r="R1388" s="26">
        <v>1</v>
      </c>
      <c r="S1388" s="26">
        <v>18</v>
      </c>
      <c r="T1388" s="26">
        <v>6</v>
      </c>
      <c r="U1388" s="26">
        <v>25</v>
      </c>
      <c r="V1388" s="26">
        <v>1</v>
      </c>
      <c r="W1388" s="26"/>
    </row>
    <row r="1389" spans="1:23" x14ac:dyDescent="0.25">
      <c r="A1389" s="26" t="str">
        <f t="shared" si="218"/>
        <v>PRIMARIA</v>
      </c>
      <c r="B1389" s="26" t="str">
        <f>"09DPR2641W"</f>
        <v>09DPR2641W</v>
      </c>
      <c r="C1389" s="26" t="str">
        <f>"FRANCISCO MARQUEZ                                                                                   "</f>
        <v xml:space="preserve">FRANCISCO MARQUEZ                                                                                   </v>
      </c>
      <c r="D1389" s="26" t="str">
        <f>"MATUTINO"</f>
        <v>MATUTINO</v>
      </c>
      <c r="E1389" s="26" t="str">
        <f>"AV. YUCATAN NO. 30                                                              "</f>
        <v xml:space="preserve">AV. YUCATAN NO. 30                                                              </v>
      </c>
      <c r="F1389" s="26" t="str">
        <f>"SAN SEBASTIAN TECOLOXTITLAN                                                                                                                 "</f>
        <v xml:space="preserve">SAN SEBASTIAN TECOLOXTITLAN                                                                                                                 </v>
      </c>
      <c r="G1389" s="26" t="str">
        <f>"IZTAPALAPA                                                                      "</f>
        <v xml:space="preserve">IZTAPALAPA                                                                      </v>
      </c>
      <c r="H1389" s="26" t="str">
        <f>"024"</f>
        <v>024</v>
      </c>
      <c r="I1389" s="26" t="str">
        <f t="shared" si="219"/>
        <v>00</v>
      </c>
      <c r="J1389" s="26" t="str">
        <f>"62 "</f>
        <v xml:space="preserve">62 </v>
      </c>
      <c r="K1389" s="26" t="str">
        <f>"IZ"</f>
        <v>IZ</v>
      </c>
      <c r="L1389" s="26" t="str">
        <f>"DGSEI"</f>
        <v>DGSEI</v>
      </c>
      <c r="M1389" s="26" t="str">
        <f t="shared" si="220"/>
        <v>FEDERAL</v>
      </c>
      <c r="N1389" s="26">
        <v>396</v>
      </c>
      <c r="O1389" s="26">
        <v>182</v>
      </c>
      <c r="P1389" s="26">
        <v>214</v>
      </c>
      <c r="Q1389" s="26">
        <v>12</v>
      </c>
      <c r="R1389" s="26">
        <v>1</v>
      </c>
      <c r="S1389" s="26">
        <v>10</v>
      </c>
      <c r="T1389" s="26">
        <v>6</v>
      </c>
      <c r="U1389" s="26">
        <v>17</v>
      </c>
      <c r="V1389" s="26">
        <v>1</v>
      </c>
      <c r="W1389" s="26"/>
    </row>
    <row r="1390" spans="1:23" x14ac:dyDescent="0.25">
      <c r="A1390" s="26" t="str">
        <f t="shared" si="218"/>
        <v>PRIMARIA</v>
      </c>
      <c r="B1390" s="26" t="str">
        <f>"09DPR2642V"</f>
        <v>09DPR2642V</v>
      </c>
      <c r="C1390" s="26" t="str">
        <f>"PROFRA. CARMEN RAMOS DEL RIO                                                                        "</f>
        <v xml:space="preserve">PROFRA. CARMEN RAMOS DEL RIO                                                                        </v>
      </c>
      <c r="D1390" s="26" t="str">
        <f>"VESPERTINO"</f>
        <v>VESPERTINO</v>
      </c>
      <c r="E1390" s="26" t="str">
        <f>"AV. REVOLUCION SOCIAL NO. 81                                                    "</f>
        <v xml:space="preserve">AV. REVOLUCION SOCIAL NO. 81                                                    </v>
      </c>
      <c r="F1390" s="26" t="str">
        <f>"REFORMA EDUCATIVA                                                                                                                           "</f>
        <v xml:space="preserve">REFORMA EDUCATIVA                                                                                                                           </v>
      </c>
      <c r="G1390" s="26" t="str">
        <f>"IZTAPALAPA                                                                      "</f>
        <v xml:space="preserve">IZTAPALAPA                                                                      </v>
      </c>
      <c r="H1390" s="26" t="str">
        <f>"018"</f>
        <v>018</v>
      </c>
      <c r="I1390" s="26" t="str">
        <f t="shared" si="219"/>
        <v>00</v>
      </c>
      <c r="J1390" s="26" t="str">
        <f>"62 "</f>
        <v xml:space="preserve">62 </v>
      </c>
      <c r="K1390" s="26" t="str">
        <f>"IZ"</f>
        <v>IZ</v>
      </c>
      <c r="L1390" s="26" t="str">
        <f>"DGSEI"</f>
        <v>DGSEI</v>
      </c>
      <c r="M1390" s="26" t="str">
        <f t="shared" si="220"/>
        <v>FEDERAL</v>
      </c>
      <c r="N1390" s="26">
        <v>249</v>
      </c>
      <c r="O1390" s="26">
        <v>132</v>
      </c>
      <c r="P1390" s="26">
        <v>117</v>
      </c>
      <c r="Q1390" s="26">
        <v>11</v>
      </c>
      <c r="R1390" s="26">
        <v>1</v>
      </c>
      <c r="S1390" s="26">
        <v>11</v>
      </c>
      <c r="T1390" s="26">
        <v>6</v>
      </c>
      <c r="U1390" s="26">
        <v>18</v>
      </c>
      <c r="V1390" s="26">
        <v>1</v>
      </c>
      <c r="W1390" s="26"/>
    </row>
    <row r="1391" spans="1:23" x14ac:dyDescent="0.25">
      <c r="A1391" s="26" t="str">
        <f t="shared" si="218"/>
        <v>PRIMARIA</v>
      </c>
      <c r="B1391" s="26" t="str">
        <f>"09DPR2643U"</f>
        <v>09DPR2643U</v>
      </c>
      <c r="C1391" s="26" t="str">
        <f>"PROFR. JOSE ROMERO Y FUENTES                                                                        "</f>
        <v xml:space="preserve">PROFR. JOSE ROMERO Y FUENTES                                                                        </v>
      </c>
      <c r="D1391" s="26" t="str">
        <f>"VESPERTINO"</f>
        <v>VESPERTINO</v>
      </c>
      <c r="E1391" s="26" t="str">
        <f>"LAS FLORES NUM. 38                                                              "</f>
        <v xml:space="preserve">LAS FLORES NUM. 38                                                              </v>
      </c>
      <c r="F1391" s="26" t="str">
        <f>"LOMAS SAN LORENZO                                                                                                                           "</f>
        <v xml:space="preserve">LOMAS SAN LORENZO                                                                                                                           </v>
      </c>
      <c r="G1391" s="26" t="str">
        <f>"IZTAPALAPA                                                                      "</f>
        <v xml:space="preserve">IZTAPALAPA                                                                      </v>
      </c>
      <c r="H1391" s="26" t="str">
        <f>"047"</f>
        <v>047</v>
      </c>
      <c r="I1391" s="26" t="str">
        <f t="shared" si="219"/>
        <v>00</v>
      </c>
      <c r="J1391" s="26" t="str">
        <f>"63 "</f>
        <v xml:space="preserve">63 </v>
      </c>
      <c r="K1391" s="26" t="str">
        <f>"IZ"</f>
        <v>IZ</v>
      </c>
      <c r="L1391" s="26" t="str">
        <f>"DGSEI"</f>
        <v>DGSEI</v>
      </c>
      <c r="M1391" s="26" t="str">
        <f t="shared" si="220"/>
        <v>FEDERAL</v>
      </c>
      <c r="N1391" s="26">
        <v>417</v>
      </c>
      <c r="O1391" s="26">
        <v>212</v>
      </c>
      <c r="P1391" s="26">
        <v>205</v>
      </c>
      <c r="Q1391" s="26">
        <v>32</v>
      </c>
      <c r="R1391" s="26">
        <v>2</v>
      </c>
      <c r="S1391" s="26">
        <v>32</v>
      </c>
      <c r="T1391" s="26">
        <v>14</v>
      </c>
      <c r="U1391" s="26">
        <v>48</v>
      </c>
      <c r="V1391" s="26">
        <v>1</v>
      </c>
      <c r="W1391" s="26"/>
    </row>
    <row r="1392" spans="1:23" x14ac:dyDescent="0.25">
      <c r="A1392" s="26" t="str">
        <f t="shared" si="218"/>
        <v>PRIMARIA</v>
      </c>
      <c r="B1392" s="26" t="str">
        <f>"09DPR2644T"</f>
        <v>09DPR2644T</v>
      </c>
      <c r="C1392" s="26" t="str">
        <f>"FRANCISCO MARQUEZ                                                                                   "</f>
        <v xml:space="preserve">FRANCISCO MARQUEZ                                                                                   </v>
      </c>
      <c r="D1392" s="26" t="str">
        <f>"VESPERTINO"</f>
        <v>VESPERTINO</v>
      </c>
      <c r="E1392" s="26" t="str">
        <f>"AV. YUCATAN NO. 30                                                              "</f>
        <v xml:space="preserve">AV. YUCATAN NO. 30                                                              </v>
      </c>
      <c r="F1392" s="26" t="str">
        <f>"SAN SEBASTIAN TECOLOXTITLAN                                                                                                                 "</f>
        <v xml:space="preserve">SAN SEBASTIAN TECOLOXTITLAN                                                                                                                 </v>
      </c>
      <c r="G1392" s="26" t="str">
        <f>"IZTAPALAPA                                                                      "</f>
        <v xml:space="preserve">IZTAPALAPA                                                                      </v>
      </c>
      <c r="H1392" s="26" t="str">
        <f>"024"</f>
        <v>024</v>
      </c>
      <c r="I1392" s="26" t="str">
        <f t="shared" si="219"/>
        <v>00</v>
      </c>
      <c r="J1392" s="26" t="str">
        <f>"62 "</f>
        <v xml:space="preserve">62 </v>
      </c>
      <c r="K1392" s="26" t="str">
        <f>"IZ"</f>
        <v>IZ</v>
      </c>
      <c r="L1392" s="26" t="str">
        <f>"DGSEI"</f>
        <v>DGSEI</v>
      </c>
      <c r="M1392" s="26" t="str">
        <f t="shared" si="220"/>
        <v>FEDERAL</v>
      </c>
      <c r="N1392" s="26">
        <v>222</v>
      </c>
      <c r="O1392" s="26">
        <v>120</v>
      </c>
      <c r="P1392" s="26">
        <v>102</v>
      </c>
      <c r="Q1392" s="26">
        <v>11</v>
      </c>
      <c r="R1392" s="26">
        <v>0</v>
      </c>
      <c r="S1392" s="26">
        <v>10</v>
      </c>
      <c r="T1392" s="26">
        <v>8</v>
      </c>
      <c r="U1392" s="26">
        <v>18</v>
      </c>
      <c r="V1392" s="26">
        <v>1</v>
      </c>
      <c r="W1392" s="26"/>
    </row>
    <row r="1393" spans="1:23" x14ac:dyDescent="0.25">
      <c r="A1393" s="26" t="str">
        <f t="shared" si="218"/>
        <v>PRIMARIA</v>
      </c>
      <c r="B1393" s="26" t="str">
        <f>"09DPR2645S"</f>
        <v>09DPR2645S</v>
      </c>
      <c r="C1393" s="26" t="str">
        <f>"JOSE LOPEZ PORTILLO Y ROJAS                                                                         "</f>
        <v xml:space="preserve">JOSE LOPEZ PORTILLO Y ROJAS                                                                         </v>
      </c>
      <c r="D1393" s="26" t="str">
        <f>"JORNADA AMPLIADA"</f>
        <v>JORNADA AMPLIADA</v>
      </c>
      <c r="E1393" s="26" t="str">
        <f>"CALLE 5 NUM 320                                                                 "</f>
        <v xml:space="preserve">CALLE 5 NUM 320                                                                 </v>
      </c>
      <c r="F1393" s="26" t="str">
        <f>"AGRICOLA PANTITLAN                                                                                                                          "</f>
        <v xml:space="preserve">AGRICOLA PANTITLAN                                                                                                                          </v>
      </c>
      <c r="G1393" s="26" t="str">
        <f>"IZTACALCO                                                                       "</f>
        <v xml:space="preserve">IZTACALCO                                                                       </v>
      </c>
      <c r="H1393" s="26" t="str">
        <f>"429"</f>
        <v>429</v>
      </c>
      <c r="I1393" s="26" t="str">
        <f t="shared" si="219"/>
        <v>00</v>
      </c>
      <c r="J1393" s="26" t="str">
        <f>"44 "</f>
        <v xml:space="preserve">44 </v>
      </c>
      <c r="K1393" s="26" t="str">
        <f>"PR"</f>
        <v>PR</v>
      </c>
      <c r="L1393" s="26" t="str">
        <f>"DGOSE"</f>
        <v>DGOSE</v>
      </c>
      <c r="M1393" s="26" t="str">
        <f t="shared" si="220"/>
        <v>FEDERAL</v>
      </c>
      <c r="N1393" s="26">
        <v>539</v>
      </c>
      <c r="O1393" s="26">
        <v>277</v>
      </c>
      <c r="P1393" s="26">
        <v>262</v>
      </c>
      <c r="Q1393" s="26">
        <v>17</v>
      </c>
      <c r="R1393" s="26">
        <v>1</v>
      </c>
      <c r="S1393" s="26">
        <v>17</v>
      </c>
      <c r="T1393" s="26">
        <v>13</v>
      </c>
      <c r="U1393" s="26">
        <v>31</v>
      </c>
      <c r="V1393" s="26">
        <v>1</v>
      </c>
      <c r="W1393" s="26" t="s">
        <v>2076</v>
      </c>
    </row>
    <row r="1394" spans="1:23" x14ac:dyDescent="0.25">
      <c r="A1394" s="26" t="str">
        <f t="shared" si="218"/>
        <v>PRIMARIA</v>
      </c>
      <c r="B1394" s="26" t="str">
        <f>"09DPR2646R"</f>
        <v>09DPR2646R</v>
      </c>
      <c r="C1394" s="26" t="str">
        <f>"MAESTRO DOMINGO TIRADO BENEDI                                                                       "</f>
        <v xml:space="preserve">MAESTRO DOMINGO TIRADO BENEDI                                                                       </v>
      </c>
      <c r="D1394" s="26" t="str">
        <f>"VESPERTINO"</f>
        <v>VESPERTINO</v>
      </c>
      <c r="E1394" s="26" t="str">
        <f>"RAFAEL SIERRA NO. 79                                                            "</f>
        <v xml:space="preserve">RAFAEL SIERRA NO. 79                                                            </v>
      </c>
      <c r="F1394" s="26" t="str">
        <f>"PARAJE SAN JUAN                                                                                                                             "</f>
        <v xml:space="preserve">PARAJE SAN JUAN                                                                                                                             </v>
      </c>
      <c r="G1394" s="26" t="str">
        <f>"IZTAPALAPA                                                                      "</f>
        <v xml:space="preserve">IZTAPALAPA                                                                      </v>
      </c>
      <c r="H1394" s="26" t="str">
        <f>"045"</f>
        <v>045</v>
      </c>
      <c r="I1394" s="26" t="str">
        <f t="shared" si="219"/>
        <v>00</v>
      </c>
      <c r="J1394" s="26" t="str">
        <f>"63 "</f>
        <v xml:space="preserve">63 </v>
      </c>
      <c r="K1394" s="26" t="str">
        <f>"IZ"</f>
        <v>IZ</v>
      </c>
      <c r="L1394" s="26" t="str">
        <f>"DGSEI"</f>
        <v>DGSEI</v>
      </c>
      <c r="M1394" s="26" t="str">
        <f t="shared" si="220"/>
        <v>FEDERAL</v>
      </c>
      <c r="N1394" s="26">
        <v>275</v>
      </c>
      <c r="O1394" s="26">
        <v>136</v>
      </c>
      <c r="P1394" s="26">
        <v>139</v>
      </c>
      <c r="Q1394" s="26">
        <v>18</v>
      </c>
      <c r="R1394" s="26">
        <v>1</v>
      </c>
      <c r="S1394" s="26">
        <v>18</v>
      </c>
      <c r="T1394" s="26">
        <v>6</v>
      </c>
      <c r="U1394" s="26">
        <v>25</v>
      </c>
      <c r="V1394" s="26">
        <v>1</v>
      </c>
      <c r="W1394" s="26"/>
    </row>
    <row r="1395" spans="1:23" x14ac:dyDescent="0.25">
      <c r="A1395" s="26" t="str">
        <f t="shared" si="218"/>
        <v>PRIMARIA</v>
      </c>
      <c r="B1395" s="26" t="str">
        <f>"09DPR2647Q"</f>
        <v>09DPR2647Q</v>
      </c>
      <c r="C1395" s="26" t="str">
        <f>"PROFR. CALIXTO ANTONIO RODRIGUEZ FLORES                                                             "</f>
        <v xml:space="preserve">PROFR. CALIXTO ANTONIO RODRIGUEZ FLORES                                                             </v>
      </c>
      <c r="D1395" s="26" t="str">
        <f>"JORNADA AMPLIADA"</f>
        <v>JORNADA AMPLIADA</v>
      </c>
      <c r="E1395" s="26" t="str">
        <f>"CALLE 28 B Y AV CENTRAL                                                         "</f>
        <v xml:space="preserve">CALLE 28 B Y AV CENTRAL                                                         </v>
      </c>
      <c r="F1395" s="26" t="str">
        <f>"SAN JOSE DE LA ESCALERA                                                                                                                     "</f>
        <v xml:space="preserve">SAN JOSE DE LA ESCALERA                                                                                                                     </v>
      </c>
      <c r="G1395" s="26" t="str">
        <f>"GUSTAVO A. MADERO                                                               "</f>
        <v xml:space="preserve">GUSTAVO A. MADERO                                                               </v>
      </c>
      <c r="H1395" s="26" t="str">
        <f>"132"</f>
        <v>132</v>
      </c>
      <c r="I1395" s="26" t="str">
        <f t="shared" si="219"/>
        <v>00</v>
      </c>
      <c r="J1395" s="26" t="str">
        <f>"41 "</f>
        <v xml:space="preserve">41 </v>
      </c>
      <c r="K1395" s="26" t="str">
        <f>"PR"</f>
        <v>PR</v>
      </c>
      <c r="L1395" s="26" t="str">
        <f>"DGOSE"</f>
        <v>DGOSE</v>
      </c>
      <c r="M1395" s="26" t="str">
        <f t="shared" si="220"/>
        <v>FEDERAL</v>
      </c>
      <c r="N1395" s="26">
        <v>228</v>
      </c>
      <c r="O1395" s="26">
        <v>104</v>
      </c>
      <c r="P1395" s="26">
        <v>124</v>
      </c>
      <c r="Q1395" s="26">
        <v>8</v>
      </c>
      <c r="R1395" s="26">
        <v>1</v>
      </c>
      <c r="S1395" s="26">
        <v>8</v>
      </c>
      <c r="T1395" s="26">
        <v>7</v>
      </c>
      <c r="U1395" s="26">
        <v>16</v>
      </c>
      <c r="V1395" s="26">
        <v>1</v>
      </c>
      <c r="W1395" s="26" t="s">
        <v>2076</v>
      </c>
    </row>
    <row r="1396" spans="1:23" x14ac:dyDescent="0.25">
      <c r="A1396" s="26" t="str">
        <f t="shared" si="218"/>
        <v>PRIMARIA</v>
      </c>
      <c r="B1396" s="26" t="str">
        <f>"09DPR2648P"</f>
        <v>09DPR2648P</v>
      </c>
      <c r="C1396" s="26" t="str">
        <f>"PROFR. CARLOS FUENTES MARTINEZ                                                                      "</f>
        <v xml:space="preserve">PROFR. CARLOS FUENTES MARTINEZ                                                                      </v>
      </c>
      <c r="D1396" s="26" t="str">
        <f>"JORNADA AMPLIADA"</f>
        <v>JORNADA AMPLIADA</v>
      </c>
      <c r="E1396" s="26" t="str">
        <f>"VOLCAN IMPALA NUM 10                                                            "</f>
        <v xml:space="preserve">VOLCAN IMPALA NUM 10                                                            </v>
      </c>
      <c r="F1396" s="26" t="str">
        <f>"PROVIDENCIA                                                                                                                                 "</f>
        <v xml:space="preserve">PROVIDENCIA                                                                                                                                 </v>
      </c>
      <c r="G1396" s="26" t="str">
        <f>"GUSTAVO A. MADERO                                                               "</f>
        <v xml:space="preserve">GUSTAVO A. MADERO                                                               </v>
      </c>
      <c r="H1396" s="26" t="str">
        <f>"142"</f>
        <v>142</v>
      </c>
      <c r="I1396" s="26" t="str">
        <f t="shared" si="219"/>
        <v>00</v>
      </c>
      <c r="J1396" s="26" t="str">
        <f>"41 "</f>
        <v xml:space="preserve">41 </v>
      </c>
      <c r="K1396" s="26" t="str">
        <f>"PR"</f>
        <v>PR</v>
      </c>
      <c r="L1396" s="26" t="str">
        <f>"DGOSE"</f>
        <v>DGOSE</v>
      </c>
      <c r="M1396" s="26" t="str">
        <f t="shared" si="220"/>
        <v>FEDERAL</v>
      </c>
      <c r="N1396" s="26">
        <v>324</v>
      </c>
      <c r="O1396" s="26">
        <v>156</v>
      </c>
      <c r="P1396" s="26">
        <v>168</v>
      </c>
      <c r="Q1396" s="26">
        <v>12</v>
      </c>
      <c r="R1396" s="26">
        <v>1</v>
      </c>
      <c r="S1396" s="26">
        <v>12</v>
      </c>
      <c r="T1396" s="26">
        <v>9</v>
      </c>
      <c r="U1396" s="26">
        <v>22</v>
      </c>
      <c r="V1396" s="26">
        <v>1</v>
      </c>
      <c r="W1396" s="26" t="s">
        <v>2076</v>
      </c>
    </row>
    <row r="1397" spans="1:23" x14ac:dyDescent="0.25">
      <c r="A1397" s="26" t="str">
        <f t="shared" si="218"/>
        <v>PRIMARIA</v>
      </c>
      <c r="B1397" s="26" t="str">
        <f>"09DPR2649O"</f>
        <v>09DPR2649O</v>
      </c>
      <c r="C1397" s="26" t="str">
        <f>"NICOLAS GARCIA DE SAN VICENTE                                                                       "</f>
        <v xml:space="preserve">NICOLAS GARCIA DE SAN VICENTE                                                                       </v>
      </c>
      <c r="D1397" s="26" t="str">
        <f>"VESPERTINO"</f>
        <v>VESPERTINO</v>
      </c>
      <c r="E1397" s="26" t="str">
        <f>"CHILPANCINGO SUR NO. 60                                                         "</f>
        <v xml:space="preserve">CHILPANCINGO SUR NO. 60                                                         </v>
      </c>
      <c r="F1397" s="26" t="str">
        <f>"CONJUNTO URBANO POPULAR ERMITA ZARA                                                                                                         "</f>
        <v xml:space="preserve">CONJUNTO URBANO POPULAR ERMITA ZARA                                                                                                         </v>
      </c>
      <c r="G1397" s="26" t="str">
        <f>"IZTAPALAPA                                                                      "</f>
        <v xml:space="preserve">IZTAPALAPA                                                                      </v>
      </c>
      <c r="H1397" s="26" t="str">
        <f>"032"</f>
        <v>032</v>
      </c>
      <c r="I1397" s="26" t="str">
        <f t="shared" si="219"/>
        <v>00</v>
      </c>
      <c r="J1397" s="26" t="str">
        <f>"62 "</f>
        <v xml:space="preserve">62 </v>
      </c>
      <c r="K1397" s="26" t="str">
        <f>"IZ"</f>
        <v>IZ</v>
      </c>
      <c r="L1397" s="26" t="str">
        <f>"DGSEI"</f>
        <v>DGSEI</v>
      </c>
      <c r="M1397" s="26" t="str">
        <f t="shared" si="220"/>
        <v>FEDERAL</v>
      </c>
      <c r="N1397" s="26">
        <v>219</v>
      </c>
      <c r="O1397" s="26">
        <v>108</v>
      </c>
      <c r="P1397" s="26">
        <v>111</v>
      </c>
      <c r="Q1397" s="26">
        <v>11</v>
      </c>
      <c r="R1397" s="26">
        <v>1</v>
      </c>
      <c r="S1397" s="26">
        <v>10</v>
      </c>
      <c r="T1397" s="26">
        <v>8</v>
      </c>
      <c r="U1397" s="26">
        <v>19</v>
      </c>
      <c r="V1397" s="26">
        <v>1</v>
      </c>
      <c r="W1397" s="26"/>
    </row>
    <row r="1398" spans="1:23" x14ac:dyDescent="0.25">
      <c r="A1398" s="26" t="str">
        <f t="shared" si="218"/>
        <v>PRIMARIA</v>
      </c>
      <c r="B1398" s="26" t="str">
        <f>"09DPR2650D"</f>
        <v>09DPR2650D</v>
      </c>
      <c r="C1398" s="26" t="str">
        <f>"NICOLAS GARCIA DE SAN VICENTE                                                                       "</f>
        <v xml:space="preserve">NICOLAS GARCIA DE SAN VICENTE                                                                       </v>
      </c>
      <c r="D1398" s="26" t="str">
        <f>"MATUTINO"</f>
        <v>MATUTINO</v>
      </c>
      <c r="E1398" s="26" t="str">
        <f>"CHILPANCINGO SUR NO. 60                                                         "</f>
        <v xml:space="preserve">CHILPANCINGO SUR NO. 60                                                         </v>
      </c>
      <c r="F1398" s="26" t="str">
        <f>"CONJUNTO URBANO POPULAR ERMITA ZARA                                                                                                         "</f>
        <v xml:space="preserve">CONJUNTO URBANO POPULAR ERMITA ZARA                                                                                                         </v>
      </c>
      <c r="G1398" s="26" t="str">
        <f>"IZTAPALAPA                                                                      "</f>
        <v xml:space="preserve">IZTAPALAPA                                                                      </v>
      </c>
      <c r="H1398" s="26" t="str">
        <f>"032"</f>
        <v>032</v>
      </c>
      <c r="I1398" s="26" t="str">
        <f t="shared" si="219"/>
        <v>00</v>
      </c>
      <c r="J1398" s="26" t="str">
        <f>"62 "</f>
        <v xml:space="preserve">62 </v>
      </c>
      <c r="K1398" s="26" t="str">
        <f>"IZ"</f>
        <v>IZ</v>
      </c>
      <c r="L1398" s="26" t="str">
        <f>"DGSEI"</f>
        <v>DGSEI</v>
      </c>
      <c r="M1398" s="26" t="str">
        <f t="shared" si="220"/>
        <v>FEDERAL</v>
      </c>
      <c r="N1398" s="26">
        <v>391</v>
      </c>
      <c r="O1398" s="26">
        <v>184</v>
      </c>
      <c r="P1398" s="26">
        <v>207</v>
      </c>
      <c r="Q1398" s="26">
        <v>12</v>
      </c>
      <c r="R1398" s="26">
        <v>1</v>
      </c>
      <c r="S1398" s="26">
        <v>12</v>
      </c>
      <c r="T1398" s="26">
        <v>6</v>
      </c>
      <c r="U1398" s="26">
        <v>19</v>
      </c>
      <c r="V1398" s="26">
        <v>1</v>
      </c>
      <c r="W1398" s="26"/>
    </row>
    <row r="1399" spans="1:23" x14ac:dyDescent="0.25">
      <c r="A1399" s="26" t="str">
        <f t="shared" si="218"/>
        <v>PRIMARIA</v>
      </c>
      <c r="B1399" s="26" t="str">
        <f>"09DPR2651C"</f>
        <v>09DPR2651C</v>
      </c>
      <c r="C1399" s="26" t="str">
        <f>"REPUBLICA DE GUATEMALA                                                                              "</f>
        <v xml:space="preserve">REPUBLICA DE GUATEMALA                                                                              </v>
      </c>
      <c r="D1399" s="26" t="str">
        <f>"MATUTINO"</f>
        <v>MATUTINO</v>
      </c>
      <c r="E1399" s="26" t="str">
        <f>"IGNACIO COMONFORT S/N.                                                          "</f>
        <v xml:space="preserve">IGNACIO COMONFORT S/N.                                                          </v>
      </c>
      <c r="F1399" s="26" t="str">
        <f>"SAN LUCAS                                                                                                                                   "</f>
        <v xml:space="preserve">SAN LUCAS                                                                                                                                   </v>
      </c>
      <c r="G1399" s="26" t="str">
        <f>"IZTAPALAPA                                                                      "</f>
        <v xml:space="preserve">IZTAPALAPA                                                                      </v>
      </c>
      <c r="H1399" s="26" t="str">
        <f>"038"</f>
        <v>038</v>
      </c>
      <c r="I1399" s="26" t="str">
        <f t="shared" si="219"/>
        <v>00</v>
      </c>
      <c r="J1399" s="26" t="str">
        <f>"63 "</f>
        <v xml:space="preserve">63 </v>
      </c>
      <c r="K1399" s="26" t="str">
        <f>"IZ"</f>
        <v>IZ</v>
      </c>
      <c r="L1399" s="26" t="str">
        <f>"DGSEI"</f>
        <v>DGSEI</v>
      </c>
      <c r="M1399" s="26" t="str">
        <f t="shared" si="220"/>
        <v>FEDERAL</v>
      </c>
      <c r="N1399" s="26">
        <v>218</v>
      </c>
      <c r="O1399" s="26">
        <v>98</v>
      </c>
      <c r="P1399" s="26">
        <v>120</v>
      </c>
      <c r="Q1399" s="26">
        <v>7</v>
      </c>
      <c r="R1399" s="26">
        <v>1</v>
      </c>
      <c r="S1399" s="26">
        <v>7</v>
      </c>
      <c r="T1399" s="26">
        <v>4</v>
      </c>
      <c r="U1399" s="26">
        <v>12</v>
      </c>
      <c r="V1399" s="26">
        <v>1</v>
      </c>
      <c r="W1399" s="26"/>
    </row>
    <row r="1400" spans="1:23" x14ac:dyDescent="0.25">
      <c r="A1400" s="26" t="str">
        <f t="shared" si="218"/>
        <v>PRIMARIA</v>
      </c>
      <c r="B1400" s="26" t="str">
        <f>"09DPR2652B"</f>
        <v>09DPR2652B</v>
      </c>
      <c r="C1400" s="26" t="str">
        <f>"ANASTASIO GAONA DURAN                                                                               "</f>
        <v xml:space="preserve">ANASTASIO GAONA DURAN                                                                               </v>
      </c>
      <c r="D1400" s="26" t="str">
        <f>"JORNADA AMPLIADA"</f>
        <v>JORNADA AMPLIADA</v>
      </c>
      <c r="E1400" s="26" t="str">
        <f>"CALLE 157 OTE S/N                                                               "</f>
        <v xml:space="preserve">CALLE 157 OTE S/N                                                               </v>
      </c>
      <c r="F1400" s="26" t="str">
        <f>"UNIDAD HABITACIONAL EL COYOL                                                                                                                "</f>
        <v xml:space="preserve">UNIDAD HABITACIONAL EL COYOL                                                                                                                </v>
      </c>
      <c r="G1400" s="26" t="str">
        <f>"GUSTAVO A. MADERO                                                               "</f>
        <v xml:space="preserve">GUSTAVO A. MADERO                                                               </v>
      </c>
      <c r="H1400" s="26" t="str">
        <f>"139"</f>
        <v>139</v>
      </c>
      <c r="I1400" s="26" t="str">
        <f t="shared" si="219"/>
        <v>00</v>
      </c>
      <c r="J1400" s="26" t="str">
        <f>"41 "</f>
        <v xml:space="preserve">41 </v>
      </c>
      <c r="K1400" s="26" t="str">
        <f>"PR"</f>
        <v>PR</v>
      </c>
      <c r="L1400" s="26" t="str">
        <f>"DGOSE"</f>
        <v>DGOSE</v>
      </c>
      <c r="M1400" s="26" t="str">
        <f t="shared" si="220"/>
        <v>FEDERAL</v>
      </c>
      <c r="N1400" s="26">
        <v>416</v>
      </c>
      <c r="O1400" s="26">
        <v>225</v>
      </c>
      <c r="P1400" s="26">
        <v>191</v>
      </c>
      <c r="Q1400" s="26">
        <v>13</v>
      </c>
      <c r="R1400" s="26">
        <v>1</v>
      </c>
      <c r="S1400" s="26">
        <v>13</v>
      </c>
      <c r="T1400" s="26">
        <v>12</v>
      </c>
      <c r="U1400" s="26">
        <v>26</v>
      </c>
      <c r="V1400" s="26">
        <v>1</v>
      </c>
      <c r="W1400" s="26" t="s">
        <v>2076</v>
      </c>
    </row>
    <row r="1401" spans="1:23" x14ac:dyDescent="0.25">
      <c r="A1401" s="26" t="str">
        <f t="shared" si="218"/>
        <v>PRIMARIA</v>
      </c>
      <c r="B1401" s="26" t="str">
        <f>"09DPR2653A"</f>
        <v>09DPR2653A</v>
      </c>
      <c r="C1401" s="26" t="str">
        <f>"JOSE ORTEGA Y GASSET                                                                                "</f>
        <v xml:space="preserve">JOSE ORTEGA Y GASSET                                                                                </v>
      </c>
      <c r="D1401" s="26" t="str">
        <f>"VESPERTINO"</f>
        <v>VESPERTINO</v>
      </c>
      <c r="E1401" s="26" t="str">
        <f>"MARIA ESTHER ZUNO DE ECHEVERRIA NO. 46                                          "</f>
        <v xml:space="preserve">MARIA ESTHER ZUNO DE ECHEVERRIA NO. 46                                          </v>
      </c>
      <c r="F1401" s="26" t="str">
        <f>"SANTIAGO ACAHUALTEPEC 2A AMPLIACION                                                                                                         "</f>
        <v xml:space="preserve">SANTIAGO ACAHUALTEPEC 2A AMPLIACION                                                                                                         </v>
      </c>
      <c r="G1401" s="26" t="str">
        <f>"IZTAPALAPA                                                                      "</f>
        <v xml:space="preserve">IZTAPALAPA                                                                      </v>
      </c>
      <c r="H1401" s="26" t="str">
        <f>"063"</f>
        <v>063</v>
      </c>
      <c r="I1401" s="26" t="str">
        <f t="shared" si="219"/>
        <v>00</v>
      </c>
      <c r="J1401" s="26" t="str">
        <f>"64 "</f>
        <v xml:space="preserve">64 </v>
      </c>
      <c r="K1401" s="26" t="str">
        <f>"IZ"</f>
        <v>IZ</v>
      </c>
      <c r="L1401" s="26" t="str">
        <f>"DGSEI"</f>
        <v>DGSEI</v>
      </c>
      <c r="M1401" s="26" t="str">
        <f t="shared" si="220"/>
        <v>FEDERAL</v>
      </c>
      <c r="N1401" s="26">
        <v>452</v>
      </c>
      <c r="O1401" s="26">
        <v>235</v>
      </c>
      <c r="P1401" s="26">
        <v>217</v>
      </c>
      <c r="Q1401" s="26">
        <v>17</v>
      </c>
      <c r="R1401" s="26">
        <v>1</v>
      </c>
      <c r="S1401" s="26">
        <v>17</v>
      </c>
      <c r="T1401" s="26">
        <v>7</v>
      </c>
      <c r="U1401" s="26">
        <v>25</v>
      </c>
      <c r="V1401" s="26">
        <v>1</v>
      </c>
      <c r="W1401" s="26"/>
    </row>
    <row r="1402" spans="1:23" x14ac:dyDescent="0.25">
      <c r="A1402" s="26" t="str">
        <f t="shared" si="218"/>
        <v>PRIMARIA</v>
      </c>
      <c r="B1402" s="26" t="str">
        <f>"09DPR2655Z"</f>
        <v>09DPR2655Z</v>
      </c>
      <c r="C1402" s="26" t="str">
        <f>"TLAMACHIHUAPAN                                                                                      "</f>
        <v xml:space="preserve">TLAMACHIHUAPAN                                                                                      </v>
      </c>
      <c r="D1402" s="26" t="str">
        <f>"VESPERTINO"</f>
        <v>VESPERTINO</v>
      </c>
      <c r="E1402" s="26" t="str">
        <f>"AV 2 DE ABRIL NO 27                                                             "</f>
        <v xml:space="preserve">AV 2 DE ABRIL NO 27                                                             </v>
      </c>
      <c r="F1402" s="26" t="str">
        <f>"SANTA CRUZ ACALPIXCA                                                                                                                        "</f>
        <v xml:space="preserve">SANTA CRUZ ACALPIXCA                                                                                                                        </v>
      </c>
      <c r="G1402" s="26" t="str">
        <f>"XOCHIMILCO                                                                      "</f>
        <v xml:space="preserve">XOCHIMILCO                                                                      </v>
      </c>
      <c r="H1402" s="26" t="str">
        <f>"542"</f>
        <v>542</v>
      </c>
      <c r="I1402" s="26" t="str">
        <f t="shared" si="219"/>
        <v>00</v>
      </c>
      <c r="J1402" s="26" t="str">
        <f>"45 "</f>
        <v xml:space="preserve">45 </v>
      </c>
      <c r="K1402" s="26" t="str">
        <f t="shared" ref="K1402:K1419" si="227">"PR"</f>
        <v>PR</v>
      </c>
      <c r="L1402" s="26" t="str">
        <f t="shared" ref="L1402:L1419" si="228">"DGOSE"</f>
        <v>DGOSE</v>
      </c>
      <c r="M1402" s="26" t="str">
        <f t="shared" si="220"/>
        <v>FEDERAL</v>
      </c>
      <c r="N1402" s="26">
        <v>490</v>
      </c>
      <c r="O1402" s="26">
        <v>278</v>
      </c>
      <c r="P1402" s="26">
        <v>212</v>
      </c>
      <c r="Q1402" s="26">
        <v>22</v>
      </c>
      <c r="R1402" s="26">
        <v>1</v>
      </c>
      <c r="S1402" s="26">
        <v>17</v>
      </c>
      <c r="T1402" s="26">
        <v>9</v>
      </c>
      <c r="U1402" s="26">
        <v>27</v>
      </c>
      <c r="V1402" s="26">
        <v>1</v>
      </c>
      <c r="W1402" s="26"/>
    </row>
    <row r="1403" spans="1:23" x14ac:dyDescent="0.25">
      <c r="A1403" s="26" t="str">
        <f t="shared" si="218"/>
        <v>PRIMARIA</v>
      </c>
      <c r="B1403" s="26" t="str">
        <f>"09DPR2657X"</f>
        <v>09DPR2657X</v>
      </c>
      <c r="C1403" s="26" t="str">
        <f>"PLAN DE AYALA                                                                                       "</f>
        <v xml:space="preserve">PLAN DE AYALA                                                                                       </v>
      </c>
      <c r="D1403" s="26" t="str">
        <f>"VESPERTINO"</f>
        <v>VESPERTINO</v>
      </c>
      <c r="E1403" s="26" t="str">
        <f>"PLAN DE AYUTLA 45                                                               "</f>
        <v xml:space="preserve">PLAN DE AYUTLA 45                                                               </v>
      </c>
      <c r="F1403" s="26" t="str">
        <f>"SAN FRANCISCO TLALTENCO                                                                                                                     "</f>
        <v xml:space="preserve">SAN FRANCISCO TLALTENCO                                                                                                                     </v>
      </c>
      <c r="G1403" s="26" t="str">
        <f>"TLAHUAC                                                                         "</f>
        <v xml:space="preserve">TLAHUAC                                                                         </v>
      </c>
      <c r="H1403" s="26" t="str">
        <f>"554"</f>
        <v>554</v>
      </c>
      <c r="I1403" s="26" t="str">
        <f t="shared" si="219"/>
        <v>00</v>
      </c>
      <c r="J1403" s="26" t="str">
        <f>"45 "</f>
        <v xml:space="preserve">45 </v>
      </c>
      <c r="K1403" s="26" t="str">
        <f t="shared" si="227"/>
        <v>PR</v>
      </c>
      <c r="L1403" s="26" t="str">
        <f t="shared" si="228"/>
        <v>DGOSE</v>
      </c>
      <c r="M1403" s="26" t="str">
        <f t="shared" si="220"/>
        <v>FEDERAL</v>
      </c>
      <c r="N1403" s="26">
        <v>379</v>
      </c>
      <c r="O1403" s="26">
        <v>191</v>
      </c>
      <c r="P1403" s="26">
        <v>188</v>
      </c>
      <c r="Q1403" s="26">
        <v>13</v>
      </c>
      <c r="R1403" s="26">
        <v>1</v>
      </c>
      <c r="S1403" s="26">
        <v>13</v>
      </c>
      <c r="T1403" s="26">
        <v>5</v>
      </c>
      <c r="U1403" s="26">
        <v>19</v>
      </c>
      <c r="V1403" s="26">
        <v>1</v>
      </c>
      <c r="W1403" s="26"/>
    </row>
    <row r="1404" spans="1:23" x14ac:dyDescent="0.25">
      <c r="A1404" s="26" t="str">
        <f t="shared" si="218"/>
        <v>PRIMARIA</v>
      </c>
      <c r="B1404" s="26" t="str">
        <f>"09DPR2658W"</f>
        <v>09DPR2658W</v>
      </c>
      <c r="C1404" s="26" t="str">
        <f>"GRAL. SANTOS DEGOLLADO                                                                              "</f>
        <v xml:space="preserve">GRAL. SANTOS DEGOLLADO                                                                              </v>
      </c>
      <c r="D1404" s="26" t="str">
        <f>"VESPERTINO"</f>
        <v>VESPERTINO</v>
      </c>
      <c r="E1404" s="26" t="str">
        <f>"LEANDRO VALLE NUM 33                                                            "</f>
        <v xml:space="preserve">LEANDRO VALLE NUM 33                                                            </v>
      </c>
      <c r="F1404" s="26" t="str">
        <f>"SAN LORENZO ACOPILCO                                                                                                                        "</f>
        <v xml:space="preserve">SAN LORENZO ACOPILCO                                                                                                                        </v>
      </c>
      <c r="G1404" s="26" t="str">
        <f>"CUAJIMALPA DE MORELOS                                                           "</f>
        <v xml:space="preserve">CUAJIMALPA DE MORELOS                                                           </v>
      </c>
      <c r="H1404" s="26" t="str">
        <f>"306"</f>
        <v>306</v>
      </c>
      <c r="I1404" s="26" t="str">
        <f t="shared" si="219"/>
        <v>00</v>
      </c>
      <c r="J1404" s="26" t="str">
        <f>"43 "</f>
        <v xml:space="preserve">43 </v>
      </c>
      <c r="K1404" s="26" t="str">
        <f t="shared" si="227"/>
        <v>PR</v>
      </c>
      <c r="L1404" s="26" t="str">
        <f t="shared" si="228"/>
        <v>DGOSE</v>
      </c>
      <c r="M1404" s="26" t="str">
        <f t="shared" si="220"/>
        <v>FEDERAL</v>
      </c>
      <c r="N1404" s="26">
        <v>276</v>
      </c>
      <c r="O1404" s="26">
        <v>138</v>
      </c>
      <c r="P1404" s="26">
        <v>138</v>
      </c>
      <c r="Q1404" s="26">
        <v>10</v>
      </c>
      <c r="R1404" s="26">
        <v>1</v>
      </c>
      <c r="S1404" s="26">
        <v>10</v>
      </c>
      <c r="T1404" s="26">
        <v>5</v>
      </c>
      <c r="U1404" s="26">
        <v>16</v>
      </c>
      <c r="V1404" s="26">
        <v>1</v>
      </c>
      <c r="W1404" s="26"/>
    </row>
    <row r="1405" spans="1:23" x14ac:dyDescent="0.25">
      <c r="A1405" s="26" t="str">
        <f t="shared" si="218"/>
        <v>PRIMARIA</v>
      </c>
      <c r="B1405" s="26" t="str">
        <f>"09DPR2659V"</f>
        <v>09DPR2659V</v>
      </c>
      <c r="C1405" s="26" t="str">
        <f>"PROFR. ROBERTO OROPEZA NAJERA                                                                       "</f>
        <v xml:space="preserve">PROFR. ROBERTO OROPEZA NAJERA                                                                       </v>
      </c>
      <c r="D1405" s="26" t="str">
        <f>"JORNADA AMPLIADA"</f>
        <v>JORNADA AMPLIADA</v>
      </c>
      <c r="E1405" s="26" t="str">
        <f>"LATERAL PERIFERICO NUM.13590                                                    "</f>
        <v xml:space="preserve">LATERAL PERIFERICO NUM.13590                                                    </v>
      </c>
      <c r="F1405" s="26" t="str">
        <f>"LA PRADERA                                                                                                                                  "</f>
        <v xml:space="preserve">LA PRADERA                                                                                                                                  </v>
      </c>
      <c r="G1405" s="26" t="str">
        <f>"GUSTAVO A. MADERO                                                               "</f>
        <v xml:space="preserve">GUSTAVO A. MADERO                                                               </v>
      </c>
      <c r="H1405" s="26" t="str">
        <f>"144"</f>
        <v>144</v>
      </c>
      <c r="I1405" s="26" t="str">
        <f t="shared" si="219"/>
        <v>00</v>
      </c>
      <c r="J1405" s="26" t="str">
        <f>"41 "</f>
        <v xml:space="preserve">41 </v>
      </c>
      <c r="K1405" s="26" t="str">
        <f t="shared" si="227"/>
        <v>PR</v>
      </c>
      <c r="L1405" s="26" t="str">
        <f t="shared" si="228"/>
        <v>DGOSE</v>
      </c>
      <c r="M1405" s="26" t="str">
        <f t="shared" si="220"/>
        <v>FEDERAL</v>
      </c>
      <c r="N1405" s="26">
        <v>350</v>
      </c>
      <c r="O1405" s="26">
        <v>188</v>
      </c>
      <c r="P1405" s="26">
        <v>162</v>
      </c>
      <c r="Q1405" s="26">
        <v>12</v>
      </c>
      <c r="R1405" s="26">
        <v>1</v>
      </c>
      <c r="S1405" s="26">
        <v>12</v>
      </c>
      <c r="T1405" s="26">
        <v>11</v>
      </c>
      <c r="U1405" s="26">
        <v>24</v>
      </c>
      <c r="V1405" s="26">
        <v>1</v>
      </c>
      <c r="W1405" s="26" t="s">
        <v>2076</v>
      </c>
    </row>
    <row r="1406" spans="1:23" x14ac:dyDescent="0.25">
      <c r="A1406" s="26" t="str">
        <f t="shared" si="218"/>
        <v>PRIMARIA</v>
      </c>
      <c r="B1406" s="26" t="str">
        <f>"09DPR2660K"</f>
        <v>09DPR2660K</v>
      </c>
      <c r="C1406" s="26" t="str">
        <f>"VALERIO TRUJANO                                                                                     "</f>
        <v xml:space="preserve">VALERIO TRUJANO                                                                                     </v>
      </c>
      <c r="D1406" s="26" t="str">
        <f>"VESPERTINO"</f>
        <v>VESPERTINO</v>
      </c>
      <c r="E1406" s="26" t="str">
        <f>"AV JUAREZ NUM 22                                                                "</f>
        <v xml:space="preserve">AV JUAREZ NUM 22                                                                </v>
      </c>
      <c r="F1406" s="26" t="str">
        <f>"CHIMALPA                                                                                                                                    "</f>
        <v xml:space="preserve">CHIMALPA                                                                                                                                    </v>
      </c>
      <c r="G1406" s="26" t="str">
        <f>"CUAJIMALPA DE MORELOS                                                           "</f>
        <v xml:space="preserve">CUAJIMALPA DE MORELOS                                                           </v>
      </c>
      <c r="H1406" s="26" t="str">
        <f>"305"</f>
        <v>305</v>
      </c>
      <c r="I1406" s="26" t="str">
        <f t="shared" si="219"/>
        <v>00</v>
      </c>
      <c r="J1406" s="26" t="str">
        <f>"43 "</f>
        <v xml:space="preserve">43 </v>
      </c>
      <c r="K1406" s="26" t="str">
        <f t="shared" si="227"/>
        <v>PR</v>
      </c>
      <c r="L1406" s="26" t="str">
        <f t="shared" si="228"/>
        <v>DGOSE</v>
      </c>
      <c r="M1406" s="26" t="str">
        <f t="shared" si="220"/>
        <v>FEDERAL</v>
      </c>
      <c r="N1406" s="26">
        <v>388</v>
      </c>
      <c r="O1406" s="26">
        <v>211</v>
      </c>
      <c r="P1406" s="26">
        <v>177</v>
      </c>
      <c r="Q1406" s="26">
        <v>14</v>
      </c>
      <c r="R1406" s="26">
        <v>1</v>
      </c>
      <c r="S1406" s="26">
        <v>14</v>
      </c>
      <c r="T1406" s="26">
        <v>10</v>
      </c>
      <c r="U1406" s="26">
        <v>25</v>
      </c>
      <c r="V1406" s="26">
        <v>1</v>
      </c>
      <c r="W1406" s="26"/>
    </row>
    <row r="1407" spans="1:23" x14ac:dyDescent="0.25">
      <c r="A1407" s="26" t="str">
        <f t="shared" si="218"/>
        <v>PRIMARIA</v>
      </c>
      <c r="B1407" s="26" t="str">
        <f>"09DPR2662I"</f>
        <v>09DPR2662I</v>
      </c>
      <c r="C1407" s="26" t="str">
        <f>"VICENTE LOMBARDO TOLEDANO                                                                           "</f>
        <v xml:space="preserve">VICENTE LOMBARDO TOLEDANO                                                                           </v>
      </c>
      <c r="D1407" s="26" t="str">
        <f>"VESPERTINO"</f>
        <v>VESPERTINO</v>
      </c>
      <c r="E1407" s="26" t="str">
        <f>"M ALEMAN Y RUIZ CORTINES S/N                                                    "</f>
        <v xml:space="preserve">M ALEMAN Y RUIZ CORTINES S/N                                                    </v>
      </c>
      <c r="F1407" s="26" t="str">
        <f>"BENITO JUAREZ                                                                                                                               "</f>
        <v xml:space="preserve">BENITO JUAREZ                                                                                                                               </v>
      </c>
      <c r="G1407" s="26" t="str">
        <f>"GUSTAVO A. MADERO                                                               "</f>
        <v xml:space="preserve">GUSTAVO A. MADERO                                                               </v>
      </c>
      <c r="H1407" s="26" t="str">
        <f>"234"</f>
        <v>234</v>
      </c>
      <c r="I1407" s="26" t="str">
        <f t="shared" si="219"/>
        <v>00</v>
      </c>
      <c r="J1407" s="26" t="str">
        <f>"42 "</f>
        <v xml:space="preserve">42 </v>
      </c>
      <c r="K1407" s="26" t="str">
        <f t="shared" si="227"/>
        <v>PR</v>
      </c>
      <c r="L1407" s="26" t="str">
        <f t="shared" si="228"/>
        <v>DGOSE</v>
      </c>
      <c r="M1407" s="26" t="str">
        <f t="shared" si="220"/>
        <v>FEDERAL</v>
      </c>
      <c r="N1407" s="26">
        <v>213</v>
      </c>
      <c r="O1407" s="26">
        <v>99</v>
      </c>
      <c r="P1407" s="26">
        <v>114</v>
      </c>
      <c r="Q1407" s="26">
        <v>12</v>
      </c>
      <c r="R1407" s="26">
        <v>1</v>
      </c>
      <c r="S1407" s="26">
        <v>12</v>
      </c>
      <c r="T1407" s="26">
        <v>9</v>
      </c>
      <c r="U1407" s="26">
        <v>22</v>
      </c>
      <c r="V1407" s="26">
        <v>1</v>
      </c>
      <c r="W1407" s="26"/>
    </row>
    <row r="1408" spans="1:23" x14ac:dyDescent="0.25">
      <c r="A1408" s="26" t="str">
        <f t="shared" si="218"/>
        <v>PRIMARIA</v>
      </c>
      <c r="B1408" s="26" t="str">
        <f>"09DPR2663H"</f>
        <v>09DPR2663H</v>
      </c>
      <c r="C1408" s="26" t="str">
        <f>"DR. SALVADOR ALLENDE                                                                                "</f>
        <v xml:space="preserve">DR. SALVADOR ALLENDE                                                                                </v>
      </c>
      <c r="D1408" s="26" t="str">
        <f>"JORNADA AMPLIADA"</f>
        <v>JORNADA AMPLIADA</v>
      </c>
      <c r="E1408" s="26" t="str">
        <f>"BLVR DEL TEMOLUCO Y LA ESCOLLERA S/N                                            "</f>
        <v xml:space="preserve">BLVR DEL TEMOLUCO Y LA ESCOLLERA S/N                                            </v>
      </c>
      <c r="F1408" s="26" t="str">
        <f>"ACUEDUCTO DE GUADALUPE                                                                                                                      "</f>
        <v xml:space="preserve">ACUEDUCTO DE GUADALUPE                                                                                                                      </v>
      </c>
      <c r="G1408" s="26" t="str">
        <f>"GUSTAVO A. MADERO                                                               "</f>
        <v xml:space="preserve">GUSTAVO A. MADERO                                                               </v>
      </c>
      <c r="H1408" s="26" t="str">
        <f>"132"</f>
        <v>132</v>
      </c>
      <c r="I1408" s="26" t="str">
        <f t="shared" si="219"/>
        <v>00</v>
      </c>
      <c r="J1408" s="26" t="str">
        <f>"41 "</f>
        <v xml:space="preserve">41 </v>
      </c>
      <c r="K1408" s="26" t="str">
        <f t="shared" si="227"/>
        <v>PR</v>
      </c>
      <c r="L1408" s="26" t="str">
        <f t="shared" si="228"/>
        <v>DGOSE</v>
      </c>
      <c r="M1408" s="26" t="str">
        <f t="shared" si="220"/>
        <v>FEDERAL</v>
      </c>
      <c r="N1408" s="26">
        <v>582</v>
      </c>
      <c r="O1408" s="26">
        <v>296</v>
      </c>
      <c r="P1408" s="26">
        <v>286</v>
      </c>
      <c r="Q1408" s="26">
        <v>18</v>
      </c>
      <c r="R1408" s="26">
        <v>1</v>
      </c>
      <c r="S1408" s="26">
        <v>18</v>
      </c>
      <c r="T1408" s="26">
        <v>12</v>
      </c>
      <c r="U1408" s="26">
        <v>31</v>
      </c>
      <c r="V1408" s="26">
        <v>1</v>
      </c>
      <c r="W1408" s="26" t="s">
        <v>2076</v>
      </c>
    </row>
    <row r="1409" spans="1:23" x14ac:dyDescent="0.25">
      <c r="A1409" s="26" t="str">
        <f t="shared" si="218"/>
        <v>PRIMARIA</v>
      </c>
      <c r="B1409" s="26" t="str">
        <f>"09DPR2666E"</f>
        <v>09DPR2666E</v>
      </c>
      <c r="C1409" s="26" t="str">
        <f>"FRANCISCO DEL OLMO                                                                                  "</f>
        <v xml:space="preserve">FRANCISCO DEL OLMO                                                                                  </v>
      </c>
      <c r="D1409" s="26" t="str">
        <f>"VESPERTINO"</f>
        <v>VESPERTINO</v>
      </c>
      <c r="E1409" s="26" t="str">
        <f>"FRANCISCO I MADERO NUM.15                                                       "</f>
        <v xml:space="preserve">FRANCISCO I MADERO NUM.15                                                       </v>
      </c>
      <c r="F1409" s="26" t="str">
        <f>"SANTA ANA TLACOTENCO                                                                                                                        "</f>
        <v xml:space="preserve">SANTA ANA TLACOTENCO                                                                                                                        </v>
      </c>
      <c r="G1409" s="26" t="str">
        <f>"MILPA ALTA                                                                      "</f>
        <v xml:space="preserve">MILPA ALTA                                                                      </v>
      </c>
      <c r="H1409" s="26" t="str">
        <f>"562"</f>
        <v>562</v>
      </c>
      <c r="I1409" s="26" t="str">
        <f t="shared" si="219"/>
        <v>00</v>
      </c>
      <c r="J1409" s="26" t="str">
        <f>"45 "</f>
        <v xml:space="preserve">45 </v>
      </c>
      <c r="K1409" s="26" t="str">
        <f t="shared" si="227"/>
        <v>PR</v>
      </c>
      <c r="L1409" s="26" t="str">
        <f t="shared" si="228"/>
        <v>DGOSE</v>
      </c>
      <c r="M1409" s="26" t="str">
        <f t="shared" si="220"/>
        <v>FEDERAL</v>
      </c>
      <c r="N1409" s="26">
        <v>345</v>
      </c>
      <c r="O1409" s="26">
        <v>184</v>
      </c>
      <c r="P1409" s="26">
        <v>161</v>
      </c>
      <c r="Q1409" s="26">
        <v>13</v>
      </c>
      <c r="R1409" s="26">
        <v>1</v>
      </c>
      <c r="S1409" s="26">
        <v>13</v>
      </c>
      <c r="T1409" s="26">
        <v>10</v>
      </c>
      <c r="U1409" s="26">
        <v>24</v>
      </c>
      <c r="V1409" s="26">
        <v>1</v>
      </c>
      <c r="W1409" s="26"/>
    </row>
    <row r="1410" spans="1:23" x14ac:dyDescent="0.25">
      <c r="A1410" s="26" t="str">
        <f t="shared" ref="A1410:A1473" si="229">"PRIMARIA"</f>
        <v>PRIMARIA</v>
      </c>
      <c r="B1410" s="26" t="str">
        <f>"09DPR2669B"</f>
        <v>09DPR2669B</v>
      </c>
      <c r="C1410" s="26" t="str">
        <f>"PROFR. NARCISO RAMOS GALICIA                                                                        "</f>
        <v xml:space="preserve">PROFR. NARCISO RAMOS GALICIA                                                                        </v>
      </c>
      <c r="D1410" s="26" t="str">
        <f>"VESPERTINO"</f>
        <v>VESPERTINO</v>
      </c>
      <c r="E1410" s="26" t="str">
        <f>"HIDALGO Y CUITLAHUAC S/N                                                        "</f>
        <v xml:space="preserve">HIDALGO Y CUITLAHUAC S/N                                                        </v>
      </c>
      <c r="F1410" s="26" t="str">
        <f>"SAN MATEO                                                                                                                                   "</f>
        <v xml:space="preserve">SAN MATEO                                                                                                                                   </v>
      </c>
      <c r="G1410" s="26" t="str">
        <f>"TLAHUAC                                                                         "</f>
        <v xml:space="preserve">TLAHUAC                                                                         </v>
      </c>
      <c r="H1410" s="26" t="str">
        <f>"558"</f>
        <v>558</v>
      </c>
      <c r="I1410" s="26" t="str">
        <f t="shared" ref="I1410:I1473" si="230">"00"</f>
        <v>00</v>
      </c>
      <c r="J1410" s="26" t="str">
        <f>"45 "</f>
        <v xml:space="preserve">45 </v>
      </c>
      <c r="K1410" s="26" t="str">
        <f t="shared" si="227"/>
        <v>PR</v>
      </c>
      <c r="L1410" s="26" t="str">
        <f t="shared" si="228"/>
        <v>DGOSE</v>
      </c>
      <c r="M1410" s="26" t="str">
        <f t="shared" ref="M1410:M1473" si="231">"FEDERAL"</f>
        <v>FEDERAL</v>
      </c>
      <c r="N1410" s="26">
        <v>595</v>
      </c>
      <c r="O1410" s="26">
        <v>296</v>
      </c>
      <c r="P1410" s="26">
        <v>299</v>
      </c>
      <c r="Q1410" s="26">
        <v>21</v>
      </c>
      <c r="R1410" s="26">
        <v>1</v>
      </c>
      <c r="S1410" s="26">
        <v>20</v>
      </c>
      <c r="T1410" s="26">
        <v>13</v>
      </c>
      <c r="U1410" s="26">
        <v>34</v>
      </c>
      <c r="V1410" s="26">
        <v>1</v>
      </c>
      <c r="W1410" s="26"/>
    </row>
    <row r="1411" spans="1:23" x14ac:dyDescent="0.25">
      <c r="A1411" s="26" t="str">
        <f t="shared" si="229"/>
        <v>PRIMARIA</v>
      </c>
      <c r="B1411" s="26" t="str">
        <f>"09DPR2670R"</f>
        <v>09DPR2670R</v>
      </c>
      <c r="C1411" s="26" t="str">
        <f>"SOSTENES NICOLAS CHAPA NIETO                                                                        "</f>
        <v xml:space="preserve">SOSTENES NICOLAS CHAPA NIETO                                                                        </v>
      </c>
      <c r="D1411" s="26" t="str">
        <f>"VESPERTINO"</f>
        <v>VESPERTINO</v>
      </c>
      <c r="E1411" s="26" t="str">
        <f>"RUPERTO PEREZ DE LEON S/N                                                       "</f>
        <v xml:space="preserve">RUPERTO PEREZ DE LEON S/N                                                       </v>
      </c>
      <c r="F1411" s="26" t="str">
        <f>"LA CONCHITA ZAPOTITLAN                                                                                                                      "</f>
        <v xml:space="preserve">LA CONCHITA ZAPOTITLAN                                                                                                                      </v>
      </c>
      <c r="G1411" s="26" t="str">
        <f>"TLAHUAC                                                                         "</f>
        <v xml:space="preserve">TLAHUAC                                                                         </v>
      </c>
      <c r="H1411" s="26" t="str">
        <f>"553"</f>
        <v>553</v>
      </c>
      <c r="I1411" s="26" t="str">
        <f t="shared" si="230"/>
        <v>00</v>
      </c>
      <c r="J1411" s="26" t="str">
        <f>"45 "</f>
        <v xml:space="preserve">45 </v>
      </c>
      <c r="K1411" s="26" t="str">
        <f t="shared" si="227"/>
        <v>PR</v>
      </c>
      <c r="L1411" s="26" t="str">
        <f t="shared" si="228"/>
        <v>DGOSE</v>
      </c>
      <c r="M1411" s="26" t="str">
        <f t="shared" si="231"/>
        <v>FEDERAL</v>
      </c>
      <c r="N1411" s="26">
        <v>372</v>
      </c>
      <c r="O1411" s="26">
        <v>188</v>
      </c>
      <c r="P1411" s="26">
        <v>184</v>
      </c>
      <c r="Q1411" s="26">
        <v>13</v>
      </c>
      <c r="R1411" s="26">
        <v>1</v>
      </c>
      <c r="S1411" s="26">
        <v>13</v>
      </c>
      <c r="T1411" s="26">
        <v>9</v>
      </c>
      <c r="U1411" s="26">
        <v>23</v>
      </c>
      <c r="V1411" s="26">
        <v>1</v>
      </c>
      <c r="W1411" s="26"/>
    </row>
    <row r="1412" spans="1:23" x14ac:dyDescent="0.25">
      <c r="A1412" s="26" t="str">
        <f t="shared" si="229"/>
        <v>PRIMARIA</v>
      </c>
      <c r="B1412" s="26" t="str">
        <f>"09DPR2671Q"</f>
        <v>09DPR2671Q</v>
      </c>
      <c r="C1412" s="26" t="str">
        <f>"PROFRA. BEATRIZ AVILA GARCIA                                                                        "</f>
        <v xml:space="preserve">PROFRA. BEATRIZ AVILA GARCIA                                                                        </v>
      </c>
      <c r="D1412" s="26" t="str">
        <f>"MATUTINO"</f>
        <v>MATUTINO</v>
      </c>
      <c r="E1412" s="26" t="str">
        <f>"ALTO LERMA S/N                                                                  "</f>
        <v xml:space="preserve">ALTO LERMA S/N                                                                  </v>
      </c>
      <c r="F1412" s="26" t="str">
        <f>"CORPUS CHRISTI                                                                                                                              "</f>
        <v xml:space="preserve">CORPUS CHRISTI                                                                                                                              </v>
      </c>
      <c r="G1412" s="26" t="str">
        <f>"ALVARO OBREGON                                                                  "</f>
        <v xml:space="preserve">ALVARO OBREGON                                                                  </v>
      </c>
      <c r="H1412" s="26" t="str">
        <f>"318"</f>
        <v>318</v>
      </c>
      <c r="I1412" s="26" t="str">
        <f t="shared" si="230"/>
        <v>00</v>
      </c>
      <c r="J1412" s="26" t="str">
        <f>"43 "</f>
        <v xml:space="preserve">43 </v>
      </c>
      <c r="K1412" s="26" t="str">
        <f t="shared" si="227"/>
        <v>PR</v>
      </c>
      <c r="L1412" s="26" t="str">
        <f t="shared" si="228"/>
        <v>DGOSE</v>
      </c>
      <c r="M1412" s="26" t="str">
        <f t="shared" si="231"/>
        <v>FEDERAL</v>
      </c>
      <c r="N1412" s="26">
        <v>667</v>
      </c>
      <c r="O1412" s="26">
        <v>357</v>
      </c>
      <c r="P1412" s="26">
        <v>310</v>
      </c>
      <c r="Q1412" s="26">
        <v>18</v>
      </c>
      <c r="R1412" s="26">
        <v>1</v>
      </c>
      <c r="S1412" s="26">
        <v>18</v>
      </c>
      <c r="T1412" s="26">
        <v>11</v>
      </c>
      <c r="U1412" s="26">
        <v>30</v>
      </c>
      <c r="V1412" s="26">
        <v>1</v>
      </c>
      <c r="W1412" s="26"/>
    </row>
    <row r="1413" spans="1:23" x14ac:dyDescent="0.25">
      <c r="A1413" s="26" t="str">
        <f t="shared" si="229"/>
        <v>PRIMARIA</v>
      </c>
      <c r="B1413" s="26" t="str">
        <f>"09DPR2672P"</f>
        <v>09DPR2672P</v>
      </c>
      <c r="C1413" s="26" t="str">
        <f>"JESUS CARLOS ROMERO VILLA                                                                           "</f>
        <v xml:space="preserve">JESUS CARLOS ROMERO VILLA                                                                           </v>
      </c>
      <c r="D1413" s="26" t="str">
        <f>"VESPERTINO"</f>
        <v>VESPERTINO</v>
      </c>
      <c r="E1413" s="26" t="str">
        <f>"SAO PAULO NO 34                                                                 "</f>
        <v xml:space="preserve">SAO PAULO NO 34                                                                 </v>
      </c>
      <c r="F1413" s="26" t="str">
        <f>"SAN PEDRO ZACATENCO                                                                                                                         "</f>
        <v xml:space="preserve">SAN PEDRO ZACATENCO                                                                                                                         </v>
      </c>
      <c r="G1413" s="26" t="str">
        <f>"GUSTAVO A. MADERO                                                               "</f>
        <v xml:space="preserve">GUSTAVO A. MADERO                                                               </v>
      </c>
      <c r="H1413" s="26" t="str">
        <f>"239"</f>
        <v>239</v>
      </c>
      <c r="I1413" s="26" t="str">
        <f t="shared" si="230"/>
        <v>00</v>
      </c>
      <c r="J1413" s="26" t="str">
        <f>"42 "</f>
        <v xml:space="preserve">42 </v>
      </c>
      <c r="K1413" s="26" t="str">
        <f t="shared" si="227"/>
        <v>PR</v>
      </c>
      <c r="L1413" s="26" t="str">
        <f t="shared" si="228"/>
        <v>DGOSE</v>
      </c>
      <c r="M1413" s="26" t="str">
        <f t="shared" si="231"/>
        <v>FEDERAL</v>
      </c>
      <c r="N1413" s="26">
        <v>164</v>
      </c>
      <c r="O1413" s="26">
        <v>88</v>
      </c>
      <c r="P1413" s="26">
        <v>76</v>
      </c>
      <c r="Q1413" s="26">
        <v>11</v>
      </c>
      <c r="R1413" s="26">
        <v>1</v>
      </c>
      <c r="S1413" s="26">
        <v>9</v>
      </c>
      <c r="T1413" s="26">
        <v>6</v>
      </c>
      <c r="U1413" s="26">
        <v>16</v>
      </c>
      <c r="V1413" s="26">
        <v>1</v>
      </c>
      <c r="W1413" s="26"/>
    </row>
    <row r="1414" spans="1:23" x14ac:dyDescent="0.25">
      <c r="A1414" s="26" t="str">
        <f t="shared" si="229"/>
        <v>PRIMARIA</v>
      </c>
      <c r="B1414" s="26" t="str">
        <f>"09DPR2673O"</f>
        <v>09DPR2673O</v>
      </c>
      <c r="C1414" s="26" t="str">
        <f>"PROFR. RAMON ANDRADE CARMONA                                                                        "</f>
        <v xml:space="preserve">PROFR. RAMON ANDRADE CARMONA                                                                        </v>
      </c>
      <c r="D1414" s="26" t="str">
        <f>"MATUTINO"</f>
        <v>MATUTINO</v>
      </c>
      <c r="E1414" s="26" t="str">
        <f>"SAN MIGUEL Y ESCONDIDA S/N                                                      "</f>
        <v xml:space="preserve">SAN MIGUEL Y ESCONDIDA S/N                                                      </v>
      </c>
      <c r="F1414" s="26" t="str">
        <f>"LOMAS DE CUAUTEPEC                                                                                                                          "</f>
        <v xml:space="preserve">LOMAS DE CUAUTEPEC                                                                                                                          </v>
      </c>
      <c r="G1414" s="26" t="str">
        <f>"GUSTAVO A. MADERO                                                               "</f>
        <v xml:space="preserve">GUSTAVO A. MADERO                                                               </v>
      </c>
      <c r="H1414" s="26" t="str">
        <f>"226"</f>
        <v>226</v>
      </c>
      <c r="I1414" s="26" t="str">
        <f t="shared" si="230"/>
        <v>00</v>
      </c>
      <c r="J1414" s="26" t="str">
        <f>"42 "</f>
        <v xml:space="preserve">42 </v>
      </c>
      <c r="K1414" s="26" t="str">
        <f t="shared" si="227"/>
        <v>PR</v>
      </c>
      <c r="L1414" s="26" t="str">
        <f t="shared" si="228"/>
        <v>DGOSE</v>
      </c>
      <c r="M1414" s="26" t="str">
        <f t="shared" si="231"/>
        <v>FEDERAL</v>
      </c>
      <c r="N1414" s="26">
        <v>669</v>
      </c>
      <c r="O1414" s="26">
        <v>328</v>
      </c>
      <c r="P1414" s="26">
        <v>341</v>
      </c>
      <c r="Q1414" s="26">
        <v>18</v>
      </c>
      <c r="R1414" s="26">
        <v>1</v>
      </c>
      <c r="S1414" s="26">
        <v>18</v>
      </c>
      <c r="T1414" s="26">
        <v>9</v>
      </c>
      <c r="U1414" s="26">
        <v>28</v>
      </c>
      <c r="V1414" s="26">
        <v>1</v>
      </c>
      <c r="W1414" s="26"/>
    </row>
    <row r="1415" spans="1:23" x14ac:dyDescent="0.25">
      <c r="A1415" s="26" t="str">
        <f t="shared" si="229"/>
        <v>PRIMARIA</v>
      </c>
      <c r="B1415" s="26" t="str">
        <f>"09DPR2674N"</f>
        <v>09DPR2674N</v>
      </c>
      <c r="C1415" s="26" t="str">
        <f>"RABINDRANATH TAGORE                                                                                 "</f>
        <v xml:space="preserve">RABINDRANATH TAGORE                                                                                 </v>
      </c>
      <c r="D1415" s="26" t="str">
        <f>"VESPERTINO"</f>
        <v>VESPERTINO</v>
      </c>
      <c r="E1415" s="26" t="str">
        <f>"AV. TICOMAN S/N                                                                 "</f>
        <v xml:space="preserve">AV. TICOMAN S/N                                                                 </v>
      </c>
      <c r="F1415" s="26" t="str">
        <f>"LA LAGUNA TICOMAN                                                                                                                           "</f>
        <v xml:space="preserve">LA LAGUNA TICOMAN                                                                                                                           </v>
      </c>
      <c r="G1415" s="26" t="str">
        <f>"GUSTAVO A. MADERO                                                               "</f>
        <v xml:space="preserve">GUSTAVO A. MADERO                                                               </v>
      </c>
      <c r="H1415" s="26" t="str">
        <f>"237"</f>
        <v>237</v>
      </c>
      <c r="I1415" s="26" t="str">
        <f t="shared" si="230"/>
        <v>00</v>
      </c>
      <c r="J1415" s="26" t="str">
        <f>"42 "</f>
        <v xml:space="preserve">42 </v>
      </c>
      <c r="K1415" s="26" t="str">
        <f t="shared" si="227"/>
        <v>PR</v>
      </c>
      <c r="L1415" s="26" t="str">
        <f t="shared" si="228"/>
        <v>DGOSE</v>
      </c>
      <c r="M1415" s="26" t="str">
        <f t="shared" si="231"/>
        <v>FEDERAL</v>
      </c>
      <c r="N1415" s="26">
        <v>237</v>
      </c>
      <c r="O1415" s="26">
        <v>122</v>
      </c>
      <c r="P1415" s="26">
        <v>115</v>
      </c>
      <c r="Q1415" s="26">
        <v>10</v>
      </c>
      <c r="R1415" s="26">
        <v>1</v>
      </c>
      <c r="S1415" s="26">
        <v>10</v>
      </c>
      <c r="T1415" s="26">
        <v>12</v>
      </c>
      <c r="U1415" s="26">
        <v>23</v>
      </c>
      <c r="V1415" s="26">
        <v>1</v>
      </c>
      <c r="W1415" s="26"/>
    </row>
    <row r="1416" spans="1:23" x14ac:dyDescent="0.25">
      <c r="A1416" s="26" t="str">
        <f t="shared" si="229"/>
        <v>PRIMARIA</v>
      </c>
      <c r="B1416" s="26" t="str">
        <f>"09DPR2675M"</f>
        <v>09DPR2675M</v>
      </c>
      <c r="C1416" s="26" t="str">
        <f>"PROFR. VICTOR MANUEL MANZANO DELGADO                                                                "</f>
        <v xml:space="preserve">PROFR. VICTOR MANUEL MANZANO DELGADO                                                                </v>
      </c>
      <c r="D1416" s="26" t="str">
        <f>"VESPERTINO"</f>
        <v>VESPERTINO</v>
      </c>
      <c r="E1416" s="26" t="str">
        <f>"CALLE KANTUNIL NUM 400                                                          "</f>
        <v xml:space="preserve">CALLE KANTUNIL NUM 400                                                          </v>
      </c>
      <c r="F1416" s="26" t="str">
        <f>"PEDREGAL DE SAN NICOLAS                                                                                                                     "</f>
        <v xml:space="preserve">PEDREGAL DE SAN NICOLAS                                                                                                                     </v>
      </c>
      <c r="G1416" s="26" t="str">
        <f>"TLALPAN                                                                         "</f>
        <v xml:space="preserve">TLALPAN                                                                         </v>
      </c>
      <c r="H1416" s="26" t="str">
        <f>"514"</f>
        <v>514</v>
      </c>
      <c r="I1416" s="26" t="str">
        <f t="shared" si="230"/>
        <v>00</v>
      </c>
      <c r="J1416" s="26" t="str">
        <f>"45 "</f>
        <v xml:space="preserve">45 </v>
      </c>
      <c r="K1416" s="26" t="str">
        <f t="shared" si="227"/>
        <v>PR</v>
      </c>
      <c r="L1416" s="26" t="str">
        <f t="shared" si="228"/>
        <v>DGOSE</v>
      </c>
      <c r="M1416" s="26" t="str">
        <f t="shared" si="231"/>
        <v>FEDERAL</v>
      </c>
      <c r="N1416" s="26">
        <v>631</v>
      </c>
      <c r="O1416" s="26">
        <v>315</v>
      </c>
      <c r="P1416" s="26">
        <v>316</v>
      </c>
      <c r="Q1416" s="26">
        <v>18</v>
      </c>
      <c r="R1416" s="26">
        <v>0</v>
      </c>
      <c r="S1416" s="26">
        <v>18</v>
      </c>
      <c r="T1416" s="26">
        <v>8</v>
      </c>
      <c r="U1416" s="26">
        <v>26</v>
      </c>
      <c r="V1416" s="26">
        <v>1</v>
      </c>
      <c r="W1416" s="26"/>
    </row>
    <row r="1417" spans="1:23" x14ac:dyDescent="0.25">
      <c r="A1417" s="26" t="str">
        <f t="shared" si="229"/>
        <v>PRIMARIA</v>
      </c>
      <c r="B1417" s="26" t="str">
        <f>"09DPR2676L"</f>
        <v>09DPR2676L</v>
      </c>
      <c r="C1417" s="26" t="str">
        <f>"PROFR. VICTOR MANUEL MANZANO DELGADO                                                                "</f>
        <v xml:space="preserve">PROFR. VICTOR MANUEL MANZANO DELGADO                                                                </v>
      </c>
      <c r="D1417" s="26" t="str">
        <f>"MATUTINO"</f>
        <v>MATUTINO</v>
      </c>
      <c r="E1417" s="26" t="str">
        <f>"KANTUNIL # 400                                                                  "</f>
        <v xml:space="preserve">KANTUNIL # 400                                                                  </v>
      </c>
      <c r="F1417" s="26" t="str">
        <f>"PEDREGAL DE SAN NICOLAS                                                                                                                     "</f>
        <v xml:space="preserve">PEDREGAL DE SAN NICOLAS                                                                                                                     </v>
      </c>
      <c r="G1417" s="26" t="str">
        <f>"TLALPAN                                                                         "</f>
        <v xml:space="preserve">TLALPAN                                                                         </v>
      </c>
      <c r="H1417" s="26" t="str">
        <f>"514"</f>
        <v>514</v>
      </c>
      <c r="I1417" s="26" t="str">
        <f t="shared" si="230"/>
        <v>00</v>
      </c>
      <c r="J1417" s="26" t="str">
        <f>"45 "</f>
        <v xml:space="preserve">45 </v>
      </c>
      <c r="K1417" s="26" t="str">
        <f t="shared" si="227"/>
        <v>PR</v>
      </c>
      <c r="L1417" s="26" t="str">
        <f t="shared" si="228"/>
        <v>DGOSE</v>
      </c>
      <c r="M1417" s="26" t="str">
        <f t="shared" si="231"/>
        <v>FEDERAL</v>
      </c>
      <c r="N1417" s="26">
        <v>696</v>
      </c>
      <c r="O1417" s="26">
        <v>352</v>
      </c>
      <c r="P1417" s="26">
        <v>344</v>
      </c>
      <c r="Q1417" s="26">
        <v>18</v>
      </c>
      <c r="R1417" s="26">
        <v>1</v>
      </c>
      <c r="S1417" s="26">
        <v>18</v>
      </c>
      <c r="T1417" s="26">
        <v>11</v>
      </c>
      <c r="U1417" s="26">
        <v>30</v>
      </c>
      <c r="V1417" s="26">
        <v>1</v>
      </c>
      <c r="W1417" s="26"/>
    </row>
    <row r="1418" spans="1:23" x14ac:dyDescent="0.25">
      <c r="A1418" s="26" t="str">
        <f t="shared" si="229"/>
        <v>PRIMARIA</v>
      </c>
      <c r="B1418" s="26" t="str">
        <f>"09DPR2677K"</f>
        <v>09DPR2677K</v>
      </c>
      <c r="C1418" s="26" t="str">
        <f>"CORONEL SILVESTRE LOPEZ                                                                             "</f>
        <v xml:space="preserve">CORONEL SILVESTRE LOPEZ                                                                             </v>
      </c>
      <c r="D1418" s="26" t="str">
        <f>"VESPERTINO"</f>
        <v>VESPERTINO</v>
      </c>
      <c r="E1418" s="26" t="str">
        <f>"CALLE 641 NUM 50                                                                "</f>
        <v xml:space="preserve">CALLE 641 NUM 50                                                                </v>
      </c>
      <c r="F1418" s="26" t="str">
        <f>"UNIDAD SAN JUAN DE ARAGON                                                                                                                   "</f>
        <v xml:space="preserve">UNIDAD SAN JUAN DE ARAGON                                                                                                                   </v>
      </c>
      <c r="G1418" s="26" t="str">
        <f>"GUSTAVO A. MADERO                                                               "</f>
        <v xml:space="preserve">GUSTAVO A. MADERO                                                               </v>
      </c>
      <c r="H1418" s="26" t="str">
        <f>"268"</f>
        <v>268</v>
      </c>
      <c r="I1418" s="26" t="str">
        <f t="shared" si="230"/>
        <v>00</v>
      </c>
      <c r="J1418" s="26" t="str">
        <f>"42 "</f>
        <v xml:space="preserve">42 </v>
      </c>
      <c r="K1418" s="26" t="str">
        <f t="shared" si="227"/>
        <v>PR</v>
      </c>
      <c r="L1418" s="26" t="str">
        <f t="shared" si="228"/>
        <v>DGOSE</v>
      </c>
      <c r="M1418" s="26" t="str">
        <f t="shared" si="231"/>
        <v>FEDERAL</v>
      </c>
      <c r="N1418" s="26">
        <v>164</v>
      </c>
      <c r="O1418" s="26">
        <v>92</v>
      </c>
      <c r="P1418" s="26">
        <v>72</v>
      </c>
      <c r="Q1418" s="26">
        <v>8</v>
      </c>
      <c r="R1418" s="26">
        <v>1</v>
      </c>
      <c r="S1418" s="26">
        <v>8</v>
      </c>
      <c r="T1418" s="26">
        <v>8</v>
      </c>
      <c r="U1418" s="26">
        <v>17</v>
      </c>
      <c r="V1418" s="26">
        <v>1</v>
      </c>
      <c r="W1418" s="26"/>
    </row>
    <row r="1419" spans="1:23" x14ac:dyDescent="0.25">
      <c r="A1419" s="26" t="str">
        <f t="shared" si="229"/>
        <v>PRIMARIA</v>
      </c>
      <c r="B1419" s="26" t="str">
        <f>"09DPR2678J"</f>
        <v>09DPR2678J</v>
      </c>
      <c r="C1419" s="26" t="str">
        <f>"PROFR. ALFREDO BASURTO GARCIA                                                                       "</f>
        <v xml:space="preserve">PROFR. ALFREDO BASURTO GARCIA                                                                       </v>
      </c>
      <c r="D1419" s="26" t="str">
        <f>"VESPERTINO"</f>
        <v>VESPERTINO</v>
      </c>
      <c r="E1419" s="26" t="str">
        <f>"SAN PASCASIO Y SAN HERMILO S/N                                                  "</f>
        <v xml:space="preserve">SAN PASCASIO Y SAN HERMILO S/N                                                  </v>
      </c>
      <c r="F1419" s="26" t="str">
        <f>"PEDREGAL DE SANTA URSULA                                                                                                                    "</f>
        <v xml:space="preserve">PEDREGAL DE SANTA URSULA                                                                                                                    </v>
      </c>
      <c r="G1419" s="26" t="str">
        <f>"COYOACAN                                                                        "</f>
        <v xml:space="preserve">COYOACAN                                                                        </v>
      </c>
      <c r="H1419" s="26" t="str">
        <f>"506"</f>
        <v>506</v>
      </c>
      <c r="I1419" s="26" t="str">
        <f t="shared" si="230"/>
        <v>00</v>
      </c>
      <c r="J1419" s="26" t="str">
        <f>"45 "</f>
        <v xml:space="preserve">45 </v>
      </c>
      <c r="K1419" s="26" t="str">
        <f t="shared" si="227"/>
        <v>PR</v>
      </c>
      <c r="L1419" s="26" t="str">
        <f t="shared" si="228"/>
        <v>DGOSE</v>
      </c>
      <c r="M1419" s="26" t="str">
        <f t="shared" si="231"/>
        <v>FEDERAL</v>
      </c>
      <c r="N1419" s="26">
        <v>156</v>
      </c>
      <c r="O1419" s="26">
        <v>84</v>
      </c>
      <c r="P1419" s="26">
        <v>72</v>
      </c>
      <c r="Q1419" s="26">
        <v>12</v>
      </c>
      <c r="R1419" s="26">
        <v>1</v>
      </c>
      <c r="S1419" s="26">
        <v>11</v>
      </c>
      <c r="T1419" s="26">
        <v>7</v>
      </c>
      <c r="U1419" s="26">
        <v>19</v>
      </c>
      <c r="V1419" s="26">
        <v>1</v>
      </c>
      <c r="W1419" s="26"/>
    </row>
    <row r="1420" spans="1:23" x14ac:dyDescent="0.25">
      <c r="A1420" s="26" t="str">
        <f t="shared" si="229"/>
        <v>PRIMARIA</v>
      </c>
      <c r="B1420" s="26" t="str">
        <f>"09DPR2680Y"</f>
        <v>09DPR2680Y</v>
      </c>
      <c r="C1420" s="26" t="str">
        <f>"HERMANOS SERDAN                                                                                     "</f>
        <v xml:space="preserve">HERMANOS SERDAN                                                                                     </v>
      </c>
      <c r="D1420" s="26" t="str">
        <f>"MATUTINO"</f>
        <v>MATUTINO</v>
      </c>
      <c r="E1420" s="26" t="str">
        <f>"MA. ESTHER ZUNO DE ECHEVERRIA NO. 52                                            "</f>
        <v xml:space="preserve">MA. ESTHER ZUNO DE ECHEVERRIA NO. 52                                            </v>
      </c>
      <c r="F1420" s="26" t="str">
        <f>"SANTIAGO ACAHUALTEPEC 2A AMPLIACION                                                                                                         "</f>
        <v xml:space="preserve">SANTIAGO ACAHUALTEPEC 2A AMPLIACION                                                                                                         </v>
      </c>
      <c r="G1420" s="26" t="str">
        <f>"IZTAPALAPA                                                                      "</f>
        <v xml:space="preserve">IZTAPALAPA                                                                      </v>
      </c>
      <c r="H1420" s="26" t="str">
        <f>"063"</f>
        <v>063</v>
      </c>
      <c r="I1420" s="26" t="str">
        <f t="shared" si="230"/>
        <v>00</v>
      </c>
      <c r="J1420" s="26" t="str">
        <f>"64 "</f>
        <v xml:space="preserve">64 </v>
      </c>
      <c r="K1420" s="26" t="str">
        <f>"IZ"</f>
        <v>IZ</v>
      </c>
      <c r="L1420" s="26" t="str">
        <f>"DGSEI"</f>
        <v>DGSEI</v>
      </c>
      <c r="M1420" s="26" t="str">
        <f t="shared" si="231"/>
        <v>FEDERAL</v>
      </c>
      <c r="N1420" s="26">
        <v>680</v>
      </c>
      <c r="O1420" s="26">
        <v>333</v>
      </c>
      <c r="P1420" s="26">
        <v>347</v>
      </c>
      <c r="Q1420" s="26">
        <v>17</v>
      </c>
      <c r="R1420" s="26">
        <v>1</v>
      </c>
      <c r="S1420" s="26">
        <v>17</v>
      </c>
      <c r="T1420" s="26">
        <v>7</v>
      </c>
      <c r="U1420" s="26">
        <v>25</v>
      </c>
      <c r="V1420" s="26">
        <v>1</v>
      </c>
      <c r="W1420" s="26"/>
    </row>
    <row r="1421" spans="1:23" x14ac:dyDescent="0.25">
      <c r="A1421" s="26" t="str">
        <f t="shared" si="229"/>
        <v>PRIMARIA</v>
      </c>
      <c r="B1421" s="26" t="str">
        <f>"09DPR2681X"</f>
        <v>09DPR2681X</v>
      </c>
      <c r="C1421" s="26" t="str">
        <f>"PROFR. ROBERTO MARTINEZ FLORES                                                                      "</f>
        <v xml:space="preserve">PROFR. ROBERTO MARTINEZ FLORES                                                                      </v>
      </c>
      <c r="D1421" s="26" t="str">
        <f>"MATUTINO"</f>
        <v>MATUTINO</v>
      </c>
      <c r="E1421" s="26" t="str">
        <f>"VENUSTIANO CARRANZA S/N                                                         "</f>
        <v xml:space="preserve">VENUSTIANO CARRANZA S/N                                                         </v>
      </c>
      <c r="F1421" s="26" t="str">
        <f>"CUAUTEPEC DE MADERO                                                                                                                         "</f>
        <v xml:space="preserve">CUAUTEPEC DE MADERO                                                                                                                         </v>
      </c>
      <c r="G1421" s="26" t="str">
        <f>"GUSTAVO A. MADERO                                                               "</f>
        <v xml:space="preserve">GUSTAVO A. MADERO                                                               </v>
      </c>
      <c r="H1421" s="26" t="str">
        <f>"233"</f>
        <v>233</v>
      </c>
      <c r="I1421" s="26" t="str">
        <f t="shared" si="230"/>
        <v>00</v>
      </c>
      <c r="J1421" s="26" t="str">
        <f>"42 "</f>
        <v xml:space="preserve">42 </v>
      </c>
      <c r="K1421" s="26" t="str">
        <f>"PR"</f>
        <v>PR</v>
      </c>
      <c r="L1421" s="26" t="str">
        <f>"DGOSE"</f>
        <v>DGOSE</v>
      </c>
      <c r="M1421" s="26" t="str">
        <f t="shared" si="231"/>
        <v>FEDERAL</v>
      </c>
      <c r="N1421" s="26">
        <v>500</v>
      </c>
      <c r="O1421" s="26">
        <v>235</v>
      </c>
      <c r="P1421" s="26">
        <v>265</v>
      </c>
      <c r="Q1421" s="26">
        <v>17</v>
      </c>
      <c r="R1421" s="26">
        <v>1</v>
      </c>
      <c r="S1421" s="26">
        <v>17</v>
      </c>
      <c r="T1421" s="26">
        <v>8</v>
      </c>
      <c r="U1421" s="26">
        <v>26</v>
      </c>
      <c r="V1421" s="26">
        <v>1</v>
      </c>
      <c r="W1421" s="26"/>
    </row>
    <row r="1422" spans="1:23" x14ac:dyDescent="0.25">
      <c r="A1422" s="26" t="str">
        <f t="shared" si="229"/>
        <v>PRIMARIA</v>
      </c>
      <c r="B1422" s="26" t="str">
        <f>"09DPR2682W"</f>
        <v>09DPR2682W</v>
      </c>
      <c r="C1422" s="26" t="str">
        <f>"PROFR. ANTONIO I. DELGADO CASARRUBIAS                                                               "</f>
        <v xml:space="preserve">PROFR. ANTONIO I. DELGADO CASARRUBIAS                                                               </v>
      </c>
      <c r="D1422" s="26" t="str">
        <f>"TIEMPO COMPLETO"</f>
        <v>TIEMPO COMPLETO</v>
      </c>
      <c r="E1422" s="26" t="str">
        <f>"AV. RIO DE GUADALUPE S/N                                                        "</f>
        <v xml:space="preserve">AV. RIO DE GUADALUPE S/N                                                        </v>
      </c>
      <c r="F1422" s="26" t="str">
        <f>"SAN JUAN DE ARAGON                                                                                                                          "</f>
        <v xml:space="preserve">SAN JUAN DE ARAGON                                                                                                                          </v>
      </c>
      <c r="G1422" s="26" t="str">
        <f>"GUSTAVO A. MADERO                                                               "</f>
        <v xml:space="preserve">GUSTAVO A. MADERO                                                               </v>
      </c>
      <c r="H1422" s="26" t="str">
        <f>"141"</f>
        <v>141</v>
      </c>
      <c r="I1422" s="26" t="str">
        <f t="shared" si="230"/>
        <v>00</v>
      </c>
      <c r="J1422" s="26" t="str">
        <f>"41 "</f>
        <v xml:space="preserve">41 </v>
      </c>
      <c r="K1422" s="26" t="str">
        <f>"PR"</f>
        <v>PR</v>
      </c>
      <c r="L1422" s="26" t="str">
        <f>"DGOSE"</f>
        <v>DGOSE</v>
      </c>
      <c r="M1422" s="26" t="str">
        <f t="shared" si="231"/>
        <v>FEDERAL</v>
      </c>
      <c r="N1422" s="26">
        <v>340</v>
      </c>
      <c r="O1422" s="26">
        <v>182</v>
      </c>
      <c r="P1422" s="26">
        <v>158</v>
      </c>
      <c r="Q1422" s="26">
        <v>12</v>
      </c>
      <c r="R1422" s="26">
        <v>1</v>
      </c>
      <c r="S1422" s="26">
        <v>12</v>
      </c>
      <c r="T1422" s="26">
        <v>16</v>
      </c>
      <c r="U1422" s="26">
        <v>29</v>
      </c>
      <c r="V1422" s="26">
        <v>1</v>
      </c>
      <c r="W1422" s="26" t="s">
        <v>218</v>
      </c>
    </row>
    <row r="1423" spans="1:23" x14ac:dyDescent="0.25">
      <c r="A1423" s="26" t="str">
        <f t="shared" si="229"/>
        <v>PRIMARIA</v>
      </c>
      <c r="B1423" s="26" t="str">
        <f>"09DPR2683V"</f>
        <v>09DPR2683V</v>
      </c>
      <c r="C1423" s="26" t="str">
        <f>"PROFR. RUBEN VIZCARRA Y CAMPOS                                                                      "</f>
        <v xml:space="preserve">PROFR. RUBEN VIZCARRA Y CAMPOS                                                                      </v>
      </c>
      <c r="D1423" s="26" t="str">
        <f>"TIEMPO COMPLETO"</f>
        <v>TIEMPO COMPLETO</v>
      </c>
      <c r="E1423" s="26" t="str">
        <f>"CALLE DE TOCHTLI Y CANTERA S/N                                                  "</f>
        <v xml:space="preserve">CALLE DE TOCHTLI Y CANTERA S/N                                                  </v>
      </c>
      <c r="F1423" s="26" t="str">
        <f>"PEDREGAL DE SANTO DOMINGO                                                                                                                   "</f>
        <v xml:space="preserve">PEDREGAL DE SANTO DOMINGO                                                                                                                   </v>
      </c>
      <c r="G1423" s="26" t="str">
        <f>"COYOACAN                                                                        "</f>
        <v xml:space="preserve">COYOACAN                                                                        </v>
      </c>
      <c r="H1423" s="26" t="str">
        <f>"437"</f>
        <v>437</v>
      </c>
      <c r="I1423" s="26" t="str">
        <f t="shared" si="230"/>
        <v>00</v>
      </c>
      <c r="J1423" s="26" t="str">
        <f>"44 "</f>
        <v xml:space="preserve">44 </v>
      </c>
      <c r="K1423" s="26" t="str">
        <f>"PR"</f>
        <v>PR</v>
      </c>
      <c r="L1423" s="26" t="str">
        <f>"DGOSE"</f>
        <v>DGOSE</v>
      </c>
      <c r="M1423" s="26" t="str">
        <f t="shared" si="231"/>
        <v>FEDERAL</v>
      </c>
      <c r="N1423" s="26">
        <v>391</v>
      </c>
      <c r="O1423" s="26">
        <v>211</v>
      </c>
      <c r="P1423" s="26">
        <v>180</v>
      </c>
      <c r="Q1423" s="26">
        <v>12</v>
      </c>
      <c r="R1423" s="26">
        <v>1</v>
      </c>
      <c r="S1423" s="26">
        <v>12</v>
      </c>
      <c r="T1423" s="26">
        <v>14</v>
      </c>
      <c r="U1423" s="26">
        <v>27</v>
      </c>
      <c r="V1423" s="26">
        <v>1</v>
      </c>
      <c r="W1423" s="26" t="s">
        <v>218</v>
      </c>
    </row>
    <row r="1424" spans="1:23" x14ac:dyDescent="0.25">
      <c r="A1424" s="26" t="str">
        <f t="shared" si="229"/>
        <v>PRIMARIA</v>
      </c>
      <c r="B1424" s="26" t="str">
        <f>"09DPR2684U"</f>
        <v>09DPR2684U</v>
      </c>
      <c r="C1424" s="26" t="str">
        <f>"CRISTOBAL COLON                                                                                     "</f>
        <v xml:space="preserve">CRISTOBAL COLON                                                                                     </v>
      </c>
      <c r="D1424" s="26" t="str">
        <f>"VESPERTINO"</f>
        <v>VESPERTINO</v>
      </c>
      <c r="E1424" s="26" t="str">
        <f>"AV DEL TRABAJO Y CUAUHTEMOC                                                     "</f>
        <v xml:space="preserve">AV DEL TRABAJO Y CUAUHTEMOC                                                     </v>
      </c>
      <c r="F1424" s="26" t="str">
        <f>"SANTIAGO TEPALCATLAPAN                                                                                                                      "</f>
        <v xml:space="preserve">SANTIAGO TEPALCATLAPAN                                                                                                                      </v>
      </c>
      <c r="G1424" s="26" t="str">
        <f>"XOCHIMILCO                                                                      "</f>
        <v xml:space="preserve">XOCHIMILCO                                                                      </v>
      </c>
      <c r="H1424" s="26" t="str">
        <f>"533"</f>
        <v>533</v>
      </c>
      <c r="I1424" s="26" t="str">
        <f t="shared" si="230"/>
        <v>00</v>
      </c>
      <c r="J1424" s="26" t="str">
        <f>"45 "</f>
        <v xml:space="preserve">45 </v>
      </c>
      <c r="K1424" s="26" t="str">
        <f>"PR"</f>
        <v>PR</v>
      </c>
      <c r="L1424" s="26" t="str">
        <f>"DGOSE"</f>
        <v>DGOSE</v>
      </c>
      <c r="M1424" s="26" t="str">
        <f t="shared" si="231"/>
        <v>FEDERAL</v>
      </c>
      <c r="N1424" s="26">
        <v>466</v>
      </c>
      <c r="O1424" s="26">
        <v>258</v>
      </c>
      <c r="P1424" s="26">
        <v>208</v>
      </c>
      <c r="Q1424" s="26">
        <v>15</v>
      </c>
      <c r="R1424" s="26">
        <v>1</v>
      </c>
      <c r="S1424" s="26">
        <v>13</v>
      </c>
      <c r="T1424" s="26">
        <v>13</v>
      </c>
      <c r="U1424" s="26">
        <v>27</v>
      </c>
      <c r="V1424" s="26">
        <v>1</v>
      </c>
      <c r="W1424" s="26"/>
    </row>
    <row r="1425" spans="1:23" x14ac:dyDescent="0.25">
      <c r="A1425" s="26" t="str">
        <f t="shared" si="229"/>
        <v>PRIMARIA</v>
      </c>
      <c r="B1425" s="26" t="str">
        <f>"09DPR2685T"</f>
        <v>09DPR2685T</v>
      </c>
      <c r="C1425" s="26" t="str">
        <f>"XOCHICALCO                                                                                          "</f>
        <v xml:space="preserve">XOCHICALCO                                                                                          </v>
      </c>
      <c r="D1425" s="26" t="str">
        <f>"MATUTINO"</f>
        <v>MATUTINO</v>
      </c>
      <c r="E1425" s="26" t="str">
        <f>"TLEPANQUELTZATZIN NO. 123                                                       "</f>
        <v xml:space="preserve">TLEPANQUELTZATZIN NO. 123                                                       </v>
      </c>
      <c r="F1425" s="26" t="str">
        <f>"LOS REYES AMPLIACION                                                                                                                        "</f>
        <v xml:space="preserve">LOS REYES AMPLIACION                                                                                                                        </v>
      </c>
      <c r="G1425" s="26" t="str">
        <f>"IZTAPALAPA                                                                      "</f>
        <v xml:space="preserve">IZTAPALAPA                                                                      </v>
      </c>
      <c r="H1425" s="26" t="str">
        <f>"035"</f>
        <v>035</v>
      </c>
      <c r="I1425" s="26" t="str">
        <f t="shared" si="230"/>
        <v>00</v>
      </c>
      <c r="J1425" s="26" t="str">
        <f>"63 "</f>
        <v xml:space="preserve">63 </v>
      </c>
      <c r="K1425" s="26" t="str">
        <f>"IZ"</f>
        <v>IZ</v>
      </c>
      <c r="L1425" s="26" t="str">
        <f>"DGSEI"</f>
        <v>DGSEI</v>
      </c>
      <c r="M1425" s="26" t="str">
        <f t="shared" si="231"/>
        <v>FEDERAL</v>
      </c>
      <c r="N1425" s="26">
        <v>360</v>
      </c>
      <c r="O1425" s="26">
        <v>185</v>
      </c>
      <c r="P1425" s="26">
        <v>175</v>
      </c>
      <c r="Q1425" s="26">
        <v>12</v>
      </c>
      <c r="R1425" s="26">
        <v>0</v>
      </c>
      <c r="S1425" s="26">
        <v>12</v>
      </c>
      <c r="T1425" s="26">
        <v>7</v>
      </c>
      <c r="U1425" s="26">
        <v>19</v>
      </c>
      <c r="V1425" s="26">
        <v>1</v>
      </c>
      <c r="W1425" s="26"/>
    </row>
    <row r="1426" spans="1:23" x14ac:dyDescent="0.25">
      <c r="A1426" s="26" t="str">
        <f t="shared" si="229"/>
        <v>PRIMARIA</v>
      </c>
      <c r="B1426" s="26" t="str">
        <f>"09DPR2686S"</f>
        <v>09DPR2686S</v>
      </c>
      <c r="C1426" s="26" t="str">
        <f>"CARLOS DARWIN                                                                                       "</f>
        <v xml:space="preserve">CARLOS DARWIN                                                                                       </v>
      </c>
      <c r="D1426" s="26" t="str">
        <f>"VESPERTINO"</f>
        <v>VESPERTINO</v>
      </c>
      <c r="E1426" s="26" t="str">
        <f>"CALLE 3 NO. 1                                                                   "</f>
        <v xml:space="preserve">CALLE 3 NO. 1                                                                   </v>
      </c>
      <c r="F1426" s="26" t="str">
        <f>"SAN JUAN XALPA                                                                                                                              "</f>
        <v xml:space="preserve">SAN JUAN XALPA                                                                                                                              </v>
      </c>
      <c r="G1426" s="26" t="str">
        <f>"IZTAPALAPA                                                                      "</f>
        <v xml:space="preserve">IZTAPALAPA                                                                      </v>
      </c>
      <c r="H1426" s="26" t="str">
        <f>"042"</f>
        <v>042</v>
      </c>
      <c r="I1426" s="26" t="str">
        <f t="shared" si="230"/>
        <v>00</v>
      </c>
      <c r="J1426" s="26" t="str">
        <f>"63 "</f>
        <v xml:space="preserve">63 </v>
      </c>
      <c r="K1426" s="26" t="str">
        <f>"IZ"</f>
        <v>IZ</v>
      </c>
      <c r="L1426" s="26" t="str">
        <f>"DGSEI"</f>
        <v>DGSEI</v>
      </c>
      <c r="M1426" s="26" t="str">
        <f t="shared" si="231"/>
        <v>FEDERAL</v>
      </c>
      <c r="N1426" s="26">
        <v>221</v>
      </c>
      <c r="O1426" s="26">
        <v>100</v>
      </c>
      <c r="P1426" s="26">
        <v>121</v>
      </c>
      <c r="Q1426" s="26">
        <v>16</v>
      </c>
      <c r="R1426" s="26">
        <v>2</v>
      </c>
      <c r="S1426" s="26">
        <v>16</v>
      </c>
      <c r="T1426" s="26">
        <v>10</v>
      </c>
      <c r="U1426" s="26">
        <v>28</v>
      </c>
      <c r="V1426" s="26">
        <v>1</v>
      </c>
      <c r="W1426" s="26"/>
    </row>
    <row r="1427" spans="1:23" x14ac:dyDescent="0.25">
      <c r="A1427" s="26" t="str">
        <f t="shared" si="229"/>
        <v>PRIMARIA</v>
      </c>
      <c r="B1427" s="26" t="str">
        <f>"09DPR2687R"</f>
        <v>09DPR2687R</v>
      </c>
      <c r="C1427" s="26" t="str">
        <f>"ZAMBIA                                                                                              "</f>
        <v xml:space="preserve">ZAMBIA                                                                                              </v>
      </c>
      <c r="D1427" s="26" t="str">
        <f>"VESPERTINO"</f>
        <v>VESPERTINO</v>
      </c>
      <c r="E1427" s="26" t="str">
        <f>"MANZANA H NUM.24                                                                "</f>
        <v xml:space="preserve">MANZANA H NUM.24                                                                </v>
      </c>
      <c r="F1427" s="26" t="str">
        <f>"LOMAS DE PLATEROS                                                                                                                           "</f>
        <v xml:space="preserve">LOMAS DE PLATEROS                                                                                                                           </v>
      </c>
      <c r="G1427" s="26" t="str">
        <f>"ALVARO OBREGON                                                                  "</f>
        <v xml:space="preserve">ALVARO OBREGON                                                                  </v>
      </c>
      <c r="H1427" s="26" t="str">
        <f>"319"</f>
        <v>319</v>
      </c>
      <c r="I1427" s="26" t="str">
        <f t="shared" si="230"/>
        <v>00</v>
      </c>
      <c r="J1427" s="26" t="str">
        <f>"43 "</f>
        <v xml:space="preserve">43 </v>
      </c>
      <c r="K1427" s="26" t="str">
        <f t="shared" ref="K1427:K1434" si="232">"PR"</f>
        <v>PR</v>
      </c>
      <c r="L1427" s="26" t="str">
        <f t="shared" ref="L1427:L1434" si="233">"DGOSE"</f>
        <v>DGOSE</v>
      </c>
      <c r="M1427" s="26" t="str">
        <f t="shared" si="231"/>
        <v>FEDERAL</v>
      </c>
      <c r="N1427" s="26">
        <v>187</v>
      </c>
      <c r="O1427" s="26">
        <v>102</v>
      </c>
      <c r="P1427" s="26">
        <v>85</v>
      </c>
      <c r="Q1427" s="26">
        <v>11</v>
      </c>
      <c r="R1427" s="26">
        <v>1</v>
      </c>
      <c r="S1427" s="26">
        <v>10</v>
      </c>
      <c r="T1427" s="26">
        <v>7</v>
      </c>
      <c r="U1427" s="26">
        <v>18</v>
      </c>
      <c r="V1427" s="26">
        <v>1</v>
      </c>
      <c r="W1427" s="26"/>
    </row>
    <row r="1428" spans="1:23" x14ac:dyDescent="0.25">
      <c r="A1428" s="26" t="str">
        <f t="shared" si="229"/>
        <v>PRIMARIA</v>
      </c>
      <c r="B1428" s="26" t="str">
        <f>"09DPR2694A"</f>
        <v>09DPR2694A</v>
      </c>
      <c r="C1428" s="26" t="str">
        <f>"ALFONSO PRUNEDA                                                                                     "</f>
        <v xml:space="preserve">ALFONSO PRUNEDA                                                                                     </v>
      </c>
      <c r="D1428" s="26" t="str">
        <f>"JORNADA AMPLIADA"</f>
        <v>JORNADA AMPLIADA</v>
      </c>
      <c r="E1428" s="26" t="str">
        <f>"AV IXTACALA Y EJE 1 PONIENTE                                                    "</f>
        <v xml:space="preserve">AV IXTACALA Y EJE 1 PONIENTE                                                    </v>
      </c>
      <c r="F1428" s="26" t="str">
        <f>"SANTA ROSA                                                                                                                                  "</f>
        <v xml:space="preserve">SANTA ROSA                                                                                                                                  </v>
      </c>
      <c r="G1428" s="26" t="str">
        <f>"GUSTAVO A. MADERO                                                               "</f>
        <v xml:space="preserve">GUSTAVO A. MADERO                                                               </v>
      </c>
      <c r="H1428" s="26" t="str">
        <f>"132"</f>
        <v>132</v>
      </c>
      <c r="I1428" s="26" t="str">
        <f t="shared" si="230"/>
        <v>00</v>
      </c>
      <c r="J1428" s="26" t="str">
        <f>"41 "</f>
        <v xml:space="preserve">41 </v>
      </c>
      <c r="K1428" s="26" t="str">
        <f t="shared" si="232"/>
        <v>PR</v>
      </c>
      <c r="L1428" s="26" t="str">
        <f t="shared" si="233"/>
        <v>DGOSE</v>
      </c>
      <c r="M1428" s="26" t="str">
        <f t="shared" si="231"/>
        <v>FEDERAL</v>
      </c>
      <c r="N1428" s="26">
        <v>413</v>
      </c>
      <c r="O1428" s="26">
        <v>214</v>
      </c>
      <c r="P1428" s="26">
        <v>199</v>
      </c>
      <c r="Q1428" s="26">
        <v>14</v>
      </c>
      <c r="R1428" s="26">
        <v>2</v>
      </c>
      <c r="S1428" s="26">
        <v>14</v>
      </c>
      <c r="T1428" s="26">
        <v>11</v>
      </c>
      <c r="U1428" s="26">
        <v>27</v>
      </c>
      <c r="V1428" s="26">
        <v>1</v>
      </c>
      <c r="W1428" s="26" t="s">
        <v>2076</v>
      </c>
    </row>
    <row r="1429" spans="1:23" x14ac:dyDescent="0.25">
      <c r="A1429" s="26" t="str">
        <f t="shared" si="229"/>
        <v>PRIMARIA</v>
      </c>
      <c r="B1429" s="26" t="str">
        <f>"09DPR2695Z"</f>
        <v>09DPR2695Z</v>
      </c>
      <c r="C1429" s="26" t="str">
        <f>"NETZAHUALCOYOTL                                                                                     "</f>
        <v xml:space="preserve">NETZAHUALCOYOTL                                                                                     </v>
      </c>
      <c r="D1429" s="26" t="str">
        <f>"MATUTINO"</f>
        <v>MATUTINO</v>
      </c>
      <c r="E1429" s="26" t="str">
        <f>"ZAPOTECAS E IXTLIXOCHITL S/N                                                    "</f>
        <v xml:space="preserve">ZAPOTECAS E IXTLIXOCHITL S/N                                                    </v>
      </c>
      <c r="F1429" s="26" t="str">
        <f>"AJUSCO                                                                                                                                      "</f>
        <v xml:space="preserve">AJUSCO                                                                                                                                      </v>
      </c>
      <c r="G1429" s="26" t="str">
        <f>"COYOACAN                                                                        "</f>
        <v xml:space="preserve">COYOACAN                                                                        </v>
      </c>
      <c r="H1429" s="26" t="str">
        <f>"504"</f>
        <v>504</v>
      </c>
      <c r="I1429" s="26" t="str">
        <f t="shared" si="230"/>
        <v>00</v>
      </c>
      <c r="J1429" s="26" t="str">
        <f>"45 "</f>
        <v xml:space="preserve">45 </v>
      </c>
      <c r="K1429" s="26" t="str">
        <f t="shared" si="232"/>
        <v>PR</v>
      </c>
      <c r="L1429" s="26" t="str">
        <f t="shared" si="233"/>
        <v>DGOSE</v>
      </c>
      <c r="M1429" s="26" t="str">
        <f t="shared" si="231"/>
        <v>FEDERAL</v>
      </c>
      <c r="N1429" s="26">
        <v>444</v>
      </c>
      <c r="O1429" s="26">
        <v>232</v>
      </c>
      <c r="P1429" s="26">
        <v>212</v>
      </c>
      <c r="Q1429" s="26">
        <v>18</v>
      </c>
      <c r="R1429" s="26">
        <v>1</v>
      </c>
      <c r="S1429" s="26">
        <v>17</v>
      </c>
      <c r="T1429" s="26">
        <v>14</v>
      </c>
      <c r="U1429" s="26">
        <v>32</v>
      </c>
      <c r="V1429" s="26">
        <v>1</v>
      </c>
      <c r="W1429" s="26"/>
    </row>
    <row r="1430" spans="1:23" x14ac:dyDescent="0.25">
      <c r="A1430" s="26" t="str">
        <f t="shared" si="229"/>
        <v>PRIMARIA</v>
      </c>
      <c r="B1430" s="26" t="str">
        <f>"09DPR2696Z"</f>
        <v>09DPR2696Z</v>
      </c>
      <c r="C1430" s="26" t="str">
        <f>"MELCHOR OCAMPO                                                                                      "</f>
        <v xml:space="preserve">MELCHOR OCAMPO                                                                                      </v>
      </c>
      <c r="D1430" s="26" t="str">
        <f>"JORNADA AMPLIADA"</f>
        <v>JORNADA AMPLIADA</v>
      </c>
      <c r="E1430" s="26" t="str">
        <f>"FERNANDEZ LEAL NO 10                                                            "</f>
        <v xml:space="preserve">FERNANDEZ LEAL NO 10                                                            </v>
      </c>
      <c r="F1430" s="26" t="str">
        <f>"CONCEPCION                                                                                                                                  "</f>
        <v xml:space="preserve">CONCEPCION                                                                                                                                  </v>
      </c>
      <c r="G1430" s="26" t="str">
        <f>"COYOACAN                                                                        "</f>
        <v xml:space="preserve">COYOACAN                                                                        </v>
      </c>
      <c r="H1430" s="26" t="str">
        <f>"434"</f>
        <v>434</v>
      </c>
      <c r="I1430" s="26" t="str">
        <f t="shared" si="230"/>
        <v>00</v>
      </c>
      <c r="J1430" s="26" t="str">
        <f>"44 "</f>
        <v xml:space="preserve">44 </v>
      </c>
      <c r="K1430" s="26" t="str">
        <f t="shared" si="232"/>
        <v>PR</v>
      </c>
      <c r="L1430" s="26" t="str">
        <f t="shared" si="233"/>
        <v>DGOSE</v>
      </c>
      <c r="M1430" s="26" t="str">
        <f t="shared" si="231"/>
        <v>FEDERAL</v>
      </c>
      <c r="N1430" s="26">
        <v>382</v>
      </c>
      <c r="O1430" s="26">
        <v>180</v>
      </c>
      <c r="P1430" s="26">
        <v>202</v>
      </c>
      <c r="Q1430" s="26">
        <v>13</v>
      </c>
      <c r="R1430" s="26">
        <v>1</v>
      </c>
      <c r="S1430" s="26">
        <v>12</v>
      </c>
      <c r="T1430" s="26">
        <v>12</v>
      </c>
      <c r="U1430" s="26">
        <v>25</v>
      </c>
      <c r="V1430" s="26">
        <v>1</v>
      </c>
      <c r="W1430" s="26" t="s">
        <v>2076</v>
      </c>
    </row>
    <row r="1431" spans="1:23" x14ac:dyDescent="0.25">
      <c r="A1431" s="26" t="str">
        <f t="shared" si="229"/>
        <v>PRIMARIA</v>
      </c>
      <c r="B1431" s="26" t="str">
        <f>"09DPR2701U"</f>
        <v>09DPR2701U</v>
      </c>
      <c r="C1431" s="26" t="str">
        <f>"LAS TRES AMERICAS                                                                                   "</f>
        <v xml:space="preserve">LAS TRES AMERICAS                                                                                   </v>
      </c>
      <c r="D1431" s="26" t="str">
        <f>"JORNADA AMPLIADA"</f>
        <v>JORNADA AMPLIADA</v>
      </c>
      <c r="E1431" s="26" t="str">
        <f>"RIO RHIN NUM 74                                                                 "</f>
        <v xml:space="preserve">RIO RHIN NUM 74                                                                 </v>
      </c>
      <c r="F1431" s="26" t="str">
        <f>"CUAUHTEMOC                                                                                                                                  "</f>
        <v xml:space="preserve">CUAUHTEMOC                                                                                                                                  </v>
      </c>
      <c r="G1431" s="26" t="str">
        <f>"CUAUHTEMOC                                                                      "</f>
        <v xml:space="preserve">CUAUHTEMOC                                                                      </v>
      </c>
      <c r="H1431" s="26" t="str">
        <f>"124"</f>
        <v>124</v>
      </c>
      <c r="I1431" s="26" t="str">
        <f t="shared" si="230"/>
        <v>00</v>
      </c>
      <c r="J1431" s="26" t="str">
        <f>"41 "</f>
        <v xml:space="preserve">41 </v>
      </c>
      <c r="K1431" s="26" t="str">
        <f t="shared" si="232"/>
        <v>PR</v>
      </c>
      <c r="L1431" s="26" t="str">
        <f t="shared" si="233"/>
        <v>DGOSE</v>
      </c>
      <c r="M1431" s="26" t="str">
        <f t="shared" si="231"/>
        <v>FEDERAL</v>
      </c>
      <c r="N1431" s="26">
        <v>140</v>
      </c>
      <c r="O1431" s="26">
        <v>71</v>
      </c>
      <c r="P1431" s="26">
        <v>69</v>
      </c>
      <c r="Q1431" s="26">
        <v>6</v>
      </c>
      <c r="R1431" s="26">
        <v>1</v>
      </c>
      <c r="S1431" s="26">
        <v>6</v>
      </c>
      <c r="T1431" s="26">
        <v>6</v>
      </c>
      <c r="U1431" s="26">
        <v>13</v>
      </c>
      <c r="V1431" s="26">
        <v>1</v>
      </c>
      <c r="W1431" s="26" t="s">
        <v>2076</v>
      </c>
    </row>
    <row r="1432" spans="1:23" x14ac:dyDescent="0.25">
      <c r="A1432" s="26" t="str">
        <f t="shared" si="229"/>
        <v>PRIMARIA</v>
      </c>
      <c r="B1432" s="26" t="str">
        <f>"09DPR2702T"</f>
        <v>09DPR2702T</v>
      </c>
      <c r="C1432" s="26" t="str">
        <f>"PROFR. TEODOMIRO MANZANO CAMPERO                                                                    "</f>
        <v xml:space="preserve">PROFR. TEODOMIRO MANZANO CAMPERO                                                                    </v>
      </c>
      <c r="D1432" s="26" t="str">
        <f>"TIEMPO COMPLETO"</f>
        <v>TIEMPO COMPLETO</v>
      </c>
      <c r="E1432" s="26" t="str">
        <f>"AV EVA SAMANO DE LOPEZ MATEOS                                                   "</f>
        <v xml:space="preserve">AV EVA SAMANO DE LOPEZ MATEOS                                                   </v>
      </c>
      <c r="F1432" s="26" t="str">
        <f>"GABRIEL HERNANDEZ AMPLIACION                                                                                                                "</f>
        <v xml:space="preserve">GABRIEL HERNANDEZ AMPLIACION                                                                                                                </v>
      </c>
      <c r="G1432" s="26" t="str">
        <f>"GUSTAVO A. MADERO                                                               "</f>
        <v xml:space="preserve">GUSTAVO A. MADERO                                                               </v>
      </c>
      <c r="H1432" s="26" t="str">
        <f>"138"</f>
        <v>138</v>
      </c>
      <c r="I1432" s="26" t="str">
        <f t="shared" si="230"/>
        <v>00</v>
      </c>
      <c r="J1432" s="26" t="str">
        <f>"41 "</f>
        <v xml:space="preserve">41 </v>
      </c>
      <c r="K1432" s="26" t="str">
        <f t="shared" si="232"/>
        <v>PR</v>
      </c>
      <c r="L1432" s="26" t="str">
        <f t="shared" si="233"/>
        <v>DGOSE</v>
      </c>
      <c r="M1432" s="26" t="str">
        <f t="shared" si="231"/>
        <v>FEDERAL</v>
      </c>
      <c r="N1432" s="26">
        <v>463</v>
      </c>
      <c r="O1432" s="26">
        <v>235</v>
      </c>
      <c r="P1432" s="26">
        <v>228</v>
      </c>
      <c r="Q1432" s="26">
        <v>16</v>
      </c>
      <c r="R1432" s="26">
        <v>1</v>
      </c>
      <c r="S1432" s="26">
        <v>16</v>
      </c>
      <c r="T1432" s="26">
        <v>12</v>
      </c>
      <c r="U1432" s="26">
        <v>29</v>
      </c>
      <c r="V1432" s="26">
        <v>1</v>
      </c>
      <c r="W1432" s="26" t="s">
        <v>218</v>
      </c>
    </row>
    <row r="1433" spans="1:23" x14ac:dyDescent="0.25">
      <c r="A1433" s="26" t="str">
        <f t="shared" si="229"/>
        <v>PRIMARIA</v>
      </c>
      <c r="B1433" s="26" t="str">
        <f>"09DPR2703S"</f>
        <v>09DPR2703S</v>
      </c>
      <c r="C1433" s="26" t="str">
        <f>"DIEGO RIVERA BARRIENTOS                                                                             "</f>
        <v xml:space="preserve">DIEGO RIVERA BARRIENTOS                                                                             </v>
      </c>
      <c r="D1433" s="26" t="str">
        <f>"TIEMPO COMPLETO"</f>
        <v>TIEMPO COMPLETO</v>
      </c>
      <c r="E1433" s="26" t="str">
        <f>"CALLE 633 Y 629 SUPER MZA 18 NO. 138                                            "</f>
        <v xml:space="preserve">CALLE 633 Y 629 SUPER MZA 18 NO. 138                                            </v>
      </c>
      <c r="F1433" s="26" t="str">
        <f>"UNIDAD SAN JUAN DE ARAGON                                                                                                                   "</f>
        <v xml:space="preserve">UNIDAD SAN JUAN DE ARAGON                                                                                                                   </v>
      </c>
      <c r="G1433" s="26" t="str">
        <f>"GUSTAVO A. MADERO                                                               "</f>
        <v xml:space="preserve">GUSTAVO A. MADERO                                                               </v>
      </c>
      <c r="H1433" s="26" t="str">
        <f>"144"</f>
        <v>144</v>
      </c>
      <c r="I1433" s="26" t="str">
        <f t="shared" si="230"/>
        <v>00</v>
      </c>
      <c r="J1433" s="26" t="str">
        <f>"41 "</f>
        <v xml:space="preserve">41 </v>
      </c>
      <c r="K1433" s="26" t="str">
        <f t="shared" si="232"/>
        <v>PR</v>
      </c>
      <c r="L1433" s="26" t="str">
        <f t="shared" si="233"/>
        <v>DGOSE</v>
      </c>
      <c r="M1433" s="26" t="str">
        <f t="shared" si="231"/>
        <v>FEDERAL</v>
      </c>
      <c r="N1433" s="26">
        <v>523</v>
      </c>
      <c r="O1433" s="26">
        <v>259</v>
      </c>
      <c r="P1433" s="26">
        <v>264</v>
      </c>
      <c r="Q1433" s="26">
        <v>18</v>
      </c>
      <c r="R1433" s="26">
        <v>1</v>
      </c>
      <c r="S1433" s="26">
        <v>18</v>
      </c>
      <c r="T1433" s="26">
        <v>16</v>
      </c>
      <c r="U1433" s="26">
        <v>35</v>
      </c>
      <c r="V1433" s="26">
        <v>1</v>
      </c>
      <c r="W1433" s="26" t="s">
        <v>218</v>
      </c>
    </row>
    <row r="1434" spans="1:23" x14ac:dyDescent="0.25">
      <c r="A1434" s="26" t="str">
        <f t="shared" si="229"/>
        <v>PRIMARIA</v>
      </c>
      <c r="B1434" s="26" t="str">
        <f>"09DPR2706P"</f>
        <v>09DPR2706P</v>
      </c>
      <c r="C1434" s="26" t="str">
        <f>"PROFR. RAFAEL CRUZ MANJARREZ                                                                        "</f>
        <v xml:space="preserve">PROFR. RAFAEL CRUZ MANJARREZ                                                                        </v>
      </c>
      <c r="D1434" s="26" t="str">
        <f>"VESPERTINO"</f>
        <v>VESPERTINO</v>
      </c>
      <c r="E1434" s="26" t="str">
        <f>"ROSAL NO 248                                                                    "</f>
        <v xml:space="preserve">ROSAL NO 248                                                                    </v>
      </c>
      <c r="F1434" s="26" t="str">
        <f>"SAN PEDRO MARTIR                                                                                                                            "</f>
        <v xml:space="preserve">SAN PEDRO MARTIR                                                                                                                            </v>
      </c>
      <c r="G1434" s="26" t="str">
        <f>"TLALPAN                                                                         "</f>
        <v xml:space="preserve">TLALPAN                                                                         </v>
      </c>
      <c r="H1434" s="26" t="str">
        <f>"527"</f>
        <v>527</v>
      </c>
      <c r="I1434" s="26" t="str">
        <f t="shared" si="230"/>
        <v>00</v>
      </c>
      <c r="J1434" s="26" t="str">
        <f>"45 "</f>
        <v xml:space="preserve">45 </v>
      </c>
      <c r="K1434" s="26" t="str">
        <f t="shared" si="232"/>
        <v>PR</v>
      </c>
      <c r="L1434" s="26" t="str">
        <f t="shared" si="233"/>
        <v>DGOSE</v>
      </c>
      <c r="M1434" s="26" t="str">
        <f t="shared" si="231"/>
        <v>FEDERAL</v>
      </c>
      <c r="N1434" s="26">
        <v>498</v>
      </c>
      <c r="O1434" s="26">
        <v>252</v>
      </c>
      <c r="P1434" s="26">
        <v>246</v>
      </c>
      <c r="Q1434" s="26">
        <v>18</v>
      </c>
      <c r="R1434" s="26">
        <v>0</v>
      </c>
      <c r="S1434" s="26">
        <v>17</v>
      </c>
      <c r="T1434" s="26">
        <v>6</v>
      </c>
      <c r="U1434" s="26">
        <v>23</v>
      </c>
      <c r="V1434" s="26">
        <v>1</v>
      </c>
      <c r="W1434" s="26"/>
    </row>
    <row r="1435" spans="1:23" x14ac:dyDescent="0.25">
      <c r="A1435" s="26" t="str">
        <f t="shared" si="229"/>
        <v>PRIMARIA</v>
      </c>
      <c r="B1435" s="26" t="str">
        <f>"09DPR2707O"</f>
        <v>09DPR2707O</v>
      </c>
      <c r="C1435" s="26" t="str">
        <f>"ESTADO DE COLIMA                                                                                    "</f>
        <v xml:space="preserve">ESTADO DE COLIMA                                                                                    </v>
      </c>
      <c r="D1435" s="26" t="str">
        <f>"VESPERTINO"</f>
        <v>VESPERTINO</v>
      </c>
      <c r="E1435" s="26" t="str">
        <f>"FERNANDO MONTES DE OCA S/N.                                                     "</f>
        <v xml:space="preserve">FERNANDO MONTES DE OCA S/N.                                                     </v>
      </c>
      <c r="F1435" s="26" t="str">
        <f>"GUADALUPE DEL MORAL                                                                                                                         "</f>
        <v xml:space="preserve">GUADALUPE DEL MORAL                                                                                                                         </v>
      </c>
      <c r="G1435" s="26" t="str">
        <f>"IZTAPALAPA                                                                      "</f>
        <v xml:space="preserve">IZTAPALAPA                                                                      </v>
      </c>
      <c r="H1435" s="26" t="str">
        <f>"039"</f>
        <v>039</v>
      </c>
      <c r="I1435" s="26" t="str">
        <f t="shared" si="230"/>
        <v>00</v>
      </c>
      <c r="J1435" s="26" t="str">
        <f>"63 "</f>
        <v xml:space="preserve">63 </v>
      </c>
      <c r="K1435" s="26" t="str">
        <f>"IZ"</f>
        <v>IZ</v>
      </c>
      <c r="L1435" s="26" t="str">
        <f>"DGSEI"</f>
        <v>DGSEI</v>
      </c>
      <c r="M1435" s="26" t="str">
        <f t="shared" si="231"/>
        <v>FEDERAL</v>
      </c>
      <c r="N1435" s="26">
        <v>118</v>
      </c>
      <c r="O1435" s="26">
        <v>66</v>
      </c>
      <c r="P1435" s="26">
        <v>52</v>
      </c>
      <c r="Q1435" s="26">
        <v>6</v>
      </c>
      <c r="R1435" s="26">
        <v>1</v>
      </c>
      <c r="S1435" s="26">
        <v>6</v>
      </c>
      <c r="T1435" s="26">
        <v>3</v>
      </c>
      <c r="U1435" s="26">
        <v>10</v>
      </c>
      <c r="V1435" s="26">
        <v>1</v>
      </c>
      <c r="W1435" s="26"/>
    </row>
    <row r="1436" spans="1:23" x14ac:dyDescent="0.25">
      <c r="A1436" s="26" t="str">
        <f t="shared" si="229"/>
        <v>PRIMARIA</v>
      </c>
      <c r="B1436" s="26" t="str">
        <f>"09DPR2708N"</f>
        <v>09DPR2708N</v>
      </c>
      <c r="C1436" s="26" t="str">
        <f>"REPUBLICA ARABE UNIDA                                                                               "</f>
        <v xml:space="preserve">REPUBLICA ARABE UNIDA                                                                               </v>
      </c>
      <c r="D1436" s="26" t="str">
        <f>"MATUTINO"</f>
        <v>MATUTINO</v>
      </c>
      <c r="E1436" s="26" t="str">
        <f>"MALINCHE Y AXAYACATL                                                            "</f>
        <v xml:space="preserve">MALINCHE Y AXAYACATL                                                            </v>
      </c>
      <c r="F1436" s="26" t="str">
        <f>"ARENAL 1A SECCION                                                                                                                           "</f>
        <v xml:space="preserve">ARENAL 1A SECCION                                                                                                                           </v>
      </c>
      <c r="G1436" s="26" t="str">
        <f>"VENUSTIANO CARRANZA                                                             "</f>
        <v xml:space="preserve">VENUSTIANO CARRANZA                                                             </v>
      </c>
      <c r="H1436" s="26" t="str">
        <f>"352"</f>
        <v>352</v>
      </c>
      <c r="I1436" s="26" t="str">
        <f t="shared" si="230"/>
        <v>00</v>
      </c>
      <c r="J1436" s="26" t="str">
        <f>"43 "</f>
        <v xml:space="preserve">43 </v>
      </c>
      <c r="K1436" s="26" t="str">
        <f t="shared" ref="K1436:K1443" si="234">"PR"</f>
        <v>PR</v>
      </c>
      <c r="L1436" s="26" t="str">
        <f t="shared" ref="L1436:L1443" si="235">"DGOSE"</f>
        <v>DGOSE</v>
      </c>
      <c r="M1436" s="26" t="str">
        <f t="shared" si="231"/>
        <v>FEDERAL</v>
      </c>
      <c r="N1436" s="26">
        <v>542</v>
      </c>
      <c r="O1436" s="26">
        <v>261</v>
      </c>
      <c r="P1436" s="26">
        <v>281</v>
      </c>
      <c r="Q1436" s="26">
        <v>18</v>
      </c>
      <c r="R1436" s="26">
        <v>1</v>
      </c>
      <c r="S1436" s="26">
        <v>18</v>
      </c>
      <c r="T1436" s="26">
        <v>10</v>
      </c>
      <c r="U1436" s="26">
        <v>29</v>
      </c>
      <c r="V1436" s="26">
        <v>1</v>
      </c>
      <c r="W1436" s="26"/>
    </row>
    <row r="1437" spans="1:23" x14ac:dyDescent="0.25">
      <c r="A1437" s="26" t="str">
        <f t="shared" si="229"/>
        <v>PRIMARIA</v>
      </c>
      <c r="B1437" s="26" t="str">
        <f>"09DPR2710B"</f>
        <v>09DPR2710B</v>
      </c>
      <c r="C1437" s="26" t="str">
        <f>"FRANCISCO DE P. MIRANDA                                                                             "</f>
        <v xml:space="preserve">FRANCISCO DE P. MIRANDA                                                                             </v>
      </c>
      <c r="D1437" s="26" t="str">
        <f>"TIEMPO COMPLETO"</f>
        <v>TIEMPO COMPLETO</v>
      </c>
      <c r="E1437" s="26" t="str">
        <f>"AV 4 Y CALLE 19 S/N                                                             "</f>
        <v xml:space="preserve">AV 4 Y CALLE 19 S/N                                                             </v>
      </c>
      <c r="F1437" s="26" t="str">
        <f>"VALENTIN GOMEZ FARIAS                                                                                                                       "</f>
        <v xml:space="preserve">VALENTIN GOMEZ FARIAS                                                                                                                       </v>
      </c>
      <c r="G1437" s="26" t="str">
        <f>"VENUSTIANO CARRANZA                                                             "</f>
        <v xml:space="preserve">VENUSTIANO CARRANZA                                                             </v>
      </c>
      <c r="H1437" s="26" t="str">
        <f>"425"</f>
        <v>425</v>
      </c>
      <c r="I1437" s="26" t="str">
        <f t="shared" si="230"/>
        <v>00</v>
      </c>
      <c r="J1437" s="26" t="str">
        <f>"44 "</f>
        <v xml:space="preserve">44 </v>
      </c>
      <c r="K1437" s="26" t="str">
        <f t="shared" si="234"/>
        <v>PR</v>
      </c>
      <c r="L1437" s="26" t="str">
        <f t="shared" si="235"/>
        <v>DGOSE</v>
      </c>
      <c r="M1437" s="26" t="str">
        <f t="shared" si="231"/>
        <v>FEDERAL</v>
      </c>
      <c r="N1437" s="26">
        <v>354</v>
      </c>
      <c r="O1437" s="26">
        <v>172</v>
      </c>
      <c r="P1437" s="26">
        <v>182</v>
      </c>
      <c r="Q1437" s="26">
        <v>12</v>
      </c>
      <c r="R1437" s="26">
        <v>1</v>
      </c>
      <c r="S1437" s="26">
        <v>12</v>
      </c>
      <c r="T1437" s="26">
        <v>14</v>
      </c>
      <c r="U1437" s="26">
        <v>27</v>
      </c>
      <c r="V1437" s="26">
        <v>1</v>
      </c>
      <c r="W1437" s="26" t="s">
        <v>218</v>
      </c>
    </row>
    <row r="1438" spans="1:23" x14ac:dyDescent="0.25">
      <c r="A1438" s="26" t="str">
        <f t="shared" si="229"/>
        <v>PRIMARIA</v>
      </c>
      <c r="B1438" s="26" t="str">
        <f>"09DPR2713Z"</f>
        <v>09DPR2713Z</v>
      </c>
      <c r="C1438" s="26" t="str">
        <f>"PROFR. RAFAEL CRUZ MANJARREZ                                                                        "</f>
        <v xml:space="preserve">PROFR. RAFAEL CRUZ MANJARREZ                                                                        </v>
      </c>
      <c r="D1438" s="26" t="str">
        <f>"MATUTINO"</f>
        <v>MATUTINO</v>
      </c>
      <c r="E1438" s="26" t="str">
        <f>"ROSAL NO 248                                                                    "</f>
        <v xml:space="preserve">ROSAL NO 248                                                                    </v>
      </c>
      <c r="F1438" s="26" t="str">
        <f>"SAN PEDRO MARTIR                                                                                                                            "</f>
        <v xml:space="preserve">SAN PEDRO MARTIR                                                                                                                            </v>
      </c>
      <c r="G1438" s="26" t="str">
        <f>"TLALPAN                                                                         "</f>
        <v xml:space="preserve">TLALPAN                                                                         </v>
      </c>
      <c r="H1438" s="26" t="str">
        <f>"527"</f>
        <v>527</v>
      </c>
      <c r="I1438" s="26" t="str">
        <f t="shared" si="230"/>
        <v>00</v>
      </c>
      <c r="J1438" s="26" t="str">
        <f>"45 "</f>
        <v xml:space="preserve">45 </v>
      </c>
      <c r="K1438" s="26" t="str">
        <f t="shared" si="234"/>
        <v>PR</v>
      </c>
      <c r="L1438" s="26" t="str">
        <f t="shared" si="235"/>
        <v>DGOSE</v>
      </c>
      <c r="M1438" s="26" t="str">
        <f t="shared" si="231"/>
        <v>FEDERAL</v>
      </c>
      <c r="N1438" s="26">
        <v>691</v>
      </c>
      <c r="O1438" s="26">
        <v>323</v>
      </c>
      <c r="P1438" s="26">
        <v>368</v>
      </c>
      <c r="Q1438" s="26">
        <v>18</v>
      </c>
      <c r="R1438" s="26">
        <v>1</v>
      </c>
      <c r="S1438" s="26">
        <v>18</v>
      </c>
      <c r="T1438" s="26">
        <v>9</v>
      </c>
      <c r="U1438" s="26">
        <v>28</v>
      </c>
      <c r="V1438" s="26">
        <v>1</v>
      </c>
      <c r="W1438" s="26"/>
    </row>
    <row r="1439" spans="1:23" x14ac:dyDescent="0.25">
      <c r="A1439" s="26" t="str">
        <f t="shared" si="229"/>
        <v>PRIMARIA</v>
      </c>
      <c r="B1439" s="26" t="str">
        <f>"09DPR2716W"</f>
        <v>09DPR2716W</v>
      </c>
      <c r="C1439" s="26" t="str">
        <f>"CONSTITUYENTE ING. JULIAN ADAME ALATORRE                                                            "</f>
        <v xml:space="preserve">CONSTITUYENTE ING. JULIAN ADAME ALATORRE                                                            </v>
      </c>
      <c r="D1439" s="26" t="str">
        <f>"JORNADA AMPLIADA"</f>
        <v>JORNADA AMPLIADA</v>
      </c>
      <c r="E1439" s="26" t="str">
        <f>"ALLENDE NO 56                                                                   "</f>
        <v xml:space="preserve">ALLENDE NO 56                                                                   </v>
      </c>
      <c r="F1439" s="26" t="str">
        <f>"DEL CARMEN                                                                                                                                  "</f>
        <v xml:space="preserve">DEL CARMEN                                                                                                                                  </v>
      </c>
      <c r="G1439" s="26" t="str">
        <f>"COYOACAN                                                                        "</f>
        <v xml:space="preserve">COYOACAN                                                                        </v>
      </c>
      <c r="H1439" s="26" t="str">
        <f>"433"</f>
        <v>433</v>
      </c>
      <c r="I1439" s="26" t="str">
        <f t="shared" si="230"/>
        <v>00</v>
      </c>
      <c r="J1439" s="26" t="str">
        <f>"44 "</f>
        <v xml:space="preserve">44 </v>
      </c>
      <c r="K1439" s="26" t="str">
        <f t="shared" si="234"/>
        <v>PR</v>
      </c>
      <c r="L1439" s="26" t="str">
        <f t="shared" si="235"/>
        <v>DGOSE</v>
      </c>
      <c r="M1439" s="26" t="str">
        <f t="shared" si="231"/>
        <v>FEDERAL</v>
      </c>
      <c r="N1439" s="26">
        <v>535</v>
      </c>
      <c r="O1439" s="26">
        <v>264</v>
      </c>
      <c r="P1439" s="26">
        <v>271</v>
      </c>
      <c r="Q1439" s="26">
        <v>18</v>
      </c>
      <c r="R1439" s="26">
        <v>1</v>
      </c>
      <c r="S1439" s="26">
        <v>17</v>
      </c>
      <c r="T1439" s="26">
        <v>12</v>
      </c>
      <c r="U1439" s="26">
        <v>30</v>
      </c>
      <c r="V1439" s="26">
        <v>1</v>
      </c>
      <c r="W1439" s="26" t="s">
        <v>2076</v>
      </c>
    </row>
    <row r="1440" spans="1:23" x14ac:dyDescent="0.25">
      <c r="A1440" s="26" t="str">
        <f t="shared" si="229"/>
        <v>PRIMARIA</v>
      </c>
      <c r="B1440" s="26" t="str">
        <f>"09DPR2719T"</f>
        <v>09DPR2719T</v>
      </c>
      <c r="C1440" s="26" t="str">
        <f>"REPUBLICA DE CAMERUN                                                                                "</f>
        <v xml:space="preserve">REPUBLICA DE CAMERUN                                                                                </v>
      </c>
      <c r="D1440" s="26" t="str">
        <f>"VESPERTINO"</f>
        <v>VESPERTINO</v>
      </c>
      <c r="E1440" s="26" t="str">
        <f>"LUIS ECHEVERRIA S/N                                                             "</f>
        <v xml:space="preserve">LUIS ECHEVERRIA S/N                                                             </v>
      </c>
      <c r="F1440" s="26" t="str">
        <f>"PRESIDENTES                                                                                                                                 "</f>
        <v xml:space="preserve">PRESIDENTES                                                                                                                                 </v>
      </c>
      <c r="G1440" s="26" t="str">
        <f>"ALVARO OBREGON                                                                  "</f>
        <v xml:space="preserve">ALVARO OBREGON                                                                  </v>
      </c>
      <c r="H1440" s="26" t="str">
        <f>"309"</f>
        <v>309</v>
      </c>
      <c r="I1440" s="26" t="str">
        <f t="shared" si="230"/>
        <v>00</v>
      </c>
      <c r="J1440" s="26" t="str">
        <f>"43 "</f>
        <v xml:space="preserve">43 </v>
      </c>
      <c r="K1440" s="26" t="str">
        <f t="shared" si="234"/>
        <v>PR</v>
      </c>
      <c r="L1440" s="26" t="str">
        <f t="shared" si="235"/>
        <v>DGOSE</v>
      </c>
      <c r="M1440" s="26" t="str">
        <f t="shared" si="231"/>
        <v>FEDERAL</v>
      </c>
      <c r="N1440" s="26">
        <v>415</v>
      </c>
      <c r="O1440" s="26">
        <v>202</v>
      </c>
      <c r="P1440" s="26">
        <v>213</v>
      </c>
      <c r="Q1440" s="26">
        <v>17</v>
      </c>
      <c r="R1440" s="26">
        <v>1</v>
      </c>
      <c r="S1440" s="26">
        <v>17</v>
      </c>
      <c r="T1440" s="26">
        <v>6</v>
      </c>
      <c r="U1440" s="26">
        <v>24</v>
      </c>
      <c r="V1440" s="26">
        <v>1</v>
      </c>
      <c r="W1440" s="26"/>
    </row>
    <row r="1441" spans="1:23" x14ac:dyDescent="0.25">
      <c r="A1441" s="26" t="str">
        <f t="shared" si="229"/>
        <v>PRIMARIA</v>
      </c>
      <c r="B1441" s="26" t="str">
        <f>"09DPR2720I"</f>
        <v>09DPR2720I</v>
      </c>
      <c r="C1441" s="26" t="str">
        <f>"CARLOS GARCIA                                                                                       "</f>
        <v xml:space="preserve">CARLOS GARCIA                                                                                       </v>
      </c>
      <c r="D1441" s="26" t="str">
        <f>"VESPERTINO"</f>
        <v>VESPERTINO</v>
      </c>
      <c r="E1441" s="26" t="str">
        <f>"NARCISO MENDOZA 19                                                              "</f>
        <v xml:space="preserve">NARCISO MENDOZA 19                                                              </v>
      </c>
      <c r="F1441" s="26" t="str">
        <f>"SANTA MARIA NATIVITAS                                                                                                                       "</f>
        <v xml:space="preserve">SANTA MARIA NATIVITAS                                                                                                                       </v>
      </c>
      <c r="G1441" s="26" t="str">
        <f>"XOCHIMILCO                                                                      "</f>
        <v xml:space="preserve">XOCHIMILCO                                                                      </v>
      </c>
      <c r="H1441" s="26" t="str">
        <f>"540"</f>
        <v>540</v>
      </c>
      <c r="I1441" s="26" t="str">
        <f t="shared" si="230"/>
        <v>00</v>
      </c>
      <c r="J1441" s="26" t="str">
        <f>"45 "</f>
        <v xml:space="preserve">45 </v>
      </c>
      <c r="K1441" s="26" t="str">
        <f t="shared" si="234"/>
        <v>PR</v>
      </c>
      <c r="L1441" s="26" t="str">
        <f t="shared" si="235"/>
        <v>DGOSE</v>
      </c>
      <c r="M1441" s="26" t="str">
        <f t="shared" si="231"/>
        <v>FEDERAL</v>
      </c>
      <c r="N1441" s="26">
        <v>426</v>
      </c>
      <c r="O1441" s="26">
        <v>201</v>
      </c>
      <c r="P1441" s="26">
        <v>225</v>
      </c>
      <c r="Q1441" s="26">
        <v>13</v>
      </c>
      <c r="R1441" s="26">
        <v>1</v>
      </c>
      <c r="S1441" s="26">
        <v>13</v>
      </c>
      <c r="T1441" s="26">
        <v>6</v>
      </c>
      <c r="U1441" s="26">
        <v>20</v>
      </c>
      <c r="V1441" s="26">
        <v>1</v>
      </c>
      <c r="W1441" s="26"/>
    </row>
    <row r="1442" spans="1:23" x14ac:dyDescent="0.25">
      <c r="A1442" s="26" t="str">
        <f t="shared" si="229"/>
        <v>PRIMARIA</v>
      </c>
      <c r="B1442" s="26" t="str">
        <f>"09DPR2721H"</f>
        <v>09DPR2721H</v>
      </c>
      <c r="C1442" s="26" t="str">
        <f>"FRANCISCO HERNANDEZ DE CORDOBA                                                                      "</f>
        <v xml:space="preserve">FRANCISCO HERNANDEZ DE CORDOBA                                                                      </v>
      </c>
      <c r="D1442" s="26" t="str">
        <f>"VESPERTINO"</f>
        <v>VESPERTINO</v>
      </c>
      <c r="E1442" s="26" t="str">
        <f>"IGNACIO ZARAGOZA S/N                                                            "</f>
        <v xml:space="preserve">IGNACIO ZARAGOZA S/N                                                            </v>
      </c>
      <c r="F1442" s="26" t="str">
        <f>"SAN JUAN IXTAYOPAN                                                                                                                          "</f>
        <v xml:space="preserve">SAN JUAN IXTAYOPAN                                                                                                                          </v>
      </c>
      <c r="G1442" s="26" t="str">
        <f>"TLAHUAC                                                                         "</f>
        <v xml:space="preserve">TLAHUAC                                                                         </v>
      </c>
      <c r="H1442" s="26" t="str">
        <f>"559"</f>
        <v>559</v>
      </c>
      <c r="I1442" s="26" t="str">
        <f t="shared" si="230"/>
        <v>00</v>
      </c>
      <c r="J1442" s="26" t="str">
        <f>"45 "</f>
        <v xml:space="preserve">45 </v>
      </c>
      <c r="K1442" s="26" t="str">
        <f t="shared" si="234"/>
        <v>PR</v>
      </c>
      <c r="L1442" s="26" t="str">
        <f t="shared" si="235"/>
        <v>DGOSE</v>
      </c>
      <c r="M1442" s="26" t="str">
        <f t="shared" si="231"/>
        <v>FEDERAL</v>
      </c>
      <c r="N1442" s="26">
        <v>319</v>
      </c>
      <c r="O1442" s="26">
        <v>159</v>
      </c>
      <c r="P1442" s="26">
        <v>160</v>
      </c>
      <c r="Q1442" s="26">
        <v>12</v>
      </c>
      <c r="R1442" s="26">
        <v>1</v>
      </c>
      <c r="S1442" s="26">
        <v>12</v>
      </c>
      <c r="T1442" s="26">
        <v>6</v>
      </c>
      <c r="U1442" s="26">
        <v>19</v>
      </c>
      <c r="V1442" s="26">
        <v>1</v>
      </c>
      <c r="W1442" s="26"/>
    </row>
    <row r="1443" spans="1:23" x14ac:dyDescent="0.25">
      <c r="A1443" s="26" t="str">
        <f t="shared" si="229"/>
        <v>PRIMARIA</v>
      </c>
      <c r="B1443" s="26" t="str">
        <f>"09DPR2723F"</f>
        <v>09DPR2723F</v>
      </c>
      <c r="C1443" s="26" t="str">
        <f>"XOCHIMILCO                                                                                          "</f>
        <v xml:space="preserve">XOCHIMILCO                                                                                          </v>
      </c>
      <c r="D1443" s="26" t="str">
        <f>"VESPERTINO"</f>
        <v>VESPERTINO</v>
      </c>
      <c r="E1443" s="26" t="str">
        <f>"SELVA Y MORELOS S/N                                                             "</f>
        <v xml:space="preserve">SELVA Y MORELOS S/N                                                             </v>
      </c>
      <c r="F1443" s="26" t="str">
        <f>"SAN PEDRO                                                                                                                                   "</f>
        <v xml:space="preserve">SAN PEDRO                                                                                                                                   </v>
      </c>
      <c r="G1443" s="26" t="str">
        <f>"XOCHIMILCO                                                                      "</f>
        <v xml:space="preserve">XOCHIMILCO                                                                      </v>
      </c>
      <c r="H1443" s="26" t="str">
        <f>"538"</f>
        <v>538</v>
      </c>
      <c r="I1443" s="26" t="str">
        <f t="shared" si="230"/>
        <v>00</v>
      </c>
      <c r="J1443" s="26" t="str">
        <f>"45 "</f>
        <v xml:space="preserve">45 </v>
      </c>
      <c r="K1443" s="26" t="str">
        <f t="shared" si="234"/>
        <v>PR</v>
      </c>
      <c r="L1443" s="26" t="str">
        <f t="shared" si="235"/>
        <v>DGOSE</v>
      </c>
      <c r="M1443" s="26" t="str">
        <f t="shared" si="231"/>
        <v>FEDERAL</v>
      </c>
      <c r="N1443" s="26">
        <v>355</v>
      </c>
      <c r="O1443" s="26">
        <v>183</v>
      </c>
      <c r="P1443" s="26">
        <v>172</v>
      </c>
      <c r="Q1443" s="26">
        <v>17</v>
      </c>
      <c r="R1443" s="26">
        <v>1</v>
      </c>
      <c r="S1443" s="26">
        <v>16</v>
      </c>
      <c r="T1443" s="26">
        <v>9</v>
      </c>
      <c r="U1443" s="26">
        <v>26</v>
      </c>
      <c r="V1443" s="26">
        <v>1</v>
      </c>
      <c r="W1443" s="26"/>
    </row>
    <row r="1444" spans="1:23" x14ac:dyDescent="0.25">
      <c r="A1444" s="26" t="str">
        <f t="shared" si="229"/>
        <v>PRIMARIA</v>
      </c>
      <c r="B1444" s="26" t="str">
        <f>"09DPR2724E"</f>
        <v>09DPR2724E</v>
      </c>
      <c r="C1444" s="26" t="str">
        <f>"PROFRA. PAULA ALEGRIA GARZA                                                                         "</f>
        <v xml:space="preserve">PROFRA. PAULA ALEGRIA GARZA                                                                         </v>
      </c>
      <c r="D1444" s="26" t="str">
        <f>"MATUTINO"</f>
        <v>MATUTINO</v>
      </c>
      <c r="E1444" s="26" t="str">
        <f>"JOSE N. PRIETO NO. 53                                                           "</f>
        <v xml:space="preserve">JOSE N. PRIETO NO. 53                                                           </v>
      </c>
      <c r="F1444" s="26" t="str">
        <f>"UNIDAD HABITACIONAL EJERCITO DE ORI                                                                                                         "</f>
        <v xml:space="preserve">UNIDAD HABITACIONAL EJERCITO DE ORI                                                                                                         </v>
      </c>
      <c r="G1444" s="26" t="str">
        <f>"IZTAPALAPA                                                                      "</f>
        <v xml:space="preserve">IZTAPALAPA                                                                      </v>
      </c>
      <c r="H1444" s="26" t="str">
        <f>"022"</f>
        <v>022</v>
      </c>
      <c r="I1444" s="26" t="str">
        <f t="shared" si="230"/>
        <v>00</v>
      </c>
      <c r="J1444" s="26" t="str">
        <f>"62 "</f>
        <v xml:space="preserve">62 </v>
      </c>
      <c r="K1444" s="26" t="str">
        <f>"IZ"</f>
        <v>IZ</v>
      </c>
      <c r="L1444" s="26" t="str">
        <f>"DGSEI"</f>
        <v>DGSEI</v>
      </c>
      <c r="M1444" s="26" t="str">
        <f t="shared" si="231"/>
        <v>FEDERAL</v>
      </c>
      <c r="N1444" s="26">
        <v>347</v>
      </c>
      <c r="O1444" s="26">
        <v>177</v>
      </c>
      <c r="P1444" s="26">
        <v>170</v>
      </c>
      <c r="Q1444" s="26">
        <v>12</v>
      </c>
      <c r="R1444" s="26">
        <v>1</v>
      </c>
      <c r="S1444" s="26">
        <v>12</v>
      </c>
      <c r="T1444" s="26">
        <v>6</v>
      </c>
      <c r="U1444" s="26">
        <v>19</v>
      </c>
      <c r="V1444" s="26">
        <v>1</v>
      </c>
      <c r="W1444" s="26"/>
    </row>
    <row r="1445" spans="1:23" x14ac:dyDescent="0.25">
      <c r="A1445" s="26" t="str">
        <f t="shared" si="229"/>
        <v>PRIMARIA</v>
      </c>
      <c r="B1445" s="26" t="str">
        <f>"09DPR2726C"</f>
        <v>09DPR2726C</v>
      </c>
      <c r="C1445" s="26" t="str">
        <f>"PROFR. SAMUEL DELGADO I. MOYA                                                                       "</f>
        <v xml:space="preserve">PROFR. SAMUEL DELGADO I. MOYA                                                                       </v>
      </c>
      <c r="D1445" s="26" t="str">
        <f>"VESPERTINO"</f>
        <v>VESPERTINO</v>
      </c>
      <c r="E1445" s="26" t="str">
        <f>"AVENIDA PAPALOTL S/N                                                            "</f>
        <v xml:space="preserve">AVENIDA PAPALOTL S/N                                                            </v>
      </c>
      <c r="F1445" s="26" t="str">
        <f>"PEDREGAL DE SANTO DOMINGO                                                                                                                   "</f>
        <v xml:space="preserve">PEDREGAL DE SANTO DOMINGO                                                                                                                   </v>
      </c>
      <c r="G1445" s="26" t="str">
        <f>"COYOACAN                                                                        "</f>
        <v xml:space="preserve">COYOACAN                                                                        </v>
      </c>
      <c r="H1445" s="26" t="str">
        <f>"502"</f>
        <v>502</v>
      </c>
      <c r="I1445" s="26" t="str">
        <f t="shared" si="230"/>
        <v>00</v>
      </c>
      <c r="J1445" s="26" t="str">
        <f>"45 "</f>
        <v xml:space="preserve">45 </v>
      </c>
      <c r="K1445" s="26" t="str">
        <f>"PR"</f>
        <v>PR</v>
      </c>
      <c r="L1445" s="26" t="str">
        <f>"DGOSE"</f>
        <v>DGOSE</v>
      </c>
      <c r="M1445" s="26" t="str">
        <f t="shared" si="231"/>
        <v>FEDERAL</v>
      </c>
      <c r="N1445" s="26">
        <v>244</v>
      </c>
      <c r="O1445" s="26">
        <v>126</v>
      </c>
      <c r="P1445" s="26">
        <v>118</v>
      </c>
      <c r="Q1445" s="26">
        <v>11</v>
      </c>
      <c r="R1445" s="26">
        <v>1</v>
      </c>
      <c r="S1445" s="26">
        <v>10</v>
      </c>
      <c r="T1445" s="26">
        <v>7</v>
      </c>
      <c r="U1445" s="26">
        <v>18</v>
      </c>
      <c r="V1445" s="26">
        <v>1</v>
      </c>
      <c r="W1445" s="26"/>
    </row>
    <row r="1446" spans="1:23" x14ac:dyDescent="0.25">
      <c r="A1446" s="26" t="str">
        <f t="shared" si="229"/>
        <v>PRIMARIA</v>
      </c>
      <c r="B1446" s="26" t="str">
        <f>"09DPR2728A"</f>
        <v>09DPR2728A</v>
      </c>
      <c r="C1446" s="26" t="str">
        <f>"JOSE DOLORES MEDINA DELGADO                                                                         "</f>
        <v xml:space="preserve">JOSE DOLORES MEDINA DELGADO                                                                         </v>
      </c>
      <c r="D1446" s="26" t="str">
        <f>"JORNADA AMPLIADA"</f>
        <v>JORNADA AMPLIADA</v>
      </c>
      <c r="E1446" s="26" t="str">
        <f>"CORAZON DEL BARRIO SUPER MANZANA 1                                              "</f>
        <v xml:space="preserve">CORAZON DEL BARRIO SUPER MANZANA 1                                              </v>
      </c>
      <c r="F1446" s="26" t="str">
        <f>"UNIDAD HABITACIONAL EJERCITO CONSTI                                                                                                         "</f>
        <v xml:space="preserve">UNIDAD HABITACIONAL EJERCITO CONSTI                                                                                                         </v>
      </c>
      <c r="G1446" s="26" t="str">
        <f>"IZTAPALAPA                                                                      "</f>
        <v xml:space="preserve">IZTAPALAPA                                                                      </v>
      </c>
      <c r="H1446" s="26" t="str">
        <f>"006"</f>
        <v>006</v>
      </c>
      <c r="I1446" s="26" t="str">
        <f t="shared" si="230"/>
        <v>00</v>
      </c>
      <c r="J1446" s="26" t="str">
        <f>"61 "</f>
        <v xml:space="preserve">61 </v>
      </c>
      <c r="K1446" s="26" t="str">
        <f>"IZ"</f>
        <v>IZ</v>
      </c>
      <c r="L1446" s="26" t="str">
        <f>"DGSEI"</f>
        <v>DGSEI</v>
      </c>
      <c r="M1446" s="26" t="str">
        <f t="shared" si="231"/>
        <v>FEDERAL</v>
      </c>
      <c r="N1446" s="26">
        <v>361</v>
      </c>
      <c r="O1446" s="26">
        <v>197</v>
      </c>
      <c r="P1446" s="26">
        <v>164</v>
      </c>
      <c r="Q1446" s="26">
        <v>11</v>
      </c>
      <c r="R1446" s="26">
        <v>1</v>
      </c>
      <c r="S1446" s="26">
        <v>11</v>
      </c>
      <c r="T1446" s="26">
        <v>8</v>
      </c>
      <c r="U1446" s="26">
        <v>20</v>
      </c>
      <c r="V1446" s="26">
        <v>1</v>
      </c>
      <c r="W1446" s="26" t="s">
        <v>2076</v>
      </c>
    </row>
    <row r="1447" spans="1:23" x14ac:dyDescent="0.25">
      <c r="A1447" s="26" t="str">
        <f t="shared" si="229"/>
        <v>PRIMARIA</v>
      </c>
      <c r="B1447" s="26" t="str">
        <f>"09DPR2729Z"</f>
        <v>09DPR2729Z</v>
      </c>
      <c r="C1447" s="26" t="str">
        <f>"PROFR. SAMUEL DELGADO I. MOYA                                                                       "</f>
        <v xml:space="preserve">PROFR. SAMUEL DELGADO I. MOYA                                                                       </v>
      </c>
      <c r="D1447" s="26" t="str">
        <f>"MATUTINO"</f>
        <v>MATUTINO</v>
      </c>
      <c r="E1447" s="26" t="str">
        <f>"AVENIDA PAPALOTL S/N                                                            "</f>
        <v xml:space="preserve">AVENIDA PAPALOTL S/N                                                            </v>
      </c>
      <c r="F1447" s="26" t="str">
        <f>"PEDREGAL DE SANTO DOMINGO                                                                                                                   "</f>
        <v xml:space="preserve">PEDREGAL DE SANTO DOMINGO                                                                                                                   </v>
      </c>
      <c r="G1447" s="26" t="str">
        <f>"COYOACAN                                                                        "</f>
        <v xml:space="preserve">COYOACAN                                                                        </v>
      </c>
      <c r="H1447" s="26" t="str">
        <f>"502"</f>
        <v>502</v>
      </c>
      <c r="I1447" s="26" t="str">
        <f t="shared" si="230"/>
        <v>00</v>
      </c>
      <c r="J1447" s="26" t="str">
        <f>"45 "</f>
        <v xml:space="preserve">45 </v>
      </c>
      <c r="K1447" s="26" t="str">
        <f t="shared" ref="K1447:K1455" si="236">"PR"</f>
        <v>PR</v>
      </c>
      <c r="L1447" s="26" t="str">
        <f t="shared" ref="L1447:L1455" si="237">"DGOSE"</f>
        <v>DGOSE</v>
      </c>
      <c r="M1447" s="26" t="str">
        <f t="shared" si="231"/>
        <v>FEDERAL</v>
      </c>
      <c r="N1447" s="26">
        <v>476</v>
      </c>
      <c r="O1447" s="26">
        <v>222</v>
      </c>
      <c r="P1447" s="26">
        <v>254</v>
      </c>
      <c r="Q1447" s="26">
        <v>18</v>
      </c>
      <c r="R1447" s="26">
        <v>1</v>
      </c>
      <c r="S1447" s="26">
        <v>18</v>
      </c>
      <c r="T1447" s="26">
        <v>10</v>
      </c>
      <c r="U1447" s="26">
        <v>29</v>
      </c>
      <c r="V1447" s="26">
        <v>1</v>
      </c>
      <c r="W1447" s="26"/>
    </row>
    <row r="1448" spans="1:23" x14ac:dyDescent="0.25">
      <c r="A1448" s="26" t="str">
        <f t="shared" si="229"/>
        <v>PRIMARIA</v>
      </c>
      <c r="B1448" s="26" t="str">
        <f>"09DPR2731O"</f>
        <v>09DPR2731O</v>
      </c>
      <c r="C1448" s="26" t="str">
        <f>"PROFR. JESUS ROMERO FLORES                                                                          "</f>
        <v xml:space="preserve">PROFR. JESUS ROMERO FLORES                                                                          </v>
      </c>
      <c r="D1448" s="26" t="str">
        <f>"TIEMPO COMPLETO"</f>
        <v>TIEMPO COMPLETO</v>
      </c>
      <c r="E1448" s="26" t="str">
        <f>"CALLE LA ALPINA NO 15                                                           "</f>
        <v xml:space="preserve">CALLE LA ALPINA NO 15                                                           </v>
      </c>
      <c r="F1448" s="26" t="str">
        <f>"INDUSTRIAL                                                                                                                                  "</f>
        <v xml:space="preserve">INDUSTRIAL                                                                                                                                  </v>
      </c>
      <c r="G1448" s="26" t="str">
        <f>"GUSTAVO A. MADERO                                                               "</f>
        <v xml:space="preserve">GUSTAVO A. MADERO                                                               </v>
      </c>
      <c r="H1448" s="26" t="str">
        <f>"136"</f>
        <v>136</v>
      </c>
      <c r="I1448" s="26" t="str">
        <f t="shared" si="230"/>
        <v>00</v>
      </c>
      <c r="J1448" s="26" t="str">
        <f>"41 "</f>
        <v xml:space="preserve">41 </v>
      </c>
      <c r="K1448" s="26" t="str">
        <f t="shared" si="236"/>
        <v>PR</v>
      </c>
      <c r="L1448" s="26" t="str">
        <f t="shared" si="237"/>
        <v>DGOSE</v>
      </c>
      <c r="M1448" s="26" t="str">
        <f t="shared" si="231"/>
        <v>FEDERAL</v>
      </c>
      <c r="N1448" s="26">
        <v>505</v>
      </c>
      <c r="O1448" s="26">
        <v>272</v>
      </c>
      <c r="P1448" s="26">
        <v>233</v>
      </c>
      <c r="Q1448" s="26">
        <v>17</v>
      </c>
      <c r="R1448" s="26">
        <v>1</v>
      </c>
      <c r="S1448" s="26">
        <v>17</v>
      </c>
      <c r="T1448" s="26">
        <v>18</v>
      </c>
      <c r="U1448" s="26">
        <v>36</v>
      </c>
      <c r="V1448" s="26">
        <v>1</v>
      </c>
      <c r="W1448" s="26" t="s">
        <v>218</v>
      </c>
    </row>
    <row r="1449" spans="1:23" x14ac:dyDescent="0.25">
      <c r="A1449" s="26" t="str">
        <f t="shared" si="229"/>
        <v>PRIMARIA</v>
      </c>
      <c r="B1449" s="26" t="str">
        <f>"09DPR2732N"</f>
        <v>09DPR2732N</v>
      </c>
      <c r="C1449" s="26" t="str">
        <f>"EXPROPIACION PETROLERA                                                                              "</f>
        <v xml:space="preserve">EXPROPIACION PETROLERA                                                                              </v>
      </c>
      <c r="D1449" s="26" t="str">
        <f>"JORNADA AMPLIADA"</f>
        <v>JORNADA AMPLIADA</v>
      </c>
      <c r="E1449" s="26" t="str">
        <f>"PROLONGACION PLOMEROS S/N                                                       "</f>
        <v xml:space="preserve">PROLONGACION PLOMEROS S/N                                                       </v>
      </c>
      <c r="F1449" s="26" t="str">
        <f>"MICHOACANA                                                                                                                                  "</f>
        <v xml:space="preserve">MICHOACANA                                                                                                                                  </v>
      </c>
      <c r="G1449" s="26" t="str">
        <f>"VENUSTIANO CARRANZA                                                             "</f>
        <v xml:space="preserve">VENUSTIANO CARRANZA                                                             </v>
      </c>
      <c r="H1449" s="26" t="str">
        <f>"419"</f>
        <v>419</v>
      </c>
      <c r="I1449" s="26" t="str">
        <f t="shared" si="230"/>
        <v>00</v>
      </c>
      <c r="J1449" s="26" t="str">
        <f>"44 "</f>
        <v xml:space="preserve">44 </v>
      </c>
      <c r="K1449" s="26" t="str">
        <f t="shared" si="236"/>
        <v>PR</v>
      </c>
      <c r="L1449" s="26" t="str">
        <f t="shared" si="237"/>
        <v>DGOSE</v>
      </c>
      <c r="M1449" s="26" t="str">
        <f t="shared" si="231"/>
        <v>FEDERAL</v>
      </c>
      <c r="N1449" s="26">
        <v>490</v>
      </c>
      <c r="O1449" s="26">
        <v>220</v>
      </c>
      <c r="P1449" s="26">
        <v>270</v>
      </c>
      <c r="Q1449" s="26">
        <v>16</v>
      </c>
      <c r="R1449" s="26">
        <v>1</v>
      </c>
      <c r="S1449" s="26">
        <v>16</v>
      </c>
      <c r="T1449" s="26">
        <v>20</v>
      </c>
      <c r="U1449" s="26">
        <v>37</v>
      </c>
      <c r="V1449" s="26">
        <v>1</v>
      </c>
      <c r="W1449" s="26" t="s">
        <v>2076</v>
      </c>
    </row>
    <row r="1450" spans="1:23" x14ac:dyDescent="0.25">
      <c r="A1450" s="26" t="str">
        <f t="shared" si="229"/>
        <v>PRIMARIA</v>
      </c>
      <c r="B1450" s="26" t="str">
        <f>"09DPR2733M"</f>
        <v>09DPR2733M</v>
      </c>
      <c r="C1450" s="26" t="str">
        <f>"CORONEL SILVESTRE LOPEZ                                                                             "</f>
        <v xml:space="preserve">CORONEL SILVESTRE LOPEZ                                                                             </v>
      </c>
      <c r="D1450" s="26" t="str">
        <f>"MATUTINO"</f>
        <v>MATUTINO</v>
      </c>
      <c r="E1450" s="26" t="str">
        <f>"CALLE 641 NUM. 50                                                               "</f>
        <v xml:space="preserve">CALLE 641 NUM. 50                                                               </v>
      </c>
      <c r="F1450" s="26" t="str">
        <f>"UNIDAD SAN JUAN DE ARAGON                                                                                                                   "</f>
        <v xml:space="preserve">UNIDAD SAN JUAN DE ARAGON                                                                                                                   </v>
      </c>
      <c r="G1450" s="26" t="str">
        <f>"GUSTAVO A. MADERO                                                               "</f>
        <v xml:space="preserve">GUSTAVO A. MADERO                                                               </v>
      </c>
      <c r="H1450" s="26" t="str">
        <f>"268"</f>
        <v>268</v>
      </c>
      <c r="I1450" s="26" t="str">
        <f t="shared" si="230"/>
        <v>00</v>
      </c>
      <c r="J1450" s="26" t="str">
        <f>"42 "</f>
        <v xml:space="preserve">42 </v>
      </c>
      <c r="K1450" s="26" t="str">
        <f t="shared" si="236"/>
        <v>PR</v>
      </c>
      <c r="L1450" s="26" t="str">
        <f t="shared" si="237"/>
        <v>DGOSE</v>
      </c>
      <c r="M1450" s="26" t="str">
        <f t="shared" si="231"/>
        <v>FEDERAL</v>
      </c>
      <c r="N1450" s="26">
        <v>556</v>
      </c>
      <c r="O1450" s="26">
        <v>282</v>
      </c>
      <c r="P1450" s="26">
        <v>274</v>
      </c>
      <c r="Q1450" s="26">
        <v>18</v>
      </c>
      <c r="R1450" s="26">
        <v>1</v>
      </c>
      <c r="S1450" s="26">
        <v>18</v>
      </c>
      <c r="T1450" s="26">
        <v>8</v>
      </c>
      <c r="U1450" s="26">
        <v>27</v>
      </c>
      <c r="V1450" s="26">
        <v>1</v>
      </c>
      <c r="W1450" s="26"/>
    </row>
    <row r="1451" spans="1:23" x14ac:dyDescent="0.25">
      <c r="A1451" s="26" t="str">
        <f t="shared" si="229"/>
        <v>PRIMARIA</v>
      </c>
      <c r="B1451" s="26" t="str">
        <f>"09DPR2734L"</f>
        <v>09DPR2734L</v>
      </c>
      <c r="C1451" s="26" t="str">
        <f>"DAVID ALFARO SIQUEIROS                                                                              "</f>
        <v xml:space="preserve">DAVID ALFARO SIQUEIROS                                                                              </v>
      </c>
      <c r="D1451" s="26" t="str">
        <f>"MATUTINO"</f>
        <v>MATUTINO</v>
      </c>
      <c r="E1451" s="26" t="str">
        <f>"CALLE RAIZ SIN NUMERO SECCION CHALUPAS                                          "</f>
        <v xml:space="preserve">CALLE RAIZ SIN NUMERO SECCION CHALUPAS                                          </v>
      </c>
      <c r="F1451" s="26" t="str">
        <f>"UNIDAD HABITACIONAL INFONAVIT                                                                                                               "</f>
        <v xml:space="preserve">UNIDAD HABITACIONAL INFONAVIT                                                                                                               </v>
      </c>
      <c r="G1451" s="26" t="str">
        <f>"IZTACALCO                                                                       "</f>
        <v xml:space="preserve">IZTACALCO                                                                       </v>
      </c>
      <c r="H1451" s="26" t="str">
        <f>"360"</f>
        <v>360</v>
      </c>
      <c r="I1451" s="26" t="str">
        <f t="shared" si="230"/>
        <v>00</v>
      </c>
      <c r="J1451" s="26" t="str">
        <f>"43 "</f>
        <v xml:space="preserve">43 </v>
      </c>
      <c r="K1451" s="26" t="str">
        <f t="shared" si="236"/>
        <v>PR</v>
      </c>
      <c r="L1451" s="26" t="str">
        <f t="shared" si="237"/>
        <v>DGOSE</v>
      </c>
      <c r="M1451" s="26" t="str">
        <f t="shared" si="231"/>
        <v>FEDERAL</v>
      </c>
      <c r="N1451" s="26">
        <v>483</v>
      </c>
      <c r="O1451" s="26">
        <v>243</v>
      </c>
      <c r="P1451" s="26">
        <v>240</v>
      </c>
      <c r="Q1451" s="26">
        <v>18</v>
      </c>
      <c r="R1451" s="26">
        <v>1</v>
      </c>
      <c r="S1451" s="26">
        <v>18</v>
      </c>
      <c r="T1451" s="26">
        <v>9</v>
      </c>
      <c r="U1451" s="26">
        <v>28</v>
      </c>
      <c r="V1451" s="26">
        <v>1</v>
      </c>
      <c r="W1451" s="26"/>
    </row>
    <row r="1452" spans="1:23" x14ac:dyDescent="0.25">
      <c r="A1452" s="26" t="str">
        <f t="shared" si="229"/>
        <v>PRIMARIA</v>
      </c>
      <c r="B1452" s="26" t="str">
        <f>"09DPR2735K"</f>
        <v>09DPR2735K</v>
      </c>
      <c r="C1452" s="26" t="str">
        <f>"RAMON LOPEZ VELARDE                                                                                 "</f>
        <v xml:space="preserve">RAMON LOPEZ VELARDE                                                                                 </v>
      </c>
      <c r="D1452" s="26" t="str">
        <f>"TIEMPO COMPLETO"</f>
        <v>TIEMPO COMPLETO</v>
      </c>
      <c r="E1452" s="26" t="str">
        <f>"CALLE EMILIANO ZAPATA S/N                                                       "</f>
        <v xml:space="preserve">CALLE EMILIANO ZAPATA S/N                                                       </v>
      </c>
      <c r="F1452" s="26" t="str">
        <f>"CAMPESTRE ARAGON                                                                                                                            "</f>
        <v xml:space="preserve">CAMPESTRE ARAGON                                                                                                                            </v>
      </c>
      <c r="G1452" s="26" t="str">
        <f>"GUSTAVO A. MADERO                                                               "</f>
        <v xml:space="preserve">GUSTAVO A. MADERO                                                               </v>
      </c>
      <c r="H1452" s="26" t="str">
        <f>"140"</f>
        <v>140</v>
      </c>
      <c r="I1452" s="26" t="str">
        <f t="shared" si="230"/>
        <v>00</v>
      </c>
      <c r="J1452" s="26" t="str">
        <f>"41 "</f>
        <v xml:space="preserve">41 </v>
      </c>
      <c r="K1452" s="26" t="str">
        <f t="shared" si="236"/>
        <v>PR</v>
      </c>
      <c r="L1452" s="26" t="str">
        <f t="shared" si="237"/>
        <v>DGOSE</v>
      </c>
      <c r="M1452" s="26" t="str">
        <f t="shared" si="231"/>
        <v>FEDERAL</v>
      </c>
      <c r="N1452" s="26">
        <v>449</v>
      </c>
      <c r="O1452" s="26">
        <v>219</v>
      </c>
      <c r="P1452" s="26">
        <v>230</v>
      </c>
      <c r="Q1452" s="26">
        <v>15</v>
      </c>
      <c r="R1452" s="26">
        <v>1</v>
      </c>
      <c r="S1452" s="26">
        <v>15</v>
      </c>
      <c r="T1452" s="26">
        <v>10</v>
      </c>
      <c r="U1452" s="26">
        <v>26</v>
      </c>
      <c r="V1452" s="26">
        <v>1</v>
      </c>
      <c r="W1452" s="26" t="s">
        <v>218</v>
      </c>
    </row>
    <row r="1453" spans="1:23" x14ac:dyDescent="0.25">
      <c r="A1453" s="26" t="str">
        <f t="shared" si="229"/>
        <v>PRIMARIA</v>
      </c>
      <c r="B1453" s="26" t="str">
        <f>"09DPR2737I"</f>
        <v>09DPR2737I</v>
      </c>
      <c r="C1453" s="26" t="str">
        <f>"XOCHIMILCO                                                                                          "</f>
        <v xml:space="preserve">XOCHIMILCO                                                                                          </v>
      </c>
      <c r="D1453" s="26" t="str">
        <f>"MATUTINO"</f>
        <v>MATUTINO</v>
      </c>
      <c r="E1453" s="26" t="str">
        <f>"SELVA S/N                                                                       "</f>
        <v xml:space="preserve">SELVA S/N                                                                       </v>
      </c>
      <c r="F1453" s="26" t="str">
        <f>"SAN PEDRO                                                                                                                                   "</f>
        <v xml:space="preserve">SAN PEDRO                                                                                                                                   </v>
      </c>
      <c r="G1453" s="26" t="str">
        <f>"XOCHIMILCO                                                                      "</f>
        <v xml:space="preserve">XOCHIMILCO                                                                      </v>
      </c>
      <c r="H1453" s="26" t="str">
        <f>"538"</f>
        <v>538</v>
      </c>
      <c r="I1453" s="26" t="str">
        <f t="shared" si="230"/>
        <v>00</v>
      </c>
      <c r="J1453" s="26" t="str">
        <f>"45 "</f>
        <v xml:space="preserve">45 </v>
      </c>
      <c r="K1453" s="26" t="str">
        <f t="shared" si="236"/>
        <v>PR</v>
      </c>
      <c r="L1453" s="26" t="str">
        <f t="shared" si="237"/>
        <v>DGOSE</v>
      </c>
      <c r="M1453" s="26" t="str">
        <f t="shared" si="231"/>
        <v>FEDERAL</v>
      </c>
      <c r="N1453" s="26">
        <v>654</v>
      </c>
      <c r="O1453" s="26">
        <v>340</v>
      </c>
      <c r="P1453" s="26">
        <v>314</v>
      </c>
      <c r="Q1453" s="26">
        <v>18</v>
      </c>
      <c r="R1453" s="26">
        <v>1</v>
      </c>
      <c r="S1453" s="26">
        <v>18</v>
      </c>
      <c r="T1453" s="26">
        <v>8</v>
      </c>
      <c r="U1453" s="26">
        <v>27</v>
      </c>
      <c r="V1453" s="26">
        <v>1</v>
      </c>
      <c r="W1453" s="26"/>
    </row>
    <row r="1454" spans="1:23" x14ac:dyDescent="0.25">
      <c r="A1454" s="26" t="str">
        <f t="shared" si="229"/>
        <v>PRIMARIA</v>
      </c>
      <c r="B1454" s="26" t="str">
        <f>"09DPR2738H"</f>
        <v>09DPR2738H</v>
      </c>
      <c r="C1454" s="26" t="str">
        <f>"SALVADOR HERMOSO NAJERA                                                                             "</f>
        <v xml:space="preserve">SALVADOR HERMOSO NAJERA                                                                             </v>
      </c>
      <c r="D1454" s="26" t="str">
        <f>"MATUTINO"</f>
        <v>MATUTINO</v>
      </c>
      <c r="E1454" s="26" t="str">
        <f>"CALLE FLAUTA MAGICA MAN. 171 LOTE 10                                            "</f>
        <v xml:space="preserve">CALLE FLAUTA MAGICA MAN. 171 LOTE 10                                            </v>
      </c>
      <c r="F1454" s="26" t="str">
        <f>"MIGUEL HIDALGO                                                                                                                              "</f>
        <v xml:space="preserve">MIGUEL HIDALGO                                                                                                                              </v>
      </c>
      <c r="G1454" s="26" t="str">
        <f>"TLAHUAC                                                                         "</f>
        <v xml:space="preserve">TLAHUAC                                                                         </v>
      </c>
      <c r="H1454" s="26" t="str">
        <f>"552"</f>
        <v>552</v>
      </c>
      <c r="I1454" s="26" t="str">
        <f t="shared" si="230"/>
        <v>00</v>
      </c>
      <c r="J1454" s="26" t="str">
        <f>"45 "</f>
        <v xml:space="preserve">45 </v>
      </c>
      <c r="K1454" s="26" t="str">
        <f t="shared" si="236"/>
        <v>PR</v>
      </c>
      <c r="L1454" s="26" t="str">
        <f t="shared" si="237"/>
        <v>DGOSE</v>
      </c>
      <c r="M1454" s="26" t="str">
        <f t="shared" si="231"/>
        <v>FEDERAL</v>
      </c>
      <c r="N1454" s="26">
        <v>259</v>
      </c>
      <c r="O1454" s="26">
        <v>125</v>
      </c>
      <c r="P1454" s="26">
        <v>134</v>
      </c>
      <c r="Q1454" s="26">
        <v>6</v>
      </c>
      <c r="R1454" s="26">
        <v>0</v>
      </c>
      <c r="S1454" s="26">
        <v>6</v>
      </c>
      <c r="T1454" s="26">
        <v>6</v>
      </c>
      <c r="U1454" s="26">
        <v>12</v>
      </c>
      <c r="V1454" s="26">
        <v>1</v>
      </c>
      <c r="W1454" s="26"/>
    </row>
    <row r="1455" spans="1:23" x14ac:dyDescent="0.25">
      <c r="A1455" s="26" t="str">
        <f t="shared" si="229"/>
        <v>PRIMARIA</v>
      </c>
      <c r="B1455" s="26" t="str">
        <f>"09DPR2739G"</f>
        <v>09DPR2739G</v>
      </c>
      <c r="C1455" s="26" t="str">
        <f>"ESTADO DE OAXACA                                                                                    "</f>
        <v xml:space="preserve">ESTADO DE OAXACA                                                                                    </v>
      </c>
      <c r="D1455" s="26" t="str">
        <f>"VESPERTINO"</f>
        <v>VESPERTINO</v>
      </c>
      <c r="E1455" s="26" t="str">
        <f>"CALLE 1 NUM 185                                                                 "</f>
        <v xml:space="preserve">CALLE 1 NUM 185                                                                 </v>
      </c>
      <c r="F1455" s="26" t="str">
        <f>"AGRICOLA PANTITLAN                                                                                                                          "</f>
        <v xml:space="preserve">AGRICOLA PANTITLAN                                                                                                                          </v>
      </c>
      <c r="G1455" s="26" t="str">
        <f>"IZTACALCO                                                                       "</f>
        <v xml:space="preserve">IZTACALCO                                                                       </v>
      </c>
      <c r="H1455" s="26" t="str">
        <f>"355"</f>
        <v>355</v>
      </c>
      <c r="I1455" s="26" t="str">
        <f t="shared" si="230"/>
        <v>00</v>
      </c>
      <c r="J1455" s="26" t="str">
        <f>"43 "</f>
        <v xml:space="preserve">43 </v>
      </c>
      <c r="K1455" s="26" t="str">
        <f t="shared" si="236"/>
        <v>PR</v>
      </c>
      <c r="L1455" s="26" t="str">
        <f t="shared" si="237"/>
        <v>DGOSE</v>
      </c>
      <c r="M1455" s="26" t="str">
        <f t="shared" si="231"/>
        <v>FEDERAL</v>
      </c>
      <c r="N1455" s="26">
        <v>94</v>
      </c>
      <c r="O1455" s="26">
        <v>54</v>
      </c>
      <c r="P1455" s="26">
        <v>40</v>
      </c>
      <c r="Q1455" s="26">
        <v>6</v>
      </c>
      <c r="R1455" s="26">
        <v>1</v>
      </c>
      <c r="S1455" s="26">
        <v>5</v>
      </c>
      <c r="T1455" s="26">
        <v>4</v>
      </c>
      <c r="U1455" s="26">
        <v>10</v>
      </c>
      <c r="V1455" s="26">
        <v>1</v>
      </c>
      <c r="W1455" s="26"/>
    </row>
    <row r="1456" spans="1:23" x14ac:dyDescent="0.25">
      <c r="A1456" s="26" t="str">
        <f t="shared" si="229"/>
        <v>PRIMARIA</v>
      </c>
      <c r="B1456" s="26" t="str">
        <f>"09DPR2743T"</f>
        <v>09DPR2743T</v>
      </c>
      <c r="C1456" s="26" t="str">
        <f>"ANDRES MOLINA ENRIQUEZ                                                                              "</f>
        <v xml:space="preserve">ANDRES MOLINA ENRIQUEZ                                                                              </v>
      </c>
      <c r="D1456" s="26" t="str">
        <f>"VESPERTINO"</f>
        <v>VESPERTINO</v>
      </c>
      <c r="E1456" s="26" t="str">
        <f>"CDA. DE PINO NO. 50""A""                                                          "</f>
        <v xml:space="preserve">CDA. DE PINO NO. 50"A"                                                          </v>
      </c>
      <c r="F1456" s="26" t="str">
        <f>"CITLALI                                                                                                                                     "</f>
        <v xml:space="preserve">CITLALI                                                                                                                                     </v>
      </c>
      <c r="G1456" s="26" t="str">
        <f>"IZTAPALAPA                                                                      "</f>
        <v xml:space="preserve">IZTAPALAPA                                                                      </v>
      </c>
      <c r="H1456" s="26" t="str">
        <f>"061"</f>
        <v>061</v>
      </c>
      <c r="I1456" s="26" t="str">
        <f t="shared" si="230"/>
        <v>00</v>
      </c>
      <c r="J1456" s="26" t="str">
        <f>"64 "</f>
        <v xml:space="preserve">64 </v>
      </c>
      <c r="K1456" s="26" t="str">
        <f>"IZ"</f>
        <v>IZ</v>
      </c>
      <c r="L1456" s="26" t="str">
        <f>"DGSEI"</f>
        <v>DGSEI</v>
      </c>
      <c r="M1456" s="26" t="str">
        <f t="shared" si="231"/>
        <v>FEDERAL</v>
      </c>
      <c r="N1456" s="26">
        <v>538</v>
      </c>
      <c r="O1456" s="26">
        <v>274</v>
      </c>
      <c r="P1456" s="26">
        <v>264</v>
      </c>
      <c r="Q1456" s="26">
        <v>18</v>
      </c>
      <c r="R1456" s="26">
        <v>0</v>
      </c>
      <c r="S1456" s="26">
        <v>16</v>
      </c>
      <c r="T1456" s="26">
        <v>5</v>
      </c>
      <c r="U1456" s="26">
        <v>21</v>
      </c>
      <c r="V1456" s="26">
        <v>1</v>
      </c>
      <c r="W1456" s="26"/>
    </row>
    <row r="1457" spans="1:23" x14ac:dyDescent="0.25">
      <c r="A1457" s="26" t="str">
        <f t="shared" si="229"/>
        <v>PRIMARIA</v>
      </c>
      <c r="B1457" s="26" t="str">
        <f>"09DPR2745R"</f>
        <v>09DPR2745R</v>
      </c>
      <c r="C1457" s="26" t="str">
        <f>"TLAHUAC                                                                                             "</f>
        <v xml:space="preserve">TLAHUAC                                                                                             </v>
      </c>
      <c r="D1457" s="26" t="str">
        <f>"VESPERTINO"</f>
        <v>VESPERTINO</v>
      </c>
      <c r="E1457" s="26" t="str">
        <f>"CALLE DE LA TURBA 198 B                                                         "</f>
        <v xml:space="preserve">CALLE DE LA TURBA 198 B                                                         </v>
      </c>
      <c r="F1457" s="26" t="str">
        <f>"GRANJAS CABRERA                                                                                                                             "</f>
        <v xml:space="preserve">GRANJAS CABRERA                                                                                                                             </v>
      </c>
      <c r="G1457" s="26" t="str">
        <f>"TLAHUAC                                                                         "</f>
        <v xml:space="preserve">TLAHUAC                                                                         </v>
      </c>
      <c r="H1457" s="26" t="str">
        <f>"549"</f>
        <v>549</v>
      </c>
      <c r="I1457" s="26" t="str">
        <f t="shared" si="230"/>
        <v>00</v>
      </c>
      <c r="J1457" s="26" t="str">
        <f>"45 "</f>
        <v xml:space="preserve">45 </v>
      </c>
      <c r="K1457" s="26" t="str">
        <f>"PR"</f>
        <v>PR</v>
      </c>
      <c r="L1457" s="26" t="str">
        <f>"DGOSE"</f>
        <v>DGOSE</v>
      </c>
      <c r="M1457" s="26" t="str">
        <f t="shared" si="231"/>
        <v>FEDERAL</v>
      </c>
      <c r="N1457" s="26">
        <v>203</v>
      </c>
      <c r="O1457" s="26">
        <v>100</v>
      </c>
      <c r="P1457" s="26">
        <v>103</v>
      </c>
      <c r="Q1457" s="26">
        <v>11</v>
      </c>
      <c r="R1457" s="26">
        <v>1</v>
      </c>
      <c r="S1457" s="26">
        <v>11</v>
      </c>
      <c r="T1457" s="26">
        <v>4</v>
      </c>
      <c r="U1457" s="26">
        <v>16</v>
      </c>
      <c r="V1457" s="26">
        <v>1</v>
      </c>
      <c r="W1457" s="26"/>
    </row>
    <row r="1458" spans="1:23" x14ac:dyDescent="0.25">
      <c r="A1458" s="26" t="str">
        <f t="shared" si="229"/>
        <v>PRIMARIA</v>
      </c>
      <c r="B1458" s="26" t="str">
        <f>"09DPR2746Q"</f>
        <v>09DPR2746Q</v>
      </c>
      <c r="C1458" s="26" t="str">
        <f>"FEDERICO BERRUETO RAMON                                                                             "</f>
        <v xml:space="preserve">FEDERICO BERRUETO RAMON                                                                             </v>
      </c>
      <c r="D1458" s="26" t="str">
        <f>"VESPERTINO"</f>
        <v>VESPERTINO</v>
      </c>
      <c r="E1458" s="26" t="str">
        <f>"TOPOGRAFOS NO. 65                                                               "</f>
        <v xml:space="preserve">TOPOGRAFOS NO. 65                                                               </v>
      </c>
      <c r="F1458" s="26" t="str">
        <f>"ACULCO                                                                                                                                      "</f>
        <v xml:space="preserve">ACULCO                                                                                                                                      </v>
      </c>
      <c r="G1458" s="26" t="str">
        <f>"IZTAPALAPA                                                                      "</f>
        <v xml:space="preserve">IZTAPALAPA                                                                      </v>
      </c>
      <c r="H1458" s="26" t="str">
        <f>"037"</f>
        <v>037</v>
      </c>
      <c r="I1458" s="26" t="str">
        <f t="shared" si="230"/>
        <v>00</v>
      </c>
      <c r="J1458" s="26" t="str">
        <f>"63 "</f>
        <v xml:space="preserve">63 </v>
      </c>
      <c r="K1458" s="26" t="str">
        <f>"IZ"</f>
        <v>IZ</v>
      </c>
      <c r="L1458" s="26" t="str">
        <f>"DGSEI"</f>
        <v>DGSEI</v>
      </c>
      <c r="M1458" s="26" t="str">
        <f t="shared" si="231"/>
        <v>FEDERAL</v>
      </c>
      <c r="N1458" s="26">
        <v>133</v>
      </c>
      <c r="O1458" s="26">
        <v>72</v>
      </c>
      <c r="P1458" s="26">
        <v>61</v>
      </c>
      <c r="Q1458" s="26">
        <v>6</v>
      </c>
      <c r="R1458" s="26">
        <v>1</v>
      </c>
      <c r="S1458" s="26">
        <v>6</v>
      </c>
      <c r="T1458" s="26">
        <v>5</v>
      </c>
      <c r="U1458" s="26">
        <v>12</v>
      </c>
      <c r="V1458" s="26">
        <v>1</v>
      </c>
      <c r="W1458" s="26"/>
    </row>
    <row r="1459" spans="1:23" x14ac:dyDescent="0.25">
      <c r="A1459" s="26" t="str">
        <f t="shared" si="229"/>
        <v>PRIMARIA</v>
      </c>
      <c r="B1459" s="26" t="str">
        <f>"09DPR2747P"</f>
        <v>09DPR2747P</v>
      </c>
      <c r="C1459" s="26" t="str">
        <f>"MAESTRO DOMINGO TIRADO BENEDI                                                                       "</f>
        <v xml:space="preserve">MAESTRO DOMINGO TIRADO BENEDI                                                                       </v>
      </c>
      <c r="D1459" s="26" t="str">
        <f>"MATUTINO"</f>
        <v>MATUTINO</v>
      </c>
      <c r="E1459" s="26" t="str">
        <f>"RAFAEL SIERRA NO. 79                                                            "</f>
        <v xml:space="preserve">RAFAEL SIERRA NO. 79                                                            </v>
      </c>
      <c r="F1459" s="26" t="str">
        <f>"PARAJE SAN JUAN                                                                                                                             "</f>
        <v xml:space="preserve">PARAJE SAN JUAN                                                                                                                             </v>
      </c>
      <c r="G1459" s="26" t="str">
        <f>"IZTAPALAPA                                                                      "</f>
        <v xml:space="preserve">IZTAPALAPA                                                                      </v>
      </c>
      <c r="H1459" s="26" t="str">
        <f>"045"</f>
        <v>045</v>
      </c>
      <c r="I1459" s="26" t="str">
        <f t="shared" si="230"/>
        <v>00</v>
      </c>
      <c r="J1459" s="26" t="str">
        <f>"63 "</f>
        <v xml:space="preserve">63 </v>
      </c>
      <c r="K1459" s="26" t="str">
        <f>"IZ"</f>
        <v>IZ</v>
      </c>
      <c r="L1459" s="26" t="str">
        <f>"DGSEI"</f>
        <v>DGSEI</v>
      </c>
      <c r="M1459" s="26" t="str">
        <f t="shared" si="231"/>
        <v>FEDERAL</v>
      </c>
      <c r="N1459" s="26">
        <v>556</v>
      </c>
      <c r="O1459" s="26">
        <v>277</v>
      </c>
      <c r="P1459" s="26">
        <v>279</v>
      </c>
      <c r="Q1459" s="26">
        <v>18</v>
      </c>
      <c r="R1459" s="26">
        <v>0</v>
      </c>
      <c r="S1459" s="26">
        <v>13</v>
      </c>
      <c r="T1459" s="26">
        <v>8</v>
      </c>
      <c r="U1459" s="26">
        <v>21</v>
      </c>
      <c r="V1459" s="26">
        <v>1</v>
      </c>
      <c r="W1459" s="26"/>
    </row>
    <row r="1460" spans="1:23" x14ac:dyDescent="0.25">
      <c r="A1460" s="26" t="str">
        <f t="shared" si="229"/>
        <v>PRIMARIA</v>
      </c>
      <c r="B1460" s="26" t="str">
        <f>"09DPR2748O"</f>
        <v>09DPR2748O</v>
      </c>
      <c r="C1460" s="26" t="str">
        <f>"PROFRA. CONSUELO MARTINEZ DE CUERVO                                                                 "</f>
        <v xml:space="preserve">PROFRA. CONSUELO MARTINEZ DE CUERVO                                                                 </v>
      </c>
      <c r="D1460" s="26" t="str">
        <f>"TIEMPO COMPLETO"</f>
        <v>TIEMPO COMPLETO</v>
      </c>
      <c r="E1460" s="26" t="str">
        <f>"PLAZOLETA VI                                                                    "</f>
        <v xml:space="preserve">PLAZOLETA VI                                                                    </v>
      </c>
      <c r="F1460" s="26" t="str">
        <f>"UNIDAD HABITACIONAL EL RISCO CTM                                                                                                            "</f>
        <v xml:space="preserve">UNIDAD HABITACIONAL EL RISCO CTM                                                                                                            </v>
      </c>
      <c r="G1460" s="26" t="str">
        <f>"GUSTAVO A. MADERO                                                               "</f>
        <v xml:space="preserve">GUSTAVO A. MADERO                                                               </v>
      </c>
      <c r="H1460" s="26" t="str">
        <f>"140"</f>
        <v>140</v>
      </c>
      <c r="I1460" s="26" t="str">
        <f t="shared" si="230"/>
        <v>00</v>
      </c>
      <c r="J1460" s="26" t="str">
        <f>"41 "</f>
        <v xml:space="preserve">41 </v>
      </c>
      <c r="K1460" s="26" t="str">
        <f>"PR"</f>
        <v>PR</v>
      </c>
      <c r="L1460" s="26" t="str">
        <f>"DGOSE"</f>
        <v>DGOSE</v>
      </c>
      <c r="M1460" s="26" t="str">
        <f t="shared" si="231"/>
        <v>FEDERAL</v>
      </c>
      <c r="N1460" s="26">
        <v>582</v>
      </c>
      <c r="O1460" s="26">
        <v>302</v>
      </c>
      <c r="P1460" s="26">
        <v>280</v>
      </c>
      <c r="Q1460" s="26">
        <v>19</v>
      </c>
      <c r="R1460" s="26">
        <v>1</v>
      </c>
      <c r="S1460" s="26">
        <v>19</v>
      </c>
      <c r="T1460" s="26">
        <v>20</v>
      </c>
      <c r="U1460" s="26">
        <v>40</v>
      </c>
      <c r="V1460" s="26">
        <v>1</v>
      </c>
      <c r="W1460" s="26" t="s">
        <v>218</v>
      </c>
    </row>
    <row r="1461" spans="1:23" x14ac:dyDescent="0.25">
      <c r="A1461" s="26" t="str">
        <f t="shared" si="229"/>
        <v>PRIMARIA</v>
      </c>
      <c r="B1461" s="26" t="str">
        <f>"09DPR2749N"</f>
        <v>09DPR2749N</v>
      </c>
      <c r="C1461" s="26" t="str">
        <f>"PROFR. CECILIO MIJARES POBLANO                                                                      "</f>
        <v xml:space="preserve">PROFR. CECILIO MIJARES POBLANO                                                                      </v>
      </c>
      <c r="D1461" s="26" t="str">
        <f>"VESPERTINO"</f>
        <v>VESPERTINO</v>
      </c>
      <c r="E1461" s="26" t="str">
        <f>"ALAMOS Y SABINO S/N                                                             "</f>
        <v xml:space="preserve">ALAMOS Y SABINO S/N                                                             </v>
      </c>
      <c r="F1461" s="26" t="str">
        <f>"BOSQUE DEL PEDREGAL                                                                                                                         "</f>
        <v xml:space="preserve">BOSQUE DEL PEDREGAL                                                                                                                         </v>
      </c>
      <c r="G1461" s="26" t="str">
        <f>"TLALPAN                                                                         "</f>
        <v xml:space="preserve">TLALPAN                                                                         </v>
      </c>
      <c r="H1461" s="26" t="str">
        <f>"514"</f>
        <v>514</v>
      </c>
      <c r="I1461" s="26" t="str">
        <f t="shared" si="230"/>
        <v>00</v>
      </c>
      <c r="J1461" s="26" t="str">
        <f>"45 "</f>
        <v xml:space="preserve">45 </v>
      </c>
      <c r="K1461" s="26" t="str">
        <f>"PR"</f>
        <v>PR</v>
      </c>
      <c r="L1461" s="26" t="str">
        <f>"DGOSE"</f>
        <v>DGOSE</v>
      </c>
      <c r="M1461" s="26" t="str">
        <f t="shared" si="231"/>
        <v>FEDERAL</v>
      </c>
      <c r="N1461" s="26">
        <v>555</v>
      </c>
      <c r="O1461" s="26">
        <v>296</v>
      </c>
      <c r="P1461" s="26">
        <v>259</v>
      </c>
      <c r="Q1461" s="26">
        <v>19</v>
      </c>
      <c r="R1461" s="26">
        <v>1</v>
      </c>
      <c r="S1461" s="26">
        <v>19</v>
      </c>
      <c r="T1461" s="26">
        <v>7</v>
      </c>
      <c r="U1461" s="26">
        <v>27</v>
      </c>
      <c r="V1461" s="26">
        <v>1</v>
      </c>
      <c r="W1461" s="26"/>
    </row>
    <row r="1462" spans="1:23" x14ac:dyDescent="0.25">
      <c r="A1462" s="26" t="str">
        <f t="shared" si="229"/>
        <v>PRIMARIA</v>
      </c>
      <c r="B1462" s="26" t="str">
        <f>"09DPR2750C"</f>
        <v>09DPR2750C</v>
      </c>
      <c r="C1462" s="26" t="str">
        <f>"AGUSTIN YAÑEZ                                                                                       "</f>
        <v xml:space="preserve">AGUSTIN YAÑEZ                                                                                       </v>
      </c>
      <c r="D1462" s="26" t="str">
        <f>"JORNADA AMPLIADA"</f>
        <v>JORNADA AMPLIADA</v>
      </c>
      <c r="E1462" s="26" t="str">
        <f>"CONTADORES NO. 143 ENTRE EJE SUR 5                                              "</f>
        <v xml:space="preserve">CONTADORES NO. 143 ENTRE EJE SUR 5                                              </v>
      </c>
      <c r="F1462" s="26" t="str">
        <f>"NUEVA ROSITA                                                                                                                                "</f>
        <v xml:space="preserve">NUEVA ROSITA                                                                                                                                </v>
      </c>
      <c r="G1462" s="26" t="str">
        <f>"IZTAPALAPA                                                                      "</f>
        <v xml:space="preserve">IZTAPALAPA                                                                      </v>
      </c>
      <c r="H1462" s="26" t="str">
        <f>"004"</f>
        <v>004</v>
      </c>
      <c r="I1462" s="26" t="str">
        <f t="shared" si="230"/>
        <v>00</v>
      </c>
      <c r="J1462" s="26" t="str">
        <f>"61 "</f>
        <v xml:space="preserve">61 </v>
      </c>
      <c r="K1462" s="26" t="str">
        <f>"IZ"</f>
        <v>IZ</v>
      </c>
      <c r="L1462" s="26" t="str">
        <f>"DGSEI"</f>
        <v>DGSEI</v>
      </c>
      <c r="M1462" s="26" t="str">
        <f t="shared" si="231"/>
        <v>FEDERAL</v>
      </c>
      <c r="N1462" s="26">
        <v>433</v>
      </c>
      <c r="O1462" s="26">
        <v>203</v>
      </c>
      <c r="P1462" s="26">
        <v>230</v>
      </c>
      <c r="Q1462" s="26">
        <v>15</v>
      </c>
      <c r="R1462" s="26">
        <v>1</v>
      </c>
      <c r="S1462" s="26">
        <v>15</v>
      </c>
      <c r="T1462" s="26">
        <v>10</v>
      </c>
      <c r="U1462" s="26">
        <v>26</v>
      </c>
      <c r="V1462" s="26">
        <v>1</v>
      </c>
      <c r="W1462" s="26" t="s">
        <v>2076</v>
      </c>
    </row>
    <row r="1463" spans="1:23" x14ac:dyDescent="0.25">
      <c r="A1463" s="26" t="str">
        <f t="shared" si="229"/>
        <v>PRIMARIA</v>
      </c>
      <c r="B1463" s="26" t="str">
        <f>"09DPR2752A"</f>
        <v>09DPR2752A</v>
      </c>
      <c r="C1463" s="26" t="str">
        <f>"HEROICA VERACRUZ                                                                                    "</f>
        <v xml:space="preserve">HEROICA VERACRUZ                                                                                    </v>
      </c>
      <c r="D1463" s="26" t="str">
        <f>"JORNADA AMPLIADA"</f>
        <v>JORNADA AMPLIADA</v>
      </c>
      <c r="E1463" s="26" t="str">
        <f>"CALLE 317 NUM 66                                                                "</f>
        <v xml:space="preserve">CALLE 317 NUM 66                                                                </v>
      </c>
      <c r="F1463" s="26" t="str">
        <f>"UNIDAD HABITACIONAL EL COYOL                                                                                                                "</f>
        <v xml:space="preserve">UNIDAD HABITACIONAL EL COYOL                                                                                                                </v>
      </c>
      <c r="G1463" s="26" t="str">
        <f>"GUSTAVO A. MADERO                                                               "</f>
        <v xml:space="preserve">GUSTAVO A. MADERO                                                               </v>
      </c>
      <c r="H1463" s="26" t="str">
        <f>"139"</f>
        <v>139</v>
      </c>
      <c r="I1463" s="26" t="str">
        <f t="shared" si="230"/>
        <v>00</v>
      </c>
      <c r="J1463" s="26" t="str">
        <f>"41 "</f>
        <v xml:space="preserve">41 </v>
      </c>
      <c r="K1463" s="26" t="str">
        <f>"PR"</f>
        <v>PR</v>
      </c>
      <c r="L1463" s="26" t="str">
        <f>"DGOSE"</f>
        <v>DGOSE</v>
      </c>
      <c r="M1463" s="26" t="str">
        <f t="shared" si="231"/>
        <v>FEDERAL</v>
      </c>
      <c r="N1463" s="26">
        <v>519</v>
      </c>
      <c r="O1463" s="26">
        <v>241</v>
      </c>
      <c r="P1463" s="26">
        <v>278</v>
      </c>
      <c r="Q1463" s="26">
        <v>18</v>
      </c>
      <c r="R1463" s="26">
        <v>1</v>
      </c>
      <c r="S1463" s="26">
        <v>18</v>
      </c>
      <c r="T1463" s="26">
        <v>11</v>
      </c>
      <c r="U1463" s="26">
        <v>30</v>
      </c>
      <c r="V1463" s="26">
        <v>1</v>
      </c>
      <c r="W1463" s="26" t="s">
        <v>2076</v>
      </c>
    </row>
    <row r="1464" spans="1:23" x14ac:dyDescent="0.25">
      <c r="A1464" s="26" t="str">
        <f t="shared" si="229"/>
        <v>PRIMARIA</v>
      </c>
      <c r="B1464" s="26" t="str">
        <f>"09DPR2753Z"</f>
        <v>09DPR2753Z</v>
      </c>
      <c r="C1464" s="26" t="str">
        <f>"ESTADO DE OAXACA                                                                                    "</f>
        <v xml:space="preserve">ESTADO DE OAXACA                                                                                    </v>
      </c>
      <c r="D1464" s="26" t="str">
        <f>"MATUTINO"</f>
        <v>MATUTINO</v>
      </c>
      <c r="E1464" s="26" t="str">
        <f>"CALLE 1 No 185                                                                  "</f>
        <v xml:space="preserve">CALLE 1 No 185                                                                  </v>
      </c>
      <c r="F1464" s="26" t="str">
        <f>"AGRICOLA PANTITLAN                                                                                                                          "</f>
        <v xml:space="preserve">AGRICOLA PANTITLAN                                                                                                                          </v>
      </c>
      <c r="G1464" s="26" t="str">
        <f>"IZTACALCO                                                                       "</f>
        <v xml:space="preserve">IZTACALCO                                                                       </v>
      </c>
      <c r="H1464" s="26" t="str">
        <f>"355"</f>
        <v>355</v>
      </c>
      <c r="I1464" s="26" t="str">
        <f t="shared" si="230"/>
        <v>00</v>
      </c>
      <c r="J1464" s="26" t="str">
        <f>"43 "</f>
        <v xml:space="preserve">43 </v>
      </c>
      <c r="K1464" s="26" t="str">
        <f>"PR"</f>
        <v>PR</v>
      </c>
      <c r="L1464" s="26" t="str">
        <f>"DGOSE"</f>
        <v>DGOSE</v>
      </c>
      <c r="M1464" s="26" t="str">
        <f t="shared" si="231"/>
        <v>FEDERAL</v>
      </c>
      <c r="N1464" s="26">
        <v>277</v>
      </c>
      <c r="O1464" s="26">
        <v>152</v>
      </c>
      <c r="P1464" s="26">
        <v>125</v>
      </c>
      <c r="Q1464" s="26">
        <v>9</v>
      </c>
      <c r="R1464" s="26">
        <v>1</v>
      </c>
      <c r="S1464" s="26">
        <v>9</v>
      </c>
      <c r="T1464" s="26">
        <v>7</v>
      </c>
      <c r="U1464" s="26">
        <v>17</v>
      </c>
      <c r="V1464" s="26">
        <v>1</v>
      </c>
      <c r="W1464" s="26"/>
    </row>
    <row r="1465" spans="1:23" x14ac:dyDescent="0.25">
      <c r="A1465" s="26" t="str">
        <f t="shared" si="229"/>
        <v>PRIMARIA</v>
      </c>
      <c r="B1465" s="26" t="str">
        <f>"09DPR2755Y"</f>
        <v>09DPR2755Y</v>
      </c>
      <c r="C1465" s="26" t="str">
        <f>"EJERCITO CONSTITUCIONALISTA                                                                         "</f>
        <v xml:space="preserve">EJERCITO CONSTITUCIONALISTA                                                                         </v>
      </c>
      <c r="D1465" s="26" t="str">
        <f>"MATUTINO"</f>
        <v>MATUTINO</v>
      </c>
      <c r="E1465" s="26" t="str">
        <f>"AREA DE SERVICIO SUPER MANZANA 3                                                "</f>
        <v xml:space="preserve">AREA DE SERVICIO SUPER MANZANA 3                                                </v>
      </c>
      <c r="F1465" s="26" t="str">
        <f>"UNIDAD HABITACIONAL EJERCITO CONSTI                                                                                                         "</f>
        <v xml:space="preserve">UNIDAD HABITACIONAL EJERCITO CONSTI                                                                                                         </v>
      </c>
      <c r="G1465" s="26" t="str">
        <f>"IZTAPALAPA                                                                      "</f>
        <v xml:space="preserve">IZTAPALAPA                                                                      </v>
      </c>
      <c r="H1465" s="26" t="str">
        <f>"018"</f>
        <v>018</v>
      </c>
      <c r="I1465" s="26" t="str">
        <f t="shared" si="230"/>
        <v>00</v>
      </c>
      <c r="J1465" s="26" t="str">
        <f>"62 "</f>
        <v xml:space="preserve">62 </v>
      </c>
      <c r="K1465" s="26" t="str">
        <f>"IZ"</f>
        <v>IZ</v>
      </c>
      <c r="L1465" s="26" t="str">
        <f>"DGSEI"</f>
        <v>DGSEI</v>
      </c>
      <c r="M1465" s="26" t="str">
        <f t="shared" si="231"/>
        <v>FEDERAL</v>
      </c>
      <c r="N1465" s="26">
        <v>536</v>
      </c>
      <c r="O1465" s="26">
        <v>258</v>
      </c>
      <c r="P1465" s="26">
        <v>278</v>
      </c>
      <c r="Q1465" s="26">
        <v>18</v>
      </c>
      <c r="R1465" s="26">
        <v>1</v>
      </c>
      <c r="S1465" s="26">
        <v>18</v>
      </c>
      <c r="T1465" s="26">
        <v>10</v>
      </c>
      <c r="U1465" s="26">
        <v>29</v>
      </c>
      <c r="V1465" s="26">
        <v>1</v>
      </c>
      <c r="W1465" s="26"/>
    </row>
    <row r="1466" spans="1:23" x14ac:dyDescent="0.25">
      <c r="A1466" s="26" t="str">
        <f t="shared" si="229"/>
        <v>PRIMARIA</v>
      </c>
      <c r="B1466" s="26" t="str">
        <f>"09DPR2756X"</f>
        <v>09DPR2756X</v>
      </c>
      <c r="C1466" s="26" t="str">
        <f>"ALFREDO V. BONFIL                                                                                   "</f>
        <v xml:space="preserve">ALFREDO V. BONFIL                                                                                   </v>
      </c>
      <c r="D1466" s="26" t="str">
        <f>"VESPERTINO"</f>
        <v>VESPERTINO</v>
      </c>
      <c r="E1466" s="26" t="str">
        <f>"BULEVAR ALFREDO V. BONFIL # 151                                                 "</f>
        <v xml:space="preserve">BULEVAR ALFREDO V. BONFIL # 151                                                 </v>
      </c>
      <c r="F1466" s="26" t="str">
        <f>"MIGUEL HIDALGO AMPLIACION                                                                                                                   "</f>
        <v xml:space="preserve">MIGUEL HIDALGO AMPLIACION                                                                                                                   </v>
      </c>
      <c r="G1466" s="26" t="str">
        <f>"TLALPAN                                                                         "</f>
        <v xml:space="preserve">TLALPAN                                                                         </v>
      </c>
      <c r="H1466" s="26" t="str">
        <f>"517"</f>
        <v>517</v>
      </c>
      <c r="I1466" s="26" t="str">
        <f t="shared" si="230"/>
        <v>00</v>
      </c>
      <c r="J1466" s="26" t="str">
        <f>"45 "</f>
        <v xml:space="preserve">45 </v>
      </c>
      <c r="K1466" s="26" t="str">
        <f>"PR"</f>
        <v>PR</v>
      </c>
      <c r="L1466" s="26" t="str">
        <f>"DGOSE"</f>
        <v>DGOSE</v>
      </c>
      <c r="M1466" s="26" t="str">
        <f t="shared" si="231"/>
        <v>FEDERAL</v>
      </c>
      <c r="N1466" s="26">
        <v>437</v>
      </c>
      <c r="O1466" s="26">
        <v>218</v>
      </c>
      <c r="P1466" s="26">
        <v>219</v>
      </c>
      <c r="Q1466" s="26">
        <v>14</v>
      </c>
      <c r="R1466" s="26">
        <v>1</v>
      </c>
      <c r="S1466" s="26">
        <v>14</v>
      </c>
      <c r="T1466" s="26">
        <v>7</v>
      </c>
      <c r="U1466" s="26">
        <v>22</v>
      </c>
      <c r="V1466" s="26">
        <v>1</v>
      </c>
      <c r="W1466" s="26"/>
    </row>
    <row r="1467" spans="1:23" x14ac:dyDescent="0.25">
      <c r="A1467" s="26" t="str">
        <f t="shared" si="229"/>
        <v>PRIMARIA</v>
      </c>
      <c r="B1467" s="26" t="str">
        <f>"09DPR2759U"</f>
        <v>09DPR2759U</v>
      </c>
      <c r="C1467" s="26" t="str">
        <f>"ALFREDO V. BONFIL                                                                                   "</f>
        <v xml:space="preserve">ALFREDO V. BONFIL                                                                                   </v>
      </c>
      <c r="D1467" s="26" t="str">
        <f>"MATUTINO"</f>
        <v>MATUTINO</v>
      </c>
      <c r="E1467" s="26" t="str">
        <f>"ALFREDO V. BONFIL 151                                                           "</f>
        <v xml:space="preserve">ALFREDO V. BONFIL 151                                                           </v>
      </c>
      <c r="F1467" s="26" t="str">
        <f>"MIGUEL HIDALGO AMPLIACION                                                                                                                   "</f>
        <v xml:space="preserve">MIGUEL HIDALGO AMPLIACION                                                                                                                   </v>
      </c>
      <c r="G1467" s="26" t="str">
        <f>"TLALPAN                                                                         "</f>
        <v xml:space="preserve">TLALPAN                                                                         </v>
      </c>
      <c r="H1467" s="26" t="str">
        <f>"517"</f>
        <v>517</v>
      </c>
      <c r="I1467" s="26" t="str">
        <f t="shared" si="230"/>
        <v>00</v>
      </c>
      <c r="J1467" s="26" t="str">
        <f>"45 "</f>
        <v xml:space="preserve">45 </v>
      </c>
      <c r="K1467" s="26" t="str">
        <f>"PR"</f>
        <v>PR</v>
      </c>
      <c r="L1467" s="26" t="str">
        <f>"DGOSE"</f>
        <v>DGOSE</v>
      </c>
      <c r="M1467" s="26" t="str">
        <f t="shared" si="231"/>
        <v>FEDERAL</v>
      </c>
      <c r="N1467" s="26">
        <v>748</v>
      </c>
      <c r="O1467" s="26">
        <v>385</v>
      </c>
      <c r="P1467" s="26">
        <v>363</v>
      </c>
      <c r="Q1467" s="26">
        <v>20</v>
      </c>
      <c r="R1467" s="26">
        <v>1</v>
      </c>
      <c r="S1467" s="26">
        <v>19</v>
      </c>
      <c r="T1467" s="26">
        <v>9</v>
      </c>
      <c r="U1467" s="26">
        <v>29</v>
      </c>
      <c r="V1467" s="26">
        <v>1</v>
      </c>
      <c r="W1467" s="26"/>
    </row>
    <row r="1468" spans="1:23" x14ac:dyDescent="0.25">
      <c r="A1468" s="26" t="str">
        <f t="shared" si="229"/>
        <v>PRIMARIA</v>
      </c>
      <c r="B1468" s="26" t="str">
        <f>"09DPR2762H"</f>
        <v>09DPR2762H</v>
      </c>
      <c r="C1468" s="26" t="str">
        <f>"CORONEL NICOLAS ROMERO                                                                              "</f>
        <v xml:space="preserve">CORONEL NICOLAS ROMERO                                                                              </v>
      </c>
      <c r="D1468" s="26" t="str">
        <f>"VESPERTINO"</f>
        <v>VESPERTINO</v>
      </c>
      <c r="E1468" s="26" t="str">
        <f>"5 DE MAYO NUM 126                                                               "</f>
        <v xml:space="preserve">5 DE MAYO NUM 126                                                               </v>
      </c>
      <c r="F1468" s="26" t="str">
        <f>"POTRERILLO                                                                                                                                  "</f>
        <v xml:space="preserve">POTRERILLO                                                                                                                                  </v>
      </c>
      <c r="G1468" s="26" t="str">
        <f>"LA MAGDALENA CONTRERAS                                                          "</f>
        <v xml:space="preserve">LA MAGDALENA CONTRERAS                                                          </v>
      </c>
      <c r="H1468" s="26" t="str">
        <f>"335"</f>
        <v>335</v>
      </c>
      <c r="I1468" s="26" t="str">
        <f t="shared" si="230"/>
        <v>00</v>
      </c>
      <c r="J1468" s="26" t="str">
        <f>"43 "</f>
        <v xml:space="preserve">43 </v>
      </c>
      <c r="K1468" s="26" t="str">
        <f>"PR"</f>
        <v>PR</v>
      </c>
      <c r="L1468" s="26" t="str">
        <f>"DGOSE"</f>
        <v>DGOSE</v>
      </c>
      <c r="M1468" s="26" t="str">
        <f t="shared" si="231"/>
        <v>FEDERAL</v>
      </c>
      <c r="N1468" s="26">
        <v>194</v>
      </c>
      <c r="O1468" s="26">
        <v>101</v>
      </c>
      <c r="P1468" s="26">
        <v>93</v>
      </c>
      <c r="Q1468" s="26">
        <v>10</v>
      </c>
      <c r="R1468" s="26">
        <v>1</v>
      </c>
      <c r="S1468" s="26">
        <v>10</v>
      </c>
      <c r="T1468" s="26">
        <v>4</v>
      </c>
      <c r="U1468" s="26">
        <v>15</v>
      </c>
      <c r="V1468" s="26">
        <v>1</v>
      </c>
      <c r="W1468" s="26"/>
    </row>
    <row r="1469" spans="1:23" x14ac:dyDescent="0.25">
      <c r="A1469" s="26" t="str">
        <f t="shared" si="229"/>
        <v>PRIMARIA</v>
      </c>
      <c r="B1469" s="26" t="str">
        <f>"09DPR2763G"</f>
        <v>09DPR2763G</v>
      </c>
      <c r="C1469" s="26" t="str">
        <f>"PETROLEOS MEXICANOS                                                                                 "</f>
        <v xml:space="preserve">PETROLEOS MEXICANOS                                                                                 </v>
      </c>
      <c r="D1469" s="26" t="str">
        <f>"MATUTINO"</f>
        <v>MATUTINO</v>
      </c>
      <c r="E1469" s="26" t="str">
        <f>"CAMPO MOLUCO SN                                                                 "</f>
        <v xml:space="preserve">CAMPO MOLUCO SN                                                                 </v>
      </c>
      <c r="F1469" s="26" t="str">
        <f>"PETROLERA AMPLIACION                                                                                                                        "</f>
        <v xml:space="preserve">PETROLERA AMPLIACION                                                                                                                        </v>
      </c>
      <c r="G1469" s="26" t="str">
        <f>"AZCAPOTZALCO                                                                    "</f>
        <v xml:space="preserve">AZCAPOTZALCO                                                                    </v>
      </c>
      <c r="H1469" s="26" t="str">
        <f>"204"</f>
        <v>204</v>
      </c>
      <c r="I1469" s="26" t="str">
        <f t="shared" si="230"/>
        <v>00</v>
      </c>
      <c r="J1469" s="26" t="str">
        <f>"42 "</f>
        <v xml:space="preserve">42 </v>
      </c>
      <c r="K1469" s="26" t="str">
        <f>"PR"</f>
        <v>PR</v>
      </c>
      <c r="L1469" s="26" t="str">
        <f>"DGOSE"</f>
        <v>DGOSE</v>
      </c>
      <c r="M1469" s="26" t="str">
        <f t="shared" si="231"/>
        <v>FEDERAL</v>
      </c>
      <c r="N1469" s="26">
        <v>420</v>
      </c>
      <c r="O1469" s="26">
        <v>222</v>
      </c>
      <c r="P1469" s="26">
        <v>198</v>
      </c>
      <c r="Q1469" s="26">
        <v>14</v>
      </c>
      <c r="R1469" s="26">
        <v>1</v>
      </c>
      <c r="S1469" s="26">
        <v>14</v>
      </c>
      <c r="T1469" s="26">
        <v>9</v>
      </c>
      <c r="U1469" s="26">
        <v>24</v>
      </c>
      <c r="V1469" s="26">
        <v>1</v>
      </c>
      <c r="W1469" s="26"/>
    </row>
    <row r="1470" spans="1:23" x14ac:dyDescent="0.25">
      <c r="A1470" s="26" t="str">
        <f t="shared" si="229"/>
        <v>PRIMARIA</v>
      </c>
      <c r="B1470" s="26" t="str">
        <f>"09DPR2764F"</f>
        <v>09DPR2764F</v>
      </c>
      <c r="C1470" s="26" t="str">
        <f>"FRANCISCO DEL PASO Y TRONCOSO                                                                       "</f>
        <v xml:space="preserve">FRANCISCO DEL PASO Y TRONCOSO                                                                       </v>
      </c>
      <c r="D1470" s="26" t="str">
        <f>"MATUTINO"</f>
        <v>MATUTINO</v>
      </c>
      <c r="E1470" s="26" t="str">
        <f>"EMILIANO ZAPATA NO. 129                                                         "</f>
        <v xml:space="preserve">EMILIANO ZAPATA NO. 129                                                         </v>
      </c>
      <c r="F1470" s="26" t="str">
        <f>"SAN LORENZO TEZONCO                                                                                                                         "</f>
        <v xml:space="preserve">SAN LORENZO TEZONCO                                                                                                                         </v>
      </c>
      <c r="G1470" s="26" t="str">
        <f>"IZTAPALAPA                                                                      "</f>
        <v xml:space="preserve">IZTAPALAPA                                                                      </v>
      </c>
      <c r="H1470" s="26" t="str">
        <f>"050"</f>
        <v>050</v>
      </c>
      <c r="I1470" s="26" t="str">
        <f t="shared" si="230"/>
        <v>00</v>
      </c>
      <c r="J1470" s="26" t="str">
        <f>"63 "</f>
        <v xml:space="preserve">63 </v>
      </c>
      <c r="K1470" s="26" t="str">
        <f>"IZ"</f>
        <v>IZ</v>
      </c>
      <c r="L1470" s="26" t="str">
        <f>"DGSEI"</f>
        <v>DGSEI</v>
      </c>
      <c r="M1470" s="26" t="str">
        <f t="shared" si="231"/>
        <v>FEDERAL</v>
      </c>
      <c r="N1470" s="26">
        <v>534</v>
      </c>
      <c r="O1470" s="26">
        <v>264</v>
      </c>
      <c r="P1470" s="26">
        <v>270</v>
      </c>
      <c r="Q1470" s="26">
        <v>38</v>
      </c>
      <c r="R1470" s="26">
        <v>2</v>
      </c>
      <c r="S1470" s="26">
        <v>38</v>
      </c>
      <c r="T1470" s="26">
        <v>18</v>
      </c>
      <c r="U1470" s="26">
        <v>58</v>
      </c>
      <c r="V1470" s="26">
        <v>1</v>
      </c>
      <c r="W1470" s="26"/>
    </row>
    <row r="1471" spans="1:23" x14ac:dyDescent="0.25">
      <c r="A1471" s="26" t="str">
        <f t="shared" si="229"/>
        <v>PRIMARIA</v>
      </c>
      <c r="B1471" s="26" t="str">
        <f>"09DPR2765E"</f>
        <v>09DPR2765E</v>
      </c>
      <c r="C1471" s="26" t="str">
        <f>"ROSARIO MA. GUTIERREZ ESKILDSEN                                                                     "</f>
        <v xml:space="preserve">ROSARIO MA. GUTIERREZ ESKILDSEN                                                                     </v>
      </c>
      <c r="D1471" s="26" t="str">
        <f>"MATUTINO"</f>
        <v>MATUTINO</v>
      </c>
      <c r="E1471" s="26" t="str">
        <f>"GERMANIO NO. 98 Y SILICIO                                                       "</f>
        <v xml:space="preserve">GERMANIO NO. 98 Y SILICIO                                                       </v>
      </c>
      <c r="F1471" s="26" t="str">
        <f>"EL MANTO                                                                                                                                    "</f>
        <v xml:space="preserve">EL MANTO                                                                                                                                    </v>
      </c>
      <c r="G1471" s="26" t="str">
        <f>"IZTAPALAPA                                                                      "</f>
        <v xml:space="preserve">IZTAPALAPA                                                                      </v>
      </c>
      <c r="H1471" s="26" t="str">
        <f>"046"</f>
        <v>046</v>
      </c>
      <c r="I1471" s="26" t="str">
        <f t="shared" si="230"/>
        <v>00</v>
      </c>
      <c r="J1471" s="26" t="str">
        <f>"63 "</f>
        <v xml:space="preserve">63 </v>
      </c>
      <c r="K1471" s="26" t="str">
        <f>"IZ"</f>
        <v>IZ</v>
      </c>
      <c r="L1471" s="26" t="str">
        <f>"DGSEI"</f>
        <v>DGSEI</v>
      </c>
      <c r="M1471" s="26" t="str">
        <f t="shared" si="231"/>
        <v>FEDERAL</v>
      </c>
      <c r="N1471" s="26">
        <v>467</v>
      </c>
      <c r="O1471" s="26">
        <v>217</v>
      </c>
      <c r="P1471" s="26">
        <v>250</v>
      </c>
      <c r="Q1471" s="26">
        <v>17</v>
      </c>
      <c r="R1471" s="26">
        <v>1</v>
      </c>
      <c r="S1471" s="26">
        <v>17</v>
      </c>
      <c r="T1471" s="26">
        <v>7</v>
      </c>
      <c r="U1471" s="26">
        <v>25</v>
      </c>
      <c r="V1471" s="26">
        <v>1</v>
      </c>
      <c r="W1471" s="26"/>
    </row>
    <row r="1472" spans="1:23" x14ac:dyDescent="0.25">
      <c r="A1472" s="26" t="str">
        <f t="shared" si="229"/>
        <v>PRIMARIA</v>
      </c>
      <c r="B1472" s="26" t="str">
        <f>"09DPR2766D"</f>
        <v>09DPR2766D</v>
      </c>
      <c r="C1472" s="26" t="str">
        <f>"MIGUEL RAMOS ARIZPE                                                                                 "</f>
        <v xml:space="preserve">MIGUEL RAMOS ARIZPE                                                                                 </v>
      </c>
      <c r="D1472" s="26" t="str">
        <f>"VESPERTINO"</f>
        <v>VESPERTINO</v>
      </c>
      <c r="E1472" s="26" t="str">
        <f>"IGNACIO ALLENDE S/N.                                                            "</f>
        <v xml:space="preserve">IGNACIO ALLENDE S/N.                                                            </v>
      </c>
      <c r="F1472" s="26" t="str">
        <f>"GUADALUPE DEL MORAL                                                                                                                         "</f>
        <v xml:space="preserve">GUADALUPE DEL MORAL                                                                                                                         </v>
      </c>
      <c r="G1472" s="26" t="str">
        <f>"IZTAPALAPA                                                                      "</f>
        <v xml:space="preserve">IZTAPALAPA                                                                      </v>
      </c>
      <c r="H1472" s="26" t="str">
        <f>"039"</f>
        <v>039</v>
      </c>
      <c r="I1472" s="26" t="str">
        <f t="shared" si="230"/>
        <v>00</v>
      </c>
      <c r="J1472" s="26" t="str">
        <f>"63 "</f>
        <v xml:space="preserve">63 </v>
      </c>
      <c r="K1472" s="26" t="str">
        <f>"IZ"</f>
        <v>IZ</v>
      </c>
      <c r="L1472" s="26" t="str">
        <f>"DGSEI"</f>
        <v>DGSEI</v>
      </c>
      <c r="M1472" s="26" t="str">
        <f t="shared" si="231"/>
        <v>FEDERAL</v>
      </c>
      <c r="N1472" s="26">
        <v>155</v>
      </c>
      <c r="O1472" s="26">
        <v>90</v>
      </c>
      <c r="P1472" s="26">
        <v>65</v>
      </c>
      <c r="Q1472" s="26">
        <v>8</v>
      </c>
      <c r="R1472" s="26">
        <v>1</v>
      </c>
      <c r="S1472" s="26">
        <v>8</v>
      </c>
      <c r="T1472" s="26">
        <v>3</v>
      </c>
      <c r="U1472" s="26">
        <v>12</v>
      </c>
      <c r="V1472" s="26">
        <v>1</v>
      </c>
      <c r="W1472" s="26"/>
    </row>
    <row r="1473" spans="1:23" x14ac:dyDescent="0.25">
      <c r="A1473" s="26" t="str">
        <f t="shared" si="229"/>
        <v>PRIMARIA</v>
      </c>
      <c r="B1473" s="26" t="str">
        <f>"09DPR2768B"</f>
        <v>09DPR2768B</v>
      </c>
      <c r="C1473" s="26" t="str">
        <f>"XITLE                                                                                               "</f>
        <v xml:space="preserve">XITLE                                                                                               </v>
      </c>
      <c r="D1473" s="26" t="str">
        <f>"VESPERTINO"</f>
        <v>VESPERTINO</v>
      </c>
      <c r="E1473" s="26" t="str">
        <f>"ACATEMPA S/N ENT AMATL-AMESQUITE                                                "</f>
        <v xml:space="preserve">ACATEMPA S/N ENT AMATL-AMESQUITE                                                </v>
      </c>
      <c r="F1473" s="26" t="str">
        <f>"PEDREGAL DE SANTO DOMINGO                                                                                                                   "</f>
        <v xml:space="preserve">PEDREGAL DE SANTO DOMINGO                                                                                                                   </v>
      </c>
      <c r="G1473" s="26" t="str">
        <f>"COYOACAN                                                                        "</f>
        <v xml:space="preserve">COYOACAN                                                                        </v>
      </c>
      <c r="H1473" s="26" t="str">
        <f>"504"</f>
        <v>504</v>
      </c>
      <c r="I1473" s="26" t="str">
        <f t="shared" si="230"/>
        <v>00</v>
      </c>
      <c r="J1473" s="26" t="str">
        <f>"45 "</f>
        <v xml:space="preserve">45 </v>
      </c>
      <c r="K1473" s="26" t="str">
        <f t="shared" ref="K1473:K1479" si="238">"PR"</f>
        <v>PR</v>
      </c>
      <c r="L1473" s="26" t="str">
        <f t="shared" ref="L1473:L1479" si="239">"DGOSE"</f>
        <v>DGOSE</v>
      </c>
      <c r="M1473" s="26" t="str">
        <f t="shared" si="231"/>
        <v>FEDERAL</v>
      </c>
      <c r="N1473" s="26">
        <v>426</v>
      </c>
      <c r="O1473" s="26">
        <v>228</v>
      </c>
      <c r="P1473" s="26">
        <v>198</v>
      </c>
      <c r="Q1473" s="26">
        <v>18</v>
      </c>
      <c r="R1473" s="26">
        <v>1</v>
      </c>
      <c r="S1473" s="26">
        <v>18</v>
      </c>
      <c r="T1473" s="26">
        <v>7</v>
      </c>
      <c r="U1473" s="26">
        <v>26</v>
      </c>
      <c r="V1473" s="26">
        <v>1</v>
      </c>
      <c r="W1473" s="26"/>
    </row>
    <row r="1474" spans="1:23" x14ac:dyDescent="0.25">
      <c r="A1474" s="26" t="str">
        <f t="shared" ref="A1474:A1537" si="240">"PRIMARIA"</f>
        <v>PRIMARIA</v>
      </c>
      <c r="B1474" s="26" t="str">
        <f>"09DPR2769A"</f>
        <v>09DPR2769A</v>
      </c>
      <c r="C1474" s="26" t="str">
        <f>"XITLE                                                                                               "</f>
        <v xml:space="preserve">XITLE                                                                                               </v>
      </c>
      <c r="D1474" s="26" t="str">
        <f>"MATUTINO"</f>
        <v>MATUTINO</v>
      </c>
      <c r="E1474" s="26" t="str">
        <f>"ACATEMPA S/N ENT AMATL-AMESQUITE                                                "</f>
        <v xml:space="preserve">ACATEMPA S/N ENT AMATL-AMESQUITE                                                </v>
      </c>
      <c r="F1474" s="26" t="str">
        <f>"PEDREGAL DE SANTO DOMINGO                                                                                                                   "</f>
        <v xml:space="preserve">PEDREGAL DE SANTO DOMINGO                                                                                                                   </v>
      </c>
      <c r="G1474" s="26" t="str">
        <f>"COYOACAN                                                                        "</f>
        <v xml:space="preserve">COYOACAN                                                                        </v>
      </c>
      <c r="H1474" s="26" t="str">
        <f>"504"</f>
        <v>504</v>
      </c>
      <c r="I1474" s="26" t="str">
        <f t="shared" ref="I1474:I1537" si="241">"00"</f>
        <v>00</v>
      </c>
      <c r="J1474" s="26" t="str">
        <f>"45 "</f>
        <v xml:space="preserve">45 </v>
      </c>
      <c r="K1474" s="26" t="str">
        <f t="shared" si="238"/>
        <v>PR</v>
      </c>
      <c r="L1474" s="26" t="str">
        <f t="shared" si="239"/>
        <v>DGOSE</v>
      </c>
      <c r="M1474" s="26" t="str">
        <f t="shared" ref="M1474:M1537" si="242">"FEDERAL"</f>
        <v>FEDERAL</v>
      </c>
      <c r="N1474" s="26">
        <v>523</v>
      </c>
      <c r="O1474" s="26">
        <v>240</v>
      </c>
      <c r="P1474" s="26">
        <v>283</v>
      </c>
      <c r="Q1474" s="26">
        <v>18</v>
      </c>
      <c r="R1474" s="26">
        <v>1</v>
      </c>
      <c r="S1474" s="26">
        <v>15</v>
      </c>
      <c r="T1474" s="26">
        <v>9</v>
      </c>
      <c r="U1474" s="26">
        <v>25</v>
      </c>
      <c r="V1474" s="26">
        <v>1</v>
      </c>
      <c r="W1474" s="26"/>
    </row>
    <row r="1475" spans="1:23" x14ac:dyDescent="0.25">
      <c r="A1475" s="26" t="str">
        <f t="shared" si="240"/>
        <v>PRIMARIA</v>
      </c>
      <c r="B1475" s="26" t="str">
        <f>"09DPR2771P"</f>
        <v>09DPR2771P</v>
      </c>
      <c r="C1475" s="26" t="str">
        <f>"DR. SALVADOR ALLENDE G.                                                                             "</f>
        <v xml:space="preserve">DR. SALVADOR ALLENDE G.                                                                             </v>
      </c>
      <c r="D1475" s="26" t="str">
        <f>"JORNADA AMPLIADA"</f>
        <v>JORNADA AMPLIADA</v>
      </c>
      <c r="E1475" s="26" t="str">
        <f>"AV OAXACA 18 BIS                                                                "</f>
        <v xml:space="preserve">AV OAXACA 18 BIS                                                                </v>
      </c>
      <c r="F1475" s="26" t="str">
        <f>"HEROES DE PADIERNA                                                                                                                          "</f>
        <v xml:space="preserve">HEROES DE PADIERNA                                                                                                                          </v>
      </c>
      <c r="G1475" s="26" t="str">
        <f>"LA MAGDALENA CONTRERAS                                                          "</f>
        <v xml:space="preserve">LA MAGDALENA CONTRERAS                                                          </v>
      </c>
      <c r="H1475" s="26" t="str">
        <f>"408"</f>
        <v>408</v>
      </c>
      <c r="I1475" s="26" t="str">
        <f t="shared" si="241"/>
        <v>00</v>
      </c>
      <c r="J1475" s="26" t="str">
        <f>"44 "</f>
        <v xml:space="preserve">44 </v>
      </c>
      <c r="K1475" s="26" t="str">
        <f t="shared" si="238"/>
        <v>PR</v>
      </c>
      <c r="L1475" s="26" t="str">
        <f t="shared" si="239"/>
        <v>DGOSE</v>
      </c>
      <c r="M1475" s="26" t="str">
        <f t="shared" si="242"/>
        <v>FEDERAL</v>
      </c>
      <c r="N1475" s="26">
        <v>668</v>
      </c>
      <c r="O1475" s="26">
        <v>367</v>
      </c>
      <c r="P1475" s="26">
        <v>301</v>
      </c>
      <c r="Q1475" s="26">
        <v>22</v>
      </c>
      <c r="R1475" s="26">
        <v>1</v>
      </c>
      <c r="S1475" s="26">
        <v>22</v>
      </c>
      <c r="T1475" s="26">
        <v>14</v>
      </c>
      <c r="U1475" s="26">
        <v>37</v>
      </c>
      <c r="V1475" s="26">
        <v>1</v>
      </c>
      <c r="W1475" s="26" t="s">
        <v>2076</v>
      </c>
    </row>
    <row r="1476" spans="1:23" x14ac:dyDescent="0.25">
      <c r="A1476" s="26" t="str">
        <f t="shared" si="240"/>
        <v>PRIMARIA</v>
      </c>
      <c r="B1476" s="26" t="str">
        <f>"09DPR2772O"</f>
        <v>09DPR2772O</v>
      </c>
      <c r="C1476" s="26" t="str">
        <f>"CORONEL NICOLAS ROMERO                                                                              "</f>
        <v xml:space="preserve">CORONEL NICOLAS ROMERO                                                                              </v>
      </c>
      <c r="D1476" s="26" t="str">
        <f>"MATUTINO"</f>
        <v>MATUTINO</v>
      </c>
      <c r="E1476" s="26" t="str">
        <f>"5 DE MAYO NUM 126                                                               "</f>
        <v xml:space="preserve">5 DE MAYO NUM 126                                                               </v>
      </c>
      <c r="F1476" s="26" t="str">
        <f>"POTRERILLO                                                                                                                                  "</f>
        <v xml:space="preserve">POTRERILLO                                                                                                                                  </v>
      </c>
      <c r="G1476" s="26" t="str">
        <f>"LA MAGDALENA CONTRERAS                                                          "</f>
        <v xml:space="preserve">LA MAGDALENA CONTRERAS                                                          </v>
      </c>
      <c r="H1476" s="26" t="str">
        <f>"335"</f>
        <v>335</v>
      </c>
      <c r="I1476" s="26" t="str">
        <f t="shared" si="241"/>
        <v>00</v>
      </c>
      <c r="J1476" s="26" t="str">
        <f>"43 "</f>
        <v xml:space="preserve">43 </v>
      </c>
      <c r="K1476" s="26" t="str">
        <f t="shared" si="238"/>
        <v>PR</v>
      </c>
      <c r="L1476" s="26" t="str">
        <f t="shared" si="239"/>
        <v>DGOSE</v>
      </c>
      <c r="M1476" s="26" t="str">
        <f t="shared" si="242"/>
        <v>FEDERAL</v>
      </c>
      <c r="N1476" s="26">
        <v>563</v>
      </c>
      <c r="O1476" s="26">
        <v>274</v>
      </c>
      <c r="P1476" s="26">
        <v>289</v>
      </c>
      <c r="Q1476" s="26">
        <v>18</v>
      </c>
      <c r="R1476" s="26">
        <v>1</v>
      </c>
      <c r="S1476" s="26">
        <v>18</v>
      </c>
      <c r="T1476" s="26">
        <v>7</v>
      </c>
      <c r="U1476" s="26">
        <v>26</v>
      </c>
      <c r="V1476" s="26">
        <v>1</v>
      </c>
      <c r="W1476" s="26"/>
    </row>
    <row r="1477" spans="1:23" x14ac:dyDescent="0.25">
      <c r="A1477" s="26" t="str">
        <f t="shared" si="240"/>
        <v>PRIMARIA</v>
      </c>
      <c r="B1477" s="26" t="str">
        <f>"09DPR2773N"</f>
        <v>09DPR2773N</v>
      </c>
      <c r="C1477" s="26" t="str">
        <f>"MAESTRO ARQUELES VELA S.                                                                            "</f>
        <v xml:space="preserve">MAESTRO ARQUELES VELA S.                                                                            </v>
      </c>
      <c r="D1477" s="26" t="str">
        <f>"JORNADA AMPLIADA"</f>
        <v>JORNADA AMPLIADA</v>
      </c>
      <c r="E1477" s="26" t="str">
        <f>"JOSE ESPINOZA F. Y PROLONG.CALLE 10 S/N                                         "</f>
        <v xml:space="preserve">JOSE ESPINOZA F. Y PROLONG.CALLE 10 S/N                                         </v>
      </c>
      <c r="F1477" s="26" t="str">
        <f>"CRISTO REY                                                                                                                                  "</f>
        <v xml:space="preserve">CRISTO REY                                                                                                                                  </v>
      </c>
      <c r="G1477" s="26" t="str">
        <f>"ALVARO OBREGON                                                                  "</f>
        <v xml:space="preserve">ALVARO OBREGON                                                                  </v>
      </c>
      <c r="H1477" s="26" t="str">
        <f>"401"</f>
        <v>401</v>
      </c>
      <c r="I1477" s="26" t="str">
        <f t="shared" si="241"/>
        <v>00</v>
      </c>
      <c r="J1477" s="26" t="str">
        <f>"44 "</f>
        <v xml:space="preserve">44 </v>
      </c>
      <c r="K1477" s="26" t="str">
        <f t="shared" si="238"/>
        <v>PR</v>
      </c>
      <c r="L1477" s="26" t="str">
        <f t="shared" si="239"/>
        <v>DGOSE</v>
      </c>
      <c r="M1477" s="26" t="str">
        <f t="shared" si="242"/>
        <v>FEDERAL</v>
      </c>
      <c r="N1477" s="26">
        <v>385</v>
      </c>
      <c r="O1477" s="26">
        <v>197</v>
      </c>
      <c r="P1477" s="26">
        <v>188</v>
      </c>
      <c r="Q1477" s="26">
        <v>12</v>
      </c>
      <c r="R1477" s="26">
        <v>1</v>
      </c>
      <c r="S1477" s="26">
        <v>12</v>
      </c>
      <c r="T1477" s="26">
        <v>11</v>
      </c>
      <c r="U1477" s="26">
        <v>24</v>
      </c>
      <c r="V1477" s="26">
        <v>1</v>
      </c>
      <c r="W1477" s="26" t="s">
        <v>2076</v>
      </c>
    </row>
    <row r="1478" spans="1:23" x14ac:dyDescent="0.25">
      <c r="A1478" s="26" t="str">
        <f t="shared" si="240"/>
        <v>PRIMARIA</v>
      </c>
      <c r="B1478" s="26" t="str">
        <f>"09DPR2778I"</f>
        <v>09DPR2778I</v>
      </c>
      <c r="C1478" s="26" t="str">
        <f>"MTRA. ROSARIO CASTELLANOS FIGUEROA                                                                  "</f>
        <v xml:space="preserve">MTRA. ROSARIO CASTELLANOS FIGUEROA                                                                  </v>
      </c>
      <c r="D1478" s="26" t="str">
        <f>"JORNADA AMPLIADA"</f>
        <v>JORNADA AMPLIADA</v>
      </c>
      <c r="E1478" s="26" t="str">
        <f>"2A PRIV DE AQUILES SERDAN S/N                                                   "</f>
        <v xml:space="preserve">2A PRIV DE AQUILES SERDAN S/N                                                   </v>
      </c>
      <c r="F1478" s="26" t="str">
        <f>"SANTO DOMINGO                                                                                                                               "</f>
        <v xml:space="preserve">SANTO DOMINGO                                                                                                                               </v>
      </c>
      <c r="G1478" s="26" t="str">
        <f>"AZCAPOTZALCO                                                                    "</f>
        <v xml:space="preserve">AZCAPOTZALCO                                                                    </v>
      </c>
      <c r="H1478" s="26" t="str">
        <f>"103"</f>
        <v>103</v>
      </c>
      <c r="I1478" s="26" t="str">
        <f t="shared" si="241"/>
        <v>00</v>
      </c>
      <c r="J1478" s="26" t="str">
        <f>"41 "</f>
        <v xml:space="preserve">41 </v>
      </c>
      <c r="K1478" s="26" t="str">
        <f t="shared" si="238"/>
        <v>PR</v>
      </c>
      <c r="L1478" s="26" t="str">
        <f t="shared" si="239"/>
        <v>DGOSE</v>
      </c>
      <c r="M1478" s="26" t="str">
        <f t="shared" si="242"/>
        <v>FEDERAL</v>
      </c>
      <c r="N1478" s="26">
        <v>382</v>
      </c>
      <c r="O1478" s="26">
        <v>200</v>
      </c>
      <c r="P1478" s="26">
        <v>182</v>
      </c>
      <c r="Q1478" s="26">
        <v>15</v>
      </c>
      <c r="R1478" s="26">
        <v>1</v>
      </c>
      <c r="S1478" s="26">
        <v>15</v>
      </c>
      <c r="T1478" s="26">
        <v>10</v>
      </c>
      <c r="U1478" s="26">
        <v>26</v>
      </c>
      <c r="V1478" s="26">
        <v>1</v>
      </c>
      <c r="W1478" s="26" t="s">
        <v>2076</v>
      </c>
    </row>
    <row r="1479" spans="1:23" x14ac:dyDescent="0.25">
      <c r="A1479" s="26" t="str">
        <f t="shared" si="240"/>
        <v>PRIMARIA</v>
      </c>
      <c r="B1479" s="26" t="str">
        <f>"09DPR2779H"</f>
        <v>09DPR2779H</v>
      </c>
      <c r="C1479" s="26" t="str">
        <f>"PETROLEOS MEXICANOS                                                                                 "</f>
        <v xml:space="preserve">PETROLEOS MEXICANOS                                                                                 </v>
      </c>
      <c r="D1479" s="26" t="str">
        <f>"VESPERTINO"</f>
        <v>VESPERTINO</v>
      </c>
      <c r="E1479" s="26" t="str">
        <f>"CAMPO MOLUCO S/N                                                                "</f>
        <v xml:space="preserve">CAMPO MOLUCO S/N                                                                </v>
      </c>
      <c r="F1479" s="26" t="str">
        <f>"PETROLERA AMPLIACION                                                                                                                        "</f>
        <v xml:space="preserve">PETROLERA AMPLIACION                                                                                                                        </v>
      </c>
      <c r="G1479" s="26" t="str">
        <f>"AZCAPOTZALCO                                                                    "</f>
        <v xml:space="preserve">AZCAPOTZALCO                                                                    </v>
      </c>
      <c r="H1479" s="26" t="str">
        <f>"204"</f>
        <v>204</v>
      </c>
      <c r="I1479" s="26" t="str">
        <f t="shared" si="241"/>
        <v>00</v>
      </c>
      <c r="J1479" s="26" t="str">
        <f>"42 "</f>
        <v xml:space="preserve">42 </v>
      </c>
      <c r="K1479" s="26" t="str">
        <f t="shared" si="238"/>
        <v>PR</v>
      </c>
      <c r="L1479" s="26" t="str">
        <f t="shared" si="239"/>
        <v>DGOSE</v>
      </c>
      <c r="M1479" s="26" t="str">
        <f t="shared" si="242"/>
        <v>FEDERAL</v>
      </c>
      <c r="N1479" s="26">
        <v>132</v>
      </c>
      <c r="O1479" s="26">
        <v>71</v>
      </c>
      <c r="P1479" s="26">
        <v>61</v>
      </c>
      <c r="Q1479" s="26">
        <v>7</v>
      </c>
      <c r="R1479" s="26">
        <v>1</v>
      </c>
      <c r="S1479" s="26">
        <v>6</v>
      </c>
      <c r="T1479" s="26">
        <v>7</v>
      </c>
      <c r="U1479" s="26">
        <v>14</v>
      </c>
      <c r="V1479" s="26">
        <v>1</v>
      </c>
      <c r="W1479" s="26"/>
    </row>
    <row r="1480" spans="1:23" x14ac:dyDescent="0.25">
      <c r="A1480" s="26" t="str">
        <f t="shared" si="240"/>
        <v>PRIMARIA</v>
      </c>
      <c r="B1480" s="26" t="str">
        <f>"09DPR2780X"</f>
        <v>09DPR2780X</v>
      </c>
      <c r="C1480" s="26" t="str">
        <f>"CARLOS DARWIN                                                                                       "</f>
        <v xml:space="preserve">CARLOS DARWIN                                                                                       </v>
      </c>
      <c r="D1480" s="26" t="str">
        <f>"MATUTINO"</f>
        <v>MATUTINO</v>
      </c>
      <c r="E1480" s="26" t="str">
        <f>"CALLE 3 NO. 1                                                                   "</f>
        <v xml:space="preserve">CALLE 3 NO. 1                                                                   </v>
      </c>
      <c r="F1480" s="26" t="str">
        <f>"SAN JUAN XALPA                                                                                                                              "</f>
        <v xml:space="preserve">SAN JUAN XALPA                                                                                                                              </v>
      </c>
      <c r="G1480" s="26" t="str">
        <f>"IZTAPALAPA                                                                      "</f>
        <v xml:space="preserve">IZTAPALAPA                                                                      </v>
      </c>
      <c r="H1480" s="26" t="str">
        <f>"042"</f>
        <v>042</v>
      </c>
      <c r="I1480" s="26" t="str">
        <f t="shared" si="241"/>
        <v>00</v>
      </c>
      <c r="J1480" s="26" t="str">
        <f>"63 "</f>
        <v xml:space="preserve">63 </v>
      </c>
      <c r="K1480" s="26" t="str">
        <f>"IZ"</f>
        <v>IZ</v>
      </c>
      <c r="L1480" s="26" t="str">
        <f>"DGSEI"</f>
        <v>DGSEI</v>
      </c>
      <c r="M1480" s="26" t="str">
        <f t="shared" si="242"/>
        <v>FEDERAL</v>
      </c>
      <c r="N1480" s="26">
        <v>352</v>
      </c>
      <c r="O1480" s="26">
        <v>177</v>
      </c>
      <c r="P1480" s="26">
        <v>175</v>
      </c>
      <c r="Q1480" s="26">
        <v>10</v>
      </c>
      <c r="R1480" s="26">
        <v>1</v>
      </c>
      <c r="S1480" s="26">
        <v>10</v>
      </c>
      <c r="T1480" s="26">
        <v>5</v>
      </c>
      <c r="U1480" s="26">
        <v>16</v>
      </c>
      <c r="V1480" s="26">
        <v>1</v>
      </c>
      <c r="W1480" s="26"/>
    </row>
    <row r="1481" spans="1:23" x14ac:dyDescent="0.25">
      <c r="A1481" s="26" t="str">
        <f t="shared" si="240"/>
        <v>PRIMARIA</v>
      </c>
      <c r="B1481" s="26" t="str">
        <f>"09DPR2781W"</f>
        <v>09DPR2781W</v>
      </c>
      <c r="C1481" s="26" t="str">
        <f>"EDUCACION PARA TODOS                                                                                "</f>
        <v xml:space="preserve">EDUCACION PARA TODOS                                                                                </v>
      </c>
      <c r="D1481" s="26" t="str">
        <f>"VESPERTINO"</f>
        <v>VESPERTINO</v>
      </c>
      <c r="E1481" s="26" t="str">
        <f>"ARTURO CASTRO Y V FABREGAS                                                      "</f>
        <v xml:space="preserve">ARTURO CASTRO Y V FABREGAS                                                      </v>
      </c>
      <c r="F1481" s="26" t="str">
        <f>"JORGE NEGRETE                                                                                                                               "</f>
        <v xml:space="preserve">JORGE NEGRETE                                                                                                                               </v>
      </c>
      <c r="G1481" s="26" t="str">
        <f>"GUSTAVO A. MADERO                                                               "</f>
        <v xml:space="preserve">GUSTAVO A. MADERO                                                               </v>
      </c>
      <c r="H1481" s="26" t="str">
        <f>"235"</f>
        <v>235</v>
      </c>
      <c r="I1481" s="26" t="str">
        <f t="shared" si="241"/>
        <v>00</v>
      </c>
      <c r="J1481" s="26" t="str">
        <f>"42 "</f>
        <v xml:space="preserve">42 </v>
      </c>
      <c r="K1481" s="26" t="str">
        <f t="shared" ref="K1481:K1487" si="243">"PR"</f>
        <v>PR</v>
      </c>
      <c r="L1481" s="26" t="str">
        <f t="shared" ref="L1481:L1487" si="244">"DGOSE"</f>
        <v>DGOSE</v>
      </c>
      <c r="M1481" s="26" t="str">
        <f t="shared" si="242"/>
        <v>FEDERAL</v>
      </c>
      <c r="N1481" s="26">
        <v>187</v>
      </c>
      <c r="O1481" s="26">
        <v>92</v>
      </c>
      <c r="P1481" s="26">
        <v>95</v>
      </c>
      <c r="Q1481" s="26">
        <v>8</v>
      </c>
      <c r="R1481" s="26">
        <v>1</v>
      </c>
      <c r="S1481" s="26">
        <v>8</v>
      </c>
      <c r="T1481" s="26">
        <v>6</v>
      </c>
      <c r="U1481" s="26">
        <v>15</v>
      </c>
      <c r="V1481" s="26">
        <v>1</v>
      </c>
      <c r="W1481" s="26"/>
    </row>
    <row r="1482" spans="1:23" x14ac:dyDescent="0.25">
      <c r="A1482" s="26" t="str">
        <f t="shared" si="240"/>
        <v>PRIMARIA</v>
      </c>
      <c r="B1482" s="26" t="str">
        <f>"09DPR2782V"</f>
        <v>09DPR2782V</v>
      </c>
      <c r="C1482" s="26" t="str">
        <f>"TLACAELEL                                                                                           "</f>
        <v xml:space="preserve">TLACAELEL                                                                                           </v>
      </c>
      <c r="D1482" s="26" t="str">
        <f>"VESPERTINO"</f>
        <v>VESPERTINO</v>
      </c>
      <c r="E1482" s="26" t="str">
        <f>"GITANA Y MANTARRAYA S/N                                                         "</f>
        <v xml:space="preserve">GITANA Y MANTARRAYA S/N                                                         </v>
      </c>
      <c r="F1482" s="26" t="str">
        <f>"DEL MAR                                                                                                                                     "</f>
        <v xml:space="preserve">DEL MAR                                                                                                                                     </v>
      </c>
      <c r="G1482" s="26" t="str">
        <f>"TLAHUAC                                                                         "</f>
        <v xml:space="preserve">TLAHUAC                                                                         </v>
      </c>
      <c r="H1482" s="26" t="str">
        <f>"550"</f>
        <v>550</v>
      </c>
      <c r="I1482" s="26" t="str">
        <f t="shared" si="241"/>
        <v>00</v>
      </c>
      <c r="J1482" s="26" t="str">
        <f>"45 "</f>
        <v xml:space="preserve">45 </v>
      </c>
      <c r="K1482" s="26" t="str">
        <f t="shared" si="243"/>
        <v>PR</v>
      </c>
      <c r="L1482" s="26" t="str">
        <f t="shared" si="244"/>
        <v>DGOSE</v>
      </c>
      <c r="M1482" s="26" t="str">
        <f t="shared" si="242"/>
        <v>FEDERAL</v>
      </c>
      <c r="N1482" s="26">
        <v>259</v>
      </c>
      <c r="O1482" s="26">
        <v>153</v>
      </c>
      <c r="P1482" s="26">
        <v>106</v>
      </c>
      <c r="Q1482" s="26">
        <v>15</v>
      </c>
      <c r="R1482" s="26">
        <v>1</v>
      </c>
      <c r="S1482" s="26">
        <v>12</v>
      </c>
      <c r="T1482" s="26">
        <v>11</v>
      </c>
      <c r="U1482" s="26">
        <v>24</v>
      </c>
      <c r="V1482" s="26">
        <v>1</v>
      </c>
      <c r="W1482" s="26"/>
    </row>
    <row r="1483" spans="1:23" x14ac:dyDescent="0.25">
      <c r="A1483" s="26" t="str">
        <f t="shared" si="240"/>
        <v>PRIMARIA</v>
      </c>
      <c r="B1483" s="26" t="str">
        <f>"09DPR2783U"</f>
        <v>09DPR2783U</v>
      </c>
      <c r="C1483" s="26" t="str">
        <f>"THAILANDIA                                                                                          "</f>
        <v xml:space="preserve">THAILANDIA                                                                                          </v>
      </c>
      <c r="D1483" s="26" t="str">
        <f>"VESPERTINO"</f>
        <v>VESPERTINO</v>
      </c>
      <c r="E1483" s="26" t="str">
        <f>"PTO MAZATLAN MANZANA 11 LOTE 5                                                  "</f>
        <v xml:space="preserve">PTO MAZATLAN MANZANA 11 LOTE 5                                                  </v>
      </c>
      <c r="F1483" s="26" t="str">
        <f>"PILOTO ADOLFO LOPEZ MATEOS                                                                                                                  "</f>
        <v xml:space="preserve">PILOTO ADOLFO LOPEZ MATEOS                                                                                                                  </v>
      </c>
      <c r="G1483" s="26" t="str">
        <f>"ALVARO OBREGON                                                                  "</f>
        <v xml:space="preserve">ALVARO OBREGON                                                                  </v>
      </c>
      <c r="H1483" s="26" t="str">
        <f>"315"</f>
        <v>315</v>
      </c>
      <c r="I1483" s="26" t="str">
        <f t="shared" si="241"/>
        <v>00</v>
      </c>
      <c r="J1483" s="26" t="str">
        <f>"43 "</f>
        <v xml:space="preserve">43 </v>
      </c>
      <c r="K1483" s="26" t="str">
        <f t="shared" si="243"/>
        <v>PR</v>
      </c>
      <c r="L1483" s="26" t="str">
        <f t="shared" si="244"/>
        <v>DGOSE</v>
      </c>
      <c r="M1483" s="26" t="str">
        <f t="shared" si="242"/>
        <v>FEDERAL</v>
      </c>
      <c r="N1483" s="26">
        <v>264</v>
      </c>
      <c r="O1483" s="26">
        <v>131</v>
      </c>
      <c r="P1483" s="26">
        <v>133</v>
      </c>
      <c r="Q1483" s="26">
        <v>13</v>
      </c>
      <c r="R1483" s="26">
        <v>1</v>
      </c>
      <c r="S1483" s="26">
        <v>12</v>
      </c>
      <c r="T1483" s="26">
        <v>7</v>
      </c>
      <c r="U1483" s="26">
        <v>20</v>
      </c>
      <c r="V1483" s="26">
        <v>1</v>
      </c>
      <c r="W1483" s="26"/>
    </row>
    <row r="1484" spans="1:23" x14ac:dyDescent="0.25">
      <c r="A1484" s="26" t="str">
        <f t="shared" si="240"/>
        <v>PRIMARIA</v>
      </c>
      <c r="B1484" s="26" t="str">
        <f>"09DPR2784T"</f>
        <v>09DPR2784T</v>
      </c>
      <c r="C1484" s="26" t="str">
        <f>"PABLO NERUDA                                                                                        "</f>
        <v xml:space="preserve">PABLO NERUDA                                                                                        </v>
      </c>
      <c r="D1484" s="26" t="str">
        <f>"VESPERTINO"</f>
        <v>VESPERTINO</v>
      </c>
      <c r="E1484" s="26" t="str">
        <f>"CIPACTLI Y HUITZILIHUITL S/N                                                    "</f>
        <v xml:space="preserve">CIPACTLI Y HUITZILIHUITL S/N                                                    </v>
      </c>
      <c r="F1484" s="26" t="str">
        <f>"LA PRECIOSA                                                                                                                                 "</f>
        <v xml:space="preserve">LA PRECIOSA                                                                                                                                 </v>
      </c>
      <c r="G1484" s="26" t="str">
        <f>"AZCAPOTZALCO                                                                    "</f>
        <v xml:space="preserve">AZCAPOTZALCO                                                                    </v>
      </c>
      <c r="H1484" s="26" t="str">
        <f>"204"</f>
        <v>204</v>
      </c>
      <c r="I1484" s="26" t="str">
        <f t="shared" si="241"/>
        <v>00</v>
      </c>
      <c r="J1484" s="26" t="str">
        <f>"42 "</f>
        <v xml:space="preserve">42 </v>
      </c>
      <c r="K1484" s="26" t="str">
        <f t="shared" si="243"/>
        <v>PR</v>
      </c>
      <c r="L1484" s="26" t="str">
        <f t="shared" si="244"/>
        <v>DGOSE</v>
      </c>
      <c r="M1484" s="26" t="str">
        <f t="shared" si="242"/>
        <v>FEDERAL</v>
      </c>
      <c r="N1484" s="26">
        <v>103</v>
      </c>
      <c r="O1484" s="26">
        <v>55</v>
      </c>
      <c r="P1484" s="26">
        <v>48</v>
      </c>
      <c r="Q1484" s="26">
        <v>6</v>
      </c>
      <c r="R1484" s="26">
        <v>1</v>
      </c>
      <c r="S1484" s="26">
        <v>6</v>
      </c>
      <c r="T1484" s="26">
        <v>8</v>
      </c>
      <c r="U1484" s="26">
        <v>15</v>
      </c>
      <c r="V1484" s="26">
        <v>1</v>
      </c>
      <c r="W1484" s="26"/>
    </row>
    <row r="1485" spans="1:23" x14ac:dyDescent="0.25">
      <c r="A1485" s="26" t="str">
        <f t="shared" si="240"/>
        <v>PRIMARIA</v>
      </c>
      <c r="B1485" s="26" t="str">
        <f>"09DPR2787Q"</f>
        <v>09DPR2787Q</v>
      </c>
      <c r="C1485" s="26" t="str">
        <f>"MARIANO GALVAN RIVERA                                                                               "</f>
        <v xml:space="preserve">MARIANO GALVAN RIVERA                                                                               </v>
      </c>
      <c r="D1485" s="26" t="str">
        <f>"MATUTINO"</f>
        <v>MATUTINO</v>
      </c>
      <c r="E1485" s="26" t="str">
        <f>"AV DE LAS TORRES S/N                                                            "</f>
        <v xml:space="preserve">AV DE LAS TORRES S/N                                                            </v>
      </c>
      <c r="F1485" s="26" t="str">
        <f>"TEPEPAN AMPLIACION                                                                                                                          "</f>
        <v xml:space="preserve">TEPEPAN AMPLIACION                                                                                                                          </v>
      </c>
      <c r="G1485" s="26" t="str">
        <f>"XOCHIMILCO                                                                      "</f>
        <v xml:space="preserve">XOCHIMILCO                                                                      </v>
      </c>
      <c r="H1485" s="26" t="str">
        <f>"532"</f>
        <v>532</v>
      </c>
      <c r="I1485" s="26" t="str">
        <f t="shared" si="241"/>
        <v>00</v>
      </c>
      <c r="J1485" s="26" t="str">
        <f>"45 "</f>
        <v xml:space="preserve">45 </v>
      </c>
      <c r="K1485" s="26" t="str">
        <f t="shared" si="243"/>
        <v>PR</v>
      </c>
      <c r="L1485" s="26" t="str">
        <f t="shared" si="244"/>
        <v>DGOSE</v>
      </c>
      <c r="M1485" s="26" t="str">
        <f t="shared" si="242"/>
        <v>FEDERAL</v>
      </c>
      <c r="N1485" s="26">
        <v>533</v>
      </c>
      <c r="O1485" s="26">
        <v>244</v>
      </c>
      <c r="P1485" s="26">
        <v>289</v>
      </c>
      <c r="Q1485" s="26">
        <v>18</v>
      </c>
      <c r="R1485" s="26">
        <v>1</v>
      </c>
      <c r="S1485" s="26">
        <v>18</v>
      </c>
      <c r="T1485" s="26">
        <v>9</v>
      </c>
      <c r="U1485" s="26">
        <v>28</v>
      </c>
      <c r="V1485" s="26">
        <v>1</v>
      </c>
      <c r="W1485" s="26"/>
    </row>
    <row r="1486" spans="1:23" x14ac:dyDescent="0.25">
      <c r="A1486" s="26" t="str">
        <f t="shared" si="240"/>
        <v>PRIMARIA</v>
      </c>
      <c r="B1486" s="26" t="str">
        <f>"09DPR2788P"</f>
        <v>09DPR2788P</v>
      </c>
      <c r="C1486" s="26" t="str">
        <f>"REPUBLICA DE GHANA                                                                                  "</f>
        <v xml:space="preserve">REPUBLICA DE GHANA                                                                                  </v>
      </c>
      <c r="D1486" s="26" t="str">
        <f>"VESPERTINO"</f>
        <v>VESPERTINO</v>
      </c>
      <c r="E1486" s="26" t="str">
        <f>"ACATL CENTEOTL Y SANTA LUCIA S/N                                                "</f>
        <v xml:space="preserve">ACATL CENTEOTL Y SANTA LUCIA S/N                                                </v>
      </c>
      <c r="F1486" s="26" t="str">
        <f>"SANTA LUCIA                                                                                                                                 "</f>
        <v xml:space="preserve">SANTA LUCIA                                                                                                                                 </v>
      </c>
      <c r="G1486" s="26" t="str">
        <f>"AZCAPOTZALCO                                                                    "</f>
        <v xml:space="preserve">AZCAPOTZALCO                                                                    </v>
      </c>
      <c r="H1486" s="26" t="str">
        <f>"204"</f>
        <v>204</v>
      </c>
      <c r="I1486" s="26" t="str">
        <f t="shared" si="241"/>
        <v>00</v>
      </c>
      <c r="J1486" s="26" t="str">
        <f>"42 "</f>
        <v xml:space="preserve">42 </v>
      </c>
      <c r="K1486" s="26" t="str">
        <f t="shared" si="243"/>
        <v>PR</v>
      </c>
      <c r="L1486" s="26" t="str">
        <f t="shared" si="244"/>
        <v>DGOSE</v>
      </c>
      <c r="M1486" s="26" t="str">
        <f t="shared" si="242"/>
        <v>FEDERAL</v>
      </c>
      <c r="N1486" s="26">
        <v>59</v>
      </c>
      <c r="O1486" s="26">
        <v>36</v>
      </c>
      <c r="P1486" s="26">
        <v>23</v>
      </c>
      <c r="Q1486" s="26">
        <v>5</v>
      </c>
      <c r="R1486" s="26">
        <v>1</v>
      </c>
      <c r="S1486" s="26">
        <v>5</v>
      </c>
      <c r="T1486" s="26">
        <v>5</v>
      </c>
      <c r="U1486" s="26">
        <v>11</v>
      </c>
      <c r="V1486" s="26">
        <v>1</v>
      </c>
      <c r="W1486" s="26"/>
    </row>
    <row r="1487" spans="1:23" x14ac:dyDescent="0.25">
      <c r="A1487" s="26" t="str">
        <f t="shared" si="240"/>
        <v>PRIMARIA</v>
      </c>
      <c r="B1487" s="26" t="str">
        <f>"09DPR2790D"</f>
        <v>09DPR2790D</v>
      </c>
      <c r="C1487" s="26" t="str">
        <f>"PEDRO HENRIQUEZ UREÑA                                                                               "</f>
        <v xml:space="preserve">PEDRO HENRIQUEZ UREÑA                                                                               </v>
      </c>
      <c r="D1487" s="26" t="str">
        <f>"MATUTINO"</f>
        <v>MATUTINO</v>
      </c>
      <c r="E1487" s="26" t="str">
        <f>"AVENIDA ANDRES MOLINA ENRIQUEZ No 4433                                          "</f>
        <v xml:space="preserve">AVENIDA ANDRES MOLINA ENRIQUEZ No 4433                                          </v>
      </c>
      <c r="F1487" s="26" t="str">
        <f>"VIADUCTO PIEDAD                                                                                                                             "</f>
        <v xml:space="preserve">VIADUCTO PIEDAD                                                                                                                             </v>
      </c>
      <c r="G1487" s="26" t="str">
        <f>"IZTACALCO                                                                       "</f>
        <v xml:space="preserve">IZTACALCO                                                                       </v>
      </c>
      <c r="H1487" s="26" t="str">
        <f>"363"</f>
        <v>363</v>
      </c>
      <c r="I1487" s="26" t="str">
        <f t="shared" si="241"/>
        <v>00</v>
      </c>
      <c r="J1487" s="26" t="str">
        <f>"43 "</f>
        <v xml:space="preserve">43 </v>
      </c>
      <c r="K1487" s="26" t="str">
        <f t="shared" si="243"/>
        <v>PR</v>
      </c>
      <c r="L1487" s="26" t="str">
        <f t="shared" si="244"/>
        <v>DGOSE</v>
      </c>
      <c r="M1487" s="26" t="str">
        <f t="shared" si="242"/>
        <v>FEDERAL</v>
      </c>
      <c r="N1487" s="26">
        <v>445</v>
      </c>
      <c r="O1487" s="26">
        <v>205</v>
      </c>
      <c r="P1487" s="26">
        <v>240</v>
      </c>
      <c r="Q1487" s="26">
        <v>15</v>
      </c>
      <c r="R1487" s="26">
        <v>1</v>
      </c>
      <c r="S1487" s="26">
        <v>15</v>
      </c>
      <c r="T1487" s="26">
        <v>10</v>
      </c>
      <c r="U1487" s="26">
        <v>26</v>
      </c>
      <c r="V1487" s="26">
        <v>1</v>
      </c>
      <c r="W1487" s="26"/>
    </row>
    <row r="1488" spans="1:23" x14ac:dyDescent="0.25">
      <c r="A1488" s="26" t="str">
        <f t="shared" si="240"/>
        <v>PRIMARIA</v>
      </c>
      <c r="B1488" s="26" t="str">
        <f>"09DPR2792B"</f>
        <v>09DPR2792B</v>
      </c>
      <c r="C1488" s="26" t="str">
        <f>"DR. IGNACIO CHAVEZ                                                                                  "</f>
        <v xml:space="preserve">DR. IGNACIO CHAVEZ                                                                                  </v>
      </c>
      <c r="D1488" s="26" t="str">
        <f>"VESPERTINO"</f>
        <v>VESPERTINO</v>
      </c>
      <c r="E1488" s="26" t="str">
        <f>"FUERTE DE GUADALUPE NO. 24 AND. 1 Y 2                                           "</f>
        <v xml:space="preserve">FUERTE DE GUADALUPE NO. 24 AND. 1 Y 2                                           </v>
      </c>
      <c r="F1488" s="26" t="str">
        <f>"UNIDAD HABITACIONAL EJERCITO DE ORI                                                                                                         "</f>
        <v xml:space="preserve">UNIDAD HABITACIONAL EJERCITO DE ORI                                                                                                         </v>
      </c>
      <c r="G1488" s="26" t="str">
        <f>"IZTAPALAPA                                                                      "</f>
        <v xml:space="preserve">IZTAPALAPA                                                                      </v>
      </c>
      <c r="H1488" s="26" t="str">
        <f>"021"</f>
        <v>021</v>
      </c>
      <c r="I1488" s="26" t="str">
        <f t="shared" si="241"/>
        <v>00</v>
      </c>
      <c r="J1488" s="26" t="str">
        <f>"62 "</f>
        <v xml:space="preserve">62 </v>
      </c>
      <c r="K1488" s="26" t="str">
        <f>"IZ"</f>
        <v>IZ</v>
      </c>
      <c r="L1488" s="26" t="str">
        <f>"DGSEI"</f>
        <v>DGSEI</v>
      </c>
      <c r="M1488" s="26" t="str">
        <f t="shared" si="242"/>
        <v>FEDERAL</v>
      </c>
      <c r="N1488" s="26">
        <v>108</v>
      </c>
      <c r="O1488" s="26">
        <v>63</v>
      </c>
      <c r="P1488" s="26">
        <v>45</v>
      </c>
      <c r="Q1488" s="26">
        <v>5</v>
      </c>
      <c r="R1488" s="26">
        <v>1</v>
      </c>
      <c r="S1488" s="26">
        <v>5</v>
      </c>
      <c r="T1488" s="26">
        <v>2</v>
      </c>
      <c r="U1488" s="26">
        <v>8</v>
      </c>
      <c r="V1488" s="26">
        <v>1</v>
      </c>
      <c r="W1488" s="26"/>
    </row>
    <row r="1489" spans="1:23" x14ac:dyDescent="0.25">
      <c r="A1489" s="26" t="str">
        <f t="shared" si="240"/>
        <v>PRIMARIA</v>
      </c>
      <c r="B1489" s="26" t="str">
        <f>"09DPR2793A"</f>
        <v>09DPR2793A</v>
      </c>
      <c r="C1489" s="26" t="str">
        <f>"RABINDRANATH TAGORE                                                                                 "</f>
        <v xml:space="preserve">RABINDRANATH TAGORE                                                                                 </v>
      </c>
      <c r="D1489" s="26" t="str">
        <f>"MATUTINO"</f>
        <v>MATUTINO</v>
      </c>
      <c r="E1489" s="26" t="str">
        <f>"AVENIDA TICOMAN S/N                                                             "</f>
        <v xml:space="preserve">AVENIDA TICOMAN S/N                                                             </v>
      </c>
      <c r="F1489" s="26" t="str">
        <f>"LA LAGUNA TICOMAN                                                                                                                           "</f>
        <v xml:space="preserve">LA LAGUNA TICOMAN                                                                                                                           </v>
      </c>
      <c r="G1489" s="26" t="str">
        <f>"GUSTAVO A. MADERO                                                               "</f>
        <v xml:space="preserve">GUSTAVO A. MADERO                                                               </v>
      </c>
      <c r="H1489" s="26" t="str">
        <f>"237"</f>
        <v>237</v>
      </c>
      <c r="I1489" s="26" t="str">
        <f t="shared" si="241"/>
        <v>00</v>
      </c>
      <c r="J1489" s="26" t="str">
        <f>"42 "</f>
        <v xml:space="preserve">42 </v>
      </c>
      <c r="K1489" s="26" t="str">
        <f>"PR"</f>
        <v>PR</v>
      </c>
      <c r="L1489" s="26" t="str">
        <f>"DGOSE"</f>
        <v>DGOSE</v>
      </c>
      <c r="M1489" s="26" t="str">
        <f t="shared" si="242"/>
        <v>FEDERAL</v>
      </c>
      <c r="N1489" s="26">
        <v>545</v>
      </c>
      <c r="O1489" s="26">
        <v>262</v>
      </c>
      <c r="P1489" s="26">
        <v>283</v>
      </c>
      <c r="Q1489" s="26">
        <v>18</v>
      </c>
      <c r="R1489" s="26">
        <v>1</v>
      </c>
      <c r="S1489" s="26">
        <v>18</v>
      </c>
      <c r="T1489" s="26">
        <v>9</v>
      </c>
      <c r="U1489" s="26">
        <v>28</v>
      </c>
      <c r="V1489" s="26">
        <v>1</v>
      </c>
      <c r="W1489" s="26"/>
    </row>
    <row r="1490" spans="1:23" x14ac:dyDescent="0.25">
      <c r="A1490" s="26" t="str">
        <f t="shared" si="240"/>
        <v>PRIMARIA</v>
      </c>
      <c r="B1490" s="26" t="str">
        <f>"09DPR2795Z"</f>
        <v>09DPR2795Z</v>
      </c>
      <c r="C1490" s="26" t="str">
        <f>"JUAN RAMON JIMENEZ                                                                                  "</f>
        <v xml:space="preserve">JUAN RAMON JIMENEZ                                                                                  </v>
      </c>
      <c r="D1490" s="26" t="str">
        <f>"MATUTINO"</f>
        <v>MATUTINO</v>
      </c>
      <c r="E1490" s="26" t="str">
        <f>"CALLE 10 NO. 69                                                                 "</f>
        <v xml:space="preserve">CALLE 10 NO. 69                                                                 </v>
      </c>
      <c r="F1490" s="26" t="str">
        <f>"JOSE LOPEZ PORTILLO                                                                                                                         "</f>
        <v xml:space="preserve">JOSE LOPEZ PORTILLO                                                                                                                         </v>
      </c>
      <c r="G1490" s="26" t="str">
        <f>"IZTAPALAPA                                                                      "</f>
        <v xml:space="preserve">IZTAPALAPA                                                                      </v>
      </c>
      <c r="H1490" s="26" t="str">
        <f>"049"</f>
        <v>049</v>
      </c>
      <c r="I1490" s="26" t="str">
        <f t="shared" si="241"/>
        <v>00</v>
      </c>
      <c r="J1490" s="26" t="str">
        <f>"63 "</f>
        <v xml:space="preserve">63 </v>
      </c>
      <c r="K1490" s="26" t="str">
        <f>"IZ"</f>
        <v>IZ</v>
      </c>
      <c r="L1490" s="26" t="str">
        <f>"DGSEI"</f>
        <v>DGSEI</v>
      </c>
      <c r="M1490" s="26" t="str">
        <f t="shared" si="242"/>
        <v>FEDERAL</v>
      </c>
      <c r="N1490" s="26">
        <v>625</v>
      </c>
      <c r="O1490" s="26">
        <v>325</v>
      </c>
      <c r="P1490" s="26">
        <v>300</v>
      </c>
      <c r="Q1490" s="26">
        <v>18</v>
      </c>
      <c r="R1490" s="26">
        <v>1</v>
      </c>
      <c r="S1490" s="26">
        <v>17</v>
      </c>
      <c r="T1490" s="26">
        <v>7</v>
      </c>
      <c r="U1490" s="26">
        <v>25</v>
      </c>
      <c r="V1490" s="26">
        <v>1</v>
      </c>
      <c r="W1490" s="26"/>
    </row>
    <row r="1491" spans="1:23" x14ac:dyDescent="0.25">
      <c r="A1491" s="26" t="str">
        <f t="shared" si="240"/>
        <v>PRIMARIA</v>
      </c>
      <c r="B1491" s="26" t="str">
        <f>"09DPR2797X"</f>
        <v>09DPR2797X</v>
      </c>
      <c r="C1491" s="26" t="str">
        <f>"CIRILO CELIS PASTRANA                                                                               "</f>
        <v xml:space="preserve">CIRILO CELIS PASTRANA                                                                               </v>
      </c>
      <c r="D1491" s="26" t="str">
        <f>"MATUTINO"</f>
        <v>MATUTINO</v>
      </c>
      <c r="E1491" s="26" t="str">
        <f>"CANARIO Y FELIPE ANGELES S/N                                                    "</f>
        <v xml:space="preserve">CANARIO Y FELIPE ANGELES S/N                                                    </v>
      </c>
      <c r="F1491" s="26" t="str">
        <f>"BELLA VISTA                                                                                                                                 "</f>
        <v xml:space="preserve">BELLA VISTA                                                                                                                                 </v>
      </c>
      <c r="G1491" s="26" t="str">
        <f>"ALVARO OBREGON                                                                  "</f>
        <v xml:space="preserve">ALVARO OBREGON                                                                  </v>
      </c>
      <c r="H1491" s="26" t="str">
        <f>"308"</f>
        <v>308</v>
      </c>
      <c r="I1491" s="26" t="str">
        <f t="shared" si="241"/>
        <v>00</v>
      </c>
      <c r="J1491" s="26" t="str">
        <f>"43 "</f>
        <v xml:space="preserve">43 </v>
      </c>
      <c r="K1491" s="26" t="str">
        <f>"PR"</f>
        <v>PR</v>
      </c>
      <c r="L1491" s="26" t="str">
        <f>"DGOSE"</f>
        <v>DGOSE</v>
      </c>
      <c r="M1491" s="26" t="str">
        <f t="shared" si="242"/>
        <v>FEDERAL</v>
      </c>
      <c r="N1491" s="26">
        <v>257</v>
      </c>
      <c r="O1491" s="26">
        <v>126</v>
      </c>
      <c r="P1491" s="26">
        <v>131</v>
      </c>
      <c r="Q1491" s="26">
        <v>10</v>
      </c>
      <c r="R1491" s="26">
        <v>1</v>
      </c>
      <c r="S1491" s="26">
        <v>10</v>
      </c>
      <c r="T1491" s="26">
        <v>8</v>
      </c>
      <c r="U1491" s="26">
        <v>19</v>
      </c>
      <c r="V1491" s="26">
        <v>1</v>
      </c>
      <c r="W1491" s="26"/>
    </row>
    <row r="1492" spans="1:23" x14ac:dyDescent="0.25">
      <c r="A1492" s="26" t="str">
        <f t="shared" si="240"/>
        <v>PRIMARIA</v>
      </c>
      <c r="B1492" s="26" t="str">
        <f>"09DPR2799V"</f>
        <v>09DPR2799V</v>
      </c>
      <c r="C1492" s="26" t="str">
        <f>"JOSE ORTEGA Y GASSET                                                                                "</f>
        <v xml:space="preserve">JOSE ORTEGA Y GASSET                                                                                </v>
      </c>
      <c r="D1492" s="26" t="str">
        <f>"MATUTINO"</f>
        <v>MATUTINO</v>
      </c>
      <c r="E1492" s="26" t="str">
        <f>"MARIA ESTHER ZUNO DE ECHEVERRIA NO. 46                                          "</f>
        <v xml:space="preserve">MARIA ESTHER ZUNO DE ECHEVERRIA NO. 46                                          </v>
      </c>
      <c r="F1492" s="26" t="str">
        <f>"SANTIAGO ACAHUALTEPEC 2A AMPLIACION                                                                                                         "</f>
        <v xml:space="preserve">SANTIAGO ACAHUALTEPEC 2A AMPLIACION                                                                                                         </v>
      </c>
      <c r="G1492" s="26" t="str">
        <f>"IZTAPALAPA                                                                      "</f>
        <v xml:space="preserve">IZTAPALAPA                                                                      </v>
      </c>
      <c r="H1492" s="26" t="str">
        <f>"063"</f>
        <v>063</v>
      </c>
      <c r="I1492" s="26" t="str">
        <f t="shared" si="241"/>
        <v>00</v>
      </c>
      <c r="J1492" s="26" t="str">
        <f>"64 "</f>
        <v xml:space="preserve">64 </v>
      </c>
      <c r="K1492" s="26" t="str">
        <f>"IZ"</f>
        <v>IZ</v>
      </c>
      <c r="L1492" s="26" t="str">
        <f>"DGSEI"</f>
        <v>DGSEI</v>
      </c>
      <c r="M1492" s="26" t="str">
        <f t="shared" si="242"/>
        <v>FEDERAL</v>
      </c>
      <c r="N1492" s="26">
        <v>662</v>
      </c>
      <c r="O1492" s="26">
        <v>332</v>
      </c>
      <c r="P1492" s="26">
        <v>330</v>
      </c>
      <c r="Q1492" s="26">
        <v>17</v>
      </c>
      <c r="R1492" s="26">
        <v>1</v>
      </c>
      <c r="S1492" s="26">
        <v>17</v>
      </c>
      <c r="T1492" s="26">
        <v>8</v>
      </c>
      <c r="U1492" s="26">
        <v>26</v>
      </c>
      <c r="V1492" s="26">
        <v>1</v>
      </c>
      <c r="W1492" s="26"/>
    </row>
    <row r="1493" spans="1:23" x14ac:dyDescent="0.25">
      <c r="A1493" s="26" t="str">
        <f t="shared" si="240"/>
        <v>PRIMARIA</v>
      </c>
      <c r="B1493" s="26" t="str">
        <f>"09DPR2801T"</f>
        <v>09DPR2801T</v>
      </c>
      <c r="C1493" s="26" t="str">
        <f>"ISAAC NEWTON                                                                                        "</f>
        <v xml:space="preserve">ISAAC NEWTON                                                                                        </v>
      </c>
      <c r="D1493" s="26" t="str">
        <f>"VESPERTINO"</f>
        <v>VESPERTINO</v>
      </c>
      <c r="E1493" s="26" t="str">
        <f>"BATALLA DE CALVILLO S/N                                                         "</f>
        <v xml:space="preserve">BATALLA DE CALVILLO S/N                                                         </v>
      </c>
      <c r="F1493" s="26" t="str">
        <f>"ALVARO OBREGON FRACCIONAMIENTO                                                                                                              "</f>
        <v xml:space="preserve">ALVARO OBREGON FRACCIONAMIENTO                                                                                                              </v>
      </c>
      <c r="G1493" s="26" t="str">
        <f>"IZTAPALAPA                                                                      "</f>
        <v xml:space="preserve">IZTAPALAPA                                                                      </v>
      </c>
      <c r="H1493" s="26" t="str">
        <f>"019"</f>
        <v>019</v>
      </c>
      <c r="I1493" s="26" t="str">
        <f t="shared" si="241"/>
        <v>00</v>
      </c>
      <c r="J1493" s="26" t="str">
        <f>"62 "</f>
        <v xml:space="preserve">62 </v>
      </c>
      <c r="K1493" s="26" t="str">
        <f>"IZ"</f>
        <v>IZ</v>
      </c>
      <c r="L1493" s="26" t="str">
        <f>"DGSEI"</f>
        <v>DGSEI</v>
      </c>
      <c r="M1493" s="26" t="str">
        <f t="shared" si="242"/>
        <v>FEDERAL</v>
      </c>
      <c r="N1493" s="26">
        <v>337</v>
      </c>
      <c r="O1493" s="26">
        <v>169</v>
      </c>
      <c r="P1493" s="26">
        <v>168</v>
      </c>
      <c r="Q1493" s="26">
        <v>16</v>
      </c>
      <c r="R1493" s="26">
        <v>1</v>
      </c>
      <c r="S1493" s="26">
        <v>16</v>
      </c>
      <c r="T1493" s="26">
        <v>7</v>
      </c>
      <c r="U1493" s="26">
        <v>24</v>
      </c>
      <c r="V1493" s="26">
        <v>1</v>
      </c>
      <c r="W1493" s="26"/>
    </row>
    <row r="1494" spans="1:23" x14ac:dyDescent="0.25">
      <c r="A1494" s="26" t="str">
        <f t="shared" si="240"/>
        <v>PRIMARIA</v>
      </c>
      <c r="B1494" s="26" t="str">
        <f>"09DPR2802S"</f>
        <v>09DPR2802S</v>
      </c>
      <c r="C1494" s="26" t="str">
        <f>"PROFR. ELISEO BANDALA FERNANDEZ                                                                     "</f>
        <v xml:space="preserve">PROFR. ELISEO BANDALA FERNANDEZ                                                                     </v>
      </c>
      <c r="D1494" s="26" t="str">
        <f>"MATUTINO"</f>
        <v>MATUTINO</v>
      </c>
      <c r="E1494" s="26" t="str">
        <f>"CALLE 3 Y CIRCUNVALACION                                                        "</f>
        <v xml:space="preserve">CALLE 3 Y CIRCUNVALACION                                                        </v>
      </c>
      <c r="F1494" s="26" t="str">
        <f>"CUCHILLA PANTITLAN                                                                                                                          "</f>
        <v xml:space="preserve">CUCHILLA PANTITLAN                                                                                                                          </v>
      </c>
      <c r="G1494" s="26" t="str">
        <f>"VENUSTIANO CARRANZA                                                             "</f>
        <v xml:space="preserve">VENUSTIANO CARRANZA                                                             </v>
      </c>
      <c r="H1494" s="26" t="str">
        <f>"352"</f>
        <v>352</v>
      </c>
      <c r="I1494" s="26" t="str">
        <f t="shared" si="241"/>
        <v>00</v>
      </c>
      <c r="J1494" s="26" t="str">
        <f>"43 "</f>
        <v xml:space="preserve">43 </v>
      </c>
      <c r="K1494" s="26" t="str">
        <f>"PR"</f>
        <v>PR</v>
      </c>
      <c r="L1494" s="26" t="str">
        <f>"DGOSE"</f>
        <v>DGOSE</v>
      </c>
      <c r="M1494" s="26" t="str">
        <f t="shared" si="242"/>
        <v>FEDERAL</v>
      </c>
      <c r="N1494" s="26">
        <v>334</v>
      </c>
      <c r="O1494" s="26">
        <v>180</v>
      </c>
      <c r="P1494" s="26">
        <v>154</v>
      </c>
      <c r="Q1494" s="26">
        <v>14</v>
      </c>
      <c r="R1494" s="26">
        <v>1</v>
      </c>
      <c r="S1494" s="26">
        <v>13</v>
      </c>
      <c r="T1494" s="26">
        <v>6</v>
      </c>
      <c r="U1494" s="26">
        <v>20</v>
      </c>
      <c r="V1494" s="26">
        <v>1</v>
      </c>
      <c r="W1494" s="26"/>
    </row>
    <row r="1495" spans="1:23" x14ac:dyDescent="0.25">
      <c r="A1495" s="26" t="str">
        <f t="shared" si="240"/>
        <v>PRIMARIA</v>
      </c>
      <c r="B1495" s="26" t="str">
        <f>"09DPR2803R"</f>
        <v>09DPR2803R</v>
      </c>
      <c r="C1495" s="26" t="str">
        <f>"MARIA PATIÑO VDA DE OLMEDO                                                                          "</f>
        <v xml:space="preserve">MARIA PATIÑO VDA DE OLMEDO                                                                          </v>
      </c>
      <c r="D1495" s="26" t="str">
        <f>"JORNADA AMPLIADA"</f>
        <v>JORNADA AMPLIADA</v>
      </c>
      <c r="E1495" s="26" t="str">
        <f>"SAN PEDRO Y SAN AGUSTIN                                                         "</f>
        <v xml:space="preserve">SAN PEDRO Y SAN AGUSTIN                                                         </v>
      </c>
      <c r="F1495" s="26" t="str">
        <f>"OLIVAR DE LOS PADRES                                                                                                                        "</f>
        <v xml:space="preserve">OLIVAR DE LOS PADRES                                                                                                                        </v>
      </c>
      <c r="G1495" s="26" t="str">
        <f>"ALVARO OBREGON                                                                  "</f>
        <v xml:space="preserve">ALVARO OBREGON                                                                  </v>
      </c>
      <c r="H1495" s="26" t="str">
        <f>"406"</f>
        <v>406</v>
      </c>
      <c r="I1495" s="26" t="str">
        <f t="shared" si="241"/>
        <v>00</v>
      </c>
      <c r="J1495" s="26" t="str">
        <f>"44 "</f>
        <v xml:space="preserve">44 </v>
      </c>
      <c r="K1495" s="26" t="str">
        <f>"PR"</f>
        <v>PR</v>
      </c>
      <c r="L1495" s="26" t="str">
        <f>"DGOSE"</f>
        <v>DGOSE</v>
      </c>
      <c r="M1495" s="26" t="str">
        <f t="shared" si="242"/>
        <v>FEDERAL</v>
      </c>
      <c r="N1495" s="26">
        <v>367</v>
      </c>
      <c r="O1495" s="26">
        <v>185</v>
      </c>
      <c r="P1495" s="26">
        <v>182</v>
      </c>
      <c r="Q1495" s="26">
        <v>12</v>
      </c>
      <c r="R1495" s="26">
        <v>1</v>
      </c>
      <c r="S1495" s="26">
        <v>12</v>
      </c>
      <c r="T1495" s="26">
        <v>10</v>
      </c>
      <c r="U1495" s="26">
        <v>23</v>
      </c>
      <c r="V1495" s="26">
        <v>1</v>
      </c>
      <c r="W1495" s="26" t="s">
        <v>2076</v>
      </c>
    </row>
    <row r="1496" spans="1:23" x14ac:dyDescent="0.25">
      <c r="A1496" s="26" t="str">
        <f t="shared" si="240"/>
        <v>PRIMARIA</v>
      </c>
      <c r="B1496" s="26" t="str">
        <f>"09DPR2804Q"</f>
        <v>09DPR2804Q</v>
      </c>
      <c r="C1496" s="26" t="str">
        <f>"ISAAC NEWTON                                                                                        "</f>
        <v xml:space="preserve">ISAAC NEWTON                                                                                        </v>
      </c>
      <c r="D1496" s="26" t="str">
        <f>"MATUTINO"</f>
        <v>MATUTINO</v>
      </c>
      <c r="E1496" s="26" t="str">
        <f>"BATALLA DE CALVILLO S/N                                                         "</f>
        <v xml:space="preserve">BATALLA DE CALVILLO S/N                                                         </v>
      </c>
      <c r="F1496" s="26" t="str">
        <f>"ALVARO OBREGON FRACCIONAMIENTO                                                                                                              "</f>
        <v xml:space="preserve">ALVARO OBREGON FRACCIONAMIENTO                                                                                                              </v>
      </c>
      <c r="G1496" s="26" t="str">
        <f>"IZTAPALAPA                                                                      "</f>
        <v xml:space="preserve">IZTAPALAPA                                                                      </v>
      </c>
      <c r="H1496" s="26" t="str">
        <f>"019"</f>
        <v>019</v>
      </c>
      <c r="I1496" s="26" t="str">
        <f t="shared" si="241"/>
        <v>00</v>
      </c>
      <c r="J1496" s="26" t="str">
        <f>"62 "</f>
        <v xml:space="preserve">62 </v>
      </c>
      <c r="K1496" s="26" t="str">
        <f>"IZ"</f>
        <v>IZ</v>
      </c>
      <c r="L1496" s="26" t="str">
        <f>"DGSEI"</f>
        <v>DGSEI</v>
      </c>
      <c r="M1496" s="26" t="str">
        <f t="shared" si="242"/>
        <v>FEDERAL</v>
      </c>
      <c r="N1496" s="26">
        <v>544</v>
      </c>
      <c r="O1496" s="26">
        <v>275</v>
      </c>
      <c r="P1496" s="26">
        <v>269</v>
      </c>
      <c r="Q1496" s="26">
        <v>18</v>
      </c>
      <c r="R1496" s="26">
        <v>0</v>
      </c>
      <c r="S1496" s="26">
        <v>10</v>
      </c>
      <c r="T1496" s="26">
        <v>8</v>
      </c>
      <c r="U1496" s="26">
        <v>18</v>
      </c>
      <c r="V1496" s="26">
        <v>1</v>
      </c>
      <c r="W1496" s="26"/>
    </row>
    <row r="1497" spans="1:23" x14ac:dyDescent="0.25">
      <c r="A1497" s="26" t="str">
        <f t="shared" si="240"/>
        <v>PRIMARIA</v>
      </c>
      <c r="B1497" s="26" t="str">
        <f>"09DPR2805P"</f>
        <v>09DPR2805P</v>
      </c>
      <c r="C1497" s="26" t="str">
        <f>"ISIDRO FABELA                                                                                       "</f>
        <v xml:space="preserve">ISIDRO FABELA                                                                                       </v>
      </c>
      <c r="D1497" s="26" t="str">
        <f>"TIEMPO COMPLETO"</f>
        <v>TIEMPO COMPLETO</v>
      </c>
      <c r="E1497" s="26" t="str">
        <f>"CALZ. IGNACIO ZARAGOZA NO. 2300                                                 "</f>
        <v xml:space="preserve">CALZ. IGNACIO ZARAGOZA NO. 2300                                                 </v>
      </c>
      <c r="F1497" s="26" t="str">
        <f>"SAN LORENZO XICOTENCATL                                                                                                                     "</f>
        <v xml:space="preserve">SAN LORENZO XICOTENCATL                                                                                                                     </v>
      </c>
      <c r="G1497" s="26" t="str">
        <f>"IZTAPALAPA                                                                      "</f>
        <v xml:space="preserve">IZTAPALAPA                                                                      </v>
      </c>
      <c r="H1497" s="26" t="str">
        <f>"008"</f>
        <v>008</v>
      </c>
      <c r="I1497" s="26" t="str">
        <f t="shared" si="241"/>
        <v>00</v>
      </c>
      <c r="J1497" s="26" t="str">
        <f>"61 "</f>
        <v xml:space="preserve">61 </v>
      </c>
      <c r="K1497" s="26" t="str">
        <f>"IZ"</f>
        <v>IZ</v>
      </c>
      <c r="L1497" s="26" t="str">
        <f>"DGSEI"</f>
        <v>DGSEI</v>
      </c>
      <c r="M1497" s="26" t="str">
        <f t="shared" si="242"/>
        <v>FEDERAL</v>
      </c>
      <c r="N1497" s="26">
        <v>494</v>
      </c>
      <c r="O1497" s="26">
        <v>253</v>
      </c>
      <c r="P1497" s="26">
        <v>241</v>
      </c>
      <c r="Q1497" s="26">
        <v>14</v>
      </c>
      <c r="R1497" s="26">
        <v>0</v>
      </c>
      <c r="S1497" s="26">
        <v>13</v>
      </c>
      <c r="T1497" s="26">
        <v>12</v>
      </c>
      <c r="U1497" s="26">
        <v>25</v>
      </c>
      <c r="V1497" s="26">
        <v>1</v>
      </c>
      <c r="W1497" s="26" t="s">
        <v>218</v>
      </c>
    </row>
    <row r="1498" spans="1:23" x14ac:dyDescent="0.25">
      <c r="A1498" s="26" t="str">
        <f t="shared" si="240"/>
        <v>PRIMARIA</v>
      </c>
      <c r="B1498" s="26" t="str">
        <f>"09DPR2806O"</f>
        <v>09DPR2806O</v>
      </c>
      <c r="C1498" s="26" t="str">
        <f>"LIC. JOSE MA. LAFRAGUA                                                                              "</f>
        <v xml:space="preserve">LIC. JOSE MA. LAFRAGUA                                                                              </v>
      </c>
      <c r="D1498" s="26" t="str">
        <f>"VESPERTINO"</f>
        <v>VESPERTINO</v>
      </c>
      <c r="E1498" s="26" t="str">
        <f>"IGNACIO ALLENDE NO. 77                                                          "</f>
        <v xml:space="preserve">IGNACIO ALLENDE NO. 77                                                          </v>
      </c>
      <c r="F1498" s="26" t="str">
        <f>"PARAJE ZACATEPEC                                                                                                                            "</f>
        <v xml:space="preserve">PARAJE ZACATEPEC                                                                                                                            </v>
      </c>
      <c r="G1498" s="26" t="str">
        <f>"IZTAPALAPA                                                                      "</f>
        <v xml:space="preserve">IZTAPALAPA                                                                      </v>
      </c>
      <c r="H1498" s="26" t="str">
        <f>"025"</f>
        <v>025</v>
      </c>
      <c r="I1498" s="26" t="str">
        <f t="shared" si="241"/>
        <v>00</v>
      </c>
      <c r="J1498" s="26" t="str">
        <f>"62 "</f>
        <v xml:space="preserve">62 </v>
      </c>
      <c r="K1498" s="26" t="str">
        <f>"IZ"</f>
        <v>IZ</v>
      </c>
      <c r="L1498" s="26" t="str">
        <f>"DGSEI"</f>
        <v>DGSEI</v>
      </c>
      <c r="M1498" s="26" t="str">
        <f t="shared" si="242"/>
        <v>FEDERAL</v>
      </c>
      <c r="N1498" s="26">
        <v>311</v>
      </c>
      <c r="O1498" s="26">
        <v>178</v>
      </c>
      <c r="P1498" s="26">
        <v>133</v>
      </c>
      <c r="Q1498" s="26">
        <v>15</v>
      </c>
      <c r="R1498" s="26">
        <v>1</v>
      </c>
      <c r="S1498" s="26">
        <v>15</v>
      </c>
      <c r="T1498" s="26">
        <v>8</v>
      </c>
      <c r="U1498" s="26">
        <v>24</v>
      </c>
      <c r="V1498" s="26">
        <v>1</v>
      </c>
      <c r="W1498" s="26"/>
    </row>
    <row r="1499" spans="1:23" x14ac:dyDescent="0.25">
      <c r="A1499" s="26" t="str">
        <f t="shared" si="240"/>
        <v>PRIMARIA</v>
      </c>
      <c r="B1499" s="26" t="str">
        <f>"09DPR2807N"</f>
        <v>09DPR2807N</v>
      </c>
      <c r="C1499" s="26" t="str">
        <f>"ARTURO ROSENBLUETH                                                                                  "</f>
        <v xml:space="preserve">ARTURO ROSENBLUETH                                                                                  </v>
      </c>
      <c r="D1499" s="26" t="str">
        <f>"VESPERTINO"</f>
        <v>VESPERTINO</v>
      </c>
      <c r="E1499" s="26" t="str">
        <f>"MATAMOROS NO. 1                                                                 "</f>
        <v xml:space="preserve">MATAMOROS NO. 1                                                                 </v>
      </c>
      <c r="F1499" s="26" t="str">
        <f>"LOMAS DE ZARAGOZA                                                                                                                           "</f>
        <v xml:space="preserve">LOMAS DE ZARAGOZA                                                                                                                           </v>
      </c>
      <c r="G1499" s="26" t="str">
        <f>"IZTAPALAPA                                                                      "</f>
        <v xml:space="preserve">IZTAPALAPA                                                                      </v>
      </c>
      <c r="H1499" s="26" t="str">
        <f>"065"</f>
        <v>065</v>
      </c>
      <c r="I1499" s="26" t="str">
        <f t="shared" si="241"/>
        <v>00</v>
      </c>
      <c r="J1499" s="26" t="str">
        <f>"64 "</f>
        <v xml:space="preserve">64 </v>
      </c>
      <c r="K1499" s="26" t="str">
        <f>"IZ"</f>
        <v>IZ</v>
      </c>
      <c r="L1499" s="26" t="str">
        <f>"DGSEI"</f>
        <v>DGSEI</v>
      </c>
      <c r="M1499" s="26" t="str">
        <f t="shared" si="242"/>
        <v>FEDERAL</v>
      </c>
      <c r="N1499" s="26">
        <v>554</v>
      </c>
      <c r="O1499" s="26">
        <v>289</v>
      </c>
      <c r="P1499" s="26">
        <v>265</v>
      </c>
      <c r="Q1499" s="26">
        <v>19</v>
      </c>
      <c r="R1499" s="26">
        <v>1</v>
      </c>
      <c r="S1499" s="26">
        <v>18</v>
      </c>
      <c r="T1499" s="26">
        <v>7</v>
      </c>
      <c r="U1499" s="26">
        <v>26</v>
      </c>
      <c r="V1499" s="26">
        <v>1</v>
      </c>
      <c r="W1499" s="26"/>
    </row>
    <row r="1500" spans="1:23" x14ac:dyDescent="0.25">
      <c r="A1500" s="26" t="str">
        <f t="shared" si="240"/>
        <v>PRIMARIA</v>
      </c>
      <c r="B1500" s="26" t="str">
        <f>"09DPR2808M"</f>
        <v>09DPR2808M</v>
      </c>
      <c r="C1500" s="26" t="str">
        <f>"GRAL. HERMINIO CHAVARRIA                                                                            "</f>
        <v xml:space="preserve">GRAL. HERMINIO CHAVARRIA                                                                            </v>
      </c>
      <c r="D1500" s="26" t="str">
        <f>"VESPERTINO"</f>
        <v>VESPERTINO</v>
      </c>
      <c r="E1500" s="26" t="str">
        <f>"VENUSTIANO CARRANZA NO. 34                                                      "</f>
        <v xml:space="preserve">VENUSTIANO CARRANZA NO. 34                                                      </v>
      </c>
      <c r="F1500" s="26" t="str">
        <f>"SANTA MARIA AZTAHUACAN ZONA URBANA                                                                                                          "</f>
        <v xml:space="preserve">SANTA MARIA AZTAHUACAN ZONA URBANA                                                                                                          </v>
      </c>
      <c r="G1500" s="26" t="str">
        <f>"IZTAPALAPA                                                                      "</f>
        <v xml:space="preserve">IZTAPALAPA                                                                      </v>
      </c>
      <c r="H1500" s="26" t="str">
        <f>"059"</f>
        <v>059</v>
      </c>
      <c r="I1500" s="26" t="str">
        <f t="shared" si="241"/>
        <v>00</v>
      </c>
      <c r="J1500" s="26" t="str">
        <f>"64 "</f>
        <v xml:space="preserve">64 </v>
      </c>
      <c r="K1500" s="26" t="str">
        <f>"IZ"</f>
        <v>IZ</v>
      </c>
      <c r="L1500" s="26" t="str">
        <f>"DGSEI"</f>
        <v>DGSEI</v>
      </c>
      <c r="M1500" s="26" t="str">
        <f t="shared" si="242"/>
        <v>FEDERAL</v>
      </c>
      <c r="N1500" s="26">
        <v>623</v>
      </c>
      <c r="O1500" s="26">
        <v>326</v>
      </c>
      <c r="P1500" s="26">
        <v>297</v>
      </c>
      <c r="Q1500" s="26">
        <v>20</v>
      </c>
      <c r="R1500" s="26">
        <v>1</v>
      </c>
      <c r="S1500" s="26">
        <v>20</v>
      </c>
      <c r="T1500" s="26">
        <v>7</v>
      </c>
      <c r="U1500" s="26">
        <v>28</v>
      </c>
      <c r="V1500" s="26">
        <v>1</v>
      </c>
      <c r="W1500" s="26"/>
    </row>
    <row r="1501" spans="1:23" x14ac:dyDescent="0.25">
      <c r="A1501" s="26" t="str">
        <f t="shared" si="240"/>
        <v>PRIMARIA</v>
      </c>
      <c r="B1501" s="26" t="str">
        <f>"09DPR2809L"</f>
        <v>09DPR2809L</v>
      </c>
      <c r="C1501" s="26" t="str">
        <f>"LIC. EMILIO PORTES GIL                                                                              "</f>
        <v xml:space="preserve">LIC. EMILIO PORTES GIL                                                                              </v>
      </c>
      <c r="D1501" s="26" t="str">
        <f>"VESPERTINO"</f>
        <v>VESPERTINO</v>
      </c>
      <c r="E1501" s="26" t="str">
        <f>"COYAMEL NO 178                                                                  "</f>
        <v xml:space="preserve">COYAMEL NO 178                                                                  </v>
      </c>
      <c r="F1501" s="26" t="str">
        <f>"PEDREGAL DE SANTO DOMINGO                                                                                                                   "</f>
        <v xml:space="preserve">PEDREGAL DE SANTO DOMINGO                                                                                                                   </v>
      </c>
      <c r="G1501" s="26" t="str">
        <f>"COYOACAN                                                                        "</f>
        <v xml:space="preserve">COYOACAN                                                                        </v>
      </c>
      <c r="H1501" s="26" t="str">
        <f>"500"</f>
        <v>500</v>
      </c>
      <c r="I1501" s="26" t="str">
        <f t="shared" si="241"/>
        <v>00</v>
      </c>
      <c r="J1501" s="26" t="str">
        <f>"45 "</f>
        <v xml:space="preserve">45 </v>
      </c>
      <c r="K1501" s="26" t="str">
        <f>"PR"</f>
        <v>PR</v>
      </c>
      <c r="L1501" s="26" t="str">
        <f>"DGOSE"</f>
        <v>DGOSE</v>
      </c>
      <c r="M1501" s="26" t="str">
        <f t="shared" si="242"/>
        <v>FEDERAL</v>
      </c>
      <c r="N1501" s="26">
        <v>116</v>
      </c>
      <c r="O1501" s="26">
        <v>60</v>
      </c>
      <c r="P1501" s="26">
        <v>56</v>
      </c>
      <c r="Q1501" s="26">
        <v>6</v>
      </c>
      <c r="R1501" s="26">
        <v>1</v>
      </c>
      <c r="S1501" s="26">
        <v>6</v>
      </c>
      <c r="T1501" s="26">
        <v>4</v>
      </c>
      <c r="U1501" s="26">
        <v>11</v>
      </c>
      <c r="V1501" s="26">
        <v>1</v>
      </c>
      <c r="W1501" s="26"/>
    </row>
    <row r="1502" spans="1:23" x14ac:dyDescent="0.25">
      <c r="A1502" s="26" t="str">
        <f t="shared" si="240"/>
        <v>PRIMARIA</v>
      </c>
      <c r="B1502" s="26" t="str">
        <f>"09DPR2810A"</f>
        <v>09DPR2810A</v>
      </c>
      <c r="C1502" s="26" t="str">
        <f>"ERNESTO GARCIA CABRAL                                                                               "</f>
        <v xml:space="preserve">ERNESTO GARCIA CABRAL                                                                               </v>
      </c>
      <c r="D1502" s="26" t="str">
        <f>"VESPERTINO"</f>
        <v>VESPERTINO</v>
      </c>
      <c r="E1502" s="26" t="str">
        <f>"AGUSTIN DE COLOMBO NO. 1                                                        "</f>
        <v xml:space="preserve">AGUSTIN DE COLOMBO NO. 1                                                        </v>
      </c>
      <c r="F1502" s="26" t="str">
        <f>"FUEGO NUEVO                                                                                                                                 "</f>
        <v xml:space="preserve">FUEGO NUEVO                                                                                                                                 </v>
      </c>
      <c r="G1502" s="26" t="str">
        <f>"IZTAPALAPA                                                                      "</f>
        <v xml:space="preserve">IZTAPALAPA                                                                      </v>
      </c>
      <c r="H1502" s="26" t="str">
        <f>"040"</f>
        <v>040</v>
      </c>
      <c r="I1502" s="26" t="str">
        <f t="shared" si="241"/>
        <v>00</v>
      </c>
      <c r="J1502" s="26" t="str">
        <f>"63 "</f>
        <v xml:space="preserve">63 </v>
      </c>
      <c r="K1502" s="26" t="str">
        <f>"IZ"</f>
        <v>IZ</v>
      </c>
      <c r="L1502" s="26" t="str">
        <f>"DGSEI"</f>
        <v>DGSEI</v>
      </c>
      <c r="M1502" s="26" t="str">
        <f t="shared" si="242"/>
        <v>FEDERAL</v>
      </c>
      <c r="N1502" s="26">
        <v>233</v>
      </c>
      <c r="O1502" s="26">
        <v>121</v>
      </c>
      <c r="P1502" s="26">
        <v>112</v>
      </c>
      <c r="Q1502" s="26">
        <v>13</v>
      </c>
      <c r="R1502" s="26">
        <v>1</v>
      </c>
      <c r="S1502" s="26">
        <v>13</v>
      </c>
      <c r="T1502" s="26">
        <v>6</v>
      </c>
      <c r="U1502" s="26">
        <v>20</v>
      </c>
      <c r="V1502" s="26">
        <v>1</v>
      </c>
      <c r="W1502" s="26"/>
    </row>
    <row r="1503" spans="1:23" x14ac:dyDescent="0.25">
      <c r="A1503" s="26" t="str">
        <f t="shared" si="240"/>
        <v>PRIMARIA</v>
      </c>
      <c r="B1503" s="26" t="str">
        <f>"09DPR2811Z"</f>
        <v>09DPR2811Z</v>
      </c>
      <c r="C1503" s="26" t="str">
        <f>"REPUBLICA FRANCESA                                                                                  "</f>
        <v xml:space="preserve">REPUBLICA FRANCESA                                                                                  </v>
      </c>
      <c r="D1503" s="26" t="str">
        <f>"JORNADA AMPLIADA"</f>
        <v>JORNADA AMPLIADA</v>
      </c>
      <c r="E1503" s="26" t="str">
        <f>"MADERO Y CDA DE CORTES S/N                                                      "</f>
        <v xml:space="preserve">MADERO Y CDA DE CORTES S/N                                                      </v>
      </c>
      <c r="F1503" s="26" t="str">
        <f>"TLACOPAC                                                                                                                                    "</f>
        <v xml:space="preserve">TLACOPAC                                                                                                                                    </v>
      </c>
      <c r="G1503" s="26" t="str">
        <f>"ALVARO OBREGON                                                                  "</f>
        <v xml:space="preserve">ALVARO OBREGON                                                                  </v>
      </c>
      <c r="H1503" s="26" t="str">
        <f>"404"</f>
        <v>404</v>
      </c>
      <c r="I1503" s="26" t="str">
        <f t="shared" si="241"/>
        <v>00</v>
      </c>
      <c r="J1503" s="26" t="str">
        <f>"44 "</f>
        <v xml:space="preserve">44 </v>
      </c>
      <c r="K1503" s="26" t="str">
        <f>"PR"</f>
        <v>PR</v>
      </c>
      <c r="L1503" s="26" t="str">
        <f>"DGOSE"</f>
        <v>DGOSE</v>
      </c>
      <c r="M1503" s="26" t="str">
        <f t="shared" si="242"/>
        <v>FEDERAL</v>
      </c>
      <c r="N1503" s="26">
        <v>392</v>
      </c>
      <c r="O1503" s="26">
        <v>183</v>
      </c>
      <c r="P1503" s="26">
        <v>209</v>
      </c>
      <c r="Q1503" s="26">
        <v>11</v>
      </c>
      <c r="R1503" s="26">
        <v>1</v>
      </c>
      <c r="S1503" s="26">
        <v>10</v>
      </c>
      <c r="T1503" s="26">
        <v>8</v>
      </c>
      <c r="U1503" s="26">
        <v>19</v>
      </c>
      <c r="V1503" s="26">
        <v>1</v>
      </c>
      <c r="W1503" s="26" t="s">
        <v>2076</v>
      </c>
    </row>
    <row r="1504" spans="1:23" x14ac:dyDescent="0.25">
      <c r="A1504" s="26" t="str">
        <f t="shared" si="240"/>
        <v>PRIMARIA</v>
      </c>
      <c r="B1504" s="26" t="str">
        <f>"09DPR2813Y"</f>
        <v>09DPR2813Y</v>
      </c>
      <c r="C1504" s="26" t="str">
        <f>"CANADA                                                                                              "</f>
        <v xml:space="preserve">CANADA                                                                                              </v>
      </c>
      <c r="D1504" s="26" t="str">
        <f>"VESPERTINO"</f>
        <v>VESPERTINO</v>
      </c>
      <c r="E1504" s="26" t="str">
        <f>"ORIENTE 120 No.2870                                                             "</f>
        <v xml:space="preserve">ORIENTE 120 No.2870                                                             </v>
      </c>
      <c r="F1504" s="26" t="str">
        <f>"GABRIEL RAMOS MILLAN AMPLIACION                                                                                                             "</f>
        <v xml:space="preserve">GABRIEL RAMOS MILLAN AMPLIACION                                                                                                             </v>
      </c>
      <c r="G1504" s="26" t="str">
        <f>"IZTACALCO                                                                       "</f>
        <v xml:space="preserve">IZTACALCO                                                                       </v>
      </c>
      <c r="H1504" s="26" t="str">
        <f>"358"</f>
        <v>358</v>
      </c>
      <c r="I1504" s="26" t="str">
        <f t="shared" si="241"/>
        <v>00</v>
      </c>
      <c r="J1504" s="26" t="str">
        <f>"43 "</f>
        <v xml:space="preserve">43 </v>
      </c>
      <c r="K1504" s="26" t="str">
        <f>"PR"</f>
        <v>PR</v>
      </c>
      <c r="L1504" s="26" t="str">
        <f>"DGOSE"</f>
        <v>DGOSE</v>
      </c>
      <c r="M1504" s="26" t="str">
        <f t="shared" si="242"/>
        <v>FEDERAL</v>
      </c>
      <c r="N1504" s="26">
        <v>100</v>
      </c>
      <c r="O1504" s="26">
        <v>53</v>
      </c>
      <c r="P1504" s="26">
        <v>47</v>
      </c>
      <c r="Q1504" s="26">
        <v>6</v>
      </c>
      <c r="R1504" s="26">
        <v>1</v>
      </c>
      <c r="S1504" s="26">
        <v>6</v>
      </c>
      <c r="T1504" s="26">
        <v>6</v>
      </c>
      <c r="U1504" s="26">
        <v>13</v>
      </c>
      <c r="V1504" s="26">
        <v>1</v>
      </c>
      <c r="W1504" s="26"/>
    </row>
    <row r="1505" spans="1:23" x14ac:dyDescent="0.25">
      <c r="A1505" s="26" t="str">
        <f t="shared" si="240"/>
        <v>PRIMARIA</v>
      </c>
      <c r="B1505" s="26" t="str">
        <f>"09DPR2816V"</f>
        <v>09DPR2816V</v>
      </c>
      <c r="C1505" s="26" t="str">
        <f>"ESTADO DE QUERÉTARO                                                                                 "</f>
        <v xml:space="preserve">ESTADO DE QUERÉTARO                                                                                 </v>
      </c>
      <c r="D1505" s="26" t="str">
        <f>"TIEMPO COMPLETO"</f>
        <v>TIEMPO COMPLETO</v>
      </c>
      <c r="E1505" s="26" t="str">
        <f>"AV SANTA URSULA NO 22                                                           "</f>
        <v xml:space="preserve">AV SANTA URSULA NO 22                                                           </v>
      </c>
      <c r="F1505" s="26" t="str">
        <f>"SANTA URSULA XITLA                                                                                                                          "</f>
        <v xml:space="preserve">SANTA URSULA XITLA                                                                                                                          </v>
      </c>
      <c r="G1505" s="26" t="str">
        <f>"TLALPAN                                                                         "</f>
        <v xml:space="preserve">TLALPAN                                                                         </v>
      </c>
      <c r="H1505" s="26" t="str">
        <f>"444"</f>
        <v>444</v>
      </c>
      <c r="I1505" s="26" t="str">
        <f t="shared" si="241"/>
        <v>00</v>
      </c>
      <c r="J1505" s="26" t="str">
        <f>"44 "</f>
        <v xml:space="preserve">44 </v>
      </c>
      <c r="K1505" s="26" t="str">
        <f>"PR"</f>
        <v>PR</v>
      </c>
      <c r="L1505" s="26" t="str">
        <f>"DGOSE"</f>
        <v>DGOSE</v>
      </c>
      <c r="M1505" s="26" t="str">
        <f t="shared" si="242"/>
        <v>FEDERAL</v>
      </c>
      <c r="N1505" s="26">
        <v>550</v>
      </c>
      <c r="O1505" s="26">
        <v>262</v>
      </c>
      <c r="P1505" s="26">
        <v>288</v>
      </c>
      <c r="Q1505" s="26">
        <v>17</v>
      </c>
      <c r="R1505" s="26">
        <v>1</v>
      </c>
      <c r="S1505" s="26">
        <v>15</v>
      </c>
      <c r="T1505" s="26">
        <v>13</v>
      </c>
      <c r="U1505" s="26">
        <v>29</v>
      </c>
      <c r="V1505" s="26">
        <v>1</v>
      </c>
      <c r="W1505" s="26" t="s">
        <v>218</v>
      </c>
    </row>
    <row r="1506" spans="1:23" x14ac:dyDescent="0.25">
      <c r="A1506" s="26" t="str">
        <f t="shared" si="240"/>
        <v>PRIMARIA</v>
      </c>
      <c r="B1506" s="26" t="str">
        <f>"09DPR2817U"</f>
        <v>09DPR2817U</v>
      </c>
      <c r="C1506" s="26" t="str">
        <f>"PROFR. JOSE ROMERO Y FUENTES                                                                        "</f>
        <v xml:space="preserve">PROFR. JOSE ROMERO Y FUENTES                                                                        </v>
      </c>
      <c r="D1506" s="26" t="str">
        <f>"MATUTINO"</f>
        <v>MATUTINO</v>
      </c>
      <c r="E1506" s="26" t="str">
        <f>"LAS FLORES NUM. 37                                                              "</f>
        <v xml:space="preserve">LAS FLORES NUM. 37                                                              </v>
      </c>
      <c r="F1506" s="26" t="str">
        <f>"LOMAS SAN LORENZO                                                                                                                           "</f>
        <v xml:space="preserve">LOMAS SAN LORENZO                                                                                                                           </v>
      </c>
      <c r="G1506" s="26" t="str">
        <f>"IZTAPALAPA                                                                      "</f>
        <v xml:space="preserve">IZTAPALAPA                                                                      </v>
      </c>
      <c r="H1506" s="26" t="str">
        <f>"047"</f>
        <v>047</v>
      </c>
      <c r="I1506" s="26" t="str">
        <f t="shared" si="241"/>
        <v>00</v>
      </c>
      <c r="J1506" s="26" t="str">
        <f>"63 "</f>
        <v xml:space="preserve">63 </v>
      </c>
      <c r="K1506" s="26" t="str">
        <f>"IZ"</f>
        <v>IZ</v>
      </c>
      <c r="L1506" s="26" t="str">
        <f>"DGSEI"</f>
        <v>DGSEI</v>
      </c>
      <c r="M1506" s="26" t="str">
        <f t="shared" si="242"/>
        <v>FEDERAL</v>
      </c>
      <c r="N1506" s="26">
        <v>599</v>
      </c>
      <c r="O1506" s="26">
        <v>294</v>
      </c>
      <c r="P1506" s="26">
        <v>305</v>
      </c>
      <c r="Q1506" s="26">
        <v>34</v>
      </c>
      <c r="R1506" s="26">
        <v>2</v>
      </c>
      <c r="S1506" s="26">
        <v>34</v>
      </c>
      <c r="T1506" s="26">
        <v>16</v>
      </c>
      <c r="U1506" s="26">
        <v>52</v>
      </c>
      <c r="V1506" s="26">
        <v>1</v>
      </c>
      <c r="W1506" s="26"/>
    </row>
    <row r="1507" spans="1:23" x14ac:dyDescent="0.25">
      <c r="A1507" s="26" t="str">
        <f t="shared" si="240"/>
        <v>PRIMARIA</v>
      </c>
      <c r="B1507" s="26" t="str">
        <f>"09DPR2818T"</f>
        <v>09DPR2818T</v>
      </c>
      <c r="C1507" s="26" t="str">
        <f>"CORONEL ADALBERTO TEJEDA                                                                            "</f>
        <v xml:space="preserve">CORONEL ADALBERTO TEJEDA                                                                            </v>
      </c>
      <c r="D1507" s="26" t="str">
        <f>"VESPERTINO"</f>
        <v>VESPERTINO</v>
      </c>
      <c r="E1507" s="26" t="str">
        <f>"CALLE CENTRAL Y RIO TLALNEPANTLA S/N                                            "</f>
        <v xml:space="preserve">CALLE CENTRAL Y RIO TLALNEPANTLA S/N                                            </v>
      </c>
      <c r="F1507" s="26" t="str">
        <f>"SAN JOSE DE LA ESCALERA                                                                                                                     "</f>
        <v xml:space="preserve">SAN JOSE DE LA ESCALERA                                                                                                                     </v>
      </c>
      <c r="G1507" s="26" t="str">
        <f>"GUSTAVO A. MADERO                                                               "</f>
        <v xml:space="preserve">GUSTAVO A. MADERO                                                               </v>
      </c>
      <c r="H1507" s="26" t="str">
        <f>"238"</f>
        <v>238</v>
      </c>
      <c r="I1507" s="26" t="str">
        <f t="shared" si="241"/>
        <v>00</v>
      </c>
      <c r="J1507" s="26" t="str">
        <f>"42 "</f>
        <v xml:space="preserve">42 </v>
      </c>
      <c r="K1507" s="26" t="str">
        <f>"PR"</f>
        <v>PR</v>
      </c>
      <c r="L1507" s="26" t="str">
        <f>"DGOSE"</f>
        <v>DGOSE</v>
      </c>
      <c r="M1507" s="26" t="str">
        <f t="shared" si="242"/>
        <v>FEDERAL</v>
      </c>
      <c r="N1507" s="26">
        <v>86</v>
      </c>
      <c r="O1507" s="26">
        <v>39</v>
      </c>
      <c r="P1507" s="26">
        <v>47</v>
      </c>
      <c r="Q1507" s="26">
        <v>6</v>
      </c>
      <c r="R1507" s="26">
        <v>1</v>
      </c>
      <c r="S1507" s="26">
        <v>6</v>
      </c>
      <c r="T1507" s="26">
        <v>7</v>
      </c>
      <c r="U1507" s="26">
        <v>14</v>
      </c>
      <c r="V1507" s="26">
        <v>1</v>
      </c>
      <c r="W1507" s="26"/>
    </row>
    <row r="1508" spans="1:23" x14ac:dyDescent="0.25">
      <c r="A1508" s="26" t="str">
        <f t="shared" si="240"/>
        <v>PRIMARIA</v>
      </c>
      <c r="B1508" s="26" t="str">
        <f>"09DPR2820H"</f>
        <v>09DPR2820H</v>
      </c>
      <c r="C1508" s="26" t="str">
        <f>"REPUBLICA DE ARGELIA                                                                                "</f>
        <v xml:space="preserve">REPUBLICA DE ARGELIA                                                                                </v>
      </c>
      <c r="D1508" s="26" t="str">
        <f>"VESPERTINO"</f>
        <v>VESPERTINO</v>
      </c>
      <c r="E1508" s="26" t="str">
        <f>"AVENIDA APATLACO SIN NUMERO                                                     "</f>
        <v xml:space="preserve">AVENIDA APATLACO SIN NUMERO                                                     </v>
      </c>
      <c r="F1508" s="26" t="str">
        <f>"CAMPAMENTO 2 DE OCTUBRE                                                                                                                     "</f>
        <v xml:space="preserve">CAMPAMENTO 2 DE OCTUBRE                                                                                                                     </v>
      </c>
      <c r="G1508" s="26" t="str">
        <f>"IZTACALCO                                                                       "</f>
        <v xml:space="preserve">IZTACALCO                                                                       </v>
      </c>
      <c r="H1508" s="26" t="str">
        <f>"360"</f>
        <v>360</v>
      </c>
      <c r="I1508" s="26" t="str">
        <f t="shared" si="241"/>
        <v>00</v>
      </c>
      <c r="J1508" s="26" t="str">
        <f>"43 "</f>
        <v xml:space="preserve">43 </v>
      </c>
      <c r="K1508" s="26" t="str">
        <f>"PR"</f>
        <v>PR</v>
      </c>
      <c r="L1508" s="26" t="str">
        <f>"DGOSE"</f>
        <v>DGOSE</v>
      </c>
      <c r="M1508" s="26" t="str">
        <f t="shared" si="242"/>
        <v>FEDERAL</v>
      </c>
      <c r="N1508" s="26">
        <v>121</v>
      </c>
      <c r="O1508" s="26">
        <v>71</v>
      </c>
      <c r="P1508" s="26">
        <v>50</v>
      </c>
      <c r="Q1508" s="26">
        <v>6</v>
      </c>
      <c r="R1508" s="26">
        <v>1</v>
      </c>
      <c r="S1508" s="26">
        <v>6</v>
      </c>
      <c r="T1508" s="26">
        <v>4</v>
      </c>
      <c r="U1508" s="26">
        <v>11</v>
      </c>
      <c r="V1508" s="26">
        <v>1</v>
      </c>
      <c r="W1508" s="26"/>
    </row>
    <row r="1509" spans="1:23" x14ac:dyDescent="0.25">
      <c r="A1509" s="26" t="str">
        <f t="shared" si="240"/>
        <v>PRIMARIA</v>
      </c>
      <c r="B1509" s="26" t="str">
        <f>"09DPR2821G"</f>
        <v>09DPR2821G</v>
      </c>
      <c r="C1509" s="26" t="str">
        <f>"JUAN RAMON JIMENEZ                                                                                  "</f>
        <v xml:space="preserve">JUAN RAMON JIMENEZ                                                                                  </v>
      </c>
      <c r="D1509" s="26" t="str">
        <f>"VESPERTINO"</f>
        <v>VESPERTINO</v>
      </c>
      <c r="E1509" s="26" t="str">
        <f>"CALLE 10 NO. 69                                                                 "</f>
        <v xml:space="preserve">CALLE 10 NO. 69                                                                 </v>
      </c>
      <c r="F1509" s="26" t="str">
        <f>"JOSE LOPEZ PORTILLO                                                                                                                         "</f>
        <v xml:space="preserve">JOSE LOPEZ PORTILLO                                                                                                                         </v>
      </c>
      <c r="G1509" s="26" t="str">
        <f>"IZTAPALAPA                                                                      "</f>
        <v xml:space="preserve">IZTAPALAPA                                                                      </v>
      </c>
      <c r="H1509" s="26" t="str">
        <f>"049"</f>
        <v>049</v>
      </c>
      <c r="I1509" s="26" t="str">
        <f t="shared" si="241"/>
        <v>00</v>
      </c>
      <c r="J1509" s="26" t="str">
        <f>"63 "</f>
        <v xml:space="preserve">63 </v>
      </c>
      <c r="K1509" s="26" t="str">
        <f>"IZ"</f>
        <v>IZ</v>
      </c>
      <c r="L1509" s="26" t="str">
        <f>"DGSEI"</f>
        <v>DGSEI</v>
      </c>
      <c r="M1509" s="26" t="str">
        <f t="shared" si="242"/>
        <v>FEDERAL</v>
      </c>
      <c r="N1509" s="26">
        <v>396</v>
      </c>
      <c r="O1509" s="26">
        <v>201</v>
      </c>
      <c r="P1509" s="26">
        <v>195</v>
      </c>
      <c r="Q1509" s="26">
        <v>18</v>
      </c>
      <c r="R1509" s="26">
        <v>1</v>
      </c>
      <c r="S1509" s="26">
        <v>16</v>
      </c>
      <c r="T1509" s="26">
        <v>7</v>
      </c>
      <c r="U1509" s="26">
        <v>24</v>
      </c>
      <c r="V1509" s="26">
        <v>1</v>
      </c>
      <c r="W1509" s="26"/>
    </row>
    <row r="1510" spans="1:23" x14ac:dyDescent="0.25">
      <c r="A1510" s="26" t="str">
        <f t="shared" si="240"/>
        <v>PRIMARIA</v>
      </c>
      <c r="B1510" s="26" t="str">
        <f>"09DPR2822F"</f>
        <v>09DPR2822F</v>
      </c>
      <c r="C1510" s="26" t="str">
        <f>"BANDERA NACIONAL                                                                                    "</f>
        <v xml:space="preserve">BANDERA NACIONAL                                                                                    </v>
      </c>
      <c r="D1510" s="26" t="str">
        <f>"JORNADA AMPLIADA"</f>
        <v>JORNADA AMPLIADA</v>
      </c>
      <c r="E1510" s="26" t="str">
        <f>"SUR 107-A NO. 228                                                               "</f>
        <v xml:space="preserve">SUR 107-A NO. 228                                                               </v>
      </c>
      <c r="F1510" s="26" t="str">
        <f>"MEXICALTZINGO                                                                                                                               "</f>
        <v xml:space="preserve">MEXICALTZINGO                                                                                                                               </v>
      </c>
      <c r="G1510" s="26" t="str">
        <f>"IZTAPALAPA                                                                      "</f>
        <v xml:space="preserve">IZTAPALAPA                                                                      </v>
      </c>
      <c r="H1510" s="26" t="str">
        <f>"003"</f>
        <v>003</v>
      </c>
      <c r="I1510" s="26" t="str">
        <f t="shared" si="241"/>
        <v>00</v>
      </c>
      <c r="J1510" s="26" t="str">
        <f>"61 "</f>
        <v xml:space="preserve">61 </v>
      </c>
      <c r="K1510" s="26" t="str">
        <f>"IZ"</f>
        <v>IZ</v>
      </c>
      <c r="L1510" s="26" t="str">
        <f>"DGSEI"</f>
        <v>DGSEI</v>
      </c>
      <c r="M1510" s="26" t="str">
        <f t="shared" si="242"/>
        <v>FEDERAL</v>
      </c>
      <c r="N1510" s="26">
        <v>201</v>
      </c>
      <c r="O1510" s="26">
        <v>111</v>
      </c>
      <c r="P1510" s="26">
        <v>90</v>
      </c>
      <c r="Q1510" s="26">
        <v>7</v>
      </c>
      <c r="R1510" s="26">
        <v>1</v>
      </c>
      <c r="S1510" s="26">
        <v>4</v>
      </c>
      <c r="T1510" s="26">
        <v>4</v>
      </c>
      <c r="U1510" s="26">
        <v>9</v>
      </c>
      <c r="V1510" s="26">
        <v>1</v>
      </c>
      <c r="W1510" s="26" t="s">
        <v>2076</v>
      </c>
    </row>
    <row r="1511" spans="1:23" x14ac:dyDescent="0.25">
      <c r="A1511" s="26" t="str">
        <f t="shared" si="240"/>
        <v>PRIMARIA</v>
      </c>
      <c r="B1511" s="26" t="str">
        <f>"09DPR2823E"</f>
        <v>09DPR2823E</v>
      </c>
      <c r="C1511" s="26" t="str">
        <f>"5 DE MAYO DE 1862                                                                                   "</f>
        <v xml:space="preserve">5 DE MAYO DE 1862                                                                                   </v>
      </c>
      <c r="D1511" s="26" t="str">
        <f>"TIEMPO COMPLETO"</f>
        <v>TIEMPO COMPLETO</v>
      </c>
      <c r="E1511" s="26" t="str">
        <f>"CASCADA NO. 941                                                                 "</f>
        <v xml:space="preserve">CASCADA NO. 941                                                                 </v>
      </c>
      <c r="F1511" s="26" t="str">
        <f>"BANJIDAL                                                                                                                                    "</f>
        <v xml:space="preserve">BANJIDAL                                                                                                                                    </v>
      </c>
      <c r="G1511" s="26" t="str">
        <f>"IZTAPALAPA                                                                      "</f>
        <v xml:space="preserve">IZTAPALAPA                                                                      </v>
      </c>
      <c r="H1511" s="26" t="str">
        <f>"001"</f>
        <v>001</v>
      </c>
      <c r="I1511" s="26" t="str">
        <f t="shared" si="241"/>
        <v>00</v>
      </c>
      <c r="J1511" s="26" t="str">
        <f>"61 "</f>
        <v xml:space="preserve">61 </v>
      </c>
      <c r="K1511" s="26" t="str">
        <f>"IZ"</f>
        <v>IZ</v>
      </c>
      <c r="L1511" s="26" t="str">
        <f>"DGSEI"</f>
        <v>DGSEI</v>
      </c>
      <c r="M1511" s="26" t="str">
        <f t="shared" si="242"/>
        <v>FEDERAL</v>
      </c>
      <c r="N1511" s="26">
        <v>284</v>
      </c>
      <c r="O1511" s="26">
        <v>138</v>
      </c>
      <c r="P1511" s="26">
        <v>146</v>
      </c>
      <c r="Q1511" s="26">
        <v>10</v>
      </c>
      <c r="R1511" s="26">
        <v>1</v>
      </c>
      <c r="S1511" s="26">
        <v>9</v>
      </c>
      <c r="T1511" s="26">
        <v>12</v>
      </c>
      <c r="U1511" s="26">
        <v>22</v>
      </c>
      <c r="V1511" s="26">
        <v>1</v>
      </c>
      <c r="W1511" s="26" t="s">
        <v>218</v>
      </c>
    </row>
    <row r="1512" spans="1:23" x14ac:dyDescent="0.25">
      <c r="A1512" s="26" t="str">
        <f t="shared" si="240"/>
        <v>PRIMARIA</v>
      </c>
      <c r="B1512" s="26" t="str">
        <f>"09DPR2825C"</f>
        <v>09DPR2825C</v>
      </c>
      <c r="C1512" s="26" t="str">
        <f>"PROFR. PABLO DAMIAN GONZALEZ                                                                        "</f>
        <v xml:space="preserve">PROFR. PABLO DAMIAN GONZALEZ                                                                        </v>
      </c>
      <c r="D1512" s="26" t="str">
        <f>"MATUTINO"</f>
        <v>MATUTINO</v>
      </c>
      <c r="E1512" s="26" t="str">
        <f>"AV LEON DE LOS A Y H DE NACOZARI                                                "</f>
        <v xml:space="preserve">AV LEON DE LOS A Y H DE NACOZARI                                                </v>
      </c>
      <c r="F1512" s="26" t="str">
        <f>"SAN FELIPE DE JESUS                                                                                                                         "</f>
        <v xml:space="preserve">SAN FELIPE DE JESUS                                                                                                                         </v>
      </c>
      <c r="G1512" s="26" t="str">
        <f>"GUSTAVO A. MADERO                                                               "</f>
        <v xml:space="preserve">GUSTAVO A. MADERO                                                               </v>
      </c>
      <c r="H1512" s="26" t="str">
        <f>"262"</f>
        <v>262</v>
      </c>
      <c r="I1512" s="26" t="str">
        <f t="shared" si="241"/>
        <v>00</v>
      </c>
      <c r="J1512" s="26" t="str">
        <f>"42 "</f>
        <v xml:space="preserve">42 </v>
      </c>
      <c r="K1512" s="26" t="str">
        <f>"PR"</f>
        <v>PR</v>
      </c>
      <c r="L1512" s="26" t="str">
        <f>"DGOSE"</f>
        <v>DGOSE</v>
      </c>
      <c r="M1512" s="26" t="str">
        <f t="shared" si="242"/>
        <v>FEDERAL</v>
      </c>
      <c r="N1512" s="26">
        <v>417</v>
      </c>
      <c r="O1512" s="26">
        <v>202</v>
      </c>
      <c r="P1512" s="26">
        <v>215</v>
      </c>
      <c r="Q1512" s="26">
        <v>19</v>
      </c>
      <c r="R1512" s="26">
        <v>1</v>
      </c>
      <c r="S1512" s="26">
        <v>16</v>
      </c>
      <c r="T1512" s="26">
        <v>10</v>
      </c>
      <c r="U1512" s="26">
        <v>27</v>
      </c>
      <c r="V1512" s="26">
        <v>1</v>
      </c>
      <c r="W1512" s="26"/>
    </row>
    <row r="1513" spans="1:23" x14ac:dyDescent="0.25">
      <c r="A1513" s="26" t="str">
        <f t="shared" si="240"/>
        <v>PRIMARIA</v>
      </c>
      <c r="B1513" s="26" t="str">
        <f>"09DPR2826B"</f>
        <v>09DPR2826B</v>
      </c>
      <c r="C1513" s="26" t="str">
        <f>"LIC. JOSE ANGEL CENICEROS                                                                           "</f>
        <v xml:space="preserve">LIC. JOSE ANGEL CENICEROS                                                                           </v>
      </c>
      <c r="D1513" s="26" t="str">
        <f>"MATUTINO"</f>
        <v>MATUTINO</v>
      </c>
      <c r="E1513" s="26" t="str">
        <f>"EMILIANO ZAPATA NO. 129-B                                                       "</f>
        <v xml:space="preserve">EMILIANO ZAPATA NO. 129-B                                                       </v>
      </c>
      <c r="F1513" s="26" t="str">
        <f>"SAN LORENZO TEZONCO                                                                                                                         "</f>
        <v xml:space="preserve">SAN LORENZO TEZONCO                                                                                                                         </v>
      </c>
      <c r="G1513" s="26" t="str">
        <f>"IZTAPALAPA                                                                      "</f>
        <v xml:space="preserve">IZTAPALAPA                                                                      </v>
      </c>
      <c r="H1513" s="26" t="str">
        <f>"050"</f>
        <v>050</v>
      </c>
      <c r="I1513" s="26" t="str">
        <f t="shared" si="241"/>
        <v>00</v>
      </c>
      <c r="J1513" s="26" t="str">
        <f>"63 "</f>
        <v xml:space="preserve">63 </v>
      </c>
      <c r="K1513" s="26" t="str">
        <f>"IZ"</f>
        <v>IZ</v>
      </c>
      <c r="L1513" s="26" t="str">
        <f>"DGSEI"</f>
        <v>DGSEI</v>
      </c>
      <c r="M1513" s="26" t="str">
        <f t="shared" si="242"/>
        <v>FEDERAL</v>
      </c>
      <c r="N1513" s="26">
        <v>522</v>
      </c>
      <c r="O1513" s="26">
        <v>260</v>
      </c>
      <c r="P1513" s="26">
        <v>262</v>
      </c>
      <c r="Q1513" s="26">
        <v>36</v>
      </c>
      <c r="R1513" s="26">
        <v>2</v>
      </c>
      <c r="S1513" s="26">
        <v>36</v>
      </c>
      <c r="T1513" s="26">
        <v>15</v>
      </c>
      <c r="U1513" s="26">
        <v>53</v>
      </c>
      <c r="V1513" s="26">
        <v>1</v>
      </c>
      <c r="W1513" s="26"/>
    </row>
    <row r="1514" spans="1:23" x14ac:dyDescent="0.25">
      <c r="A1514" s="26" t="str">
        <f t="shared" si="240"/>
        <v>PRIMARIA</v>
      </c>
      <c r="B1514" s="26" t="str">
        <f>"09DPR2828Z"</f>
        <v>09DPR2828Z</v>
      </c>
      <c r="C1514" s="26" t="str">
        <f>"LIC. ANTONIO DIAZ SOTO Y GAMA                                                                       "</f>
        <v xml:space="preserve">LIC. ANTONIO DIAZ SOTO Y GAMA                                                                       </v>
      </c>
      <c r="D1514" s="26" t="str">
        <f>"VESPERTINO"</f>
        <v>VESPERTINO</v>
      </c>
      <c r="E1514" s="26" t="str">
        <f>"PRIV. DE BENJAMIN HILL NO. 1                                                    "</f>
        <v xml:space="preserve">PRIV. DE BENJAMIN HILL NO. 1                                                    </v>
      </c>
      <c r="F1514" s="26" t="str">
        <f>"FRANCISCO VILLA                                                                                                                             "</f>
        <v xml:space="preserve">FRANCISCO VILLA                                                                                                                             </v>
      </c>
      <c r="G1514" s="26" t="str">
        <f>"IZTAPALAPA                                                                      "</f>
        <v xml:space="preserve">IZTAPALAPA                                                                      </v>
      </c>
      <c r="H1514" s="26" t="str">
        <f>"053"</f>
        <v>053</v>
      </c>
      <c r="I1514" s="26" t="str">
        <f t="shared" si="241"/>
        <v>00</v>
      </c>
      <c r="J1514" s="26" t="str">
        <f>"64 "</f>
        <v xml:space="preserve">64 </v>
      </c>
      <c r="K1514" s="26" t="str">
        <f>"IZ"</f>
        <v>IZ</v>
      </c>
      <c r="L1514" s="26" t="str">
        <f>"DGSEI"</f>
        <v>DGSEI</v>
      </c>
      <c r="M1514" s="26" t="str">
        <f t="shared" si="242"/>
        <v>FEDERAL</v>
      </c>
      <c r="N1514" s="26">
        <v>147</v>
      </c>
      <c r="O1514" s="26">
        <v>75</v>
      </c>
      <c r="P1514" s="26">
        <v>72</v>
      </c>
      <c r="Q1514" s="26">
        <v>6</v>
      </c>
      <c r="R1514" s="26">
        <v>1</v>
      </c>
      <c r="S1514" s="26">
        <v>6</v>
      </c>
      <c r="T1514" s="26">
        <v>4</v>
      </c>
      <c r="U1514" s="26">
        <v>11</v>
      </c>
      <c r="V1514" s="26">
        <v>1</v>
      </c>
      <c r="W1514" s="26"/>
    </row>
    <row r="1515" spans="1:23" x14ac:dyDescent="0.25">
      <c r="A1515" s="26" t="str">
        <f t="shared" si="240"/>
        <v>PRIMARIA</v>
      </c>
      <c r="B1515" s="26" t="str">
        <f>"09DPR2829Z"</f>
        <v>09DPR2829Z</v>
      </c>
      <c r="C1515" s="26" t="str">
        <f>"EJERCITO DE ORIENTE                                                                                 "</f>
        <v xml:space="preserve">EJERCITO DE ORIENTE                                                                                 </v>
      </c>
      <c r="D1515" s="26" t="str">
        <f>"VESPERTINO"</f>
        <v>VESPERTINO</v>
      </c>
      <c r="E1515" s="26" t="str">
        <f>"JOAQUIN IBARGUEN NO. 4                                                          "</f>
        <v xml:space="preserve">JOAQUIN IBARGUEN NO. 4                                                          </v>
      </c>
      <c r="F1515" s="26" t="str">
        <f>"UNIDAD HABITACIONAL EJERCITO DE ORI                                                                                                         "</f>
        <v xml:space="preserve">UNIDAD HABITACIONAL EJERCITO DE ORI                                                                                                         </v>
      </c>
      <c r="G1515" s="26" t="str">
        <f>"IZTAPALAPA                                                                      "</f>
        <v xml:space="preserve">IZTAPALAPA                                                                      </v>
      </c>
      <c r="H1515" s="26" t="str">
        <f>"023"</f>
        <v>023</v>
      </c>
      <c r="I1515" s="26" t="str">
        <f t="shared" si="241"/>
        <v>00</v>
      </c>
      <c r="J1515" s="26" t="str">
        <f>"62 "</f>
        <v xml:space="preserve">62 </v>
      </c>
      <c r="K1515" s="26" t="str">
        <f>"IZ"</f>
        <v>IZ</v>
      </c>
      <c r="L1515" s="26" t="str">
        <f>"DGSEI"</f>
        <v>DGSEI</v>
      </c>
      <c r="M1515" s="26" t="str">
        <f t="shared" si="242"/>
        <v>FEDERAL</v>
      </c>
      <c r="N1515" s="26">
        <v>261</v>
      </c>
      <c r="O1515" s="26">
        <v>132</v>
      </c>
      <c r="P1515" s="26">
        <v>129</v>
      </c>
      <c r="Q1515" s="26">
        <v>12</v>
      </c>
      <c r="R1515" s="26">
        <v>0</v>
      </c>
      <c r="S1515" s="26">
        <v>12</v>
      </c>
      <c r="T1515" s="26">
        <v>4</v>
      </c>
      <c r="U1515" s="26">
        <v>16</v>
      </c>
      <c r="V1515" s="26">
        <v>1</v>
      </c>
      <c r="W1515" s="26"/>
    </row>
    <row r="1516" spans="1:23" x14ac:dyDescent="0.25">
      <c r="A1516" s="26" t="str">
        <f t="shared" si="240"/>
        <v>PRIMARIA</v>
      </c>
      <c r="B1516" s="26" t="str">
        <f>"09DPR2830O"</f>
        <v>09DPR2830O</v>
      </c>
      <c r="C1516" s="26" t="str">
        <f>"PROFR. ELISEO BANDALA FERNANDEZ                                                                     "</f>
        <v xml:space="preserve">PROFR. ELISEO BANDALA FERNANDEZ                                                                     </v>
      </c>
      <c r="D1516" s="26" t="str">
        <f>"VESPERTINO"</f>
        <v>VESPERTINO</v>
      </c>
      <c r="E1516" s="26" t="str">
        <f>"CALLE 3 Y CIRCUNVALACION                                                        "</f>
        <v xml:space="preserve">CALLE 3 Y CIRCUNVALACION                                                        </v>
      </c>
      <c r="F1516" s="26" t="str">
        <f>"CUCHILLA PANTITLAN                                                                                                                          "</f>
        <v xml:space="preserve">CUCHILLA PANTITLAN                                                                                                                          </v>
      </c>
      <c r="G1516" s="26" t="str">
        <f>"VENUSTIANO CARRANZA                                                             "</f>
        <v xml:space="preserve">VENUSTIANO CARRANZA                                                             </v>
      </c>
      <c r="H1516" s="26" t="str">
        <f>"352"</f>
        <v>352</v>
      </c>
      <c r="I1516" s="26" t="str">
        <f t="shared" si="241"/>
        <v>00</v>
      </c>
      <c r="J1516" s="26" t="str">
        <f>"43 "</f>
        <v xml:space="preserve">43 </v>
      </c>
      <c r="K1516" s="26" t="str">
        <f>"PR"</f>
        <v>PR</v>
      </c>
      <c r="L1516" s="26" t="str">
        <f>"DGOSE"</f>
        <v>DGOSE</v>
      </c>
      <c r="M1516" s="26" t="str">
        <f t="shared" si="242"/>
        <v>FEDERAL</v>
      </c>
      <c r="N1516" s="26">
        <v>117</v>
      </c>
      <c r="O1516" s="26">
        <v>69</v>
      </c>
      <c r="P1516" s="26">
        <v>48</v>
      </c>
      <c r="Q1516" s="26">
        <v>8</v>
      </c>
      <c r="R1516" s="26">
        <v>1</v>
      </c>
      <c r="S1516" s="26">
        <v>7</v>
      </c>
      <c r="T1516" s="26">
        <v>6</v>
      </c>
      <c r="U1516" s="26">
        <v>14</v>
      </c>
      <c r="V1516" s="26">
        <v>1</v>
      </c>
      <c r="W1516" s="26"/>
    </row>
    <row r="1517" spans="1:23" x14ac:dyDescent="0.25">
      <c r="A1517" s="26" t="str">
        <f t="shared" si="240"/>
        <v>PRIMARIA</v>
      </c>
      <c r="B1517" s="26" t="str">
        <f>"09DPR2832M"</f>
        <v>09DPR2832M</v>
      </c>
      <c r="C1517" s="26" t="str">
        <f>"PROFR. JORGE CASAHONDA CASTILLO                                                                     "</f>
        <v xml:space="preserve">PROFR. JORGE CASAHONDA CASTILLO                                                                     </v>
      </c>
      <c r="D1517" s="26" t="str">
        <f>"VESPERTINO"</f>
        <v>VESPERTINO</v>
      </c>
      <c r="E1517" s="26" t="str">
        <f>"5 DE MAYO Y FCO VILLA                                                           "</f>
        <v xml:space="preserve">5 DE MAYO Y FCO VILLA                                                           </v>
      </c>
      <c r="F1517" s="26" t="str">
        <f>"CUAUTEPEC DE MADERO                                                                                                                         "</f>
        <v xml:space="preserve">CUAUTEPEC DE MADERO                                                                                                                         </v>
      </c>
      <c r="G1517" s="26" t="str">
        <f>"GUSTAVO A. MADERO                                                               "</f>
        <v xml:space="preserve">GUSTAVO A. MADERO                                                               </v>
      </c>
      <c r="H1517" s="26" t="str">
        <f>"229"</f>
        <v>229</v>
      </c>
      <c r="I1517" s="26" t="str">
        <f t="shared" si="241"/>
        <v>00</v>
      </c>
      <c r="J1517" s="26" t="str">
        <f>"42 "</f>
        <v xml:space="preserve">42 </v>
      </c>
      <c r="K1517" s="26" t="str">
        <f>"PR"</f>
        <v>PR</v>
      </c>
      <c r="L1517" s="26" t="str">
        <f>"DGOSE"</f>
        <v>DGOSE</v>
      </c>
      <c r="M1517" s="26" t="str">
        <f t="shared" si="242"/>
        <v>FEDERAL</v>
      </c>
      <c r="N1517" s="26">
        <v>309</v>
      </c>
      <c r="O1517" s="26">
        <v>148</v>
      </c>
      <c r="P1517" s="26">
        <v>161</v>
      </c>
      <c r="Q1517" s="26">
        <v>14</v>
      </c>
      <c r="R1517" s="26">
        <v>1</v>
      </c>
      <c r="S1517" s="26">
        <v>14</v>
      </c>
      <c r="T1517" s="26">
        <v>10</v>
      </c>
      <c r="U1517" s="26">
        <v>25</v>
      </c>
      <c r="V1517" s="26">
        <v>1</v>
      </c>
      <c r="W1517" s="26"/>
    </row>
    <row r="1518" spans="1:23" x14ac:dyDescent="0.25">
      <c r="A1518" s="26" t="str">
        <f t="shared" si="240"/>
        <v>PRIMARIA</v>
      </c>
      <c r="B1518" s="26" t="str">
        <f>"09DPR2833L"</f>
        <v>09DPR2833L</v>
      </c>
      <c r="C1518" s="26" t="str">
        <f>"REPUBLICA POPULAR SOCIALISTA DE ALBANIA                                                             "</f>
        <v xml:space="preserve">REPUBLICA POPULAR SOCIALISTA DE ALBANIA                                                             </v>
      </c>
      <c r="D1518" s="26" t="str">
        <f>"MATUTINO"</f>
        <v>MATUTINO</v>
      </c>
      <c r="E1518" s="26" t="str">
        <f>"1A. CDA. DE AV. MEXICO NO. 22                                                   "</f>
        <v xml:space="preserve">1A. CDA. DE AV. MEXICO NO. 22                                                   </v>
      </c>
      <c r="F1518" s="26" t="str">
        <f>"SANTA MARIA AZTAHUACAN                                                                                                                      "</f>
        <v xml:space="preserve">SANTA MARIA AZTAHUACAN                                                                                                                      </v>
      </c>
      <c r="G1518" s="26" t="str">
        <f>"IZTAPALAPA                                                                      "</f>
        <v xml:space="preserve">IZTAPALAPA                                                                      </v>
      </c>
      <c r="H1518" s="26" t="str">
        <f>"025"</f>
        <v>025</v>
      </c>
      <c r="I1518" s="26" t="str">
        <f t="shared" si="241"/>
        <v>00</v>
      </c>
      <c r="J1518" s="26" t="str">
        <f>"62 "</f>
        <v xml:space="preserve">62 </v>
      </c>
      <c r="K1518" s="26" t="str">
        <f>"IZ"</f>
        <v>IZ</v>
      </c>
      <c r="L1518" s="26" t="str">
        <f>"DGSEI"</f>
        <v>DGSEI</v>
      </c>
      <c r="M1518" s="26" t="str">
        <f t="shared" si="242"/>
        <v>FEDERAL</v>
      </c>
      <c r="N1518" s="26">
        <v>520</v>
      </c>
      <c r="O1518" s="26">
        <v>253</v>
      </c>
      <c r="P1518" s="26">
        <v>267</v>
      </c>
      <c r="Q1518" s="26">
        <v>15</v>
      </c>
      <c r="R1518" s="26">
        <v>1</v>
      </c>
      <c r="S1518" s="26">
        <v>14</v>
      </c>
      <c r="T1518" s="26">
        <v>6</v>
      </c>
      <c r="U1518" s="26">
        <v>21</v>
      </c>
      <c r="V1518" s="26">
        <v>1</v>
      </c>
      <c r="W1518" s="26"/>
    </row>
    <row r="1519" spans="1:23" x14ac:dyDescent="0.25">
      <c r="A1519" s="26" t="str">
        <f t="shared" si="240"/>
        <v>PRIMARIA</v>
      </c>
      <c r="B1519" s="26" t="str">
        <f>"09DPR2834K"</f>
        <v>09DPR2834K</v>
      </c>
      <c r="C1519" s="26" t="str">
        <f>"PROFR. ALFREDO BASURTO GARCIA                                                                       "</f>
        <v xml:space="preserve">PROFR. ALFREDO BASURTO GARCIA                                                                       </v>
      </c>
      <c r="D1519" s="26" t="str">
        <f>"MATUTINO"</f>
        <v>MATUTINO</v>
      </c>
      <c r="E1519" s="26" t="str">
        <f>"SAN HERMILO Y SAN PASCASIO S/N                                                  "</f>
        <v xml:space="preserve">SAN HERMILO Y SAN PASCASIO S/N                                                  </v>
      </c>
      <c r="F1519" s="26" t="str">
        <f>"PEDREGAL DE SANTA URSULA                                                                                                                    "</f>
        <v xml:space="preserve">PEDREGAL DE SANTA URSULA                                                                                                                    </v>
      </c>
      <c r="G1519" s="26" t="str">
        <f>"COYOACAN                                                                        "</f>
        <v xml:space="preserve">COYOACAN                                                                        </v>
      </c>
      <c r="H1519" s="26" t="str">
        <f>"506"</f>
        <v>506</v>
      </c>
      <c r="I1519" s="26" t="str">
        <f t="shared" si="241"/>
        <v>00</v>
      </c>
      <c r="J1519" s="26" t="str">
        <f>"45 "</f>
        <v xml:space="preserve">45 </v>
      </c>
      <c r="K1519" s="26" t="str">
        <f>"PR"</f>
        <v>PR</v>
      </c>
      <c r="L1519" s="26" t="str">
        <f>"DGOSE"</f>
        <v>DGOSE</v>
      </c>
      <c r="M1519" s="26" t="str">
        <f t="shared" si="242"/>
        <v>FEDERAL</v>
      </c>
      <c r="N1519" s="26">
        <v>568</v>
      </c>
      <c r="O1519" s="26">
        <v>302</v>
      </c>
      <c r="P1519" s="26">
        <v>266</v>
      </c>
      <c r="Q1519" s="26">
        <v>18</v>
      </c>
      <c r="R1519" s="26">
        <v>1</v>
      </c>
      <c r="S1519" s="26">
        <v>18</v>
      </c>
      <c r="T1519" s="26">
        <v>9</v>
      </c>
      <c r="U1519" s="26">
        <v>28</v>
      </c>
      <c r="V1519" s="26">
        <v>1</v>
      </c>
      <c r="W1519" s="26"/>
    </row>
    <row r="1520" spans="1:23" x14ac:dyDescent="0.25">
      <c r="A1520" s="26" t="str">
        <f t="shared" si="240"/>
        <v>PRIMARIA</v>
      </c>
      <c r="B1520" s="26" t="str">
        <f>"09DPR2835J"</f>
        <v>09DPR2835J</v>
      </c>
      <c r="C1520" s="26" t="str">
        <f>"LIC. ALVARO GALVEZ Y FUENTES                                                                        "</f>
        <v xml:space="preserve">LIC. ALVARO GALVEZ Y FUENTES                                                                        </v>
      </c>
      <c r="D1520" s="26" t="str">
        <f>"VESPERTINO"</f>
        <v>VESPERTINO</v>
      </c>
      <c r="E1520" s="26" t="str">
        <f>"AVENIDA RIO CHURUBUSCO No 1606                                                   "</f>
        <v xml:space="preserve">AVENIDA RIO CHURUBUSCO No 1606                                                   </v>
      </c>
      <c r="F1520" s="26" t="str">
        <f>"JUVENTINO ROSAS                                                                                                                             "</f>
        <v xml:space="preserve">JUVENTINO ROSAS                                                                                                                             </v>
      </c>
      <c r="G1520" s="26" t="str">
        <f>"IZTACALCO                                                                       "</f>
        <v xml:space="preserve">IZTACALCO                                                                       </v>
      </c>
      <c r="H1520" s="26" t="str">
        <f>"360"</f>
        <v>360</v>
      </c>
      <c r="I1520" s="26" t="str">
        <f t="shared" si="241"/>
        <v>00</v>
      </c>
      <c r="J1520" s="26" t="str">
        <f>"43 "</f>
        <v xml:space="preserve">43 </v>
      </c>
      <c r="K1520" s="26" t="str">
        <f>"PR"</f>
        <v>PR</v>
      </c>
      <c r="L1520" s="26" t="str">
        <f>"DGOSE"</f>
        <v>DGOSE</v>
      </c>
      <c r="M1520" s="26" t="str">
        <f t="shared" si="242"/>
        <v>FEDERAL</v>
      </c>
      <c r="N1520" s="26">
        <v>105</v>
      </c>
      <c r="O1520" s="26">
        <v>54</v>
      </c>
      <c r="P1520" s="26">
        <v>51</v>
      </c>
      <c r="Q1520" s="26">
        <v>6</v>
      </c>
      <c r="R1520" s="26">
        <v>1</v>
      </c>
      <c r="S1520" s="26">
        <v>6</v>
      </c>
      <c r="T1520" s="26">
        <v>6</v>
      </c>
      <c r="U1520" s="26">
        <v>13</v>
      </c>
      <c r="V1520" s="26">
        <v>1</v>
      </c>
      <c r="W1520" s="26"/>
    </row>
    <row r="1521" spans="1:23" x14ac:dyDescent="0.25">
      <c r="A1521" s="26" t="str">
        <f t="shared" si="240"/>
        <v>PRIMARIA</v>
      </c>
      <c r="B1521" s="26" t="str">
        <f>"09DPR2836I"</f>
        <v>09DPR2836I</v>
      </c>
      <c r="C1521" s="26" t="str">
        <f>"GREGORIO TORRES QUINTERO                                                                            "</f>
        <v xml:space="preserve">GREGORIO TORRES QUINTERO                                                                            </v>
      </c>
      <c r="D1521" s="26" t="str">
        <f>"MATUTINO"</f>
        <v>MATUTINO</v>
      </c>
      <c r="E1521" s="26" t="str">
        <f>"CALLE DE LA PIEDAD S/N                                                          "</f>
        <v xml:space="preserve">CALLE DE LA PIEDAD S/N                                                          </v>
      </c>
      <c r="F1521" s="26" t="str">
        <f>"LOMA DE LA PALMA                                                                                                                            "</f>
        <v xml:space="preserve">LOMA DE LA PALMA                                                                                                                            </v>
      </c>
      <c r="G1521" s="26" t="str">
        <f>"GUSTAVO A. MADERO                                                               "</f>
        <v xml:space="preserve">GUSTAVO A. MADERO                                                               </v>
      </c>
      <c r="H1521" s="26" t="str">
        <f>"229"</f>
        <v>229</v>
      </c>
      <c r="I1521" s="26" t="str">
        <f t="shared" si="241"/>
        <v>00</v>
      </c>
      <c r="J1521" s="26" t="str">
        <f>"42 "</f>
        <v xml:space="preserve">42 </v>
      </c>
      <c r="K1521" s="26" t="str">
        <f>"PR"</f>
        <v>PR</v>
      </c>
      <c r="L1521" s="26" t="str">
        <f>"DGOSE"</f>
        <v>DGOSE</v>
      </c>
      <c r="M1521" s="26" t="str">
        <f t="shared" si="242"/>
        <v>FEDERAL</v>
      </c>
      <c r="N1521" s="26">
        <v>508</v>
      </c>
      <c r="O1521" s="26">
        <v>272</v>
      </c>
      <c r="P1521" s="26">
        <v>236</v>
      </c>
      <c r="Q1521" s="26">
        <v>18</v>
      </c>
      <c r="R1521" s="26">
        <v>1</v>
      </c>
      <c r="S1521" s="26">
        <v>17</v>
      </c>
      <c r="T1521" s="26">
        <v>12</v>
      </c>
      <c r="U1521" s="26">
        <v>30</v>
      </c>
      <c r="V1521" s="26">
        <v>1</v>
      </c>
      <c r="W1521" s="26"/>
    </row>
    <row r="1522" spans="1:23" x14ac:dyDescent="0.25">
      <c r="A1522" s="26" t="str">
        <f t="shared" si="240"/>
        <v>PRIMARIA</v>
      </c>
      <c r="B1522" s="26" t="str">
        <f>"09DPR2838G"</f>
        <v>09DPR2838G</v>
      </c>
      <c r="C1522" s="26" t="str">
        <f>"MARGARITA MAZA DE JUAREZ                                                                            "</f>
        <v xml:space="preserve">MARGARITA MAZA DE JUAREZ                                                                            </v>
      </c>
      <c r="D1522" s="26" t="str">
        <f>"MATUTINO"</f>
        <v>MATUTINO</v>
      </c>
      <c r="E1522" s="26" t="str">
        <f>"MARIA HERNANDEZ DE ZARCO NO 14                                                  "</f>
        <v xml:space="preserve">MARIA HERNANDEZ DE ZARCO NO 14                                                  </v>
      </c>
      <c r="F1522" s="26" t="str">
        <f>"UNIDAD HABITACIONAL BELISARIO DOMIN                                                                                                         "</f>
        <v xml:space="preserve">UNIDAD HABITACIONAL BELISARIO DOMIN                                                                                                         </v>
      </c>
      <c r="G1522" s="26" t="str">
        <f>"TLALPAN                                                                         "</f>
        <v xml:space="preserve">TLALPAN                                                                         </v>
      </c>
      <c r="H1522" s="26" t="str">
        <f>"525"</f>
        <v>525</v>
      </c>
      <c r="I1522" s="26" t="str">
        <f t="shared" si="241"/>
        <v>00</v>
      </c>
      <c r="J1522" s="26" t="str">
        <f>"45 "</f>
        <v xml:space="preserve">45 </v>
      </c>
      <c r="K1522" s="26" t="str">
        <f>"PR"</f>
        <v>PR</v>
      </c>
      <c r="L1522" s="26" t="str">
        <f>"DGOSE"</f>
        <v>DGOSE</v>
      </c>
      <c r="M1522" s="26" t="str">
        <f t="shared" si="242"/>
        <v>FEDERAL</v>
      </c>
      <c r="N1522" s="26">
        <v>472</v>
      </c>
      <c r="O1522" s="26">
        <v>228</v>
      </c>
      <c r="P1522" s="26">
        <v>244</v>
      </c>
      <c r="Q1522" s="26">
        <v>15</v>
      </c>
      <c r="R1522" s="26">
        <v>1</v>
      </c>
      <c r="S1522" s="26">
        <v>9</v>
      </c>
      <c r="T1522" s="26">
        <v>9</v>
      </c>
      <c r="U1522" s="26">
        <v>19</v>
      </c>
      <c r="V1522" s="26">
        <v>1</v>
      </c>
      <c r="W1522" s="26"/>
    </row>
    <row r="1523" spans="1:23" x14ac:dyDescent="0.25">
      <c r="A1523" s="26" t="str">
        <f t="shared" si="240"/>
        <v>PRIMARIA</v>
      </c>
      <c r="B1523" s="26" t="str">
        <f>"09DPR2839F"</f>
        <v>09DPR2839F</v>
      </c>
      <c r="C1523" s="26" t="str">
        <f>"MTRA. GUILLERMINA GONZALEZ GALICIA                                                                  "</f>
        <v xml:space="preserve">MTRA. GUILLERMINA GONZALEZ GALICIA                                                                  </v>
      </c>
      <c r="D1523" s="26" t="str">
        <f>"JORNADA AMPLIADA"</f>
        <v>JORNADA AMPLIADA</v>
      </c>
      <c r="E1523" s="26" t="str">
        <f>"CIRCONIO NO. 39                                                                 "</f>
        <v xml:space="preserve">CIRCONIO NO. 39                                                                 </v>
      </c>
      <c r="F1523" s="26" t="str">
        <f>"EL MANTO                                                                                                                                    "</f>
        <v xml:space="preserve">EL MANTO                                                                                                                                    </v>
      </c>
      <c r="G1523" s="26" t="str">
        <f t="shared" ref="G1523:G1528" si="245">"IZTAPALAPA                                                                      "</f>
        <v xml:space="preserve">IZTAPALAPA                                                                      </v>
      </c>
      <c r="H1523" s="26" t="str">
        <f>"009"</f>
        <v>009</v>
      </c>
      <c r="I1523" s="26" t="str">
        <f t="shared" si="241"/>
        <v>00</v>
      </c>
      <c r="J1523" s="26" t="str">
        <f>"61 "</f>
        <v xml:space="preserve">61 </v>
      </c>
      <c r="K1523" s="26" t="str">
        <f t="shared" ref="K1523:K1528" si="246">"IZ"</f>
        <v>IZ</v>
      </c>
      <c r="L1523" s="26" t="str">
        <f t="shared" ref="L1523:L1528" si="247">"DGSEI"</f>
        <v>DGSEI</v>
      </c>
      <c r="M1523" s="26" t="str">
        <f t="shared" si="242"/>
        <v>FEDERAL</v>
      </c>
      <c r="N1523" s="26">
        <v>609</v>
      </c>
      <c r="O1523" s="26">
        <v>328</v>
      </c>
      <c r="P1523" s="26">
        <v>281</v>
      </c>
      <c r="Q1523" s="26">
        <v>18</v>
      </c>
      <c r="R1523" s="26">
        <v>1</v>
      </c>
      <c r="S1523" s="26">
        <v>18</v>
      </c>
      <c r="T1523" s="26">
        <v>11</v>
      </c>
      <c r="U1523" s="26">
        <v>30</v>
      </c>
      <c r="V1523" s="26">
        <v>1</v>
      </c>
      <c r="W1523" s="26" t="s">
        <v>2076</v>
      </c>
    </row>
    <row r="1524" spans="1:23" x14ac:dyDescent="0.25">
      <c r="A1524" s="26" t="str">
        <f t="shared" si="240"/>
        <v>PRIMARIA</v>
      </c>
      <c r="B1524" s="26" t="str">
        <f>"09DPR2840V"</f>
        <v>09DPR2840V</v>
      </c>
      <c r="C1524" s="26" t="str">
        <f>"FABIAN GARCIA RAMIREZ                                                                               "</f>
        <v xml:space="preserve">FABIAN GARCIA RAMIREZ                                                                               </v>
      </c>
      <c r="D1524" s="26" t="str">
        <f>"MATUTINO"</f>
        <v>MATUTINO</v>
      </c>
      <c r="E1524" s="26" t="str">
        <f>"FERMIN ESPINOZA NO. 60                                                          "</f>
        <v xml:space="preserve">FERMIN ESPINOZA NO. 60                                                          </v>
      </c>
      <c r="F1524" s="26" t="str">
        <f>"SAN MIGUEL TEOTONGO                                                                                                                         "</f>
        <v xml:space="preserve">SAN MIGUEL TEOTONGO                                                                                                                         </v>
      </c>
      <c r="G1524" s="26" t="str">
        <f t="shared" si="245"/>
        <v xml:space="preserve">IZTAPALAPA                                                                      </v>
      </c>
      <c r="H1524" s="26" t="str">
        <f>"068"</f>
        <v>068</v>
      </c>
      <c r="I1524" s="26" t="str">
        <f t="shared" si="241"/>
        <v>00</v>
      </c>
      <c r="J1524" s="26" t="str">
        <f>"64 "</f>
        <v xml:space="preserve">64 </v>
      </c>
      <c r="K1524" s="26" t="str">
        <f t="shared" si="246"/>
        <v>IZ</v>
      </c>
      <c r="L1524" s="26" t="str">
        <f t="shared" si="247"/>
        <v>DGSEI</v>
      </c>
      <c r="M1524" s="26" t="str">
        <f t="shared" si="242"/>
        <v>FEDERAL</v>
      </c>
      <c r="N1524" s="26">
        <v>658</v>
      </c>
      <c r="O1524" s="26">
        <v>361</v>
      </c>
      <c r="P1524" s="26">
        <v>297</v>
      </c>
      <c r="Q1524" s="26">
        <v>19</v>
      </c>
      <c r="R1524" s="26">
        <v>1</v>
      </c>
      <c r="S1524" s="26">
        <v>16</v>
      </c>
      <c r="T1524" s="26">
        <v>9</v>
      </c>
      <c r="U1524" s="26">
        <v>26</v>
      </c>
      <c r="V1524" s="26">
        <v>1</v>
      </c>
      <c r="W1524" s="26"/>
    </row>
    <row r="1525" spans="1:23" x14ac:dyDescent="0.25">
      <c r="A1525" s="26" t="str">
        <f t="shared" si="240"/>
        <v>PRIMARIA</v>
      </c>
      <c r="B1525" s="26" t="str">
        <f>"09DPR2841U"</f>
        <v>09DPR2841U</v>
      </c>
      <c r="C1525" s="26" t="str">
        <f>"PROFRA. MA. DE LA LUZ MERCADO MENDEZ                                                                "</f>
        <v xml:space="preserve">PROFRA. MA. DE LA LUZ MERCADO MENDEZ                                                                </v>
      </c>
      <c r="D1525" s="26" t="str">
        <f>"JORNADA AMPLIADA"</f>
        <v>JORNADA AMPLIADA</v>
      </c>
      <c r="E1525" s="26" t="str">
        <f>"3RA. DE ROBERTO RODRIGUEZ NO. 20 SUPER MANZANA 5 S/N.                           "</f>
        <v xml:space="preserve">3RA. DE ROBERTO RODRIGUEZ NO. 20 SUPER MANZANA 5 S/N.                           </v>
      </c>
      <c r="F1525" s="26" t="str">
        <f>"UNIDAD HABITACIONAL VICENTE GUERRER                                                                                                         "</f>
        <v xml:space="preserve">UNIDAD HABITACIONAL VICENTE GUERRER                                                                                                         </v>
      </c>
      <c r="G1525" s="26" t="str">
        <f t="shared" si="245"/>
        <v xml:space="preserve">IZTAPALAPA                                                                      </v>
      </c>
      <c r="H1525" s="26" t="str">
        <f>"010"</f>
        <v>010</v>
      </c>
      <c r="I1525" s="26" t="str">
        <f t="shared" si="241"/>
        <v>00</v>
      </c>
      <c r="J1525" s="26" t="str">
        <f>"61 "</f>
        <v xml:space="preserve">61 </v>
      </c>
      <c r="K1525" s="26" t="str">
        <f t="shared" si="246"/>
        <v>IZ</v>
      </c>
      <c r="L1525" s="26" t="str">
        <f t="shared" si="247"/>
        <v>DGSEI</v>
      </c>
      <c r="M1525" s="26" t="str">
        <f t="shared" si="242"/>
        <v>FEDERAL</v>
      </c>
      <c r="N1525" s="26">
        <v>410</v>
      </c>
      <c r="O1525" s="26">
        <v>219</v>
      </c>
      <c r="P1525" s="26">
        <v>191</v>
      </c>
      <c r="Q1525" s="26">
        <v>12</v>
      </c>
      <c r="R1525" s="26">
        <v>1</v>
      </c>
      <c r="S1525" s="26">
        <v>12</v>
      </c>
      <c r="T1525" s="26">
        <v>6</v>
      </c>
      <c r="U1525" s="26">
        <v>19</v>
      </c>
      <c r="V1525" s="26">
        <v>1</v>
      </c>
      <c r="W1525" s="26" t="s">
        <v>2076</v>
      </c>
    </row>
    <row r="1526" spans="1:23" x14ac:dyDescent="0.25">
      <c r="A1526" s="26" t="str">
        <f t="shared" si="240"/>
        <v>PRIMARIA</v>
      </c>
      <c r="B1526" s="26" t="str">
        <f>"09DPR2842T"</f>
        <v>09DPR2842T</v>
      </c>
      <c r="C1526" s="26" t="str">
        <f>"RAFAELA SUAREZ SOLORZANO                                                                            "</f>
        <v xml:space="preserve">RAFAELA SUAREZ SOLORZANO                                                                            </v>
      </c>
      <c r="D1526" s="26" t="str">
        <f>"MATUTINO"</f>
        <v>MATUTINO</v>
      </c>
      <c r="E1526" s="26" t="str">
        <f>"CDA. DE VENUS NO. 14                                                            "</f>
        <v xml:space="preserve">CDA. DE VENUS NO. 14                                                            </v>
      </c>
      <c r="F1526" s="26" t="str">
        <f>"LOMAS DE LA ESTANCIA                                                                                                                        "</f>
        <v xml:space="preserve">LOMAS DE LA ESTANCIA                                                                                                                        </v>
      </c>
      <c r="G1526" s="26" t="str">
        <f t="shared" si="245"/>
        <v xml:space="preserve">IZTAPALAPA                                                                      </v>
      </c>
      <c r="H1526" s="26" t="str">
        <f>"064"</f>
        <v>064</v>
      </c>
      <c r="I1526" s="26" t="str">
        <f t="shared" si="241"/>
        <v>00</v>
      </c>
      <c r="J1526" s="26" t="str">
        <f>"64 "</f>
        <v xml:space="preserve">64 </v>
      </c>
      <c r="K1526" s="26" t="str">
        <f t="shared" si="246"/>
        <v>IZ</v>
      </c>
      <c r="L1526" s="26" t="str">
        <f t="shared" si="247"/>
        <v>DGSEI</v>
      </c>
      <c r="M1526" s="26" t="str">
        <f t="shared" si="242"/>
        <v>FEDERAL</v>
      </c>
      <c r="N1526" s="26">
        <v>700</v>
      </c>
      <c r="O1526" s="26">
        <v>367</v>
      </c>
      <c r="P1526" s="26">
        <v>333</v>
      </c>
      <c r="Q1526" s="26">
        <v>18</v>
      </c>
      <c r="R1526" s="26">
        <v>1</v>
      </c>
      <c r="S1526" s="26">
        <v>18</v>
      </c>
      <c r="T1526" s="26">
        <v>8</v>
      </c>
      <c r="U1526" s="26">
        <v>27</v>
      </c>
      <c r="V1526" s="26">
        <v>1</v>
      </c>
      <c r="W1526" s="26"/>
    </row>
    <row r="1527" spans="1:23" x14ac:dyDescent="0.25">
      <c r="A1527" s="26" t="str">
        <f t="shared" si="240"/>
        <v>PRIMARIA</v>
      </c>
      <c r="B1527" s="26" t="str">
        <f>"09DPR2844R"</f>
        <v>09DPR2844R</v>
      </c>
      <c r="C1527" s="26" t="str">
        <f>"LIC. ANTONIO DIAZ SOTO Y GAMA                                                                       "</f>
        <v xml:space="preserve">LIC. ANTONIO DIAZ SOTO Y GAMA                                                                       </v>
      </c>
      <c r="D1527" s="26" t="str">
        <f>"MATUTINO"</f>
        <v>MATUTINO</v>
      </c>
      <c r="E1527" s="26" t="str">
        <f>"PRIV. DE BENJAMIN HILL NO. 1                                                    "</f>
        <v xml:space="preserve">PRIV. DE BENJAMIN HILL NO. 1                                                    </v>
      </c>
      <c r="F1527" s="26" t="str">
        <f>"FRANCISCO VILLA                                                                                                                             "</f>
        <v xml:space="preserve">FRANCISCO VILLA                                                                                                                             </v>
      </c>
      <c r="G1527" s="26" t="str">
        <f t="shared" si="245"/>
        <v xml:space="preserve">IZTAPALAPA                                                                      </v>
      </c>
      <c r="H1527" s="26" t="str">
        <f>"053"</f>
        <v>053</v>
      </c>
      <c r="I1527" s="26" t="str">
        <f t="shared" si="241"/>
        <v>00</v>
      </c>
      <c r="J1527" s="26" t="str">
        <f>"64 "</f>
        <v xml:space="preserve">64 </v>
      </c>
      <c r="K1527" s="26" t="str">
        <f t="shared" si="246"/>
        <v>IZ</v>
      </c>
      <c r="L1527" s="26" t="str">
        <f t="shared" si="247"/>
        <v>DGSEI</v>
      </c>
      <c r="M1527" s="26" t="str">
        <f t="shared" si="242"/>
        <v>FEDERAL</v>
      </c>
      <c r="N1527" s="26">
        <v>618</v>
      </c>
      <c r="O1527" s="26">
        <v>317</v>
      </c>
      <c r="P1527" s="26">
        <v>301</v>
      </c>
      <c r="Q1527" s="26">
        <v>18</v>
      </c>
      <c r="R1527" s="26">
        <v>1</v>
      </c>
      <c r="S1527" s="26">
        <v>15</v>
      </c>
      <c r="T1527" s="26">
        <v>6</v>
      </c>
      <c r="U1527" s="26">
        <v>22</v>
      </c>
      <c r="V1527" s="26">
        <v>1</v>
      </c>
      <c r="W1527" s="26"/>
    </row>
    <row r="1528" spans="1:23" x14ac:dyDescent="0.25">
      <c r="A1528" s="26" t="str">
        <f t="shared" si="240"/>
        <v>PRIMARIA</v>
      </c>
      <c r="B1528" s="26" t="str">
        <f>"09DPR2845Q"</f>
        <v>09DPR2845Q</v>
      </c>
      <c r="C1528" s="26" t="str">
        <f>"ANDRES MOLINA ENRIQUEZ                                                                              "</f>
        <v xml:space="preserve">ANDRES MOLINA ENRIQUEZ                                                                              </v>
      </c>
      <c r="D1528" s="26" t="str">
        <f>"MATUTINO"</f>
        <v>MATUTINO</v>
      </c>
      <c r="E1528" s="26" t="str">
        <f>"CDA. DE PINO NO. 50""A""                                                          "</f>
        <v xml:space="preserve">CDA. DE PINO NO. 50"A"                                                          </v>
      </c>
      <c r="F1528" s="26" t="str">
        <f>"CITLALI                                                                                                                                     "</f>
        <v xml:space="preserve">CITLALI                                                                                                                                     </v>
      </c>
      <c r="G1528" s="26" t="str">
        <f t="shared" si="245"/>
        <v xml:space="preserve">IZTAPALAPA                                                                      </v>
      </c>
      <c r="H1528" s="26" t="str">
        <f>"061"</f>
        <v>061</v>
      </c>
      <c r="I1528" s="26" t="str">
        <f t="shared" si="241"/>
        <v>00</v>
      </c>
      <c r="J1528" s="26" t="str">
        <f>"64 "</f>
        <v xml:space="preserve">64 </v>
      </c>
      <c r="K1528" s="26" t="str">
        <f t="shared" si="246"/>
        <v>IZ</v>
      </c>
      <c r="L1528" s="26" t="str">
        <f t="shared" si="247"/>
        <v>DGSEI</v>
      </c>
      <c r="M1528" s="26" t="str">
        <f t="shared" si="242"/>
        <v>FEDERAL</v>
      </c>
      <c r="N1528" s="26">
        <v>700</v>
      </c>
      <c r="O1528" s="26">
        <v>347</v>
      </c>
      <c r="P1528" s="26">
        <v>353</v>
      </c>
      <c r="Q1528" s="26">
        <v>18</v>
      </c>
      <c r="R1528" s="26">
        <v>1</v>
      </c>
      <c r="S1528" s="26">
        <v>17</v>
      </c>
      <c r="T1528" s="26">
        <v>8</v>
      </c>
      <c r="U1528" s="26">
        <v>26</v>
      </c>
      <c r="V1528" s="26">
        <v>1</v>
      </c>
      <c r="W1528" s="26"/>
    </row>
    <row r="1529" spans="1:23" x14ac:dyDescent="0.25">
      <c r="A1529" s="26" t="str">
        <f t="shared" si="240"/>
        <v>PRIMARIA</v>
      </c>
      <c r="B1529" s="26" t="str">
        <f>"09DPR2846P"</f>
        <v>09DPR2846P</v>
      </c>
      <c r="C1529" s="26" t="str">
        <f>"TLAHUAC                                                                                             "</f>
        <v xml:space="preserve">TLAHUAC                                                                                             </v>
      </c>
      <c r="D1529" s="26" t="str">
        <f>"MATUTINO"</f>
        <v>MATUTINO</v>
      </c>
      <c r="E1529" s="26" t="str">
        <f>"CALLE DE LA TURBA NO 198 B                                                      "</f>
        <v xml:space="preserve">CALLE DE LA TURBA NO 198 B                                                      </v>
      </c>
      <c r="F1529" s="26" t="str">
        <f>"GRANJAS CABRERA                                                                                                                             "</f>
        <v xml:space="preserve">GRANJAS CABRERA                                                                                                                             </v>
      </c>
      <c r="G1529" s="26" t="str">
        <f>"TLAHUAC                                                                         "</f>
        <v xml:space="preserve">TLAHUAC                                                                         </v>
      </c>
      <c r="H1529" s="26" t="str">
        <f>"549"</f>
        <v>549</v>
      </c>
      <c r="I1529" s="26" t="str">
        <f t="shared" si="241"/>
        <v>00</v>
      </c>
      <c r="J1529" s="26" t="str">
        <f>"45 "</f>
        <v xml:space="preserve">45 </v>
      </c>
      <c r="K1529" s="26" t="str">
        <f>"PR"</f>
        <v>PR</v>
      </c>
      <c r="L1529" s="26" t="str">
        <f>"DGOSE"</f>
        <v>DGOSE</v>
      </c>
      <c r="M1529" s="26" t="str">
        <f t="shared" si="242"/>
        <v>FEDERAL</v>
      </c>
      <c r="N1529" s="26">
        <v>700</v>
      </c>
      <c r="O1529" s="26">
        <v>366</v>
      </c>
      <c r="P1529" s="26">
        <v>334</v>
      </c>
      <c r="Q1529" s="26">
        <v>21</v>
      </c>
      <c r="R1529" s="26">
        <v>1</v>
      </c>
      <c r="S1529" s="26">
        <v>20</v>
      </c>
      <c r="T1529" s="26">
        <v>10</v>
      </c>
      <c r="U1529" s="26">
        <v>31</v>
      </c>
      <c r="V1529" s="26">
        <v>1</v>
      </c>
      <c r="W1529" s="26"/>
    </row>
    <row r="1530" spans="1:23" x14ac:dyDescent="0.25">
      <c r="A1530" s="26" t="str">
        <f t="shared" si="240"/>
        <v>PRIMARIA</v>
      </c>
      <c r="B1530" s="26" t="str">
        <f>"09DPR2847O"</f>
        <v>09DPR2847O</v>
      </c>
      <c r="C1530" s="26" t="str">
        <f>"PROFR. PABLO DAMIAN GONZALEZ                                                                        "</f>
        <v xml:space="preserve">PROFR. PABLO DAMIAN GONZALEZ                                                                        </v>
      </c>
      <c r="D1530" s="26" t="str">
        <f>"VESPERTINO"</f>
        <v>VESPERTINO</v>
      </c>
      <c r="E1530" s="26" t="str">
        <f>"AV LEON DE LOS A Y H DE NACOZARI                                                "</f>
        <v xml:space="preserve">AV LEON DE LOS A Y H DE NACOZARI                                                </v>
      </c>
      <c r="F1530" s="26" t="str">
        <f>"SAN FELIPE DE JESUS                                                                                                                         "</f>
        <v xml:space="preserve">SAN FELIPE DE JESUS                                                                                                                         </v>
      </c>
      <c r="G1530" s="26" t="str">
        <f>"GUSTAVO A. MADERO                                                               "</f>
        <v xml:space="preserve">GUSTAVO A. MADERO                                                               </v>
      </c>
      <c r="H1530" s="26" t="str">
        <f>"262"</f>
        <v>262</v>
      </c>
      <c r="I1530" s="26" t="str">
        <f t="shared" si="241"/>
        <v>00</v>
      </c>
      <c r="J1530" s="26" t="str">
        <f>"42 "</f>
        <v xml:space="preserve">42 </v>
      </c>
      <c r="K1530" s="26" t="str">
        <f>"PR"</f>
        <v>PR</v>
      </c>
      <c r="L1530" s="26" t="str">
        <f>"DGOSE"</f>
        <v>DGOSE</v>
      </c>
      <c r="M1530" s="26" t="str">
        <f t="shared" si="242"/>
        <v>FEDERAL</v>
      </c>
      <c r="N1530" s="26">
        <v>105</v>
      </c>
      <c r="O1530" s="26">
        <v>58</v>
      </c>
      <c r="P1530" s="26">
        <v>47</v>
      </c>
      <c r="Q1530" s="26">
        <v>6</v>
      </c>
      <c r="R1530" s="26">
        <v>1</v>
      </c>
      <c r="S1530" s="26">
        <v>5</v>
      </c>
      <c r="T1530" s="26">
        <v>7</v>
      </c>
      <c r="U1530" s="26">
        <v>13</v>
      </c>
      <c r="V1530" s="26">
        <v>1</v>
      </c>
      <c r="W1530" s="26"/>
    </row>
    <row r="1531" spans="1:23" x14ac:dyDescent="0.25">
      <c r="A1531" s="26" t="str">
        <f t="shared" si="240"/>
        <v>PRIMARIA</v>
      </c>
      <c r="B1531" s="26" t="str">
        <f>"09DPR2848N"</f>
        <v>09DPR2848N</v>
      </c>
      <c r="C1531" s="26" t="str">
        <f>"PROFR. CECILIO MIJARES POBLANO                                                                      "</f>
        <v xml:space="preserve">PROFR. CECILIO MIJARES POBLANO                                                                      </v>
      </c>
      <c r="D1531" s="26" t="str">
        <f>"MATUTINO"</f>
        <v>MATUTINO</v>
      </c>
      <c r="E1531" s="26" t="str">
        <f>"ALAMOS Y SABINO S/N                                                             "</f>
        <v xml:space="preserve">ALAMOS Y SABINO S/N                                                             </v>
      </c>
      <c r="F1531" s="26" t="str">
        <f>"BOSQUE DEL PEDREGAL                                                                                                                         "</f>
        <v xml:space="preserve">BOSQUE DEL PEDREGAL                                                                                                                         </v>
      </c>
      <c r="G1531" s="26" t="str">
        <f>"TLALPAN                                                                         "</f>
        <v xml:space="preserve">TLALPAN                                                                         </v>
      </c>
      <c r="H1531" s="26" t="str">
        <f>"514"</f>
        <v>514</v>
      </c>
      <c r="I1531" s="26" t="str">
        <f t="shared" si="241"/>
        <v>00</v>
      </c>
      <c r="J1531" s="26" t="str">
        <f>"45 "</f>
        <v xml:space="preserve">45 </v>
      </c>
      <c r="K1531" s="26" t="str">
        <f>"PR"</f>
        <v>PR</v>
      </c>
      <c r="L1531" s="26" t="str">
        <f>"DGOSE"</f>
        <v>DGOSE</v>
      </c>
      <c r="M1531" s="26" t="str">
        <f t="shared" si="242"/>
        <v>FEDERAL</v>
      </c>
      <c r="N1531" s="26">
        <v>695</v>
      </c>
      <c r="O1531" s="26">
        <v>337</v>
      </c>
      <c r="P1531" s="26">
        <v>358</v>
      </c>
      <c r="Q1531" s="26">
        <v>19</v>
      </c>
      <c r="R1531" s="26">
        <v>1</v>
      </c>
      <c r="S1531" s="26">
        <v>19</v>
      </c>
      <c r="T1531" s="26">
        <v>8</v>
      </c>
      <c r="U1531" s="26">
        <v>28</v>
      </c>
      <c r="V1531" s="26">
        <v>1</v>
      </c>
      <c r="W1531" s="26"/>
    </row>
    <row r="1532" spans="1:23" x14ac:dyDescent="0.25">
      <c r="A1532" s="26" t="str">
        <f t="shared" si="240"/>
        <v>PRIMARIA</v>
      </c>
      <c r="B1532" s="26" t="str">
        <f>"09DPR2850B"</f>
        <v>09DPR2850B</v>
      </c>
      <c r="C1532" s="26" t="str">
        <f>"PROFR. JOSE PALOMAREZ QUIROS                                                                        "</f>
        <v xml:space="preserve">PROFR. JOSE PALOMAREZ QUIROS                                                                        </v>
      </c>
      <c r="D1532" s="26" t="str">
        <f>"JORNADA AMPLIADA"</f>
        <v>JORNADA AMPLIADA</v>
      </c>
      <c r="E1532" s="26" t="str">
        <f>"JOAQUIN IBARGUEN NO. 2                                                          "</f>
        <v xml:space="preserve">JOAQUIN IBARGUEN NO. 2                                                          </v>
      </c>
      <c r="F1532" s="26" t="str">
        <f>"UNIDAD HABITACIONAL EJERCITO DE ORI                                                                                                         "</f>
        <v xml:space="preserve">UNIDAD HABITACIONAL EJERCITO DE ORI                                                                                                         </v>
      </c>
      <c r="G1532" s="26" t="str">
        <f>"IZTAPALAPA                                                                      "</f>
        <v xml:space="preserve">IZTAPALAPA                                                                      </v>
      </c>
      <c r="H1532" s="26" t="str">
        <f>"006"</f>
        <v>006</v>
      </c>
      <c r="I1532" s="26" t="str">
        <f t="shared" si="241"/>
        <v>00</v>
      </c>
      <c r="J1532" s="26" t="str">
        <f>"61 "</f>
        <v xml:space="preserve">61 </v>
      </c>
      <c r="K1532" s="26" t="str">
        <f>"IZ"</f>
        <v>IZ</v>
      </c>
      <c r="L1532" s="26" t="str">
        <f>"DGSEI"</f>
        <v>DGSEI</v>
      </c>
      <c r="M1532" s="26" t="str">
        <f t="shared" si="242"/>
        <v>FEDERAL</v>
      </c>
      <c r="N1532" s="26">
        <v>514</v>
      </c>
      <c r="O1532" s="26">
        <v>267</v>
      </c>
      <c r="P1532" s="26">
        <v>247</v>
      </c>
      <c r="Q1532" s="26">
        <v>16</v>
      </c>
      <c r="R1532" s="26">
        <v>0</v>
      </c>
      <c r="S1532" s="26">
        <v>8</v>
      </c>
      <c r="T1532" s="26">
        <v>19</v>
      </c>
      <c r="U1532" s="26">
        <v>27</v>
      </c>
      <c r="V1532" s="26">
        <v>1</v>
      </c>
      <c r="W1532" s="26" t="s">
        <v>2076</v>
      </c>
    </row>
    <row r="1533" spans="1:23" x14ac:dyDescent="0.25">
      <c r="A1533" s="26" t="str">
        <f t="shared" si="240"/>
        <v>PRIMARIA</v>
      </c>
      <c r="B1533" s="26" t="str">
        <f>"09DPR2851A"</f>
        <v>09DPR2851A</v>
      </c>
      <c r="C1533" s="26" t="str">
        <f>"LIC. JOSE ANGEL CENICEROS                                                                           "</f>
        <v xml:space="preserve">LIC. JOSE ANGEL CENICEROS                                                                           </v>
      </c>
      <c r="D1533" s="26" t="str">
        <f>"VESPERTINO"</f>
        <v>VESPERTINO</v>
      </c>
      <c r="E1533" s="26" t="str">
        <f>"EMILIANO ZAPATA NO. 129-B                                                       "</f>
        <v xml:space="preserve">EMILIANO ZAPATA NO. 129-B                                                       </v>
      </c>
      <c r="F1533" s="26" t="str">
        <f>"SAN LORENZO TEZONCO                                                                                                                         "</f>
        <v xml:space="preserve">SAN LORENZO TEZONCO                                                                                                                         </v>
      </c>
      <c r="G1533" s="26" t="str">
        <f>"IZTAPALAPA                                                                      "</f>
        <v xml:space="preserve">IZTAPALAPA                                                                      </v>
      </c>
      <c r="H1533" s="26" t="str">
        <f>"050"</f>
        <v>050</v>
      </c>
      <c r="I1533" s="26" t="str">
        <f t="shared" si="241"/>
        <v>00</v>
      </c>
      <c r="J1533" s="26" t="str">
        <f>"63 "</f>
        <v xml:space="preserve">63 </v>
      </c>
      <c r="K1533" s="26" t="str">
        <f>"IZ"</f>
        <v>IZ</v>
      </c>
      <c r="L1533" s="26" t="str">
        <f>"DGSEI"</f>
        <v>DGSEI</v>
      </c>
      <c r="M1533" s="26" t="str">
        <f t="shared" si="242"/>
        <v>FEDERAL</v>
      </c>
      <c r="N1533" s="26">
        <v>382</v>
      </c>
      <c r="O1533" s="26">
        <v>206</v>
      </c>
      <c r="P1533" s="26">
        <v>176</v>
      </c>
      <c r="Q1533" s="26">
        <v>34</v>
      </c>
      <c r="R1533" s="26">
        <v>2</v>
      </c>
      <c r="S1533" s="26">
        <v>34</v>
      </c>
      <c r="T1533" s="26">
        <v>14</v>
      </c>
      <c r="U1533" s="26">
        <v>50</v>
      </c>
      <c r="V1533" s="26">
        <v>1</v>
      </c>
      <c r="W1533" s="26"/>
    </row>
    <row r="1534" spans="1:23" x14ac:dyDescent="0.25">
      <c r="A1534" s="26" t="str">
        <f t="shared" si="240"/>
        <v>PRIMARIA</v>
      </c>
      <c r="B1534" s="26" t="str">
        <f>"09DPR2859T"</f>
        <v>09DPR2859T</v>
      </c>
      <c r="C1534" s="26" t="str">
        <f>"PROFRA. ENRIQUETA LEÓN GONZÁLEZ                                                                     "</f>
        <v xml:space="preserve">PROFRA. ENRIQUETA LEÓN GONZÁLEZ                                                                     </v>
      </c>
      <c r="D1534" s="26" t="str">
        <f>"JORNADA AMPLIADA"</f>
        <v>JORNADA AMPLIADA</v>
      </c>
      <c r="E1534" s="26" t="str">
        <f>"SANTA BALBINA Y SAN FRANCISCO.                                                  "</f>
        <v xml:space="preserve">SANTA BALBINA Y SAN FRANCISCO.                                                  </v>
      </c>
      <c r="F1534" s="26" t="str">
        <f>"MOLINO DE SANTO DOMINGO                                                                                                                     "</f>
        <v xml:space="preserve">MOLINO DE SANTO DOMINGO                                                                                                                     </v>
      </c>
      <c r="G1534" s="26" t="str">
        <f>"ALVARO OBREGON                                                                  "</f>
        <v xml:space="preserve">ALVARO OBREGON                                                                  </v>
      </c>
      <c r="H1534" s="26" t="str">
        <f>"401"</f>
        <v>401</v>
      </c>
      <c r="I1534" s="26" t="str">
        <f t="shared" si="241"/>
        <v>00</v>
      </c>
      <c r="J1534" s="26" t="str">
        <f>"44 "</f>
        <v xml:space="preserve">44 </v>
      </c>
      <c r="K1534" s="26" t="str">
        <f>"PR"</f>
        <v>PR</v>
      </c>
      <c r="L1534" s="26" t="str">
        <f>"DGOSE"</f>
        <v>DGOSE</v>
      </c>
      <c r="M1534" s="26" t="str">
        <f t="shared" si="242"/>
        <v>FEDERAL</v>
      </c>
      <c r="N1534" s="26">
        <v>323</v>
      </c>
      <c r="O1534" s="26">
        <v>166</v>
      </c>
      <c r="P1534" s="26">
        <v>157</v>
      </c>
      <c r="Q1534" s="26">
        <v>10</v>
      </c>
      <c r="R1534" s="26">
        <v>1</v>
      </c>
      <c r="S1534" s="26">
        <v>10</v>
      </c>
      <c r="T1534" s="26">
        <v>7</v>
      </c>
      <c r="U1534" s="26">
        <v>18</v>
      </c>
      <c r="V1534" s="26">
        <v>1</v>
      </c>
      <c r="W1534" s="26" t="s">
        <v>2076</v>
      </c>
    </row>
    <row r="1535" spans="1:23" x14ac:dyDescent="0.25">
      <c r="A1535" s="26" t="str">
        <f t="shared" si="240"/>
        <v>PRIMARIA</v>
      </c>
      <c r="B1535" s="26" t="str">
        <f>"09DPR2861H"</f>
        <v>09DPR2861H</v>
      </c>
      <c r="C1535" s="26" t="str">
        <f>"SIERRA LEONA                                                                                        "</f>
        <v xml:space="preserve">SIERRA LEONA                                                                                        </v>
      </c>
      <c r="D1535" s="26" t="str">
        <f>"MATUTINO"</f>
        <v>MATUTINO</v>
      </c>
      <c r="E1535" s="26" t="str">
        <f>"AV NUEVO MEXICO NUM 2                                                           "</f>
        <v xml:space="preserve">AV NUEVO MEXICO NUM 2                                                           </v>
      </c>
      <c r="F1535" s="26" t="str">
        <f>"SAN JERONIMO MIACATLAN                                                                                                                      "</f>
        <v xml:space="preserve">SAN JERONIMO MIACATLAN                                                                                                                      </v>
      </c>
      <c r="G1535" s="26" t="str">
        <f>"MILPA ALTA                                                                      "</f>
        <v xml:space="preserve">MILPA ALTA                                                                      </v>
      </c>
      <c r="H1535" s="26" t="str">
        <f>"562"</f>
        <v>562</v>
      </c>
      <c r="I1535" s="26" t="str">
        <f t="shared" si="241"/>
        <v>00</v>
      </c>
      <c r="J1535" s="26" t="str">
        <f>"45 "</f>
        <v xml:space="preserve">45 </v>
      </c>
      <c r="K1535" s="26" t="str">
        <f>"PR"</f>
        <v>PR</v>
      </c>
      <c r="L1535" s="26" t="str">
        <f>"DGOSE"</f>
        <v>DGOSE</v>
      </c>
      <c r="M1535" s="26" t="str">
        <f t="shared" si="242"/>
        <v>FEDERAL</v>
      </c>
      <c r="N1535" s="26">
        <v>238</v>
      </c>
      <c r="O1535" s="26">
        <v>128</v>
      </c>
      <c r="P1535" s="26">
        <v>110</v>
      </c>
      <c r="Q1535" s="26">
        <v>8</v>
      </c>
      <c r="R1535" s="26">
        <v>1</v>
      </c>
      <c r="S1535" s="26">
        <v>8</v>
      </c>
      <c r="T1535" s="26">
        <v>6</v>
      </c>
      <c r="U1535" s="26">
        <v>15</v>
      </c>
      <c r="V1535" s="26">
        <v>1</v>
      </c>
      <c r="W1535" s="26"/>
    </row>
    <row r="1536" spans="1:23" x14ac:dyDescent="0.25">
      <c r="A1536" s="26" t="str">
        <f t="shared" si="240"/>
        <v>PRIMARIA</v>
      </c>
      <c r="B1536" s="26" t="str">
        <f>"09DPR2862G"</f>
        <v>09DPR2862G</v>
      </c>
      <c r="C1536" s="26" t="str">
        <f>"ENRIQUE LAUBSCHER                                                                                   "</f>
        <v xml:space="preserve">ENRIQUE LAUBSCHER                                                                                   </v>
      </c>
      <c r="D1536" s="26" t="str">
        <f>"VESPERTINO"</f>
        <v>VESPERTINO</v>
      </c>
      <c r="E1536" s="26" t="str">
        <f>"MANUEL GONZALEZ NO. 134                                                         "</f>
        <v xml:space="preserve">MANUEL GONZALEZ NO. 134                                                         </v>
      </c>
      <c r="F1536" s="26" t="str">
        <f>"SAN LUCAS                                                                                                                                   "</f>
        <v xml:space="preserve">SAN LUCAS                                                                                                                                   </v>
      </c>
      <c r="G1536" s="26" t="str">
        <f>"IZTAPALAPA                                                                      "</f>
        <v xml:space="preserve">IZTAPALAPA                                                                      </v>
      </c>
      <c r="H1536" s="26" t="str">
        <f>"038"</f>
        <v>038</v>
      </c>
      <c r="I1536" s="26" t="str">
        <f t="shared" si="241"/>
        <v>00</v>
      </c>
      <c r="J1536" s="26" t="str">
        <f>"63 "</f>
        <v xml:space="preserve">63 </v>
      </c>
      <c r="K1536" s="26" t="str">
        <f>"IZ"</f>
        <v>IZ</v>
      </c>
      <c r="L1536" s="26" t="str">
        <f>"DGSEI"</f>
        <v>DGSEI</v>
      </c>
      <c r="M1536" s="26" t="str">
        <f t="shared" si="242"/>
        <v>FEDERAL</v>
      </c>
      <c r="N1536" s="26">
        <v>429</v>
      </c>
      <c r="O1536" s="26">
        <v>216</v>
      </c>
      <c r="P1536" s="26">
        <v>213</v>
      </c>
      <c r="Q1536" s="26">
        <v>18</v>
      </c>
      <c r="R1536" s="26">
        <v>1</v>
      </c>
      <c r="S1536" s="26">
        <v>17</v>
      </c>
      <c r="T1536" s="26">
        <v>12</v>
      </c>
      <c r="U1536" s="26">
        <v>30</v>
      </c>
      <c r="V1536" s="26">
        <v>1</v>
      </c>
      <c r="W1536" s="26"/>
    </row>
    <row r="1537" spans="1:23" x14ac:dyDescent="0.25">
      <c r="A1537" s="26" t="str">
        <f t="shared" si="240"/>
        <v>PRIMARIA</v>
      </c>
      <c r="B1537" s="26" t="str">
        <f>"09DPR2864E"</f>
        <v>09DPR2864E</v>
      </c>
      <c r="C1537" s="26" t="str">
        <f>"PLAN DE SAN LUIS                                                                                    "</f>
        <v xml:space="preserve">PLAN DE SAN LUIS                                                                                    </v>
      </c>
      <c r="D1537" s="26" t="str">
        <f>"VESPERTINO"</f>
        <v>VESPERTINO</v>
      </c>
      <c r="E1537" s="26" t="str">
        <f>"AV. JUAREZ NO. 4                                                                "</f>
        <v xml:space="preserve">AV. JUAREZ NO. 4                                                                </v>
      </c>
      <c r="F1537" s="26" t="str">
        <f>"LOS REYES                                                                                                                                   "</f>
        <v xml:space="preserve">LOS REYES                                                                                                                                   </v>
      </c>
      <c r="G1537" s="26" t="str">
        <f>"IZTAPALAPA                                                                      "</f>
        <v xml:space="preserve">IZTAPALAPA                                                                      </v>
      </c>
      <c r="H1537" s="26" t="str">
        <f>"035"</f>
        <v>035</v>
      </c>
      <c r="I1537" s="26" t="str">
        <f t="shared" si="241"/>
        <v>00</v>
      </c>
      <c r="J1537" s="26" t="str">
        <f>"63 "</f>
        <v xml:space="preserve">63 </v>
      </c>
      <c r="K1537" s="26" t="str">
        <f>"IZ"</f>
        <v>IZ</v>
      </c>
      <c r="L1537" s="26" t="str">
        <f>"DGSEI"</f>
        <v>DGSEI</v>
      </c>
      <c r="M1537" s="26" t="str">
        <f t="shared" si="242"/>
        <v>FEDERAL</v>
      </c>
      <c r="N1537" s="26">
        <v>286</v>
      </c>
      <c r="O1537" s="26">
        <v>176</v>
      </c>
      <c r="P1537" s="26">
        <v>110</v>
      </c>
      <c r="Q1537" s="26">
        <v>14</v>
      </c>
      <c r="R1537" s="26">
        <v>1</v>
      </c>
      <c r="S1537" s="26">
        <v>14</v>
      </c>
      <c r="T1537" s="26">
        <v>8</v>
      </c>
      <c r="U1537" s="26">
        <v>23</v>
      </c>
      <c r="V1537" s="26">
        <v>1</v>
      </c>
      <c r="W1537" s="26"/>
    </row>
    <row r="1538" spans="1:23" x14ac:dyDescent="0.25">
      <c r="A1538" s="26" t="str">
        <f t="shared" ref="A1538:A1601" si="248">"PRIMARIA"</f>
        <v>PRIMARIA</v>
      </c>
      <c r="B1538" s="26" t="str">
        <f>"09DPR2865D"</f>
        <v>09DPR2865D</v>
      </c>
      <c r="C1538" s="26" t="str">
        <f>"GENOVEVA CORTES                                                                                     "</f>
        <v xml:space="preserve">GENOVEVA CORTES                                                                                     </v>
      </c>
      <c r="D1538" s="26" t="str">
        <f>"MATUTINO"</f>
        <v>MATUTINO</v>
      </c>
      <c r="E1538" s="26" t="str">
        <f>"VILLA ASCASURI Y MANUEL CAÑAS                                                   "</f>
        <v xml:space="preserve">VILLA ASCASURI Y MANUEL CAÑAS                                                   </v>
      </c>
      <c r="F1538" s="26" t="str">
        <f>"DESARROLLO URBANO QUETZALCOATL                                                                                                              "</f>
        <v xml:space="preserve">DESARROLLO URBANO QUETZALCOATL                                                                                                              </v>
      </c>
      <c r="G1538" s="26" t="str">
        <f>"IZTAPALAPA                                                                      "</f>
        <v xml:space="preserve">IZTAPALAPA                                                                      </v>
      </c>
      <c r="H1538" s="26" t="str">
        <f>"054"</f>
        <v>054</v>
      </c>
      <c r="I1538" s="26" t="str">
        <f t="shared" ref="I1538:I1601" si="249">"00"</f>
        <v>00</v>
      </c>
      <c r="J1538" s="26" t="str">
        <f>"64 "</f>
        <v xml:space="preserve">64 </v>
      </c>
      <c r="K1538" s="26" t="str">
        <f>"IZ"</f>
        <v>IZ</v>
      </c>
      <c r="L1538" s="26" t="str">
        <f>"DGSEI"</f>
        <v>DGSEI</v>
      </c>
      <c r="M1538" s="26" t="str">
        <f t="shared" ref="M1538:M1601" si="250">"FEDERAL"</f>
        <v>FEDERAL</v>
      </c>
      <c r="N1538" s="26">
        <v>649</v>
      </c>
      <c r="O1538" s="26">
        <v>338</v>
      </c>
      <c r="P1538" s="26">
        <v>311</v>
      </c>
      <c r="Q1538" s="26">
        <v>18</v>
      </c>
      <c r="R1538" s="26">
        <v>1</v>
      </c>
      <c r="S1538" s="26">
        <v>18</v>
      </c>
      <c r="T1538" s="26">
        <v>8</v>
      </c>
      <c r="U1538" s="26">
        <v>27</v>
      </c>
      <c r="V1538" s="26">
        <v>1</v>
      </c>
      <c r="W1538" s="26"/>
    </row>
    <row r="1539" spans="1:23" x14ac:dyDescent="0.25">
      <c r="A1539" s="26" t="str">
        <f t="shared" si="248"/>
        <v>PRIMARIA</v>
      </c>
      <c r="B1539" s="26" t="str">
        <f>"09DPR2870P"</f>
        <v>09DPR2870P</v>
      </c>
      <c r="C1539" s="26" t="str">
        <f>"MARGARITA MAGON DE FLORES                                                                           "</f>
        <v xml:space="preserve">MARGARITA MAGON DE FLORES                                                                           </v>
      </c>
      <c r="D1539" s="26" t="str">
        <f>"MATUTINO"</f>
        <v>MATUTINO</v>
      </c>
      <c r="E1539" s="26" t="str">
        <f>"AV HIDALGO S/N                                                                  "</f>
        <v xml:space="preserve">AV HIDALGO S/N                                                                  </v>
      </c>
      <c r="F1539" s="26" t="str">
        <f>"SAN LORENZO ATEMOAYA                                                                                                                        "</f>
        <v xml:space="preserve">SAN LORENZO ATEMOAYA                                                                                                                        </v>
      </c>
      <c r="G1539" s="26" t="str">
        <f>"XOCHIMILCO                                                                      "</f>
        <v xml:space="preserve">XOCHIMILCO                                                                      </v>
      </c>
      <c r="H1539" s="26" t="str">
        <f>"540"</f>
        <v>540</v>
      </c>
      <c r="I1539" s="26" t="str">
        <f t="shared" si="249"/>
        <v>00</v>
      </c>
      <c r="J1539" s="26" t="str">
        <f>"45 "</f>
        <v xml:space="preserve">45 </v>
      </c>
      <c r="K1539" s="26" t="str">
        <f t="shared" ref="K1539:K1545" si="251">"PR"</f>
        <v>PR</v>
      </c>
      <c r="L1539" s="26" t="str">
        <f t="shared" ref="L1539:L1545" si="252">"DGOSE"</f>
        <v>DGOSE</v>
      </c>
      <c r="M1539" s="26" t="str">
        <f t="shared" si="250"/>
        <v>FEDERAL</v>
      </c>
      <c r="N1539" s="26">
        <v>661</v>
      </c>
      <c r="O1539" s="26">
        <v>325</v>
      </c>
      <c r="P1539" s="26">
        <v>336</v>
      </c>
      <c r="Q1539" s="26">
        <v>18</v>
      </c>
      <c r="R1539" s="26">
        <v>1</v>
      </c>
      <c r="S1539" s="26">
        <v>16</v>
      </c>
      <c r="T1539" s="26">
        <v>11</v>
      </c>
      <c r="U1539" s="26">
        <v>28</v>
      </c>
      <c r="V1539" s="26">
        <v>1</v>
      </c>
      <c r="W1539" s="26"/>
    </row>
    <row r="1540" spans="1:23" x14ac:dyDescent="0.25">
      <c r="A1540" s="26" t="str">
        <f t="shared" si="248"/>
        <v>PRIMARIA</v>
      </c>
      <c r="B1540" s="26" t="str">
        <f>"09DPR2871O"</f>
        <v>09DPR2871O</v>
      </c>
      <c r="C1540" s="26" t="str">
        <f>"ING. JOSE LOPEZ PORTILLO Y WEBER                                                                    "</f>
        <v xml:space="preserve">ING. JOSE LOPEZ PORTILLO Y WEBER                                                                    </v>
      </c>
      <c r="D1540" s="26" t="str">
        <f>"JORNADA AMPLIADA"</f>
        <v>JORNADA AMPLIADA</v>
      </c>
      <c r="E1540" s="26" t="str">
        <f>"EJIDO DE SANTA URSULA NO 105                                                    "</f>
        <v xml:space="preserve">EJIDO DE SANTA URSULA NO 105                                                    </v>
      </c>
      <c r="F1540" s="26" t="str">
        <f>"SAN FRANCISCO CULHUACAN                                                                                                                     "</f>
        <v xml:space="preserve">SAN FRANCISCO CULHUACAN                                                                                                                     </v>
      </c>
      <c r="G1540" s="26" t="str">
        <f>"COYOACAN                                                                        "</f>
        <v xml:space="preserve">COYOACAN                                                                        </v>
      </c>
      <c r="H1540" s="26" t="str">
        <f>"439"</f>
        <v>439</v>
      </c>
      <c r="I1540" s="26" t="str">
        <f t="shared" si="249"/>
        <v>00</v>
      </c>
      <c r="J1540" s="26" t="str">
        <f>"44 "</f>
        <v xml:space="preserve">44 </v>
      </c>
      <c r="K1540" s="26" t="str">
        <f t="shared" si="251"/>
        <v>PR</v>
      </c>
      <c r="L1540" s="26" t="str">
        <f t="shared" si="252"/>
        <v>DGOSE</v>
      </c>
      <c r="M1540" s="26" t="str">
        <f t="shared" si="250"/>
        <v>FEDERAL</v>
      </c>
      <c r="N1540" s="26">
        <v>544</v>
      </c>
      <c r="O1540" s="26">
        <v>273</v>
      </c>
      <c r="P1540" s="26">
        <v>271</v>
      </c>
      <c r="Q1540" s="26">
        <v>18</v>
      </c>
      <c r="R1540" s="26">
        <v>1</v>
      </c>
      <c r="S1540" s="26">
        <v>18</v>
      </c>
      <c r="T1540" s="26">
        <v>12</v>
      </c>
      <c r="U1540" s="26">
        <v>31</v>
      </c>
      <c r="V1540" s="26">
        <v>1</v>
      </c>
      <c r="W1540" s="26" t="s">
        <v>2076</v>
      </c>
    </row>
    <row r="1541" spans="1:23" x14ac:dyDescent="0.25">
      <c r="A1541" s="26" t="str">
        <f t="shared" si="248"/>
        <v>PRIMARIA</v>
      </c>
      <c r="B1541" s="26" t="str">
        <f>"09DPR2876J"</f>
        <v>09DPR2876J</v>
      </c>
      <c r="C1541" s="26" t="str">
        <f>"ERMILO ABREU GOMEZ                                                                                  "</f>
        <v xml:space="preserve">ERMILO ABREU GOMEZ                                                                                  </v>
      </c>
      <c r="D1541" s="26" t="str">
        <f>"MATUTINO"</f>
        <v>MATUTINO</v>
      </c>
      <c r="E1541" s="26" t="str">
        <f>"AV 679 NUM 45                                                                   "</f>
        <v xml:space="preserve">AV 679 NUM 45                                                                   </v>
      </c>
      <c r="F1541" s="26" t="str">
        <f>"CTM SAN JUAN DE ARAGON                                                                                                                      "</f>
        <v xml:space="preserve">CTM SAN JUAN DE ARAGON                                                                                                                      </v>
      </c>
      <c r="G1541" s="26" t="str">
        <f>"GUSTAVO A. MADERO                                                               "</f>
        <v xml:space="preserve">GUSTAVO A. MADERO                                                               </v>
      </c>
      <c r="H1541" s="26" t="str">
        <f>"271"</f>
        <v>271</v>
      </c>
      <c r="I1541" s="26" t="str">
        <f t="shared" si="249"/>
        <v>00</v>
      </c>
      <c r="J1541" s="26" t="str">
        <f>"42 "</f>
        <v xml:space="preserve">42 </v>
      </c>
      <c r="K1541" s="26" t="str">
        <f t="shared" si="251"/>
        <v>PR</v>
      </c>
      <c r="L1541" s="26" t="str">
        <f t="shared" si="252"/>
        <v>DGOSE</v>
      </c>
      <c r="M1541" s="26" t="str">
        <f t="shared" si="250"/>
        <v>FEDERAL</v>
      </c>
      <c r="N1541" s="26">
        <v>512</v>
      </c>
      <c r="O1541" s="26">
        <v>271</v>
      </c>
      <c r="P1541" s="26">
        <v>241</v>
      </c>
      <c r="Q1541" s="26">
        <v>18</v>
      </c>
      <c r="R1541" s="26">
        <v>1</v>
      </c>
      <c r="S1541" s="26">
        <v>18</v>
      </c>
      <c r="T1541" s="26">
        <v>9</v>
      </c>
      <c r="U1541" s="26">
        <v>28</v>
      </c>
      <c r="V1541" s="26">
        <v>1</v>
      </c>
      <c r="W1541" s="26"/>
    </row>
    <row r="1542" spans="1:23" x14ac:dyDescent="0.25">
      <c r="A1542" s="26" t="str">
        <f t="shared" si="248"/>
        <v>PRIMARIA</v>
      </c>
      <c r="B1542" s="26" t="str">
        <f>"09DPR2878H"</f>
        <v>09DPR2878H</v>
      </c>
      <c r="C1542" s="26" t="str">
        <f>"REPUBLICA DE BOLIVIA                                                                                "</f>
        <v xml:space="preserve">REPUBLICA DE BOLIVIA                                                                                </v>
      </c>
      <c r="D1542" s="26" t="str">
        <f>"JORNADA AMPLIADA"</f>
        <v>JORNADA AMPLIADA</v>
      </c>
      <c r="E1542" s="26" t="str">
        <f>"TRES GUERRAS NO 17                                                              "</f>
        <v xml:space="preserve">TRES GUERRAS NO 17                                                              </v>
      </c>
      <c r="F1542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1542" s="26" t="str">
        <f>"CUAUHTEMOC                                                                      "</f>
        <v xml:space="preserve">CUAUHTEMOC                                                                      </v>
      </c>
      <c r="H1542" s="26" t="str">
        <f>"124"</f>
        <v>124</v>
      </c>
      <c r="I1542" s="26" t="str">
        <f t="shared" si="249"/>
        <v>00</v>
      </c>
      <c r="J1542" s="26" t="str">
        <f>"41 "</f>
        <v xml:space="preserve">41 </v>
      </c>
      <c r="K1542" s="26" t="str">
        <f t="shared" si="251"/>
        <v>PR</v>
      </c>
      <c r="L1542" s="26" t="str">
        <f t="shared" si="252"/>
        <v>DGOSE</v>
      </c>
      <c r="M1542" s="26" t="str">
        <f t="shared" si="250"/>
        <v>FEDERAL</v>
      </c>
      <c r="N1542" s="26">
        <v>240</v>
      </c>
      <c r="O1542" s="26">
        <v>133</v>
      </c>
      <c r="P1542" s="26">
        <v>107</v>
      </c>
      <c r="Q1542" s="26">
        <v>12</v>
      </c>
      <c r="R1542" s="26">
        <v>1</v>
      </c>
      <c r="S1542" s="26">
        <v>12</v>
      </c>
      <c r="T1542" s="26">
        <v>9</v>
      </c>
      <c r="U1542" s="26">
        <v>22</v>
      </c>
      <c r="V1542" s="26">
        <v>1</v>
      </c>
      <c r="W1542" s="26" t="s">
        <v>2076</v>
      </c>
    </row>
    <row r="1543" spans="1:23" x14ac:dyDescent="0.25">
      <c r="A1543" s="26" t="str">
        <f t="shared" si="248"/>
        <v>PRIMARIA</v>
      </c>
      <c r="B1543" s="26" t="str">
        <f>"09DPR2879G"</f>
        <v>09DPR2879G</v>
      </c>
      <c r="C1543" s="26" t="str">
        <f>"JESUS MASTACHE ROMAN                                                                                "</f>
        <v xml:space="preserve">JESUS MASTACHE ROMAN                                                                                </v>
      </c>
      <c r="D1543" s="26" t="str">
        <f>"TIEMPO COMPLETO"</f>
        <v>TIEMPO COMPLETO</v>
      </c>
      <c r="E1543" s="26" t="str">
        <f>"VALENTIN GOMEZ FARIAS 29                                                        "</f>
        <v xml:space="preserve">VALENTIN GOMEZ FARIAS 29                                                        </v>
      </c>
      <c r="F1543" s="26" t="str">
        <f>"BENITO JUAREZ  FRACCIONAMIENTO                                                                                                              "</f>
        <v xml:space="preserve">BENITO JUAREZ  FRACCIONAMIENTO                                                                                                              </v>
      </c>
      <c r="G1543" s="26" t="str">
        <f>"IZTACALCO                                                                       "</f>
        <v xml:space="preserve">IZTACALCO                                                                       </v>
      </c>
      <c r="H1543" s="26" t="str">
        <f>"432"</f>
        <v>432</v>
      </c>
      <c r="I1543" s="26" t="str">
        <f t="shared" si="249"/>
        <v>00</v>
      </c>
      <c r="J1543" s="26" t="str">
        <f>"44 "</f>
        <v xml:space="preserve">44 </v>
      </c>
      <c r="K1543" s="26" t="str">
        <f t="shared" si="251"/>
        <v>PR</v>
      </c>
      <c r="L1543" s="26" t="str">
        <f t="shared" si="252"/>
        <v>DGOSE</v>
      </c>
      <c r="M1543" s="26" t="str">
        <f t="shared" si="250"/>
        <v>FEDERAL</v>
      </c>
      <c r="N1543" s="26">
        <v>229</v>
      </c>
      <c r="O1543" s="26">
        <v>111</v>
      </c>
      <c r="P1543" s="26">
        <v>118</v>
      </c>
      <c r="Q1543" s="26">
        <v>8</v>
      </c>
      <c r="R1543" s="26">
        <v>1</v>
      </c>
      <c r="S1543" s="26">
        <v>8</v>
      </c>
      <c r="T1543" s="26">
        <v>10</v>
      </c>
      <c r="U1543" s="26">
        <v>19</v>
      </c>
      <c r="V1543" s="26">
        <v>1</v>
      </c>
      <c r="W1543" s="26" t="s">
        <v>218</v>
      </c>
    </row>
    <row r="1544" spans="1:23" x14ac:dyDescent="0.25">
      <c r="A1544" s="26" t="str">
        <f t="shared" si="248"/>
        <v>PRIMARIA</v>
      </c>
      <c r="B1544" s="26" t="str">
        <f>"09DPR2882U"</f>
        <v>09DPR2882U</v>
      </c>
      <c r="C1544" s="26" t="str">
        <f>"PRESIDENTES DE MEXICO                                                                               "</f>
        <v xml:space="preserve">PRESIDENTES DE MEXICO                                                                               </v>
      </c>
      <c r="D1544" s="26" t="str">
        <f>"TIEMPO COMPLETO"</f>
        <v>TIEMPO COMPLETO</v>
      </c>
      <c r="E1544" s="26" t="str">
        <f>"ALEUTIANAS S/N Y AV. CEYLAN                                                     "</f>
        <v xml:space="preserve">ALEUTIANAS S/N Y AV. CEYLAN                                                     </v>
      </c>
      <c r="F1544" s="26" t="str">
        <f>"POTRERO DEL LLANO                                                                                                                           "</f>
        <v xml:space="preserve">POTRERO DEL LLANO                                                                                                                           </v>
      </c>
      <c r="G1544" s="26" t="str">
        <f>"AZCAPOTZALCO                                                                    "</f>
        <v xml:space="preserve">AZCAPOTZALCO                                                                    </v>
      </c>
      <c r="H1544" s="26" t="str">
        <f>"104"</f>
        <v>104</v>
      </c>
      <c r="I1544" s="26" t="str">
        <f t="shared" si="249"/>
        <v>00</v>
      </c>
      <c r="J1544" s="26" t="str">
        <f>"41 "</f>
        <v xml:space="preserve">41 </v>
      </c>
      <c r="K1544" s="26" t="str">
        <f t="shared" si="251"/>
        <v>PR</v>
      </c>
      <c r="L1544" s="26" t="str">
        <f t="shared" si="252"/>
        <v>DGOSE</v>
      </c>
      <c r="M1544" s="26" t="str">
        <f t="shared" si="250"/>
        <v>FEDERAL</v>
      </c>
      <c r="N1544" s="26">
        <v>348</v>
      </c>
      <c r="O1544" s="26">
        <v>180</v>
      </c>
      <c r="P1544" s="26">
        <v>168</v>
      </c>
      <c r="Q1544" s="26">
        <v>12</v>
      </c>
      <c r="R1544" s="26">
        <v>1</v>
      </c>
      <c r="S1544" s="26">
        <v>12</v>
      </c>
      <c r="T1544" s="26">
        <v>15</v>
      </c>
      <c r="U1544" s="26">
        <v>28</v>
      </c>
      <c r="V1544" s="26">
        <v>1</v>
      </c>
      <c r="W1544" s="26" t="s">
        <v>218</v>
      </c>
    </row>
    <row r="1545" spans="1:23" x14ac:dyDescent="0.25">
      <c r="A1545" s="26" t="str">
        <f t="shared" si="248"/>
        <v>PRIMARIA</v>
      </c>
      <c r="B1545" s="26" t="str">
        <f>"09DPR2883T"</f>
        <v>09DPR2883T</v>
      </c>
      <c r="C1545" s="26" t="str">
        <f>"ERMILO ABREU GOMEZ                                                                                  "</f>
        <v xml:space="preserve">ERMILO ABREU GOMEZ                                                                                  </v>
      </c>
      <c r="D1545" s="26" t="str">
        <f>"VESPERTINO"</f>
        <v>VESPERTINO</v>
      </c>
      <c r="E1545" s="26" t="str">
        <f>"AV 679 NUM 45                                                                   "</f>
        <v xml:space="preserve">AV 679 NUM 45                                                                   </v>
      </c>
      <c r="F1545" s="26" t="str">
        <f>"CTM SAN JUAN DE ARAGON                                                                                                                      "</f>
        <v xml:space="preserve">CTM SAN JUAN DE ARAGON                                                                                                                      </v>
      </c>
      <c r="G1545" s="26" t="str">
        <f>"GUSTAVO A. MADERO                                                               "</f>
        <v xml:space="preserve">GUSTAVO A. MADERO                                                               </v>
      </c>
      <c r="H1545" s="26" t="str">
        <f>"271"</f>
        <v>271</v>
      </c>
      <c r="I1545" s="26" t="str">
        <f t="shared" si="249"/>
        <v>00</v>
      </c>
      <c r="J1545" s="26" t="str">
        <f>"42 "</f>
        <v xml:space="preserve">42 </v>
      </c>
      <c r="K1545" s="26" t="str">
        <f t="shared" si="251"/>
        <v>PR</v>
      </c>
      <c r="L1545" s="26" t="str">
        <f t="shared" si="252"/>
        <v>DGOSE</v>
      </c>
      <c r="M1545" s="26" t="str">
        <f t="shared" si="250"/>
        <v>FEDERAL</v>
      </c>
      <c r="N1545" s="26">
        <v>157</v>
      </c>
      <c r="O1545" s="26">
        <v>85</v>
      </c>
      <c r="P1545" s="26">
        <v>72</v>
      </c>
      <c r="Q1545" s="26">
        <v>8</v>
      </c>
      <c r="R1545" s="26">
        <v>1</v>
      </c>
      <c r="S1545" s="26">
        <v>8</v>
      </c>
      <c r="T1545" s="26">
        <v>6</v>
      </c>
      <c r="U1545" s="26">
        <v>15</v>
      </c>
      <c r="V1545" s="26">
        <v>1</v>
      </c>
      <c r="W1545" s="26"/>
    </row>
    <row r="1546" spans="1:23" x14ac:dyDescent="0.25">
      <c r="A1546" s="26" t="str">
        <f t="shared" si="248"/>
        <v>PRIMARIA</v>
      </c>
      <c r="B1546" s="26" t="str">
        <f>"09DPR2888O"</f>
        <v>09DPR2888O</v>
      </c>
      <c r="C1546" s="26" t="str">
        <f>"MARIA ENRIQUETA CAMARILLO                                                                           "</f>
        <v xml:space="preserve">MARIA ENRIQUETA CAMARILLO                                                                           </v>
      </c>
      <c r="D1546" s="26" t="str">
        <f>"VESPERTINO"</f>
        <v>VESPERTINO</v>
      </c>
      <c r="E1546" s="26" t="str">
        <f>"ANDADOR PONCE DE LEON NO. 58                                                    "</f>
        <v xml:space="preserve">ANDADOR PONCE DE LEON NO. 58                                                    </v>
      </c>
      <c r="F1546" s="26" t="str">
        <f>"CONJUNTO URBANO POPULAR ERMITA ZARA                                                                                                         "</f>
        <v xml:space="preserve">CONJUNTO URBANO POPULAR ERMITA ZARA                                                                                                         </v>
      </c>
      <c r="G1546" s="26" t="str">
        <f>"IZTAPALAPA                                                                      "</f>
        <v xml:space="preserve">IZTAPALAPA                                                                      </v>
      </c>
      <c r="H1546" s="26" t="str">
        <f>"032"</f>
        <v>032</v>
      </c>
      <c r="I1546" s="26" t="str">
        <f t="shared" si="249"/>
        <v>00</v>
      </c>
      <c r="J1546" s="26" t="str">
        <f>"62 "</f>
        <v xml:space="preserve">62 </v>
      </c>
      <c r="K1546" s="26" t="str">
        <f>"IZ"</f>
        <v>IZ</v>
      </c>
      <c r="L1546" s="26" t="str">
        <f>"DGSEI"</f>
        <v>DGSEI</v>
      </c>
      <c r="M1546" s="26" t="str">
        <f t="shared" si="250"/>
        <v>FEDERAL</v>
      </c>
      <c r="N1546" s="26">
        <v>108</v>
      </c>
      <c r="O1546" s="26">
        <v>59</v>
      </c>
      <c r="P1546" s="26">
        <v>49</v>
      </c>
      <c r="Q1546" s="26">
        <v>6</v>
      </c>
      <c r="R1546" s="26">
        <v>1</v>
      </c>
      <c r="S1546" s="26">
        <v>6</v>
      </c>
      <c r="T1546" s="26">
        <v>5</v>
      </c>
      <c r="U1546" s="26">
        <v>12</v>
      </c>
      <c r="V1546" s="26">
        <v>1</v>
      </c>
      <c r="W1546" s="26"/>
    </row>
    <row r="1547" spans="1:23" x14ac:dyDescent="0.25">
      <c r="A1547" s="26" t="str">
        <f t="shared" si="248"/>
        <v>PRIMARIA</v>
      </c>
      <c r="B1547" s="26" t="str">
        <f>"09DPR2889N"</f>
        <v>09DPR2889N</v>
      </c>
      <c r="C1547" s="26" t="str">
        <f>"REPUBLICA DEL ECUADOR                                                                               "</f>
        <v xml:space="preserve">REPUBLICA DEL ECUADOR                                                                               </v>
      </c>
      <c r="D1547" s="26" t="str">
        <f>"JORNADA AMPLIADA"</f>
        <v>JORNADA AMPLIADA</v>
      </c>
      <c r="E1547" s="26" t="str">
        <f>"SUR 105 Y PROLONG LUCAS ALAMAN S/N                                              "</f>
        <v xml:space="preserve">SUR 105 Y PROLONG LUCAS ALAMAN S/N                                              </v>
      </c>
      <c r="F1547" s="26" t="str">
        <f>"AERONAUTICA MILITAR                                                                                                                         "</f>
        <v xml:space="preserve">AERONAUTICA MILITAR                                                                                                                         </v>
      </c>
      <c r="G1547" s="26" t="str">
        <f>"VENUSTIANO CARRANZA                                                             "</f>
        <v xml:space="preserve">VENUSTIANO CARRANZA                                                             </v>
      </c>
      <c r="H1547" s="26" t="str">
        <f>"424"</f>
        <v>424</v>
      </c>
      <c r="I1547" s="26" t="str">
        <f t="shared" si="249"/>
        <v>00</v>
      </c>
      <c r="J1547" s="26" t="str">
        <f>"44 "</f>
        <v xml:space="preserve">44 </v>
      </c>
      <c r="K1547" s="26" t="str">
        <f>"PR"</f>
        <v>PR</v>
      </c>
      <c r="L1547" s="26" t="str">
        <f>"DGOSE"</f>
        <v>DGOSE</v>
      </c>
      <c r="M1547" s="26" t="str">
        <f t="shared" si="250"/>
        <v>FEDERAL</v>
      </c>
      <c r="N1547" s="26">
        <v>352</v>
      </c>
      <c r="O1547" s="26">
        <v>167</v>
      </c>
      <c r="P1547" s="26">
        <v>185</v>
      </c>
      <c r="Q1547" s="26">
        <v>12</v>
      </c>
      <c r="R1547" s="26">
        <v>1</v>
      </c>
      <c r="S1547" s="26">
        <v>12</v>
      </c>
      <c r="T1547" s="26">
        <v>11</v>
      </c>
      <c r="U1547" s="26">
        <v>24</v>
      </c>
      <c r="V1547" s="26">
        <v>1</v>
      </c>
      <c r="W1547" s="26" t="s">
        <v>2076</v>
      </c>
    </row>
    <row r="1548" spans="1:23" x14ac:dyDescent="0.25">
      <c r="A1548" s="26" t="str">
        <f t="shared" si="248"/>
        <v>PRIMARIA</v>
      </c>
      <c r="B1548" s="26" t="str">
        <f>"09DPR2891B"</f>
        <v>09DPR2891B</v>
      </c>
      <c r="C1548" s="26" t="str">
        <f>"MARIA ENRIQUETA CAMARILLO                                                                           "</f>
        <v xml:space="preserve">MARIA ENRIQUETA CAMARILLO                                                                           </v>
      </c>
      <c r="D1548" s="26" t="str">
        <f>"MATUTINO"</f>
        <v>MATUTINO</v>
      </c>
      <c r="E1548" s="26" t="str">
        <f>"ANDADOR PONCE DE LEON NO. 58                                                    "</f>
        <v xml:space="preserve">ANDADOR PONCE DE LEON NO. 58                                                    </v>
      </c>
      <c r="F1548" s="26" t="str">
        <f>"CONJUNTO URBANO POPULAR ERMITA ZARA                                                                                                         "</f>
        <v xml:space="preserve">CONJUNTO URBANO POPULAR ERMITA ZARA                                                                                                         </v>
      </c>
      <c r="G1548" s="26" t="str">
        <f>"IZTAPALAPA                                                                      "</f>
        <v xml:space="preserve">IZTAPALAPA                                                                      </v>
      </c>
      <c r="H1548" s="26" t="str">
        <f>"032"</f>
        <v>032</v>
      </c>
      <c r="I1548" s="26" t="str">
        <f t="shared" si="249"/>
        <v>00</v>
      </c>
      <c r="J1548" s="26" t="str">
        <f>"62 "</f>
        <v xml:space="preserve">62 </v>
      </c>
      <c r="K1548" s="26" t="str">
        <f>"IZ"</f>
        <v>IZ</v>
      </c>
      <c r="L1548" s="26" t="str">
        <f>"DGSEI"</f>
        <v>DGSEI</v>
      </c>
      <c r="M1548" s="26" t="str">
        <f t="shared" si="250"/>
        <v>FEDERAL</v>
      </c>
      <c r="N1548" s="26">
        <v>314</v>
      </c>
      <c r="O1548" s="26">
        <v>160</v>
      </c>
      <c r="P1548" s="26">
        <v>154</v>
      </c>
      <c r="Q1548" s="26">
        <v>12</v>
      </c>
      <c r="R1548" s="26">
        <v>1</v>
      </c>
      <c r="S1548" s="26">
        <v>12</v>
      </c>
      <c r="T1548" s="26">
        <v>8</v>
      </c>
      <c r="U1548" s="26">
        <v>21</v>
      </c>
      <c r="V1548" s="26">
        <v>1</v>
      </c>
      <c r="W1548" s="26"/>
    </row>
    <row r="1549" spans="1:23" x14ac:dyDescent="0.25">
      <c r="A1549" s="26" t="str">
        <f t="shared" si="248"/>
        <v>PRIMARIA</v>
      </c>
      <c r="B1549" s="26" t="str">
        <f>"09DPR2893Z"</f>
        <v>09DPR2893Z</v>
      </c>
      <c r="C1549" s="26" t="str">
        <f>"MAESTRO MANUEL M CERNA CASTELAZO                                                                    "</f>
        <v xml:space="preserve">MAESTRO MANUEL M CERNA CASTELAZO                                                                    </v>
      </c>
      <c r="D1549" s="26" t="str">
        <f>"TIEMPO COMPLETO"</f>
        <v>TIEMPO COMPLETO</v>
      </c>
      <c r="E1549" s="26" t="str">
        <f>"PLAYA MOCAMBO 400                                                               "</f>
        <v xml:space="preserve">PLAYA MOCAMBO 400                                                               </v>
      </c>
      <c r="F1549" s="26" t="str">
        <f>"MILITAR MARTE                                                                                                                               "</f>
        <v xml:space="preserve">MILITAR MARTE                                                                                                                               </v>
      </c>
      <c r="G1549" s="26" t="str">
        <f t="shared" ref="G1549:G1555" si="253">"IZTACALCO                                                                       "</f>
        <v xml:space="preserve">IZTACALCO                                                                       </v>
      </c>
      <c r="H1549" s="26" t="str">
        <f>"432"</f>
        <v>432</v>
      </c>
      <c r="I1549" s="26" t="str">
        <f t="shared" si="249"/>
        <v>00</v>
      </c>
      <c r="J1549" s="26" t="str">
        <f>"44 "</f>
        <v xml:space="preserve">44 </v>
      </c>
      <c r="K1549" s="26" t="str">
        <f t="shared" ref="K1549:K1556" si="254">"PR"</f>
        <v>PR</v>
      </c>
      <c r="L1549" s="26" t="str">
        <f t="shared" ref="L1549:L1556" si="255">"DGOSE"</f>
        <v>DGOSE</v>
      </c>
      <c r="M1549" s="26" t="str">
        <f t="shared" si="250"/>
        <v>FEDERAL</v>
      </c>
      <c r="N1549" s="26">
        <v>513</v>
      </c>
      <c r="O1549" s="26">
        <v>258</v>
      </c>
      <c r="P1549" s="26">
        <v>255</v>
      </c>
      <c r="Q1549" s="26">
        <v>18</v>
      </c>
      <c r="R1549" s="26">
        <v>1</v>
      </c>
      <c r="S1549" s="26">
        <v>18</v>
      </c>
      <c r="T1549" s="26">
        <v>18</v>
      </c>
      <c r="U1549" s="26">
        <v>37</v>
      </c>
      <c r="V1549" s="26">
        <v>1</v>
      </c>
      <c r="W1549" s="26" t="s">
        <v>218</v>
      </c>
    </row>
    <row r="1550" spans="1:23" x14ac:dyDescent="0.25">
      <c r="A1550" s="26" t="str">
        <f t="shared" si="248"/>
        <v>PRIMARIA</v>
      </c>
      <c r="B1550" s="26" t="str">
        <f>"09DPR2894Z"</f>
        <v>09DPR2894Z</v>
      </c>
      <c r="C1550" s="26" t="str">
        <f>"DAVID ALFARO SIQUEIROS                                                                              "</f>
        <v xml:space="preserve">DAVID ALFARO SIQUEIROS                                                                              </v>
      </c>
      <c r="D1550" s="26" t="str">
        <f>"VESPERTINO"</f>
        <v>VESPERTINO</v>
      </c>
      <c r="E1550" s="26" t="str">
        <f>"C.DE LA RAIZ S/N SECCION CHALUPAS                                               "</f>
        <v xml:space="preserve">C.DE LA RAIZ S/N SECCION CHALUPAS                                               </v>
      </c>
      <c r="F1550" s="26" t="str">
        <f>"UNIDAD HABITACIONAL INFONAVIT                                                                                                               "</f>
        <v xml:space="preserve">UNIDAD HABITACIONAL INFONAVIT                                                                                                               </v>
      </c>
      <c r="G1550" s="26" t="str">
        <f t="shared" si="253"/>
        <v xml:space="preserve">IZTACALCO                                                                       </v>
      </c>
      <c r="H1550" s="26" t="str">
        <f>"360"</f>
        <v>360</v>
      </c>
      <c r="I1550" s="26" t="str">
        <f t="shared" si="249"/>
        <v>00</v>
      </c>
      <c r="J1550" s="26" t="str">
        <f>"43 "</f>
        <v xml:space="preserve">43 </v>
      </c>
      <c r="K1550" s="26" t="str">
        <f t="shared" si="254"/>
        <v>PR</v>
      </c>
      <c r="L1550" s="26" t="str">
        <f t="shared" si="255"/>
        <v>DGOSE</v>
      </c>
      <c r="M1550" s="26" t="str">
        <f t="shared" si="250"/>
        <v>FEDERAL</v>
      </c>
      <c r="N1550" s="26">
        <v>121</v>
      </c>
      <c r="O1550" s="26">
        <v>68</v>
      </c>
      <c r="P1550" s="26">
        <v>53</v>
      </c>
      <c r="Q1550" s="26">
        <v>7</v>
      </c>
      <c r="R1550" s="26">
        <v>1</v>
      </c>
      <c r="S1550" s="26">
        <v>7</v>
      </c>
      <c r="T1550" s="26">
        <v>5</v>
      </c>
      <c r="U1550" s="26">
        <v>13</v>
      </c>
      <c r="V1550" s="26">
        <v>1</v>
      </c>
      <c r="W1550" s="26"/>
    </row>
    <row r="1551" spans="1:23" x14ac:dyDescent="0.25">
      <c r="A1551" s="26" t="str">
        <f t="shared" si="248"/>
        <v>PRIMARIA</v>
      </c>
      <c r="B1551" s="26" t="str">
        <f>"09DPR2895Y"</f>
        <v>09DPR2895Y</v>
      </c>
      <c r="C1551" s="26" t="str">
        <f>"REPUBLICA COSTA DE MARFIL                                                                           "</f>
        <v xml:space="preserve">REPUBLICA COSTA DE MARFIL                                                                           </v>
      </c>
      <c r="D1551" s="26" t="str">
        <f>"TIEMPO COMPLETO"</f>
        <v>TIEMPO COMPLETO</v>
      </c>
      <c r="E1551" s="26" t="str">
        <f>"ORIENTE 116 # 1981                                                              "</f>
        <v xml:space="preserve">ORIENTE 116 # 1981                                                              </v>
      </c>
      <c r="F1551" s="26" t="str">
        <f>"LOS PICOS DE IZTACALCO                                                                                                                      "</f>
        <v xml:space="preserve">LOS PICOS DE IZTACALCO                                                                                                                      </v>
      </c>
      <c r="G1551" s="26" t="str">
        <f t="shared" si="253"/>
        <v xml:space="preserve">IZTACALCO                                                                       </v>
      </c>
      <c r="H1551" s="26" t="str">
        <f>"432"</f>
        <v>432</v>
      </c>
      <c r="I1551" s="26" t="str">
        <f t="shared" si="249"/>
        <v>00</v>
      </c>
      <c r="J1551" s="26" t="str">
        <f>"44 "</f>
        <v xml:space="preserve">44 </v>
      </c>
      <c r="K1551" s="26" t="str">
        <f t="shared" si="254"/>
        <v>PR</v>
      </c>
      <c r="L1551" s="26" t="str">
        <f t="shared" si="255"/>
        <v>DGOSE</v>
      </c>
      <c r="M1551" s="26" t="str">
        <f t="shared" si="250"/>
        <v>FEDERAL</v>
      </c>
      <c r="N1551" s="26">
        <v>447</v>
      </c>
      <c r="O1551" s="26">
        <v>229</v>
      </c>
      <c r="P1551" s="26">
        <v>218</v>
      </c>
      <c r="Q1551" s="26">
        <v>15</v>
      </c>
      <c r="R1551" s="26">
        <v>1</v>
      </c>
      <c r="S1551" s="26">
        <v>15</v>
      </c>
      <c r="T1551" s="26">
        <v>16</v>
      </c>
      <c r="U1551" s="26">
        <v>32</v>
      </c>
      <c r="V1551" s="26">
        <v>1</v>
      </c>
      <c r="W1551" s="26" t="s">
        <v>218</v>
      </c>
    </row>
    <row r="1552" spans="1:23" x14ac:dyDescent="0.25">
      <c r="A1552" s="26" t="str">
        <f t="shared" si="248"/>
        <v>PRIMARIA</v>
      </c>
      <c r="B1552" s="26" t="str">
        <f>"09DPR2896X"</f>
        <v>09DPR2896X</v>
      </c>
      <c r="C1552" s="26" t="str">
        <f>"CANADA                                                                                              "</f>
        <v xml:space="preserve">CANADA                                                                                              </v>
      </c>
      <c r="D1552" s="26" t="str">
        <f>"MATUTINO"</f>
        <v>MATUTINO</v>
      </c>
      <c r="E1552" s="26" t="str">
        <f>"ORIENTE 120 No.2870                                                             "</f>
        <v xml:space="preserve">ORIENTE 120 No.2870                                                             </v>
      </c>
      <c r="F1552" s="26" t="str">
        <f>"GABRIEL RAMOS MILLAN AMPLIACION                                                                                                             "</f>
        <v xml:space="preserve">GABRIEL RAMOS MILLAN AMPLIACION                                                                                                             </v>
      </c>
      <c r="G1552" s="26" t="str">
        <f t="shared" si="253"/>
        <v xml:space="preserve">IZTACALCO                                                                       </v>
      </c>
      <c r="H1552" s="26" t="str">
        <f>"358"</f>
        <v>358</v>
      </c>
      <c r="I1552" s="26" t="str">
        <f t="shared" si="249"/>
        <v>00</v>
      </c>
      <c r="J1552" s="26" t="str">
        <f>"43 "</f>
        <v xml:space="preserve">43 </v>
      </c>
      <c r="K1552" s="26" t="str">
        <f t="shared" si="254"/>
        <v>PR</v>
      </c>
      <c r="L1552" s="26" t="str">
        <f t="shared" si="255"/>
        <v>DGOSE</v>
      </c>
      <c r="M1552" s="26" t="str">
        <f t="shared" si="250"/>
        <v>FEDERAL</v>
      </c>
      <c r="N1552" s="26">
        <v>311</v>
      </c>
      <c r="O1552" s="26">
        <v>160</v>
      </c>
      <c r="P1552" s="26">
        <v>151</v>
      </c>
      <c r="Q1552" s="26">
        <v>12</v>
      </c>
      <c r="R1552" s="26">
        <v>1</v>
      </c>
      <c r="S1552" s="26">
        <v>12</v>
      </c>
      <c r="T1552" s="26">
        <v>7</v>
      </c>
      <c r="U1552" s="26">
        <v>20</v>
      </c>
      <c r="V1552" s="26">
        <v>1</v>
      </c>
      <c r="W1552" s="26"/>
    </row>
    <row r="1553" spans="1:23" x14ac:dyDescent="0.25">
      <c r="A1553" s="26" t="str">
        <f t="shared" si="248"/>
        <v>PRIMARIA</v>
      </c>
      <c r="B1553" s="26" t="str">
        <f>"09DPR2897W"</f>
        <v>09DPR2897W</v>
      </c>
      <c r="C1553" s="26" t="str">
        <f>"ARQUELES VELA SALVATIERRA                                                                           "</f>
        <v xml:space="preserve">ARQUELES VELA SALVATIERRA                                                                           </v>
      </c>
      <c r="D1553" s="26" t="str">
        <f>"VESPERTINO"</f>
        <v>VESPERTINO</v>
      </c>
      <c r="E1553" s="26" t="str">
        <f>"SUR 16 NUM.366                                                                  "</f>
        <v xml:space="preserve">SUR 16 NUM.366                                                                  </v>
      </c>
      <c r="F1553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1553" s="26" t="str">
        <f t="shared" si="253"/>
        <v xml:space="preserve">IZTACALCO                                                                       </v>
      </c>
      <c r="H1553" s="26" t="str">
        <f>"356"</f>
        <v>356</v>
      </c>
      <c r="I1553" s="26" t="str">
        <f t="shared" si="249"/>
        <v>00</v>
      </c>
      <c r="J1553" s="26" t="str">
        <f>"43 "</f>
        <v xml:space="preserve">43 </v>
      </c>
      <c r="K1553" s="26" t="str">
        <f t="shared" si="254"/>
        <v>PR</v>
      </c>
      <c r="L1553" s="26" t="str">
        <f t="shared" si="255"/>
        <v>DGOSE</v>
      </c>
      <c r="M1553" s="26" t="str">
        <f t="shared" si="250"/>
        <v>FEDERAL</v>
      </c>
      <c r="N1553" s="26">
        <v>102</v>
      </c>
      <c r="O1553" s="26">
        <v>46</v>
      </c>
      <c r="P1553" s="26">
        <v>56</v>
      </c>
      <c r="Q1553" s="26">
        <v>6</v>
      </c>
      <c r="R1553" s="26">
        <v>1</v>
      </c>
      <c r="S1553" s="26">
        <v>6</v>
      </c>
      <c r="T1553" s="26">
        <v>3</v>
      </c>
      <c r="U1553" s="26">
        <v>10</v>
      </c>
      <c r="V1553" s="26">
        <v>1</v>
      </c>
      <c r="W1553" s="26"/>
    </row>
    <row r="1554" spans="1:23" x14ac:dyDescent="0.25">
      <c r="A1554" s="26" t="str">
        <f t="shared" si="248"/>
        <v>PRIMARIA</v>
      </c>
      <c r="B1554" s="26" t="str">
        <f>"09DPR2898V"</f>
        <v>09DPR2898V</v>
      </c>
      <c r="C1554" s="26" t="str">
        <f>"ARQUELES VELA SALVATIERRA                                                                           "</f>
        <v xml:space="preserve">ARQUELES VELA SALVATIERRA                                                                           </v>
      </c>
      <c r="D1554" s="26" t="str">
        <f>"MATUTINO"</f>
        <v>MATUTINO</v>
      </c>
      <c r="E1554" s="26" t="str">
        <f>"AV SUR-16 NUM 366                                                               "</f>
        <v xml:space="preserve">AV SUR-16 NUM 366                                                               </v>
      </c>
      <c r="F1554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1554" s="26" t="str">
        <f t="shared" si="253"/>
        <v xml:space="preserve">IZTACALCO                                                                       </v>
      </c>
      <c r="H1554" s="26" t="str">
        <f>"356"</f>
        <v>356</v>
      </c>
      <c r="I1554" s="26" t="str">
        <f t="shared" si="249"/>
        <v>00</v>
      </c>
      <c r="J1554" s="26" t="str">
        <f>"43 "</f>
        <v xml:space="preserve">43 </v>
      </c>
      <c r="K1554" s="26" t="str">
        <f t="shared" si="254"/>
        <v>PR</v>
      </c>
      <c r="L1554" s="26" t="str">
        <f t="shared" si="255"/>
        <v>DGOSE</v>
      </c>
      <c r="M1554" s="26" t="str">
        <f t="shared" si="250"/>
        <v>FEDERAL</v>
      </c>
      <c r="N1554" s="26">
        <v>455</v>
      </c>
      <c r="O1554" s="26">
        <v>240</v>
      </c>
      <c r="P1554" s="26">
        <v>215</v>
      </c>
      <c r="Q1554" s="26">
        <v>18</v>
      </c>
      <c r="R1554" s="26">
        <v>1</v>
      </c>
      <c r="S1554" s="26">
        <v>18</v>
      </c>
      <c r="T1554" s="26">
        <v>11</v>
      </c>
      <c r="U1554" s="26">
        <v>30</v>
      </c>
      <c r="V1554" s="26">
        <v>1</v>
      </c>
      <c r="W1554" s="26"/>
    </row>
    <row r="1555" spans="1:23" x14ac:dyDescent="0.25">
      <c r="A1555" s="26" t="str">
        <f t="shared" si="248"/>
        <v>PRIMARIA</v>
      </c>
      <c r="B1555" s="26" t="str">
        <f>"09DPR2899U"</f>
        <v>09DPR2899U</v>
      </c>
      <c r="C1555" s="26" t="str">
        <f>"CARTA DE LOS DERECHOS Y DEBERES ECONOMICOS DE LOS ESTADOS                                           "</f>
        <v xml:space="preserve">CARTA DE LOS DERECHOS Y DEBERES ECONOMICOS DE LOS ESTADOS                                           </v>
      </c>
      <c r="D1555" s="26" t="str">
        <f>"MATUTINO"</f>
        <v>MATUTINO</v>
      </c>
      <c r="E1555" s="26" t="str">
        <f>"ANDADOR VEREDAS No 20                                                           "</f>
        <v xml:space="preserve">ANDADOR VEREDAS No 20                                                           </v>
      </c>
      <c r="F1555" s="26" t="str">
        <f>"UNIDAD HABITACIONAL INFONAVIT                                                                                                               "</f>
        <v xml:space="preserve">UNIDAD HABITACIONAL INFONAVIT                                                                                                               </v>
      </c>
      <c r="G1555" s="26" t="str">
        <f t="shared" si="253"/>
        <v xml:space="preserve">IZTACALCO                                                                       </v>
      </c>
      <c r="H1555" s="26" t="str">
        <f>"359"</f>
        <v>359</v>
      </c>
      <c r="I1555" s="26" t="str">
        <f t="shared" si="249"/>
        <v>00</v>
      </c>
      <c r="J1555" s="26" t="str">
        <f>"43 "</f>
        <v xml:space="preserve">43 </v>
      </c>
      <c r="K1555" s="26" t="str">
        <f t="shared" si="254"/>
        <v>PR</v>
      </c>
      <c r="L1555" s="26" t="str">
        <f t="shared" si="255"/>
        <v>DGOSE</v>
      </c>
      <c r="M1555" s="26" t="str">
        <f t="shared" si="250"/>
        <v>FEDERAL</v>
      </c>
      <c r="N1555" s="26">
        <v>305</v>
      </c>
      <c r="O1555" s="26">
        <v>151</v>
      </c>
      <c r="P1555" s="26">
        <v>154</v>
      </c>
      <c r="Q1555" s="26">
        <v>11</v>
      </c>
      <c r="R1555" s="26">
        <v>1</v>
      </c>
      <c r="S1555" s="26">
        <v>11</v>
      </c>
      <c r="T1555" s="26">
        <v>9</v>
      </c>
      <c r="U1555" s="26">
        <v>21</v>
      </c>
      <c r="V1555" s="26">
        <v>1</v>
      </c>
      <c r="W1555" s="26"/>
    </row>
    <row r="1556" spans="1:23" x14ac:dyDescent="0.25">
      <c r="A1556" s="26" t="str">
        <f t="shared" si="248"/>
        <v>PRIMARIA</v>
      </c>
      <c r="B1556" s="26" t="str">
        <f>"09DPR2900T"</f>
        <v>09DPR2900T</v>
      </c>
      <c r="C1556" s="26" t="str">
        <f>"TLACAELEL                                                                                           "</f>
        <v xml:space="preserve">TLACAELEL                                                                                           </v>
      </c>
      <c r="D1556" s="26" t="str">
        <f>"MATUTINO"</f>
        <v>MATUTINO</v>
      </c>
      <c r="E1556" s="26" t="str">
        <f>"GITANA Y MANTARRAYA                                                             "</f>
        <v xml:space="preserve">GITANA Y MANTARRAYA                                                             </v>
      </c>
      <c r="F1556" s="26" t="str">
        <f>"DEL MAR                                                                                                                                     "</f>
        <v xml:space="preserve">DEL MAR                                                                                                                                     </v>
      </c>
      <c r="G1556" s="26" t="str">
        <f>"TLAHUAC                                                                         "</f>
        <v xml:space="preserve">TLAHUAC                                                                         </v>
      </c>
      <c r="H1556" s="26" t="str">
        <f>"550"</f>
        <v>550</v>
      </c>
      <c r="I1556" s="26" t="str">
        <f t="shared" si="249"/>
        <v>00</v>
      </c>
      <c r="J1556" s="26" t="str">
        <f>"45 "</f>
        <v xml:space="preserve">45 </v>
      </c>
      <c r="K1556" s="26" t="str">
        <f t="shared" si="254"/>
        <v>PR</v>
      </c>
      <c r="L1556" s="26" t="str">
        <f t="shared" si="255"/>
        <v>DGOSE</v>
      </c>
      <c r="M1556" s="26" t="str">
        <f t="shared" si="250"/>
        <v>FEDERAL</v>
      </c>
      <c r="N1556" s="26">
        <v>633</v>
      </c>
      <c r="O1556" s="26">
        <v>316</v>
      </c>
      <c r="P1556" s="26">
        <v>317</v>
      </c>
      <c r="Q1556" s="26">
        <v>18</v>
      </c>
      <c r="R1556" s="26">
        <v>1</v>
      </c>
      <c r="S1556" s="26">
        <v>18</v>
      </c>
      <c r="T1556" s="26">
        <v>8</v>
      </c>
      <c r="U1556" s="26">
        <v>27</v>
      </c>
      <c r="V1556" s="26">
        <v>1</v>
      </c>
      <c r="W1556" s="26"/>
    </row>
    <row r="1557" spans="1:23" x14ac:dyDescent="0.25">
      <c r="A1557" s="26" t="str">
        <f t="shared" si="248"/>
        <v>PRIMARIA</v>
      </c>
      <c r="B1557" s="26" t="str">
        <f>"09DPR2903Q"</f>
        <v>09DPR2903Q</v>
      </c>
      <c r="C1557" s="26" t="str">
        <f>"REPUBLICA POPULAR DE POLONIA                                                                        "</f>
        <v xml:space="preserve">REPUBLICA POPULAR DE POLONIA                                                                        </v>
      </c>
      <c r="D1557" s="26" t="str">
        <f>"VESPERTINO"</f>
        <v>VESPERTINO</v>
      </c>
      <c r="E1557" s="26" t="str">
        <f>"CALLE 31 NO. 25                                                                 "</f>
        <v xml:space="preserve">CALLE 31 NO. 25                                                                 </v>
      </c>
      <c r="F1557" s="26" t="str">
        <f>"UNIDAD SANTA CRUZ MEYEHUALCO                                                                                                                "</f>
        <v xml:space="preserve">UNIDAD SANTA CRUZ MEYEHUALCO                                                                                                                </v>
      </c>
      <c r="G1557" s="26" t="str">
        <f>"IZTAPALAPA                                                                      "</f>
        <v xml:space="preserve">IZTAPALAPA                                                                      </v>
      </c>
      <c r="H1557" s="26" t="str">
        <f>"058"</f>
        <v>058</v>
      </c>
      <c r="I1557" s="26" t="str">
        <f t="shared" si="249"/>
        <v>00</v>
      </c>
      <c r="J1557" s="26" t="str">
        <f>"64 "</f>
        <v xml:space="preserve">64 </v>
      </c>
      <c r="K1557" s="26" t="str">
        <f>"IZ"</f>
        <v>IZ</v>
      </c>
      <c r="L1557" s="26" t="str">
        <f>"DGSEI"</f>
        <v>DGSEI</v>
      </c>
      <c r="M1557" s="26" t="str">
        <f t="shared" si="250"/>
        <v>FEDERAL</v>
      </c>
      <c r="N1557" s="26">
        <v>166</v>
      </c>
      <c r="O1557" s="26">
        <v>87</v>
      </c>
      <c r="P1557" s="26">
        <v>79</v>
      </c>
      <c r="Q1557" s="26">
        <v>9</v>
      </c>
      <c r="R1557" s="26">
        <v>1</v>
      </c>
      <c r="S1557" s="26">
        <v>7</v>
      </c>
      <c r="T1557" s="26">
        <v>4</v>
      </c>
      <c r="U1557" s="26">
        <v>12</v>
      </c>
      <c r="V1557" s="26">
        <v>1</v>
      </c>
      <c r="W1557" s="26"/>
    </row>
    <row r="1558" spans="1:23" x14ac:dyDescent="0.25">
      <c r="A1558" s="26" t="str">
        <f t="shared" si="248"/>
        <v>PRIMARIA</v>
      </c>
      <c r="B1558" s="26" t="str">
        <f>"09DPR2904P"</f>
        <v>09DPR2904P</v>
      </c>
      <c r="C1558" s="26" t="str">
        <f>"REPUBLICA POPULAR DE POLONIA                                                                        "</f>
        <v xml:space="preserve">REPUBLICA POPULAR DE POLONIA                                                                        </v>
      </c>
      <c r="D1558" s="26" t="str">
        <f>"MATUTINO"</f>
        <v>MATUTINO</v>
      </c>
      <c r="E1558" s="26" t="str">
        <f>"CALLE 31 NO. 25                                                                 "</f>
        <v xml:space="preserve">CALLE 31 NO. 25                                                                 </v>
      </c>
      <c r="F1558" s="26" t="str">
        <f>"UNIDAD SANTA CRUZ MEYEHUALCO                                                                                                                "</f>
        <v xml:space="preserve">UNIDAD SANTA CRUZ MEYEHUALCO                                                                                                                </v>
      </c>
      <c r="G1558" s="26" t="str">
        <f>"IZTAPALAPA                                                                      "</f>
        <v xml:space="preserve">IZTAPALAPA                                                                      </v>
      </c>
      <c r="H1558" s="26" t="str">
        <f>"058"</f>
        <v>058</v>
      </c>
      <c r="I1558" s="26" t="str">
        <f t="shared" si="249"/>
        <v>00</v>
      </c>
      <c r="J1558" s="26" t="str">
        <f>"64 "</f>
        <v xml:space="preserve">64 </v>
      </c>
      <c r="K1558" s="26" t="str">
        <f>"IZ"</f>
        <v>IZ</v>
      </c>
      <c r="L1558" s="26" t="str">
        <f>"DGSEI"</f>
        <v>DGSEI</v>
      </c>
      <c r="M1558" s="26" t="str">
        <f t="shared" si="250"/>
        <v>FEDERAL</v>
      </c>
      <c r="N1558" s="26">
        <v>552</v>
      </c>
      <c r="O1558" s="26">
        <v>267</v>
      </c>
      <c r="P1558" s="26">
        <v>285</v>
      </c>
      <c r="Q1558" s="26">
        <v>18</v>
      </c>
      <c r="R1558" s="26">
        <v>1</v>
      </c>
      <c r="S1558" s="26">
        <v>18</v>
      </c>
      <c r="T1558" s="26">
        <v>7</v>
      </c>
      <c r="U1558" s="26">
        <v>26</v>
      </c>
      <c r="V1558" s="26">
        <v>1</v>
      </c>
      <c r="W1558" s="26"/>
    </row>
    <row r="1559" spans="1:23" x14ac:dyDescent="0.25">
      <c r="A1559" s="26" t="str">
        <f t="shared" si="248"/>
        <v>PRIMARIA</v>
      </c>
      <c r="B1559" s="26" t="str">
        <f>"09DPR2905O"</f>
        <v>09DPR2905O</v>
      </c>
      <c r="C1559" s="26" t="str">
        <f>"VALENTIN ZAMORA OROZCO                                                                              "</f>
        <v xml:space="preserve">VALENTIN ZAMORA OROZCO                                                                              </v>
      </c>
      <c r="D1559" s="26" t="str">
        <f>"TIEMPO COMPLETO"</f>
        <v>TIEMPO COMPLETO</v>
      </c>
      <c r="E1559" s="26" t="str">
        <f>"COLIMA NUM 293                                                                  "</f>
        <v xml:space="preserve">COLIMA NUM 293                                                                  </v>
      </c>
      <c r="F1559" s="26" t="str">
        <f>"ROMA NORTE                                                                                                                                  "</f>
        <v xml:space="preserve">ROMA NORTE                                                                                                                                  </v>
      </c>
      <c r="G1559" s="26" t="str">
        <f>"CUAUHTEMOC                                                                      "</f>
        <v xml:space="preserve">CUAUHTEMOC                                                                      </v>
      </c>
      <c r="H1559" s="26" t="str">
        <f>"125"</f>
        <v>125</v>
      </c>
      <c r="I1559" s="26" t="str">
        <f t="shared" si="249"/>
        <v>00</v>
      </c>
      <c r="J1559" s="26" t="str">
        <f>"41 "</f>
        <v xml:space="preserve">41 </v>
      </c>
      <c r="K1559" s="26" t="str">
        <f>"PR"</f>
        <v>PR</v>
      </c>
      <c r="L1559" s="26" t="str">
        <f>"DGOSE"</f>
        <v>DGOSE</v>
      </c>
      <c r="M1559" s="26" t="str">
        <f t="shared" si="250"/>
        <v>FEDERAL</v>
      </c>
      <c r="N1559" s="26">
        <v>247</v>
      </c>
      <c r="O1559" s="26">
        <v>136</v>
      </c>
      <c r="P1559" s="26">
        <v>111</v>
      </c>
      <c r="Q1559" s="26">
        <v>9</v>
      </c>
      <c r="R1559" s="26">
        <v>1</v>
      </c>
      <c r="S1559" s="26">
        <v>9</v>
      </c>
      <c r="T1559" s="26">
        <v>10</v>
      </c>
      <c r="U1559" s="26">
        <v>20</v>
      </c>
      <c r="V1559" s="26">
        <v>1</v>
      </c>
      <c r="W1559" s="26" t="s">
        <v>218</v>
      </c>
    </row>
    <row r="1560" spans="1:23" x14ac:dyDescent="0.25">
      <c r="A1560" s="26" t="str">
        <f t="shared" si="248"/>
        <v>PRIMARIA</v>
      </c>
      <c r="B1560" s="26" t="str">
        <f>"09DPR2906N"</f>
        <v>09DPR2906N</v>
      </c>
      <c r="C1560" s="26" t="str">
        <f>"SECRETARIA DE COMERCIO Y FOMENTO INDUSTRIAL                                                         "</f>
        <v xml:space="preserve">SECRETARIA DE COMERCIO Y FOMENTO INDUSTRIAL                                                         </v>
      </c>
      <c r="D1560" s="26" t="str">
        <f>"JORNADA AMPLIADA"</f>
        <v>JORNADA AMPLIADA</v>
      </c>
      <c r="E1560" s="26" t="str">
        <f>"SAN LUIS POTOSI NUM 108                                                         "</f>
        <v xml:space="preserve">SAN LUIS POTOSI NUM 108                                                         </v>
      </c>
      <c r="F1560" s="26" t="str">
        <f>"ROMA NORTE                                                                                                                                  "</f>
        <v xml:space="preserve">ROMA NORTE                                                                                                                                  </v>
      </c>
      <c r="G1560" s="26" t="str">
        <f>"CUAUHTEMOC                                                                      "</f>
        <v xml:space="preserve">CUAUHTEMOC                                                                      </v>
      </c>
      <c r="H1560" s="26" t="str">
        <f>"125"</f>
        <v>125</v>
      </c>
      <c r="I1560" s="26" t="str">
        <f t="shared" si="249"/>
        <v>00</v>
      </c>
      <c r="J1560" s="26" t="str">
        <f>"41 "</f>
        <v xml:space="preserve">41 </v>
      </c>
      <c r="K1560" s="26" t="str">
        <f>"PR"</f>
        <v>PR</v>
      </c>
      <c r="L1560" s="26" t="str">
        <f>"DGOSE"</f>
        <v>DGOSE</v>
      </c>
      <c r="M1560" s="26" t="str">
        <f t="shared" si="250"/>
        <v>FEDERAL</v>
      </c>
      <c r="N1560" s="26">
        <v>372</v>
      </c>
      <c r="O1560" s="26">
        <v>186</v>
      </c>
      <c r="P1560" s="26">
        <v>186</v>
      </c>
      <c r="Q1560" s="26">
        <v>13</v>
      </c>
      <c r="R1560" s="26">
        <v>1</v>
      </c>
      <c r="S1560" s="26">
        <v>13</v>
      </c>
      <c r="T1560" s="26">
        <v>12</v>
      </c>
      <c r="U1560" s="26">
        <v>26</v>
      </c>
      <c r="V1560" s="26">
        <v>1</v>
      </c>
      <c r="W1560" s="26" t="s">
        <v>2076</v>
      </c>
    </row>
    <row r="1561" spans="1:23" x14ac:dyDescent="0.25">
      <c r="A1561" s="26" t="str">
        <f t="shared" si="248"/>
        <v>PRIMARIA</v>
      </c>
      <c r="B1561" s="26" t="str">
        <f>"09DPR2907M"</f>
        <v>09DPR2907M</v>
      </c>
      <c r="C1561" s="26" t="str">
        <f>"DR. IGNACIO CHAVEZ                                                                                  "</f>
        <v xml:space="preserve">DR. IGNACIO CHAVEZ                                                                                  </v>
      </c>
      <c r="D1561" s="26" t="str">
        <f>"MATUTINO"</f>
        <v>MATUTINO</v>
      </c>
      <c r="E1561" s="26" t="str">
        <f>"FUERTE DE GUADALUPES NO. 24 AND. 1 Y 2                                          "</f>
        <v xml:space="preserve">FUERTE DE GUADALUPES NO. 24 AND. 1 Y 2                                          </v>
      </c>
      <c r="F1561" s="26" t="str">
        <f>"UNIDAD HABITACIONAL EJERCITO DE ORI                                                                                                         "</f>
        <v xml:space="preserve">UNIDAD HABITACIONAL EJERCITO DE ORI                                                                                                         </v>
      </c>
      <c r="G1561" s="26" t="str">
        <f t="shared" ref="G1561:G1576" si="256">"IZTAPALAPA                                                                      "</f>
        <v xml:space="preserve">IZTAPALAPA                                                                      </v>
      </c>
      <c r="H1561" s="26" t="str">
        <f>"021"</f>
        <v>021</v>
      </c>
      <c r="I1561" s="26" t="str">
        <f t="shared" si="249"/>
        <v>00</v>
      </c>
      <c r="J1561" s="26" t="str">
        <f>"62 "</f>
        <v xml:space="preserve">62 </v>
      </c>
      <c r="K1561" s="26" t="str">
        <f t="shared" ref="K1561:K1576" si="257">"IZ"</f>
        <v>IZ</v>
      </c>
      <c r="L1561" s="26" t="str">
        <f t="shared" ref="L1561:L1576" si="258">"DGSEI"</f>
        <v>DGSEI</v>
      </c>
      <c r="M1561" s="26" t="str">
        <f t="shared" si="250"/>
        <v>FEDERAL</v>
      </c>
      <c r="N1561" s="26">
        <v>601</v>
      </c>
      <c r="O1561" s="26">
        <v>302</v>
      </c>
      <c r="P1561" s="26">
        <v>299</v>
      </c>
      <c r="Q1561" s="26">
        <v>20</v>
      </c>
      <c r="R1561" s="26">
        <v>1</v>
      </c>
      <c r="S1561" s="26">
        <v>20</v>
      </c>
      <c r="T1561" s="26">
        <v>10</v>
      </c>
      <c r="U1561" s="26">
        <v>31</v>
      </c>
      <c r="V1561" s="26">
        <v>1</v>
      </c>
      <c r="W1561" s="26"/>
    </row>
    <row r="1562" spans="1:23" x14ac:dyDescent="0.25">
      <c r="A1562" s="26" t="str">
        <f t="shared" si="248"/>
        <v>PRIMARIA</v>
      </c>
      <c r="B1562" s="26" t="str">
        <f>"09DPR2908L"</f>
        <v>09DPR2908L</v>
      </c>
      <c r="C1562" s="26" t="str">
        <f>"CERRO DE LA ESTRELLA                                                                                "</f>
        <v xml:space="preserve">CERRO DE LA ESTRELLA                                                                                </v>
      </c>
      <c r="D1562" s="26" t="str">
        <f>"MATUTINO"</f>
        <v>MATUTINO</v>
      </c>
      <c r="E1562" s="26" t="str">
        <f>"CUAUHTEMOC NO. 54                                                               "</f>
        <v xml:space="preserve">CUAUHTEMOC NO. 54                                                               </v>
      </c>
      <c r="F1562" s="26" t="str">
        <f>"LOS REYES AMPLIACION                                                                                                                        "</f>
        <v xml:space="preserve">LOS REYES AMPLIACION                                                                                                                        </v>
      </c>
      <c r="G1562" s="26" t="str">
        <f t="shared" si="256"/>
        <v xml:space="preserve">IZTAPALAPA                                                                      </v>
      </c>
      <c r="H1562" s="26" t="str">
        <f>"035"</f>
        <v>035</v>
      </c>
      <c r="I1562" s="26" t="str">
        <f t="shared" si="249"/>
        <v>00</v>
      </c>
      <c r="J1562" s="26" t="str">
        <f>"63 "</f>
        <v xml:space="preserve">63 </v>
      </c>
      <c r="K1562" s="26" t="str">
        <f t="shared" si="257"/>
        <v>IZ</v>
      </c>
      <c r="L1562" s="26" t="str">
        <f t="shared" si="258"/>
        <v>DGSEI</v>
      </c>
      <c r="M1562" s="26" t="str">
        <f t="shared" si="250"/>
        <v>FEDERAL</v>
      </c>
      <c r="N1562" s="26">
        <v>441</v>
      </c>
      <c r="O1562" s="26">
        <v>245</v>
      </c>
      <c r="P1562" s="26">
        <v>196</v>
      </c>
      <c r="Q1562" s="26">
        <v>14</v>
      </c>
      <c r="R1562" s="26">
        <v>1</v>
      </c>
      <c r="S1562" s="26">
        <v>14</v>
      </c>
      <c r="T1562" s="26">
        <v>8</v>
      </c>
      <c r="U1562" s="26">
        <v>23</v>
      </c>
      <c r="V1562" s="26">
        <v>1</v>
      </c>
      <c r="W1562" s="26"/>
    </row>
    <row r="1563" spans="1:23" x14ac:dyDescent="0.25">
      <c r="A1563" s="26" t="str">
        <f t="shared" si="248"/>
        <v>PRIMARIA</v>
      </c>
      <c r="B1563" s="26" t="str">
        <f>"09DPR2909K"</f>
        <v>09DPR2909K</v>
      </c>
      <c r="C1563" s="26" t="str">
        <f>"DR. OCTAVIO VEJAR VAZQUEZ                                                                           "</f>
        <v xml:space="preserve">DR. OCTAVIO VEJAR VAZQUEZ                                                                           </v>
      </c>
      <c r="D1563" s="26" t="str">
        <f>"MATUTINO"</f>
        <v>MATUTINO</v>
      </c>
      <c r="E1563" s="26" t="str">
        <f>"CIRCUITO RIO COLORADO NO. 77                                                    "</f>
        <v xml:space="preserve">CIRCUITO RIO COLORADO NO. 77                                                    </v>
      </c>
      <c r="F1563" s="26" t="str">
        <f>"REAL DEL MORAL                                                                                                                              "</f>
        <v xml:space="preserve">REAL DEL MORAL                                                                                                                              </v>
      </c>
      <c r="G1563" s="26" t="str">
        <f t="shared" si="256"/>
        <v xml:space="preserve">IZTAPALAPA                                                                      </v>
      </c>
      <c r="H1563" s="26" t="str">
        <f>"013"</f>
        <v>013</v>
      </c>
      <c r="I1563" s="26" t="str">
        <f t="shared" si="249"/>
        <v>00</v>
      </c>
      <c r="J1563" s="26" t="str">
        <f>"62 "</f>
        <v xml:space="preserve">62 </v>
      </c>
      <c r="K1563" s="26" t="str">
        <f t="shared" si="257"/>
        <v>IZ</v>
      </c>
      <c r="L1563" s="26" t="str">
        <f t="shared" si="258"/>
        <v>DGSEI</v>
      </c>
      <c r="M1563" s="26" t="str">
        <f t="shared" si="250"/>
        <v>FEDERAL</v>
      </c>
      <c r="N1563" s="26">
        <v>485</v>
      </c>
      <c r="O1563" s="26">
        <v>264</v>
      </c>
      <c r="P1563" s="26">
        <v>221</v>
      </c>
      <c r="Q1563" s="26">
        <v>18</v>
      </c>
      <c r="R1563" s="26">
        <v>1</v>
      </c>
      <c r="S1563" s="26">
        <v>16</v>
      </c>
      <c r="T1563" s="26">
        <v>8</v>
      </c>
      <c r="U1563" s="26">
        <v>25</v>
      </c>
      <c r="V1563" s="26">
        <v>1</v>
      </c>
      <c r="W1563" s="26"/>
    </row>
    <row r="1564" spans="1:23" x14ac:dyDescent="0.25">
      <c r="A1564" s="26" t="str">
        <f t="shared" si="248"/>
        <v>PRIMARIA</v>
      </c>
      <c r="B1564" s="26" t="str">
        <f>"09DPR2910Z"</f>
        <v>09DPR2910Z</v>
      </c>
      <c r="C1564" s="26" t="str">
        <f>"GUILLERMO PRIETO                                                                                    "</f>
        <v xml:space="preserve">GUILLERMO PRIETO                                                                                    </v>
      </c>
      <c r="D1564" s="26" t="str">
        <f>"VESPERTINO"</f>
        <v>VESPERTINO</v>
      </c>
      <c r="E1564" s="26" t="str">
        <f>"JUAN MANUEL TORREA NO. 30                                                       "</f>
        <v xml:space="preserve">JUAN MANUEL TORREA NO. 30                                                       </v>
      </c>
      <c r="F1564" s="26" t="str">
        <f>"JUAN ESCUTIA                                                                                                                                "</f>
        <v xml:space="preserve">JUAN ESCUTIA                                                                                                                                </v>
      </c>
      <c r="G1564" s="26" t="str">
        <f t="shared" si="256"/>
        <v xml:space="preserve">IZTAPALAPA                                                                      </v>
      </c>
      <c r="H1564" s="26" t="str">
        <f>"028"</f>
        <v>028</v>
      </c>
      <c r="I1564" s="26" t="str">
        <f t="shared" si="249"/>
        <v>00</v>
      </c>
      <c r="J1564" s="26" t="str">
        <f>"62 "</f>
        <v xml:space="preserve">62 </v>
      </c>
      <c r="K1564" s="26" t="str">
        <f t="shared" si="257"/>
        <v>IZ</v>
      </c>
      <c r="L1564" s="26" t="str">
        <f t="shared" si="258"/>
        <v>DGSEI</v>
      </c>
      <c r="M1564" s="26" t="str">
        <f t="shared" si="250"/>
        <v>FEDERAL</v>
      </c>
      <c r="N1564" s="26">
        <v>333</v>
      </c>
      <c r="O1564" s="26">
        <v>166</v>
      </c>
      <c r="P1564" s="26">
        <v>167</v>
      </c>
      <c r="Q1564" s="26">
        <v>18</v>
      </c>
      <c r="R1564" s="26">
        <v>1</v>
      </c>
      <c r="S1564" s="26">
        <v>18</v>
      </c>
      <c r="T1564" s="26">
        <v>8</v>
      </c>
      <c r="U1564" s="26">
        <v>27</v>
      </c>
      <c r="V1564" s="26">
        <v>1</v>
      </c>
      <c r="W1564" s="26"/>
    </row>
    <row r="1565" spans="1:23" x14ac:dyDescent="0.25">
      <c r="A1565" s="26" t="str">
        <f t="shared" si="248"/>
        <v>PRIMARIA</v>
      </c>
      <c r="B1565" s="26" t="str">
        <f>"09DPR2911Z"</f>
        <v>09DPR2911Z</v>
      </c>
      <c r="C1565" s="26" t="str">
        <f>"DR. OCTAVIO VEJAR VAZQUEZ                                                                           "</f>
        <v xml:space="preserve">DR. OCTAVIO VEJAR VAZQUEZ                                                                           </v>
      </c>
      <c r="D1565" s="26" t="str">
        <f>"VESPERTINO"</f>
        <v>VESPERTINO</v>
      </c>
      <c r="E1565" s="26" t="str">
        <f>"CIRCUITO RIO COLORADO NO. 77                                                    "</f>
        <v xml:space="preserve">CIRCUITO RIO COLORADO NO. 77                                                    </v>
      </c>
      <c r="F1565" s="26" t="str">
        <f>"REAL DEL MORAL                                                                                                                              "</f>
        <v xml:space="preserve">REAL DEL MORAL                                                                                                                              </v>
      </c>
      <c r="G1565" s="26" t="str">
        <f t="shared" si="256"/>
        <v xml:space="preserve">IZTAPALAPA                                                                      </v>
      </c>
      <c r="H1565" s="26" t="str">
        <f>"013"</f>
        <v>013</v>
      </c>
      <c r="I1565" s="26" t="str">
        <f t="shared" si="249"/>
        <v>00</v>
      </c>
      <c r="J1565" s="26" t="str">
        <f>"62 "</f>
        <v xml:space="preserve">62 </v>
      </c>
      <c r="K1565" s="26" t="str">
        <f t="shared" si="257"/>
        <v>IZ</v>
      </c>
      <c r="L1565" s="26" t="str">
        <f t="shared" si="258"/>
        <v>DGSEI</v>
      </c>
      <c r="M1565" s="26" t="str">
        <f t="shared" si="250"/>
        <v>FEDERAL</v>
      </c>
      <c r="N1565" s="26">
        <v>96</v>
      </c>
      <c r="O1565" s="26">
        <v>43</v>
      </c>
      <c r="P1565" s="26">
        <v>53</v>
      </c>
      <c r="Q1565" s="26">
        <v>6</v>
      </c>
      <c r="R1565" s="26">
        <v>1</v>
      </c>
      <c r="S1565" s="26">
        <v>6</v>
      </c>
      <c r="T1565" s="26">
        <v>3</v>
      </c>
      <c r="U1565" s="26">
        <v>10</v>
      </c>
      <c r="V1565" s="26">
        <v>1</v>
      </c>
      <c r="W1565" s="26"/>
    </row>
    <row r="1566" spans="1:23" x14ac:dyDescent="0.25">
      <c r="A1566" s="26" t="str">
        <f t="shared" si="248"/>
        <v>PRIMARIA</v>
      </c>
      <c r="B1566" s="26" t="str">
        <f>"09DPR2912Y"</f>
        <v>09DPR2912Y</v>
      </c>
      <c r="C1566" s="26" t="str">
        <f>"MIXCOATL                                                                                            "</f>
        <v xml:space="preserve">MIXCOATL                                                                                            </v>
      </c>
      <c r="D1566" s="26" t="str">
        <f>"VESPERTINO"</f>
        <v>VESPERTINO</v>
      </c>
      <c r="E1566" s="26" t="str">
        <f>"RIO ATOYAC NO. 71-A                                                             "</f>
        <v xml:space="preserve">RIO ATOYAC NO. 71-A                                                             </v>
      </c>
      <c r="F1566" s="26" t="str">
        <f>"LOMAS SAN LORENZO                                                                                                                           "</f>
        <v xml:space="preserve">LOMAS SAN LORENZO                                                                                                                           </v>
      </c>
      <c r="G1566" s="26" t="str">
        <f t="shared" si="256"/>
        <v xml:space="preserve">IZTAPALAPA                                                                      </v>
      </c>
      <c r="H1566" s="26" t="str">
        <f>"047"</f>
        <v>047</v>
      </c>
      <c r="I1566" s="26" t="str">
        <f t="shared" si="249"/>
        <v>00</v>
      </c>
      <c r="J1566" s="26" t="str">
        <f>"63 "</f>
        <v xml:space="preserve">63 </v>
      </c>
      <c r="K1566" s="26" t="str">
        <f t="shared" si="257"/>
        <v>IZ</v>
      </c>
      <c r="L1566" s="26" t="str">
        <f t="shared" si="258"/>
        <v>DGSEI</v>
      </c>
      <c r="M1566" s="26" t="str">
        <f t="shared" si="250"/>
        <v>FEDERAL</v>
      </c>
      <c r="N1566" s="26">
        <v>360</v>
      </c>
      <c r="O1566" s="26">
        <v>178</v>
      </c>
      <c r="P1566" s="26">
        <v>182</v>
      </c>
      <c r="Q1566" s="26">
        <v>17</v>
      </c>
      <c r="R1566" s="26">
        <v>1</v>
      </c>
      <c r="S1566" s="26">
        <v>17</v>
      </c>
      <c r="T1566" s="26">
        <v>6</v>
      </c>
      <c r="U1566" s="26">
        <v>24</v>
      </c>
      <c r="V1566" s="26">
        <v>1</v>
      </c>
      <c r="W1566" s="26"/>
    </row>
    <row r="1567" spans="1:23" x14ac:dyDescent="0.25">
      <c r="A1567" s="26" t="str">
        <f t="shared" si="248"/>
        <v>PRIMARIA</v>
      </c>
      <c r="B1567" s="26" t="str">
        <f>"09DPR2913X"</f>
        <v>09DPR2913X</v>
      </c>
      <c r="C1567" s="26" t="str">
        <f>"GUILLERMO PRIETO                                                                                    "</f>
        <v xml:space="preserve">GUILLERMO PRIETO                                                                                    </v>
      </c>
      <c r="D1567" s="26" t="str">
        <f>"MATUTINO"</f>
        <v>MATUTINO</v>
      </c>
      <c r="E1567" s="26" t="str">
        <f>"JUAN MANUEL TORREA NO. 30                                                       "</f>
        <v xml:space="preserve">JUAN MANUEL TORREA NO. 30                                                       </v>
      </c>
      <c r="F1567" s="26" t="str">
        <f>"JUAN ESCUTIA                                                                                                                                "</f>
        <v xml:space="preserve">JUAN ESCUTIA                                                                                                                                </v>
      </c>
      <c r="G1567" s="26" t="str">
        <f t="shared" si="256"/>
        <v xml:space="preserve">IZTAPALAPA                                                                      </v>
      </c>
      <c r="H1567" s="26" t="str">
        <f>"028"</f>
        <v>028</v>
      </c>
      <c r="I1567" s="26" t="str">
        <f t="shared" si="249"/>
        <v>00</v>
      </c>
      <c r="J1567" s="26" t="str">
        <f>"62 "</f>
        <v xml:space="preserve">62 </v>
      </c>
      <c r="K1567" s="26" t="str">
        <f t="shared" si="257"/>
        <v>IZ</v>
      </c>
      <c r="L1567" s="26" t="str">
        <f t="shared" si="258"/>
        <v>DGSEI</v>
      </c>
      <c r="M1567" s="26" t="str">
        <f t="shared" si="250"/>
        <v>FEDERAL</v>
      </c>
      <c r="N1567" s="26">
        <v>731</v>
      </c>
      <c r="O1567" s="26">
        <v>380</v>
      </c>
      <c r="P1567" s="26">
        <v>351</v>
      </c>
      <c r="Q1567" s="26">
        <v>24</v>
      </c>
      <c r="R1567" s="26">
        <v>1</v>
      </c>
      <c r="S1567" s="26">
        <v>24</v>
      </c>
      <c r="T1567" s="26">
        <v>11</v>
      </c>
      <c r="U1567" s="26">
        <v>36</v>
      </c>
      <c r="V1567" s="26">
        <v>1</v>
      </c>
      <c r="W1567" s="26"/>
    </row>
    <row r="1568" spans="1:23" x14ac:dyDescent="0.25">
      <c r="A1568" s="26" t="str">
        <f t="shared" si="248"/>
        <v>PRIMARIA</v>
      </c>
      <c r="B1568" s="26" t="str">
        <f>"09DPR2914W"</f>
        <v>09DPR2914W</v>
      </c>
      <c r="C1568" s="26" t="str">
        <f>"MIXCOATL                                                                                            "</f>
        <v xml:space="preserve">MIXCOATL                                                                                            </v>
      </c>
      <c r="D1568" s="26" t="str">
        <f>"MATUTINO"</f>
        <v>MATUTINO</v>
      </c>
      <c r="E1568" s="26" t="str">
        <f>"RIO ATOYAC NO. 71-A                                                             "</f>
        <v xml:space="preserve">RIO ATOYAC NO. 71-A                                                             </v>
      </c>
      <c r="F1568" s="26" t="str">
        <f>"LOMAS SAN LORENZO                                                                                                                           "</f>
        <v xml:space="preserve">LOMAS SAN LORENZO                                                                                                                           </v>
      </c>
      <c r="G1568" s="26" t="str">
        <f t="shared" si="256"/>
        <v xml:space="preserve">IZTAPALAPA                                                                      </v>
      </c>
      <c r="H1568" s="26" t="str">
        <f>"047"</f>
        <v>047</v>
      </c>
      <c r="I1568" s="26" t="str">
        <f t="shared" si="249"/>
        <v>00</v>
      </c>
      <c r="J1568" s="26" t="str">
        <f>"63 "</f>
        <v xml:space="preserve">63 </v>
      </c>
      <c r="K1568" s="26" t="str">
        <f t="shared" si="257"/>
        <v>IZ</v>
      </c>
      <c r="L1568" s="26" t="str">
        <f t="shared" si="258"/>
        <v>DGSEI</v>
      </c>
      <c r="M1568" s="26" t="str">
        <f t="shared" si="250"/>
        <v>FEDERAL</v>
      </c>
      <c r="N1568" s="26">
        <v>612</v>
      </c>
      <c r="O1568" s="26">
        <v>297</v>
      </c>
      <c r="P1568" s="26">
        <v>315</v>
      </c>
      <c r="Q1568" s="26">
        <v>36</v>
      </c>
      <c r="R1568" s="26">
        <v>2</v>
      </c>
      <c r="S1568" s="26">
        <v>36</v>
      </c>
      <c r="T1568" s="26">
        <v>16</v>
      </c>
      <c r="U1568" s="26">
        <v>54</v>
      </c>
      <c r="V1568" s="26">
        <v>1</v>
      </c>
      <c r="W1568" s="26"/>
    </row>
    <row r="1569" spans="1:23" x14ac:dyDescent="0.25">
      <c r="A1569" s="26" t="str">
        <f t="shared" si="248"/>
        <v>PRIMARIA</v>
      </c>
      <c r="B1569" s="26" t="str">
        <f>"09DPR2915V"</f>
        <v>09DPR2915V</v>
      </c>
      <c r="C1569" s="26" t="str">
        <f>"PROFR. JUAN B. TIJERINA                                                                             "</f>
        <v xml:space="preserve">PROFR. JUAN B. TIJERINA                                                                             </v>
      </c>
      <c r="D1569" s="26" t="str">
        <f>"MATUTINO"</f>
        <v>MATUTINO</v>
      </c>
      <c r="E1569" s="26" t="str">
        <f>"ANTONIO ESTEVEZ S/N.                                                            "</f>
        <v xml:space="preserve">ANTONIO ESTEVEZ S/N.                                                            </v>
      </c>
      <c r="F1569" s="26" t="str">
        <f>"UNIDAD HABITACIONAL EJERCITO DE ORI                                                                                                         "</f>
        <v xml:space="preserve">UNIDAD HABITACIONAL EJERCITO DE ORI                                                                                                         </v>
      </c>
      <c r="G1569" s="26" t="str">
        <f t="shared" si="256"/>
        <v xml:space="preserve">IZTAPALAPA                                                                      </v>
      </c>
      <c r="H1569" s="26" t="str">
        <f>"023"</f>
        <v>023</v>
      </c>
      <c r="I1569" s="26" t="str">
        <f t="shared" si="249"/>
        <v>00</v>
      </c>
      <c r="J1569" s="26" t="str">
        <f>"62 "</f>
        <v xml:space="preserve">62 </v>
      </c>
      <c r="K1569" s="26" t="str">
        <f t="shared" si="257"/>
        <v>IZ</v>
      </c>
      <c r="L1569" s="26" t="str">
        <f t="shared" si="258"/>
        <v>DGSEI</v>
      </c>
      <c r="M1569" s="26" t="str">
        <f t="shared" si="250"/>
        <v>FEDERAL</v>
      </c>
      <c r="N1569" s="26">
        <v>564</v>
      </c>
      <c r="O1569" s="26">
        <v>274</v>
      </c>
      <c r="P1569" s="26">
        <v>290</v>
      </c>
      <c r="Q1569" s="26">
        <v>18</v>
      </c>
      <c r="R1569" s="26">
        <v>0</v>
      </c>
      <c r="S1569" s="26">
        <v>18</v>
      </c>
      <c r="T1569" s="26">
        <v>7</v>
      </c>
      <c r="U1569" s="26">
        <v>25</v>
      </c>
      <c r="V1569" s="26">
        <v>1</v>
      </c>
      <c r="W1569" s="26"/>
    </row>
    <row r="1570" spans="1:23" x14ac:dyDescent="0.25">
      <c r="A1570" s="26" t="str">
        <f t="shared" si="248"/>
        <v>PRIMARIA</v>
      </c>
      <c r="B1570" s="26" t="str">
        <f>"09DPR2916U"</f>
        <v>09DPR2916U</v>
      </c>
      <c r="C1570" s="26" t="str">
        <f>"CERRO DE LA ESTRELLA                                                                                "</f>
        <v xml:space="preserve">CERRO DE LA ESTRELLA                                                                                </v>
      </c>
      <c r="D1570" s="26" t="str">
        <f>"VESPERTINO"</f>
        <v>VESPERTINO</v>
      </c>
      <c r="E1570" s="26" t="str">
        <f>"CUAUHTEMOC NO. 54                                                               "</f>
        <v xml:space="preserve">CUAUHTEMOC NO. 54                                                               </v>
      </c>
      <c r="F1570" s="26" t="str">
        <f>"LOS REYES AMPLIACION                                                                                                                        "</f>
        <v xml:space="preserve">LOS REYES AMPLIACION                                                                                                                        </v>
      </c>
      <c r="G1570" s="26" t="str">
        <f t="shared" si="256"/>
        <v xml:space="preserve">IZTAPALAPA                                                                      </v>
      </c>
      <c r="H1570" s="26" t="str">
        <f>"035"</f>
        <v>035</v>
      </c>
      <c r="I1570" s="26" t="str">
        <f t="shared" si="249"/>
        <v>00</v>
      </c>
      <c r="J1570" s="26" t="str">
        <f>"63 "</f>
        <v xml:space="preserve">63 </v>
      </c>
      <c r="K1570" s="26" t="str">
        <f t="shared" si="257"/>
        <v>IZ</v>
      </c>
      <c r="L1570" s="26" t="str">
        <f t="shared" si="258"/>
        <v>DGSEI</v>
      </c>
      <c r="M1570" s="26" t="str">
        <f t="shared" si="250"/>
        <v>FEDERAL</v>
      </c>
      <c r="N1570" s="26">
        <v>256</v>
      </c>
      <c r="O1570" s="26">
        <v>136</v>
      </c>
      <c r="P1570" s="26">
        <v>120</v>
      </c>
      <c r="Q1570" s="26">
        <v>16</v>
      </c>
      <c r="R1570" s="26">
        <v>1</v>
      </c>
      <c r="S1570" s="26">
        <v>14</v>
      </c>
      <c r="T1570" s="26">
        <v>7</v>
      </c>
      <c r="U1570" s="26">
        <v>22</v>
      </c>
      <c r="V1570" s="26">
        <v>1</v>
      </c>
      <c r="W1570" s="26"/>
    </row>
    <row r="1571" spans="1:23" x14ac:dyDescent="0.25">
      <c r="A1571" s="26" t="str">
        <f t="shared" si="248"/>
        <v>PRIMARIA</v>
      </c>
      <c r="B1571" s="26" t="str">
        <f>"09DPR2917T"</f>
        <v>09DPR2917T</v>
      </c>
      <c r="C1571" s="26" t="str">
        <f>"PROFR. ANTONIO AUDIRAC Y ALFONSIN                                                                   "</f>
        <v xml:space="preserve">PROFR. ANTONIO AUDIRAC Y ALFONSIN                                                                   </v>
      </c>
      <c r="D1571" s="26" t="str">
        <f>"VESPERTINO"</f>
        <v>VESPERTINO</v>
      </c>
      <c r="E1571" s="26" t="str">
        <f>"GRAL. ABELARDO L. RODRIGUEZ NO. 31                                              "</f>
        <v xml:space="preserve">GRAL. ABELARDO L. RODRIGUEZ NO. 31                                              </v>
      </c>
      <c r="F1571" s="26" t="str">
        <f>"PRESIDENTES DE MEXICO                                                                                                                       "</f>
        <v xml:space="preserve">PRESIDENTES DE MEXICO                                                                                                                       </v>
      </c>
      <c r="G1571" s="26" t="str">
        <f t="shared" si="256"/>
        <v xml:space="preserve">IZTAPALAPA                                                                      </v>
      </c>
      <c r="H1571" s="26" t="str">
        <f>"057"</f>
        <v>057</v>
      </c>
      <c r="I1571" s="26" t="str">
        <f t="shared" si="249"/>
        <v>00</v>
      </c>
      <c r="J1571" s="26" t="str">
        <f>"64 "</f>
        <v xml:space="preserve">64 </v>
      </c>
      <c r="K1571" s="26" t="str">
        <f t="shared" si="257"/>
        <v>IZ</v>
      </c>
      <c r="L1571" s="26" t="str">
        <f t="shared" si="258"/>
        <v>DGSEI</v>
      </c>
      <c r="M1571" s="26" t="str">
        <f t="shared" si="250"/>
        <v>FEDERAL</v>
      </c>
      <c r="N1571" s="26">
        <v>231</v>
      </c>
      <c r="O1571" s="26">
        <v>122</v>
      </c>
      <c r="P1571" s="26">
        <v>109</v>
      </c>
      <c r="Q1571" s="26">
        <v>15</v>
      </c>
      <c r="R1571" s="26">
        <v>1</v>
      </c>
      <c r="S1571" s="26">
        <v>11</v>
      </c>
      <c r="T1571" s="26">
        <v>6</v>
      </c>
      <c r="U1571" s="26">
        <v>18</v>
      </c>
      <c r="V1571" s="26">
        <v>1</v>
      </c>
      <c r="W1571" s="26"/>
    </row>
    <row r="1572" spans="1:23" x14ac:dyDescent="0.25">
      <c r="A1572" s="26" t="str">
        <f t="shared" si="248"/>
        <v>PRIMARIA</v>
      </c>
      <c r="B1572" s="26" t="str">
        <f>"09DPR2918S"</f>
        <v>09DPR2918S</v>
      </c>
      <c r="C1572" s="26" t="str">
        <f>"PROFR. ANTONIO AUDIRAC Y ALFONSIN                                                                   "</f>
        <v xml:space="preserve">PROFR. ANTONIO AUDIRAC Y ALFONSIN                                                                   </v>
      </c>
      <c r="D1572" s="26" t="str">
        <f>"MATUTINO"</f>
        <v>MATUTINO</v>
      </c>
      <c r="E1572" s="26" t="str">
        <f>"GRAL. ABELARDO L. RODRIGUEZ NO. 31                                              "</f>
        <v xml:space="preserve">GRAL. ABELARDO L. RODRIGUEZ NO. 31                                              </v>
      </c>
      <c r="F1572" s="26" t="str">
        <f>"PRESIDENTES DE MEXICO                                                                                                                       "</f>
        <v xml:space="preserve">PRESIDENTES DE MEXICO                                                                                                                       </v>
      </c>
      <c r="G1572" s="26" t="str">
        <f t="shared" si="256"/>
        <v xml:space="preserve">IZTAPALAPA                                                                      </v>
      </c>
      <c r="H1572" s="26" t="str">
        <f>"057"</f>
        <v>057</v>
      </c>
      <c r="I1572" s="26" t="str">
        <f t="shared" si="249"/>
        <v>00</v>
      </c>
      <c r="J1572" s="26" t="str">
        <f>"64 "</f>
        <v xml:space="preserve">64 </v>
      </c>
      <c r="K1572" s="26" t="str">
        <f t="shared" si="257"/>
        <v>IZ</v>
      </c>
      <c r="L1572" s="26" t="str">
        <f t="shared" si="258"/>
        <v>DGSEI</v>
      </c>
      <c r="M1572" s="26" t="str">
        <f t="shared" si="250"/>
        <v>FEDERAL</v>
      </c>
      <c r="N1572" s="26">
        <v>586</v>
      </c>
      <c r="O1572" s="26">
        <v>295</v>
      </c>
      <c r="P1572" s="26">
        <v>291</v>
      </c>
      <c r="Q1572" s="26">
        <v>18</v>
      </c>
      <c r="R1572" s="26">
        <v>1</v>
      </c>
      <c r="S1572" s="26">
        <v>18</v>
      </c>
      <c r="T1572" s="26">
        <v>7</v>
      </c>
      <c r="U1572" s="26">
        <v>26</v>
      </c>
      <c r="V1572" s="26">
        <v>1</v>
      </c>
      <c r="W1572" s="26"/>
    </row>
    <row r="1573" spans="1:23" x14ac:dyDescent="0.25">
      <c r="A1573" s="26" t="str">
        <f t="shared" si="248"/>
        <v>PRIMARIA</v>
      </c>
      <c r="B1573" s="26" t="str">
        <f>"09DPR2919R"</f>
        <v>09DPR2919R</v>
      </c>
      <c r="C1573" s="26" t="str">
        <f>"PROFR. JUAN B. TIJERINA                                                                             "</f>
        <v xml:space="preserve">PROFR. JUAN B. TIJERINA                                                                             </v>
      </c>
      <c r="D1573" s="26" t="str">
        <f>"VESPERTINO"</f>
        <v>VESPERTINO</v>
      </c>
      <c r="E1573" s="26" t="str">
        <f>"ANTONIO ESTEVEZ S/N.                                                            "</f>
        <v xml:space="preserve">ANTONIO ESTEVEZ S/N.                                                            </v>
      </c>
      <c r="F1573" s="26" t="str">
        <f>"UNIDAD HABITACIONAL EJERCITO DE ORI                                                                                                         "</f>
        <v xml:space="preserve">UNIDAD HABITACIONAL EJERCITO DE ORI                                                                                                         </v>
      </c>
      <c r="G1573" s="26" t="str">
        <f t="shared" si="256"/>
        <v xml:space="preserve">IZTAPALAPA                                                                      </v>
      </c>
      <c r="H1573" s="26" t="str">
        <f>"023"</f>
        <v>023</v>
      </c>
      <c r="I1573" s="26" t="str">
        <f t="shared" si="249"/>
        <v>00</v>
      </c>
      <c r="J1573" s="26" t="str">
        <f>"62 "</f>
        <v xml:space="preserve">62 </v>
      </c>
      <c r="K1573" s="26" t="str">
        <f t="shared" si="257"/>
        <v>IZ</v>
      </c>
      <c r="L1573" s="26" t="str">
        <f t="shared" si="258"/>
        <v>DGSEI</v>
      </c>
      <c r="M1573" s="26" t="str">
        <f t="shared" si="250"/>
        <v>FEDERAL</v>
      </c>
      <c r="N1573" s="26">
        <v>241</v>
      </c>
      <c r="O1573" s="26">
        <v>119</v>
      </c>
      <c r="P1573" s="26">
        <v>122</v>
      </c>
      <c r="Q1573" s="26">
        <v>12</v>
      </c>
      <c r="R1573" s="26">
        <v>1</v>
      </c>
      <c r="S1573" s="26">
        <v>9</v>
      </c>
      <c r="T1573" s="26">
        <v>7</v>
      </c>
      <c r="U1573" s="26">
        <v>17</v>
      </c>
      <c r="V1573" s="26">
        <v>1</v>
      </c>
      <c r="W1573" s="26"/>
    </row>
    <row r="1574" spans="1:23" x14ac:dyDescent="0.25">
      <c r="A1574" s="26" t="str">
        <f t="shared" si="248"/>
        <v>PRIMARIA</v>
      </c>
      <c r="B1574" s="26" t="str">
        <f>"09DPR2920G"</f>
        <v>09DPR2920G</v>
      </c>
      <c r="C1574" s="26" t="str">
        <f>"REPUBLICA SOCIALISTA DE VIETNAM                                                                     "</f>
        <v xml:space="preserve">REPUBLICA SOCIALISTA DE VIETNAM                                                                     </v>
      </c>
      <c r="D1574" s="26" t="str">
        <f>"MATUTINO"</f>
        <v>MATUTINO</v>
      </c>
      <c r="E1574" s="26" t="str">
        <f>"PAPAYA NO. 2                                                                    "</f>
        <v xml:space="preserve">PAPAYA NO. 2                                                                    </v>
      </c>
      <c r="F1574" s="26" t="str">
        <f>"XALPA                                                                                                                                       "</f>
        <v xml:space="preserve">XALPA                                                                                                                                       </v>
      </c>
      <c r="G1574" s="26" t="str">
        <f t="shared" si="256"/>
        <v xml:space="preserve">IZTAPALAPA                                                                      </v>
      </c>
      <c r="H1574" s="26" t="str">
        <f>"062"</f>
        <v>062</v>
      </c>
      <c r="I1574" s="26" t="str">
        <f t="shared" si="249"/>
        <v>00</v>
      </c>
      <c r="J1574" s="26" t="str">
        <f>"64 "</f>
        <v xml:space="preserve">64 </v>
      </c>
      <c r="K1574" s="26" t="str">
        <f t="shared" si="257"/>
        <v>IZ</v>
      </c>
      <c r="L1574" s="26" t="str">
        <f t="shared" si="258"/>
        <v>DGSEI</v>
      </c>
      <c r="M1574" s="26" t="str">
        <f t="shared" si="250"/>
        <v>FEDERAL</v>
      </c>
      <c r="N1574" s="26">
        <v>701</v>
      </c>
      <c r="O1574" s="26">
        <v>354</v>
      </c>
      <c r="P1574" s="26">
        <v>347</v>
      </c>
      <c r="Q1574" s="26">
        <v>20</v>
      </c>
      <c r="R1574" s="26">
        <v>1</v>
      </c>
      <c r="S1574" s="26">
        <v>18</v>
      </c>
      <c r="T1574" s="26">
        <v>6</v>
      </c>
      <c r="U1574" s="26">
        <v>25</v>
      </c>
      <c r="V1574" s="26">
        <v>1</v>
      </c>
      <c r="W1574" s="26"/>
    </row>
    <row r="1575" spans="1:23" x14ac:dyDescent="0.25">
      <c r="A1575" s="26" t="str">
        <f t="shared" si="248"/>
        <v>PRIMARIA</v>
      </c>
      <c r="B1575" s="26" t="str">
        <f>"09DPR2921F"</f>
        <v>09DPR2921F</v>
      </c>
      <c r="C1575" s="26" t="str">
        <f>"LIC. JOSE MA. LAFRAGUA                                                                              "</f>
        <v xml:space="preserve">LIC. JOSE MA. LAFRAGUA                                                                              </v>
      </c>
      <c r="D1575" s="26" t="str">
        <f>"MATUTINO"</f>
        <v>MATUTINO</v>
      </c>
      <c r="E1575" s="26" t="str">
        <f>"IGNACIO ALLENDE NO. 77                                                          "</f>
        <v xml:space="preserve">IGNACIO ALLENDE NO. 77                                                          </v>
      </c>
      <c r="F1575" s="26" t="str">
        <f>"PARAJE ZACATEPEC                                                                                                                            "</f>
        <v xml:space="preserve">PARAJE ZACATEPEC                                                                                                                            </v>
      </c>
      <c r="G1575" s="26" t="str">
        <f t="shared" si="256"/>
        <v xml:space="preserve">IZTAPALAPA                                                                      </v>
      </c>
      <c r="H1575" s="26" t="str">
        <f>"025"</f>
        <v>025</v>
      </c>
      <c r="I1575" s="26" t="str">
        <f t="shared" si="249"/>
        <v>00</v>
      </c>
      <c r="J1575" s="26" t="str">
        <f>"62 "</f>
        <v xml:space="preserve">62 </v>
      </c>
      <c r="K1575" s="26" t="str">
        <f t="shared" si="257"/>
        <v>IZ</v>
      </c>
      <c r="L1575" s="26" t="str">
        <f t="shared" si="258"/>
        <v>DGSEI</v>
      </c>
      <c r="M1575" s="26" t="str">
        <f t="shared" si="250"/>
        <v>FEDERAL</v>
      </c>
      <c r="N1575" s="26">
        <v>483</v>
      </c>
      <c r="O1575" s="26">
        <v>217</v>
      </c>
      <c r="P1575" s="26">
        <v>266</v>
      </c>
      <c r="Q1575" s="26">
        <v>18</v>
      </c>
      <c r="R1575" s="26">
        <v>1</v>
      </c>
      <c r="S1575" s="26">
        <v>16</v>
      </c>
      <c r="T1575" s="26">
        <v>6</v>
      </c>
      <c r="U1575" s="26">
        <v>23</v>
      </c>
      <c r="V1575" s="26">
        <v>1</v>
      </c>
      <c r="W1575" s="26"/>
    </row>
    <row r="1576" spans="1:23" x14ac:dyDescent="0.25">
      <c r="A1576" s="26" t="str">
        <f t="shared" si="248"/>
        <v>PRIMARIA</v>
      </c>
      <c r="B1576" s="26" t="str">
        <f>"09DPR2922E"</f>
        <v>09DPR2922E</v>
      </c>
      <c r="C1576" s="26" t="str">
        <f>"RICARDO GARCIA ZAMUDIO                                                                              "</f>
        <v xml:space="preserve">RICARDO GARCIA ZAMUDIO                                                                              </v>
      </c>
      <c r="D1576" s="26" t="str">
        <f>"VESPERTINO"</f>
        <v>VESPERTINO</v>
      </c>
      <c r="E1576" s="26" t="str">
        <f>"ORO NO. 1                                                                       "</f>
        <v xml:space="preserve">ORO NO. 1                                                                       </v>
      </c>
      <c r="F1576" s="26" t="str">
        <f>"SANTIAGO ACAHUALTEPEC 2A AMPLIACION                                                                                                         "</f>
        <v xml:space="preserve">SANTIAGO ACAHUALTEPEC 2A AMPLIACION                                                                                                         </v>
      </c>
      <c r="G1576" s="26" t="str">
        <f t="shared" si="256"/>
        <v xml:space="preserve">IZTAPALAPA                                                                      </v>
      </c>
      <c r="H1576" s="26" t="str">
        <f>"064"</f>
        <v>064</v>
      </c>
      <c r="I1576" s="26" t="str">
        <f t="shared" si="249"/>
        <v>00</v>
      </c>
      <c r="J1576" s="26" t="str">
        <f>"64 "</f>
        <v xml:space="preserve">64 </v>
      </c>
      <c r="K1576" s="26" t="str">
        <f t="shared" si="257"/>
        <v>IZ</v>
      </c>
      <c r="L1576" s="26" t="str">
        <f t="shared" si="258"/>
        <v>DGSEI</v>
      </c>
      <c r="M1576" s="26" t="str">
        <f t="shared" si="250"/>
        <v>FEDERAL</v>
      </c>
      <c r="N1576" s="26">
        <v>517</v>
      </c>
      <c r="O1576" s="26">
        <v>268</v>
      </c>
      <c r="P1576" s="26">
        <v>249</v>
      </c>
      <c r="Q1576" s="26">
        <v>20</v>
      </c>
      <c r="R1576" s="26">
        <v>1</v>
      </c>
      <c r="S1576" s="26">
        <v>19</v>
      </c>
      <c r="T1576" s="26">
        <v>8</v>
      </c>
      <c r="U1576" s="26">
        <v>28</v>
      </c>
      <c r="V1576" s="26">
        <v>1</v>
      </c>
      <c r="W1576" s="26"/>
    </row>
    <row r="1577" spans="1:23" x14ac:dyDescent="0.25">
      <c r="A1577" s="26" t="str">
        <f t="shared" si="248"/>
        <v>PRIMARIA</v>
      </c>
      <c r="B1577" s="26" t="str">
        <f>"09DPR2923D"</f>
        <v>09DPR2923D</v>
      </c>
      <c r="C1577" s="26" t="str">
        <f>"CUICUILCO                                                                                           "</f>
        <v xml:space="preserve">CUICUILCO                                                                                           </v>
      </c>
      <c r="D1577" s="26" t="str">
        <f>"JORNADA AMPLIADA"</f>
        <v>JORNADA AMPLIADA</v>
      </c>
      <c r="E1577" s="26" t="str">
        <f>"CALLEJON DEL ZAPOTE S/N                                                         "</f>
        <v xml:space="preserve">CALLEJON DEL ZAPOTE S/N                                                         </v>
      </c>
      <c r="F1577" s="26" t="str">
        <f>"ISIDRO FABELA                                                                                                                               "</f>
        <v xml:space="preserve">ISIDRO FABELA                                                                                                                               </v>
      </c>
      <c r="G1577" s="26" t="str">
        <f>"TLALPAN                                                                         "</f>
        <v xml:space="preserve">TLALPAN                                                                         </v>
      </c>
      <c r="H1577" s="26" t="str">
        <f>"446"</f>
        <v>446</v>
      </c>
      <c r="I1577" s="26" t="str">
        <f t="shared" si="249"/>
        <v>00</v>
      </c>
      <c r="J1577" s="26" t="str">
        <f>"44 "</f>
        <v xml:space="preserve">44 </v>
      </c>
      <c r="K1577" s="26" t="str">
        <f>"PR"</f>
        <v>PR</v>
      </c>
      <c r="L1577" s="26" t="str">
        <f>"DGOSE"</f>
        <v>DGOSE</v>
      </c>
      <c r="M1577" s="26" t="str">
        <f t="shared" si="250"/>
        <v>FEDERAL</v>
      </c>
      <c r="N1577" s="26">
        <v>383</v>
      </c>
      <c r="O1577" s="26">
        <v>187</v>
      </c>
      <c r="P1577" s="26">
        <v>196</v>
      </c>
      <c r="Q1577" s="26">
        <v>13</v>
      </c>
      <c r="R1577" s="26">
        <v>1</v>
      </c>
      <c r="S1577" s="26">
        <v>13</v>
      </c>
      <c r="T1577" s="26">
        <v>7</v>
      </c>
      <c r="U1577" s="26">
        <v>21</v>
      </c>
      <c r="V1577" s="26">
        <v>1</v>
      </c>
      <c r="W1577" s="26" t="s">
        <v>2076</v>
      </c>
    </row>
    <row r="1578" spans="1:23" x14ac:dyDescent="0.25">
      <c r="A1578" s="26" t="str">
        <f t="shared" si="248"/>
        <v>PRIMARIA</v>
      </c>
      <c r="B1578" s="26" t="str">
        <f>"09DPR2924C"</f>
        <v>09DPR2924C</v>
      </c>
      <c r="C1578" s="26" t="str">
        <f>"PROFR. OTILIO MONTAÑO                                                                               "</f>
        <v xml:space="preserve">PROFR. OTILIO MONTAÑO                                                                               </v>
      </c>
      <c r="D1578" s="26" t="str">
        <f>"VESPERTINO"</f>
        <v>VESPERTINO</v>
      </c>
      <c r="E1578" s="26" t="str">
        <f>"LA RONDALLA S/N                                                                 "</f>
        <v xml:space="preserve">LA RONDALLA S/N                                                                 </v>
      </c>
      <c r="F1578" s="26" t="str">
        <f>"SAN JOSE                                                                                                                                    "</f>
        <v xml:space="preserve">SAN JOSE                                                                                                                                    </v>
      </c>
      <c r="G1578" s="26" t="str">
        <f>"TLAHUAC                                                                         "</f>
        <v xml:space="preserve">TLAHUAC                                                                         </v>
      </c>
      <c r="H1578" s="26" t="str">
        <f>"557"</f>
        <v>557</v>
      </c>
      <c r="I1578" s="26" t="str">
        <f t="shared" si="249"/>
        <v>00</v>
      </c>
      <c r="J1578" s="26" t="str">
        <f>"45 "</f>
        <v xml:space="preserve">45 </v>
      </c>
      <c r="K1578" s="26" t="str">
        <f>"PR"</f>
        <v>PR</v>
      </c>
      <c r="L1578" s="26" t="str">
        <f>"DGOSE"</f>
        <v>DGOSE</v>
      </c>
      <c r="M1578" s="26" t="str">
        <f t="shared" si="250"/>
        <v>FEDERAL</v>
      </c>
      <c r="N1578" s="26">
        <v>422</v>
      </c>
      <c r="O1578" s="26">
        <v>210</v>
      </c>
      <c r="P1578" s="26">
        <v>212</v>
      </c>
      <c r="Q1578" s="26">
        <v>15</v>
      </c>
      <c r="R1578" s="26">
        <v>0</v>
      </c>
      <c r="S1578" s="26">
        <v>14</v>
      </c>
      <c r="T1578" s="26">
        <v>10</v>
      </c>
      <c r="U1578" s="26">
        <v>24</v>
      </c>
      <c r="V1578" s="26">
        <v>1</v>
      </c>
      <c r="W1578" s="26"/>
    </row>
    <row r="1579" spans="1:23" x14ac:dyDescent="0.25">
      <c r="A1579" s="26" t="str">
        <f t="shared" si="248"/>
        <v>PRIMARIA</v>
      </c>
      <c r="B1579" s="26" t="str">
        <f>"09DPR2925B"</f>
        <v>09DPR2925B</v>
      </c>
      <c r="C1579" s="26" t="str">
        <f>"LAURA MENDEZ DE CUENCA                                                                              "</f>
        <v xml:space="preserve">LAURA MENDEZ DE CUENCA                                                                              </v>
      </c>
      <c r="D1579" s="26" t="str">
        <f>"VESPERTINO"</f>
        <v>VESPERTINO</v>
      </c>
      <c r="E1579" s="26" t="str">
        <f>"JESUS ROCHA SIN NUMERO                                                          "</f>
        <v xml:space="preserve">JESUS ROCHA SIN NUMERO                                                          </v>
      </c>
      <c r="F1579" s="26" t="str">
        <f>"OLIVAR DEL CONDE 2A SECCION                                                                                                                 "</f>
        <v xml:space="preserve">OLIVAR DEL CONDE 2A SECCION                                                                                                                 </v>
      </c>
      <c r="G1579" s="26" t="str">
        <f>"ALVARO OBREGON                                                                  "</f>
        <v xml:space="preserve">ALVARO OBREGON                                                                  </v>
      </c>
      <c r="H1579" s="26" t="str">
        <f>"314"</f>
        <v>314</v>
      </c>
      <c r="I1579" s="26" t="str">
        <f t="shared" si="249"/>
        <v>00</v>
      </c>
      <c r="J1579" s="26" t="str">
        <f>"43 "</f>
        <v xml:space="preserve">43 </v>
      </c>
      <c r="K1579" s="26" t="str">
        <f>"PR"</f>
        <v>PR</v>
      </c>
      <c r="L1579" s="26" t="str">
        <f>"DGOSE"</f>
        <v>DGOSE</v>
      </c>
      <c r="M1579" s="26" t="str">
        <f t="shared" si="250"/>
        <v>FEDERAL</v>
      </c>
      <c r="N1579" s="26">
        <v>203</v>
      </c>
      <c r="O1579" s="26">
        <v>98</v>
      </c>
      <c r="P1579" s="26">
        <v>105</v>
      </c>
      <c r="Q1579" s="26">
        <v>14</v>
      </c>
      <c r="R1579" s="26">
        <v>1</v>
      </c>
      <c r="S1579" s="26">
        <v>10</v>
      </c>
      <c r="T1579" s="26">
        <v>8</v>
      </c>
      <c r="U1579" s="26">
        <v>19</v>
      </c>
      <c r="V1579" s="26">
        <v>1</v>
      </c>
      <c r="W1579" s="26"/>
    </row>
    <row r="1580" spans="1:23" x14ac:dyDescent="0.25">
      <c r="A1580" s="26" t="str">
        <f t="shared" si="248"/>
        <v>PRIMARIA</v>
      </c>
      <c r="B1580" s="26" t="str">
        <f>"09DPR2926A"</f>
        <v>09DPR2926A</v>
      </c>
      <c r="C1580" s="26" t="str">
        <f>"RAZON Y FUERZA DE LA REVOLUCION MEXICANA                                                            "</f>
        <v xml:space="preserve">RAZON Y FUERZA DE LA REVOLUCION MEXICANA                                                            </v>
      </c>
      <c r="D1580" s="26" t="str">
        <f>"TIEMPO COMPLETO"</f>
        <v>TIEMPO COMPLETO</v>
      </c>
      <c r="E1580" s="26" t="str">
        <f>"AV. 18 DE MARZO NO. 50                                                          "</f>
        <v xml:space="preserve">AV. 18 DE MARZO NO. 50                                                          </v>
      </c>
      <c r="F1580" s="26" t="str">
        <f>"SAN MIGUEL TEOTONGO                                                                                                                         "</f>
        <v xml:space="preserve">SAN MIGUEL TEOTONGO                                                                                                                         </v>
      </c>
      <c r="G1580" s="26" t="str">
        <f>"IZTAPALAPA                                                                      "</f>
        <v xml:space="preserve">IZTAPALAPA                                                                      </v>
      </c>
      <c r="H1580" s="26" t="str">
        <f>"012"</f>
        <v>012</v>
      </c>
      <c r="I1580" s="26" t="str">
        <f t="shared" si="249"/>
        <v>00</v>
      </c>
      <c r="J1580" s="26" t="str">
        <f>"61 "</f>
        <v xml:space="preserve">61 </v>
      </c>
      <c r="K1580" s="26" t="str">
        <f>"IZ"</f>
        <v>IZ</v>
      </c>
      <c r="L1580" s="26" t="str">
        <f>"DGSEI"</f>
        <v>DGSEI</v>
      </c>
      <c r="M1580" s="26" t="str">
        <f t="shared" si="250"/>
        <v>FEDERAL</v>
      </c>
      <c r="N1580" s="26">
        <v>427</v>
      </c>
      <c r="O1580" s="26">
        <v>204</v>
      </c>
      <c r="P1580" s="26">
        <v>223</v>
      </c>
      <c r="Q1580" s="26">
        <v>12</v>
      </c>
      <c r="R1580" s="26">
        <v>1</v>
      </c>
      <c r="S1580" s="26">
        <v>12</v>
      </c>
      <c r="T1580" s="26">
        <v>11</v>
      </c>
      <c r="U1580" s="26">
        <v>24</v>
      </c>
      <c r="V1580" s="26">
        <v>1</v>
      </c>
      <c r="W1580" s="26" t="s">
        <v>218</v>
      </c>
    </row>
    <row r="1581" spans="1:23" x14ac:dyDescent="0.25">
      <c r="A1581" s="26" t="str">
        <f t="shared" si="248"/>
        <v>PRIMARIA</v>
      </c>
      <c r="B1581" s="26" t="str">
        <f>"09DPR2927Z"</f>
        <v>09DPR2927Z</v>
      </c>
      <c r="C1581" s="26" t="str">
        <f>"JUAN BADIANO                                                                                        "</f>
        <v xml:space="preserve">JUAN BADIANO                                                                                        </v>
      </c>
      <c r="D1581" s="26" t="str">
        <f>"VESPERTINO"</f>
        <v>VESPERTINO</v>
      </c>
      <c r="E1581" s="26" t="str">
        <f>"MIRAVALLE S/N                                                                   "</f>
        <v xml:space="preserve">MIRAVALLE S/N                                                                   </v>
      </c>
      <c r="F1581" s="26" t="str">
        <f>"EL MIRADOR                                                                                                                                  "</f>
        <v xml:space="preserve">EL MIRADOR                                                                                                                                  </v>
      </c>
      <c r="G1581" s="26" t="str">
        <f>"XOCHIMILCO                                                                      "</f>
        <v xml:space="preserve">XOCHIMILCO                                                                      </v>
      </c>
      <c r="H1581" s="26" t="str">
        <f>"533"</f>
        <v>533</v>
      </c>
      <c r="I1581" s="26" t="str">
        <f t="shared" si="249"/>
        <v>00</v>
      </c>
      <c r="J1581" s="26" t="str">
        <f>"45 "</f>
        <v xml:space="preserve">45 </v>
      </c>
      <c r="K1581" s="26" t="str">
        <f>"PR"</f>
        <v>PR</v>
      </c>
      <c r="L1581" s="26" t="str">
        <f>"DGOSE"</f>
        <v>DGOSE</v>
      </c>
      <c r="M1581" s="26" t="str">
        <f t="shared" si="250"/>
        <v>FEDERAL</v>
      </c>
      <c r="N1581" s="26">
        <v>251</v>
      </c>
      <c r="O1581" s="26">
        <v>130</v>
      </c>
      <c r="P1581" s="26">
        <v>121</v>
      </c>
      <c r="Q1581" s="26">
        <v>12</v>
      </c>
      <c r="R1581" s="26">
        <v>1</v>
      </c>
      <c r="S1581" s="26">
        <v>12</v>
      </c>
      <c r="T1581" s="26">
        <v>8</v>
      </c>
      <c r="U1581" s="26">
        <v>21</v>
      </c>
      <c r="V1581" s="26">
        <v>1</v>
      </c>
      <c r="W1581" s="26"/>
    </row>
    <row r="1582" spans="1:23" x14ac:dyDescent="0.25">
      <c r="A1582" s="26" t="str">
        <f t="shared" si="248"/>
        <v>PRIMARIA</v>
      </c>
      <c r="B1582" s="26" t="str">
        <f>"09DPR2930N"</f>
        <v>09DPR2930N</v>
      </c>
      <c r="C1582" s="26" t="str">
        <f>"DR. ANGEL MA. GARIBAY                                                                               "</f>
        <v xml:space="preserve">DR. ANGEL MA. GARIBAY                                                                               </v>
      </c>
      <c r="D1582" s="26" t="str">
        <f>"VESPERTINO"</f>
        <v>VESPERTINO</v>
      </c>
      <c r="E1582" s="26" t="str">
        <f>"CDA. TEPECIN S/N                                                                "</f>
        <v xml:space="preserve">CDA. TEPECIN S/N                                                                </v>
      </c>
      <c r="F1582" s="26" t="str">
        <f>"PEDREGAL DE SANTO DOMINGO                                                                                                                   "</f>
        <v xml:space="preserve">PEDREGAL DE SANTO DOMINGO                                                                                                                   </v>
      </c>
      <c r="G1582" s="26" t="str">
        <f>"COYOACAN                                                                        "</f>
        <v xml:space="preserve">COYOACAN                                                                        </v>
      </c>
      <c r="H1582" s="26" t="str">
        <f>"506"</f>
        <v>506</v>
      </c>
      <c r="I1582" s="26" t="str">
        <f t="shared" si="249"/>
        <v>00</v>
      </c>
      <c r="J1582" s="26" t="str">
        <f>"45 "</f>
        <v xml:space="preserve">45 </v>
      </c>
      <c r="K1582" s="26" t="str">
        <f>"PR"</f>
        <v>PR</v>
      </c>
      <c r="L1582" s="26" t="str">
        <f>"DGOSE"</f>
        <v>DGOSE</v>
      </c>
      <c r="M1582" s="26" t="str">
        <f t="shared" si="250"/>
        <v>FEDERAL</v>
      </c>
      <c r="N1582" s="26">
        <v>113</v>
      </c>
      <c r="O1582" s="26">
        <v>59</v>
      </c>
      <c r="P1582" s="26">
        <v>54</v>
      </c>
      <c r="Q1582" s="26">
        <v>7</v>
      </c>
      <c r="R1582" s="26">
        <v>1</v>
      </c>
      <c r="S1582" s="26">
        <v>7</v>
      </c>
      <c r="T1582" s="26">
        <v>6</v>
      </c>
      <c r="U1582" s="26">
        <v>14</v>
      </c>
      <c r="V1582" s="26">
        <v>1</v>
      </c>
      <c r="W1582" s="26"/>
    </row>
    <row r="1583" spans="1:23" x14ac:dyDescent="0.25">
      <c r="A1583" s="26" t="str">
        <f t="shared" si="248"/>
        <v>PRIMARIA</v>
      </c>
      <c r="B1583" s="26" t="str">
        <f>"09DPR2932L"</f>
        <v>09DPR2932L</v>
      </c>
      <c r="C1583" s="26" t="str">
        <f>"TLAMACHTILCALLI                                                                                     "</f>
        <v xml:space="preserve">TLAMACHTILCALLI                                                                                     </v>
      </c>
      <c r="D1583" s="26" t="str">
        <f>"MATUTINO"</f>
        <v>MATUTINO</v>
      </c>
      <c r="E1583" s="26" t="str">
        <f>"AV MIXTECAS Y TEPALCATZIN S/N                                                   "</f>
        <v xml:space="preserve">AV MIXTECAS Y TEPALCATZIN S/N                                                   </v>
      </c>
      <c r="F1583" s="26" t="str">
        <f>"AJUSCO                                                                                                                                      "</f>
        <v xml:space="preserve">AJUSCO                                                                                                                                      </v>
      </c>
      <c r="G1583" s="26" t="str">
        <f>"COYOACAN                                                                        "</f>
        <v xml:space="preserve">COYOACAN                                                                        </v>
      </c>
      <c r="H1583" s="26" t="str">
        <f>"504"</f>
        <v>504</v>
      </c>
      <c r="I1583" s="26" t="str">
        <f t="shared" si="249"/>
        <v>00</v>
      </c>
      <c r="J1583" s="26" t="str">
        <f>"45 "</f>
        <v xml:space="preserve">45 </v>
      </c>
      <c r="K1583" s="26" t="str">
        <f>"PR"</f>
        <v>PR</v>
      </c>
      <c r="L1583" s="26" t="str">
        <f>"DGOSE"</f>
        <v>DGOSE</v>
      </c>
      <c r="M1583" s="26" t="str">
        <f t="shared" si="250"/>
        <v>FEDERAL</v>
      </c>
      <c r="N1583" s="26">
        <v>395</v>
      </c>
      <c r="O1583" s="26">
        <v>182</v>
      </c>
      <c r="P1583" s="26">
        <v>213</v>
      </c>
      <c r="Q1583" s="26">
        <v>14</v>
      </c>
      <c r="R1583" s="26">
        <v>1</v>
      </c>
      <c r="S1583" s="26">
        <v>14</v>
      </c>
      <c r="T1583" s="26">
        <v>8</v>
      </c>
      <c r="U1583" s="26">
        <v>23</v>
      </c>
      <c r="V1583" s="26">
        <v>1</v>
      </c>
      <c r="W1583" s="26"/>
    </row>
    <row r="1584" spans="1:23" x14ac:dyDescent="0.25">
      <c r="A1584" s="26" t="str">
        <f t="shared" si="248"/>
        <v>PRIMARIA</v>
      </c>
      <c r="B1584" s="26" t="str">
        <f>"09DPR2933K"</f>
        <v>09DPR2933K</v>
      </c>
      <c r="C1584" s="26" t="str">
        <f>"PROFRA. MARIA ARIAS BERNAL                                                                          "</f>
        <v xml:space="preserve">PROFRA. MARIA ARIAS BERNAL                                                                          </v>
      </c>
      <c r="D1584" s="26" t="str">
        <f>"MATUTINO"</f>
        <v>MATUTINO</v>
      </c>
      <c r="E1584" s="26" t="str">
        <f>"RET. BATALLON CHIAUTLA S/N                                                      "</f>
        <v xml:space="preserve">RET. BATALLON CHIAUTLA S/N                                                      </v>
      </c>
      <c r="F1584" s="26" t="str">
        <f>"UNIDAD HABITACIONAL EJERCITO DE ORI                                                                                                         "</f>
        <v xml:space="preserve">UNIDAD HABITACIONAL EJERCITO DE ORI                                                                                                         </v>
      </c>
      <c r="G1584" s="26" t="str">
        <f>"IZTAPALAPA                                                                      "</f>
        <v xml:space="preserve">IZTAPALAPA                                                                      </v>
      </c>
      <c r="H1584" s="26" t="str">
        <f>"023"</f>
        <v>023</v>
      </c>
      <c r="I1584" s="26" t="str">
        <f t="shared" si="249"/>
        <v>00</v>
      </c>
      <c r="J1584" s="26" t="str">
        <f>"62 "</f>
        <v xml:space="preserve">62 </v>
      </c>
      <c r="K1584" s="26" t="str">
        <f>"IZ"</f>
        <v>IZ</v>
      </c>
      <c r="L1584" s="26" t="str">
        <f>"DGSEI"</f>
        <v>DGSEI</v>
      </c>
      <c r="M1584" s="26" t="str">
        <f t="shared" si="250"/>
        <v>FEDERAL</v>
      </c>
      <c r="N1584" s="26">
        <v>582</v>
      </c>
      <c r="O1584" s="26">
        <v>300</v>
      </c>
      <c r="P1584" s="26">
        <v>282</v>
      </c>
      <c r="Q1584" s="26">
        <v>18</v>
      </c>
      <c r="R1584" s="26">
        <v>1</v>
      </c>
      <c r="S1584" s="26">
        <v>17</v>
      </c>
      <c r="T1584" s="26">
        <v>9</v>
      </c>
      <c r="U1584" s="26">
        <v>27</v>
      </c>
      <c r="V1584" s="26">
        <v>1</v>
      </c>
      <c r="W1584" s="26"/>
    </row>
    <row r="1585" spans="1:23" x14ac:dyDescent="0.25">
      <c r="A1585" s="26" t="str">
        <f t="shared" si="248"/>
        <v>PRIMARIA</v>
      </c>
      <c r="B1585" s="26" t="str">
        <f>"09DPR2934J"</f>
        <v>09DPR2934J</v>
      </c>
      <c r="C1585" s="26" t="str">
        <f>"DR. NABOR CARRILLO FLORES                                                                           "</f>
        <v xml:space="preserve">DR. NABOR CARRILLO FLORES                                                                           </v>
      </c>
      <c r="D1585" s="26" t="str">
        <f>"MATUTINO"</f>
        <v>MATUTINO</v>
      </c>
      <c r="E1585" s="26" t="str">
        <f>"AV. SAN BERNABE NUM. 8255                                                       "</f>
        <v xml:space="preserve">AV. SAN BERNABE NUM. 8255                                                       </v>
      </c>
      <c r="F1585" s="26" t="str">
        <f>"LAS PALMAS                                                                                                                                  "</f>
        <v xml:space="preserve">LAS PALMAS                                                                                                                                  </v>
      </c>
      <c r="G1585" s="26" t="str">
        <f>"LA MAGDALENA CONTRERAS                                                          "</f>
        <v xml:space="preserve">LA MAGDALENA CONTRERAS                                                          </v>
      </c>
      <c r="H1585" s="26" t="str">
        <f>"333"</f>
        <v>333</v>
      </c>
      <c r="I1585" s="26" t="str">
        <f t="shared" si="249"/>
        <v>00</v>
      </c>
      <c r="J1585" s="26" t="str">
        <f>"43 "</f>
        <v xml:space="preserve">43 </v>
      </c>
      <c r="K1585" s="26" t="str">
        <f>"PR"</f>
        <v>PR</v>
      </c>
      <c r="L1585" s="26" t="str">
        <f>"DGOSE"</f>
        <v>DGOSE</v>
      </c>
      <c r="M1585" s="26" t="str">
        <f t="shared" si="250"/>
        <v>FEDERAL</v>
      </c>
      <c r="N1585" s="26">
        <v>541</v>
      </c>
      <c r="O1585" s="26">
        <v>279</v>
      </c>
      <c r="P1585" s="26">
        <v>262</v>
      </c>
      <c r="Q1585" s="26">
        <v>18</v>
      </c>
      <c r="R1585" s="26">
        <v>1</v>
      </c>
      <c r="S1585" s="26">
        <v>18</v>
      </c>
      <c r="T1585" s="26">
        <v>9</v>
      </c>
      <c r="U1585" s="26">
        <v>28</v>
      </c>
      <c r="V1585" s="26">
        <v>1</v>
      </c>
      <c r="W1585" s="26"/>
    </row>
    <row r="1586" spans="1:23" x14ac:dyDescent="0.25">
      <c r="A1586" s="26" t="str">
        <f t="shared" si="248"/>
        <v>PRIMARIA</v>
      </c>
      <c r="B1586" s="26" t="str">
        <f>"09DPR2935I"</f>
        <v>09DPR2935I</v>
      </c>
      <c r="C1586" s="26" t="str">
        <f>"JUAN ANTONIO DE LA FUENTE                                                                           "</f>
        <v xml:space="preserve">JUAN ANTONIO DE LA FUENTE                                                                           </v>
      </c>
      <c r="D1586" s="26" t="str">
        <f>"MATUTINO"</f>
        <v>MATUTINO</v>
      </c>
      <c r="E1586" s="26" t="str">
        <f>"PLAZA DEL ARBOL NO. 28 Y PLAZA MAYOR                                            "</f>
        <v xml:space="preserve">PLAZA DEL ARBOL NO. 28 Y PLAZA MAYOR                                            </v>
      </c>
      <c r="F1586" s="26" t="str">
        <f>"DOCTOR ALFONSO ORTIZ TIRADO                                                                                                                 "</f>
        <v xml:space="preserve">DOCTOR ALFONSO ORTIZ TIRADO                                                                                                                 </v>
      </c>
      <c r="G1586" s="26" t="str">
        <f t="shared" ref="G1586:G1591" si="259">"IZTAPALAPA                                                                      "</f>
        <v xml:space="preserve">IZTAPALAPA                                                                      </v>
      </c>
      <c r="H1586" s="26" t="str">
        <f>"013"</f>
        <v>013</v>
      </c>
      <c r="I1586" s="26" t="str">
        <f t="shared" si="249"/>
        <v>00</v>
      </c>
      <c r="J1586" s="26" t="str">
        <f>"62 "</f>
        <v xml:space="preserve">62 </v>
      </c>
      <c r="K1586" s="26" t="str">
        <f t="shared" ref="K1586:K1591" si="260">"IZ"</f>
        <v>IZ</v>
      </c>
      <c r="L1586" s="26" t="str">
        <f t="shared" ref="L1586:L1591" si="261">"DGSEI"</f>
        <v>DGSEI</v>
      </c>
      <c r="M1586" s="26" t="str">
        <f t="shared" si="250"/>
        <v>FEDERAL</v>
      </c>
      <c r="N1586" s="26">
        <v>535</v>
      </c>
      <c r="O1586" s="26">
        <v>280</v>
      </c>
      <c r="P1586" s="26">
        <v>255</v>
      </c>
      <c r="Q1586" s="26">
        <v>18</v>
      </c>
      <c r="R1586" s="26">
        <v>1</v>
      </c>
      <c r="S1586" s="26">
        <v>18</v>
      </c>
      <c r="T1586" s="26">
        <v>7</v>
      </c>
      <c r="U1586" s="26">
        <v>26</v>
      </c>
      <c r="V1586" s="26">
        <v>1</v>
      </c>
      <c r="W1586" s="26"/>
    </row>
    <row r="1587" spans="1:23" x14ac:dyDescent="0.25">
      <c r="A1587" s="26" t="str">
        <f t="shared" si="248"/>
        <v>PRIMARIA</v>
      </c>
      <c r="B1587" s="26" t="str">
        <f>"09DPR2936H"</f>
        <v>09DPR2936H</v>
      </c>
      <c r="C1587" s="26" t="str">
        <f>"FABIAN GARCIA RAMIREZ                                                                               "</f>
        <v xml:space="preserve">FABIAN GARCIA RAMIREZ                                                                               </v>
      </c>
      <c r="D1587" s="26" t="str">
        <f>"VESPERTINO"</f>
        <v>VESPERTINO</v>
      </c>
      <c r="E1587" s="26" t="str">
        <f>"FERMIN ESPINOZA NO. 60                                                          "</f>
        <v xml:space="preserve">FERMIN ESPINOZA NO. 60                                                          </v>
      </c>
      <c r="F1587" s="26" t="str">
        <f>"SAN MIGUEL TEOTONGO                                                                                                                         "</f>
        <v xml:space="preserve">SAN MIGUEL TEOTONGO                                                                                                                         </v>
      </c>
      <c r="G1587" s="26" t="str">
        <f t="shared" si="259"/>
        <v xml:space="preserve">IZTAPALAPA                                                                      </v>
      </c>
      <c r="H1587" s="26" t="str">
        <f>"068"</f>
        <v>068</v>
      </c>
      <c r="I1587" s="26" t="str">
        <f t="shared" si="249"/>
        <v>00</v>
      </c>
      <c r="J1587" s="26" t="str">
        <f>"64 "</f>
        <v xml:space="preserve">64 </v>
      </c>
      <c r="K1587" s="26" t="str">
        <f t="shared" si="260"/>
        <v>IZ</v>
      </c>
      <c r="L1587" s="26" t="str">
        <f t="shared" si="261"/>
        <v>DGSEI</v>
      </c>
      <c r="M1587" s="26" t="str">
        <f t="shared" si="250"/>
        <v>FEDERAL</v>
      </c>
      <c r="N1587" s="26">
        <v>280</v>
      </c>
      <c r="O1587" s="26">
        <v>148</v>
      </c>
      <c r="P1587" s="26">
        <v>132</v>
      </c>
      <c r="Q1587" s="26">
        <v>12</v>
      </c>
      <c r="R1587" s="26">
        <v>1</v>
      </c>
      <c r="S1587" s="26">
        <v>12</v>
      </c>
      <c r="T1587" s="26">
        <v>5</v>
      </c>
      <c r="U1587" s="26">
        <v>18</v>
      </c>
      <c r="V1587" s="26">
        <v>1</v>
      </c>
      <c r="W1587" s="26"/>
    </row>
    <row r="1588" spans="1:23" x14ac:dyDescent="0.25">
      <c r="A1588" s="26" t="str">
        <f t="shared" si="248"/>
        <v>PRIMARIA</v>
      </c>
      <c r="B1588" s="26" t="str">
        <f>"09DPR2937G"</f>
        <v>09DPR2937G</v>
      </c>
      <c r="C1588" s="26" t="str">
        <f>"HERMANOS SERDAN                                                                                     "</f>
        <v xml:space="preserve">HERMANOS SERDAN                                                                                     </v>
      </c>
      <c r="D1588" s="26" t="str">
        <f>"VESPERTINO"</f>
        <v>VESPERTINO</v>
      </c>
      <c r="E1588" s="26" t="str">
        <f>"MA.ESTHER ZUNO DE ECHEVERRIA NO. 52                                             "</f>
        <v xml:space="preserve">MA.ESTHER ZUNO DE ECHEVERRIA NO. 52                                             </v>
      </c>
      <c r="F1588" s="26" t="str">
        <f>"SANTIAGO ACAHUALTEPEC 2A AMPLIACION                                                                                                         "</f>
        <v xml:space="preserve">SANTIAGO ACAHUALTEPEC 2A AMPLIACION                                                                                                         </v>
      </c>
      <c r="G1588" s="26" t="str">
        <f t="shared" si="259"/>
        <v xml:space="preserve">IZTAPALAPA                                                                      </v>
      </c>
      <c r="H1588" s="26" t="str">
        <f>"063"</f>
        <v>063</v>
      </c>
      <c r="I1588" s="26" t="str">
        <f t="shared" si="249"/>
        <v>00</v>
      </c>
      <c r="J1588" s="26" t="str">
        <f>"64 "</f>
        <v xml:space="preserve">64 </v>
      </c>
      <c r="K1588" s="26" t="str">
        <f t="shared" si="260"/>
        <v>IZ</v>
      </c>
      <c r="L1588" s="26" t="str">
        <f t="shared" si="261"/>
        <v>DGSEI</v>
      </c>
      <c r="M1588" s="26" t="str">
        <f t="shared" si="250"/>
        <v>FEDERAL</v>
      </c>
      <c r="N1588" s="26">
        <v>487</v>
      </c>
      <c r="O1588" s="26">
        <v>261</v>
      </c>
      <c r="P1588" s="26">
        <v>226</v>
      </c>
      <c r="Q1588" s="26">
        <v>17</v>
      </c>
      <c r="R1588" s="26">
        <v>1</v>
      </c>
      <c r="S1588" s="26">
        <v>17</v>
      </c>
      <c r="T1588" s="26">
        <v>6</v>
      </c>
      <c r="U1588" s="26">
        <v>24</v>
      </c>
      <c r="V1588" s="26">
        <v>1</v>
      </c>
      <c r="W1588" s="26"/>
    </row>
    <row r="1589" spans="1:23" x14ac:dyDescent="0.25">
      <c r="A1589" s="26" t="str">
        <f t="shared" si="248"/>
        <v>PRIMARIA</v>
      </c>
      <c r="B1589" s="26" t="str">
        <f>"09DPR2939E"</f>
        <v>09DPR2939E</v>
      </c>
      <c r="C1589" s="26" t="str">
        <f>"REPUBLICA POPULAR SOCIALISTA DE ALBANIA                                                             "</f>
        <v xml:space="preserve">REPUBLICA POPULAR SOCIALISTA DE ALBANIA                                                             </v>
      </c>
      <c r="D1589" s="26" t="str">
        <f>"VESPERTINO"</f>
        <v>VESPERTINO</v>
      </c>
      <c r="E1589" s="26" t="str">
        <f>"1A. CDA. DE AV. MEXICO NO. 22                                                   "</f>
        <v xml:space="preserve">1A. CDA. DE AV. MEXICO NO. 22                                                   </v>
      </c>
      <c r="F1589" s="26" t="str">
        <f>"SANTA MARIA AZTAHUACAN                                                                                                                      "</f>
        <v xml:space="preserve">SANTA MARIA AZTAHUACAN                                                                                                                      </v>
      </c>
      <c r="G1589" s="26" t="str">
        <f t="shared" si="259"/>
        <v xml:space="preserve">IZTAPALAPA                                                                      </v>
      </c>
      <c r="H1589" s="26" t="str">
        <f>"025"</f>
        <v>025</v>
      </c>
      <c r="I1589" s="26" t="str">
        <f t="shared" si="249"/>
        <v>00</v>
      </c>
      <c r="J1589" s="26" t="str">
        <f>"62 "</f>
        <v xml:space="preserve">62 </v>
      </c>
      <c r="K1589" s="26" t="str">
        <f t="shared" si="260"/>
        <v>IZ</v>
      </c>
      <c r="L1589" s="26" t="str">
        <f t="shared" si="261"/>
        <v>DGSEI</v>
      </c>
      <c r="M1589" s="26" t="str">
        <f t="shared" si="250"/>
        <v>FEDERAL</v>
      </c>
      <c r="N1589" s="26">
        <v>418</v>
      </c>
      <c r="O1589" s="26">
        <v>223</v>
      </c>
      <c r="P1589" s="26">
        <v>195</v>
      </c>
      <c r="Q1589" s="26">
        <v>15</v>
      </c>
      <c r="R1589" s="26">
        <v>1</v>
      </c>
      <c r="S1589" s="26">
        <v>14</v>
      </c>
      <c r="T1589" s="26">
        <v>7</v>
      </c>
      <c r="U1589" s="26">
        <v>22</v>
      </c>
      <c r="V1589" s="26">
        <v>1</v>
      </c>
      <c r="W1589" s="26"/>
    </row>
    <row r="1590" spans="1:23" x14ac:dyDescent="0.25">
      <c r="A1590" s="26" t="str">
        <f t="shared" si="248"/>
        <v>PRIMARIA</v>
      </c>
      <c r="B1590" s="26" t="str">
        <f>"09DPR2940U"</f>
        <v>09DPR2940U</v>
      </c>
      <c r="C1590" s="26" t="str">
        <f>"PROFRA. CARMEN RAMOS DEL RIO                                                                        "</f>
        <v xml:space="preserve">PROFRA. CARMEN RAMOS DEL RIO                                                                        </v>
      </c>
      <c r="D1590" s="26" t="str">
        <f>"MATUTINO"</f>
        <v>MATUTINO</v>
      </c>
      <c r="E1590" s="26" t="str">
        <f>"AV. REVOLUCION SOCIAL NO. 81                                                    "</f>
        <v xml:space="preserve">AV. REVOLUCION SOCIAL NO. 81                                                    </v>
      </c>
      <c r="F1590" s="26" t="str">
        <f>"REFORMA EDUCATIVA                                                                                                                           "</f>
        <v xml:space="preserve">REFORMA EDUCATIVA                                                                                                                           </v>
      </c>
      <c r="G1590" s="26" t="str">
        <f t="shared" si="259"/>
        <v xml:space="preserve">IZTAPALAPA                                                                      </v>
      </c>
      <c r="H1590" s="26" t="str">
        <f>"018"</f>
        <v>018</v>
      </c>
      <c r="I1590" s="26" t="str">
        <f t="shared" si="249"/>
        <v>00</v>
      </c>
      <c r="J1590" s="26" t="str">
        <f>"62 "</f>
        <v xml:space="preserve">62 </v>
      </c>
      <c r="K1590" s="26" t="str">
        <f t="shared" si="260"/>
        <v>IZ</v>
      </c>
      <c r="L1590" s="26" t="str">
        <f t="shared" si="261"/>
        <v>DGSEI</v>
      </c>
      <c r="M1590" s="26" t="str">
        <f t="shared" si="250"/>
        <v>FEDERAL</v>
      </c>
      <c r="N1590" s="26">
        <v>420</v>
      </c>
      <c r="O1590" s="26">
        <v>197</v>
      </c>
      <c r="P1590" s="26">
        <v>223</v>
      </c>
      <c r="Q1590" s="26">
        <v>12</v>
      </c>
      <c r="R1590" s="26">
        <v>1</v>
      </c>
      <c r="S1590" s="26">
        <v>12</v>
      </c>
      <c r="T1590" s="26">
        <v>6</v>
      </c>
      <c r="U1590" s="26">
        <v>19</v>
      </c>
      <c r="V1590" s="26">
        <v>1</v>
      </c>
      <c r="W1590" s="26"/>
    </row>
    <row r="1591" spans="1:23" x14ac:dyDescent="0.25">
      <c r="A1591" s="26" t="str">
        <f t="shared" si="248"/>
        <v>PRIMARIA</v>
      </c>
      <c r="B1591" s="26" t="str">
        <f>"09DPR2942S"</f>
        <v>09DPR2942S</v>
      </c>
      <c r="C1591" s="26" t="str">
        <f>"FEDERICO BERRUETO RAMON                                                                             "</f>
        <v xml:space="preserve">FEDERICO BERRUETO RAMON                                                                             </v>
      </c>
      <c r="D1591" s="26" t="str">
        <f>"MATUTINO"</f>
        <v>MATUTINO</v>
      </c>
      <c r="E1591" s="26" t="str">
        <f>"TOPOGRAFOS NO. 65                                                               "</f>
        <v xml:space="preserve">TOPOGRAFOS NO. 65                                                               </v>
      </c>
      <c r="F1591" s="26" t="str">
        <f>"ACULCO                                                                                                                                      "</f>
        <v xml:space="preserve">ACULCO                                                                                                                                      </v>
      </c>
      <c r="G1591" s="26" t="str">
        <f t="shared" si="259"/>
        <v xml:space="preserve">IZTAPALAPA                                                                      </v>
      </c>
      <c r="H1591" s="26" t="str">
        <f>"037"</f>
        <v>037</v>
      </c>
      <c r="I1591" s="26" t="str">
        <f t="shared" si="249"/>
        <v>00</v>
      </c>
      <c r="J1591" s="26" t="str">
        <f>"63 "</f>
        <v xml:space="preserve">63 </v>
      </c>
      <c r="K1591" s="26" t="str">
        <f t="shared" si="260"/>
        <v>IZ</v>
      </c>
      <c r="L1591" s="26" t="str">
        <f t="shared" si="261"/>
        <v>DGSEI</v>
      </c>
      <c r="M1591" s="26" t="str">
        <f t="shared" si="250"/>
        <v>FEDERAL</v>
      </c>
      <c r="N1591" s="26">
        <v>160</v>
      </c>
      <c r="O1591" s="26">
        <v>84</v>
      </c>
      <c r="P1591" s="26">
        <v>76</v>
      </c>
      <c r="Q1591" s="26">
        <v>6</v>
      </c>
      <c r="R1591" s="26">
        <v>1</v>
      </c>
      <c r="S1591" s="26">
        <v>6</v>
      </c>
      <c r="T1591" s="26">
        <v>4</v>
      </c>
      <c r="U1591" s="26">
        <v>11</v>
      </c>
      <c r="V1591" s="26">
        <v>1</v>
      </c>
      <c r="W1591" s="26"/>
    </row>
    <row r="1592" spans="1:23" x14ac:dyDescent="0.25">
      <c r="A1592" s="26" t="str">
        <f t="shared" si="248"/>
        <v>PRIMARIA</v>
      </c>
      <c r="B1592" s="26" t="str">
        <f>"09DPR2943R"</f>
        <v>09DPR2943R</v>
      </c>
      <c r="C1592" s="26" t="str">
        <f>"FRANCISCO GABILONDO SOLER                                                                           "</f>
        <v xml:space="preserve">FRANCISCO GABILONDO SOLER                                                                           </v>
      </c>
      <c r="D1592" s="26" t="str">
        <f>"MATUTINO"</f>
        <v>MATUTINO</v>
      </c>
      <c r="E1592" s="26" t="str">
        <f>"AVENIDA TEZONTLE Y CORALES SIN NUMERO                                           "</f>
        <v xml:space="preserve">AVENIDA TEZONTLE Y CORALES SIN NUMERO                                           </v>
      </c>
      <c r="F1592" s="26" t="str">
        <f>"UNIDAD HABITACIONAL INFONAVIT                                                                                                               "</f>
        <v xml:space="preserve">UNIDAD HABITACIONAL INFONAVIT                                                                                                               </v>
      </c>
      <c r="G1592" s="26" t="str">
        <f>"IZTACALCO                                                                       "</f>
        <v xml:space="preserve">IZTACALCO                                                                       </v>
      </c>
      <c r="H1592" s="26" t="str">
        <f>"359"</f>
        <v>359</v>
      </c>
      <c r="I1592" s="26" t="str">
        <f t="shared" si="249"/>
        <v>00</v>
      </c>
      <c r="J1592" s="26" t="str">
        <f>"43 "</f>
        <v xml:space="preserve">43 </v>
      </c>
      <c r="K1592" s="26" t="str">
        <f>"PR"</f>
        <v>PR</v>
      </c>
      <c r="L1592" s="26" t="str">
        <f>"DGOSE"</f>
        <v>DGOSE</v>
      </c>
      <c r="M1592" s="26" t="str">
        <f t="shared" si="250"/>
        <v>FEDERAL</v>
      </c>
      <c r="N1592" s="26">
        <v>449</v>
      </c>
      <c r="O1592" s="26">
        <v>224</v>
      </c>
      <c r="P1592" s="26">
        <v>225</v>
      </c>
      <c r="Q1592" s="26">
        <v>15</v>
      </c>
      <c r="R1592" s="26">
        <v>1</v>
      </c>
      <c r="S1592" s="26">
        <v>15</v>
      </c>
      <c r="T1592" s="26">
        <v>10</v>
      </c>
      <c r="U1592" s="26">
        <v>26</v>
      </c>
      <c r="V1592" s="26">
        <v>1</v>
      </c>
      <c r="W1592" s="26"/>
    </row>
    <row r="1593" spans="1:23" x14ac:dyDescent="0.25">
      <c r="A1593" s="26" t="str">
        <f t="shared" si="248"/>
        <v>PRIMARIA</v>
      </c>
      <c r="B1593" s="26" t="str">
        <f>"09DPR2944Q"</f>
        <v>09DPR2944Q</v>
      </c>
      <c r="C1593" s="26" t="str">
        <f>"MARTIRES DE TACUBAYA                                                                                "</f>
        <v xml:space="preserve">MARTIRES DE TACUBAYA                                                                                </v>
      </c>
      <c r="D1593" s="26" t="str">
        <f>"JORNADA AMPLIADA"</f>
        <v>JORNADA AMPLIADA</v>
      </c>
      <c r="E1593" s="26" t="str">
        <f>"MELCHOR MUZQUIZ NUM 18                                                          "</f>
        <v xml:space="preserve">MELCHOR MUZQUIZ NUM 18                                                          </v>
      </c>
      <c r="F1593" s="26" t="str">
        <f>"SAN MIGUEL CHAPULTEPEC                                                                                                                      "</f>
        <v xml:space="preserve">SAN MIGUEL CHAPULTEPEC                                                                                                                      </v>
      </c>
      <c r="G1593" s="26" t="str">
        <f>"MIGUEL HIDALGO                                                                  "</f>
        <v xml:space="preserve">MIGUEL HIDALGO                                                                  </v>
      </c>
      <c r="H1593" s="26" t="str">
        <f>"110"</f>
        <v>110</v>
      </c>
      <c r="I1593" s="26" t="str">
        <f t="shared" si="249"/>
        <v>00</v>
      </c>
      <c r="J1593" s="26" t="str">
        <f>"41 "</f>
        <v xml:space="preserve">41 </v>
      </c>
      <c r="K1593" s="26" t="str">
        <f>"PR"</f>
        <v>PR</v>
      </c>
      <c r="L1593" s="26" t="str">
        <f>"DGOSE"</f>
        <v>DGOSE</v>
      </c>
      <c r="M1593" s="26" t="str">
        <f t="shared" si="250"/>
        <v>FEDERAL</v>
      </c>
      <c r="N1593" s="26">
        <v>179</v>
      </c>
      <c r="O1593" s="26">
        <v>91</v>
      </c>
      <c r="P1593" s="26">
        <v>88</v>
      </c>
      <c r="Q1593" s="26">
        <v>10</v>
      </c>
      <c r="R1593" s="26">
        <v>1</v>
      </c>
      <c r="S1593" s="26">
        <v>10</v>
      </c>
      <c r="T1593" s="26">
        <v>8</v>
      </c>
      <c r="U1593" s="26">
        <v>19</v>
      </c>
      <c r="V1593" s="26">
        <v>1</v>
      </c>
      <c r="W1593" s="26" t="s">
        <v>2076</v>
      </c>
    </row>
    <row r="1594" spans="1:23" x14ac:dyDescent="0.25">
      <c r="A1594" s="26" t="str">
        <f t="shared" si="248"/>
        <v>PRIMARIA</v>
      </c>
      <c r="B1594" s="26" t="str">
        <f>"09DPR2945P"</f>
        <v>09DPR2945P</v>
      </c>
      <c r="C1594" s="26" t="str">
        <f>"WILFRIDO MASSIEU                                                                                    "</f>
        <v xml:space="preserve">WILFRIDO MASSIEU                                                                                    </v>
      </c>
      <c r="D1594" s="26" t="str">
        <f>"VESPERTINO"</f>
        <v>VESPERTINO</v>
      </c>
      <c r="E1594" s="26" t="str">
        <f>"ESCUINAPA S/N                                                                   "</f>
        <v xml:space="preserve">ESCUINAPA S/N                                                                   </v>
      </c>
      <c r="F1594" s="26" t="str">
        <f>"PEDREGAL DE SANTO DOMINGO                                                                                                                   "</f>
        <v xml:space="preserve">PEDREGAL DE SANTO DOMINGO                                                                                                                   </v>
      </c>
      <c r="G1594" s="26" t="str">
        <f>"COYOACAN                                                                        "</f>
        <v xml:space="preserve">COYOACAN                                                                        </v>
      </c>
      <c r="H1594" s="26" t="str">
        <f>"502"</f>
        <v>502</v>
      </c>
      <c r="I1594" s="26" t="str">
        <f t="shared" si="249"/>
        <v>00</v>
      </c>
      <c r="J1594" s="26" t="str">
        <f>"45 "</f>
        <v xml:space="preserve">45 </v>
      </c>
      <c r="K1594" s="26" t="str">
        <f>"PR"</f>
        <v>PR</v>
      </c>
      <c r="L1594" s="26" t="str">
        <f>"DGOSE"</f>
        <v>DGOSE</v>
      </c>
      <c r="M1594" s="26" t="str">
        <f t="shared" si="250"/>
        <v>FEDERAL</v>
      </c>
      <c r="N1594" s="26">
        <v>168</v>
      </c>
      <c r="O1594" s="26">
        <v>86</v>
      </c>
      <c r="P1594" s="26">
        <v>82</v>
      </c>
      <c r="Q1594" s="26">
        <v>9</v>
      </c>
      <c r="R1594" s="26">
        <v>1</v>
      </c>
      <c r="S1594" s="26">
        <v>9</v>
      </c>
      <c r="T1594" s="26">
        <v>7</v>
      </c>
      <c r="U1594" s="26">
        <v>17</v>
      </c>
      <c r="V1594" s="26">
        <v>1</v>
      </c>
      <c r="W1594" s="26"/>
    </row>
    <row r="1595" spans="1:23" x14ac:dyDescent="0.25">
      <c r="A1595" s="26" t="str">
        <f t="shared" si="248"/>
        <v>PRIMARIA</v>
      </c>
      <c r="B1595" s="26" t="str">
        <f>"09DPR2946O"</f>
        <v>09DPR2946O</v>
      </c>
      <c r="C1595" s="26" t="str">
        <f>"PROFRA. CARMEN ARROYO DE LA PARRA                                                                   "</f>
        <v xml:space="preserve">PROFRA. CARMEN ARROYO DE LA PARRA                                                                   </v>
      </c>
      <c r="D1595" s="26" t="str">
        <f>"MATUTINO"</f>
        <v>MATUTINO</v>
      </c>
      <c r="E1595" s="26" t="str">
        <f>"JACOBO DE LIEJA SN                                                              "</f>
        <v xml:space="preserve">JACOBO DE LIEJA SN                                                              </v>
      </c>
      <c r="F1595" s="26" t="str">
        <f>"AGRICOLA METROPOLITANA                                                                                                                      "</f>
        <v xml:space="preserve">AGRICOLA METROPOLITANA                                                                                                                      </v>
      </c>
      <c r="G1595" s="26" t="str">
        <f>"TLAHUAC                                                                         "</f>
        <v xml:space="preserve">TLAHUAC                                                                         </v>
      </c>
      <c r="H1595" s="26" t="str">
        <f>"551"</f>
        <v>551</v>
      </c>
      <c r="I1595" s="26" t="str">
        <f t="shared" si="249"/>
        <v>00</v>
      </c>
      <c r="J1595" s="26" t="str">
        <f>"45 "</f>
        <v xml:space="preserve">45 </v>
      </c>
      <c r="K1595" s="26" t="str">
        <f>"PR"</f>
        <v>PR</v>
      </c>
      <c r="L1595" s="26" t="str">
        <f>"DGOSE"</f>
        <v>DGOSE</v>
      </c>
      <c r="M1595" s="26" t="str">
        <f t="shared" si="250"/>
        <v>FEDERAL</v>
      </c>
      <c r="N1595" s="26">
        <v>482</v>
      </c>
      <c r="O1595" s="26">
        <v>252</v>
      </c>
      <c r="P1595" s="26">
        <v>230</v>
      </c>
      <c r="Q1595" s="26">
        <v>13</v>
      </c>
      <c r="R1595" s="26">
        <v>1</v>
      </c>
      <c r="S1595" s="26">
        <v>10</v>
      </c>
      <c r="T1595" s="26">
        <v>6</v>
      </c>
      <c r="U1595" s="26">
        <v>17</v>
      </c>
      <c r="V1595" s="26">
        <v>1</v>
      </c>
      <c r="W1595" s="26"/>
    </row>
    <row r="1596" spans="1:23" x14ac:dyDescent="0.25">
      <c r="A1596" s="26" t="str">
        <f t="shared" si="248"/>
        <v>PRIMARIA</v>
      </c>
      <c r="B1596" s="26" t="str">
        <f>"09DPR2947N"</f>
        <v>09DPR2947N</v>
      </c>
      <c r="C1596" s="26" t="str">
        <f>"GRAL. HERMINIO CHAVARRIA                                                                            "</f>
        <v xml:space="preserve">GRAL. HERMINIO CHAVARRIA                                                                            </v>
      </c>
      <c r="D1596" s="26" t="str">
        <f>"MATUTINO"</f>
        <v>MATUTINO</v>
      </c>
      <c r="E1596" s="26" t="str">
        <f>"VENUSTIANO CARRANZA NO. 34                                                      "</f>
        <v xml:space="preserve">VENUSTIANO CARRANZA NO. 34                                                      </v>
      </c>
      <c r="F1596" s="26" t="str">
        <f>"SANTA MARIA AZTAHUACAN ZONA URBANA                                                                                                          "</f>
        <v xml:space="preserve">SANTA MARIA AZTAHUACAN ZONA URBANA                                                                                                          </v>
      </c>
      <c r="G1596" s="26" t="str">
        <f>"IZTAPALAPA                                                                      "</f>
        <v xml:space="preserve">IZTAPALAPA                                                                      </v>
      </c>
      <c r="H1596" s="26" t="str">
        <f>"059"</f>
        <v>059</v>
      </c>
      <c r="I1596" s="26" t="str">
        <f t="shared" si="249"/>
        <v>00</v>
      </c>
      <c r="J1596" s="26" t="str">
        <f>"64 "</f>
        <v xml:space="preserve">64 </v>
      </c>
      <c r="K1596" s="26" t="str">
        <f>"IZ"</f>
        <v>IZ</v>
      </c>
      <c r="L1596" s="26" t="str">
        <f>"DGSEI"</f>
        <v>DGSEI</v>
      </c>
      <c r="M1596" s="26" t="str">
        <f t="shared" si="250"/>
        <v>FEDERAL</v>
      </c>
      <c r="N1596" s="26">
        <v>719</v>
      </c>
      <c r="O1596" s="26">
        <v>375</v>
      </c>
      <c r="P1596" s="26">
        <v>344</v>
      </c>
      <c r="Q1596" s="26">
        <v>20</v>
      </c>
      <c r="R1596" s="26">
        <v>1</v>
      </c>
      <c r="S1596" s="26">
        <v>20</v>
      </c>
      <c r="T1596" s="26">
        <v>9</v>
      </c>
      <c r="U1596" s="26">
        <v>30</v>
      </c>
      <c r="V1596" s="26">
        <v>1</v>
      </c>
      <c r="W1596" s="26"/>
    </row>
    <row r="1597" spans="1:23" x14ac:dyDescent="0.25">
      <c r="A1597" s="26" t="str">
        <f t="shared" si="248"/>
        <v>PRIMARIA</v>
      </c>
      <c r="B1597" s="26" t="str">
        <f>"09DPR2948M"</f>
        <v>09DPR2948M</v>
      </c>
      <c r="C1597" s="26" t="str">
        <f>"MIGUEL DE CERVANTES SAAVEDRA                                                                        "</f>
        <v xml:space="preserve">MIGUEL DE CERVANTES SAAVEDRA                                                                        </v>
      </c>
      <c r="D1597" s="26" t="str">
        <f>"TIEMPO COMPLETO"</f>
        <v>TIEMPO COMPLETO</v>
      </c>
      <c r="E1597" s="26" t="str">
        <f>"SUPER MANZANA 2 ENTRE MZ. 22 Y 23                                               "</f>
        <v xml:space="preserve">SUPER MANZANA 2 ENTRE MZ. 22 Y 23                                               </v>
      </c>
      <c r="F1597" s="26" t="str">
        <f>"UNIDAD HABITACIONAL EJERCITO CONSTI                                                                                                         "</f>
        <v xml:space="preserve">UNIDAD HABITACIONAL EJERCITO CONSTI                                                                                                         </v>
      </c>
      <c r="G1597" s="26" t="str">
        <f>"IZTAPALAPA                                                                      "</f>
        <v xml:space="preserve">IZTAPALAPA                                                                      </v>
      </c>
      <c r="H1597" s="26" t="str">
        <f>"006"</f>
        <v>006</v>
      </c>
      <c r="I1597" s="26" t="str">
        <f t="shared" si="249"/>
        <v>00</v>
      </c>
      <c r="J1597" s="26" t="str">
        <f>"61 "</f>
        <v xml:space="preserve">61 </v>
      </c>
      <c r="K1597" s="26" t="str">
        <f>"IZ"</f>
        <v>IZ</v>
      </c>
      <c r="L1597" s="26" t="str">
        <f>"DGSEI"</f>
        <v>DGSEI</v>
      </c>
      <c r="M1597" s="26" t="str">
        <f t="shared" si="250"/>
        <v>FEDERAL</v>
      </c>
      <c r="N1597" s="26">
        <v>422</v>
      </c>
      <c r="O1597" s="26">
        <v>203</v>
      </c>
      <c r="P1597" s="26">
        <v>219</v>
      </c>
      <c r="Q1597" s="26">
        <v>14</v>
      </c>
      <c r="R1597" s="26">
        <v>1</v>
      </c>
      <c r="S1597" s="26">
        <v>14</v>
      </c>
      <c r="T1597" s="26">
        <v>8</v>
      </c>
      <c r="U1597" s="26">
        <v>23</v>
      </c>
      <c r="V1597" s="26">
        <v>1</v>
      </c>
      <c r="W1597" s="26" t="s">
        <v>218</v>
      </c>
    </row>
    <row r="1598" spans="1:23" x14ac:dyDescent="0.25">
      <c r="A1598" s="26" t="str">
        <f t="shared" si="248"/>
        <v>PRIMARIA</v>
      </c>
      <c r="B1598" s="26" t="str">
        <f>"09DPR2949L"</f>
        <v>09DPR2949L</v>
      </c>
      <c r="C1598" s="26" t="str">
        <f>"MARGARITA MAZA DE JUAREZ                                                                            "</f>
        <v xml:space="preserve">MARGARITA MAZA DE JUAREZ                                                                            </v>
      </c>
      <c r="D1598" s="26" t="str">
        <f>"VESPERTINO"</f>
        <v>VESPERTINO</v>
      </c>
      <c r="E1598" s="26" t="str">
        <f>"MARIA HERNANDEZ DE ZARCO NUM 14                                                 "</f>
        <v xml:space="preserve">MARIA HERNANDEZ DE ZARCO NUM 14                                                 </v>
      </c>
      <c r="F1598" s="26" t="str">
        <f>"UNIDAD HABITACIONAL BELISARIO DOMIN                                                                                                         "</f>
        <v xml:space="preserve">UNIDAD HABITACIONAL BELISARIO DOMIN                                                                                                         </v>
      </c>
      <c r="G1598" s="26" t="str">
        <f>"TLALPAN                                                                         "</f>
        <v xml:space="preserve">TLALPAN                                                                         </v>
      </c>
      <c r="H1598" s="26" t="str">
        <f>"525"</f>
        <v>525</v>
      </c>
      <c r="I1598" s="26" t="str">
        <f t="shared" si="249"/>
        <v>00</v>
      </c>
      <c r="J1598" s="26" t="str">
        <f>"45 "</f>
        <v xml:space="preserve">45 </v>
      </c>
      <c r="K1598" s="26" t="str">
        <f t="shared" ref="K1598:K1603" si="262">"PR"</f>
        <v>PR</v>
      </c>
      <c r="L1598" s="26" t="str">
        <f t="shared" ref="L1598:L1603" si="263">"DGOSE"</f>
        <v>DGOSE</v>
      </c>
      <c r="M1598" s="26" t="str">
        <f t="shared" si="250"/>
        <v>FEDERAL</v>
      </c>
      <c r="N1598" s="26">
        <v>296</v>
      </c>
      <c r="O1598" s="26">
        <v>147</v>
      </c>
      <c r="P1598" s="26">
        <v>149</v>
      </c>
      <c r="Q1598" s="26">
        <v>13</v>
      </c>
      <c r="R1598" s="26">
        <v>1</v>
      </c>
      <c r="S1598" s="26">
        <v>12</v>
      </c>
      <c r="T1598" s="26">
        <v>8</v>
      </c>
      <c r="U1598" s="26">
        <v>21</v>
      </c>
      <c r="V1598" s="26">
        <v>1</v>
      </c>
      <c r="W1598" s="26"/>
    </row>
    <row r="1599" spans="1:23" x14ac:dyDescent="0.25">
      <c r="A1599" s="26" t="str">
        <f t="shared" si="248"/>
        <v>PRIMARIA</v>
      </c>
      <c r="B1599" s="26" t="str">
        <f>"09DPR2950A"</f>
        <v>09DPR2950A</v>
      </c>
      <c r="C1599" s="26" t="str">
        <f>"DR. CONRADO MENENDEZ MENA                                                                           "</f>
        <v xml:space="preserve">DR. CONRADO MENENDEZ MENA                                                                           </v>
      </c>
      <c r="D1599" s="26" t="str">
        <f>"VESPERTINO"</f>
        <v>VESPERTINO</v>
      </c>
      <c r="E1599" s="26" t="str">
        <f>"LAS GRANJAS 10 B CARR MEX-TOL 15                                                "</f>
        <v xml:space="preserve">LAS GRANJAS 10 B CARR MEX-TOL 15                                                </v>
      </c>
      <c r="F1599" s="26" t="str">
        <f>"GRAJAS DE PALO ALTO                                                                                                                         "</f>
        <v xml:space="preserve">GRAJAS DE PALO ALTO                                                                                                                         </v>
      </c>
      <c r="G1599" s="26" t="str">
        <f>"CUAJIMALPA DE MORELOS                                                           "</f>
        <v xml:space="preserve">CUAJIMALPA DE MORELOS                                                           </v>
      </c>
      <c r="H1599" s="26" t="str">
        <f>"300"</f>
        <v>300</v>
      </c>
      <c r="I1599" s="26" t="str">
        <f t="shared" si="249"/>
        <v>00</v>
      </c>
      <c r="J1599" s="26" t="str">
        <f>"43 "</f>
        <v xml:space="preserve">43 </v>
      </c>
      <c r="K1599" s="26" t="str">
        <f t="shared" si="262"/>
        <v>PR</v>
      </c>
      <c r="L1599" s="26" t="str">
        <f t="shared" si="263"/>
        <v>DGOSE</v>
      </c>
      <c r="M1599" s="26" t="str">
        <f t="shared" si="250"/>
        <v>FEDERAL</v>
      </c>
      <c r="N1599" s="26">
        <v>148</v>
      </c>
      <c r="O1599" s="26">
        <v>84</v>
      </c>
      <c r="P1599" s="26">
        <v>64</v>
      </c>
      <c r="Q1599" s="26">
        <v>8</v>
      </c>
      <c r="R1599" s="26">
        <v>1</v>
      </c>
      <c r="S1599" s="26">
        <v>8</v>
      </c>
      <c r="T1599" s="26">
        <v>7</v>
      </c>
      <c r="U1599" s="26">
        <v>16</v>
      </c>
      <c r="V1599" s="26">
        <v>1</v>
      </c>
      <c r="W1599" s="26"/>
    </row>
    <row r="1600" spans="1:23" x14ac:dyDescent="0.25">
      <c r="A1600" s="26" t="str">
        <f t="shared" si="248"/>
        <v>PRIMARIA</v>
      </c>
      <c r="B1600" s="26" t="str">
        <f>"09DPR2951Z"</f>
        <v>09DPR2951Z</v>
      </c>
      <c r="C1600" s="26" t="str">
        <f>"DR. NABOR CARRILLO FLORES                                                                           "</f>
        <v xml:space="preserve">DR. NABOR CARRILLO FLORES                                                                           </v>
      </c>
      <c r="D1600" s="26" t="str">
        <f>"VESPERTINO"</f>
        <v>VESPERTINO</v>
      </c>
      <c r="E1600" s="26" t="str">
        <f>"AV SAN BERNABE 8255                                                             "</f>
        <v xml:space="preserve">AV SAN BERNABE 8255                                                             </v>
      </c>
      <c r="F1600" s="26" t="str">
        <f>"LAS PALMAS                                                                                                                                  "</f>
        <v xml:space="preserve">LAS PALMAS                                                                                                                                  </v>
      </c>
      <c r="G1600" s="26" t="str">
        <f>"LA MAGDALENA CONTRERAS                                                          "</f>
        <v xml:space="preserve">LA MAGDALENA CONTRERAS                                                          </v>
      </c>
      <c r="H1600" s="26" t="str">
        <f>"333"</f>
        <v>333</v>
      </c>
      <c r="I1600" s="26" t="str">
        <f t="shared" si="249"/>
        <v>00</v>
      </c>
      <c r="J1600" s="26" t="str">
        <f>"43 "</f>
        <v xml:space="preserve">43 </v>
      </c>
      <c r="K1600" s="26" t="str">
        <f t="shared" si="262"/>
        <v>PR</v>
      </c>
      <c r="L1600" s="26" t="str">
        <f t="shared" si="263"/>
        <v>DGOSE</v>
      </c>
      <c r="M1600" s="26" t="str">
        <f t="shared" si="250"/>
        <v>FEDERAL</v>
      </c>
      <c r="N1600" s="26">
        <v>230</v>
      </c>
      <c r="O1600" s="26">
        <v>127</v>
      </c>
      <c r="P1600" s="26">
        <v>103</v>
      </c>
      <c r="Q1600" s="26">
        <v>10</v>
      </c>
      <c r="R1600" s="26">
        <v>1</v>
      </c>
      <c r="S1600" s="26">
        <v>10</v>
      </c>
      <c r="T1600" s="26">
        <v>7</v>
      </c>
      <c r="U1600" s="26">
        <v>18</v>
      </c>
      <c r="V1600" s="26">
        <v>1</v>
      </c>
      <c r="W1600" s="26"/>
    </row>
    <row r="1601" spans="1:23" x14ac:dyDescent="0.25">
      <c r="A1601" s="26" t="str">
        <f t="shared" si="248"/>
        <v>PRIMARIA</v>
      </c>
      <c r="B1601" s="26" t="str">
        <f>"09DPR2952Z"</f>
        <v>09DPR2952Z</v>
      </c>
      <c r="C1601" s="26" t="str">
        <f>"PINTOR DIEGO RIVERA                                                                                 "</f>
        <v xml:space="preserve">PINTOR DIEGO RIVERA                                                                                 </v>
      </c>
      <c r="D1601" s="26" t="str">
        <f>"VESPERTINO"</f>
        <v>VESPERTINO</v>
      </c>
      <c r="E1601" s="26" t="str">
        <f>"AV MORELOS S/N                                                                  "</f>
        <v xml:space="preserve">AV MORELOS S/N                                                                  </v>
      </c>
      <c r="F1601" s="26" t="str">
        <f>"SAN SALVADOR CUAUHTENCO                                                                                                                     "</f>
        <v xml:space="preserve">SAN SALVADOR CUAUHTENCO                                                                                                                     </v>
      </c>
      <c r="G1601" s="26" t="str">
        <f>"MILPA ALTA                                                                      "</f>
        <v xml:space="preserve">MILPA ALTA                                                                      </v>
      </c>
      <c r="H1601" s="26" t="str">
        <f>"565"</f>
        <v>565</v>
      </c>
      <c r="I1601" s="26" t="str">
        <f t="shared" si="249"/>
        <v>00</v>
      </c>
      <c r="J1601" s="26" t="str">
        <f>"45 "</f>
        <v xml:space="preserve">45 </v>
      </c>
      <c r="K1601" s="26" t="str">
        <f t="shared" si="262"/>
        <v>PR</v>
      </c>
      <c r="L1601" s="26" t="str">
        <f t="shared" si="263"/>
        <v>DGOSE</v>
      </c>
      <c r="M1601" s="26" t="str">
        <f t="shared" si="250"/>
        <v>FEDERAL</v>
      </c>
      <c r="N1601" s="26">
        <v>490</v>
      </c>
      <c r="O1601" s="26">
        <v>253</v>
      </c>
      <c r="P1601" s="26">
        <v>237</v>
      </c>
      <c r="Q1601" s="26">
        <v>14</v>
      </c>
      <c r="R1601" s="26">
        <v>1</v>
      </c>
      <c r="S1601" s="26">
        <v>14</v>
      </c>
      <c r="T1601" s="26">
        <v>10</v>
      </c>
      <c r="U1601" s="26">
        <v>25</v>
      </c>
      <c r="V1601" s="26">
        <v>1</v>
      </c>
      <c r="W1601" s="26"/>
    </row>
    <row r="1602" spans="1:23" x14ac:dyDescent="0.25">
      <c r="A1602" s="26" t="str">
        <f t="shared" ref="A1602:A1665" si="264">"PRIMARIA"</f>
        <v>PRIMARIA</v>
      </c>
      <c r="B1602" s="26" t="str">
        <f>"09DPR2953Y"</f>
        <v>09DPR2953Y</v>
      </c>
      <c r="C1602" s="26" t="str">
        <f>"PROFR. NARCISO RAMOS GALICIA                                                                        "</f>
        <v xml:space="preserve">PROFR. NARCISO RAMOS GALICIA                                                                        </v>
      </c>
      <c r="D1602" s="26" t="str">
        <f>"MATUTINO"</f>
        <v>MATUTINO</v>
      </c>
      <c r="E1602" s="26" t="str">
        <f>"HIDALGO Y CUITLAHUAC                                                            "</f>
        <v xml:space="preserve">HIDALGO Y CUITLAHUAC                                                            </v>
      </c>
      <c r="F1602" s="26" t="str">
        <f>"SAN MATEO                                                                                                                                   "</f>
        <v xml:space="preserve">SAN MATEO                                                                                                                                   </v>
      </c>
      <c r="G1602" s="26" t="str">
        <f>"TLAHUAC                                                                         "</f>
        <v xml:space="preserve">TLAHUAC                                                                         </v>
      </c>
      <c r="H1602" s="26" t="str">
        <f>"558"</f>
        <v>558</v>
      </c>
      <c r="I1602" s="26" t="str">
        <f t="shared" ref="I1602:I1665" si="265">"00"</f>
        <v>00</v>
      </c>
      <c r="J1602" s="26" t="str">
        <f>"45 "</f>
        <v xml:space="preserve">45 </v>
      </c>
      <c r="K1602" s="26" t="str">
        <f t="shared" si="262"/>
        <v>PR</v>
      </c>
      <c r="L1602" s="26" t="str">
        <f t="shared" si="263"/>
        <v>DGOSE</v>
      </c>
      <c r="M1602" s="26" t="str">
        <f t="shared" ref="M1602:M1665" si="266">"FEDERAL"</f>
        <v>FEDERAL</v>
      </c>
      <c r="N1602" s="26">
        <v>850</v>
      </c>
      <c r="O1602" s="26">
        <v>412</v>
      </c>
      <c r="P1602" s="26">
        <v>438</v>
      </c>
      <c r="Q1602" s="26">
        <v>24</v>
      </c>
      <c r="R1602" s="26">
        <v>1</v>
      </c>
      <c r="S1602" s="26">
        <v>21</v>
      </c>
      <c r="T1602" s="26">
        <v>13</v>
      </c>
      <c r="U1602" s="26">
        <v>35</v>
      </c>
      <c r="V1602" s="26">
        <v>1</v>
      </c>
      <c r="W1602" s="26"/>
    </row>
    <row r="1603" spans="1:23" x14ac:dyDescent="0.25">
      <c r="A1603" s="26" t="str">
        <f t="shared" si="264"/>
        <v>PRIMARIA</v>
      </c>
      <c r="B1603" s="26" t="str">
        <f>"09DPR2954X"</f>
        <v>09DPR2954X</v>
      </c>
      <c r="C1603" s="26" t="str">
        <f>"CUAUHTEPEC                                                                                          "</f>
        <v xml:space="preserve">CUAUHTEPEC                                                                                          </v>
      </c>
      <c r="D1603" s="26" t="str">
        <f>"MATUTINO"</f>
        <v>MATUTINO</v>
      </c>
      <c r="E1603" s="26" t="str">
        <f>"MIGUEL LERDO DE TEJADA S/N                                                      "</f>
        <v xml:space="preserve">MIGUEL LERDO DE TEJADA S/N                                                      </v>
      </c>
      <c r="F1603" s="26" t="str">
        <f>"LA FORESTAL                                                                                                                                 "</f>
        <v xml:space="preserve">LA FORESTAL                                                                                                                                 </v>
      </c>
      <c r="G1603" s="26" t="str">
        <f>"GUSTAVO A. MADERO                                                               "</f>
        <v xml:space="preserve">GUSTAVO A. MADERO                                                               </v>
      </c>
      <c r="H1603" s="26" t="str">
        <f>"227"</f>
        <v>227</v>
      </c>
      <c r="I1603" s="26" t="str">
        <f t="shared" si="265"/>
        <v>00</v>
      </c>
      <c r="J1603" s="26" t="str">
        <f>"42 "</f>
        <v xml:space="preserve">42 </v>
      </c>
      <c r="K1603" s="26" t="str">
        <f t="shared" si="262"/>
        <v>PR</v>
      </c>
      <c r="L1603" s="26" t="str">
        <f t="shared" si="263"/>
        <v>DGOSE</v>
      </c>
      <c r="M1603" s="26" t="str">
        <f t="shared" si="266"/>
        <v>FEDERAL</v>
      </c>
      <c r="N1603" s="26">
        <v>426</v>
      </c>
      <c r="O1603" s="26">
        <v>210</v>
      </c>
      <c r="P1603" s="26">
        <v>216</v>
      </c>
      <c r="Q1603" s="26">
        <v>12</v>
      </c>
      <c r="R1603" s="26">
        <v>1</v>
      </c>
      <c r="S1603" s="26">
        <v>12</v>
      </c>
      <c r="T1603" s="26">
        <v>9</v>
      </c>
      <c r="U1603" s="26">
        <v>22</v>
      </c>
      <c r="V1603" s="26">
        <v>1</v>
      </c>
      <c r="W1603" s="26"/>
    </row>
    <row r="1604" spans="1:23" x14ac:dyDescent="0.25">
      <c r="A1604" s="26" t="str">
        <f t="shared" si="264"/>
        <v>PRIMARIA</v>
      </c>
      <c r="B1604" s="26" t="str">
        <f>"09DPR2955W"</f>
        <v>09DPR2955W</v>
      </c>
      <c r="C1604" s="26" t="str">
        <f>"PROFR. GERARDO BRUNO SEVILLA HERNANDEZ                                                              "</f>
        <v xml:space="preserve">PROFR. GERARDO BRUNO SEVILLA HERNANDEZ                                                              </v>
      </c>
      <c r="D1604" s="26" t="str">
        <f>"MATUTINO"</f>
        <v>MATUTINO</v>
      </c>
      <c r="E1604" s="26" t="str">
        <f>"JOSE JOAQUIN HERRERA NO. 14                                                     "</f>
        <v xml:space="preserve">JOSE JOAQUIN HERRERA NO. 14                                                     </v>
      </c>
      <c r="F1604" s="26" t="str">
        <f>"PRESIDENTES DE MEXICO                                                                                                                       "</f>
        <v xml:space="preserve">PRESIDENTES DE MEXICO                                                                                                                       </v>
      </c>
      <c r="G1604" s="26" t="str">
        <f>"IZTAPALAPA                                                                      "</f>
        <v xml:space="preserve">IZTAPALAPA                                                                      </v>
      </c>
      <c r="H1604" s="26" t="str">
        <f>"057"</f>
        <v>057</v>
      </c>
      <c r="I1604" s="26" t="str">
        <f t="shared" si="265"/>
        <v>00</v>
      </c>
      <c r="J1604" s="26" t="str">
        <f>"64 "</f>
        <v xml:space="preserve">64 </v>
      </c>
      <c r="K1604" s="26" t="str">
        <f>"IZ"</f>
        <v>IZ</v>
      </c>
      <c r="L1604" s="26" t="str">
        <f>"DGSEI"</f>
        <v>DGSEI</v>
      </c>
      <c r="M1604" s="26" t="str">
        <f t="shared" si="266"/>
        <v>FEDERAL</v>
      </c>
      <c r="N1604" s="26">
        <v>411</v>
      </c>
      <c r="O1604" s="26">
        <v>202</v>
      </c>
      <c r="P1604" s="26">
        <v>209</v>
      </c>
      <c r="Q1604" s="26">
        <v>12</v>
      </c>
      <c r="R1604" s="26">
        <v>1</v>
      </c>
      <c r="S1604" s="26">
        <v>12</v>
      </c>
      <c r="T1604" s="26">
        <v>6</v>
      </c>
      <c r="U1604" s="26">
        <v>19</v>
      </c>
      <c r="V1604" s="26">
        <v>1</v>
      </c>
      <c r="W1604" s="26"/>
    </row>
    <row r="1605" spans="1:23" x14ac:dyDescent="0.25">
      <c r="A1605" s="26" t="str">
        <f t="shared" si="264"/>
        <v>PRIMARIA</v>
      </c>
      <c r="B1605" s="26" t="str">
        <f>"09DPR2956V"</f>
        <v>09DPR2956V</v>
      </c>
      <c r="C1605" s="26" t="str">
        <f>"LIC. EMILIO PORTES GIL                                                                              "</f>
        <v xml:space="preserve">LIC. EMILIO PORTES GIL                                                                              </v>
      </c>
      <c r="D1605" s="26" t="str">
        <f>"MATUTINO"</f>
        <v>MATUTINO</v>
      </c>
      <c r="E1605" s="26" t="str">
        <f>"COYAMEL NO 178                                                                  "</f>
        <v xml:space="preserve">COYAMEL NO 178                                                                  </v>
      </c>
      <c r="F1605" s="26" t="str">
        <f>"PEDREGAL DE SANTO DOMINGO                                                                                                                   "</f>
        <v xml:space="preserve">PEDREGAL DE SANTO DOMINGO                                                                                                                   </v>
      </c>
      <c r="G1605" s="26" t="str">
        <f>"COYOACAN                                                                        "</f>
        <v xml:space="preserve">COYOACAN                                                                        </v>
      </c>
      <c r="H1605" s="26" t="str">
        <f>"500"</f>
        <v>500</v>
      </c>
      <c r="I1605" s="26" t="str">
        <f t="shared" si="265"/>
        <v>00</v>
      </c>
      <c r="J1605" s="26" t="str">
        <f>"45 "</f>
        <v xml:space="preserve">45 </v>
      </c>
      <c r="K1605" s="26" t="str">
        <f>"PR"</f>
        <v>PR</v>
      </c>
      <c r="L1605" s="26" t="str">
        <f>"DGOSE"</f>
        <v>DGOSE</v>
      </c>
      <c r="M1605" s="26" t="str">
        <f t="shared" si="266"/>
        <v>FEDERAL</v>
      </c>
      <c r="N1605" s="26">
        <v>341</v>
      </c>
      <c r="O1605" s="26">
        <v>181</v>
      </c>
      <c r="P1605" s="26">
        <v>160</v>
      </c>
      <c r="Q1605" s="26">
        <v>12</v>
      </c>
      <c r="R1605" s="26">
        <v>1</v>
      </c>
      <c r="S1605" s="26">
        <v>12</v>
      </c>
      <c r="T1605" s="26">
        <v>5</v>
      </c>
      <c r="U1605" s="26">
        <v>18</v>
      </c>
      <c r="V1605" s="26">
        <v>1</v>
      </c>
      <c r="W1605" s="26"/>
    </row>
    <row r="1606" spans="1:23" x14ac:dyDescent="0.25">
      <c r="A1606" s="26" t="str">
        <f t="shared" si="264"/>
        <v>PRIMARIA</v>
      </c>
      <c r="B1606" s="26" t="str">
        <f>"09DPR2958T"</f>
        <v>09DPR2958T</v>
      </c>
      <c r="C1606" s="26" t="str">
        <f>"VILLA ESTRELLA                                                                                      "</f>
        <v xml:space="preserve">VILLA ESTRELLA                                                                                      </v>
      </c>
      <c r="D1606" s="26" t="str">
        <f>"JORNADA AMPLIADA"</f>
        <v>JORNADA AMPLIADA</v>
      </c>
      <c r="E1606" s="26" t="str">
        <f>"CAMINO A CERRO DE LA ESTRELLA NO. 4                                             "</f>
        <v xml:space="preserve">CAMINO A CERRO DE LA ESTRELLA NO. 4                                             </v>
      </c>
      <c r="F1606" s="26" t="str">
        <f>"EL SANTUARIO                                                                                                                                "</f>
        <v xml:space="preserve">EL SANTUARIO                                                                                                                                </v>
      </c>
      <c r="G1606" s="26" t="str">
        <f>"IZTAPALAPA                                                                      "</f>
        <v xml:space="preserve">IZTAPALAPA                                                                      </v>
      </c>
      <c r="H1606" s="26" t="str">
        <f>"004"</f>
        <v>004</v>
      </c>
      <c r="I1606" s="26" t="str">
        <f t="shared" si="265"/>
        <v>00</v>
      </c>
      <c r="J1606" s="26" t="str">
        <f>"61 "</f>
        <v xml:space="preserve">61 </v>
      </c>
      <c r="K1606" s="26" t="str">
        <f>"IZ"</f>
        <v>IZ</v>
      </c>
      <c r="L1606" s="26" t="str">
        <f>"DGSEI"</f>
        <v>DGSEI</v>
      </c>
      <c r="M1606" s="26" t="str">
        <f t="shared" si="266"/>
        <v>FEDERAL</v>
      </c>
      <c r="N1606" s="26">
        <v>250</v>
      </c>
      <c r="O1606" s="26">
        <v>133</v>
      </c>
      <c r="P1606" s="26">
        <v>117</v>
      </c>
      <c r="Q1606" s="26">
        <v>10</v>
      </c>
      <c r="R1606" s="26">
        <v>1</v>
      </c>
      <c r="S1606" s="26">
        <v>9</v>
      </c>
      <c r="T1606" s="26">
        <v>9</v>
      </c>
      <c r="U1606" s="26">
        <v>19</v>
      </c>
      <c r="V1606" s="26">
        <v>1</v>
      </c>
      <c r="W1606" s="26" t="s">
        <v>2076</v>
      </c>
    </row>
    <row r="1607" spans="1:23" x14ac:dyDescent="0.25">
      <c r="A1607" s="26" t="str">
        <f t="shared" si="264"/>
        <v>PRIMARIA</v>
      </c>
      <c r="B1607" s="26" t="str">
        <f>"09DPR2959S"</f>
        <v>09DPR2959S</v>
      </c>
      <c r="C1607" s="26" t="str">
        <f>"PROFR. PABLO DE LA LLAVE                                                                            "</f>
        <v xml:space="preserve">PROFR. PABLO DE LA LLAVE                                                                            </v>
      </c>
      <c r="D1607" s="26" t="str">
        <f>"VESPERTINO"</f>
        <v>VESPERTINO</v>
      </c>
      <c r="E1607" s="26" t="str">
        <f>"SAN PEDRO XALPA NUM. 1                                                          "</f>
        <v xml:space="preserve">SAN PEDRO XALPA NUM. 1                                                          </v>
      </c>
      <c r="F1607" s="26" t="str">
        <f>"SAN FRANCISCO CULHUACAN                                                                                                                     "</f>
        <v xml:space="preserve">SAN FRANCISCO CULHUACAN                                                                                                                     </v>
      </c>
      <c r="G1607" s="26" t="str">
        <f>"COYOACAN                                                                        "</f>
        <v xml:space="preserve">COYOACAN                                                                        </v>
      </c>
      <c r="H1607" s="26" t="str">
        <f>"508"</f>
        <v>508</v>
      </c>
      <c r="I1607" s="26" t="str">
        <f t="shared" si="265"/>
        <v>00</v>
      </c>
      <c r="J1607" s="26" t="str">
        <f>"45 "</f>
        <v xml:space="preserve">45 </v>
      </c>
      <c r="K1607" s="26" t="str">
        <f>"PR"</f>
        <v>PR</v>
      </c>
      <c r="L1607" s="26" t="str">
        <f>"DGOSE"</f>
        <v>DGOSE</v>
      </c>
      <c r="M1607" s="26" t="str">
        <f t="shared" si="266"/>
        <v>FEDERAL</v>
      </c>
      <c r="N1607" s="26">
        <v>188</v>
      </c>
      <c r="O1607" s="26">
        <v>104</v>
      </c>
      <c r="P1607" s="26">
        <v>84</v>
      </c>
      <c r="Q1607" s="26">
        <v>11</v>
      </c>
      <c r="R1607" s="26">
        <v>1</v>
      </c>
      <c r="S1607" s="26">
        <v>11</v>
      </c>
      <c r="T1607" s="26">
        <v>6</v>
      </c>
      <c r="U1607" s="26">
        <v>18</v>
      </c>
      <c r="V1607" s="26">
        <v>1</v>
      </c>
      <c r="W1607" s="26"/>
    </row>
    <row r="1608" spans="1:23" x14ac:dyDescent="0.25">
      <c r="A1608" s="26" t="str">
        <f t="shared" si="264"/>
        <v>PRIMARIA</v>
      </c>
      <c r="B1608" s="26" t="str">
        <f>"09DPR2961G"</f>
        <v>09DPR2961G</v>
      </c>
      <c r="C1608" s="26" t="str">
        <f>"PROGRESO CAMPESINO                                                                                  "</f>
        <v xml:space="preserve">PROGRESO CAMPESINO                                                                                  </v>
      </c>
      <c r="D1608" s="26" t="str">
        <f>"VESPERTINO"</f>
        <v>VESPERTINO</v>
      </c>
      <c r="E1608" s="26" t="str">
        <f>"NIÑOS HEROES NO 16                                                              "</f>
        <v xml:space="preserve">NIÑOS HEROES NO 16                                                              </v>
      </c>
      <c r="F1608" s="26" t="str">
        <f>"SAN LORENZO TLACOYUCAN                                                                                                                      "</f>
        <v xml:space="preserve">SAN LORENZO TLACOYUCAN                                                                                                                      </v>
      </c>
      <c r="G1608" s="26" t="str">
        <f>"MILPA ALTA                                                                      "</f>
        <v xml:space="preserve">MILPA ALTA                                                                      </v>
      </c>
      <c r="H1608" s="26" t="str">
        <f>"563"</f>
        <v>563</v>
      </c>
      <c r="I1608" s="26" t="str">
        <f t="shared" si="265"/>
        <v>00</v>
      </c>
      <c r="J1608" s="26" t="str">
        <f>"45 "</f>
        <v xml:space="preserve">45 </v>
      </c>
      <c r="K1608" s="26" t="str">
        <f>"PR"</f>
        <v>PR</v>
      </c>
      <c r="L1608" s="26" t="str">
        <f>"DGOSE"</f>
        <v>DGOSE</v>
      </c>
      <c r="M1608" s="26" t="str">
        <f t="shared" si="266"/>
        <v>FEDERAL</v>
      </c>
      <c r="N1608" s="26">
        <v>153</v>
      </c>
      <c r="O1608" s="26">
        <v>77</v>
      </c>
      <c r="P1608" s="26">
        <v>76</v>
      </c>
      <c r="Q1608" s="26">
        <v>7</v>
      </c>
      <c r="R1608" s="26">
        <v>1</v>
      </c>
      <c r="S1608" s="26">
        <v>7</v>
      </c>
      <c r="T1608" s="26">
        <v>5</v>
      </c>
      <c r="U1608" s="26">
        <v>13</v>
      </c>
      <c r="V1608" s="26">
        <v>1</v>
      </c>
      <c r="W1608" s="26"/>
    </row>
    <row r="1609" spans="1:23" x14ac:dyDescent="0.25">
      <c r="A1609" s="26" t="str">
        <f t="shared" si="264"/>
        <v>PRIMARIA</v>
      </c>
      <c r="B1609" s="26" t="str">
        <f>"09DPR2962F"</f>
        <v>09DPR2962F</v>
      </c>
      <c r="C1609" s="26" t="str">
        <f>"EFRAINA ROCHA MARTINEZ                                                                              "</f>
        <v xml:space="preserve">EFRAINA ROCHA MARTINEZ                                                                              </v>
      </c>
      <c r="D1609" s="26" t="str">
        <f>"VESPERTINO"</f>
        <v>VESPERTINO</v>
      </c>
      <c r="E1609" s="26" t="str">
        <f>"ANDADOR JUANA DE ARCO NO.1                                                      "</f>
        <v xml:space="preserve">ANDADOR JUANA DE ARCO NO.1                                                      </v>
      </c>
      <c r="F1609" s="26" t="str">
        <f>"MARGARITA MAZA DE JUAREZ                                                                                                                    "</f>
        <v xml:space="preserve">MARGARITA MAZA DE JUAREZ                                                                                                                    </v>
      </c>
      <c r="G1609" s="26" t="str">
        <f>"IZTAPALAPA                                                                      "</f>
        <v xml:space="preserve">IZTAPALAPA                                                                      </v>
      </c>
      <c r="H1609" s="26" t="str">
        <f>"039"</f>
        <v>039</v>
      </c>
      <c r="I1609" s="26" t="str">
        <f t="shared" si="265"/>
        <v>00</v>
      </c>
      <c r="J1609" s="26" t="str">
        <f>"63 "</f>
        <v xml:space="preserve">63 </v>
      </c>
      <c r="K1609" s="26" t="str">
        <f>"IZ"</f>
        <v>IZ</v>
      </c>
      <c r="L1609" s="26" t="str">
        <f>"DGSEI"</f>
        <v>DGSEI</v>
      </c>
      <c r="M1609" s="26" t="str">
        <f t="shared" si="266"/>
        <v>FEDERAL</v>
      </c>
      <c r="N1609" s="26">
        <v>221</v>
      </c>
      <c r="O1609" s="26">
        <v>114</v>
      </c>
      <c r="P1609" s="26">
        <v>107</v>
      </c>
      <c r="Q1609" s="26">
        <v>12</v>
      </c>
      <c r="R1609" s="26">
        <v>0</v>
      </c>
      <c r="S1609" s="26">
        <v>12</v>
      </c>
      <c r="T1609" s="26">
        <v>2</v>
      </c>
      <c r="U1609" s="26">
        <v>14</v>
      </c>
      <c r="V1609" s="26">
        <v>1</v>
      </c>
      <c r="W1609" s="26"/>
    </row>
    <row r="1610" spans="1:23" x14ac:dyDescent="0.25">
      <c r="A1610" s="26" t="str">
        <f t="shared" si="264"/>
        <v>PRIMARIA</v>
      </c>
      <c r="B1610" s="26" t="str">
        <f>"09DPR2963E"</f>
        <v>09DPR2963E</v>
      </c>
      <c r="C1610" s="26" t="str">
        <f>"GREGORIO TORRES QUINTERO                                                                            "</f>
        <v xml:space="preserve">GREGORIO TORRES QUINTERO                                                                            </v>
      </c>
      <c r="D1610" s="26" t="str">
        <f>"VESPERTINO"</f>
        <v>VESPERTINO</v>
      </c>
      <c r="E1610" s="26" t="str">
        <f>"CALLE DE LA PIEDAD S/N                                                          "</f>
        <v xml:space="preserve">CALLE DE LA PIEDAD S/N                                                          </v>
      </c>
      <c r="F1610" s="26" t="str">
        <f>"LOMA DE LA PALMA                                                                                                                            "</f>
        <v xml:space="preserve">LOMA DE LA PALMA                                                                                                                            </v>
      </c>
      <c r="G1610" s="26" t="str">
        <f>"GUSTAVO A. MADERO                                                               "</f>
        <v xml:space="preserve">GUSTAVO A. MADERO                                                               </v>
      </c>
      <c r="H1610" s="26" t="str">
        <f>"229"</f>
        <v>229</v>
      </c>
      <c r="I1610" s="26" t="str">
        <f t="shared" si="265"/>
        <v>00</v>
      </c>
      <c r="J1610" s="26" t="str">
        <f>"42 "</f>
        <v xml:space="preserve">42 </v>
      </c>
      <c r="K1610" s="26" t="str">
        <f>"PR"</f>
        <v>PR</v>
      </c>
      <c r="L1610" s="26" t="str">
        <f>"DGOSE"</f>
        <v>DGOSE</v>
      </c>
      <c r="M1610" s="26" t="str">
        <f t="shared" si="266"/>
        <v>FEDERAL</v>
      </c>
      <c r="N1610" s="26">
        <v>169</v>
      </c>
      <c r="O1610" s="26">
        <v>98</v>
      </c>
      <c r="P1610" s="26">
        <v>71</v>
      </c>
      <c r="Q1610" s="26">
        <v>9</v>
      </c>
      <c r="R1610" s="26">
        <v>1</v>
      </c>
      <c r="S1610" s="26">
        <v>9</v>
      </c>
      <c r="T1610" s="26">
        <v>5</v>
      </c>
      <c r="U1610" s="26">
        <v>15</v>
      </c>
      <c r="V1610" s="26">
        <v>1</v>
      </c>
      <c r="W1610" s="26"/>
    </row>
    <row r="1611" spans="1:23" x14ac:dyDescent="0.25">
      <c r="A1611" s="26" t="str">
        <f t="shared" si="264"/>
        <v>PRIMARIA</v>
      </c>
      <c r="B1611" s="26" t="str">
        <f>"09DPR2964D"</f>
        <v>09DPR2964D</v>
      </c>
      <c r="C1611" s="26" t="str">
        <f>"PROFR. FRANCISCO DE LA MAZA CUADRA                                                                  "</f>
        <v xml:space="preserve">PROFR. FRANCISCO DE LA MAZA CUADRA                                                                  </v>
      </c>
      <c r="D1611" s="26" t="str">
        <f>"TIEMPO COMPLETO"</f>
        <v>TIEMPO COMPLETO</v>
      </c>
      <c r="E1611" s="26" t="str">
        <f>"AV 1543 NO  68                                                                  "</f>
        <v xml:space="preserve">AV 1543 NO  68                                                                  </v>
      </c>
      <c r="F1611" s="26" t="str">
        <f>"UNIDAD SAN JUAN DE ARAGON 6A SECCIO                                                                                                         "</f>
        <v xml:space="preserve">UNIDAD SAN JUAN DE ARAGON 6A SECCIO                                                                                                         </v>
      </c>
      <c r="G1611" s="26" t="str">
        <f>"GUSTAVO A. MADERO                                                               "</f>
        <v xml:space="preserve">GUSTAVO A. MADERO                                                               </v>
      </c>
      <c r="H1611" s="26" t="str">
        <f>"144"</f>
        <v>144</v>
      </c>
      <c r="I1611" s="26" t="str">
        <f t="shared" si="265"/>
        <v>00</v>
      </c>
      <c r="J1611" s="26" t="str">
        <f>"41 "</f>
        <v xml:space="preserve">41 </v>
      </c>
      <c r="K1611" s="26" t="str">
        <f>"PR"</f>
        <v>PR</v>
      </c>
      <c r="L1611" s="26" t="str">
        <f>"DGOSE"</f>
        <v>DGOSE</v>
      </c>
      <c r="M1611" s="26" t="str">
        <f t="shared" si="266"/>
        <v>FEDERAL</v>
      </c>
      <c r="N1611" s="26">
        <v>543</v>
      </c>
      <c r="O1611" s="26">
        <v>282</v>
      </c>
      <c r="P1611" s="26">
        <v>261</v>
      </c>
      <c r="Q1611" s="26">
        <v>18</v>
      </c>
      <c r="R1611" s="26">
        <v>1</v>
      </c>
      <c r="S1611" s="26">
        <v>18</v>
      </c>
      <c r="T1611" s="26">
        <v>19</v>
      </c>
      <c r="U1611" s="26">
        <v>38</v>
      </c>
      <c r="V1611" s="26">
        <v>1</v>
      </c>
      <c r="W1611" s="26" t="s">
        <v>218</v>
      </c>
    </row>
    <row r="1612" spans="1:23" x14ac:dyDescent="0.25">
      <c r="A1612" s="26" t="str">
        <f t="shared" si="264"/>
        <v>PRIMARIA</v>
      </c>
      <c r="B1612" s="26" t="str">
        <f>"09DPR2965C"</f>
        <v>09DPR2965C</v>
      </c>
      <c r="C1612" s="26" t="str">
        <f>"PROFR. ENRIQUE VAZQUEZ ISLAS                                                                        "</f>
        <v xml:space="preserve">PROFR. ENRIQUE VAZQUEZ ISLAS                                                                        </v>
      </c>
      <c r="D1612" s="26" t="str">
        <f>"TIEMPO COMPLETO"</f>
        <v>TIEMPO COMPLETO</v>
      </c>
      <c r="E1612" s="26" t="str">
        <f>"VOLCAN LANIN Y ACATENANGO NUM. 10                                               "</f>
        <v xml:space="preserve">VOLCAN LANIN Y ACATENANGO NUM. 10                                               </v>
      </c>
      <c r="F1612" s="26" t="str">
        <f>"PROVIDENCIA                                                                                                                                 "</f>
        <v xml:space="preserve">PROVIDENCIA                                                                                                                                 </v>
      </c>
      <c r="G1612" s="26" t="str">
        <f>"GUSTAVO A. MADERO                                                               "</f>
        <v xml:space="preserve">GUSTAVO A. MADERO                                                               </v>
      </c>
      <c r="H1612" s="26" t="str">
        <f>"142"</f>
        <v>142</v>
      </c>
      <c r="I1612" s="26" t="str">
        <f t="shared" si="265"/>
        <v>00</v>
      </c>
      <c r="J1612" s="26" t="str">
        <f>"41 "</f>
        <v xml:space="preserve">41 </v>
      </c>
      <c r="K1612" s="26" t="str">
        <f>"PR"</f>
        <v>PR</v>
      </c>
      <c r="L1612" s="26" t="str">
        <f>"DGOSE"</f>
        <v>DGOSE</v>
      </c>
      <c r="M1612" s="26" t="str">
        <f t="shared" si="266"/>
        <v>FEDERAL</v>
      </c>
      <c r="N1612" s="26">
        <v>515</v>
      </c>
      <c r="O1612" s="26">
        <v>271</v>
      </c>
      <c r="P1612" s="26">
        <v>244</v>
      </c>
      <c r="Q1612" s="26">
        <v>18</v>
      </c>
      <c r="R1612" s="26">
        <v>1</v>
      </c>
      <c r="S1612" s="26">
        <v>18</v>
      </c>
      <c r="T1612" s="26">
        <v>22</v>
      </c>
      <c r="U1612" s="26">
        <v>41</v>
      </c>
      <c r="V1612" s="26">
        <v>1</v>
      </c>
      <c r="W1612" s="26" t="s">
        <v>218</v>
      </c>
    </row>
    <row r="1613" spans="1:23" x14ac:dyDescent="0.25">
      <c r="A1613" s="26" t="str">
        <f t="shared" si="264"/>
        <v>PRIMARIA</v>
      </c>
      <c r="B1613" s="26" t="str">
        <f>"09DPR2966B"</f>
        <v>09DPR2966B</v>
      </c>
      <c r="C1613" s="26" t="str">
        <f>"QUETZALCOATL                                                                                        "</f>
        <v xml:space="preserve">QUETZALCOATL                                                                                        </v>
      </c>
      <c r="D1613" s="26" t="str">
        <f>"MATUTINO"</f>
        <v>MATUTINO</v>
      </c>
      <c r="E1613" s="26" t="str">
        <f>"AV. TECNOLOGICO S/N                                                             "</f>
        <v xml:space="preserve">AV. TECNOLOGICO S/N                                                             </v>
      </c>
      <c r="F1613" s="26" t="str">
        <f>"CUAUTEPEC DE MADERO                                                                                                                         "</f>
        <v xml:space="preserve">CUAUTEPEC DE MADERO                                                                                                                         </v>
      </c>
      <c r="G1613" s="26" t="str">
        <f>"GUSTAVO A. MADERO                                                               "</f>
        <v xml:space="preserve">GUSTAVO A. MADERO                                                               </v>
      </c>
      <c r="H1613" s="26" t="str">
        <f>"233"</f>
        <v>233</v>
      </c>
      <c r="I1613" s="26" t="str">
        <f t="shared" si="265"/>
        <v>00</v>
      </c>
      <c r="J1613" s="26" t="str">
        <f>"42 "</f>
        <v xml:space="preserve">42 </v>
      </c>
      <c r="K1613" s="26" t="str">
        <f>"PR"</f>
        <v>PR</v>
      </c>
      <c r="L1613" s="26" t="str">
        <f>"DGOSE"</f>
        <v>DGOSE</v>
      </c>
      <c r="M1613" s="26" t="str">
        <f t="shared" si="266"/>
        <v>FEDERAL</v>
      </c>
      <c r="N1613" s="26">
        <v>537</v>
      </c>
      <c r="O1613" s="26">
        <v>280</v>
      </c>
      <c r="P1613" s="26">
        <v>257</v>
      </c>
      <c r="Q1613" s="26">
        <v>18</v>
      </c>
      <c r="R1613" s="26">
        <v>1</v>
      </c>
      <c r="S1613" s="26">
        <v>18</v>
      </c>
      <c r="T1613" s="26">
        <v>10</v>
      </c>
      <c r="U1613" s="26">
        <v>29</v>
      </c>
      <c r="V1613" s="26">
        <v>1</v>
      </c>
      <c r="W1613" s="26"/>
    </row>
    <row r="1614" spans="1:23" x14ac:dyDescent="0.25">
      <c r="A1614" s="26" t="str">
        <f t="shared" si="264"/>
        <v>PRIMARIA</v>
      </c>
      <c r="B1614" s="26" t="str">
        <f>"09DPR2967A"</f>
        <v>09DPR2967A</v>
      </c>
      <c r="C1614" s="26" t="str">
        <f>"PROFRA. MARGARITA LOPEZ FARFAN                                                                      "</f>
        <v xml:space="preserve">PROFRA. MARGARITA LOPEZ FARFAN                                                                      </v>
      </c>
      <c r="D1614" s="26" t="str">
        <f>"MATUTINO"</f>
        <v>MATUTINO</v>
      </c>
      <c r="E1614" s="26" t="str">
        <f>"TATA NACHO S/N ESQ. RAUL HELMER                                                 "</f>
        <v xml:space="preserve">TATA NACHO S/N ESQ. RAUL HELMER                                                 </v>
      </c>
      <c r="F1614" s="26" t="str">
        <f>"EL TEPETATAL                                                                                                                                "</f>
        <v xml:space="preserve">EL TEPETATAL                                                                                                                                </v>
      </c>
      <c r="G1614" s="26" t="str">
        <f>"GUSTAVO A. MADERO                                                               "</f>
        <v xml:space="preserve">GUSTAVO A. MADERO                                                               </v>
      </c>
      <c r="H1614" s="26" t="str">
        <f>"226"</f>
        <v>226</v>
      </c>
      <c r="I1614" s="26" t="str">
        <f t="shared" si="265"/>
        <v>00</v>
      </c>
      <c r="J1614" s="26" t="str">
        <f>"42 "</f>
        <v xml:space="preserve">42 </v>
      </c>
      <c r="K1614" s="26" t="str">
        <f>"PR"</f>
        <v>PR</v>
      </c>
      <c r="L1614" s="26" t="str">
        <f>"DGOSE"</f>
        <v>DGOSE</v>
      </c>
      <c r="M1614" s="26" t="str">
        <f t="shared" si="266"/>
        <v>FEDERAL</v>
      </c>
      <c r="N1614" s="26">
        <v>631</v>
      </c>
      <c r="O1614" s="26">
        <v>310</v>
      </c>
      <c r="P1614" s="26">
        <v>321</v>
      </c>
      <c r="Q1614" s="26">
        <v>18</v>
      </c>
      <c r="R1614" s="26">
        <v>1</v>
      </c>
      <c r="S1614" s="26">
        <v>17</v>
      </c>
      <c r="T1614" s="26">
        <v>12</v>
      </c>
      <c r="U1614" s="26">
        <v>30</v>
      </c>
      <c r="V1614" s="26">
        <v>1</v>
      </c>
      <c r="W1614" s="26"/>
    </row>
    <row r="1615" spans="1:23" x14ac:dyDescent="0.25">
      <c r="A1615" s="26" t="str">
        <f t="shared" si="264"/>
        <v>PRIMARIA</v>
      </c>
      <c r="B1615" s="26" t="str">
        <f>"09DPR2968Z"</f>
        <v>09DPR2968Z</v>
      </c>
      <c r="C1615" s="26" t="str">
        <f>"PROFR. CASTULO RAMIREZ LUGO                                                                         "</f>
        <v xml:space="preserve">PROFR. CASTULO RAMIREZ LUGO                                                                         </v>
      </c>
      <c r="D1615" s="26" t="str">
        <f>"VESPERTINO"</f>
        <v>VESPERTINO</v>
      </c>
      <c r="E1615" s="26" t="str">
        <f>"FERNANDO ARRUTI NO. 87                                                          "</f>
        <v xml:space="preserve">FERNANDO ARRUTI NO. 87                                                          </v>
      </c>
      <c r="F1615" s="26" t="str">
        <f>"SANTA MARTHA ACATITLA                                                                                                                       "</f>
        <v xml:space="preserve">SANTA MARTHA ACATITLA                                                                                                                       </v>
      </c>
      <c r="G1615" s="26" t="str">
        <f>"IZTAPALAPA                                                                      "</f>
        <v xml:space="preserve">IZTAPALAPA                                                                      </v>
      </c>
      <c r="H1615" s="26" t="str">
        <f>"030"</f>
        <v>030</v>
      </c>
      <c r="I1615" s="26" t="str">
        <f t="shared" si="265"/>
        <v>00</v>
      </c>
      <c r="J1615" s="26" t="str">
        <f>"62 "</f>
        <v xml:space="preserve">62 </v>
      </c>
      <c r="K1615" s="26" t="str">
        <f>"IZ"</f>
        <v>IZ</v>
      </c>
      <c r="L1615" s="26" t="str">
        <f>"DGSEI"</f>
        <v>DGSEI</v>
      </c>
      <c r="M1615" s="26" t="str">
        <f t="shared" si="266"/>
        <v>FEDERAL</v>
      </c>
      <c r="N1615" s="26">
        <v>181</v>
      </c>
      <c r="O1615" s="26">
        <v>91</v>
      </c>
      <c r="P1615" s="26">
        <v>90</v>
      </c>
      <c r="Q1615" s="26">
        <v>9</v>
      </c>
      <c r="R1615" s="26">
        <v>1</v>
      </c>
      <c r="S1615" s="26">
        <v>3</v>
      </c>
      <c r="T1615" s="26">
        <v>0</v>
      </c>
      <c r="U1615" s="26">
        <v>4</v>
      </c>
      <c r="V1615" s="26">
        <v>1</v>
      </c>
      <c r="W1615" s="26"/>
    </row>
    <row r="1616" spans="1:23" x14ac:dyDescent="0.25">
      <c r="A1616" s="26" t="str">
        <f t="shared" si="264"/>
        <v>PRIMARIA</v>
      </c>
      <c r="B1616" s="26" t="str">
        <f>"09DPR2969Z"</f>
        <v>09DPR2969Z</v>
      </c>
      <c r="C1616" s="26" t="str">
        <f>"QUIRINO MENDOZA Y CORTES                                                                            "</f>
        <v xml:space="preserve">QUIRINO MENDOZA Y CORTES                                                                            </v>
      </c>
      <c r="D1616" s="26" t="str">
        <f>"VESPERTINO"</f>
        <v>VESPERTINO</v>
      </c>
      <c r="E1616" s="26" t="str">
        <f>"PEDRO RAMIREZ DEL CASTILLO S/N                                                  "</f>
        <v xml:space="preserve">PEDRO RAMIREZ DEL CASTILLO S/N                                                  </v>
      </c>
      <c r="F1616" s="26" t="str">
        <f>"SAN PEDRO                                                                                                                                   "</f>
        <v xml:space="preserve">SAN PEDRO                                                                                                                                   </v>
      </c>
      <c r="G1616" s="26" t="str">
        <f>"XOCHIMILCO                                                                      "</f>
        <v xml:space="preserve">XOCHIMILCO                                                                      </v>
      </c>
      <c r="H1616" s="26" t="str">
        <f>"537"</f>
        <v>537</v>
      </c>
      <c r="I1616" s="26" t="str">
        <f t="shared" si="265"/>
        <v>00</v>
      </c>
      <c r="J1616" s="26" t="str">
        <f>"45 "</f>
        <v xml:space="preserve">45 </v>
      </c>
      <c r="K1616" s="26" t="str">
        <f>"PR"</f>
        <v>PR</v>
      </c>
      <c r="L1616" s="26" t="str">
        <f>"DGOSE"</f>
        <v>DGOSE</v>
      </c>
      <c r="M1616" s="26" t="str">
        <f t="shared" si="266"/>
        <v>FEDERAL</v>
      </c>
      <c r="N1616" s="26">
        <v>229</v>
      </c>
      <c r="O1616" s="26">
        <v>124</v>
      </c>
      <c r="P1616" s="26">
        <v>105</v>
      </c>
      <c r="Q1616" s="26">
        <v>12</v>
      </c>
      <c r="R1616" s="26">
        <v>1</v>
      </c>
      <c r="S1616" s="26">
        <v>12</v>
      </c>
      <c r="T1616" s="26">
        <v>10</v>
      </c>
      <c r="U1616" s="26">
        <v>23</v>
      </c>
      <c r="V1616" s="26">
        <v>1</v>
      </c>
      <c r="W1616" s="26"/>
    </row>
    <row r="1617" spans="1:23" x14ac:dyDescent="0.25">
      <c r="A1617" s="26" t="str">
        <f t="shared" si="264"/>
        <v>PRIMARIA</v>
      </c>
      <c r="B1617" s="26" t="str">
        <f>"09DPR2970O"</f>
        <v>09DPR2970O</v>
      </c>
      <c r="C1617" s="26" t="str">
        <f>"PROFR. LIBRADO RIVERA                                                                               "</f>
        <v xml:space="preserve">PROFR. LIBRADO RIVERA                                                                               </v>
      </c>
      <c r="D1617" s="26" t="str">
        <f>"MATUTINO"</f>
        <v>MATUTINO</v>
      </c>
      <c r="E1617" s="26" t="str">
        <f>"SAN EMETERIO Y SAN ALEJANDRO S/N                                                "</f>
        <v xml:space="preserve">SAN EMETERIO Y SAN ALEJANDRO S/N                                                </v>
      </c>
      <c r="F1617" s="26" t="str">
        <f>"SANTA URSULA COAPA                                                                                                                          "</f>
        <v xml:space="preserve">SANTA URSULA COAPA                                                                                                                          </v>
      </c>
      <c r="G1617" s="26" t="str">
        <f>"COYOACAN                                                                        "</f>
        <v xml:space="preserve">COYOACAN                                                                        </v>
      </c>
      <c r="H1617" s="26" t="str">
        <f>"507"</f>
        <v>507</v>
      </c>
      <c r="I1617" s="26" t="str">
        <f t="shared" si="265"/>
        <v>00</v>
      </c>
      <c r="J1617" s="26" t="str">
        <f>"45 "</f>
        <v xml:space="preserve">45 </v>
      </c>
      <c r="K1617" s="26" t="str">
        <f>"PR"</f>
        <v>PR</v>
      </c>
      <c r="L1617" s="26" t="str">
        <f>"DGOSE"</f>
        <v>DGOSE</v>
      </c>
      <c r="M1617" s="26" t="str">
        <f t="shared" si="266"/>
        <v>FEDERAL</v>
      </c>
      <c r="N1617" s="26">
        <v>466</v>
      </c>
      <c r="O1617" s="26">
        <v>249</v>
      </c>
      <c r="P1617" s="26">
        <v>217</v>
      </c>
      <c r="Q1617" s="26">
        <v>18</v>
      </c>
      <c r="R1617" s="26">
        <v>1</v>
      </c>
      <c r="S1617" s="26">
        <v>18</v>
      </c>
      <c r="T1617" s="26">
        <v>12</v>
      </c>
      <c r="U1617" s="26">
        <v>31</v>
      </c>
      <c r="V1617" s="26">
        <v>1</v>
      </c>
      <c r="W1617" s="26"/>
    </row>
    <row r="1618" spans="1:23" x14ac:dyDescent="0.25">
      <c r="A1618" s="26" t="str">
        <f t="shared" si="264"/>
        <v>PRIMARIA</v>
      </c>
      <c r="B1618" s="26" t="str">
        <f>"09DPR2971N"</f>
        <v>09DPR2971N</v>
      </c>
      <c r="C1618" s="26" t="str">
        <f>"PROFRA. MARIA ARIAS BERNAL                                                                          "</f>
        <v xml:space="preserve">PROFRA. MARIA ARIAS BERNAL                                                                          </v>
      </c>
      <c r="D1618" s="26" t="str">
        <f>"VESPERTINO"</f>
        <v>VESPERTINO</v>
      </c>
      <c r="E1618" s="26" t="str">
        <f>"RET. BATALLON CHIAUTLA S/N                                                      "</f>
        <v xml:space="preserve">RET. BATALLON CHIAUTLA S/N                                                      </v>
      </c>
      <c r="F1618" s="26" t="str">
        <f>"UNIDAD HABITACIONAL EJERCITO DE ORI                                                                                                         "</f>
        <v xml:space="preserve">UNIDAD HABITACIONAL EJERCITO DE ORI                                                                                                         </v>
      </c>
      <c r="G1618" s="26" t="str">
        <f>"IZTAPALAPA                                                                      "</f>
        <v xml:space="preserve">IZTAPALAPA                                                                      </v>
      </c>
      <c r="H1618" s="26" t="str">
        <f>"023"</f>
        <v>023</v>
      </c>
      <c r="I1618" s="26" t="str">
        <f t="shared" si="265"/>
        <v>00</v>
      </c>
      <c r="J1618" s="26" t="str">
        <f>"62 "</f>
        <v xml:space="preserve">62 </v>
      </c>
      <c r="K1618" s="26" t="str">
        <f>"IZ"</f>
        <v>IZ</v>
      </c>
      <c r="L1618" s="26" t="str">
        <f>"DGSEI"</f>
        <v>DGSEI</v>
      </c>
      <c r="M1618" s="26" t="str">
        <f t="shared" si="266"/>
        <v>FEDERAL</v>
      </c>
      <c r="N1618" s="26">
        <v>95</v>
      </c>
      <c r="O1618" s="26">
        <v>57</v>
      </c>
      <c r="P1618" s="26">
        <v>38</v>
      </c>
      <c r="Q1618" s="26">
        <v>5</v>
      </c>
      <c r="R1618" s="26">
        <v>1</v>
      </c>
      <c r="S1618" s="26">
        <v>5</v>
      </c>
      <c r="T1618" s="26">
        <v>3</v>
      </c>
      <c r="U1618" s="26">
        <v>9</v>
      </c>
      <c r="V1618" s="26">
        <v>1</v>
      </c>
      <c r="W1618" s="26"/>
    </row>
    <row r="1619" spans="1:23" x14ac:dyDescent="0.25">
      <c r="A1619" s="26" t="str">
        <f t="shared" si="264"/>
        <v>PRIMARIA</v>
      </c>
      <c r="B1619" s="26" t="str">
        <f>"09DPR2973L"</f>
        <v>09DPR2973L</v>
      </c>
      <c r="C1619" s="26" t="str">
        <f>"PROFR. PABLO DE LA LLAVE                                                                            "</f>
        <v xml:space="preserve">PROFR. PABLO DE LA LLAVE                                                                            </v>
      </c>
      <c r="D1619" s="26" t="str">
        <f>"MATUTINO"</f>
        <v>MATUTINO</v>
      </c>
      <c r="E1619" s="26" t="str">
        <f>"EJIDO SAN PEDRO XALPA 1                                                         "</f>
        <v xml:space="preserve">EJIDO SAN PEDRO XALPA 1                                                         </v>
      </c>
      <c r="F1619" s="26" t="str">
        <f>"SAN FRANCISCO CULHUACAN                                                                                                                     "</f>
        <v xml:space="preserve">SAN FRANCISCO CULHUACAN                                                                                                                     </v>
      </c>
      <c r="G1619" s="26" t="str">
        <f>"COYOACAN                                                                        "</f>
        <v xml:space="preserve">COYOACAN                                                                        </v>
      </c>
      <c r="H1619" s="26" t="str">
        <f>"508"</f>
        <v>508</v>
      </c>
      <c r="I1619" s="26" t="str">
        <f t="shared" si="265"/>
        <v>00</v>
      </c>
      <c r="J1619" s="26" t="str">
        <f>"45 "</f>
        <v xml:space="preserve">45 </v>
      </c>
      <c r="K1619" s="26" t="str">
        <f t="shared" ref="K1619:K1626" si="267">"PR"</f>
        <v>PR</v>
      </c>
      <c r="L1619" s="26" t="str">
        <f t="shared" ref="L1619:L1626" si="268">"DGOSE"</f>
        <v>DGOSE</v>
      </c>
      <c r="M1619" s="26" t="str">
        <f t="shared" si="266"/>
        <v>FEDERAL</v>
      </c>
      <c r="N1619" s="26">
        <v>351</v>
      </c>
      <c r="O1619" s="26">
        <v>174</v>
      </c>
      <c r="P1619" s="26">
        <v>177</v>
      </c>
      <c r="Q1619" s="26">
        <v>12</v>
      </c>
      <c r="R1619" s="26">
        <v>1</v>
      </c>
      <c r="S1619" s="26">
        <v>11</v>
      </c>
      <c r="T1619" s="26">
        <v>9</v>
      </c>
      <c r="U1619" s="26">
        <v>21</v>
      </c>
      <c r="V1619" s="26">
        <v>1</v>
      </c>
      <c r="W1619" s="26"/>
    </row>
    <row r="1620" spans="1:23" x14ac:dyDescent="0.25">
      <c r="A1620" s="26" t="str">
        <f t="shared" si="264"/>
        <v>PRIMARIA</v>
      </c>
      <c r="B1620" s="26" t="str">
        <f>"09DPR2974K"</f>
        <v>09DPR2974K</v>
      </c>
      <c r="C1620" s="26" t="str">
        <f>"PROFR. VICTORIANO GUZMAN                                                                            "</f>
        <v xml:space="preserve">PROFR. VICTORIANO GUZMAN                                                                            </v>
      </c>
      <c r="D1620" s="26" t="str">
        <f>"JORNADA AMPLIADA"</f>
        <v>JORNADA AMPLIADA</v>
      </c>
      <c r="E1620" s="26" t="str">
        <f>"REY TOPILTZIN S/N                                                               "</f>
        <v xml:space="preserve">REY TOPILTZIN S/N                                                               </v>
      </c>
      <c r="F1620" s="26" t="str">
        <f>"AJUSCO                                                                                                                                      "</f>
        <v xml:space="preserve">AJUSCO                                                                                                                                      </v>
      </c>
      <c r="G1620" s="26" t="str">
        <f>"COYOACAN                                                                        "</f>
        <v xml:space="preserve">COYOACAN                                                                        </v>
      </c>
      <c r="H1620" s="26" t="str">
        <f>"437"</f>
        <v>437</v>
      </c>
      <c r="I1620" s="26" t="str">
        <f t="shared" si="265"/>
        <v>00</v>
      </c>
      <c r="J1620" s="26" t="str">
        <f>"44 "</f>
        <v xml:space="preserve">44 </v>
      </c>
      <c r="K1620" s="26" t="str">
        <f t="shared" si="267"/>
        <v>PR</v>
      </c>
      <c r="L1620" s="26" t="str">
        <f t="shared" si="268"/>
        <v>DGOSE</v>
      </c>
      <c r="M1620" s="26" t="str">
        <f t="shared" si="266"/>
        <v>FEDERAL</v>
      </c>
      <c r="N1620" s="26">
        <v>435</v>
      </c>
      <c r="O1620" s="26">
        <v>214</v>
      </c>
      <c r="P1620" s="26">
        <v>221</v>
      </c>
      <c r="Q1620" s="26">
        <v>13</v>
      </c>
      <c r="R1620" s="26">
        <v>1</v>
      </c>
      <c r="S1620" s="26">
        <v>12</v>
      </c>
      <c r="T1620" s="26">
        <v>10</v>
      </c>
      <c r="U1620" s="26">
        <v>23</v>
      </c>
      <c r="V1620" s="26">
        <v>1</v>
      </c>
      <c r="W1620" s="26" t="s">
        <v>2076</v>
      </c>
    </row>
    <row r="1621" spans="1:23" x14ac:dyDescent="0.25">
      <c r="A1621" s="26" t="str">
        <f t="shared" si="264"/>
        <v>PRIMARIA</v>
      </c>
      <c r="B1621" s="26" t="str">
        <f>"09DPR2975J"</f>
        <v>09DPR2975J</v>
      </c>
      <c r="C1621" s="26" t="str">
        <f>"CARTA DE LOS DERECHOS Y DEBERES ECONOMICOS DE LOS ESTADOS                                           "</f>
        <v xml:space="preserve">CARTA DE LOS DERECHOS Y DEBERES ECONOMICOS DE LOS ESTADOS                                           </v>
      </c>
      <c r="D1621" s="26" t="str">
        <f>"VESPERTINO"</f>
        <v>VESPERTINO</v>
      </c>
      <c r="E1621" s="26" t="str">
        <f>"ANDADOR VEREDAS NUM 20                                                          "</f>
        <v xml:space="preserve">ANDADOR VEREDAS NUM 20                                                          </v>
      </c>
      <c r="F1621" s="26" t="str">
        <f>"UNIDAD HABITACIONAL INFONAVIT                                                                                                               "</f>
        <v xml:space="preserve">UNIDAD HABITACIONAL INFONAVIT                                                                                                               </v>
      </c>
      <c r="G1621" s="26" t="str">
        <f>"IZTACALCO                                                                       "</f>
        <v xml:space="preserve">IZTACALCO                                                                       </v>
      </c>
      <c r="H1621" s="26" t="str">
        <f>"359"</f>
        <v>359</v>
      </c>
      <c r="I1621" s="26" t="str">
        <f t="shared" si="265"/>
        <v>00</v>
      </c>
      <c r="J1621" s="26" t="str">
        <f>"43 "</f>
        <v xml:space="preserve">43 </v>
      </c>
      <c r="K1621" s="26" t="str">
        <f t="shared" si="267"/>
        <v>PR</v>
      </c>
      <c r="L1621" s="26" t="str">
        <f t="shared" si="268"/>
        <v>DGOSE</v>
      </c>
      <c r="M1621" s="26" t="str">
        <f t="shared" si="266"/>
        <v>FEDERAL</v>
      </c>
      <c r="N1621" s="26">
        <v>80</v>
      </c>
      <c r="O1621" s="26">
        <v>46</v>
      </c>
      <c r="P1621" s="26">
        <v>34</v>
      </c>
      <c r="Q1621" s="26">
        <v>6</v>
      </c>
      <c r="R1621" s="26">
        <v>1</v>
      </c>
      <c r="S1621" s="26">
        <v>6</v>
      </c>
      <c r="T1621" s="26">
        <v>3</v>
      </c>
      <c r="U1621" s="26">
        <v>10</v>
      </c>
      <c r="V1621" s="26">
        <v>1</v>
      </c>
      <c r="W1621" s="26"/>
    </row>
    <row r="1622" spans="1:23" x14ac:dyDescent="0.25">
      <c r="A1622" s="26" t="str">
        <f t="shared" si="264"/>
        <v>PRIMARIA</v>
      </c>
      <c r="B1622" s="26" t="str">
        <f>"09DPR2976I"</f>
        <v>09DPR2976I</v>
      </c>
      <c r="C1622" s="26" t="str">
        <f>"DR. CONRADO MENENDEZ MENA                                                                           "</f>
        <v xml:space="preserve">DR. CONRADO MENENDEZ MENA                                                                           </v>
      </c>
      <c r="D1622" s="26" t="str">
        <f>"MATUTINO"</f>
        <v>MATUTINO</v>
      </c>
      <c r="E1622" s="26" t="str">
        <f>"LAS GRANJAS 10 B CARR MEX-TOL 15                                                "</f>
        <v xml:space="preserve">LAS GRANJAS 10 B CARR MEX-TOL 15                                                </v>
      </c>
      <c r="F1622" s="26" t="str">
        <f>"GRAJAS DE PALO ALTO                                                                                                                         "</f>
        <v xml:space="preserve">GRAJAS DE PALO ALTO                                                                                                                         </v>
      </c>
      <c r="G1622" s="26" t="str">
        <f>"CUAJIMALPA DE MORELOS                                                           "</f>
        <v xml:space="preserve">CUAJIMALPA DE MORELOS                                                           </v>
      </c>
      <c r="H1622" s="26" t="str">
        <f>"300"</f>
        <v>300</v>
      </c>
      <c r="I1622" s="26" t="str">
        <f t="shared" si="265"/>
        <v>00</v>
      </c>
      <c r="J1622" s="26" t="str">
        <f>"43 "</f>
        <v xml:space="preserve">43 </v>
      </c>
      <c r="K1622" s="26" t="str">
        <f t="shared" si="267"/>
        <v>PR</v>
      </c>
      <c r="L1622" s="26" t="str">
        <f t="shared" si="268"/>
        <v>DGOSE</v>
      </c>
      <c r="M1622" s="26" t="str">
        <f t="shared" si="266"/>
        <v>FEDERAL</v>
      </c>
      <c r="N1622" s="26">
        <v>243</v>
      </c>
      <c r="O1622" s="26">
        <v>108</v>
      </c>
      <c r="P1622" s="26">
        <v>135</v>
      </c>
      <c r="Q1622" s="26">
        <v>11</v>
      </c>
      <c r="R1622" s="26">
        <v>1</v>
      </c>
      <c r="S1622" s="26">
        <v>11</v>
      </c>
      <c r="T1622" s="26">
        <v>8</v>
      </c>
      <c r="U1622" s="26">
        <v>20</v>
      </c>
      <c r="V1622" s="26">
        <v>1</v>
      </c>
      <c r="W1622" s="26"/>
    </row>
    <row r="1623" spans="1:23" x14ac:dyDescent="0.25">
      <c r="A1623" s="26" t="str">
        <f t="shared" si="264"/>
        <v>PRIMARIA</v>
      </c>
      <c r="B1623" s="26" t="str">
        <f>"09DPR2977H"</f>
        <v>09DPR2977H</v>
      </c>
      <c r="C1623" s="26" t="str">
        <f>"JOSE REVUELTAS                                                                                      "</f>
        <v xml:space="preserve">JOSE REVUELTAS                                                                                      </v>
      </c>
      <c r="D1623" s="26" t="str">
        <f>"TIEMPO COMPLETO"</f>
        <v>TIEMPO COMPLETO</v>
      </c>
      <c r="E1623" s="26" t="str">
        <f>"AV CERRO DEL CHIQUIHUITE S/N                                                    "</f>
        <v xml:space="preserve">AV CERRO DEL CHIQUIHUITE S/N                                                    </v>
      </c>
      <c r="F1623" s="26" t="str">
        <f>"TICOMAN                                                                                                                                     "</f>
        <v xml:space="preserve">TICOMAN                                                                                                                                     </v>
      </c>
      <c r="G1623" s="26" t="str">
        <f>"GUSTAVO A. MADERO                                                               "</f>
        <v xml:space="preserve">GUSTAVO A. MADERO                                                               </v>
      </c>
      <c r="H1623" s="26" t="str">
        <f>"131"</f>
        <v>131</v>
      </c>
      <c r="I1623" s="26" t="str">
        <f t="shared" si="265"/>
        <v>00</v>
      </c>
      <c r="J1623" s="26" t="str">
        <f>"41 "</f>
        <v xml:space="preserve">41 </v>
      </c>
      <c r="K1623" s="26" t="str">
        <f t="shared" si="267"/>
        <v>PR</v>
      </c>
      <c r="L1623" s="26" t="str">
        <f t="shared" si="268"/>
        <v>DGOSE</v>
      </c>
      <c r="M1623" s="26" t="str">
        <f t="shared" si="266"/>
        <v>FEDERAL</v>
      </c>
      <c r="N1623" s="26">
        <v>358</v>
      </c>
      <c r="O1623" s="26">
        <v>194</v>
      </c>
      <c r="P1623" s="26">
        <v>164</v>
      </c>
      <c r="Q1623" s="26">
        <v>12</v>
      </c>
      <c r="R1623" s="26">
        <v>1</v>
      </c>
      <c r="S1623" s="26">
        <v>12</v>
      </c>
      <c r="T1623" s="26">
        <v>12</v>
      </c>
      <c r="U1623" s="26">
        <v>25</v>
      </c>
      <c r="V1623" s="26">
        <v>1</v>
      </c>
      <c r="W1623" s="26" t="s">
        <v>218</v>
      </c>
    </row>
    <row r="1624" spans="1:23" x14ac:dyDescent="0.25">
      <c r="A1624" s="26" t="str">
        <f t="shared" si="264"/>
        <v>PRIMARIA</v>
      </c>
      <c r="B1624" s="26" t="str">
        <f>"09DPR2978G"</f>
        <v>09DPR2978G</v>
      </c>
      <c r="C1624" s="26" t="str">
        <f>"PROFR. ELISEO BANDALA FERNANDEZ                                                                     "</f>
        <v xml:space="preserve">PROFR. ELISEO BANDALA FERNANDEZ                                                                     </v>
      </c>
      <c r="D1624" s="26" t="str">
        <f>"VESPERTINO"</f>
        <v>VESPERTINO</v>
      </c>
      <c r="E1624" s="26" t="str">
        <f>"SINANCHE NO. 10                                                                 "</f>
        <v xml:space="preserve">SINANCHE NO. 10                                                                 </v>
      </c>
      <c r="F1624" s="26" t="str">
        <f>"PEDREGAL DE SAN NICOLAS                                                                                                                     "</f>
        <v xml:space="preserve">PEDREGAL DE SAN NICOLAS                                                                                                                     </v>
      </c>
      <c r="G1624" s="26" t="str">
        <f>"TLALPAN                                                                         "</f>
        <v xml:space="preserve">TLALPAN                                                                         </v>
      </c>
      <c r="H1624" s="26" t="str">
        <f>"512"</f>
        <v>512</v>
      </c>
      <c r="I1624" s="26" t="str">
        <f t="shared" si="265"/>
        <v>00</v>
      </c>
      <c r="J1624" s="26" t="str">
        <f>"45 "</f>
        <v xml:space="preserve">45 </v>
      </c>
      <c r="K1624" s="26" t="str">
        <f t="shared" si="267"/>
        <v>PR</v>
      </c>
      <c r="L1624" s="26" t="str">
        <f t="shared" si="268"/>
        <v>DGOSE</v>
      </c>
      <c r="M1624" s="26" t="str">
        <f t="shared" si="266"/>
        <v>FEDERAL</v>
      </c>
      <c r="N1624" s="26">
        <v>302</v>
      </c>
      <c r="O1624" s="26">
        <v>159</v>
      </c>
      <c r="P1624" s="26">
        <v>143</v>
      </c>
      <c r="Q1624" s="26">
        <v>13</v>
      </c>
      <c r="R1624" s="26">
        <v>1</v>
      </c>
      <c r="S1624" s="26">
        <v>12</v>
      </c>
      <c r="T1624" s="26">
        <v>8</v>
      </c>
      <c r="U1624" s="26">
        <v>21</v>
      </c>
      <c r="V1624" s="26">
        <v>1</v>
      </c>
      <c r="W1624" s="26"/>
    </row>
    <row r="1625" spans="1:23" x14ac:dyDescent="0.25">
      <c r="A1625" s="26" t="str">
        <f t="shared" si="264"/>
        <v>PRIMARIA</v>
      </c>
      <c r="B1625" s="26" t="str">
        <f>"09DPR2979F"</f>
        <v>09DPR2979F</v>
      </c>
      <c r="C1625" s="26" t="str">
        <f>"QUETZALCOATL                                                                                        "</f>
        <v xml:space="preserve">QUETZALCOATL                                                                                        </v>
      </c>
      <c r="D1625" s="26" t="str">
        <f>"VESPERTINO"</f>
        <v>VESPERTINO</v>
      </c>
      <c r="E1625" s="26" t="str">
        <f>"AV TECNOLOGICO S/N                                                              "</f>
        <v xml:space="preserve">AV TECNOLOGICO S/N                                                              </v>
      </c>
      <c r="F1625" s="26" t="str">
        <f>"CUAUTEPEC DE MADERO                                                                                                                         "</f>
        <v xml:space="preserve">CUAUTEPEC DE MADERO                                                                                                                         </v>
      </c>
      <c r="G1625" s="26" t="str">
        <f>"GUSTAVO A. MADERO                                                               "</f>
        <v xml:space="preserve">GUSTAVO A. MADERO                                                               </v>
      </c>
      <c r="H1625" s="26" t="str">
        <f>"233"</f>
        <v>233</v>
      </c>
      <c r="I1625" s="26" t="str">
        <f t="shared" si="265"/>
        <v>00</v>
      </c>
      <c r="J1625" s="26" t="str">
        <f>"42 "</f>
        <v xml:space="preserve">42 </v>
      </c>
      <c r="K1625" s="26" t="str">
        <f t="shared" si="267"/>
        <v>PR</v>
      </c>
      <c r="L1625" s="26" t="str">
        <f t="shared" si="268"/>
        <v>DGOSE</v>
      </c>
      <c r="M1625" s="26" t="str">
        <f t="shared" si="266"/>
        <v>FEDERAL</v>
      </c>
      <c r="N1625" s="26">
        <v>387</v>
      </c>
      <c r="O1625" s="26">
        <v>188</v>
      </c>
      <c r="P1625" s="26">
        <v>199</v>
      </c>
      <c r="Q1625" s="26">
        <v>18</v>
      </c>
      <c r="R1625" s="26">
        <v>1</v>
      </c>
      <c r="S1625" s="26">
        <v>18</v>
      </c>
      <c r="T1625" s="26">
        <v>12</v>
      </c>
      <c r="U1625" s="26">
        <v>31</v>
      </c>
      <c r="V1625" s="26">
        <v>1</v>
      </c>
      <c r="W1625" s="26"/>
    </row>
    <row r="1626" spans="1:23" x14ac:dyDescent="0.25">
      <c r="A1626" s="26" t="str">
        <f t="shared" si="264"/>
        <v>PRIMARIA</v>
      </c>
      <c r="B1626" s="26" t="str">
        <f>"09DPR2980V"</f>
        <v>09DPR2980V</v>
      </c>
      <c r="C1626" s="26" t="str">
        <f>"LUCRECIA TORIZ                                                                                      "</f>
        <v xml:space="preserve">LUCRECIA TORIZ                                                                                      </v>
      </c>
      <c r="D1626" s="26" t="str">
        <f>"MATUTINO"</f>
        <v>MATUTINO</v>
      </c>
      <c r="E1626" s="26" t="str">
        <f>"ANDADOR PUENTE SANTANA No.35                                                    "</f>
        <v xml:space="preserve">ANDADOR PUENTE SANTANA No.35                                                    </v>
      </c>
      <c r="F1626" s="26" t="str">
        <f>"CUCHILLA RAMOS MILLAN                                                                                                                       "</f>
        <v xml:space="preserve">CUCHILLA RAMOS MILLAN                                                                                                                       </v>
      </c>
      <c r="G1626" s="26" t="str">
        <f>"IZTACALCO                                                                       "</f>
        <v xml:space="preserve">IZTACALCO                                                                       </v>
      </c>
      <c r="H1626" s="26" t="str">
        <f>"358"</f>
        <v>358</v>
      </c>
      <c r="I1626" s="26" t="str">
        <f t="shared" si="265"/>
        <v>00</v>
      </c>
      <c r="J1626" s="26" t="str">
        <f>"43 "</f>
        <v xml:space="preserve">43 </v>
      </c>
      <c r="K1626" s="26" t="str">
        <f t="shared" si="267"/>
        <v>PR</v>
      </c>
      <c r="L1626" s="26" t="str">
        <f t="shared" si="268"/>
        <v>DGOSE</v>
      </c>
      <c r="M1626" s="26" t="str">
        <f t="shared" si="266"/>
        <v>FEDERAL</v>
      </c>
      <c r="N1626" s="26">
        <v>373</v>
      </c>
      <c r="O1626" s="26">
        <v>192</v>
      </c>
      <c r="P1626" s="26">
        <v>181</v>
      </c>
      <c r="Q1626" s="26">
        <v>12</v>
      </c>
      <c r="R1626" s="26">
        <v>1</v>
      </c>
      <c r="S1626" s="26">
        <v>12</v>
      </c>
      <c r="T1626" s="26">
        <v>8</v>
      </c>
      <c r="U1626" s="26">
        <v>21</v>
      </c>
      <c r="V1626" s="26">
        <v>1</v>
      </c>
      <c r="W1626" s="26"/>
    </row>
    <row r="1627" spans="1:23" x14ac:dyDescent="0.25">
      <c r="A1627" s="26" t="str">
        <f t="shared" si="264"/>
        <v>PRIMARIA</v>
      </c>
      <c r="B1627" s="26" t="str">
        <f>"09DPR2981U"</f>
        <v>09DPR2981U</v>
      </c>
      <c r="C1627" s="26" t="str">
        <f>"PROFR. MIGUEL SANCHEZ RIVERA                                                                        "</f>
        <v xml:space="preserve">PROFR. MIGUEL SANCHEZ RIVERA                                                                        </v>
      </c>
      <c r="D1627" s="26" t="str">
        <f>"VESPERTINO"</f>
        <v>VESPERTINO</v>
      </c>
      <c r="E1627" s="26" t="str">
        <f>"JUAN PATRICIO MORLETE RUIZ NO. 4                                                "</f>
        <v xml:space="preserve">JUAN PATRICIO MORLETE RUIZ NO. 4                                                </v>
      </c>
      <c r="F1627" s="26" t="str">
        <f>"EL ROSARIO                                                                                                                                  "</f>
        <v xml:space="preserve">EL ROSARIO                                                                                                                                  </v>
      </c>
      <c r="G1627" s="26" t="str">
        <f>"IZTAPALAPA                                                                      "</f>
        <v xml:space="preserve">IZTAPALAPA                                                                      </v>
      </c>
      <c r="H1627" s="26" t="str">
        <f>"051"</f>
        <v>051</v>
      </c>
      <c r="I1627" s="26" t="str">
        <f t="shared" si="265"/>
        <v>00</v>
      </c>
      <c r="J1627" s="26" t="str">
        <f>"63 "</f>
        <v xml:space="preserve">63 </v>
      </c>
      <c r="K1627" s="26" t="str">
        <f>"IZ"</f>
        <v>IZ</v>
      </c>
      <c r="L1627" s="26" t="str">
        <f>"DGSEI"</f>
        <v>DGSEI</v>
      </c>
      <c r="M1627" s="26" t="str">
        <f t="shared" si="266"/>
        <v>FEDERAL</v>
      </c>
      <c r="N1627" s="26">
        <v>257</v>
      </c>
      <c r="O1627" s="26">
        <v>131</v>
      </c>
      <c r="P1627" s="26">
        <v>126</v>
      </c>
      <c r="Q1627" s="26">
        <v>15</v>
      </c>
      <c r="R1627" s="26">
        <v>1</v>
      </c>
      <c r="S1627" s="26">
        <v>15</v>
      </c>
      <c r="T1627" s="26">
        <v>6</v>
      </c>
      <c r="U1627" s="26">
        <v>22</v>
      </c>
      <c r="V1627" s="26">
        <v>1</v>
      </c>
      <c r="W1627" s="26"/>
    </row>
    <row r="1628" spans="1:23" x14ac:dyDescent="0.25">
      <c r="A1628" s="26" t="str">
        <f t="shared" si="264"/>
        <v>PRIMARIA</v>
      </c>
      <c r="B1628" s="26" t="str">
        <f>"09DPR2982T"</f>
        <v>09DPR2982T</v>
      </c>
      <c r="C1628" s="26" t="str">
        <f>"TONATIUH                                                                                            "</f>
        <v xml:space="preserve">TONATIUH                                                                                            </v>
      </c>
      <c r="D1628" s="26" t="str">
        <f>"VESPERTINO"</f>
        <v>VESPERTINO</v>
      </c>
      <c r="E1628" s="26" t="str">
        <f>"GABRIEL GUERRA Y AV.VENUSTIANO CARRANZA                                         "</f>
        <v xml:space="preserve">GABRIEL GUERRA Y AV.VENUSTIANO CARRANZA                                         </v>
      </c>
      <c r="F1628" s="26" t="str">
        <f>"CUAUTEPEC DE MADERO                                                                                                                         "</f>
        <v xml:space="preserve">CUAUTEPEC DE MADERO                                                                                                                         </v>
      </c>
      <c r="G1628" s="26" t="str">
        <f>"GUSTAVO A. MADERO                                                               "</f>
        <v xml:space="preserve">GUSTAVO A. MADERO                                                               </v>
      </c>
      <c r="H1628" s="26" t="str">
        <f>"234"</f>
        <v>234</v>
      </c>
      <c r="I1628" s="26" t="str">
        <f t="shared" si="265"/>
        <v>00</v>
      </c>
      <c r="J1628" s="26" t="str">
        <f>"42 "</f>
        <v xml:space="preserve">42 </v>
      </c>
      <c r="K1628" s="26" t="str">
        <f>"PR"</f>
        <v>PR</v>
      </c>
      <c r="L1628" s="26" t="str">
        <f>"DGOSE"</f>
        <v>DGOSE</v>
      </c>
      <c r="M1628" s="26" t="str">
        <f t="shared" si="266"/>
        <v>FEDERAL</v>
      </c>
      <c r="N1628" s="26">
        <v>218</v>
      </c>
      <c r="O1628" s="26">
        <v>109</v>
      </c>
      <c r="P1628" s="26">
        <v>109</v>
      </c>
      <c r="Q1628" s="26">
        <v>12</v>
      </c>
      <c r="R1628" s="26">
        <v>1</v>
      </c>
      <c r="S1628" s="26">
        <v>12</v>
      </c>
      <c r="T1628" s="26">
        <v>7</v>
      </c>
      <c r="U1628" s="26">
        <v>20</v>
      </c>
      <c r="V1628" s="26">
        <v>1</v>
      </c>
      <c r="W1628" s="26"/>
    </row>
    <row r="1629" spans="1:23" x14ac:dyDescent="0.25">
      <c r="A1629" s="26" t="str">
        <f t="shared" si="264"/>
        <v>PRIMARIA</v>
      </c>
      <c r="B1629" s="26" t="str">
        <f>"09DPR2983S"</f>
        <v>09DPR2983S</v>
      </c>
      <c r="C1629" s="26" t="str">
        <f>"ACATONALLI                                                                                          "</f>
        <v xml:space="preserve">ACATONALLI                                                                                          </v>
      </c>
      <c r="D1629" s="26" t="str">
        <f>"MATUTINO"</f>
        <v>MATUTINO</v>
      </c>
      <c r="E1629" s="26" t="str">
        <f>"ESCUDO NACIONAL S/N                                                             "</f>
        <v xml:space="preserve">ESCUDO NACIONAL S/N                                                             </v>
      </c>
      <c r="F1629" s="26" t="str">
        <f>"NATIVITAS TULYEHUALCO                                                                                                                       "</f>
        <v xml:space="preserve">NATIVITAS TULYEHUALCO                                                                                                                       </v>
      </c>
      <c r="G1629" s="26" t="str">
        <f>"XOCHIMILCO                                                                      "</f>
        <v xml:space="preserve">XOCHIMILCO                                                                      </v>
      </c>
      <c r="H1629" s="26" t="str">
        <f>"545"</f>
        <v>545</v>
      </c>
      <c r="I1629" s="26" t="str">
        <f t="shared" si="265"/>
        <v>00</v>
      </c>
      <c r="J1629" s="26" t="str">
        <f>"45 "</f>
        <v xml:space="preserve">45 </v>
      </c>
      <c r="K1629" s="26" t="str">
        <f>"PR"</f>
        <v>PR</v>
      </c>
      <c r="L1629" s="26" t="str">
        <f>"DGOSE"</f>
        <v>DGOSE</v>
      </c>
      <c r="M1629" s="26" t="str">
        <f t="shared" si="266"/>
        <v>FEDERAL</v>
      </c>
      <c r="N1629" s="26">
        <v>628</v>
      </c>
      <c r="O1629" s="26">
        <v>320</v>
      </c>
      <c r="P1629" s="26">
        <v>308</v>
      </c>
      <c r="Q1629" s="26">
        <v>18</v>
      </c>
      <c r="R1629" s="26">
        <v>1</v>
      </c>
      <c r="S1629" s="26">
        <v>18</v>
      </c>
      <c r="T1629" s="26">
        <v>9</v>
      </c>
      <c r="U1629" s="26">
        <v>28</v>
      </c>
      <c r="V1629" s="26">
        <v>1</v>
      </c>
      <c r="W1629" s="26"/>
    </row>
    <row r="1630" spans="1:23" x14ac:dyDescent="0.25">
      <c r="A1630" s="26" t="str">
        <f t="shared" si="264"/>
        <v>PRIMARIA</v>
      </c>
      <c r="B1630" s="26" t="str">
        <f>"09DPR2984R"</f>
        <v>09DPR2984R</v>
      </c>
      <c r="C1630" s="26" t="str">
        <f>"JUAN ANTONIO DE LA FUENTE                                                                           "</f>
        <v xml:space="preserve">JUAN ANTONIO DE LA FUENTE                                                                           </v>
      </c>
      <c r="D1630" s="26" t="str">
        <f>"VESPERTINO"</f>
        <v>VESPERTINO</v>
      </c>
      <c r="E1630" s="26" t="str">
        <f>"PLAZA DEL ARBOL NO. 28 Y PLAZA MAYOR                                            "</f>
        <v xml:space="preserve">PLAZA DEL ARBOL NO. 28 Y PLAZA MAYOR                                            </v>
      </c>
      <c r="F1630" s="26" t="str">
        <f>"DOCTOR ALFONSO ORTIZ TIRADO                                                                                                                 "</f>
        <v xml:space="preserve">DOCTOR ALFONSO ORTIZ TIRADO                                                                                                                 </v>
      </c>
      <c r="G1630" s="26" t="str">
        <f>"IZTAPALAPA                                                                      "</f>
        <v xml:space="preserve">IZTAPALAPA                                                                      </v>
      </c>
      <c r="H1630" s="26" t="str">
        <f>"013"</f>
        <v>013</v>
      </c>
      <c r="I1630" s="26" t="str">
        <f t="shared" si="265"/>
        <v>00</v>
      </c>
      <c r="J1630" s="26" t="str">
        <f>"62 "</f>
        <v xml:space="preserve">62 </v>
      </c>
      <c r="K1630" s="26" t="str">
        <f>"IZ"</f>
        <v>IZ</v>
      </c>
      <c r="L1630" s="26" t="str">
        <f>"DGSEI"</f>
        <v>DGSEI</v>
      </c>
      <c r="M1630" s="26" t="str">
        <f t="shared" si="266"/>
        <v>FEDERAL</v>
      </c>
      <c r="N1630" s="26">
        <v>118</v>
      </c>
      <c r="O1630" s="26">
        <v>66</v>
      </c>
      <c r="P1630" s="26">
        <v>52</v>
      </c>
      <c r="Q1630" s="26">
        <v>6</v>
      </c>
      <c r="R1630" s="26">
        <v>1</v>
      </c>
      <c r="S1630" s="26">
        <v>6</v>
      </c>
      <c r="T1630" s="26">
        <v>4</v>
      </c>
      <c r="U1630" s="26">
        <v>11</v>
      </c>
      <c r="V1630" s="26">
        <v>1</v>
      </c>
      <c r="W1630" s="26"/>
    </row>
    <row r="1631" spans="1:23" x14ac:dyDescent="0.25">
      <c r="A1631" s="26" t="str">
        <f t="shared" si="264"/>
        <v>PRIMARIA</v>
      </c>
      <c r="B1631" s="26" t="str">
        <f>"09DPR2986P"</f>
        <v>09DPR2986P</v>
      </c>
      <c r="C1631" s="26" t="str">
        <f>"RAMON LOPEZ VELARDE                                                                                 "</f>
        <v xml:space="preserve">RAMON LOPEZ VELARDE                                                                                 </v>
      </c>
      <c r="D1631" s="26" t="str">
        <f>"JORNADA AMPLIADA"</f>
        <v>JORNADA AMPLIADA</v>
      </c>
      <c r="E1631" s="26" t="str">
        <f>"C. 33 Y AV. CORONA DEL ROSAL NO 17 BIS                                          "</f>
        <v xml:space="preserve">C. 33 Y AV. CORONA DEL ROSAL NO 17 BIS                                          </v>
      </c>
      <c r="F1631" s="26" t="str">
        <f>"GUADALUPE PROLETARIA                                                                                                                        "</f>
        <v xml:space="preserve">GUADALUPE PROLETARIA                                                                                                                        </v>
      </c>
      <c r="G1631" s="26" t="str">
        <f>"GUSTAVO A. MADERO                                                               "</f>
        <v xml:space="preserve">GUSTAVO A. MADERO                                                               </v>
      </c>
      <c r="H1631" s="26" t="str">
        <f>"133"</f>
        <v>133</v>
      </c>
      <c r="I1631" s="26" t="str">
        <f t="shared" si="265"/>
        <v>00</v>
      </c>
      <c r="J1631" s="26" t="str">
        <f>"41 "</f>
        <v xml:space="preserve">41 </v>
      </c>
      <c r="K1631" s="26" t="str">
        <f t="shared" ref="K1631:K1636" si="269">"PR"</f>
        <v>PR</v>
      </c>
      <c r="L1631" s="26" t="str">
        <f t="shared" ref="L1631:L1636" si="270">"DGOSE"</f>
        <v>DGOSE</v>
      </c>
      <c r="M1631" s="26" t="str">
        <f t="shared" si="266"/>
        <v>FEDERAL</v>
      </c>
      <c r="N1631" s="26">
        <v>348</v>
      </c>
      <c r="O1631" s="26">
        <v>179</v>
      </c>
      <c r="P1631" s="26">
        <v>169</v>
      </c>
      <c r="Q1631" s="26">
        <v>12</v>
      </c>
      <c r="R1631" s="26">
        <v>1</v>
      </c>
      <c r="S1631" s="26">
        <v>12</v>
      </c>
      <c r="T1631" s="26">
        <v>11</v>
      </c>
      <c r="U1631" s="26">
        <v>24</v>
      </c>
      <c r="V1631" s="26">
        <v>1</v>
      </c>
      <c r="W1631" s="26" t="s">
        <v>2076</v>
      </c>
    </row>
    <row r="1632" spans="1:23" x14ac:dyDescent="0.25">
      <c r="A1632" s="26" t="str">
        <f t="shared" si="264"/>
        <v>PRIMARIA</v>
      </c>
      <c r="B1632" s="26" t="str">
        <f>"09DPR2987O"</f>
        <v>09DPR2987O</v>
      </c>
      <c r="C1632" s="26" t="str">
        <f>"PRINCIPADO DE MONACO                                                                                "</f>
        <v xml:space="preserve">PRINCIPADO DE MONACO                                                                                </v>
      </c>
      <c r="D1632" s="26" t="str">
        <f>"VESPERTINO"</f>
        <v>VESPERTINO</v>
      </c>
      <c r="E1632" s="26" t="str">
        <f>"VICENTE GUERRERO NO 14                                                          "</f>
        <v xml:space="preserve">VICENTE GUERRERO NO 14                                                          </v>
      </c>
      <c r="F1632" s="26" t="str">
        <f>"SAN FRANCISCO TLALTENCO                                                                                                                     "</f>
        <v xml:space="preserve">SAN FRANCISCO TLALTENCO                                                                                                                     </v>
      </c>
      <c r="G1632" s="26" t="str">
        <f>"TLAHUAC                                                                         "</f>
        <v xml:space="preserve">TLAHUAC                                                                         </v>
      </c>
      <c r="H1632" s="26" t="str">
        <f>"554"</f>
        <v>554</v>
      </c>
      <c r="I1632" s="26" t="str">
        <f t="shared" si="265"/>
        <v>00</v>
      </c>
      <c r="J1632" s="26" t="str">
        <f>"45 "</f>
        <v xml:space="preserve">45 </v>
      </c>
      <c r="K1632" s="26" t="str">
        <f t="shared" si="269"/>
        <v>PR</v>
      </c>
      <c r="L1632" s="26" t="str">
        <f t="shared" si="270"/>
        <v>DGOSE</v>
      </c>
      <c r="M1632" s="26" t="str">
        <f t="shared" si="266"/>
        <v>FEDERAL</v>
      </c>
      <c r="N1632" s="26">
        <v>412</v>
      </c>
      <c r="O1632" s="26">
        <v>213</v>
      </c>
      <c r="P1632" s="26">
        <v>199</v>
      </c>
      <c r="Q1632" s="26">
        <v>14</v>
      </c>
      <c r="R1632" s="26">
        <v>1</v>
      </c>
      <c r="S1632" s="26">
        <v>14</v>
      </c>
      <c r="T1632" s="26">
        <v>9</v>
      </c>
      <c r="U1632" s="26">
        <v>24</v>
      </c>
      <c r="V1632" s="26">
        <v>1</v>
      </c>
      <c r="W1632" s="26"/>
    </row>
    <row r="1633" spans="1:23" x14ac:dyDescent="0.25">
      <c r="A1633" s="26" t="str">
        <f t="shared" si="264"/>
        <v>PRIMARIA</v>
      </c>
      <c r="B1633" s="26" t="str">
        <f>"09DPR2988N"</f>
        <v>09DPR2988N</v>
      </c>
      <c r="C1633" s="26" t="str">
        <f>"VICENTE GUERRERO                                                                                    "</f>
        <v xml:space="preserve">VICENTE GUERRERO                                                                                    </v>
      </c>
      <c r="D1633" s="26" t="str">
        <f>"VESPERTINO"</f>
        <v>VESPERTINO</v>
      </c>
      <c r="E1633" s="26" t="str">
        <f>"MINA NO. 5                                                                      "</f>
        <v xml:space="preserve">MINA NO. 5                                                                      </v>
      </c>
      <c r="F1633" s="26" t="str">
        <f>"SAN MATEO TLALTENANGO                                                                                                                       "</f>
        <v xml:space="preserve">SAN MATEO TLALTENANGO                                                                                                                       </v>
      </c>
      <c r="G1633" s="26" t="str">
        <f>"CUAJIMALPA DE MORELOS                                                           "</f>
        <v xml:space="preserve">CUAJIMALPA DE MORELOS                                                           </v>
      </c>
      <c r="H1633" s="26" t="str">
        <f>"303"</f>
        <v>303</v>
      </c>
      <c r="I1633" s="26" t="str">
        <f t="shared" si="265"/>
        <v>00</v>
      </c>
      <c r="J1633" s="26" t="str">
        <f>"43 "</f>
        <v xml:space="preserve">43 </v>
      </c>
      <c r="K1633" s="26" t="str">
        <f t="shared" si="269"/>
        <v>PR</v>
      </c>
      <c r="L1633" s="26" t="str">
        <f t="shared" si="270"/>
        <v>DGOSE</v>
      </c>
      <c r="M1633" s="26" t="str">
        <f t="shared" si="266"/>
        <v>FEDERAL</v>
      </c>
      <c r="N1633" s="26">
        <v>558</v>
      </c>
      <c r="O1633" s="26">
        <v>282</v>
      </c>
      <c r="P1633" s="26">
        <v>276</v>
      </c>
      <c r="Q1633" s="26">
        <v>23</v>
      </c>
      <c r="R1633" s="26">
        <v>1</v>
      </c>
      <c r="S1633" s="26">
        <v>17</v>
      </c>
      <c r="T1633" s="26">
        <v>10</v>
      </c>
      <c r="U1633" s="26">
        <v>28</v>
      </c>
      <c r="V1633" s="26">
        <v>1</v>
      </c>
      <c r="W1633" s="26"/>
    </row>
    <row r="1634" spans="1:23" x14ac:dyDescent="0.25">
      <c r="A1634" s="26" t="str">
        <f t="shared" si="264"/>
        <v>PRIMARIA</v>
      </c>
      <c r="B1634" s="26" t="str">
        <f>"09DPR2989M"</f>
        <v>09DPR2989M</v>
      </c>
      <c r="C1634" s="26" t="str">
        <f>"PROFR. SALVADOR VARELA RESENDIZ                                                                     "</f>
        <v xml:space="preserve">PROFR. SALVADOR VARELA RESENDIZ                                                                     </v>
      </c>
      <c r="D1634" s="26" t="str">
        <f>"VESPERTINO"</f>
        <v>VESPERTINO</v>
      </c>
      <c r="E1634" s="26" t="str">
        <f>"HIDROGENO No. 1                                                                 "</f>
        <v xml:space="preserve">HIDROGENO No. 1                                                                 </v>
      </c>
      <c r="F1634" s="26" t="str">
        <f>"UNIDAD INFONAVIT EL ROSARIO                                                                                                                 "</f>
        <v xml:space="preserve">UNIDAD INFONAVIT EL ROSARIO                                                                                                                 </v>
      </c>
      <c r="G1634" s="26" t="str">
        <f>"AZCAPOTZALCO                                                                    "</f>
        <v xml:space="preserve">AZCAPOTZALCO                                                                    </v>
      </c>
      <c r="H1634" s="26" t="str">
        <f>"200"</f>
        <v>200</v>
      </c>
      <c r="I1634" s="26" t="str">
        <f t="shared" si="265"/>
        <v>00</v>
      </c>
      <c r="J1634" s="26" t="str">
        <f>"42 "</f>
        <v xml:space="preserve">42 </v>
      </c>
      <c r="K1634" s="26" t="str">
        <f t="shared" si="269"/>
        <v>PR</v>
      </c>
      <c r="L1634" s="26" t="str">
        <f t="shared" si="270"/>
        <v>DGOSE</v>
      </c>
      <c r="M1634" s="26" t="str">
        <f t="shared" si="266"/>
        <v>FEDERAL</v>
      </c>
      <c r="N1634" s="26">
        <v>162</v>
      </c>
      <c r="O1634" s="26">
        <v>84</v>
      </c>
      <c r="P1634" s="26">
        <v>78</v>
      </c>
      <c r="Q1634" s="26">
        <v>12</v>
      </c>
      <c r="R1634" s="26">
        <v>1</v>
      </c>
      <c r="S1634" s="26">
        <v>7</v>
      </c>
      <c r="T1634" s="26">
        <v>8</v>
      </c>
      <c r="U1634" s="26">
        <v>16</v>
      </c>
      <c r="V1634" s="26">
        <v>1</v>
      </c>
      <c r="W1634" s="26"/>
    </row>
    <row r="1635" spans="1:23" x14ac:dyDescent="0.25">
      <c r="A1635" s="26" t="str">
        <f t="shared" si="264"/>
        <v>PRIMARIA</v>
      </c>
      <c r="B1635" s="26" t="str">
        <f>"09DPR2990B"</f>
        <v>09DPR2990B</v>
      </c>
      <c r="C1635" s="26" t="str">
        <f>"BELISARIO DOMINGUEZ                                                                                 "</f>
        <v xml:space="preserve">BELISARIO DOMINGUEZ                                                                                 </v>
      </c>
      <c r="D1635" s="26" t="str">
        <f>"VESPERTINO"</f>
        <v>VESPERTINO</v>
      </c>
      <c r="E1635" s="26" t="str">
        <f>"MONTE ENCINO NUM 14                                                             "</f>
        <v xml:space="preserve">MONTE ENCINO NUM 14                                                             </v>
      </c>
      <c r="F1635" s="26" t="str">
        <f>"JESUS DEL MONTE                                                                                                                             "</f>
        <v xml:space="preserve">JESUS DEL MONTE                                                                                                                             </v>
      </c>
      <c r="G1635" s="26" t="str">
        <f>"CUAJIMALPA DE MORELOS                                                           "</f>
        <v xml:space="preserve">CUAJIMALPA DE MORELOS                                                           </v>
      </c>
      <c r="H1635" s="26" t="str">
        <f>"302"</f>
        <v>302</v>
      </c>
      <c r="I1635" s="26" t="str">
        <f t="shared" si="265"/>
        <v>00</v>
      </c>
      <c r="J1635" s="26" t="str">
        <f>"43 "</f>
        <v xml:space="preserve">43 </v>
      </c>
      <c r="K1635" s="26" t="str">
        <f t="shared" si="269"/>
        <v>PR</v>
      </c>
      <c r="L1635" s="26" t="str">
        <f t="shared" si="270"/>
        <v>DGOSE</v>
      </c>
      <c r="M1635" s="26" t="str">
        <f t="shared" si="266"/>
        <v>FEDERAL</v>
      </c>
      <c r="N1635" s="26">
        <v>246</v>
      </c>
      <c r="O1635" s="26">
        <v>138</v>
      </c>
      <c r="P1635" s="26">
        <v>108</v>
      </c>
      <c r="Q1635" s="26">
        <v>12</v>
      </c>
      <c r="R1635" s="26">
        <v>1</v>
      </c>
      <c r="S1635" s="26">
        <v>12</v>
      </c>
      <c r="T1635" s="26">
        <v>6</v>
      </c>
      <c r="U1635" s="26">
        <v>19</v>
      </c>
      <c r="V1635" s="26">
        <v>1</v>
      </c>
      <c r="W1635" s="26"/>
    </row>
    <row r="1636" spans="1:23" x14ac:dyDescent="0.25">
      <c r="A1636" s="26" t="str">
        <f t="shared" si="264"/>
        <v>PRIMARIA</v>
      </c>
      <c r="B1636" s="26" t="str">
        <f>"09DPR2991A"</f>
        <v>09DPR2991A</v>
      </c>
      <c r="C1636" s="26" t="str">
        <f>"JUAN AMOS COMENIO                                                                                   "</f>
        <v xml:space="preserve">JUAN AMOS COMENIO                                                                                   </v>
      </c>
      <c r="D1636" s="26" t="str">
        <f>"JORNADA AMPLIADA"</f>
        <v>JORNADA AMPLIADA</v>
      </c>
      <c r="E1636" s="26" t="str">
        <f>"HUITZILIHUITL Y PROLG CUAUH S/N                                                 "</f>
        <v xml:space="preserve">HUITZILIHUITL Y PROLG CUAUH S/N                                                 </v>
      </c>
      <c r="F1636" s="26" t="str">
        <f>"SANTA ISABEL TOLA                                                                                                                           "</f>
        <v xml:space="preserve">SANTA ISABEL TOLA                                                                                                                           </v>
      </c>
      <c r="G1636" s="26" t="str">
        <f>"GUSTAVO A. MADERO                                                               "</f>
        <v xml:space="preserve">GUSTAVO A. MADERO                                                               </v>
      </c>
      <c r="H1636" s="26" t="str">
        <f>"135"</f>
        <v>135</v>
      </c>
      <c r="I1636" s="26" t="str">
        <f t="shared" si="265"/>
        <v>00</v>
      </c>
      <c r="J1636" s="26" t="str">
        <f>"41 "</f>
        <v xml:space="preserve">41 </v>
      </c>
      <c r="K1636" s="26" t="str">
        <f t="shared" si="269"/>
        <v>PR</v>
      </c>
      <c r="L1636" s="26" t="str">
        <f t="shared" si="270"/>
        <v>DGOSE</v>
      </c>
      <c r="M1636" s="26" t="str">
        <f t="shared" si="266"/>
        <v>FEDERAL</v>
      </c>
      <c r="N1636" s="26">
        <v>529</v>
      </c>
      <c r="O1636" s="26">
        <v>253</v>
      </c>
      <c r="P1636" s="26">
        <v>276</v>
      </c>
      <c r="Q1636" s="26">
        <v>18</v>
      </c>
      <c r="R1636" s="26">
        <v>1</v>
      </c>
      <c r="S1636" s="26">
        <v>18</v>
      </c>
      <c r="T1636" s="26">
        <v>11</v>
      </c>
      <c r="U1636" s="26">
        <v>30</v>
      </c>
      <c r="V1636" s="26">
        <v>1</v>
      </c>
      <c r="W1636" s="26" t="s">
        <v>2076</v>
      </c>
    </row>
    <row r="1637" spans="1:23" x14ac:dyDescent="0.25">
      <c r="A1637" s="26" t="str">
        <f t="shared" si="264"/>
        <v>PRIMARIA</v>
      </c>
      <c r="B1637" s="26" t="str">
        <f>"09DPR2995X"</f>
        <v>09DPR2995X</v>
      </c>
      <c r="C1637" s="26" t="str">
        <f>"ARTURO ROSENBLUETH                                                                                  "</f>
        <v xml:space="preserve">ARTURO ROSENBLUETH                                                                                  </v>
      </c>
      <c r="D1637" s="26" t="str">
        <f>"MATUTINO"</f>
        <v>MATUTINO</v>
      </c>
      <c r="E1637" s="26" t="str">
        <f>"MATAMOROS NO. 1                                                                 "</f>
        <v xml:space="preserve">MATAMOROS NO. 1                                                                 </v>
      </c>
      <c r="F1637" s="26" t="str">
        <f>"LOMAS DE ZARAGOZA                                                                                                                           "</f>
        <v xml:space="preserve">LOMAS DE ZARAGOZA                                                                                                                           </v>
      </c>
      <c r="G1637" s="26" t="str">
        <f>"IZTAPALAPA                                                                      "</f>
        <v xml:space="preserve">IZTAPALAPA                                                                      </v>
      </c>
      <c r="H1637" s="26" t="str">
        <f>"065"</f>
        <v>065</v>
      </c>
      <c r="I1637" s="26" t="str">
        <f t="shared" si="265"/>
        <v>00</v>
      </c>
      <c r="J1637" s="26" t="str">
        <f>"64 "</f>
        <v xml:space="preserve">64 </v>
      </c>
      <c r="K1637" s="26" t="str">
        <f>"IZ"</f>
        <v>IZ</v>
      </c>
      <c r="L1637" s="26" t="str">
        <f>"DGSEI"</f>
        <v>DGSEI</v>
      </c>
      <c r="M1637" s="26" t="str">
        <f t="shared" si="266"/>
        <v>FEDERAL</v>
      </c>
      <c r="N1637" s="26">
        <v>701</v>
      </c>
      <c r="O1637" s="26">
        <v>328</v>
      </c>
      <c r="P1637" s="26">
        <v>373</v>
      </c>
      <c r="Q1637" s="26">
        <v>20</v>
      </c>
      <c r="R1637" s="26">
        <v>1</v>
      </c>
      <c r="S1637" s="26">
        <v>19</v>
      </c>
      <c r="T1637" s="26">
        <v>9</v>
      </c>
      <c r="U1637" s="26">
        <v>29</v>
      </c>
      <c r="V1637" s="26">
        <v>1</v>
      </c>
      <c r="W1637" s="26"/>
    </row>
    <row r="1638" spans="1:23" x14ac:dyDescent="0.25">
      <c r="A1638" s="26" t="str">
        <f t="shared" si="264"/>
        <v>PRIMARIA</v>
      </c>
      <c r="B1638" s="26" t="str">
        <f>"09DPR2996W"</f>
        <v>09DPR2996W</v>
      </c>
      <c r="C1638" s="26" t="str">
        <f>"PROFR. CASTULO RAMIREZ LUGO                                                                         "</f>
        <v xml:space="preserve">PROFR. CASTULO RAMIREZ LUGO                                                                         </v>
      </c>
      <c r="D1638" s="26" t="str">
        <f>"MATUTINO"</f>
        <v>MATUTINO</v>
      </c>
      <c r="E1638" s="26" t="str">
        <f>"FERNANDO ARRUTI NO. 87                                                          "</f>
        <v xml:space="preserve">FERNANDO ARRUTI NO. 87                                                          </v>
      </c>
      <c r="F1638" s="26" t="str">
        <f>"SANTA MARTHA ACATITLA                                                                                                                       "</f>
        <v xml:space="preserve">SANTA MARTHA ACATITLA                                                                                                                       </v>
      </c>
      <c r="G1638" s="26" t="str">
        <f>"IZTAPALAPA                                                                      "</f>
        <v xml:space="preserve">IZTAPALAPA                                                                      </v>
      </c>
      <c r="H1638" s="26" t="str">
        <f>"030"</f>
        <v>030</v>
      </c>
      <c r="I1638" s="26" t="str">
        <f t="shared" si="265"/>
        <v>00</v>
      </c>
      <c r="J1638" s="26" t="str">
        <f>"62 "</f>
        <v xml:space="preserve">62 </v>
      </c>
      <c r="K1638" s="26" t="str">
        <f>"IZ"</f>
        <v>IZ</v>
      </c>
      <c r="L1638" s="26" t="str">
        <f>"DGSEI"</f>
        <v>DGSEI</v>
      </c>
      <c r="M1638" s="26" t="str">
        <f t="shared" si="266"/>
        <v>FEDERAL</v>
      </c>
      <c r="N1638" s="26">
        <v>530</v>
      </c>
      <c r="O1638" s="26">
        <v>252</v>
      </c>
      <c r="P1638" s="26">
        <v>278</v>
      </c>
      <c r="Q1638" s="26">
        <v>18</v>
      </c>
      <c r="R1638" s="26">
        <v>1</v>
      </c>
      <c r="S1638" s="26">
        <v>18</v>
      </c>
      <c r="T1638" s="26">
        <v>8</v>
      </c>
      <c r="U1638" s="26">
        <v>27</v>
      </c>
      <c r="V1638" s="26">
        <v>1</v>
      </c>
      <c r="W1638" s="26"/>
    </row>
    <row r="1639" spans="1:23" x14ac:dyDescent="0.25">
      <c r="A1639" s="26" t="str">
        <f t="shared" si="264"/>
        <v>PRIMARIA</v>
      </c>
      <c r="B1639" s="26" t="str">
        <f>"09DPR2997V"</f>
        <v>09DPR2997V</v>
      </c>
      <c r="C1639" s="26" t="str">
        <f>"FERNANDO MONTES DE OCA                                                                              "</f>
        <v xml:space="preserve">FERNANDO MONTES DE OCA                                                                              </v>
      </c>
      <c r="D1639" s="26" t="str">
        <f>"VESPERTINO"</f>
        <v>VESPERTINO</v>
      </c>
      <c r="E1639" s="26" t="str">
        <f>"HERMANDAD NUM 313                                                               "</f>
        <v xml:space="preserve">HERMANDAD NUM 313                                                               </v>
      </c>
      <c r="F1639" s="26" t="str">
        <f>"GRANJAS DE NAVIDAD                                                                                                                          "</f>
        <v xml:space="preserve">GRANJAS DE NAVIDAD                                                                                                                          </v>
      </c>
      <c r="G1639" s="26" t="str">
        <f>"CUAJIMALPA DE MORELOS                                                           "</f>
        <v xml:space="preserve">CUAJIMALPA DE MORELOS                                                           </v>
      </c>
      <c r="H1639" s="26" t="str">
        <f>"301"</f>
        <v>301</v>
      </c>
      <c r="I1639" s="26" t="str">
        <f t="shared" si="265"/>
        <v>00</v>
      </c>
      <c r="J1639" s="26" t="str">
        <f>"43 "</f>
        <v xml:space="preserve">43 </v>
      </c>
      <c r="K1639" s="26" t="str">
        <f>"PR"</f>
        <v>PR</v>
      </c>
      <c r="L1639" s="26" t="str">
        <f>"DGOSE"</f>
        <v>DGOSE</v>
      </c>
      <c r="M1639" s="26" t="str">
        <f t="shared" si="266"/>
        <v>FEDERAL</v>
      </c>
      <c r="N1639" s="26">
        <v>270</v>
      </c>
      <c r="O1639" s="26">
        <v>133</v>
      </c>
      <c r="P1639" s="26">
        <v>137</v>
      </c>
      <c r="Q1639" s="26">
        <v>11</v>
      </c>
      <c r="R1639" s="26">
        <v>1</v>
      </c>
      <c r="S1639" s="26">
        <v>11</v>
      </c>
      <c r="T1639" s="26">
        <v>5</v>
      </c>
      <c r="U1639" s="26">
        <v>17</v>
      </c>
      <c r="V1639" s="26">
        <v>1</v>
      </c>
      <c r="W1639" s="26"/>
    </row>
    <row r="1640" spans="1:23" x14ac:dyDescent="0.25">
      <c r="A1640" s="26" t="str">
        <f t="shared" si="264"/>
        <v>PRIMARIA</v>
      </c>
      <c r="B1640" s="26" t="str">
        <f>"09DPR2999T"</f>
        <v>09DPR2999T</v>
      </c>
      <c r="C1640" s="26" t="str">
        <f>"WILFRIDO MASSIEU                                                                                    "</f>
        <v xml:space="preserve">WILFRIDO MASSIEU                                                                                    </v>
      </c>
      <c r="D1640" s="26" t="str">
        <f>"MATUTINO"</f>
        <v>MATUTINO</v>
      </c>
      <c r="E1640" s="26" t="str">
        <f>"ESCUINAPA S/N                                                                   "</f>
        <v xml:space="preserve">ESCUINAPA S/N                                                                   </v>
      </c>
      <c r="F1640" s="26" t="str">
        <f>"PEDREGAL DE SANTO DOMINGO                                                                                                                   "</f>
        <v xml:space="preserve">PEDREGAL DE SANTO DOMINGO                                                                                                                   </v>
      </c>
      <c r="G1640" s="26" t="str">
        <f>"COYOACAN                                                                        "</f>
        <v xml:space="preserve">COYOACAN                                                                        </v>
      </c>
      <c r="H1640" s="26" t="str">
        <f>"502"</f>
        <v>502</v>
      </c>
      <c r="I1640" s="26" t="str">
        <f t="shared" si="265"/>
        <v>00</v>
      </c>
      <c r="J1640" s="26" t="str">
        <f>"45 "</f>
        <v xml:space="preserve">45 </v>
      </c>
      <c r="K1640" s="26" t="str">
        <f>"PR"</f>
        <v>PR</v>
      </c>
      <c r="L1640" s="26" t="str">
        <f>"DGOSE"</f>
        <v>DGOSE</v>
      </c>
      <c r="M1640" s="26" t="str">
        <f t="shared" si="266"/>
        <v>FEDERAL</v>
      </c>
      <c r="N1640" s="26">
        <v>447</v>
      </c>
      <c r="O1640" s="26">
        <v>252</v>
      </c>
      <c r="P1640" s="26">
        <v>195</v>
      </c>
      <c r="Q1640" s="26">
        <v>18</v>
      </c>
      <c r="R1640" s="26">
        <v>1</v>
      </c>
      <c r="S1640" s="26">
        <v>17</v>
      </c>
      <c r="T1640" s="26">
        <v>8</v>
      </c>
      <c r="U1640" s="26">
        <v>26</v>
      </c>
      <c r="V1640" s="26">
        <v>1</v>
      </c>
      <c r="W1640" s="26"/>
    </row>
    <row r="1641" spans="1:23" x14ac:dyDescent="0.25">
      <c r="A1641" s="26" t="str">
        <f t="shared" si="264"/>
        <v>PRIMARIA</v>
      </c>
      <c r="B1641" s="26" t="str">
        <f>"09DPR3000I"</f>
        <v>09DPR3000I</v>
      </c>
      <c r="C1641" s="26" t="str">
        <f>"AÑO INTERNACIONAL DEL NIÑO                                                                          "</f>
        <v xml:space="preserve">AÑO INTERNACIONAL DEL NIÑO                                                                          </v>
      </c>
      <c r="D1641" s="26" t="str">
        <f>"TIEMPO COMPLETO"</f>
        <v>TIEMPO COMPLETO</v>
      </c>
      <c r="E1641" s="26" t="s">
        <v>3973</v>
      </c>
      <c r="F1641" s="26" t="str">
        <f>"CONJUNTO URBANO POPULAR ERMITA ZARA                                                                                                         "</f>
        <v xml:space="preserve">CONJUNTO URBANO POPULAR ERMITA ZARA                                                                                                         </v>
      </c>
      <c r="G1641" s="26" t="str">
        <f>"IZTAPALAPA                                                                      "</f>
        <v xml:space="preserve">IZTAPALAPA                                                                      </v>
      </c>
      <c r="H1641" s="26" t="str">
        <f>"008"</f>
        <v>008</v>
      </c>
      <c r="I1641" s="26" t="str">
        <f t="shared" si="265"/>
        <v>00</v>
      </c>
      <c r="J1641" s="26" t="str">
        <f>"61 "</f>
        <v xml:space="preserve">61 </v>
      </c>
      <c r="K1641" s="26" t="str">
        <f>"IZ"</f>
        <v>IZ</v>
      </c>
      <c r="L1641" s="26" t="str">
        <f>"DGSEI"</f>
        <v>DGSEI</v>
      </c>
      <c r="M1641" s="26" t="str">
        <f t="shared" si="266"/>
        <v>FEDERAL</v>
      </c>
      <c r="N1641" s="26">
        <v>465</v>
      </c>
      <c r="O1641" s="26">
        <v>231</v>
      </c>
      <c r="P1641" s="26">
        <v>234</v>
      </c>
      <c r="Q1641" s="26">
        <v>16</v>
      </c>
      <c r="R1641" s="26">
        <v>1</v>
      </c>
      <c r="S1641" s="26">
        <v>16</v>
      </c>
      <c r="T1641" s="26">
        <v>12</v>
      </c>
      <c r="U1641" s="26">
        <v>29</v>
      </c>
      <c r="V1641" s="26">
        <v>1</v>
      </c>
      <c r="W1641" s="26" t="s">
        <v>218</v>
      </c>
    </row>
    <row r="1642" spans="1:23" x14ac:dyDescent="0.25">
      <c r="A1642" s="26" t="str">
        <f t="shared" si="264"/>
        <v>PRIMARIA</v>
      </c>
      <c r="B1642" s="26" t="str">
        <f>"09DPR3001H"</f>
        <v>09DPR3001H</v>
      </c>
      <c r="C1642" s="26" t="str">
        <f>"TEUHTLI                                                                                             "</f>
        <v xml:space="preserve">TEUHTLI                                                                                             </v>
      </c>
      <c r="D1642" s="26" t="str">
        <f>"VESPERTINO"</f>
        <v>VESPERTINO</v>
      </c>
      <c r="E1642" s="26" t="str">
        <f>"XACALIPA S/N                                                                    "</f>
        <v xml:space="preserve">XACALIPA S/N                                                                    </v>
      </c>
      <c r="F1642" s="26" t="str">
        <f>"SAN FRANCISCO TECOXPA                                                                                                                       "</f>
        <v xml:space="preserve">SAN FRANCISCO TECOXPA                                                                                                                       </v>
      </c>
      <c r="G1642" s="26" t="str">
        <f>"MILPA ALTA                                                                      "</f>
        <v xml:space="preserve">MILPA ALTA                                                                      </v>
      </c>
      <c r="H1642" s="26" t="str">
        <f>"562"</f>
        <v>562</v>
      </c>
      <c r="I1642" s="26" t="str">
        <f t="shared" si="265"/>
        <v>00</v>
      </c>
      <c r="J1642" s="26" t="str">
        <f>"45 "</f>
        <v xml:space="preserve">45 </v>
      </c>
      <c r="K1642" s="26" t="str">
        <f t="shared" ref="K1642:K1648" si="271">"PR"</f>
        <v>PR</v>
      </c>
      <c r="L1642" s="26" t="str">
        <f t="shared" ref="L1642:L1648" si="272">"DGOSE"</f>
        <v>DGOSE</v>
      </c>
      <c r="M1642" s="26" t="str">
        <f t="shared" si="266"/>
        <v>FEDERAL</v>
      </c>
      <c r="N1642" s="26">
        <v>169</v>
      </c>
      <c r="O1642" s="26">
        <v>97</v>
      </c>
      <c r="P1642" s="26">
        <v>72</v>
      </c>
      <c r="Q1642" s="26">
        <v>7</v>
      </c>
      <c r="R1642" s="26">
        <v>1</v>
      </c>
      <c r="S1642" s="26">
        <v>7</v>
      </c>
      <c r="T1642" s="26">
        <v>6</v>
      </c>
      <c r="U1642" s="26">
        <v>14</v>
      </c>
      <c r="V1642" s="26">
        <v>1</v>
      </c>
      <c r="W1642" s="26"/>
    </row>
    <row r="1643" spans="1:23" x14ac:dyDescent="0.25">
      <c r="A1643" s="26" t="str">
        <f t="shared" si="264"/>
        <v>PRIMARIA</v>
      </c>
      <c r="B1643" s="26" t="str">
        <f>"09DPR3002G"</f>
        <v>09DPR3002G</v>
      </c>
      <c r="C1643" s="26" t="str">
        <f>"RABINDRANATH TAGORE                                                                                 "</f>
        <v xml:space="preserve">RABINDRANATH TAGORE                                                                                 </v>
      </c>
      <c r="D1643" s="26" t="str">
        <f>"VESPERTINO"</f>
        <v>VESPERTINO</v>
      </c>
      <c r="E1643" s="26" t="str">
        <f>"AV 29 DE OCTUBRE S/N                                                            "</f>
        <v xml:space="preserve">AV 29 DE OCTUBRE S/N                                                            </v>
      </c>
      <c r="F1643" s="26" t="str">
        <f>"LOMAS DE LA HERA                                                                                                                            "</f>
        <v xml:space="preserve">LOMAS DE LA HERA                                                                                                                            </v>
      </c>
      <c r="G1643" s="26" t="str">
        <f>"ALVARO OBREGON                                                                  "</f>
        <v xml:space="preserve">ALVARO OBREGON                                                                  </v>
      </c>
      <c r="H1643" s="26" t="str">
        <f>"329"</f>
        <v>329</v>
      </c>
      <c r="I1643" s="26" t="str">
        <f t="shared" si="265"/>
        <v>00</v>
      </c>
      <c r="J1643" s="26" t="str">
        <f>"43 "</f>
        <v xml:space="preserve">43 </v>
      </c>
      <c r="K1643" s="26" t="str">
        <f t="shared" si="271"/>
        <v>PR</v>
      </c>
      <c r="L1643" s="26" t="str">
        <f t="shared" si="272"/>
        <v>DGOSE</v>
      </c>
      <c r="M1643" s="26" t="str">
        <f t="shared" si="266"/>
        <v>FEDERAL</v>
      </c>
      <c r="N1643" s="26">
        <v>737</v>
      </c>
      <c r="O1643" s="26">
        <v>396</v>
      </c>
      <c r="P1643" s="26">
        <v>341</v>
      </c>
      <c r="Q1643" s="26">
        <v>27</v>
      </c>
      <c r="R1643" s="26">
        <v>1</v>
      </c>
      <c r="S1643" s="26">
        <v>24</v>
      </c>
      <c r="T1643" s="26">
        <v>13</v>
      </c>
      <c r="U1643" s="26">
        <v>38</v>
      </c>
      <c r="V1643" s="26">
        <v>1</v>
      </c>
      <c r="W1643" s="26"/>
    </row>
    <row r="1644" spans="1:23" x14ac:dyDescent="0.25">
      <c r="A1644" s="26" t="str">
        <f t="shared" si="264"/>
        <v>PRIMARIA</v>
      </c>
      <c r="B1644" s="26" t="str">
        <f>"09DPR3003F"</f>
        <v>09DPR3003F</v>
      </c>
      <c r="C1644" s="26" t="str">
        <f>"RABINDRANATH TAGORE                                                                                 "</f>
        <v xml:space="preserve">RABINDRANATH TAGORE                                                                                 </v>
      </c>
      <c r="D1644" s="26" t="str">
        <f>"MATUTINO"</f>
        <v>MATUTINO</v>
      </c>
      <c r="E1644" s="26" t="str">
        <f>"AV 29 DE OCTUBRE S/N                                                            "</f>
        <v xml:space="preserve">AV 29 DE OCTUBRE S/N                                                            </v>
      </c>
      <c r="F1644" s="26" t="str">
        <f>"LOMAS DE LA HERA                                                                                                                            "</f>
        <v xml:space="preserve">LOMAS DE LA HERA                                                                                                                            </v>
      </c>
      <c r="G1644" s="26" t="str">
        <f>"ALVARO OBREGON                                                                  "</f>
        <v xml:space="preserve">ALVARO OBREGON                                                                  </v>
      </c>
      <c r="H1644" s="26" t="str">
        <f>"329"</f>
        <v>329</v>
      </c>
      <c r="I1644" s="26" t="str">
        <f t="shared" si="265"/>
        <v>00</v>
      </c>
      <c r="J1644" s="26" t="str">
        <f>"43 "</f>
        <v xml:space="preserve">43 </v>
      </c>
      <c r="K1644" s="26" t="str">
        <f t="shared" si="271"/>
        <v>PR</v>
      </c>
      <c r="L1644" s="26" t="str">
        <f t="shared" si="272"/>
        <v>DGOSE</v>
      </c>
      <c r="M1644" s="26" t="str">
        <f t="shared" si="266"/>
        <v>FEDERAL</v>
      </c>
      <c r="N1644" s="26">
        <v>834</v>
      </c>
      <c r="O1644" s="26">
        <v>428</v>
      </c>
      <c r="P1644" s="26">
        <v>406</v>
      </c>
      <c r="Q1644" s="26">
        <v>24</v>
      </c>
      <c r="R1644" s="26">
        <v>1</v>
      </c>
      <c r="S1644" s="26">
        <v>24</v>
      </c>
      <c r="T1644" s="26">
        <v>12</v>
      </c>
      <c r="U1644" s="26">
        <v>37</v>
      </c>
      <c r="V1644" s="26">
        <v>1</v>
      </c>
      <c r="W1644" s="26"/>
    </row>
    <row r="1645" spans="1:23" x14ac:dyDescent="0.25">
      <c r="A1645" s="26" t="str">
        <f t="shared" si="264"/>
        <v>PRIMARIA</v>
      </c>
      <c r="B1645" s="26" t="str">
        <f>"09DPR3004E"</f>
        <v>09DPR3004E</v>
      </c>
      <c r="C1645" s="26" t="str">
        <f>"EL SEGURO DEL MAESTRO                                                                               "</f>
        <v xml:space="preserve">EL SEGURO DEL MAESTRO                                                                               </v>
      </c>
      <c r="D1645" s="26" t="str">
        <f>"VESPERTINO"</f>
        <v>VESPERTINO</v>
      </c>
      <c r="E1645" s="26" t="str">
        <f>"OYAMEL Y ARAUCARIA                                                              "</f>
        <v xml:space="preserve">OYAMEL Y ARAUCARIA                                                              </v>
      </c>
      <c r="F1645" s="26" t="str">
        <f>"GARCIMARRERO                                                                                                                                "</f>
        <v xml:space="preserve">GARCIMARRERO                                                                                                                                </v>
      </c>
      <c r="G1645" s="26" t="str">
        <f>"ALVARO OBREGON                                                                  "</f>
        <v xml:space="preserve">ALVARO OBREGON                                                                  </v>
      </c>
      <c r="H1645" s="26" t="str">
        <f>"315"</f>
        <v>315</v>
      </c>
      <c r="I1645" s="26" t="str">
        <f t="shared" si="265"/>
        <v>00</v>
      </c>
      <c r="J1645" s="26" t="str">
        <f>"43 "</f>
        <v xml:space="preserve">43 </v>
      </c>
      <c r="K1645" s="26" t="str">
        <f t="shared" si="271"/>
        <v>PR</v>
      </c>
      <c r="L1645" s="26" t="str">
        <f t="shared" si="272"/>
        <v>DGOSE</v>
      </c>
      <c r="M1645" s="26" t="str">
        <f t="shared" si="266"/>
        <v>FEDERAL</v>
      </c>
      <c r="N1645" s="26">
        <v>148</v>
      </c>
      <c r="O1645" s="26">
        <v>82</v>
      </c>
      <c r="P1645" s="26">
        <v>66</v>
      </c>
      <c r="Q1645" s="26">
        <v>7</v>
      </c>
      <c r="R1645" s="26">
        <v>1</v>
      </c>
      <c r="S1645" s="26">
        <v>7</v>
      </c>
      <c r="T1645" s="26">
        <v>5</v>
      </c>
      <c r="U1645" s="26">
        <v>13</v>
      </c>
      <c r="V1645" s="26">
        <v>1</v>
      </c>
      <c r="W1645" s="26"/>
    </row>
    <row r="1646" spans="1:23" x14ac:dyDescent="0.25">
      <c r="A1646" s="26" t="str">
        <f t="shared" si="264"/>
        <v>PRIMARIA</v>
      </c>
      <c r="B1646" s="26" t="str">
        <f>"09DPR3005D"</f>
        <v>09DPR3005D</v>
      </c>
      <c r="C1646" s="26" t="str">
        <f>"TORIBIO VELASCO FRIAS                                                                               "</f>
        <v xml:space="preserve">TORIBIO VELASCO FRIAS                                                                               </v>
      </c>
      <c r="D1646" s="26" t="str">
        <f>"VESPERTINO"</f>
        <v>VESPERTINO</v>
      </c>
      <c r="E1646" s="26" t="str">
        <f>"CDA CENTENARIO S/N                                                              "</f>
        <v xml:space="preserve">CDA CENTENARIO S/N                                                              </v>
      </c>
      <c r="F1646" s="26" t="str">
        <f>"HERON PROAL                                                                                                                                 "</f>
        <v xml:space="preserve">HERON PROAL                                                                                                                                 </v>
      </c>
      <c r="G1646" s="26" t="str">
        <f>"ALVARO OBREGON                                                                  "</f>
        <v xml:space="preserve">ALVARO OBREGON                                                                  </v>
      </c>
      <c r="H1646" s="26" t="str">
        <f>"323"</f>
        <v>323</v>
      </c>
      <c r="I1646" s="26" t="str">
        <f t="shared" si="265"/>
        <v>00</v>
      </c>
      <c r="J1646" s="26" t="str">
        <f>"43 "</f>
        <v xml:space="preserve">43 </v>
      </c>
      <c r="K1646" s="26" t="str">
        <f t="shared" si="271"/>
        <v>PR</v>
      </c>
      <c r="L1646" s="26" t="str">
        <f t="shared" si="272"/>
        <v>DGOSE</v>
      </c>
      <c r="M1646" s="26" t="str">
        <f t="shared" si="266"/>
        <v>FEDERAL</v>
      </c>
      <c r="N1646" s="26">
        <v>403</v>
      </c>
      <c r="O1646" s="26">
        <v>207</v>
      </c>
      <c r="P1646" s="26">
        <v>196</v>
      </c>
      <c r="Q1646" s="26">
        <v>17</v>
      </c>
      <c r="R1646" s="26">
        <v>1</v>
      </c>
      <c r="S1646" s="26">
        <v>17</v>
      </c>
      <c r="T1646" s="26">
        <v>8</v>
      </c>
      <c r="U1646" s="26">
        <v>26</v>
      </c>
      <c r="V1646" s="26">
        <v>1</v>
      </c>
      <c r="W1646" s="26"/>
    </row>
    <row r="1647" spans="1:23" x14ac:dyDescent="0.25">
      <c r="A1647" s="26" t="str">
        <f t="shared" si="264"/>
        <v>PRIMARIA</v>
      </c>
      <c r="B1647" s="26" t="str">
        <f>"09DPR3006C"</f>
        <v>09DPR3006C</v>
      </c>
      <c r="C1647" s="26" t="str">
        <f>"LAURA MENDEZ DE CUENCA                                                                              "</f>
        <v xml:space="preserve">LAURA MENDEZ DE CUENCA                                                                              </v>
      </c>
      <c r="D1647" s="26" t="str">
        <f>"MATUTINO"</f>
        <v>MATUTINO</v>
      </c>
      <c r="E1647" s="26" t="str">
        <f>"JESUS ROCHA Y AV SANTA LUCIA                                                    "</f>
        <v xml:space="preserve">JESUS ROCHA Y AV SANTA LUCIA                                                    </v>
      </c>
      <c r="F1647" s="26" t="str">
        <f>"OLIVAR DEL CONDE 2A SECCION                                                                                                                 "</f>
        <v xml:space="preserve">OLIVAR DEL CONDE 2A SECCION                                                                                                                 </v>
      </c>
      <c r="G1647" s="26" t="str">
        <f>"ALVARO OBREGON                                                                  "</f>
        <v xml:space="preserve">ALVARO OBREGON                                                                  </v>
      </c>
      <c r="H1647" s="26" t="str">
        <f>"314"</f>
        <v>314</v>
      </c>
      <c r="I1647" s="26" t="str">
        <f t="shared" si="265"/>
        <v>00</v>
      </c>
      <c r="J1647" s="26" t="str">
        <f>"43 "</f>
        <v xml:space="preserve">43 </v>
      </c>
      <c r="K1647" s="26" t="str">
        <f t="shared" si="271"/>
        <v>PR</v>
      </c>
      <c r="L1647" s="26" t="str">
        <f t="shared" si="272"/>
        <v>DGOSE</v>
      </c>
      <c r="M1647" s="26" t="str">
        <f t="shared" si="266"/>
        <v>FEDERAL</v>
      </c>
      <c r="N1647" s="26">
        <v>544</v>
      </c>
      <c r="O1647" s="26">
        <v>292</v>
      </c>
      <c r="P1647" s="26">
        <v>252</v>
      </c>
      <c r="Q1647" s="26">
        <v>18</v>
      </c>
      <c r="R1647" s="26">
        <v>1</v>
      </c>
      <c r="S1647" s="26">
        <v>17</v>
      </c>
      <c r="T1647" s="26">
        <v>11</v>
      </c>
      <c r="U1647" s="26">
        <v>29</v>
      </c>
      <c r="V1647" s="26">
        <v>1</v>
      </c>
      <c r="W1647" s="26"/>
    </row>
    <row r="1648" spans="1:23" x14ac:dyDescent="0.25">
      <c r="A1648" s="26" t="str">
        <f t="shared" si="264"/>
        <v>PRIMARIA</v>
      </c>
      <c r="B1648" s="26" t="str">
        <f>"09DPR3007B"</f>
        <v>09DPR3007B</v>
      </c>
      <c r="C1648" s="26" t="str">
        <f>"LEGION AMERICANA                                                                                    "</f>
        <v xml:space="preserve">LEGION AMERICANA                                                                                    </v>
      </c>
      <c r="D1648" s="26" t="str">
        <f>"VESPERTINO"</f>
        <v>VESPERTINO</v>
      </c>
      <c r="E1648" s="26" t="str">
        <f>"AV. MEXICO AJUSCO NUM. 25                                                       "</f>
        <v xml:space="preserve">AV. MEXICO AJUSCO NUM. 25                                                       </v>
      </c>
      <c r="F1648" s="26" t="str">
        <f>"MAGDALENA PETLACALCO                                                                                                                        "</f>
        <v xml:space="preserve">MAGDALENA PETLACALCO                                                                                                                        </v>
      </c>
      <c r="G1648" s="26" t="str">
        <f>"TLALPAN                                                                         "</f>
        <v xml:space="preserve">TLALPAN                                                                         </v>
      </c>
      <c r="H1648" s="26" t="str">
        <f>"530"</f>
        <v>530</v>
      </c>
      <c r="I1648" s="26" t="str">
        <f t="shared" si="265"/>
        <v>00</v>
      </c>
      <c r="J1648" s="26" t="str">
        <f>"45 "</f>
        <v xml:space="preserve">45 </v>
      </c>
      <c r="K1648" s="26" t="str">
        <f t="shared" si="271"/>
        <v>PR</v>
      </c>
      <c r="L1648" s="26" t="str">
        <f t="shared" si="272"/>
        <v>DGOSE</v>
      </c>
      <c r="M1648" s="26" t="str">
        <f t="shared" si="266"/>
        <v>FEDERAL</v>
      </c>
      <c r="N1648" s="26">
        <v>646</v>
      </c>
      <c r="O1648" s="26">
        <v>330</v>
      </c>
      <c r="P1648" s="26">
        <v>316</v>
      </c>
      <c r="Q1648" s="26">
        <v>18</v>
      </c>
      <c r="R1648" s="26">
        <v>1</v>
      </c>
      <c r="S1648" s="26">
        <v>18</v>
      </c>
      <c r="T1648" s="26">
        <v>8</v>
      </c>
      <c r="U1648" s="26">
        <v>27</v>
      </c>
      <c r="V1648" s="26">
        <v>1</v>
      </c>
      <c r="W1648" s="26"/>
    </row>
    <row r="1649" spans="1:23" x14ac:dyDescent="0.25">
      <c r="A1649" s="26" t="str">
        <f t="shared" si="264"/>
        <v>PRIMARIA</v>
      </c>
      <c r="B1649" s="26" t="str">
        <f>"09DPR3008A"</f>
        <v>09DPR3008A</v>
      </c>
      <c r="C1649" s="26" t="str">
        <f>"ERNESTO GARCIA CABRAL                                                                               "</f>
        <v xml:space="preserve">ERNESTO GARCIA CABRAL                                                                               </v>
      </c>
      <c r="D1649" s="26" t="str">
        <f>"MATUTINO"</f>
        <v>MATUTINO</v>
      </c>
      <c r="E1649" s="26" t="str">
        <f>"AGUSTIN DE COLOMBO NO. 1                                                        "</f>
        <v xml:space="preserve">AGUSTIN DE COLOMBO NO. 1                                                        </v>
      </c>
      <c r="F1649" s="26" t="str">
        <f>"FUEGO NUEVO                                                                                                                                 "</f>
        <v xml:space="preserve">FUEGO NUEVO                                                                                                                                 </v>
      </c>
      <c r="G1649" s="26" t="str">
        <f>"IZTAPALAPA                                                                      "</f>
        <v xml:space="preserve">IZTAPALAPA                                                                      </v>
      </c>
      <c r="H1649" s="26" t="str">
        <f>"040"</f>
        <v>040</v>
      </c>
      <c r="I1649" s="26" t="str">
        <f t="shared" si="265"/>
        <v>00</v>
      </c>
      <c r="J1649" s="26" t="str">
        <f>"63 "</f>
        <v xml:space="preserve">63 </v>
      </c>
      <c r="K1649" s="26" t="str">
        <f>"IZ"</f>
        <v>IZ</v>
      </c>
      <c r="L1649" s="26" t="str">
        <f>"DGSEI"</f>
        <v>DGSEI</v>
      </c>
      <c r="M1649" s="26" t="str">
        <f t="shared" si="266"/>
        <v>FEDERAL</v>
      </c>
      <c r="N1649" s="26">
        <v>427</v>
      </c>
      <c r="O1649" s="26">
        <v>227</v>
      </c>
      <c r="P1649" s="26">
        <v>200</v>
      </c>
      <c r="Q1649" s="26">
        <v>16</v>
      </c>
      <c r="R1649" s="26">
        <v>1</v>
      </c>
      <c r="S1649" s="26">
        <v>16</v>
      </c>
      <c r="T1649" s="26">
        <v>6</v>
      </c>
      <c r="U1649" s="26">
        <v>23</v>
      </c>
      <c r="V1649" s="26">
        <v>1</v>
      </c>
      <c r="W1649" s="26"/>
    </row>
    <row r="1650" spans="1:23" x14ac:dyDescent="0.25">
      <c r="A1650" s="26" t="str">
        <f t="shared" si="264"/>
        <v>PRIMARIA</v>
      </c>
      <c r="B1650" s="26" t="str">
        <f>"09DPR3010P"</f>
        <v>09DPR3010P</v>
      </c>
      <c r="C1650" s="26" t="str">
        <f>"PROFRA. CARMEN ARROYO DE LA PARRA                                                                   "</f>
        <v xml:space="preserve">PROFRA. CARMEN ARROYO DE LA PARRA                                                                   </v>
      </c>
      <c r="D1650" s="26" t="str">
        <f>"VESPERTINO"</f>
        <v>VESPERTINO</v>
      </c>
      <c r="E1650" s="26" t="str">
        <f>"JACOBO DE LIEJA S/N                                                             "</f>
        <v xml:space="preserve">JACOBO DE LIEJA S/N                                                             </v>
      </c>
      <c r="F1650" s="26" t="str">
        <f>"AGRICOLA METROPOLITANA                                                                                                                      "</f>
        <v xml:space="preserve">AGRICOLA METROPOLITANA                                                                                                                      </v>
      </c>
      <c r="G1650" s="26" t="str">
        <f>"TLAHUAC                                                                         "</f>
        <v xml:space="preserve">TLAHUAC                                                                         </v>
      </c>
      <c r="H1650" s="26" t="str">
        <f>"551"</f>
        <v>551</v>
      </c>
      <c r="I1650" s="26" t="str">
        <f t="shared" si="265"/>
        <v>00</v>
      </c>
      <c r="J1650" s="26" t="str">
        <f>"45 "</f>
        <v xml:space="preserve">45 </v>
      </c>
      <c r="K1650" s="26" t="str">
        <f t="shared" ref="K1650:K1656" si="273">"PR"</f>
        <v>PR</v>
      </c>
      <c r="L1650" s="26" t="str">
        <f t="shared" ref="L1650:L1656" si="274">"DGOSE"</f>
        <v>DGOSE</v>
      </c>
      <c r="M1650" s="26" t="str">
        <f t="shared" si="266"/>
        <v>FEDERAL</v>
      </c>
      <c r="N1650" s="26">
        <v>220</v>
      </c>
      <c r="O1650" s="26">
        <v>127</v>
      </c>
      <c r="P1650" s="26">
        <v>93</v>
      </c>
      <c r="Q1650" s="26">
        <v>11</v>
      </c>
      <c r="R1650" s="26">
        <v>1</v>
      </c>
      <c r="S1650" s="26">
        <v>11</v>
      </c>
      <c r="T1650" s="26">
        <v>6</v>
      </c>
      <c r="U1650" s="26">
        <v>18</v>
      </c>
      <c r="V1650" s="26">
        <v>1</v>
      </c>
      <c r="W1650" s="26"/>
    </row>
    <row r="1651" spans="1:23" x14ac:dyDescent="0.25">
      <c r="A1651" s="26" t="str">
        <f t="shared" si="264"/>
        <v>PRIMARIA</v>
      </c>
      <c r="B1651" s="26" t="str">
        <f>"09DPR3012N"</f>
        <v>09DPR3012N</v>
      </c>
      <c r="C1651" s="26" t="str">
        <f>"PROFRA. JUSTINA GONZALEZ MARTINEZ                                                                   "</f>
        <v xml:space="preserve">PROFRA. JUSTINA GONZALEZ MARTINEZ                                                                   </v>
      </c>
      <c r="D1651" s="26" t="str">
        <f>"TIEMPO COMPLETO"</f>
        <v>TIEMPO COMPLETO</v>
      </c>
      <c r="E1651" s="26" t="str">
        <f>"MOCTEZUMA S/N                                                                   "</f>
        <v xml:space="preserve">MOCTEZUMA S/N                                                                   </v>
      </c>
      <c r="F1651" s="26" t="str">
        <f>"LA PASTORA                                                                                                                                  "</f>
        <v xml:space="preserve">LA PASTORA                                                                                                                                  </v>
      </c>
      <c r="G1651" s="26" t="str">
        <f>"GUSTAVO A. MADERO                                                               "</f>
        <v xml:space="preserve">GUSTAVO A. MADERO                                                               </v>
      </c>
      <c r="H1651" s="26" t="str">
        <f>"131"</f>
        <v>131</v>
      </c>
      <c r="I1651" s="26" t="str">
        <f t="shared" si="265"/>
        <v>00</v>
      </c>
      <c r="J1651" s="26" t="str">
        <f>"41 "</f>
        <v xml:space="preserve">41 </v>
      </c>
      <c r="K1651" s="26" t="str">
        <f t="shared" si="273"/>
        <v>PR</v>
      </c>
      <c r="L1651" s="26" t="str">
        <f t="shared" si="274"/>
        <v>DGOSE</v>
      </c>
      <c r="M1651" s="26" t="str">
        <f t="shared" si="266"/>
        <v>FEDERAL</v>
      </c>
      <c r="N1651" s="26">
        <v>360</v>
      </c>
      <c r="O1651" s="26">
        <v>184</v>
      </c>
      <c r="P1651" s="26">
        <v>176</v>
      </c>
      <c r="Q1651" s="26">
        <v>14</v>
      </c>
      <c r="R1651" s="26">
        <v>1</v>
      </c>
      <c r="S1651" s="26">
        <v>14</v>
      </c>
      <c r="T1651" s="26">
        <v>13</v>
      </c>
      <c r="U1651" s="26">
        <v>28</v>
      </c>
      <c r="V1651" s="26">
        <v>1</v>
      </c>
      <c r="W1651" s="26" t="s">
        <v>218</v>
      </c>
    </row>
    <row r="1652" spans="1:23" x14ac:dyDescent="0.25">
      <c r="A1652" s="26" t="str">
        <f t="shared" si="264"/>
        <v>PRIMARIA</v>
      </c>
      <c r="B1652" s="26" t="str">
        <f>"09DPR3013M"</f>
        <v>09DPR3013M</v>
      </c>
      <c r="C1652" s="26" t="str">
        <f>"PANAMERICANA                                                                                        "</f>
        <v xml:space="preserve">PANAMERICANA                                                                                        </v>
      </c>
      <c r="D1652" s="26" t="str">
        <f>"VESPERTINO"</f>
        <v>VESPERTINO</v>
      </c>
      <c r="E1652" s="26" t="str">
        <f>"AV. PANAMERICANA S/ N                                                           "</f>
        <v xml:space="preserve">AV. PANAMERICANA S/ N                                                           </v>
      </c>
      <c r="F1652" s="26" t="str">
        <f>"PEDREGAL DE CARRASCO                                                                                                                        "</f>
        <v xml:space="preserve">PEDREGAL DE CARRASCO                                                                                                                        </v>
      </c>
      <c r="G1652" s="26" t="str">
        <f>"COYOACAN                                                                        "</f>
        <v xml:space="preserve">COYOACAN                                                                        </v>
      </c>
      <c r="H1652" s="26" t="str">
        <f>"506"</f>
        <v>506</v>
      </c>
      <c r="I1652" s="26" t="str">
        <f t="shared" si="265"/>
        <v>00</v>
      </c>
      <c r="J1652" s="26" t="str">
        <f>"45 "</f>
        <v xml:space="preserve">45 </v>
      </c>
      <c r="K1652" s="26" t="str">
        <f t="shared" si="273"/>
        <v>PR</v>
      </c>
      <c r="L1652" s="26" t="str">
        <f t="shared" si="274"/>
        <v>DGOSE</v>
      </c>
      <c r="M1652" s="26" t="str">
        <f t="shared" si="266"/>
        <v>FEDERAL</v>
      </c>
      <c r="N1652" s="26">
        <v>74</v>
      </c>
      <c r="O1652" s="26">
        <v>33</v>
      </c>
      <c r="P1652" s="26">
        <v>41</v>
      </c>
      <c r="Q1652" s="26">
        <v>6</v>
      </c>
      <c r="R1652" s="26">
        <v>1</v>
      </c>
      <c r="S1652" s="26">
        <v>6</v>
      </c>
      <c r="T1652" s="26">
        <v>5</v>
      </c>
      <c r="U1652" s="26">
        <v>12</v>
      </c>
      <c r="V1652" s="26">
        <v>1</v>
      </c>
      <c r="W1652" s="26"/>
    </row>
    <row r="1653" spans="1:23" x14ac:dyDescent="0.25">
      <c r="A1653" s="26" t="str">
        <f t="shared" si="264"/>
        <v>PRIMARIA</v>
      </c>
      <c r="B1653" s="26" t="str">
        <f>"09DPR3014L"</f>
        <v>09DPR3014L</v>
      </c>
      <c r="C1653" s="26" t="str">
        <f>"PROFR. RENE AVILES ROJAS                                                                            "</f>
        <v xml:space="preserve">PROFR. RENE AVILES ROJAS                                                                            </v>
      </c>
      <c r="D1653" s="26" t="str">
        <f>"MATUTINO"</f>
        <v>MATUTINO</v>
      </c>
      <c r="E1653" s="26" t="str">
        <f>"GITANA S/N                                                                      "</f>
        <v xml:space="preserve">GITANA S/N                                                                      </v>
      </c>
      <c r="F1653" s="26" t="str">
        <f>"DEL MAR                                                                                                                                     "</f>
        <v xml:space="preserve">DEL MAR                                                                                                                                     </v>
      </c>
      <c r="G1653" s="26" t="str">
        <f>"TLAHUAC                                                                         "</f>
        <v xml:space="preserve">TLAHUAC                                                                         </v>
      </c>
      <c r="H1653" s="26" t="str">
        <f>"550"</f>
        <v>550</v>
      </c>
      <c r="I1653" s="26" t="str">
        <f t="shared" si="265"/>
        <v>00</v>
      </c>
      <c r="J1653" s="26" t="str">
        <f>"45 "</f>
        <v xml:space="preserve">45 </v>
      </c>
      <c r="K1653" s="26" t="str">
        <f t="shared" si="273"/>
        <v>PR</v>
      </c>
      <c r="L1653" s="26" t="str">
        <f t="shared" si="274"/>
        <v>DGOSE</v>
      </c>
      <c r="M1653" s="26" t="str">
        <f t="shared" si="266"/>
        <v>FEDERAL</v>
      </c>
      <c r="N1653" s="26">
        <v>331</v>
      </c>
      <c r="O1653" s="26">
        <v>164</v>
      </c>
      <c r="P1653" s="26">
        <v>167</v>
      </c>
      <c r="Q1653" s="26">
        <v>9</v>
      </c>
      <c r="R1653" s="26">
        <v>1</v>
      </c>
      <c r="S1653" s="26">
        <v>9</v>
      </c>
      <c r="T1653" s="26">
        <v>5</v>
      </c>
      <c r="U1653" s="26">
        <v>15</v>
      </c>
      <c r="V1653" s="26">
        <v>1</v>
      </c>
      <c r="W1653" s="26"/>
    </row>
    <row r="1654" spans="1:23" x14ac:dyDescent="0.25">
      <c r="A1654" s="26" t="str">
        <f t="shared" si="264"/>
        <v>PRIMARIA</v>
      </c>
      <c r="B1654" s="26" t="str">
        <f>"09DPR3015K"</f>
        <v>09DPR3015K</v>
      </c>
      <c r="C1654" s="26" t="str">
        <f>"CUAUHTEPEC                                                                                          "</f>
        <v xml:space="preserve">CUAUHTEPEC                                                                                          </v>
      </c>
      <c r="D1654" s="26" t="str">
        <f>"VESPERTINO"</f>
        <v>VESPERTINO</v>
      </c>
      <c r="E1654" s="26" t="str">
        <f>"MIGUEL LERDO DE TEJADA S/N                                                      "</f>
        <v xml:space="preserve">MIGUEL LERDO DE TEJADA S/N                                                      </v>
      </c>
      <c r="F1654" s="26" t="str">
        <f>"LA FORESTAL                                                                                                                                 "</f>
        <v xml:space="preserve">LA FORESTAL                                                                                                                                 </v>
      </c>
      <c r="G1654" s="26" t="str">
        <f>"GUSTAVO A. MADERO                                                               "</f>
        <v xml:space="preserve">GUSTAVO A. MADERO                                                               </v>
      </c>
      <c r="H1654" s="26" t="str">
        <f>"227"</f>
        <v>227</v>
      </c>
      <c r="I1654" s="26" t="str">
        <f t="shared" si="265"/>
        <v>00</v>
      </c>
      <c r="J1654" s="26" t="str">
        <f>"42 "</f>
        <v xml:space="preserve">42 </v>
      </c>
      <c r="K1654" s="26" t="str">
        <f t="shared" si="273"/>
        <v>PR</v>
      </c>
      <c r="L1654" s="26" t="str">
        <f t="shared" si="274"/>
        <v>DGOSE</v>
      </c>
      <c r="M1654" s="26" t="str">
        <f t="shared" si="266"/>
        <v>FEDERAL</v>
      </c>
      <c r="N1654" s="26">
        <v>395</v>
      </c>
      <c r="O1654" s="26">
        <v>187</v>
      </c>
      <c r="P1654" s="26">
        <v>208</v>
      </c>
      <c r="Q1654" s="26">
        <v>12</v>
      </c>
      <c r="R1654" s="26">
        <v>1</v>
      </c>
      <c r="S1654" s="26">
        <v>12</v>
      </c>
      <c r="T1654" s="26">
        <v>8</v>
      </c>
      <c r="U1654" s="26">
        <v>21</v>
      </c>
      <c r="V1654" s="26">
        <v>1</v>
      </c>
      <c r="W1654" s="26"/>
    </row>
    <row r="1655" spans="1:23" x14ac:dyDescent="0.25">
      <c r="A1655" s="26" t="str">
        <f t="shared" si="264"/>
        <v>PRIMARIA</v>
      </c>
      <c r="B1655" s="26" t="str">
        <f>"09DPR3018H"</f>
        <v>09DPR3018H</v>
      </c>
      <c r="C1655" s="26" t="str">
        <f>"PROFRA. MA. ADELINA FLORES MORALES                                                                  "</f>
        <v xml:space="preserve">PROFRA. MA. ADELINA FLORES MORALES                                                                  </v>
      </c>
      <c r="D1655" s="26" t="str">
        <f>"VESPERTINO"</f>
        <v>VESPERTINO</v>
      </c>
      <c r="E1655" s="26" t="str">
        <f>"MEMBRILLO S/N                                                                   "</f>
        <v xml:space="preserve">MEMBRILLO S/N                                                                   </v>
      </c>
      <c r="F1655" s="26" t="str">
        <f>"CERRO DEL JUDIO                                                                                                                             "</f>
        <v xml:space="preserve">CERRO DEL JUDIO                                                                                                                             </v>
      </c>
      <c r="G1655" s="26" t="str">
        <f>"LA MAGDALENA CONTRERAS                                                          "</f>
        <v xml:space="preserve">LA MAGDALENA CONTRERAS                                                          </v>
      </c>
      <c r="H1655" s="26" t="str">
        <f>"333"</f>
        <v>333</v>
      </c>
      <c r="I1655" s="26" t="str">
        <f t="shared" si="265"/>
        <v>00</v>
      </c>
      <c r="J1655" s="26" t="str">
        <f>"43 "</f>
        <v xml:space="preserve">43 </v>
      </c>
      <c r="K1655" s="26" t="str">
        <f t="shared" si="273"/>
        <v>PR</v>
      </c>
      <c r="L1655" s="26" t="str">
        <f t="shared" si="274"/>
        <v>DGOSE</v>
      </c>
      <c r="M1655" s="26" t="str">
        <f t="shared" si="266"/>
        <v>FEDERAL</v>
      </c>
      <c r="N1655" s="26">
        <v>164</v>
      </c>
      <c r="O1655" s="26">
        <v>83</v>
      </c>
      <c r="P1655" s="26">
        <v>81</v>
      </c>
      <c r="Q1655" s="26">
        <v>7</v>
      </c>
      <c r="R1655" s="26">
        <v>1</v>
      </c>
      <c r="S1655" s="26">
        <v>7</v>
      </c>
      <c r="T1655" s="26">
        <v>5</v>
      </c>
      <c r="U1655" s="26">
        <v>13</v>
      </c>
      <c r="V1655" s="26">
        <v>1</v>
      </c>
      <c r="W1655" s="26"/>
    </row>
    <row r="1656" spans="1:23" x14ac:dyDescent="0.25">
      <c r="A1656" s="26" t="str">
        <f t="shared" si="264"/>
        <v>PRIMARIA</v>
      </c>
      <c r="B1656" s="26" t="str">
        <f>"09DPR3020W"</f>
        <v>09DPR3020W</v>
      </c>
      <c r="C1656" s="26" t="str">
        <f>"IGNACIO MARISCAL                                                                                    "</f>
        <v xml:space="preserve">IGNACIO MARISCAL                                                                                    </v>
      </c>
      <c r="D1656" s="26" t="str">
        <f>"MATUTINO"</f>
        <v>MATUTINO</v>
      </c>
      <c r="E1656" s="26" t="str">
        <f>"AGRUPAMIENTO F 101                                                              "</f>
        <v xml:space="preserve">AGRUPAMIENTO F 101                                                              </v>
      </c>
      <c r="F1656" s="26" t="str">
        <f>"UNIDAD SAN JUAN DE ARAGON 5A SECCIO                                                                                                         "</f>
        <v xml:space="preserve">UNIDAD SAN JUAN DE ARAGON 5A SECCIO                                                                                                         </v>
      </c>
      <c r="G1656" s="26" t="str">
        <f>"GUSTAVO A. MADERO                                                               "</f>
        <v xml:space="preserve">GUSTAVO A. MADERO                                                               </v>
      </c>
      <c r="H1656" s="26" t="str">
        <f>"271"</f>
        <v>271</v>
      </c>
      <c r="I1656" s="26" t="str">
        <f t="shared" si="265"/>
        <v>00</v>
      </c>
      <c r="J1656" s="26" t="str">
        <f>"42 "</f>
        <v xml:space="preserve">42 </v>
      </c>
      <c r="K1656" s="26" t="str">
        <f t="shared" si="273"/>
        <v>PR</v>
      </c>
      <c r="L1656" s="26" t="str">
        <f t="shared" si="274"/>
        <v>DGOSE</v>
      </c>
      <c r="M1656" s="26" t="str">
        <f t="shared" si="266"/>
        <v>FEDERAL</v>
      </c>
      <c r="N1656" s="26">
        <v>589</v>
      </c>
      <c r="O1656" s="26">
        <v>284</v>
      </c>
      <c r="P1656" s="26">
        <v>305</v>
      </c>
      <c r="Q1656" s="26">
        <v>19</v>
      </c>
      <c r="R1656" s="26">
        <v>1</v>
      </c>
      <c r="S1656" s="26">
        <v>19</v>
      </c>
      <c r="T1656" s="26">
        <v>13</v>
      </c>
      <c r="U1656" s="26">
        <v>33</v>
      </c>
      <c r="V1656" s="26">
        <v>1</v>
      </c>
      <c r="W1656" s="26"/>
    </row>
    <row r="1657" spans="1:23" x14ac:dyDescent="0.25">
      <c r="A1657" s="26" t="str">
        <f t="shared" si="264"/>
        <v>PRIMARIA</v>
      </c>
      <c r="B1657" s="26" t="str">
        <f>"09DPR3022U"</f>
        <v>09DPR3022U</v>
      </c>
      <c r="C1657" s="26" t="str">
        <f>"FELIX F. PALAVICINI                                                                                 "</f>
        <v xml:space="preserve">FELIX F. PALAVICINI                                                                                 </v>
      </c>
      <c r="D1657" s="26" t="str">
        <f>"TIEMPO COMPLETO"</f>
        <v>TIEMPO COMPLETO</v>
      </c>
      <c r="E1657" s="26" t="str">
        <f>"ANTONIO HIDALGO NO. 3                                                           "</f>
        <v xml:space="preserve">ANTONIO HIDALGO NO. 3                                                           </v>
      </c>
      <c r="F1657" s="26" t="str">
        <f>"CONSTITUCION 1917                                                                                                                           "</f>
        <v xml:space="preserve">CONSTITUCION 1917                                                                                                                           </v>
      </c>
      <c r="G1657" s="26" t="str">
        <f>"IZTAPALAPA                                                                      "</f>
        <v xml:space="preserve">IZTAPALAPA                                                                      </v>
      </c>
      <c r="H1657" s="26" t="str">
        <f>"010"</f>
        <v>010</v>
      </c>
      <c r="I1657" s="26" t="str">
        <f t="shared" si="265"/>
        <v>00</v>
      </c>
      <c r="J1657" s="26" t="str">
        <f>"61 "</f>
        <v xml:space="preserve">61 </v>
      </c>
      <c r="K1657" s="26" t="str">
        <f>"IZ"</f>
        <v>IZ</v>
      </c>
      <c r="L1657" s="26" t="str">
        <f>"DGSEI"</f>
        <v>DGSEI</v>
      </c>
      <c r="M1657" s="26" t="str">
        <f t="shared" si="266"/>
        <v>FEDERAL</v>
      </c>
      <c r="N1657" s="26">
        <v>268</v>
      </c>
      <c r="O1657" s="26">
        <v>133</v>
      </c>
      <c r="P1657" s="26">
        <v>135</v>
      </c>
      <c r="Q1657" s="26">
        <v>9</v>
      </c>
      <c r="R1657" s="26">
        <v>1</v>
      </c>
      <c r="S1657" s="26">
        <v>9</v>
      </c>
      <c r="T1657" s="26">
        <v>9</v>
      </c>
      <c r="U1657" s="26">
        <v>19</v>
      </c>
      <c r="V1657" s="26">
        <v>1</v>
      </c>
      <c r="W1657" s="26" t="s">
        <v>218</v>
      </c>
    </row>
    <row r="1658" spans="1:23" x14ac:dyDescent="0.25">
      <c r="A1658" s="26" t="str">
        <f t="shared" si="264"/>
        <v>PRIMARIA</v>
      </c>
      <c r="B1658" s="26" t="str">
        <f>"09DPR3023T"</f>
        <v>09DPR3023T</v>
      </c>
      <c r="C1658" s="26" t="str">
        <f>"PROFR. EMILIANO NEGRETE LOPEZ                                                                       "</f>
        <v xml:space="preserve">PROFR. EMILIANO NEGRETE LOPEZ                                                                       </v>
      </c>
      <c r="D1658" s="26" t="str">
        <f>"VESPERTINO"</f>
        <v>VESPERTINO</v>
      </c>
      <c r="E1658" s="26" t="str">
        <f>"FRESNOS S/N                                                                     "</f>
        <v xml:space="preserve">FRESNOS S/N                                                                     </v>
      </c>
      <c r="F1658" s="26" t="str">
        <f>"CITLALI                                                                                                                                     "</f>
        <v xml:space="preserve">CITLALI                                                                                                                                     </v>
      </c>
      <c r="G1658" s="26" t="str">
        <f>"IZTAPALAPA                                                                      "</f>
        <v xml:space="preserve">IZTAPALAPA                                                                      </v>
      </c>
      <c r="H1658" s="26" t="str">
        <f>"061"</f>
        <v>061</v>
      </c>
      <c r="I1658" s="26" t="str">
        <f t="shared" si="265"/>
        <v>00</v>
      </c>
      <c r="J1658" s="26" t="str">
        <f>"64 "</f>
        <v xml:space="preserve">64 </v>
      </c>
      <c r="K1658" s="26" t="str">
        <f>"IZ"</f>
        <v>IZ</v>
      </c>
      <c r="L1658" s="26" t="str">
        <f>"DGSEI"</f>
        <v>DGSEI</v>
      </c>
      <c r="M1658" s="26" t="str">
        <f t="shared" si="266"/>
        <v>FEDERAL</v>
      </c>
      <c r="N1658" s="26">
        <v>255</v>
      </c>
      <c r="O1658" s="26">
        <v>146</v>
      </c>
      <c r="P1658" s="26">
        <v>109</v>
      </c>
      <c r="Q1658" s="26">
        <v>9</v>
      </c>
      <c r="R1658" s="26">
        <v>1</v>
      </c>
      <c r="S1658" s="26">
        <v>9</v>
      </c>
      <c r="T1658" s="26">
        <v>5</v>
      </c>
      <c r="U1658" s="26">
        <v>15</v>
      </c>
      <c r="V1658" s="26">
        <v>1</v>
      </c>
      <c r="W1658" s="26"/>
    </row>
    <row r="1659" spans="1:23" x14ac:dyDescent="0.25">
      <c r="A1659" s="26" t="str">
        <f t="shared" si="264"/>
        <v>PRIMARIA</v>
      </c>
      <c r="B1659" s="26" t="str">
        <f>"09DPR3024S"</f>
        <v>09DPR3024S</v>
      </c>
      <c r="C1659" s="26" t="str">
        <f>"ANIBAL PONCE                                                                                        "</f>
        <v xml:space="preserve">ANIBAL PONCE                                                                                        </v>
      </c>
      <c r="D1659" s="26" t="str">
        <f>"VESPERTINO"</f>
        <v>VESPERTINO</v>
      </c>
      <c r="E1659" s="26" t="str">
        <f>"AV. DE LAS MINAS NO. 105                                                        "</f>
        <v xml:space="preserve">AV. DE LAS MINAS NO. 105                                                        </v>
      </c>
      <c r="F1659" s="26" t="str">
        <f>"XALPA                                                                                                                                       "</f>
        <v xml:space="preserve">XALPA                                                                                                                                       </v>
      </c>
      <c r="G1659" s="26" t="str">
        <f>"IZTAPALAPA                                                                      "</f>
        <v xml:space="preserve">IZTAPALAPA                                                                      </v>
      </c>
      <c r="H1659" s="26" t="str">
        <f>"062"</f>
        <v>062</v>
      </c>
      <c r="I1659" s="26" t="str">
        <f t="shared" si="265"/>
        <v>00</v>
      </c>
      <c r="J1659" s="26" t="str">
        <f>"64 "</f>
        <v xml:space="preserve">64 </v>
      </c>
      <c r="K1659" s="26" t="str">
        <f>"IZ"</f>
        <v>IZ</v>
      </c>
      <c r="L1659" s="26" t="str">
        <f>"DGSEI"</f>
        <v>DGSEI</v>
      </c>
      <c r="M1659" s="26" t="str">
        <f t="shared" si="266"/>
        <v>FEDERAL</v>
      </c>
      <c r="N1659" s="26">
        <v>400</v>
      </c>
      <c r="O1659" s="26">
        <v>214</v>
      </c>
      <c r="P1659" s="26">
        <v>186</v>
      </c>
      <c r="Q1659" s="26">
        <v>21</v>
      </c>
      <c r="R1659" s="26">
        <v>1</v>
      </c>
      <c r="S1659" s="26">
        <v>19</v>
      </c>
      <c r="T1659" s="26">
        <v>7</v>
      </c>
      <c r="U1659" s="26">
        <v>27</v>
      </c>
      <c r="V1659" s="26">
        <v>1</v>
      </c>
      <c r="W1659" s="26"/>
    </row>
    <row r="1660" spans="1:23" x14ac:dyDescent="0.25">
      <c r="A1660" s="26" t="str">
        <f t="shared" si="264"/>
        <v>PRIMARIA</v>
      </c>
      <c r="B1660" s="26" t="str">
        <f>"09DPR3026Q"</f>
        <v>09DPR3026Q</v>
      </c>
      <c r="C1660" s="26" t="str">
        <f>"EL SEGURO DEL MAESTRO                                                                               "</f>
        <v xml:space="preserve">EL SEGURO DEL MAESTRO                                                                               </v>
      </c>
      <c r="D1660" s="26" t="str">
        <f>"MATUTINO"</f>
        <v>MATUTINO</v>
      </c>
      <c r="E1660" s="26" t="str">
        <f>"OYAMEL Y ARAUCARIA                                                              "</f>
        <v xml:space="preserve">OYAMEL Y ARAUCARIA                                                              </v>
      </c>
      <c r="F1660" s="26" t="str">
        <f>"GARCIMARRERO                                                                                                                                "</f>
        <v xml:space="preserve">GARCIMARRERO                                                                                                                                </v>
      </c>
      <c r="G1660" s="26" t="str">
        <f>"ALVARO OBREGON                                                                  "</f>
        <v xml:space="preserve">ALVARO OBREGON                                                                  </v>
      </c>
      <c r="H1660" s="26" t="str">
        <f>"315"</f>
        <v>315</v>
      </c>
      <c r="I1660" s="26" t="str">
        <f t="shared" si="265"/>
        <v>00</v>
      </c>
      <c r="J1660" s="26" t="str">
        <f>"43 "</f>
        <v xml:space="preserve">43 </v>
      </c>
      <c r="K1660" s="26" t="str">
        <f>"PR"</f>
        <v>PR</v>
      </c>
      <c r="L1660" s="26" t="str">
        <f>"DGOSE"</f>
        <v>DGOSE</v>
      </c>
      <c r="M1660" s="26" t="str">
        <f t="shared" si="266"/>
        <v>FEDERAL</v>
      </c>
      <c r="N1660" s="26">
        <v>518</v>
      </c>
      <c r="O1660" s="26">
        <v>246</v>
      </c>
      <c r="P1660" s="26">
        <v>272</v>
      </c>
      <c r="Q1660" s="26">
        <v>18</v>
      </c>
      <c r="R1660" s="26">
        <v>1</v>
      </c>
      <c r="S1660" s="26">
        <v>18</v>
      </c>
      <c r="T1660" s="26">
        <v>8</v>
      </c>
      <c r="U1660" s="26">
        <v>27</v>
      </c>
      <c r="V1660" s="26">
        <v>1</v>
      </c>
      <c r="W1660" s="26"/>
    </row>
    <row r="1661" spans="1:23" x14ac:dyDescent="0.25">
      <c r="A1661" s="26" t="str">
        <f t="shared" si="264"/>
        <v>PRIMARIA</v>
      </c>
      <c r="B1661" s="26" t="str">
        <f>"09DPR3027P"</f>
        <v>09DPR3027P</v>
      </c>
      <c r="C1661" s="26" t="str">
        <f>"PROFR. EFREN NUÑEZ MATA                                                                             "</f>
        <v xml:space="preserve">PROFR. EFREN NUÑEZ MATA                                                                             </v>
      </c>
      <c r="D1661" s="26" t="str">
        <f>"JORNADA AMPLIADA"</f>
        <v>JORNADA AMPLIADA</v>
      </c>
      <c r="E1661" s="26" t="str">
        <f>"QUERETARO NUM 45                                                                "</f>
        <v xml:space="preserve">QUERETARO NUM 45                                                                </v>
      </c>
      <c r="F1661" s="26" t="str">
        <f>"MIGUEL HIDALGO                                                                                                                              "</f>
        <v xml:space="preserve">MIGUEL HIDALGO                                                                                                                              </v>
      </c>
      <c r="G1661" s="26" t="str">
        <f>"TLALPAN                                                                         "</f>
        <v xml:space="preserve">TLALPAN                                                                         </v>
      </c>
      <c r="H1661" s="26" t="str">
        <f>"444"</f>
        <v>444</v>
      </c>
      <c r="I1661" s="26" t="str">
        <f t="shared" si="265"/>
        <v>00</v>
      </c>
      <c r="J1661" s="26" t="str">
        <f>"44 "</f>
        <v xml:space="preserve">44 </v>
      </c>
      <c r="K1661" s="26" t="str">
        <f>"PR"</f>
        <v>PR</v>
      </c>
      <c r="L1661" s="26" t="str">
        <f>"DGOSE"</f>
        <v>DGOSE</v>
      </c>
      <c r="M1661" s="26" t="str">
        <f t="shared" si="266"/>
        <v>FEDERAL</v>
      </c>
      <c r="N1661" s="26">
        <v>510</v>
      </c>
      <c r="O1661" s="26">
        <v>245</v>
      </c>
      <c r="P1661" s="26">
        <v>265</v>
      </c>
      <c r="Q1661" s="26">
        <v>16</v>
      </c>
      <c r="R1661" s="26">
        <v>0</v>
      </c>
      <c r="S1661" s="26">
        <v>15</v>
      </c>
      <c r="T1661" s="26">
        <v>11</v>
      </c>
      <c r="U1661" s="26">
        <v>26</v>
      </c>
      <c r="V1661" s="26">
        <v>1</v>
      </c>
      <c r="W1661" s="26" t="s">
        <v>2076</v>
      </c>
    </row>
    <row r="1662" spans="1:23" x14ac:dyDescent="0.25">
      <c r="A1662" s="26" t="str">
        <f t="shared" si="264"/>
        <v>PRIMARIA</v>
      </c>
      <c r="B1662" s="26" t="str">
        <f>"09DPR3029N"</f>
        <v>09DPR3029N</v>
      </c>
      <c r="C1662" s="26" t="str">
        <f>"FRANCISCO J. MUJICA                                                                                 "</f>
        <v xml:space="preserve">FRANCISCO J. MUJICA                                                                                 </v>
      </c>
      <c r="D1662" s="26" t="str">
        <f>"MATUTINO"</f>
        <v>MATUTINO</v>
      </c>
      <c r="E1662" s="26" t="str">
        <f>"CALLE DOROTEO ARANGO S/N                                                        "</f>
        <v xml:space="preserve">CALLE DOROTEO ARANGO S/N                                                        </v>
      </c>
      <c r="F1662" s="26" t="str">
        <f>"PRESIDENTE MADERO                                                                                                                           "</f>
        <v xml:space="preserve">PRESIDENTE MADERO                                                                                                                           </v>
      </c>
      <c r="G1662" s="26" t="str">
        <f>"AZCAPOTZALCO                                                                    "</f>
        <v xml:space="preserve">AZCAPOTZALCO                                                                    </v>
      </c>
      <c r="H1662" s="26" t="str">
        <f>"201"</f>
        <v>201</v>
      </c>
      <c r="I1662" s="26" t="str">
        <f t="shared" si="265"/>
        <v>00</v>
      </c>
      <c r="J1662" s="26" t="str">
        <f>"42 "</f>
        <v xml:space="preserve">42 </v>
      </c>
      <c r="K1662" s="26" t="str">
        <f>"PR"</f>
        <v>PR</v>
      </c>
      <c r="L1662" s="26" t="str">
        <f>"DGOSE"</f>
        <v>DGOSE</v>
      </c>
      <c r="M1662" s="26" t="str">
        <f t="shared" si="266"/>
        <v>FEDERAL</v>
      </c>
      <c r="N1662" s="26">
        <v>286</v>
      </c>
      <c r="O1662" s="26">
        <v>148</v>
      </c>
      <c r="P1662" s="26">
        <v>138</v>
      </c>
      <c r="Q1662" s="26">
        <v>10</v>
      </c>
      <c r="R1662" s="26">
        <v>1</v>
      </c>
      <c r="S1662" s="26">
        <v>9</v>
      </c>
      <c r="T1662" s="26">
        <v>8</v>
      </c>
      <c r="U1662" s="26">
        <v>18</v>
      </c>
      <c r="V1662" s="26">
        <v>1</v>
      </c>
      <c r="W1662" s="26"/>
    </row>
    <row r="1663" spans="1:23" x14ac:dyDescent="0.25">
      <c r="A1663" s="26" t="str">
        <f t="shared" si="264"/>
        <v>PRIMARIA</v>
      </c>
      <c r="B1663" s="26" t="str">
        <f>"09DPR3030C"</f>
        <v>09DPR3030C</v>
      </c>
      <c r="C1663" s="26" t="str">
        <f>"GRAL. FRANCISCO VILLA                                                                               "</f>
        <v xml:space="preserve">GRAL. FRANCISCO VILLA                                                                               </v>
      </c>
      <c r="D1663" s="26" t="str">
        <f>"MATUTINO"</f>
        <v>MATUTINO</v>
      </c>
      <c r="E1663" s="26" t="str">
        <f>"AGRICULTORES Y PASTORES S/N                                                     "</f>
        <v xml:space="preserve">AGRICULTORES Y PASTORES S/N                                                     </v>
      </c>
      <c r="F1663" s="26" t="str">
        <f>"UNIDAD INFONAVIT EL ROSARIO                                                                                                                 "</f>
        <v xml:space="preserve">UNIDAD INFONAVIT EL ROSARIO                                                                                                                 </v>
      </c>
      <c r="G1663" s="26" t="str">
        <f>"AZCAPOTZALCO                                                                    "</f>
        <v xml:space="preserve">AZCAPOTZALCO                                                                    </v>
      </c>
      <c r="H1663" s="26" t="str">
        <f>"200"</f>
        <v>200</v>
      </c>
      <c r="I1663" s="26" t="str">
        <f t="shared" si="265"/>
        <v>00</v>
      </c>
      <c r="J1663" s="26" t="str">
        <f>"42 "</f>
        <v xml:space="preserve">42 </v>
      </c>
      <c r="K1663" s="26" t="str">
        <f>"PR"</f>
        <v>PR</v>
      </c>
      <c r="L1663" s="26" t="str">
        <f>"DGOSE"</f>
        <v>DGOSE</v>
      </c>
      <c r="M1663" s="26" t="str">
        <f t="shared" si="266"/>
        <v>FEDERAL</v>
      </c>
      <c r="N1663" s="26">
        <v>292</v>
      </c>
      <c r="O1663" s="26">
        <v>156</v>
      </c>
      <c r="P1663" s="26">
        <v>136</v>
      </c>
      <c r="Q1663" s="26">
        <v>11</v>
      </c>
      <c r="R1663" s="26">
        <v>0</v>
      </c>
      <c r="S1663" s="26">
        <v>11</v>
      </c>
      <c r="T1663" s="26">
        <v>11</v>
      </c>
      <c r="U1663" s="26">
        <v>22</v>
      </c>
      <c r="V1663" s="26">
        <v>1</v>
      </c>
      <c r="W1663" s="26"/>
    </row>
    <row r="1664" spans="1:23" x14ac:dyDescent="0.25">
      <c r="A1664" s="26" t="str">
        <f t="shared" si="264"/>
        <v>PRIMARIA</v>
      </c>
      <c r="B1664" s="26" t="str">
        <f>"09DPR3031B"</f>
        <v>09DPR3031B</v>
      </c>
      <c r="C1664" s="26" t="str">
        <f>"RAFAELA SUAREZ SOLORZANO                                                                            "</f>
        <v xml:space="preserve">RAFAELA SUAREZ SOLORZANO                                                                            </v>
      </c>
      <c r="D1664" s="26" t="str">
        <f>"VESPERTINO"</f>
        <v>VESPERTINO</v>
      </c>
      <c r="E1664" s="26" t="str">
        <f>"CDA. DE VENUS NO. 14                                                            "</f>
        <v xml:space="preserve">CDA. DE VENUS NO. 14                                                            </v>
      </c>
      <c r="F1664" s="26" t="str">
        <f>"LOMAS DE LA ESTANCIA                                                                                                                        "</f>
        <v xml:space="preserve">LOMAS DE LA ESTANCIA                                                                                                                        </v>
      </c>
      <c r="G1664" s="26" t="str">
        <f>"IZTAPALAPA                                                                      "</f>
        <v xml:space="preserve">IZTAPALAPA                                                                      </v>
      </c>
      <c r="H1664" s="26" t="str">
        <f>"064"</f>
        <v>064</v>
      </c>
      <c r="I1664" s="26" t="str">
        <f t="shared" si="265"/>
        <v>00</v>
      </c>
      <c r="J1664" s="26" t="str">
        <f>"64 "</f>
        <v xml:space="preserve">64 </v>
      </c>
      <c r="K1664" s="26" t="str">
        <f>"IZ"</f>
        <v>IZ</v>
      </c>
      <c r="L1664" s="26" t="str">
        <f>"DGSEI"</f>
        <v>DGSEI</v>
      </c>
      <c r="M1664" s="26" t="str">
        <f t="shared" si="266"/>
        <v>FEDERAL</v>
      </c>
      <c r="N1664" s="26">
        <v>634</v>
      </c>
      <c r="O1664" s="26">
        <v>322</v>
      </c>
      <c r="P1664" s="26">
        <v>312</v>
      </c>
      <c r="Q1664" s="26">
        <v>19</v>
      </c>
      <c r="R1664" s="26">
        <v>1</v>
      </c>
      <c r="S1664" s="26">
        <v>19</v>
      </c>
      <c r="T1664" s="26">
        <v>4</v>
      </c>
      <c r="U1664" s="26">
        <v>24</v>
      </c>
      <c r="V1664" s="26">
        <v>1</v>
      </c>
      <c r="W1664" s="26"/>
    </row>
    <row r="1665" spans="1:23" x14ac:dyDescent="0.25">
      <c r="A1665" s="26" t="str">
        <f t="shared" si="264"/>
        <v>PRIMARIA</v>
      </c>
      <c r="B1665" s="26" t="str">
        <f>"09DPR3032A"</f>
        <v>09DPR3032A</v>
      </c>
      <c r="C1665" s="26" t="str">
        <f>"ALBERTO EINSTEIN                                                                                    "</f>
        <v xml:space="preserve">ALBERTO EINSTEIN                                                                                    </v>
      </c>
      <c r="D1665" s="26" t="str">
        <f>"VESPERTINO"</f>
        <v>VESPERTINO</v>
      </c>
      <c r="E1665" s="26" t="str">
        <f>"FRANCISCO VILLA NO. 1                                                           "</f>
        <v xml:space="preserve">FRANCISCO VILLA NO. 1                                                           </v>
      </c>
      <c r="F1665" s="26" t="str">
        <f>"IXTLAHUACAN                                                                                                                                 "</f>
        <v xml:space="preserve">IXTLAHUACAN                                                                                                                                 </v>
      </c>
      <c r="G1665" s="26" t="str">
        <f>"IZTAPALAPA                                                                      "</f>
        <v xml:space="preserve">IZTAPALAPA                                                                      </v>
      </c>
      <c r="H1665" s="26" t="str">
        <f>"066"</f>
        <v>066</v>
      </c>
      <c r="I1665" s="26" t="str">
        <f t="shared" si="265"/>
        <v>00</v>
      </c>
      <c r="J1665" s="26" t="str">
        <f>"64 "</f>
        <v xml:space="preserve">64 </v>
      </c>
      <c r="K1665" s="26" t="str">
        <f>"IZ"</f>
        <v>IZ</v>
      </c>
      <c r="L1665" s="26" t="str">
        <f>"DGSEI"</f>
        <v>DGSEI</v>
      </c>
      <c r="M1665" s="26" t="str">
        <f t="shared" si="266"/>
        <v>FEDERAL</v>
      </c>
      <c r="N1665" s="26">
        <v>552</v>
      </c>
      <c r="O1665" s="26">
        <v>270</v>
      </c>
      <c r="P1665" s="26">
        <v>282</v>
      </c>
      <c r="Q1665" s="26">
        <v>18</v>
      </c>
      <c r="R1665" s="26">
        <v>1</v>
      </c>
      <c r="S1665" s="26">
        <v>17</v>
      </c>
      <c r="T1665" s="26">
        <v>6</v>
      </c>
      <c r="U1665" s="26">
        <v>24</v>
      </c>
      <c r="V1665" s="26">
        <v>1</v>
      </c>
      <c r="W1665" s="26"/>
    </row>
    <row r="1666" spans="1:23" x14ac:dyDescent="0.25">
      <c r="A1666" s="26" t="str">
        <f t="shared" ref="A1666:A1729" si="275">"PRIMARIA"</f>
        <v>PRIMARIA</v>
      </c>
      <c r="B1666" s="26" t="str">
        <f>"09DPR3033Z"</f>
        <v>09DPR3033Z</v>
      </c>
      <c r="C1666" s="26" t="str">
        <f>"PROFRA. ISABEL ROBLES ESPEJEL                                                                       "</f>
        <v xml:space="preserve">PROFRA. ISABEL ROBLES ESPEJEL                                                                       </v>
      </c>
      <c r="D1666" s="26" t="str">
        <f>"MATUTINO"</f>
        <v>MATUTINO</v>
      </c>
      <c r="E1666" s="26" t="str">
        <f>"AV. FRANCISCO J. MACIN S/N                                                      "</f>
        <v xml:space="preserve">AV. FRANCISCO J. MACIN S/N                                                      </v>
      </c>
      <c r="F1666" s="26" t="str">
        <f>"UNIDAD HABITACIONAL EL RISCO CTM                                                                                                            "</f>
        <v xml:space="preserve">UNIDAD HABITACIONAL EL RISCO CTM                                                                                                            </v>
      </c>
      <c r="G1666" s="26" t="str">
        <f>"GUSTAVO A. MADERO                                                               "</f>
        <v xml:space="preserve">GUSTAVO A. MADERO                                                               </v>
      </c>
      <c r="H1666" s="26" t="str">
        <f>"255"</f>
        <v>255</v>
      </c>
      <c r="I1666" s="26" t="str">
        <f t="shared" ref="I1666:I1729" si="276">"00"</f>
        <v>00</v>
      </c>
      <c r="J1666" s="26" t="str">
        <f>"42 "</f>
        <v xml:space="preserve">42 </v>
      </c>
      <c r="K1666" s="26" t="str">
        <f>"PR"</f>
        <v>PR</v>
      </c>
      <c r="L1666" s="26" t="str">
        <f>"DGOSE"</f>
        <v>DGOSE</v>
      </c>
      <c r="M1666" s="26" t="str">
        <f t="shared" ref="M1666:M1729" si="277">"FEDERAL"</f>
        <v>FEDERAL</v>
      </c>
      <c r="N1666" s="26">
        <v>315</v>
      </c>
      <c r="O1666" s="26">
        <v>162</v>
      </c>
      <c r="P1666" s="26">
        <v>153</v>
      </c>
      <c r="Q1666" s="26">
        <v>12</v>
      </c>
      <c r="R1666" s="26">
        <v>1</v>
      </c>
      <c r="S1666" s="26">
        <v>12</v>
      </c>
      <c r="T1666" s="26">
        <v>10</v>
      </c>
      <c r="U1666" s="26">
        <v>23</v>
      </c>
      <c r="V1666" s="26">
        <v>1</v>
      </c>
      <c r="W1666" s="26"/>
    </row>
    <row r="1667" spans="1:23" x14ac:dyDescent="0.25">
      <c r="A1667" s="26" t="str">
        <f t="shared" si="275"/>
        <v>PRIMARIA</v>
      </c>
      <c r="B1667" s="26" t="str">
        <f>"09DPR3034Z"</f>
        <v>09DPR3034Z</v>
      </c>
      <c r="C1667" s="26" t="str">
        <f>"TONATIUH                                                                                            "</f>
        <v xml:space="preserve">TONATIUH                                                                                            </v>
      </c>
      <c r="D1667" s="26" t="str">
        <f>"MATUTINO"</f>
        <v>MATUTINO</v>
      </c>
      <c r="E1667" s="26" t="str">
        <f>"GABRIEL GUERRA Y AV.VENUSTIANO CARRANZA                                         "</f>
        <v xml:space="preserve">GABRIEL GUERRA Y AV.VENUSTIANO CARRANZA                                         </v>
      </c>
      <c r="F1667" s="26" t="str">
        <f>"CUAUTEPEC BARRIO BAJO                                                                                                                       "</f>
        <v xml:space="preserve">CUAUTEPEC BARRIO BAJO                                                                                                                       </v>
      </c>
      <c r="G1667" s="26" t="str">
        <f>"GUSTAVO A. MADERO                                                               "</f>
        <v xml:space="preserve">GUSTAVO A. MADERO                                                               </v>
      </c>
      <c r="H1667" s="26" t="str">
        <f>"234"</f>
        <v>234</v>
      </c>
      <c r="I1667" s="26" t="str">
        <f t="shared" si="276"/>
        <v>00</v>
      </c>
      <c r="J1667" s="26" t="str">
        <f>"42 "</f>
        <v xml:space="preserve">42 </v>
      </c>
      <c r="K1667" s="26" t="str">
        <f>"PR"</f>
        <v>PR</v>
      </c>
      <c r="L1667" s="26" t="str">
        <f>"DGOSE"</f>
        <v>DGOSE</v>
      </c>
      <c r="M1667" s="26" t="str">
        <f t="shared" si="277"/>
        <v>FEDERAL</v>
      </c>
      <c r="N1667" s="26">
        <v>443</v>
      </c>
      <c r="O1667" s="26">
        <v>213</v>
      </c>
      <c r="P1667" s="26">
        <v>230</v>
      </c>
      <c r="Q1667" s="26">
        <v>14</v>
      </c>
      <c r="R1667" s="26">
        <v>1</v>
      </c>
      <c r="S1667" s="26">
        <v>14</v>
      </c>
      <c r="T1667" s="26">
        <v>9</v>
      </c>
      <c r="U1667" s="26">
        <v>24</v>
      </c>
      <c r="V1667" s="26">
        <v>1</v>
      </c>
      <c r="W1667" s="26"/>
    </row>
    <row r="1668" spans="1:23" x14ac:dyDescent="0.25">
      <c r="A1668" s="26" t="str">
        <f t="shared" si="275"/>
        <v>PRIMARIA</v>
      </c>
      <c r="B1668" s="26" t="str">
        <f>"09DPR3035Y"</f>
        <v>09DPR3035Y</v>
      </c>
      <c r="C1668" s="26" t="str">
        <f>"ALFONSO CASO ANDRADE                                                                                "</f>
        <v xml:space="preserve">ALFONSO CASO ANDRADE                                                                                </v>
      </c>
      <c r="D1668" s="26" t="str">
        <f>"JORNADA AMPLIADA"</f>
        <v>JORNADA AMPLIADA</v>
      </c>
      <c r="E1668" s="26" t="str">
        <f>"TEHUANTEPEC NUM 244                                                             "</f>
        <v xml:space="preserve">TEHUANTEPEC NUM 244                                                             </v>
      </c>
      <c r="F1668" s="26" t="str">
        <f>"ROMA SUR                                                                                                                                    "</f>
        <v xml:space="preserve">ROMA SUR                                                                                                                                    </v>
      </c>
      <c r="G1668" s="26" t="str">
        <f>"CUAUHTEMOC                                                                      "</f>
        <v xml:space="preserve">CUAUHTEMOC                                                                      </v>
      </c>
      <c r="H1668" s="26" t="str">
        <f>"129"</f>
        <v>129</v>
      </c>
      <c r="I1668" s="26" t="str">
        <f t="shared" si="276"/>
        <v>00</v>
      </c>
      <c r="J1668" s="26" t="str">
        <f>"41 "</f>
        <v xml:space="preserve">41 </v>
      </c>
      <c r="K1668" s="26" t="str">
        <f>"PR"</f>
        <v>PR</v>
      </c>
      <c r="L1668" s="26" t="str">
        <f>"DGOSE"</f>
        <v>DGOSE</v>
      </c>
      <c r="M1668" s="26" t="str">
        <f t="shared" si="277"/>
        <v>FEDERAL</v>
      </c>
      <c r="N1668" s="26">
        <v>186</v>
      </c>
      <c r="O1668" s="26">
        <v>97</v>
      </c>
      <c r="P1668" s="26">
        <v>89</v>
      </c>
      <c r="Q1668" s="26">
        <v>12</v>
      </c>
      <c r="R1668" s="26">
        <v>1</v>
      </c>
      <c r="S1668" s="26">
        <v>12</v>
      </c>
      <c r="T1668" s="26">
        <v>10</v>
      </c>
      <c r="U1668" s="26">
        <v>23</v>
      </c>
      <c r="V1668" s="26">
        <v>1</v>
      </c>
      <c r="W1668" s="26" t="s">
        <v>2076</v>
      </c>
    </row>
    <row r="1669" spans="1:23" x14ac:dyDescent="0.25">
      <c r="A1669" s="26" t="str">
        <f t="shared" si="275"/>
        <v>PRIMARIA</v>
      </c>
      <c r="B1669" s="26" t="str">
        <f>"09DPR3037W"</f>
        <v>09DPR3037W</v>
      </c>
      <c r="C1669" s="26" t="str">
        <f>"FRANCISCO J. MUJICA                                                                                 "</f>
        <v xml:space="preserve">FRANCISCO J. MUJICA                                                                                 </v>
      </c>
      <c r="D1669" s="26" t="str">
        <f>"VESPERTINO"</f>
        <v>VESPERTINO</v>
      </c>
      <c r="E1669" s="26" t="str">
        <f>"CALLE DOROTEO ARANGO S/N                                                        "</f>
        <v xml:space="preserve">CALLE DOROTEO ARANGO S/N                                                        </v>
      </c>
      <c r="F1669" s="26" t="str">
        <f>"PRESIDENTE MADERO                                                                                                                           "</f>
        <v xml:space="preserve">PRESIDENTE MADERO                                                                                                                           </v>
      </c>
      <c r="G1669" s="26" t="str">
        <f>"AZCAPOTZALCO                                                                    "</f>
        <v xml:space="preserve">AZCAPOTZALCO                                                                    </v>
      </c>
      <c r="H1669" s="26" t="str">
        <f>"201"</f>
        <v>201</v>
      </c>
      <c r="I1669" s="26" t="str">
        <f t="shared" si="276"/>
        <v>00</v>
      </c>
      <c r="J1669" s="26" t="str">
        <f>"42 "</f>
        <v xml:space="preserve">42 </v>
      </c>
      <c r="K1669" s="26" t="str">
        <f>"PR"</f>
        <v>PR</v>
      </c>
      <c r="L1669" s="26" t="str">
        <f>"DGOSE"</f>
        <v>DGOSE</v>
      </c>
      <c r="M1669" s="26" t="str">
        <f t="shared" si="277"/>
        <v>FEDERAL</v>
      </c>
      <c r="N1669" s="26">
        <v>98</v>
      </c>
      <c r="O1669" s="26">
        <v>56</v>
      </c>
      <c r="P1669" s="26">
        <v>42</v>
      </c>
      <c r="Q1669" s="26">
        <v>6</v>
      </c>
      <c r="R1669" s="26">
        <v>1</v>
      </c>
      <c r="S1669" s="26">
        <v>6</v>
      </c>
      <c r="T1669" s="26">
        <v>6</v>
      </c>
      <c r="U1669" s="26">
        <v>13</v>
      </c>
      <c r="V1669" s="26">
        <v>1</v>
      </c>
      <c r="W1669" s="26"/>
    </row>
    <row r="1670" spans="1:23" x14ac:dyDescent="0.25">
      <c r="A1670" s="26" t="str">
        <f t="shared" si="275"/>
        <v>PRIMARIA</v>
      </c>
      <c r="B1670" s="26" t="str">
        <f>"09DPR3038V"</f>
        <v>09DPR3038V</v>
      </c>
      <c r="C1670" s="26" t="str">
        <f>"PROFR. LUIS VILLARREAL MARTINEZ                                                                     "</f>
        <v xml:space="preserve">PROFR. LUIS VILLARREAL MARTINEZ                                                                     </v>
      </c>
      <c r="D1670" s="26" t="str">
        <f>"VESPERTINO"</f>
        <v>VESPERTINO</v>
      </c>
      <c r="E1670" s="26" t="str">
        <f>"AV GUADALUPE I RAMIREZ NO. 5                                                    "</f>
        <v xml:space="preserve">AV GUADALUPE I RAMIREZ NO. 5                                                    </v>
      </c>
      <c r="F1670" s="26" t="str">
        <f>"SAN LUCAS XOCHIMANCA                                                                                                                        "</f>
        <v xml:space="preserve">SAN LUCAS XOCHIMANCA                                                                                                                        </v>
      </c>
      <c r="G1670" s="26" t="str">
        <f>"XOCHIMILCO                                                                      "</f>
        <v xml:space="preserve">XOCHIMILCO                                                                      </v>
      </c>
      <c r="H1670" s="26" t="str">
        <f>"539"</f>
        <v>539</v>
      </c>
      <c r="I1670" s="26" t="str">
        <f t="shared" si="276"/>
        <v>00</v>
      </c>
      <c r="J1670" s="26" t="str">
        <f>"45 "</f>
        <v xml:space="preserve">45 </v>
      </c>
      <c r="K1670" s="26" t="str">
        <f>"PR"</f>
        <v>PR</v>
      </c>
      <c r="L1670" s="26" t="str">
        <f>"DGOSE"</f>
        <v>DGOSE</v>
      </c>
      <c r="M1670" s="26" t="str">
        <f t="shared" si="277"/>
        <v>FEDERAL</v>
      </c>
      <c r="N1670" s="26">
        <v>286</v>
      </c>
      <c r="O1670" s="26">
        <v>135</v>
      </c>
      <c r="P1670" s="26">
        <v>151</v>
      </c>
      <c r="Q1670" s="26">
        <v>13</v>
      </c>
      <c r="R1670" s="26">
        <v>1</v>
      </c>
      <c r="S1670" s="26">
        <v>13</v>
      </c>
      <c r="T1670" s="26">
        <v>8</v>
      </c>
      <c r="U1670" s="26">
        <v>22</v>
      </c>
      <c r="V1670" s="26">
        <v>1</v>
      </c>
      <c r="W1670" s="26"/>
    </row>
    <row r="1671" spans="1:23" x14ac:dyDescent="0.25">
      <c r="A1671" s="26" t="str">
        <f t="shared" si="275"/>
        <v>PRIMARIA</v>
      </c>
      <c r="B1671" s="26" t="str">
        <f>"09DPR3039U"</f>
        <v>09DPR3039U</v>
      </c>
      <c r="C1671" s="26" t="str">
        <f>"FRANCISCO DEL PASO Y TRONCOSO                                                                       "</f>
        <v xml:space="preserve">FRANCISCO DEL PASO Y TRONCOSO                                                                       </v>
      </c>
      <c r="D1671" s="26" t="str">
        <f>"VESPERTINO"</f>
        <v>VESPERTINO</v>
      </c>
      <c r="E1671" s="26" t="str">
        <f>"EMILIANO ZAPATA NO. 129                                                         "</f>
        <v xml:space="preserve">EMILIANO ZAPATA NO. 129                                                         </v>
      </c>
      <c r="F1671" s="26" t="str">
        <f>"SAN LORENZO TEZONCO                                                                                                                         "</f>
        <v xml:space="preserve">SAN LORENZO TEZONCO                                                                                                                         </v>
      </c>
      <c r="G1671" s="26" t="str">
        <f>"IZTAPALAPA                                                                      "</f>
        <v xml:space="preserve">IZTAPALAPA                                                                      </v>
      </c>
      <c r="H1671" s="26" t="str">
        <f>"050"</f>
        <v>050</v>
      </c>
      <c r="I1671" s="26" t="str">
        <f t="shared" si="276"/>
        <v>00</v>
      </c>
      <c r="J1671" s="26" t="str">
        <f>"63 "</f>
        <v xml:space="preserve">63 </v>
      </c>
      <c r="K1671" s="26" t="str">
        <f>"IZ"</f>
        <v>IZ</v>
      </c>
      <c r="L1671" s="26" t="str">
        <f>"DGSEI"</f>
        <v>DGSEI</v>
      </c>
      <c r="M1671" s="26" t="str">
        <f t="shared" si="277"/>
        <v>FEDERAL</v>
      </c>
      <c r="N1671" s="26">
        <v>325</v>
      </c>
      <c r="O1671" s="26">
        <v>168</v>
      </c>
      <c r="P1671" s="26">
        <v>157</v>
      </c>
      <c r="Q1671" s="26">
        <v>32</v>
      </c>
      <c r="R1671" s="26">
        <v>2</v>
      </c>
      <c r="S1671" s="26">
        <v>32</v>
      </c>
      <c r="T1671" s="26">
        <v>14</v>
      </c>
      <c r="U1671" s="26">
        <v>48</v>
      </c>
      <c r="V1671" s="26">
        <v>1</v>
      </c>
      <c r="W1671" s="26"/>
    </row>
    <row r="1672" spans="1:23" x14ac:dyDescent="0.25">
      <c r="A1672" s="26" t="str">
        <f t="shared" si="275"/>
        <v>PRIMARIA</v>
      </c>
      <c r="B1672" s="26" t="str">
        <f>"09DPR3040J"</f>
        <v>09DPR3040J</v>
      </c>
      <c r="C1672" s="26" t="str">
        <f>"DR. JAIME TORRES BODET                                                                              "</f>
        <v xml:space="preserve">DR. JAIME TORRES BODET                                                                              </v>
      </c>
      <c r="D1672" s="26" t="str">
        <f>"VESPERTINO"</f>
        <v>VESPERTINO</v>
      </c>
      <c r="E1672" s="26" t="str">
        <f>"DON GIOVANNI Y GREGORIO ALLEGRI S/N                                             "</f>
        <v xml:space="preserve">DON GIOVANNI Y GREGORIO ALLEGRI S/N                                             </v>
      </c>
      <c r="F1672" s="26" t="str">
        <f>"SAN MIGUEL ZAPOTITLA                                                                                                                        "</f>
        <v xml:space="preserve">SAN MIGUEL ZAPOTITLA                                                                                                                        </v>
      </c>
      <c r="G1672" s="26" t="str">
        <f>"TLAHUAC                                                                         "</f>
        <v xml:space="preserve">TLAHUAC                                                                         </v>
      </c>
      <c r="H1672" s="26" t="str">
        <f>"548"</f>
        <v>548</v>
      </c>
      <c r="I1672" s="26" t="str">
        <f t="shared" si="276"/>
        <v>00</v>
      </c>
      <c r="J1672" s="26" t="str">
        <f>"45 "</f>
        <v xml:space="preserve">45 </v>
      </c>
      <c r="K1672" s="26" t="str">
        <f>"PR"</f>
        <v>PR</v>
      </c>
      <c r="L1672" s="26" t="str">
        <f>"DGOSE"</f>
        <v>DGOSE</v>
      </c>
      <c r="M1672" s="26" t="str">
        <f t="shared" si="277"/>
        <v>FEDERAL</v>
      </c>
      <c r="N1672" s="26">
        <v>279</v>
      </c>
      <c r="O1672" s="26">
        <v>162</v>
      </c>
      <c r="P1672" s="26">
        <v>117</v>
      </c>
      <c r="Q1672" s="26">
        <v>12</v>
      </c>
      <c r="R1672" s="26">
        <v>1</v>
      </c>
      <c r="S1672" s="26">
        <v>12</v>
      </c>
      <c r="T1672" s="26">
        <v>4</v>
      </c>
      <c r="U1672" s="26">
        <v>17</v>
      </c>
      <c r="V1672" s="26">
        <v>1</v>
      </c>
      <c r="W1672" s="26"/>
    </row>
    <row r="1673" spans="1:23" x14ac:dyDescent="0.25">
      <c r="A1673" s="26" t="str">
        <f t="shared" si="275"/>
        <v>PRIMARIA</v>
      </c>
      <c r="B1673" s="26" t="str">
        <f>"09DPR3042H"</f>
        <v>09DPR3042H</v>
      </c>
      <c r="C1673" s="26" t="str">
        <f>"EJERCITO CONSTITUCIONALISTA                                                                         "</f>
        <v xml:space="preserve">EJERCITO CONSTITUCIONALISTA                                                                         </v>
      </c>
      <c r="D1673" s="26" t="str">
        <f>"VESPERTINO"</f>
        <v>VESPERTINO</v>
      </c>
      <c r="E1673" s="26" t="str">
        <f>"AREA DE SERVICIO SUPER MANZANA 3                                                "</f>
        <v xml:space="preserve">AREA DE SERVICIO SUPER MANZANA 3                                                </v>
      </c>
      <c r="F1673" s="26" t="str">
        <f>"UNIDAD HABITACIONAL EJERCITO CONSTI                                                                                                         "</f>
        <v xml:space="preserve">UNIDAD HABITACIONAL EJERCITO CONSTI                                                                                                         </v>
      </c>
      <c r="G1673" s="26" t="str">
        <f>"IZTAPALAPA                                                                      "</f>
        <v xml:space="preserve">IZTAPALAPA                                                                      </v>
      </c>
      <c r="H1673" s="26" t="str">
        <f>"018"</f>
        <v>018</v>
      </c>
      <c r="I1673" s="26" t="str">
        <f t="shared" si="276"/>
        <v>00</v>
      </c>
      <c r="J1673" s="26" t="str">
        <f>"62 "</f>
        <v xml:space="preserve">62 </v>
      </c>
      <c r="K1673" s="26" t="str">
        <f>"IZ"</f>
        <v>IZ</v>
      </c>
      <c r="L1673" s="26" t="str">
        <f>"DGSEI"</f>
        <v>DGSEI</v>
      </c>
      <c r="M1673" s="26" t="str">
        <f t="shared" si="277"/>
        <v>FEDERAL</v>
      </c>
      <c r="N1673" s="26">
        <v>178</v>
      </c>
      <c r="O1673" s="26">
        <v>98</v>
      </c>
      <c r="P1673" s="26">
        <v>80</v>
      </c>
      <c r="Q1673" s="26">
        <v>9</v>
      </c>
      <c r="R1673" s="26">
        <v>1</v>
      </c>
      <c r="S1673" s="26">
        <v>9</v>
      </c>
      <c r="T1673" s="26">
        <v>7</v>
      </c>
      <c r="U1673" s="26">
        <v>17</v>
      </c>
      <c r="V1673" s="26">
        <v>1</v>
      </c>
      <c r="W1673" s="26"/>
    </row>
    <row r="1674" spans="1:23" x14ac:dyDescent="0.25">
      <c r="A1674" s="26" t="str">
        <f t="shared" si="275"/>
        <v>PRIMARIA</v>
      </c>
      <c r="B1674" s="26" t="str">
        <f>"09DPR3043G"</f>
        <v>09DPR3043G</v>
      </c>
      <c r="C1674" s="26" t="str">
        <f>"LEONA VICARIO                                                                                       "</f>
        <v xml:space="preserve">LEONA VICARIO                                                                                       </v>
      </c>
      <c r="D1674" s="26" t="str">
        <f>"MATUTINO"</f>
        <v>MATUTINO</v>
      </c>
      <c r="E1674" s="26" t="str">
        <f>"MICHOACAN Y GUADALUPE S/N                                                       "</f>
        <v xml:space="preserve">MICHOACAN Y GUADALUPE S/N                                                       </v>
      </c>
      <c r="F1674" s="26" t="str">
        <f>"CHALMA DE GUADALUPE                                                                                                                         "</f>
        <v xml:space="preserve">CHALMA DE GUADALUPE                                                                                                                         </v>
      </c>
      <c r="G1674" s="26" t="str">
        <f>"GUSTAVO A. MADERO                                                               "</f>
        <v xml:space="preserve">GUSTAVO A. MADERO                                                               </v>
      </c>
      <c r="H1674" s="26" t="str">
        <f>"232"</f>
        <v>232</v>
      </c>
      <c r="I1674" s="26" t="str">
        <f t="shared" si="276"/>
        <v>00</v>
      </c>
      <c r="J1674" s="26" t="str">
        <f>"42 "</f>
        <v xml:space="preserve">42 </v>
      </c>
      <c r="K1674" s="26" t="str">
        <f>"PR"</f>
        <v>PR</v>
      </c>
      <c r="L1674" s="26" t="str">
        <f>"DGOSE"</f>
        <v>DGOSE</v>
      </c>
      <c r="M1674" s="26" t="str">
        <f t="shared" si="277"/>
        <v>FEDERAL</v>
      </c>
      <c r="N1674" s="26">
        <v>482</v>
      </c>
      <c r="O1674" s="26">
        <v>256</v>
      </c>
      <c r="P1674" s="26">
        <v>226</v>
      </c>
      <c r="Q1674" s="26">
        <v>17</v>
      </c>
      <c r="R1674" s="26">
        <v>1</v>
      </c>
      <c r="S1674" s="26">
        <v>17</v>
      </c>
      <c r="T1674" s="26">
        <v>8</v>
      </c>
      <c r="U1674" s="26">
        <v>26</v>
      </c>
      <c r="V1674" s="26">
        <v>1</v>
      </c>
      <c r="W1674" s="26"/>
    </row>
    <row r="1675" spans="1:23" x14ac:dyDescent="0.25">
      <c r="A1675" s="26" t="str">
        <f t="shared" si="275"/>
        <v>PRIMARIA</v>
      </c>
      <c r="B1675" s="26" t="str">
        <f>"09DPR3044F"</f>
        <v>09DPR3044F</v>
      </c>
      <c r="C1675" s="26" t="str">
        <f>"FRANCISCO GOITIA                                                                                    "</f>
        <v xml:space="preserve">FRANCISCO GOITIA                                                                                    </v>
      </c>
      <c r="D1675" s="26" t="str">
        <f>"VESPERTINO"</f>
        <v>VESPERTINO</v>
      </c>
      <c r="E1675" s="26" t="str">
        <f>"AV MAREJADA Y RIO SAN JAVIER S/N                                                "</f>
        <v xml:space="preserve">AV MAREJADA Y RIO SAN JAVIER S/N                                                </v>
      </c>
      <c r="F1675" s="26" t="str">
        <f>"ACUEDUCTO DE GUADALUPE                                                                                                                      "</f>
        <v xml:space="preserve">ACUEDUCTO DE GUADALUPE                                                                                                                      </v>
      </c>
      <c r="G1675" s="26" t="str">
        <f>"GUSTAVO A. MADERO                                                               "</f>
        <v xml:space="preserve">GUSTAVO A. MADERO                                                               </v>
      </c>
      <c r="H1675" s="26" t="str">
        <f>"235"</f>
        <v>235</v>
      </c>
      <c r="I1675" s="26" t="str">
        <f t="shared" si="276"/>
        <v>00</v>
      </c>
      <c r="J1675" s="26" t="str">
        <f>"42 "</f>
        <v xml:space="preserve">42 </v>
      </c>
      <c r="K1675" s="26" t="str">
        <f>"PR"</f>
        <v>PR</v>
      </c>
      <c r="L1675" s="26" t="str">
        <f>"DGOSE"</f>
        <v>DGOSE</v>
      </c>
      <c r="M1675" s="26" t="str">
        <f t="shared" si="277"/>
        <v>FEDERAL</v>
      </c>
      <c r="N1675" s="26">
        <v>202</v>
      </c>
      <c r="O1675" s="26">
        <v>106</v>
      </c>
      <c r="P1675" s="26">
        <v>96</v>
      </c>
      <c r="Q1675" s="26">
        <v>11</v>
      </c>
      <c r="R1675" s="26">
        <v>1</v>
      </c>
      <c r="S1675" s="26">
        <v>10</v>
      </c>
      <c r="T1675" s="26">
        <v>10</v>
      </c>
      <c r="U1675" s="26">
        <v>21</v>
      </c>
      <c r="V1675" s="26">
        <v>1</v>
      </c>
      <c r="W1675" s="26"/>
    </row>
    <row r="1676" spans="1:23" x14ac:dyDescent="0.25">
      <c r="A1676" s="26" t="str">
        <f t="shared" si="275"/>
        <v>PRIMARIA</v>
      </c>
      <c r="B1676" s="26" t="str">
        <f>"09DPR3045E"</f>
        <v>09DPR3045E</v>
      </c>
      <c r="C1676" s="26" t="str">
        <f>"MI PATRIA ES PRIMERO                                                                                "</f>
        <v xml:space="preserve">MI PATRIA ES PRIMERO                                                                                </v>
      </c>
      <c r="D1676" s="26" t="str">
        <f>"MATUTINO"</f>
        <v>MATUTINO</v>
      </c>
      <c r="E1676" s="26" t="str">
        <f>"SUPER MANZANA 2 S/N                                                             "</f>
        <v xml:space="preserve">SUPER MANZANA 2 S/N                                                             </v>
      </c>
      <c r="F1676" s="26" t="str">
        <f>"UNIDAD HABITACIONAL VICENTE GUERRER                                                                                                         "</f>
        <v xml:space="preserve">UNIDAD HABITACIONAL VICENTE GUERRER                                                                                                         </v>
      </c>
      <c r="G1676" s="26" t="str">
        <f>"IZTAPALAPA                                                                      "</f>
        <v xml:space="preserve">IZTAPALAPA                                                                      </v>
      </c>
      <c r="H1676" s="26" t="str">
        <f>"017"</f>
        <v>017</v>
      </c>
      <c r="I1676" s="26" t="str">
        <f t="shared" si="276"/>
        <v>00</v>
      </c>
      <c r="J1676" s="26" t="str">
        <f>"62 "</f>
        <v xml:space="preserve">62 </v>
      </c>
      <c r="K1676" s="26" t="str">
        <f>"IZ"</f>
        <v>IZ</v>
      </c>
      <c r="L1676" s="26" t="str">
        <f>"DGSEI"</f>
        <v>DGSEI</v>
      </c>
      <c r="M1676" s="26" t="str">
        <f t="shared" si="277"/>
        <v>FEDERAL</v>
      </c>
      <c r="N1676" s="26">
        <v>415</v>
      </c>
      <c r="O1676" s="26">
        <v>221</v>
      </c>
      <c r="P1676" s="26">
        <v>194</v>
      </c>
      <c r="Q1676" s="26">
        <v>15</v>
      </c>
      <c r="R1676" s="26">
        <v>1</v>
      </c>
      <c r="S1676" s="26">
        <v>15</v>
      </c>
      <c r="T1676" s="26">
        <v>7</v>
      </c>
      <c r="U1676" s="26">
        <v>23</v>
      </c>
      <c r="V1676" s="26">
        <v>1</v>
      </c>
      <c r="W1676" s="26"/>
    </row>
    <row r="1677" spans="1:23" x14ac:dyDescent="0.25">
      <c r="A1677" s="26" t="str">
        <f t="shared" si="275"/>
        <v>PRIMARIA</v>
      </c>
      <c r="B1677" s="26" t="str">
        <f>"09DPR3046D"</f>
        <v>09DPR3046D</v>
      </c>
      <c r="C1677" s="26" t="str">
        <f>"FRANCISCO GOITIA                                                                                    "</f>
        <v xml:space="preserve">FRANCISCO GOITIA                                                                                    </v>
      </c>
      <c r="D1677" s="26" t="str">
        <f>"MATUTINO"</f>
        <v>MATUTINO</v>
      </c>
      <c r="E1677" s="26" t="str">
        <f>"AV MAREJADA Y RIO SAN JAVIER S/N                                                "</f>
        <v xml:space="preserve">AV MAREJADA Y RIO SAN JAVIER S/N                                                </v>
      </c>
      <c r="F1677" s="26" t="str">
        <f>"ACUEDUCTO DE GUADALUPE                                                                                                                      "</f>
        <v xml:space="preserve">ACUEDUCTO DE GUADALUPE                                                                                                                      </v>
      </c>
      <c r="G1677" s="26" t="str">
        <f>"GUSTAVO A. MADERO                                                               "</f>
        <v xml:space="preserve">GUSTAVO A. MADERO                                                               </v>
      </c>
      <c r="H1677" s="26" t="str">
        <f>"235"</f>
        <v>235</v>
      </c>
      <c r="I1677" s="26" t="str">
        <f t="shared" si="276"/>
        <v>00</v>
      </c>
      <c r="J1677" s="26" t="str">
        <f>"42 "</f>
        <v xml:space="preserve">42 </v>
      </c>
      <c r="K1677" s="26" t="str">
        <f>"PR"</f>
        <v>PR</v>
      </c>
      <c r="L1677" s="26" t="str">
        <f>"DGOSE"</f>
        <v>DGOSE</v>
      </c>
      <c r="M1677" s="26" t="str">
        <f t="shared" si="277"/>
        <v>FEDERAL</v>
      </c>
      <c r="N1677" s="26">
        <v>320</v>
      </c>
      <c r="O1677" s="26">
        <v>165</v>
      </c>
      <c r="P1677" s="26">
        <v>155</v>
      </c>
      <c r="Q1677" s="26">
        <v>12</v>
      </c>
      <c r="R1677" s="26">
        <v>1</v>
      </c>
      <c r="S1677" s="26">
        <v>12</v>
      </c>
      <c r="T1677" s="26">
        <v>8</v>
      </c>
      <c r="U1677" s="26">
        <v>21</v>
      </c>
      <c r="V1677" s="26">
        <v>1</v>
      </c>
      <c r="W1677" s="26"/>
    </row>
    <row r="1678" spans="1:23" x14ac:dyDescent="0.25">
      <c r="A1678" s="26" t="str">
        <f t="shared" si="275"/>
        <v>PRIMARIA</v>
      </c>
      <c r="B1678" s="26" t="str">
        <f>"09DPR3047C"</f>
        <v>09DPR3047C</v>
      </c>
      <c r="C1678" s="26" t="str">
        <f>"INGENIERO JUAN DE DIOS BATIZ                                                                        "</f>
        <v xml:space="preserve">INGENIERO JUAN DE DIOS BATIZ                                                                        </v>
      </c>
      <c r="D1678" s="26" t="str">
        <f>"VESPERTINO"</f>
        <v>VESPERTINO</v>
      </c>
      <c r="E1678" s="26" t="str">
        <f>"AV DE LA CIMA Y RIO SAN JAVIER                                                  "</f>
        <v xml:space="preserve">AV DE LA CIMA Y RIO SAN JAVIER                                                  </v>
      </c>
      <c r="F1678" s="26" t="str">
        <f>"ACUEDUCTO DE GUADALUPE                                                                                                                      "</f>
        <v xml:space="preserve">ACUEDUCTO DE GUADALUPE                                                                                                                      </v>
      </c>
      <c r="G1678" s="26" t="str">
        <f>"GUSTAVO A. MADERO                                                               "</f>
        <v xml:space="preserve">GUSTAVO A. MADERO                                                               </v>
      </c>
      <c r="H1678" s="26" t="str">
        <f>"236"</f>
        <v>236</v>
      </c>
      <c r="I1678" s="26" t="str">
        <f t="shared" si="276"/>
        <v>00</v>
      </c>
      <c r="J1678" s="26" t="str">
        <f>"42 "</f>
        <v xml:space="preserve">42 </v>
      </c>
      <c r="K1678" s="26" t="str">
        <f>"PR"</f>
        <v>PR</v>
      </c>
      <c r="L1678" s="26" t="str">
        <f>"DGOSE"</f>
        <v>DGOSE</v>
      </c>
      <c r="M1678" s="26" t="str">
        <f t="shared" si="277"/>
        <v>FEDERAL</v>
      </c>
      <c r="N1678" s="26">
        <v>159</v>
      </c>
      <c r="O1678" s="26">
        <v>82</v>
      </c>
      <c r="P1678" s="26">
        <v>77</v>
      </c>
      <c r="Q1678" s="26">
        <v>8</v>
      </c>
      <c r="R1678" s="26">
        <v>1</v>
      </c>
      <c r="S1678" s="26">
        <v>7</v>
      </c>
      <c r="T1678" s="26">
        <v>9</v>
      </c>
      <c r="U1678" s="26">
        <v>17</v>
      </c>
      <c r="V1678" s="26">
        <v>1</v>
      </c>
      <c r="W1678" s="26"/>
    </row>
    <row r="1679" spans="1:23" x14ac:dyDescent="0.25">
      <c r="A1679" s="26" t="str">
        <f t="shared" si="275"/>
        <v>PRIMARIA</v>
      </c>
      <c r="B1679" s="26" t="str">
        <f>"09DPR3048B"</f>
        <v>09DPR3048B</v>
      </c>
      <c r="C1679" s="26" t="str">
        <f>"LEONA VICARIO                                                                                       "</f>
        <v xml:space="preserve">LEONA VICARIO                                                                                       </v>
      </c>
      <c r="D1679" s="26" t="str">
        <f>"VESPERTINO"</f>
        <v>VESPERTINO</v>
      </c>
      <c r="E1679" s="26" t="str">
        <f>"MICHOACAN Y GUADALUPE S/N                                                       "</f>
        <v xml:space="preserve">MICHOACAN Y GUADALUPE S/N                                                       </v>
      </c>
      <c r="F1679" s="26" t="str">
        <f>"CHALMA DE GUADALUPE                                                                                                                         "</f>
        <v xml:space="preserve">CHALMA DE GUADALUPE                                                                                                                         </v>
      </c>
      <c r="G1679" s="26" t="str">
        <f>"GUSTAVO A. MADERO                                                               "</f>
        <v xml:space="preserve">GUSTAVO A. MADERO                                                               </v>
      </c>
      <c r="H1679" s="26" t="str">
        <f>"232"</f>
        <v>232</v>
      </c>
      <c r="I1679" s="26" t="str">
        <f t="shared" si="276"/>
        <v>00</v>
      </c>
      <c r="J1679" s="26" t="str">
        <f>"42 "</f>
        <v xml:space="preserve">42 </v>
      </c>
      <c r="K1679" s="26" t="str">
        <f>"PR"</f>
        <v>PR</v>
      </c>
      <c r="L1679" s="26" t="str">
        <f>"DGOSE"</f>
        <v>DGOSE</v>
      </c>
      <c r="M1679" s="26" t="str">
        <f t="shared" si="277"/>
        <v>FEDERAL</v>
      </c>
      <c r="N1679" s="26">
        <v>218</v>
      </c>
      <c r="O1679" s="26">
        <v>106</v>
      </c>
      <c r="P1679" s="26">
        <v>112</v>
      </c>
      <c r="Q1679" s="26">
        <v>9</v>
      </c>
      <c r="R1679" s="26">
        <v>1</v>
      </c>
      <c r="S1679" s="26">
        <v>9</v>
      </c>
      <c r="T1679" s="26">
        <v>6</v>
      </c>
      <c r="U1679" s="26">
        <v>16</v>
      </c>
      <c r="V1679" s="26">
        <v>1</v>
      </c>
      <c r="W1679" s="26"/>
    </row>
    <row r="1680" spans="1:23" x14ac:dyDescent="0.25">
      <c r="A1680" s="26" t="str">
        <f t="shared" si="275"/>
        <v>PRIMARIA</v>
      </c>
      <c r="B1680" s="26" t="str">
        <f>"09DPR3049A"</f>
        <v>09DPR3049A</v>
      </c>
      <c r="C1680" s="26" t="str">
        <f>"PROFRA. PAULA ALEGRIA GARZA                                                                         "</f>
        <v xml:space="preserve">PROFRA. PAULA ALEGRIA GARZA                                                                         </v>
      </c>
      <c r="D1680" s="26" t="str">
        <f>"VESPERTINO"</f>
        <v>VESPERTINO</v>
      </c>
      <c r="E1680" s="26" t="str">
        <f>"JOSE N. PRIETO NO. 53                                                           "</f>
        <v xml:space="preserve">JOSE N. PRIETO NO. 53                                                           </v>
      </c>
      <c r="F1680" s="26" t="str">
        <f>"UNIDAD HABITACIONAL EJERCITO DE ORI                                                                                                         "</f>
        <v xml:space="preserve">UNIDAD HABITACIONAL EJERCITO DE ORI                                                                                                         </v>
      </c>
      <c r="G1680" s="26" t="str">
        <f>"IZTAPALAPA                                                                      "</f>
        <v xml:space="preserve">IZTAPALAPA                                                                      </v>
      </c>
      <c r="H1680" s="26" t="str">
        <f>"022"</f>
        <v>022</v>
      </c>
      <c r="I1680" s="26" t="str">
        <f t="shared" si="276"/>
        <v>00</v>
      </c>
      <c r="J1680" s="26" t="str">
        <f>"62 "</f>
        <v xml:space="preserve">62 </v>
      </c>
      <c r="K1680" s="26" t="str">
        <f>"IZ"</f>
        <v>IZ</v>
      </c>
      <c r="L1680" s="26" t="str">
        <f>"DGSEI"</f>
        <v>DGSEI</v>
      </c>
      <c r="M1680" s="26" t="str">
        <f t="shared" si="277"/>
        <v>FEDERAL</v>
      </c>
      <c r="N1680" s="26">
        <v>159</v>
      </c>
      <c r="O1680" s="26">
        <v>85</v>
      </c>
      <c r="P1680" s="26">
        <v>74</v>
      </c>
      <c r="Q1680" s="26">
        <v>8</v>
      </c>
      <c r="R1680" s="26">
        <v>1</v>
      </c>
      <c r="S1680" s="26">
        <v>7</v>
      </c>
      <c r="T1680" s="26">
        <v>6</v>
      </c>
      <c r="U1680" s="26">
        <v>14</v>
      </c>
      <c r="V1680" s="26">
        <v>1</v>
      </c>
      <c r="W1680" s="26"/>
    </row>
    <row r="1681" spans="1:23" x14ac:dyDescent="0.25">
      <c r="A1681" s="26" t="str">
        <f t="shared" si="275"/>
        <v>PRIMARIA</v>
      </c>
      <c r="B1681" s="26" t="str">
        <f>"09DPR3051P"</f>
        <v>09DPR3051P</v>
      </c>
      <c r="C1681" s="26" t="str">
        <f>"INGENIERO JUAN DE DIOS BATIZ                                                                        "</f>
        <v xml:space="preserve">INGENIERO JUAN DE DIOS BATIZ                                                                        </v>
      </c>
      <c r="D1681" s="26" t="str">
        <f>"MATUTINO"</f>
        <v>MATUTINO</v>
      </c>
      <c r="E1681" s="26" t="str">
        <f>"AV DE LA CIMA Y RIO SAN JAVIER                                                  "</f>
        <v xml:space="preserve">AV DE LA CIMA Y RIO SAN JAVIER                                                  </v>
      </c>
      <c r="F1681" s="26" t="str">
        <f>"ACUEDUCTO DE GUADALUPE                                                                                                                      "</f>
        <v xml:space="preserve">ACUEDUCTO DE GUADALUPE                                                                                                                      </v>
      </c>
      <c r="G1681" s="26" t="str">
        <f>"GUSTAVO A. MADERO                                                               "</f>
        <v xml:space="preserve">GUSTAVO A. MADERO                                                               </v>
      </c>
      <c r="H1681" s="26" t="str">
        <f>"236"</f>
        <v>236</v>
      </c>
      <c r="I1681" s="26" t="str">
        <f t="shared" si="276"/>
        <v>00</v>
      </c>
      <c r="J1681" s="26" t="str">
        <f>"42 "</f>
        <v xml:space="preserve">42 </v>
      </c>
      <c r="K1681" s="26" t="str">
        <f>"PR"</f>
        <v>PR</v>
      </c>
      <c r="L1681" s="26" t="str">
        <f>"DGOSE"</f>
        <v>DGOSE</v>
      </c>
      <c r="M1681" s="26" t="str">
        <f t="shared" si="277"/>
        <v>FEDERAL</v>
      </c>
      <c r="N1681" s="26">
        <v>359</v>
      </c>
      <c r="O1681" s="26">
        <v>187</v>
      </c>
      <c r="P1681" s="26">
        <v>172</v>
      </c>
      <c r="Q1681" s="26">
        <v>12</v>
      </c>
      <c r="R1681" s="26">
        <v>1</v>
      </c>
      <c r="S1681" s="26">
        <v>12</v>
      </c>
      <c r="T1681" s="26">
        <v>13</v>
      </c>
      <c r="U1681" s="26">
        <v>26</v>
      </c>
      <c r="V1681" s="26">
        <v>1</v>
      </c>
      <c r="W1681" s="26"/>
    </row>
    <row r="1682" spans="1:23" x14ac:dyDescent="0.25">
      <c r="A1682" s="26" t="str">
        <f t="shared" si="275"/>
        <v>PRIMARIA</v>
      </c>
      <c r="B1682" s="26" t="str">
        <f>"09DPR3052O"</f>
        <v>09DPR3052O</v>
      </c>
      <c r="C1682" s="26" t="str">
        <f>"CUAHILAMA                                                                                           "</f>
        <v xml:space="preserve">CUAHILAMA                                                                                           </v>
      </c>
      <c r="D1682" s="26" t="str">
        <f>"VESPERTINO"</f>
        <v>VESPERTINO</v>
      </c>
      <c r="E1682" s="26" t="str">
        <f>"JARDIN LAZARO CARDENAS S/N                                                      "</f>
        <v xml:space="preserve">JARDIN LAZARO CARDENAS S/N                                                      </v>
      </c>
      <c r="F1682" s="26" t="str">
        <f>"SANTA CRUZ ACALPIXCA                                                                                                                        "</f>
        <v xml:space="preserve">SANTA CRUZ ACALPIXCA                                                                                                                        </v>
      </c>
      <c r="G1682" s="26" t="str">
        <f>"XOCHIMILCO                                                                      "</f>
        <v xml:space="preserve">XOCHIMILCO                                                                      </v>
      </c>
      <c r="H1682" s="26" t="str">
        <f>"542"</f>
        <v>542</v>
      </c>
      <c r="I1682" s="26" t="str">
        <f t="shared" si="276"/>
        <v>00</v>
      </c>
      <c r="J1682" s="26" t="str">
        <f>"45 "</f>
        <v xml:space="preserve">45 </v>
      </c>
      <c r="K1682" s="26" t="str">
        <f>"PR"</f>
        <v>PR</v>
      </c>
      <c r="L1682" s="26" t="str">
        <f>"DGOSE"</f>
        <v>DGOSE</v>
      </c>
      <c r="M1682" s="26" t="str">
        <f t="shared" si="277"/>
        <v>FEDERAL</v>
      </c>
      <c r="N1682" s="26">
        <v>391</v>
      </c>
      <c r="O1682" s="26">
        <v>213</v>
      </c>
      <c r="P1682" s="26">
        <v>178</v>
      </c>
      <c r="Q1682" s="26">
        <v>12</v>
      </c>
      <c r="R1682" s="26">
        <v>1</v>
      </c>
      <c r="S1682" s="26">
        <v>12</v>
      </c>
      <c r="T1682" s="26">
        <v>6</v>
      </c>
      <c r="U1682" s="26">
        <v>19</v>
      </c>
      <c r="V1682" s="26">
        <v>1</v>
      </c>
      <c r="W1682" s="26"/>
    </row>
    <row r="1683" spans="1:23" x14ac:dyDescent="0.25">
      <c r="A1683" s="26" t="str">
        <f t="shared" si="275"/>
        <v>PRIMARIA</v>
      </c>
      <c r="B1683" s="26" t="str">
        <f>"09DPR3054M"</f>
        <v>09DPR3054M</v>
      </c>
      <c r="C1683" s="26" t="str">
        <f>"SECRETARIA DE PROGRAMACION Y PRESUPUESTO                                                            "</f>
        <v xml:space="preserve">SECRETARIA DE PROGRAMACION Y PRESUPUESTO                                                            </v>
      </c>
      <c r="D1683" s="26" t="str">
        <f>"MATUTINO"</f>
        <v>MATUTINO</v>
      </c>
      <c r="E1683" s="26" t="str">
        <f>"PESTALOZZI NO 37                                                                "</f>
        <v xml:space="preserve">PESTALOZZI NO 37                                                                </v>
      </c>
      <c r="F1683" s="26" t="str">
        <f>"NARVARTE                                                                                                                                    "</f>
        <v xml:space="preserve">NARVARTE                                                                                                                                    </v>
      </c>
      <c r="G1683" s="26" t="str">
        <f>"BENITO JUAREZ                                                                   "</f>
        <v xml:space="preserve">BENITO JUAREZ                                                                   </v>
      </c>
      <c r="H1683" s="26" t="str">
        <f>"338"</f>
        <v>338</v>
      </c>
      <c r="I1683" s="26" t="str">
        <f t="shared" si="276"/>
        <v>00</v>
      </c>
      <c r="J1683" s="26" t="str">
        <f>"43 "</f>
        <v xml:space="preserve">43 </v>
      </c>
      <c r="K1683" s="26" t="str">
        <f>"PR"</f>
        <v>PR</v>
      </c>
      <c r="L1683" s="26" t="str">
        <f>"DGOSE"</f>
        <v>DGOSE</v>
      </c>
      <c r="M1683" s="26" t="str">
        <f t="shared" si="277"/>
        <v>FEDERAL</v>
      </c>
      <c r="N1683" s="26">
        <v>227</v>
      </c>
      <c r="O1683" s="26">
        <v>118</v>
      </c>
      <c r="P1683" s="26">
        <v>109</v>
      </c>
      <c r="Q1683" s="26">
        <v>11</v>
      </c>
      <c r="R1683" s="26">
        <v>1</v>
      </c>
      <c r="S1683" s="26">
        <v>11</v>
      </c>
      <c r="T1683" s="26">
        <v>2</v>
      </c>
      <c r="U1683" s="26">
        <v>14</v>
      </c>
      <c r="V1683" s="26">
        <v>1</v>
      </c>
      <c r="W1683" s="26"/>
    </row>
    <row r="1684" spans="1:23" x14ac:dyDescent="0.25">
      <c r="A1684" s="26" t="str">
        <f t="shared" si="275"/>
        <v>PRIMARIA</v>
      </c>
      <c r="B1684" s="26" t="str">
        <f>"09DPR3055L"</f>
        <v>09DPR3055L</v>
      </c>
      <c r="C1684" s="26" t="str">
        <f>"LAZARO CARDENAS                                                                                     "</f>
        <v xml:space="preserve">LAZARO CARDENAS                                                                                     </v>
      </c>
      <c r="D1684" s="26" t="str">
        <f>"VESPERTINO"</f>
        <v>VESPERTINO</v>
      </c>
      <c r="E1684" s="26" t="str">
        <f>"ANTONIO CASO Y CENTRO ESCOLAR S/N                                               "</f>
        <v xml:space="preserve">ANTONIO CASO Y CENTRO ESCOLAR S/N                                               </v>
      </c>
      <c r="F1684" s="26" t="str">
        <f>"ZONA ESCOLAR                                                                                                                                "</f>
        <v xml:space="preserve">ZONA ESCOLAR                                                                                                                                </v>
      </c>
      <c r="G1684" s="26" t="str">
        <f>"GUSTAVO A. MADERO                                                               "</f>
        <v xml:space="preserve">GUSTAVO A. MADERO                                                               </v>
      </c>
      <c r="H1684" s="26" t="str">
        <f>"233"</f>
        <v>233</v>
      </c>
      <c r="I1684" s="26" t="str">
        <f t="shared" si="276"/>
        <v>00</v>
      </c>
      <c r="J1684" s="26" t="str">
        <f>"42 "</f>
        <v xml:space="preserve">42 </v>
      </c>
      <c r="K1684" s="26" t="str">
        <f>"PR"</f>
        <v>PR</v>
      </c>
      <c r="L1684" s="26" t="str">
        <f>"DGOSE"</f>
        <v>DGOSE</v>
      </c>
      <c r="M1684" s="26" t="str">
        <f t="shared" si="277"/>
        <v>FEDERAL</v>
      </c>
      <c r="N1684" s="26">
        <v>341</v>
      </c>
      <c r="O1684" s="26">
        <v>177</v>
      </c>
      <c r="P1684" s="26">
        <v>164</v>
      </c>
      <c r="Q1684" s="26">
        <v>18</v>
      </c>
      <c r="R1684" s="26">
        <v>1</v>
      </c>
      <c r="S1684" s="26">
        <v>18</v>
      </c>
      <c r="T1684" s="26">
        <v>10</v>
      </c>
      <c r="U1684" s="26">
        <v>29</v>
      </c>
      <c r="V1684" s="26">
        <v>1</v>
      </c>
      <c r="W1684" s="26"/>
    </row>
    <row r="1685" spans="1:23" x14ac:dyDescent="0.25">
      <c r="A1685" s="26" t="str">
        <f t="shared" si="275"/>
        <v>PRIMARIA</v>
      </c>
      <c r="B1685" s="26" t="str">
        <f>"09DPR3056K"</f>
        <v>09DPR3056K</v>
      </c>
      <c r="C1685" s="26" t="str">
        <f>"JOSE LOPEZ ALAVEZ                                                                                   "</f>
        <v xml:space="preserve">JOSE LOPEZ ALAVEZ                                                                                   </v>
      </c>
      <c r="D1685" s="26" t="str">
        <f>"JORNADA AMPLIADA"</f>
        <v>JORNADA AMPLIADA</v>
      </c>
      <c r="E1685" s="26" t="str">
        <f>"PLAZOLETA II                                                                    "</f>
        <v xml:space="preserve">PLAZOLETA II                                                                    </v>
      </c>
      <c r="F1685" s="26" t="str">
        <f>"UNIDAD HABITACIONAL EL RISCO CTM                                                                                                            "</f>
        <v xml:space="preserve">UNIDAD HABITACIONAL EL RISCO CTM                                                                                                            </v>
      </c>
      <c r="G1685" s="26" t="str">
        <f>"GUSTAVO A. MADERO                                                               "</f>
        <v xml:space="preserve">GUSTAVO A. MADERO                                                               </v>
      </c>
      <c r="H1685" s="26" t="str">
        <f>"138"</f>
        <v>138</v>
      </c>
      <c r="I1685" s="26" t="str">
        <f t="shared" si="276"/>
        <v>00</v>
      </c>
      <c r="J1685" s="26" t="str">
        <f>"41 "</f>
        <v xml:space="preserve">41 </v>
      </c>
      <c r="K1685" s="26" t="str">
        <f>"PR"</f>
        <v>PR</v>
      </c>
      <c r="L1685" s="26" t="str">
        <f>"DGOSE"</f>
        <v>DGOSE</v>
      </c>
      <c r="M1685" s="26" t="str">
        <f t="shared" si="277"/>
        <v>FEDERAL</v>
      </c>
      <c r="N1685" s="26">
        <v>318</v>
      </c>
      <c r="O1685" s="26">
        <v>161</v>
      </c>
      <c r="P1685" s="26">
        <v>157</v>
      </c>
      <c r="Q1685" s="26">
        <v>12</v>
      </c>
      <c r="R1685" s="26">
        <v>1</v>
      </c>
      <c r="S1685" s="26">
        <v>12</v>
      </c>
      <c r="T1685" s="26">
        <v>10</v>
      </c>
      <c r="U1685" s="26">
        <v>23</v>
      </c>
      <c r="V1685" s="26">
        <v>1</v>
      </c>
      <c r="W1685" s="26" t="s">
        <v>2076</v>
      </c>
    </row>
    <row r="1686" spans="1:23" x14ac:dyDescent="0.25">
      <c r="A1686" s="26" t="str">
        <f t="shared" si="275"/>
        <v>PRIMARIA</v>
      </c>
      <c r="B1686" s="26" t="str">
        <f>"09DPR3058I"</f>
        <v>09DPR3058I</v>
      </c>
      <c r="C1686" s="26" t="str">
        <f>"PROFR. EMILIANO NEGRETE LOPEZ                                                                       "</f>
        <v xml:space="preserve">PROFR. EMILIANO NEGRETE LOPEZ                                                                       </v>
      </c>
      <c r="D1686" s="26" t="str">
        <f>"MATUTINO"</f>
        <v>MATUTINO</v>
      </c>
      <c r="E1686" s="26" t="str">
        <f>"FRESNOS S/N.                                                                    "</f>
        <v xml:space="preserve">FRESNOS S/N.                                                                    </v>
      </c>
      <c r="F1686" s="26" t="str">
        <f>"CITLALI                                                                                                                                     "</f>
        <v xml:space="preserve">CITLALI                                                                                                                                     </v>
      </c>
      <c r="G1686" s="26" t="str">
        <f>"IZTAPALAPA                                                                      "</f>
        <v xml:space="preserve">IZTAPALAPA                                                                      </v>
      </c>
      <c r="H1686" s="26" t="str">
        <f>"061"</f>
        <v>061</v>
      </c>
      <c r="I1686" s="26" t="str">
        <f t="shared" si="276"/>
        <v>00</v>
      </c>
      <c r="J1686" s="26" t="str">
        <f>"64 "</f>
        <v xml:space="preserve">64 </v>
      </c>
      <c r="K1686" s="26" t="str">
        <f>"IZ"</f>
        <v>IZ</v>
      </c>
      <c r="L1686" s="26" t="str">
        <f>"DGSEI"</f>
        <v>DGSEI</v>
      </c>
      <c r="M1686" s="26" t="str">
        <f t="shared" si="277"/>
        <v>FEDERAL</v>
      </c>
      <c r="N1686" s="26">
        <v>287</v>
      </c>
      <c r="O1686" s="26">
        <v>148</v>
      </c>
      <c r="P1686" s="26">
        <v>139</v>
      </c>
      <c r="Q1686" s="26">
        <v>9</v>
      </c>
      <c r="R1686" s="26">
        <v>1</v>
      </c>
      <c r="S1686" s="26">
        <v>9</v>
      </c>
      <c r="T1686" s="26">
        <v>2</v>
      </c>
      <c r="U1686" s="26">
        <v>12</v>
      </c>
      <c r="V1686" s="26">
        <v>1</v>
      </c>
      <c r="W1686" s="26"/>
    </row>
    <row r="1687" spans="1:23" x14ac:dyDescent="0.25">
      <c r="A1687" s="26" t="str">
        <f t="shared" si="275"/>
        <v>PRIMARIA</v>
      </c>
      <c r="B1687" s="26" t="str">
        <f>"09DPR3063U"</f>
        <v>09DPR3063U</v>
      </c>
      <c r="C1687" s="26" t="str">
        <f>"PROFRA. MA. DE JESUS SANTA OLALLA LOPEZ                                                             "</f>
        <v xml:space="preserve">PROFRA. MA. DE JESUS SANTA OLALLA LOPEZ                                                             </v>
      </c>
      <c r="D1687" s="26" t="str">
        <f>"TIEMPO COMPLETO"</f>
        <v>TIEMPO COMPLETO</v>
      </c>
      <c r="E1687" s="26" t="str">
        <f>"NORTE 60 NO 3547                                                                "</f>
        <v xml:space="preserve">NORTE 60 NO 3547                                                                </v>
      </c>
      <c r="F1687" s="26" t="str">
        <f>"MARTIRES DE RIO BLANCO                                                                                                                      "</f>
        <v xml:space="preserve">MARTIRES DE RIO BLANCO                                                                                                                      </v>
      </c>
      <c r="G1687" s="26" t="str">
        <f>"GUSTAVO A. MADERO                                                               "</f>
        <v xml:space="preserve">GUSTAVO A. MADERO                                                               </v>
      </c>
      <c r="H1687" s="26" t="str">
        <f>"137"</f>
        <v>137</v>
      </c>
      <c r="I1687" s="26" t="str">
        <f t="shared" si="276"/>
        <v>00</v>
      </c>
      <c r="J1687" s="26" t="str">
        <f>"41 "</f>
        <v xml:space="preserve">41 </v>
      </c>
      <c r="K1687" s="26" t="str">
        <f>"PR"</f>
        <v>PR</v>
      </c>
      <c r="L1687" s="26" t="str">
        <f>"DGOSE"</f>
        <v>DGOSE</v>
      </c>
      <c r="M1687" s="26" t="str">
        <f t="shared" si="277"/>
        <v>FEDERAL</v>
      </c>
      <c r="N1687" s="26">
        <v>169</v>
      </c>
      <c r="O1687" s="26">
        <v>88</v>
      </c>
      <c r="P1687" s="26">
        <v>81</v>
      </c>
      <c r="Q1687" s="26">
        <v>6</v>
      </c>
      <c r="R1687" s="26">
        <v>1</v>
      </c>
      <c r="S1687" s="26">
        <v>6</v>
      </c>
      <c r="T1687" s="26">
        <v>9</v>
      </c>
      <c r="U1687" s="26">
        <v>16</v>
      </c>
      <c r="V1687" s="26">
        <v>1</v>
      </c>
      <c r="W1687" s="26" t="s">
        <v>218</v>
      </c>
    </row>
    <row r="1688" spans="1:23" x14ac:dyDescent="0.25">
      <c r="A1688" s="26" t="str">
        <f t="shared" si="275"/>
        <v>PRIMARIA</v>
      </c>
      <c r="B1688" s="26" t="str">
        <f>"09DPR3064T"</f>
        <v>09DPR3064T</v>
      </c>
      <c r="C1688" s="26" t="str">
        <f>"PROFR. LIBRADO RIVERA                                                                               "</f>
        <v xml:space="preserve">PROFR. LIBRADO RIVERA                                                                               </v>
      </c>
      <c r="D1688" s="26" t="str">
        <f>"VESPERTINO"</f>
        <v>VESPERTINO</v>
      </c>
      <c r="E1688" s="26" t="str">
        <f>"SAN ALEJANDRO Y SAN EMETERIO S/N                                                "</f>
        <v xml:space="preserve">SAN ALEJANDRO Y SAN EMETERIO S/N                                                </v>
      </c>
      <c r="F1688" s="26" t="str">
        <f>"SANTA URSULA COAPA                                                                                                                          "</f>
        <v xml:space="preserve">SANTA URSULA COAPA                                                                                                                          </v>
      </c>
      <c r="G1688" s="26" t="str">
        <f>"COYOACAN                                                                        "</f>
        <v xml:space="preserve">COYOACAN                                                                        </v>
      </c>
      <c r="H1688" s="26" t="str">
        <f>"507"</f>
        <v>507</v>
      </c>
      <c r="I1688" s="26" t="str">
        <f t="shared" si="276"/>
        <v>00</v>
      </c>
      <c r="J1688" s="26" t="str">
        <f>"45 "</f>
        <v xml:space="preserve">45 </v>
      </c>
      <c r="K1688" s="26" t="str">
        <f>"PR"</f>
        <v>PR</v>
      </c>
      <c r="L1688" s="26" t="str">
        <f>"DGOSE"</f>
        <v>DGOSE</v>
      </c>
      <c r="M1688" s="26" t="str">
        <f t="shared" si="277"/>
        <v>FEDERAL</v>
      </c>
      <c r="N1688" s="26">
        <v>222</v>
      </c>
      <c r="O1688" s="26">
        <v>119</v>
      </c>
      <c r="P1688" s="26">
        <v>103</v>
      </c>
      <c r="Q1688" s="26">
        <v>12</v>
      </c>
      <c r="R1688" s="26">
        <v>1</v>
      </c>
      <c r="S1688" s="26">
        <v>12</v>
      </c>
      <c r="T1688" s="26">
        <v>9</v>
      </c>
      <c r="U1688" s="26">
        <v>22</v>
      </c>
      <c r="V1688" s="26">
        <v>1</v>
      </c>
      <c r="W1688" s="26"/>
    </row>
    <row r="1689" spans="1:23" x14ac:dyDescent="0.25">
      <c r="A1689" s="26" t="str">
        <f t="shared" si="275"/>
        <v>PRIMARIA</v>
      </c>
      <c r="B1689" s="26" t="str">
        <f>"09DPR3065S"</f>
        <v>09DPR3065S</v>
      </c>
      <c r="C1689" s="26" t="str">
        <f>"PROFR. QUINTIL GOMEZ ALVAREZ                                                                        "</f>
        <v xml:space="preserve">PROFR. QUINTIL GOMEZ ALVAREZ                                                                        </v>
      </c>
      <c r="D1689" s="26" t="str">
        <f>"TIEMPO COMPLETO"</f>
        <v>TIEMPO COMPLETO</v>
      </c>
      <c r="E1689" s="26" t="str">
        <f>"PTO MAZATLAN Y PAPANTLA S/N                                                     "</f>
        <v xml:space="preserve">PTO MAZATLAN Y PAPANTLA S/N                                                     </v>
      </c>
      <c r="F1689" s="26" t="str">
        <f>"CASAS ALEMAN AMPLIACION                                                                                                                     "</f>
        <v xml:space="preserve">CASAS ALEMAN AMPLIACION                                                                                                                     </v>
      </c>
      <c r="G1689" s="26" t="str">
        <f>"GUSTAVO A. MADERO                                                               "</f>
        <v xml:space="preserve">GUSTAVO A. MADERO                                                               </v>
      </c>
      <c r="H1689" s="26" t="str">
        <f>"139"</f>
        <v>139</v>
      </c>
      <c r="I1689" s="26" t="str">
        <f t="shared" si="276"/>
        <v>00</v>
      </c>
      <c r="J1689" s="26" t="str">
        <f>"41 "</f>
        <v xml:space="preserve">41 </v>
      </c>
      <c r="K1689" s="26" t="str">
        <f>"PR"</f>
        <v>PR</v>
      </c>
      <c r="L1689" s="26" t="str">
        <f>"DGOSE"</f>
        <v>DGOSE</v>
      </c>
      <c r="M1689" s="26" t="str">
        <f t="shared" si="277"/>
        <v>FEDERAL</v>
      </c>
      <c r="N1689" s="26">
        <v>383</v>
      </c>
      <c r="O1689" s="26">
        <v>197</v>
      </c>
      <c r="P1689" s="26">
        <v>186</v>
      </c>
      <c r="Q1689" s="26">
        <v>14</v>
      </c>
      <c r="R1689" s="26">
        <v>1</v>
      </c>
      <c r="S1689" s="26">
        <v>14</v>
      </c>
      <c r="T1689" s="26">
        <v>18</v>
      </c>
      <c r="U1689" s="26">
        <v>33</v>
      </c>
      <c r="V1689" s="26">
        <v>1</v>
      </c>
      <c r="W1689" s="26" t="s">
        <v>218</v>
      </c>
    </row>
    <row r="1690" spans="1:23" x14ac:dyDescent="0.25">
      <c r="A1690" s="26" t="str">
        <f t="shared" si="275"/>
        <v>PRIMARIA</v>
      </c>
      <c r="B1690" s="26" t="str">
        <f>"09DPR3073A"</f>
        <v>09DPR3073A</v>
      </c>
      <c r="C1690" s="26" t="str">
        <f>"TORIBIO VELASCO FRIAS                                                                               "</f>
        <v xml:space="preserve">TORIBIO VELASCO FRIAS                                                                               </v>
      </c>
      <c r="D1690" s="26" t="str">
        <f>"MATUTINO"</f>
        <v>MATUTINO</v>
      </c>
      <c r="E1690" s="26" t="str">
        <f>"CDA CENTENARIO S/N                                                              "</f>
        <v xml:space="preserve">CDA CENTENARIO S/N                                                              </v>
      </c>
      <c r="F1690" s="26" t="str">
        <f>"HERON PROAL                                                                                                                                 "</f>
        <v xml:space="preserve">HERON PROAL                                                                                                                                 </v>
      </c>
      <c r="G1690" s="26" t="str">
        <f>"ALVARO OBREGON                                                                  "</f>
        <v xml:space="preserve">ALVARO OBREGON                                                                  </v>
      </c>
      <c r="H1690" s="26" t="str">
        <f>"323"</f>
        <v>323</v>
      </c>
      <c r="I1690" s="26" t="str">
        <f t="shared" si="276"/>
        <v>00</v>
      </c>
      <c r="J1690" s="26" t="str">
        <f>"43 "</f>
        <v xml:space="preserve">43 </v>
      </c>
      <c r="K1690" s="26" t="str">
        <f>"PR"</f>
        <v>PR</v>
      </c>
      <c r="L1690" s="26" t="str">
        <f>"DGOSE"</f>
        <v>DGOSE</v>
      </c>
      <c r="M1690" s="26" t="str">
        <f t="shared" si="277"/>
        <v>FEDERAL</v>
      </c>
      <c r="N1690" s="26">
        <v>642</v>
      </c>
      <c r="O1690" s="26">
        <v>310</v>
      </c>
      <c r="P1690" s="26">
        <v>332</v>
      </c>
      <c r="Q1690" s="26">
        <v>18</v>
      </c>
      <c r="R1690" s="26">
        <v>1</v>
      </c>
      <c r="S1690" s="26">
        <v>18</v>
      </c>
      <c r="T1690" s="26">
        <v>8</v>
      </c>
      <c r="U1690" s="26">
        <v>27</v>
      </c>
      <c r="V1690" s="26">
        <v>1</v>
      </c>
      <c r="W1690" s="26"/>
    </row>
    <row r="1691" spans="1:23" x14ac:dyDescent="0.25">
      <c r="A1691" s="26" t="str">
        <f t="shared" si="275"/>
        <v>PRIMARIA</v>
      </c>
      <c r="B1691" s="26" t="str">
        <f>"09DPR3074Z"</f>
        <v>09DPR3074Z</v>
      </c>
      <c r="C1691" s="26" t="str">
        <f>"LEANDRO VALLE                                                                                       "</f>
        <v xml:space="preserve">LEANDRO VALLE                                                                                       </v>
      </c>
      <c r="D1691" s="26" t="str">
        <f>"MATUTINO"</f>
        <v>MATUTINO</v>
      </c>
      <c r="E1691" s="26" t="str">
        <f>"GUERRA DE REFORMA NO. 38                                                        "</f>
        <v xml:space="preserve">GUERRA DE REFORMA NO. 38                                                        </v>
      </c>
      <c r="F1691" s="26" t="str">
        <f>"LEYES DE REFORMA                                                                                                                            "</f>
        <v xml:space="preserve">LEYES DE REFORMA                                                                                                                            </v>
      </c>
      <c r="G1691" s="26" t="str">
        <f>"IZTAPALAPA                                                                      "</f>
        <v xml:space="preserve">IZTAPALAPA                                                                      </v>
      </c>
      <c r="H1691" s="26" t="str">
        <f>"014"</f>
        <v>014</v>
      </c>
      <c r="I1691" s="26" t="str">
        <f t="shared" si="276"/>
        <v>00</v>
      </c>
      <c r="J1691" s="26" t="str">
        <f>"62 "</f>
        <v xml:space="preserve">62 </v>
      </c>
      <c r="K1691" s="26" t="str">
        <f>"IZ"</f>
        <v>IZ</v>
      </c>
      <c r="L1691" s="26" t="str">
        <f>"DGSEI"</f>
        <v>DGSEI</v>
      </c>
      <c r="M1691" s="26" t="str">
        <f t="shared" si="277"/>
        <v>FEDERAL</v>
      </c>
      <c r="N1691" s="26">
        <v>550</v>
      </c>
      <c r="O1691" s="26">
        <v>268</v>
      </c>
      <c r="P1691" s="26">
        <v>282</v>
      </c>
      <c r="Q1691" s="26">
        <v>18</v>
      </c>
      <c r="R1691" s="26">
        <v>1</v>
      </c>
      <c r="S1691" s="26">
        <v>18</v>
      </c>
      <c r="T1691" s="26">
        <v>8</v>
      </c>
      <c r="U1691" s="26">
        <v>27</v>
      </c>
      <c r="V1691" s="26">
        <v>1</v>
      </c>
      <c r="W1691" s="26"/>
    </row>
    <row r="1692" spans="1:23" x14ac:dyDescent="0.25">
      <c r="A1692" s="26" t="str">
        <f t="shared" si="275"/>
        <v>PRIMARIA</v>
      </c>
      <c r="B1692" s="26" t="str">
        <f>"09DPR3075Z"</f>
        <v>09DPR3075Z</v>
      </c>
      <c r="C1692" s="26" t="str">
        <f>"PROFRA. BEATRIZ DE GORTARI Y PEREZ                                                                  "</f>
        <v xml:space="preserve">PROFRA. BEATRIZ DE GORTARI Y PEREZ                                                                  </v>
      </c>
      <c r="D1692" s="26" t="str">
        <f>"VESPERTINO"</f>
        <v>VESPERTINO</v>
      </c>
      <c r="E1692" s="26" t="str">
        <f>"VILLA DE ARAGON Y MOTOLINIA 51                                                  "</f>
        <v xml:space="preserve">VILLA DE ARAGON Y MOTOLINIA 51                                                  </v>
      </c>
      <c r="F1692" s="26" t="str">
        <f>"VILLA DE ARAGON                                                                                                                             "</f>
        <v xml:space="preserve">VILLA DE ARAGON                                                                                                                             </v>
      </c>
      <c r="G1692" s="26" t="str">
        <f>"GUSTAVO A. MADERO                                                               "</f>
        <v xml:space="preserve">GUSTAVO A. MADERO                                                               </v>
      </c>
      <c r="H1692" s="26" t="str">
        <f>"268"</f>
        <v>268</v>
      </c>
      <c r="I1692" s="26" t="str">
        <f t="shared" si="276"/>
        <v>00</v>
      </c>
      <c r="J1692" s="26" t="str">
        <f>"42 "</f>
        <v xml:space="preserve">42 </v>
      </c>
      <c r="K1692" s="26" t="str">
        <f>"PR"</f>
        <v>PR</v>
      </c>
      <c r="L1692" s="26" t="str">
        <f>"DGOSE"</f>
        <v>DGOSE</v>
      </c>
      <c r="M1692" s="26" t="str">
        <f t="shared" si="277"/>
        <v>FEDERAL</v>
      </c>
      <c r="N1692" s="26">
        <v>133</v>
      </c>
      <c r="O1692" s="26">
        <v>62</v>
      </c>
      <c r="P1692" s="26">
        <v>71</v>
      </c>
      <c r="Q1692" s="26">
        <v>7</v>
      </c>
      <c r="R1692" s="26">
        <v>1</v>
      </c>
      <c r="S1692" s="26">
        <v>7</v>
      </c>
      <c r="T1692" s="26">
        <v>6</v>
      </c>
      <c r="U1692" s="26">
        <v>14</v>
      </c>
      <c r="V1692" s="26">
        <v>1</v>
      </c>
      <c r="W1692" s="26"/>
    </row>
    <row r="1693" spans="1:23" x14ac:dyDescent="0.25">
      <c r="A1693" s="26" t="str">
        <f t="shared" si="275"/>
        <v>PRIMARIA</v>
      </c>
      <c r="B1693" s="26" t="str">
        <f>"09DPR3076Y"</f>
        <v>09DPR3076Y</v>
      </c>
      <c r="C1693" s="26" t="str">
        <f>"PROFRA. BEATRIZ DE GORTARI Y PEREZ                                                                  "</f>
        <v xml:space="preserve">PROFRA. BEATRIZ DE GORTARI Y PEREZ                                                                  </v>
      </c>
      <c r="D1693" s="26" t="str">
        <f>"MATUTINO"</f>
        <v>MATUTINO</v>
      </c>
      <c r="E1693" s="26" t="str">
        <f>"VILLA DE ARAGON Y MOTOLINIA 51                                                  "</f>
        <v xml:space="preserve">VILLA DE ARAGON Y MOTOLINIA 51                                                  </v>
      </c>
      <c r="F1693" s="26" t="str">
        <f>"VILLA DE ARAGON                                                                                                                             "</f>
        <v xml:space="preserve">VILLA DE ARAGON                                                                                                                             </v>
      </c>
      <c r="G1693" s="26" t="str">
        <f>"GUSTAVO A. MADERO                                                               "</f>
        <v xml:space="preserve">GUSTAVO A. MADERO                                                               </v>
      </c>
      <c r="H1693" s="26" t="str">
        <f>"268"</f>
        <v>268</v>
      </c>
      <c r="I1693" s="26" t="str">
        <f t="shared" si="276"/>
        <v>00</v>
      </c>
      <c r="J1693" s="26" t="str">
        <f>"42 "</f>
        <v xml:space="preserve">42 </v>
      </c>
      <c r="K1693" s="26" t="str">
        <f>"PR"</f>
        <v>PR</v>
      </c>
      <c r="L1693" s="26" t="str">
        <f>"DGOSE"</f>
        <v>DGOSE</v>
      </c>
      <c r="M1693" s="26" t="str">
        <f t="shared" si="277"/>
        <v>FEDERAL</v>
      </c>
      <c r="N1693" s="26">
        <v>529</v>
      </c>
      <c r="O1693" s="26">
        <v>273</v>
      </c>
      <c r="P1693" s="26">
        <v>256</v>
      </c>
      <c r="Q1693" s="26">
        <v>18</v>
      </c>
      <c r="R1693" s="26">
        <v>1</v>
      </c>
      <c r="S1693" s="26">
        <v>18</v>
      </c>
      <c r="T1693" s="26">
        <v>13</v>
      </c>
      <c r="U1693" s="26">
        <v>32</v>
      </c>
      <c r="V1693" s="26">
        <v>1</v>
      </c>
      <c r="W1693" s="26"/>
    </row>
    <row r="1694" spans="1:23" x14ac:dyDescent="0.25">
      <c r="A1694" s="26" t="str">
        <f t="shared" si="275"/>
        <v>PRIMARIA</v>
      </c>
      <c r="B1694" s="26" t="str">
        <f>"09DPR3079V"</f>
        <v>09DPR3079V</v>
      </c>
      <c r="C1694" s="26" t="str">
        <f>"PROFR. VICTORIANO GONZALEZ GARZON                                                                   "</f>
        <v xml:space="preserve">PROFR. VICTORIANO GONZALEZ GARZON                                                                   </v>
      </c>
      <c r="D1694" s="26" t="str">
        <f>"VESPERTINO"</f>
        <v>VESPERTINO</v>
      </c>
      <c r="E1694" s="26" t="str">
        <f>"XICO Y XALPATLAHUAC S/N                                                         "</f>
        <v xml:space="preserve">XICO Y XALPATLAHUAC S/N                                                         </v>
      </c>
      <c r="F1694" s="26" t="str">
        <f>"ARENAL 4A SECCION                                                                                                                           "</f>
        <v xml:space="preserve">ARENAL 4A SECCION                                                                                                                           </v>
      </c>
      <c r="G1694" s="26" t="str">
        <f>"VENUSTIANO CARRANZA                                                             "</f>
        <v xml:space="preserve">VENUSTIANO CARRANZA                                                             </v>
      </c>
      <c r="H1694" s="26" t="str">
        <f>"353"</f>
        <v>353</v>
      </c>
      <c r="I1694" s="26" t="str">
        <f t="shared" si="276"/>
        <v>00</v>
      </c>
      <c r="J1694" s="26" t="str">
        <f>"43 "</f>
        <v xml:space="preserve">43 </v>
      </c>
      <c r="K1694" s="26" t="str">
        <f>"PR"</f>
        <v>PR</v>
      </c>
      <c r="L1694" s="26" t="str">
        <f>"DGOSE"</f>
        <v>DGOSE</v>
      </c>
      <c r="M1694" s="26" t="str">
        <f t="shared" si="277"/>
        <v>FEDERAL</v>
      </c>
      <c r="N1694" s="26">
        <v>124</v>
      </c>
      <c r="O1694" s="26">
        <v>65</v>
      </c>
      <c r="P1694" s="26">
        <v>59</v>
      </c>
      <c r="Q1694" s="26">
        <v>6</v>
      </c>
      <c r="R1694" s="26">
        <v>1</v>
      </c>
      <c r="S1694" s="26">
        <v>6</v>
      </c>
      <c r="T1694" s="26">
        <v>4</v>
      </c>
      <c r="U1694" s="26">
        <v>11</v>
      </c>
      <c r="V1694" s="26">
        <v>1</v>
      </c>
      <c r="W1694" s="26"/>
    </row>
    <row r="1695" spans="1:23" x14ac:dyDescent="0.25">
      <c r="A1695" s="26" t="str">
        <f t="shared" si="275"/>
        <v>PRIMARIA</v>
      </c>
      <c r="B1695" s="26" t="str">
        <f>"09DPR3081J"</f>
        <v>09DPR3081J</v>
      </c>
      <c r="C1695" s="26" t="str">
        <f>"REPUBLICA SOCIALISTA DE VIETNAM                                                                     "</f>
        <v xml:space="preserve">REPUBLICA SOCIALISTA DE VIETNAM                                                                     </v>
      </c>
      <c r="D1695" s="26" t="str">
        <f>"VESPERTINO"</f>
        <v>VESPERTINO</v>
      </c>
      <c r="E1695" s="26" t="str">
        <f>"PAPAYA NO. 2                                                                    "</f>
        <v xml:space="preserve">PAPAYA NO. 2                                                                    </v>
      </c>
      <c r="F1695" s="26" t="str">
        <f>"XALPA                                                                                                                                       "</f>
        <v xml:space="preserve">XALPA                                                                                                                                       </v>
      </c>
      <c r="G1695" s="26" t="str">
        <f>"IZTAPALAPA                                                                      "</f>
        <v xml:space="preserve">IZTAPALAPA                                                                      </v>
      </c>
      <c r="H1695" s="26" t="str">
        <f>"062"</f>
        <v>062</v>
      </c>
      <c r="I1695" s="26" t="str">
        <f t="shared" si="276"/>
        <v>00</v>
      </c>
      <c r="J1695" s="26" t="str">
        <f>"64 "</f>
        <v xml:space="preserve">64 </v>
      </c>
      <c r="K1695" s="26" t="str">
        <f>"IZ"</f>
        <v>IZ</v>
      </c>
      <c r="L1695" s="26" t="str">
        <f>"DGSEI"</f>
        <v>DGSEI</v>
      </c>
      <c r="M1695" s="26" t="str">
        <f t="shared" si="277"/>
        <v>FEDERAL</v>
      </c>
      <c r="N1695" s="26">
        <v>489</v>
      </c>
      <c r="O1695" s="26">
        <v>271</v>
      </c>
      <c r="P1695" s="26">
        <v>218</v>
      </c>
      <c r="Q1695" s="26">
        <v>18</v>
      </c>
      <c r="R1695" s="26">
        <v>1</v>
      </c>
      <c r="S1695" s="26">
        <v>18</v>
      </c>
      <c r="T1695" s="26">
        <v>7</v>
      </c>
      <c r="U1695" s="26">
        <v>26</v>
      </c>
      <c r="V1695" s="26">
        <v>1</v>
      </c>
      <c r="W1695" s="26"/>
    </row>
    <row r="1696" spans="1:23" x14ac:dyDescent="0.25">
      <c r="A1696" s="26" t="str">
        <f t="shared" si="275"/>
        <v>PRIMARIA</v>
      </c>
      <c r="B1696" s="26" t="str">
        <f>"09DPR3082I"</f>
        <v>09DPR3082I</v>
      </c>
      <c r="C1696" s="26" t="str">
        <f>"PROFR. VICTORIANO GONZALEZ GARZON                                                                   "</f>
        <v xml:space="preserve">PROFR. VICTORIANO GONZALEZ GARZON                                                                   </v>
      </c>
      <c r="D1696" s="26" t="str">
        <f>"MATUTINO"</f>
        <v>MATUTINO</v>
      </c>
      <c r="E1696" s="26" t="str">
        <f>"XICO Y XALPATLAHUAC S/N                                                         "</f>
        <v xml:space="preserve">XICO Y XALPATLAHUAC S/N                                                         </v>
      </c>
      <c r="F1696" s="26" t="str">
        <f>"ARENAL 4A SECCION                                                                                                                           "</f>
        <v xml:space="preserve">ARENAL 4A SECCION                                                                                                                           </v>
      </c>
      <c r="G1696" s="26" t="str">
        <f>"VENUSTIANO CARRANZA                                                             "</f>
        <v xml:space="preserve">VENUSTIANO CARRANZA                                                             </v>
      </c>
      <c r="H1696" s="26" t="str">
        <f>"353"</f>
        <v>353</v>
      </c>
      <c r="I1696" s="26" t="str">
        <f t="shared" si="276"/>
        <v>00</v>
      </c>
      <c r="J1696" s="26" t="str">
        <f>"43 "</f>
        <v xml:space="preserve">43 </v>
      </c>
      <c r="K1696" s="26" t="str">
        <f t="shared" ref="K1696:K1705" si="278">"PR"</f>
        <v>PR</v>
      </c>
      <c r="L1696" s="26" t="str">
        <f t="shared" ref="L1696:L1705" si="279">"DGOSE"</f>
        <v>DGOSE</v>
      </c>
      <c r="M1696" s="26" t="str">
        <f t="shared" si="277"/>
        <v>FEDERAL</v>
      </c>
      <c r="N1696" s="26">
        <v>549</v>
      </c>
      <c r="O1696" s="26">
        <v>261</v>
      </c>
      <c r="P1696" s="26">
        <v>288</v>
      </c>
      <c r="Q1696" s="26">
        <v>18</v>
      </c>
      <c r="R1696" s="26">
        <v>1</v>
      </c>
      <c r="S1696" s="26">
        <v>18</v>
      </c>
      <c r="T1696" s="26">
        <v>9</v>
      </c>
      <c r="U1696" s="26">
        <v>28</v>
      </c>
      <c r="V1696" s="26">
        <v>1</v>
      </c>
      <c r="W1696" s="26"/>
    </row>
    <row r="1697" spans="1:23" x14ac:dyDescent="0.25">
      <c r="A1697" s="26" t="str">
        <f t="shared" si="275"/>
        <v>PRIMARIA</v>
      </c>
      <c r="B1697" s="26" t="str">
        <f>"09DPR3086E"</f>
        <v>09DPR3086E</v>
      </c>
      <c r="C1697" s="26" t="str">
        <f>"PROFR. MARCELINO HERNANDEZ ESPINOSA                                                                 "</f>
        <v xml:space="preserve">PROFR. MARCELINO HERNANDEZ ESPINOSA                                                                 </v>
      </c>
      <c r="D1697" s="26" t="str">
        <f>"TIEMPO COMPLETO"</f>
        <v>TIEMPO COMPLETO</v>
      </c>
      <c r="E1697" s="26" t="str">
        <f>"CECILIO ROBELO S/N                                                              "</f>
        <v xml:space="preserve">CECILIO ROBELO S/N                                                              </v>
      </c>
      <c r="F1697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1697" s="26" t="str">
        <f>"VENUSTIANO CARRANZA                                                             "</f>
        <v xml:space="preserve">VENUSTIANO CARRANZA                                                             </v>
      </c>
      <c r="H1697" s="26" t="str">
        <f>"424"</f>
        <v>424</v>
      </c>
      <c r="I1697" s="26" t="str">
        <f t="shared" si="276"/>
        <v>00</v>
      </c>
      <c r="J1697" s="26" t="str">
        <f>"44 "</f>
        <v xml:space="preserve">44 </v>
      </c>
      <c r="K1697" s="26" t="str">
        <f t="shared" si="278"/>
        <v>PR</v>
      </c>
      <c r="L1697" s="26" t="str">
        <f t="shared" si="279"/>
        <v>DGOSE</v>
      </c>
      <c r="M1697" s="26" t="str">
        <f t="shared" si="277"/>
        <v>FEDERAL</v>
      </c>
      <c r="N1697" s="26">
        <v>154</v>
      </c>
      <c r="O1697" s="26">
        <v>82</v>
      </c>
      <c r="P1697" s="26">
        <v>72</v>
      </c>
      <c r="Q1697" s="26">
        <v>6</v>
      </c>
      <c r="R1697" s="26">
        <v>1</v>
      </c>
      <c r="S1697" s="26">
        <v>6</v>
      </c>
      <c r="T1697" s="26">
        <v>7</v>
      </c>
      <c r="U1697" s="26">
        <v>14</v>
      </c>
      <c r="V1697" s="26">
        <v>1</v>
      </c>
      <c r="W1697" s="26" t="s">
        <v>218</v>
      </c>
    </row>
    <row r="1698" spans="1:23" x14ac:dyDescent="0.25">
      <c r="A1698" s="26" t="str">
        <f t="shared" si="275"/>
        <v>PRIMARIA</v>
      </c>
      <c r="B1698" s="26" t="str">
        <f>"09DPR3089B"</f>
        <v>09DPR3089B</v>
      </c>
      <c r="C1698" s="26" t="str">
        <f>"TLAMACHTILCALLI                                                                                     "</f>
        <v xml:space="preserve">TLAMACHTILCALLI                                                                                     </v>
      </c>
      <c r="D1698" s="26" t="str">
        <f>"VESPERTINO"</f>
        <v>VESPERTINO</v>
      </c>
      <c r="E1698" s="26" t="str">
        <f>"AVENIDA MIXTECAS Y TEPALCATZIN S/N                                              "</f>
        <v xml:space="preserve">AVENIDA MIXTECAS Y TEPALCATZIN S/N                                              </v>
      </c>
      <c r="F1698" s="26" t="str">
        <f>"AJUSCO                                                                                                                                      "</f>
        <v xml:space="preserve">AJUSCO                                                                                                                                      </v>
      </c>
      <c r="G1698" s="26" t="str">
        <f>"COYOACAN                                                                        "</f>
        <v xml:space="preserve">COYOACAN                                                                        </v>
      </c>
      <c r="H1698" s="26" t="str">
        <f>"504"</f>
        <v>504</v>
      </c>
      <c r="I1698" s="26" t="str">
        <f t="shared" si="276"/>
        <v>00</v>
      </c>
      <c r="J1698" s="26" t="str">
        <f>"45 "</f>
        <v xml:space="preserve">45 </v>
      </c>
      <c r="K1698" s="26" t="str">
        <f t="shared" si="278"/>
        <v>PR</v>
      </c>
      <c r="L1698" s="26" t="str">
        <f t="shared" si="279"/>
        <v>DGOSE</v>
      </c>
      <c r="M1698" s="26" t="str">
        <f t="shared" si="277"/>
        <v>FEDERAL</v>
      </c>
      <c r="N1698" s="26">
        <v>219</v>
      </c>
      <c r="O1698" s="26">
        <v>121</v>
      </c>
      <c r="P1698" s="26">
        <v>98</v>
      </c>
      <c r="Q1698" s="26">
        <v>10</v>
      </c>
      <c r="R1698" s="26">
        <v>1</v>
      </c>
      <c r="S1698" s="26">
        <v>9</v>
      </c>
      <c r="T1698" s="26">
        <v>5</v>
      </c>
      <c r="U1698" s="26">
        <v>15</v>
      </c>
      <c r="V1698" s="26">
        <v>1</v>
      </c>
      <c r="W1698" s="26"/>
    </row>
    <row r="1699" spans="1:23" x14ac:dyDescent="0.25">
      <c r="A1699" s="26" t="str">
        <f t="shared" si="275"/>
        <v>PRIMARIA</v>
      </c>
      <c r="B1699" s="26" t="str">
        <f>"09DPR3090R"</f>
        <v>09DPR3090R</v>
      </c>
      <c r="C1699" s="26" t="str">
        <f>"LAZARO CARDENAS                                                                                     "</f>
        <v xml:space="preserve">LAZARO CARDENAS                                                                                     </v>
      </c>
      <c r="D1699" s="26" t="str">
        <f>"MATUTINO"</f>
        <v>MATUTINO</v>
      </c>
      <c r="E1699" s="26" t="str">
        <f>"ANTONIO CASO Y CENTRO ESCOLAR S/N                                               "</f>
        <v xml:space="preserve">ANTONIO CASO Y CENTRO ESCOLAR S/N                                               </v>
      </c>
      <c r="F1699" s="26" t="str">
        <f>"ZONA ESCOLAR                                                                                                                                "</f>
        <v xml:space="preserve">ZONA ESCOLAR                                                                                                                                </v>
      </c>
      <c r="G1699" s="26" t="str">
        <f>"GUSTAVO A. MADERO                                                               "</f>
        <v xml:space="preserve">GUSTAVO A. MADERO                                                               </v>
      </c>
      <c r="H1699" s="26" t="str">
        <f>"233"</f>
        <v>233</v>
      </c>
      <c r="I1699" s="26" t="str">
        <f t="shared" si="276"/>
        <v>00</v>
      </c>
      <c r="J1699" s="26" t="str">
        <f>"42 "</f>
        <v xml:space="preserve">42 </v>
      </c>
      <c r="K1699" s="26" t="str">
        <f t="shared" si="278"/>
        <v>PR</v>
      </c>
      <c r="L1699" s="26" t="str">
        <f t="shared" si="279"/>
        <v>DGOSE</v>
      </c>
      <c r="M1699" s="26" t="str">
        <f t="shared" si="277"/>
        <v>FEDERAL</v>
      </c>
      <c r="N1699" s="26">
        <v>519</v>
      </c>
      <c r="O1699" s="26">
        <v>274</v>
      </c>
      <c r="P1699" s="26">
        <v>245</v>
      </c>
      <c r="Q1699" s="26">
        <v>18</v>
      </c>
      <c r="R1699" s="26">
        <v>1</v>
      </c>
      <c r="S1699" s="26">
        <v>18</v>
      </c>
      <c r="T1699" s="26">
        <v>9</v>
      </c>
      <c r="U1699" s="26">
        <v>28</v>
      </c>
      <c r="V1699" s="26">
        <v>1</v>
      </c>
      <c r="W1699" s="26"/>
    </row>
    <row r="1700" spans="1:23" x14ac:dyDescent="0.25">
      <c r="A1700" s="26" t="str">
        <f t="shared" si="275"/>
        <v>PRIMARIA</v>
      </c>
      <c r="B1700" s="26" t="str">
        <f>"09DPR3091Q"</f>
        <v>09DPR3091Q</v>
      </c>
      <c r="C1700" s="26" t="str">
        <f>"PROFR. ELISEO BANDALA FERNANDEZ                                                                     "</f>
        <v xml:space="preserve">PROFR. ELISEO BANDALA FERNANDEZ                                                                     </v>
      </c>
      <c r="D1700" s="26" t="str">
        <f>"MATUTINO"</f>
        <v>MATUTINO</v>
      </c>
      <c r="E1700" s="26" t="str">
        <f>"SINANCHE NUM 10 Y TEPOZAL S/N                                                   "</f>
        <v xml:space="preserve">SINANCHE NUM 10 Y TEPOZAL S/N                                                   </v>
      </c>
      <c r="F1700" s="26" t="str">
        <f>"PEDREGAL DE SAN NICOLAS                                                                                                                     "</f>
        <v xml:space="preserve">PEDREGAL DE SAN NICOLAS                                                                                                                     </v>
      </c>
      <c r="G1700" s="26" t="str">
        <f>"TLALPAN                                                                         "</f>
        <v xml:space="preserve">TLALPAN                                                                         </v>
      </c>
      <c r="H1700" s="26" t="str">
        <f>"512"</f>
        <v>512</v>
      </c>
      <c r="I1700" s="26" t="str">
        <f t="shared" si="276"/>
        <v>00</v>
      </c>
      <c r="J1700" s="26" t="str">
        <f>"45 "</f>
        <v xml:space="preserve">45 </v>
      </c>
      <c r="K1700" s="26" t="str">
        <f t="shared" si="278"/>
        <v>PR</v>
      </c>
      <c r="L1700" s="26" t="str">
        <f t="shared" si="279"/>
        <v>DGOSE</v>
      </c>
      <c r="M1700" s="26" t="str">
        <f t="shared" si="277"/>
        <v>FEDERAL</v>
      </c>
      <c r="N1700" s="26">
        <v>627</v>
      </c>
      <c r="O1700" s="26">
        <v>316</v>
      </c>
      <c r="P1700" s="26">
        <v>311</v>
      </c>
      <c r="Q1700" s="26">
        <v>18</v>
      </c>
      <c r="R1700" s="26">
        <v>1</v>
      </c>
      <c r="S1700" s="26">
        <v>17</v>
      </c>
      <c r="T1700" s="26">
        <v>9</v>
      </c>
      <c r="U1700" s="26">
        <v>27</v>
      </c>
      <c r="V1700" s="26">
        <v>1</v>
      </c>
      <c r="W1700" s="26"/>
    </row>
    <row r="1701" spans="1:23" x14ac:dyDescent="0.25">
      <c r="A1701" s="26" t="str">
        <f t="shared" si="275"/>
        <v>PRIMARIA</v>
      </c>
      <c r="B1701" s="26" t="str">
        <f>"09DPR3092P"</f>
        <v>09DPR3092P</v>
      </c>
      <c r="C1701" s="26" t="str">
        <f>"GRAL. HERIBERTO JARA                                                                                "</f>
        <v xml:space="preserve">GRAL. HERIBERTO JARA                                                                                </v>
      </c>
      <c r="D1701" s="26" t="str">
        <f>"VESPERTINO"</f>
        <v>VESPERTINO</v>
      </c>
      <c r="E1701" s="26" t="str">
        <f>"MANUEL ESPERON Y TATA NACHO S/N                                                 "</f>
        <v xml:space="preserve">MANUEL ESPERON Y TATA NACHO S/N                                                 </v>
      </c>
      <c r="F1701" s="26" t="str">
        <f>"EL TEPETATAL                                                                                                                                "</f>
        <v xml:space="preserve">EL TEPETATAL                                                                                                                                </v>
      </c>
      <c r="G1701" s="26" t="str">
        <f>"GUSTAVO A. MADERO                                                               "</f>
        <v xml:space="preserve">GUSTAVO A. MADERO                                                               </v>
      </c>
      <c r="H1701" s="26" t="str">
        <f>"226"</f>
        <v>226</v>
      </c>
      <c r="I1701" s="26" t="str">
        <f t="shared" si="276"/>
        <v>00</v>
      </c>
      <c r="J1701" s="26" t="str">
        <f>"42 "</f>
        <v xml:space="preserve">42 </v>
      </c>
      <c r="K1701" s="26" t="str">
        <f t="shared" si="278"/>
        <v>PR</v>
      </c>
      <c r="L1701" s="26" t="str">
        <f t="shared" si="279"/>
        <v>DGOSE</v>
      </c>
      <c r="M1701" s="26" t="str">
        <f t="shared" si="277"/>
        <v>FEDERAL</v>
      </c>
      <c r="N1701" s="26">
        <v>520</v>
      </c>
      <c r="O1701" s="26">
        <v>279</v>
      </c>
      <c r="P1701" s="26">
        <v>241</v>
      </c>
      <c r="Q1701" s="26">
        <v>17</v>
      </c>
      <c r="R1701" s="26">
        <v>1</v>
      </c>
      <c r="S1701" s="26">
        <v>17</v>
      </c>
      <c r="T1701" s="26">
        <v>7</v>
      </c>
      <c r="U1701" s="26">
        <v>25</v>
      </c>
      <c r="V1701" s="26">
        <v>1</v>
      </c>
      <c r="W1701" s="26"/>
    </row>
    <row r="1702" spans="1:23" x14ac:dyDescent="0.25">
      <c r="A1702" s="26" t="str">
        <f t="shared" si="275"/>
        <v>PRIMARIA</v>
      </c>
      <c r="B1702" s="26" t="str">
        <f>"09DPR3093O"</f>
        <v>09DPR3093O</v>
      </c>
      <c r="C1702" s="26" t="str">
        <f>"DR. ROBERTO SOLIS QUIROGA                                                                           "</f>
        <v xml:space="preserve">DR. ROBERTO SOLIS QUIROGA                                                                           </v>
      </c>
      <c r="D1702" s="26" t="str">
        <f>"MATUTINO"</f>
        <v>MATUTINO</v>
      </c>
      <c r="E1702" s="26" t="str">
        <f>"TULUM # 162                                                                     "</f>
        <v xml:space="preserve">TULUM # 162                                                                     </v>
      </c>
      <c r="F1702" s="26" t="str">
        <f>"HEROES DE PADIERNA                                                                                                                          "</f>
        <v xml:space="preserve">HEROES DE PADIERNA                                                                                                                          </v>
      </c>
      <c r="G1702" s="26" t="str">
        <f>"TLALPAN                                                                         "</f>
        <v xml:space="preserve">TLALPAN                                                                         </v>
      </c>
      <c r="H1702" s="26" t="str">
        <f>"511"</f>
        <v>511</v>
      </c>
      <c r="I1702" s="26" t="str">
        <f t="shared" si="276"/>
        <v>00</v>
      </c>
      <c r="J1702" s="26" t="str">
        <f>"45 "</f>
        <v xml:space="preserve">45 </v>
      </c>
      <c r="K1702" s="26" t="str">
        <f t="shared" si="278"/>
        <v>PR</v>
      </c>
      <c r="L1702" s="26" t="str">
        <f t="shared" si="279"/>
        <v>DGOSE</v>
      </c>
      <c r="M1702" s="26" t="str">
        <f t="shared" si="277"/>
        <v>FEDERAL</v>
      </c>
      <c r="N1702" s="26">
        <v>718</v>
      </c>
      <c r="O1702" s="26">
        <v>383</v>
      </c>
      <c r="P1702" s="26">
        <v>335</v>
      </c>
      <c r="Q1702" s="26">
        <v>20</v>
      </c>
      <c r="R1702" s="26">
        <v>1</v>
      </c>
      <c r="S1702" s="26">
        <v>20</v>
      </c>
      <c r="T1702" s="26">
        <v>11</v>
      </c>
      <c r="U1702" s="26">
        <v>32</v>
      </c>
      <c r="V1702" s="26">
        <v>1</v>
      </c>
      <c r="W1702" s="26"/>
    </row>
    <row r="1703" spans="1:23" x14ac:dyDescent="0.25">
      <c r="A1703" s="26" t="str">
        <f t="shared" si="275"/>
        <v>PRIMARIA</v>
      </c>
      <c r="B1703" s="26" t="str">
        <f>"09DPR3094N"</f>
        <v>09DPR3094N</v>
      </c>
      <c r="C1703" s="26" t="str">
        <f>"DR. ROBERTO SOLIS QUIROGA                                                                           "</f>
        <v xml:space="preserve">DR. ROBERTO SOLIS QUIROGA                                                                           </v>
      </c>
      <c r="D1703" s="26" t="str">
        <f>"VESPERTINO"</f>
        <v>VESPERTINO</v>
      </c>
      <c r="E1703" s="26" t="str">
        <f>"TULUM 162 Y SINANCHE                                                            "</f>
        <v xml:space="preserve">TULUM 162 Y SINANCHE                                                            </v>
      </c>
      <c r="F1703" s="26" t="str">
        <f>"HEROES DE PADIERNA                                                                                                                          "</f>
        <v xml:space="preserve">HEROES DE PADIERNA                                                                                                                          </v>
      </c>
      <c r="G1703" s="26" t="str">
        <f>"TLALPAN                                                                         "</f>
        <v xml:space="preserve">TLALPAN                                                                         </v>
      </c>
      <c r="H1703" s="26" t="str">
        <f>"511"</f>
        <v>511</v>
      </c>
      <c r="I1703" s="26" t="str">
        <f t="shared" si="276"/>
        <v>00</v>
      </c>
      <c r="J1703" s="26" t="str">
        <f>"45 "</f>
        <v xml:space="preserve">45 </v>
      </c>
      <c r="K1703" s="26" t="str">
        <f t="shared" si="278"/>
        <v>PR</v>
      </c>
      <c r="L1703" s="26" t="str">
        <f t="shared" si="279"/>
        <v>DGOSE</v>
      </c>
      <c r="M1703" s="26" t="str">
        <f t="shared" si="277"/>
        <v>FEDERAL</v>
      </c>
      <c r="N1703" s="26">
        <v>338</v>
      </c>
      <c r="O1703" s="26">
        <v>192</v>
      </c>
      <c r="P1703" s="26">
        <v>146</v>
      </c>
      <c r="Q1703" s="26">
        <v>16</v>
      </c>
      <c r="R1703" s="26">
        <v>1</v>
      </c>
      <c r="S1703" s="26">
        <v>16</v>
      </c>
      <c r="T1703" s="26">
        <v>7</v>
      </c>
      <c r="U1703" s="26">
        <v>24</v>
      </c>
      <c r="V1703" s="26">
        <v>1</v>
      </c>
      <c r="W1703" s="26"/>
    </row>
    <row r="1704" spans="1:23" x14ac:dyDescent="0.25">
      <c r="A1704" s="26" t="str">
        <f t="shared" si="275"/>
        <v>PRIMARIA</v>
      </c>
      <c r="B1704" s="26" t="str">
        <f>"09DPR3095M"</f>
        <v>09DPR3095M</v>
      </c>
      <c r="C1704" s="26" t="str">
        <f>"FRANCISCO NICODEMO                                                                                  "</f>
        <v xml:space="preserve">FRANCISCO NICODEMO                                                                                  </v>
      </c>
      <c r="D1704" s="26" t="str">
        <f>"JORNADA AMPLIADA"</f>
        <v>JORNADA AMPLIADA</v>
      </c>
      <c r="E1704" s="26" t="str">
        <f>"MANZANITOS NUM 14                                                               "</f>
        <v xml:space="preserve">MANZANITOS NUM 14                                                               </v>
      </c>
      <c r="F1704" s="26" t="str">
        <f>"BARRANCA SECA                                                                                                                               "</f>
        <v xml:space="preserve">BARRANCA SECA                                                                                                                               </v>
      </c>
      <c r="G1704" s="26" t="str">
        <f>"LA MAGDALENA CONTRERAS                                                          "</f>
        <v xml:space="preserve">LA MAGDALENA CONTRERAS                                                          </v>
      </c>
      <c r="H1704" s="26" t="str">
        <f>"408"</f>
        <v>408</v>
      </c>
      <c r="I1704" s="26" t="str">
        <f t="shared" si="276"/>
        <v>00</v>
      </c>
      <c r="J1704" s="26" t="str">
        <f>"44 "</f>
        <v xml:space="preserve">44 </v>
      </c>
      <c r="K1704" s="26" t="str">
        <f t="shared" si="278"/>
        <v>PR</v>
      </c>
      <c r="L1704" s="26" t="str">
        <f t="shared" si="279"/>
        <v>DGOSE</v>
      </c>
      <c r="M1704" s="26" t="str">
        <f t="shared" si="277"/>
        <v>FEDERAL</v>
      </c>
      <c r="N1704" s="26">
        <v>524</v>
      </c>
      <c r="O1704" s="26">
        <v>251</v>
      </c>
      <c r="P1704" s="26">
        <v>273</v>
      </c>
      <c r="Q1704" s="26">
        <v>16</v>
      </c>
      <c r="R1704" s="26">
        <v>1</v>
      </c>
      <c r="S1704" s="26">
        <v>15</v>
      </c>
      <c r="T1704" s="26">
        <v>11</v>
      </c>
      <c r="U1704" s="26">
        <v>27</v>
      </c>
      <c r="V1704" s="26">
        <v>1</v>
      </c>
      <c r="W1704" s="26" t="s">
        <v>2076</v>
      </c>
    </row>
    <row r="1705" spans="1:23" x14ac:dyDescent="0.25">
      <c r="A1705" s="26" t="str">
        <f t="shared" si="275"/>
        <v>PRIMARIA</v>
      </c>
      <c r="B1705" s="26" t="str">
        <f>"09DPR3096L"</f>
        <v>09DPR3096L</v>
      </c>
      <c r="C1705" s="26" t="str">
        <f>"ING. ESTANISLAO RAMIREZ RUIZ                                                                        "</f>
        <v xml:space="preserve">ING. ESTANISLAO RAMIREZ RUIZ                                                                        </v>
      </c>
      <c r="D1705" s="26" t="str">
        <f>"VESPERTINO"</f>
        <v>VESPERTINO</v>
      </c>
      <c r="E1705" s="26" t="str">
        <f>"ADOLFO RIVERA VELAZCO S/N                                                       "</f>
        <v xml:space="preserve">ADOLFO RIVERA VELAZCO S/N                                                       </v>
      </c>
      <c r="F1705" s="26" t="str">
        <f>"SANTA CECILIA                                                                                                                               "</f>
        <v xml:space="preserve">SANTA CECILIA                                                                                                                               </v>
      </c>
      <c r="G1705" s="26" t="str">
        <f>"TLAHUAC                                                                         "</f>
        <v xml:space="preserve">TLAHUAC                                                                         </v>
      </c>
      <c r="H1705" s="26" t="str">
        <f>"557"</f>
        <v>557</v>
      </c>
      <c r="I1705" s="26" t="str">
        <f t="shared" si="276"/>
        <v>00</v>
      </c>
      <c r="J1705" s="26" t="str">
        <f>"45 "</f>
        <v xml:space="preserve">45 </v>
      </c>
      <c r="K1705" s="26" t="str">
        <f t="shared" si="278"/>
        <v>PR</v>
      </c>
      <c r="L1705" s="26" t="str">
        <f t="shared" si="279"/>
        <v>DGOSE</v>
      </c>
      <c r="M1705" s="26" t="str">
        <f t="shared" si="277"/>
        <v>FEDERAL</v>
      </c>
      <c r="N1705" s="26">
        <v>153</v>
      </c>
      <c r="O1705" s="26">
        <v>90</v>
      </c>
      <c r="P1705" s="26">
        <v>63</v>
      </c>
      <c r="Q1705" s="26">
        <v>6</v>
      </c>
      <c r="R1705" s="26">
        <v>1</v>
      </c>
      <c r="S1705" s="26">
        <v>6</v>
      </c>
      <c r="T1705" s="26">
        <v>7</v>
      </c>
      <c r="U1705" s="26">
        <v>14</v>
      </c>
      <c r="V1705" s="26">
        <v>1</v>
      </c>
      <c r="W1705" s="26"/>
    </row>
    <row r="1706" spans="1:23" x14ac:dyDescent="0.25">
      <c r="A1706" s="26" t="str">
        <f t="shared" si="275"/>
        <v>PRIMARIA</v>
      </c>
      <c r="B1706" s="26" t="str">
        <f>"09DPR3099I"</f>
        <v>09DPR3099I</v>
      </c>
      <c r="C1706" s="26" t="str">
        <f>"EL SEGURO DEL MAESTRO                                                                               "</f>
        <v xml:space="preserve">EL SEGURO DEL MAESTRO                                                                               </v>
      </c>
      <c r="D1706" s="26" t="str">
        <f>"VESPERTINO"</f>
        <v>VESPERTINO</v>
      </c>
      <c r="E1706" s="26" t="str">
        <f>"AND. CHITO VILLAGRAN NO. 36 2DA. SECCION                                        "</f>
        <v xml:space="preserve">AND. CHITO VILLAGRAN NO. 36 2DA. SECCION                                        </v>
      </c>
      <c r="F1706" s="26" t="str">
        <f>"CONJUNTO URBANO POPULAR ERMITA ZARA                                                                                                         "</f>
        <v xml:space="preserve">CONJUNTO URBANO POPULAR ERMITA ZARA                                                                                                         </v>
      </c>
      <c r="G1706" s="26" t="str">
        <f>"IZTAPALAPA                                                                      "</f>
        <v xml:space="preserve">IZTAPALAPA                                                                      </v>
      </c>
      <c r="H1706" s="26" t="str">
        <f>"032"</f>
        <v>032</v>
      </c>
      <c r="I1706" s="26" t="str">
        <f t="shared" si="276"/>
        <v>00</v>
      </c>
      <c r="J1706" s="26" t="str">
        <f>"62 "</f>
        <v xml:space="preserve">62 </v>
      </c>
      <c r="K1706" s="26" t="str">
        <f>"IZ"</f>
        <v>IZ</v>
      </c>
      <c r="L1706" s="26" t="str">
        <f>"DGSEI"</f>
        <v>DGSEI</v>
      </c>
      <c r="M1706" s="26" t="str">
        <f t="shared" si="277"/>
        <v>FEDERAL</v>
      </c>
      <c r="N1706" s="26">
        <v>119</v>
      </c>
      <c r="O1706" s="26">
        <v>61</v>
      </c>
      <c r="P1706" s="26">
        <v>58</v>
      </c>
      <c r="Q1706" s="26">
        <v>7</v>
      </c>
      <c r="R1706" s="26">
        <v>1</v>
      </c>
      <c r="S1706" s="26">
        <v>4</v>
      </c>
      <c r="T1706" s="26">
        <v>6</v>
      </c>
      <c r="U1706" s="26">
        <v>11</v>
      </c>
      <c r="V1706" s="26">
        <v>1</v>
      </c>
      <c r="W1706" s="26"/>
    </row>
    <row r="1707" spans="1:23" x14ac:dyDescent="0.25">
      <c r="A1707" s="26" t="str">
        <f t="shared" si="275"/>
        <v>PRIMARIA</v>
      </c>
      <c r="B1707" s="26" t="str">
        <f>"09DPR3101G"</f>
        <v>09DPR3101G</v>
      </c>
      <c r="C1707" s="26" t="str">
        <f>"LIC. ALFREDO V. BONFIL PINTO                                                                        "</f>
        <v xml:space="preserve">LIC. ALFREDO V. BONFIL PINTO                                                                        </v>
      </c>
      <c r="D1707" s="26" t="str">
        <f>"JORNADA AMPLIADA"</f>
        <v>JORNADA AMPLIADA</v>
      </c>
      <c r="E1707" s="26" t="str">
        <f>"CALLE 16 DE SEPTIEMBRE Y COLIMA                                                 "</f>
        <v xml:space="preserve">CALLE 16 DE SEPTIEMBRE Y COLIMA                                                 </v>
      </c>
      <c r="F1707" s="26" t="str">
        <f>"25 DE JULIO                                                                                                                                 "</f>
        <v xml:space="preserve">25 DE JULIO                                                                                                                                 </v>
      </c>
      <c r="G1707" s="26" t="str">
        <f>"GUSTAVO A. MADERO                                                               "</f>
        <v xml:space="preserve">GUSTAVO A. MADERO                                                               </v>
      </c>
      <c r="H1707" s="26" t="str">
        <f>"140"</f>
        <v>140</v>
      </c>
      <c r="I1707" s="26" t="str">
        <f t="shared" si="276"/>
        <v>00</v>
      </c>
      <c r="J1707" s="26" t="str">
        <f>"41 "</f>
        <v xml:space="preserve">41 </v>
      </c>
      <c r="K1707" s="26" t="str">
        <f>"PR"</f>
        <v>PR</v>
      </c>
      <c r="L1707" s="26" t="str">
        <f>"DGOSE"</f>
        <v>DGOSE</v>
      </c>
      <c r="M1707" s="26" t="str">
        <f t="shared" si="277"/>
        <v>FEDERAL</v>
      </c>
      <c r="N1707" s="26">
        <v>444</v>
      </c>
      <c r="O1707" s="26">
        <v>212</v>
      </c>
      <c r="P1707" s="26">
        <v>232</v>
      </c>
      <c r="Q1707" s="26">
        <v>16</v>
      </c>
      <c r="R1707" s="26">
        <v>1</v>
      </c>
      <c r="S1707" s="26">
        <v>16</v>
      </c>
      <c r="T1707" s="26">
        <v>12</v>
      </c>
      <c r="U1707" s="26">
        <v>29</v>
      </c>
      <c r="V1707" s="26">
        <v>1</v>
      </c>
      <c r="W1707" s="26" t="s">
        <v>2076</v>
      </c>
    </row>
    <row r="1708" spans="1:23" x14ac:dyDescent="0.25">
      <c r="A1708" s="26" t="str">
        <f t="shared" si="275"/>
        <v>PRIMARIA</v>
      </c>
      <c r="B1708" s="26" t="str">
        <f>"09DPR3102F"</f>
        <v>09DPR3102F</v>
      </c>
      <c r="C1708" s="26" t="str">
        <f>"NARCISO BASSOLS                                                                                     "</f>
        <v xml:space="preserve">NARCISO BASSOLS                                                                                     </v>
      </c>
      <c r="D1708" s="26" t="str">
        <f>"MATUTINO"</f>
        <v>MATUTINO</v>
      </c>
      <c r="E1708" s="26" t="str">
        <f>"MATEMATICAS S/N                                                                 "</f>
        <v xml:space="preserve">MATEMATICAS S/N                                                                 </v>
      </c>
      <c r="F1708" s="26" t="str">
        <f>"UNIDAD INFONAVIT EL ROSARIO                                                                                                                 "</f>
        <v xml:space="preserve">UNIDAD INFONAVIT EL ROSARIO                                                                                                                 </v>
      </c>
      <c r="G1708" s="26" t="str">
        <f>"AZCAPOTZALCO                                                                    "</f>
        <v xml:space="preserve">AZCAPOTZALCO                                                                    </v>
      </c>
      <c r="H1708" s="26" t="str">
        <f>"200"</f>
        <v>200</v>
      </c>
      <c r="I1708" s="26" t="str">
        <f t="shared" si="276"/>
        <v>00</v>
      </c>
      <c r="J1708" s="26" t="str">
        <f>"42 "</f>
        <v xml:space="preserve">42 </v>
      </c>
      <c r="K1708" s="26" t="str">
        <f>"PR"</f>
        <v>PR</v>
      </c>
      <c r="L1708" s="26" t="str">
        <f>"DGOSE"</f>
        <v>DGOSE</v>
      </c>
      <c r="M1708" s="26" t="str">
        <f t="shared" si="277"/>
        <v>FEDERAL</v>
      </c>
      <c r="N1708" s="26">
        <v>376</v>
      </c>
      <c r="O1708" s="26">
        <v>196</v>
      </c>
      <c r="P1708" s="26">
        <v>180</v>
      </c>
      <c r="Q1708" s="26">
        <v>14</v>
      </c>
      <c r="R1708" s="26">
        <v>1</v>
      </c>
      <c r="S1708" s="26">
        <v>14</v>
      </c>
      <c r="T1708" s="26">
        <v>11</v>
      </c>
      <c r="U1708" s="26">
        <v>26</v>
      </c>
      <c r="V1708" s="26">
        <v>1</v>
      </c>
      <c r="W1708" s="26"/>
    </row>
    <row r="1709" spans="1:23" x14ac:dyDescent="0.25">
      <c r="A1709" s="26" t="str">
        <f t="shared" si="275"/>
        <v>PRIMARIA</v>
      </c>
      <c r="B1709" s="26" t="str">
        <f>"09DPR3103E"</f>
        <v>09DPR3103E</v>
      </c>
      <c r="C1709" s="26" t="str">
        <f>"BELISARIO DOMINGUEZ                                                                                 "</f>
        <v xml:space="preserve">BELISARIO DOMINGUEZ                                                                                 </v>
      </c>
      <c r="D1709" s="26" t="str">
        <f>"MATUTINO"</f>
        <v>MATUTINO</v>
      </c>
      <c r="E1709" s="26" t="str">
        <f>"MONTE ENCINO NUM 14                                                             "</f>
        <v xml:space="preserve">MONTE ENCINO NUM 14                                                             </v>
      </c>
      <c r="F1709" s="26" t="str">
        <f>"JESUS DEL MONTE                                                                                                                             "</f>
        <v xml:space="preserve">JESUS DEL MONTE                                                                                                                             </v>
      </c>
      <c r="G1709" s="26" t="str">
        <f>"CUAJIMALPA DE MORELOS                                                           "</f>
        <v xml:space="preserve">CUAJIMALPA DE MORELOS                                                           </v>
      </c>
      <c r="H1709" s="26" t="str">
        <f>"302"</f>
        <v>302</v>
      </c>
      <c r="I1709" s="26" t="str">
        <f t="shared" si="276"/>
        <v>00</v>
      </c>
      <c r="J1709" s="26" t="str">
        <f>"43 "</f>
        <v xml:space="preserve">43 </v>
      </c>
      <c r="K1709" s="26" t="str">
        <f>"PR"</f>
        <v>PR</v>
      </c>
      <c r="L1709" s="26" t="str">
        <f>"DGOSE"</f>
        <v>DGOSE</v>
      </c>
      <c r="M1709" s="26" t="str">
        <f t="shared" si="277"/>
        <v>FEDERAL</v>
      </c>
      <c r="N1709" s="26">
        <v>681</v>
      </c>
      <c r="O1709" s="26">
        <v>340</v>
      </c>
      <c r="P1709" s="26">
        <v>341</v>
      </c>
      <c r="Q1709" s="26">
        <v>20</v>
      </c>
      <c r="R1709" s="26">
        <v>1</v>
      </c>
      <c r="S1709" s="26">
        <v>20</v>
      </c>
      <c r="T1709" s="26">
        <v>9</v>
      </c>
      <c r="U1709" s="26">
        <v>30</v>
      </c>
      <c r="V1709" s="26">
        <v>1</v>
      </c>
      <c r="W1709" s="26"/>
    </row>
    <row r="1710" spans="1:23" x14ac:dyDescent="0.25">
      <c r="A1710" s="26" t="str">
        <f t="shared" si="275"/>
        <v>PRIMARIA</v>
      </c>
      <c r="B1710" s="26" t="str">
        <f>"09DPR3104D"</f>
        <v>09DPR3104D</v>
      </c>
      <c r="C1710" s="26" t="str">
        <f>"ROSARIO MA. GUTIERREZ ESKILDSEN                                                                     "</f>
        <v xml:space="preserve">ROSARIO MA. GUTIERREZ ESKILDSEN                                                                     </v>
      </c>
      <c r="D1710" s="26" t="str">
        <f>"VESPERTINO"</f>
        <v>VESPERTINO</v>
      </c>
      <c r="E1710" s="26" t="str">
        <f>"GERMANIO NO. 98 Y SILICIO                                                       "</f>
        <v xml:space="preserve">GERMANIO NO. 98 Y SILICIO                                                       </v>
      </c>
      <c r="F1710" s="26" t="str">
        <f>"EL MANTO                                                                                                                                    "</f>
        <v xml:space="preserve">EL MANTO                                                                                                                                    </v>
      </c>
      <c r="G1710" s="26" t="str">
        <f>"IZTAPALAPA                                                                      "</f>
        <v xml:space="preserve">IZTAPALAPA                                                                      </v>
      </c>
      <c r="H1710" s="26" t="str">
        <f>"046"</f>
        <v>046</v>
      </c>
      <c r="I1710" s="26" t="str">
        <f t="shared" si="276"/>
        <v>00</v>
      </c>
      <c r="J1710" s="26" t="str">
        <f>"63 "</f>
        <v xml:space="preserve">63 </v>
      </c>
      <c r="K1710" s="26" t="str">
        <f>"IZ"</f>
        <v>IZ</v>
      </c>
      <c r="L1710" s="26" t="str">
        <f>"DGSEI"</f>
        <v>DGSEI</v>
      </c>
      <c r="M1710" s="26" t="str">
        <f t="shared" si="277"/>
        <v>FEDERAL</v>
      </c>
      <c r="N1710" s="26">
        <v>128</v>
      </c>
      <c r="O1710" s="26">
        <v>66</v>
      </c>
      <c r="P1710" s="26">
        <v>62</v>
      </c>
      <c r="Q1710" s="26">
        <v>7</v>
      </c>
      <c r="R1710" s="26">
        <v>1</v>
      </c>
      <c r="S1710" s="26">
        <v>7</v>
      </c>
      <c r="T1710" s="26">
        <v>5</v>
      </c>
      <c r="U1710" s="26">
        <v>13</v>
      </c>
      <c r="V1710" s="26">
        <v>1</v>
      </c>
      <c r="W1710" s="26"/>
    </row>
    <row r="1711" spans="1:23" x14ac:dyDescent="0.25">
      <c r="A1711" s="26" t="str">
        <f t="shared" si="275"/>
        <v>PRIMARIA</v>
      </c>
      <c r="B1711" s="26" t="str">
        <f>"09DPR3105C"</f>
        <v>09DPR3105C</v>
      </c>
      <c r="C1711" s="26" t="str">
        <f>"FERNANDO MONTES DE OCA                                                                              "</f>
        <v xml:space="preserve">FERNANDO MONTES DE OCA                                                                              </v>
      </c>
      <c r="D1711" s="26" t="str">
        <f>"MATUTINO"</f>
        <v>MATUTINO</v>
      </c>
      <c r="E1711" s="26" t="str">
        <f>"HERMANDAD NUM 313                                                               "</f>
        <v xml:space="preserve">HERMANDAD NUM 313                                                               </v>
      </c>
      <c r="F1711" s="26" t="str">
        <f>"GRANJAS DE NAVIDAD                                                                                                                          "</f>
        <v xml:space="preserve">GRANJAS DE NAVIDAD                                                                                                                          </v>
      </c>
      <c r="G1711" s="26" t="str">
        <f>"CUAJIMALPA DE MORELOS                                                           "</f>
        <v xml:space="preserve">CUAJIMALPA DE MORELOS                                                           </v>
      </c>
      <c r="H1711" s="26" t="str">
        <f>"301"</f>
        <v>301</v>
      </c>
      <c r="I1711" s="26" t="str">
        <f t="shared" si="276"/>
        <v>00</v>
      </c>
      <c r="J1711" s="26" t="str">
        <f>"43 "</f>
        <v xml:space="preserve">43 </v>
      </c>
      <c r="K1711" s="26" t="str">
        <f>"PR"</f>
        <v>PR</v>
      </c>
      <c r="L1711" s="26" t="str">
        <f>"DGOSE"</f>
        <v>DGOSE</v>
      </c>
      <c r="M1711" s="26" t="str">
        <f t="shared" si="277"/>
        <v>FEDERAL</v>
      </c>
      <c r="N1711" s="26">
        <v>578</v>
      </c>
      <c r="O1711" s="26">
        <v>292</v>
      </c>
      <c r="P1711" s="26">
        <v>286</v>
      </c>
      <c r="Q1711" s="26">
        <v>20</v>
      </c>
      <c r="R1711" s="26">
        <v>1</v>
      </c>
      <c r="S1711" s="26">
        <v>20</v>
      </c>
      <c r="T1711" s="26">
        <v>10</v>
      </c>
      <c r="U1711" s="26">
        <v>31</v>
      </c>
      <c r="V1711" s="26">
        <v>1</v>
      </c>
      <c r="W1711" s="26"/>
    </row>
    <row r="1712" spans="1:23" x14ac:dyDescent="0.25">
      <c r="A1712" s="26" t="str">
        <f t="shared" si="275"/>
        <v>PRIMARIA</v>
      </c>
      <c r="B1712" s="26" t="str">
        <f>"09DPR3106B"</f>
        <v>09DPR3106B</v>
      </c>
      <c r="C1712" s="26" t="str">
        <f>"GREGORIO TORRES QUINTERO                                                                            "</f>
        <v xml:space="preserve">GREGORIO TORRES QUINTERO                                                                            </v>
      </c>
      <c r="D1712" s="26" t="str">
        <f>"VESPERTINO"</f>
        <v>VESPERTINO</v>
      </c>
      <c r="E1712" s="26" t="str">
        <f>"HOMBRES ILUSTRES NO 101                                                         "</f>
        <v xml:space="preserve">HOMBRES ILUSTRES NO 101                                                         </v>
      </c>
      <c r="F1712" s="26" t="str">
        <f>"SANTA CECILIA TEPETLAPA                                                                                                                     "</f>
        <v xml:space="preserve">SANTA CECILIA TEPETLAPA                                                                                                                     </v>
      </c>
      <c r="G1712" s="26" t="str">
        <f>"XOCHIMILCO                                                                      "</f>
        <v xml:space="preserve">XOCHIMILCO                                                                      </v>
      </c>
      <c r="H1712" s="26" t="str">
        <f>"541"</f>
        <v>541</v>
      </c>
      <c r="I1712" s="26" t="str">
        <f t="shared" si="276"/>
        <v>00</v>
      </c>
      <c r="J1712" s="26" t="str">
        <f>"45 "</f>
        <v xml:space="preserve">45 </v>
      </c>
      <c r="K1712" s="26" t="str">
        <f>"PR"</f>
        <v>PR</v>
      </c>
      <c r="L1712" s="26" t="str">
        <f>"DGOSE"</f>
        <v>DGOSE</v>
      </c>
      <c r="M1712" s="26" t="str">
        <f t="shared" si="277"/>
        <v>FEDERAL</v>
      </c>
      <c r="N1712" s="26">
        <v>241</v>
      </c>
      <c r="O1712" s="26">
        <v>133</v>
      </c>
      <c r="P1712" s="26">
        <v>108</v>
      </c>
      <c r="Q1712" s="26">
        <v>11</v>
      </c>
      <c r="R1712" s="26">
        <v>1</v>
      </c>
      <c r="S1712" s="26">
        <v>11</v>
      </c>
      <c r="T1712" s="26">
        <v>4</v>
      </c>
      <c r="U1712" s="26">
        <v>16</v>
      </c>
      <c r="V1712" s="26">
        <v>1</v>
      </c>
      <c r="W1712" s="26"/>
    </row>
    <row r="1713" spans="1:23" x14ac:dyDescent="0.25">
      <c r="A1713" s="26" t="str">
        <f t="shared" si="275"/>
        <v>PRIMARIA</v>
      </c>
      <c r="B1713" s="26" t="str">
        <f>"09DPR3108Z"</f>
        <v>09DPR3108Z</v>
      </c>
      <c r="C1713" s="26" t="str">
        <f>"RICARDO GARCIA ZAMUDIO                                                                              "</f>
        <v xml:space="preserve">RICARDO GARCIA ZAMUDIO                                                                              </v>
      </c>
      <c r="D1713" s="26" t="str">
        <f>"MATUTINO"</f>
        <v>MATUTINO</v>
      </c>
      <c r="E1713" s="26" t="str">
        <f>"ORO NO. 1                                                                       "</f>
        <v xml:space="preserve">ORO NO. 1                                                                       </v>
      </c>
      <c r="F1713" s="26" t="str">
        <f>"SANTIAGO ACAHUALTEPEC 2A AMPLIACION                                                                                                         "</f>
        <v xml:space="preserve">SANTIAGO ACAHUALTEPEC 2A AMPLIACION                                                                                                         </v>
      </c>
      <c r="G1713" s="26" t="str">
        <f>"IZTAPALAPA                                                                      "</f>
        <v xml:space="preserve">IZTAPALAPA                                                                      </v>
      </c>
      <c r="H1713" s="26" t="str">
        <f>"064"</f>
        <v>064</v>
      </c>
      <c r="I1713" s="26" t="str">
        <f t="shared" si="276"/>
        <v>00</v>
      </c>
      <c r="J1713" s="26" t="str">
        <f>"64 "</f>
        <v xml:space="preserve">64 </v>
      </c>
      <c r="K1713" s="26" t="str">
        <f>"IZ"</f>
        <v>IZ</v>
      </c>
      <c r="L1713" s="26" t="str">
        <f>"DGSEI"</f>
        <v>DGSEI</v>
      </c>
      <c r="M1713" s="26" t="str">
        <f t="shared" si="277"/>
        <v>FEDERAL</v>
      </c>
      <c r="N1713" s="26">
        <v>732</v>
      </c>
      <c r="O1713" s="26">
        <v>360</v>
      </c>
      <c r="P1713" s="26">
        <v>372</v>
      </c>
      <c r="Q1713" s="26">
        <v>21</v>
      </c>
      <c r="R1713" s="26">
        <v>1</v>
      </c>
      <c r="S1713" s="26">
        <v>20</v>
      </c>
      <c r="T1713" s="26">
        <v>8</v>
      </c>
      <c r="U1713" s="26">
        <v>29</v>
      </c>
      <c r="V1713" s="26">
        <v>1</v>
      </c>
      <c r="W1713" s="26"/>
    </row>
    <row r="1714" spans="1:23" x14ac:dyDescent="0.25">
      <c r="A1714" s="26" t="str">
        <f t="shared" si="275"/>
        <v>PRIMARIA</v>
      </c>
      <c r="B1714" s="26" t="str">
        <f>"09DPR3109Z"</f>
        <v>09DPR3109Z</v>
      </c>
      <c r="C1714" s="26" t="str">
        <f>"MARTIN LUIS GUZMAN                                                                                  "</f>
        <v xml:space="preserve">MARTIN LUIS GUZMAN                                                                                  </v>
      </c>
      <c r="D1714" s="26" t="str">
        <f>"JORNADA AMPLIADA"</f>
        <v>JORNADA AMPLIADA</v>
      </c>
      <c r="E1714" s="26" t="str">
        <f>"COATL S/N                                                                       "</f>
        <v xml:space="preserve">COATL S/N                                                                       </v>
      </c>
      <c r="F1714" s="26" t="str">
        <f>"PEDREGAL DE SANTO DOMINGO                                                                                                                   "</f>
        <v xml:space="preserve">PEDREGAL DE SANTO DOMINGO                                                                                                                   </v>
      </c>
      <c r="G1714" s="26" t="str">
        <f>"COYOACAN                                                                        "</f>
        <v xml:space="preserve">COYOACAN                                                                        </v>
      </c>
      <c r="H1714" s="26" t="str">
        <f>"437"</f>
        <v>437</v>
      </c>
      <c r="I1714" s="26" t="str">
        <f t="shared" si="276"/>
        <v>00</v>
      </c>
      <c r="J1714" s="26" t="str">
        <f>"44 "</f>
        <v xml:space="preserve">44 </v>
      </c>
      <c r="K1714" s="26" t="str">
        <f t="shared" ref="K1714:K1720" si="280">"PR"</f>
        <v>PR</v>
      </c>
      <c r="L1714" s="26" t="str">
        <f t="shared" ref="L1714:L1720" si="281">"DGOSE"</f>
        <v>DGOSE</v>
      </c>
      <c r="M1714" s="26" t="str">
        <f t="shared" si="277"/>
        <v>FEDERAL</v>
      </c>
      <c r="N1714" s="26">
        <v>708</v>
      </c>
      <c r="O1714" s="26">
        <v>353</v>
      </c>
      <c r="P1714" s="26">
        <v>355</v>
      </c>
      <c r="Q1714" s="26">
        <v>21</v>
      </c>
      <c r="R1714" s="26">
        <v>1</v>
      </c>
      <c r="S1714" s="26">
        <v>21</v>
      </c>
      <c r="T1714" s="26">
        <v>13</v>
      </c>
      <c r="U1714" s="26">
        <v>35</v>
      </c>
      <c r="V1714" s="26">
        <v>1</v>
      </c>
      <c r="W1714" s="26" t="s">
        <v>2076</v>
      </c>
    </row>
    <row r="1715" spans="1:23" x14ac:dyDescent="0.25">
      <c r="A1715" s="26" t="str">
        <f t="shared" si="275"/>
        <v>PRIMARIA</v>
      </c>
      <c r="B1715" s="26" t="str">
        <f>"09DPR3118G"</f>
        <v>09DPR3118G</v>
      </c>
      <c r="C1715" s="26" t="str">
        <f>"JOSE MARIA MORELOS                                                                                  "</f>
        <v xml:space="preserve">JOSE MARIA MORELOS                                                                                  </v>
      </c>
      <c r="D1715" s="26" t="str">
        <f>"VESPERTINO"</f>
        <v>VESPERTINO</v>
      </c>
      <c r="E1715" s="26" t="str">
        <f>"AV SINALOA NORTE S/N                                                            "</f>
        <v xml:space="preserve">AV SINALOA NORTE S/N                                                            </v>
      </c>
      <c r="F1715" s="26" t="str">
        <f>"SANTA MARTA BARRIO                                                                                                                          "</f>
        <v xml:space="preserve">SANTA MARTA BARRIO                                                                                                                          </v>
      </c>
      <c r="G1715" s="26" t="str">
        <f>"MILPA ALTA                                                                      "</f>
        <v xml:space="preserve">MILPA ALTA                                                                      </v>
      </c>
      <c r="H1715" s="26" t="str">
        <f>"563"</f>
        <v>563</v>
      </c>
      <c r="I1715" s="26" t="str">
        <f t="shared" si="276"/>
        <v>00</v>
      </c>
      <c r="J1715" s="26" t="str">
        <f>"45 "</f>
        <v xml:space="preserve">45 </v>
      </c>
      <c r="K1715" s="26" t="str">
        <f t="shared" si="280"/>
        <v>PR</v>
      </c>
      <c r="L1715" s="26" t="str">
        <f t="shared" si="281"/>
        <v>DGOSE</v>
      </c>
      <c r="M1715" s="26" t="str">
        <f t="shared" si="277"/>
        <v>FEDERAL</v>
      </c>
      <c r="N1715" s="26">
        <v>408</v>
      </c>
      <c r="O1715" s="26">
        <v>191</v>
      </c>
      <c r="P1715" s="26">
        <v>217</v>
      </c>
      <c r="Q1715" s="26">
        <v>18</v>
      </c>
      <c r="R1715" s="26">
        <v>1</v>
      </c>
      <c r="S1715" s="26">
        <v>18</v>
      </c>
      <c r="T1715" s="26">
        <v>5</v>
      </c>
      <c r="U1715" s="26">
        <v>24</v>
      </c>
      <c r="V1715" s="26">
        <v>1</v>
      </c>
      <c r="W1715" s="26"/>
    </row>
    <row r="1716" spans="1:23" x14ac:dyDescent="0.25">
      <c r="A1716" s="26" t="str">
        <f t="shared" si="275"/>
        <v>PRIMARIA</v>
      </c>
      <c r="B1716" s="26" t="str">
        <f>"09DPR3119F"</f>
        <v>09DPR3119F</v>
      </c>
      <c r="C1716" s="26" t="str">
        <f>"PROFR. URBANO LAVIN ROMAN                                                                           "</f>
        <v xml:space="preserve">PROFR. URBANO LAVIN ROMAN                                                                           </v>
      </c>
      <c r="D1716" s="26" t="str">
        <f>"VESPERTINO"</f>
        <v>VESPERTINO</v>
      </c>
      <c r="E1716" s="26" t="str">
        <f>"DON GIOVANNI Y NICOLAS CHAMPION S/ N                                            "</f>
        <v xml:space="preserve">DON GIOVANNI Y NICOLAS CHAMPION S/ N                                            </v>
      </c>
      <c r="F1716" s="26" t="str">
        <f>"MIGUEL HIDALGO                                                                                                                              "</f>
        <v xml:space="preserve">MIGUEL HIDALGO                                                                                                                              </v>
      </c>
      <c r="G1716" s="26" t="str">
        <f>"TLAHUAC                                                                         "</f>
        <v xml:space="preserve">TLAHUAC                                                                         </v>
      </c>
      <c r="H1716" s="26" t="str">
        <f>"548"</f>
        <v>548</v>
      </c>
      <c r="I1716" s="26" t="str">
        <f t="shared" si="276"/>
        <v>00</v>
      </c>
      <c r="J1716" s="26" t="str">
        <f>"45 "</f>
        <v xml:space="preserve">45 </v>
      </c>
      <c r="K1716" s="26" t="str">
        <f t="shared" si="280"/>
        <v>PR</v>
      </c>
      <c r="L1716" s="26" t="str">
        <f t="shared" si="281"/>
        <v>DGOSE</v>
      </c>
      <c r="M1716" s="26" t="str">
        <f t="shared" si="277"/>
        <v>FEDERAL</v>
      </c>
      <c r="N1716" s="26">
        <v>376</v>
      </c>
      <c r="O1716" s="26">
        <v>197</v>
      </c>
      <c r="P1716" s="26">
        <v>179</v>
      </c>
      <c r="Q1716" s="26">
        <v>15</v>
      </c>
      <c r="R1716" s="26">
        <v>1</v>
      </c>
      <c r="S1716" s="26">
        <v>8</v>
      </c>
      <c r="T1716" s="26">
        <v>13</v>
      </c>
      <c r="U1716" s="26">
        <v>22</v>
      </c>
      <c r="V1716" s="26">
        <v>1</v>
      </c>
      <c r="W1716" s="26"/>
    </row>
    <row r="1717" spans="1:23" x14ac:dyDescent="0.25">
      <c r="A1717" s="26" t="str">
        <f t="shared" si="275"/>
        <v>PRIMARIA</v>
      </c>
      <c r="B1717" s="26" t="str">
        <f>"09DPR3120V"</f>
        <v>09DPR3120V</v>
      </c>
      <c r="C1717" s="26" t="str">
        <f>"ANTON SEMIONOVICH MAKARENKO                                                                         "</f>
        <v xml:space="preserve">ANTON SEMIONOVICH MAKARENKO                                                                         </v>
      </c>
      <c r="D1717" s="26" t="str">
        <f>"MATUTINO"</f>
        <v>MATUTINO</v>
      </c>
      <c r="E1717" s="26" t="str">
        <f>"GRALA. ANTONIA NAVA Y CORONELAS                                                 "</f>
        <v xml:space="preserve">GRALA. ANTONIA NAVA Y CORONELAS                                                 </v>
      </c>
      <c r="F1717" s="26" t="str">
        <f>"CARMEN SERDAN                                                                                                                               "</f>
        <v xml:space="preserve">CARMEN SERDAN                                                                                                                               </v>
      </c>
      <c r="G1717" s="26" t="str">
        <f>"COYOACAN                                                                        "</f>
        <v xml:space="preserve">COYOACAN                                                                        </v>
      </c>
      <c r="H1717" s="26" t="str">
        <f>"510"</f>
        <v>510</v>
      </c>
      <c r="I1717" s="26" t="str">
        <f t="shared" si="276"/>
        <v>00</v>
      </c>
      <c r="J1717" s="26" t="str">
        <f>"45 "</f>
        <v xml:space="preserve">45 </v>
      </c>
      <c r="K1717" s="26" t="str">
        <f t="shared" si="280"/>
        <v>PR</v>
      </c>
      <c r="L1717" s="26" t="str">
        <f t="shared" si="281"/>
        <v>DGOSE</v>
      </c>
      <c r="M1717" s="26" t="str">
        <f t="shared" si="277"/>
        <v>FEDERAL</v>
      </c>
      <c r="N1717" s="26">
        <v>297</v>
      </c>
      <c r="O1717" s="26">
        <v>154</v>
      </c>
      <c r="P1717" s="26">
        <v>143</v>
      </c>
      <c r="Q1717" s="26">
        <v>12</v>
      </c>
      <c r="R1717" s="26">
        <v>1</v>
      </c>
      <c r="S1717" s="26">
        <v>12</v>
      </c>
      <c r="T1717" s="26">
        <v>7</v>
      </c>
      <c r="U1717" s="26">
        <v>20</v>
      </c>
      <c r="V1717" s="26">
        <v>1</v>
      </c>
      <c r="W1717" s="26"/>
    </row>
    <row r="1718" spans="1:23" x14ac:dyDescent="0.25">
      <c r="A1718" s="26" t="str">
        <f t="shared" si="275"/>
        <v>PRIMARIA</v>
      </c>
      <c r="B1718" s="26" t="str">
        <f>"09DPR3122T"</f>
        <v>09DPR3122T</v>
      </c>
      <c r="C1718" s="26" t="str">
        <f>"AURELIANO CASTILLO                                                                                  "</f>
        <v xml:space="preserve">AURELIANO CASTILLO                                                                                  </v>
      </c>
      <c r="D1718" s="26" t="str">
        <f>"VESPERTINO"</f>
        <v>VESPERTINO</v>
      </c>
      <c r="E1718" s="26" t="str">
        <f>"FLORICULTOR NO 2                                                                "</f>
        <v xml:space="preserve">FLORICULTOR NO 2                                                                </v>
      </c>
      <c r="F1718" s="26" t="str">
        <f>"SAN LUIS TLAXIALTEMALCO                                                                                                                     "</f>
        <v xml:space="preserve">SAN LUIS TLAXIALTEMALCO                                                                                                                     </v>
      </c>
      <c r="G1718" s="26" t="str">
        <f>"XOCHIMILCO                                                                      "</f>
        <v xml:space="preserve">XOCHIMILCO                                                                      </v>
      </c>
      <c r="H1718" s="26" t="str">
        <f>"543"</f>
        <v>543</v>
      </c>
      <c r="I1718" s="26" t="str">
        <f t="shared" si="276"/>
        <v>00</v>
      </c>
      <c r="J1718" s="26" t="str">
        <f>"45 "</f>
        <v xml:space="preserve">45 </v>
      </c>
      <c r="K1718" s="26" t="str">
        <f t="shared" si="280"/>
        <v>PR</v>
      </c>
      <c r="L1718" s="26" t="str">
        <f t="shared" si="281"/>
        <v>DGOSE</v>
      </c>
      <c r="M1718" s="26" t="str">
        <f t="shared" si="277"/>
        <v>FEDERAL</v>
      </c>
      <c r="N1718" s="26">
        <v>704</v>
      </c>
      <c r="O1718" s="26">
        <v>352</v>
      </c>
      <c r="P1718" s="26">
        <v>352</v>
      </c>
      <c r="Q1718" s="26">
        <v>22</v>
      </c>
      <c r="R1718" s="26">
        <v>1</v>
      </c>
      <c r="S1718" s="26">
        <v>19</v>
      </c>
      <c r="T1718" s="26">
        <v>8</v>
      </c>
      <c r="U1718" s="26">
        <v>28</v>
      </c>
      <c r="V1718" s="26">
        <v>1</v>
      </c>
      <c r="W1718" s="26"/>
    </row>
    <row r="1719" spans="1:23" x14ac:dyDescent="0.25">
      <c r="A1719" s="26" t="str">
        <f t="shared" si="275"/>
        <v>PRIMARIA</v>
      </c>
      <c r="B1719" s="26" t="str">
        <f>"09DPR3123S"</f>
        <v>09DPR3123S</v>
      </c>
      <c r="C1719" s="26" t="str">
        <f>"PROFR. OTILIO MONTAÑO                                                                               "</f>
        <v xml:space="preserve">PROFR. OTILIO MONTAÑO                                                                               </v>
      </c>
      <c r="D1719" s="26" t="str">
        <f>"MATUTINO"</f>
        <v>MATUTINO</v>
      </c>
      <c r="E1719" s="26" t="str">
        <f>"RONDALLA S/N                                                                    "</f>
        <v xml:space="preserve">RONDALLA S/N                                                                    </v>
      </c>
      <c r="F1719" s="26" t="str">
        <f>"SAN JOSE                                                                                                                                    "</f>
        <v xml:space="preserve">SAN JOSE                                                                                                                                    </v>
      </c>
      <c r="G1719" s="26" t="str">
        <f>"TLAHUAC                                                                         "</f>
        <v xml:space="preserve">TLAHUAC                                                                         </v>
      </c>
      <c r="H1719" s="26" t="str">
        <f>"557"</f>
        <v>557</v>
      </c>
      <c r="I1719" s="26" t="str">
        <f t="shared" si="276"/>
        <v>00</v>
      </c>
      <c r="J1719" s="26" t="str">
        <f>"45 "</f>
        <v xml:space="preserve">45 </v>
      </c>
      <c r="K1719" s="26" t="str">
        <f t="shared" si="280"/>
        <v>PR</v>
      </c>
      <c r="L1719" s="26" t="str">
        <f t="shared" si="281"/>
        <v>DGOSE</v>
      </c>
      <c r="M1719" s="26" t="str">
        <f t="shared" si="277"/>
        <v>FEDERAL</v>
      </c>
      <c r="N1719" s="26">
        <v>679</v>
      </c>
      <c r="O1719" s="26">
        <v>339</v>
      </c>
      <c r="P1719" s="26">
        <v>340</v>
      </c>
      <c r="Q1719" s="26">
        <v>18</v>
      </c>
      <c r="R1719" s="26">
        <v>1</v>
      </c>
      <c r="S1719" s="26">
        <v>17</v>
      </c>
      <c r="T1719" s="26">
        <v>10</v>
      </c>
      <c r="U1719" s="26">
        <v>28</v>
      </c>
      <c r="V1719" s="26">
        <v>1</v>
      </c>
      <c r="W1719" s="26"/>
    </row>
    <row r="1720" spans="1:23" x14ac:dyDescent="0.25">
      <c r="A1720" s="26" t="str">
        <f t="shared" si="275"/>
        <v>PRIMARIA</v>
      </c>
      <c r="B1720" s="26" t="str">
        <f>"09DPR3125Q"</f>
        <v>09DPR3125Q</v>
      </c>
      <c r="C1720" s="26" t="str">
        <f>"GRAL. HERIBERTO JARA                                                                                "</f>
        <v xml:space="preserve">GRAL. HERIBERTO JARA                                                                                </v>
      </c>
      <c r="D1720" s="26" t="str">
        <f>"MATUTINO"</f>
        <v>MATUTINO</v>
      </c>
      <c r="E1720" s="26" t="str">
        <f>"MANUEL ESPERON Y TATA NACHO S/N                                                 "</f>
        <v xml:space="preserve">MANUEL ESPERON Y TATA NACHO S/N                                                 </v>
      </c>
      <c r="F1720" s="26" t="str">
        <f>"EL TEPETATAL                                                                                                                                "</f>
        <v xml:space="preserve">EL TEPETATAL                                                                                                                                </v>
      </c>
      <c r="G1720" s="26" t="str">
        <f>"GUSTAVO A. MADERO                                                               "</f>
        <v xml:space="preserve">GUSTAVO A. MADERO                                                               </v>
      </c>
      <c r="H1720" s="26" t="str">
        <f>"226"</f>
        <v>226</v>
      </c>
      <c r="I1720" s="26" t="str">
        <f t="shared" si="276"/>
        <v>00</v>
      </c>
      <c r="J1720" s="26" t="str">
        <f>"42 "</f>
        <v xml:space="preserve">42 </v>
      </c>
      <c r="K1720" s="26" t="str">
        <f t="shared" si="280"/>
        <v>PR</v>
      </c>
      <c r="L1720" s="26" t="str">
        <f t="shared" si="281"/>
        <v>DGOSE</v>
      </c>
      <c r="M1720" s="26" t="str">
        <f t="shared" si="277"/>
        <v>FEDERAL</v>
      </c>
      <c r="N1720" s="26">
        <v>648</v>
      </c>
      <c r="O1720" s="26">
        <v>329</v>
      </c>
      <c r="P1720" s="26">
        <v>319</v>
      </c>
      <c r="Q1720" s="26">
        <v>18</v>
      </c>
      <c r="R1720" s="26">
        <v>1</v>
      </c>
      <c r="S1720" s="26">
        <v>18</v>
      </c>
      <c r="T1720" s="26">
        <v>10</v>
      </c>
      <c r="U1720" s="26">
        <v>29</v>
      </c>
      <c r="V1720" s="26">
        <v>1</v>
      </c>
      <c r="W1720" s="26"/>
    </row>
    <row r="1721" spans="1:23" x14ac:dyDescent="0.25">
      <c r="A1721" s="26" t="str">
        <f t="shared" si="275"/>
        <v>PRIMARIA</v>
      </c>
      <c r="B1721" s="26" t="str">
        <f>"09DPR3126P"</f>
        <v>09DPR3126P</v>
      </c>
      <c r="C1721" s="26" t="str">
        <f>"EL SEGURO DEL MAESTRO                                                                               "</f>
        <v xml:space="preserve">EL SEGURO DEL MAESTRO                                                                               </v>
      </c>
      <c r="D1721" s="26" t="str">
        <f>"MATUTINO"</f>
        <v>MATUTINO</v>
      </c>
      <c r="E1721" s="26" t="str">
        <f>"AND. CHITO VILLAGRAN NO. 36 2DA. SECCION                                        "</f>
        <v xml:space="preserve">AND. CHITO VILLAGRAN NO. 36 2DA. SECCION                                        </v>
      </c>
      <c r="F1721" s="26" t="str">
        <f>"CONJUNTO URBANO POPULAR ERMITA ZARA                                                                                                         "</f>
        <v xml:space="preserve">CONJUNTO URBANO POPULAR ERMITA ZARA                                                                                                         </v>
      </c>
      <c r="G1721" s="26" t="str">
        <f>"IZTAPALAPA                                                                      "</f>
        <v xml:space="preserve">IZTAPALAPA                                                                      </v>
      </c>
      <c r="H1721" s="26" t="str">
        <f>"032"</f>
        <v>032</v>
      </c>
      <c r="I1721" s="26" t="str">
        <f t="shared" si="276"/>
        <v>00</v>
      </c>
      <c r="J1721" s="26" t="str">
        <f>"62 "</f>
        <v xml:space="preserve">62 </v>
      </c>
      <c r="K1721" s="26" t="str">
        <f>"IZ"</f>
        <v>IZ</v>
      </c>
      <c r="L1721" s="26" t="str">
        <f>"DGSEI"</f>
        <v>DGSEI</v>
      </c>
      <c r="M1721" s="26" t="str">
        <f t="shared" si="277"/>
        <v>FEDERAL</v>
      </c>
      <c r="N1721" s="26">
        <v>215</v>
      </c>
      <c r="O1721" s="26">
        <v>108</v>
      </c>
      <c r="P1721" s="26">
        <v>107</v>
      </c>
      <c r="Q1721" s="26">
        <v>9</v>
      </c>
      <c r="R1721" s="26">
        <v>1</v>
      </c>
      <c r="S1721" s="26">
        <v>6</v>
      </c>
      <c r="T1721" s="26">
        <v>8</v>
      </c>
      <c r="U1721" s="26">
        <v>15</v>
      </c>
      <c r="V1721" s="26">
        <v>1</v>
      </c>
      <c r="W1721" s="26"/>
    </row>
    <row r="1722" spans="1:23" x14ac:dyDescent="0.25">
      <c r="A1722" s="26" t="str">
        <f t="shared" si="275"/>
        <v>PRIMARIA</v>
      </c>
      <c r="B1722" s="26" t="str">
        <f>"09DPR3127O"</f>
        <v>09DPR3127O</v>
      </c>
      <c r="C1722" s="26" t="str">
        <f>"CULTURA AZTECA                                                                                      "</f>
        <v xml:space="preserve">CULTURA AZTECA                                                                                      </v>
      </c>
      <c r="D1722" s="26" t="str">
        <f>"MATUTINO"</f>
        <v>MATUTINO</v>
      </c>
      <c r="E1722" s="26" t="str">
        <f>"AV YUCATAN SUR S/N                                                              "</f>
        <v xml:space="preserve">AV YUCATAN SUR S/N                                                              </v>
      </c>
      <c r="F1722" s="26" t="str">
        <f>"LA CONCEPCION BARRIO                                                                                                                        "</f>
        <v xml:space="preserve">LA CONCEPCION BARRIO                                                                                                                        </v>
      </c>
      <c r="G1722" s="26" t="str">
        <f>"MILPA ALTA                                                                      "</f>
        <v xml:space="preserve">MILPA ALTA                                                                      </v>
      </c>
      <c r="H1722" s="26" t="str">
        <f>"563"</f>
        <v>563</v>
      </c>
      <c r="I1722" s="26" t="str">
        <f t="shared" si="276"/>
        <v>00</v>
      </c>
      <c r="J1722" s="26" t="str">
        <f>"45 "</f>
        <v xml:space="preserve">45 </v>
      </c>
      <c r="K1722" s="26" t="str">
        <f t="shared" ref="K1722:K1727" si="282">"PR"</f>
        <v>PR</v>
      </c>
      <c r="L1722" s="26" t="str">
        <f t="shared" ref="L1722:L1727" si="283">"DGOSE"</f>
        <v>DGOSE</v>
      </c>
      <c r="M1722" s="26" t="str">
        <f t="shared" si="277"/>
        <v>FEDERAL</v>
      </c>
      <c r="N1722" s="26">
        <v>756</v>
      </c>
      <c r="O1722" s="26">
        <v>379</v>
      </c>
      <c r="P1722" s="26">
        <v>377</v>
      </c>
      <c r="Q1722" s="26">
        <v>19</v>
      </c>
      <c r="R1722" s="26">
        <v>1</v>
      </c>
      <c r="S1722" s="26">
        <v>19</v>
      </c>
      <c r="T1722" s="26">
        <v>8</v>
      </c>
      <c r="U1722" s="26">
        <v>28</v>
      </c>
      <c r="V1722" s="26">
        <v>1</v>
      </c>
      <c r="W1722" s="26"/>
    </row>
    <row r="1723" spans="1:23" x14ac:dyDescent="0.25">
      <c r="A1723" s="26" t="str">
        <f t="shared" si="275"/>
        <v>PRIMARIA</v>
      </c>
      <c r="B1723" s="26" t="str">
        <f>"09DPR3128N"</f>
        <v>09DPR3128N</v>
      </c>
      <c r="C1723" s="26" t="str">
        <f>"CULTURA AZTECA                                                                                      "</f>
        <v xml:space="preserve">CULTURA AZTECA                                                                                      </v>
      </c>
      <c r="D1723" s="26" t="str">
        <f>"VESPERTINO"</f>
        <v>VESPERTINO</v>
      </c>
      <c r="E1723" s="26" t="str">
        <f>"AV YUCATAN SUR S/N                                                              "</f>
        <v xml:space="preserve">AV YUCATAN SUR S/N                                                              </v>
      </c>
      <c r="F1723" s="26" t="str">
        <f>"LA CONCEPCION BARRIO                                                                                                                        "</f>
        <v xml:space="preserve">LA CONCEPCION BARRIO                                                                                                                        </v>
      </c>
      <c r="G1723" s="26" t="str">
        <f>"MILPA ALTA                                                                      "</f>
        <v xml:space="preserve">MILPA ALTA                                                                      </v>
      </c>
      <c r="H1723" s="26" t="str">
        <f>"563"</f>
        <v>563</v>
      </c>
      <c r="I1723" s="26" t="str">
        <f t="shared" si="276"/>
        <v>00</v>
      </c>
      <c r="J1723" s="26" t="str">
        <f>"45 "</f>
        <v xml:space="preserve">45 </v>
      </c>
      <c r="K1723" s="26" t="str">
        <f t="shared" si="282"/>
        <v>PR</v>
      </c>
      <c r="L1723" s="26" t="str">
        <f t="shared" si="283"/>
        <v>DGOSE</v>
      </c>
      <c r="M1723" s="26" t="str">
        <f t="shared" si="277"/>
        <v>FEDERAL</v>
      </c>
      <c r="N1723" s="26">
        <v>460</v>
      </c>
      <c r="O1723" s="26">
        <v>249</v>
      </c>
      <c r="P1723" s="26">
        <v>211</v>
      </c>
      <c r="Q1723" s="26">
        <v>23</v>
      </c>
      <c r="R1723" s="26">
        <v>1</v>
      </c>
      <c r="S1723" s="26">
        <v>19</v>
      </c>
      <c r="T1723" s="26">
        <v>13</v>
      </c>
      <c r="U1723" s="26">
        <v>33</v>
      </c>
      <c r="V1723" s="26">
        <v>1</v>
      </c>
      <c r="W1723" s="26"/>
    </row>
    <row r="1724" spans="1:23" x14ac:dyDescent="0.25">
      <c r="A1724" s="26" t="str">
        <f t="shared" si="275"/>
        <v>PRIMARIA</v>
      </c>
      <c r="B1724" s="26" t="str">
        <f>"09DPR3131A"</f>
        <v>09DPR3131A</v>
      </c>
      <c r="C1724" s="26" t="str">
        <f>"21 DE MARZO                                                                                         "</f>
        <v xml:space="preserve">21 DE MARZO                                                                                         </v>
      </c>
      <c r="D1724" s="26" t="str">
        <f>"JORNADA AMPLIADA"</f>
        <v>JORNADA AMPLIADA</v>
      </c>
      <c r="E1724" s="26" t="str">
        <f>"MONTERREY NUM 357                                                               "</f>
        <v xml:space="preserve">MONTERREY NUM 357                                                               </v>
      </c>
      <c r="F1724" s="26" t="str">
        <f>"ROMA SUR                                                                                                                                    "</f>
        <v xml:space="preserve">ROMA SUR                                                                                                                                    </v>
      </c>
      <c r="G1724" s="26" t="str">
        <f>"CUAUHTEMOC                                                                      "</f>
        <v xml:space="preserve">CUAUHTEMOC                                                                      </v>
      </c>
      <c r="H1724" s="26" t="str">
        <f>"129"</f>
        <v>129</v>
      </c>
      <c r="I1724" s="26" t="str">
        <f t="shared" si="276"/>
        <v>00</v>
      </c>
      <c r="J1724" s="26" t="str">
        <f>"41 "</f>
        <v xml:space="preserve">41 </v>
      </c>
      <c r="K1724" s="26" t="str">
        <f t="shared" si="282"/>
        <v>PR</v>
      </c>
      <c r="L1724" s="26" t="str">
        <f t="shared" si="283"/>
        <v>DGOSE</v>
      </c>
      <c r="M1724" s="26" t="str">
        <f t="shared" si="277"/>
        <v>FEDERAL</v>
      </c>
      <c r="N1724" s="26">
        <v>347</v>
      </c>
      <c r="O1724" s="26">
        <v>203</v>
      </c>
      <c r="P1724" s="26">
        <v>144</v>
      </c>
      <c r="Q1724" s="26">
        <v>12</v>
      </c>
      <c r="R1724" s="26">
        <v>1</v>
      </c>
      <c r="S1724" s="26">
        <v>12</v>
      </c>
      <c r="T1724" s="26">
        <v>12</v>
      </c>
      <c r="U1724" s="26">
        <v>25</v>
      </c>
      <c r="V1724" s="26">
        <v>1</v>
      </c>
      <c r="W1724" s="26" t="s">
        <v>2076</v>
      </c>
    </row>
    <row r="1725" spans="1:23" x14ac:dyDescent="0.25">
      <c r="A1725" s="26" t="str">
        <f t="shared" si="275"/>
        <v>PRIMARIA</v>
      </c>
      <c r="B1725" s="26" t="str">
        <f>"09DPR3132Z"</f>
        <v>09DPR3132Z</v>
      </c>
      <c r="C1725" s="26" t="str">
        <f>"IGNACIO L. VALLARTA                                                                                 "</f>
        <v xml:space="preserve">IGNACIO L. VALLARTA                                                                                 </v>
      </c>
      <c r="D1725" s="26" t="str">
        <f>"JORNADA AMPLIADA"</f>
        <v>JORNADA AMPLIADA</v>
      </c>
      <c r="E1725" s="26" t="str">
        <f>"DURANGO NUM 100                                                                 "</f>
        <v xml:space="preserve">DURANGO NUM 100                                                                 </v>
      </c>
      <c r="F1725" s="26" t="str">
        <f>"ROMA NORTE                                                                                                                                  "</f>
        <v xml:space="preserve">ROMA NORTE                                                                                                                                  </v>
      </c>
      <c r="G1725" s="26" t="str">
        <f>"CUAUHTEMOC                                                                      "</f>
        <v xml:space="preserve">CUAUHTEMOC                                                                      </v>
      </c>
      <c r="H1725" s="26" t="str">
        <f>"125"</f>
        <v>125</v>
      </c>
      <c r="I1725" s="26" t="str">
        <f t="shared" si="276"/>
        <v>00</v>
      </c>
      <c r="J1725" s="26" t="str">
        <f>"41 "</f>
        <v xml:space="preserve">41 </v>
      </c>
      <c r="K1725" s="26" t="str">
        <f t="shared" si="282"/>
        <v>PR</v>
      </c>
      <c r="L1725" s="26" t="str">
        <f t="shared" si="283"/>
        <v>DGOSE</v>
      </c>
      <c r="M1725" s="26" t="str">
        <f t="shared" si="277"/>
        <v>FEDERAL</v>
      </c>
      <c r="N1725" s="26">
        <v>188</v>
      </c>
      <c r="O1725" s="26">
        <v>96</v>
      </c>
      <c r="P1725" s="26">
        <v>92</v>
      </c>
      <c r="Q1725" s="26">
        <v>10</v>
      </c>
      <c r="R1725" s="26">
        <v>1</v>
      </c>
      <c r="S1725" s="26">
        <v>10</v>
      </c>
      <c r="T1725" s="26">
        <v>10</v>
      </c>
      <c r="U1725" s="26">
        <v>21</v>
      </c>
      <c r="V1725" s="26">
        <v>1</v>
      </c>
      <c r="W1725" s="26" t="s">
        <v>2076</v>
      </c>
    </row>
    <row r="1726" spans="1:23" x14ac:dyDescent="0.25">
      <c r="A1726" s="26" t="str">
        <f t="shared" si="275"/>
        <v>PRIMARIA</v>
      </c>
      <c r="B1726" s="26" t="str">
        <f>"09DPR3133Z"</f>
        <v>09DPR3133Z</v>
      </c>
      <c r="C1726" s="26" t="str">
        <f>"ESTADO DE MICHOACAN                                                                                 "</f>
        <v xml:space="preserve">ESTADO DE MICHOACAN                                                                                 </v>
      </c>
      <c r="D1726" s="26" t="str">
        <f>"JORNADA AMPLIADA"</f>
        <v>JORNADA AMPLIADA</v>
      </c>
      <c r="E1726" s="26" t="str">
        <f>"PELUQUEROS NUM 168 BIS                                                          "</f>
        <v xml:space="preserve">PELUQUEROS NUM 168 BIS                                                          </v>
      </c>
      <c r="F1726" s="26" t="str">
        <f>"MICHOACANA                                                                                                                                  "</f>
        <v xml:space="preserve">MICHOACANA                                                                                                                                  </v>
      </c>
      <c r="G1726" s="26" t="str">
        <f>"VENUSTIANO CARRANZA                                                             "</f>
        <v xml:space="preserve">VENUSTIANO CARRANZA                                                             </v>
      </c>
      <c r="H1726" s="26" t="str">
        <f>"419"</f>
        <v>419</v>
      </c>
      <c r="I1726" s="26" t="str">
        <f t="shared" si="276"/>
        <v>00</v>
      </c>
      <c r="J1726" s="26" t="str">
        <f>"44 "</f>
        <v xml:space="preserve">44 </v>
      </c>
      <c r="K1726" s="26" t="str">
        <f t="shared" si="282"/>
        <v>PR</v>
      </c>
      <c r="L1726" s="26" t="str">
        <f t="shared" si="283"/>
        <v>DGOSE</v>
      </c>
      <c r="M1726" s="26" t="str">
        <f t="shared" si="277"/>
        <v>FEDERAL</v>
      </c>
      <c r="N1726" s="26">
        <v>770</v>
      </c>
      <c r="O1726" s="26">
        <v>363</v>
      </c>
      <c r="P1726" s="26">
        <v>407</v>
      </c>
      <c r="Q1726" s="26">
        <v>28</v>
      </c>
      <c r="R1726" s="26">
        <v>1</v>
      </c>
      <c r="S1726" s="26">
        <v>28</v>
      </c>
      <c r="T1726" s="26">
        <v>22</v>
      </c>
      <c r="U1726" s="26">
        <v>51</v>
      </c>
      <c r="V1726" s="26">
        <v>1</v>
      </c>
      <c r="W1726" s="26" t="s">
        <v>2076</v>
      </c>
    </row>
    <row r="1727" spans="1:23" x14ac:dyDescent="0.25">
      <c r="A1727" s="26" t="str">
        <f t="shared" si="275"/>
        <v>PRIMARIA</v>
      </c>
      <c r="B1727" s="26" t="str">
        <f>"09DPR3135X"</f>
        <v>09DPR3135X</v>
      </c>
      <c r="C1727" s="26" t="str">
        <f>"JAIME NUNO                                                                                          "</f>
        <v xml:space="preserve">JAIME NUNO                                                                                          </v>
      </c>
      <c r="D1727" s="26" t="str">
        <f>"VESPERTINO"</f>
        <v>VESPERTINO</v>
      </c>
      <c r="E1727" s="26" t="str">
        <f>"ALLENDE NUM 120                                                                 "</f>
        <v xml:space="preserve">ALLENDE NUM 120                                                                 </v>
      </c>
      <c r="F1727" s="26" t="str">
        <f>"MORELOS AMPLIACION                                                                                                                          "</f>
        <v xml:space="preserve">MORELOS AMPLIACION                                                                                                                          </v>
      </c>
      <c r="G1727" s="26" t="str">
        <f>"CUAUHTEMOC                                                                      "</f>
        <v xml:space="preserve">CUAUHTEMOC                                                                      </v>
      </c>
      <c r="H1727" s="26" t="str">
        <f>"218"</f>
        <v>218</v>
      </c>
      <c r="I1727" s="26" t="str">
        <f t="shared" si="276"/>
        <v>00</v>
      </c>
      <c r="J1727" s="26" t="str">
        <f>"42 "</f>
        <v xml:space="preserve">42 </v>
      </c>
      <c r="K1727" s="26" t="str">
        <f t="shared" si="282"/>
        <v>PR</v>
      </c>
      <c r="L1727" s="26" t="str">
        <f t="shared" si="283"/>
        <v>DGOSE</v>
      </c>
      <c r="M1727" s="26" t="str">
        <f t="shared" si="277"/>
        <v>FEDERAL</v>
      </c>
      <c r="N1727" s="26">
        <v>145</v>
      </c>
      <c r="O1727" s="26">
        <v>77</v>
      </c>
      <c r="P1727" s="26">
        <v>68</v>
      </c>
      <c r="Q1727" s="26">
        <v>6</v>
      </c>
      <c r="R1727" s="26">
        <v>1</v>
      </c>
      <c r="S1727" s="26">
        <v>6</v>
      </c>
      <c r="T1727" s="26">
        <v>4</v>
      </c>
      <c r="U1727" s="26">
        <v>11</v>
      </c>
      <c r="V1727" s="26">
        <v>1</v>
      </c>
      <c r="W1727" s="26"/>
    </row>
    <row r="1728" spans="1:23" x14ac:dyDescent="0.25">
      <c r="A1728" s="26" t="str">
        <f t="shared" si="275"/>
        <v>PRIMARIA</v>
      </c>
      <c r="B1728" s="26" t="str">
        <f>"09DPR3137V"</f>
        <v>09DPR3137V</v>
      </c>
      <c r="C1728" s="26" t="str">
        <f>"PROFR. MIGUEL SANCHEZ RIVERA                                                                        "</f>
        <v xml:space="preserve">PROFR. MIGUEL SANCHEZ RIVERA                                                                        </v>
      </c>
      <c r="D1728" s="26" t="str">
        <f>"MATUTINO"</f>
        <v>MATUTINO</v>
      </c>
      <c r="E1728" s="26" t="str">
        <f>"JUAN PATRICIO MORLETE RUIZ NO. 4                                                "</f>
        <v xml:space="preserve">JUAN PATRICIO MORLETE RUIZ NO. 4                                                </v>
      </c>
      <c r="F1728" s="26" t="str">
        <f>"EL ROSARIO                                                                                                                                  "</f>
        <v xml:space="preserve">EL ROSARIO                                                                                                                                  </v>
      </c>
      <c r="G1728" s="26" t="str">
        <f>"IZTAPALAPA                                                                      "</f>
        <v xml:space="preserve">IZTAPALAPA                                                                      </v>
      </c>
      <c r="H1728" s="26" t="str">
        <f>"051"</f>
        <v>051</v>
      </c>
      <c r="I1728" s="26" t="str">
        <f t="shared" si="276"/>
        <v>00</v>
      </c>
      <c r="J1728" s="26" t="str">
        <f>"63 "</f>
        <v xml:space="preserve">63 </v>
      </c>
      <c r="K1728" s="26" t="str">
        <f>"IZ"</f>
        <v>IZ</v>
      </c>
      <c r="L1728" s="26" t="str">
        <f>"DGSEI"</f>
        <v>DGSEI</v>
      </c>
      <c r="M1728" s="26" t="str">
        <f t="shared" si="277"/>
        <v>FEDERAL</v>
      </c>
      <c r="N1728" s="26">
        <v>612</v>
      </c>
      <c r="O1728" s="26">
        <v>311</v>
      </c>
      <c r="P1728" s="26">
        <v>301</v>
      </c>
      <c r="Q1728" s="26">
        <v>18</v>
      </c>
      <c r="R1728" s="26">
        <v>0</v>
      </c>
      <c r="S1728" s="26">
        <v>14</v>
      </c>
      <c r="T1728" s="26">
        <v>7</v>
      </c>
      <c r="U1728" s="26">
        <v>21</v>
      </c>
      <c r="V1728" s="26">
        <v>1</v>
      </c>
      <c r="W1728" s="26"/>
    </row>
    <row r="1729" spans="1:23" x14ac:dyDescent="0.25">
      <c r="A1729" s="26" t="str">
        <f t="shared" si="275"/>
        <v>PRIMARIA</v>
      </c>
      <c r="B1729" s="26" t="str">
        <f>"09DPR3138U"</f>
        <v>09DPR3138U</v>
      </c>
      <c r="C1729" s="26" t="str">
        <f>"ALBERTO EINSTEIN                                                                                    "</f>
        <v xml:space="preserve">ALBERTO EINSTEIN                                                                                    </v>
      </c>
      <c r="D1729" s="26" t="str">
        <f>"MATUTINO"</f>
        <v>MATUTINO</v>
      </c>
      <c r="E1729" s="26" t="str">
        <f>"FRANCISCO VILLA NO. 1                                                           "</f>
        <v xml:space="preserve">FRANCISCO VILLA NO. 1                                                           </v>
      </c>
      <c r="F1729" s="26" t="str">
        <f>"IXTLAHUACAN                                                                                                                                 "</f>
        <v xml:space="preserve">IXTLAHUACAN                                                                                                                                 </v>
      </c>
      <c r="G1729" s="26" t="str">
        <f>"IZTAPALAPA                                                                      "</f>
        <v xml:space="preserve">IZTAPALAPA                                                                      </v>
      </c>
      <c r="H1729" s="26" t="str">
        <f>"066"</f>
        <v>066</v>
      </c>
      <c r="I1729" s="26" t="str">
        <f t="shared" si="276"/>
        <v>00</v>
      </c>
      <c r="J1729" s="26" t="str">
        <f>"64 "</f>
        <v xml:space="preserve">64 </v>
      </c>
      <c r="K1729" s="26" t="str">
        <f>"IZ"</f>
        <v>IZ</v>
      </c>
      <c r="L1729" s="26" t="str">
        <f>"DGSEI"</f>
        <v>DGSEI</v>
      </c>
      <c r="M1729" s="26" t="str">
        <f t="shared" si="277"/>
        <v>FEDERAL</v>
      </c>
      <c r="N1729" s="26">
        <v>638</v>
      </c>
      <c r="O1729" s="26">
        <v>310</v>
      </c>
      <c r="P1729" s="26">
        <v>328</v>
      </c>
      <c r="Q1729" s="26">
        <v>19</v>
      </c>
      <c r="R1729" s="26">
        <v>1</v>
      </c>
      <c r="S1729" s="26">
        <v>19</v>
      </c>
      <c r="T1729" s="26">
        <v>7</v>
      </c>
      <c r="U1729" s="26">
        <v>27</v>
      </c>
      <c r="V1729" s="26">
        <v>1</v>
      </c>
      <c r="W1729" s="26"/>
    </row>
    <row r="1730" spans="1:23" x14ac:dyDescent="0.25">
      <c r="A1730" s="26" t="str">
        <f t="shared" ref="A1730:A1793" si="284">"PRIMARIA"</f>
        <v>PRIMARIA</v>
      </c>
      <c r="B1730" s="26" t="str">
        <f>"09DPR3139T"</f>
        <v>09DPR3139T</v>
      </c>
      <c r="C1730" s="26" t="str">
        <f>"ROBERTO OWEN                                                                                        "</f>
        <v xml:space="preserve">ROBERTO OWEN                                                                                        </v>
      </c>
      <c r="D1730" s="26" t="str">
        <f>"JORNADA AMPLIADA"</f>
        <v>JORNADA AMPLIADA</v>
      </c>
      <c r="E1730" s="26" t="str">
        <f>"TRIQUIS Y TOTONACAS S/N                                                         "</f>
        <v xml:space="preserve">TRIQUIS Y TOTONACAS S/N                                                         </v>
      </c>
      <c r="F1730" s="26" t="str">
        <f>"TEZOZOMOC                                                                                                                                   "</f>
        <v xml:space="preserve">TEZOZOMOC                                                                                                                                   </v>
      </c>
      <c r="G1730" s="26" t="str">
        <f>"AZCAPOTZALCO                                                                    "</f>
        <v xml:space="preserve">AZCAPOTZALCO                                                                    </v>
      </c>
      <c r="H1730" s="26" t="str">
        <f>"101"</f>
        <v>101</v>
      </c>
      <c r="I1730" s="26" t="str">
        <f t="shared" ref="I1730:I1793" si="285">"00"</f>
        <v>00</v>
      </c>
      <c r="J1730" s="26" t="str">
        <f>"41 "</f>
        <v xml:space="preserve">41 </v>
      </c>
      <c r="K1730" s="26" t="str">
        <f t="shared" ref="K1730:K1736" si="286">"PR"</f>
        <v>PR</v>
      </c>
      <c r="L1730" s="26" t="str">
        <f t="shared" ref="L1730:L1736" si="287">"DGOSE"</f>
        <v>DGOSE</v>
      </c>
      <c r="M1730" s="26" t="str">
        <f t="shared" ref="M1730:M1793" si="288">"FEDERAL"</f>
        <v>FEDERAL</v>
      </c>
      <c r="N1730" s="26">
        <v>194</v>
      </c>
      <c r="O1730" s="26">
        <v>106</v>
      </c>
      <c r="P1730" s="26">
        <v>88</v>
      </c>
      <c r="Q1730" s="26">
        <v>7</v>
      </c>
      <c r="R1730" s="26">
        <v>1</v>
      </c>
      <c r="S1730" s="26">
        <v>7</v>
      </c>
      <c r="T1730" s="26">
        <v>7</v>
      </c>
      <c r="U1730" s="26">
        <v>15</v>
      </c>
      <c r="V1730" s="26">
        <v>1</v>
      </c>
      <c r="W1730" s="26" t="s">
        <v>2076</v>
      </c>
    </row>
    <row r="1731" spans="1:23" x14ac:dyDescent="0.25">
      <c r="A1731" s="26" t="str">
        <f t="shared" si="284"/>
        <v>PRIMARIA</v>
      </c>
      <c r="B1731" s="26" t="str">
        <f>"09DPR3140I"</f>
        <v>09DPR3140I</v>
      </c>
      <c r="C1731" s="26" t="str">
        <f>"MEXITLI                                                                                             "</f>
        <v xml:space="preserve">MEXITLI                                                                                             </v>
      </c>
      <c r="D1731" s="26" t="str">
        <f>"MATUTINO"</f>
        <v>MATUTINO</v>
      </c>
      <c r="E1731" s="26" t="str">
        <f>"CAMPO COBO Y CHILAPILLA                                                         "</f>
        <v xml:space="preserve">CAMPO COBO Y CHILAPILLA                                                         </v>
      </c>
      <c r="F1731" s="26" t="str">
        <f>"SANTIAGO AHUIZOTLA                                                                                                                          "</f>
        <v xml:space="preserve">SANTIAGO AHUIZOTLA                                                                                                                          </v>
      </c>
      <c r="G1731" s="26" t="str">
        <f>"AZCAPOTZALCO                                                                    "</f>
        <v xml:space="preserve">AZCAPOTZALCO                                                                    </v>
      </c>
      <c r="H1731" s="26" t="str">
        <f>"203"</f>
        <v>203</v>
      </c>
      <c r="I1731" s="26" t="str">
        <f t="shared" si="285"/>
        <v>00</v>
      </c>
      <c r="J1731" s="26" t="str">
        <f>"42 "</f>
        <v xml:space="preserve">42 </v>
      </c>
      <c r="K1731" s="26" t="str">
        <f t="shared" si="286"/>
        <v>PR</v>
      </c>
      <c r="L1731" s="26" t="str">
        <f t="shared" si="287"/>
        <v>DGOSE</v>
      </c>
      <c r="M1731" s="26" t="str">
        <f t="shared" si="288"/>
        <v>FEDERAL</v>
      </c>
      <c r="N1731" s="26">
        <v>379</v>
      </c>
      <c r="O1731" s="26">
        <v>177</v>
      </c>
      <c r="P1731" s="26">
        <v>202</v>
      </c>
      <c r="Q1731" s="26">
        <v>12</v>
      </c>
      <c r="R1731" s="26">
        <v>1</v>
      </c>
      <c r="S1731" s="26">
        <v>10</v>
      </c>
      <c r="T1731" s="26">
        <v>10</v>
      </c>
      <c r="U1731" s="26">
        <v>21</v>
      </c>
      <c r="V1731" s="26">
        <v>1</v>
      </c>
      <c r="W1731" s="26"/>
    </row>
    <row r="1732" spans="1:23" x14ac:dyDescent="0.25">
      <c r="A1732" s="26" t="str">
        <f t="shared" si="284"/>
        <v>PRIMARIA</v>
      </c>
      <c r="B1732" s="26" t="str">
        <f>"09DPR3144E"</f>
        <v>09DPR3144E</v>
      </c>
      <c r="C1732" s="26" t="str">
        <f>"VALENTIN VAZQUEZ NAVA                                                                               "</f>
        <v xml:space="preserve">VALENTIN VAZQUEZ NAVA                                                                               </v>
      </c>
      <c r="D1732" s="26" t="str">
        <f>"VESPERTINO"</f>
        <v>VESPERTINO</v>
      </c>
      <c r="E1732" s="26" t="str">
        <f>"AV PRINCIPAL Y RETORNO DEL PARQUE                                               "</f>
        <v xml:space="preserve">AV PRINCIPAL Y RETORNO DEL PARQUE                                               </v>
      </c>
      <c r="F1732" s="26" t="str">
        <f>"SAN JOSE CAPULA O GOLONDRINAS                                                                                                               "</f>
        <v xml:space="preserve">SAN JOSE CAPULA O GOLONDRINAS                                                                                                               </v>
      </c>
      <c r="G1732" s="26" t="str">
        <f>"ALVARO OBREGON                                                                  "</f>
        <v xml:space="preserve">ALVARO OBREGON                                                                  </v>
      </c>
      <c r="H1732" s="26" t="str">
        <f>"309"</f>
        <v>309</v>
      </c>
      <c r="I1732" s="26" t="str">
        <f t="shared" si="285"/>
        <v>00</v>
      </c>
      <c r="J1732" s="26" t="str">
        <f>"43 "</f>
        <v xml:space="preserve">43 </v>
      </c>
      <c r="K1732" s="26" t="str">
        <f t="shared" si="286"/>
        <v>PR</v>
      </c>
      <c r="L1732" s="26" t="str">
        <f t="shared" si="287"/>
        <v>DGOSE</v>
      </c>
      <c r="M1732" s="26" t="str">
        <f t="shared" si="288"/>
        <v>FEDERAL</v>
      </c>
      <c r="N1732" s="26">
        <v>250</v>
      </c>
      <c r="O1732" s="26">
        <v>131</v>
      </c>
      <c r="P1732" s="26">
        <v>119</v>
      </c>
      <c r="Q1732" s="26">
        <v>14</v>
      </c>
      <c r="R1732" s="26">
        <v>1</v>
      </c>
      <c r="S1732" s="26">
        <v>13</v>
      </c>
      <c r="T1732" s="26">
        <v>4</v>
      </c>
      <c r="U1732" s="26">
        <v>18</v>
      </c>
      <c r="V1732" s="26">
        <v>1</v>
      </c>
      <c r="W1732" s="26"/>
    </row>
    <row r="1733" spans="1:23" x14ac:dyDescent="0.25">
      <c r="A1733" s="26" t="str">
        <f t="shared" si="284"/>
        <v>PRIMARIA</v>
      </c>
      <c r="B1733" s="26" t="str">
        <f>"09DPR3145D"</f>
        <v>09DPR3145D</v>
      </c>
      <c r="C1733" s="26" t="str">
        <f>"PROFR. ABEL ORTEGA FLORES                                                                           "</f>
        <v xml:space="preserve">PROFR. ABEL ORTEGA FLORES                                                                           </v>
      </c>
      <c r="D1733" s="26" t="str">
        <f>"MATUTINO"</f>
        <v>MATUTINO</v>
      </c>
      <c r="E1733" s="26" t="str">
        <f>"5 DE MAYO Y CUAUHTEMOC S/N                                                      "</f>
        <v xml:space="preserve">5 DE MAYO Y CUAUHTEMOC S/N                                                      </v>
      </c>
      <c r="F1733" s="26" t="str">
        <f>"SAN PEDRO MARTIR                                                                                                                            "</f>
        <v xml:space="preserve">SAN PEDRO MARTIR                                                                                                                            </v>
      </c>
      <c r="G1733" s="26" t="str">
        <f>"TLALPAN                                                                         "</f>
        <v xml:space="preserve">TLALPAN                                                                         </v>
      </c>
      <c r="H1733" s="26" t="str">
        <f>"527"</f>
        <v>527</v>
      </c>
      <c r="I1733" s="26" t="str">
        <f t="shared" si="285"/>
        <v>00</v>
      </c>
      <c r="J1733" s="26" t="str">
        <f>"45 "</f>
        <v xml:space="preserve">45 </v>
      </c>
      <c r="K1733" s="26" t="str">
        <f t="shared" si="286"/>
        <v>PR</v>
      </c>
      <c r="L1733" s="26" t="str">
        <f t="shared" si="287"/>
        <v>DGOSE</v>
      </c>
      <c r="M1733" s="26" t="str">
        <f t="shared" si="288"/>
        <v>FEDERAL</v>
      </c>
      <c r="N1733" s="26">
        <v>319</v>
      </c>
      <c r="O1733" s="26">
        <v>172</v>
      </c>
      <c r="P1733" s="26">
        <v>147</v>
      </c>
      <c r="Q1733" s="26">
        <v>8</v>
      </c>
      <c r="R1733" s="26">
        <v>1</v>
      </c>
      <c r="S1733" s="26">
        <v>8</v>
      </c>
      <c r="T1733" s="26">
        <v>5</v>
      </c>
      <c r="U1733" s="26">
        <v>14</v>
      </c>
      <c r="V1733" s="26">
        <v>1</v>
      </c>
      <c r="W1733" s="26"/>
    </row>
    <row r="1734" spans="1:23" x14ac:dyDescent="0.25">
      <c r="A1734" s="26" t="str">
        <f t="shared" si="284"/>
        <v>PRIMARIA</v>
      </c>
      <c r="B1734" s="26" t="str">
        <f>"09DPR3147B"</f>
        <v>09DPR3147B</v>
      </c>
      <c r="C1734" s="26" t="str">
        <f>"FRANCISCO LARROYO                                                                                   "</f>
        <v xml:space="preserve">FRANCISCO LARROYO                                                                                   </v>
      </c>
      <c r="D1734" s="26" t="str">
        <f>"JORNADA AMPLIADA"</f>
        <v>JORNADA AMPLIADA</v>
      </c>
      <c r="E1734" s="26" t="str">
        <f>"2A CDA DE HUAYAMILPAS S/N                                                       "</f>
        <v xml:space="preserve">2A CDA DE HUAYAMILPAS S/N                                                       </v>
      </c>
      <c r="F1734" s="26" t="str">
        <f>"LA CANDELARIA                                                                                                                               "</f>
        <v xml:space="preserve">LA CANDELARIA                                                                                                                               </v>
      </c>
      <c r="G1734" s="26" t="str">
        <f>"COYOACAN                                                                        "</f>
        <v xml:space="preserve">COYOACAN                                                                        </v>
      </c>
      <c r="H1734" s="26" t="str">
        <f>"438"</f>
        <v>438</v>
      </c>
      <c r="I1734" s="26" t="str">
        <f t="shared" si="285"/>
        <v>00</v>
      </c>
      <c r="J1734" s="26" t="str">
        <f>"44 "</f>
        <v xml:space="preserve">44 </v>
      </c>
      <c r="K1734" s="26" t="str">
        <f t="shared" si="286"/>
        <v>PR</v>
      </c>
      <c r="L1734" s="26" t="str">
        <f t="shared" si="287"/>
        <v>DGOSE</v>
      </c>
      <c r="M1734" s="26" t="str">
        <f t="shared" si="288"/>
        <v>FEDERAL</v>
      </c>
      <c r="N1734" s="26">
        <v>656</v>
      </c>
      <c r="O1734" s="26">
        <v>332</v>
      </c>
      <c r="P1734" s="26">
        <v>324</v>
      </c>
      <c r="Q1734" s="26">
        <v>18</v>
      </c>
      <c r="R1734" s="26">
        <v>1</v>
      </c>
      <c r="S1734" s="26">
        <v>18</v>
      </c>
      <c r="T1734" s="26">
        <v>13</v>
      </c>
      <c r="U1734" s="26">
        <v>32</v>
      </c>
      <c r="V1734" s="26">
        <v>1</v>
      </c>
      <c r="W1734" s="26" t="s">
        <v>2076</v>
      </c>
    </row>
    <row r="1735" spans="1:23" x14ac:dyDescent="0.25">
      <c r="A1735" s="26" t="str">
        <f t="shared" si="284"/>
        <v>PRIMARIA</v>
      </c>
      <c r="B1735" s="26" t="str">
        <f>"09DPR3149Z"</f>
        <v>09DPR3149Z</v>
      </c>
      <c r="C1735" s="26" t="str">
        <f>"MEXICANAS ILUSTRES                                                                                  "</f>
        <v xml:space="preserve">MEXICANAS ILUSTRES                                                                                  </v>
      </c>
      <c r="D1735" s="26" t="str">
        <f>"TIEMPO COMPLETO"</f>
        <v>TIEMPO COMPLETO</v>
      </c>
      <c r="E1735" s="26" t="str">
        <f>"MANUEL ACUÑA NO 225                                                             "</f>
        <v xml:space="preserve">MANUEL ACUÑA NO 225                                                             </v>
      </c>
      <c r="F1735" s="26" t="str">
        <f>"SAN FRANCISCO XICALTONGO BARRIO                                                                                                             "</f>
        <v xml:space="preserve">SAN FRANCISCO XICALTONGO BARRIO                                                                                                             </v>
      </c>
      <c r="G1735" s="26" t="str">
        <f>"IZTACALCO                                                                       "</f>
        <v xml:space="preserve">IZTACALCO                                                                       </v>
      </c>
      <c r="H1735" s="26" t="str">
        <f>"431"</f>
        <v>431</v>
      </c>
      <c r="I1735" s="26" t="str">
        <f t="shared" si="285"/>
        <v>00</v>
      </c>
      <c r="J1735" s="26" t="str">
        <f>"44 "</f>
        <v xml:space="preserve">44 </v>
      </c>
      <c r="K1735" s="26" t="str">
        <f t="shared" si="286"/>
        <v>PR</v>
      </c>
      <c r="L1735" s="26" t="str">
        <f t="shared" si="287"/>
        <v>DGOSE</v>
      </c>
      <c r="M1735" s="26" t="str">
        <f t="shared" si="288"/>
        <v>FEDERAL</v>
      </c>
      <c r="N1735" s="26">
        <v>193</v>
      </c>
      <c r="O1735" s="26">
        <v>111</v>
      </c>
      <c r="P1735" s="26">
        <v>82</v>
      </c>
      <c r="Q1735" s="26">
        <v>7</v>
      </c>
      <c r="R1735" s="26">
        <v>1</v>
      </c>
      <c r="S1735" s="26">
        <v>7</v>
      </c>
      <c r="T1735" s="26">
        <v>9</v>
      </c>
      <c r="U1735" s="26">
        <v>17</v>
      </c>
      <c r="V1735" s="26">
        <v>1</v>
      </c>
      <c r="W1735" s="26" t="s">
        <v>218</v>
      </c>
    </row>
    <row r="1736" spans="1:23" x14ac:dyDescent="0.25">
      <c r="A1736" s="26" t="str">
        <f t="shared" si="284"/>
        <v>PRIMARIA</v>
      </c>
      <c r="B1736" s="26" t="str">
        <f>"09DPR3150P"</f>
        <v>09DPR3150P</v>
      </c>
      <c r="C1736" s="26" t="str">
        <f>"AUGUSTO COMTE                                                                                       "</f>
        <v xml:space="preserve">AUGUSTO COMTE                                                                                       </v>
      </c>
      <c r="D1736" s="26" t="str">
        <f>"JORNADA AMPLIADA"</f>
        <v>JORNADA AMPLIADA</v>
      </c>
      <c r="E1736" s="26" t="str">
        <f>"AV. SUR 20 NUM 380                                                              "</f>
        <v xml:space="preserve">AV. SUR 20 NUM 380                                                              </v>
      </c>
      <c r="F1736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1736" s="26" t="str">
        <f>"IZTACALCO                                                                       "</f>
        <v xml:space="preserve">IZTACALCO                                                                       </v>
      </c>
      <c r="H1736" s="26" t="str">
        <f>"429"</f>
        <v>429</v>
      </c>
      <c r="I1736" s="26" t="str">
        <f t="shared" si="285"/>
        <v>00</v>
      </c>
      <c r="J1736" s="26" t="str">
        <f>"44 "</f>
        <v xml:space="preserve">44 </v>
      </c>
      <c r="K1736" s="26" t="str">
        <f t="shared" si="286"/>
        <v>PR</v>
      </c>
      <c r="L1736" s="26" t="str">
        <f t="shared" si="287"/>
        <v>DGOSE</v>
      </c>
      <c r="M1736" s="26" t="str">
        <f t="shared" si="288"/>
        <v>FEDERAL</v>
      </c>
      <c r="N1736" s="26">
        <v>401</v>
      </c>
      <c r="O1736" s="26">
        <v>213</v>
      </c>
      <c r="P1736" s="26">
        <v>188</v>
      </c>
      <c r="Q1736" s="26">
        <v>13</v>
      </c>
      <c r="R1736" s="26">
        <v>1</v>
      </c>
      <c r="S1736" s="26">
        <v>13</v>
      </c>
      <c r="T1736" s="26">
        <v>13</v>
      </c>
      <c r="U1736" s="26">
        <v>27</v>
      </c>
      <c r="V1736" s="26">
        <v>1</v>
      </c>
      <c r="W1736" s="26" t="s">
        <v>2076</v>
      </c>
    </row>
    <row r="1737" spans="1:23" x14ac:dyDescent="0.25">
      <c r="A1737" s="26" t="str">
        <f t="shared" si="284"/>
        <v>PRIMARIA</v>
      </c>
      <c r="B1737" s="26" t="str">
        <f>"09DPR3152N"</f>
        <v>09DPR3152N</v>
      </c>
      <c r="C1737" s="26" t="str">
        <f>"ADOLFO CISNEROS CAMARA                                                                              "</f>
        <v xml:space="preserve">ADOLFO CISNEROS CAMARA                                                                              </v>
      </c>
      <c r="D1737" s="26" t="str">
        <f>"MATUTINO"</f>
        <v>MATUTINO</v>
      </c>
      <c r="E1737" s="26" t="str">
        <f>"10 DE AGOSTO DE 1860 NO. 42                                                     "</f>
        <v xml:space="preserve">10 DE AGOSTO DE 1860 NO. 42                                                     </v>
      </c>
      <c r="F1737" s="26" t="str">
        <f>"LEYES DE REFORMA                                                                                                                            "</f>
        <v xml:space="preserve">LEYES DE REFORMA                                                                                                                            </v>
      </c>
      <c r="G1737" s="26" t="str">
        <f>"IZTAPALAPA                                                                      "</f>
        <v xml:space="preserve">IZTAPALAPA                                                                      </v>
      </c>
      <c r="H1737" s="26" t="str">
        <f>"014"</f>
        <v>014</v>
      </c>
      <c r="I1737" s="26" t="str">
        <f t="shared" si="285"/>
        <v>00</v>
      </c>
      <c r="J1737" s="26" t="str">
        <f>"62 "</f>
        <v xml:space="preserve">62 </v>
      </c>
      <c r="K1737" s="26" t="str">
        <f>"IZ"</f>
        <v>IZ</v>
      </c>
      <c r="L1737" s="26" t="str">
        <f>"DGSEI"</f>
        <v>DGSEI</v>
      </c>
      <c r="M1737" s="26" t="str">
        <f t="shared" si="288"/>
        <v>FEDERAL</v>
      </c>
      <c r="N1737" s="26">
        <v>389</v>
      </c>
      <c r="O1737" s="26">
        <v>200</v>
      </c>
      <c r="P1737" s="26">
        <v>189</v>
      </c>
      <c r="Q1737" s="26">
        <v>13</v>
      </c>
      <c r="R1737" s="26">
        <v>1</v>
      </c>
      <c r="S1737" s="26">
        <v>13</v>
      </c>
      <c r="T1737" s="26">
        <v>6</v>
      </c>
      <c r="U1737" s="26">
        <v>20</v>
      </c>
      <c r="V1737" s="26">
        <v>1</v>
      </c>
      <c r="W1737" s="26"/>
    </row>
    <row r="1738" spans="1:23" x14ac:dyDescent="0.25">
      <c r="A1738" s="26" t="str">
        <f t="shared" si="284"/>
        <v>PRIMARIA</v>
      </c>
      <c r="B1738" s="26" t="str">
        <f>"09DPR3153M"</f>
        <v>09DPR3153M</v>
      </c>
      <c r="C1738" s="26" t="str">
        <f>"PROFR. AGUSTIN CUE CANOVAS                                                                          "</f>
        <v xml:space="preserve">PROFR. AGUSTIN CUE CANOVAS                                                                          </v>
      </c>
      <c r="D1738" s="26" t="str">
        <f>"MATUTINO"</f>
        <v>MATUTINO</v>
      </c>
      <c r="E1738" s="26" t="str">
        <f>"CATARROJA S/N.                                                                  "</f>
        <v xml:space="preserve">CATARROJA S/N.                                                                  </v>
      </c>
      <c r="F1738" s="26" t="str">
        <f>"CERRO DE LA ESTRELLA                                                                                                                        "</f>
        <v xml:space="preserve">CERRO DE LA ESTRELLA                                                                                                                        </v>
      </c>
      <c r="G1738" s="26" t="str">
        <f>"IZTAPALAPA                                                                      "</f>
        <v xml:space="preserve">IZTAPALAPA                                                                      </v>
      </c>
      <c r="H1738" s="26" t="str">
        <f>"043"</f>
        <v>043</v>
      </c>
      <c r="I1738" s="26" t="str">
        <f t="shared" si="285"/>
        <v>00</v>
      </c>
      <c r="J1738" s="26" t="str">
        <f>"63 "</f>
        <v xml:space="preserve">63 </v>
      </c>
      <c r="K1738" s="26" t="str">
        <f>"IZ"</f>
        <v>IZ</v>
      </c>
      <c r="L1738" s="26" t="str">
        <f>"DGSEI"</f>
        <v>DGSEI</v>
      </c>
      <c r="M1738" s="26" t="str">
        <f t="shared" si="288"/>
        <v>FEDERAL</v>
      </c>
      <c r="N1738" s="26">
        <v>471</v>
      </c>
      <c r="O1738" s="26">
        <v>226</v>
      </c>
      <c r="P1738" s="26">
        <v>245</v>
      </c>
      <c r="Q1738" s="26">
        <v>16</v>
      </c>
      <c r="R1738" s="26">
        <v>1</v>
      </c>
      <c r="S1738" s="26">
        <v>15</v>
      </c>
      <c r="T1738" s="26">
        <v>8</v>
      </c>
      <c r="U1738" s="26">
        <v>24</v>
      </c>
      <c r="V1738" s="26">
        <v>1</v>
      </c>
      <c r="W1738" s="26"/>
    </row>
    <row r="1739" spans="1:23" x14ac:dyDescent="0.25">
      <c r="A1739" s="26" t="str">
        <f t="shared" si="284"/>
        <v>PRIMARIA</v>
      </c>
      <c r="B1739" s="26" t="str">
        <f>"09DPR3154L"</f>
        <v>09DPR3154L</v>
      </c>
      <c r="C1739" s="26" t="str">
        <f>"REPUBLICA DE GUATEMALA                                                                              "</f>
        <v xml:space="preserve">REPUBLICA DE GUATEMALA                                                                              </v>
      </c>
      <c r="D1739" s="26" t="str">
        <f>"VESPERTINO"</f>
        <v>VESPERTINO</v>
      </c>
      <c r="E1739" s="26" t="str">
        <f>"IGNACIO COMONFORT S/N.                                                          "</f>
        <v xml:space="preserve">IGNACIO COMONFORT S/N.                                                          </v>
      </c>
      <c r="F1739" s="26" t="str">
        <f>"SAN LUCAS                                                                                                                                   "</f>
        <v xml:space="preserve">SAN LUCAS                                                                                                                                   </v>
      </c>
      <c r="G1739" s="26" t="str">
        <f>"IZTAPALAPA                                                                      "</f>
        <v xml:space="preserve">IZTAPALAPA                                                                      </v>
      </c>
      <c r="H1739" s="26" t="str">
        <f>"038"</f>
        <v>038</v>
      </c>
      <c r="I1739" s="26" t="str">
        <f t="shared" si="285"/>
        <v>00</v>
      </c>
      <c r="J1739" s="26" t="str">
        <f>"63 "</f>
        <v xml:space="preserve">63 </v>
      </c>
      <c r="K1739" s="26" t="str">
        <f>"IZ"</f>
        <v>IZ</v>
      </c>
      <c r="L1739" s="26" t="str">
        <f>"DGSEI"</f>
        <v>DGSEI</v>
      </c>
      <c r="M1739" s="26" t="str">
        <f t="shared" si="288"/>
        <v>FEDERAL</v>
      </c>
      <c r="N1739" s="26">
        <v>168</v>
      </c>
      <c r="O1739" s="26">
        <v>94</v>
      </c>
      <c r="P1739" s="26">
        <v>74</v>
      </c>
      <c r="Q1739" s="26">
        <v>6</v>
      </c>
      <c r="R1739" s="26">
        <v>1</v>
      </c>
      <c r="S1739" s="26">
        <v>6</v>
      </c>
      <c r="T1739" s="26">
        <v>4</v>
      </c>
      <c r="U1739" s="26">
        <v>11</v>
      </c>
      <c r="V1739" s="26">
        <v>1</v>
      </c>
      <c r="W1739" s="26"/>
    </row>
    <row r="1740" spans="1:23" x14ac:dyDescent="0.25">
      <c r="A1740" s="26" t="str">
        <f t="shared" si="284"/>
        <v>PRIMARIA</v>
      </c>
      <c r="B1740" s="26" t="str">
        <f>"09DPR3155K"</f>
        <v>09DPR3155K</v>
      </c>
      <c r="C1740" s="26" t="str">
        <f>"PROFR. MANUEL VILLASEÑOR                                                                            "</f>
        <v xml:space="preserve">PROFR. MANUEL VILLASEÑOR                                                                            </v>
      </c>
      <c r="D1740" s="26" t="str">
        <f>"MATUTINO"</f>
        <v>MATUTINO</v>
      </c>
      <c r="E1740" s="26" t="str">
        <f>"AGUSTIN MELGAR ESQ. PLAN DE AYALA                                               "</f>
        <v xml:space="preserve">AGUSTIN MELGAR ESQ. PLAN DE AYALA                                               </v>
      </c>
      <c r="F1740" s="26" t="str">
        <f>"LAS PEÑAS                                                                                                                                   "</f>
        <v xml:space="preserve">LAS PEÑAS                                                                                                                                   </v>
      </c>
      <c r="G1740" s="26" t="str">
        <f>"IZTAPALAPA                                                                      "</f>
        <v xml:space="preserve">IZTAPALAPA                                                                      </v>
      </c>
      <c r="H1740" s="26" t="str">
        <f>"055"</f>
        <v>055</v>
      </c>
      <c r="I1740" s="26" t="str">
        <f t="shared" si="285"/>
        <v>00</v>
      </c>
      <c r="J1740" s="26" t="str">
        <f>"64 "</f>
        <v xml:space="preserve">64 </v>
      </c>
      <c r="K1740" s="26" t="str">
        <f>"IZ"</f>
        <v>IZ</v>
      </c>
      <c r="L1740" s="26" t="str">
        <f>"DGSEI"</f>
        <v>DGSEI</v>
      </c>
      <c r="M1740" s="26" t="str">
        <f t="shared" si="288"/>
        <v>FEDERAL</v>
      </c>
      <c r="N1740" s="26">
        <v>518</v>
      </c>
      <c r="O1740" s="26">
        <v>299</v>
      </c>
      <c r="P1740" s="26">
        <v>219</v>
      </c>
      <c r="Q1740" s="26">
        <v>15</v>
      </c>
      <c r="R1740" s="26">
        <v>1</v>
      </c>
      <c r="S1740" s="26">
        <v>15</v>
      </c>
      <c r="T1740" s="26">
        <v>7</v>
      </c>
      <c r="U1740" s="26">
        <v>23</v>
      </c>
      <c r="V1740" s="26">
        <v>1</v>
      </c>
      <c r="W1740" s="26"/>
    </row>
    <row r="1741" spans="1:23" x14ac:dyDescent="0.25">
      <c r="A1741" s="26" t="str">
        <f t="shared" si="284"/>
        <v>PRIMARIA</v>
      </c>
      <c r="B1741" s="26" t="str">
        <f>"09DPR3158H"</f>
        <v>09DPR3158H</v>
      </c>
      <c r="C1741" s="26" t="str">
        <f>"ING. MIGUEL BERNARD                                                                                 "</f>
        <v xml:space="preserve">ING. MIGUEL BERNARD                                                                                 </v>
      </c>
      <c r="D1741" s="26" t="str">
        <f>"VESPERTINO"</f>
        <v>VESPERTINO</v>
      </c>
      <c r="E1741" s="26" t="str">
        <f>"AV. HIDALGO NUM. 4                                                              "</f>
        <v xml:space="preserve">AV. HIDALGO NUM. 4                                                              </v>
      </c>
      <c r="F1741" s="26" t="str">
        <f>"SAN GREGORIO ATLAPULCO                                                                                                                      "</f>
        <v xml:space="preserve">SAN GREGORIO ATLAPULCO                                                                                                                      </v>
      </c>
      <c r="G1741" s="26" t="str">
        <f>"XOCHIMILCO                                                                      "</f>
        <v xml:space="preserve">XOCHIMILCO                                                                      </v>
      </c>
      <c r="H1741" s="26" t="str">
        <f>"543"</f>
        <v>543</v>
      </c>
      <c r="I1741" s="26" t="str">
        <f t="shared" si="285"/>
        <v>00</v>
      </c>
      <c r="J1741" s="26" t="str">
        <f>"45 "</f>
        <v xml:space="preserve">45 </v>
      </c>
      <c r="K1741" s="26" t="str">
        <f>"PR"</f>
        <v>PR</v>
      </c>
      <c r="L1741" s="26" t="str">
        <f>"DGOSE"</f>
        <v>DGOSE</v>
      </c>
      <c r="M1741" s="26" t="str">
        <f t="shared" si="288"/>
        <v>FEDERAL</v>
      </c>
      <c r="N1741" s="26">
        <v>936</v>
      </c>
      <c r="O1741" s="26">
        <v>479</v>
      </c>
      <c r="P1741" s="26">
        <v>457</v>
      </c>
      <c r="Q1741" s="26">
        <v>25</v>
      </c>
      <c r="R1741" s="26">
        <v>0</v>
      </c>
      <c r="S1741" s="26">
        <v>24</v>
      </c>
      <c r="T1741" s="26">
        <v>13</v>
      </c>
      <c r="U1741" s="26">
        <v>37</v>
      </c>
      <c r="V1741" s="26">
        <v>1</v>
      </c>
      <c r="W1741" s="26"/>
    </row>
    <row r="1742" spans="1:23" x14ac:dyDescent="0.25">
      <c r="A1742" s="26" t="str">
        <f t="shared" si="284"/>
        <v>PRIMARIA</v>
      </c>
      <c r="B1742" s="26" t="str">
        <f>"09DPR3159G"</f>
        <v>09DPR3159G</v>
      </c>
      <c r="C1742" s="26" t="str">
        <f>"ACATONALLI                                                                                          "</f>
        <v xml:space="preserve">ACATONALLI                                                                                          </v>
      </c>
      <c r="D1742" s="26" t="str">
        <f>"VESPERTINO"</f>
        <v>VESPERTINO</v>
      </c>
      <c r="E1742" s="26" t="str">
        <f>"ESCUDO NACIONAL S/N                                                             "</f>
        <v xml:space="preserve">ESCUDO NACIONAL S/N                                                             </v>
      </c>
      <c r="F1742" s="26" t="str">
        <f>"NATIVITAS TULYEHUALCO                                                                                                                       "</f>
        <v xml:space="preserve">NATIVITAS TULYEHUALCO                                                                                                                       </v>
      </c>
      <c r="G1742" s="26" t="str">
        <f>"XOCHIMILCO                                                                      "</f>
        <v xml:space="preserve">XOCHIMILCO                                                                      </v>
      </c>
      <c r="H1742" s="26" t="str">
        <f>"545"</f>
        <v>545</v>
      </c>
      <c r="I1742" s="26" t="str">
        <f t="shared" si="285"/>
        <v>00</v>
      </c>
      <c r="J1742" s="26" t="str">
        <f>"45 "</f>
        <v xml:space="preserve">45 </v>
      </c>
      <c r="K1742" s="26" t="str">
        <f>"PR"</f>
        <v>PR</v>
      </c>
      <c r="L1742" s="26" t="str">
        <f>"DGOSE"</f>
        <v>DGOSE</v>
      </c>
      <c r="M1742" s="26" t="str">
        <f t="shared" si="288"/>
        <v>FEDERAL</v>
      </c>
      <c r="N1742" s="26">
        <v>381</v>
      </c>
      <c r="O1742" s="26">
        <v>213</v>
      </c>
      <c r="P1742" s="26">
        <v>168</v>
      </c>
      <c r="Q1742" s="26">
        <v>14</v>
      </c>
      <c r="R1742" s="26">
        <v>1</v>
      </c>
      <c r="S1742" s="26">
        <v>14</v>
      </c>
      <c r="T1742" s="26">
        <v>6</v>
      </c>
      <c r="U1742" s="26">
        <v>21</v>
      </c>
      <c r="V1742" s="26">
        <v>1</v>
      </c>
      <c r="W1742" s="26"/>
    </row>
    <row r="1743" spans="1:23" x14ac:dyDescent="0.25">
      <c r="A1743" s="26" t="str">
        <f t="shared" si="284"/>
        <v>PRIMARIA</v>
      </c>
      <c r="B1743" s="26" t="str">
        <f>"09DPR3160W"</f>
        <v>09DPR3160W</v>
      </c>
      <c r="C1743" s="26" t="str">
        <f>"SALVADOR TREJO ESCOBEDO                                                                             "</f>
        <v xml:space="preserve">SALVADOR TREJO ESCOBEDO                                                                             </v>
      </c>
      <c r="D1743" s="26" t="str">
        <f>"VESPERTINO"</f>
        <v>VESPERTINO</v>
      </c>
      <c r="E1743" s="26" t="str">
        <f>"PLAZA JUAREZ N. 28                                                              "</f>
        <v xml:space="preserve">PLAZA JUAREZ N. 28                                                              </v>
      </c>
      <c r="F1743" s="26" t="str">
        <f>"SAN MIGUEL TOPILEJO                                                                                                                         "</f>
        <v xml:space="preserve">SAN MIGUEL TOPILEJO                                                                                                                         </v>
      </c>
      <c r="G1743" s="26" t="str">
        <f>"TLALPAN                                                                         "</f>
        <v xml:space="preserve">TLALPAN                                                                         </v>
      </c>
      <c r="H1743" s="26" t="str">
        <f>"531"</f>
        <v>531</v>
      </c>
      <c r="I1743" s="26" t="str">
        <f t="shared" si="285"/>
        <v>00</v>
      </c>
      <c r="J1743" s="26" t="str">
        <f>"45 "</f>
        <v xml:space="preserve">45 </v>
      </c>
      <c r="K1743" s="26" t="str">
        <f>"PR"</f>
        <v>PR</v>
      </c>
      <c r="L1743" s="26" t="str">
        <f>"DGOSE"</f>
        <v>DGOSE</v>
      </c>
      <c r="M1743" s="26" t="str">
        <f t="shared" si="288"/>
        <v>FEDERAL</v>
      </c>
      <c r="N1743" s="26">
        <v>661</v>
      </c>
      <c r="O1743" s="26">
        <v>323</v>
      </c>
      <c r="P1743" s="26">
        <v>338</v>
      </c>
      <c r="Q1743" s="26">
        <v>19</v>
      </c>
      <c r="R1743" s="26">
        <v>1</v>
      </c>
      <c r="S1743" s="26">
        <v>17</v>
      </c>
      <c r="T1743" s="26">
        <v>10</v>
      </c>
      <c r="U1743" s="26">
        <v>28</v>
      </c>
      <c r="V1743" s="26">
        <v>1</v>
      </c>
      <c r="W1743" s="26"/>
    </row>
    <row r="1744" spans="1:23" x14ac:dyDescent="0.25">
      <c r="A1744" s="26" t="str">
        <f t="shared" si="284"/>
        <v>PRIMARIA</v>
      </c>
      <c r="B1744" s="26" t="str">
        <f>"09DPR3167P"</f>
        <v>09DPR3167P</v>
      </c>
      <c r="C1744" s="26" t="str">
        <f>"MUJERES INSURGENTES                                                                                 "</f>
        <v xml:space="preserve">MUJERES INSURGENTES                                                                                 </v>
      </c>
      <c r="D1744" s="26" t="str">
        <f>"MATUTINO"</f>
        <v>MATUTINO</v>
      </c>
      <c r="E1744" s="26" t="str">
        <f>"TECNICOS Y MANUALES S/N.                                                        "</f>
        <v xml:space="preserve">TECNICOS Y MANUALES S/N.                                                        </v>
      </c>
      <c r="F1744" s="26" t="str">
        <f>"LOMAS ESTRELLA                                                                                                                              "</f>
        <v xml:space="preserve">LOMAS ESTRELLA                                                                                                                              </v>
      </c>
      <c r="G1744" s="26" t="str">
        <f>"IZTAPALAPA                                                                      "</f>
        <v xml:space="preserve">IZTAPALAPA                                                                      </v>
      </c>
      <c r="H1744" s="26" t="str">
        <f>"043"</f>
        <v>043</v>
      </c>
      <c r="I1744" s="26" t="str">
        <f t="shared" si="285"/>
        <v>00</v>
      </c>
      <c r="J1744" s="26" t="str">
        <f>"63 "</f>
        <v xml:space="preserve">63 </v>
      </c>
      <c r="K1744" s="26" t="str">
        <f>"IZ"</f>
        <v>IZ</v>
      </c>
      <c r="L1744" s="26" t="str">
        <f>"DGSEI"</f>
        <v>DGSEI</v>
      </c>
      <c r="M1744" s="26" t="str">
        <f t="shared" si="288"/>
        <v>FEDERAL</v>
      </c>
      <c r="N1744" s="26">
        <v>558</v>
      </c>
      <c r="O1744" s="26">
        <v>309</v>
      </c>
      <c r="P1744" s="26">
        <v>249</v>
      </c>
      <c r="Q1744" s="26">
        <v>18</v>
      </c>
      <c r="R1744" s="26">
        <v>1</v>
      </c>
      <c r="S1744" s="26">
        <v>18</v>
      </c>
      <c r="T1744" s="26">
        <v>8</v>
      </c>
      <c r="U1744" s="26">
        <v>27</v>
      </c>
      <c r="V1744" s="26">
        <v>1</v>
      </c>
      <c r="W1744" s="26"/>
    </row>
    <row r="1745" spans="1:23" x14ac:dyDescent="0.25">
      <c r="A1745" s="26" t="str">
        <f t="shared" si="284"/>
        <v>PRIMARIA</v>
      </c>
      <c r="B1745" s="26" t="str">
        <f>"09DPR3168O"</f>
        <v>09DPR3168O</v>
      </c>
      <c r="C1745" s="26" t="str">
        <f>"PROFR. RUBEN MOREIRA COBOS                                                                          "</f>
        <v xml:space="preserve">PROFR. RUBEN MOREIRA COBOS                                                                          </v>
      </c>
      <c r="D1745" s="26" t="str">
        <f>"MATUTINO"</f>
        <v>MATUTINO</v>
      </c>
      <c r="E1745" s="26" t="str">
        <f>"CALLE 2 No 149                                                                  "</f>
        <v xml:space="preserve">CALLE 2 No 149                                                                  </v>
      </c>
      <c r="F1745" s="26" t="str">
        <f>"AGRICOLA PANTITLAN                                                                                                                          "</f>
        <v xml:space="preserve">AGRICOLA PANTITLAN                                                                                                                          </v>
      </c>
      <c r="G1745" s="26" t="str">
        <f>"IZTACALCO                                                                       "</f>
        <v xml:space="preserve">IZTACALCO                                                                       </v>
      </c>
      <c r="H1745" s="26" t="str">
        <f>"355"</f>
        <v>355</v>
      </c>
      <c r="I1745" s="26" t="str">
        <f t="shared" si="285"/>
        <v>00</v>
      </c>
      <c r="J1745" s="26" t="str">
        <f>"43 "</f>
        <v xml:space="preserve">43 </v>
      </c>
      <c r="K1745" s="26" t="str">
        <f>"PR"</f>
        <v>PR</v>
      </c>
      <c r="L1745" s="26" t="str">
        <f>"DGOSE"</f>
        <v>DGOSE</v>
      </c>
      <c r="M1745" s="26" t="str">
        <f t="shared" si="288"/>
        <v>FEDERAL</v>
      </c>
      <c r="N1745" s="26">
        <v>445</v>
      </c>
      <c r="O1745" s="26">
        <v>222</v>
      </c>
      <c r="P1745" s="26">
        <v>223</v>
      </c>
      <c r="Q1745" s="26">
        <v>15</v>
      </c>
      <c r="R1745" s="26">
        <v>1</v>
      </c>
      <c r="S1745" s="26">
        <v>15</v>
      </c>
      <c r="T1745" s="26">
        <v>12</v>
      </c>
      <c r="U1745" s="26">
        <v>28</v>
      </c>
      <c r="V1745" s="26">
        <v>1</v>
      </c>
      <c r="W1745" s="26"/>
    </row>
    <row r="1746" spans="1:23" x14ac:dyDescent="0.25">
      <c r="A1746" s="26" t="str">
        <f t="shared" si="284"/>
        <v>PRIMARIA</v>
      </c>
      <c r="B1746" s="26" t="str">
        <f>"09DPR3169N"</f>
        <v>09DPR3169N</v>
      </c>
      <c r="C1746" s="26" t="str">
        <f>"PROFRA. ROSA NAVARRO                                                                                "</f>
        <v xml:space="preserve">PROFRA. ROSA NAVARRO                                                                                </v>
      </c>
      <c r="D1746" s="26" t="str">
        <f>"TIEMPO COMPLETO"</f>
        <v>TIEMPO COMPLETO</v>
      </c>
      <c r="E1746" s="26" t="str">
        <f>"FRANCISCO I MADERO 130                                                          "</f>
        <v xml:space="preserve">FRANCISCO I MADERO 130                                                          </v>
      </c>
      <c r="F1746" s="26" t="str">
        <f>"SAN MIGUEL BARRIO                                                                                                                           "</f>
        <v xml:space="preserve">SAN MIGUEL BARRIO                                                                                                                           </v>
      </c>
      <c r="G1746" s="26" t="str">
        <f>"IZTACALCO                                                                       "</f>
        <v xml:space="preserve">IZTACALCO                                                                       </v>
      </c>
      <c r="H1746" s="26" t="str">
        <f>"431"</f>
        <v>431</v>
      </c>
      <c r="I1746" s="26" t="str">
        <f t="shared" si="285"/>
        <v>00</v>
      </c>
      <c r="J1746" s="26" t="str">
        <f>"44 "</f>
        <v xml:space="preserve">44 </v>
      </c>
      <c r="K1746" s="26" t="str">
        <f>"PR"</f>
        <v>PR</v>
      </c>
      <c r="L1746" s="26" t="str">
        <f>"DGOSE"</f>
        <v>DGOSE</v>
      </c>
      <c r="M1746" s="26" t="str">
        <f t="shared" si="288"/>
        <v>FEDERAL</v>
      </c>
      <c r="N1746" s="26">
        <v>363</v>
      </c>
      <c r="O1746" s="26">
        <v>180</v>
      </c>
      <c r="P1746" s="26">
        <v>183</v>
      </c>
      <c r="Q1746" s="26">
        <v>12</v>
      </c>
      <c r="R1746" s="26">
        <v>1</v>
      </c>
      <c r="S1746" s="26">
        <v>12</v>
      </c>
      <c r="T1746" s="26">
        <v>13</v>
      </c>
      <c r="U1746" s="26">
        <v>26</v>
      </c>
      <c r="V1746" s="26">
        <v>1</v>
      </c>
      <c r="W1746" s="26" t="s">
        <v>218</v>
      </c>
    </row>
    <row r="1747" spans="1:23" x14ac:dyDescent="0.25">
      <c r="A1747" s="26" t="str">
        <f t="shared" si="284"/>
        <v>PRIMARIA</v>
      </c>
      <c r="B1747" s="26" t="str">
        <f>"09DPR3172A"</f>
        <v>09DPR3172A</v>
      </c>
      <c r="C1747" s="26" t="str">
        <f>"INGENIERO JAVIER BARROS SIERRA                                                                      "</f>
        <v xml:space="preserve">INGENIERO JAVIER BARROS SIERRA                                                                      </v>
      </c>
      <c r="D1747" s="26" t="str">
        <f>"VESPERTINO"</f>
        <v>VESPERTINO</v>
      </c>
      <c r="E1747" s="26" t="str">
        <f>"PRIMERA CDA SAN JOSE Y AV TOLUCA                                                "</f>
        <v xml:space="preserve">PRIMERA CDA SAN JOSE Y AV TOLUCA                                                </v>
      </c>
      <c r="F1747" s="26" t="str">
        <f>"OLIVAR DE LOS PADRES                                                                                                                        "</f>
        <v xml:space="preserve">OLIVAR DE LOS PADRES                                                                                                                        </v>
      </c>
      <c r="G1747" s="26" t="str">
        <f>"ALVARO OBREGON                                                                  "</f>
        <v xml:space="preserve">ALVARO OBREGON                                                                  </v>
      </c>
      <c r="H1747" s="26" t="str">
        <f>"328"</f>
        <v>328</v>
      </c>
      <c r="I1747" s="26" t="str">
        <f t="shared" si="285"/>
        <v>00</v>
      </c>
      <c r="J1747" s="26" t="str">
        <f>"43 "</f>
        <v xml:space="preserve">43 </v>
      </c>
      <c r="K1747" s="26" t="str">
        <f>"PR"</f>
        <v>PR</v>
      </c>
      <c r="L1747" s="26" t="str">
        <f>"DGOSE"</f>
        <v>DGOSE</v>
      </c>
      <c r="M1747" s="26" t="str">
        <f t="shared" si="288"/>
        <v>FEDERAL</v>
      </c>
      <c r="N1747" s="26">
        <v>381</v>
      </c>
      <c r="O1747" s="26">
        <v>201</v>
      </c>
      <c r="P1747" s="26">
        <v>180</v>
      </c>
      <c r="Q1747" s="26">
        <v>17</v>
      </c>
      <c r="R1747" s="26">
        <v>0</v>
      </c>
      <c r="S1747" s="26">
        <v>15</v>
      </c>
      <c r="T1747" s="26">
        <v>7</v>
      </c>
      <c r="U1747" s="26">
        <v>22</v>
      </c>
      <c r="V1747" s="26">
        <v>1</v>
      </c>
      <c r="W1747" s="26"/>
    </row>
    <row r="1748" spans="1:23" x14ac:dyDescent="0.25">
      <c r="A1748" s="26" t="str">
        <f t="shared" si="284"/>
        <v>PRIMARIA</v>
      </c>
      <c r="B1748" s="26" t="str">
        <f>"09DPR3174Z"</f>
        <v>09DPR3174Z</v>
      </c>
      <c r="C1748" s="26" t="str">
        <f>"PROFR. SIMITRIO RAMIREZ HERNANDEZ                                                                   "</f>
        <v xml:space="preserve">PROFR. SIMITRIO RAMIREZ HERNANDEZ                                                                   </v>
      </c>
      <c r="D1748" s="26" t="str">
        <f>"VESPERTINO"</f>
        <v>VESPERTINO</v>
      </c>
      <c r="E1748" s="26" t="str">
        <f>"AV OJO DE AGUA NUM 38                                                           "</f>
        <v xml:space="preserve">AV OJO DE AGUA NUM 38                                                           </v>
      </c>
      <c r="F1748" s="26" t="str">
        <f>"SAN BERNABE OCOTEPEC                                                                                                                        "</f>
        <v xml:space="preserve">SAN BERNABE OCOTEPEC                                                                                                                        </v>
      </c>
      <c r="G1748" s="26" t="str">
        <f>"LA MAGDALENA CONTRERAS                                                          "</f>
        <v xml:space="preserve">LA MAGDALENA CONTRERAS                                                          </v>
      </c>
      <c r="H1748" s="26" t="str">
        <f>"334"</f>
        <v>334</v>
      </c>
      <c r="I1748" s="26" t="str">
        <f t="shared" si="285"/>
        <v>00</v>
      </c>
      <c r="J1748" s="26" t="str">
        <f>"43 "</f>
        <v xml:space="preserve">43 </v>
      </c>
      <c r="K1748" s="26" t="str">
        <f>"PR"</f>
        <v>PR</v>
      </c>
      <c r="L1748" s="26" t="str">
        <f>"DGOSE"</f>
        <v>DGOSE</v>
      </c>
      <c r="M1748" s="26" t="str">
        <f t="shared" si="288"/>
        <v>FEDERAL</v>
      </c>
      <c r="N1748" s="26">
        <v>535</v>
      </c>
      <c r="O1748" s="26">
        <v>282</v>
      </c>
      <c r="P1748" s="26">
        <v>253</v>
      </c>
      <c r="Q1748" s="26">
        <v>18</v>
      </c>
      <c r="R1748" s="26">
        <v>1</v>
      </c>
      <c r="S1748" s="26">
        <v>18</v>
      </c>
      <c r="T1748" s="26">
        <v>7</v>
      </c>
      <c r="U1748" s="26">
        <v>26</v>
      </c>
      <c r="V1748" s="26">
        <v>1</v>
      </c>
      <c r="W1748" s="26"/>
    </row>
    <row r="1749" spans="1:23" x14ac:dyDescent="0.25">
      <c r="A1749" s="26" t="str">
        <f t="shared" si="284"/>
        <v>PRIMARIA</v>
      </c>
      <c r="B1749" s="26" t="str">
        <f>"09DPR3176X"</f>
        <v>09DPR3176X</v>
      </c>
      <c r="C1749" s="26" t="str">
        <f>"FLORENCIO M. DEL CASTILLO                                                                           "</f>
        <v xml:space="preserve">FLORENCIO M. DEL CASTILLO                                                                           </v>
      </c>
      <c r="D1749" s="26" t="str">
        <f>"MATUTINO"</f>
        <v>MATUTINO</v>
      </c>
      <c r="E1749" s="26" t="str">
        <f>"SERAPIO RENDON NO 48                                                            "</f>
        <v xml:space="preserve">SERAPIO RENDON NO 48                                                            </v>
      </c>
      <c r="F1749" s="26" t="str">
        <f>"SAN RAFAEL                                                                                                                                  "</f>
        <v xml:space="preserve">SAN RAFAEL                                                                                                                                  </v>
      </c>
      <c r="G1749" s="26" t="str">
        <f>"CUAUHTEMOC                                                                      "</f>
        <v xml:space="preserve">CUAUHTEMOC                                                                      </v>
      </c>
      <c r="H1749" s="26" t="str">
        <f>"220"</f>
        <v>220</v>
      </c>
      <c r="I1749" s="26" t="str">
        <f t="shared" si="285"/>
        <v>00</v>
      </c>
      <c r="J1749" s="26" t="str">
        <f>"42 "</f>
        <v xml:space="preserve">42 </v>
      </c>
      <c r="K1749" s="26" t="str">
        <f>"PR"</f>
        <v>PR</v>
      </c>
      <c r="L1749" s="26" t="str">
        <f>"DGOSE"</f>
        <v>DGOSE</v>
      </c>
      <c r="M1749" s="26" t="str">
        <f t="shared" si="288"/>
        <v>FEDERAL</v>
      </c>
      <c r="N1749" s="26">
        <v>493</v>
      </c>
      <c r="O1749" s="26">
        <v>248</v>
      </c>
      <c r="P1749" s="26">
        <v>245</v>
      </c>
      <c r="Q1749" s="26">
        <v>17</v>
      </c>
      <c r="R1749" s="26">
        <v>1</v>
      </c>
      <c r="S1749" s="26">
        <v>17</v>
      </c>
      <c r="T1749" s="26">
        <v>12</v>
      </c>
      <c r="U1749" s="26">
        <v>30</v>
      </c>
      <c r="V1749" s="26">
        <v>1</v>
      </c>
      <c r="W1749" s="26"/>
    </row>
    <row r="1750" spans="1:23" x14ac:dyDescent="0.25">
      <c r="A1750" s="26" t="str">
        <f t="shared" si="284"/>
        <v>PRIMARIA</v>
      </c>
      <c r="B1750" s="26" t="str">
        <f>"09DPR3177W"</f>
        <v>09DPR3177W</v>
      </c>
      <c r="C1750" s="26" t="str">
        <f>"JUANA PAVON DE MORELOS                                                                              "</f>
        <v xml:space="preserve">JUANA PAVON DE MORELOS                                                                              </v>
      </c>
      <c r="D1750" s="26" t="str">
        <f>"JORNADA AMPLIADA"</f>
        <v>JORNADA AMPLIADA</v>
      </c>
      <c r="E1750" s="26" t="str">
        <f>"ANTONIO CARDENAS NO. 409                                                        "</f>
        <v xml:space="preserve">ANTONIO CARDENAS NO. 409                                                        </v>
      </c>
      <c r="F1750" s="26" t="str">
        <f>"ESCUADRON 201                                                                                                                               "</f>
        <v xml:space="preserve">ESCUADRON 201                                                                                                                               </v>
      </c>
      <c r="G1750" s="26" t="str">
        <f>"IZTAPALAPA                                                                      "</f>
        <v xml:space="preserve">IZTAPALAPA                                                                      </v>
      </c>
      <c r="H1750" s="26" t="str">
        <f>"003"</f>
        <v>003</v>
      </c>
      <c r="I1750" s="26" t="str">
        <f t="shared" si="285"/>
        <v>00</v>
      </c>
      <c r="J1750" s="26" t="str">
        <f>"61 "</f>
        <v xml:space="preserve">61 </v>
      </c>
      <c r="K1750" s="26" t="str">
        <f>"IZ"</f>
        <v>IZ</v>
      </c>
      <c r="L1750" s="26" t="str">
        <f>"DGSEI"</f>
        <v>DGSEI</v>
      </c>
      <c r="M1750" s="26" t="str">
        <f t="shared" si="288"/>
        <v>FEDERAL</v>
      </c>
      <c r="N1750" s="26">
        <v>406</v>
      </c>
      <c r="O1750" s="26">
        <v>208</v>
      </c>
      <c r="P1750" s="26">
        <v>198</v>
      </c>
      <c r="Q1750" s="26">
        <v>15</v>
      </c>
      <c r="R1750" s="26">
        <v>1</v>
      </c>
      <c r="S1750" s="26">
        <v>15</v>
      </c>
      <c r="T1750" s="26">
        <v>7</v>
      </c>
      <c r="U1750" s="26">
        <v>23</v>
      </c>
      <c r="V1750" s="26">
        <v>1</v>
      </c>
      <c r="W1750" s="26" t="s">
        <v>2076</v>
      </c>
    </row>
    <row r="1751" spans="1:23" x14ac:dyDescent="0.25">
      <c r="A1751" s="26" t="str">
        <f t="shared" si="284"/>
        <v>PRIMARIA</v>
      </c>
      <c r="B1751" s="26" t="str">
        <f>"09DPR3185E"</f>
        <v>09DPR3185E</v>
      </c>
      <c r="C1751" s="26" t="str">
        <f>"SEBASTIAN LERDO DE TEJADA                                                                           "</f>
        <v xml:space="preserve">SEBASTIAN LERDO DE TEJADA                                                                           </v>
      </c>
      <c r="D1751" s="26" t="str">
        <f>"MATUTINO"</f>
        <v>MATUTINO</v>
      </c>
      <c r="E1751" s="26" t="str">
        <f>"CALLE SIETE NUM 39                                                              "</f>
        <v xml:space="preserve">CALLE SIETE NUM 39                                                              </v>
      </c>
      <c r="F1751" s="26" t="str">
        <f>"MIGUEL HIDALGO AMPLIACION                                                                                                                   "</f>
        <v xml:space="preserve">MIGUEL HIDALGO AMPLIACION                                                                                                                   </v>
      </c>
      <c r="G1751" s="26" t="str">
        <f>"TLALPAN                                                                         "</f>
        <v xml:space="preserve">TLALPAN                                                                         </v>
      </c>
      <c r="H1751" s="26" t="str">
        <f>"516"</f>
        <v>516</v>
      </c>
      <c r="I1751" s="26" t="str">
        <f t="shared" si="285"/>
        <v>00</v>
      </c>
      <c r="J1751" s="26" t="str">
        <f>"45 "</f>
        <v xml:space="preserve">45 </v>
      </c>
      <c r="K1751" s="26" t="str">
        <f t="shared" ref="K1751:K1757" si="289">"PR"</f>
        <v>PR</v>
      </c>
      <c r="L1751" s="26" t="str">
        <f t="shared" ref="L1751:L1757" si="290">"DGOSE"</f>
        <v>DGOSE</v>
      </c>
      <c r="M1751" s="26" t="str">
        <f t="shared" si="288"/>
        <v>FEDERAL</v>
      </c>
      <c r="N1751" s="26">
        <v>688</v>
      </c>
      <c r="O1751" s="26">
        <v>359</v>
      </c>
      <c r="P1751" s="26">
        <v>329</v>
      </c>
      <c r="Q1751" s="26">
        <v>18</v>
      </c>
      <c r="R1751" s="26">
        <v>1</v>
      </c>
      <c r="S1751" s="26">
        <v>16</v>
      </c>
      <c r="T1751" s="26">
        <v>10</v>
      </c>
      <c r="U1751" s="26">
        <v>27</v>
      </c>
      <c r="V1751" s="26">
        <v>1</v>
      </c>
      <c r="W1751" s="26"/>
    </row>
    <row r="1752" spans="1:23" x14ac:dyDescent="0.25">
      <c r="A1752" s="26" t="str">
        <f t="shared" si="284"/>
        <v>PRIMARIA</v>
      </c>
      <c r="B1752" s="26" t="str">
        <f>"09DPR3186D"</f>
        <v>09DPR3186D</v>
      </c>
      <c r="C1752" s="26" t="str">
        <f>"PROFR. ANTONIO S. LOPEZ                                                                             "</f>
        <v xml:space="preserve">PROFR. ANTONIO S. LOPEZ                                                                             </v>
      </c>
      <c r="D1752" s="26" t="str">
        <f>"MATUTINO"</f>
        <v>MATUTINO</v>
      </c>
      <c r="E1752" s="26" t="str">
        <f>"AV CENTENARIO NUM 1519                                                          "</f>
        <v xml:space="preserve">AV CENTENARIO NUM 1519                                                          </v>
      </c>
      <c r="F1752" s="26" t="str">
        <f>"HERON PROAL                                                                                                                                 "</f>
        <v xml:space="preserve">HERON PROAL                                                                                                                                 </v>
      </c>
      <c r="G1752" s="26" t="str">
        <f>"ALVARO OBREGON                                                                  "</f>
        <v xml:space="preserve">ALVARO OBREGON                                                                  </v>
      </c>
      <c r="H1752" s="26" t="str">
        <f>"324"</f>
        <v>324</v>
      </c>
      <c r="I1752" s="26" t="str">
        <f t="shared" si="285"/>
        <v>00</v>
      </c>
      <c r="J1752" s="26" t="str">
        <f>"43 "</f>
        <v xml:space="preserve">43 </v>
      </c>
      <c r="K1752" s="26" t="str">
        <f t="shared" si="289"/>
        <v>PR</v>
      </c>
      <c r="L1752" s="26" t="str">
        <f t="shared" si="290"/>
        <v>DGOSE</v>
      </c>
      <c r="M1752" s="26" t="str">
        <f t="shared" si="288"/>
        <v>FEDERAL</v>
      </c>
      <c r="N1752" s="26">
        <v>334</v>
      </c>
      <c r="O1752" s="26">
        <v>152</v>
      </c>
      <c r="P1752" s="26">
        <v>182</v>
      </c>
      <c r="Q1752" s="26">
        <v>9</v>
      </c>
      <c r="R1752" s="26">
        <v>1</v>
      </c>
      <c r="S1752" s="26">
        <v>9</v>
      </c>
      <c r="T1752" s="26">
        <v>4</v>
      </c>
      <c r="U1752" s="26">
        <v>14</v>
      </c>
      <c r="V1752" s="26">
        <v>1</v>
      </c>
      <c r="W1752" s="26"/>
    </row>
    <row r="1753" spans="1:23" x14ac:dyDescent="0.25">
      <c r="A1753" s="26" t="str">
        <f t="shared" si="284"/>
        <v>PRIMARIA</v>
      </c>
      <c r="B1753" s="26" t="str">
        <f>"09DPR3187C"</f>
        <v>09DPR3187C</v>
      </c>
      <c r="C1753" s="26" t="str">
        <f>"MANUEL SABINO CRESPO                                                                                "</f>
        <v xml:space="preserve">MANUEL SABINO CRESPO                                                                                </v>
      </c>
      <c r="D1753" s="26" t="str">
        <f>"MATUTINO"</f>
        <v>MATUTINO</v>
      </c>
      <c r="E1753" s="26" t="str">
        <f>"EDO. DE MEXICO Y SAN MIGUEL CHALMA                                              "</f>
        <v xml:space="preserve">EDO. DE MEXICO Y SAN MIGUEL CHALMA                                              </v>
      </c>
      <c r="F1753" s="26" t="str">
        <f>"CHALMA DE GUADALUPE                                                                                                                         "</f>
        <v xml:space="preserve">CHALMA DE GUADALUPE                                                                                                                         </v>
      </c>
      <c r="G1753" s="26" t="str">
        <f>"GUSTAVO A. MADERO                                                               "</f>
        <v xml:space="preserve">GUSTAVO A. MADERO                                                               </v>
      </c>
      <c r="H1753" s="26" t="str">
        <f>"232"</f>
        <v>232</v>
      </c>
      <c r="I1753" s="26" t="str">
        <f t="shared" si="285"/>
        <v>00</v>
      </c>
      <c r="J1753" s="26" t="str">
        <f>"42 "</f>
        <v xml:space="preserve">42 </v>
      </c>
      <c r="K1753" s="26" t="str">
        <f t="shared" si="289"/>
        <v>PR</v>
      </c>
      <c r="L1753" s="26" t="str">
        <f t="shared" si="290"/>
        <v>DGOSE</v>
      </c>
      <c r="M1753" s="26" t="str">
        <f t="shared" si="288"/>
        <v>FEDERAL</v>
      </c>
      <c r="N1753" s="26">
        <v>471</v>
      </c>
      <c r="O1753" s="26">
        <v>237</v>
      </c>
      <c r="P1753" s="26">
        <v>234</v>
      </c>
      <c r="Q1753" s="26">
        <v>17</v>
      </c>
      <c r="R1753" s="26">
        <v>1</v>
      </c>
      <c r="S1753" s="26">
        <v>17</v>
      </c>
      <c r="T1753" s="26">
        <v>9</v>
      </c>
      <c r="U1753" s="26">
        <v>27</v>
      </c>
      <c r="V1753" s="26">
        <v>1</v>
      </c>
      <c r="W1753" s="26"/>
    </row>
    <row r="1754" spans="1:23" x14ac:dyDescent="0.25">
      <c r="A1754" s="26" t="str">
        <f t="shared" si="284"/>
        <v>PRIMARIA</v>
      </c>
      <c r="B1754" s="26" t="str">
        <f>"09DPR3188B"</f>
        <v>09DPR3188B</v>
      </c>
      <c r="C1754" s="26" t="str">
        <f>"MANUEL SABINO CRESPO                                                                                "</f>
        <v xml:space="preserve">MANUEL SABINO CRESPO                                                                                </v>
      </c>
      <c r="D1754" s="26" t="str">
        <f>"VESPERTINO"</f>
        <v>VESPERTINO</v>
      </c>
      <c r="E1754" s="26" t="str">
        <f>"EDO. DE MEXICO Y SAN MIGUEL CHALMA                                              "</f>
        <v xml:space="preserve">EDO. DE MEXICO Y SAN MIGUEL CHALMA                                              </v>
      </c>
      <c r="F1754" s="26" t="str">
        <f>"CHALMA DE GUADALUPE                                                                                                                         "</f>
        <v xml:space="preserve">CHALMA DE GUADALUPE                                                                                                                         </v>
      </c>
      <c r="G1754" s="26" t="str">
        <f>"GUSTAVO A. MADERO                                                               "</f>
        <v xml:space="preserve">GUSTAVO A. MADERO                                                               </v>
      </c>
      <c r="H1754" s="26" t="str">
        <f>"232"</f>
        <v>232</v>
      </c>
      <c r="I1754" s="26" t="str">
        <f t="shared" si="285"/>
        <v>00</v>
      </c>
      <c r="J1754" s="26" t="str">
        <f>"42 "</f>
        <v xml:space="preserve">42 </v>
      </c>
      <c r="K1754" s="26" t="str">
        <f t="shared" si="289"/>
        <v>PR</v>
      </c>
      <c r="L1754" s="26" t="str">
        <f t="shared" si="290"/>
        <v>DGOSE</v>
      </c>
      <c r="M1754" s="26" t="str">
        <f t="shared" si="288"/>
        <v>FEDERAL</v>
      </c>
      <c r="N1754" s="26">
        <v>431</v>
      </c>
      <c r="O1754" s="26">
        <v>223</v>
      </c>
      <c r="P1754" s="26">
        <v>208</v>
      </c>
      <c r="Q1754" s="26">
        <v>17</v>
      </c>
      <c r="R1754" s="26">
        <v>1</v>
      </c>
      <c r="S1754" s="26">
        <v>17</v>
      </c>
      <c r="T1754" s="26">
        <v>10</v>
      </c>
      <c r="U1754" s="26">
        <v>28</v>
      </c>
      <c r="V1754" s="26">
        <v>1</v>
      </c>
      <c r="W1754" s="26"/>
    </row>
    <row r="1755" spans="1:23" x14ac:dyDescent="0.25">
      <c r="A1755" s="26" t="str">
        <f t="shared" si="284"/>
        <v>PRIMARIA</v>
      </c>
      <c r="B1755" s="26" t="str">
        <f>"09DPR3189A"</f>
        <v>09DPR3189A</v>
      </c>
      <c r="C1755" s="26" t="str">
        <f>"PROFR. FAUSTO ARROYO PEREZ                                                                          "</f>
        <v xml:space="preserve">PROFR. FAUSTO ARROYO PEREZ                                                                          </v>
      </c>
      <c r="D1755" s="26" t="str">
        <f>"MATUTINO"</f>
        <v>MATUTINO</v>
      </c>
      <c r="E1755" s="26" t="str">
        <f>"ATLACOMULCO S/N                                                                 "</f>
        <v xml:space="preserve">ATLACOMULCO S/N                                                                 </v>
      </c>
      <c r="F1755" s="26" t="str">
        <f>"GENERAL FELIPE BERRIOZABAL                                                                                                                  "</f>
        <v xml:space="preserve">GENERAL FELIPE BERRIOZABAL                                                                                                                  </v>
      </c>
      <c r="G1755" s="26" t="str">
        <f>"GUSTAVO A. MADERO                                                               "</f>
        <v xml:space="preserve">GUSTAVO A. MADERO                                                               </v>
      </c>
      <c r="H1755" s="26" t="str">
        <f>"230"</f>
        <v>230</v>
      </c>
      <c r="I1755" s="26" t="str">
        <f t="shared" si="285"/>
        <v>00</v>
      </c>
      <c r="J1755" s="26" t="str">
        <f>"42 "</f>
        <v xml:space="preserve">42 </v>
      </c>
      <c r="K1755" s="26" t="str">
        <f t="shared" si="289"/>
        <v>PR</v>
      </c>
      <c r="L1755" s="26" t="str">
        <f t="shared" si="290"/>
        <v>DGOSE</v>
      </c>
      <c r="M1755" s="26" t="str">
        <f t="shared" si="288"/>
        <v>FEDERAL</v>
      </c>
      <c r="N1755" s="26">
        <v>628</v>
      </c>
      <c r="O1755" s="26">
        <v>321</v>
      </c>
      <c r="P1755" s="26">
        <v>307</v>
      </c>
      <c r="Q1755" s="26">
        <v>19</v>
      </c>
      <c r="R1755" s="26">
        <v>1</v>
      </c>
      <c r="S1755" s="26">
        <v>19</v>
      </c>
      <c r="T1755" s="26">
        <v>9</v>
      </c>
      <c r="U1755" s="26">
        <v>29</v>
      </c>
      <c r="V1755" s="26">
        <v>1</v>
      </c>
      <c r="W1755" s="26"/>
    </row>
    <row r="1756" spans="1:23" x14ac:dyDescent="0.25">
      <c r="A1756" s="26" t="str">
        <f t="shared" si="284"/>
        <v>PRIMARIA</v>
      </c>
      <c r="B1756" s="26" t="str">
        <f>"09DPR3190Q"</f>
        <v>09DPR3190Q</v>
      </c>
      <c r="C1756" s="26" t="str">
        <f>"PROFR. FAUSTO ARROYO PEREZ                                                                          "</f>
        <v xml:space="preserve">PROFR. FAUSTO ARROYO PEREZ                                                                          </v>
      </c>
      <c r="D1756" s="26" t="str">
        <f>"VESPERTINO"</f>
        <v>VESPERTINO</v>
      </c>
      <c r="E1756" s="26" t="str">
        <f>"ATLACOMULCO S/N                                                                 "</f>
        <v xml:space="preserve">ATLACOMULCO S/N                                                                 </v>
      </c>
      <c r="F1756" s="26" t="str">
        <f>"GENERAL FELIPE BERRIOZABAL                                                                                                                  "</f>
        <v xml:space="preserve">GENERAL FELIPE BERRIOZABAL                                                                                                                  </v>
      </c>
      <c r="G1756" s="26" t="str">
        <f>"GUSTAVO A. MADERO                                                               "</f>
        <v xml:space="preserve">GUSTAVO A. MADERO                                                               </v>
      </c>
      <c r="H1756" s="26" t="str">
        <f>"230"</f>
        <v>230</v>
      </c>
      <c r="I1756" s="26" t="str">
        <f t="shared" si="285"/>
        <v>00</v>
      </c>
      <c r="J1756" s="26" t="str">
        <f>"42 "</f>
        <v xml:space="preserve">42 </v>
      </c>
      <c r="K1756" s="26" t="str">
        <f t="shared" si="289"/>
        <v>PR</v>
      </c>
      <c r="L1756" s="26" t="str">
        <f t="shared" si="290"/>
        <v>DGOSE</v>
      </c>
      <c r="M1756" s="26" t="str">
        <f t="shared" si="288"/>
        <v>FEDERAL</v>
      </c>
      <c r="N1756" s="26">
        <v>494</v>
      </c>
      <c r="O1756" s="26">
        <v>260</v>
      </c>
      <c r="P1756" s="26">
        <v>234</v>
      </c>
      <c r="Q1756" s="26">
        <v>18</v>
      </c>
      <c r="R1756" s="26">
        <v>1</v>
      </c>
      <c r="S1756" s="26">
        <v>14</v>
      </c>
      <c r="T1756" s="26">
        <v>10</v>
      </c>
      <c r="U1756" s="26">
        <v>25</v>
      </c>
      <c r="V1756" s="26">
        <v>1</v>
      </c>
      <c r="W1756" s="26"/>
    </row>
    <row r="1757" spans="1:23" x14ac:dyDescent="0.25">
      <c r="A1757" s="26" t="str">
        <f t="shared" si="284"/>
        <v>PRIMARIA</v>
      </c>
      <c r="B1757" s="26" t="str">
        <f>"09DPR3191P"</f>
        <v>09DPR3191P</v>
      </c>
      <c r="C1757" s="26" t="str">
        <f>"IGNACIO MARISCAL                                                                                    "</f>
        <v xml:space="preserve">IGNACIO MARISCAL                                                                                    </v>
      </c>
      <c r="D1757" s="26" t="str">
        <f>"VESPERTINO"</f>
        <v>VESPERTINO</v>
      </c>
      <c r="E1757" s="26" t="str">
        <f>"AGRUPAMIENTO F 101                                                              "</f>
        <v xml:space="preserve">AGRUPAMIENTO F 101                                                              </v>
      </c>
      <c r="F1757" s="26" t="str">
        <f>"UNIDAD SAN JUAN DE ARAGON 5A SECCIO                                                                                                         "</f>
        <v xml:space="preserve">UNIDAD SAN JUAN DE ARAGON 5A SECCIO                                                                                                         </v>
      </c>
      <c r="G1757" s="26" t="str">
        <f>"GUSTAVO A. MADERO                                                               "</f>
        <v xml:space="preserve">GUSTAVO A. MADERO                                                               </v>
      </c>
      <c r="H1757" s="26" t="str">
        <f>"271"</f>
        <v>271</v>
      </c>
      <c r="I1757" s="26" t="str">
        <f t="shared" si="285"/>
        <v>00</v>
      </c>
      <c r="J1757" s="26" t="str">
        <f>"42 "</f>
        <v xml:space="preserve">42 </v>
      </c>
      <c r="K1757" s="26" t="str">
        <f t="shared" si="289"/>
        <v>PR</v>
      </c>
      <c r="L1757" s="26" t="str">
        <f t="shared" si="290"/>
        <v>DGOSE</v>
      </c>
      <c r="M1757" s="26" t="str">
        <f t="shared" si="288"/>
        <v>FEDERAL</v>
      </c>
      <c r="N1757" s="26">
        <v>242</v>
      </c>
      <c r="O1757" s="26">
        <v>119</v>
      </c>
      <c r="P1757" s="26">
        <v>123</v>
      </c>
      <c r="Q1757" s="26">
        <v>12</v>
      </c>
      <c r="R1757" s="26">
        <v>1</v>
      </c>
      <c r="S1757" s="26">
        <v>12</v>
      </c>
      <c r="T1757" s="26">
        <v>8</v>
      </c>
      <c r="U1757" s="26">
        <v>21</v>
      </c>
      <c r="V1757" s="26">
        <v>1</v>
      </c>
      <c r="W1757" s="26"/>
    </row>
    <row r="1758" spans="1:23" x14ac:dyDescent="0.25">
      <c r="A1758" s="26" t="str">
        <f t="shared" si="284"/>
        <v>PRIMARIA</v>
      </c>
      <c r="B1758" s="26" t="str">
        <f>"09DPR3192O"</f>
        <v>09DPR3192O</v>
      </c>
      <c r="C1758" s="26" t="str">
        <f>"BRUNO TRAVEN                                                                                        "</f>
        <v xml:space="preserve">BRUNO TRAVEN                                                                                        </v>
      </c>
      <c r="D1758" s="26" t="str">
        <f>"TIEMPO COMPLETO"</f>
        <v>TIEMPO COMPLETO</v>
      </c>
      <c r="E1758" s="26" t="str">
        <f>"GRAL. J. TRINIDAD SALGADO NO. 24                                                "</f>
        <v xml:space="preserve">GRAL. J. TRINIDAD SALGADO NO. 24                                                </v>
      </c>
      <c r="F1758" s="26" t="str">
        <f>"JUAN ESCUTIA                                                                                                                                "</f>
        <v xml:space="preserve">JUAN ESCUTIA                                                                                                                                </v>
      </c>
      <c r="G1758" s="26" t="str">
        <f>"IZTAPALAPA                                                                      "</f>
        <v xml:space="preserve">IZTAPALAPA                                                                      </v>
      </c>
      <c r="H1758" s="26" t="str">
        <f>"008"</f>
        <v>008</v>
      </c>
      <c r="I1758" s="26" t="str">
        <f t="shared" si="285"/>
        <v>00</v>
      </c>
      <c r="J1758" s="26" t="str">
        <f>"61 "</f>
        <v xml:space="preserve">61 </v>
      </c>
      <c r="K1758" s="26" t="str">
        <f>"IZ"</f>
        <v>IZ</v>
      </c>
      <c r="L1758" s="26" t="str">
        <f>"DGSEI"</f>
        <v>DGSEI</v>
      </c>
      <c r="M1758" s="26" t="str">
        <f t="shared" si="288"/>
        <v>FEDERAL</v>
      </c>
      <c r="N1758" s="26">
        <v>313</v>
      </c>
      <c r="O1758" s="26">
        <v>157</v>
      </c>
      <c r="P1758" s="26">
        <v>156</v>
      </c>
      <c r="Q1758" s="26">
        <v>9</v>
      </c>
      <c r="R1758" s="26">
        <v>1</v>
      </c>
      <c r="S1758" s="26">
        <v>9</v>
      </c>
      <c r="T1758" s="26">
        <v>8</v>
      </c>
      <c r="U1758" s="26">
        <v>18</v>
      </c>
      <c r="V1758" s="26">
        <v>1</v>
      </c>
      <c r="W1758" s="26" t="s">
        <v>218</v>
      </c>
    </row>
    <row r="1759" spans="1:23" x14ac:dyDescent="0.25">
      <c r="A1759" s="26" t="str">
        <f t="shared" si="284"/>
        <v>PRIMARIA</v>
      </c>
      <c r="B1759" s="26" t="str">
        <f>"09DPR3193N"</f>
        <v>09DPR3193N</v>
      </c>
      <c r="C1759" s="26" t="str">
        <f>"PROFR. CARITINO MALDONADO PEREZ                                                                     "</f>
        <v xml:space="preserve">PROFR. CARITINO MALDONADO PEREZ                                                                     </v>
      </c>
      <c r="D1759" s="26" t="str">
        <f>"MATUTINO"</f>
        <v>MATUTINO</v>
      </c>
      <c r="E1759" s="26" t="str">
        <f>"XOCHIMILCO TULYEHUALCO Y 16 SEPTIEMBRE                                          "</f>
        <v xml:space="preserve">XOCHIMILCO TULYEHUALCO Y 16 SEPTIEMBRE                                          </v>
      </c>
      <c r="F1759" s="26" t="str">
        <f>"SANTA MARIA NATIVITAS                                                                                                                       "</f>
        <v xml:space="preserve">SANTA MARIA NATIVITAS                                                                                                                       </v>
      </c>
      <c r="G1759" s="26" t="str">
        <f>"XOCHIMILCO                                                                      "</f>
        <v xml:space="preserve">XOCHIMILCO                                                                      </v>
      </c>
      <c r="H1759" s="26" t="str">
        <f>"539"</f>
        <v>539</v>
      </c>
      <c r="I1759" s="26" t="str">
        <f t="shared" si="285"/>
        <v>00</v>
      </c>
      <c r="J1759" s="26" t="str">
        <f>"45 "</f>
        <v xml:space="preserve">45 </v>
      </c>
      <c r="K1759" s="26" t="str">
        <f t="shared" ref="K1759:K1769" si="291">"PR"</f>
        <v>PR</v>
      </c>
      <c r="L1759" s="26" t="str">
        <f t="shared" ref="L1759:L1769" si="292">"DGOSE"</f>
        <v>DGOSE</v>
      </c>
      <c r="M1759" s="26" t="str">
        <f t="shared" si="288"/>
        <v>FEDERAL</v>
      </c>
      <c r="N1759" s="26">
        <v>662</v>
      </c>
      <c r="O1759" s="26">
        <v>335</v>
      </c>
      <c r="P1759" s="26">
        <v>327</v>
      </c>
      <c r="Q1759" s="26">
        <v>18</v>
      </c>
      <c r="R1759" s="26">
        <v>1</v>
      </c>
      <c r="S1759" s="26">
        <v>17</v>
      </c>
      <c r="T1759" s="26">
        <v>10</v>
      </c>
      <c r="U1759" s="26">
        <v>28</v>
      </c>
      <c r="V1759" s="26">
        <v>1</v>
      </c>
      <c r="W1759" s="26"/>
    </row>
    <row r="1760" spans="1:23" x14ac:dyDescent="0.25">
      <c r="A1760" s="26" t="str">
        <f t="shared" si="284"/>
        <v>PRIMARIA</v>
      </c>
      <c r="B1760" s="26" t="str">
        <f>"09DPR3195L"</f>
        <v>09DPR3195L</v>
      </c>
      <c r="C1760" s="26" t="str">
        <f>"VALENTIN VAZQUEZ NAVA                                                                               "</f>
        <v xml:space="preserve">VALENTIN VAZQUEZ NAVA                                                                               </v>
      </c>
      <c r="D1760" s="26" t="str">
        <f>"MATUTINO"</f>
        <v>MATUTINO</v>
      </c>
      <c r="E1760" s="26" t="str">
        <f>"AV. PRINCIPAL Y RET. DEL PARQUE                                                 "</f>
        <v xml:space="preserve">AV. PRINCIPAL Y RET. DEL PARQUE                                                 </v>
      </c>
      <c r="F1760" s="26" t="str">
        <f>"SAN JOSE CAPULA O GOLONDRINAS                                                                                                               "</f>
        <v xml:space="preserve">SAN JOSE CAPULA O GOLONDRINAS                                                                                                               </v>
      </c>
      <c r="G1760" s="26" t="str">
        <f>"ALVARO OBREGON                                                                  "</f>
        <v xml:space="preserve">ALVARO OBREGON                                                                  </v>
      </c>
      <c r="H1760" s="26" t="str">
        <f>"309"</f>
        <v>309</v>
      </c>
      <c r="I1760" s="26" t="str">
        <f t="shared" si="285"/>
        <v>00</v>
      </c>
      <c r="J1760" s="26" t="str">
        <f>"43 "</f>
        <v xml:space="preserve">43 </v>
      </c>
      <c r="K1760" s="26" t="str">
        <f t="shared" si="291"/>
        <v>PR</v>
      </c>
      <c r="L1760" s="26" t="str">
        <f t="shared" si="292"/>
        <v>DGOSE</v>
      </c>
      <c r="M1760" s="26" t="str">
        <f t="shared" si="288"/>
        <v>FEDERAL</v>
      </c>
      <c r="N1760" s="26">
        <v>421</v>
      </c>
      <c r="O1760" s="26">
        <v>215</v>
      </c>
      <c r="P1760" s="26">
        <v>206</v>
      </c>
      <c r="Q1760" s="26">
        <v>14</v>
      </c>
      <c r="R1760" s="26">
        <v>1</v>
      </c>
      <c r="S1760" s="26">
        <v>14</v>
      </c>
      <c r="T1760" s="26">
        <v>7</v>
      </c>
      <c r="U1760" s="26">
        <v>22</v>
      </c>
      <c r="V1760" s="26">
        <v>1</v>
      </c>
      <c r="W1760" s="26"/>
    </row>
    <row r="1761" spans="1:23" x14ac:dyDescent="0.25">
      <c r="A1761" s="26" t="str">
        <f t="shared" si="284"/>
        <v>PRIMARIA</v>
      </c>
      <c r="B1761" s="26" t="str">
        <f>"09DPR3196K"</f>
        <v>09DPR3196K</v>
      </c>
      <c r="C1761" s="26" t="str">
        <f>"PROFR. SIMITRIO RAMIREZ HERNANDEZ                                                                   "</f>
        <v xml:space="preserve">PROFR. SIMITRIO RAMIREZ HERNANDEZ                                                                   </v>
      </c>
      <c r="D1761" s="26" t="str">
        <f>"MATUTINO"</f>
        <v>MATUTINO</v>
      </c>
      <c r="E1761" s="26" t="str">
        <f>"AV OJO DE AGUA NUM 38                                                           "</f>
        <v xml:space="preserve">AV OJO DE AGUA NUM 38                                                           </v>
      </c>
      <c r="F1761" s="26" t="str">
        <f>"SAN BERNABE OCOTEPEC                                                                                                                        "</f>
        <v xml:space="preserve">SAN BERNABE OCOTEPEC                                                                                                                        </v>
      </c>
      <c r="G1761" s="26" t="str">
        <f>"LA MAGDALENA CONTRERAS                                                          "</f>
        <v xml:space="preserve">LA MAGDALENA CONTRERAS                                                          </v>
      </c>
      <c r="H1761" s="26" t="str">
        <f>"334"</f>
        <v>334</v>
      </c>
      <c r="I1761" s="26" t="str">
        <f t="shared" si="285"/>
        <v>00</v>
      </c>
      <c r="J1761" s="26" t="str">
        <f>"43 "</f>
        <v xml:space="preserve">43 </v>
      </c>
      <c r="K1761" s="26" t="str">
        <f t="shared" si="291"/>
        <v>PR</v>
      </c>
      <c r="L1761" s="26" t="str">
        <f t="shared" si="292"/>
        <v>DGOSE</v>
      </c>
      <c r="M1761" s="26" t="str">
        <f t="shared" si="288"/>
        <v>FEDERAL</v>
      </c>
      <c r="N1761" s="26">
        <v>661</v>
      </c>
      <c r="O1761" s="26">
        <v>353</v>
      </c>
      <c r="P1761" s="26">
        <v>308</v>
      </c>
      <c r="Q1761" s="26">
        <v>18</v>
      </c>
      <c r="R1761" s="26">
        <v>1</v>
      </c>
      <c r="S1761" s="26">
        <v>18</v>
      </c>
      <c r="T1761" s="26">
        <v>13</v>
      </c>
      <c r="U1761" s="26">
        <v>32</v>
      </c>
      <c r="V1761" s="26">
        <v>1</v>
      </c>
      <c r="W1761" s="26"/>
    </row>
    <row r="1762" spans="1:23" x14ac:dyDescent="0.25">
      <c r="A1762" s="26" t="str">
        <f t="shared" si="284"/>
        <v>PRIMARIA</v>
      </c>
      <c r="B1762" s="26" t="str">
        <f>"09DPR3197J"</f>
        <v>09DPR3197J</v>
      </c>
      <c r="C1762" s="26" t="str">
        <f>"PROFRA. VIRGINIA RIVERA LOZANO                                                                      "</f>
        <v xml:space="preserve">PROFRA. VIRGINIA RIVERA LOZANO                                                                      </v>
      </c>
      <c r="D1762" s="26" t="str">
        <f>"MATUTINO"</f>
        <v>MATUTINO</v>
      </c>
      <c r="E1762" s="26" t="str">
        <f>"ROMULO O FARRIL S/N                                                             "</f>
        <v xml:space="preserve">ROMULO O FARRIL S/N                                                             </v>
      </c>
      <c r="F1762" s="26" t="str">
        <f>"LAS AGUILAS AMPLIACION                                                                                                                      "</f>
        <v xml:space="preserve">LAS AGUILAS AMPLIACION                                                                                                                      </v>
      </c>
      <c r="G1762" s="26" t="str">
        <f>"ALVARO OBREGON                                                                  "</f>
        <v xml:space="preserve">ALVARO OBREGON                                                                  </v>
      </c>
      <c r="H1762" s="26" t="str">
        <f>"321"</f>
        <v>321</v>
      </c>
      <c r="I1762" s="26" t="str">
        <f t="shared" si="285"/>
        <v>00</v>
      </c>
      <c r="J1762" s="26" t="str">
        <f>"43 "</f>
        <v xml:space="preserve">43 </v>
      </c>
      <c r="K1762" s="26" t="str">
        <f t="shared" si="291"/>
        <v>PR</v>
      </c>
      <c r="L1762" s="26" t="str">
        <f t="shared" si="292"/>
        <v>DGOSE</v>
      </c>
      <c r="M1762" s="26" t="str">
        <f t="shared" si="288"/>
        <v>FEDERAL</v>
      </c>
      <c r="N1762" s="26">
        <v>368</v>
      </c>
      <c r="O1762" s="26">
        <v>201</v>
      </c>
      <c r="P1762" s="26">
        <v>167</v>
      </c>
      <c r="Q1762" s="26">
        <v>12</v>
      </c>
      <c r="R1762" s="26">
        <v>1</v>
      </c>
      <c r="S1762" s="26">
        <v>12</v>
      </c>
      <c r="T1762" s="26">
        <v>7</v>
      </c>
      <c r="U1762" s="26">
        <v>20</v>
      </c>
      <c r="V1762" s="26">
        <v>1</v>
      </c>
      <c r="W1762" s="26"/>
    </row>
    <row r="1763" spans="1:23" x14ac:dyDescent="0.25">
      <c r="A1763" s="26" t="str">
        <f t="shared" si="284"/>
        <v>PRIMARIA</v>
      </c>
      <c r="B1763" s="26" t="str">
        <f>"09DPR3198I"</f>
        <v>09DPR3198I</v>
      </c>
      <c r="C1763" s="26" t="str">
        <f>"FLAVIO GUTIERREZ ZACARIAS                                                                           "</f>
        <v xml:space="preserve">FLAVIO GUTIERREZ ZACARIAS                                                                           </v>
      </c>
      <c r="D1763" s="26" t="str">
        <f>"MATUTINO"</f>
        <v>MATUTINO</v>
      </c>
      <c r="E1763" s="26" t="str">
        <f>"AVENIDA HIDALGO Y AVENIDA CAÑADA S/N                                            "</f>
        <v xml:space="preserve">AVENIDA HIDALGO Y AVENIDA CAÑADA S/N                                            </v>
      </c>
      <c r="F1763" s="26" t="str">
        <f>"CAÑADA                                                                                                                                      "</f>
        <v xml:space="preserve">CAÑADA                                                                                                                                      </v>
      </c>
      <c r="G1763" s="26" t="str">
        <f>"ALVARO OBREGON                                                                  "</f>
        <v xml:space="preserve">ALVARO OBREGON                                                                  </v>
      </c>
      <c r="H1763" s="26" t="str">
        <f>"316"</f>
        <v>316</v>
      </c>
      <c r="I1763" s="26" t="str">
        <f t="shared" si="285"/>
        <v>00</v>
      </c>
      <c r="J1763" s="26" t="str">
        <f>"43 "</f>
        <v xml:space="preserve">43 </v>
      </c>
      <c r="K1763" s="26" t="str">
        <f t="shared" si="291"/>
        <v>PR</v>
      </c>
      <c r="L1763" s="26" t="str">
        <f t="shared" si="292"/>
        <v>DGOSE</v>
      </c>
      <c r="M1763" s="26" t="str">
        <f t="shared" si="288"/>
        <v>FEDERAL</v>
      </c>
      <c r="N1763" s="26">
        <v>516</v>
      </c>
      <c r="O1763" s="26">
        <v>278</v>
      </c>
      <c r="P1763" s="26">
        <v>238</v>
      </c>
      <c r="Q1763" s="26">
        <v>19</v>
      </c>
      <c r="R1763" s="26">
        <v>1</v>
      </c>
      <c r="S1763" s="26">
        <v>18</v>
      </c>
      <c r="T1763" s="26">
        <v>7</v>
      </c>
      <c r="U1763" s="26">
        <v>26</v>
      </c>
      <c r="V1763" s="26">
        <v>1</v>
      </c>
      <c r="W1763" s="26"/>
    </row>
    <row r="1764" spans="1:23" x14ac:dyDescent="0.25">
      <c r="A1764" s="26" t="str">
        <f t="shared" si="284"/>
        <v>PRIMARIA</v>
      </c>
      <c r="B1764" s="26" t="str">
        <f>"09DPR3199H"</f>
        <v>09DPR3199H</v>
      </c>
      <c r="C1764" s="26" t="str">
        <f>"ENRIQUE CORONA MORFIN                                                                               "</f>
        <v xml:space="preserve">ENRIQUE CORONA MORFIN                                                                               </v>
      </c>
      <c r="D1764" s="26" t="str">
        <f>"JORNADA AMPLIADA"</f>
        <v>JORNADA AMPLIADA</v>
      </c>
      <c r="E1764" s="26" t="str">
        <f>"PROLONGACION PUENTE DE GUERRA                                                   "</f>
        <v xml:space="preserve">PROLONGACION PUENTE DE GUERRA                                                   </v>
      </c>
      <c r="F1764" s="26" t="str">
        <f>"PRESIDENTE MADERO                                                                                                                           "</f>
        <v xml:space="preserve">PRESIDENTE MADERO                                                                                                                           </v>
      </c>
      <c r="G1764" s="26" t="str">
        <f>"AZCAPOTZALCO                                                                    "</f>
        <v xml:space="preserve">AZCAPOTZALCO                                                                    </v>
      </c>
      <c r="H1764" s="26" t="str">
        <f>"101"</f>
        <v>101</v>
      </c>
      <c r="I1764" s="26" t="str">
        <f t="shared" si="285"/>
        <v>00</v>
      </c>
      <c r="J1764" s="26" t="str">
        <f>"41 "</f>
        <v xml:space="preserve">41 </v>
      </c>
      <c r="K1764" s="26" t="str">
        <f t="shared" si="291"/>
        <v>PR</v>
      </c>
      <c r="L1764" s="26" t="str">
        <f t="shared" si="292"/>
        <v>DGOSE</v>
      </c>
      <c r="M1764" s="26" t="str">
        <f t="shared" si="288"/>
        <v>FEDERAL</v>
      </c>
      <c r="N1764" s="26">
        <v>329</v>
      </c>
      <c r="O1764" s="26">
        <v>186</v>
      </c>
      <c r="P1764" s="26">
        <v>143</v>
      </c>
      <c r="Q1764" s="26">
        <v>12</v>
      </c>
      <c r="R1764" s="26">
        <v>1</v>
      </c>
      <c r="S1764" s="26">
        <v>12</v>
      </c>
      <c r="T1764" s="26">
        <v>13</v>
      </c>
      <c r="U1764" s="26">
        <v>26</v>
      </c>
      <c r="V1764" s="26">
        <v>1</v>
      </c>
      <c r="W1764" s="26" t="s">
        <v>2076</v>
      </c>
    </row>
    <row r="1765" spans="1:23" x14ac:dyDescent="0.25">
      <c r="A1765" s="26" t="str">
        <f t="shared" si="284"/>
        <v>PRIMARIA</v>
      </c>
      <c r="B1765" s="26" t="str">
        <f>"09DPR3200G"</f>
        <v>09DPR3200G</v>
      </c>
      <c r="C1765" s="26" t="str">
        <f>"PROFR. Y LIC. GENARO V. VAZQUEZ QUIROZ                                                              "</f>
        <v xml:space="preserve">PROFR. Y LIC. GENARO V. VAZQUEZ QUIROZ                                                              </v>
      </c>
      <c r="D1765" s="26" t="str">
        <f>"JORNADA AMPLIADA"</f>
        <v>JORNADA AMPLIADA</v>
      </c>
      <c r="E1765" s="26" t="str">
        <f>"CALLE DOS NUM 97                                                                "</f>
        <v xml:space="preserve">CALLE DOS NUM 97                                                                </v>
      </c>
      <c r="F1765" s="26" t="str">
        <f>"AGRICOLA PANTITLAN                                                                                                                          "</f>
        <v xml:space="preserve">AGRICOLA PANTITLAN                                                                                                                          </v>
      </c>
      <c r="G1765" s="26" t="str">
        <f>"IZTACALCO                                                                       "</f>
        <v xml:space="preserve">IZTACALCO                                                                       </v>
      </c>
      <c r="H1765" s="26" t="str">
        <f>"429"</f>
        <v>429</v>
      </c>
      <c r="I1765" s="26" t="str">
        <f t="shared" si="285"/>
        <v>00</v>
      </c>
      <c r="J1765" s="26" t="str">
        <f>"44 "</f>
        <v xml:space="preserve">44 </v>
      </c>
      <c r="K1765" s="26" t="str">
        <f t="shared" si="291"/>
        <v>PR</v>
      </c>
      <c r="L1765" s="26" t="str">
        <f t="shared" si="292"/>
        <v>DGOSE</v>
      </c>
      <c r="M1765" s="26" t="str">
        <f t="shared" si="288"/>
        <v>FEDERAL</v>
      </c>
      <c r="N1765" s="26">
        <v>205</v>
      </c>
      <c r="O1765" s="26">
        <v>94</v>
      </c>
      <c r="P1765" s="26">
        <v>111</v>
      </c>
      <c r="Q1765" s="26">
        <v>7</v>
      </c>
      <c r="R1765" s="26">
        <v>1</v>
      </c>
      <c r="S1765" s="26">
        <v>7</v>
      </c>
      <c r="T1765" s="26">
        <v>7</v>
      </c>
      <c r="U1765" s="26">
        <v>15</v>
      </c>
      <c r="V1765" s="26">
        <v>1</v>
      </c>
      <c r="W1765" s="26" t="s">
        <v>2076</v>
      </c>
    </row>
    <row r="1766" spans="1:23" x14ac:dyDescent="0.25">
      <c r="A1766" s="26" t="str">
        <f t="shared" si="284"/>
        <v>PRIMARIA</v>
      </c>
      <c r="B1766" s="26" t="str">
        <f>"09DPR3202E"</f>
        <v>09DPR3202E</v>
      </c>
      <c r="C1766" s="26" t="str">
        <f>"VINI CUBI                                                                                           "</f>
        <v xml:space="preserve">VINI CUBI                                                                                           </v>
      </c>
      <c r="D1766" s="26" t="str">
        <f>"MATUTINO"</f>
        <v>MATUTINO</v>
      </c>
      <c r="E1766" s="26" t="str">
        <f>"AV 16 DE SEPTIEMBRE 51                                                          "</f>
        <v xml:space="preserve">AV 16 DE SEPTIEMBRE 51                                                          </v>
      </c>
      <c r="F1766" s="26" t="str">
        <f>"CONTADERO                                                                                                                                   "</f>
        <v xml:space="preserve">CONTADERO                                                                                                                                   </v>
      </c>
      <c r="G1766" s="26" t="str">
        <f>"CUAJIMALPA DE MORELOS                                                           "</f>
        <v xml:space="preserve">CUAJIMALPA DE MORELOS                                                           </v>
      </c>
      <c r="H1766" s="26" t="str">
        <f>"304"</f>
        <v>304</v>
      </c>
      <c r="I1766" s="26" t="str">
        <f t="shared" si="285"/>
        <v>00</v>
      </c>
      <c r="J1766" s="26" t="str">
        <f>"43 "</f>
        <v xml:space="preserve">43 </v>
      </c>
      <c r="K1766" s="26" t="str">
        <f t="shared" si="291"/>
        <v>PR</v>
      </c>
      <c r="L1766" s="26" t="str">
        <f t="shared" si="292"/>
        <v>DGOSE</v>
      </c>
      <c r="M1766" s="26" t="str">
        <f t="shared" si="288"/>
        <v>FEDERAL</v>
      </c>
      <c r="N1766" s="26">
        <v>521</v>
      </c>
      <c r="O1766" s="26">
        <v>261</v>
      </c>
      <c r="P1766" s="26">
        <v>260</v>
      </c>
      <c r="Q1766" s="26">
        <v>16</v>
      </c>
      <c r="R1766" s="26">
        <v>1</v>
      </c>
      <c r="S1766" s="26">
        <v>16</v>
      </c>
      <c r="T1766" s="26">
        <v>10</v>
      </c>
      <c r="U1766" s="26">
        <v>27</v>
      </c>
      <c r="V1766" s="26">
        <v>1</v>
      </c>
      <c r="W1766" s="26"/>
    </row>
    <row r="1767" spans="1:23" x14ac:dyDescent="0.25">
      <c r="A1767" s="26" t="str">
        <f t="shared" si="284"/>
        <v>PRIMARIA</v>
      </c>
      <c r="B1767" s="26" t="str">
        <f>"09DPR3203D"</f>
        <v>09DPR3203D</v>
      </c>
      <c r="C1767" s="26" t="str">
        <f>"DRA MARIA DEL CARMEN MILLAN                                                                         "</f>
        <v xml:space="preserve">DRA MARIA DEL CARMEN MILLAN                                                                         </v>
      </c>
      <c r="D1767" s="26" t="str">
        <f>"TIEMPO COMPLETO"</f>
        <v>TIEMPO COMPLETO</v>
      </c>
      <c r="E1767" s="26" t="str">
        <f>"CALZ. TENORIOS NUM 222                                                          "</f>
        <v xml:space="preserve">CALZ. TENORIOS NUM 222                                                          </v>
      </c>
      <c r="F1767" s="26" t="str">
        <f>"GRANJAS COAPA                                                                                                                               "</f>
        <v xml:space="preserve">GRANJAS COAPA                                                                                                                               </v>
      </c>
      <c r="G1767" s="26" t="str">
        <f>"TLALPAN                                                                         "</f>
        <v xml:space="preserve">TLALPAN                                                                         </v>
      </c>
      <c r="H1767" s="26" t="str">
        <f>"445"</f>
        <v>445</v>
      </c>
      <c r="I1767" s="26" t="str">
        <f t="shared" si="285"/>
        <v>00</v>
      </c>
      <c r="J1767" s="26" t="str">
        <f>"44 "</f>
        <v xml:space="preserve">44 </v>
      </c>
      <c r="K1767" s="26" t="str">
        <f t="shared" si="291"/>
        <v>PR</v>
      </c>
      <c r="L1767" s="26" t="str">
        <f t="shared" si="292"/>
        <v>DGOSE</v>
      </c>
      <c r="M1767" s="26" t="str">
        <f t="shared" si="288"/>
        <v>FEDERAL</v>
      </c>
      <c r="N1767" s="26">
        <v>398</v>
      </c>
      <c r="O1767" s="26">
        <v>218</v>
      </c>
      <c r="P1767" s="26">
        <v>180</v>
      </c>
      <c r="Q1767" s="26">
        <v>11</v>
      </c>
      <c r="R1767" s="26">
        <v>1</v>
      </c>
      <c r="S1767" s="26">
        <v>11</v>
      </c>
      <c r="T1767" s="26">
        <v>15</v>
      </c>
      <c r="U1767" s="26">
        <v>27</v>
      </c>
      <c r="V1767" s="26">
        <v>1</v>
      </c>
      <c r="W1767" s="26" t="s">
        <v>218</v>
      </c>
    </row>
    <row r="1768" spans="1:23" x14ac:dyDescent="0.25">
      <c r="A1768" s="26" t="str">
        <f t="shared" si="284"/>
        <v>PRIMARIA</v>
      </c>
      <c r="B1768" s="26" t="str">
        <f>"09DPR3206A"</f>
        <v>09DPR3206A</v>
      </c>
      <c r="C1768" s="26" t="str">
        <f>"PROFR HERMILO ZAVALZA DEL VALLE                                                                     "</f>
        <v xml:space="preserve">PROFR HERMILO ZAVALZA DEL VALLE                                                                     </v>
      </c>
      <c r="D1768" s="26" t="str">
        <f>"MATUTINO"</f>
        <v>MATUTINO</v>
      </c>
      <c r="E1768" s="26" t="str">
        <f>"YOBAIN NUM 659 Y BOLONCHEN                                                      "</f>
        <v xml:space="preserve">YOBAIN NUM 659 Y BOLONCHEN                                                      </v>
      </c>
      <c r="F1768" s="26" t="str">
        <f>"CULTURA MAYA                                                                                                                                "</f>
        <v xml:space="preserve">CULTURA MAYA                                                                                                                                </v>
      </c>
      <c r="G1768" s="26" t="str">
        <f>"TLALPAN                                                                         "</f>
        <v xml:space="preserve">TLALPAN                                                                         </v>
      </c>
      <c r="H1768" s="26" t="str">
        <f>"516"</f>
        <v>516</v>
      </c>
      <c r="I1768" s="26" t="str">
        <f t="shared" si="285"/>
        <v>00</v>
      </c>
      <c r="J1768" s="26" t="str">
        <f>"45 "</f>
        <v xml:space="preserve">45 </v>
      </c>
      <c r="K1768" s="26" t="str">
        <f t="shared" si="291"/>
        <v>PR</v>
      </c>
      <c r="L1768" s="26" t="str">
        <f t="shared" si="292"/>
        <v>DGOSE</v>
      </c>
      <c r="M1768" s="26" t="str">
        <f t="shared" si="288"/>
        <v>FEDERAL</v>
      </c>
      <c r="N1768" s="26">
        <v>687</v>
      </c>
      <c r="O1768" s="26">
        <v>361</v>
      </c>
      <c r="P1768" s="26">
        <v>326</v>
      </c>
      <c r="Q1768" s="26">
        <v>18</v>
      </c>
      <c r="R1768" s="26">
        <v>1</v>
      </c>
      <c r="S1768" s="26">
        <v>17</v>
      </c>
      <c r="T1768" s="26">
        <v>10</v>
      </c>
      <c r="U1768" s="26">
        <v>28</v>
      </c>
      <c r="V1768" s="26">
        <v>1</v>
      </c>
      <c r="W1768" s="26"/>
    </row>
    <row r="1769" spans="1:23" x14ac:dyDescent="0.25">
      <c r="A1769" s="26" t="str">
        <f t="shared" si="284"/>
        <v>PRIMARIA</v>
      </c>
      <c r="B1769" s="26" t="str">
        <f>"09DPR3211M"</f>
        <v>09DPR3211M</v>
      </c>
      <c r="C1769" s="26" t="str">
        <f>"MAESTRO FELIX JIMENEZ NAJERA                                                                        "</f>
        <v xml:space="preserve">MAESTRO FELIX JIMENEZ NAJERA                                                                        </v>
      </c>
      <c r="D1769" s="26" t="str">
        <f>"VESPERTINO"</f>
        <v>VESPERTINO</v>
      </c>
      <c r="E1769" s="26" t="str">
        <f>"PROL MIGUEL NEGRETE S/N                                                         "</f>
        <v xml:space="preserve">PROL MIGUEL NEGRETE S/N                                                         </v>
      </c>
      <c r="F1769" s="26" t="str">
        <f>"SAN JUAN IXTAYOPAN                                                                                                                          "</f>
        <v xml:space="preserve">SAN JUAN IXTAYOPAN                                                                                                                          </v>
      </c>
      <c r="G1769" s="26" t="str">
        <f>"TLAHUAC                                                                         "</f>
        <v xml:space="preserve">TLAHUAC                                                                         </v>
      </c>
      <c r="H1769" s="26" t="str">
        <f>"559"</f>
        <v>559</v>
      </c>
      <c r="I1769" s="26" t="str">
        <f t="shared" si="285"/>
        <v>00</v>
      </c>
      <c r="J1769" s="26" t="str">
        <f>"45 "</f>
        <v xml:space="preserve">45 </v>
      </c>
      <c r="K1769" s="26" t="str">
        <f t="shared" si="291"/>
        <v>PR</v>
      </c>
      <c r="L1769" s="26" t="str">
        <f t="shared" si="292"/>
        <v>DGOSE</v>
      </c>
      <c r="M1769" s="26" t="str">
        <f t="shared" si="288"/>
        <v>FEDERAL</v>
      </c>
      <c r="N1769" s="26">
        <v>143</v>
      </c>
      <c r="O1769" s="26">
        <v>85</v>
      </c>
      <c r="P1769" s="26">
        <v>58</v>
      </c>
      <c r="Q1769" s="26">
        <v>7</v>
      </c>
      <c r="R1769" s="26">
        <v>1</v>
      </c>
      <c r="S1769" s="26">
        <v>7</v>
      </c>
      <c r="T1769" s="26">
        <v>8</v>
      </c>
      <c r="U1769" s="26">
        <v>16</v>
      </c>
      <c r="V1769" s="26">
        <v>1</v>
      </c>
      <c r="W1769" s="26"/>
    </row>
    <row r="1770" spans="1:23" x14ac:dyDescent="0.25">
      <c r="A1770" s="26" t="str">
        <f t="shared" si="284"/>
        <v>PRIMARIA</v>
      </c>
      <c r="B1770" s="26" t="str">
        <f>"09DPR3212L"</f>
        <v>09DPR3212L</v>
      </c>
      <c r="C1770" s="26" t="str">
        <f>"GENOVEVA CORTES                                                                                     "</f>
        <v xml:space="preserve">GENOVEVA CORTES                                                                                     </v>
      </c>
      <c r="D1770" s="26" t="str">
        <f>"VESPERTINO"</f>
        <v>VESPERTINO</v>
      </c>
      <c r="E1770" s="26" t="str">
        <f>"VILLA ASCASURI Y MANUEL CAÑAS                                                   "</f>
        <v xml:space="preserve">VILLA ASCASURI Y MANUEL CAÑAS                                                   </v>
      </c>
      <c r="F1770" s="26" t="str">
        <f>"DESARROLLO URBANO QUETZALCOATL                                                                                                              "</f>
        <v xml:space="preserve">DESARROLLO URBANO QUETZALCOATL                                                                                                              </v>
      </c>
      <c r="G1770" s="26" t="str">
        <f>"IZTAPALAPA                                                                      "</f>
        <v xml:space="preserve">IZTAPALAPA                                                                      </v>
      </c>
      <c r="H1770" s="26" t="str">
        <f>"054"</f>
        <v>054</v>
      </c>
      <c r="I1770" s="26" t="str">
        <f t="shared" si="285"/>
        <v>00</v>
      </c>
      <c r="J1770" s="26" t="str">
        <f>"64 "</f>
        <v xml:space="preserve">64 </v>
      </c>
      <c r="K1770" s="26" t="str">
        <f>"IZ"</f>
        <v>IZ</v>
      </c>
      <c r="L1770" s="26" t="str">
        <f>"DGSEI"</f>
        <v>DGSEI</v>
      </c>
      <c r="M1770" s="26" t="str">
        <f t="shared" si="288"/>
        <v>FEDERAL</v>
      </c>
      <c r="N1770" s="26">
        <v>560</v>
      </c>
      <c r="O1770" s="26">
        <v>277</v>
      </c>
      <c r="P1770" s="26">
        <v>283</v>
      </c>
      <c r="Q1770" s="26">
        <v>18</v>
      </c>
      <c r="R1770" s="26">
        <v>1</v>
      </c>
      <c r="S1770" s="26">
        <v>18</v>
      </c>
      <c r="T1770" s="26">
        <v>6</v>
      </c>
      <c r="U1770" s="26">
        <v>25</v>
      </c>
      <c r="V1770" s="26">
        <v>1</v>
      </c>
      <c r="W1770" s="26"/>
    </row>
    <row r="1771" spans="1:23" x14ac:dyDescent="0.25">
      <c r="A1771" s="26" t="str">
        <f t="shared" si="284"/>
        <v>PRIMARIA</v>
      </c>
      <c r="B1771" s="26" t="str">
        <f>"09DPR3213K"</f>
        <v>09DPR3213K</v>
      </c>
      <c r="C1771" s="26" t="str">
        <f>"PROFR. PRISCILIANO MARTINEZ LOPEZ                                                                   "</f>
        <v xml:space="preserve">PROFR. PRISCILIANO MARTINEZ LOPEZ                                                                   </v>
      </c>
      <c r="D1771" s="26" t="str">
        <f>"TIEMPO COMPLETO"</f>
        <v>TIEMPO COMPLETO</v>
      </c>
      <c r="E1771" s="26" t="str">
        <f>"GRAL. SIMON ELIAS GONZALEZ NO. 35                                               "</f>
        <v xml:space="preserve">GRAL. SIMON ELIAS GONZALEZ NO. 35                                               </v>
      </c>
      <c r="F1771" s="26" t="str">
        <f>"JUAN ESCUTIA                                                                                                                                "</f>
        <v xml:space="preserve">JUAN ESCUTIA                                                                                                                                </v>
      </c>
      <c r="G1771" s="26" t="str">
        <f>"IZTAPALAPA                                                                      "</f>
        <v xml:space="preserve">IZTAPALAPA                                                                      </v>
      </c>
      <c r="H1771" s="26" t="str">
        <f>"008"</f>
        <v>008</v>
      </c>
      <c r="I1771" s="26" t="str">
        <f t="shared" si="285"/>
        <v>00</v>
      </c>
      <c r="J1771" s="26" t="str">
        <f>"61 "</f>
        <v xml:space="preserve">61 </v>
      </c>
      <c r="K1771" s="26" t="str">
        <f>"IZ"</f>
        <v>IZ</v>
      </c>
      <c r="L1771" s="26" t="str">
        <f>"DGSEI"</f>
        <v>DGSEI</v>
      </c>
      <c r="M1771" s="26" t="str">
        <f t="shared" si="288"/>
        <v>FEDERAL</v>
      </c>
      <c r="N1771" s="26">
        <v>487</v>
      </c>
      <c r="O1771" s="26">
        <v>242</v>
      </c>
      <c r="P1771" s="26">
        <v>245</v>
      </c>
      <c r="Q1771" s="26">
        <v>14</v>
      </c>
      <c r="R1771" s="26">
        <v>1</v>
      </c>
      <c r="S1771" s="26">
        <v>14</v>
      </c>
      <c r="T1771" s="26">
        <v>12</v>
      </c>
      <c r="U1771" s="26">
        <v>27</v>
      </c>
      <c r="V1771" s="26">
        <v>1</v>
      </c>
      <c r="W1771" s="26" t="s">
        <v>218</v>
      </c>
    </row>
    <row r="1772" spans="1:23" x14ac:dyDescent="0.25">
      <c r="A1772" s="26" t="str">
        <f t="shared" si="284"/>
        <v>PRIMARIA</v>
      </c>
      <c r="B1772" s="26" t="str">
        <f>"09DPR3217G"</f>
        <v>09DPR3217G</v>
      </c>
      <c r="C1772" s="26" t="str">
        <f>"HEROES DE LA INDEPENDENCIA                                                                          "</f>
        <v xml:space="preserve">HEROES DE LA INDEPENDENCIA                                                                          </v>
      </c>
      <c r="D1772" s="26" t="str">
        <f>"VESPERTINO"</f>
        <v>VESPERTINO</v>
      </c>
      <c r="E1772" s="26" t="str">
        <f>"CUAUHTEMOC NO 5                                                                 "</f>
        <v xml:space="preserve">CUAUHTEMOC NO 5                                                                 </v>
      </c>
      <c r="F1772" s="26" t="str">
        <f>"TEPEPAN                                                                                                                                     "</f>
        <v xml:space="preserve">TEPEPAN                                                                                                                                     </v>
      </c>
      <c r="G1772" s="26" t="str">
        <f>"XOCHIMILCO                                                                      "</f>
        <v xml:space="preserve">XOCHIMILCO                                                                      </v>
      </c>
      <c r="H1772" s="26" t="str">
        <f>"532"</f>
        <v>532</v>
      </c>
      <c r="I1772" s="26" t="str">
        <f t="shared" si="285"/>
        <v>00</v>
      </c>
      <c r="J1772" s="26" t="str">
        <f>"45 "</f>
        <v xml:space="preserve">45 </v>
      </c>
      <c r="K1772" s="26" t="str">
        <f>"PR"</f>
        <v>PR</v>
      </c>
      <c r="L1772" s="26" t="str">
        <f>"DGOSE"</f>
        <v>DGOSE</v>
      </c>
      <c r="M1772" s="26" t="str">
        <f t="shared" si="288"/>
        <v>FEDERAL</v>
      </c>
      <c r="N1772" s="26">
        <v>203</v>
      </c>
      <c r="O1772" s="26">
        <v>99</v>
      </c>
      <c r="P1772" s="26">
        <v>104</v>
      </c>
      <c r="Q1772" s="26">
        <v>8</v>
      </c>
      <c r="R1772" s="26">
        <v>1</v>
      </c>
      <c r="S1772" s="26">
        <v>8</v>
      </c>
      <c r="T1772" s="26">
        <v>5</v>
      </c>
      <c r="U1772" s="26">
        <v>14</v>
      </c>
      <c r="V1772" s="26">
        <v>1</v>
      </c>
      <c r="W1772" s="26"/>
    </row>
    <row r="1773" spans="1:23" x14ac:dyDescent="0.25">
      <c r="A1773" s="26" t="str">
        <f t="shared" si="284"/>
        <v>PRIMARIA</v>
      </c>
      <c r="B1773" s="26" t="str">
        <f>"09DPR3219E"</f>
        <v>09DPR3219E</v>
      </c>
      <c r="C1773" s="26" t="str">
        <f>"BELICE                                                                                              "</f>
        <v xml:space="preserve">BELICE                                                                                              </v>
      </c>
      <c r="D1773" s="26" t="str">
        <f>"JORNADA AMPLIADA"</f>
        <v>JORNADA AMPLIADA</v>
      </c>
      <c r="E1773" s="26" t="str">
        <f>"AVENIDA INGENIERO EDUARDO MOLINA S/N                                            "</f>
        <v xml:space="preserve">AVENIDA INGENIERO EDUARDO MOLINA S/N                                            </v>
      </c>
      <c r="F1773" s="26" t="str">
        <f>"JUAN GONZALEZ ROMERO                                                                                                                        "</f>
        <v xml:space="preserve">JUAN GONZALEZ ROMERO                                                                                                                        </v>
      </c>
      <c r="G1773" s="26" t="str">
        <f>"GUSTAVO A. MADERO                                                               "</f>
        <v xml:space="preserve">GUSTAVO A. MADERO                                                               </v>
      </c>
      <c r="H1773" s="26" t="str">
        <f>"140"</f>
        <v>140</v>
      </c>
      <c r="I1773" s="26" t="str">
        <f t="shared" si="285"/>
        <v>00</v>
      </c>
      <c r="J1773" s="26" t="str">
        <f>"41 "</f>
        <v xml:space="preserve">41 </v>
      </c>
      <c r="K1773" s="26" t="str">
        <f>"PR"</f>
        <v>PR</v>
      </c>
      <c r="L1773" s="26" t="str">
        <f>"DGOSE"</f>
        <v>DGOSE</v>
      </c>
      <c r="M1773" s="26" t="str">
        <f t="shared" si="288"/>
        <v>FEDERAL</v>
      </c>
      <c r="N1773" s="26">
        <v>543</v>
      </c>
      <c r="O1773" s="26">
        <v>256</v>
      </c>
      <c r="P1773" s="26">
        <v>287</v>
      </c>
      <c r="Q1773" s="26">
        <v>18</v>
      </c>
      <c r="R1773" s="26">
        <v>1</v>
      </c>
      <c r="S1773" s="26">
        <v>18</v>
      </c>
      <c r="T1773" s="26">
        <v>11</v>
      </c>
      <c r="U1773" s="26">
        <v>30</v>
      </c>
      <c r="V1773" s="26">
        <v>1</v>
      </c>
      <c r="W1773" s="26" t="s">
        <v>2076</v>
      </c>
    </row>
    <row r="1774" spans="1:23" x14ac:dyDescent="0.25">
      <c r="A1774" s="26" t="str">
        <f t="shared" si="284"/>
        <v>PRIMARIA</v>
      </c>
      <c r="B1774" s="26" t="str">
        <f>"09DPR3221T"</f>
        <v>09DPR3221T</v>
      </c>
      <c r="C1774" s="26" t="str">
        <f>"SUSANA IRMA HERRERA MASCORRO                                                                        "</f>
        <v xml:space="preserve">SUSANA IRMA HERRERA MASCORRO                                                                        </v>
      </c>
      <c r="D1774" s="26" t="str">
        <f>"MATUTINO"</f>
        <v>MATUTINO</v>
      </c>
      <c r="E1774" s="26" t="str">
        <f>"RODOLFO MENDEZ NUM 3                                                            "</f>
        <v xml:space="preserve">RODOLFO MENDEZ NUM 3                                                            </v>
      </c>
      <c r="F1774" s="26" t="str">
        <f>"GABRIEL HERNANDEZ AMPLIACION                                                                                                                "</f>
        <v xml:space="preserve">GABRIEL HERNANDEZ AMPLIACION                                                                                                                </v>
      </c>
      <c r="G1774" s="26" t="str">
        <f>"GUSTAVO A. MADERO                                                               "</f>
        <v xml:space="preserve">GUSTAVO A. MADERO                                                               </v>
      </c>
      <c r="H1774" s="26" t="str">
        <f>"255"</f>
        <v>255</v>
      </c>
      <c r="I1774" s="26" t="str">
        <f t="shared" si="285"/>
        <v>00</v>
      </c>
      <c r="J1774" s="26" t="str">
        <f>"42 "</f>
        <v xml:space="preserve">42 </v>
      </c>
      <c r="K1774" s="26" t="str">
        <f>"PR"</f>
        <v>PR</v>
      </c>
      <c r="L1774" s="26" t="str">
        <f>"DGOSE"</f>
        <v>DGOSE</v>
      </c>
      <c r="M1774" s="26" t="str">
        <f t="shared" si="288"/>
        <v>FEDERAL</v>
      </c>
      <c r="N1774" s="26">
        <v>288</v>
      </c>
      <c r="O1774" s="26">
        <v>140</v>
      </c>
      <c r="P1774" s="26">
        <v>148</v>
      </c>
      <c r="Q1774" s="26">
        <v>11</v>
      </c>
      <c r="R1774" s="26">
        <v>1</v>
      </c>
      <c r="S1774" s="26">
        <v>11</v>
      </c>
      <c r="T1774" s="26">
        <v>7</v>
      </c>
      <c r="U1774" s="26">
        <v>19</v>
      </c>
      <c r="V1774" s="26">
        <v>1</v>
      </c>
      <c r="W1774" s="26"/>
    </row>
    <row r="1775" spans="1:23" x14ac:dyDescent="0.25">
      <c r="A1775" s="26" t="str">
        <f t="shared" si="284"/>
        <v>PRIMARIA</v>
      </c>
      <c r="B1775" s="26" t="str">
        <f>"09DPR3222S"</f>
        <v>09DPR3222S</v>
      </c>
      <c r="C1775" s="26" t="str">
        <f>"PROFR. ERNESTO MORENO BELLO                                                                         "</f>
        <v xml:space="preserve">PROFR. ERNESTO MORENO BELLO                                                                         </v>
      </c>
      <c r="D1775" s="26" t="str">
        <f>"MATUTINO"</f>
        <v>MATUTINO</v>
      </c>
      <c r="E1775" s="26" t="str">
        <f>"DIAMANTE S/N                                                                    "</f>
        <v xml:space="preserve">DIAMANTE S/N                                                                    </v>
      </c>
      <c r="F1775" s="26" t="str">
        <f>"EL TEPETATAL                                                                                                                                "</f>
        <v xml:space="preserve">EL TEPETATAL                                                                                                                                </v>
      </c>
      <c r="G1775" s="26" t="str">
        <f>"GUSTAVO A. MADERO                                                               "</f>
        <v xml:space="preserve">GUSTAVO A. MADERO                                                               </v>
      </c>
      <c r="H1775" s="26" t="str">
        <f>"227"</f>
        <v>227</v>
      </c>
      <c r="I1775" s="26" t="str">
        <f t="shared" si="285"/>
        <v>00</v>
      </c>
      <c r="J1775" s="26" t="str">
        <f>"42 "</f>
        <v xml:space="preserve">42 </v>
      </c>
      <c r="K1775" s="26" t="str">
        <f>"PR"</f>
        <v>PR</v>
      </c>
      <c r="L1775" s="26" t="str">
        <f>"DGOSE"</f>
        <v>DGOSE</v>
      </c>
      <c r="M1775" s="26" t="str">
        <f t="shared" si="288"/>
        <v>FEDERAL</v>
      </c>
      <c r="N1775" s="26">
        <v>606</v>
      </c>
      <c r="O1775" s="26">
        <v>310</v>
      </c>
      <c r="P1775" s="26">
        <v>296</v>
      </c>
      <c r="Q1775" s="26">
        <v>17</v>
      </c>
      <c r="R1775" s="26">
        <v>1</v>
      </c>
      <c r="S1775" s="26">
        <v>17</v>
      </c>
      <c r="T1775" s="26">
        <v>10</v>
      </c>
      <c r="U1775" s="26">
        <v>28</v>
      </c>
      <c r="V1775" s="26">
        <v>1</v>
      </c>
      <c r="W1775" s="26"/>
    </row>
    <row r="1776" spans="1:23" x14ac:dyDescent="0.25">
      <c r="A1776" s="26" t="str">
        <f t="shared" si="284"/>
        <v>PRIMARIA</v>
      </c>
      <c r="B1776" s="26" t="str">
        <f>"09DPR3223R"</f>
        <v>09DPR3223R</v>
      </c>
      <c r="C1776" s="26" t="str">
        <f>"MANUEL RUIZ RODRIGUEZ                                                                               "</f>
        <v xml:space="preserve">MANUEL RUIZ RODRIGUEZ                                                                               </v>
      </c>
      <c r="D1776" s="26" t="str">
        <f>"JORNADA AMPLIADA"</f>
        <v>JORNADA AMPLIADA</v>
      </c>
      <c r="E1776" s="26" t="str">
        <f>"OPALO Y SECRETARIA C S/N                                                        "</f>
        <v xml:space="preserve">OPALO Y SECRETARIA C S/N                                                        </v>
      </c>
      <c r="F1776" s="26" t="str">
        <f>"ESMERALDA                                                                                                                                   "</f>
        <v xml:space="preserve">ESMERALDA                                                                                                                                   </v>
      </c>
      <c r="G1776" s="26" t="str">
        <f>"GUSTAVO A. MADERO                                                               "</f>
        <v xml:space="preserve">GUSTAVO A. MADERO                                                               </v>
      </c>
      <c r="H1776" s="26" t="str">
        <f>"140"</f>
        <v>140</v>
      </c>
      <c r="I1776" s="26" t="str">
        <f t="shared" si="285"/>
        <v>00</v>
      </c>
      <c r="J1776" s="26" t="str">
        <f>"41 "</f>
        <v xml:space="preserve">41 </v>
      </c>
      <c r="K1776" s="26" t="str">
        <f>"PR"</f>
        <v>PR</v>
      </c>
      <c r="L1776" s="26" t="str">
        <f>"DGOSE"</f>
        <v>DGOSE</v>
      </c>
      <c r="M1776" s="26" t="str">
        <f t="shared" si="288"/>
        <v>FEDERAL</v>
      </c>
      <c r="N1776" s="26">
        <v>372</v>
      </c>
      <c r="O1776" s="26">
        <v>192</v>
      </c>
      <c r="P1776" s="26">
        <v>180</v>
      </c>
      <c r="Q1776" s="26">
        <v>13</v>
      </c>
      <c r="R1776" s="26">
        <v>1</v>
      </c>
      <c r="S1776" s="26">
        <v>13</v>
      </c>
      <c r="T1776" s="26">
        <v>12</v>
      </c>
      <c r="U1776" s="26">
        <v>26</v>
      </c>
      <c r="V1776" s="26">
        <v>1</v>
      </c>
      <c r="W1776" s="26" t="s">
        <v>2076</v>
      </c>
    </row>
    <row r="1777" spans="1:23" x14ac:dyDescent="0.25">
      <c r="A1777" s="26" t="str">
        <f t="shared" si="284"/>
        <v>PRIMARIA</v>
      </c>
      <c r="B1777" s="26" t="str">
        <f>"09DPR3225P"</f>
        <v>09DPR3225P</v>
      </c>
      <c r="C1777" s="26" t="str">
        <f>"PROFR. MAXIMINO MARTINEZ ESTRELLA                                                                   "</f>
        <v xml:space="preserve">PROFR. MAXIMINO MARTINEZ ESTRELLA                                                                   </v>
      </c>
      <c r="D1777" s="26" t="str">
        <f>"MATUTINO"</f>
        <v>MATUTINO</v>
      </c>
      <c r="E1777" s="26" t="str">
        <f>"ELISA ACUÑA Y ROSSETY NO. 98                                                    "</f>
        <v xml:space="preserve">ELISA ACUÑA Y ROSSETY NO. 98                                                    </v>
      </c>
      <c r="F1777" s="26" t="str">
        <f>"SANTA MARTHA ACATITLA                                                                                                                       "</f>
        <v xml:space="preserve">SANTA MARTHA ACATITLA                                                                                                                       </v>
      </c>
      <c r="G1777" s="26" t="str">
        <f>"IZTAPALAPA                                                                      "</f>
        <v xml:space="preserve">IZTAPALAPA                                                                      </v>
      </c>
      <c r="H1777" s="26" t="str">
        <f>"030"</f>
        <v>030</v>
      </c>
      <c r="I1777" s="26" t="str">
        <f t="shared" si="285"/>
        <v>00</v>
      </c>
      <c r="J1777" s="26" t="str">
        <f>"62 "</f>
        <v xml:space="preserve">62 </v>
      </c>
      <c r="K1777" s="26" t="str">
        <f>"IZ"</f>
        <v>IZ</v>
      </c>
      <c r="L1777" s="26" t="str">
        <f>"DGSEI"</f>
        <v>DGSEI</v>
      </c>
      <c r="M1777" s="26" t="str">
        <f t="shared" si="288"/>
        <v>FEDERAL</v>
      </c>
      <c r="N1777" s="26">
        <v>390</v>
      </c>
      <c r="O1777" s="26">
        <v>199</v>
      </c>
      <c r="P1777" s="26">
        <v>191</v>
      </c>
      <c r="Q1777" s="26">
        <v>12</v>
      </c>
      <c r="R1777" s="26">
        <v>1</v>
      </c>
      <c r="S1777" s="26">
        <v>12</v>
      </c>
      <c r="T1777" s="26">
        <v>7</v>
      </c>
      <c r="U1777" s="26">
        <v>20</v>
      </c>
      <c r="V1777" s="26">
        <v>1</v>
      </c>
      <c r="W1777" s="26"/>
    </row>
    <row r="1778" spans="1:23" x14ac:dyDescent="0.25">
      <c r="A1778" s="26" t="str">
        <f t="shared" si="284"/>
        <v>PRIMARIA</v>
      </c>
      <c r="B1778" s="26" t="str">
        <f>"09DPR3226O"</f>
        <v>09DPR3226O</v>
      </c>
      <c r="C1778" s="26" t="str">
        <f>"PROFR. MAXIMINO MARTINEZ ESTRELLA                                                                   "</f>
        <v xml:space="preserve">PROFR. MAXIMINO MARTINEZ ESTRELLA                                                                   </v>
      </c>
      <c r="D1778" s="26" t="str">
        <f>"VESPERTINO"</f>
        <v>VESPERTINO</v>
      </c>
      <c r="E1778" s="26" t="str">
        <f>"ELISA ACUÑA Y ROSSETY NO. 98                                                    "</f>
        <v xml:space="preserve">ELISA ACUÑA Y ROSSETY NO. 98                                                    </v>
      </c>
      <c r="F1778" s="26" t="str">
        <f>"SANTA MARTHA ACATITLA                                                                                                                       "</f>
        <v xml:space="preserve">SANTA MARTHA ACATITLA                                                                                                                       </v>
      </c>
      <c r="G1778" s="26" t="str">
        <f>"IZTAPALAPA                                                                      "</f>
        <v xml:space="preserve">IZTAPALAPA                                                                      </v>
      </c>
      <c r="H1778" s="26" t="str">
        <f>"030"</f>
        <v>030</v>
      </c>
      <c r="I1778" s="26" t="str">
        <f t="shared" si="285"/>
        <v>00</v>
      </c>
      <c r="J1778" s="26" t="str">
        <f>"62 "</f>
        <v xml:space="preserve">62 </v>
      </c>
      <c r="K1778" s="26" t="str">
        <f>"IZ"</f>
        <v>IZ</v>
      </c>
      <c r="L1778" s="26" t="str">
        <f>"DGSEI"</f>
        <v>DGSEI</v>
      </c>
      <c r="M1778" s="26" t="str">
        <f t="shared" si="288"/>
        <v>FEDERAL</v>
      </c>
      <c r="N1778" s="26">
        <v>236</v>
      </c>
      <c r="O1778" s="26">
        <v>123</v>
      </c>
      <c r="P1778" s="26">
        <v>113</v>
      </c>
      <c r="Q1778" s="26">
        <v>12</v>
      </c>
      <c r="R1778" s="26">
        <v>1</v>
      </c>
      <c r="S1778" s="26">
        <v>4</v>
      </c>
      <c r="T1778" s="26">
        <v>5</v>
      </c>
      <c r="U1778" s="26">
        <v>10</v>
      </c>
      <c r="V1778" s="26">
        <v>1</v>
      </c>
      <c r="W1778" s="26"/>
    </row>
    <row r="1779" spans="1:23" x14ac:dyDescent="0.25">
      <c r="A1779" s="26" t="str">
        <f t="shared" si="284"/>
        <v>PRIMARIA</v>
      </c>
      <c r="B1779" s="26" t="str">
        <f>"09DPR3227N"</f>
        <v>09DPR3227N</v>
      </c>
      <c r="C1779" s="26" t="str">
        <f>"PROFR. VICENTE MORA                                                                                 "</f>
        <v xml:space="preserve">PROFR. VICENTE MORA                                                                                 </v>
      </c>
      <c r="D1779" s="26" t="str">
        <f>"MATUTINO"</f>
        <v>MATUTINO</v>
      </c>
      <c r="E1779" s="26" t="str">
        <f>"CALLE 12 S/N ENTRE LA 22 Y LA 23                                                "</f>
        <v xml:space="preserve">CALLE 12 S/N ENTRE LA 22 Y LA 23                                                </v>
      </c>
      <c r="F1779" s="26" t="str">
        <f>"JOSE LOPEZ PORTILLO                                                                                                                         "</f>
        <v xml:space="preserve">JOSE LOPEZ PORTILLO                                                                                                                         </v>
      </c>
      <c r="G1779" s="26" t="str">
        <f>"IZTAPALAPA                                                                      "</f>
        <v xml:space="preserve">IZTAPALAPA                                                                      </v>
      </c>
      <c r="H1779" s="26" t="str">
        <f>"049"</f>
        <v>049</v>
      </c>
      <c r="I1779" s="26" t="str">
        <f t="shared" si="285"/>
        <v>00</v>
      </c>
      <c r="J1779" s="26" t="str">
        <f>"63 "</f>
        <v xml:space="preserve">63 </v>
      </c>
      <c r="K1779" s="26" t="str">
        <f>"IZ"</f>
        <v>IZ</v>
      </c>
      <c r="L1779" s="26" t="str">
        <f>"DGSEI"</f>
        <v>DGSEI</v>
      </c>
      <c r="M1779" s="26" t="str">
        <f t="shared" si="288"/>
        <v>FEDERAL</v>
      </c>
      <c r="N1779" s="26">
        <v>597</v>
      </c>
      <c r="O1779" s="26">
        <v>306</v>
      </c>
      <c r="P1779" s="26">
        <v>291</v>
      </c>
      <c r="Q1779" s="26">
        <v>18</v>
      </c>
      <c r="R1779" s="26">
        <v>1</v>
      </c>
      <c r="S1779" s="26">
        <v>17</v>
      </c>
      <c r="T1779" s="26">
        <v>7</v>
      </c>
      <c r="U1779" s="26">
        <v>25</v>
      </c>
      <c r="V1779" s="26">
        <v>1</v>
      </c>
      <c r="W1779" s="26"/>
    </row>
    <row r="1780" spans="1:23" x14ac:dyDescent="0.25">
      <c r="A1780" s="26" t="str">
        <f t="shared" si="284"/>
        <v>PRIMARIA</v>
      </c>
      <c r="B1780" s="26" t="str">
        <f>"09DPR3228M"</f>
        <v>09DPR3228M</v>
      </c>
      <c r="C1780" s="26" t="str">
        <f>"PROFR. AGUSTIN CUE CANOVAS                                                                          "</f>
        <v xml:space="preserve">PROFR. AGUSTIN CUE CANOVAS                                                                          </v>
      </c>
      <c r="D1780" s="26" t="str">
        <f>"VESPERTINO"</f>
        <v>VESPERTINO</v>
      </c>
      <c r="E1780" s="26" t="str">
        <f>"CATARROJA S/N.                                                                  "</f>
        <v xml:space="preserve">CATARROJA S/N.                                                                  </v>
      </c>
      <c r="F1780" s="26" t="str">
        <f>"CERRO DE LA ESTRELLA                                                                                                                        "</f>
        <v xml:space="preserve">CERRO DE LA ESTRELLA                                                                                                                        </v>
      </c>
      <c r="G1780" s="26" t="str">
        <f>"IZTAPALAPA                                                                      "</f>
        <v xml:space="preserve">IZTAPALAPA                                                                      </v>
      </c>
      <c r="H1780" s="26" t="str">
        <f>"043"</f>
        <v>043</v>
      </c>
      <c r="I1780" s="26" t="str">
        <f t="shared" si="285"/>
        <v>00</v>
      </c>
      <c r="J1780" s="26" t="str">
        <f>"63 "</f>
        <v xml:space="preserve">63 </v>
      </c>
      <c r="K1780" s="26" t="str">
        <f>"IZ"</f>
        <v>IZ</v>
      </c>
      <c r="L1780" s="26" t="str">
        <f>"DGSEI"</f>
        <v>DGSEI</v>
      </c>
      <c r="M1780" s="26" t="str">
        <f t="shared" si="288"/>
        <v>FEDERAL</v>
      </c>
      <c r="N1780" s="26">
        <v>254</v>
      </c>
      <c r="O1780" s="26">
        <v>134</v>
      </c>
      <c r="P1780" s="26">
        <v>120</v>
      </c>
      <c r="Q1780" s="26">
        <v>13</v>
      </c>
      <c r="R1780" s="26">
        <v>1</v>
      </c>
      <c r="S1780" s="26">
        <v>13</v>
      </c>
      <c r="T1780" s="26">
        <v>5</v>
      </c>
      <c r="U1780" s="26">
        <v>19</v>
      </c>
      <c r="V1780" s="26">
        <v>1</v>
      </c>
      <c r="W1780" s="26"/>
    </row>
    <row r="1781" spans="1:23" x14ac:dyDescent="0.25">
      <c r="A1781" s="26" t="str">
        <f t="shared" si="284"/>
        <v>PRIMARIA</v>
      </c>
      <c r="B1781" s="26" t="str">
        <f>"09DPR3229L"</f>
        <v>09DPR3229L</v>
      </c>
      <c r="C1781" s="26" t="str">
        <f>"PROFR. HUMBERTO ESPARZA VILLARREAL                                                                  "</f>
        <v xml:space="preserve">PROFR. HUMBERTO ESPARZA VILLARREAL                                                                  </v>
      </c>
      <c r="D1781" s="26" t="str">
        <f>"MATUTINO"</f>
        <v>MATUTINO</v>
      </c>
      <c r="E1781" s="26" t="str">
        <f>"MARTIRES DE RIO BLANCO S/N                                                      "</f>
        <v xml:space="preserve">MARTIRES DE RIO BLANCO S/N                                                      </v>
      </c>
      <c r="F1781" s="26" t="str">
        <f>"HUICHAPAN                                                                                                                                   "</f>
        <v xml:space="preserve">HUICHAPAN                                                                                                                                   </v>
      </c>
      <c r="G1781" s="26" t="str">
        <f>"XOCHIMILCO                                                                      "</f>
        <v xml:space="preserve">XOCHIMILCO                                                                      </v>
      </c>
      <c r="H1781" s="26" t="str">
        <f>"534"</f>
        <v>534</v>
      </c>
      <c r="I1781" s="26" t="str">
        <f t="shared" si="285"/>
        <v>00</v>
      </c>
      <c r="J1781" s="26" t="str">
        <f>"45 "</f>
        <v xml:space="preserve">45 </v>
      </c>
      <c r="K1781" s="26" t="str">
        <f>"PR"</f>
        <v>PR</v>
      </c>
      <c r="L1781" s="26" t="str">
        <f>"DGOSE"</f>
        <v>DGOSE</v>
      </c>
      <c r="M1781" s="26" t="str">
        <f t="shared" si="288"/>
        <v>FEDERAL</v>
      </c>
      <c r="N1781" s="26">
        <v>396</v>
      </c>
      <c r="O1781" s="26">
        <v>210</v>
      </c>
      <c r="P1781" s="26">
        <v>186</v>
      </c>
      <c r="Q1781" s="26">
        <v>12</v>
      </c>
      <c r="R1781" s="26">
        <v>1</v>
      </c>
      <c r="S1781" s="26">
        <v>12</v>
      </c>
      <c r="T1781" s="26">
        <v>8</v>
      </c>
      <c r="U1781" s="26">
        <v>21</v>
      </c>
      <c r="V1781" s="26">
        <v>1</v>
      </c>
      <c r="W1781" s="26"/>
    </row>
    <row r="1782" spans="1:23" x14ac:dyDescent="0.25">
      <c r="A1782" s="26" t="str">
        <f t="shared" si="284"/>
        <v>PRIMARIA</v>
      </c>
      <c r="B1782" s="26" t="str">
        <f>"09DPR3230A"</f>
        <v>09DPR3230A</v>
      </c>
      <c r="C1782" s="26" t="str">
        <f>"PROFR. HUMBERTO ESPARZA VILLARREAL                                                                  "</f>
        <v xml:space="preserve">PROFR. HUMBERTO ESPARZA VILLARREAL                                                                  </v>
      </c>
      <c r="D1782" s="26" t="str">
        <f>"VESPERTINO"</f>
        <v>VESPERTINO</v>
      </c>
      <c r="E1782" s="26" t="str">
        <f>"MARTIRES DEL RIO BLANCO S/N                                                     "</f>
        <v xml:space="preserve">MARTIRES DEL RIO BLANCO S/N                                                     </v>
      </c>
      <c r="F1782" s="26" t="str">
        <f>"HUICHAPAN                                                                                                                                   "</f>
        <v xml:space="preserve">HUICHAPAN                                                                                                                                   </v>
      </c>
      <c r="G1782" s="26" t="str">
        <f>"XOCHIMILCO                                                                      "</f>
        <v xml:space="preserve">XOCHIMILCO                                                                      </v>
      </c>
      <c r="H1782" s="26" t="str">
        <f>"534"</f>
        <v>534</v>
      </c>
      <c r="I1782" s="26" t="str">
        <f t="shared" si="285"/>
        <v>00</v>
      </c>
      <c r="J1782" s="26" t="str">
        <f>"45 "</f>
        <v xml:space="preserve">45 </v>
      </c>
      <c r="K1782" s="26" t="str">
        <f>"PR"</f>
        <v>PR</v>
      </c>
      <c r="L1782" s="26" t="str">
        <f>"DGOSE"</f>
        <v>DGOSE</v>
      </c>
      <c r="M1782" s="26" t="str">
        <f t="shared" si="288"/>
        <v>FEDERAL</v>
      </c>
      <c r="N1782" s="26">
        <v>125</v>
      </c>
      <c r="O1782" s="26">
        <v>75</v>
      </c>
      <c r="P1782" s="26">
        <v>50</v>
      </c>
      <c r="Q1782" s="26">
        <v>6</v>
      </c>
      <c r="R1782" s="26">
        <v>1</v>
      </c>
      <c r="S1782" s="26">
        <v>5</v>
      </c>
      <c r="T1782" s="26">
        <v>9</v>
      </c>
      <c r="U1782" s="26">
        <v>15</v>
      </c>
      <c r="V1782" s="26">
        <v>1</v>
      </c>
      <c r="W1782" s="26"/>
    </row>
    <row r="1783" spans="1:23" x14ac:dyDescent="0.25">
      <c r="A1783" s="26" t="str">
        <f t="shared" si="284"/>
        <v>PRIMARIA</v>
      </c>
      <c r="B1783" s="26" t="str">
        <f>"09DPR3231Z"</f>
        <v>09DPR3231Z</v>
      </c>
      <c r="C1783" s="26" t="str">
        <f>"ALFONSO SIERRA PARTIDA                                                                              "</f>
        <v xml:space="preserve">ALFONSO SIERRA PARTIDA                                                                              </v>
      </c>
      <c r="D1783" s="26" t="str">
        <f>"MATUTINO"</f>
        <v>MATUTINO</v>
      </c>
      <c r="E1783" s="26" t="str">
        <f>"TEPEYAUCLE S/N                                                                  "</f>
        <v xml:space="preserve">TEPEYAUCLE S/N                                                                  </v>
      </c>
      <c r="F1783" s="26" t="str">
        <f>"PEDREGAL DE SANTO DOMINGO                                                                                                                   "</f>
        <v xml:space="preserve">PEDREGAL DE SANTO DOMINGO                                                                                                                   </v>
      </c>
      <c r="G1783" s="26" t="str">
        <f>"COYOACAN                                                                        "</f>
        <v xml:space="preserve">COYOACAN                                                                        </v>
      </c>
      <c r="H1783" s="26" t="str">
        <f>"501"</f>
        <v>501</v>
      </c>
      <c r="I1783" s="26" t="str">
        <f t="shared" si="285"/>
        <v>00</v>
      </c>
      <c r="J1783" s="26" t="str">
        <f>"45 "</f>
        <v xml:space="preserve">45 </v>
      </c>
      <c r="K1783" s="26" t="str">
        <f>"PR"</f>
        <v>PR</v>
      </c>
      <c r="L1783" s="26" t="str">
        <f>"DGOSE"</f>
        <v>DGOSE</v>
      </c>
      <c r="M1783" s="26" t="str">
        <f t="shared" si="288"/>
        <v>FEDERAL</v>
      </c>
      <c r="N1783" s="26">
        <v>548</v>
      </c>
      <c r="O1783" s="26">
        <v>273</v>
      </c>
      <c r="P1783" s="26">
        <v>275</v>
      </c>
      <c r="Q1783" s="26">
        <v>16</v>
      </c>
      <c r="R1783" s="26">
        <v>1</v>
      </c>
      <c r="S1783" s="26">
        <v>16</v>
      </c>
      <c r="T1783" s="26">
        <v>7</v>
      </c>
      <c r="U1783" s="26">
        <v>24</v>
      </c>
      <c r="V1783" s="26">
        <v>1</v>
      </c>
      <c r="W1783" s="26"/>
    </row>
    <row r="1784" spans="1:23" x14ac:dyDescent="0.25">
      <c r="A1784" s="26" t="str">
        <f t="shared" si="284"/>
        <v>PRIMARIA</v>
      </c>
      <c r="B1784" s="26" t="str">
        <f>"09DPR3232Z"</f>
        <v>09DPR3232Z</v>
      </c>
      <c r="C1784" s="26" t="str">
        <f>"ALFONSO SIERRA PARTIDA                                                                              "</f>
        <v xml:space="preserve">ALFONSO SIERRA PARTIDA                                                                              </v>
      </c>
      <c r="D1784" s="26" t="str">
        <f>"VESPERTINO"</f>
        <v>VESPERTINO</v>
      </c>
      <c r="E1784" s="26" t="str">
        <f>"TEPEYAUCLE S/N                                                                  "</f>
        <v xml:space="preserve">TEPEYAUCLE S/N                                                                  </v>
      </c>
      <c r="F1784" s="26" t="str">
        <f>"PEDREGAL DE SANTO DOMINGO                                                                                                                   "</f>
        <v xml:space="preserve">PEDREGAL DE SANTO DOMINGO                                                                                                                   </v>
      </c>
      <c r="G1784" s="26" t="str">
        <f>"COYOACAN                                                                        "</f>
        <v xml:space="preserve">COYOACAN                                                                        </v>
      </c>
      <c r="H1784" s="26" t="str">
        <f>"501"</f>
        <v>501</v>
      </c>
      <c r="I1784" s="26" t="str">
        <f t="shared" si="285"/>
        <v>00</v>
      </c>
      <c r="J1784" s="26" t="str">
        <f>"45 "</f>
        <v xml:space="preserve">45 </v>
      </c>
      <c r="K1784" s="26" t="str">
        <f>"PR"</f>
        <v>PR</v>
      </c>
      <c r="L1784" s="26" t="str">
        <f>"DGOSE"</f>
        <v>DGOSE</v>
      </c>
      <c r="M1784" s="26" t="str">
        <f t="shared" si="288"/>
        <v>FEDERAL</v>
      </c>
      <c r="N1784" s="26">
        <v>281</v>
      </c>
      <c r="O1784" s="26">
        <v>143</v>
      </c>
      <c r="P1784" s="26">
        <v>138</v>
      </c>
      <c r="Q1784" s="26">
        <v>15</v>
      </c>
      <c r="R1784" s="26">
        <v>1</v>
      </c>
      <c r="S1784" s="26">
        <v>14</v>
      </c>
      <c r="T1784" s="26">
        <v>10</v>
      </c>
      <c r="U1784" s="26">
        <v>25</v>
      </c>
      <c r="V1784" s="26">
        <v>1</v>
      </c>
      <c r="W1784" s="26"/>
    </row>
    <row r="1785" spans="1:23" x14ac:dyDescent="0.25">
      <c r="A1785" s="26" t="str">
        <f t="shared" si="284"/>
        <v>PRIMARIA</v>
      </c>
      <c r="B1785" s="26" t="str">
        <f>"09DPR3234X"</f>
        <v>09DPR3234X</v>
      </c>
      <c r="C1785" s="26" t="str">
        <f>"PROFR. TOMAS FREGOSO                                                                                "</f>
        <v xml:space="preserve">PROFR. TOMAS FREGOSO                                                                                </v>
      </c>
      <c r="D1785" s="26" t="str">
        <f>"MATUTINO"</f>
        <v>MATUTINO</v>
      </c>
      <c r="E1785" s="26" t="str">
        <f>"CALMECAC No.1                                                                   "</f>
        <v xml:space="preserve">CALMECAC No.1                                                                   </v>
      </c>
      <c r="F1785" s="26" t="str">
        <f>"SANTA CRUZ MIXQUIC                                                                                                                          "</f>
        <v xml:space="preserve">SANTA CRUZ MIXQUIC                                                                                                                          </v>
      </c>
      <c r="G1785" s="26" t="str">
        <f>"TLAHUAC                                                                         "</f>
        <v xml:space="preserve">TLAHUAC                                                                         </v>
      </c>
      <c r="H1785" s="26" t="str">
        <f>"560"</f>
        <v>560</v>
      </c>
      <c r="I1785" s="26" t="str">
        <f t="shared" si="285"/>
        <v>00</v>
      </c>
      <c r="J1785" s="26" t="str">
        <f>"45 "</f>
        <v xml:space="preserve">45 </v>
      </c>
      <c r="K1785" s="26" t="str">
        <f>"PR"</f>
        <v>PR</v>
      </c>
      <c r="L1785" s="26" t="str">
        <f>"DGOSE"</f>
        <v>DGOSE</v>
      </c>
      <c r="M1785" s="26" t="str">
        <f t="shared" si="288"/>
        <v>FEDERAL</v>
      </c>
      <c r="N1785" s="26">
        <v>445</v>
      </c>
      <c r="O1785" s="26">
        <v>233</v>
      </c>
      <c r="P1785" s="26">
        <v>212</v>
      </c>
      <c r="Q1785" s="26">
        <v>14</v>
      </c>
      <c r="R1785" s="26">
        <v>1</v>
      </c>
      <c r="S1785" s="26">
        <v>14</v>
      </c>
      <c r="T1785" s="26">
        <v>9</v>
      </c>
      <c r="U1785" s="26">
        <v>24</v>
      </c>
      <c r="V1785" s="26">
        <v>1</v>
      </c>
      <c r="W1785" s="26"/>
    </row>
    <row r="1786" spans="1:23" x14ac:dyDescent="0.25">
      <c r="A1786" s="26" t="str">
        <f t="shared" si="284"/>
        <v>PRIMARIA</v>
      </c>
      <c r="B1786" s="26" t="str">
        <f>"09DPR3235W"</f>
        <v>09DPR3235W</v>
      </c>
      <c r="C1786" s="26" t="str">
        <f>"PROFRA. ELISA ACUÑA Y ROSSETTI                                                                      "</f>
        <v xml:space="preserve">PROFRA. ELISA ACUÑA Y ROSSETTI                                                                      </v>
      </c>
      <c r="D1786" s="26" t="str">
        <f>"MATUTINO"</f>
        <v>MATUTINO</v>
      </c>
      <c r="E1786" s="26" t="str">
        <f>"AV. CUAUHTEMOC NO. 95                                                           "</f>
        <v xml:space="preserve">AV. CUAUHTEMOC NO. 95                                                           </v>
      </c>
      <c r="F1786" s="26" t="str">
        <f>"SANTIAGO ACAHUALTEPEC                                                                                                                       "</f>
        <v xml:space="preserve">SANTIAGO ACAHUALTEPEC                                                                                                                       </v>
      </c>
      <c r="G1786" s="26" t="str">
        <f t="shared" ref="G1786:G1791" si="293">"IZTAPALAPA                                                                      "</f>
        <v xml:space="preserve">IZTAPALAPA                                                                      </v>
      </c>
      <c r="H1786" s="26" t="str">
        <f>"065"</f>
        <v>065</v>
      </c>
      <c r="I1786" s="26" t="str">
        <f t="shared" si="285"/>
        <v>00</v>
      </c>
      <c r="J1786" s="26" t="str">
        <f>"64 "</f>
        <v xml:space="preserve">64 </v>
      </c>
      <c r="K1786" s="26" t="str">
        <f t="shared" ref="K1786:K1791" si="294">"IZ"</f>
        <v>IZ</v>
      </c>
      <c r="L1786" s="26" t="str">
        <f t="shared" ref="L1786:L1791" si="295">"DGSEI"</f>
        <v>DGSEI</v>
      </c>
      <c r="M1786" s="26" t="str">
        <f t="shared" si="288"/>
        <v>FEDERAL</v>
      </c>
      <c r="N1786" s="26">
        <v>634</v>
      </c>
      <c r="O1786" s="26">
        <v>301</v>
      </c>
      <c r="P1786" s="26">
        <v>333</v>
      </c>
      <c r="Q1786" s="26">
        <v>17</v>
      </c>
      <c r="R1786" s="26">
        <v>1</v>
      </c>
      <c r="S1786" s="26">
        <v>17</v>
      </c>
      <c r="T1786" s="26">
        <v>8</v>
      </c>
      <c r="U1786" s="26">
        <v>26</v>
      </c>
      <c r="V1786" s="26">
        <v>1</v>
      </c>
      <c r="W1786" s="26"/>
    </row>
    <row r="1787" spans="1:23" x14ac:dyDescent="0.25">
      <c r="A1787" s="26" t="str">
        <f t="shared" si="284"/>
        <v>PRIMARIA</v>
      </c>
      <c r="B1787" s="26" t="str">
        <f>"09DPR3236V"</f>
        <v>09DPR3236V</v>
      </c>
      <c r="C1787" s="26" t="str">
        <f>"PROFRA. ELISA ACUÑA Y ROSSETTI                                                                      "</f>
        <v xml:space="preserve">PROFRA. ELISA ACUÑA Y ROSSETTI                                                                      </v>
      </c>
      <c r="D1787" s="26" t="str">
        <f>"VESPERTINO"</f>
        <v>VESPERTINO</v>
      </c>
      <c r="E1787" s="26" t="str">
        <f>"AV. CUAUHTEMOC NO. 95                                                           "</f>
        <v xml:space="preserve">AV. CUAUHTEMOC NO. 95                                                           </v>
      </c>
      <c r="F1787" s="26" t="str">
        <f>"SANTIAGO ACAHUALTEPEC                                                                                                                       "</f>
        <v xml:space="preserve">SANTIAGO ACAHUALTEPEC                                                                                                                       </v>
      </c>
      <c r="G1787" s="26" t="str">
        <f t="shared" si="293"/>
        <v xml:space="preserve">IZTAPALAPA                                                                      </v>
      </c>
      <c r="H1787" s="26" t="str">
        <f>"065"</f>
        <v>065</v>
      </c>
      <c r="I1787" s="26" t="str">
        <f t="shared" si="285"/>
        <v>00</v>
      </c>
      <c r="J1787" s="26" t="str">
        <f>"64 "</f>
        <v xml:space="preserve">64 </v>
      </c>
      <c r="K1787" s="26" t="str">
        <f t="shared" si="294"/>
        <v>IZ</v>
      </c>
      <c r="L1787" s="26" t="str">
        <f t="shared" si="295"/>
        <v>DGSEI</v>
      </c>
      <c r="M1787" s="26" t="str">
        <f t="shared" si="288"/>
        <v>FEDERAL</v>
      </c>
      <c r="N1787" s="26">
        <v>460</v>
      </c>
      <c r="O1787" s="26">
        <v>255</v>
      </c>
      <c r="P1787" s="26">
        <v>205</v>
      </c>
      <c r="Q1787" s="26">
        <v>17</v>
      </c>
      <c r="R1787" s="26">
        <v>1</v>
      </c>
      <c r="S1787" s="26">
        <v>17</v>
      </c>
      <c r="T1787" s="26">
        <v>5</v>
      </c>
      <c r="U1787" s="26">
        <v>23</v>
      </c>
      <c r="V1787" s="26">
        <v>1</v>
      </c>
      <c r="W1787" s="26"/>
    </row>
    <row r="1788" spans="1:23" x14ac:dyDescent="0.25">
      <c r="A1788" s="26" t="str">
        <f t="shared" si="284"/>
        <v>PRIMARIA</v>
      </c>
      <c r="B1788" s="26" t="str">
        <f>"09DPR3238T"</f>
        <v>09DPR3238T</v>
      </c>
      <c r="C1788" s="26" t="str">
        <f>"ENRIQUE GARCIA GALLEGOS                                                                             "</f>
        <v xml:space="preserve">ENRIQUE GARCIA GALLEGOS                                                                             </v>
      </c>
      <c r="D1788" s="26" t="str">
        <f>"MATUTINO"</f>
        <v>MATUTINO</v>
      </c>
      <c r="E1788" s="26" t="str">
        <f>"LATERAL RIO CHURUBUSCO NO. 2                                                    "</f>
        <v xml:space="preserve">LATERAL RIO CHURUBUSCO NO. 2                                                    </v>
      </c>
      <c r="F1788" s="26" t="str">
        <f>"SAN JOSE ACULCO                                                                                                                             "</f>
        <v xml:space="preserve">SAN JOSE ACULCO                                                                                                                             </v>
      </c>
      <c r="G1788" s="26" t="str">
        <f t="shared" si="293"/>
        <v xml:space="preserve">IZTAPALAPA                                                                      </v>
      </c>
      <c r="H1788" s="26" t="str">
        <f>"037"</f>
        <v>037</v>
      </c>
      <c r="I1788" s="26" t="str">
        <f t="shared" si="285"/>
        <v>00</v>
      </c>
      <c r="J1788" s="26" t="str">
        <f>"63 "</f>
        <v xml:space="preserve">63 </v>
      </c>
      <c r="K1788" s="26" t="str">
        <f t="shared" si="294"/>
        <v>IZ</v>
      </c>
      <c r="L1788" s="26" t="str">
        <f t="shared" si="295"/>
        <v>DGSEI</v>
      </c>
      <c r="M1788" s="26" t="str">
        <f t="shared" si="288"/>
        <v>FEDERAL</v>
      </c>
      <c r="N1788" s="26">
        <v>334</v>
      </c>
      <c r="O1788" s="26">
        <v>167</v>
      </c>
      <c r="P1788" s="26">
        <v>167</v>
      </c>
      <c r="Q1788" s="26">
        <v>11</v>
      </c>
      <c r="R1788" s="26">
        <v>1</v>
      </c>
      <c r="S1788" s="26">
        <v>11</v>
      </c>
      <c r="T1788" s="26">
        <v>6</v>
      </c>
      <c r="U1788" s="26">
        <v>18</v>
      </c>
      <c r="V1788" s="26">
        <v>1</v>
      </c>
      <c r="W1788" s="26"/>
    </row>
    <row r="1789" spans="1:23" x14ac:dyDescent="0.25">
      <c r="A1789" s="26" t="str">
        <f t="shared" si="284"/>
        <v>PRIMARIA</v>
      </c>
      <c r="B1789" s="26" t="str">
        <f>"09DPR3239S"</f>
        <v>09DPR3239S</v>
      </c>
      <c r="C1789" s="26" t="str">
        <f>"CONSTITUYENTE CELESTINO PEREZ Y PEREZ                                                               "</f>
        <v xml:space="preserve">CONSTITUYENTE CELESTINO PEREZ Y PEREZ                                                               </v>
      </c>
      <c r="D1789" s="26" t="str">
        <f>"MATUTINO"</f>
        <v>MATUTINO</v>
      </c>
      <c r="E1789" s="26" t="str">
        <f>"AV. SENTIMIENTO A LA NACION S/N.                                                "</f>
        <v xml:space="preserve">AV. SENTIMIENTO A LA NACION S/N.                                                </v>
      </c>
      <c r="F1789" s="26" t="str">
        <f>"UNIDAD HABITACIONAL ERMITA ZARAGOZA                                                                                                         "</f>
        <v xml:space="preserve">UNIDAD HABITACIONAL ERMITA ZARAGOZA                                                                                                         </v>
      </c>
      <c r="G1789" s="26" t="str">
        <f t="shared" si="293"/>
        <v xml:space="preserve">IZTAPALAPA                                                                      </v>
      </c>
      <c r="H1789" s="26" t="str">
        <f>"031"</f>
        <v>031</v>
      </c>
      <c r="I1789" s="26" t="str">
        <f t="shared" si="285"/>
        <v>00</v>
      </c>
      <c r="J1789" s="26" t="str">
        <f>"62 "</f>
        <v xml:space="preserve">62 </v>
      </c>
      <c r="K1789" s="26" t="str">
        <f t="shared" si="294"/>
        <v>IZ</v>
      </c>
      <c r="L1789" s="26" t="str">
        <f t="shared" si="295"/>
        <v>DGSEI</v>
      </c>
      <c r="M1789" s="26" t="str">
        <f t="shared" si="288"/>
        <v>FEDERAL</v>
      </c>
      <c r="N1789" s="26">
        <v>387</v>
      </c>
      <c r="O1789" s="26">
        <v>188</v>
      </c>
      <c r="P1789" s="26">
        <v>199</v>
      </c>
      <c r="Q1789" s="26">
        <v>12</v>
      </c>
      <c r="R1789" s="26">
        <v>0</v>
      </c>
      <c r="S1789" s="26">
        <v>12</v>
      </c>
      <c r="T1789" s="26">
        <v>6</v>
      </c>
      <c r="U1789" s="26">
        <v>18</v>
      </c>
      <c r="V1789" s="26">
        <v>1</v>
      </c>
      <c r="W1789" s="26"/>
    </row>
    <row r="1790" spans="1:23" x14ac:dyDescent="0.25">
      <c r="A1790" s="26" t="str">
        <f t="shared" si="284"/>
        <v>PRIMARIA</v>
      </c>
      <c r="B1790" s="26" t="str">
        <f>"09DPR3240H"</f>
        <v>09DPR3240H</v>
      </c>
      <c r="C1790" s="26" t="str">
        <f>"CONSTITUYENTE CELESTINO PEREZ Y PEREZ                                                               "</f>
        <v xml:space="preserve">CONSTITUYENTE CELESTINO PEREZ Y PEREZ                                                               </v>
      </c>
      <c r="D1790" s="26" t="str">
        <f>"VESPERTINO"</f>
        <v>VESPERTINO</v>
      </c>
      <c r="E1790" s="26" t="str">
        <f>"AV. SENTIMIENTO A LA NACION S/N.                                                "</f>
        <v xml:space="preserve">AV. SENTIMIENTO A LA NACION S/N.                                                </v>
      </c>
      <c r="F1790" s="26" t="str">
        <f>"UNIDAD HABITACIONAL ERMITA ZARAGOZA                                                                                                         "</f>
        <v xml:space="preserve">UNIDAD HABITACIONAL ERMITA ZARAGOZA                                                                                                         </v>
      </c>
      <c r="G1790" s="26" t="str">
        <f t="shared" si="293"/>
        <v xml:space="preserve">IZTAPALAPA                                                                      </v>
      </c>
      <c r="H1790" s="26" t="str">
        <f>"031"</f>
        <v>031</v>
      </c>
      <c r="I1790" s="26" t="str">
        <f t="shared" si="285"/>
        <v>00</v>
      </c>
      <c r="J1790" s="26" t="str">
        <f>"62 "</f>
        <v xml:space="preserve">62 </v>
      </c>
      <c r="K1790" s="26" t="str">
        <f t="shared" si="294"/>
        <v>IZ</v>
      </c>
      <c r="L1790" s="26" t="str">
        <f t="shared" si="295"/>
        <v>DGSEI</v>
      </c>
      <c r="M1790" s="26" t="str">
        <f t="shared" si="288"/>
        <v>FEDERAL</v>
      </c>
      <c r="N1790" s="26">
        <v>170</v>
      </c>
      <c r="O1790" s="26">
        <v>97</v>
      </c>
      <c r="P1790" s="26">
        <v>73</v>
      </c>
      <c r="Q1790" s="26">
        <v>6</v>
      </c>
      <c r="R1790" s="26">
        <v>0</v>
      </c>
      <c r="S1790" s="26">
        <v>5</v>
      </c>
      <c r="T1790" s="26">
        <v>3</v>
      </c>
      <c r="U1790" s="26">
        <v>8</v>
      </c>
      <c r="V1790" s="26">
        <v>1</v>
      </c>
      <c r="W1790" s="26"/>
    </row>
    <row r="1791" spans="1:23" x14ac:dyDescent="0.25">
      <c r="A1791" s="26" t="str">
        <f t="shared" si="284"/>
        <v>PRIMARIA</v>
      </c>
      <c r="B1791" s="26" t="str">
        <f>"09DPR3242F"</f>
        <v>09DPR3242F</v>
      </c>
      <c r="C1791" s="26" t="str">
        <f>"PROFR. MANUEL VILLASEÑOR                                                                            "</f>
        <v xml:space="preserve">PROFR. MANUEL VILLASEÑOR                                                                            </v>
      </c>
      <c r="D1791" s="26" t="str">
        <f>"VESPERTINO"</f>
        <v>VESPERTINO</v>
      </c>
      <c r="E1791" s="26" t="str">
        <f>"AGUSTIN MELGAR ESQ. PLAN DE AYALA                                               "</f>
        <v xml:space="preserve">AGUSTIN MELGAR ESQ. PLAN DE AYALA                                               </v>
      </c>
      <c r="F1791" s="26" t="str">
        <f>"LAS PEÑAS                                                                                                                                   "</f>
        <v xml:space="preserve">LAS PEÑAS                                                                                                                                   </v>
      </c>
      <c r="G1791" s="26" t="str">
        <f t="shared" si="293"/>
        <v xml:space="preserve">IZTAPALAPA                                                                      </v>
      </c>
      <c r="H1791" s="26" t="str">
        <f>"055"</f>
        <v>055</v>
      </c>
      <c r="I1791" s="26" t="str">
        <f t="shared" si="285"/>
        <v>00</v>
      </c>
      <c r="J1791" s="26" t="str">
        <f>"64 "</f>
        <v xml:space="preserve">64 </v>
      </c>
      <c r="K1791" s="26" t="str">
        <f t="shared" si="294"/>
        <v>IZ</v>
      </c>
      <c r="L1791" s="26" t="str">
        <f t="shared" si="295"/>
        <v>DGSEI</v>
      </c>
      <c r="M1791" s="26" t="str">
        <f t="shared" si="288"/>
        <v>FEDERAL</v>
      </c>
      <c r="N1791" s="26">
        <v>319</v>
      </c>
      <c r="O1791" s="26">
        <v>165</v>
      </c>
      <c r="P1791" s="26">
        <v>154</v>
      </c>
      <c r="Q1791" s="26">
        <v>16</v>
      </c>
      <c r="R1791" s="26">
        <v>1</v>
      </c>
      <c r="S1791" s="26">
        <v>16</v>
      </c>
      <c r="T1791" s="26">
        <v>8</v>
      </c>
      <c r="U1791" s="26">
        <v>25</v>
      </c>
      <c r="V1791" s="26">
        <v>1</v>
      </c>
      <c r="W1791" s="26"/>
    </row>
    <row r="1792" spans="1:23" x14ac:dyDescent="0.25">
      <c r="A1792" s="26" t="str">
        <f t="shared" si="284"/>
        <v>PRIMARIA</v>
      </c>
      <c r="B1792" s="26" t="str">
        <f>"09DPR3243E"</f>
        <v>09DPR3243E</v>
      </c>
      <c r="C1792" s="26" t="str">
        <f>"PROFR. ARNULFO PEREZ HERNANDEZ                                                                      "</f>
        <v xml:space="preserve">PROFR. ARNULFO PEREZ HERNANDEZ                                                                      </v>
      </c>
      <c r="D1792" s="26" t="str">
        <f>"JORNADA AMPLIADA"</f>
        <v>JORNADA AMPLIADA</v>
      </c>
      <c r="E1792" s="26" t="str">
        <f>"GUILLERMO PRIETO NUM 100                                                        "</f>
        <v xml:space="preserve">GUILLERMO PRIETO NUM 100                                                        </v>
      </c>
      <c r="F1792" s="26" t="str">
        <f>"UNIDAD HABITACIONAL BENITO JUAREZ                                                                                                           "</f>
        <v xml:space="preserve">UNIDAD HABITACIONAL BENITO JUAREZ                                                                                                           </v>
      </c>
      <c r="G1792" s="26" t="str">
        <f>"IZTACALCO                                                                       "</f>
        <v xml:space="preserve">IZTACALCO                                                                       </v>
      </c>
      <c r="H1792" s="26" t="str">
        <f>"432"</f>
        <v>432</v>
      </c>
      <c r="I1792" s="26" t="str">
        <f t="shared" si="285"/>
        <v>00</v>
      </c>
      <c r="J1792" s="26" t="str">
        <f>"44 "</f>
        <v xml:space="preserve">44 </v>
      </c>
      <c r="K1792" s="26" t="str">
        <f>"PR"</f>
        <v>PR</v>
      </c>
      <c r="L1792" s="26" t="str">
        <f>"DGOSE"</f>
        <v>DGOSE</v>
      </c>
      <c r="M1792" s="26" t="str">
        <f t="shared" si="288"/>
        <v>FEDERAL</v>
      </c>
      <c r="N1792" s="26">
        <v>368</v>
      </c>
      <c r="O1792" s="26">
        <v>198</v>
      </c>
      <c r="P1792" s="26">
        <v>170</v>
      </c>
      <c r="Q1792" s="26">
        <v>12</v>
      </c>
      <c r="R1792" s="26">
        <v>1</v>
      </c>
      <c r="S1792" s="26">
        <v>12</v>
      </c>
      <c r="T1792" s="26">
        <v>9</v>
      </c>
      <c r="U1792" s="26">
        <v>22</v>
      </c>
      <c r="V1792" s="26">
        <v>1</v>
      </c>
      <c r="W1792" s="26" t="s">
        <v>2076</v>
      </c>
    </row>
    <row r="1793" spans="1:23" x14ac:dyDescent="0.25">
      <c r="A1793" s="26" t="str">
        <f t="shared" si="284"/>
        <v>PRIMARIA</v>
      </c>
      <c r="B1793" s="26" t="str">
        <f>"09DPR3246B"</f>
        <v>09DPR3246B</v>
      </c>
      <c r="C1793" s="26" t="str">
        <f>"PROFRA. SUSANA ORTIZ SILVA                                                                          "</f>
        <v xml:space="preserve">PROFRA. SUSANA ORTIZ SILVA                                                                          </v>
      </c>
      <c r="D1793" s="26" t="str">
        <f>"TIEMPO COMPLETO"</f>
        <v>TIEMPO COMPLETO</v>
      </c>
      <c r="E1793" s="26" t="str">
        <f>"18 ANDADOR DE MANUELA SAENZ S/N                                                 "</f>
        <v xml:space="preserve">18 ANDADOR DE MANUELA SAENZ S/N                                                 </v>
      </c>
      <c r="F1793" s="26" t="str">
        <f>"UNIDAD HABITACIONAL CTM SEIS                                                                                                                "</f>
        <v xml:space="preserve">UNIDAD HABITACIONAL CTM SEIS                                                                                                                </v>
      </c>
      <c r="G1793" s="26" t="str">
        <f>"COYOACAN                                                                        "</f>
        <v xml:space="preserve">COYOACAN                                                                        </v>
      </c>
      <c r="H1793" s="26" t="str">
        <f>"443"</f>
        <v>443</v>
      </c>
      <c r="I1793" s="26" t="str">
        <f t="shared" si="285"/>
        <v>00</v>
      </c>
      <c r="J1793" s="26" t="str">
        <f>"44 "</f>
        <v xml:space="preserve">44 </v>
      </c>
      <c r="K1793" s="26" t="str">
        <f>"PR"</f>
        <v>PR</v>
      </c>
      <c r="L1793" s="26" t="str">
        <f>"DGOSE"</f>
        <v>DGOSE</v>
      </c>
      <c r="M1793" s="26" t="str">
        <f t="shared" si="288"/>
        <v>FEDERAL</v>
      </c>
      <c r="N1793" s="26">
        <v>375</v>
      </c>
      <c r="O1793" s="26">
        <v>183</v>
      </c>
      <c r="P1793" s="26">
        <v>192</v>
      </c>
      <c r="Q1793" s="26">
        <v>14</v>
      </c>
      <c r="R1793" s="26">
        <v>1</v>
      </c>
      <c r="S1793" s="26">
        <v>14</v>
      </c>
      <c r="T1793" s="26">
        <v>16</v>
      </c>
      <c r="U1793" s="26">
        <v>31</v>
      </c>
      <c r="V1793" s="26">
        <v>1</v>
      </c>
      <c r="W1793" s="26" t="s">
        <v>218</v>
      </c>
    </row>
    <row r="1794" spans="1:23" x14ac:dyDescent="0.25">
      <c r="A1794" s="26" t="str">
        <f t="shared" ref="A1794:A1857" si="296">"PRIMARIA"</f>
        <v>PRIMARIA</v>
      </c>
      <c r="B1794" s="26" t="str">
        <f>"09DPR3248Z"</f>
        <v>09DPR3248Z</v>
      </c>
      <c r="C1794" s="26" t="str">
        <f>"LUIS BRAILLE                                                                                        "</f>
        <v xml:space="preserve">LUIS BRAILLE                                                                                        </v>
      </c>
      <c r="D1794" s="26" t="str">
        <f>"MATUTINO"</f>
        <v>MATUTINO</v>
      </c>
      <c r="E1794" s="26" t="str">
        <f>"JILGUERRILLAS NUM. 13                                                           "</f>
        <v xml:space="preserve">JILGUERRILLAS NUM. 13                                                           </v>
      </c>
      <c r="F1794" s="26" t="str">
        <f>"EMILIANO ZAPATA AMPLIACION                                                                                                                  "</f>
        <v xml:space="preserve">EMILIANO ZAPATA AMPLIACION                                                                                                                  </v>
      </c>
      <c r="G1794" s="26" t="str">
        <f>"IZTAPALAPA                                                                      "</f>
        <v xml:space="preserve">IZTAPALAPA                                                                      </v>
      </c>
      <c r="H1794" s="26" t="str">
        <f>"069"</f>
        <v>069</v>
      </c>
      <c r="I1794" s="26" t="str">
        <f t="shared" ref="I1794:I1857" si="297">"00"</f>
        <v>00</v>
      </c>
      <c r="J1794" s="26" t="str">
        <f>"64 "</f>
        <v xml:space="preserve">64 </v>
      </c>
      <c r="K1794" s="26" t="str">
        <f>"IZ"</f>
        <v>IZ</v>
      </c>
      <c r="L1794" s="26" t="str">
        <f>"DGSEI"</f>
        <v>DGSEI</v>
      </c>
      <c r="M1794" s="26" t="str">
        <f t="shared" ref="M1794:M1857" si="298">"FEDERAL"</f>
        <v>FEDERAL</v>
      </c>
      <c r="N1794" s="26">
        <v>586</v>
      </c>
      <c r="O1794" s="26">
        <v>297</v>
      </c>
      <c r="P1794" s="26">
        <v>289</v>
      </c>
      <c r="Q1794" s="26">
        <v>16</v>
      </c>
      <c r="R1794" s="26">
        <v>1</v>
      </c>
      <c r="S1794" s="26">
        <v>16</v>
      </c>
      <c r="T1794" s="26">
        <v>8</v>
      </c>
      <c r="U1794" s="26">
        <v>25</v>
      </c>
      <c r="V1794" s="26">
        <v>1</v>
      </c>
      <c r="W1794" s="26"/>
    </row>
    <row r="1795" spans="1:23" x14ac:dyDescent="0.25">
      <c r="A1795" s="26" t="str">
        <f t="shared" si="296"/>
        <v>PRIMARIA</v>
      </c>
      <c r="B1795" s="26" t="str">
        <f>"09DPR3249Z"</f>
        <v>09DPR3249Z</v>
      </c>
      <c r="C1795" s="26" t="str">
        <f>"LUIS BRAILLE                                                                                        "</f>
        <v xml:space="preserve">LUIS BRAILLE                                                                                        </v>
      </c>
      <c r="D1795" s="26" t="str">
        <f>"VESPERTINO"</f>
        <v>VESPERTINO</v>
      </c>
      <c r="E1795" s="26" t="str">
        <f>"JILGUERRILLAS NUM. 13                                                           "</f>
        <v xml:space="preserve">JILGUERRILLAS NUM. 13                                                           </v>
      </c>
      <c r="F1795" s="26" t="str">
        <f>"EMILIANO ZAPATA AMPLIACION                                                                                                                  "</f>
        <v xml:space="preserve">EMILIANO ZAPATA AMPLIACION                                                                                                                  </v>
      </c>
      <c r="G1795" s="26" t="str">
        <f>"IZTAPALAPA                                                                      "</f>
        <v xml:space="preserve">IZTAPALAPA                                                                      </v>
      </c>
      <c r="H1795" s="26" t="str">
        <f>"069"</f>
        <v>069</v>
      </c>
      <c r="I1795" s="26" t="str">
        <f t="shared" si="297"/>
        <v>00</v>
      </c>
      <c r="J1795" s="26" t="str">
        <f>"64 "</f>
        <v xml:space="preserve">64 </v>
      </c>
      <c r="K1795" s="26" t="str">
        <f>"IZ"</f>
        <v>IZ</v>
      </c>
      <c r="L1795" s="26" t="str">
        <f>"DGSEI"</f>
        <v>DGSEI</v>
      </c>
      <c r="M1795" s="26" t="str">
        <f t="shared" si="298"/>
        <v>FEDERAL</v>
      </c>
      <c r="N1795" s="26">
        <v>512</v>
      </c>
      <c r="O1795" s="26">
        <v>274</v>
      </c>
      <c r="P1795" s="26">
        <v>238</v>
      </c>
      <c r="Q1795" s="26">
        <v>16</v>
      </c>
      <c r="R1795" s="26">
        <v>1</v>
      </c>
      <c r="S1795" s="26">
        <v>16</v>
      </c>
      <c r="T1795" s="26">
        <v>6</v>
      </c>
      <c r="U1795" s="26">
        <v>23</v>
      </c>
      <c r="V1795" s="26">
        <v>1</v>
      </c>
      <c r="W1795" s="26"/>
    </row>
    <row r="1796" spans="1:23" x14ac:dyDescent="0.25">
      <c r="A1796" s="26" t="str">
        <f t="shared" si="296"/>
        <v>PRIMARIA</v>
      </c>
      <c r="B1796" s="26" t="str">
        <f>"09DPR3250O"</f>
        <v>09DPR3250O</v>
      </c>
      <c r="C1796" s="26" t="str">
        <f>"LIC. ANTONIO MARTINEZ DE CASTRO                                                                     "</f>
        <v xml:space="preserve">LIC. ANTONIO MARTINEZ DE CASTRO                                                                     </v>
      </c>
      <c r="D1796" s="26" t="str">
        <f>"JORNADA AMPLIADA"</f>
        <v>JORNADA AMPLIADA</v>
      </c>
      <c r="E1796" s="26" t="str">
        <f>"SAN RAUL Y SAN BENJAMIN                                                         "</f>
        <v xml:space="preserve">SAN RAUL Y SAN BENJAMIN                                                         </v>
      </c>
      <c r="F1796" s="26" t="str">
        <f>"PEDREGAL DE SANTA URSULA                                                                                                                    "</f>
        <v xml:space="preserve">PEDREGAL DE SANTA URSULA                                                                                                                    </v>
      </c>
      <c r="G1796" s="26" t="str">
        <f>"COYOACAN                                                                        "</f>
        <v xml:space="preserve">COYOACAN                                                                        </v>
      </c>
      <c r="H1796" s="26" t="str">
        <f>"438"</f>
        <v>438</v>
      </c>
      <c r="I1796" s="26" t="str">
        <f t="shared" si="297"/>
        <v>00</v>
      </c>
      <c r="J1796" s="26" t="str">
        <f>"44 "</f>
        <v xml:space="preserve">44 </v>
      </c>
      <c r="K1796" s="26" t="str">
        <f>"PR"</f>
        <v>PR</v>
      </c>
      <c r="L1796" s="26" t="str">
        <f>"DGOSE"</f>
        <v>DGOSE</v>
      </c>
      <c r="M1796" s="26" t="str">
        <f t="shared" si="298"/>
        <v>FEDERAL</v>
      </c>
      <c r="N1796" s="26">
        <v>208</v>
      </c>
      <c r="O1796" s="26">
        <v>110</v>
      </c>
      <c r="P1796" s="26">
        <v>98</v>
      </c>
      <c r="Q1796" s="26">
        <v>6</v>
      </c>
      <c r="R1796" s="26">
        <v>1</v>
      </c>
      <c r="S1796" s="26">
        <v>6</v>
      </c>
      <c r="T1796" s="26">
        <v>7</v>
      </c>
      <c r="U1796" s="26">
        <v>14</v>
      </c>
      <c r="V1796" s="26">
        <v>1</v>
      </c>
      <c r="W1796" s="26" t="s">
        <v>2076</v>
      </c>
    </row>
    <row r="1797" spans="1:23" x14ac:dyDescent="0.25">
      <c r="A1797" s="26" t="str">
        <f t="shared" si="296"/>
        <v>PRIMARIA</v>
      </c>
      <c r="B1797" s="26" t="str">
        <f>"09DPR3252M"</f>
        <v>09DPR3252M</v>
      </c>
      <c r="C1797" s="26" t="str">
        <f>"ADOLFO CISNEROS CAMARA                                                                              "</f>
        <v xml:space="preserve">ADOLFO CISNEROS CAMARA                                                                              </v>
      </c>
      <c r="D1797" s="26" t="str">
        <f>"VESPERTINO"</f>
        <v>VESPERTINO</v>
      </c>
      <c r="E1797" s="26" t="str">
        <f>"10 DE AGOSTO DE 1860 NO. 42                                                     "</f>
        <v xml:space="preserve">10 DE AGOSTO DE 1860 NO. 42                                                     </v>
      </c>
      <c r="F1797" s="26" t="str">
        <f>"LEYES DE REFORMA                                                                                                                            "</f>
        <v xml:space="preserve">LEYES DE REFORMA                                                                                                                            </v>
      </c>
      <c r="G1797" s="26" t="str">
        <f>"IZTAPALAPA                                                                      "</f>
        <v xml:space="preserve">IZTAPALAPA                                                                      </v>
      </c>
      <c r="H1797" s="26" t="str">
        <f>"014"</f>
        <v>014</v>
      </c>
      <c r="I1797" s="26" t="str">
        <f t="shared" si="297"/>
        <v>00</v>
      </c>
      <c r="J1797" s="26" t="str">
        <f>"62 "</f>
        <v xml:space="preserve">62 </v>
      </c>
      <c r="K1797" s="26" t="str">
        <f>"IZ"</f>
        <v>IZ</v>
      </c>
      <c r="L1797" s="26" t="str">
        <f>"DGSEI"</f>
        <v>DGSEI</v>
      </c>
      <c r="M1797" s="26" t="str">
        <f t="shared" si="298"/>
        <v>FEDERAL</v>
      </c>
      <c r="N1797" s="26">
        <v>249</v>
      </c>
      <c r="O1797" s="26">
        <v>128</v>
      </c>
      <c r="P1797" s="26">
        <v>121</v>
      </c>
      <c r="Q1797" s="26">
        <v>11</v>
      </c>
      <c r="R1797" s="26">
        <v>1</v>
      </c>
      <c r="S1797" s="26">
        <v>9</v>
      </c>
      <c r="T1797" s="26">
        <v>4</v>
      </c>
      <c r="U1797" s="26">
        <v>14</v>
      </c>
      <c r="V1797" s="26">
        <v>1</v>
      </c>
      <c r="W1797" s="26"/>
    </row>
    <row r="1798" spans="1:23" x14ac:dyDescent="0.25">
      <c r="A1798" s="26" t="str">
        <f t="shared" si="296"/>
        <v>PRIMARIA</v>
      </c>
      <c r="B1798" s="26" t="str">
        <f>"09DPR3253L"</f>
        <v>09DPR3253L</v>
      </c>
      <c r="C1798" s="26" t="str">
        <f>"RAFAEL RAMIREZ CASTAÑEDA                                                                            "</f>
        <v xml:space="preserve">RAFAEL RAMIREZ CASTAÑEDA                                                                            </v>
      </c>
      <c r="D1798" s="26" t="str">
        <f>"VESPERTINO"</f>
        <v>VESPERTINO</v>
      </c>
      <c r="E1798" s="26" t="str">
        <f>"ALDAMA Y CONCEPCION S/N                                                         "</f>
        <v xml:space="preserve">ALDAMA Y CONCEPCION S/N                                                         </v>
      </c>
      <c r="F1798" s="26" t="str">
        <f>"SANTA CATARINA YECAHUIZOTL PUEBLO                                                                                                           "</f>
        <v xml:space="preserve">SANTA CATARINA YECAHUIZOTL PUEBLO                                                                                                           </v>
      </c>
      <c r="G1798" s="26" t="str">
        <f>"TLAHUAC                                                                         "</f>
        <v xml:space="preserve">TLAHUAC                                                                         </v>
      </c>
      <c r="H1798" s="26" t="str">
        <f>"556"</f>
        <v>556</v>
      </c>
      <c r="I1798" s="26" t="str">
        <f t="shared" si="297"/>
        <v>00</v>
      </c>
      <c r="J1798" s="26" t="str">
        <f>"45 "</f>
        <v xml:space="preserve">45 </v>
      </c>
      <c r="K1798" s="26" t="str">
        <f>"PR"</f>
        <v>PR</v>
      </c>
      <c r="L1798" s="26" t="str">
        <f>"DGOSE"</f>
        <v>DGOSE</v>
      </c>
      <c r="M1798" s="26" t="str">
        <f t="shared" si="298"/>
        <v>FEDERAL</v>
      </c>
      <c r="N1798" s="26">
        <v>731</v>
      </c>
      <c r="O1798" s="26">
        <v>346</v>
      </c>
      <c r="P1798" s="26">
        <v>385</v>
      </c>
      <c r="Q1798" s="26">
        <v>18</v>
      </c>
      <c r="R1798" s="26">
        <v>1</v>
      </c>
      <c r="S1798" s="26">
        <v>18</v>
      </c>
      <c r="T1798" s="26">
        <v>7</v>
      </c>
      <c r="U1798" s="26">
        <v>26</v>
      </c>
      <c r="V1798" s="26">
        <v>1</v>
      </c>
      <c r="W1798" s="26"/>
    </row>
    <row r="1799" spans="1:23" x14ac:dyDescent="0.25">
      <c r="A1799" s="26" t="str">
        <f t="shared" si="296"/>
        <v>PRIMARIA</v>
      </c>
      <c r="B1799" s="26" t="str">
        <f>"09DPR3255J"</f>
        <v>09DPR3255J</v>
      </c>
      <c r="C1799" s="26" t="str">
        <f>"PROFR. GERARDO BRUNO SEVILLA HERNANDEZ                                                              "</f>
        <v xml:space="preserve">PROFR. GERARDO BRUNO SEVILLA HERNANDEZ                                                              </v>
      </c>
      <c r="D1799" s="26" t="str">
        <f>"VESPERTINO"</f>
        <v>VESPERTINO</v>
      </c>
      <c r="E1799" s="26" t="str">
        <f>"JOSE JOAQUIN HERRERA NO. 14                                                     "</f>
        <v xml:space="preserve">JOSE JOAQUIN HERRERA NO. 14                                                     </v>
      </c>
      <c r="F1799" s="26" t="str">
        <f>"PRESIDENTES DE MEXICO                                                                                                                       "</f>
        <v xml:space="preserve">PRESIDENTES DE MEXICO                                                                                                                       </v>
      </c>
      <c r="G1799" s="26" t="str">
        <f>"IZTAPALAPA                                                                      "</f>
        <v xml:space="preserve">IZTAPALAPA                                                                      </v>
      </c>
      <c r="H1799" s="26" t="str">
        <f>"057"</f>
        <v>057</v>
      </c>
      <c r="I1799" s="26" t="str">
        <f t="shared" si="297"/>
        <v>00</v>
      </c>
      <c r="J1799" s="26" t="str">
        <f>"64 "</f>
        <v xml:space="preserve">64 </v>
      </c>
      <c r="K1799" s="26" t="str">
        <f>"IZ"</f>
        <v>IZ</v>
      </c>
      <c r="L1799" s="26" t="str">
        <f>"DGSEI"</f>
        <v>DGSEI</v>
      </c>
      <c r="M1799" s="26" t="str">
        <f t="shared" si="298"/>
        <v>FEDERAL</v>
      </c>
      <c r="N1799" s="26">
        <v>231</v>
      </c>
      <c r="O1799" s="26">
        <v>129</v>
      </c>
      <c r="P1799" s="26">
        <v>102</v>
      </c>
      <c r="Q1799" s="26">
        <v>12</v>
      </c>
      <c r="R1799" s="26">
        <v>1</v>
      </c>
      <c r="S1799" s="26">
        <v>12</v>
      </c>
      <c r="T1799" s="26">
        <v>5</v>
      </c>
      <c r="U1799" s="26">
        <v>18</v>
      </c>
      <c r="V1799" s="26">
        <v>1</v>
      </c>
      <c r="W1799" s="26"/>
    </row>
    <row r="1800" spans="1:23" x14ac:dyDescent="0.25">
      <c r="A1800" s="26" t="str">
        <f t="shared" si="296"/>
        <v>PRIMARIA</v>
      </c>
      <c r="B1800" s="26" t="str">
        <f>"09DPR3256I"</f>
        <v>09DPR3256I</v>
      </c>
      <c r="C1800" s="26" t="str">
        <f>"PROFR. RENE AVILES ROJAS                                                                            "</f>
        <v xml:space="preserve">PROFR. RENE AVILES ROJAS                                                                            </v>
      </c>
      <c r="D1800" s="26" t="str">
        <f>"VESPERTINO"</f>
        <v>VESPERTINO</v>
      </c>
      <c r="E1800" s="26" t="str">
        <f>"CALLE GITANA S/N                                                                "</f>
        <v xml:space="preserve">CALLE GITANA S/N                                                                </v>
      </c>
      <c r="F1800" s="26" t="str">
        <f>"DEL MAR                                                                                                                                     "</f>
        <v xml:space="preserve">DEL MAR                                                                                                                                     </v>
      </c>
      <c r="G1800" s="26" t="str">
        <f>"TLAHUAC                                                                         "</f>
        <v xml:space="preserve">TLAHUAC                                                                         </v>
      </c>
      <c r="H1800" s="26" t="str">
        <f>"550"</f>
        <v>550</v>
      </c>
      <c r="I1800" s="26" t="str">
        <f t="shared" si="297"/>
        <v>00</v>
      </c>
      <c r="J1800" s="26" t="str">
        <f>"45 "</f>
        <v xml:space="preserve">45 </v>
      </c>
      <c r="K1800" s="26" t="str">
        <f>"PR"</f>
        <v>PR</v>
      </c>
      <c r="L1800" s="26" t="str">
        <f>"DGOSE"</f>
        <v>DGOSE</v>
      </c>
      <c r="M1800" s="26" t="str">
        <f t="shared" si="298"/>
        <v>FEDERAL</v>
      </c>
      <c r="N1800" s="26">
        <v>276</v>
      </c>
      <c r="O1800" s="26">
        <v>144</v>
      </c>
      <c r="P1800" s="26">
        <v>132</v>
      </c>
      <c r="Q1800" s="26">
        <v>9</v>
      </c>
      <c r="R1800" s="26">
        <v>1</v>
      </c>
      <c r="S1800" s="26">
        <v>9</v>
      </c>
      <c r="T1800" s="26">
        <v>6</v>
      </c>
      <c r="U1800" s="26">
        <v>16</v>
      </c>
      <c r="V1800" s="26">
        <v>1</v>
      </c>
      <c r="W1800" s="26"/>
    </row>
    <row r="1801" spans="1:23" x14ac:dyDescent="0.25">
      <c r="A1801" s="26" t="str">
        <f t="shared" si="296"/>
        <v>PRIMARIA</v>
      </c>
      <c r="B1801" s="26" t="str">
        <f>"09DPR3258G"</f>
        <v>09DPR3258G</v>
      </c>
      <c r="C1801" s="26" t="str">
        <f>"DR. ANTONIO CASTRO LEAL                                                                             "</f>
        <v xml:space="preserve">DR. ANTONIO CASTRO LEAL                                                                             </v>
      </c>
      <c r="D1801" s="26" t="str">
        <f>"MATUTINO"</f>
        <v>MATUTINO</v>
      </c>
      <c r="E1801" s="26" t="str">
        <f>"AND. 2 FUERTE DE GUADALUPE NO. 22                                               "</f>
        <v xml:space="preserve">AND. 2 FUERTE DE GUADALUPE NO. 22                                               </v>
      </c>
      <c r="F1801" s="26" t="str">
        <f>"UNIDAD HABITACIONAL EJERCITO DE ORI                                                                                                         "</f>
        <v xml:space="preserve">UNIDAD HABITACIONAL EJERCITO DE ORI                                                                                                         </v>
      </c>
      <c r="G1801" s="26" t="str">
        <f>"IZTAPALAPA                                                                      "</f>
        <v xml:space="preserve">IZTAPALAPA                                                                      </v>
      </c>
      <c r="H1801" s="26" t="str">
        <f>"021"</f>
        <v>021</v>
      </c>
      <c r="I1801" s="26" t="str">
        <f t="shared" si="297"/>
        <v>00</v>
      </c>
      <c r="J1801" s="26" t="str">
        <f>"62 "</f>
        <v xml:space="preserve">62 </v>
      </c>
      <c r="K1801" s="26" t="str">
        <f>"IZ"</f>
        <v>IZ</v>
      </c>
      <c r="L1801" s="26" t="str">
        <f>"DGSEI"</f>
        <v>DGSEI</v>
      </c>
      <c r="M1801" s="26" t="str">
        <f t="shared" si="298"/>
        <v>FEDERAL</v>
      </c>
      <c r="N1801" s="26">
        <v>243</v>
      </c>
      <c r="O1801" s="26">
        <v>123</v>
      </c>
      <c r="P1801" s="26">
        <v>120</v>
      </c>
      <c r="Q1801" s="26">
        <v>7</v>
      </c>
      <c r="R1801" s="26">
        <v>1</v>
      </c>
      <c r="S1801" s="26">
        <v>6</v>
      </c>
      <c r="T1801" s="26">
        <v>5</v>
      </c>
      <c r="U1801" s="26">
        <v>12</v>
      </c>
      <c r="V1801" s="26">
        <v>1</v>
      </c>
      <c r="W1801" s="26"/>
    </row>
    <row r="1802" spans="1:23" x14ac:dyDescent="0.25">
      <c r="A1802" s="26" t="str">
        <f t="shared" si="296"/>
        <v>PRIMARIA</v>
      </c>
      <c r="B1802" s="26" t="str">
        <f>"09DPR3259F"</f>
        <v>09DPR3259F</v>
      </c>
      <c r="C1802" s="26" t="str">
        <f>"DR. ANTONIO CASTRO LEAL                                                                             "</f>
        <v xml:space="preserve">DR. ANTONIO CASTRO LEAL                                                                             </v>
      </c>
      <c r="D1802" s="26" t="str">
        <f>"VESPERTINO"</f>
        <v>VESPERTINO</v>
      </c>
      <c r="E1802" s="26" t="str">
        <f>"AND. 2 FUERTE DE GUADALUPE NO. 22                                               "</f>
        <v xml:space="preserve">AND. 2 FUERTE DE GUADALUPE NO. 22                                               </v>
      </c>
      <c r="F1802" s="26" t="str">
        <f>"UNIDAD HABITACIONAL EJERCITO DE ORI                                                                                                         "</f>
        <v xml:space="preserve">UNIDAD HABITACIONAL EJERCITO DE ORI                                                                                                         </v>
      </c>
      <c r="G1802" s="26" t="str">
        <f>"IZTAPALAPA                                                                      "</f>
        <v xml:space="preserve">IZTAPALAPA                                                                      </v>
      </c>
      <c r="H1802" s="26" t="str">
        <f>"021"</f>
        <v>021</v>
      </c>
      <c r="I1802" s="26" t="str">
        <f t="shared" si="297"/>
        <v>00</v>
      </c>
      <c r="J1802" s="26" t="str">
        <f>"62 "</f>
        <v xml:space="preserve">62 </v>
      </c>
      <c r="K1802" s="26" t="str">
        <f>"IZ"</f>
        <v>IZ</v>
      </c>
      <c r="L1802" s="26" t="str">
        <f>"DGSEI"</f>
        <v>DGSEI</v>
      </c>
      <c r="M1802" s="26" t="str">
        <f t="shared" si="298"/>
        <v>FEDERAL</v>
      </c>
      <c r="N1802" s="26">
        <v>156</v>
      </c>
      <c r="O1802" s="26">
        <v>76</v>
      </c>
      <c r="P1802" s="26">
        <v>80</v>
      </c>
      <c r="Q1802" s="26">
        <v>6</v>
      </c>
      <c r="R1802" s="26">
        <v>1</v>
      </c>
      <c r="S1802" s="26">
        <v>6</v>
      </c>
      <c r="T1802" s="26">
        <v>4</v>
      </c>
      <c r="U1802" s="26">
        <v>11</v>
      </c>
      <c r="V1802" s="26">
        <v>1</v>
      </c>
      <c r="W1802" s="26"/>
    </row>
    <row r="1803" spans="1:23" x14ac:dyDescent="0.25">
      <c r="A1803" s="26" t="str">
        <f t="shared" si="296"/>
        <v>PRIMARIA</v>
      </c>
      <c r="B1803" s="26" t="str">
        <f>"09DPR3263S"</f>
        <v>09DPR3263S</v>
      </c>
      <c r="C1803" s="26" t="str">
        <f>"PROFR. GAUDENCIO PERAZA                                                                             "</f>
        <v xml:space="preserve">PROFR. GAUDENCIO PERAZA                                                                             </v>
      </c>
      <c r="D1803" s="26" t="str">
        <f>"VESPERTINO"</f>
        <v>VESPERTINO</v>
      </c>
      <c r="E1803" s="26" t="str">
        <f>"AV. UNION DE COLONOS NO. 6                                                      "</f>
        <v xml:space="preserve">AV. UNION DE COLONOS NO. 6                                                      </v>
      </c>
      <c r="F1803" s="26" t="str">
        <f>"SAN MIGUEL TEOTONGO                                                                                                                         "</f>
        <v xml:space="preserve">SAN MIGUEL TEOTONGO                                                                                                                         </v>
      </c>
      <c r="G1803" s="26" t="str">
        <f>"IZTAPALAPA                                                                      "</f>
        <v xml:space="preserve">IZTAPALAPA                                                                      </v>
      </c>
      <c r="H1803" s="26" t="str">
        <f>"067"</f>
        <v>067</v>
      </c>
      <c r="I1803" s="26" t="str">
        <f t="shared" si="297"/>
        <v>00</v>
      </c>
      <c r="J1803" s="26" t="str">
        <f>"64 "</f>
        <v xml:space="preserve">64 </v>
      </c>
      <c r="K1803" s="26" t="str">
        <f>"IZ"</f>
        <v>IZ</v>
      </c>
      <c r="L1803" s="26" t="str">
        <f>"DGSEI"</f>
        <v>DGSEI</v>
      </c>
      <c r="M1803" s="26" t="str">
        <f t="shared" si="298"/>
        <v>FEDERAL</v>
      </c>
      <c r="N1803" s="26">
        <v>280</v>
      </c>
      <c r="O1803" s="26">
        <v>157</v>
      </c>
      <c r="P1803" s="26">
        <v>123</v>
      </c>
      <c r="Q1803" s="26">
        <v>10</v>
      </c>
      <c r="R1803" s="26">
        <v>1</v>
      </c>
      <c r="S1803" s="26">
        <v>10</v>
      </c>
      <c r="T1803" s="26">
        <v>4</v>
      </c>
      <c r="U1803" s="26">
        <v>15</v>
      </c>
      <c r="V1803" s="26">
        <v>1</v>
      </c>
      <c r="W1803" s="26"/>
    </row>
    <row r="1804" spans="1:23" x14ac:dyDescent="0.25">
      <c r="A1804" s="26" t="str">
        <f t="shared" si="296"/>
        <v>PRIMARIA</v>
      </c>
      <c r="B1804" s="26" t="str">
        <f>"09DPR3266P"</f>
        <v>09DPR3266P</v>
      </c>
      <c r="C1804" s="26" t="str">
        <f>"PROFRA. AURORA PARRA PEREZ                                                                          "</f>
        <v xml:space="preserve">PROFRA. AURORA PARRA PEREZ                                                                          </v>
      </c>
      <c r="D1804" s="26" t="str">
        <f>"TIEMPO COMPLETO"</f>
        <v>TIEMPO COMPLETO</v>
      </c>
      <c r="E1804" s="26" t="str">
        <f>"GREGORIO TORRES QUINTERO S/N                                                    "</f>
        <v xml:space="preserve">GREGORIO TORRES QUINTERO S/N                                                    </v>
      </c>
      <c r="F1804" s="26" t="str">
        <f>"SAN MIGUEL DE LAS SALERAS                                                                                                                   "</f>
        <v xml:space="preserve">SAN MIGUEL DE LAS SALERAS                                                                                                                   </v>
      </c>
      <c r="G1804" s="26" t="str">
        <f>"IZTAPALAPA                                                                      "</f>
        <v xml:space="preserve">IZTAPALAPA                                                                      </v>
      </c>
      <c r="H1804" s="26" t="str">
        <f>"005"</f>
        <v>005</v>
      </c>
      <c r="I1804" s="26" t="str">
        <f t="shared" si="297"/>
        <v>00</v>
      </c>
      <c r="J1804" s="26" t="str">
        <f>"61 "</f>
        <v xml:space="preserve">61 </v>
      </c>
      <c r="K1804" s="26" t="str">
        <f>"IZ"</f>
        <v>IZ</v>
      </c>
      <c r="L1804" s="26" t="str">
        <f>"DGSEI"</f>
        <v>DGSEI</v>
      </c>
      <c r="M1804" s="26" t="str">
        <f t="shared" si="298"/>
        <v>FEDERAL</v>
      </c>
      <c r="N1804" s="26">
        <v>351</v>
      </c>
      <c r="O1804" s="26">
        <v>192</v>
      </c>
      <c r="P1804" s="26">
        <v>159</v>
      </c>
      <c r="Q1804" s="26">
        <v>10</v>
      </c>
      <c r="R1804" s="26">
        <v>1</v>
      </c>
      <c r="S1804" s="26">
        <v>10</v>
      </c>
      <c r="T1804" s="26">
        <v>9</v>
      </c>
      <c r="U1804" s="26">
        <v>20</v>
      </c>
      <c r="V1804" s="26">
        <v>1</v>
      </c>
      <c r="W1804" s="26" t="s">
        <v>218</v>
      </c>
    </row>
    <row r="1805" spans="1:23" x14ac:dyDescent="0.25">
      <c r="A1805" s="26" t="str">
        <f t="shared" si="296"/>
        <v>PRIMARIA</v>
      </c>
      <c r="B1805" s="26" t="str">
        <f>"09DPR3270B"</f>
        <v>09DPR3270B</v>
      </c>
      <c r="C1805" s="26" t="str">
        <f>"PROFR. RAMON ANDRADE CARMONA                                                                        "</f>
        <v xml:space="preserve">PROFR. RAMON ANDRADE CARMONA                                                                        </v>
      </c>
      <c r="D1805" s="26" t="str">
        <f>"VESPERTINO"</f>
        <v>VESPERTINO</v>
      </c>
      <c r="E1805" s="26" t="str">
        <f>"SAN MIGUEL Y LA ESCONDIDA                                                       "</f>
        <v xml:space="preserve">SAN MIGUEL Y LA ESCONDIDA                                                       </v>
      </c>
      <c r="F1805" s="26" t="str">
        <f>"LOMAS DE CUAUTEPEC                                                                                                                          "</f>
        <v xml:space="preserve">LOMAS DE CUAUTEPEC                                                                                                                          </v>
      </c>
      <c r="G1805" s="26" t="str">
        <f>"GUSTAVO A. MADERO                                                               "</f>
        <v xml:space="preserve">GUSTAVO A. MADERO                                                               </v>
      </c>
      <c r="H1805" s="26" t="str">
        <f>"226"</f>
        <v>226</v>
      </c>
      <c r="I1805" s="26" t="str">
        <f t="shared" si="297"/>
        <v>00</v>
      </c>
      <c r="J1805" s="26" t="str">
        <f>"42 "</f>
        <v xml:space="preserve">42 </v>
      </c>
      <c r="K1805" s="26" t="str">
        <f>"PR"</f>
        <v>PR</v>
      </c>
      <c r="L1805" s="26" t="str">
        <f>"DGOSE"</f>
        <v>DGOSE</v>
      </c>
      <c r="M1805" s="26" t="str">
        <f t="shared" si="298"/>
        <v>FEDERAL</v>
      </c>
      <c r="N1805" s="26">
        <v>632</v>
      </c>
      <c r="O1805" s="26">
        <v>335</v>
      </c>
      <c r="P1805" s="26">
        <v>297</v>
      </c>
      <c r="Q1805" s="26">
        <v>19</v>
      </c>
      <c r="R1805" s="26">
        <v>1</v>
      </c>
      <c r="S1805" s="26">
        <v>19</v>
      </c>
      <c r="T1805" s="26">
        <v>11</v>
      </c>
      <c r="U1805" s="26">
        <v>31</v>
      </c>
      <c r="V1805" s="26">
        <v>1</v>
      </c>
      <c r="W1805" s="26"/>
    </row>
    <row r="1806" spans="1:23" x14ac:dyDescent="0.25">
      <c r="A1806" s="26" t="str">
        <f t="shared" si="296"/>
        <v>PRIMARIA</v>
      </c>
      <c r="B1806" s="26" t="str">
        <f>"09DPR3271A"</f>
        <v>09DPR3271A</v>
      </c>
      <c r="C1806" s="26" t="str">
        <f>"PROFR. ERNESTO MORENO BELLO                                                                         "</f>
        <v xml:space="preserve">PROFR. ERNESTO MORENO BELLO                                                                         </v>
      </c>
      <c r="D1806" s="26" t="str">
        <f>"VESPERTINO"</f>
        <v>VESPERTINO</v>
      </c>
      <c r="E1806" s="26" t="str">
        <f>"DIAMANTE S/N                                                                    "</f>
        <v xml:space="preserve">DIAMANTE S/N                                                                    </v>
      </c>
      <c r="F1806" s="26" t="str">
        <f>"EL TEPETATAL                                                                                                                                "</f>
        <v xml:space="preserve">EL TEPETATAL                                                                                                                                </v>
      </c>
      <c r="G1806" s="26" t="str">
        <f>"GUSTAVO A. MADERO                                                               "</f>
        <v xml:space="preserve">GUSTAVO A. MADERO                                                               </v>
      </c>
      <c r="H1806" s="26" t="str">
        <f>"227"</f>
        <v>227</v>
      </c>
      <c r="I1806" s="26" t="str">
        <f t="shared" si="297"/>
        <v>00</v>
      </c>
      <c r="J1806" s="26" t="str">
        <f>"42 "</f>
        <v xml:space="preserve">42 </v>
      </c>
      <c r="K1806" s="26" t="str">
        <f>"PR"</f>
        <v>PR</v>
      </c>
      <c r="L1806" s="26" t="str">
        <f>"DGOSE"</f>
        <v>DGOSE</v>
      </c>
      <c r="M1806" s="26" t="str">
        <f t="shared" si="298"/>
        <v>FEDERAL</v>
      </c>
      <c r="N1806" s="26">
        <v>596</v>
      </c>
      <c r="O1806" s="26">
        <v>290</v>
      </c>
      <c r="P1806" s="26">
        <v>306</v>
      </c>
      <c r="Q1806" s="26">
        <v>18</v>
      </c>
      <c r="R1806" s="26">
        <v>1</v>
      </c>
      <c r="S1806" s="26">
        <v>18</v>
      </c>
      <c r="T1806" s="26">
        <v>9</v>
      </c>
      <c r="U1806" s="26">
        <v>28</v>
      </c>
      <c r="V1806" s="26">
        <v>1</v>
      </c>
      <c r="W1806" s="26"/>
    </row>
    <row r="1807" spans="1:23" x14ac:dyDescent="0.25">
      <c r="A1807" s="26" t="str">
        <f t="shared" si="296"/>
        <v>PRIMARIA</v>
      </c>
      <c r="B1807" s="26" t="str">
        <f>"09DPR3272Z"</f>
        <v>09DPR3272Z</v>
      </c>
      <c r="C1807" s="26" t="str">
        <f>"MAESTRO MARIO DE LA CUEVA                                                                           "</f>
        <v xml:space="preserve">MAESTRO MARIO DE LA CUEVA                                                                           </v>
      </c>
      <c r="D1807" s="26" t="str">
        <f>"JORNADA AMPLIADA"</f>
        <v>JORNADA AMPLIADA</v>
      </c>
      <c r="E1807" s="26" t="str">
        <f>"AV GRAN CANAL Y PTO SALINA CRUZ                                                 "</f>
        <v xml:space="preserve">AV GRAN CANAL Y PTO SALINA CRUZ                                                 </v>
      </c>
      <c r="F1807" s="26" t="str">
        <f>"CASAS ALEMAN AMPLIACION                                                                                                                     "</f>
        <v xml:space="preserve">CASAS ALEMAN AMPLIACION                                                                                                                     </v>
      </c>
      <c r="G1807" s="26" t="str">
        <f>"GUSTAVO A. MADERO                                                               "</f>
        <v xml:space="preserve">GUSTAVO A. MADERO                                                               </v>
      </c>
      <c r="H1807" s="26" t="str">
        <f>"139"</f>
        <v>139</v>
      </c>
      <c r="I1807" s="26" t="str">
        <f t="shared" si="297"/>
        <v>00</v>
      </c>
      <c r="J1807" s="26" t="str">
        <f>"41 "</f>
        <v xml:space="preserve">41 </v>
      </c>
      <c r="K1807" s="26" t="str">
        <f>"PR"</f>
        <v>PR</v>
      </c>
      <c r="L1807" s="26" t="str">
        <f>"DGOSE"</f>
        <v>DGOSE</v>
      </c>
      <c r="M1807" s="26" t="str">
        <f t="shared" si="298"/>
        <v>FEDERAL</v>
      </c>
      <c r="N1807" s="26">
        <v>305</v>
      </c>
      <c r="O1807" s="26">
        <v>166</v>
      </c>
      <c r="P1807" s="26">
        <v>139</v>
      </c>
      <c r="Q1807" s="26">
        <v>12</v>
      </c>
      <c r="R1807" s="26">
        <v>0</v>
      </c>
      <c r="S1807" s="26">
        <v>12</v>
      </c>
      <c r="T1807" s="26">
        <v>10</v>
      </c>
      <c r="U1807" s="26">
        <v>22</v>
      </c>
      <c r="V1807" s="26">
        <v>1</v>
      </c>
      <c r="W1807" s="26" t="s">
        <v>2076</v>
      </c>
    </row>
    <row r="1808" spans="1:23" x14ac:dyDescent="0.25">
      <c r="A1808" s="26" t="str">
        <f t="shared" si="296"/>
        <v>PRIMARIA</v>
      </c>
      <c r="B1808" s="26" t="str">
        <f>"09DPR3273Z"</f>
        <v>09DPR3273Z</v>
      </c>
      <c r="C1808" s="26" t="str">
        <f>"AMALIA GONZALEZ CABALLERO                                                                           "</f>
        <v xml:space="preserve">AMALIA GONZALEZ CABALLERO                                                                           </v>
      </c>
      <c r="D1808" s="26" t="str">
        <f>"TIEMPO COMPLETO"</f>
        <v>TIEMPO COMPLETO</v>
      </c>
      <c r="E1808" s="26" t="str">
        <f>"AV DE LAS CULTURAS Y PESCADORES                                                 "</f>
        <v xml:space="preserve">AV DE LAS CULTURAS Y PESCADORES                                                 </v>
      </c>
      <c r="F1808" s="26" t="str">
        <f>"UNIDAD INFONAVIT EL ROSARIO                                                                                                                 "</f>
        <v xml:space="preserve">UNIDAD INFONAVIT EL ROSARIO                                                                                                                 </v>
      </c>
      <c r="G1808" s="26" t="str">
        <f>"AZCAPOTZALCO                                                                    "</f>
        <v xml:space="preserve">AZCAPOTZALCO                                                                    </v>
      </c>
      <c r="H1808" s="26" t="str">
        <f>"100"</f>
        <v>100</v>
      </c>
      <c r="I1808" s="26" t="str">
        <f t="shared" si="297"/>
        <v>00</v>
      </c>
      <c r="J1808" s="26" t="str">
        <f>"41 "</f>
        <v xml:space="preserve">41 </v>
      </c>
      <c r="K1808" s="26" t="str">
        <f>"PR"</f>
        <v>PR</v>
      </c>
      <c r="L1808" s="26" t="str">
        <f>"DGOSE"</f>
        <v>DGOSE</v>
      </c>
      <c r="M1808" s="26" t="str">
        <f t="shared" si="298"/>
        <v>FEDERAL</v>
      </c>
      <c r="N1808" s="26">
        <v>437</v>
      </c>
      <c r="O1808" s="26">
        <v>228</v>
      </c>
      <c r="P1808" s="26">
        <v>209</v>
      </c>
      <c r="Q1808" s="26">
        <v>17</v>
      </c>
      <c r="R1808" s="26">
        <v>1</v>
      </c>
      <c r="S1808" s="26">
        <v>17</v>
      </c>
      <c r="T1808" s="26">
        <v>21</v>
      </c>
      <c r="U1808" s="26">
        <v>39</v>
      </c>
      <c r="V1808" s="26">
        <v>1</v>
      </c>
      <c r="W1808" s="26" t="s">
        <v>218</v>
      </c>
    </row>
    <row r="1809" spans="1:23" x14ac:dyDescent="0.25">
      <c r="A1809" s="26" t="str">
        <f t="shared" si="296"/>
        <v>PRIMARIA</v>
      </c>
      <c r="B1809" s="26" t="str">
        <f>"09DPR3282G"</f>
        <v>09DPR3282G</v>
      </c>
      <c r="C1809" s="26" t="str">
        <f>"PROFR. ROBERTO MARTINEZ FLORES                                                                      "</f>
        <v xml:space="preserve">PROFR. ROBERTO MARTINEZ FLORES                                                                      </v>
      </c>
      <c r="D1809" s="26" t="str">
        <f>"VESPERTINO"</f>
        <v>VESPERTINO</v>
      </c>
      <c r="E1809" s="26" t="str">
        <f>"VENUSTIANO CARRANZA S/N                                                         "</f>
        <v xml:space="preserve">VENUSTIANO CARRANZA S/N                                                         </v>
      </c>
      <c r="F1809" s="26" t="str">
        <f>"CUAUTEPEC DE MADERO                                                                                                                         "</f>
        <v xml:space="preserve">CUAUTEPEC DE MADERO                                                                                                                         </v>
      </c>
      <c r="G1809" s="26" t="str">
        <f>"GUSTAVO A. MADERO                                                               "</f>
        <v xml:space="preserve">GUSTAVO A. MADERO                                                               </v>
      </c>
      <c r="H1809" s="26" t="str">
        <f>"233"</f>
        <v>233</v>
      </c>
      <c r="I1809" s="26" t="str">
        <f t="shared" si="297"/>
        <v>00</v>
      </c>
      <c r="J1809" s="26" t="str">
        <f>"42 "</f>
        <v xml:space="preserve">42 </v>
      </c>
      <c r="K1809" s="26" t="str">
        <f>"PR"</f>
        <v>PR</v>
      </c>
      <c r="L1809" s="26" t="str">
        <f>"DGOSE"</f>
        <v>DGOSE</v>
      </c>
      <c r="M1809" s="26" t="str">
        <f t="shared" si="298"/>
        <v>FEDERAL</v>
      </c>
      <c r="N1809" s="26">
        <v>148</v>
      </c>
      <c r="O1809" s="26">
        <v>83</v>
      </c>
      <c r="P1809" s="26">
        <v>65</v>
      </c>
      <c r="Q1809" s="26">
        <v>20</v>
      </c>
      <c r="R1809" s="26">
        <v>2</v>
      </c>
      <c r="S1809" s="26">
        <v>20</v>
      </c>
      <c r="T1809" s="26">
        <v>14</v>
      </c>
      <c r="U1809" s="26">
        <v>36</v>
      </c>
      <c r="V1809" s="26">
        <v>1</v>
      </c>
      <c r="W1809" s="26"/>
    </row>
    <row r="1810" spans="1:23" x14ac:dyDescent="0.25">
      <c r="A1810" s="26" t="str">
        <f t="shared" si="296"/>
        <v>PRIMARIA</v>
      </c>
      <c r="B1810" s="26" t="str">
        <f>"09DPR3289Z"</f>
        <v>09DPR3289Z</v>
      </c>
      <c r="C1810" s="26" t="str">
        <f>"LUIS VARGAS PINEIRA                                                                                 "</f>
        <v xml:space="preserve">LUIS VARGAS PINEIRA                                                                                 </v>
      </c>
      <c r="D1810" s="26" t="str">
        <f>"MATUTINO"</f>
        <v>MATUTINO</v>
      </c>
      <c r="E1810" s="26" t="str">
        <f>"CORAZON DEL BARRIO SUPER MANZANA 1                                              "</f>
        <v xml:space="preserve">CORAZON DEL BARRIO SUPER MANZANA 1                                              </v>
      </c>
      <c r="F1810" s="26" t="str">
        <f>"UNIDAD HABITACIONAL EJERCITO CONSTI                                                                                                         "</f>
        <v xml:space="preserve">UNIDAD HABITACIONAL EJERCITO CONSTI                                                                                                         </v>
      </c>
      <c r="G1810" s="26" t="str">
        <f>"IZTAPALAPA                                                                      "</f>
        <v xml:space="preserve">IZTAPALAPA                                                                      </v>
      </c>
      <c r="H1810" s="26" t="str">
        <f>"020"</f>
        <v>020</v>
      </c>
      <c r="I1810" s="26" t="str">
        <f t="shared" si="297"/>
        <v>00</v>
      </c>
      <c r="J1810" s="26" t="str">
        <f>"62 "</f>
        <v xml:space="preserve">62 </v>
      </c>
      <c r="K1810" s="26" t="str">
        <f>"IZ"</f>
        <v>IZ</v>
      </c>
      <c r="L1810" s="26" t="str">
        <f>"DGSEI"</f>
        <v>DGSEI</v>
      </c>
      <c r="M1810" s="26" t="str">
        <f t="shared" si="298"/>
        <v>FEDERAL</v>
      </c>
      <c r="N1810" s="26">
        <v>285</v>
      </c>
      <c r="O1810" s="26">
        <v>145</v>
      </c>
      <c r="P1810" s="26">
        <v>140</v>
      </c>
      <c r="Q1810" s="26">
        <v>15</v>
      </c>
      <c r="R1810" s="26">
        <v>1</v>
      </c>
      <c r="S1810" s="26">
        <v>13</v>
      </c>
      <c r="T1810" s="26">
        <v>7</v>
      </c>
      <c r="U1810" s="26">
        <v>21</v>
      </c>
      <c r="V1810" s="26">
        <v>1</v>
      </c>
      <c r="W1810" s="26"/>
    </row>
    <row r="1811" spans="1:23" x14ac:dyDescent="0.25">
      <c r="A1811" s="26" t="str">
        <f t="shared" si="296"/>
        <v>PRIMARIA</v>
      </c>
      <c r="B1811" s="26" t="str">
        <f>"09DPR3290P"</f>
        <v>09DPR3290P</v>
      </c>
      <c r="C1811" s="26" t="str">
        <f>"LUIS VARGAS PINEIRA                                                                                 "</f>
        <v xml:space="preserve">LUIS VARGAS PINEIRA                                                                                 </v>
      </c>
      <c r="D1811" s="26" t="str">
        <f>"VESPERTINO"</f>
        <v>VESPERTINO</v>
      </c>
      <c r="E1811" s="26" t="str">
        <f>"CORAZON DEL BARRIO SUPER MANZANA 1                                              "</f>
        <v xml:space="preserve">CORAZON DEL BARRIO SUPER MANZANA 1                                              </v>
      </c>
      <c r="F1811" s="26" t="str">
        <f>"UNIDAD HABITACIONAL EJERCITO CONSTI                                                                                                         "</f>
        <v xml:space="preserve">UNIDAD HABITACIONAL EJERCITO CONSTI                                                                                                         </v>
      </c>
      <c r="G1811" s="26" t="str">
        <f>"IZTAPALAPA                                                                      "</f>
        <v xml:space="preserve">IZTAPALAPA                                                                      </v>
      </c>
      <c r="H1811" s="26" t="str">
        <f>"020"</f>
        <v>020</v>
      </c>
      <c r="I1811" s="26" t="str">
        <f t="shared" si="297"/>
        <v>00</v>
      </c>
      <c r="J1811" s="26" t="str">
        <f>"62 "</f>
        <v xml:space="preserve">62 </v>
      </c>
      <c r="K1811" s="26" t="str">
        <f>"IZ"</f>
        <v>IZ</v>
      </c>
      <c r="L1811" s="26" t="str">
        <f>"DGSEI"</f>
        <v>DGSEI</v>
      </c>
      <c r="M1811" s="26" t="str">
        <f t="shared" si="298"/>
        <v>FEDERAL</v>
      </c>
      <c r="N1811" s="26">
        <v>131</v>
      </c>
      <c r="O1811" s="26">
        <v>56</v>
      </c>
      <c r="P1811" s="26">
        <v>75</v>
      </c>
      <c r="Q1811" s="26">
        <v>9</v>
      </c>
      <c r="R1811" s="26">
        <v>1</v>
      </c>
      <c r="S1811" s="26">
        <v>7</v>
      </c>
      <c r="T1811" s="26">
        <v>5</v>
      </c>
      <c r="U1811" s="26">
        <v>13</v>
      </c>
      <c r="V1811" s="26">
        <v>1</v>
      </c>
      <c r="W1811" s="26"/>
    </row>
    <row r="1812" spans="1:23" x14ac:dyDescent="0.25">
      <c r="A1812" s="26" t="str">
        <f t="shared" si="296"/>
        <v>PRIMARIA</v>
      </c>
      <c r="B1812" s="26" t="str">
        <f>"09DPR3291O"</f>
        <v>09DPR3291O</v>
      </c>
      <c r="C1812" s="26" t="str">
        <f>"PROFR. GAUDENCIO PERAZA                                                                             "</f>
        <v xml:space="preserve">PROFR. GAUDENCIO PERAZA                                                                             </v>
      </c>
      <c r="D1812" s="26" t="str">
        <f>"MATUTINO"</f>
        <v>MATUTINO</v>
      </c>
      <c r="E1812" s="26" t="str">
        <f>"AV. UNION DE COLONOS NO. 6                                                      "</f>
        <v xml:space="preserve">AV. UNION DE COLONOS NO. 6                                                      </v>
      </c>
      <c r="F1812" s="26" t="str">
        <f>"SAN MIGUEL TEOTONGO                                                                                                                         "</f>
        <v xml:space="preserve">SAN MIGUEL TEOTONGO                                                                                                                         </v>
      </c>
      <c r="G1812" s="26" t="str">
        <f>"IZTAPALAPA                                                                      "</f>
        <v xml:space="preserve">IZTAPALAPA                                                                      </v>
      </c>
      <c r="H1812" s="26" t="str">
        <f>"067"</f>
        <v>067</v>
      </c>
      <c r="I1812" s="26" t="str">
        <f t="shared" si="297"/>
        <v>00</v>
      </c>
      <c r="J1812" s="26" t="str">
        <f>"64 "</f>
        <v xml:space="preserve">64 </v>
      </c>
      <c r="K1812" s="26" t="str">
        <f>"IZ"</f>
        <v>IZ</v>
      </c>
      <c r="L1812" s="26" t="str">
        <f>"DGSEI"</f>
        <v>DGSEI</v>
      </c>
      <c r="M1812" s="26" t="str">
        <f t="shared" si="298"/>
        <v>FEDERAL</v>
      </c>
      <c r="N1812" s="26">
        <v>416</v>
      </c>
      <c r="O1812" s="26">
        <v>199</v>
      </c>
      <c r="P1812" s="26">
        <v>217</v>
      </c>
      <c r="Q1812" s="26">
        <v>12</v>
      </c>
      <c r="R1812" s="26">
        <v>1</v>
      </c>
      <c r="S1812" s="26">
        <v>12</v>
      </c>
      <c r="T1812" s="26">
        <v>6</v>
      </c>
      <c r="U1812" s="26">
        <v>19</v>
      </c>
      <c r="V1812" s="26">
        <v>1</v>
      </c>
      <c r="W1812" s="26"/>
    </row>
    <row r="1813" spans="1:23" x14ac:dyDescent="0.25">
      <c r="A1813" s="26" t="str">
        <f t="shared" si="296"/>
        <v>PRIMARIA</v>
      </c>
      <c r="B1813" s="26" t="str">
        <f>"09DPR3293M"</f>
        <v>09DPR3293M</v>
      </c>
      <c r="C1813" s="26" t="str">
        <f>"PROFR. RUBEN MOREIRA COBOS                                                                          "</f>
        <v xml:space="preserve">PROFR. RUBEN MOREIRA COBOS                                                                          </v>
      </c>
      <c r="D1813" s="26" t="str">
        <f>"VESPERTINO"</f>
        <v>VESPERTINO</v>
      </c>
      <c r="E1813" s="26" t="str">
        <f>"CALLE 2 No 149                                                                  "</f>
        <v xml:space="preserve">CALLE 2 No 149                                                                  </v>
      </c>
      <c r="F1813" s="26" t="str">
        <f>"AGRICOLA PANTITLAN                                                                                                                          "</f>
        <v xml:space="preserve">AGRICOLA PANTITLAN                                                                                                                          </v>
      </c>
      <c r="G1813" s="26" t="str">
        <f>"IZTACALCO                                                                       "</f>
        <v xml:space="preserve">IZTACALCO                                                                       </v>
      </c>
      <c r="H1813" s="26" t="str">
        <f>"355"</f>
        <v>355</v>
      </c>
      <c r="I1813" s="26" t="str">
        <f t="shared" si="297"/>
        <v>00</v>
      </c>
      <c r="J1813" s="26" t="str">
        <f>"43 "</f>
        <v xml:space="preserve">43 </v>
      </c>
      <c r="K1813" s="26" t="str">
        <f>"PR"</f>
        <v>PR</v>
      </c>
      <c r="L1813" s="26" t="str">
        <f>"DGOSE"</f>
        <v>DGOSE</v>
      </c>
      <c r="M1813" s="26" t="str">
        <f t="shared" si="298"/>
        <v>FEDERAL</v>
      </c>
      <c r="N1813" s="26">
        <v>143</v>
      </c>
      <c r="O1813" s="26">
        <v>83</v>
      </c>
      <c r="P1813" s="26">
        <v>60</v>
      </c>
      <c r="Q1813" s="26">
        <v>12</v>
      </c>
      <c r="R1813" s="26">
        <v>1</v>
      </c>
      <c r="S1813" s="26">
        <v>9</v>
      </c>
      <c r="T1813" s="26">
        <v>9</v>
      </c>
      <c r="U1813" s="26">
        <v>19</v>
      </c>
      <c r="V1813" s="26">
        <v>1</v>
      </c>
      <c r="W1813" s="26"/>
    </row>
    <row r="1814" spans="1:23" x14ac:dyDescent="0.25">
      <c r="A1814" s="26" t="str">
        <f t="shared" si="296"/>
        <v>PRIMARIA</v>
      </c>
      <c r="B1814" s="26" t="str">
        <f>"09DPR3294L"</f>
        <v>09DPR3294L</v>
      </c>
      <c r="C1814" s="26" t="str">
        <f>"PROFR. JOSE DAVILA                                                                                  "</f>
        <v xml:space="preserve">PROFR. JOSE DAVILA                                                                                  </v>
      </c>
      <c r="D1814" s="26" t="str">
        <f>"MATUTINO"</f>
        <v>MATUTINO</v>
      </c>
      <c r="E1814" s="26" t="str">
        <f>"AV. NAUTLA NO. 69                                                               "</f>
        <v xml:space="preserve">AV. NAUTLA NO. 69                                                               </v>
      </c>
      <c r="F1814" s="26" t="str">
        <f>"CASA BLANCA                                                                                                                                 "</f>
        <v xml:space="preserve">CASA BLANCA                                                                                                                                 </v>
      </c>
      <c r="G1814" s="26" t="str">
        <f t="shared" ref="G1814:G1822" si="299">"IZTAPALAPA                                                                      "</f>
        <v xml:space="preserve">IZTAPALAPA                                                                      </v>
      </c>
      <c r="H1814" s="26" t="str">
        <f>"042"</f>
        <v>042</v>
      </c>
      <c r="I1814" s="26" t="str">
        <f t="shared" si="297"/>
        <v>00</v>
      </c>
      <c r="J1814" s="26" t="str">
        <f>"63 "</f>
        <v xml:space="preserve">63 </v>
      </c>
      <c r="K1814" s="26" t="str">
        <f t="shared" ref="K1814:K1822" si="300">"IZ"</f>
        <v>IZ</v>
      </c>
      <c r="L1814" s="26" t="str">
        <f t="shared" ref="L1814:L1822" si="301">"DGSEI"</f>
        <v>DGSEI</v>
      </c>
      <c r="M1814" s="26" t="str">
        <f t="shared" si="298"/>
        <v>FEDERAL</v>
      </c>
      <c r="N1814" s="26">
        <v>603</v>
      </c>
      <c r="O1814" s="26">
        <v>309</v>
      </c>
      <c r="P1814" s="26">
        <v>294</v>
      </c>
      <c r="Q1814" s="26">
        <v>18</v>
      </c>
      <c r="R1814" s="26">
        <v>1</v>
      </c>
      <c r="S1814" s="26">
        <v>17</v>
      </c>
      <c r="T1814" s="26">
        <v>9</v>
      </c>
      <c r="U1814" s="26">
        <v>27</v>
      </c>
      <c r="V1814" s="26">
        <v>1</v>
      </c>
      <c r="W1814" s="26"/>
    </row>
    <row r="1815" spans="1:23" x14ac:dyDescent="0.25">
      <c r="A1815" s="26" t="str">
        <f t="shared" si="296"/>
        <v>PRIMARIA</v>
      </c>
      <c r="B1815" s="26" t="str">
        <f>"09DPR3295K"</f>
        <v>09DPR3295K</v>
      </c>
      <c r="C1815" s="26" t="str">
        <f>"PROFR. JOSE DAVILA                                                                                  "</f>
        <v xml:space="preserve">PROFR. JOSE DAVILA                                                                                  </v>
      </c>
      <c r="D1815" s="26" t="str">
        <f>"VESPERTINO"</f>
        <v>VESPERTINO</v>
      </c>
      <c r="E1815" s="26" t="str">
        <f>"AV. NAUTLA NO. 69                                                               "</f>
        <v xml:space="preserve">AV. NAUTLA NO. 69                                                               </v>
      </c>
      <c r="F1815" s="26" t="str">
        <f>"CASA BLANCA                                                                                                                                 "</f>
        <v xml:space="preserve">CASA BLANCA                                                                                                                                 </v>
      </c>
      <c r="G1815" s="26" t="str">
        <f t="shared" si="299"/>
        <v xml:space="preserve">IZTAPALAPA                                                                      </v>
      </c>
      <c r="H1815" s="26" t="str">
        <f>"042"</f>
        <v>042</v>
      </c>
      <c r="I1815" s="26" t="str">
        <f t="shared" si="297"/>
        <v>00</v>
      </c>
      <c r="J1815" s="26" t="str">
        <f>"63 "</f>
        <v xml:space="preserve">63 </v>
      </c>
      <c r="K1815" s="26" t="str">
        <f t="shared" si="300"/>
        <v>IZ</v>
      </c>
      <c r="L1815" s="26" t="str">
        <f t="shared" si="301"/>
        <v>DGSEI</v>
      </c>
      <c r="M1815" s="26" t="str">
        <f t="shared" si="298"/>
        <v>FEDERAL</v>
      </c>
      <c r="N1815" s="26">
        <v>314</v>
      </c>
      <c r="O1815" s="26">
        <v>173</v>
      </c>
      <c r="P1815" s="26">
        <v>141</v>
      </c>
      <c r="Q1815" s="26">
        <v>32</v>
      </c>
      <c r="R1815" s="26">
        <v>2</v>
      </c>
      <c r="S1815" s="26">
        <v>32</v>
      </c>
      <c r="T1815" s="26">
        <v>12</v>
      </c>
      <c r="U1815" s="26">
        <v>46</v>
      </c>
      <c r="V1815" s="26">
        <v>1</v>
      </c>
      <c r="W1815" s="26"/>
    </row>
    <row r="1816" spans="1:23" x14ac:dyDescent="0.25">
      <c r="A1816" s="26" t="str">
        <f t="shared" si="296"/>
        <v>PRIMARIA</v>
      </c>
      <c r="B1816" s="26" t="str">
        <f>"09DPR3296J"</f>
        <v>09DPR3296J</v>
      </c>
      <c r="C1816" s="26" t="str">
        <f>"MANUEL RIVERA CAMBAS                                                                                "</f>
        <v xml:space="preserve">MANUEL RIVERA CAMBAS                                                                                </v>
      </c>
      <c r="D1816" s="26" t="str">
        <f>"MATUTINO"</f>
        <v>MATUTINO</v>
      </c>
      <c r="E1816" s="26" t="str">
        <f>"TRIGO Y CENTENO NO. 8                                                           "</f>
        <v xml:space="preserve">TRIGO Y CENTENO NO. 8                                                           </v>
      </c>
      <c r="F1816" s="26" t="str">
        <f>"TENORIOS                                                                                                                                    "</f>
        <v xml:space="preserve">TENORIOS                                                                                                                                    </v>
      </c>
      <c r="G1816" s="26" t="str">
        <f t="shared" si="299"/>
        <v xml:space="preserve">IZTAPALAPA                                                                      </v>
      </c>
      <c r="H1816" s="26" t="str">
        <f>"062"</f>
        <v>062</v>
      </c>
      <c r="I1816" s="26" t="str">
        <f t="shared" si="297"/>
        <v>00</v>
      </c>
      <c r="J1816" s="26" t="str">
        <f>"64 "</f>
        <v xml:space="preserve">64 </v>
      </c>
      <c r="K1816" s="26" t="str">
        <f t="shared" si="300"/>
        <v>IZ</v>
      </c>
      <c r="L1816" s="26" t="str">
        <f t="shared" si="301"/>
        <v>DGSEI</v>
      </c>
      <c r="M1816" s="26" t="str">
        <f t="shared" si="298"/>
        <v>FEDERAL</v>
      </c>
      <c r="N1816" s="26">
        <v>653</v>
      </c>
      <c r="O1816" s="26">
        <v>329</v>
      </c>
      <c r="P1816" s="26">
        <v>324</v>
      </c>
      <c r="Q1816" s="26">
        <v>18</v>
      </c>
      <c r="R1816" s="26">
        <v>1</v>
      </c>
      <c r="S1816" s="26">
        <v>18</v>
      </c>
      <c r="T1816" s="26">
        <v>6</v>
      </c>
      <c r="U1816" s="26">
        <v>25</v>
      </c>
      <c r="V1816" s="26">
        <v>1</v>
      </c>
      <c r="W1816" s="26"/>
    </row>
    <row r="1817" spans="1:23" x14ac:dyDescent="0.25">
      <c r="A1817" s="26" t="str">
        <f t="shared" si="296"/>
        <v>PRIMARIA</v>
      </c>
      <c r="B1817" s="26" t="str">
        <f>"09DPR3297I"</f>
        <v>09DPR3297I</v>
      </c>
      <c r="C1817" s="26" t="str">
        <f>"MANUEL RIVERA CAMBAS                                                                                "</f>
        <v xml:space="preserve">MANUEL RIVERA CAMBAS                                                                                </v>
      </c>
      <c r="D1817" s="26" t="str">
        <f>"VESPERTINO"</f>
        <v>VESPERTINO</v>
      </c>
      <c r="E1817" s="26" t="str">
        <f>"TRIGO Y CENTENO NO. 8                                                           "</f>
        <v xml:space="preserve">TRIGO Y CENTENO NO. 8                                                           </v>
      </c>
      <c r="F1817" s="26" t="str">
        <f>"TENORIOS                                                                                                                                    "</f>
        <v xml:space="preserve">TENORIOS                                                                                                                                    </v>
      </c>
      <c r="G1817" s="26" t="str">
        <f t="shared" si="299"/>
        <v xml:space="preserve">IZTAPALAPA                                                                      </v>
      </c>
      <c r="H1817" s="26" t="str">
        <f>"062"</f>
        <v>062</v>
      </c>
      <c r="I1817" s="26" t="str">
        <f t="shared" si="297"/>
        <v>00</v>
      </c>
      <c r="J1817" s="26" t="str">
        <f>"64 "</f>
        <v xml:space="preserve">64 </v>
      </c>
      <c r="K1817" s="26" t="str">
        <f t="shared" si="300"/>
        <v>IZ</v>
      </c>
      <c r="L1817" s="26" t="str">
        <f t="shared" si="301"/>
        <v>DGSEI</v>
      </c>
      <c r="M1817" s="26" t="str">
        <f t="shared" si="298"/>
        <v>FEDERAL</v>
      </c>
      <c r="N1817" s="26">
        <v>498</v>
      </c>
      <c r="O1817" s="26">
        <v>249</v>
      </c>
      <c r="P1817" s="26">
        <v>249</v>
      </c>
      <c r="Q1817" s="26">
        <v>18</v>
      </c>
      <c r="R1817" s="26">
        <v>0</v>
      </c>
      <c r="S1817" s="26">
        <v>15</v>
      </c>
      <c r="T1817" s="26">
        <v>5</v>
      </c>
      <c r="U1817" s="26">
        <v>20</v>
      </c>
      <c r="V1817" s="26">
        <v>1</v>
      </c>
      <c r="W1817" s="26"/>
    </row>
    <row r="1818" spans="1:23" x14ac:dyDescent="0.25">
      <c r="A1818" s="26" t="str">
        <f t="shared" si="296"/>
        <v>PRIMARIA</v>
      </c>
      <c r="B1818" s="26" t="str">
        <f>"09DPR3298H"</f>
        <v>09DPR3298H</v>
      </c>
      <c r="C1818" s="26" t="str">
        <f>"PROFRA. MARIA HAZAS VARGAS                                                                          "</f>
        <v xml:space="preserve">PROFRA. MARIA HAZAS VARGAS                                                                          </v>
      </c>
      <c r="D1818" s="26" t="str">
        <f>"MATUTINO"</f>
        <v>MATUTINO</v>
      </c>
      <c r="E1818" s="26" t="str">
        <f>"PIPILA NO. 2 Y AV. DE LAS TORRES                                                "</f>
        <v xml:space="preserve">PIPILA NO. 2 Y AV. DE LAS TORRES                                                </v>
      </c>
      <c r="F1818" s="26" t="str">
        <f>"SAN MIGUEL TEOTONGO                                                                                                                         "</f>
        <v xml:space="preserve">SAN MIGUEL TEOTONGO                                                                                                                         </v>
      </c>
      <c r="G1818" s="26" t="str">
        <f t="shared" si="299"/>
        <v xml:space="preserve">IZTAPALAPA                                                                      </v>
      </c>
      <c r="H1818" s="26" t="str">
        <f>"066"</f>
        <v>066</v>
      </c>
      <c r="I1818" s="26" t="str">
        <f t="shared" si="297"/>
        <v>00</v>
      </c>
      <c r="J1818" s="26" t="str">
        <f>"64 "</f>
        <v xml:space="preserve">64 </v>
      </c>
      <c r="K1818" s="26" t="str">
        <f t="shared" si="300"/>
        <v>IZ</v>
      </c>
      <c r="L1818" s="26" t="str">
        <f t="shared" si="301"/>
        <v>DGSEI</v>
      </c>
      <c r="M1818" s="26" t="str">
        <f t="shared" si="298"/>
        <v>FEDERAL</v>
      </c>
      <c r="N1818" s="26">
        <v>408</v>
      </c>
      <c r="O1818" s="26">
        <v>207</v>
      </c>
      <c r="P1818" s="26">
        <v>201</v>
      </c>
      <c r="Q1818" s="26">
        <v>12</v>
      </c>
      <c r="R1818" s="26">
        <v>1</v>
      </c>
      <c r="S1818" s="26">
        <v>12</v>
      </c>
      <c r="T1818" s="26">
        <v>5</v>
      </c>
      <c r="U1818" s="26">
        <v>18</v>
      </c>
      <c r="V1818" s="26">
        <v>1</v>
      </c>
      <c r="W1818" s="26"/>
    </row>
    <row r="1819" spans="1:23" x14ac:dyDescent="0.25">
      <c r="A1819" s="26" t="str">
        <f t="shared" si="296"/>
        <v>PRIMARIA</v>
      </c>
      <c r="B1819" s="26" t="str">
        <f>"09DPR3299G"</f>
        <v>09DPR3299G</v>
      </c>
      <c r="C1819" s="26" t="str">
        <f>"PROFRA. MARIA HAZAS VARGAS                                                                          "</f>
        <v xml:space="preserve">PROFRA. MARIA HAZAS VARGAS                                                                          </v>
      </c>
      <c r="D1819" s="26" t="str">
        <f>"VESPERTINO"</f>
        <v>VESPERTINO</v>
      </c>
      <c r="E1819" s="26" t="str">
        <f>"PIPILA NO. 2 Y AV.DE LAS TORRES                                                 "</f>
        <v xml:space="preserve">PIPILA NO. 2 Y AV.DE LAS TORRES                                                 </v>
      </c>
      <c r="F1819" s="26" t="str">
        <f>"SAN MIGUEL TEOTONGO                                                                                                                         "</f>
        <v xml:space="preserve">SAN MIGUEL TEOTONGO                                                                                                                         </v>
      </c>
      <c r="G1819" s="26" t="str">
        <f t="shared" si="299"/>
        <v xml:space="preserve">IZTAPALAPA                                                                      </v>
      </c>
      <c r="H1819" s="26" t="str">
        <f>"066"</f>
        <v>066</v>
      </c>
      <c r="I1819" s="26" t="str">
        <f t="shared" si="297"/>
        <v>00</v>
      </c>
      <c r="J1819" s="26" t="str">
        <f>"64 "</f>
        <v xml:space="preserve">64 </v>
      </c>
      <c r="K1819" s="26" t="str">
        <f t="shared" si="300"/>
        <v>IZ</v>
      </c>
      <c r="L1819" s="26" t="str">
        <f t="shared" si="301"/>
        <v>DGSEI</v>
      </c>
      <c r="M1819" s="26" t="str">
        <f t="shared" si="298"/>
        <v>FEDERAL</v>
      </c>
      <c r="N1819" s="26">
        <v>356</v>
      </c>
      <c r="O1819" s="26">
        <v>185</v>
      </c>
      <c r="P1819" s="26">
        <v>171</v>
      </c>
      <c r="Q1819" s="26">
        <v>12</v>
      </c>
      <c r="R1819" s="26">
        <v>1</v>
      </c>
      <c r="S1819" s="26">
        <v>12</v>
      </c>
      <c r="T1819" s="26">
        <v>6</v>
      </c>
      <c r="U1819" s="26">
        <v>19</v>
      </c>
      <c r="V1819" s="26">
        <v>1</v>
      </c>
      <c r="W1819" s="26"/>
    </row>
    <row r="1820" spans="1:23" x14ac:dyDescent="0.25">
      <c r="A1820" s="26" t="str">
        <f t="shared" si="296"/>
        <v>PRIMARIA</v>
      </c>
      <c r="B1820" s="26" t="str">
        <f>"09DPR3300F"</f>
        <v>09DPR3300F</v>
      </c>
      <c r="C1820" s="26" t="str">
        <f>"PROFR. MANUEL ALCALA MARTIN                                                                         "</f>
        <v xml:space="preserve">PROFR. MANUEL ALCALA MARTIN                                                                         </v>
      </c>
      <c r="D1820" s="26" t="str">
        <f>"VESPERTINO"</f>
        <v>VESPERTINO</v>
      </c>
      <c r="E1820" s="26" t="str">
        <f>"FELIPE MONTERO NO. 3                                                            "</f>
        <v xml:space="preserve">FELIPE MONTERO NO. 3                                                            </v>
      </c>
      <c r="F1820" s="26" t="str">
        <f>"PARAJE SAN JUAN                                                                                                                             "</f>
        <v xml:space="preserve">PARAJE SAN JUAN                                                                                                                             </v>
      </c>
      <c r="G1820" s="26" t="str">
        <f t="shared" si="299"/>
        <v xml:space="preserve">IZTAPALAPA                                                                      </v>
      </c>
      <c r="H1820" s="26" t="str">
        <f>"046"</f>
        <v>046</v>
      </c>
      <c r="I1820" s="26" t="str">
        <f t="shared" si="297"/>
        <v>00</v>
      </c>
      <c r="J1820" s="26" t="str">
        <f>"63 "</f>
        <v xml:space="preserve">63 </v>
      </c>
      <c r="K1820" s="26" t="str">
        <f t="shared" si="300"/>
        <v>IZ</v>
      </c>
      <c r="L1820" s="26" t="str">
        <f t="shared" si="301"/>
        <v>DGSEI</v>
      </c>
      <c r="M1820" s="26" t="str">
        <f t="shared" si="298"/>
        <v>FEDERAL</v>
      </c>
      <c r="N1820" s="26">
        <v>196</v>
      </c>
      <c r="O1820" s="26">
        <v>107</v>
      </c>
      <c r="P1820" s="26">
        <v>89</v>
      </c>
      <c r="Q1820" s="26">
        <v>10</v>
      </c>
      <c r="R1820" s="26">
        <v>1</v>
      </c>
      <c r="S1820" s="26">
        <v>9</v>
      </c>
      <c r="T1820" s="26">
        <v>5</v>
      </c>
      <c r="U1820" s="26">
        <v>15</v>
      </c>
      <c r="V1820" s="26">
        <v>1</v>
      </c>
      <c r="W1820" s="26"/>
    </row>
    <row r="1821" spans="1:23" x14ac:dyDescent="0.25">
      <c r="A1821" s="26" t="str">
        <f t="shared" si="296"/>
        <v>PRIMARIA</v>
      </c>
      <c r="B1821" s="26" t="str">
        <f>"09DPR4000P"</f>
        <v>09DPR4000P</v>
      </c>
      <c r="C1821" s="26" t="str">
        <f>"PROFR. FELIPE LOPEZ                                                                                 "</f>
        <v xml:space="preserve">PROFR. FELIPE LOPEZ                                                                                 </v>
      </c>
      <c r="D1821" s="26" t="str">
        <f>"MATUTINO"</f>
        <v>MATUTINO</v>
      </c>
      <c r="E1821" s="26" t="str">
        <f>"2DA. CDA. DE MARGARITAS NO. 11                                                  "</f>
        <v xml:space="preserve">2DA. CDA. DE MARGARITAS NO. 11                                                  </v>
      </c>
      <c r="F1821" s="26" t="str">
        <f>"PALMITAS                                                                                                                                    "</f>
        <v xml:space="preserve">PALMITAS                                                                                                                                    </v>
      </c>
      <c r="G1821" s="26" t="str">
        <f t="shared" si="299"/>
        <v xml:space="preserve">IZTAPALAPA                                                                      </v>
      </c>
      <c r="H1821" s="26" t="str">
        <f>"060"</f>
        <v>060</v>
      </c>
      <c r="I1821" s="26" t="str">
        <f t="shared" si="297"/>
        <v>00</v>
      </c>
      <c r="J1821" s="26" t="str">
        <f>"64 "</f>
        <v xml:space="preserve">64 </v>
      </c>
      <c r="K1821" s="26" t="str">
        <f t="shared" si="300"/>
        <v>IZ</v>
      </c>
      <c r="L1821" s="26" t="str">
        <f t="shared" si="301"/>
        <v>DGSEI</v>
      </c>
      <c r="M1821" s="26" t="str">
        <f t="shared" si="298"/>
        <v>FEDERAL</v>
      </c>
      <c r="N1821" s="26">
        <v>457</v>
      </c>
      <c r="O1821" s="26">
        <v>236</v>
      </c>
      <c r="P1821" s="26">
        <v>221</v>
      </c>
      <c r="Q1821" s="26">
        <v>15</v>
      </c>
      <c r="R1821" s="26">
        <v>1</v>
      </c>
      <c r="S1821" s="26">
        <v>15</v>
      </c>
      <c r="T1821" s="26">
        <v>5</v>
      </c>
      <c r="U1821" s="26">
        <v>21</v>
      </c>
      <c r="V1821" s="26">
        <v>1</v>
      </c>
      <c r="W1821" s="26"/>
    </row>
    <row r="1822" spans="1:23" x14ac:dyDescent="0.25">
      <c r="A1822" s="26" t="str">
        <f t="shared" si="296"/>
        <v>PRIMARIA</v>
      </c>
      <c r="B1822" s="26" t="str">
        <f>"09DPR4001O"</f>
        <v>09DPR4001O</v>
      </c>
      <c r="C1822" s="26" t="str">
        <f>"PROFR. FELIPE LOPEZ                                                                                 "</f>
        <v xml:space="preserve">PROFR. FELIPE LOPEZ                                                                                 </v>
      </c>
      <c r="D1822" s="26" t="str">
        <f>"VESPERTINO"</f>
        <v>VESPERTINO</v>
      </c>
      <c r="E1822" s="26" t="str">
        <f>"2DA. CDA. DE MARGARITAS NO. 11                                                  "</f>
        <v xml:space="preserve">2DA. CDA. DE MARGARITAS NO. 11                                                  </v>
      </c>
      <c r="F1822" s="26" t="str">
        <f>"PALMITAS                                                                                                                                    "</f>
        <v xml:space="preserve">PALMITAS                                                                                                                                    </v>
      </c>
      <c r="G1822" s="26" t="str">
        <f t="shared" si="299"/>
        <v xml:space="preserve">IZTAPALAPA                                                                      </v>
      </c>
      <c r="H1822" s="26" t="str">
        <f>"060"</f>
        <v>060</v>
      </c>
      <c r="I1822" s="26" t="str">
        <f t="shared" si="297"/>
        <v>00</v>
      </c>
      <c r="J1822" s="26" t="str">
        <f>"64 "</f>
        <v xml:space="preserve">64 </v>
      </c>
      <c r="K1822" s="26" t="str">
        <f t="shared" si="300"/>
        <v>IZ</v>
      </c>
      <c r="L1822" s="26" t="str">
        <f t="shared" si="301"/>
        <v>DGSEI</v>
      </c>
      <c r="M1822" s="26" t="str">
        <f t="shared" si="298"/>
        <v>FEDERAL</v>
      </c>
      <c r="N1822" s="26">
        <v>303</v>
      </c>
      <c r="O1822" s="26">
        <v>169</v>
      </c>
      <c r="P1822" s="26">
        <v>134</v>
      </c>
      <c r="Q1822" s="26">
        <v>13</v>
      </c>
      <c r="R1822" s="26">
        <v>1</v>
      </c>
      <c r="S1822" s="26">
        <v>13</v>
      </c>
      <c r="T1822" s="26">
        <v>5</v>
      </c>
      <c r="U1822" s="26">
        <v>19</v>
      </c>
      <c r="V1822" s="26">
        <v>1</v>
      </c>
      <c r="W1822" s="26"/>
    </row>
    <row r="1823" spans="1:23" x14ac:dyDescent="0.25">
      <c r="A1823" s="26" t="str">
        <f t="shared" si="296"/>
        <v>PRIMARIA</v>
      </c>
      <c r="B1823" s="26" t="str">
        <f>"09DPR4002N"</f>
        <v>09DPR4002N</v>
      </c>
      <c r="C1823" s="26" t="str">
        <f>"LUIS PENICHE VALLADO                                                                                "</f>
        <v xml:space="preserve">LUIS PENICHE VALLADO                                                                                </v>
      </c>
      <c r="D1823" s="26" t="str">
        <f>"MATUTINO"</f>
        <v>MATUTINO</v>
      </c>
      <c r="E1823" s="26" t="str">
        <f>"AV CECILIO ACOSTA S/N                                                           "</f>
        <v xml:space="preserve">AV CECILIO ACOSTA S/N                                                           </v>
      </c>
      <c r="F1823" s="26" t="str">
        <f>"SANTIAGO ZAPOTITLAN                                                                                                                         "</f>
        <v xml:space="preserve">SANTIAGO ZAPOTITLAN                                                                                                                         </v>
      </c>
      <c r="G1823" s="26" t="str">
        <f>"TLAHUAC                                                                         "</f>
        <v xml:space="preserve">TLAHUAC                                                                         </v>
      </c>
      <c r="H1823" s="26" t="str">
        <f>"546"</f>
        <v>546</v>
      </c>
      <c r="I1823" s="26" t="str">
        <f t="shared" si="297"/>
        <v>00</v>
      </c>
      <c r="J1823" s="26" t="str">
        <f>"45 "</f>
        <v xml:space="preserve">45 </v>
      </c>
      <c r="K1823" s="26" t="str">
        <f t="shared" ref="K1823:K1834" si="302">"PR"</f>
        <v>PR</v>
      </c>
      <c r="L1823" s="26" t="str">
        <f t="shared" ref="L1823:L1834" si="303">"DGOSE"</f>
        <v>DGOSE</v>
      </c>
      <c r="M1823" s="26" t="str">
        <f t="shared" si="298"/>
        <v>FEDERAL</v>
      </c>
      <c r="N1823" s="26">
        <v>682</v>
      </c>
      <c r="O1823" s="26">
        <v>346</v>
      </c>
      <c r="P1823" s="26">
        <v>336</v>
      </c>
      <c r="Q1823" s="26">
        <v>18</v>
      </c>
      <c r="R1823" s="26">
        <v>1</v>
      </c>
      <c r="S1823" s="26">
        <v>17</v>
      </c>
      <c r="T1823" s="26">
        <v>8</v>
      </c>
      <c r="U1823" s="26">
        <v>26</v>
      </c>
      <c r="V1823" s="26">
        <v>1</v>
      </c>
      <c r="W1823" s="26"/>
    </row>
    <row r="1824" spans="1:23" x14ac:dyDescent="0.25">
      <c r="A1824" s="26" t="str">
        <f t="shared" si="296"/>
        <v>PRIMARIA</v>
      </c>
      <c r="B1824" s="26" t="str">
        <f>"09DPR4003M"</f>
        <v>09DPR4003M</v>
      </c>
      <c r="C1824" s="26" t="str">
        <f>"LUIS PENICHE VALLADO                                                                                "</f>
        <v xml:space="preserve">LUIS PENICHE VALLADO                                                                                </v>
      </c>
      <c r="D1824" s="26" t="str">
        <f>"VESPERTINO"</f>
        <v>VESPERTINO</v>
      </c>
      <c r="E1824" s="26" t="str">
        <f>"AV CECILIO ACOSTA S/N                                                           "</f>
        <v xml:space="preserve">AV CECILIO ACOSTA S/N                                                           </v>
      </c>
      <c r="F1824" s="26" t="str">
        <f>"SANTIAGO ZAPOTITLAN                                                                                                                         "</f>
        <v xml:space="preserve">SANTIAGO ZAPOTITLAN                                                                                                                         </v>
      </c>
      <c r="G1824" s="26" t="str">
        <f>"TLAHUAC                                                                         "</f>
        <v xml:space="preserve">TLAHUAC                                                                         </v>
      </c>
      <c r="H1824" s="26" t="str">
        <f>"546"</f>
        <v>546</v>
      </c>
      <c r="I1824" s="26" t="str">
        <f t="shared" si="297"/>
        <v>00</v>
      </c>
      <c r="J1824" s="26" t="str">
        <f>"45 "</f>
        <v xml:space="preserve">45 </v>
      </c>
      <c r="K1824" s="26" t="str">
        <f t="shared" si="302"/>
        <v>PR</v>
      </c>
      <c r="L1824" s="26" t="str">
        <f t="shared" si="303"/>
        <v>DGOSE</v>
      </c>
      <c r="M1824" s="26" t="str">
        <f t="shared" si="298"/>
        <v>FEDERAL</v>
      </c>
      <c r="N1824" s="26">
        <v>558</v>
      </c>
      <c r="O1824" s="26">
        <v>287</v>
      </c>
      <c r="P1824" s="26">
        <v>271</v>
      </c>
      <c r="Q1824" s="26">
        <v>18</v>
      </c>
      <c r="R1824" s="26">
        <v>1</v>
      </c>
      <c r="S1824" s="26">
        <v>18</v>
      </c>
      <c r="T1824" s="26">
        <v>6</v>
      </c>
      <c r="U1824" s="26">
        <v>25</v>
      </c>
      <c r="V1824" s="26">
        <v>1</v>
      </c>
      <c r="W1824" s="26"/>
    </row>
    <row r="1825" spans="1:23" x14ac:dyDescent="0.25">
      <c r="A1825" s="26" t="str">
        <f t="shared" si="296"/>
        <v>PRIMARIA</v>
      </c>
      <c r="B1825" s="26" t="str">
        <f>"09DPR4005K"</f>
        <v>09DPR4005K</v>
      </c>
      <c r="C1825" s="26" t="str">
        <f>"JUAN RULFO                                                                                          "</f>
        <v xml:space="preserve">JUAN RULFO                                                                                          </v>
      </c>
      <c r="D1825" s="26" t="str">
        <f>"MATUTINO"</f>
        <v>MATUTINO</v>
      </c>
      <c r="E1825" s="26" t="str">
        <f>"CARRETERA TENAYUCA CHALMITA 20                                                  "</f>
        <v xml:space="preserve">CARRETERA TENAYUCA CHALMITA 20                                                  </v>
      </c>
      <c r="F1825" s="26" t="str">
        <f>"UNIDAD HABITACIONAL EL ARBOLILLO  2                                                                                                         "</f>
        <v xml:space="preserve">UNIDAD HABITACIONAL EL ARBOLILLO  2                                                                                                         </v>
      </c>
      <c r="G1825" s="26" t="str">
        <f>"GUSTAVO A. MADERO                                                               "</f>
        <v xml:space="preserve">GUSTAVO A. MADERO                                                               </v>
      </c>
      <c r="H1825" s="26" t="str">
        <f>"234"</f>
        <v>234</v>
      </c>
      <c r="I1825" s="26" t="str">
        <f t="shared" si="297"/>
        <v>00</v>
      </c>
      <c r="J1825" s="26" t="str">
        <f>"42 "</f>
        <v xml:space="preserve">42 </v>
      </c>
      <c r="K1825" s="26" t="str">
        <f t="shared" si="302"/>
        <v>PR</v>
      </c>
      <c r="L1825" s="26" t="str">
        <f t="shared" si="303"/>
        <v>DGOSE</v>
      </c>
      <c r="M1825" s="26" t="str">
        <f t="shared" si="298"/>
        <v>FEDERAL</v>
      </c>
      <c r="N1825" s="26">
        <v>528</v>
      </c>
      <c r="O1825" s="26">
        <v>251</v>
      </c>
      <c r="P1825" s="26">
        <v>277</v>
      </c>
      <c r="Q1825" s="26">
        <v>17</v>
      </c>
      <c r="R1825" s="26">
        <v>1</v>
      </c>
      <c r="S1825" s="26">
        <v>17</v>
      </c>
      <c r="T1825" s="26">
        <v>10</v>
      </c>
      <c r="U1825" s="26">
        <v>28</v>
      </c>
      <c r="V1825" s="26">
        <v>1</v>
      </c>
      <c r="W1825" s="26"/>
    </row>
    <row r="1826" spans="1:23" x14ac:dyDescent="0.25">
      <c r="A1826" s="26" t="str">
        <f t="shared" si="296"/>
        <v>PRIMARIA</v>
      </c>
      <c r="B1826" s="26" t="str">
        <f>"09DPR4006J"</f>
        <v>09DPR4006J</v>
      </c>
      <c r="C1826" s="26" t="str">
        <f>"INDIRA GANDHI                                                                                       "</f>
        <v xml:space="preserve">INDIRA GANDHI                                                                                       </v>
      </c>
      <c r="D1826" s="26" t="str">
        <f>"VESPERTINO"</f>
        <v>VESPERTINO</v>
      </c>
      <c r="E1826" s="26" t="str">
        <f>"YUCALPETEN NUM. 197                                                             "</f>
        <v xml:space="preserve">YUCALPETEN NUM. 197                                                             </v>
      </c>
      <c r="F1826" s="26" t="str">
        <f>"HEROES DE PADIERNA                                                                                                                          "</f>
        <v xml:space="preserve">HEROES DE PADIERNA                                                                                                                          </v>
      </c>
      <c r="G1826" s="26" t="str">
        <f>"TLALPAN                                                                         "</f>
        <v xml:space="preserve">TLALPAN                                                                         </v>
      </c>
      <c r="H1826" s="26" t="str">
        <f>"513"</f>
        <v>513</v>
      </c>
      <c r="I1826" s="26" t="str">
        <f t="shared" si="297"/>
        <v>00</v>
      </c>
      <c r="J1826" s="26" t="str">
        <f>"45 "</f>
        <v xml:space="preserve">45 </v>
      </c>
      <c r="K1826" s="26" t="str">
        <f t="shared" si="302"/>
        <v>PR</v>
      </c>
      <c r="L1826" s="26" t="str">
        <f t="shared" si="303"/>
        <v>DGOSE</v>
      </c>
      <c r="M1826" s="26" t="str">
        <f t="shared" si="298"/>
        <v>FEDERAL</v>
      </c>
      <c r="N1826" s="26">
        <v>400</v>
      </c>
      <c r="O1826" s="26">
        <v>217</v>
      </c>
      <c r="P1826" s="26">
        <v>183</v>
      </c>
      <c r="Q1826" s="26">
        <v>13</v>
      </c>
      <c r="R1826" s="26">
        <v>1</v>
      </c>
      <c r="S1826" s="26">
        <v>13</v>
      </c>
      <c r="T1826" s="26">
        <v>7</v>
      </c>
      <c r="U1826" s="26">
        <v>21</v>
      </c>
      <c r="V1826" s="26">
        <v>1</v>
      </c>
      <c r="W1826" s="26"/>
    </row>
    <row r="1827" spans="1:23" x14ac:dyDescent="0.25">
      <c r="A1827" s="26" t="str">
        <f t="shared" si="296"/>
        <v>PRIMARIA</v>
      </c>
      <c r="B1827" s="26" t="str">
        <f>"09DPR4007I"</f>
        <v>09DPR4007I</v>
      </c>
      <c r="C1827" s="26" t="str">
        <f>"PROFRA. CONCEPCION TARAZAGA COLOMER                                                                 "</f>
        <v xml:space="preserve">PROFRA. CONCEPCION TARAZAGA COLOMER                                                                 </v>
      </c>
      <c r="D1827" s="26" t="str">
        <f>"VESPERTINO"</f>
        <v>VESPERTINO</v>
      </c>
      <c r="E1827" s="26" t="str">
        <f>"CAMINO REAL DE CHICHICASPA Y C 8                                                "</f>
        <v xml:space="preserve">CAMINO REAL DE CHICHICASPA Y C 8                                                </v>
      </c>
      <c r="F1827" s="26" t="str">
        <f>"PEDREGAL DE SAN NICOLAS                                                                                                                     "</f>
        <v xml:space="preserve">PEDREGAL DE SAN NICOLAS                                                                                                                     </v>
      </c>
      <c r="G1827" s="26" t="str">
        <f>"TLALPAN                                                                         "</f>
        <v xml:space="preserve">TLALPAN                                                                         </v>
      </c>
      <c r="H1827" s="26" t="str">
        <f>"514"</f>
        <v>514</v>
      </c>
      <c r="I1827" s="26" t="str">
        <f t="shared" si="297"/>
        <v>00</v>
      </c>
      <c r="J1827" s="26" t="str">
        <f>"45 "</f>
        <v xml:space="preserve">45 </v>
      </c>
      <c r="K1827" s="26" t="str">
        <f t="shared" si="302"/>
        <v>PR</v>
      </c>
      <c r="L1827" s="26" t="str">
        <f t="shared" si="303"/>
        <v>DGOSE</v>
      </c>
      <c r="M1827" s="26" t="str">
        <f t="shared" si="298"/>
        <v>FEDERAL</v>
      </c>
      <c r="N1827" s="26">
        <v>344</v>
      </c>
      <c r="O1827" s="26">
        <v>178</v>
      </c>
      <c r="P1827" s="26">
        <v>166</v>
      </c>
      <c r="Q1827" s="26">
        <v>14</v>
      </c>
      <c r="R1827" s="26">
        <v>1</v>
      </c>
      <c r="S1827" s="26">
        <v>14</v>
      </c>
      <c r="T1827" s="26">
        <v>5</v>
      </c>
      <c r="U1827" s="26">
        <v>20</v>
      </c>
      <c r="V1827" s="26">
        <v>1</v>
      </c>
      <c r="W1827" s="26"/>
    </row>
    <row r="1828" spans="1:23" x14ac:dyDescent="0.25">
      <c r="A1828" s="26" t="str">
        <f t="shared" si="296"/>
        <v>PRIMARIA</v>
      </c>
      <c r="B1828" s="26" t="str">
        <f>"09DPR4008H"</f>
        <v>09DPR4008H</v>
      </c>
      <c r="C1828" s="26" t="str">
        <f>"PROFRA. CONCEPCION TARAZAGA COLOMER                                                                 "</f>
        <v xml:space="preserve">PROFRA. CONCEPCION TARAZAGA COLOMER                                                                 </v>
      </c>
      <c r="D1828" s="26" t="str">
        <f>"MATUTINO"</f>
        <v>MATUTINO</v>
      </c>
      <c r="E1828" s="26" t="str">
        <f>"CAMINO REAL DE CHICHICASPA Y CALLE 8                                            "</f>
        <v xml:space="preserve">CAMINO REAL DE CHICHICASPA Y CALLE 8                                            </v>
      </c>
      <c r="F1828" s="26" t="str">
        <f>"PEDREGAL DE SAN NICOLAS                                                                                                                     "</f>
        <v xml:space="preserve">PEDREGAL DE SAN NICOLAS                                                                                                                     </v>
      </c>
      <c r="G1828" s="26" t="str">
        <f>"TLALPAN                                                                         "</f>
        <v xml:space="preserve">TLALPAN                                                                         </v>
      </c>
      <c r="H1828" s="26" t="str">
        <f>"514"</f>
        <v>514</v>
      </c>
      <c r="I1828" s="26" t="str">
        <f t="shared" si="297"/>
        <v>00</v>
      </c>
      <c r="J1828" s="26" t="str">
        <f>"45 "</f>
        <v xml:space="preserve">45 </v>
      </c>
      <c r="K1828" s="26" t="str">
        <f t="shared" si="302"/>
        <v>PR</v>
      </c>
      <c r="L1828" s="26" t="str">
        <f t="shared" si="303"/>
        <v>DGOSE</v>
      </c>
      <c r="M1828" s="26" t="str">
        <f t="shared" si="298"/>
        <v>FEDERAL</v>
      </c>
      <c r="N1828" s="26">
        <v>452</v>
      </c>
      <c r="O1828" s="26">
        <v>237</v>
      </c>
      <c r="P1828" s="26">
        <v>215</v>
      </c>
      <c r="Q1828" s="26">
        <v>14</v>
      </c>
      <c r="R1828" s="26">
        <v>1</v>
      </c>
      <c r="S1828" s="26">
        <v>13</v>
      </c>
      <c r="T1828" s="26">
        <v>6</v>
      </c>
      <c r="U1828" s="26">
        <v>20</v>
      </c>
      <c r="V1828" s="26">
        <v>1</v>
      </c>
      <c r="W1828" s="26"/>
    </row>
    <row r="1829" spans="1:23" x14ac:dyDescent="0.25">
      <c r="A1829" s="26" t="str">
        <f t="shared" si="296"/>
        <v>PRIMARIA</v>
      </c>
      <c r="B1829" s="26" t="str">
        <f>"09DPR4009G"</f>
        <v>09DPR4009G</v>
      </c>
      <c r="C1829" s="26" t="str">
        <f>"CARLOS ALVARADO LANG                                                                                "</f>
        <v xml:space="preserve">CARLOS ALVARADO LANG                                                                                </v>
      </c>
      <c r="D1829" s="26" t="str">
        <f>"TIEMPO COMPLETO"</f>
        <v>TIEMPO COMPLETO</v>
      </c>
      <c r="E1829" s="26" t="str">
        <f>"ANDADOR URANO S/N                                                               "</f>
        <v xml:space="preserve">ANDADOR URANO S/N                                                               </v>
      </c>
      <c r="F1829" s="26" t="str">
        <f>"EL CUERNITO REACOMODO                                                                                                                       "</f>
        <v xml:space="preserve">EL CUERNITO REACOMODO                                                                                                                       </v>
      </c>
      <c r="G1829" s="26" t="str">
        <f>"ALVARO OBREGON                                                                  "</f>
        <v xml:space="preserve">ALVARO OBREGON                                                                  </v>
      </c>
      <c r="H1829" s="26" t="str">
        <f>"402"</f>
        <v>402</v>
      </c>
      <c r="I1829" s="26" t="str">
        <f t="shared" si="297"/>
        <v>00</v>
      </c>
      <c r="J1829" s="26" t="str">
        <f>"44 "</f>
        <v xml:space="preserve">44 </v>
      </c>
      <c r="K1829" s="26" t="str">
        <f t="shared" si="302"/>
        <v>PR</v>
      </c>
      <c r="L1829" s="26" t="str">
        <f t="shared" si="303"/>
        <v>DGOSE</v>
      </c>
      <c r="M1829" s="26" t="str">
        <f t="shared" si="298"/>
        <v>FEDERAL</v>
      </c>
      <c r="N1829" s="26">
        <v>559</v>
      </c>
      <c r="O1829" s="26">
        <v>305</v>
      </c>
      <c r="P1829" s="26">
        <v>254</v>
      </c>
      <c r="Q1829" s="26">
        <v>18</v>
      </c>
      <c r="R1829" s="26">
        <v>1</v>
      </c>
      <c r="S1829" s="26">
        <v>18</v>
      </c>
      <c r="T1829" s="26">
        <v>14</v>
      </c>
      <c r="U1829" s="26">
        <v>33</v>
      </c>
      <c r="V1829" s="26">
        <v>1</v>
      </c>
      <c r="W1829" s="26" t="s">
        <v>218</v>
      </c>
    </row>
    <row r="1830" spans="1:23" x14ac:dyDescent="0.25">
      <c r="A1830" s="26" t="str">
        <f t="shared" si="296"/>
        <v>PRIMARIA</v>
      </c>
      <c r="B1830" s="26" t="str">
        <f>"09DPR4010W"</f>
        <v>09DPR4010W</v>
      </c>
      <c r="C1830" s="26" t="str">
        <f>"KYOTO                                                                                               "</f>
        <v xml:space="preserve">KYOTO                                                                                               </v>
      </c>
      <c r="D1830" s="26" t="str">
        <f>"JORNADA AMPLIADA"</f>
        <v>JORNADA AMPLIADA</v>
      </c>
      <c r="E1830" s="26" t="str">
        <f>"TOTONACAS  S/N                                                                  "</f>
        <v xml:space="preserve">TOTONACAS  S/N                                                                  </v>
      </c>
      <c r="F1830" s="26" t="str">
        <f>"TEZOZOMOC                                                                                                                                   "</f>
        <v xml:space="preserve">TEZOZOMOC                                                                                                                                   </v>
      </c>
      <c r="G1830" s="26" t="str">
        <f>"AZCAPOTZALCO                                                                    "</f>
        <v xml:space="preserve">AZCAPOTZALCO                                                                    </v>
      </c>
      <c r="H1830" s="26" t="str">
        <f>"102"</f>
        <v>102</v>
      </c>
      <c r="I1830" s="26" t="str">
        <f t="shared" si="297"/>
        <v>00</v>
      </c>
      <c r="J1830" s="26" t="str">
        <f>"41 "</f>
        <v xml:space="preserve">41 </v>
      </c>
      <c r="K1830" s="26" t="str">
        <f t="shared" si="302"/>
        <v>PR</v>
      </c>
      <c r="L1830" s="26" t="str">
        <f t="shared" si="303"/>
        <v>DGOSE</v>
      </c>
      <c r="M1830" s="26" t="str">
        <f t="shared" si="298"/>
        <v>FEDERAL</v>
      </c>
      <c r="N1830" s="26">
        <v>192</v>
      </c>
      <c r="O1830" s="26">
        <v>108</v>
      </c>
      <c r="P1830" s="26">
        <v>84</v>
      </c>
      <c r="Q1830" s="26">
        <v>6</v>
      </c>
      <c r="R1830" s="26">
        <v>1</v>
      </c>
      <c r="S1830" s="26">
        <v>6</v>
      </c>
      <c r="T1830" s="26">
        <v>8</v>
      </c>
      <c r="U1830" s="26">
        <v>15</v>
      </c>
      <c r="V1830" s="26">
        <v>1</v>
      </c>
      <c r="W1830" s="26" t="s">
        <v>2076</v>
      </c>
    </row>
    <row r="1831" spans="1:23" x14ac:dyDescent="0.25">
      <c r="A1831" s="26" t="str">
        <f t="shared" si="296"/>
        <v>PRIMARIA</v>
      </c>
      <c r="B1831" s="26" t="str">
        <f>"09DPR4013T"</f>
        <v>09DPR4013T</v>
      </c>
      <c r="C1831" s="26" t="str">
        <f>"JOSE INES NOVELO                                                                                    "</f>
        <v xml:space="preserve">JOSE INES NOVELO                                                                                    </v>
      </c>
      <c r="D1831" s="26" t="str">
        <f>"VESPERTINO"</f>
        <v>VESPERTINO</v>
      </c>
      <c r="E1831" s="26" t="str">
        <f>"1A CERRADA PTO MAZATLAN S/N                                                     "</f>
        <v xml:space="preserve">1A CERRADA PTO MAZATLAN S/N                                                     </v>
      </c>
      <c r="F1831" s="26" t="str">
        <f>"PILOTO ADOLFO LOPEZ MATEOS                                                                                                                  "</f>
        <v xml:space="preserve">PILOTO ADOLFO LOPEZ MATEOS                                                                                                                  </v>
      </c>
      <c r="G1831" s="26" t="str">
        <f>"ALVARO OBREGON                                                                  "</f>
        <v xml:space="preserve">ALVARO OBREGON                                                                  </v>
      </c>
      <c r="H1831" s="26" t="str">
        <f>"315"</f>
        <v>315</v>
      </c>
      <c r="I1831" s="26" t="str">
        <f t="shared" si="297"/>
        <v>00</v>
      </c>
      <c r="J1831" s="26" t="str">
        <f>"43 "</f>
        <v xml:space="preserve">43 </v>
      </c>
      <c r="K1831" s="26" t="str">
        <f t="shared" si="302"/>
        <v>PR</v>
      </c>
      <c r="L1831" s="26" t="str">
        <f t="shared" si="303"/>
        <v>DGOSE</v>
      </c>
      <c r="M1831" s="26" t="str">
        <f t="shared" si="298"/>
        <v>FEDERAL</v>
      </c>
      <c r="N1831" s="26">
        <v>352</v>
      </c>
      <c r="O1831" s="26">
        <v>183</v>
      </c>
      <c r="P1831" s="26">
        <v>169</v>
      </c>
      <c r="Q1831" s="26">
        <v>12</v>
      </c>
      <c r="R1831" s="26">
        <v>1</v>
      </c>
      <c r="S1831" s="26">
        <v>12</v>
      </c>
      <c r="T1831" s="26">
        <v>4</v>
      </c>
      <c r="U1831" s="26">
        <v>17</v>
      </c>
      <c r="V1831" s="26">
        <v>1</v>
      </c>
      <c r="W1831" s="26"/>
    </row>
    <row r="1832" spans="1:23" x14ac:dyDescent="0.25">
      <c r="A1832" s="26" t="str">
        <f t="shared" si="296"/>
        <v>PRIMARIA</v>
      </c>
      <c r="B1832" s="26" t="str">
        <f>"09DPR4014S"</f>
        <v>09DPR4014S</v>
      </c>
      <c r="C1832" s="26" t="str">
        <f>"PROFRA. LEONOR LEAÑOS NAVARRO                                                                       "</f>
        <v xml:space="preserve">PROFRA. LEONOR LEAÑOS NAVARRO                                                                       </v>
      </c>
      <c r="D1832" s="26" t="str">
        <f>"VESPERTINO"</f>
        <v>VESPERTINO</v>
      </c>
      <c r="E1832" s="26" t="str">
        <f>"CARBONERO Y PARCELA                                                             "</f>
        <v xml:space="preserve">CARBONERO Y PARCELA                                                             </v>
      </c>
      <c r="F1832" s="26" t="str">
        <f>"LOMAS DE SAN BERNABE                                                                                                                        "</f>
        <v xml:space="preserve">LOMAS DE SAN BERNABE                                                                                                                        </v>
      </c>
      <c r="G1832" s="26" t="str">
        <f>"LA MAGDALENA CONTRERAS                                                          "</f>
        <v xml:space="preserve">LA MAGDALENA CONTRERAS                                                          </v>
      </c>
      <c r="H1832" s="26" t="str">
        <f>"334"</f>
        <v>334</v>
      </c>
      <c r="I1832" s="26" t="str">
        <f t="shared" si="297"/>
        <v>00</v>
      </c>
      <c r="J1832" s="26" t="str">
        <f>"43 "</f>
        <v xml:space="preserve">43 </v>
      </c>
      <c r="K1832" s="26" t="str">
        <f t="shared" si="302"/>
        <v>PR</v>
      </c>
      <c r="L1832" s="26" t="str">
        <f t="shared" si="303"/>
        <v>DGOSE</v>
      </c>
      <c r="M1832" s="26" t="str">
        <f t="shared" si="298"/>
        <v>FEDERAL</v>
      </c>
      <c r="N1832" s="26">
        <v>359</v>
      </c>
      <c r="O1832" s="26">
        <v>185</v>
      </c>
      <c r="P1832" s="26">
        <v>174</v>
      </c>
      <c r="Q1832" s="26">
        <v>12</v>
      </c>
      <c r="R1832" s="26">
        <v>1</v>
      </c>
      <c r="S1832" s="26">
        <v>12</v>
      </c>
      <c r="T1832" s="26">
        <v>7</v>
      </c>
      <c r="U1832" s="26">
        <v>20</v>
      </c>
      <c r="V1832" s="26">
        <v>1</v>
      </c>
      <c r="W1832" s="26"/>
    </row>
    <row r="1833" spans="1:23" x14ac:dyDescent="0.25">
      <c r="A1833" s="26" t="str">
        <f t="shared" si="296"/>
        <v>PRIMARIA</v>
      </c>
      <c r="B1833" s="26" t="str">
        <f>"09DPR4015R"</f>
        <v>09DPR4015R</v>
      </c>
      <c r="C1833" s="26" t="str">
        <f>"PROFR. LUIS AUDIRAC GALVEZ                                                                          "</f>
        <v xml:space="preserve">PROFR. LUIS AUDIRAC GALVEZ                                                                          </v>
      </c>
      <c r="D1833" s="26" t="str">
        <f>"VESPERTINO"</f>
        <v>VESPERTINO</v>
      </c>
      <c r="E1833" s="26" t="str">
        <f>"AV.DIAZ ORDAZ Y NICOLAS B.                                                      "</f>
        <v xml:space="preserve">AV.DIAZ ORDAZ Y NICOLAS B.                                                      </v>
      </c>
      <c r="F1833" s="26" t="str">
        <f>"JALALPA AMPLIACION                                                                                                                          "</f>
        <v xml:space="preserve">JALALPA AMPLIACION                                                                                                                          </v>
      </c>
      <c r="G1833" s="26" t="str">
        <f>"ALVARO OBREGON                                                                  "</f>
        <v xml:space="preserve">ALVARO OBREGON                                                                  </v>
      </c>
      <c r="H1833" s="26" t="str">
        <f>"316"</f>
        <v>316</v>
      </c>
      <c r="I1833" s="26" t="str">
        <f t="shared" si="297"/>
        <v>00</v>
      </c>
      <c r="J1833" s="26" t="str">
        <f>"43 "</f>
        <v xml:space="preserve">43 </v>
      </c>
      <c r="K1833" s="26" t="str">
        <f t="shared" si="302"/>
        <v>PR</v>
      </c>
      <c r="L1833" s="26" t="str">
        <f t="shared" si="303"/>
        <v>DGOSE</v>
      </c>
      <c r="M1833" s="26" t="str">
        <f t="shared" si="298"/>
        <v>FEDERAL</v>
      </c>
      <c r="N1833" s="26">
        <v>295</v>
      </c>
      <c r="O1833" s="26">
        <v>168</v>
      </c>
      <c r="P1833" s="26">
        <v>127</v>
      </c>
      <c r="Q1833" s="26">
        <v>11</v>
      </c>
      <c r="R1833" s="26">
        <v>1</v>
      </c>
      <c r="S1833" s="26">
        <v>11</v>
      </c>
      <c r="T1833" s="26">
        <v>5</v>
      </c>
      <c r="U1833" s="26">
        <v>17</v>
      </c>
      <c r="V1833" s="26">
        <v>1</v>
      </c>
      <c r="W1833" s="26"/>
    </row>
    <row r="1834" spans="1:23" x14ac:dyDescent="0.25">
      <c r="A1834" s="26" t="str">
        <f t="shared" si="296"/>
        <v>PRIMARIA</v>
      </c>
      <c r="B1834" s="26" t="str">
        <f>"09DPR4016Q"</f>
        <v>09DPR4016Q</v>
      </c>
      <c r="C1834" s="26" t="str">
        <f>"MAURITANIA                                                                                          "</f>
        <v xml:space="preserve">MAURITANIA                                                                                          </v>
      </c>
      <c r="D1834" s="26" t="str">
        <f>"VESPERTINO"</f>
        <v>VESPERTINO</v>
      </c>
      <c r="E1834" s="26" t="str">
        <f>"SANTA CRUZ NO 6                                                                 "</f>
        <v xml:space="preserve">SANTA CRUZ NO 6                                                                 </v>
      </c>
      <c r="F1834" s="26" t="str">
        <f>"SAN MIGUEL TOPILEJO                                                                                                                         "</f>
        <v xml:space="preserve">SAN MIGUEL TOPILEJO                                                                                                                         </v>
      </c>
      <c r="G1834" s="26" t="str">
        <f>"TLALPAN                                                                         "</f>
        <v xml:space="preserve">TLALPAN                                                                         </v>
      </c>
      <c r="H1834" s="26" t="str">
        <f>"531"</f>
        <v>531</v>
      </c>
      <c r="I1834" s="26" t="str">
        <f t="shared" si="297"/>
        <v>00</v>
      </c>
      <c r="J1834" s="26" t="str">
        <f>"45 "</f>
        <v xml:space="preserve">45 </v>
      </c>
      <c r="K1834" s="26" t="str">
        <f t="shared" si="302"/>
        <v>PR</v>
      </c>
      <c r="L1834" s="26" t="str">
        <f t="shared" si="303"/>
        <v>DGOSE</v>
      </c>
      <c r="M1834" s="26" t="str">
        <f t="shared" si="298"/>
        <v>FEDERAL</v>
      </c>
      <c r="N1834" s="26">
        <v>623</v>
      </c>
      <c r="O1834" s="26">
        <v>309</v>
      </c>
      <c r="P1834" s="26">
        <v>314</v>
      </c>
      <c r="Q1834" s="26">
        <v>23</v>
      </c>
      <c r="R1834" s="26">
        <v>1</v>
      </c>
      <c r="S1834" s="26">
        <v>21</v>
      </c>
      <c r="T1834" s="26">
        <v>12</v>
      </c>
      <c r="U1834" s="26">
        <v>34</v>
      </c>
      <c r="V1834" s="26">
        <v>1</v>
      </c>
      <c r="W1834" s="26"/>
    </row>
    <row r="1835" spans="1:23" x14ac:dyDescent="0.25">
      <c r="A1835" s="26" t="str">
        <f t="shared" si="296"/>
        <v>PRIMARIA</v>
      </c>
      <c r="B1835" s="26" t="str">
        <f>"09DPR4017P"</f>
        <v>09DPR4017P</v>
      </c>
      <c r="C1835" s="26" t="str">
        <f>"RAFAEL DONDE                                                                                        "</f>
        <v xml:space="preserve">RAFAEL DONDE                                                                                        </v>
      </c>
      <c r="D1835" s="26" t="str">
        <f>"MATUTINO"</f>
        <v>MATUTINO</v>
      </c>
      <c r="E1835" s="26" t="str">
        <f>"BANDERA NO. 18                                                                  "</f>
        <v xml:space="preserve">BANDERA NO. 18                                                                  </v>
      </c>
      <c r="F1835" s="26" t="str">
        <f>"LOMAS DE ZARAGOZA                                                                                                                           "</f>
        <v xml:space="preserve">LOMAS DE ZARAGOZA                                                                                                                           </v>
      </c>
      <c r="G1835" s="26" t="str">
        <f>"IZTAPALAPA                                                                      "</f>
        <v xml:space="preserve">IZTAPALAPA                                                                      </v>
      </c>
      <c r="H1835" s="26" t="str">
        <f>"065"</f>
        <v>065</v>
      </c>
      <c r="I1835" s="26" t="str">
        <f t="shared" si="297"/>
        <v>00</v>
      </c>
      <c r="J1835" s="26" t="str">
        <f>"64 "</f>
        <v xml:space="preserve">64 </v>
      </c>
      <c r="K1835" s="26" t="str">
        <f>"IZ"</f>
        <v>IZ</v>
      </c>
      <c r="L1835" s="26" t="str">
        <f>"DGSEI"</f>
        <v>DGSEI</v>
      </c>
      <c r="M1835" s="26" t="str">
        <f t="shared" si="298"/>
        <v>FEDERAL</v>
      </c>
      <c r="N1835" s="26">
        <v>444</v>
      </c>
      <c r="O1835" s="26">
        <v>225</v>
      </c>
      <c r="P1835" s="26">
        <v>219</v>
      </c>
      <c r="Q1835" s="26">
        <v>13</v>
      </c>
      <c r="R1835" s="26">
        <v>1</v>
      </c>
      <c r="S1835" s="26">
        <v>12</v>
      </c>
      <c r="T1835" s="26">
        <v>7</v>
      </c>
      <c r="U1835" s="26">
        <v>20</v>
      </c>
      <c r="V1835" s="26">
        <v>1</v>
      </c>
      <c r="W1835" s="26"/>
    </row>
    <row r="1836" spans="1:23" x14ac:dyDescent="0.25">
      <c r="A1836" s="26" t="str">
        <f t="shared" si="296"/>
        <v>PRIMARIA</v>
      </c>
      <c r="B1836" s="26" t="str">
        <f>"09DPR4018O"</f>
        <v>09DPR4018O</v>
      </c>
      <c r="C1836" s="26" t="str">
        <f>"PABLO PICASSO                                                                                       "</f>
        <v xml:space="preserve">PABLO PICASSO                                                                                       </v>
      </c>
      <c r="D1836" s="26" t="str">
        <f t="shared" ref="D1836:D1845" si="304">"VESPERTINO"</f>
        <v>VESPERTINO</v>
      </c>
      <c r="E1836" s="26" t="str">
        <f>"URSULO GALVAN NO. 76                                                            "</f>
        <v xml:space="preserve">URSULO GALVAN NO. 76                                                            </v>
      </c>
      <c r="F1836" s="26" t="str">
        <f>"SANTA CRUZ MEYEHUALCO                                                                                                                       "</f>
        <v xml:space="preserve">SANTA CRUZ MEYEHUALCO                                                                                                                       </v>
      </c>
      <c r="G1836" s="26" t="str">
        <f>"IZTAPALAPA                                                                      "</f>
        <v xml:space="preserve">IZTAPALAPA                                                                      </v>
      </c>
      <c r="H1836" s="26" t="str">
        <f>"054"</f>
        <v>054</v>
      </c>
      <c r="I1836" s="26" t="str">
        <f t="shared" si="297"/>
        <v>00</v>
      </c>
      <c r="J1836" s="26" t="str">
        <f>"64 "</f>
        <v xml:space="preserve">64 </v>
      </c>
      <c r="K1836" s="26" t="str">
        <f>"IZ"</f>
        <v>IZ</v>
      </c>
      <c r="L1836" s="26" t="str">
        <f>"DGSEI"</f>
        <v>DGSEI</v>
      </c>
      <c r="M1836" s="26" t="str">
        <f t="shared" si="298"/>
        <v>FEDERAL</v>
      </c>
      <c r="N1836" s="26">
        <v>414</v>
      </c>
      <c r="O1836" s="26">
        <v>204</v>
      </c>
      <c r="P1836" s="26">
        <v>210</v>
      </c>
      <c r="Q1836" s="26">
        <v>12</v>
      </c>
      <c r="R1836" s="26">
        <v>1</v>
      </c>
      <c r="S1836" s="26">
        <v>10</v>
      </c>
      <c r="T1836" s="26">
        <v>5</v>
      </c>
      <c r="U1836" s="26">
        <v>16</v>
      </c>
      <c r="V1836" s="26">
        <v>1</v>
      </c>
      <c r="W1836" s="26"/>
    </row>
    <row r="1837" spans="1:23" x14ac:dyDescent="0.25">
      <c r="A1837" s="26" t="str">
        <f t="shared" si="296"/>
        <v>PRIMARIA</v>
      </c>
      <c r="B1837" s="26" t="str">
        <f>"09DPR4019N"</f>
        <v>09DPR4019N</v>
      </c>
      <c r="C1837" s="26" t="str">
        <f>"EFRAIN HUERTA                                                                                       "</f>
        <v xml:space="preserve">EFRAIN HUERTA                                                                                       </v>
      </c>
      <c r="D1837" s="26" t="str">
        <f t="shared" si="304"/>
        <v>VESPERTINO</v>
      </c>
      <c r="E1837" s="26" t="str">
        <f>"ALCANFORES S/N                                                                  "</f>
        <v xml:space="preserve">ALCANFORES S/N                                                                  </v>
      </c>
      <c r="F1837" s="26" t="str">
        <f>"LOMAS DE LA HERA                                                                                                                            "</f>
        <v xml:space="preserve">LOMAS DE LA HERA                                                                                                                            </v>
      </c>
      <c r="G1837" s="26" t="str">
        <f>"ALVARO OBREGON                                                                  "</f>
        <v xml:space="preserve">ALVARO OBREGON                                                                  </v>
      </c>
      <c r="H1837" s="26" t="str">
        <f>"329"</f>
        <v>329</v>
      </c>
      <c r="I1837" s="26" t="str">
        <f t="shared" si="297"/>
        <v>00</v>
      </c>
      <c r="J1837" s="26" t="str">
        <f>"43 "</f>
        <v xml:space="preserve">43 </v>
      </c>
      <c r="K1837" s="26" t="str">
        <f>"PR"</f>
        <v>PR</v>
      </c>
      <c r="L1837" s="26" t="str">
        <f>"DGOSE"</f>
        <v>DGOSE</v>
      </c>
      <c r="M1837" s="26" t="str">
        <f t="shared" si="298"/>
        <v>FEDERAL</v>
      </c>
      <c r="N1837" s="26">
        <v>588</v>
      </c>
      <c r="O1837" s="26">
        <v>299</v>
      </c>
      <c r="P1837" s="26">
        <v>289</v>
      </c>
      <c r="Q1837" s="26">
        <v>17</v>
      </c>
      <c r="R1837" s="26">
        <v>1</v>
      </c>
      <c r="S1837" s="26">
        <v>17</v>
      </c>
      <c r="T1837" s="26">
        <v>9</v>
      </c>
      <c r="U1837" s="26">
        <v>27</v>
      </c>
      <c r="V1837" s="26">
        <v>1</v>
      </c>
      <c r="W1837" s="26"/>
    </row>
    <row r="1838" spans="1:23" x14ac:dyDescent="0.25">
      <c r="A1838" s="26" t="str">
        <f t="shared" si="296"/>
        <v>PRIMARIA</v>
      </c>
      <c r="B1838" s="26" t="str">
        <f>"09DPR4021B"</f>
        <v>09DPR4021B</v>
      </c>
      <c r="C1838" s="26" t="str">
        <f>"AURELIO HIDALGO                                                                                     "</f>
        <v xml:space="preserve">AURELIO HIDALGO                                                                                     </v>
      </c>
      <c r="D1838" s="26" t="str">
        <f t="shared" si="304"/>
        <v>VESPERTINO</v>
      </c>
      <c r="E1838" s="26" t="str">
        <f>"ORQUIDEA S/N                                                                    "</f>
        <v xml:space="preserve">ORQUIDEA S/N                                                                    </v>
      </c>
      <c r="F1838" s="26" t="str">
        <f>"TORRES DE POTRERO                                                                                                                           "</f>
        <v xml:space="preserve">TORRES DE POTRERO                                                                                                                           </v>
      </c>
      <c r="G1838" s="26" t="str">
        <f>"ALVARO OBREGON                                                                  "</f>
        <v xml:space="preserve">ALVARO OBREGON                                                                  </v>
      </c>
      <c r="H1838" s="26" t="str">
        <f>"329"</f>
        <v>329</v>
      </c>
      <c r="I1838" s="26" t="str">
        <f t="shared" si="297"/>
        <v>00</v>
      </c>
      <c r="J1838" s="26" t="str">
        <f>"43 "</f>
        <v xml:space="preserve">43 </v>
      </c>
      <c r="K1838" s="26" t="str">
        <f>"PR"</f>
        <v>PR</v>
      </c>
      <c r="L1838" s="26" t="str">
        <f>"DGOSE"</f>
        <v>DGOSE</v>
      </c>
      <c r="M1838" s="26" t="str">
        <f t="shared" si="298"/>
        <v>FEDERAL</v>
      </c>
      <c r="N1838" s="26">
        <v>586</v>
      </c>
      <c r="O1838" s="26">
        <v>291</v>
      </c>
      <c r="P1838" s="26">
        <v>295</v>
      </c>
      <c r="Q1838" s="26">
        <v>17</v>
      </c>
      <c r="R1838" s="26">
        <v>1</v>
      </c>
      <c r="S1838" s="26">
        <v>17</v>
      </c>
      <c r="T1838" s="26">
        <v>9</v>
      </c>
      <c r="U1838" s="26">
        <v>27</v>
      </c>
      <c r="V1838" s="26">
        <v>1</v>
      </c>
      <c r="W1838" s="26"/>
    </row>
    <row r="1839" spans="1:23" x14ac:dyDescent="0.25">
      <c r="A1839" s="26" t="str">
        <f t="shared" si="296"/>
        <v>PRIMARIA</v>
      </c>
      <c r="B1839" s="26" t="str">
        <f>"09DPR4045L"</f>
        <v>09DPR4045L</v>
      </c>
      <c r="C1839" s="26" t="str">
        <f>"PROFR. FRANCISCO JAVIER LILLY HUERTA                                                                "</f>
        <v xml:space="preserve">PROFR. FRANCISCO JAVIER LILLY HUERTA                                                                </v>
      </c>
      <c r="D1839" s="26" t="str">
        <f t="shared" si="304"/>
        <v>VESPERTINO</v>
      </c>
      <c r="E1839" s="26" t="str">
        <f>"DOLORES GUERRERO S/N                                                            "</f>
        <v xml:space="preserve">DOLORES GUERRERO S/N                                                            </v>
      </c>
      <c r="F1839" s="26" t="str">
        <f>"UNIDAD HABITACIONAL SAN FRANCISCO C                                                                                                         "</f>
        <v xml:space="preserve">UNIDAD HABITACIONAL SAN FRANCISCO C                                                                                                         </v>
      </c>
      <c r="G1839" s="26" t="str">
        <f>"COYOACAN                                                                        "</f>
        <v xml:space="preserve">COYOACAN                                                                        </v>
      </c>
      <c r="H1839" s="26" t="str">
        <f>"510"</f>
        <v>510</v>
      </c>
      <c r="I1839" s="26" t="str">
        <f t="shared" si="297"/>
        <v>00</v>
      </c>
      <c r="J1839" s="26" t="str">
        <f>"45 "</f>
        <v xml:space="preserve">45 </v>
      </c>
      <c r="K1839" s="26" t="str">
        <f>"PR"</f>
        <v>PR</v>
      </c>
      <c r="L1839" s="26" t="str">
        <f>"DGOSE"</f>
        <v>DGOSE</v>
      </c>
      <c r="M1839" s="26" t="str">
        <f t="shared" si="298"/>
        <v>FEDERAL</v>
      </c>
      <c r="N1839" s="26">
        <v>137</v>
      </c>
      <c r="O1839" s="26">
        <v>66</v>
      </c>
      <c r="P1839" s="26">
        <v>71</v>
      </c>
      <c r="Q1839" s="26">
        <v>8</v>
      </c>
      <c r="R1839" s="26">
        <v>1</v>
      </c>
      <c r="S1839" s="26">
        <v>7</v>
      </c>
      <c r="T1839" s="26">
        <v>8</v>
      </c>
      <c r="U1839" s="26">
        <v>16</v>
      </c>
      <c r="V1839" s="26">
        <v>1</v>
      </c>
      <c r="W1839" s="26"/>
    </row>
    <row r="1840" spans="1:23" x14ac:dyDescent="0.25">
      <c r="A1840" s="26" t="str">
        <f t="shared" si="296"/>
        <v>PRIMARIA</v>
      </c>
      <c r="B1840" s="26" t="str">
        <f>"09DPR4101N"</f>
        <v>09DPR4101N</v>
      </c>
      <c r="C1840" s="26" t="str">
        <f>"PROFR. LAUREANO JIMENEZ Y CORIA                                                                     "</f>
        <v xml:space="preserve">PROFR. LAUREANO JIMENEZ Y CORIA                                                                     </v>
      </c>
      <c r="D1840" s="26" t="str">
        <f t="shared" si="304"/>
        <v>VESPERTINO</v>
      </c>
      <c r="E1840" s="26" t="str">
        <f>"AV MIGUEL BERNARD NUM 41                                                        "</f>
        <v xml:space="preserve">AV MIGUEL BERNARD NUM 41                                                        </v>
      </c>
      <c r="F1840" s="26" t="str">
        <f>"LA PURISIMA TICOMAN                                                                                                                         "</f>
        <v xml:space="preserve">LA PURISIMA TICOMAN                                                                                                                         </v>
      </c>
      <c r="G1840" s="26" t="str">
        <f>"GUSTAVO A. MADERO                                                               "</f>
        <v xml:space="preserve">GUSTAVO A. MADERO                                                               </v>
      </c>
      <c r="H1840" s="26" t="str">
        <f>"236"</f>
        <v>236</v>
      </c>
      <c r="I1840" s="26" t="str">
        <f t="shared" si="297"/>
        <v>00</v>
      </c>
      <c r="J1840" s="26" t="str">
        <f>"42 "</f>
        <v xml:space="preserve">42 </v>
      </c>
      <c r="K1840" s="26" t="str">
        <f>"PR"</f>
        <v>PR</v>
      </c>
      <c r="L1840" s="26" t="str">
        <f>"DGOSE"</f>
        <v>DGOSE</v>
      </c>
      <c r="M1840" s="26" t="str">
        <f t="shared" si="298"/>
        <v>FEDERAL</v>
      </c>
      <c r="N1840" s="26">
        <v>155</v>
      </c>
      <c r="O1840" s="26">
        <v>81</v>
      </c>
      <c r="P1840" s="26">
        <v>74</v>
      </c>
      <c r="Q1840" s="26">
        <v>8</v>
      </c>
      <c r="R1840" s="26">
        <v>1</v>
      </c>
      <c r="S1840" s="26">
        <v>8</v>
      </c>
      <c r="T1840" s="26">
        <v>7</v>
      </c>
      <c r="U1840" s="26">
        <v>16</v>
      </c>
      <c r="V1840" s="26">
        <v>1</v>
      </c>
      <c r="W1840" s="26"/>
    </row>
    <row r="1841" spans="1:23" x14ac:dyDescent="0.25">
      <c r="A1841" s="26" t="str">
        <f t="shared" si="296"/>
        <v>PRIMARIA</v>
      </c>
      <c r="B1841" s="26" t="str">
        <f>"09DPR4103L"</f>
        <v>09DPR4103L</v>
      </c>
      <c r="C1841" s="26" t="str">
        <f>"ROSA VILLANUEVA RAMOS                                                                               "</f>
        <v xml:space="preserve">ROSA VILLANUEVA RAMOS                                                                               </v>
      </c>
      <c r="D1841" s="26" t="str">
        <f t="shared" si="304"/>
        <v>VESPERTINO</v>
      </c>
      <c r="E1841" s="26" t="str">
        <f>"BARRANCA SECA S/N                                                               "</f>
        <v xml:space="preserve">BARRANCA SECA S/N                                                               </v>
      </c>
      <c r="F1841" s="26" t="str">
        <f>"SAN ANTONIO TECOMITL                                                                                                                        "</f>
        <v xml:space="preserve">SAN ANTONIO TECOMITL                                                                                                                        </v>
      </c>
      <c r="G1841" s="26" t="str">
        <f>"MILPA ALTA                                                                      "</f>
        <v xml:space="preserve">MILPA ALTA                                                                      </v>
      </c>
      <c r="H1841" s="26" t="str">
        <f>"561"</f>
        <v>561</v>
      </c>
      <c r="I1841" s="26" t="str">
        <f t="shared" si="297"/>
        <v>00</v>
      </c>
      <c r="J1841" s="26" t="str">
        <f>"45 "</f>
        <v xml:space="preserve">45 </v>
      </c>
      <c r="K1841" s="26" t="str">
        <f>"PR"</f>
        <v>PR</v>
      </c>
      <c r="L1841" s="26" t="str">
        <f>"DGOSE"</f>
        <v>DGOSE</v>
      </c>
      <c r="M1841" s="26" t="str">
        <f t="shared" si="298"/>
        <v>FEDERAL</v>
      </c>
      <c r="N1841" s="26">
        <v>576</v>
      </c>
      <c r="O1841" s="26">
        <v>291</v>
      </c>
      <c r="P1841" s="26">
        <v>285</v>
      </c>
      <c r="Q1841" s="26">
        <v>18</v>
      </c>
      <c r="R1841" s="26">
        <v>1</v>
      </c>
      <c r="S1841" s="26">
        <v>18</v>
      </c>
      <c r="T1841" s="26">
        <v>9</v>
      </c>
      <c r="U1841" s="26">
        <v>28</v>
      </c>
      <c r="V1841" s="26">
        <v>1</v>
      </c>
      <c r="W1841" s="26"/>
    </row>
    <row r="1842" spans="1:23" x14ac:dyDescent="0.25">
      <c r="A1842" s="26" t="str">
        <f t="shared" si="296"/>
        <v>PRIMARIA</v>
      </c>
      <c r="B1842" s="26" t="str">
        <f>"09DPR4108G"</f>
        <v>09DPR4108G</v>
      </c>
      <c r="C1842" s="26" t="str">
        <f>"JOSE MA. RODRIGUEZ COS                                                                              "</f>
        <v xml:space="preserve">JOSE MA. RODRIGUEZ COS                                                                              </v>
      </c>
      <c r="D1842" s="26" t="str">
        <f t="shared" si="304"/>
        <v>VESPERTINO</v>
      </c>
      <c r="E1842" s="26" t="str">
        <f>"VILLA ELOISA NO. 20                                                             "</f>
        <v xml:space="preserve">VILLA ELOISA NO. 20                                                             </v>
      </c>
      <c r="F1842" s="26" t="str">
        <f>"DESARROLLO URBANO QUETZALCOATL                                                                                                              "</f>
        <v xml:space="preserve">DESARROLLO URBANO QUETZALCOATL                                                                                                              </v>
      </c>
      <c r="G1842" s="26" t="str">
        <f>"IZTAPALAPA                                                                      "</f>
        <v xml:space="preserve">IZTAPALAPA                                                                      </v>
      </c>
      <c r="H1842" s="26" t="str">
        <f>"052"</f>
        <v>052</v>
      </c>
      <c r="I1842" s="26" t="str">
        <f t="shared" si="297"/>
        <v>00</v>
      </c>
      <c r="J1842" s="26" t="str">
        <f>"64 "</f>
        <v xml:space="preserve">64 </v>
      </c>
      <c r="K1842" s="26" t="str">
        <f>"IZ"</f>
        <v>IZ</v>
      </c>
      <c r="L1842" s="26" t="str">
        <f>"DGSEI"</f>
        <v>DGSEI</v>
      </c>
      <c r="M1842" s="26" t="str">
        <f t="shared" si="298"/>
        <v>FEDERAL</v>
      </c>
      <c r="N1842" s="26">
        <v>710</v>
      </c>
      <c r="O1842" s="26">
        <v>380</v>
      </c>
      <c r="P1842" s="26">
        <v>330</v>
      </c>
      <c r="Q1842" s="26">
        <v>18</v>
      </c>
      <c r="R1842" s="26">
        <v>1</v>
      </c>
      <c r="S1842" s="26">
        <v>18</v>
      </c>
      <c r="T1842" s="26">
        <v>7</v>
      </c>
      <c r="U1842" s="26">
        <v>26</v>
      </c>
      <c r="V1842" s="26">
        <v>1</v>
      </c>
      <c r="W1842" s="26"/>
    </row>
    <row r="1843" spans="1:23" x14ac:dyDescent="0.25">
      <c r="A1843" s="26" t="str">
        <f t="shared" si="296"/>
        <v>PRIMARIA</v>
      </c>
      <c r="B1843" s="26" t="str">
        <f>"09DPR4153T"</f>
        <v>09DPR4153T</v>
      </c>
      <c r="C1843" s="26" t="str">
        <f>"PROFRA. ALICIA MARTINEZ MONTOYA                                                                     "</f>
        <v xml:space="preserve">PROFRA. ALICIA MARTINEZ MONTOYA                                                                     </v>
      </c>
      <c r="D1843" s="26" t="str">
        <f t="shared" si="304"/>
        <v>VESPERTINO</v>
      </c>
      <c r="E1843" s="26" t="str">
        <f>"LUIS GARCIA NO. 85                                                              "</f>
        <v xml:space="preserve">LUIS GARCIA NO. 85                                                              </v>
      </c>
      <c r="F1843" s="26" t="str">
        <f>"SANTA MARTHA ACATITLA                                                                                                                       "</f>
        <v xml:space="preserve">SANTA MARTHA ACATITLA                                                                                                                       </v>
      </c>
      <c r="G1843" s="26" t="str">
        <f>"IZTAPALAPA                                                                      "</f>
        <v xml:space="preserve">IZTAPALAPA                                                                      </v>
      </c>
      <c r="H1843" s="26" t="str">
        <f>"022"</f>
        <v>022</v>
      </c>
      <c r="I1843" s="26" t="str">
        <f t="shared" si="297"/>
        <v>00</v>
      </c>
      <c r="J1843" s="26" t="str">
        <f>"62 "</f>
        <v xml:space="preserve">62 </v>
      </c>
      <c r="K1843" s="26" t="str">
        <f>"IZ"</f>
        <v>IZ</v>
      </c>
      <c r="L1843" s="26" t="str">
        <f>"DGSEI"</f>
        <v>DGSEI</v>
      </c>
      <c r="M1843" s="26" t="str">
        <f t="shared" si="298"/>
        <v>FEDERAL</v>
      </c>
      <c r="N1843" s="26">
        <v>283</v>
      </c>
      <c r="O1843" s="26">
        <v>144</v>
      </c>
      <c r="P1843" s="26">
        <v>139</v>
      </c>
      <c r="Q1843" s="26">
        <v>13</v>
      </c>
      <c r="R1843" s="26">
        <v>1</v>
      </c>
      <c r="S1843" s="26">
        <v>13</v>
      </c>
      <c r="T1843" s="26">
        <v>8</v>
      </c>
      <c r="U1843" s="26">
        <v>22</v>
      </c>
      <c r="V1843" s="26">
        <v>1</v>
      </c>
      <c r="W1843" s="26"/>
    </row>
    <row r="1844" spans="1:23" x14ac:dyDescent="0.25">
      <c r="A1844" s="26" t="str">
        <f t="shared" si="296"/>
        <v>PRIMARIA</v>
      </c>
      <c r="B1844" s="26" t="str">
        <f>"09DPR4154S"</f>
        <v>09DPR4154S</v>
      </c>
      <c r="C1844" s="26" t="str">
        <f>"XOCHICALCO                                                                                          "</f>
        <v xml:space="preserve">XOCHICALCO                                                                                          </v>
      </c>
      <c r="D1844" s="26" t="str">
        <f t="shared" si="304"/>
        <v>VESPERTINO</v>
      </c>
      <c r="E1844" s="26" t="str">
        <f>"TLEPANQUELTZATZIN NO. 123                                                       "</f>
        <v xml:space="preserve">TLEPANQUELTZATZIN NO. 123                                                       </v>
      </c>
      <c r="F1844" s="26" t="str">
        <f>"LOS REYES AMPLIACION                                                                                                                        "</f>
        <v xml:space="preserve">LOS REYES AMPLIACION                                                                                                                        </v>
      </c>
      <c r="G1844" s="26" t="str">
        <f>"IZTAPALAPA                                                                      "</f>
        <v xml:space="preserve">IZTAPALAPA                                                                      </v>
      </c>
      <c r="H1844" s="26" t="str">
        <f>"035"</f>
        <v>035</v>
      </c>
      <c r="I1844" s="26" t="str">
        <f t="shared" si="297"/>
        <v>00</v>
      </c>
      <c r="J1844" s="26" t="str">
        <f>"63 "</f>
        <v xml:space="preserve">63 </v>
      </c>
      <c r="K1844" s="26" t="str">
        <f>"IZ"</f>
        <v>IZ</v>
      </c>
      <c r="L1844" s="26" t="str">
        <f>"DGSEI"</f>
        <v>DGSEI</v>
      </c>
      <c r="M1844" s="26" t="str">
        <f t="shared" si="298"/>
        <v>FEDERAL</v>
      </c>
      <c r="N1844" s="26">
        <v>279</v>
      </c>
      <c r="O1844" s="26">
        <v>163</v>
      </c>
      <c r="P1844" s="26">
        <v>116</v>
      </c>
      <c r="Q1844" s="26">
        <v>12</v>
      </c>
      <c r="R1844" s="26">
        <v>1</v>
      </c>
      <c r="S1844" s="26">
        <v>11</v>
      </c>
      <c r="T1844" s="26">
        <v>6</v>
      </c>
      <c r="U1844" s="26">
        <v>18</v>
      </c>
      <c r="V1844" s="26">
        <v>1</v>
      </c>
      <c r="W1844" s="26"/>
    </row>
    <row r="1845" spans="1:23" x14ac:dyDescent="0.25">
      <c r="A1845" s="26" t="str">
        <f t="shared" si="296"/>
        <v>PRIMARIA</v>
      </c>
      <c r="B1845" s="26" t="str">
        <f>"09DPR4155R"</f>
        <v>09DPR4155R</v>
      </c>
      <c r="C1845" s="26" t="str">
        <f>"GENARO GARCIA                                                                                       "</f>
        <v xml:space="preserve">GENARO GARCIA                                                                                       </v>
      </c>
      <c r="D1845" s="26" t="str">
        <f t="shared" si="304"/>
        <v>VESPERTINO</v>
      </c>
      <c r="E1845" s="26" t="str">
        <f>"CANDELABROS NO. 1                                                               "</f>
        <v xml:space="preserve">CANDELABROS NO. 1                                                               </v>
      </c>
      <c r="F1845" s="26" t="str">
        <f>"SAN LORENZO TEZONCO                                                                                                                         "</f>
        <v xml:space="preserve">SAN LORENZO TEZONCO                                                                                                                         </v>
      </c>
      <c r="G1845" s="26" t="str">
        <f>"IZTAPALAPA                                                                      "</f>
        <v xml:space="preserve">IZTAPALAPA                                                                      </v>
      </c>
      <c r="H1845" s="26" t="str">
        <f>"048"</f>
        <v>048</v>
      </c>
      <c r="I1845" s="26" t="str">
        <f t="shared" si="297"/>
        <v>00</v>
      </c>
      <c r="J1845" s="26" t="str">
        <f>"63 "</f>
        <v xml:space="preserve">63 </v>
      </c>
      <c r="K1845" s="26" t="str">
        <f>"IZ"</f>
        <v>IZ</v>
      </c>
      <c r="L1845" s="26" t="str">
        <f>"DGSEI"</f>
        <v>DGSEI</v>
      </c>
      <c r="M1845" s="26" t="str">
        <f t="shared" si="298"/>
        <v>FEDERAL</v>
      </c>
      <c r="N1845" s="26">
        <v>388</v>
      </c>
      <c r="O1845" s="26">
        <v>192</v>
      </c>
      <c r="P1845" s="26">
        <v>196</v>
      </c>
      <c r="Q1845" s="26">
        <v>15</v>
      </c>
      <c r="R1845" s="26">
        <v>1</v>
      </c>
      <c r="S1845" s="26">
        <v>15</v>
      </c>
      <c r="T1845" s="26">
        <v>6</v>
      </c>
      <c r="U1845" s="26">
        <v>22</v>
      </c>
      <c r="V1845" s="26">
        <v>1</v>
      </c>
      <c r="W1845" s="26"/>
    </row>
    <row r="1846" spans="1:23" x14ac:dyDescent="0.25">
      <c r="A1846" s="26" t="str">
        <f t="shared" si="296"/>
        <v>PRIMARIA</v>
      </c>
      <c r="B1846" s="26" t="str">
        <f>"09DPR4156Q"</f>
        <v>09DPR4156Q</v>
      </c>
      <c r="C1846" s="26" t="str">
        <f>"ANACLETO BARCENA ROJAS                                                                              "</f>
        <v xml:space="preserve">ANACLETO BARCENA ROJAS                                                                              </v>
      </c>
      <c r="D1846" s="26" t="str">
        <f>"JORNADA AMPLIADA"</f>
        <v>JORNADA AMPLIADA</v>
      </c>
      <c r="E1846" s="26" t="str">
        <f>"EMILIANO ZAPATA 41-BIS                                                          "</f>
        <v xml:space="preserve">EMILIANO ZAPATA 41-BIS                                                          </v>
      </c>
      <c r="F1846" s="26" t="str">
        <f>"LA ASUNCION                                                                                                                                 "</f>
        <v xml:space="preserve">LA ASUNCION                                                                                                                                 </v>
      </c>
      <c r="G1846" s="26" t="str">
        <f>"XOCHIMILCO                                                                      "</f>
        <v xml:space="preserve">XOCHIMILCO                                                                      </v>
      </c>
      <c r="H1846" s="26" t="str">
        <f>"448"</f>
        <v>448</v>
      </c>
      <c r="I1846" s="26" t="str">
        <f t="shared" si="297"/>
        <v>00</v>
      </c>
      <c r="J1846" s="26" t="str">
        <f>"44 "</f>
        <v xml:space="preserve">44 </v>
      </c>
      <c r="K1846" s="26" t="str">
        <f>"PR"</f>
        <v>PR</v>
      </c>
      <c r="L1846" s="26" t="str">
        <f>"DGOSE"</f>
        <v>DGOSE</v>
      </c>
      <c r="M1846" s="26" t="str">
        <f t="shared" si="298"/>
        <v>FEDERAL</v>
      </c>
      <c r="N1846" s="26">
        <v>501</v>
      </c>
      <c r="O1846" s="26">
        <v>244</v>
      </c>
      <c r="P1846" s="26">
        <v>257</v>
      </c>
      <c r="Q1846" s="26">
        <v>12</v>
      </c>
      <c r="R1846" s="26">
        <v>1</v>
      </c>
      <c r="S1846" s="26">
        <v>11</v>
      </c>
      <c r="T1846" s="26">
        <v>9</v>
      </c>
      <c r="U1846" s="26">
        <v>21</v>
      </c>
      <c r="V1846" s="26">
        <v>1</v>
      </c>
      <c r="W1846" s="26" t="s">
        <v>2076</v>
      </c>
    </row>
    <row r="1847" spans="1:23" x14ac:dyDescent="0.25">
      <c r="A1847" s="26" t="str">
        <f t="shared" si="296"/>
        <v>PRIMARIA</v>
      </c>
      <c r="B1847" s="26" t="str">
        <f>"09DPR4157P"</f>
        <v>09DPR4157P</v>
      </c>
      <c r="C1847" s="26" t="str">
        <f>"PROFR. EFRAIN BONILLA MANZANO                                                                       "</f>
        <v xml:space="preserve">PROFR. EFRAIN BONILLA MANZANO                                                                       </v>
      </c>
      <c r="D1847" s="26" t="str">
        <f>"VESPERTINO"</f>
        <v>VESPERTINO</v>
      </c>
      <c r="E1847" s="26" t="str">
        <f>"FRANCISCO I. MADERO NO. 4                                                       "</f>
        <v xml:space="preserve">FRANCISCO I. MADERO NO. 4                                                       </v>
      </c>
      <c r="F1847" s="26" t="str">
        <f>"SANTA MARTHA ACATITLA                                                                                                                       "</f>
        <v xml:space="preserve">SANTA MARTHA ACATITLA                                                                                                                       </v>
      </c>
      <c r="G1847" s="26" t="str">
        <f t="shared" ref="G1847:G1853" si="305">"IZTAPALAPA                                                                      "</f>
        <v xml:space="preserve">IZTAPALAPA                                                                      </v>
      </c>
      <c r="H1847" s="26" t="str">
        <f>"026"</f>
        <v>026</v>
      </c>
      <c r="I1847" s="26" t="str">
        <f t="shared" si="297"/>
        <v>00</v>
      </c>
      <c r="J1847" s="26" t="str">
        <f>"62 "</f>
        <v xml:space="preserve">62 </v>
      </c>
      <c r="K1847" s="26" t="str">
        <f t="shared" ref="K1847:K1853" si="306">"IZ"</f>
        <v>IZ</v>
      </c>
      <c r="L1847" s="26" t="str">
        <f t="shared" ref="L1847:L1853" si="307">"DGSEI"</f>
        <v>DGSEI</v>
      </c>
      <c r="M1847" s="26" t="str">
        <f t="shared" si="298"/>
        <v>FEDERAL</v>
      </c>
      <c r="N1847" s="26">
        <v>161</v>
      </c>
      <c r="O1847" s="26">
        <v>87</v>
      </c>
      <c r="P1847" s="26">
        <v>74</v>
      </c>
      <c r="Q1847" s="26">
        <v>6</v>
      </c>
      <c r="R1847" s="26">
        <v>1</v>
      </c>
      <c r="S1847" s="26">
        <v>6</v>
      </c>
      <c r="T1847" s="26">
        <v>3</v>
      </c>
      <c r="U1847" s="26">
        <v>10</v>
      </c>
      <c r="V1847" s="26">
        <v>1</v>
      </c>
      <c r="W1847" s="26"/>
    </row>
    <row r="1848" spans="1:23" x14ac:dyDescent="0.25">
      <c r="A1848" s="26" t="str">
        <f t="shared" si="296"/>
        <v>PRIMARIA</v>
      </c>
      <c r="B1848" s="26" t="str">
        <f>"09DPR4159N"</f>
        <v>09DPR4159N</v>
      </c>
      <c r="C1848" s="26" t="str">
        <f>"PROFR. ENRIQUE GONZALEZ APARICIO                                                                    "</f>
        <v xml:space="preserve">PROFR. ENRIQUE GONZALEZ APARICIO                                                                    </v>
      </c>
      <c r="D1848" s="26" t="str">
        <f>"VESPERTINO"</f>
        <v>VESPERTINO</v>
      </c>
      <c r="E1848" s="26" t="str">
        <f>"AV. DE LAS TORRES NO. 1                                                         "</f>
        <v xml:space="preserve">AV. DE LAS TORRES NO. 1                                                         </v>
      </c>
      <c r="F1848" s="26" t="str">
        <f>"SAN MIGUEL TEOTONGO                                                                                                                         "</f>
        <v xml:space="preserve">SAN MIGUEL TEOTONGO                                                                                                                         </v>
      </c>
      <c r="G1848" s="26" t="str">
        <f t="shared" si="305"/>
        <v xml:space="preserve">IZTAPALAPA                                                                      </v>
      </c>
      <c r="H1848" s="26" t="str">
        <f>"066"</f>
        <v>066</v>
      </c>
      <c r="I1848" s="26" t="str">
        <f t="shared" si="297"/>
        <v>00</v>
      </c>
      <c r="J1848" s="26" t="str">
        <f t="shared" ref="J1848:J1853" si="308">"64 "</f>
        <v xml:space="preserve">64 </v>
      </c>
      <c r="K1848" s="26" t="str">
        <f t="shared" si="306"/>
        <v>IZ</v>
      </c>
      <c r="L1848" s="26" t="str">
        <f t="shared" si="307"/>
        <v>DGSEI</v>
      </c>
      <c r="M1848" s="26" t="str">
        <f t="shared" si="298"/>
        <v>FEDERAL</v>
      </c>
      <c r="N1848" s="26">
        <v>396</v>
      </c>
      <c r="O1848" s="26">
        <v>196</v>
      </c>
      <c r="P1848" s="26">
        <v>200</v>
      </c>
      <c r="Q1848" s="26">
        <v>12</v>
      </c>
      <c r="R1848" s="26">
        <v>1</v>
      </c>
      <c r="S1848" s="26">
        <v>12</v>
      </c>
      <c r="T1848" s="26">
        <v>6</v>
      </c>
      <c r="U1848" s="26">
        <v>19</v>
      </c>
      <c r="V1848" s="26">
        <v>1</v>
      </c>
      <c r="W1848" s="26"/>
    </row>
    <row r="1849" spans="1:23" x14ac:dyDescent="0.25">
      <c r="A1849" s="26" t="str">
        <f t="shared" si="296"/>
        <v>PRIMARIA</v>
      </c>
      <c r="B1849" s="26" t="str">
        <f>"09DPR4160C"</f>
        <v>09DPR4160C</v>
      </c>
      <c r="C1849" s="26" t="str">
        <f>"RAFAEL DELGADO                                                                                      "</f>
        <v xml:space="preserve">RAFAEL DELGADO                                                                                      </v>
      </c>
      <c r="D1849" s="26" t="str">
        <f>"MATUTINO"</f>
        <v>MATUTINO</v>
      </c>
      <c r="E1849" s="26" t="str">
        <f>"CALLE 2 NO. 8                                                                   "</f>
        <v xml:space="preserve">CALLE 2 NO. 8                                                                   </v>
      </c>
      <c r="F1849" s="26" t="str">
        <f>"SANTIAGO ACAHUALTEPEC AMPLIACION                                                                                                            "</f>
        <v xml:space="preserve">SANTIAGO ACAHUALTEPEC AMPLIACION                                                                                                            </v>
      </c>
      <c r="G1849" s="26" t="str">
        <f t="shared" si="305"/>
        <v xml:space="preserve">IZTAPALAPA                                                                      </v>
      </c>
      <c r="H1849" s="26" t="str">
        <f>"063"</f>
        <v>063</v>
      </c>
      <c r="I1849" s="26" t="str">
        <f t="shared" si="297"/>
        <v>00</v>
      </c>
      <c r="J1849" s="26" t="str">
        <f t="shared" si="308"/>
        <v xml:space="preserve">64 </v>
      </c>
      <c r="K1849" s="26" t="str">
        <f t="shared" si="306"/>
        <v>IZ</v>
      </c>
      <c r="L1849" s="26" t="str">
        <f t="shared" si="307"/>
        <v>DGSEI</v>
      </c>
      <c r="M1849" s="26" t="str">
        <f t="shared" si="298"/>
        <v>FEDERAL</v>
      </c>
      <c r="N1849" s="26">
        <v>458</v>
      </c>
      <c r="O1849" s="26">
        <v>233</v>
      </c>
      <c r="P1849" s="26">
        <v>225</v>
      </c>
      <c r="Q1849" s="26">
        <v>12</v>
      </c>
      <c r="R1849" s="26">
        <v>1</v>
      </c>
      <c r="S1849" s="26">
        <v>12</v>
      </c>
      <c r="T1849" s="26">
        <v>5</v>
      </c>
      <c r="U1849" s="26">
        <v>18</v>
      </c>
      <c r="V1849" s="26">
        <v>1</v>
      </c>
      <c r="W1849" s="26"/>
    </row>
    <row r="1850" spans="1:23" x14ac:dyDescent="0.25">
      <c r="A1850" s="26" t="str">
        <f t="shared" si="296"/>
        <v>PRIMARIA</v>
      </c>
      <c r="B1850" s="26" t="str">
        <f>"09DPR4161B"</f>
        <v>09DPR4161B</v>
      </c>
      <c r="C1850" s="26" t="str">
        <f>"RAFAEL DELGADO                                                                                      "</f>
        <v xml:space="preserve">RAFAEL DELGADO                                                                                      </v>
      </c>
      <c r="D1850" s="26" t="str">
        <f>"VESPERTINO"</f>
        <v>VESPERTINO</v>
      </c>
      <c r="E1850" s="26" t="str">
        <f>"CALLE 2 NO. 8                                                                   "</f>
        <v xml:space="preserve">CALLE 2 NO. 8                                                                   </v>
      </c>
      <c r="F1850" s="26" t="str">
        <f>"SANTIAGO ACAHUALTEPEC AMPLIACION                                                                                                            "</f>
        <v xml:space="preserve">SANTIAGO ACAHUALTEPEC AMPLIACION                                                                                                            </v>
      </c>
      <c r="G1850" s="26" t="str">
        <f t="shared" si="305"/>
        <v xml:space="preserve">IZTAPALAPA                                                                      </v>
      </c>
      <c r="H1850" s="26" t="str">
        <f>"063"</f>
        <v>063</v>
      </c>
      <c r="I1850" s="26" t="str">
        <f t="shared" si="297"/>
        <v>00</v>
      </c>
      <c r="J1850" s="26" t="str">
        <f t="shared" si="308"/>
        <v xml:space="preserve">64 </v>
      </c>
      <c r="K1850" s="26" t="str">
        <f t="shared" si="306"/>
        <v>IZ</v>
      </c>
      <c r="L1850" s="26" t="str">
        <f t="shared" si="307"/>
        <v>DGSEI</v>
      </c>
      <c r="M1850" s="26" t="str">
        <f t="shared" si="298"/>
        <v>FEDERAL</v>
      </c>
      <c r="N1850" s="26">
        <v>397</v>
      </c>
      <c r="O1850" s="26">
        <v>199</v>
      </c>
      <c r="P1850" s="26">
        <v>198</v>
      </c>
      <c r="Q1850" s="26">
        <v>12</v>
      </c>
      <c r="R1850" s="26">
        <v>1</v>
      </c>
      <c r="S1850" s="26">
        <v>11</v>
      </c>
      <c r="T1850" s="26">
        <v>5</v>
      </c>
      <c r="U1850" s="26">
        <v>17</v>
      </c>
      <c r="V1850" s="26">
        <v>1</v>
      </c>
      <c r="W1850" s="26"/>
    </row>
    <row r="1851" spans="1:23" x14ac:dyDescent="0.25">
      <c r="A1851" s="26" t="str">
        <f t="shared" si="296"/>
        <v>PRIMARIA</v>
      </c>
      <c r="B1851" s="26" t="str">
        <f>"09DPR4162A"</f>
        <v>09DPR4162A</v>
      </c>
      <c r="C1851" s="26" t="str">
        <f>"ALEJANDRO VOLTA                                                                                     "</f>
        <v xml:space="preserve">ALEJANDRO VOLTA                                                                                     </v>
      </c>
      <c r="D1851" s="26" t="str">
        <f>"MATUTINO"</f>
        <v>MATUTINO</v>
      </c>
      <c r="E1851" s="26" t="str">
        <f>"ELOY CAVAZOS NO. 120                                                            "</f>
        <v xml:space="preserve">ELOY CAVAZOS NO. 120                                                            </v>
      </c>
      <c r="F1851" s="26" t="str">
        <f>"SAN MIGUEL TEOTONGO                                                                                                                         "</f>
        <v xml:space="preserve">SAN MIGUEL TEOTONGO                                                                                                                         </v>
      </c>
      <c r="G1851" s="26" t="str">
        <f t="shared" si="305"/>
        <v xml:space="preserve">IZTAPALAPA                                                                      </v>
      </c>
      <c r="H1851" s="26" t="str">
        <f>"068"</f>
        <v>068</v>
      </c>
      <c r="I1851" s="26" t="str">
        <f t="shared" si="297"/>
        <v>00</v>
      </c>
      <c r="J1851" s="26" t="str">
        <f t="shared" si="308"/>
        <v xml:space="preserve">64 </v>
      </c>
      <c r="K1851" s="26" t="str">
        <f t="shared" si="306"/>
        <v>IZ</v>
      </c>
      <c r="L1851" s="26" t="str">
        <f t="shared" si="307"/>
        <v>DGSEI</v>
      </c>
      <c r="M1851" s="26" t="str">
        <f t="shared" si="298"/>
        <v>FEDERAL</v>
      </c>
      <c r="N1851" s="26">
        <v>435</v>
      </c>
      <c r="O1851" s="26">
        <v>204</v>
      </c>
      <c r="P1851" s="26">
        <v>231</v>
      </c>
      <c r="Q1851" s="26">
        <v>12</v>
      </c>
      <c r="R1851" s="26">
        <v>0</v>
      </c>
      <c r="S1851" s="26">
        <v>9</v>
      </c>
      <c r="T1851" s="26">
        <v>8</v>
      </c>
      <c r="U1851" s="26">
        <v>17</v>
      </c>
      <c r="V1851" s="26">
        <v>1</v>
      </c>
      <c r="W1851" s="26"/>
    </row>
    <row r="1852" spans="1:23" x14ac:dyDescent="0.25">
      <c r="A1852" s="26" t="str">
        <f t="shared" si="296"/>
        <v>PRIMARIA</v>
      </c>
      <c r="B1852" s="26" t="str">
        <f>"09DPR4163Z"</f>
        <v>09DPR4163Z</v>
      </c>
      <c r="C1852" s="26" t="str">
        <f>"BENITO PEREZ GALDOS                                                                                 "</f>
        <v xml:space="preserve">BENITO PEREZ GALDOS                                                                                 </v>
      </c>
      <c r="D1852" s="26" t="str">
        <f>"MATUTINO"</f>
        <v>MATUTINO</v>
      </c>
      <c r="E1852" s="26" t="str">
        <f>"JACARANDAS NO. 1                                                                "</f>
        <v xml:space="preserve">JACARANDAS NO. 1                                                                </v>
      </c>
      <c r="F1852" s="26" t="str">
        <f>"SAN MIGUEL TEOTONGO                                                                                                                         "</f>
        <v xml:space="preserve">SAN MIGUEL TEOTONGO                                                                                                                         </v>
      </c>
      <c r="G1852" s="26" t="str">
        <f t="shared" si="305"/>
        <v xml:space="preserve">IZTAPALAPA                                                                      </v>
      </c>
      <c r="H1852" s="26" t="str">
        <f>"067"</f>
        <v>067</v>
      </c>
      <c r="I1852" s="26" t="str">
        <f t="shared" si="297"/>
        <v>00</v>
      </c>
      <c r="J1852" s="26" t="str">
        <f t="shared" si="308"/>
        <v xml:space="preserve">64 </v>
      </c>
      <c r="K1852" s="26" t="str">
        <f t="shared" si="306"/>
        <v>IZ</v>
      </c>
      <c r="L1852" s="26" t="str">
        <f t="shared" si="307"/>
        <v>DGSEI</v>
      </c>
      <c r="M1852" s="26" t="str">
        <f t="shared" si="298"/>
        <v>FEDERAL</v>
      </c>
      <c r="N1852" s="26">
        <v>410</v>
      </c>
      <c r="O1852" s="26">
        <v>204</v>
      </c>
      <c r="P1852" s="26">
        <v>206</v>
      </c>
      <c r="Q1852" s="26">
        <v>12</v>
      </c>
      <c r="R1852" s="26">
        <v>1</v>
      </c>
      <c r="S1852" s="26">
        <v>12</v>
      </c>
      <c r="T1852" s="26">
        <v>7</v>
      </c>
      <c r="U1852" s="26">
        <v>20</v>
      </c>
      <c r="V1852" s="26">
        <v>1</v>
      </c>
      <c r="W1852" s="26"/>
    </row>
    <row r="1853" spans="1:23" x14ac:dyDescent="0.25">
      <c r="A1853" s="26" t="str">
        <f t="shared" si="296"/>
        <v>PRIMARIA</v>
      </c>
      <c r="B1853" s="26" t="str">
        <f>"09DPR4164Z"</f>
        <v>09DPR4164Z</v>
      </c>
      <c r="C1853" s="26" t="str">
        <f>"BENITO PEREZ GALDOS                                                                                 "</f>
        <v xml:space="preserve">BENITO PEREZ GALDOS                                                                                 </v>
      </c>
      <c r="D1853" s="26" t="str">
        <f>"VESPERTINO"</f>
        <v>VESPERTINO</v>
      </c>
      <c r="E1853" s="26" t="str">
        <f>"JACARANDAS NO. 1                                                                "</f>
        <v xml:space="preserve">JACARANDAS NO. 1                                                                </v>
      </c>
      <c r="F1853" s="26" t="str">
        <f>"SAN MIGUEL TEOTONGO                                                                                                                         "</f>
        <v xml:space="preserve">SAN MIGUEL TEOTONGO                                                                                                                         </v>
      </c>
      <c r="G1853" s="26" t="str">
        <f t="shared" si="305"/>
        <v xml:space="preserve">IZTAPALAPA                                                                      </v>
      </c>
      <c r="H1853" s="26" t="str">
        <f>"067"</f>
        <v>067</v>
      </c>
      <c r="I1853" s="26" t="str">
        <f t="shared" si="297"/>
        <v>00</v>
      </c>
      <c r="J1853" s="26" t="str">
        <f t="shared" si="308"/>
        <v xml:space="preserve">64 </v>
      </c>
      <c r="K1853" s="26" t="str">
        <f t="shared" si="306"/>
        <v>IZ</v>
      </c>
      <c r="L1853" s="26" t="str">
        <f t="shared" si="307"/>
        <v>DGSEI</v>
      </c>
      <c r="M1853" s="26" t="str">
        <f t="shared" si="298"/>
        <v>FEDERAL</v>
      </c>
      <c r="N1853" s="26">
        <v>242</v>
      </c>
      <c r="O1853" s="26">
        <v>117</v>
      </c>
      <c r="P1853" s="26">
        <v>125</v>
      </c>
      <c r="Q1853" s="26">
        <v>9</v>
      </c>
      <c r="R1853" s="26">
        <v>1</v>
      </c>
      <c r="S1853" s="26">
        <v>9</v>
      </c>
      <c r="T1853" s="26">
        <v>4</v>
      </c>
      <c r="U1853" s="26">
        <v>14</v>
      </c>
      <c r="V1853" s="26">
        <v>1</v>
      </c>
      <c r="W1853" s="26"/>
    </row>
    <row r="1854" spans="1:23" x14ac:dyDescent="0.25">
      <c r="A1854" s="26" t="str">
        <f t="shared" si="296"/>
        <v>PRIMARIA</v>
      </c>
      <c r="B1854" s="26" t="str">
        <f>"09DPR4165Y"</f>
        <v>09DPR4165Y</v>
      </c>
      <c r="C1854" s="26" t="str">
        <f>"DANIEL COSIO VILLEGAS                                                                               "</f>
        <v xml:space="preserve">DANIEL COSIO VILLEGAS                                                                               </v>
      </c>
      <c r="D1854" s="26" t="str">
        <f>"VESPERTINO"</f>
        <v>VESPERTINO</v>
      </c>
      <c r="E1854" s="26" t="str">
        <f>"CECILIO ACOSTA S/N                                                              "</f>
        <v xml:space="preserve">CECILIO ACOSTA S/N                                                              </v>
      </c>
      <c r="F1854" s="26" t="str">
        <f>"ZAPOTITLA                                                                                                                                   "</f>
        <v xml:space="preserve">ZAPOTITLA                                                                                                                                   </v>
      </c>
      <c r="G1854" s="26" t="str">
        <f>"TLAHUAC                                                                         "</f>
        <v xml:space="preserve">TLAHUAC                                                                         </v>
      </c>
      <c r="H1854" s="26" t="str">
        <f>"546"</f>
        <v>546</v>
      </c>
      <c r="I1854" s="26" t="str">
        <f t="shared" si="297"/>
        <v>00</v>
      </c>
      <c r="J1854" s="26" t="str">
        <f>"45 "</f>
        <v xml:space="preserve">45 </v>
      </c>
      <c r="K1854" s="26" t="str">
        <f>"PR"</f>
        <v>PR</v>
      </c>
      <c r="L1854" s="26" t="str">
        <f>"DGOSE"</f>
        <v>DGOSE</v>
      </c>
      <c r="M1854" s="26" t="str">
        <f t="shared" si="298"/>
        <v>FEDERAL</v>
      </c>
      <c r="N1854" s="26">
        <v>536</v>
      </c>
      <c r="O1854" s="26">
        <v>256</v>
      </c>
      <c r="P1854" s="26">
        <v>280</v>
      </c>
      <c r="Q1854" s="26">
        <v>19</v>
      </c>
      <c r="R1854" s="26">
        <v>1</v>
      </c>
      <c r="S1854" s="26">
        <v>18</v>
      </c>
      <c r="T1854" s="26">
        <v>8</v>
      </c>
      <c r="U1854" s="26">
        <v>27</v>
      </c>
      <c r="V1854" s="26">
        <v>1</v>
      </c>
      <c r="W1854" s="26"/>
    </row>
    <row r="1855" spans="1:23" x14ac:dyDescent="0.25">
      <c r="A1855" s="26" t="str">
        <f t="shared" si="296"/>
        <v>PRIMARIA</v>
      </c>
      <c r="B1855" s="26" t="str">
        <f>"09DPR4168V"</f>
        <v>09DPR4168V</v>
      </c>
      <c r="C1855" s="26" t="str">
        <f>"PROFR. ANTONIO S. LOPEZ                                                                             "</f>
        <v xml:space="preserve">PROFR. ANTONIO S. LOPEZ                                                                             </v>
      </c>
      <c r="D1855" s="26" t="str">
        <f>"VESPERTINO"</f>
        <v>VESPERTINO</v>
      </c>
      <c r="E1855" s="26" t="str">
        <f>"AV CENTENARIO NUM 1519                                                          "</f>
        <v xml:space="preserve">AV CENTENARIO NUM 1519                                                          </v>
      </c>
      <c r="F1855" s="26" t="str">
        <f>"HERON PROAL                                                                                                                                 "</f>
        <v xml:space="preserve">HERON PROAL                                                                                                                                 </v>
      </c>
      <c r="G1855" s="26" t="str">
        <f>"ALVARO OBREGON                                                                  "</f>
        <v xml:space="preserve">ALVARO OBREGON                                                                  </v>
      </c>
      <c r="H1855" s="26" t="str">
        <f>"324"</f>
        <v>324</v>
      </c>
      <c r="I1855" s="26" t="str">
        <f t="shared" si="297"/>
        <v>00</v>
      </c>
      <c r="J1855" s="26" t="str">
        <f>"43 "</f>
        <v xml:space="preserve">43 </v>
      </c>
      <c r="K1855" s="26" t="str">
        <f>"PR"</f>
        <v>PR</v>
      </c>
      <c r="L1855" s="26" t="str">
        <f>"DGOSE"</f>
        <v>DGOSE</v>
      </c>
      <c r="M1855" s="26" t="str">
        <f t="shared" si="298"/>
        <v>FEDERAL</v>
      </c>
      <c r="N1855" s="26">
        <v>326</v>
      </c>
      <c r="O1855" s="26">
        <v>164</v>
      </c>
      <c r="P1855" s="26">
        <v>162</v>
      </c>
      <c r="Q1855" s="26">
        <v>9</v>
      </c>
      <c r="R1855" s="26">
        <v>1</v>
      </c>
      <c r="S1855" s="26">
        <v>9</v>
      </c>
      <c r="T1855" s="26">
        <v>4</v>
      </c>
      <c r="U1855" s="26">
        <v>14</v>
      </c>
      <c r="V1855" s="26">
        <v>1</v>
      </c>
      <c r="W1855" s="26"/>
    </row>
    <row r="1856" spans="1:23" x14ac:dyDescent="0.25">
      <c r="A1856" s="26" t="str">
        <f t="shared" si="296"/>
        <v>PRIMARIA</v>
      </c>
      <c r="B1856" s="26" t="str">
        <f>"09DPR4179A"</f>
        <v>09DPR4179A</v>
      </c>
      <c r="C1856" s="26" t="str">
        <f>"ANDRES IDUARTE                                                                                      "</f>
        <v xml:space="preserve">ANDRES IDUARTE                                                                                      </v>
      </c>
      <c r="D1856" s="26" t="str">
        <f>"TIEMPO COMPLETO"</f>
        <v>TIEMPO COMPLETO</v>
      </c>
      <c r="E1856" s="26" t="str">
        <f>"AV ACUEDUCTO NUM 1042                                                           "</f>
        <v xml:space="preserve">AV ACUEDUCTO NUM 1042                                                           </v>
      </c>
      <c r="F1856" s="26" t="str">
        <f>"TICOMAN                                                                                                                                     "</f>
        <v xml:space="preserve">TICOMAN                                                                                                                                     </v>
      </c>
      <c r="G1856" s="26" t="str">
        <f>"GUSTAVO A. MADERO                                                               "</f>
        <v xml:space="preserve">GUSTAVO A. MADERO                                                               </v>
      </c>
      <c r="H1856" s="26" t="str">
        <f>"131"</f>
        <v>131</v>
      </c>
      <c r="I1856" s="26" t="str">
        <f t="shared" si="297"/>
        <v>00</v>
      </c>
      <c r="J1856" s="26" t="str">
        <f>"41 "</f>
        <v xml:space="preserve">41 </v>
      </c>
      <c r="K1856" s="26" t="str">
        <f>"PR"</f>
        <v>PR</v>
      </c>
      <c r="L1856" s="26" t="str">
        <f>"DGOSE"</f>
        <v>DGOSE</v>
      </c>
      <c r="M1856" s="26" t="str">
        <f t="shared" si="298"/>
        <v>FEDERAL</v>
      </c>
      <c r="N1856" s="26">
        <v>452</v>
      </c>
      <c r="O1856" s="26">
        <v>223</v>
      </c>
      <c r="P1856" s="26">
        <v>229</v>
      </c>
      <c r="Q1856" s="26">
        <v>16</v>
      </c>
      <c r="R1856" s="26">
        <v>1</v>
      </c>
      <c r="S1856" s="26">
        <v>16</v>
      </c>
      <c r="T1856" s="26">
        <v>16</v>
      </c>
      <c r="U1856" s="26">
        <v>33</v>
      </c>
      <c r="V1856" s="26">
        <v>1</v>
      </c>
      <c r="W1856" s="26" t="s">
        <v>218</v>
      </c>
    </row>
    <row r="1857" spans="1:23" x14ac:dyDescent="0.25">
      <c r="A1857" s="26" t="str">
        <f t="shared" si="296"/>
        <v>PRIMARIA</v>
      </c>
      <c r="B1857" s="26" t="str">
        <f>"09DPR4180Q"</f>
        <v>09DPR4180Q</v>
      </c>
      <c r="C1857" s="26" t="str">
        <f>"JOSE RUBEN ROMERO                                                                                   "</f>
        <v xml:space="preserve">JOSE RUBEN ROMERO                                                                                   </v>
      </c>
      <c r="D1857" s="26" t="str">
        <f>"VESPERTINO"</f>
        <v>VESPERTINO</v>
      </c>
      <c r="E1857" s="26" t="str">
        <f>"CALLE 6 NUM 333                                                                 "</f>
        <v xml:space="preserve">CALLE 6 NUM 333                                                                 </v>
      </c>
      <c r="F1857" s="26" t="str">
        <f>"AGRICOLA PANTITLAN                                                                                                                          "</f>
        <v xml:space="preserve">AGRICOLA PANTITLAN                                                                                                                          </v>
      </c>
      <c r="G1857" s="26" t="str">
        <f>"IZTACALCO                                                                       "</f>
        <v xml:space="preserve">IZTACALCO                                                                       </v>
      </c>
      <c r="H1857" s="26" t="str">
        <f>"354"</f>
        <v>354</v>
      </c>
      <c r="I1857" s="26" t="str">
        <f t="shared" si="297"/>
        <v>00</v>
      </c>
      <c r="J1857" s="26" t="str">
        <f>"43 "</f>
        <v xml:space="preserve">43 </v>
      </c>
      <c r="K1857" s="26" t="str">
        <f>"PR"</f>
        <v>PR</v>
      </c>
      <c r="L1857" s="26" t="str">
        <f>"DGOSE"</f>
        <v>DGOSE</v>
      </c>
      <c r="M1857" s="26" t="str">
        <f t="shared" si="298"/>
        <v>FEDERAL</v>
      </c>
      <c r="N1857" s="26">
        <v>391</v>
      </c>
      <c r="O1857" s="26">
        <v>192</v>
      </c>
      <c r="P1857" s="26">
        <v>199</v>
      </c>
      <c r="Q1857" s="26">
        <v>18</v>
      </c>
      <c r="R1857" s="26">
        <v>1</v>
      </c>
      <c r="S1857" s="26">
        <v>18</v>
      </c>
      <c r="T1857" s="26">
        <v>9</v>
      </c>
      <c r="U1857" s="26">
        <v>28</v>
      </c>
      <c r="V1857" s="26">
        <v>1</v>
      </c>
      <c r="W1857" s="26"/>
    </row>
    <row r="1858" spans="1:23" x14ac:dyDescent="0.25">
      <c r="A1858" s="26" t="str">
        <f t="shared" ref="A1858:A1921" si="309">"PRIMARIA"</f>
        <v>PRIMARIA</v>
      </c>
      <c r="B1858" s="26" t="str">
        <f>"09DPR4181P"</f>
        <v>09DPR4181P</v>
      </c>
      <c r="C1858" s="26" t="str">
        <f>"PROFRA. EMMA GODOY                                                                                  "</f>
        <v xml:space="preserve">PROFRA. EMMA GODOY                                                                                  </v>
      </c>
      <c r="D1858" s="26" t="str">
        <f>"VESPERTINO"</f>
        <v>VESPERTINO</v>
      </c>
      <c r="E1858" s="26" t="str">
        <f>"CHAPAB NUM 10                                                                   "</f>
        <v xml:space="preserve">CHAPAB NUM 10                                                                   </v>
      </c>
      <c r="F1858" s="26" t="str">
        <f>"CUCHILLA DE PADIERNA                                                                                                                        "</f>
        <v xml:space="preserve">CUCHILLA DE PADIERNA                                                                                                                        </v>
      </c>
      <c r="G1858" s="26" t="str">
        <f>"TLALPAN                                                                         "</f>
        <v xml:space="preserve">TLALPAN                                                                         </v>
      </c>
      <c r="H1858" s="26" t="str">
        <f>"516"</f>
        <v>516</v>
      </c>
      <c r="I1858" s="26" t="str">
        <f t="shared" ref="I1858:I1921" si="310">"00"</f>
        <v>00</v>
      </c>
      <c r="J1858" s="26" t="str">
        <f>"45 "</f>
        <v xml:space="preserve">45 </v>
      </c>
      <c r="K1858" s="26" t="str">
        <f>"PR"</f>
        <v>PR</v>
      </c>
      <c r="L1858" s="26" t="str">
        <f>"DGOSE"</f>
        <v>DGOSE</v>
      </c>
      <c r="M1858" s="26" t="str">
        <f t="shared" ref="M1858:M1921" si="311">"FEDERAL"</f>
        <v>FEDERAL</v>
      </c>
      <c r="N1858" s="26">
        <v>141</v>
      </c>
      <c r="O1858" s="26">
        <v>65</v>
      </c>
      <c r="P1858" s="26">
        <v>76</v>
      </c>
      <c r="Q1858" s="26">
        <v>7</v>
      </c>
      <c r="R1858" s="26">
        <v>1</v>
      </c>
      <c r="S1858" s="26">
        <v>7</v>
      </c>
      <c r="T1858" s="26">
        <v>4</v>
      </c>
      <c r="U1858" s="26">
        <v>12</v>
      </c>
      <c r="V1858" s="26">
        <v>1</v>
      </c>
      <c r="W1858" s="26"/>
    </row>
    <row r="1859" spans="1:23" x14ac:dyDescent="0.25">
      <c r="A1859" s="26" t="str">
        <f t="shared" si="309"/>
        <v>PRIMARIA</v>
      </c>
      <c r="B1859" s="26" t="str">
        <f>"09DPR4182O"</f>
        <v>09DPR4182O</v>
      </c>
      <c r="C1859" s="26" t="str">
        <f>"JULIO CORTAZAR                                                                                      "</f>
        <v xml:space="preserve">JULIO CORTAZAR                                                                                      </v>
      </c>
      <c r="D1859" s="26" t="str">
        <f>"MATUTINO"</f>
        <v>MATUTINO</v>
      </c>
      <c r="E1859" s="26" t="str">
        <f>"AV. JUAN CRISOSTOMO BONILLA S/N.                                                "</f>
        <v xml:space="preserve">AV. JUAN CRISOSTOMO BONILLA S/N.                                                </v>
      </c>
      <c r="F1859" s="26" t="str">
        <f>"UNIDAD HABITACIONAL IGNACIO ZARAGOZ                                                                                                         "</f>
        <v xml:space="preserve">UNIDAD HABITACIONAL IGNACIO ZARAGOZ                                                                                                         </v>
      </c>
      <c r="G1859" s="26" t="str">
        <f>"IZTAPALAPA                                                                      "</f>
        <v xml:space="preserve">IZTAPALAPA                                                                      </v>
      </c>
      <c r="H1859" s="26" t="str">
        <f>"020"</f>
        <v>020</v>
      </c>
      <c r="I1859" s="26" t="str">
        <f t="shared" si="310"/>
        <v>00</v>
      </c>
      <c r="J1859" s="26" t="str">
        <f>"62 "</f>
        <v xml:space="preserve">62 </v>
      </c>
      <c r="K1859" s="26" t="str">
        <f>"IZ"</f>
        <v>IZ</v>
      </c>
      <c r="L1859" s="26" t="str">
        <f>"DGSEI"</f>
        <v>DGSEI</v>
      </c>
      <c r="M1859" s="26" t="str">
        <f t="shared" si="311"/>
        <v>FEDERAL</v>
      </c>
      <c r="N1859" s="26">
        <v>457</v>
      </c>
      <c r="O1859" s="26">
        <v>235</v>
      </c>
      <c r="P1859" s="26">
        <v>222</v>
      </c>
      <c r="Q1859" s="26">
        <v>18</v>
      </c>
      <c r="R1859" s="26">
        <v>1</v>
      </c>
      <c r="S1859" s="26">
        <v>18</v>
      </c>
      <c r="T1859" s="26">
        <v>8</v>
      </c>
      <c r="U1859" s="26">
        <v>27</v>
      </c>
      <c r="V1859" s="26">
        <v>1</v>
      </c>
      <c r="W1859" s="26"/>
    </row>
    <row r="1860" spans="1:23" x14ac:dyDescent="0.25">
      <c r="A1860" s="26" t="str">
        <f t="shared" si="309"/>
        <v>PRIMARIA</v>
      </c>
      <c r="B1860" s="26" t="str">
        <f>"09DPR4183N"</f>
        <v>09DPR4183N</v>
      </c>
      <c r="C1860" s="26" t="str">
        <f>"JULIO CORTAZAR                                                                                      "</f>
        <v xml:space="preserve">JULIO CORTAZAR                                                                                      </v>
      </c>
      <c r="D1860" s="26" t="str">
        <f>"VESPERTINO"</f>
        <v>VESPERTINO</v>
      </c>
      <c r="E1860" s="26" t="str">
        <f>"AV. JUAN CRISOSTOMO BONILLA S/N                                                 "</f>
        <v xml:space="preserve">AV. JUAN CRISOSTOMO BONILLA S/N                                                 </v>
      </c>
      <c r="F1860" s="26" t="str">
        <f>"UNIDAD HABITACIONAL IGNACIO ZARAGOZ                                                                                                         "</f>
        <v xml:space="preserve">UNIDAD HABITACIONAL IGNACIO ZARAGOZ                                                                                                         </v>
      </c>
      <c r="G1860" s="26" t="str">
        <f>"IZTAPALAPA                                                                      "</f>
        <v xml:space="preserve">IZTAPALAPA                                                                      </v>
      </c>
      <c r="H1860" s="26" t="str">
        <f>"020"</f>
        <v>020</v>
      </c>
      <c r="I1860" s="26" t="str">
        <f t="shared" si="310"/>
        <v>00</v>
      </c>
      <c r="J1860" s="26" t="str">
        <f>"62 "</f>
        <v xml:space="preserve">62 </v>
      </c>
      <c r="K1860" s="26" t="str">
        <f>"IZ"</f>
        <v>IZ</v>
      </c>
      <c r="L1860" s="26" t="str">
        <f>"DGSEI"</f>
        <v>DGSEI</v>
      </c>
      <c r="M1860" s="26" t="str">
        <f t="shared" si="311"/>
        <v>FEDERAL</v>
      </c>
      <c r="N1860" s="26">
        <v>167</v>
      </c>
      <c r="O1860" s="26">
        <v>97</v>
      </c>
      <c r="P1860" s="26">
        <v>70</v>
      </c>
      <c r="Q1860" s="26">
        <v>11</v>
      </c>
      <c r="R1860" s="26">
        <v>1</v>
      </c>
      <c r="S1860" s="26">
        <v>11</v>
      </c>
      <c r="T1860" s="26">
        <v>8</v>
      </c>
      <c r="U1860" s="26">
        <v>20</v>
      </c>
      <c r="V1860" s="26">
        <v>1</v>
      </c>
      <c r="W1860" s="26"/>
    </row>
    <row r="1861" spans="1:23" x14ac:dyDescent="0.25">
      <c r="A1861" s="26" t="str">
        <f t="shared" si="309"/>
        <v>PRIMARIA</v>
      </c>
      <c r="B1861" s="26" t="str">
        <f>"09DPR4184M"</f>
        <v>09DPR4184M</v>
      </c>
      <c r="C1861" s="26" t="str">
        <f>"JOSE JESUS AGUILERA PALOMINO                                                                        "</f>
        <v xml:space="preserve">JOSE JESUS AGUILERA PALOMINO                                                                        </v>
      </c>
      <c r="D1861" s="26" t="str">
        <f>"JORNADA AMPLIADA"</f>
        <v>JORNADA AMPLIADA</v>
      </c>
      <c r="E1861" s="26" t="str">
        <f>"OCOXAL S/N                                                                      "</f>
        <v xml:space="preserve">OCOXAL S/N                                                                      </v>
      </c>
      <c r="F1861" s="26" t="str">
        <f>"PEDREGAL DE SANTO DOMINGO                                                                                                                   "</f>
        <v xml:space="preserve">PEDREGAL DE SANTO DOMINGO                                                                                                                   </v>
      </c>
      <c r="G1861" s="26" t="str">
        <f>"COYOACAN                                                                        "</f>
        <v xml:space="preserve">COYOACAN                                                                        </v>
      </c>
      <c r="H1861" s="26" t="str">
        <f>"437"</f>
        <v>437</v>
      </c>
      <c r="I1861" s="26" t="str">
        <f t="shared" si="310"/>
        <v>00</v>
      </c>
      <c r="J1861" s="26" t="str">
        <f>"44 "</f>
        <v xml:space="preserve">44 </v>
      </c>
      <c r="K1861" s="26" t="str">
        <f>"PR"</f>
        <v>PR</v>
      </c>
      <c r="L1861" s="26" t="str">
        <f>"DGOSE"</f>
        <v>DGOSE</v>
      </c>
      <c r="M1861" s="26" t="str">
        <f t="shared" si="311"/>
        <v>FEDERAL</v>
      </c>
      <c r="N1861" s="26">
        <v>254</v>
      </c>
      <c r="O1861" s="26">
        <v>129</v>
      </c>
      <c r="P1861" s="26">
        <v>125</v>
      </c>
      <c r="Q1861" s="26">
        <v>7</v>
      </c>
      <c r="R1861" s="26">
        <v>1</v>
      </c>
      <c r="S1861" s="26">
        <v>7</v>
      </c>
      <c r="T1861" s="26">
        <v>6</v>
      </c>
      <c r="U1861" s="26">
        <v>14</v>
      </c>
      <c r="V1861" s="26">
        <v>1</v>
      </c>
      <c r="W1861" s="26" t="s">
        <v>2076</v>
      </c>
    </row>
    <row r="1862" spans="1:23" x14ac:dyDescent="0.25">
      <c r="A1862" s="26" t="str">
        <f t="shared" si="309"/>
        <v>PRIMARIA</v>
      </c>
      <c r="B1862" s="26" t="str">
        <f>"09DPR4185L"</f>
        <v>09DPR4185L</v>
      </c>
      <c r="C1862" s="26" t="str">
        <f>"TEODORO A. DEHESA                                                                                   "</f>
        <v xml:space="preserve">TEODORO A. DEHESA                                                                                   </v>
      </c>
      <c r="D1862" s="26" t="str">
        <f>"MATUTINO"</f>
        <v>MATUTINO</v>
      </c>
      <c r="E1862" s="26" t="str">
        <f>"CALLE 11 NO. 160                                                                "</f>
        <v xml:space="preserve">CALLE 11 NO. 160                                                                </v>
      </c>
      <c r="F1862" s="26" t="str">
        <f>"JOSE LOPEZ PORTILLO                                                                                                                         "</f>
        <v xml:space="preserve">JOSE LOPEZ PORTILLO                                                                                                                         </v>
      </c>
      <c r="G1862" s="26" t="str">
        <f>"IZTAPALAPA                                                                      "</f>
        <v xml:space="preserve">IZTAPALAPA                                                                      </v>
      </c>
      <c r="H1862" s="26" t="str">
        <f>"049"</f>
        <v>049</v>
      </c>
      <c r="I1862" s="26" t="str">
        <f t="shared" si="310"/>
        <v>00</v>
      </c>
      <c r="J1862" s="26" t="str">
        <f>"63 "</f>
        <v xml:space="preserve">63 </v>
      </c>
      <c r="K1862" s="26" t="str">
        <f>"IZ"</f>
        <v>IZ</v>
      </c>
      <c r="L1862" s="26" t="str">
        <f>"DGSEI"</f>
        <v>DGSEI</v>
      </c>
      <c r="M1862" s="26" t="str">
        <f t="shared" si="311"/>
        <v>FEDERAL</v>
      </c>
      <c r="N1862" s="26">
        <v>219</v>
      </c>
      <c r="O1862" s="26">
        <v>108</v>
      </c>
      <c r="P1862" s="26">
        <v>111</v>
      </c>
      <c r="Q1862" s="26">
        <v>6</v>
      </c>
      <c r="R1862" s="26">
        <v>1</v>
      </c>
      <c r="S1862" s="26">
        <v>6</v>
      </c>
      <c r="T1862" s="26">
        <v>3</v>
      </c>
      <c r="U1862" s="26">
        <v>10</v>
      </c>
      <c r="V1862" s="26">
        <v>1</v>
      </c>
      <c r="W1862" s="26"/>
    </row>
    <row r="1863" spans="1:23" x14ac:dyDescent="0.25">
      <c r="A1863" s="26" t="str">
        <f t="shared" si="309"/>
        <v>PRIMARIA</v>
      </c>
      <c r="B1863" s="26" t="str">
        <f>"09DPR4186K"</f>
        <v>09DPR4186K</v>
      </c>
      <c r="C1863" s="26" t="str">
        <f>"PROFR. MARCELINO RENTERIA                                                                           "</f>
        <v xml:space="preserve">PROFR. MARCELINO RENTERIA                                                                           </v>
      </c>
      <c r="D1863" s="26" t="str">
        <f>"VESPERTINO"</f>
        <v>VESPERTINO</v>
      </c>
      <c r="E1863" s="26" t="str">
        <f>"SOL NO. 2 ESQ. LOPEZ PORTILLO                                                   "</f>
        <v xml:space="preserve">SOL NO. 2 ESQ. LOPEZ PORTILLO                                                   </v>
      </c>
      <c r="F1863" s="26" t="str">
        <f>"CONSEJO AGRARISTA MEXICANO                                                                                                                  "</f>
        <v xml:space="preserve">CONSEJO AGRARISTA MEXICANO                                                                                                                  </v>
      </c>
      <c r="G1863" s="26" t="str">
        <f>"IZTAPALAPA                                                                      "</f>
        <v xml:space="preserve">IZTAPALAPA                                                                      </v>
      </c>
      <c r="H1863" s="26" t="str">
        <f>"056"</f>
        <v>056</v>
      </c>
      <c r="I1863" s="26" t="str">
        <f t="shared" si="310"/>
        <v>00</v>
      </c>
      <c r="J1863" s="26" t="str">
        <f>"64 "</f>
        <v xml:space="preserve">64 </v>
      </c>
      <c r="K1863" s="26" t="str">
        <f>"IZ"</f>
        <v>IZ</v>
      </c>
      <c r="L1863" s="26" t="str">
        <f>"DGSEI"</f>
        <v>DGSEI</v>
      </c>
      <c r="M1863" s="26" t="str">
        <f t="shared" si="311"/>
        <v>FEDERAL</v>
      </c>
      <c r="N1863" s="26">
        <v>535</v>
      </c>
      <c r="O1863" s="26">
        <v>282</v>
      </c>
      <c r="P1863" s="26">
        <v>253</v>
      </c>
      <c r="Q1863" s="26">
        <v>18</v>
      </c>
      <c r="R1863" s="26">
        <v>0</v>
      </c>
      <c r="S1863" s="26">
        <v>18</v>
      </c>
      <c r="T1863" s="26">
        <v>6</v>
      </c>
      <c r="U1863" s="26">
        <v>24</v>
      </c>
      <c r="V1863" s="26">
        <v>1</v>
      </c>
      <c r="W1863" s="26"/>
    </row>
    <row r="1864" spans="1:23" x14ac:dyDescent="0.25">
      <c r="A1864" s="26" t="str">
        <f t="shared" si="309"/>
        <v>PRIMARIA</v>
      </c>
      <c r="B1864" s="26" t="str">
        <f>"09DPR4187J"</f>
        <v>09DPR4187J</v>
      </c>
      <c r="C1864" s="26" t="str">
        <f>"PROFR. SAUL VENANCIO ANCHONDO LOZOYA                                                                "</f>
        <v xml:space="preserve">PROFR. SAUL VENANCIO ANCHONDO LOZOYA                                                                </v>
      </c>
      <c r="D1864" s="26" t="str">
        <f>"MATUTINO"</f>
        <v>MATUTINO</v>
      </c>
      <c r="E1864" s="26" t="str">
        <f>"CARR. PANORAMICA PICACHO AJUSCO KM 8.5                                          "</f>
        <v xml:space="preserve">CARR. PANORAMICA PICACHO AJUSCO KM 8.5                                          </v>
      </c>
      <c r="F1864" s="26" t="str">
        <f>"BELVEDERE                                                                                                                                   "</f>
        <v xml:space="preserve">BELVEDERE                                                                                                                                   </v>
      </c>
      <c r="G1864" s="26" t="str">
        <f>"TLALPAN                                                                         "</f>
        <v xml:space="preserve">TLALPAN                                                                         </v>
      </c>
      <c r="H1864" s="26" t="str">
        <f>"515"</f>
        <v>515</v>
      </c>
      <c r="I1864" s="26" t="str">
        <f t="shared" si="310"/>
        <v>00</v>
      </c>
      <c r="J1864" s="26" t="str">
        <f>"45 "</f>
        <v xml:space="preserve">45 </v>
      </c>
      <c r="K1864" s="26" t="str">
        <f>"PR"</f>
        <v>PR</v>
      </c>
      <c r="L1864" s="26" t="str">
        <f>"DGOSE"</f>
        <v>DGOSE</v>
      </c>
      <c r="M1864" s="26" t="str">
        <f t="shared" si="311"/>
        <v>FEDERAL</v>
      </c>
      <c r="N1864" s="26">
        <v>601</v>
      </c>
      <c r="O1864" s="26">
        <v>305</v>
      </c>
      <c r="P1864" s="26">
        <v>296</v>
      </c>
      <c r="Q1864" s="26">
        <v>17</v>
      </c>
      <c r="R1864" s="26">
        <v>1</v>
      </c>
      <c r="S1864" s="26">
        <v>17</v>
      </c>
      <c r="T1864" s="26">
        <v>7</v>
      </c>
      <c r="U1864" s="26">
        <v>25</v>
      </c>
      <c r="V1864" s="26">
        <v>1</v>
      </c>
      <c r="W1864" s="26"/>
    </row>
    <row r="1865" spans="1:23" x14ac:dyDescent="0.25">
      <c r="A1865" s="26" t="str">
        <f t="shared" si="309"/>
        <v>PRIMARIA</v>
      </c>
      <c r="B1865" s="26" t="str">
        <f>"09DPR4188I"</f>
        <v>09DPR4188I</v>
      </c>
      <c r="C1865" s="26" t="str">
        <f>"PROFR. SAUL VENANCIO ANCHONDO LOZOYA                                                                "</f>
        <v xml:space="preserve">PROFR. SAUL VENANCIO ANCHONDO LOZOYA                                                                </v>
      </c>
      <c r="D1865" s="26" t="str">
        <f>"VESPERTINO"</f>
        <v>VESPERTINO</v>
      </c>
      <c r="E1865" s="26" t="str">
        <f>"CARR PANORAMICA AJUSCO KM 8.5                                                   "</f>
        <v xml:space="preserve">CARR PANORAMICA AJUSCO KM 8.5                                                   </v>
      </c>
      <c r="F1865" s="26" t="str">
        <f>"BELVEDERE                                                                                                                                   "</f>
        <v xml:space="preserve">BELVEDERE                                                                                                                                   </v>
      </c>
      <c r="G1865" s="26" t="str">
        <f>"TLALPAN                                                                         "</f>
        <v xml:space="preserve">TLALPAN                                                                         </v>
      </c>
      <c r="H1865" s="26" t="str">
        <f>"515"</f>
        <v>515</v>
      </c>
      <c r="I1865" s="26" t="str">
        <f t="shared" si="310"/>
        <v>00</v>
      </c>
      <c r="J1865" s="26" t="str">
        <f>"45 "</f>
        <v xml:space="preserve">45 </v>
      </c>
      <c r="K1865" s="26" t="str">
        <f>"PR"</f>
        <v>PR</v>
      </c>
      <c r="L1865" s="26" t="str">
        <f>"DGOSE"</f>
        <v>DGOSE</v>
      </c>
      <c r="M1865" s="26" t="str">
        <f t="shared" si="311"/>
        <v>FEDERAL</v>
      </c>
      <c r="N1865" s="26">
        <v>563</v>
      </c>
      <c r="O1865" s="26">
        <v>302</v>
      </c>
      <c r="P1865" s="26">
        <v>261</v>
      </c>
      <c r="Q1865" s="26">
        <v>17</v>
      </c>
      <c r="R1865" s="26">
        <v>1</v>
      </c>
      <c r="S1865" s="26">
        <v>17</v>
      </c>
      <c r="T1865" s="26">
        <v>9</v>
      </c>
      <c r="U1865" s="26">
        <v>27</v>
      </c>
      <c r="V1865" s="26">
        <v>1</v>
      </c>
      <c r="W1865" s="26"/>
    </row>
    <row r="1866" spans="1:23" x14ac:dyDescent="0.25">
      <c r="A1866" s="26" t="str">
        <f t="shared" si="309"/>
        <v>PRIMARIA</v>
      </c>
      <c r="B1866" s="26" t="str">
        <f>"09DPR4189H"</f>
        <v>09DPR4189H</v>
      </c>
      <c r="C1866" s="26" t="str">
        <f>"PROFR. CARLOS ESPINOSA ROMERO                                                                       "</f>
        <v xml:space="preserve">PROFR. CARLOS ESPINOSA ROMERO                                                                       </v>
      </c>
      <c r="D1866" s="26" t="str">
        <f>"VESPERTINO"</f>
        <v>VESPERTINO</v>
      </c>
      <c r="E1866" s="26" t="str">
        <f>"AV. JOSE LOPEZ PORTILLO NO. 19                                                  "</f>
        <v xml:space="preserve">AV. JOSE LOPEZ PORTILLO NO. 19                                                  </v>
      </c>
      <c r="F1866" s="26" t="str">
        <f>"PRESIDENTES DE MEXICO                                                                                                                       "</f>
        <v xml:space="preserve">PRESIDENTES DE MEXICO                                                                                                                       </v>
      </c>
      <c r="G1866" s="26" t="str">
        <f>"IZTAPALAPA                                                                      "</f>
        <v xml:space="preserve">IZTAPALAPA                                                                      </v>
      </c>
      <c r="H1866" s="26" t="str">
        <f>"057"</f>
        <v>057</v>
      </c>
      <c r="I1866" s="26" t="str">
        <f t="shared" si="310"/>
        <v>00</v>
      </c>
      <c r="J1866" s="26" t="str">
        <f>"64 "</f>
        <v xml:space="preserve">64 </v>
      </c>
      <c r="K1866" s="26" t="str">
        <f>"IZ"</f>
        <v>IZ</v>
      </c>
      <c r="L1866" s="26" t="str">
        <f>"DGSEI"</f>
        <v>DGSEI</v>
      </c>
      <c r="M1866" s="26" t="str">
        <f t="shared" si="311"/>
        <v>FEDERAL</v>
      </c>
      <c r="N1866" s="26">
        <v>221</v>
      </c>
      <c r="O1866" s="26">
        <v>117</v>
      </c>
      <c r="P1866" s="26">
        <v>104</v>
      </c>
      <c r="Q1866" s="26">
        <v>11</v>
      </c>
      <c r="R1866" s="26">
        <v>1</v>
      </c>
      <c r="S1866" s="26">
        <v>11</v>
      </c>
      <c r="T1866" s="26">
        <v>5</v>
      </c>
      <c r="U1866" s="26">
        <v>17</v>
      </c>
      <c r="V1866" s="26">
        <v>1</v>
      </c>
      <c r="W1866" s="26"/>
    </row>
    <row r="1867" spans="1:23" x14ac:dyDescent="0.25">
      <c r="A1867" s="26" t="str">
        <f t="shared" si="309"/>
        <v>PRIMARIA</v>
      </c>
      <c r="B1867" s="26" t="str">
        <f>"09DPR4190X"</f>
        <v>09DPR4190X</v>
      </c>
      <c r="C1867" s="26" t="str">
        <f>"RAFAEL DONDE                                                                                        "</f>
        <v xml:space="preserve">RAFAEL DONDE                                                                                        </v>
      </c>
      <c r="D1867" s="26" t="str">
        <f>"VESPERTINO"</f>
        <v>VESPERTINO</v>
      </c>
      <c r="E1867" s="26" t="str">
        <f>"BANDERA NO. 18                                                                  "</f>
        <v xml:space="preserve">BANDERA NO. 18                                                                  </v>
      </c>
      <c r="F1867" s="26" t="str">
        <f>"LOMAS DE ZARAGOZA                                                                                                                           "</f>
        <v xml:space="preserve">LOMAS DE ZARAGOZA                                                                                                                           </v>
      </c>
      <c r="G1867" s="26" t="str">
        <f>"IZTAPALAPA                                                                      "</f>
        <v xml:space="preserve">IZTAPALAPA                                                                      </v>
      </c>
      <c r="H1867" s="26" t="str">
        <f>"065"</f>
        <v>065</v>
      </c>
      <c r="I1867" s="26" t="str">
        <f t="shared" si="310"/>
        <v>00</v>
      </c>
      <c r="J1867" s="26" t="str">
        <f>"64 "</f>
        <v xml:space="preserve">64 </v>
      </c>
      <c r="K1867" s="26" t="str">
        <f>"IZ"</f>
        <v>IZ</v>
      </c>
      <c r="L1867" s="26" t="str">
        <f>"DGSEI"</f>
        <v>DGSEI</v>
      </c>
      <c r="M1867" s="26" t="str">
        <f t="shared" si="311"/>
        <v>FEDERAL</v>
      </c>
      <c r="N1867" s="26">
        <v>393</v>
      </c>
      <c r="O1867" s="26">
        <v>212</v>
      </c>
      <c r="P1867" s="26">
        <v>181</v>
      </c>
      <c r="Q1867" s="26">
        <v>13</v>
      </c>
      <c r="R1867" s="26">
        <v>1</v>
      </c>
      <c r="S1867" s="26">
        <v>13</v>
      </c>
      <c r="T1867" s="26">
        <v>4</v>
      </c>
      <c r="U1867" s="26">
        <v>18</v>
      </c>
      <c r="V1867" s="26">
        <v>1</v>
      </c>
      <c r="W1867" s="26"/>
    </row>
    <row r="1868" spans="1:23" x14ac:dyDescent="0.25">
      <c r="A1868" s="26" t="str">
        <f t="shared" si="309"/>
        <v>PRIMARIA</v>
      </c>
      <c r="B1868" s="26" t="str">
        <f>"09DPR4191W"</f>
        <v>09DPR4191W</v>
      </c>
      <c r="C1868" s="26" t="str">
        <f>"FRANCISCO SOSA                                                                                      "</f>
        <v xml:space="preserve">FRANCISCO SOSA                                                                                      </v>
      </c>
      <c r="D1868" s="26" t="str">
        <f>"MATUTINO"</f>
        <v>MATUTINO</v>
      </c>
      <c r="E1868" s="26" t="str">
        <f>"EVERARDO GAMIZ NO. 23                                                           "</f>
        <v xml:space="preserve">EVERARDO GAMIZ NO. 23                                                           </v>
      </c>
      <c r="F1868" s="26" t="str">
        <f>"LOMAS SAN LORENZO                                                                                                                           "</f>
        <v xml:space="preserve">LOMAS SAN LORENZO                                                                                                                           </v>
      </c>
      <c r="G1868" s="26" t="str">
        <f>"IZTAPALAPA                                                                      "</f>
        <v xml:space="preserve">IZTAPALAPA                                                                      </v>
      </c>
      <c r="H1868" s="26" t="str">
        <f>"047"</f>
        <v>047</v>
      </c>
      <c r="I1868" s="26" t="str">
        <f t="shared" si="310"/>
        <v>00</v>
      </c>
      <c r="J1868" s="26" t="str">
        <f>"63 "</f>
        <v xml:space="preserve">63 </v>
      </c>
      <c r="K1868" s="26" t="str">
        <f>"IZ"</f>
        <v>IZ</v>
      </c>
      <c r="L1868" s="26" t="str">
        <f>"DGSEI"</f>
        <v>DGSEI</v>
      </c>
      <c r="M1868" s="26" t="str">
        <f t="shared" si="311"/>
        <v>FEDERAL</v>
      </c>
      <c r="N1868" s="26">
        <v>521</v>
      </c>
      <c r="O1868" s="26">
        <v>292</v>
      </c>
      <c r="P1868" s="26">
        <v>229</v>
      </c>
      <c r="Q1868" s="26">
        <v>15</v>
      </c>
      <c r="R1868" s="26">
        <v>1</v>
      </c>
      <c r="S1868" s="26">
        <v>15</v>
      </c>
      <c r="T1868" s="26">
        <v>9</v>
      </c>
      <c r="U1868" s="26">
        <v>25</v>
      </c>
      <c r="V1868" s="26">
        <v>1</v>
      </c>
      <c r="W1868" s="26"/>
    </row>
    <row r="1869" spans="1:23" x14ac:dyDescent="0.25">
      <c r="A1869" s="26" t="str">
        <f t="shared" si="309"/>
        <v>PRIMARIA</v>
      </c>
      <c r="B1869" s="26" t="str">
        <f>"09DPR4192V"</f>
        <v>09DPR4192V</v>
      </c>
      <c r="C1869" s="26" t="str">
        <f>"FRANCISCO SOSA                                                                                      "</f>
        <v xml:space="preserve">FRANCISCO SOSA                                                                                      </v>
      </c>
      <c r="D1869" s="26" t="str">
        <f>"VESPERTINO"</f>
        <v>VESPERTINO</v>
      </c>
      <c r="E1869" s="26" t="str">
        <f>"EVERARDO GAMIZ NO. 23                                                           "</f>
        <v xml:space="preserve">EVERARDO GAMIZ NO. 23                                                           </v>
      </c>
      <c r="F1869" s="26" t="str">
        <f>"LOMAS SAN LORENZO                                                                                                                           "</f>
        <v xml:space="preserve">LOMAS SAN LORENZO                                                                                                                           </v>
      </c>
      <c r="G1869" s="26" t="str">
        <f>"IZTAPALAPA                                                                      "</f>
        <v xml:space="preserve">IZTAPALAPA                                                                      </v>
      </c>
      <c r="H1869" s="26" t="str">
        <f>"047"</f>
        <v>047</v>
      </c>
      <c r="I1869" s="26" t="str">
        <f t="shared" si="310"/>
        <v>00</v>
      </c>
      <c r="J1869" s="26" t="str">
        <f>"63 "</f>
        <v xml:space="preserve">63 </v>
      </c>
      <c r="K1869" s="26" t="str">
        <f>"IZ"</f>
        <v>IZ</v>
      </c>
      <c r="L1869" s="26" t="str">
        <f>"DGSEI"</f>
        <v>DGSEI</v>
      </c>
      <c r="M1869" s="26" t="str">
        <f t="shared" si="311"/>
        <v>FEDERAL</v>
      </c>
      <c r="N1869" s="26">
        <v>375</v>
      </c>
      <c r="O1869" s="26">
        <v>211</v>
      </c>
      <c r="P1869" s="26">
        <v>164</v>
      </c>
      <c r="Q1869" s="26">
        <v>14</v>
      </c>
      <c r="R1869" s="26">
        <v>1</v>
      </c>
      <c r="S1869" s="26">
        <v>14</v>
      </c>
      <c r="T1869" s="26">
        <v>7</v>
      </c>
      <c r="U1869" s="26">
        <v>22</v>
      </c>
      <c r="V1869" s="26">
        <v>1</v>
      </c>
      <c r="W1869" s="26"/>
    </row>
    <row r="1870" spans="1:23" x14ac:dyDescent="0.25">
      <c r="A1870" s="26" t="str">
        <f t="shared" si="309"/>
        <v>PRIMARIA</v>
      </c>
      <c r="B1870" s="26" t="str">
        <f>"09DPR4193U"</f>
        <v>09DPR4193U</v>
      </c>
      <c r="C1870" s="26" t="str">
        <f>"DANIEL RAMIREZ PEREZ                                                                                "</f>
        <v xml:space="preserve">DANIEL RAMIREZ PEREZ                                                                                </v>
      </c>
      <c r="D1870" s="26" t="str">
        <f>"MATUTINO"</f>
        <v>MATUTINO</v>
      </c>
      <c r="E1870" s="26" t="str">
        <f>"PINO S/N                                                                        "</f>
        <v xml:space="preserve">PINO S/N                                                                        </v>
      </c>
      <c r="F1870" s="26" t="str">
        <f>"GUADALUPE                                                                                                                                   "</f>
        <v xml:space="preserve">GUADALUPE                                                                                                                                   </v>
      </c>
      <c r="G1870" s="26" t="str">
        <f>"XOCHIMILCO                                                                      "</f>
        <v xml:space="preserve">XOCHIMILCO                                                                      </v>
      </c>
      <c r="H1870" s="26" t="str">
        <f>"541"</f>
        <v>541</v>
      </c>
      <c r="I1870" s="26" t="str">
        <f t="shared" si="310"/>
        <v>00</v>
      </c>
      <c r="J1870" s="26" t="str">
        <f>"45 "</f>
        <v xml:space="preserve">45 </v>
      </c>
      <c r="K1870" s="26" t="str">
        <f>"PR"</f>
        <v>PR</v>
      </c>
      <c r="L1870" s="26" t="str">
        <f>"DGOSE"</f>
        <v>DGOSE</v>
      </c>
      <c r="M1870" s="26" t="str">
        <f t="shared" si="311"/>
        <v>FEDERAL</v>
      </c>
      <c r="N1870" s="26">
        <v>493</v>
      </c>
      <c r="O1870" s="26">
        <v>253</v>
      </c>
      <c r="P1870" s="26">
        <v>240</v>
      </c>
      <c r="Q1870" s="26">
        <v>13</v>
      </c>
      <c r="R1870" s="26">
        <v>1</v>
      </c>
      <c r="S1870" s="26">
        <v>12</v>
      </c>
      <c r="T1870" s="26">
        <v>8</v>
      </c>
      <c r="U1870" s="26">
        <v>21</v>
      </c>
      <c r="V1870" s="26">
        <v>1</v>
      </c>
      <c r="W1870" s="26"/>
    </row>
    <row r="1871" spans="1:23" x14ac:dyDescent="0.25">
      <c r="A1871" s="26" t="str">
        <f t="shared" si="309"/>
        <v>PRIMARIA</v>
      </c>
      <c r="B1871" s="26" t="str">
        <f>"09DPR4194T"</f>
        <v>09DPR4194T</v>
      </c>
      <c r="C1871" s="26" t="str">
        <f>"PABLO MARTINEZ DEL RIO                                                                              "</f>
        <v xml:space="preserve">PABLO MARTINEZ DEL RIO                                                                              </v>
      </c>
      <c r="D1871" s="26" t="str">
        <f>"JORNADA AMPLIADA"</f>
        <v>JORNADA AMPLIADA</v>
      </c>
      <c r="E1871" s="26" t="str">
        <f>"EST. DE ROSA MARIA SEQUEIRA ZONA 18                                             "</f>
        <v xml:space="preserve">EST. DE ROSA MARIA SEQUEIRA ZONA 18                                             </v>
      </c>
      <c r="F1871" s="26" t="str">
        <f>"UNIDAD HABITACIONAL C T M                                                                                                                   "</f>
        <v xml:space="preserve">UNIDAD HABITACIONAL C T M                                                                                                                   </v>
      </c>
      <c r="G1871" s="26" t="str">
        <f>"COYOACAN                                                                        "</f>
        <v xml:space="preserve">COYOACAN                                                                        </v>
      </c>
      <c r="H1871" s="26" t="str">
        <f>"441"</f>
        <v>441</v>
      </c>
      <c r="I1871" s="26" t="str">
        <f t="shared" si="310"/>
        <v>00</v>
      </c>
      <c r="J1871" s="26" t="str">
        <f>"44 "</f>
        <v xml:space="preserve">44 </v>
      </c>
      <c r="K1871" s="26" t="str">
        <f>"PR"</f>
        <v>PR</v>
      </c>
      <c r="L1871" s="26" t="str">
        <f>"DGOSE"</f>
        <v>DGOSE</v>
      </c>
      <c r="M1871" s="26" t="str">
        <f t="shared" si="311"/>
        <v>FEDERAL</v>
      </c>
      <c r="N1871" s="26">
        <v>358</v>
      </c>
      <c r="O1871" s="26">
        <v>187</v>
      </c>
      <c r="P1871" s="26">
        <v>171</v>
      </c>
      <c r="Q1871" s="26">
        <v>12</v>
      </c>
      <c r="R1871" s="26">
        <v>1</v>
      </c>
      <c r="S1871" s="26">
        <v>11</v>
      </c>
      <c r="T1871" s="26">
        <v>11</v>
      </c>
      <c r="U1871" s="26">
        <v>23</v>
      </c>
      <c r="V1871" s="26">
        <v>1</v>
      </c>
      <c r="W1871" s="26" t="s">
        <v>2076</v>
      </c>
    </row>
    <row r="1872" spans="1:23" x14ac:dyDescent="0.25">
      <c r="A1872" s="26" t="str">
        <f t="shared" si="309"/>
        <v>PRIMARIA</v>
      </c>
      <c r="B1872" s="26" t="str">
        <f>"09DPR4195S"</f>
        <v>09DPR4195S</v>
      </c>
      <c r="C1872" s="26" t="str">
        <f>"PROFRA. HERMINIA ORDOÑEZ TORRES                                                                     "</f>
        <v xml:space="preserve">PROFRA. HERMINIA ORDOÑEZ TORRES                                                                     </v>
      </c>
      <c r="D1872" s="26" t="str">
        <f>"VESPERTINO"</f>
        <v>VESPERTINO</v>
      </c>
      <c r="E1872" s="26" t="str">
        <f>"2A CERRADA DE TABACHINES S/N                                                    "</f>
        <v xml:space="preserve">2A CERRADA DE TABACHINES S/N                                                    </v>
      </c>
      <c r="F1872" s="26" t="str">
        <f>"SAN MARCOS NORTE AMPLIACION                                                                                                                 "</f>
        <v xml:space="preserve">SAN MARCOS NORTE AMPLIACION                                                                                                                 </v>
      </c>
      <c r="G1872" s="26" t="str">
        <f>"XOCHIMILCO                                                                      "</f>
        <v xml:space="preserve">XOCHIMILCO                                                                      </v>
      </c>
      <c r="H1872" s="26" t="str">
        <f>"535"</f>
        <v>535</v>
      </c>
      <c r="I1872" s="26" t="str">
        <f t="shared" si="310"/>
        <v>00</v>
      </c>
      <c r="J1872" s="26" t="str">
        <f>"45 "</f>
        <v xml:space="preserve">45 </v>
      </c>
      <c r="K1872" s="26" t="str">
        <f>"PR"</f>
        <v>PR</v>
      </c>
      <c r="L1872" s="26" t="str">
        <f>"DGOSE"</f>
        <v>DGOSE</v>
      </c>
      <c r="M1872" s="26" t="str">
        <f t="shared" si="311"/>
        <v>FEDERAL</v>
      </c>
      <c r="N1872" s="26">
        <v>277</v>
      </c>
      <c r="O1872" s="26">
        <v>135</v>
      </c>
      <c r="P1872" s="26">
        <v>142</v>
      </c>
      <c r="Q1872" s="26">
        <v>12</v>
      </c>
      <c r="R1872" s="26">
        <v>1</v>
      </c>
      <c r="S1872" s="26">
        <v>12</v>
      </c>
      <c r="T1872" s="26">
        <v>8</v>
      </c>
      <c r="U1872" s="26">
        <v>21</v>
      </c>
      <c r="V1872" s="26">
        <v>1</v>
      </c>
      <c r="W1872" s="26"/>
    </row>
    <row r="1873" spans="1:23" x14ac:dyDescent="0.25">
      <c r="A1873" s="26" t="str">
        <f t="shared" si="309"/>
        <v>PRIMARIA</v>
      </c>
      <c r="B1873" s="26" t="str">
        <f>"09DPR4197Q"</f>
        <v>09DPR4197Q</v>
      </c>
      <c r="C1873" s="26" t="str">
        <f>"HERMANOS FLORES MAGON                                                                               "</f>
        <v xml:space="preserve">HERMANOS FLORES MAGON                                                                               </v>
      </c>
      <c r="D1873" s="26" t="str">
        <f>"MATUTINO"</f>
        <v>MATUTINO</v>
      </c>
      <c r="E1873" s="26" t="str">
        <f>"BENITO JUAREZ NO. 1                                                             "</f>
        <v xml:space="preserve">BENITO JUAREZ NO. 1                                                             </v>
      </c>
      <c r="F1873" s="26" t="str">
        <f>"IXTLAHUACAN                                                                                                                                 "</f>
        <v xml:space="preserve">IXTLAHUACAN                                                                                                                                 </v>
      </c>
      <c r="G1873" s="26" t="str">
        <f>"IZTAPALAPA                                                                      "</f>
        <v xml:space="preserve">IZTAPALAPA                                                                      </v>
      </c>
      <c r="H1873" s="26" t="str">
        <f>"066"</f>
        <v>066</v>
      </c>
      <c r="I1873" s="26" t="str">
        <f t="shared" si="310"/>
        <v>00</v>
      </c>
      <c r="J1873" s="26" t="str">
        <f>"64 "</f>
        <v xml:space="preserve">64 </v>
      </c>
      <c r="K1873" s="26" t="str">
        <f>"IZ"</f>
        <v>IZ</v>
      </c>
      <c r="L1873" s="26" t="str">
        <f>"DGSEI"</f>
        <v>DGSEI</v>
      </c>
      <c r="M1873" s="26" t="str">
        <f t="shared" si="311"/>
        <v>FEDERAL</v>
      </c>
      <c r="N1873" s="26">
        <v>347</v>
      </c>
      <c r="O1873" s="26">
        <v>175</v>
      </c>
      <c r="P1873" s="26">
        <v>172</v>
      </c>
      <c r="Q1873" s="26">
        <v>10</v>
      </c>
      <c r="R1873" s="26">
        <v>1</v>
      </c>
      <c r="S1873" s="26">
        <v>10</v>
      </c>
      <c r="T1873" s="26">
        <v>6</v>
      </c>
      <c r="U1873" s="26">
        <v>17</v>
      </c>
      <c r="V1873" s="26">
        <v>1</v>
      </c>
      <c r="W1873" s="26"/>
    </row>
    <row r="1874" spans="1:23" x14ac:dyDescent="0.25">
      <c r="A1874" s="26" t="str">
        <f t="shared" si="309"/>
        <v>PRIMARIA</v>
      </c>
      <c r="B1874" s="26" t="str">
        <f>"09DPR4198P"</f>
        <v>09DPR4198P</v>
      </c>
      <c r="C1874" s="26" t="str">
        <f>"CARLOS PELLICER                                                                                     "</f>
        <v xml:space="preserve">CARLOS PELLICER                                                                                     </v>
      </c>
      <c r="D1874" s="26" t="str">
        <f>"JORNADA AMPLIADA"</f>
        <v>JORNADA AMPLIADA</v>
      </c>
      <c r="E1874" s="26" t="str">
        <f>"AV CAFETALES Y SANTO TOMAS S/N                                                  "</f>
        <v xml:space="preserve">AV CAFETALES Y SANTO TOMAS S/N                                                  </v>
      </c>
      <c r="F1874" s="26" t="str">
        <f>"UNIDAD HABITACIONAL CTM DIEZ                                                                                                                "</f>
        <v xml:space="preserve">UNIDAD HABITACIONAL CTM DIEZ                                                                                                                </v>
      </c>
      <c r="G1874" s="26" t="str">
        <f>"COYOACAN                                                                        "</f>
        <v xml:space="preserve">COYOACAN                                                                        </v>
      </c>
      <c r="H1874" s="26" t="str">
        <f>"443"</f>
        <v>443</v>
      </c>
      <c r="I1874" s="26" t="str">
        <f t="shared" si="310"/>
        <v>00</v>
      </c>
      <c r="J1874" s="26" t="str">
        <f>"44 "</f>
        <v xml:space="preserve">44 </v>
      </c>
      <c r="K1874" s="26" t="str">
        <f>"PR"</f>
        <v>PR</v>
      </c>
      <c r="L1874" s="26" t="str">
        <f>"DGOSE"</f>
        <v>DGOSE</v>
      </c>
      <c r="M1874" s="26" t="str">
        <f t="shared" si="311"/>
        <v>FEDERAL</v>
      </c>
      <c r="N1874" s="26">
        <v>366</v>
      </c>
      <c r="O1874" s="26">
        <v>187</v>
      </c>
      <c r="P1874" s="26">
        <v>179</v>
      </c>
      <c r="Q1874" s="26">
        <v>12</v>
      </c>
      <c r="R1874" s="26">
        <v>1</v>
      </c>
      <c r="S1874" s="26">
        <v>12</v>
      </c>
      <c r="T1874" s="26">
        <v>11</v>
      </c>
      <c r="U1874" s="26">
        <v>24</v>
      </c>
      <c r="V1874" s="26">
        <v>1</v>
      </c>
      <c r="W1874" s="26" t="s">
        <v>2076</v>
      </c>
    </row>
    <row r="1875" spans="1:23" x14ac:dyDescent="0.25">
      <c r="A1875" s="26" t="str">
        <f t="shared" si="309"/>
        <v>PRIMARIA</v>
      </c>
      <c r="B1875" s="26" t="str">
        <f>"09DPR4199O"</f>
        <v>09DPR4199O</v>
      </c>
      <c r="C1875" s="26" t="str">
        <f>"XAVIER VILLAURRUTIA                                                                                 "</f>
        <v xml:space="preserve">XAVIER VILLAURRUTIA                                                                                 </v>
      </c>
      <c r="D1875" s="26" t="str">
        <f>"JORNADA AMPLIADA"</f>
        <v>JORNADA AMPLIADA</v>
      </c>
      <c r="E1875" s="26" t="str">
        <f>"ROSARIO CASTELLANOS S/N                                                         "</f>
        <v xml:space="preserve">ROSARIO CASTELLANOS S/N                                                         </v>
      </c>
      <c r="F1875" s="26" t="str">
        <f>"UNIDAD HABITACIONAL C T M                                                                                                                   "</f>
        <v xml:space="preserve">UNIDAD HABITACIONAL C T M                                                                                                                   </v>
      </c>
      <c r="G1875" s="26" t="str">
        <f>"COYOACAN                                                                        "</f>
        <v xml:space="preserve">COYOACAN                                                                        </v>
      </c>
      <c r="H1875" s="26" t="str">
        <f>"442"</f>
        <v>442</v>
      </c>
      <c r="I1875" s="26" t="str">
        <f t="shared" si="310"/>
        <v>00</v>
      </c>
      <c r="J1875" s="26" t="str">
        <f>"44 "</f>
        <v xml:space="preserve">44 </v>
      </c>
      <c r="K1875" s="26" t="str">
        <f>"PR"</f>
        <v>PR</v>
      </c>
      <c r="L1875" s="26" t="str">
        <f>"DGOSE"</f>
        <v>DGOSE</v>
      </c>
      <c r="M1875" s="26" t="str">
        <f t="shared" si="311"/>
        <v>FEDERAL</v>
      </c>
      <c r="N1875" s="26">
        <v>411</v>
      </c>
      <c r="O1875" s="26">
        <v>210</v>
      </c>
      <c r="P1875" s="26">
        <v>201</v>
      </c>
      <c r="Q1875" s="26">
        <v>12</v>
      </c>
      <c r="R1875" s="26">
        <v>1</v>
      </c>
      <c r="S1875" s="26">
        <v>12</v>
      </c>
      <c r="T1875" s="26">
        <v>11</v>
      </c>
      <c r="U1875" s="26">
        <v>24</v>
      </c>
      <c r="V1875" s="26">
        <v>1</v>
      </c>
      <c r="W1875" s="26" t="s">
        <v>2076</v>
      </c>
    </row>
    <row r="1876" spans="1:23" x14ac:dyDescent="0.25">
      <c r="A1876" s="26" t="str">
        <f t="shared" si="309"/>
        <v>PRIMARIA</v>
      </c>
      <c r="B1876" s="26" t="str">
        <f>"09DPR4200N"</f>
        <v>09DPR4200N</v>
      </c>
      <c r="C1876" s="26" t="str">
        <f>"ESTADO DE AGUASCALIENTES                                                                            "</f>
        <v xml:space="preserve">ESTADO DE AGUASCALIENTES                                                                            </v>
      </c>
      <c r="D1876" s="26" t="str">
        <f>"MATUTINO"</f>
        <v>MATUTINO</v>
      </c>
      <c r="E1876" s="26" t="str">
        <f>"AVENIDA VASCO DE QUIROGA S/N                                                    "</f>
        <v xml:space="preserve">AVENIDA VASCO DE QUIROGA S/N                                                    </v>
      </c>
      <c r="F1876" s="26" t="str">
        <f>"LA MEXICANA AMPLIACION                                                                                                                      "</f>
        <v xml:space="preserve">LA MEXICANA AMPLIACION                                                                                                                      </v>
      </c>
      <c r="G1876" s="26" t="str">
        <f>"ALVARO OBREGON                                                                  "</f>
        <v xml:space="preserve">ALVARO OBREGON                                                                  </v>
      </c>
      <c r="H1876" s="26" t="str">
        <f>"311"</f>
        <v>311</v>
      </c>
      <c r="I1876" s="26" t="str">
        <f t="shared" si="310"/>
        <v>00</v>
      </c>
      <c r="J1876" s="26" t="str">
        <f>"43 "</f>
        <v xml:space="preserve">43 </v>
      </c>
      <c r="K1876" s="26" t="str">
        <f>"PR"</f>
        <v>PR</v>
      </c>
      <c r="L1876" s="26" t="str">
        <f>"DGOSE"</f>
        <v>DGOSE</v>
      </c>
      <c r="M1876" s="26" t="str">
        <f t="shared" si="311"/>
        <v>FEDERAL</v>
      </c>
      <c r="N1876" s="26">
        <v>223</v>
      </c>
      <c r="O1876" s="26">
        <v>107</v>
      </c>
      <c r="P1876" s="26">
        <v>116</v>
      </c>
      <c r="Q1876" s="26">
        <v>7</v>
      </c>
      <c r="R1876" s="26">
        <v>1</v>
      </c>
      <c r="S1876" s="26">
        <v>7</v>
      </c>
      <c r="T1876" s="26">
        <v>7</v>
      </c>
      <c r="U1876" s="26">
        <v>15</v>
      </c>
      <c r="V1876" s="26">
        <v>1</v>
      </c>
      <c r="W1876" s="26"/>
    </row>
    <row r="1877" spans="1:23" x14ac:dyDescent="0.25">
      <c r="A1877" s="26" t="str">
        <f t="shared" si="309"/>
        <v>PRIMARIA</v>
      </c>
      <c r="B1877" s="26" t="str">
        <f>"09DPR4203K"</f>
        <v>09DPR4203K</v>
      </c>
      <c r="C1877" s="26" t="str">
        <f>"MEXICO-JAPON                                                                                        "</f>
        <v xml:space="preserve">MEXICO-JAPON                                                                                        </v>
      </c>
      <c r="D1877" s="26" t="str">
        <f>"MATUTINO"</f>
        <v>MATUTINO</v>
      </c>
      <c r="E1877" s="26" t="str">
        <f>"CHIMALPOPOCA NO. 1                                                              "</f>
        <v xml:space="preserve">CHIMALPOPOCA NO. 1                                                              </v>
      </c>
      <c r="F1877" s="26" t="str">
        <f>"MIXCOATL                                                                                                                                    "</f>
        <v xml:space="preserve">MIXCOATL                                                                                                                                    </v>
      </c>
      <c r="G1877" s="26" t="str">
        <f>"IZTAPALAPA                                                                      "</f>
        <v xml:space="preserve">IZTAPALAPA                                                                      </v>
      </c>
      <c r="H1877" s="26" t="str">
        <f>"055"</f>
        <v>055</v>
      </c>
      <c r="I1877" s="26" t="str">
        <f t="shared" si="310"/>
        <v>00</v>
      </c>
      <c r="J1877" s="26" t="str">
        <f>"64 "</f>
        <v xml:space="preserve">64 </v>
      </c>
      <c r="K1877" s="26" t="str">
        <f>"IZ"</f>
        <v>IZ</v>
      </c>
      <c r="L1877" s="26" t="str">
        <f>"DGSEI"</f>
        <v>DGSEI</v>
      </c>
      <c r="M1877" s="26" t="str">
        <f t="shared" si="311"/>
        <v>FEDERAL</v>
      </c>
      <c r="N1877" s="26">
        <v>783</v>
      </c>
      <c r="O1877" s="26">
        <v>420</v>
      </c>
      <c r="P1877" s="26">
        <v>363</v>
      </c>
      <c r="Q1877" s="26">
        <v>20</v>
      </c>
      <c r="R1877" s="26">
        <v>1</v>
      </c>
      <c r="S1877" s="26">
        <v>20</v>
      </c>
      <c r="T1877" s="26">
        <v>8</v>
      </c>
      <c r="U1877" s="26">
        <v>29</v>
      </c>
      <c r="V1877" s="26">
        <v>1</v>
      </c>
      <c r="W1877" s="26"/>
    </row>
    <row r="1878" spans="1:23" x14ac:dyDescent="0.25">
      <c r="A1878" s="26" t="str">
        <f t="shared" si="309"/>
        <v>PRIMARIA</v>
      </c>
      <c r="B1878" s="26" t="str">
        <f>"09DPR4204J"</f>
        <v>09DPR4204J</v>
      </c>
      <c r="C1878" s="26" t="str">
        <f>"MEXICO-JAPON                                                                                        "</f>
        <v xml:space="preserve">MEXICO-JAPON                                                                                        </v>
      </c>
      <c r="D1878" s="26" t="str">
        <f>"VESPERTINO"</f>
        <v>VESPERTINO</v>
      </c>
      <c r="E1878" s="26" t="str">
        <f>"CHIMALPOPOCA NO. 1                                                              "</f>
        <v xml:space="preserve">CHIMALPOPOCA NO. 1                                                              </v>
      </c>
      <c r="F1878" s="26" t="str">
        <f>"MIXCOATL                                                                                                                                    "</f>
        <v xml:space="preserve">MIXCOATL                                                                                                                                    </v>
      </c>
      <c r="G1878" s="26" t="str">
        <f>"IZTAPALAPA                                                                      "</f>
        <v xml:space="preserve">IZTAPALAPA                                                                      </v>
      </c>
      <c r="H1878" s="26" t="str">
        <f>"055"</f>
        <v>055</v>
      </c>
      <c r="I1878" s="26" t="str">
        <f t="shared" si="310"/>
        <v>00</v>
      </c>
      <c r="J1878" s="26" t="str">
        <f>"64 "</f>
        <v xml:space="preserve">64 </v>
      </c>
      <c r="K1878" s="26" t="str">
        <f>"IZ"</f>
        <v>IZ</v>
      </c>
      <c r="L1878" s="26" t="str">
        <f>"DGSEI"</f>
        <v>DGSEI</v>
      </c>
      <c r="M1878" s="26" t="str">
        <f t="shared" si="311"/>
        <v>FEDERAL</v>
      </c>
      <c r="N1878" s="26">
        <v>717</v>
      </c>
      <c r="O1878" s="26">
        <v>360</v>
      </c>
      <c r="P1878" s="26">
        <v>357</v>
      </c>
      <c r="Q1878" s="26">
        <v>20</v>
      </c>
      <c r="R1878" s="26">
        <v>1</v>
      </c>
      <c r="S1878" s="26">
        <v>20</v>
      </c>
      <c r="T1878" s="26">
        <v>8</v>
      </c>
      <c r="U1878" s="26">
        <v>29</v>
      </c>
      <c r="V1878" s="26">
        <v>1</v>
      </c>
      <c r="W1878" s="26"/>
    </row>
    <row r="1879" spans="1:23" x14ac:dyDescent="0.25">
      <c r="A1879" s="26" t="str">
        <f t="shared" si="309"/>
        <v>PRIMARIA</v>
      </c>
      <c r="B1879" s="26" t="str">
        <f>"09DPR4205I"</f>
        <v>09DPR4205I</v>
      </c>
      <c r="C1879" s="26" t="str">
        <f>"EVERARDO CRUZ SALMERON                                                                              "</f>
        <v xml:space="preserve">EVERARDO CRUZ SALMERON                                                                              </v>
      </c>
      <c r="D1879" s="26" t="str">
        <f>"JORNADA AMPLIADA"</f>
        <v>JORNADA AMPLIADA</v>
      </c>
      <c r="E1879" s="26" t="str">
        <f>"CERRO TETENCO NO 1                                                              "</f>
        <v xml:space="preserve">CERRO TETENCO NO 1                                                              </v>
      </c>
      <c r="F1879" s="26" t="str">
        <f>"MARIA ESTHER ZUNO DE ECHEVERRIA                                                                                                             "</f>
        <v xml:space="preserve">MARIA ESTHER ZUNO DE ECHEVERRIA                                                                                                             </v>
      </c>
      <c r="G1879" s="26" t="str">
        <f>"TLALPAN                                                                         "</f>
        <v xml:space="preserve">TLALPAN                                                                         </v>
      </c>
      <c r="H1879" s="26" t="str">
        <f>"447"</f>
        <v>447</v>
      </c>
      <c r="I1879" s="26" t="str">
        <f t="shared" si="310"/>
        <v>00</v>
      </c>
      <c r="J1879" s="26" t="str">
        <f>"44 "</f>
        <v xml:space="preserve">44 </v>
      </c>
      <c r="K1879" s="26" t="str">
        <f t="shared" ref="K1879:K1889" si="312">"PR"</f>
        <v>PR</v>
      </c>
      <c r="L1879" s="26" t="str">
        <f t="shared" ref="L1879:L1889" si="313">"DGOSE"</f>
        <v>DGOSE</v>
      </c>
      <c r="M1879" s="26" t="str">
        <f t="shared" si="311"/>
        <v>FEDERAL</v>
      </c>
      <c r="N1879" s="26">
        <v>583</v>
      </c>
      <c r="O1879" s="26">
        <v>308</v>
      </c>
      <c r="P1879" s="26">
        <v>275</v>
      </c>
      <c r="Q1879" s="26">
        <v>17</v>
      </c>
      <c r="R1879" s="26">
        <v>1</v>
      </c>
      <c r="S1879" s="26">
        <v>12</v>
      </c>
      <c r="T1879" s="26">
        <v>4</v>
      </c>
      <c r="U1879" s="26">
        <v>17</v>
      </c>
      <c r="V1879" s="26">
        <v>1</v>
      </c>
      <c r="W1879" s="26" t="s">
        <v>2076</v>
      </c>
    </row>
    <row r="1880" spans="1:23" x14ac:dyDescent="0.25">
      <c r="A1880" s="26" t="str">
        <f t="shared" si="309"/>
        <v>PRIMARIA</v>
      </c>
      <c r="B1880" s="26" t="str">
        <f>"09DPR4208F"</f>
        <v>09DPR4208F</v>
      </c>
      <c r="C1880" s="26" t="str">
        <f>"PROFRA. JOSEFINA TOLSA MARAÑON                                                                      "</f>
        <v xml:space="preserve">PROFRA. JOSEFINA TOLSA MARAÑON                                                                      </v>
      </c>
      <c r="D1880" s="26" t="str">
        <f>"VESPERTINO"</f>
        <v>VESPERTINO</v>
      </c>
      <c r="E1880" s="26" t="str">
        <f>"CDA. CORNELIO LARIOS S/N                                                        "</f>
        <v xml:space="preserve">CDA. CORNELIO LARIOS S/N                                                        </v>
      </c>
      <c r="F1880" s="26" t="str">
        <f>"PALMATITLA                                                                                                                                  "</f>
        <v xml:space="preserve">PALMATITLA                                                                                                                                  </v>
      </c>
      <c r="G1880" s="26" t="str">
        <f>"GUSTAVO A. MADERO                                                               "</f>
        <v xml:space="preserve">GUSTAVO A. MADERO                                                               </v>
      </c>
      <c r="H1880" s="26" t="str">
        <f>"228"</f>
        <v>228</v>
      </c>
      <c r="I1880" s="26" t="str">
        <f t="shared" si="310"/>
        <v>00</v>
      </c>
      <c r="J1880" s="26" t="str">
        <f>"42 "</f>
        <v xml:space="preserve">42 </v>
      </c>
      <c r="K1880" s="26" t="str">
        <f t="shared" si="312"/>
        <v>PR</v>
      </c>
      <c r="L1880" s="26" t="str">
        <f t="shared" si="313"/>
        <v>DGOSE</v>
      </c>
      <c r="M1880" s="26" t="str">
        <f t="shared" si="311"/>
        <v>FEDERAL</v>
      </c>
      <c r="N1880" s="26">
        <v>488</v>
      </c>
      <c r="O1880" s="26">
        <v>260</v>
      </c>
      <c r="P1880" s="26">
        <v>228</v>
      </c>
      <c r="Q1880" s="26">
        <v>18</v>
      </c>
      <c r="R1880" s="26">
        <v>1</v>
      </c>
      <c r="S1880" s="26">
        <v>18</v>
      </c>
      <c r="T1880" s="26">
        <v>11</v>
      </c>
      <c r="U1880" s="26">
        <v>30</v>
      </c>
      <c r="V1880" s="26">
        <v>1</v>
      </c>
      <c r="W1880" s="26"/>
    </row>
    <row r="1881" spans="1:23" x14ac:dyDescent="0.25">
      <c r="A1881" s="26" t="str">
        <f t="shared" si="309"/>
        <v>PRIMARIA</v>
      </c>
      <c r="B1881" s="26" t="str">
        <f>"09DPR4209E"</f>
        <v>09DPR4209E</v>
      </c>
      <c r="C1881" s="26" t="str">
        <f>"LUCAS ORTIZ BENITEZ                                                                                 "</f>
        <v xml:space="preserve">LUCAS ORTIZ BENITEZ                                                                                 </v>
      </c>
      <c r="D1881" s="26" t="str">
        <f>"JORNADA AMPLIADA"</f>
        <v>JORNADA AMPLIADA</v>
      </c>
      <c r="E1881" s="26" t="str">
        <f>"3ER ANDADOR DE TENAYUCA SN                                                      "</f>
        <v xml:space="preserve">3ER ANDADOR DE TENAYUCA SN                                                      </v>
      </c>
      <c r="F1881" s="26" t="str">
        <f>"EL ARBOLILLO                                                                                                                                "</f>
        <v xml:space="preserve">EL ARBOLILLO                                                                                                                                </v>
      </c>
      <c r="G1881" s="26" t="str">
        <f>"GUSTAVO A. MADERO                                                               "</f>
        <v xml:space="preserve">GUSTAVO A. MADERO                                                               </v>
      </c>
      <c r="H1881" s="26" t="str">
        <f>"131"</f>
        <v>131</v>
      </c>
      <c r="I1881" s="26" t="str">
        <f t="shared" si="310"/>
        <v>00</v>
      </c>
      <c r="J1881" s="26" t="str">
        <f>"41 "</f>
        <v xml:space="preserve">41 </v>
      </c>
      <c r="K1881" s="26" t="str">
        <f t="shared" si="312"/>
        <v>PR</v>
      </c>
      <c r="L1881" s="26" t="str">
        <f t="shared" si="313"/>
        <v>DGOSE</v>
      </c>
      <c r="M1881" s="26" t="str">
        <f t="shared" si="311"/>
        <v>FEDERAL</v>
      </c>
      <c r="N1881" s="26">
        <v>624</v>
      </c>
      <c r="O1881" s="26">
        <v>315</v>
      </c>
      <c r="P1881" s="26">
        <v>309</v>
      </c>
      <c r="Q1881" s="26">
        <v>18</v>
      </c>
      <c r="R1881" s="26">
        <v>1</v>
      </c>
      <c r="S1881" s="26">
        <v>18</v>
      </c>
      <c r="T1881" s="26">
        <v>11</v>
      </c>
      <c r="U1881" s="26">
        <v>30</v>
      </c>
      <c r="V1881" s="26">
        <v>1</v>
      </c>
      <c r="W1881" s="26" t="s">
        <v>2076</v>
      </c>
    </row>
    <row r="1882" spans="1:23" x14ac:dyDescent="0.25">
      <c r="A1882" s="26" t="str">
        <f t="shared" si="309"/>
        <v>PRIMARIA</v>
      </c>
      <c r="B1882" s="26" t="str">
        <f>"09DPR4211T"</f>
        <v>09DPR4211T</v>
      </c>
      <c r="C1882" s="26" t="str">
        <f>"EULALIA GUZMAN BARRON                                                                               "</f>
        <v xml:space="preserve">EULALIA GUZMAN BARRON                                                                               </v>
      </c>
      <c r="D1882" s="26" t="str">
        <f>"MATUTINO"</f>
        <v>MATUTINO</v>
      </c>
      <c r="E1882" s="26" t="str">
        <f>"ANGEL REYES S/N                                                                 "</f>
        <v xml:space="preserve">ANGEL REYES S/N                                                                 </v>
      </c>
      <c r="F1882" s="26" t="str">
        <f>"HERON PROAL                                                                                                                                 "</f>
        <v xml:space="preserve">HERON PROAL                                                                                                                                 </v>
      </c>
      <c r="G1882" s="26" t="str">
        <f>"ALVARO OBREGON                                                                  "</f>
        <v xml:space="preserve">ALVARO OBREGON                                                                  </v>
      </c>
      <c r="H1882" s="26" t="str">
        <f>"323"</f>
        <v>323</v>
      </c>
      <c r="I1882" s="26" t="str">
        <f t="shared" si="310"/>
        <v>00</v>
      </c>
      <c r="J1882" s="26" t="str">
        <f>"43 "</f>
        <v xml:space="preserve">43 </v>
      </c>
      <c r="K1882" s="26" t="str">
        <f t="shared" si="312"/>
        <v>PR</v>
      </c>
      <c r="L1882" s="26" t="str">
        <f t="shared" si="313"/>
        <v>DGOSE</v>
      </c>
      <c r="M1882" s="26" t="str">
        <f t="shared" si="311"/>
        <v>FEDERAL</v>
      </c>
      <c r="N1882" s="26">
        <v>339</v>
      </c>
      <c r="O1882" s="26">
        <v>163</v>
      </c>
      <c r="P1882" s="26">
        <v>176</v>
      </c>
      <c r="Q1882" s="26">
        <v>9</v>
      </c>
      <c r="R1882" s="26">
        <v>1</v>
      </c>
      <c r="S1882" s="26">
        <v>9</v>
      </c>
      <c r="T1882" s="26">
        <v>5</v>
      </c>
      <c r="U1882" s="26">
        <v>15</v>
      </c>
      <c r="V1882" s="26">
        <v>1</v>
      </c>
      <c r="W1882" s="26"/>
    </row>
    <row r="1883" spans="1:23" x14ac:dyDescent="0.25">
      <c r="A1883" s="26" t="str">
        <f t="shared" si="309"/>
        <v>PRIMARIA</v>
      </c>
      <c r="B1883" s="26" t="str">
        <f>"09DPR4212S"</f>
        <v>09DPR4212S</v>
      </c>
      <c r="C1883" s="26" t="str">
        <f>"ESTADO DE AGUASCALIENTES                                                                            "</f>
        <v xml:space="preserve">ESTADO DE AGUASCALIENTES                                                                            </v>
      </c>
      <c r="D1883" s="26" t="str">
        <f>"VESPERTINO"</f>
        <v>VESPERTINO</v>
      </c>
      <c r="E1883" s="26" t="str">
        <f>"AVENIDA VASCO DE QUIROGA S/N                                                    "</f>
        <v xml:space="preserve">AVENIDA VASCO DE QUIROGA S/N                                                    </v>
      </c>
      <c r="F1883" s="26" t="str">
        <f>"LA MEXICANA AMPLIACION                                                                                                                      "</f>
        <v xml:space="preserve">LA MEXICANA AMPLIACION                                                                                                                      </v>
      </c>
      <c r="G1883" s="26" t="str">
        <f>"ALVARO OBREGON                                                                  "</f>
        <v xml:space="preserve">ALVARO OBREGON                                                                  </v>
      </c>
      <c r="H1883" s="26" t="str">
        <f>"311"</f>
        <v>311</v>
      </c>
      <c r="I1883" s="26" t="str">
        <f t="shared" si="310"/>
        <v>00</v>
      </c>
      <c r="J1883" s="26" t="str">
        <f>"43 "</f>
        <v xml:space="preserve">43 </v>
      </c>
      <c r="K1883" s="26" t="str">
        <f t="shared" si="312"/>
        <v>PR</v>
      </c>
      <c r="L1883" s="26" t="str">
        <f t="shared" si="313"/>
        <v>DGOSE</v>
      </c>
      <c r="M1883" s="26" t="str">
        <f t="shared" si="311"/>
        <v>FEDERAL</v>
      </c>
      <c r="N1883" s="26">
        <v>172</v>
      </c>
      <c r="O1883" s="26">
        <v>89</v>
      </c>
      <c r="P1883" s="26">
        <v>83</v>
      </c>
      <c r="Q1883" s="26">
        <v>7</v>
      </c>
      <c r="R1883" s="26">
        <v>1</v>
      </c>
      <c r="S1883" s="26">
        <v>7</v>
      </c>
      <c r="T1883" s="26">
        <v>6</v>
      </c>
      <c r="U1883" s="26">
        <v>14</v>
      </c>
      <c r="V1883" s="26">
        <v>1</v>
      </c>
      <c r="W1883" s="26"/>
    </row>
    <row r="1884" spans="1:23" x14ac:dyDescent="0.25">
      <c r="A1884" s="26" t="str">
        <f t="shared" si="309"/>
        <v>PRIMARIA</v>
      </c>
      <c r="B1884" s="26" t="str">
        <f>"09DPR4213R"</f>
        <v>09DPR4213R</v>
      </c>
      <c r="C1884" s="26" t="str">
        <f>"PROFR. RAFAEL HERNANDEZ LOPEZ                                                                       "</f>
        <v xml:space="preserve">PROFR. RAFAEL HERNANDEZ LOPEZ                                                                       </v>
      </c>
      <c r="D1884" s="26" t="str">
        <f>"VESPERTINO"</f>
        <v>VESPERTINO</v>
      </c>
      <c r="E1884" s="26" t="str">
        <f>"EMILIANO ZAPATA 172                                                             "</f>
        <v xml:space="preserve">EMILIANO ZAPATA 172                                                             </v>
      </c>
      <c r="F1884" s="26" t="str">
        <f>"VISTA HERMOSA                                                                                                                               "</f>
        <v xml:space="preserve">VISTA HERMOSA                                                                                                                               </v>
      </c>
      <c r="G1884" s="26" t="str">
        <f>"LA MAGDALENA CONTRERAS                                                          "</f>
        <v xml:space="preserve">LA MAGDALENA CONTRERAS                                                          </v>
      </c>
      <c r="H1884" s="26" t="str">
        <f>"335"</f>
        <v>335</v>
      </c>
      <c r="I1884" s="26" t="str">
        <f t="shared" si="310"/>
        <v>00</v>
      </c>
      <c r="J1884" s="26" t="str">
        <f>"43 "</f>
        <v xml:space="preserve">43 </v>
      </c>
      <c r="K1884" s="26" t="str">
        <f t="shared" si="312"/>
        <v>PR</v>
      </c>
      <c r="L1884" s="26" t="str">
        <f t="shared" si="313"/>
        <v>DGOSE</v>
      </c>
      <c r="M1884" s="26" t="str">
        <f t="shared" si="311"/>
        <v>FEDERAL</v>
      </c>
      <c r="N1884" s="26">
        <v>276</v>
      </c>
      <c r="O1884" s="26">
        <v>138</v>
      </c>
      <c r="P1884" s="26">
        <v>138</v>
      </c>
      <c r="Q1884" s="26">
        <v>12</v>
      </c>
      <c r="R1884" s="26">
        <v>1</v>
      </c>
      <c r="S1884" s="26">
        <v>12</v>
      </c>
      <c r="T1884" s="26">
        <v>7</v>
      </c>
      <c r="U1884" s="26">
        <v>20</v>
      </c>
      <c r="V1884" s="26">
        <v>1</v>
      </c>
      <c r="W1884" s="26"/>
    </row>
    <row r="1885" spans="1:23" x14ac:dyDescent="0.25">
      <c r="A1885" s="26" t="str">
        <f t="shared" si="309"/>
        <v>PRIMARIA</v>
      </c>
      <c r="B1885" s="26" t="str">
        <f>"09DPR4214Q"</f>
        <v>09DPR4214Q</v>
      </c>
      <c r="C1885" s="26" t="str">
        <f>"PROFR. RAFAEL HERNANDEZ LOPEZ                                                                       "</f>
        <v xml:space="preserve">PROFR. RAFAEL HERNANDEZ LOPEZ                                                                       </v>
      </c>
      <c r="D1885" s="26" t="str">
        <f>"MATUTINO"</f>
        <v>MATUTINO</v>
      </c>
      <c r="E1885" s="26" t="str">
        <f>"EMILIANO ZAPATA 172                                                             "</f>
        <v xml:space="preserve">EMILIANO ZAPATA 172                                                             </v>
      </c>
      <c r="F1885" s="26" t="str">
        <f>"VISTA HERMOSA                                                                                                                               "</f>
        <v xml:space="preserve">VISTA HERMOSA                                                                                                                               </v>
      </c>
      <c r="G1885" s="26" t="str">
        <f>"LA MAGDALENA CONTRERAS                                                          "</f>
        <v xml:space="preserve">LA MAGDALENA CONTRERAS                                                          </v>
      </c>
      <c r="H1885" s="26" t="str">
        <f>"335"</f>
        <v>335</v>
      </c>
      <c r="I1885" s="26" t="str">
        <f t="shared" si="310"/>
        <v>00</v>
      </c>
      <c r="J1885" s="26" t="str">
        <f>"43 "</f>
        <v xml:space="preserve">43 </v>
      </c>
      <c r="K1885" s="26" t="str">
        <f t="shared" si="312"/>
        <v>PR</v>
      </c>
      <c r="L1885" s="26" t="str">
        <f t="shared" si="313"/>
        <v>DGOSE</v>
      </c>
      <c r="M1885" s="26" t="str">
        <f t="shared" si="311"/>
        <v>FEDERAL</v>
      </c>
      <c r="N1885" s="26">
        <v>598</v>
      </c>
      <c r="O1885" s="26">
        <v>283</v>
      </c>
      <c r="P1885" s="26">
        <v>315</v>
      </c>
      <c r="Q1885" s="26">
        <v>17</v>
      </c>
      <c r="R1885" s="26">
        <v>1</v>
      </c>
      <c r="S1885" s="26">
        <v>17</v>
      </c>
      <c r="T1885" s="26">
        <v>11</v>
      </c>
      <c r="U1885" s="26">
        <v>29</v>
      </c>
      <c r="V1885" s="26">
        <v>1</v>
      </c>
      <c r="W1885" s="26"/>
    </row>
    <row r="1886" spans="1:23" x14ac:dyDescent="0.25">
      <c r="A1886" s="26" t="str">
        <f t="shared" si="309"/>
        <v>PRIMARIA</v>
      </c>
      <c r="B1886" s="26" t="str">
        <f>"09DPR4215P"</f>
        <v>09DPR4215P</v>
      </c>
      <c r="C1886" s="26" t="str">
        <f>"MARIANO ESCOBEDO                                                                                    "</f>
        <v xml:space="preserve">MARIANO ESCOBEDO                                                                                    </v>
      </c>
      <c r="D1886" s="26" t="str">
        <f>"MATUTINO"</f>
        <v>MATUTINO</v>
      </c>
      <c r="E1886" s="26" t="str">
        <f>"AV DEL ROSAL S/N                                                                "</f>
        <v xml:space="preserve">AV DEL ROSAL S/N                                                                </v>
      </c>
      <c r="F1886" s="26" t="str">
        <f>"TEPEACA AMPLIACION                                                                                                                          "</f>
        <v xml:space="preserve">TEPEACA AMPLIACION                                                                                                                          </v>
      </c>
      <c r="G1886" s="26" t="str">
        <f>"ALVARO OBREGON                                                                  "</f>
        <v xml:space="preserve">ALVARO OBREGON                                                                  </v>
      </c>
      <c r="H1886" s="26" t="str">
        <f>"324"</f>
        <v>324</v>
      </c>
      <c r="I1886" s="26" t="str">
        <f t="shared" si="310"/>
        <v>00</v>
      </c>
      <c r="J1886" s="26" t="str">
        <f>"43 "</f>
        <v xml:space="preserve">43 </v>
      </c>
      <c r="K1886" s="26" t="str">
        <f t="shared" si="312"/>
        <v>PR</v>
      </c>
      <c r="L1886" s="26" t="str">
        <f t="shared" si="313"/>
        <v>DGOSE</v>
      </c>
      <c r="M1886" s="26" t="str">
        <f t="shared" si="311"/>
        <v>FEDERAL</v>
      </c>
      <c r="N1886" s="26">
        <v>349</v>
      </c>
      <c r="O1886" s="26">
        <v>181</v>
      </c>
      <c r="P1886" s="26">
        <v>168</v>
      </c>
      <c r="Q1886" s="26">
        <v>10</v>
      </c>
      <c r="R1886" s="26">
        <v>1</v>
      </c>
      <c r="S1886" s="26">
        <v>10</v>
      </c>
      <c r="T1886" s="26">
        <v>5</v>
      </c>
      <c r="U1886" s="26">
        <v>16</v>
      </c>
      <c r="V1886" s="26">
        <v>1</v>
      </c>
      <c r="W1886" s="26"/>
    </row>
    <row r="1887" spans="1:23" x14ac:dyDescent="0.25">
      <c r="A1887" s="26" t="str">
        <f t="shared" si="309"/>
        <v>PRIMARIA</v>
      </c>
      <c r="B1887" s="26" t="str">
        <f>"09DPR4216O"</f>
        <v>09DPR4216O</v>
      </c>
      <c r="C1887" s="26" t="str">
        <f>"LAZARO PAVIA                                                                                        "</f>
        <v xml:space="preserve">LAZARO PAVIA                                                                                        </v>
      </c>
      <c r="D1887" s="26" t="str">
        <f>"MATUTINO"</f>
        <v>MATUTINO</v>
      </c>
      <c r="E1887" s="26" t="str">
        <f>"AKIL NUM 138                                                                    "</f>
        <v xml:space="preserve">AKIL NUM 138                                                                    </v>
      </c>
      <c r="F1887" s="26" t="str">
        <f>"POPULAR SANTA TERESA                                                                                                                        "</f>
        <v xml:space="preserve">POPULAR SANTA TERESA                                                                                                                        </v>
      </c>
      <c r="G1887" s="26" t="str">
        <f>"TLALPAN                                                                         "</f>
        <v xml:space="preserve">TLALPAN                                                                         </v>
      </c>
      <c r="H1887" s="26" t="str">
        <f>"511"</f>
        <v>511</v>
      </c>
      <c r="I1887" s="26" t="str">
        <f t="shared" si="310"/>
        <v>00</v>
      </c>
      <c r="J1887" s="26" t="str">
        <f>"45 "</f>
        <v xml:space="preserve">45 </v>
      </c>
      <c r="K1887" s="26" t="str">
        <f t="shared" si="312"/>
        <v>PR</v>
      </c>
      <c r="L1887" s="26" t="str">
        <f t="shared" si="313"/>
        <v>DGOSE</v>
      </c>
      <c r="M1887" s="26" t="str">
        <f t="shared" si="311"/>
        <v>FEDERAL</v>
      </c>
      <c r="N1887" s="26">
        <v>366</v>
      </c>
      <c r="O1887" s="26">
        <v>177</v>
      </c>
      <c r="P1887" s="26">
        <v>189</v>
      </c>
      <c r="Q1887" s="26">
        <v>11</v>
      </c>
      <c r="R1887" s="26">
        <v>1</v>
      </c>
      <c r="S1887" s="26">
        <v>11</v>
      </c>
      <c r="T1887" s="26">
        <v>5</v>
      </c>
      <c r="U1887" s="26">
        <v>17</v>
      </c>
      <c r="V1887" s="26">
        <v>1</v>
      </c>
      <c r="W1887" s="26"/>
    </row>
    <row r="1888" spans="1:23" x14ac:dyDescent="0.25">
      <c r="A1888" s="26" t="str">
        <f t="shared" si="309"/>
        <v>PRIMARIA</v>
      </c>
      <c r="B1888" s="26" t="str">
        <f>"09DPR4217N"</f>
        <v>09DPR4217N</v>
      </c>
      <c r="C1888" s="26" t="str">
        <f>"PROFR. JESUS SILVA HERZOG                                                                           "</f>
        <v xml:space="preserve">PROFR. JESUS SILVA HERZOG                                                                           </v>
      </c>
      <c r="D1888" s="26" t="str">
        <f>"JORNADA AMPLIADA"</f>
        <v>JORNADA AMPLIADA</v>
      </c>
      <c r="E1888" s="26" t="str">
        <f>"REMEDIOS VALLE S/N ZONA 7                                                       "</f>
        <v xml:space="preserve">REMEDIOS VALLE S/N ZONA 7                                                       </v>
      </c>
      <c r="F1888" s="26" t="str">
        <f>"UNIDAD HABITACIONAL CTM SIETE                                                                                                               "</f>
        <v xml:space="preserve">UNIDAD HABITACIONAL CTM SIETE                                                                                                               </v>
      </c>
      <c r="G1888" s="26" t="str">
        <f>"COYOACAN                                                                        "</f>
        <v xml:space="preserve">COYOACAN                                                                        </v>
      </c>
      <c r="H1888" s="26" t="str">
        <f>"441"</f>
        <v>441</v>
      </c>
      <c r="I1888" s="26" t="str">
        <f t="shared" si="310"/>
        <v>00</v>
      </c>
      <c r="J1888" s="26" t="str">
        <f>"44 "</f>
        <v xml:space="preserve">44 </v>
      </c>
      <c r="K1888" s="26" t="str">
        <f t="shared" si="312"/>
        <v>PR</v>
      </c>
      <c r="L1888" s="26" t="str">
        <f t="shared" si="313"/>
        <v>DGOSE</v>
      </c>
      <c r="M1888" s="26" t="str">
        <f t="shared" si="311"/>
        <v>FEDERAL</v>
      </c>
      <c r="N1888" s="26">
        <v>537</v>
      </c>
      <c r="O1888" s="26">
        <v>261</v>
      </c>
      <c r="P1888" s="26">
        <v>276</v>
      </c>
      <c r="Q1888" s="26">
        <v>17</v>
      </c>
      <c r="R1888" s="26">
        <v>1</v>
      </c>
      <c r="S1888" s="26">
        <v>16</v>
      </c>
      <c r="T1888" s="26">
        <v>11</v>
      </c>
      <c r="U1888" s="26">
        <v>28</v>
      </c>
      <c r="V1888" s="26">
        <v>1</v>
      </c>
      <c r="W1888" s="26" t="s">
        <v>2076</v>
      </c>
    </row>
    <row r="1889" spans="1:23" x14ac:dyDescent="0.25">
      <c r="A1889" s="26" t="str">
        <f t="shared" si="309"/>
        <v>PRIMARIA</v>
      </c>
      <c r="B1889" s="26" t="str">
        <f>"09DPR4220A"</f>
        <v>09DPR4220A</v>
      </c>
      <c r="C1889" s="26" t="str">
        <f>"PROFR. JOSE DE JESUS DE LA ROSA PEREZ                                                               "</f>
        <v xml:space="preserve">PROFR. JOSE DE JESUS DE LA ROSA PEREZ                                                               </v>
      </c>
      <c r="D1889" s="26" t="str">
        <f>"JORNADA AMPLIADA"</f>
        <v>JORNADA AMPLIADA</v>
      </c>
      <c r="E1889" s="26" t="str">
        <f>"ROSARIO CASTELLANOS S/N Y D GRO                                                 "</f>
        <v xml:space="preserve">ROSARIO CASTELLANOS S/N Y D GRO                                                 </v>
      </c>
      <c r="F1889" s="26" t="str">
        <f>"UNIDAD HABITACIONAL SAN FRANCISCO C                                                                                                         "</f>
        <v xml:space="preserve">UNIDAD HABITACIONAL SAN FRANCISCO C                                                                                                         </v>
      </c>
      <c r="G1889" s="26" t="str">
        <f>"COYOACAN                                                                        "</f>
        <v xml:space="preserve">COYOACAN                                                                        </v>
      </c>
      <c r="H1889" s="26" t="str">
        <f>"442"</f>
        <v>442</v>
      </c>
      <c r="I1889" s="26" t="str">
        <f t="shared" si="310"/>
        <v>00</v>
      </c>
      <c r="J1889" s="26" t="str">
        <f>"44 "</f>
        <v xml:space="preserve">44 </v>
      </c>
      <c r="K1889" s="26" t="str">
        <f t="shared" si="312"/>
        <v>PR</v>
      </c>
      <c r="L1889" s="26" t="str">
        <f t="shared" si="313"/>
        <v>DGOSE</v>
      </c>
      <c r="M1889" s="26" t="str">
        <f t="shared" si="311"/>
        <v>FEDERAL</v>
      </c>
      <c r="N1889" s="26">
        <v>421</v>
      </c>
      <c r="O1889" s="26">
        <v>205</v>
      </c>
      <c r="P1889" s="26">
        <v>216</v>
      </c>
      <c r="Q1889" s="26">
        <v>13</v>
      </c>
      <c r="R1889" s="26">
        <v>1</v>
      </c>
      <c r="S1889" s="26">
        <v>13</v>
      </c>
      <c r="T1889" s="26">
        <v>13</v>
      </c>
      <c r="U1889" s="26">
        <v>27</v>
      </c>
      <c r="V1889" s="26">
        <v>1</v>
      </c>
      <c r="W1889" s="26" t="s">
        <v>2076</v>
      </c>
    </row>
    <row r="1890" spans="1:23" x14ac:dyDescent="0.25">
      <c r="A1890" s="26" t="str">
        <f t="shared" si="309"/>
        <v>PRIMARIA</v>
      </c>
      <c r="B1890" s="26" t="str">
        <f>"09DPR4221Z"</f>
        <v>09DPR4221Z</v>
      </c>
      <c r="C1890" s="26" t="str">
        <f>"TEODORO A. DEHESA                                                                                   "</f>
        <v xml:space="preserve">TEODORO A. DEHESA                                                                                   </v>
      </c>
      <c r="D1890" s="26" t="str">
        <f>"VESPERTINO"</f>
        <v>VESPERTINO</v>
      </c>
      <c r="E1890" s="26" t="str">
        <f>"CALLE 11 NO. 160                                                                "</f>
        <v xml:space="preserve">CALLE 11 NO. 160                                                                </v>
      </c>
      <c r="F1890" s="26" t="str">
        <f>"JOSE LOPEZ PORTILLO                                                                                                                         "</f>
        <v xml:space="preserve">JOSE LOPEZ PORTILLO                                                                                                                         </v>
      </c>
      <c r="G1890" s="26" t="str">
        <f>"IZTAPALAPA                                                                      "</f>
        <v xml:space="preserve">IZTAPALAPA                                                                      </v>
      </c>
      <c r="H1890" s="26" t="str">
        <f>"049"</f>
        <v>049</v>
      </c>
      <c r="I1890" s="26" t="str">
        <f t="shared" si="310"/>
        <v>00</v>
      </c>
      <c r="J1890" s="26" t="str">
        <f>"63 "</f>
        <v xml:space="preserve">63 </v>
      </c>
      <c r="K1890" s="26" t="str">
        <f>"IZ"</f>
        <v>IZ</v>
      </c>
      <c r="L1890" s="26" t="str">
        <f>"DGSEI"</f>
        <v>DGSEI</v>
      </c>
      <c r="M1890" s="26" t="str">
        <f t="shared" si="311"/>
        <v>FEDERAL</v>
      </c>
      <c r="N1890" s="26">
        <v>179</v>
      </c>
      <c r="O1890" s="26">
        <v>93</v>
      </c>
      <c r="P1890" s="26">
        <v>86</v>
      </c>
      <c r="Q1890" s="26">
        <v>6</v>
      </c>
      <c r="R1890" s="26">
        <v>1</v>
      </c>
      <c r="S1890" s="26">
        <v>6</v>
      </c>
      <c r="T1890" s="26">
        <v>3</v>
      </c>
      <c r="U1890" s="26">
        <v>10</v>
      </c>
      <c r="V1890" s="26">
        <v>1</v>
      </c>
      <c r="W1890" s="26"/>
    </row>
    <row r="1891" spans="1:23" x14ac:dyDescent="0.25">
      <c r="A1891" s="26" t="str">
        <f t="shared" si="309"/>
        <v>PRIMARIA</v>
      </c>
      <c r="B1891" s="26" t="str">
        <f>"09DPR4222Z"</f>
        <v>09DPR4222Z</v>
      </c>
      <c r="C1891" s="26" t="str">
        <f>"HERMANOS FLORES MAGON                                                                               "</f>
        <v xml:space="preserve">HERMANOS FLORES MAGON                                                                               </v>
      </c>
      <c r="D1891" s="26" t="str">
        <f>"VESPERTINO"</f>
        <v>VESPERTINO</v>
      </c>
      <c r="E1891" s="26" t="str">
        <f>"BENITO JUAREZ NO. 1                                                             "</f>
        <v xml:space="preserve">BENITO JUAREZ NO. 1                                                             </v>
      </c>
      <c r="F1891" s="26" t="str">
        <f>"IXTLAHUACAN                                                                                                                                 "</f>
        <v xml:space="preserve">IXTLAHUACAN                                                                                                                                 </v>
      </c>
      <c r="G1891" s="26" t="str">
        <f>"IZTAPALAPA                                                                      "</f>
        <v xml:space="preserve">IZTAPALAPA                                                                      </v>
      </c>
      <c r="H1891" s="26" t="str">
        <f>"066"</f>
        <v>066</v>
      </c>
      <c r="I1891" s="26" t="str">
        <f t="shared" si="310"/>
        <v>00</v>
      </c>
      <c r="J1891" s="26" t="str">
        <f>"64 "</f>
        <v xml:space="preserve">64 </v>
      </c>
      <c r="K1891" s="26" t="str">
        <f>"IZ"</f>
        <v>IZ</v>
      </c>
      <c r="L1891" s="26" t="str">
        <f>"DGSEI"</f>
        <v>DGSEI</v>
      </c>
      <c r="M1891" s="26" t="str">
        <f t="shared" si="311"/>
        <v>FEDERAL</v>
      </c>
      <c r="N1891" s="26">
        <v>319</v>
      </c>
      <c r="O1891" s="26">
        <v>167</v>
      </c>
      <c r="P1891" s="26">
        <v>152</v>
      </c>
      <c r="Q1891" s="26">
        <v>10</v>
      </c>
      <c r="R1891" s="26">
        <v>1</v>
      </c>
      <c r="S1891" s="26">
        <v>10</v>
      </c>
      <c r="T1891" s="26">
        <v>4</v>
      </c>
      <c r="U1891" s="26">
        <v>15</v>
      </c>
      <c r="V1891" s="26">
        <v>1</v>
      </c>
      <c r="W1891" s="26"/>
    </row>
    <row r="1892" spans="1:23" x14ac:dyDescent="0.25">
      <c r="A1892" s="26" t="str">
        <f t="shared" si="309"/>
        <v>PRIMARIA</v>
      </c>
      <c r="B1892" s="26" t="str">
        <f>"09DPR4224X"</f>
        <v>09DPR4224X</v>
      </c>
      <c r="C1892" s="26" t="str">
        <f>"MARTIN LUIS GUZMAN                                                                                  "</f>
        <v xml:space="preserve">MARTIN LUIS GUZMAN                                                                                  </v>
      </c>
      <c r="D1892" s="26" t="str">
        <f>"JORNADA AMPLIADA"</f>
        <v>JORNADA AMPLIADA</v>
      </c>
      <c r="E1892" s="26" t="str">
        <f>"COLORINES 30                                                                    "</f>
        <v xml:space="preserve">COLORINES 30                                                                    </v>
      </c>
      <c r="F1892" s="26" t="str">
        <f>"LA CARBONERA                                                                                                                                "</f>
        <v xml:space="preserve">LA CARBONERA                                                                                                                                </v>
      </c>
      <c r="G1892" s="26" t="str">
        <f>"LA MAGDALENA CONTRERAS                                                          "</f>
        <v xml:space="preserve">LA MAGDALENA CONTRERAS                                                          </v>
      </c>
      <c r="H1892" s="26" t="str">
        <f>"409"</f>
        <v>409</v>
      </c>
      <c r="I1892" s="26" t="str">
        <f t="shared" si="310"/>
        <v>00</v>
      </c>
      <c r="J1892" s="26" t="str">
        <f>"44 "</f>
        <v xml:space="preserve">44 </v>
      </c>
      <c r="K1892" s="26" t="str">
        <f>"PR"</f>
        <v>PR</v>
      </c>
      <c r="L1892" s="26" t="str">
        <f>"DGOSE"</f>
        <v>DGOSE</v>
      </c>
      <c r="M1892" s="26" t="str">
        <f t="shared" si="311"/>
        <v>FEDERAL</v>
      </c>
      <c r="N1892" s="26">
        <v>248</v>
      </c>
      <c r="O1892" s="26">
        <v>125</v>
      </c>
      <c r="P1892" s="26">
        <v>123</v>
      </c>
      <c r="Q1892" s="26">
        <v>7</v>
      </c>
      <c r="R1892" s="26">
        <v>1</v>
      </c>
      <c r="S1892" s="26">
        <v>7</v>
      </c>
      <c r="T1892" s="26">
        <v>6</v>
      </c>
      <c r="U1892" s="26">
        <v>14</v>
      </c>
      <c r="V1892" s="26">
        <v>1</v>
      </c>
      <c r="W1892" s="26" t="s">
        <v>2076</v>
      </c>
    </row>
    <row r="1893" spans="1:23" x14ac:dyDescent="0.25">
      <c r="A1893" s="26" t="str">
        <f t="shared" si="309"/>
        <v>PRIMARIA</v>
      </c>
      <c r="B1893" s="26" t="str">
        <f>"09DPR4226V"</f>
        <v>09DPR4226V</v>
      </c>
      <c r="C1893" s="26" t="str">
        <f>"ENRIQUE AGUILAR GONZALEZ                                                                            "</f>
        <v xml:space="preserve">ENRIQUE AGUILAR GONZALEZ                                                                            </v>
      </c>
      <c r="D1893" s="26" t="str">
        <f>"JORNADA AMPLIADA"</f>
        <v>JORNADA AMPLIADA</v>
      </c>
      <c r="E1893" s="26" t="str">
        <f>"AV. MEXICO 68 Y AV. LIBERTAD                                                    "</f>
        <v xml:space="preserve">AV. MEXICO 68 Y AV. LIBERTAD                                                    </v>
      </c>
      <c r="F1893" s="26" t="str">
        <f>"PEDREGAL DE CARRASCO                                                                                                                        "</f>
        <v xml:space="preserve">PEDREGAL DE CARRASCO                                                                                                                        </v>
      </c>
      <c r="G1893" s="26" t="str">
        <f>"COYOACAN                                                                        "</f>
        <v xml:space="preserve">COYOACAN                                                                        </v>
      </c>
      <c r="H1893" s="26" t="str">
        <f>"438"</f>
        <v>438</v>
      </c>
      <c r="I1893" s="26" t="str">
        <f t="shared" si="310"/>
        <v>00</v>
      </c>
      <c r="J1893" s="26" t="str">
        <f>"44 "</f>
        <v xml:space="preserve">44 </v>
      </c>
      <c r="K1893" s="26" t="str">
        <f>"PR"</f>
        <v>PR</v>
      </c>
      <c r="L1893" s="26" t="str">
        <f>"DGOSE"</f>
        <v>DGOSE</v>
      </c>
      <c r="M1893" s="26" t="str">
        <f t="shared" si="311"/>
        <v>FEDERAL</v>
      </c>
      <c r="N1893" s="26">
        <v>382</v>
      </c>
      <c r="O1893" s="26">
        <v>197</v>
      </c>
      <c r="P1893" s="26">
        <v>185</v>
      </c>
      <c r="Q1893" s="26">
        <v>12</v>
      </c>
      <c r="R1893" s="26">
        <v>1</v>
      </c>
      <c r="S1893" s="26">
        <v>12</v>
      </c>
      <c r="T1893" s="26">
        <v>9</v>
      </c>
      <c r="U1893" s="26">
        <v>22</v>
      </c>
      <c r="V1893" s="26">
        <v>1</v>
      </c>
      <c r="W1893" s="26" t="s">
        <v>2076</v>
      </c>
    </row>
    <row r="1894" spans="1:23" x14ac:dyDescent="0.25">
      <c r="A1894" s="26" t="str">
        <f t="shared" si="309"/>
        <v>PRIMARIA</v>
      </c>
      <c r="B1894" s="26" t="str">
        <f>"09DPR4227U"</f>
        <v>09DPR4227U</v>
      </c>
      <c r="C1894" s="26" t="str">
        <f>"GUILLEN DE LAMPART                                                                                  "</f>
        <v xml:space="preserve">GUILLEN DE LAMPART                                                                                  </v>
      </c>
      <c r="D1894" s="26" t="str">
        <f>"JORNADA AMPLIADA"</f>
        <v>JORNADA AMPLIADA</v>
      </c>
      <c r="E1894" s="26" t="str">
        <f>"AV LIGA IMAN NO 580                                                             "</f>
        <v xml:space="preserve">AV LIGA IMAN NO 580                                                             </v>
      </c>
      <c r="F1894" s="26" t="str">
        <f>"PEDREGAL DE CARRASCO                                                                                                                        "</f>
        <v xml:space="preserve">PEDREGAL DE CARRASCO                                                                                                                        </v>
      </c>
      <c r="G1894" s="26" t="str">
        <f>"COYOACAN                                                                        "</f>
        <v xml:space="preserve">COYOACAN                                                                        </v>
      </c>
      <c r="H1894" s="26" t="str">
        <f>"438"</f>
        <v>438</v>
      </c>
      <c r="I1894" s="26" t="str">
        <f t="shared" si="310"/>
        <v>00</v>
      </c>
      <c r="J1894" s="26" t="str">
        <f>"44 "</f>
        <v xml:space="preserve">44 </v>
      </c>
      <c r="K1894" s="26" t="str">
        <f>"PR"</f>
        <v>PR</v>
      </c>
      <c r="L1894" s="26" t="str">
        <f>"DGOSE"</f>
        <v>DGOSE</v>
      </c>
      <c r="M1894" s="26" t="str">
        <f t="shared" si="311"/>
        <v>FEDERAL</v>
      </c>
      <c r="N1894" s="26">
        <v>487</v>
      </c>
      <c r="O1894" s="26">
        <v>248</v>
      </c>
      <c r="P1894" s="26">
        <v>239</v>
      </c>
      <c r="Q1894" s="26">
        <v>17</v>
      </c>
      <c r="R1894" s="26">
        <v>1</v>
      </c>
      <c r="S1894" s="26">
        <v>17</v>
      </c>
      <c r="T1894" s="26">
        <v>11</v>
      </c>
      <c r="U1894" s="26">
        <v>29</v>
      </c>
      <c r="V1894" s="26">
        <v>1</v>
      </c>
      <c r="W1894" s="26" t="s">
        <v>2076</v>
      </c>
    </row>
    <row r="1895" spans="1:23" x14ac:dyDescent="0.25">
      <c r="A1895" s="26" t="str">
        <f t="shared" si="309"/>
        <v>PRIMARIA</v>
      </c>
      <c r="B1895" s="26" t="str">
        <f>"09DPR4229S"</f>
        <v>09DPR4229S</v>
      </c>
      <c r="C1895" s="26" t="str">
        <f>"JOSE GUADALUPE POSADA                                                                               "</f>
        <v xml:space="preserve">JOSE GUADALUPE POSADA                                                                               </v>
      </c>
      <c r="D1895" s="26" t="str">
        <f>"MATUTINO"</f>
        <v>MATUTINO</v>
      </c>
      <c r="E1895" s="26" t="str">
        <f>"IGNACIO ALLENDE NO. 18                                                          "</f>
        <v xml:space="preserve">IGNACIO ALLENDE NO. 18                                                          </v>
      </c>
      <c r="F1895" s="26" t="str">
        <f>"MIGUEL DE LA MADRID HURTADO                                                                                                                 "</f>
        <v xml:space="preserve">MIGUEL DE LA MADRID HURTADO                                                                                                                 </v>
      </c>
      <c r="G1895" s="26" t="str">
        <f>"IZTAPALAPA                                                                      "</f>
        <v xml:space="preserve">IZTAPALAPA                                                                      </v>
      </c>
      <c r="H1895" s="26" t="str">
        <f>"064"</f>
        <v>064</v>
      </c>
      <c r="I1895" s="26" t="str">
        <f t="shared" si="310"/>
        <v>00</v>
      </c>
      <c r="J1895" s="26" t="str">
        <f>"64 "</f>
        <v xml:space="preserve">64 </v>
      </c>
      <c r="K1895" s="26" t="str">
        <f>"IZ"</f>
        <v>IZ</v>
      </c>
      <c r="L1895" s="26" t="str">
        <f>"DGSEI"</f>
        <v>DGSEI</v>
      </c>
      <c r="M1895" s="26" t="str">
        <f t="shared" si="311"/>
        <v>FEDERAL</v>
      </c>
      <c r="N1895" s="26">
        <v>413</v>
      </c>
      <c r="O1895" s="26">
        <v>194</v>
      </c>
      <c r="P1895" s="26">
        <v>219</v>
      </c>
      <c r="Q1895" s="26">
        <v>12</v>
      </c>
      <c r="R1895" s="26">
        <v>1</v>
      </c>
      <c r="S1895" s="26">
        <v>12</v>
      </c>
      <c r="T1895" s="26">
        <v>6</v>
      </c>
      <c r="U1895" s="26">
        <v>19</v>
      </c>
      <c r="V1895" s="26">
        <v>1</v>
      </c>
      <c r="W1895" s="26"/>
    </row>
    <row r="1896" spans="1:23" x14ac:dyDescent="0.25">
      <c r="A1896" s="26" t="str">
        <f t="shared" si="309"/>
        <v>PRIMARIA</v>
      </c>
      <c r="B1896" s="26" t="str">
        <f>"09DPR4230H"</f>
        <v>09DPR4230H</v>
      </c>
      <c r="C1896" s="26" t="str">
        <f>"JOSE GUADALUPE POSADA                                                                               "</f>
        <v xml:space="preserve">JOSE GUADALUPE POSADA                                                                               </v>
      </c>
      <c r="D1896" s="26" t="str">
        <f>"VESPERTINO"</f>
        <v>VESPERTINO</v>
      </c>
      <c r="E1896" s="26" t="str">
        <f>"IGNACIO ALLENDE NO. 18                                                          "</f>
        <v xml:space="preserve">IGNACIO ALLENDE NO. 18                                                          </v>
      </c>
      <c r="F1896" s="26" t="str">
        <f>"MIGUEL DE LA MADRID HURTADO                                                                                                                 "</f>
        <v xml:space="preserve">MIGUEL DE LA MADRID HURTADO                                                                                                                 </v>
      </c>
      <c r="G1896" s="26" t="str">
        <f>"IZTAPALAPA                                                                      "</f>
        <v xml:space="preserve">IZTAPALAPA                                                                      </v>
      </c>
      <c r="H1896" s="26" t="str">
        <f>"064"</f>
        <v>064</v>
      </c>
      <c r="I1896" s="26" t="str">
        <f t="shared" si="310"/>
        <v>00</v>
      </c>
      <c r="J1896" s="26" t="str">
        <f>"64 "</f>
        <v xml:space="preserve">64 </v>
      </c>
      <c r="K1896" s="26" t="str">
        <f>"IZ"</f>
        <v>IZ</v>
      </c>
      <c r="L1896" s="26" t="str">
        <f>"DGSEI"</f>
        <v>DGSEI</v>
      </c>
      <c r="M1896" s="26" t="str">
        <f t="shared" si="311"/>
        <v>FEDERAL</v>
      </c>
      <c r="N1896" s="26">
        <v>306</v>
      </c>
      <c r="O1896" s="26">
        <v>161</v>
      </c>
      <c r="P1896" s="26">
        <v>145</v>
      </c>
      <c r="Q1896" s="26">
        <v>12</v>
      </c>
      <c r="R1896" s="26">
        <v>1</v>
      </c>
      <c r="S1896" s="26">
        <v>12</v>
      </c>
      <c r="T1896" s="26">
        <v>6</v>
      </c>
      <c r="U1896" s="26">
        <v>19</v>
      </c>
      <c r="V1896" s="26">
        <v>1</v>
      </c>
      <c r="W1896" s="26"/>
    </row>
    <row r="1897" spans="1:23" x14ac:dyDescent="0.25">
      <c r="A1897" s="26" t="str">
        <f t="shared" si="309"/>
        <v>PRIMARIA</v>
      </c>
      <c r="B1897" s="26" t="str">
        <f>"09DPR4235C"</f>
        <v>09DPR4235C</v>
      </c>
      <c r="C1897" s="26" t="str">
        <f>"LAZARO PAVIA                                                                                        "</f>
        <v xml:space="preserve">LAZARO PAVIA                                                                                        </v>
      </c>
      <c r="D1897" s="26" t="str">
        <f>"VESPERTINO"</f>
        <v>VESPERTINO</v>
      </c>
      <c r="E1897" s="26" t="str">
        <f>"AKIL NUM. 138                                                                   "</f>
        <v xml:space="preserve">AKIL NUM. 138                                                                   </v>
      </c>
      <c r="F1897" s="26" t="str">
        <f>"POPULAR SANTA TERESA                                                                                                                        "</f>
        <v xml:space="preserve">POPULAR SANTA TERESA                                                                                                                        </v>
      </c>
      <c r="G1897" s="26" t="str">
        <f>"TLALPAN                                                                         "</f>
        <v xml:space="preserve">TLALPAN                                                                         </v>
      </c>
      <c r="H1897" s="26" t="str">
        <f>"511"</f>
        <v>511</v>
      </c>
      <c r="I1897" s="26" t="str">
        <f t="shared" si="310"/>
        <v>00</v>
      </c>
      <c r="J1897" s="26" t="str">
        <f>"45 "</f>
        <v xml:space="preserve">45 </v>
      </c>
      <c r="K1897" s="26" t="str">
        <f>"PR"</f>
        <v>PR</v>
      </c>
      <c r="L1897" s="26" t="str">
        <f>"DGOSE"</f>
        <v>DGOSE</v>
      </c>
      <c r="M1897" s="26" t="str">
        <f t="shared" si="311"/>
        <v>FEDERAL</v>
      </c>
      <c r="N1897" s="26">
        <v>228</v>
      </c>
      <c r="O1897" s="26">
        <v>128</v>
      </c>
      <c r="P1897" s="26">
        <v>100</v>
      </c>
      <c r="Q1897" s="26">
        <v>10</v>
      </c>
      <c r="R1897" s="26">
        <v>0</v>
      </c>
      <c r="S1897" s="26">
        <v>10</v>
      </c>
      <c r="T1897" s="26">
        <v>7</v>
      </c>
      <c r="U1897" s="26">
        <v>17</v>
      </c>
      <c r="V1897" s="26">
        <v>1</v>
      </c>
      <c r="W1897" s="26"/>
    </row>
    <row r="1898" spans="1:23" x14ac:dyDescent="0.25">
      <c r="A1898" s="26" t="str">
        <f t="shared" si="309"/>
        <v>PRIMARIA</v>
      </c>
      <c r="B1898" s="26" t="str">
        <f>"09DPR4236B"</f>
        <v>09DPR4236B</v>
      </c>
      <c r="C1898" s="26" t="str">
        <f>"AARON CAMACHO LOPEZ                                                                                 "</f>
        <v xml:space="preserve">AARON CAMACHO LOPEZ                                                                                 </v>
      </c>
      <c r="D1898" s="26" t="str">
        <f>"MATUTINO"</f>
        <v>MATUTINO</v>
      </c>
      <c r="E1898" s="26" t="str">
        <f>"SIMON SALDAÑA S/N                                                               "</f>
        <v xml:space="preserve">SIMON SALDAÑA S/N                                                               </v>
      </c>
      <c r="F1898" s="26" t="str">
        <f>"EL CARMEN TULYEHUALCO                                                                                                                       "</f>
        <v xml:space="preserve">EL CARMEN TULYEHUALCO                                                                                                                       </v>
      </c>
      <c r="G1898" s="26" t="str">
        <f>"XOCHIMILCO                                                                      "</f>
        <v xml:space="preserve">XOCHIMILCO                                                                      </v>
      </c>
      <c r="H1898" s="26" t="str">
        <f>"544"</f>
        <v>544</v>
      </c>
      <c r="I1898" s="26" t="str">
        <f t="shared" si="310"/>
        <v>00</v>
      </c>
      <c r="J1898" s="26" t="str">
        <f>"45 "</f>
        <v xml:space="preserve">45 </v>
      </c>
      <c r="K1898" s="26" t="str">
        <f>"PR"</f>
        <v>PR</v>
      </c>
      <c r="L1898" s="26" t="str">
        <f>"DGOSE"</f>
        <v>DGOSE</v>
      </c>
      <c r="M1898" s="26" t="str">
        <f t="shared" si="311"/>
        <v>FEDERAL</v>
      </c>
      <c r="N1898" s="26">
        <v>651</v>
      </c>
      <c r="O1898" s="26">
        <v>335</v>
      </c>
      <c r="P1898" s="26">
        <v>316</v>
      </c>
      <c r="Q1898" s="26">
        <v>17</v>
      </c>
      <c r="R1898" s="26">
        <v>1</v>
      </c>
      <c r="S1898" s="26">
        <v>16</v>
      </c>
      <c r="T1898" s="26">
        <v>8</v>
      </c>
      <c r="U1898" s="26">
        <v>25</v>
      </c>
      <c r="V1898" s="26">
        <v>1</v>
      </c>
      <c r="W1898" s="26"/>
    </row>
    <row r="1899" spans="1:23" x14ac:dyDescent="0.25">
      <c r="A1899" s="26" t="str">
        <f t="shared" si="309"/>
        <v>PRIMARIA</v>
      </c>
      <c r="B1899" s="26" t="str">
        <f>"09DPR4241N"</f>
        <v>09DPR4241N</v>
      </c>
      <c r="C1899" s="26" t="str">
        <f>"ALEJANDRO VOLTA                                                                                     "</f>
        <v xml:space="preserve">ALEJANDRO VOLTA                                                                                     </v>
      </c>
      <c r="D1899" s="26" t="str">
        <f>"VESPERTINO"</f>
        <v>VESPERTINO</v>
      </c>
      <c r="E1899" s="26" t="str">
        <f>"ELOY CAVAZOS NO. 120                                                            "</f>
        <v xml:space="preserve">ELOY CAVAZOS NO. 120                                                            </v>
      </c>
      <c r="F1899" s="26" t="str">
        <f>"SAN MIGUEL TEOTONGO                                                                                                                         "</f>
        <v xml:space="preserve">SAN MIGUEL TEOTONGO                                                                                                                         </v>
      </c>
      <c r="G1899" s="26" t="str">
        <f>"IZTAPALAPA                                                                      "</f>
        <v xml:space="preserve">IZTAPALAPA                                                                      </v>
      </c>
      <c r="H1899" s="26" t="str">
        <f>"068"</f>
        <v>068</v>
      </c>
      <c r="I1899" s="26" t="str">
        <f t="shared" si="310"/>
        <v>00</v>
      </c>
      <c r="J1899" s="26" t="str">
        <f>"64 "</f>
        <v xml:space="preserve">64 </v>
      </c>
      <c r="K1899" s="26" t="str">
        <f>"IZ"</f>
        <v>IZ</v>
      </c>
      <c r="L1899" s="26" t="str">
        <f>"DGSEI"</f>
        <v>DGSEI</v>
      </c>
      <c r="M1899" s="26" t="str">
        <f t="shared" si="311"/>
        <v>FEDERAL</v>
      </c>
      <c r="N1899" s="26">
        <v>290</v>
      </c>
      <c r="O1899" s="26">
        <v>159</v>
      </c>
      <c r="P1899" s="26">
        <v>131</v>
      </c>
      <c r="Q1899" s="26">
        <v>11</v>
      </c>
      <c r="R1899" s="26">
        <v>1</v>
      </c>
      <c r="S1899" s="26">
        <v>10</v>
      </c>
      <c r="T1899" s="26">
        <v>4</v>
      </c>
      <c r="U1899" s="26">
        <v>15</v>
      </c>
      <c r="V1899" s="26">
        <v>1</v>
      </c>
      <c r="W1899" s="26"/>
    </row>
    <row r="1900" spans="1:23" x14ac:dyDescent="0.25">
      <c r="A1900" s="26" t="str">
        <f t="shared" si="309"/>
        <v>PRIMARIA</v>
      </c>
      <c r="B1900" s="26" t="str">
        <f>"09DPR4243L"</f>
        <v>09DPR4243L</v>
      </c>
      <c r="C1900" s="26" t="str">
        <f>"ANTONIO SANCHEZ MOLINA                                                                              "</f>
        <v xml:space="preserve">ANTONIO SANCHEZ MOLINA                                                                              </v>
      </c>
      <c r="D1900" s="26" t="str">
        <f>"MATUTINO"</f>
        <v>MATUTINO</v>
      </c>
      <c r="E1900" s="26" t="str">
        <f>"CHICOASEN S/N ESQ SINANCHE                                                      "</f>
        <v xml:space="preserve">CHICOASEN S/N ESQ SINANCHE                                                      </v>
      </c>
      <c r="F1900" s="26" t="str">
        <f>"HEROES DE PADIERNA                                                                                                                          "</f>
        <v xml:space="preserve">HEROES DE PADIERNA                                                                                                                          </v>
      </c>
      <c r="G1900" s="26" t="str">
        <f>"TLALPAN                                                                         "</f>
        <v xml:space="preserve">TLALPAN                                                                         </v>
      </c>
      <c r="H1900" s="26" t="str">
        <f>"511"</f>
        <v>511</v>
      </c>
      <c r="I1900" s="26" t="str">
        <f t="shared" si="310"/>
        <v>00</v>
      </c>
      <c r="J1900" s="26" t="str">
        <f>"45 "</f>
        <v xml:space="preserve">45 </v>
      </c>
      <c r="K1900" s="26" t="str">
        <f t="shared" ref="K1900:K1905" si="314">"PR"</f>
        <v>PR</v>
      </c>
      <c r="L1900" s="26" t="str">
        <f t="shared" ref="L1900:L1905" si="315">"DGOSE"</f>
        <v>DGOSE</v>
      </c>
      <c r="M1900" s="26" t="str">
        <f t="shared" si="311"/>
        <v>FEDERAL</v>
      </c>
      <c r="N1900" s="26">
        <v>237</v>
      </c>
      <c r="O1900" s="26">
        <v>115</v>
      </c>
      <c r="P1900" s="26">
        <v>122</v>
      </c>
      <c r="Q1900" s="26">
        <v>6</v>
      </c>
      <c r="R1900" s="26">
        <v>0</v>
      </c>
      <c r="S1900" s="26">
        <v>6</v>
      </c>
      <c r="T1900" s="26">
        <v>3</v>
      </c>
      <c r="U1900" s="26">
        <v>9</v>
      </c>
      <c r="V1900" s="26">
        <v>1</v>
      </c>
      <c r="W1900" s="26"/>
    </row>
    <row r="1901" spans="1:23" x14ac:dyDescent="0.25">
      <c r="A1901" s="26" t="str">
        <f t="shared" si="309"/>
        <v>PRIMARIA</v>
      </c>
      <c r="B1901" s="26" t="str">
        <f>"09DPR4244K"</f>
        <v>09DPR4244K</v>
      </c>
      <c r="C1901" s="26" t="str">
        <f>"RIO PANUCO                                                                                          "</f>
        <v xml:space="preserve">RIO PANUCO                                                                                          </v>
      </c>
      <c r="D1901" s="26" t="str">
        <f>"VESPERTINO"</f>
        <v>VESPERTINO</v>
      </c>
      <c r="E1901" s="26" t="str">
        <f>"PUENTE DE PIEDRA NO 72                                                          "</f>
        <v xml:space="preserve">PUENTE DE PIEDRA NO 72                                                          </v>
      </c>
      <c r="F1901" s="26" t="str">
        <f>"TORIELLO GUERRA                                                                                                                             "</f>
        <v xml:space="preserve">TORIELLO GUERRA                                                                                                                             </v>
      </c>
      <c r="G1901" s="26" t="str">
        <f>"TLALPAN                                                                         "</f>
        <v xml:space="preserve">TLALPAN                                                                         </v>
      </c>
      <c r="H1901" s="26" t="str">
        <f>"523"</f>
        <v>523</v>
      </c>
      <c r="I1901" s="26" t="str">
        <f t="shared" si="310"/>
        <v>00</v>
      </c>
      <c r="J1901" s="26" t="str">
        <f>"45 "</f>
        <v xml:space="preserve">45 </v>
      </c>
      <c r="K1901" s="26" t="str">
        <f t="shared" si="314"/>
        <v>PR</v>
      </c>
      <c r="L1901" s="26" t="str">
        <f t="shared" si="315"/>
        <v>DGOSE</v>
      </c>
      <c r="M1901" s="26" t="str">
        <f t="shared" si="311"/>
        <v>FEDERAL</v>
      </c>
      <c r="N1901" s="26">
        <v>173</v>
      </c>
      <c r="O1901" s="26">
        <v>98</v>
      </c>
      <c r="P1901" s="26">
        <v>75</v>
      </c>
      <c r="Q1901" s="26">
        <v>12</v>
      </c>
      <c r="R1901" s="26">
        <v>1</v>
      </c>
      <c r="S1901" s="26">
        <v>11</v>
      </c>
      <c r="T1901" s="26">
        <v>6</v>
      </c>
      <c r="U1901" s="26">
        <v>18</v>
      </c>
      <c r="V1901" s="26">
        <v>1</v>
      </c>
      <c r="W1901" s="26"/>
    </row>
    <row r="1902" spans="1:23" x14ac:dyDescent="0.25">
      <c r="A1902" s="26" t="str">
        <f t="shared" si="309"/>
        <v>PRIMARIA</v>
      </c>
      <c r="B1902" s="26" t="str">
        <f>"09DPR4245J"</f>
        <v>09DPR4245J</v>
      </c>
      <c r="C1902" s="26" t="str">
        <f>"PROVINCIA DE QUEBEC                                                                                 "</f>
        <v xml:space="preserve">PROVINCIA DE QUEBEC                                                                                 </v>
      </c>
      <c r="D1902" s="26" t="str">
        <f>"MATUTINO"</f>
        <v>MATUTINO</v>
      </c>
      <c r="E1902" s="26" t="str">
        <f>"HOMUN NUM 342                                                                   "</f>
        <v xml:space="preserve">HOMUN NUM 342                                                                   </v>
      </c>
      <c r="F1902" s="26" t="str">
        <f>"TORRES DE PADIERNA                                                                                                                          "</f>
        <v xml:space="preserve">TORRES DE PADIERNA                                                                                                                          </v>
      </c>
      <c r="G1902" s="26" t="str">
        <f>"TLALPAN                                                                         "</f>
        <v xml:space="preserve">TLALPAN                                                                         </v>
      </c>
      <c r="H1902" s="26" t="str">
        <f>"513"</f>
        <v>513</v>
      </c>
      <c r="I1902" s="26" t="str">
        <f t="shared" si="310"/>
        <v>00</v>
      </c>
      <c r="J1902" s="26" t="str">
        <f>"45 "</f>
        <v xml:space="preserve">45 </v>
      </c>
      <c r="K1902" s="26" t="str">
        <f t="shared" si="314"/>
        <v>PR</v>
      </c>
      <c r="L1902" s="26" t="str">
        <f t="shared" si="315"/>
        <v>DGOSE</v>
      </c>
      <c r="M1902" s="26" t="str">
        <f t="shared" si="311"/>
        <v>FEDERAL</v>
      </c>
      <c r="N1902" s="26">
        <v>247</v>
      </c>
      <c r="O1902" s="26">
        <v>115</v>
      </c>
      <c r="P1902" s="26">
        <v>132</v>
      </c>
      <c r="Q1902" s="26">
        <v>6</v>
      </c>
      <c r="R1902" s="26">
        <v>1</v>
      </c>
      <c r="S1902" s="26">
        <v>6</v>
      </c>
      <c r="T1902" s="26">
        <v>3</v>
      </c>
      <c r="U1902" s="26">
        <v>10</v>
      </c>
      <c r="V1902" s="26">
        <v>1</v>
      </c>
      <c r="W1902" s="26"/>
    </row>
    <row r="1903" spans="1:23" x14ac:dyDescent="0.25">
      <c r="A1903" s="26" t="str">
        <f t="shared" si="309"/>
        <v>PRIMARIA</v>
      </c>
      <c r="B1903" s="26" t="str">
        <f>"09DPR4246I"</f>
        <v>09DPR4246I</v>
      </c>
      <c r="C1903" s="26" t="str">
        <f>"DOMINGO MARTINEZ PAREDEZ                                                                            "</f>
        <v xml:space="preserve">DOMINGO MARTINEZ PAREDEZ                                                                            </v>
      </c>
      <c r="D1903" s="26" t="str">
        <f>"VESPERTINO"</f>
        <v>VESPERTINO</v>
      </c>
      <c r="E1903" s="26" t="str">
        <f>"YOBAIN Y HOPELCHEN S/N                                                          "</f>
        <v xml:space="preserve">YOBAIN Y HOPELCHEN S/N                                                          </v>
      </c>
      <c r="F1903" s="26" t="str">
        <f>"CULTURA MAYA                                                                                                                                "</f>
        <v xml:space="preserve">CULTURA MAYA                                                                                                                                </v>
      </c>
      <c r="G1903" s="26" t="str">
        <f>"TLALPAN                                                                         "</f>
        <v xml:space="preserve">TLALPAN                                                                         </v>
      </c>
      <c r="H1903" s="26" t="str">
        <f>"516"</f>
        <v>516</v>
      </c>
      <c r="I1903" s="26" t="str">
        <f t="shared" si="310"/>
        <v>00</v>
      </c>
      <c r="J1903" s="26" t="str">
        <f>"45 "</f>
        <v xml:space="preserve">45 </v>
      </c>
      <c r="K1903" s="26" t="str">
        <f t="shared" si="314"/>
        <v>PR</v>
      </c>
      <c r="L1903" s="26" t="str">
        <f t="shared" si="315"/>
        <v>DGOSE</v>
      </c>
      <c r="M1903" s="26" t="str">
        <f t="shared" si="311"/>
        <v>FEDERAL</v>
      </c>
      <c r="N1903" s="26">
        <v>236</v>
      </c>
      <c r="O1903" s="26">
        <v>127</v>
      </c>
      <c r="P1903" s="26">
        <v>109</v>
      </c>
      <c r="Q1903" s="26">
        <v>11</v>
      </c>
      <c r="R1903" s="26">
        <v>1</v>
      </c>
      <c r="S1903" s="26">
        <v>11</v>
      </c>
      <c r="T1903" s="26">
        <v>6</v>
      </c>
      <c r="U1903" s="26">
        <v>18</v>
      </c>
      <c r="V1903" s="26">
        <v>1</v>
      </c>
      <c r="W1903" s="26"/>
    </row>
    <row r="1904" spans="1:23" x14ac:dyDescent="0.25">
      <c r="A1904" s="26" t="str">
        <f t="shared" si="309"/>
        <v>PRIMARIA</v>
      </c>
      <c r="B1904" s="26" t="str">
        <f>"09DPR4248G"</f>
        <v>09DPR4248G</v>
      </c>
      <c r="C1904" s="26" t="str">
        <f>"ANTONIO CISNEROS Y CISNEROS                                                                         "</f>
        <v xml:space="preserve">ANTONIO CISNEROS Y CISNEROS                                                                         </v>
      </c>
      <c r="D1904" s="26" t="str">
        <f>"VESPERTINO"</f>
        <v>VESPERTINO</v>
      </c>
      <c r="E1904" s="26" t="str">
        <f>"CALLE DE LA BRECHA S/N                                                          "</f>
        <v xml:space="preserve">CALLE DE LA BRECHA S/N                                                          </v>
      </c>
      <c r="F1904" s="26" t="str">
        <f>"TLALPEXCO                                                                                                                                   "</f>
        <v xml:space="preserve">TLALPEXCO                                                                                                                                   </v>
      </c>
      <c r="G1904" s="26" t="str">
        <f>"GUSTAVO A. MADERO                                                               "</f>
        <v xml:space="preserve">GUSTAVO A. MADERO                                                               </v>
      </c>
      <c r="H1904" s="26" t="str">
        <f>"230"</f>
        <v>230</v>
      </c>
      <c r="I1904" s="26" t="str">
        <f t="shared" si="310"/>
        <v>00</v>
      </c>
      <c r="J1904" s="26" t="str">
        <f>"42 "</f>
        <v xml:space="preserve">42 </v>
      </c>
      <c r="K1904" s="26" t="str">
        <f t="shared" si="314"/>
        <v>PR</v>
      </c>
      <c r="L1904" s="26" t="str">
        <f t="shared" si="315"/>
        <v>DGOSE</v>
      </c>
      <c r="M1904" s="26" t="str">
        <f t="shared" si="311"/>
        <v>FEDERAL</v>
      </c>
      <c r="N1904" s="26">
        <v>585</v>
      </c>
      <c r="O1904" s="26">
        <v>322</v>
      </c>
      <c r="P1904" s="26">
        <v>263</v>
      </c>
      <c r="Q1904" s="26">
        <v>18</v>
      </c>
      <c r="R1904" s="26">
        <v>1</v>
      </c>
      <c r="S1904" s="26">
        <v>18</v>
      </c>
      <c r="T1904" s="26">
        <v>10</v>
      </c>
      <c r="U1904" s="26">
        <v>29</v>
      </c>
      <c r="V1904" s="26">
        <v>1</v>
      </c>
      <c r="W1904" s="26"/>
    </row>
    <row r="1905" spans="1:23" x14ac:dyDescent="0.25">
      <c r="A1905" s="26" t="str">
        <f t="shared" si="309"/>
        <v>PRIMARIA</v>
      </c>
      <c r="B1905" s="26" t="str">
        <f>"09DPR4250V"</f>
        <v>09DPR4250V</v>
      </c>
      <c r="C1905" s="26" t="str">
        <f>"NIÑOS HEROES                                                                                        "</f>
        <v xml:space="preserve">NIÑOS HEROES                                                                                        </v>
      </c>
      <c r="D1905" s="26" t="str">
        <f>"VESPERTINO"</f>
        <v>VESPERTINO</v>
      </c>
      <c r="E1905" s="26" t="str">
        <f>"CALLE SANTA RITA NUM 230                                                        "</f>
        <v xml:space="preserve">CALLE SANTA RITA NUM 230                                                        </v>
      </c>
      <c r="F1905" s="26" t="str">
        <f>"LOMAS DEL PADRE                                                                                                                             "</f>
        <v xml:space="preserve">LOMAS DEL PADRE                                                                                                                             </v>
      </c>
      <c r="G1905" s="26" t="str">
        <f>"CUAJIMALPA DE MORELOS                                                           "</f>
        <v xml:space="preserve">CUAJIMALPA DE MORELOS                                                           </v>
      </c>
      <c r="H1905" s="26" t="str">
        <f>"306"</f>
        <v>306</v>
      </c>
      <c r="I1905" s="26" t="str">
        <f t="shared" si="310"/>
        <v>00</v>
      </c>
      <c r="J1905" s="26" t="str">
        <f>"43 "</f>
        <v xml:space="preserve">43 </v>
      </c>
      <c r="K1905" s="26" t="str">
        <f t="shared" si="314"/>
        <v>PR</v>
      </c>
      <c r="L1905" s="26" t="str">
        <f t="shared" si="315"/>
        <v>DGOSE</v>
      </c>
      <c r="M1905" s="26" t="str">
        <f t="shared" si="311"/>
        <v>FEDERAL</v>
      </c>
      <c r="N1905" s="26">
        <v>165</v>
      </c>
      <c r="O1905" s="26">
        <v>75</v>
      </c>
      <c r="P1905" s="26">
        <v>90</v>
      </c>
      <c r="Q1905" s="26">
        <v>6</v>
      </c>
      <c r="R1905" s="26">
        <v>1</v>
      </c>
      <c r="S1905" s="26">
        <v>6</v>
      </c>
      <c r="T1905" s="26">
        <v>5</v>
      </c>
      <c r="U1905" s="26">
        <v>12</v>
      </c>
      <c r="V1905" s="26">
        <v>1</v>
      </c>
      <c r="W1905" s="26"/>
    </row>
    <row r="1906" spans="1:23" x14ac:dyDescent="0.25">
      <c r="A1906" s="26" t="str">
        <f t="shared" si="309"/>
        <v>PRIMARIA</v>
      </c>
      <c r="B1906" s="26" t="str">
        <f>"09DPR4504G"</f>
        <v>09DPR4504G</v>
      </c>
      <c r="C1906" s="26" t="str">
        <f>"NORMALISMO MEXICANO                                                                                 "</f>
        <v xml:space="preserve">NORMALISMO MEXICANO                                                                                 </v>
      </c>
      <c r="D1906" s="26" t="str">
        <f>"JORNADA AMPLIADA"</f>
        <v>JORNADA AMPLIADA</v>
      </c>
      <c r="E1906" s="26" t="str">
        <f>"AUTOPISTA MEX-PUEBLA KM. 21-7                                                   "</f>
        <v xml:space="preserve">AUTOPISTA MEX-PUEBLA KM. 21-7                                                   </v>
      </c>
      <c r="F1906" s="26" t="str">
        <f>"EMILIANO ZAPATA AMPLIACION                                                                                                                  "</f>
        <v xml:space="preserve">EMILIANO ZAPATA AMPLIACION                                                                                                                  </v>
      </c>
      <c r="G1906" s="26" t="str">
        <f>"IZTAPALAPA                                                                      "</f>
        <v xml:space="preserve">IZTAPALAPA                                                                      </v>
      </c>
      <c r="H1906" s="26" t="str">
        <f>"012"</f>
        <v>012</v>
      </c>
      <c r="I1906" s="26" t="str">
        <f t="shared" si="310"/>
        <v>00</v>
      </c>
      <c r="J1906" s="26" t="str">
        <f>"61 "</f>
        <v xml:space="preserve">61 </v>
      </c>
      <c r="K1906" s="26" t="str">
        <f>"IZ"</f>
        <v>IZ</v>
      </c>
      <c r="L1906" s="26" t="str">
        <f>"DGSEI"</f>
        <v>DGSEI</v>
      </c>
      <c r="M1906" s="26" t="str">
        <f t="shared" si="311"/>
        <v>FEDERAL</v>
      </c>
      <c r="N1906" s="26">
        <v>188</v>
      </c>
      <c r="O1906" s="26">
        <v>97</v>
      </c>
      <c r="P1906" s="26">
        <v>91</v>
      </c>
      <c r="Q1906" s="26">
        <v>6</v>
      </c>
      <c r="R1906" s="26">
        <v>1</v>
      </c>
      <c r="S1906" s="26">
        <v>6</v>
      </c>
      <c r="T1906" s="26">
        <v>4</v>
      </c>
      <c r="U1906" s="26">
        <v>11</v>
      </c>
      <c r="V1906" s="26">
        <v>1</v>
      </c>
      <c r="W1906" s="26" t="s">
        <v>2076</v>
      </c>
    </row>
    <row r="1907" spans="1:23" x14ac:dyDescent="0.25">
      <c r="A1907" s="26" t="str">
        <f t="shared" si="309"/>
        <v>PRIMARIA</v>
      </c>
      <c r="B1907" s="26" t="str">
        <f>"09DPR4505F"</f>
        <v>09DPR4505F</v>
      </c>
      <c r="C1907" s="26" t="str">
        <f>"REPUBLICA DEMOCRATICA ALEMANA                                                                       "</f>
        <v xml:space="preserve">REPUBLICA DEMOCRATICA ALEMANA                                                                       </v>
      </c>
      <c r="D1907" s="26" t="str">
        <f>"JORNADA AMPLIADA"</f>
        <v>JORNADA AMPLIADA</v>
      </c>
      <c r="E1907" s="26" t="str">
        <f>"AV CUAUHTEMOC NO 28                                                             "</f>
        <v xml:space="preserve">AV CUAUHTEMOC NO 28                                                             </v>
      </c>
      <c r="F1907" s="26" t="str">
        <f>"SAN PEDRO ATOCPAN                                                                                                                           "</f>
        <v xml:space="preserve">SAN PEDRO ATOCPAN                                                                                                                           </v>
      </c>
      <c r="G1907" s="26" t="str">
        <f>"MILPA ALTA                                                                      "</f>
        <v xml:space="preserve">MILPA ALTA                                                                      </v>
      </c>
      <c r="H1907" s="26" t="str">
        <f>"451"</f>
        <v>451</v>
      </c>
      <c r="I1907" s="26" t="str">
        <f t="shared" si="310"/>
        <v>00</v>
      </c>
      <c r="J1907" s="26" t="str">
        <f>"44 "</f>
        <v xml:space="preserve">44 </v>
      </c>
      <c r="K1907" s="26" t="str">
        <f>"PR"</f>
        <v>PR</v>
      </c>
      <c r="L1907" s="26" t="str">
        <f>"DGOSE"</f>
        <v>DGOSE</v>
      </c>
      <c r="M1907" s="26" t="str">
        <f t="shared" si="311"/>
        <v>FEDERAL</v>
      </c>
      <c r="N1907" s="26">
        <v>249</v>
      </c>
      <c r="O1907" s="26">
        <v>129</v>
      </c>
      <c r="P1907" s="26">
        <v>120</v>
      </c>
      <c r="Q1907" s="26">
        <v>6</v>
      </c>
      <c r="R1907" s="26">
        <v>1</v>
      </c>
      <c r="S1907" s="26">
        <v>5</v>
      </c>
      <c r="T1907" s="26">
        <v>8</v>
      </c>
      <c r="U1907" s="26">
        <v>14</v>
      </c>
      <c r="V1907" s="26">
        <v>1</v>
      </c>
      <c r="W1907" s="26" t="s">
        <v>2076</v>
      </c>
    </row>
    <row r="1908" spans="1:23" x14ac:dyDescent="0.25">
      <c r="A1908" s="26" t="str">
        <f t="shared" si="309"/>
        <v>PRIMARIA</v>
      </c>
      <c r="B1908" s="26" t="str">
        <f>"09DPR4506E"</f>
        <v>09DPR4506E</v>
      </c>
      <c r="C1908" s="26" t="str">
        <f>"YECAHUIZOTL                                                                                         "</f>
        <v xml:space="preserve">YECAHUIZOTL                                                                                         </v>
      </c>
      <c r="D1908" s="26" t="str">
        <f>"MATUTINO"</f>
        <v>MATUTINO</v>
      </c>
      <c r="E1908" s="26" t="str">
        <f>"CALLE 6 S/ N                                                                    "</f>
        <v xml:space="preserve">CALLE 6 S/ N                                                                    </v>
      </c>
      <c r="F1908" s="26" t="str">
        <f>"SANTA CATARINA YECAHUIZOTL PUEBLO                                                                                                           "</f>
        <v xml:space="preserve">SANTA CATARINA YECAHUIZOTL PUEBLO                                                                                                           </v>
      </c>
      <c r="G1908" s="26" t="str">
        <f>"TLAHUAC                                                                         "</f>
        <v xml:space="preserve">TLAHUAC                                                                         </v>
      </c>
      <c r="H1908" s="26" t="str">
        <f>"556"</f>
        <v>556</v>
      </c>
      <c r="I1908" s="26" t="str">
        <f t="shared" si="310"/>
        <v>00</v>
      </c>
      <c r="J1908" s="26" t="str">
        <f>"45 "</f>
        <v xml:space="preserve">45 </v>
      </c>
      <c r="K1908" s="26" t="str">
        <f>"PR"</f>
        <v>PR</v>
      </c>
      <c r="L1908" s="26" t="str">
        <f>"DGOSE"</f>
        <v>DGOSE</v>
      </c>
      <c r="M1908" s="26" t="str">
        <f t="shared" si="311"/>
        <v>FEDERAL</v>
      </c>
      <c r="N1908" s="26">
        <v>250</v>
      </c>
      <c r="O1908" s="26">
        <v>134</v>
      </c>
      <c r="P1908" s="26">
        <v>116</v>
      </c>
      <c r="Q1908" s="26">
        <v>6</v>
      </c>
      <c r="R1908" s="26">
        <v>1</v>
      </c>
      <c r="S1908" s="26">
        <v>6</v>
      </c>
      <c r="T1908" s="26">
        <v>5</v>
      </c>
      <c r="U1908" s="26">
        <v>12</v>
      </c>
      <c r="V1908" s="26">
        <v>1</v>
      </c>
      <c r="W1908" s="26"/>
    </row>
    <row r="1909" spans="1:23" x14ac:dyDescent="0.25">
      <c r="A1909" s="26" t="str">
        <f t="shared" si="309"/>
        <v>PRIMARIA</v>
      </c>
      <c r="B1909" s="26" t="str">
        <f>"09DPR4507D"</f>
        <v>09DPR4507D</v>
      </c>
      <c r="C1909" s="26" t="str">
        <f>"ANICETO CASTELLANOS URRUTIA                                                                         "</f>
        <v xml:space="preserve">ANICETO CASTELLANOS URRUTIA                                                                         </v>
      </c>
      <c r="D1909" s="26" t="str">
        <f>"VESPERTINO"</f>
        <v>VESPERTINO</v>
      </c>
      <c r="E1909" s="26" t="str">
        <f>"JOSE TARTINI S/N Y GUILLERMO PRIETO                                             "</f>
        <v xml:space="preserve">JOSE TARTINI S/N Y GUILLERMO PRIETO                                             </v>
      </c>
      <c r="F1909" s="26" t="str">
        <f>"MIGUEL HIDALGO                                                                                                                              "</f>
        <v xml:space="preserve">MIGUEL HIDALGO                                                                                                                              </v>
      </c>
      <c r="G1909" s="26" t="str">
        <f>"TLAHUAC                                                                         "</f>
        <v xml:space="preserve">TLAHUAC                                                                         </v>
      </c>
      <c r="H1909" s="26" t="str">
        <f>"552"</f>
        <v>552</v>
      </c>
      <c r="I1909" s="26" t="str">
        <f t="shared" si="310"/>
        <v>00</v>
      </c>
      <c r="J1909" s="26" t="str">
        <f>"45 "</f>
        <v xml:space="preserve">45 </v>
      </c>
      <c r="K1909" s="26" t="str">
        <f>"PR"</f>
        <v>PR</v>
      </c>
      <c r="L1909" s="26" t="str">
        <f>"DGOSE"</f>
        <v>DGOSE</v>
      </c>
      <c r="M1909" s="26" t="str">
        <f t="shared" si="311"/>
        <v>FEDERAL</v>
      </c>
      <c r="N1909" s="26">
        <v>384</v>
      </c>
      <c r="O1909" s="26">
        <v>205</v>
      </c>
      <c r="P1909" s="26">
        <v>179</v>
      </c>
      <c r="Q1909" s="26">
        <v>15</v>
      </c>
      <c r="R1909" s="26">
        <v>1</v>
      </c>
      <c r="S1909" s="26">
        <v>14</v>
      </c>
      <c r="T1909" s="26">
        <v>9</v>
      </c>
      <c r="U1909" s="26">
        <v>24</v>
      </c>
      <c r="V1909" s="26">
        <v>1</v>
      </c>
      <c r="W1909" s="26"/>
    </row>
    <row r="1910" spans="1:23" x14ac:dyDescent="0.25">
      <c r="A1910" s="26" t="str">
        <f t="shared" si="309"/>
        <v>PRIMARIA</v>
      </c>
      <c r="B1910" s="26" t="str">
        <f>"09DPR4508C"</f>
        <v>09DPR4508C</v>
      </c>
      <c r="C1910" s="26" t="str">
        <f>"ALVARO OBREGON                                                                                      "</f>
        <v xml:space="preserve">ALVARO OBREGON                                                                                      </v>
      </c>
      <c r="D1910" s="26" t="str">
        <f>"VESPERTINO"</f>
        <v>VESPERTINO</v>
      </c>
      <c r="E1910" s="26" t="str">
        <f>"AV CUAUHTEMOC NO 28                                                             "</f>
        <v xml:space="preserve">AV CUAUHTEMOC NO 28                                                             </v>
      </c>
      <c r="F1910" s="26" t="str">
        <f>"SAN PEDRO ATOCPAN                                                                                                                           "</f>
        <v xml:space="preserve">SAN PEDRO ATOCPAN                                                                                                                           </v>
      </c>
      <c r="G1910" s="26" t="str">
        <f>"MILPA ALTA                                                                      "</f>
        <v xml:space="preserve">MILPA ALTA                                                                      </v>
      </c>
      <c r="H1910" s="26" t="str">
        <f>"564"</f>
        <v>564</v>
      </c>
      <c r="I1910" s="26" t="str">
        <f t="shared" si="310"/>
        <v>00</v>
      </c>
      <c r="J1910" s="26" t="str">
        <f>"45 "</f>
        <v xml:space="preserve">45 </v>
      </c>
      <c r="K1910" s="26" t="str">
        <f>"PR"</f>
        <v>PR</v>
      </c>
      <c r="L1910" s="26" t="str">
        <f>"DGOSE"</f>
        <v>DGOSE</v>
      </c>
      <c r="M1910" s="26" t="str">
        <f t="shared" si="311"/>
        <v>FEDERAL</v>
      </c>
      <c r="N1910" s="26">
        <v>549</v>
      </c>
      <c r="O1910" s="26">
        <v>295</v>
      </c>
      <c r="P1910" s="26">
        <v>254</v>
      </c>
      <c r="Q1910" s="26">
        <v>18</v>
      </c>
      <c r="R1910" s="26">
        <v>1</v>
      </c>
      <c r="S1910" s="26">
        <v>18</v>
      </c>
      <c r="T1910" s="26">
        <v>9</v>
      </c>
      <c r="U1910" s="26">
        <v>28</v>
      </c>
      <c r="V1910" s="26">
        <v>1</v>
      </c>
      <c r="W1910" s="26"/>
    </row>
    <row r="1911" spans="1:23" x14ac:dyDescent="0.25">
      <c r="A1911" s="26" t="str">
        <f t="shared" si="309"/>
        <v>PRIMARIA</v>
      </c>
      <c r="B1911" s="26" t="str">
        <f>"09DPR4509B"</f>
        <v>09DPR4509B</v>
      </c>
      <c r="C1911" s="26" t="str">
        <f>"JESUS NARVAEZ GALDEANO                                                                              "</f>
        <v xml:space="preserve">JESUS NARVAEZ GALDEANO                                                                              </v>
      </c>
      <c r="D1911" s="26" t="str">
        <f>"VESPERTINO"</f>
        <v>VESPERTINO</v>
      </c>
      <c r="E1911" s="26" t="str">
        <f>"GREGORIO SOSA NO. 19                                                            "</f>
        <v xml:space="preserve">GREGORIO SOSA NO. 19                                                            </v>
      </c>
      <c r="F1911" s="26" t="str">
        <f>"CONSEJO AGRARISTA MEXICANO                                                                                                                  "</f>
        <v xml:space="preserve">CONSEJO AGRARISTA MEXICANO                                                                                                                  </v>
      </c>
      <c r="G1911" s="26" t="str">
        <f>"IZTAPALAPA                                                                      "</f>
        <v xml:space="preserve">IZTAPALAPA                                                                      </v>
      </c>
      <c r="H1911" s="26" t="str">
        <f>"057"</f>
        <v>057</v>
      </c>
      <c r="I1911" s="26" t="str">
        <f t="shared" si="310"/>
        <v>00</v>
      </c>
      <c r="J1911" s="26" t="str">
        <f>"64 "</f>
        <v xml:space="preserve">64 </v>
      </c>
      <c r="K1911" s="26" t="str">
        <f>"IZ"</f>
        <v>IZ</v>
      </c>
      <c r="L1911" s="26" t="str">
        <f>"DGSEI"</f>
        <v>DGSEI</v>
      </c>
      <c r="M1911" s="26" t="str">
        <f t="shared" si="311"/>
        <v>FEDERAL</v>
      </c>
      <c r="N1911" s="26">
        <v>449</v>
      </c>
      <c r="O1911" s="26">
        <v>242</v>
      </c>
      <c r="P1911" s="26">
        <v>207</v>
      </c>
      <c r="Q1911" s="26">
        <v>17</v>
      </c>
      <c r="R1911" s="26">
        <v>1</v>
      </c>
      <c r="S1911" s="26">
        <v>17</v>
      </c>
      <c r="T1911" s="26">
        <v>6</v>
      </c>
      <c r="U1911" s="26">
        <v>24</v>
      </c>
      <c r="V1911" s="26">
        <v>1</v>
      </c>
      <c r="W1911" s="26"/>
    </row>
    <row r="1912" spans="1:23" x14ac:dyDescent="0.25">
      <c r="A1912" s="26" t="str">
        <f t="shared" si="309"/>
        <v>PRIMARIA</v>
      </c>
      <c r="B1912" s="26" t="str">
        <f>"09DPR4510R"</f>
        <v>09DPR4510R</v>
      </c>
      <c r="C1912" s="26" t="str">
        <f>"REPUBLICA ARABE DE EGIPTO                                                                           "</f>
        <v xml:space="preserve">REPUBLICA ARABE DE EGIPTO                                                                           </v>
      </c>
      <c r="D1912" s="26" t="str">
        <f>"VESPERTINO"</f>
        <v>VESPERTINO</v>
      </c>
      <c r="E1912" s="26" t="str">
        <f>"VILLA INFERIOR Y VILLA GONZALO NO. 1                                            "</f>
        <v xml:space="preserve">VILLA INFERIOR Y VILLA GONZALO NO. 1                                            </v>
      </c>
      <c r="F1912" s="26" t="str">
        <f>"DESARROLLO URBANO QUETZALCOATL                                                                                                              "</f>
        <v xml:space="preserve">DESARROLLO URBANO QUETZALCOATL                                                                                                              </v>
      </c>
      <c r="G1912" s="26" t="str">
        <f>"IZTAPALAPA                                                                      "</f>
        <v xml:space="preserve">IZTAPALAPA                                                                      </v>
      </c>
      <c r="H1912" s="26" t="str">
        <f>"056"</f>
        <v>056</v>
      </c>
      <c r="I1912" s="26" t="str">
        <f t="shared" si="310"/>
        <v>00</v>
      </c>
      <c r="J1912" s="26" t="str">
        <f>"64 "</f>
        <v xml:space="preserve">64 </v>
      </c>
      <c r="K1912" s="26" t="str">
        <f>"IZ"</f>
        <v>IZ</v>
      </c>
      <c r="L1912" s="26" t="str">
        <f>"DGSEI"</f>
        <v>DGSEI</v>
      </c>
      <c r="M1912" s="26" t="str">
        <f t="shared" si="311"/>
        <v>FEDERAL</v>
      </c>
      <c r="N1912" s="26">
        <v>575</v>
      </c>
      <c r="O1912" s="26">
        <v>299</v>
      </c>
      <c r="P1912" s="26">
        <v>276</v>
      </c>
      <c r="Q1912" s="26">
        <v>20</v>
      </c>
      <c r="R1912" s="26">
        <v>0</v>
      </c>
      <c r="S1912" s="26">
        <v>20</v>
      </c>
      <c r="T1912" s="26">
        <v>7</v>
      </c>
      <c r="U1912" s="26">
        <v>27</v>
      </c>
      <c r="V1912" s="26">
        <v>1</v>
      </c>
      <c r="W1912" s="26"/>
    </row>
    <row r="1913" spans="1:23" x14ac:dyDescent="0.25">
      <c r="A1913" s="26" t="str">
        <f t="shared" si="309"/>
        <v>PRIMARIA</v>
      </c>
      <c r="B1913" s="26" t="str">
        <f>"09DPR4511Q"</f>
        <v>09DPR4511Q</v>
      </c>
      <c r="C1913" s="26" t="str">
        <f>"REPUBLICA ARABE DE EGIPTO                                                                           "</f>
        <v xml:space="preserve">REPUBLICA ARABE DE EGIPTO                                                                           </v>
      </c>
      <c r="D1913" s="26" t="str">
        <f>"MATUTINO"</f>
        <v>MATUTINO</v>
      </c>
      <c r="E1913" s="26" t="str">
        <f>"VILLA INFERIOR Y VILLA GONZALO NO. 1                                            "</f>
        <v xml:space="preserve">VILLA INFERIOR Y VILLA GONZALO NO. 1                                            </v>
      </c>
      <c r="F1913" s="26" t="str">
        <f>"DESARROLLO URBANO QUETZALCOATL                                                                                                              "</f>
        <v xml:space="preserve">DESARROLLO URBANO QUETZALCOATL                                                                                                              </v>
      </c>
      <c r="G1913" s="26" t="str">
        <f>"IZTAPALAPA                                                                      "</f>
        <v xml:space="preserve">IZTAPALAPA                                                                      </v>
      </c>
      <c r="H1913" s="26" t="str">
        <f>"056"</f>
        <v>056</v>
      </c>
      <c r="I1913" s="26" t="str">
        <f t="shared" si="310"/>
        <v>00</v>
      </c>
      <c r="J1913" s="26" t="str">
        <f>"64 "</f>
        <v xml:space="preserve">64 </v>
      </c>
      <c r="K1913" s="26" t="str">
        <f>"IZ"</f>
        <v>IZ</v>
      </c>
      <c r="L1913" s="26" t="str">
        <f>"DGSEI"</f>
        <v>DGSEI</v>
      </c>
      <c r="M1913" s="26" t="str">
        <f t="shared" si="311"/>
        <v>FEDERAL</v>
      </c>
      <c r="N1913" s="26">
        <v>659</v>
      </c>
      <c r="O1913" s="26">
        <v>316</v>
      </c>
      <c r="P1913" s="26">
        <v>343</v>
      </c>
      <c r="Q1913" s="26">
        <v>20</v>
      </c>
      <c r="R1913" s="26">
        <v>1</v>
      </c>
      <c r="S1913" s="26">
        <v>20</v>
      </c>
      <c r="T1913" s="26">
        <v>8</v>
      </c>
      <c r="U1913" s="26">
        <v>29</v>
      </c>
      <c r="V1913" s="26">
        <v>1</v>
      </c>
      <c r="W1913" s="26"/>
    </row>
    <row r="1914" spans="1:23" x14ac:dyDescent="0.25">
      <c r="A1914" s="26" t="str">
        <f t="shared" si="309"/>
        <v>PRIMARIA</v>
      </c>
      <c r="B1914" s="26" t="str">
        <f>"09DPR4512P"</f>
        <v>09DPR4512P</v>
      </c>
      <c r="C1914" s="26" t="str">
        <f>"SALVADOR NAVA MARTINEZ                                                                              "</f>
        <v xml:space="preserve">SALVADOR NAVA MARTINEZ                                                                              </v>
      </c>
      <c r="D1914" s="26" t="str">
        <f>"VESPERTINO"</f>
        <v>VESPERTINO</v>
      </c>
      <c r="E1914" s="26" t="str">
        <f>"AV. DIAZ ORDAZ S/N                                                              "</f>
        <v xml:space="preserve">AV. DIAZ ORDAZ S/N                                                              </v>
      </c>
      <c r="F1914" s="26" t="str">
        <f>"JALALPA EL GRANDE                                                                                                                           "</f>
        <v xml:space="preserve">JALALPA EL GRANDE                                                                                                                           </v>
      </c>
      <c r="G1914" s="26" t="str">
        <f>"ALVARO OBREGON                                                                  "</f>
        <v xml:space="preserve">ALVARO OBREGON                                                                  </v>
      </c>
      <c r="H1914" s="26" t="str">
        <f>"316"</f>
        <v>316</v>
      </c>
      <c r="I1914" s="26" t="str">
        <f t="shared" si="310"/>
        <v>00</v>
      </c>
      <c r="J1914" s="26" t="str">
        <f>"43 "</f>
        <v xml:space="preserve">43 </v>
      </c>
      <c r="K1914" s="26" t="str">
        <f>"PR"</f>
        <v>PR</v>
      </c>
      <c r="L1914" s="26" t="str">
        <f>"DGOSE"</f>
        <v>DGOSE</v>
      </c>
      <c r="M1914" s="26" t="str">
        <f t="shared" si="311"/>
        <v>FEDERAL</v>
      </c>
      <c r="N1914" s="26">
        <v>521</v>
      </c>
      <c r="O1914" s="26">
        <v>256</v>
      </c>
      <c r="P1914" s="26">
        <v>265</v>
      </c>
      <c r="Q1914" s="26">
        <v>15</v>
      </c>
      <c r="R1914" s="26">
        <v>1</v>
      </c>
      <c r="S1914" s="26">
        <v>15</v>
      </c>
      <c r="T1914" s="26">
        <v>10</v>
      </c>
      <c r="U1914" s="26">
        <v>26</v>
      </c>
      <c r="V1914" s="26">
        <v>1</v>
      </c>
      <c r="W1914" s="26"/>
    </row>
    <row r="1915" spans="1:23" x14ac:dyDescent="0.25">
      <c r="A1915" s="26" t="str">
        <f t="shared" si="309"/>
        <v>PRIMARIA</v>
      </c>
      <c r="B1915" s="26" t="str">
        <f>"09DPR4513O"</f>
        <v>09DPR4513O</v>
      </c>
      <c r="C1915" s="26" t="str">
        <f>"SALVADOR NAVA MARTINEZ                                                                              "</f>
        <v xml:space="preserve">SALVADOR NAVA MARTINEZ                                                                              </v>
      </c>
      <c r="D1915" s="26" t="str">
        <f>"MATUTINO"</f>
        <v>MATUTINO</v>
      </c>
      <c r="E1915" s="26" t="str">
        <f>"AV. DIAZ ORDAZ S/N                                                              "</f>
        <v xml:space="preserve">AV. DIAZ ORDAZ S/N                                                              </v>
      </c>
      <c r="F1915" s="26" t="str">
        <f>"JALALPA EL GRANDE                                                                                                                           "</f>
        <v xml:space="preserve">JALALPA EL GRANDE                                                                                                                           </v>
      </c>
      <c r="G1915" s="26" t="str">
        <f>"ALVARO OBREGON                                                                  "</f>
        <v xml:space="preserve">ALVARO OBREGON                                                                  </v>
      </c>
      <c r="H1915" s="26" t="str">
        <f>"316"</f>
        <v>316</v>
      </c>
      <c r="I1915" s="26" t="str">
        <f t="shared" si="310"/>
        <v>00</v>
      </c>
      <c r="J1915" s="26" t="str">
        <f>"43 "</f>
        <v xml:space="preserve">43 </v>
      </c>
      <c r="K1915" s="26" t="str">
        <f>"PR"</f>
        <v>PR</v>
      </c>
      <c r="L1915" s="26" t="str">
        <f>"DGOSE"</f>
        <v>DGOSE</v>
      </c>
      <c r="M1915" s="26" t="str">
        <f t="shared" si="311"/>
        <v>FEDERAL</v>
      </c>
      <c r="N1915" s="26">
        <v>564</v>
      </c>
      <c r="O1915" s="26">
        <v>252</v>
      </c>
      <c r="P1915" s="26">
        <v>312</v>
      </c>
      <c r="Q1915" s="26">
        <v>15</v>
      </c>
      <c r="R1915" s="26">
        <v>1</v>
      </c>
      <c r="S1915" s="26">
        <v>15</v>
      </c>
      <c r="T1915" s="26">
        <v>8</v>
      </c>
      <c r="U1915" s="26">
        <v>24</v>
      </c>
      <c r="V1915" s="26">
        <v>1</v>
      </c>
      <c r="W1915" s="26"/>
    </row>
    <row r="1916" spans="1:23" x14ac:dyDescent="0.25">
      <c r="A1916" s="26" t="str">
        <f t="shared" si="309"/>
        <v>PRIMARIA</v>
      </c>
      <c r="B1916" s="26" t="str">
        <f>"09DPR4514N"</f>
        <v>09DPR4514N</v>
      </c>
      <c r="C1916" s="26" t="str">
        <f>"MITLA                                                                                               "</f>
        <v xml:space="preserve">MITLA                                                                                               </v>
      </c>
      <c r="D1916" s="26" t="str">
        <f>"MATUTINO"</f>
        <v>MATUTINO</v>
      </c>
      <c r="E1916" s="26" t="str">
        <f>"AREA DE SERVICIOS S/N MANZANA 4                                                 "</f>
        <v xml:space="preserve">AREA DE SERVICIOS S/N MANZANA 4                                                 </v>
      </c>
      <c r="F1916" s="26" t="str">
        <f>"EL MOLINO  IZTAPALAPA                                                                                                                       "</f>
        <v xml:space="preserve">EL MOLINO  IZTAPALAPA                                                                                                                       </v>
      </c>
      <c r="G1916" s="26" t="str">
        <f>"IZTAPALAPA                                                                      "</f>
        <v xml:space="preserve">IZTAPALAPA                                                                      </v>
      </c>
      <c r="H1916" s="26" t="str">
        <f>"051"</f>
        <v>051</v>
      </c>
      <c r="I1916" s="26" t="str">
        <f t="shared" si="310"/>
        <v>00</v>
      </c>
      <c r="J1916" s="26" t="str">
        <f>"63 "</f>
        <v xml:space="preserve">63 </v>
      </c>
      <c r="K1916" s="26" t="str">
        <f>"IZ"</f>
        <v>IZ</v>
      </c>
      <c r="L1916" s="26" t="str">
        <f>"DGSEI"</f>
        <v>DGSEI</v>
      </c>
      <c r="M1916" s="26" t="str">
        <f t="shared" si="311"/>
        <v>FEDERAL</v>
      </c>
      <c r="N1916" s="26">
        <v>411</v>
      </c>
      <c r="O1916" s="26">
        <v>207</v>
      </c>
      <c r="P1916" s="26">
        <v>204</v>
      </c>
      <c r="Q1916" s="26">
        <v>10</v>
      </c>
      <c r="R1916" s="26">
        <v>0</v>
      </c>
      <c r="S1916" s="26">
        <v>10</v>
      </c>
      <c r="T1916" s="26">
        <v>2</v>
      </c>
      <c r="U1916" s="26">
        <v>12</v>
      </c>
      <c r="V1916" s="26">
        <v>1</v>
      </c>
      <c r="W1916" s="26"/>
    </row>
    <row r="1917" spans="1:23" x14ac:dyDescent="0.25">
      <c r="A1917" s="26" t="str">
        <f t="shared" si="309"/>
        <v>PRIMARIA</v>
      </c>
      <c r="B1917" s="26" t="str">
        <f>"09DPR4515M"</f>
        <v>09DPR4515M</v>
      </c>
      <c r="C1917" s="26" t="str">
        <f>"NIÑOS HEROES                                                                                        "</f>
        <v xml:space="preserve">NIÑOS HEROES                                                                                        </v>
      </c>
      <c r="D1917" s="26" t="str">
        <f>"MATUTINO"</f>
        <v>MATUTINO</v>
      </c>
      <c r="E1917" s="26" t="str">
        <f>"CALLE SANTA RITA NO 230                                                         "</f>
        <v xml:space="preserve">CALLE SANTA RITA NO 230                                                         </v>
      </c>
      <c r="F1917" s="26" t="str">
        <f>"LOMAS DEL PADRE                                                                                                                             "</f>
        <v xml:space="preserve">LOMAS DEL PADRE                                                                                                                             </v>
      </c>
      <c r="G1917" s="26" t="str">
        <f>"CUAJIMALPA DE MORELOS                                                           "</f>
        <v xml:space="preserve">CUAJIMALPA DE MORELOS                                                           </v>
      </c>
      <c r="H1917" s="26" t="str">
        <f>"306"</f>
        <v>306</v>
      </c>
      <c r="I1917" s="26" t="str">
        <f t="shared" si="310"/>
        <v>00</v>
      </c>
      <c r="J1917" s="26" t="str">
        <f>"43 "</f>
        <v xml:space="preserve">43 </v>
      </c>
      <c r="K1917" s="26" t="str">
        <f>"PR"</f>
        <v>PR</v>
      </c>
      <c r="L1917" s="26" t="str">
        <f>"DGOSE"</f>
        <v>DGOSE</v>
      </c>
      <c r="M1917" s="26" t="str">
        <f t="shared" si="311"/>
        <v>FEDERAL</v>
      </c>
      <c r="N1917" s="26">
        <v>209</v>
      </c>
      <c r="O1917" s="26">
        <v>110</v>
      </c>
      <c r="P1917" s="26">
        <v>99</v>
      </c>
      <c r="Q1917" s="26">
        <v>6</v>
      </c>
      <c r="R1917" s="26">
        <v>1</v>
      </c>
      <c r="S1917" s="26">
        <v>6</v>
      </c>
      <c r="T1917" s="26">
        <v>5</v>
      </c>
      <c r="U1917" s="26">
        <v>12</v>
      </c>
      <c r="V1917" s="26">
        <v>1</v>
      </c>
      <c r="W1917" s="26"/>
    </row>
    <row r="1918" spans="1:23" x14ac:dyDescent="0.25">
      <c r="A1918" s="26" t="str">
        <f t="shared" si="309"/>
        <v>PRIMARIA</v>
      </c>
      <c r="B1918" s="26" t="str">
        <f>"09DPR4516L"</f>
        <v>09DPR4516L</v>
      </c>
      <c r="C1918" s="26" t="str">
        <f>"GUADALUPE FLORES ALONSO                                                                             "</f>
        <v xml:space="preserve">GUADALUPE FLORES ALONSO                                                                             </v>
      </c>
      <c r="D1918" s="26" t="str">
        <f>"TIEMPO COMPLETO"</f>
        <v>TIEMPO COMPLETO</v>
      </c>
      <c r="E1918" s="26" t="str">
        <f>"CALLE SANTIAGO 620                                                              "</f>
        <v xml:space="preserve">CALLE SANTIAGO 620                                                              </v>
      </c>
      <c r="F1918" s="26" t="str">
        <f>"LOMAS QUEBRADAS                                                                                                                             "</f>
        <v xml:space="preserve">LOMAS QUEBRADAS                                                                                                                             </v>
      </c>
      <c r="G1918" s="26" t="str">
        <f>"LA MAGDALENA CONTRERAS                                                          "</f>
        <v xml:space="preserve">LA MAGDALENA CONTRERAS                                                          </v>
      </c>
      <c r="H1918" s="26" t="str">
        <f>"409"</f>
        <v>409</v>
      </c>
      <c r="I1918" s="26" t="str">
        <f t="shared" si="310"/>
        <v>00</v>
      </c>
      <c r="J1918" s="26" t="str">
        <f>"44 "</f>
        <v xml:space="preserve">44 </v>
      </c>
      <c r="K1918" s="26" t="str">
        <f>"PR"</f>
        <v>PR</v>
      </c>
      <c r="L1918" s="26" t="str">
        <f>"DGOSE"</f>
        <v>DGOSE</v>
      </c>
      <c r="M1918" s="26" t="str">
        <f t="shared" si="311"/>
        <v>FEDERAL</v>
      </c>
      <c r="N1918" s="26">
        <v>432</v>
      </c>
      <c r="O1918" s="26">
        <v>225</v>
      </c>
      <c r="P1918" s="26">
        <v>207</v>
      </c>
      <c r="Q1918" s="26">
        <v>12</v>
      </c>
      <c r="R1918" s="26">
        <v>1</v>
      </c>
      <c r="S1918" s="26">
        <v>12</v>
      </c>
      <c r="T1918" s="26">
        <v>11</v>
      </c>
      <c r="U1918" s="26">
        <v>24</v>
      </c>
      <c r="V1918" s="26">
        <v>1</v>
      </c>
      <c r="W1918" s="26" t="s">
        <v>218</v>
      </c>
    </row>
    <row r="1919" spans="1:23" x14ac:dyDescent="0.25">
      <c r="A1919" s="26" t="str">
        <f t="shared" si="309"/>
        <v>PRIMARIA</v>
      </c>
      <c r="B1919" s="26" t="str">
        <f>"09DPR4517K"</f>
        <v>09DPR4517K</v>
      </c>
      <c r="C1919" s="26" t="str">
        <f>"UGANDA                                                                                              "</f>
        <v xml:space="preserve">UGANDA                                                                                              </v>
      </c>
      <c r="D1919" s="26" t="str">
        <f>"TIEMPO COMPLETO"</f>
        <v>TIEMPO COMPLETO</v>
      </c>
      <c r="E1919" s="26" t="str">
        <f>"VICENTE GUERRERO NO. 36                                                         "</f>
        <v xml:space="preserve">VICENTE GUERRERO NO. 36                                                         </v>
      </c>
      <c r="F1919" s="26" t="str">
        <f>"SAN MIGUEL TEOTONGO                                                                                                                         "</f>
        <v xml:space="preserve">SAN MIGUEL TEOTONGO                                                                                                                         </v>
      </c>
      <c r="G1919" s="26" t="str">
        <f>"IZTAPALAPA                                                                      "</f>
        <v xml:space="preserve">IZTAPALAPA                                                                      </v>
      </c>
      <c r="H1919" s="26" t="str">
        <f>"012"</f>
        <v>012</v>
      </c>
      <c r="I1919" s="26" t="str">
        <f t="shared" si="310"/>
        <v>00</v>
      </c>
      <c r="J1919" s="26" t="str">
        <f>"61 "</f>
        <v xml:space="preserve">61 </v>
      </c>
      <c r="K1919" s="26" t="str">
        <f>"IZ"</f>
        <v>IZ</v>
      </c>
      <c r="L1919" s="26" t="str">
        <f>"DGSEI"</f>
        <v>DGSEI</v>
      </c>
      <c r="M1919" s="26" t="str">
        <f t="shared" si="311"/>
        <v>FEDERAL</v>
      </c>
      <c r="N1919" s="26">
        <v>424</v>
      </c>
      <c r="O1919" s="26">
        <v>227</v>
      </c>
      <c r="P1919" s="26">
        <v>197</v>
      </c>
      <c r="Q1919" s="26">
        <v>12</v>
      </c>
      <c r="R1919" s="26">
        <v>1</v>
      </c>
      <c r="S1919" s="26">
        <v>12</v>
      </c>
      <c r="T1919" s="26">
        <v>8</v>
      </c>
      <c r="U1919" s="26">
        <v>21</v>
      </c>
      <c r="V1919" s="26">
        <v>1</v>
      </c>
      <c r="W1919" s="26" t="s">
        <v>218</v>
      </c>
    </row>
    <row r="1920" spans="1:23" x14ac:dyDescent="0.25">
      <c r="A1920" s="26" t="str">
        <f t="shared" si="309"/>
        <v>PRIMARIA</v>
      </c>
      <c r="B1920" s="26" t="str">
        <f>"09DPR4519I"</f>
        <v>09DPR4519I</v>
      </c>
      <c r="C1920" s="26" t="str">
        <f>"JULIO DE LA FUENTE                                                                                  "</f>
        <v xml:space="preserve">JULIO DE LA FUENTE                                                                                  </v>
      </c>
      <c r="D1920" s="26" t="str">
        <f>"VESPERTINO"</f>
        <v>VESPERTINO</v>
      </c>
      <c r="E1920" s="26" t="str">
        <f>"CALLE SIRENA S/N                                                                "</f>
        <v xml:space="preserve">CALLE SIRENA S/N                                                                </v>
      </c>
      <c r="F1920" s="26" t="str">
        <f>"DEL MAR                                                                                                                                     "</f>
        <v xml:space="preserve">DEL MAR                                                                                                                                     </v>
      </c>
      <c r="G1920" s="26" t="str">
        <f>"TLAHUAC                                                                         "</f>
        <v xml:space="preserve">TLAHUAC                                                                         </v>
      </c>
      <c r="H1920" s="26" t="str">
        <f>"551"</f>
        <v>551</v>
      </c>
      <c r="I1920" s="26" t="str">
        <f t="shared" si="310"/>
        <v>00</v>
      </c>
      <c r="J1920" s="26" t="str">
        <f>"45 "</f>
        <v xml:space="preserve">45 </v>
      </c>
      <c r="K1920" s="26" t="str">
        <f t="shared" ref="K1920:K1928" si="316">"PR"</f>
        <v>PR</v>
      </c>
      <c r="L1920" s="26" t="str">
        <f t="shared" ref="L1920:L1928" si="317">"DGOSE"</f>
        <v>DGOSE</v>
      </c>
      <c r="M1920" s="26" t="str">
        <f t="shared" si="311"/>
        <v>FEDERAL</v>
      </c>
      <c r="N1920" s="26">
        <v>408</v>
      </c>
      <c r="O1920" s="26">
        <v>212</v>
      </c>
      <c r="P1920" s="26">
        <v>196</v>
      </c>
      <c r="Q1920" s="26">
        <v>12</v>
      </c>
      <c r="R1920" s="26">
        <v>1</v>
      </c>
      <c r="S1920" s="26">
        <v>11</v>
      </c>
      <c r="T1920" s="26">
        <v>6</v>
      </c>
      <c r="U1920" s="26">
        <v>18</v>
      </c>
      <c r="V1920" s="26">
        <v>1</v>
      </c>
      <c r="W1920" s="26"/>
    </row>
    <row r="1921" spans="1:23" x14ac:dyDescent="0.25">
      <c r="A1921" s="26" t="str">
        <f t="shared" si="309"/>
        <v>PRIMARIA</v>
      </c>
      <c r="B1921" s="26" t="str">
        <f>"09DPR4521X"</f>
        <v>09DPR4521X</v>
      </c>
      <c r="C1921" s="26" t="str">
        <f>"AARON CAMACHO LOPEZ                                                                                 "</f>
        <v xml:space="preserve">AARON CAMACHO LOPEZ                                                                                 </v>
      </c>
      <c r="D1921" s="26" t="str">
        <f>"VESPERTINO"</f>
        <v>VESPERTINO</v>
      </c>
      <c r="E1921" s="26" t="str">
        <f>"SIMON SALDAÑA S/N                                                               "</f>
        <v xml:space="preserve">SIMON SALDAÑA S/N                                                               </v>
      </c>
      <c r="F1921" s="26" t="str">
        <f>"EL CARMEN TULYEHUALCO                                                                                                                       "</f>
        <v xml:space="preserve">EL CARMEN TULYEHUALCO                                                                                                                       </v>
      </c>
      <c r="G1921" s="26" t="str">
        <f>"XOCHIMILCO                                                                      "</f>
        <v xml:space="preserve">XOCHIMILCO                                                                      </v>
      </c>
      <c r="H1921" s="26" t="str">
        <f>"544"</f>
        <v>544</v>
      </c>
      <c r="I1921" s="26" t="str">
        <f t="shared" si="310"/>
        <v>00</v>
      </c>
      <c r="J1921" s="26" t="str">
        <f>"45 "</f>
        <v xml:space="preserve">45 </v>
      </c>
      <c r="K1921" s="26" t="str">
        <f t="shared" si="316"/>
        <v>PR</v>
      </c>
      <c r="L1921" s="26" t="str">
        <f t="shared" si="317"/>
        <v>DGOSE</v>
      </c>
      <c r="M1921" s="26" t="str">
        <f t="shared" si="311"/>
        <v>FEDERAL</v>
      </c>
      <c r="N1921" s="26">
        <v>494</v>
      </c>
      <c r="O1921" s="26">
        <v>241</v>
      </c>
      <c r="P1921" s="26">
        <v>253</v>
      </c>
      <c r="Q1921" s="26">
        <v>16</v>
      </c>
      <c r="R1921" s="26">
        <v>1</v>
      </c>
      <c r="S1921" s="26">
        <v>15</v>
      </c>
      <c r="T1921" s="26">
        <v>8</v>
      </c>
      <c r="U1921" s="26">
        <v>24</v>
      </c>
      <c r="V1921" s="26">
        <v>1</v>
      </c>
      <c r="W1921" s="26"/>
    </row>
    <row r="1922" spans="1:23" x14ac:dyDescent="0.25">
      <c r="A1922" s="26" t="str">
        <f t="shared" ref="A1922:A1985" si="318">"PRIMARIA"</f>
        <v>PRIMARIA</v>
      </c>
      <c r="B1922" s="26" t="str">
        <f>"09DPR4522W"</f>
        <v>09DPR4522W</v>
      </c>
      <c r="C1922" s="26" t="str">
        <f>"MARGARITA DE GORTARI DE SALINAS LOZANO                                                              "</f>
        <v xml:space="preserve">MARGARITA DE GORTARI DE SALINAS LOZANO                                                              </v>
      </c>
      <c r="D1922" s="26" t="str">
        <f>"TIEMPO COMPLETO"</f>
        <v>TIEMPO COMPLETO</v>
      </c>
      <c r="E1922" s="26" t="str">
        <f>"TATAC S/N COLONIA EL ARENAL 4A SECCION                                          "</f>
        <v xml:space="preserve">TATAC S/N COLONIA EL ARENAL 4A SECCION                                          </v>
      </c>
      <c r="F1922" s="26" t="str">
        <f>"ARENAL 4A SECCION                                                                                                                           "</f>
        <v xml:space="preserve">ARENAL 4A SECCION                                                                                                                           </v>
      </c>
      <c r="G1922" s="26" t="str">
        <f>"VENUSTIANO CARRANZA                                                             "</f>
        <v xml:space="preserve">VENUSTIANO CARRANZA                                                             </v>
      </c>
      <c r="H1922" s="26" t="str">
        <f>"426"</f>
        <v>426</v>
      </c>
      <c r="I1922" s="26" t="str">
        <f t="shared" ref="I1922:I1985" si="319">"00"</f>
        <v>00</v>
      </c>
      <c r="J1922" s="26" t="str">
        <f>"44 "</f>
        <v xml:space="preserve">44 </v>
      </c>
      <c r="K1922" s="26" t="str">
        <f t="shared" si="316"/>
        <v>PR</v>
      </c>
      <c r="L1922" s="26" t="str">
        <f t="shared" si="317"/>
        <v>DGOSE</v>
      </c>
      <c r="M1922" s="26" t="str">
        <f t="shared" ref="M1922:M1985" si="320">"FEDERAL"</f>
        <v>FEDERAL</v>
      </c>
      <c r="N1922" s="26">
        <v>170</v>
      </c>
      <c r="O1922" s="26">
        <v>77</v>
      </c>
      <c r="P1922" s="26">
        <v>93</v>
      </c>
      <c r="Q1922" s="26">
        <v>6</v>
      </c>
      <c r="R1922" s="26">
        <v>1</v>
      </c>
      <c r="S1922" s="26">
        <v>6</v>
      </c>
      <c r="T1922" s="26">
        <v>9</v>
      </c>
      <c r="U1922" s="26">
        <v>16</v>
      </c>
      <c r="V1922" s="26">
        <v>1</v>
      </c>
      <c r="W1922" s="26" t="s">
        <v>218</v>
      </c>
    </row>
    <row r="1923" spans="1:23" x14ac:dyDescent="0.25">
      <c r="A1923" s="26" t="str">
        <f t="shared" si="318"/>
        <v>PRIMARIA</v>
      </c>
      <c r="B1923" s="26" t="str">
        <f>"09DPR4523V"</f>
        <v>09DPR4523V</v>
      </c>
      <c r="C1923" s="26" t="str">
        <f>"YECAHUIZOTL                                                                                         "</f>
        <v xml:space="preserve">YECAHUIZOTL                                                                                         </v>
      </c>
      <c r="D1923" s="26" t="str">
        <f>"VESPERTINO"</f>
        <v>VESPERTINO</v>
      </c>
      <c r="E1923" s="26" t="str">
        <f>"CALLE 6 BARRIO SAN MIGUEL                                                       "</f>
        <v xml:space="preserve">CALLE 6 BARRIO SAN MIGUEL                                                       </v>
      </c>
      <c r="F1923" s="26" t="str">
        <f>"SANTA CATARINA YECAHUIZOTL PUEBLO                                                                                                           "</f>
        <v xml:space="preserve">SANTA CATARINA YECAHUIZOTL PUEBLO                                                                                                           </v>
      </c>
      <c r="G1923" s="26" t="str">
        <f>"TLAHUAC                                                                         "</f>
        <v xml:space="preserve">TLAHUAC                                                                         </v>
      </c>
      <c r="H1923" s="26" t="str">
        <f>"556"</f>
        <v>556</v>
      </c>
      <c r="I1923" s="26" t="str">
        <f t="shared" si="319"/>
        <v>00</v>
      </c>
      <c r="J1923" s="26" t="str">
        <f>"45 "</f>
        <v xml:space="preserve">45 </v>
      </c>
      <c r="K1923" s="26" t="str">
        <f t="shared" si="316"/>
        <v>PR</v>
      </c>
      <c r="L1923" s="26" t="str">
        <f t="shared" si="317"/>
        <v>DGOSE</v>
      </c>
      <c r="M1923" s="26" t="str">
        <f t="shared" si="320"/>
        <v>FEDERAL</v>
      </c>
      <c r="N1923" s="26">
        <v>248</v>
      </c>
      <c r="O1923" s="26">
        <v>129</v>
      </c>
      <c r="P1923" s="26">
        <v>119</v>
      </c>
      <c r="Q1923" s="26">
        <v>6</v>
      </c>
      <c r="R1923" s="26">
        <v>1</v>
      </c>
      <c r="S1923" s="26">
        <v>6</v>
      </c>
      <c r="T1923" s="26">
        <v>5</v>
      </c>
      <c r="U1923" s="26">
        <v>12</v>
      </c>
      <c r="V1923" s="26">
        <v>1</v>
      </c>
      <c r="W1923" s="26"/>
    </row>
    <row r="1924" spans="1:23" x14ac:dyDescent="0.25">
      <c r="A1924" s="26" t="str">
        <f t="shared" si="318"/>
        <v>PRIMARIA</v>
      </c>
      <c r="B1924" s="26" t="str">
        <f>"09DPR5006Q"</f>
        <v>09DPR5006Q</v>
      </c>
      <c r="C1924" s="26" t="str">
        <f>"ANTONIO CISNEROS Y CISNEROS                                                                         "</f>
        <v xml:space="preserve">ANTONIO CISNEROS Y CISNEROS                                                                         </v>
      </c>
      <c r="D1924" s="26" t="str">
        <f>"MATUTINO"</f>
        <v>MATUTINO</v>
      </c>
      <c r="E1924" s="26" t="str">
        <f>"CALLE DE LA BRECHA S/N                                                          "</f>
        <v xml:space="preserve">CALLE DE LA BRECHA S/N                                                          </v>
      </c>
      <c r="F1924" s="26" t="str">
        <f>"TLALPEXCO                                                                                                                                   "</f>
        <v xml:space="preserve">TLALPEXCO                                                                                                                                   </v>
      </c>
      <c r="G1924" s="26" t="str">
        <f>"GUSTAVO A. MADERO                                                               "</f>
        <v xml:space="preserve">GUSTAVO A. MADERO                                                               </v>
      </c>
      <c r="H1924" s="26" t="str">
        <f>"230"</f>
        <v>230</v>
      </c>
      <c r="I1924" s="26" t="str">
        <f t="shared" si="319"/>
        <v>00</v>
      </c>
      <c r="J1924" s="26" t="str">
        <f>"42 "</f>
        <v xml:space="preserve">42 </v>
      </c>
      <c r="K1924" s="26" t="str">
        <f t="shared" si="316"/>
        <v>PR</v>
      </c>
      <c r="L1924" s="26" t="str">
        <f t="shared" si="317"/>
        <v>DGOSE</v>
      </c>
      <c r="M1924" s="26" t="str">
        <f t="shared" si="320"/>
        <v>FEDERAL</v>
      </c>
      <c r="N1924" s="26">
        <v>623</v>
      </c>
      <c r="O1924" s="26">
        <v>318</v>
      </c>
      <c r="P1924" s="26">
        <v>305</v>
      </c>
      <c r="Q1924" s="26">
        <v>18</v>
      </c>
      <c r="R1924" s="26">
        <v>1</v>
      </c>
      <c r="S1924" s="26">
        <v>17</v>
      </c>
      <c r="T1924" s="26">
        <v>12</v>
      </c>
      <c r="U1924" s="26">
        <v>30</v>
      </c>
      <c r="V1924" s="26">
        <v>1</v>
      </c>
      <c r="W1924" s="26"/>
    </row>
    <row r="1925" spans="1:23" x14ac:dyDescent="0.25">
      <c r="A1925" s="26" t="str">
        <f t="shared" si="318"/>
        <v>PRIMARIA</v>
      </c>
      <c r="B1925" s="26" t="str">
        <f>"09DPR5008O"</f>
        <v>09DPR5008O</v>
      </c>
      <c r="C1925" s="26" t="str">
        <f>"CALPULLI CALTONGO                                                                                   "</f>
        <v xml:space="preserve">CALPULLI CALTONGO                                                                                   </v>
      </c>
      <c r="D1925" s="26" t="str">
        <f>"MATUTINO"</f>
        <v>MATUTINO</v>
      </c>
      <c r="E1925" s="26" t="str">
        <f>"ROBLE S/N                                                                       "</f>
        <v xml:space="preserve">ROBLE S/N                                                                       </v>
      </c>
      <c r="F1925" s="26" t="str">
        <f>"CALTONGO                                                                                                                                    "</f>
        <v xml:space="preserve">CALTONGO                                                                                                                                    </v>
      </c>
      <c r="G1925" s="26" t="str">
        <f>"XOCHIMILCO                                                                      "</f>
        <v xml:space="preserve">XOCHIMILCO                                                                      </v>
      </c>
      <c r="H1925" s="26" t="str">
        <f>"542"</f>
        <v>542</v>
      </c>
      <c r="I1925" s="26" t="str">
        <f t="shared" si="319"/>
        <v>00</v>
      </c>
      <c r="J1925" s="26" t="str">
        <f>"45 "</f>
        <v xml:space="preserve">45 </v>
      </c>
      <c r="K1925" s="26" t="str">
        <f t="shared" si="316"/>
        <v>PR</v>
      </c>
      <c r="L1925" s="26" t="str">
        <f t="shared" si="317"/>
        <v>DGOSE</v>
      </c>
      <c r="M1925" s="26" t="str">
        <f t="shared" si="320"/>
        <v>FEDERAL</v>
      </c>
      <c r="N1925" s="26">
        <v>223</v>
      </c>
      <c r="O1925" s="26">
        <v>117</v>
      </c>
      <c r="P1925" s="26">
        <v>106</v>
      </c>
      <c r="Q1925" s="26">
        <v>6</v>
      </c>
      <c r="R1925" s="26">
        <v>1</v>
      </c>
      <c r="S1925" s="26">
        <v>5</v>
      </c>
      <c r="T1925" s="26">
        <v>5</v>
      </c>
      <c r="U1925" s="26">
        <v>11</v>
      </c>
      <c r="V1925" s="26">
        <v>1</v>
      </c>
      <c r="W1925" s="26"/>
    </row>
    <row r="1926" spans="1:23" x14ac:dyDescent="0.25">
      <c r="A1926" s="26" t="str">
        <f t="shared" si="318"/>
        <v>PRIMARIA</v>
      </c>
      <c r="B1926" s="26" t="str">
        <f>"09DPR5009N"</f>
        <v>09DPR5009N</v>
      </c>
      <c r="C1926" s="26" t="str">
        <f>"PROFR. AGUSTIN BANDA SEVILLA                                                                        "</f>
        <v xml:space="preserve">PROFR. AGUSTIN BANDA SEVILLA                                                                        </v>
      </c>
      <c r="D1926" s="26" t="str">
        <f>"JORNADA AMPLIADA"</f>
        <v>JORNADA AMPLIADA</v>
      </c>
      <c r="E1926" s="26" t="str">
        <f>"CARRETERA SAN PABLO S/N PARADA T                                                "</f>
        <v xml:space="preserve">CARRETERA SAN PABLO S/N PARADA T                                                </v>
      </c>
      <c r="F1926" s="26" t="str">
        <f>"SAN ANDRES AHUAYUCAN                                                                                                                        "</f>
        <v xml:space="preserve">SAN ANDRES AHUAYUCAN                                                                                                                        </v>
      </c>
      <c r="G1926" s="26" t="str">
        <f>"XOCHIMILCO                                                                      "</f>
        <v xml:space="preserve">XOCHIMILCO                                                                      </v>
      </c>
      <c r="H1926" s="26" t="str">
        <f>"449"</f>
        <v>449</v>
      </c>
      <c r="I1926" s="26" t="str">
        <f t="shared" si="319"/>
        <v>00</v>
      </c>
      <c r="J1926" s="26" t="str">
        <f>"44 "</f>
        <v xml:space="preserve">44 </v>
      </c>
      <c r="K1926" s="26" t="str">
        <f t="shared" si="316"/>
        <v>PR</v>
      </c>
      <c r="L1926" s="26" t="str">
        <f t="shared" si="317"/>
        <v>DGOSE</v>
      </c>
      <c r="M1926" s="26" t="str">
        <f t="shared" si="320"/>
        <v>FEDERAL</v>
      </c>
      <c r="N1926" s="26">
        <v>417</v>
      </c>
      <c r="O1926" s="26">
        <v>211</v>
      </c>
      <c r="P1926" s="26">
        <v>206</v>
      </c>
      <c r="Q1926" s="26">
        <v>12</v>
      </c>
      <c r="R1926" s="26">
        <v>1</v>
      </c>
      <c r="S1926" s="26">
        <v>12</v>
      </c>
      <c r="T1926" s="26">
        <v>11</v>
      </c>
      <c r="U1926" s="26">
        <v>24</v>
      </c>
      <c r="V1926" s="26">
        <v>1</v>
      </c>
      <c r="W1926" s="26" t="s">
        <v>2076</v>
      </c>
    </row>
    <row r="1927" spans="1:23" x14ac:dyDescent="0.25">
      <c r="A1927" s="26" t="str">
        <f t="shared" si="318"/>
        <v>PRIMARIA</v>
      </c>
      <c r="B1927" s="26" t="str">
        <f>"09DPR5011B"</f>
        <v>09DPR5011B</v>
      </c>
      <c r="C1927" s="26" t="str">
        <f>"ANTONIO SANCHEZ MOLINA                                                                              "</f>
        <v xml:space="preserve">ANTONIO SANCHEZ MOLINA                                                                              </v>
      </c>
      <c r="D1927" s="26" t="str">
        <f>"VESPERTINO"</f>
        <v>VESPERTINO</v>
      </c>
      <c r="E1927" s="26" t="str">
        <f>"CHICOASEN S/N ESQ SINANCHE                                                      "</f>
        <v xml:space="preserve">CHICOASEN S/N ESQ SINANCHE                                                      </v>
      </c>
      <c r="F1927" s="26" t="str">
        <f>"HEROES DE PADIERNA                                                                                                                          "</f>
        <v xml:space="preserve">HEROES DE PADIERNA                                                                                                                          </v>
      </c>
      <c r="G1927" s="26" t="str">
        <f>"TLALPAN                                                                         "</f>
        <v xml:space="preserve">TLALPAN                                                                         </v>
      </c>
      <c r="H1927" s="26" t="str">
        <f>"511"</f>
        <v>511</v>
      </c>
      <c r="I1927" s="26" t="str">
        <f t="shared" si="319"/>
        <v>00</v>
      </c>
      <c r="J1927" s="26" t="str">
        <f>"45 "</f>
        <v xml:space="preserve">45 </v>
      </c>
      <c r="K1927" s="26" t="str">
        <f t="shared" si="316"/>
        <v>PR</v>
      </c>
      <c r="L1927" s="26" t="str">
        <f t="shared" si="317"/>
        <v>DGOSE</v>
      </c>
      <c r="M1927" s="26" t="str">
        <f t="shared" si="320"/>
        <v>FEDERAL</v>
      </c>
      <c r="N1927" s="26">
        <v>205</v>
      </c>
      <c r="O1927" s="26">
        <v>106</v>
      </c>
      <c r="P1927" s="26">
        <v>99</v>
      </c>
      <c r="Q1927" s="26">
        <v>6</v>
      </c>
      <c r="R1927" s="26">
        <v>1</v>
      </c>
      <c r="S1927" s="26">
        <v>6</v>
      </c>
      <c r="T1927" s="26">
        <v>5</v>
      </c>
      <c r="U1927" s="26">
        <v>12</v>
      </c>
      <c r="V1927" s="26">
        <v>1</v>
      </c>
      <c r="W1927" s="26"/>
    </row>
    <row r="1928" spans="1:23" x14ac:dyDescent="0.25">
      <c r="A1928" s="26" t="str">
        <f t="shared" si="318"/>
        <v>PRIMARIA</v>
      </c>
      <c r="B1928" s="26" t="str">
        <f>"09DPR5012A"</f>
        <v>09DPR5012A</v>
      </c>
      <c r="C1928" s="26" t="str">
        <f>"ITZCOATL                                                                                            "</f>
        <v xml:space="preserve">ITZCOATL                                                                                            </v>
      </c>
      <c r="D1928" s="26" t="str">
        <f>"VESPERTINO"</f>
        <v>VESPERTINO</v>
      </c>
      <c r="E1928" s="26" t="str">
        <f>"CAMINO VIEJO A SAN LORENZO S/N                                                  "</f>
        <v xml:space="preserve">CAMINO VIEJO A SAN LORENZO S/N                                                  </v>
      </c>
      <c r="F1928" s="26" t="str">
        <f>"SANTA MARIA NATIVITAS                                                                                                                       "</f>
        <v xml:space="preserve">SANTA MARIA NATIVITAS                                                                                                                       </v>
      </c>
      <c r="G1928" s="26" t="str">
        <f>"XOCHIMILCO                                                                      "</f>
        <v xml:space="preserve">XOCHIMILCO                                                                      </v>
      </c>
      <c r="H1928" s="26" t="str">
        <f>"540"</f>
        <v>540</v>
      </c>
      <c r="I1928" s="26" t="str">
        <f t="shared" si="319"/>
        <v>00</v>
      </c>
      <c r="J1928" s="26" t="str">
        <f>"45 "</f>
        <v xml:space="preserve">45 </v>
      </c>
      <c r="K1928" s="26" t="str">
        <f t="shared" si="316"/>
        <v>PR</v>
      </c>
      <c r="L1928" s="26" t="str">
        <f t="shared" si="317"/>
        <v>DGOSE</v>
      </c>
      <c r="M1928" s="26" t="str">
        <f t="shared" si="320"/>
        <v>FEDERAL</v>
      </c>
      <c r="N1928" s="26">
        <v>406</v>
      </c>
      <c r="O1928" s="26">
        <v>226</v>
      </c>
      <c r="P1928" s="26">
        <v>180</v>
      </c>
      <c r="Q1928" s="26">
        <v>14</v>
      </c>
      <c r="R1928" s="26">
        <v>1</v>
      </c>
      <c r="S1928" s="26">
        <v>14</v>
      </c>
      <c r="T1928" s="26">
        <v>7</v>
      </c>
      <c r="U1928" s="26">
        <v>22</v>
      </c>
      <c r="V1928" s="26">
        <v>1</v>
      </c>
      <c r="W1928" s="26"/>
    </row>
    <row r="1929" spans="1:23" x14ac:dyDescent="0.25">
      <c r="A1929" s="26" t="str">
        <f t="shared" si="318"/>
        <v>PRIMARIA</v>
      </c>
      <c r="B1929" s="26" t="str">
        <f>"09DPR5013Z"</f>
        <v>09DPR5013Z</v>
      </c>
      <c r="C1929" s="26" t="str">
        <f>"NUEVA ZELANDIA                                                                                      "</f>
        <v xml:space="preserve">NUEVA ZELANDIA                                                                                      </v>
      </c>
      <c r="D1929" s="26" t="str">
        <f>"MATUTINO"</f>
        <v>MATUTINO</v>
      </c>
      <c r="E1929" s="26" t="str">
        <f>"LAUREL S/N .                                                                    "</f>
        <v xml:space="preserve">LAUREL S/N .                                                                    </v>
      </c>
      <c r="F1929" s="26" t="str">
        <f>"CAMPESTRE EL POTRERO                                                                                                                        "</f>
        <v xml:space="preserve">CAMPESTRE EL POTRERO                                                                                                                        </v>
      </c>
      <c r="G1929" s="26" t="str">
        <f>"IZTAPALAPA                                                                      "</f>
        <v xml:space="preserve">IZTAPALAPA                                                                      </v>
      </c>
      <c r="H1929" s="26" t="str">
        <f>"069"</f>
        <v>069</v>
      </c>
      <c r="I1929" s="26" t="str">
        <f t="shared" si="319"/>
        <v>00</v>
      </c>
      <c r="J1929" s="26" t="str">
        <f>"64 "</f>
        <v xml:space="preserve">64 </v>
      </c>
      <c r="K1929" s="26" t="str">
        <f>"IZ"</f>
        <v>IZ</v>
      </c>
      <c r="L1929" s="26" t="str">
        <f>"DGSEI"</f>
        <v>DGSEI</v>
      </c>
      <c r="M1929" s="26" t="str">
        <f t="shared" si="320"/>
        <v>FEDERAL</v>
      </c>
      <c r="N1929" s="26">
        <v>743</v>
      </c>
      <c r="O1929" s="26">
        <v>377</v>
      </c>
      <c r="P1929" s="26">
        <v>366</v>
      </c>
      <c r="Q1929" s="26">
        <v>20</v>
      </c>
      <c r="R1929" s="26">
        <v>1</v>
      </c>
      <c r="S1929" s="26">
        <v>20</v>
      </c>
      <c r="T1929" s="26">
        <v>8</v>
      </c>
      <c r="U1929" s="26">
        <v>29</v>
      </c>
      <c r="V1929" s="26">
        <v>1</v>
      </c>
      <c r="W1929" s="26"/>
    </row>
    <row r="1930" spans="1:23" x14ac:dyDescent="0.25">
      <c r="A1930" s="26" t="str">
        <f t="shared" si="318"/>
        <v>PRIMARIA</v>
      </c>
      <c r="B1930" s="26" t="str">
        <f>"09DPR5014Z"</f>
        <v>09DPR5014Z</v>
      </c>
      <c r="C1930" s="26" t="str">
        <f>"NUEVA ZELANDIA                                                                                      "</f>
        <v xml:space="preserve">NUEVA ZELANDIA                                                                                      </v>
      </c>
      <c r="D1930" s="26" t="str">
        <f>"VESPERTINO"</f>
        <v>VESPERTINO</v>
      </c>
      <c r="E1930" s="26" t="str">
        <f>"LAUREL S/N.                                                                     "</f>
        <v xml:space="preserve">LAUREL S/N.                                                                     </v>
      </c>
      <c r="F1930" s="26" t="str">
        <f>"CAMPESTRE EL POTRERO                                                                                                                        "</f>
        <v xml:space="preserve">CAMPESTRE EL POTRERO                                                                                                                        </v>
      </c>
      <c r="G1930" s="26" t="str">
        <f>"IZTAPALAPA                                                                      "</f>
        <v xml:space="preserve">IZTAPALAPA                                                                      </v>
      </c>
      <c r="H1930" s="26" t="str">
        <f>"069"</f>
        <v>069</v>
      </c>
      <c r="I1930" s="26" t="str">
        <f t="shared" si="319"/>
        <v>00</v>
      </c>
      <c r="J1930" s="26" t="str">
        <f>"64 "</f>
        <v xml:space="preserve">64 </v>
      </c>
      <c r="K1930" s="26" t="str">
        <f>"IZ"</f>
        <v>IZ</v>
      </c>
      <c r="L1930" s="26" t="str">
        <f>"DGSEI"</f>
        <v>DGSEI</v>
      </c>
      <c r="M1930" s="26" t="str">
        <f t="shared" si="320"/>
        <v>FEDERAL</v>
      </c>
      <c r="N1930" s="26">
        <v>718</v>
      </c>
      <c r="O1930" s="26">
        <v>365</v>
      </c>
      <c r="P1930" s="26">
        <v>353</v>
      </c>
      <c r="Q1930" s="26">
        <v>20</v>
      </c>
      <c r="R1930" s="26">
        <v>1</v>
      </c>
      <c r="S1930" s="26">
        <v>20</v>
      </c>
      <c r="T1930" s="26">
        <v>7</v>
      </c>
      <c r="U1930" s="26">
        <v>28</v>
      </c>
      <c r="V1930" s="26">
        <v>1</v>
      </c>
      <c r="W1930" s="26"/>
    </row>
    <row r="1931" spans="1:23" x14ac:dyDescent="0.25">
      <c r="A1931" s="26" t="str">
        <f t="shared" si="318"/>
        <v>PRIMARIA</v>
      </c>
      <c r="B1931" s="26" t="str">
        <f>"09DPR5015Y"</f>
        <v>09DPR5015Y</v>
      </c>
      <c r="C1931" s="26" t="str">
        <f>"MUJERES INSURGENTES                                                                                 "</f>
        <v xml:space="preserve">MUJERES INSURGENTES                                                                                 </v>
      </c>
      <c r="D1931" s="26" t="str">
        <f>"VESPERTINO"</f>
        <v>VESPERTINO</v>
      </c>
      <c r="E1931" s="26" t="str">
        <f>"TECNICOS Y MANUALES S/N.                                                        "</f>
        <v xml:space="preserve">TECNICOS Y MANUALES S/N.                                                        </v>
      </c>
      <c r="F1931" s="26" t="str">
        <f>"LOMAS ESTRELLA                                                                                                                              "</f>
        <v xml:space="preserve">LOMAS ESTRELLA                                                                                                                              </v>
      </c>
      <c r="G1931" s="26" t="str">
        <f>"IZTAPALAPA                                                                      "</f>
        <v xml:space="preserve">IZTAPALAPA                                                                      </v>
      </c>
      <c r="H1931" s="26" t="str">
        <f>"043"</f>
        <v>043</v>
      </c>
      <c r="I1931" s="26" t="str">
        <f t="shared" si="319"/>
        <v>00</v>
      </c>
      <c r="J1931" s="26" t="str">
        <f>"63 "</f>
        <v xml:space="preserve">63 </v>
      </c>
      <c r="K1931" s="26" t="str">
        <f>"IZ"</f>
        <v>IZ</v>
      </c>
      <c r="L1931" s="26" t="str">
        <f>"DGSEI"</f>
        <v>DGSEI</v>
      </c>
      <c r="M1931" s="26" t="str">
        <f t="shared" si="320"/>
        <v>FEDERAL</v>
      </c>
      <c r="N1931" s="26">
        <v>254</v>
      </c>
      <c r="O1931" s="26">
        <v>139</v>
      </c>
      <c r="P1931" s="26">
        <v>115</v>
      </c>
      <c r="Q1931" s="26">
        <v>14</v>
      </c>
      <c r="R1931" s="26">
        <v>1</v>
      </c>
      <c r="S1931" s="26">
        <v>14</v>
      </c>
      <c r="T1931" s="26">
        <v>6</v>
      </c>
      <c r="U1931" s="26">
        <v>21</v>
      </c>
      <c r="V1931" s="26">
        <v>1</v>
      </c>
      <c r="W1931" s="26"/>
    </row>
    <row r="1932" spans="1:23" x14ac:dyDescent="0.25">
      <c r="A1932" s="26" t="str">
        <f t="shared" si="318"/>
        <v>PRIMARIA</v>
      </c>
      <c r="B1932" s="26" t="str">
        <f>"09DPR5016X"</f>
        <v>09DPR5016X</v>
      </c>
      <c r="C1932" s="26" t="str">
        <f>"JOSE MARIA TAPIA FREYDING                                                                           "</f>
        <v xml:space="preserve">JOSE MARIA TAPIA FREYDING                                                                           </v>
      </c>
      <c r="D1932" s="26" t="str">
        <f>"VESPERTINO"</f>
        <v>VESPERTINO</v>
      </c>
      <c r="E1932" s="26" t="str">
        <f>"MORELOS NO. 19                                                                  "</f>
        <v xml:space="preserve">MORELOS NO. 19                                                                  </v>
      </c>
      <c r="F1932" s="26" t="str">
        <f>"SANTA LUCIA                                                                                                                                 "</f>
        <v xml:space="preserve">SANTA LUCIA                                                                                                                                 </v>
      </c>
      <c r="G1932" s="26" t="str">
        <f>"ALVARO OBREGON                                                                  "</f>
        <v xml:space="preserve">ALVARO OBREGON                                                                  </v>
      </c>
      <c r="H1932" s="26" t="str">
        <f>"318"</f>
        <v>318</v>
      </c>
      <c r="I1932" s="26" t="str">
        <f t="shared" si="319"/>
        <v>00</v>
      </c>
      <c r="J1932" s="26" t="str">
        <f>"43 "</f>
        <v xml:space="preserve">43 </v>
      </c>
      <c r="K1932" s="26" t="str">
        <f>"PR"</f>
        <v>PR</v>
      </c>
      <c r="L1932" s="26" t="str">
        <f>"DGOSE"</f>
        <v>DGOSE</v>
      </c>
      <c r="M1932" s="26" t="str">
        <f t="shared" si="320"/>
        <v>FEDERAL</v>
      </c>
      <c r="N1932" s="26">
        <v>207</v>
      </c>
      <c r="O1932" s="26">
        <v>116</v>
      </c>
      <c r="P1932" s="26">
        <v>91</v>
      </c>
      <c r="Q1932" s="26">
        <v>7</v>
      </c>
      <c r="R1932" s="26">
        <v>1</v>
      </c>
      <c r="S1932" s="26">
        <v>7</v>
      </c>
      <c r="T1932" s="26">
        <v>5</v>
      </c>
      <c r="U1932" s="26">
        <v>13</v>
      </c>
      <c r="V1932" s="26">
        <v>1</v>
      </c>
      <c r="W1932" s="26"/>
    </row>
    <row r="1933" spans="1:23" x14ac:dyDescent="0.25">
      <c r="A1933" s="26" t="str">
        <f t="shared" si="318"/>
        <v>PRIMARIA</v>
      </c>
      <c r="B1933" s="26" t="str">
        <f>"09DPR5017W"</f>
        <v>09DPR5017W</v>
      </c>
      <c r="C1933" s="26" t="str">
        <f>"GENERAL DONATO GUERRA                                                                               "</f>
        <v xml:space="preserve">GENERAL DONATO GUERRA                                                                               </v>
      </c>
      <c r="D1933" s="26" t="str">
        <f>"JORNADA AMPLIADA"</f>
        <v>JORNADA AMPLIADA</v>
      </c>
      <c r="E1933" s="26" t="str">
        <f>"SAN JUAN DEL RIO NUM 22                                                         "</f>
        <v xml:space="preserve">SAN JUAN DEL RIO NUM 22                                                         </v>
      </c>
      <c r="F1933" s="26" t="str">
        <f>"FUENTES BROTANTES                                                                                                                           "</f>
        <v xml:space="preserve">FUENTES BROTANTES                                                                                                                           </v>
      </c>
      <c r="G1933" s="26" t="str">
        <f>"TLALPAN                                                                         "</f>
        <v xml:space="preserve">TLALPAN                                                                         </v>
      </c>
      <c r="H1933" s="26" t="str">
        <f>"444"</f>
        <v>444</v>
      </c>
      <c r="I1933" s="26" t="str">
        <f t="shared" si="319"/>
        <v>00</v>
      </c>
      <c r="J1933" s="26" t="str">
        <f>"44 "</f>
        <v xml:space="preserve">44 </v>
      </c>
      <c r="K1933" s="26" t="str">
        <f>"PR"</f>
        <v>PR</v>
      </c>
      <c r="L1933" s="26" t="str">
        <f>"DGOSE"</f>
        <v>DGOSE</v>
      </c>
      <c r="M1933" s="26" t="str">
        <f t="shared" si="320"/>
        <v>FEDERAL</v>
      </c>
      <c r="N1933" s="26">
        <v>615</v>
      </c>
      <c r="O1933" s="26">
        <v>311</v>
      </c>
      <c r="P1933" s="26">
        <v>304</v>
      </c>
      <c r="Q1933" s="26">
        <v>17</v>
      </c>
      <c r="R1933" s="26">
        <v>0</v>
      </c>
      <c r="S1933" s="26">
        <v>17</v>
      </c>
      <c r="T1933" s="26">
        <v>12</v>
      </c>
      <c r="U1933" s="26">
        <v>29</v>
      </c>
      <c r="V1933" s="26">
        <v>1</v>
      </c>
      <c r="W1933" s="26" t="s">
        <v>2076</v>
      </c>
    </row>
    <row r="1934" spans="1:23" x14ac:dyDescent="0.25">
      <c r="A1934" s="26" t="str">
        <f t="shared" si="318"/>
        <v>PRIMARIA</v>
      </c>
      <c r="B1934" s="26" t="str">
        <f>"09DPR5018V"</f>
        <v>09DPR5018V</v>
      </c>
      <c r="C1934" s="26" t="str">
        <f>"PATRIA Y LIBERTAD                                                                                   "</f>
        <v xml:space="preserve">PATRIA Y LIBERTAD                                                                                   </v>
      </c>
      <c r="D1934" s="26" t="str">
        <f>"JORNADA AMPLIADA"</f>
        <v>JORNADA AMPLIADA</v>
      </c>
      <c r="E1934" s="26" t="str">
        <f>"ATRAS DEL BLOQUE I U HAB FUENTES BROT                                           "</f>
        <v xml:space="preserve">ATRAS DEL BLOQUE I U HAB FUENTES BROT                                           </v>
      </c>
      <c r="F1934" s="26" t="str">
        <f>"MIGUEL HIDALGO                                                                                                                              "</f>
        <v xml:space="preserve">MIGUEL HIDALGO                                                                                                                              </v>
      </c>
      <c r="G1934" s="26" t="str">
        <f>"TLALPAN                                                                         "</f>
        <v xml:space="preserve">TLALPAN                                                                         </v>
      </c>
      <c r="H1934" s="26" t="str">
        <f>"444"</f>
        <v>444</v>
      </c>
      <c r="I1934" s="26" t="str">
        <f t="shared" si="319"/>
        <v>00</v>
      </c>
      <c r="J1934" s="26" t="str">
        <f>"44 "</f>
        <v xml:space="preserve">44 </v>
      </c>
      <c r="K1934" s="26" t="str">
        <f>"PR"</f>
        <v>PR</v>
      </c>
      <c r="L1934" s="26" t="str">
        <f>"DGOSE"</f>
        <v>DGOSE</v>
      </c>
      <c r="M1934" s="26" t="str">
        <f t="shared" si="320"/>
        <v>FEDERAL</v>
      </c>
      <c r="N1934" s="26">
        <v>417</v>
      </c>
      <c r="O1934" s="26">
        <v>212</v>
      </c>
      <c r="P1934" s="26">
        <v>205</v>
      </c>
      <c r="Q1934" s="26">
        <v>12</v>
      </c>
      <c r="R1934" s="26">
        <v>1</v>
      </c>
      <c r="S1934" s="26">
        <v>12</v>
      </c>
      <c r="T1934" s="26">
        <v>8</v>
      </c>
      <c r="U1934" s="26">
        <v>21</v>
      </c>
      <c r="V1934" s="26">
        <v>1</v>
      </c>
      <c r="W1934" s="26" t="s">
        <v>2076</v>
      </c>
    </row>
    <row r="1935" spans="1:23" x14ac:dyDescent="0.25">
      <c r="A1935" s="26" t="str">
        <f t="shared" si="318"/>
        <v>PRIMARIA</v>
      </c>
      <c r="B1935" s="26" t="str">
        <f>"09DPR5019U"</f>
        <v>09DPR5019U</v>
      </c>
      <c r="C1935" s="26" t="str">
        <f>"INVESTIGACION EDUCATIVA                                                                             "</f>
        <v xml:space="preserve">INVESTIGACION EDUCATIVA                                                                             </v>
      </c>
      <c r="D1935" s="26" t="str">
        <f>"TIEMPO COMPLETO"</f>
        <v>TIEMPO COMPLETO</v>
      </c>
      <c r="E1935" s="26" t="str">
        <f>"HUIZACHITO NUM. 91                                                              "</f>
        <v xml:space="preserve">HUIZACHITO NUM. 91                                                              </v>
      </c>
      <c r="F1935" s="26" t="str">
        <f>"HUIZACHITO LA PALMA                                                                                                                         "</f>
        <v xml:space="preserve">HUIZACHITO LA PALMA                                                                                                                         </v>
      </c>
      <c r="G1935" s="26" t="str">
        <f>"CUAJIMALPA DE MORELOS                                                           "</f>
        <v xml:space="preserve">CUAJIMALPA DE MORELOS                                                           </v>
      </c>
      <c r="H1935" s="26" t="str">
        <f>"145"</f>
        <v>145</v>
      </c>
      <c r="I1935" s="26" t="str">
        <f t="shared" si="319"/>
        <v>00</v>
      </c>
      <c r="J1935" s="26" t="str">
        <f>"41 "</f>
        <v xml:space="preserve">41 </v>
      </c>
      <c r="K1935" s="26" t="str">
        <f>"PR"</f>
        <v>PR</v>
      </c>
      <c r="L1935" s="26" t="str">
        <f>"DGOSE"</f>
        <v>DGOSE</v>
      </c>
      <c r="M1935" s="26" t="str">
        <f t="shared" si="320"/>
        <v>FEDERAL</v>
      </c>
      <c r="N1935" s="26">
        <v>263</v>
      </c>
      <c r="O1935" s="26">
        <v>135</v>
      </c>
      <c r="P1935" s="26">
        <v>128</v>
      </c>
      <c r="Q1935" s="26">
        <v>7</v>
      </c>
      <c r="R1935" s="26">
        <v>1</v>
      </c>
      <c r="S1935" s="26">
        <v>7</v>
      </c>
      <c r="T1935" s="26">
        <v>8</v>
      </c>
      <c r="U1935" s="26">
        <v>16</v>
      </c>
      <c r="V1935" s="26">
        <v>1</v>
      </c>
      <c r="W1935" s="26" t="s">
        <v>218</v>
      </c>
    </row>
    <row r="1936" spans="1:23" x14ac:dyDescent="0.25">
      <c r="A1936" s="26" t="str">
        <f t="shared" si="318"/>
        <v>PRIMARIA</v>
      </c>
      <c r="B1936" s="26" t="str">
        <f>"09DPR5020J"</f>
        <v>09DPR5020J</v>
      </c>
      <c r="C1936" s="26" t="str">
        <f>"REPUBLICA DE FILIPINAS                                                                              "</f>
        <v xml:space="preserve">REPUBLICA DE FILIPINAS                                                                              </v>
      </c>
      <c r="D1936" s="26" t="str">
        <f>"MATUTINO"</f>
        <v>MATUTINO</v>
      </c>
      <c r="E1936" s="26" t="str">
        <f>"CARRIL NO. 13                                                                   "</f>
        <v xml:space="preserve">CARRIL NO. 13                                                                   </v>
      </c>
      <c r="F1936" s="26" t="str">
        <f>"SAN JUAN XALPA                                                                                                                              "</f>
        <v xml:space="preserve">SAN JUAN XALPA                                                                                                                              </v>
      </c>
      <c r="G1936" s="26" t="str">
        <f>"IZTAPALAPA                                                                      "</f>
        <v xml:space="preserve">IZTAPALAPA                                                                      </v>
      </c>
      <c r="H1936" s="26" t="str">
        <f>"042"</f>
        <v>042</v>
      </c>
      <c r="I1936" s="26" t="str">
        <f t="shared" si="319"/>
        <v>00</v>
      </c>
      <c r="J1936" s="26" t="str">
        <f>"63 "</f>
        <v xml:space="preserve">63 </v>
      </c>
      <c r="K1936" s="26" t="str">
        <f>"IZ"</f>
        <v>IZ</v>
      </c>
      <c r="L1936" s="26" t="str">
        <f>"DGSEI"</f>
        <v>DGSEI</v>
      </c>
      <c r="M1936" s="26" t="str">
        <f t="shared" si="320"/>
        <v>FEDERAL</v>
      </c>
      <c r="N1936" s="26">
        <v>383</v>
      </c>
      <c r="O1936" s="26">
        <v>194</v>
      </c>
      <c r="P1936" s="26">
        <v>189</v>
      </c>
      <c r="Q1936" s="26">
        <v>24</v>
      </c>
      <c r="R1936" s="26">
        <v>0</v>
      </c>
      <c r="S1936" s="26">
        <v>24</v>
      </c>
      <c r="T1936" s="26">
        <v>10</v>
      </c>
      <c r="U1936" s="26">
        <v>34</v>
      </c>
      <c r="V1936" s="26">
        <v>1</v>
      </c>
      <c r="W1936" s="26"/>
    </row>
    <row r="1937" spans="1:23" x14ac:dyDescent="0.25">
      <c r="A1937" s="26" t="str">
        <f t="shared" si="318"/>
        <v>PRIMARIA</v>
      </c>
      <c r="B1937" s="26" t="str">
        <f>"09DPR5021I"</f>
        <v>09DPR5021I</v>
      </c>
      <c r="C1937" s="26" t="str">
        <f>"AXAYACATL                                                                                           "</f>
        <v xml:space="preserve">AXAYACATL                                                                                           </v>
      </c>
      <c r="D1937" s="26" t="str">
        <f>"MATUTINO"</f>
        <v>MATUTINO</v>
      </c>
      <c r="E1937" s="26" t="str">
        <f>"COLORINES S/N                                                                   "</f>
        <v xml:space="preserve">COLORINES S/N                                                                   </v>
      </c>
      <c r="F1937" s="26" t="str">
        <f>"MIRAVALLE                                                                                                                                   "</f>
        <v xml:space="preserve">MIRAVALLE                                                                                                                                   </v>
      </c>
      <c r="G1937" s="26" t="str">
        <f>"IZTAPALAPA                                                                      "</f>
        <v xml:space="preserve">IZTAPALAPA                                                                      </v>
      </c>
      <c r="H1937" s="26" t="str">
        <f>"068"</f>
        <v>068</v>
      </c>
      <c r="I1937" s="26" t="str">
        <f t="shared" si="319"/>
        <v>00</v>
      </c>
      <c r="J1937" s="26" t="str">
        <f>"64 "</f>
        <v xml:space="preserve">64 </v>
      </c>
      <c r="K1937" s="26" t="str">
        <f>"IZ"</f>
        <v>IZ</v>
      </c>
      <c r="L1937" s="26" t="str">
        <f>"DGSEI"</f>
        <v>DGSEI</v>
      </c>
      <c r="M1937" s="26" t="str">
        <f t="shared" si="320"/>
        <v>FEDERAL</v>
      </c>
      <c r="N1937" s="26">
        <v>634</v>
      </c>
      <c r="O1937" s="26">
        <v>325</v>
      </c>
      <c r="P1937" s="26">
        <v>309</v>
      </c>
      <c r="Q1937" s="26">
        <v>18</v>
      </c>
      <c r="R1937" s="26">
        <v>1</v>
      </c>
      <c r="S1937" s="26">
        <v>16</v>
      </c>
      <c r="T1937" s="26">
        <v>5</v>
      </c>
      <c r="U1937" s="26">
        <v>22</v>
      </c>
      <c r="V1937" s="26">
        <v>1</v>
      </c>
      <c r="W1937" s="26"/>
    </row>
    <row r="1938" spans="1:23" x14ac:dyDescent="0.25">
      <c r="A1938" s="26" t="str">
        <f t="shared" si="318"/>
        <v>PRIMARIA</v>
      </c>
      <c r="B1938" s="26" t="str">
        <f>"09DPR5022H"</f>
        <v>09DPR5022H</v>
      </c>
      <c r="C1938" s="26" t="str">
        <f>"AXAYACATL                                                                                           "</f>
        <v xml:space="preserve">AXAYACATL                                                                                           </v>
      </c>
      <c r="D1938" s="26" t="str">
        <f>"VESPERTINO"</f>
        <v>VESPERTINO</v>
      </c>
      <c r="E1938" s="26" t="str">
        <f>"COLORINES S/N                                                                   "</f>
        <v xml:space="preserve">COLORINES S/N                                                                   </v>
      </c>
      <c r="F1938" s="26" t="str">
        <f>"MIRAVALLE                                                                                                                                   "</f>
        <v xml:space="preserve">MIRAVALLE                                                                                                                                   </v>
      </c>
      <c r="G1938" s="26" t="str">
        <f>"IZTAPALAPA                                                                      "</f>
        <v xml:space="preserve">IZTAPALAPA                                                                      </v>
      </c>
      <c r="H1938" s="26" t="str">
        <f>"068"</f>
        <v>068</v>
      </c>
      <c r="I1938" s="26" t="str">
        <f t="shared" si="319"/>
        <v>00</v>
      </c>
      <c r="J1938" s="26" t="str">
        <f>"64 "</f>
        <v xml:space="preserve">64 </v>
      </c>
      <c r="K1938" s="26" t="str">
        <f>"IZ"</f>
        <v>IZ</v>
      </c>
      <c r="L1938" s="26" t="str">
        <f>"DGSEI"</f>
        <v>DGSEI</v>
      </c>
      <c r="M1938" s="26" t="str">
        <f t="shared" si="320"/>
        <v>FEDERAL</v>
      </c>
      <c r="N1938" s="26">
        <v>570</v>
      </c>
      <c r="O1938" s="26">
        <v>309</v>
      </c>
      <c r="P1938" s="26">
        <v>261</v>
      </c>
      <c r="Q1938" s="26">
        <v>18</v>
      </c>
      <c r="R1938" s="26">
        <v>1</v>
      </c>
      <c r="S1938" s="26">
        <v>14</v>
      </c>
      <c r="T1938" s="26">
        <v>5</v>
      </c>
      <c r="U1938" s="26">
        <v>20</v>
      </c>
      <c r="V1938" s="26">
        <v>1</v>
      </c>
      <c r="W1938" s="26"/>
    </row>
    <row r="1939" spans="1:23" x14ac:dyDescent="0.25">
      <c r="A1939" s="26" t="str">
        <f t="shared" si="318"/>
        <v>PRIMARIA</v>
      </c>
      <c r="B1939" s="26" t="str">
        <f>"09DPR5023G"</f>
        <v>09DPR5023G</v>
      </c>
      <c r="C1939" s="26" t="str">
        <f>"SURINAME                                                                                            "</f>
        <v xml:space="preserve">SURINAME                                                                                            </v>
      </c>
      <c r="D1939" s="26" t="str">
        <f>"MATUTINO"</f>
        <v>MATUTINO</v>
      </c>
      <c r="E1939" s="26" t="str">
        <f>"ACCION SOCIAL NO. 29                                                            "</f>
        <v xml:space="preserve">ACCION SOCIAL NO. 29                                                            </v>
      </c>
      <c r="F1939" s="26" t="str">
        <f>"UNIDAD HABITACIONAL TULYEHUALCO M.                                                                                                          "</f>
        <v xml:space="preserve">UNIDAD HABITACIONAL TULYEHUALCO M.                                                                                                          </v>
      </c>
      <c r="G1939" s="26" t="str">
        <f>"IZTAPALAPA                                                                      "</f>
        <v xml:space="preserve">IZTAPALAPA                                                                      </v>
      </c>
      <c r="H1939" s="26" t="str">
        <f>"048"</f>
        <v>048</v>
      </c>
      <c r="I1939" s="26" t="str">
        <f t="shared" si="319"/>
        <v>00</v>
      </c>
      <c r="J1939" s="26" t="str">
        <f>"63 "</f>
        <v xml:space="preserve">63 </v>
      </c>
      <c r="K1939" s="26" t="str">
        <f>"IZ"</f>
        <v>IZ</v>
      </c>
      <c r="L1939" s="26" t="str">
        <f>"DGSEI"</f>
        <v>DGSEI</v>
      </c>
      <c r="M1939" s="26" t="str">
        <f t="shared" si="320"/>
        <v>FEDERAL</v>
      </c>
      <c r="N1939" s="26">
        <v>569</v>
      </c>
      <c r="O1939" s="26">
        <v>283</v>
      </c>
      <c r="P1939" s="26">
        <v>286</v>
      </c>
      <c r="Q1939" s="26">
        <v>17</v>
      </c>
      <c r="R1939" s="26">
        <v>1</v>
      </c>
      <c r="S1939" s="26">
        <v>17</v>
      </c>
      <c r="T1939" s="26">
        <v>6</v>
      </c>
      <c r="U1939" s="26">
        <v>24</v>
      </c>
      <c r="V1939" s="26">
        <v>1</v>
      </c>
      <c r="W1939" s="26"/>
    </row>
    <row r="1940" spans="1:23" x14ac:dyDescent="0.25">
      <c r="A1940" s="26" t="str">
        <f t="shared" si="318"/>
        <v>PRIMARIA</v>
      </c>
      <c r="B1940" s="26" t="str">
        <f>"09DPR5024F"</f>
        <v>09DPR5024F</v>
      </c>
      <c r="C1940" s="26" t="str">
        <f>"JULIA NAVA RUIZ SANCHEZ                                                                             "</f>
        <v xml:space="preserve">JULIA NAVA RUIZ SANCHEZ                                                                             </v>
      </c>
      <c r="D1940" s="26" t="str">
        <f>"MATUTINO"</f>
        <v>MATUTINO</v>
      </c>
      <c r="E1940" s="26" t="str">
        <f>"CALLE AZUCENA S/N                                                               "</f>
        <v xml:space="preserve">CALLE AZUCENA S/N                                                               </v>
      </c>
      <c r="F1940" s="26" t="str">
        <f>"QUIAHUATLA                                                                                                                                  "</f>
        <v xml:space="preserve">QUIAHUATLA                                                                                                                                  </v>
      </c>
      <c r="G1940" s="26" t="str">
        <f>"TLAHUAC                                                                         "</f>
        <v xml:space="preserve">TLAHUAC                                                                         </v>
      </c>
      <c r="H1940" s="26" t="str">
        <f>"558"</f>
        <v>558</v>
      </c>
      <c r="I1940" s="26" t="str">
        <f t="shared" si="319"/>
        <v>00</v>
      </c>
      <c r="J1940" s="26" t="str">
        <f>"45 "</f>
        <v xml:space="preserve">45 </v>
      </c>
      <c r="K1940" s="26" t="str">
        <f>"PR"</f>
        <v>PR</v>
      </c>
      <c r="L1940" s="26" t="str">
        <f>"DGOSE"</f>
        <v>DGOSE</v>
      </c>
      <c r="M1940" s="26" t="str">
        <f t="shared" si="320"/>
        <v>FEDERAL</v>
      </c>
      <c r="N1940" s="26">
        <v>611</v>
      </c>
      <c r="O1940" s="26">
        <v>323</v>
      </c>
      <c r="P1940" s="26">
        <v>288</v>
      </c>
      <c r="Q1940" s="26">
        <v>16</v>
      </c>
      <c r="R1940" s="26">
        <v>1</v>
      </c>
      <c r="S1940" s="26">
        <v>16</v>
      </c>
      <c r="T1940" s="26">
        <v>7</v>
      </c>
      <c r="U1940" s="26">
        <v>24</v>
      </c>
      <c r="V1940" s="26">
        <v>1</v>
      </c>
      <c r="W1940" s="26"/>
    </row>
    <row r="1941" spans="1:23" x14ac:dyDescent="0.25">
      <c r="A1941" s="26" t="str">
        <f t="shared" si="318"/>
        <v>PRIMARIA</v>
      </c>
      <c r="B1941" s="26" t="str">
        <f>"09DPR5025E"</f>
        <v>09DPR5025E</v>
      </c>
      <c r="C1941" s="26" t="str">
        <f>"PROFR. JESUS SOTELO INCLAN                                                                          "</f>
        <v xml:space="preserve">PROFR. JESUS SOTELO INCLAN                                                                          </v>
      </c>
      <c r="D1941" s="26" t="str">
        <f>"TIEMPO COMPLETO"</f>
        <v>TIEMPO COMPLETO</v>
      </c>
      <c r="E1941" s="26" t="str">
        <f>"ACCION SOCIAL NO. 31                                                            "</f>
        <v xml:space="preserve">ACCION SOCIAL NO. 31                                                            </v>
      </c>
      <c r="F1941" s="26" t="str">
        <f>"UNIDAD HABITACIONAL MIRASOLES                                                                                                               "</f>
        <v xml:space="preserve">UNIDAD HABITACIONAL MIRASOLES                                                                                                               </v>
      </c>
      <c r="G1941" s="26" t="str">
        <f>"IZTAPALAPA                                                                      "</f>
        <v xml:space="preserve">IZTAPALAPA                                                                      </v>
      </c>
      <c r="H1941" s="26" t="str">
        <f>"009"</f>
        <v>009</v>
      </c>
      <c r="I1941" s="26" t="str">
        <f t="shared" si="319"/>
        <v>00</v>
      </c>
      <c r="J1941" s="26" t="str">
        <f>"61 "</f>
        <v xml:space="preserve">61 </v>
      </c>
      <c r="K1941" s="26" t="str">
        <f>"IZ"</f>
        <v>IZ</v>
      </c>
      <c r="L1941" s="26" t="str">
        <f>"DGSEI"</f>
        <v>DGSEI</v>
      </c>
      <c r="M1941" s="26" t="str">
        <f t="shared" si="320"/>
        <v>FEDERAL</v>
      </c>
      <c r="N1941" s="26">
        <v>642</v>
      </c>
      <c r="O1941" s="26">
        <v>322</v>
      </c>
      <c r="P1941" s="26">
        <v>320</v>
      </c>
      <c r="Q1941" s="26">
        <v>18</v>
      </c>
      <c r="R1941" s="26">
        <v>1</v>
      </c>
      <c r="S1941" s="26">
        <v>18</v>
      </c>
      <c r="T1941" s="26">
        <v>13</v>
      </c>
      <c r="U1941" s="26">
        <v>32</v>
      </c>
      <c r="V1941" s="26">
        <v>1</v>
      </c>
      <c r="W1941" s="26" t="s">
        <v>218</v>
      </c>
    </row>
    <row r="1942" spans="1:23" x14ac:dyDescent="0.25">
      <c r="A1942" s="26" t="str">
        <f t="shared" si="318"/>
        <v>PRIMARIA</v>
      </c>
      <c r="B1942" s="26" t="str">
        <f>"09DPR5026D"</f>
        <v>09DPR5026D</v>
      </c>
      <c r="C1942" s="26" t="str">
        <f>"MITLA                                                                                               "</f>
        <v xml:space="preserve">MITLA                                                                                               </v>
      </c>
      <c r="D1942" s="26" t="str">
        <f>"VESPERTINO"</f>
        <v>VESPERTINO</v>
      </c>
      <c r="E1942" s="26" t="str">
        <f>"AREA DE SERVICIOS S/N MANZANA 4                                                 "</f>
        <v xml:space="preserve">AREA DE SERVICIOS S/N MANZANA 4                                                 </v>
      </c>
      <c r="F1942" s="26" t="str">
        <f>"EL MOLINO  IZTAPALAPA                                                                                                                       "</f>
        <v xml:space="preserve">EL MOLINO  IZTAPALAPA                                                                                                                       </v>
      </c>
      <c r="G1942" s="26" t="str">
        <f>"IZTAPALAPA                                                                      "</f>
        <v xml:space="preserve">IZTAPALAPA                                                                      </v>
      </c>
      <c r="H1942" s="26" t="str">
        <f>"051"</f>
        <v>051</v>
      </c>
      <c r="I1942" s="26" t="str">
        <f t="shared" si="319"/>
        <v>00</v>
      </c>
      <c r="J1942" s="26" t="str">
        <f>"63 "</f>
        <v xml:space="preserve">63 </v>
      </c>
      <c r="K1942" s="26" t="str">
        <f>"IZ"</f>
        <v>IZ</v>
      </c>
      <c r="L1942" s="26" t="str">
        <f>"DGSEI"</f>
        <v>DGSEI</v>
      </c>
      <c r="M1942" s="26" t="str">
        <f t="shared" si="320"/>
        <v>FEDERAL</v>
      </c>
      <c r="N1942" s="26">
        <v>227</v>
      </c>
      <c r="O1942" s="26">
        <v>123</v>
      </c>
      <c r="P1942" s="26">
        <v>104</v>
      </c>
      <c r="Q1942" s="26">
        <v>12</v>
      </c>
      <c r="R1942" s="26">
        <v>1</v>
      </c>
      <c r="S1942" s="26">
        <v>12</v>
      </c>
      <c r="T1942" s="26">
        <v>5</v>
      </c>
      <c r="U1942" s="26">
        <v>18</v>
      </c>
      <c r="V1942" s="26">
        <v>1</v>
      </c>
      <c r="W1942" s="26"/>
    </row>
    <row r="1943" spans="1:23" x14ac:dyDescent="0.25">
      <c r="A1943" s="26" t="str">
        <f t="shared" si="318"/>
        <v>PRIMARIA</v>
      </c>
      <c r="B1943" s="26" t="str">
        <f>"09DPR5027C"</f>
        <v>09DPR5027C</v>
      </c>
      <c r="C1943" s="26" t="str">
        <f>"LEONA VICARIO                                                                                       "</f>
        <v xml:space="preserve">LEONA VICARIO                                                                                       </v>
      </c>
      <c r="D1943" s="26" t="str">
        <f>"JORNADA AMPLIADA"</f>
        <v>JORNADA AMPLIADA</v>
      </c>
      <c r="E1943" s="26" t="str">
        <f>"EXPLOSIVOS NUM 7                                                                "</f>
        <v xml:space="preserve">EXPLOSIVOS NUM 7                                                                </v>
      </c>
      <c r="F1943" s="26" t="str">
        <f>"EL CHAMIZAL                                                                                                                                 "</f>
        <v xml:space="preserve">EL CHAMIZAL                                                                                                                                 </v>
      </c>
      <c r="G1943" s="26" t="str">
        <f>"CUAJIMALPA DE MORELOS                                                           "</f>
        <v xml:space="preserve">CUAJIMALPA DE MORELOS                                                           </v>
      </c>
      <c r="H1943" s="26" t="str">
        <f>"145"</f>
        <v>145</v>
      </c>
      <c r="I1943" s="26" t="str">
        <f t="shared" si="319"/>
        <v>00</v>
      </c>
      <c r="J1943" s="26" t="str">
        <f>"41 "</f>
        <v xml:space="preserve">41 </v>
      </c>
      <c r="K1943" s="26" t="str">
        <f>"PR"</f>
        <v>PR</v>
      </c>
      <c r="L1943" s="26" t="str">
        <f>"DGOSE"</f>
        <v>DGOSE</v>
      </c>
      <c r="M1943" s="26" t="str">
        <f t="shared" si="320"/>
        <v>FEDERAL</v>
      </c>
      <c r="N1943" s="26">
        <v>299</v>
      </c>
      <c r="O1943" s="26">
        <v>146</v>
      </c>
      <c r="P1943" s="26">
        <v>153</v>
      </c>
      <c r="Q1943" s="26">
        <v>10</v>
      </c>
      <c r="R1943" s="26">
        <v>1</v>
      </c>
      <c r="S1943" s="26">
        <v>9</v>
      </c>
      <c r="T1943" s="26">
        <v>8</v>
      </c>
      <c r="U1943" s="26">
        <v>18</v>
      </c>
      <c r="V1943" s="26">
        <v>1</v>
      </c>
      <c r="W1943" s="26" t="s">
        <v>2076</v>
      </c>
    </row>
    <row r="1944" spans="1:23" x14ac:dyDescent="0.25">
      <c r="A1944" s="26" t="str">
        <f t="shared" si="318"/>
        <v>PRIMARIA</v>
      </c>
      <c r="B1944" s="26" t="str">
        <f>"09DPR5028B"</f>
        <v>09DPR5028B</v>
      </c>
      <c r="C1944" s="26" t="str">
        <f>"PROFRA. AURORA LOPEZ VELARDE BERUMEN                                                                "</f>
        <v xml:space="preserve">PROFRA. AURORA LOPEZ VELARDE BERUMEN                                                                </v>
      </c>
      <c r="D1944" s="26" t="str">
        <f>"VESPERTINO"</f>
        <v>VESPERTINO</v>
      </c>
      <c r="E1944" s="26" t="str">
        <f>"PERIFERICO SUR NO 7666                                                          "</f>
        <v xml:space="preserve">PERIFERICO SUR NO 7666                                                          </v>
      </c>
      <c r="F1944" s="26" t="str">
        <f>"GRANJAS COAPA                                                                                                                               "</f>
        <v xml:space="preserve">GRANJAS COAPA                                                                                                                               </v>
      </c>
      <c r="G1944" s="26" t="str">
        <f>"TLALPAN                                                                         "</f>
        <v xml:space="preserve">TLALPAN                                                                         </v>
      </c>
      <c r="H1944" s="26" t="str">
        <f>"526"</f>
        <v>526</v>
      </c>
      <c r="I1944" s="26" t="str">
        <f t="shared" si="319"/>
        <v>00</v>
      </c>
      <c r="J1944" s="26" t="str">
        <f>"45 "</f>
        <v xml:space="preserve">45 </v>
      </c>
      <c r="K1944" s="26" t="str">
        <f>"PR"</f>
        <v>PR</v>
      </c>
      <c r="L1944" s="26" t="str">
        <f>"DGOSE"</f>
        <v>DGOSE</v>
      </c>
      <c r="M1944" s="26" t="str">
        <f t="shared" si="320"/>
        <v>FEDERAL</v>
      </c>
      <c r="N1944" s="26">
        <v>102</v>
      </c>
      <c r="O1944" s="26">
        <v>45</v>
      </c>
      <c r="P1944" s="26">
        <v>57</v>
      </c>
      <c r="Q1944" s="26">
        <v>7</v>
      </c>
      <c r="R1944" s="26">
        <v>1</v>
      </c>
      <c r="S1944" s="26">
        <v>6</v>
      </c>
      <c r="T1944" s="26">
        <v>5</v>
      </c>
      <c r="U1944" s="26">
        <v>12</v>
      </c>
      <c r="V1944" s="26">
        <v>1</v>
      </c>
      <c r="W1944" s="26"/>
    </row>
    <row r="1945" spans="1:23" x14ac:dyDescent="0.25">
      <c r="A1945" s="26" t="str">
        <f t="shared" si="318"/>
        <v>PRIMARIA</v>
      </c>
      <c r="B1945" s="26" t="str">
        <f>"09DPR5029A"</f>
        <v>09DPR5029A</v>
      </c>
      <c r="C1945" s="26" t="str">
        <f>"FUERZAS ARMADAS DE MEXICO                                                                           "</f>
        <v xml:space="preserve">FUERZAS ARMADAS DE MEXICO                                                                           </v>
      </c>
      <c r="D1945" s="26" t="str">
        <f>"VESPERTINO"</f>
        <v>VESPERTINO</v>
      </c>
      <c r="E1945" s="26" t="str">
        <f>"REFORMA AGRARIA NUM 1                                                           "</f>
        <v xml:space="preserve">REFORMA AGRARIA NUM 1                                                           </v>
      </c>
      <c r="F1945" s="26" t="str">
        <f>"UNIDAD HABITACIONAL ISSFAM 1                                                                                                                "</f>
        <v xml:space="preserve">UNIDAD HABITACIONAL ISSFAM 1                                                                                                                </v>
      </c>
      <c r="G1945" s="26" t="str">
        <f>"TLALPAN                                                                         "</f>
        <v xml:space="preserve">TLALPAN                                                                         </v>
      </c>
      <c r="H1945" s="26" t="str">
        <f>"522"</f>
        <v>522</v>
      </c>
      <c r="I1945" s="26" t="str">
        <f t="shared" si="319"/>
        <v>00</v>
      </c>
      <c r="J1945" s="26" t="str">
        <f>"45 "</f>
        <v xml:space="preserve">45 </v>
      </c>
      <c r="K1945" s="26" t="str">
        <f>"PR"</f>
        <v>PR</v>
      </c>
      <c r="L1945" s="26" t="str">
        <f>"DGOSE"</f>
        <v>DGOSE</v>
      </c>
      <c r="M1945" s="26" t="str">
        <f t="shared" si="320"/>
        <v>FEDERAL</v>
      </c>
      <c r="N1945" s="26">
        <v>277</v>
      </c>
      <c r="O1945" s="26">
        <v>136</v>
      </c>
      <c r="P1945" s="26">
        <v>141</v>
      </c>
      <c r="Q1945" s="26">
        <v>12</v>
      </c>
      <c r="R1945" s="26">
        <v>1</v>
      </c>
      <c r="S1945" s="26">
        <v>12</v>
      </c>
      <c r="T1945" s="26">
        <v>7</v>
      </c>
      <c r="U1945" s="26">
        <v>20</v>
      </c>
      <c r="V1945" s="26">
        <v>1</v>
      </c>
      <c r="W1945" s="26"/>
    </row>
    <row r="1946" spans="1:23" x14ac:dyDescent="0.25">
      <c r="A1946" s="26" t="str">
        <f t="shared" si="318"/>
        <v>PRIMARIA</v>
      </c>
      <c r="B1946" s="26" t="str">
        <f>"09DPR5030Q"</f>
        <v>09DPR5030Q</v>
      </c>
      <c r="C1946" s="26" t="str">
        <f>"JUAN RULFO                                                                                          "</f>
        <v xml:space="preserve">JUAN RULFO                                                                                          </v>
      </c>
      <c r="D1946" s="26" t="str">
        <f>"VESPERTINO"</f>
        <v>VESPERTINO</v>
      </c>
      <c r="E1946" s="26" t="str">
        <f>"CARRETERA TENAYUCA-CHALMITA NUM 20                                              "</f>
        <v xml:space="preserve">CARRETERA TENAYUCA-CHALMITA NUM 20                                              </v>
      </c>
      <c r="F1946" s="26" t="str">
        <f>"UNIDAD HABITACIONAL EL ARBOLILLO  2                                                                                                         "</f>
        <v xml:space="preserve">UNIDAD HABITACIONAL EL ARBOLILLO  2                                                                                                         </v>
      </c>
      <c r="G1946" s="26" t="str">
        <f>"GUSTAVO A. MADERO                                                               "</f>
        <v xml:space="preserve">GUSTAVO A. MADERO                                                               </v>
      </c>
      <c r="H1946" s="26" t="str">
        <f>"234"</f>
        <v>234</v>
      </c>
      <c r="I1946" s="26" t="str">
        <f t="shared" si="319"/>
        <v>00</v>
      </c>
      <c r="J1946" s="26" t="str">
        <f>"42 "</f>
        <v xml:space="preserve">42 </v>
      </c>
      <c r="K1946" s="26" t="str">
        <f>"PR"</f>
        <v>PR</v>
      </c>
      <c r="L1946" s="26" t="str">
        <f>"DGOSE"</f>
        <v>DGOSE</v>
      </c>
      <c r="M1946" s="26" t="str">
        <f t="shared" si="320"/>
        <v>FEDERAL</v>
      </c>
      <c r="N1946" s="26">
        <v>296</v>
      </c>
      <c r="O1946" s="26">
        <v>163</v>
      </c>
      <c r="P1946" s="26">
        <v>133</v>
      </c>
      <c r="Q1946" s="26">
        <v>14</v>
      </c>
      <c r="R1946" s="26">
        <v>1</v>
      </c>
      <c r="S1946" s="26">
        <v>14</v>
      </c>
      <c r="T1946" s="26">
        <v>9</v>
      </c>
      <c r="U1946" s="26">
        <v>24</v>
      </c>
      <c r="V1946" s="26">
        <v>1</v>
      </c>
      <c r="W1946" s="26"/>
    </row>
    <row r="1947" spans="1:23" x14ac:dyDescent="0.25">
      <c r="A1947" s="26" t="str">
        <f t="shared" si="318"/>
        <v>PRIMARIA</v>
      </c>
      <c r="B1947" s="26" t="str">
        <f>"09DPR5031P"</f>
        <v>09DPR5031P</v>
      </c>
      <c r="C1947" s="26" t="str">
        <f>"PROFRA. ISABEL ROBLES ESPEJEL                                                                       "</f>
        <v xml:space="preserve">PROFRA. ISABEL ROBLES ESPEJEL                                                                       </v>
      </c>
      <c r="D1947" s="26" t="str">
        <f>"VESPERTINO"</f>
        <v>VESPERTINO</v>
      </c>
      <c r="E1947" s="26" t="str">
        <f>"FRANCISCO J MACIN S/N                                                           "</f>
        <v xml:space="preserve">FRANCISCO J MACIN S/N                                                           </v>
      </c>
      <c r="F1947" s="26" t="str">
        <f>"UNIDAD HABITACIONAL EL RISCO CTM                                                                                                            "</f>
        <v xml:space="preserve">UNIDAD HABITACIONAL EL RISCO CTM                                                                                                            </v>
      </c>
      <c r="G1947" s="26" t="str">
        <f>"GUSTAVO A. MADERO                                                               "</f>
        <v xml:space="preserve">GUSTAVO A. MADERO                                                               </v>
      </c>
      <c r="H1947" s="26" t="str">
        <f>"255"</f>
        <v>255</v>
      </c>
      <c r="I1947" s="26" t="str">
        <f t="shared" si="319"/>
        <v>00</v>
      </c>
      <c r="J1947" s="26" t="str">
        <f>"42 "</f>
        <v xml:space="preserve">42 </v>
      </c>
      <c r="K1947" s="26" t="str">
        <f>"PR"</f>
        <v>PR</v>
      </c>
      <c r="L1947" s="26" t="str">
        <f>"DGOSE"</f>
        <v>DGOSE</v>
      </c>
      <c r="M1947" s="26" t="str">
        <f t="shared" si="320"/>
        <v>FEDERAL</v>
      </c>
      <c r="N1947" s="26">
        <v>132</v>
      </c>
      <c r="O1947" s="26">
        <v>68</v>
      </c>
      <c r="P1947" s="26">
        <v>64</v>
      </c>
      <c r="Q1947" s="26">
        <v>10</v>
      </c>
      <c r="R1947" s="26">
        <v>1</v>
      </c>
      <c r="S1947" s="26">
        <v>8</v>
      </c>
      <c r="T1947" s="26">
        <v>5</v>
      </c>
      <c r="U1947" s="26">
        <v>14</v>
      </c>
      <c r="V1947" s="26">
        <v>1</v>
      </c>
      <c r="W1947" s="26"/>
    </row>
    <row r="1948" spans="1:23" x14ac:dyDescent="0.25">
      <c r="A1948" s="26" t="str">
        <f t="shared" si="318"/>
        <v>PRIMARIA</v>
      </c>
      <c r="B1948" s="26" t="str">
        <f>"09DPR5033N"</f>
        <v>09DPR5033N</v>
      </c>
      <c r="C1948" s="26" t="str">
        <f>"SURINAME                                                                                            "</f>
        <v xml:space="preserve">SURINAME                                                                                            </v>
      </c>
      <c r="D1948" s="26" t="str">
        <f>"VESPERTINO"</f>
        <v>VESPERTINO</v>
      </c>
      <c r="E1948" s="26" t="str">
        <f>"ACCION SOCIAL NO. 29                                                            "</f>
        <v xml:space="preserve">ACCION SOCIAL NO. 29                                                            </v>
      </c>
      <c r="F1948" s="26" t="str">
        <f>"UNIDAD HABITACIONAL TULYEHUALCO M.                                                                                                          "</f>
        <v xml:space="preserve">UNIDAD HABITACIONAL TULYEHUALCO M.                                                                                                          </v>
      </c>
      <c r="G1948" s="26" t="str">
        <f>"IZTAPALAPA                                                                      "</f>
        <v xml:space="preserve">IZTAPALAPA                                                                      </v>
      </c>
      <c r="H1948" s="26" t="str">
        <f>"048"</f>
        <v>048</v>
      </c>
      <c r="I1948" s="26" t="str">
        <f t="shared" si="319"/>
        <v>00</v>
      </c>
      <c r="J1948" s="26" t="str">
        <f>"63 "</f>
        <v xml:space="preserve">63 </v>
      </c>
      <c r="K1948" s="26" t="str">
        <f>"IZ"</f>
        <v>IZ</v>
      </c>
      <c r="L1948" s="26" t="str">
        <f>"DGSEI"</f>
        <v>DGSEI</v>
      </c>
      <c r="M1948" s="26" t="str">
        <f t="shared" si="320"/>
        <v>FEDERAL</v>
      </c>
      <c r="N1948" s="26">
        <v>352</v>
      </c>
      <c r="O1948" s="26">
        <v>179</v>
      </c>
      <c r="P1948" s="26">
        <v>173</v>
      </c>
      <c r="Q1948" s="26">
        <v>17</v>
      </c>
      <c r="R1948" s="26">
        <v>1</v>
      </c>
      <c r="S1948" s="26">
        <v>17</v>
      </c>
      <c r="T1948" s="26">
        <v>9</v>
      </c>
      <c r="U1948" s="26">
        <v>27</v>
      </c>
      <c r="V1948" s="26">
        <v>1</v>
      </c>
      <c r="W1948" s="26"/>
    </row>
    <row r="1949" spans="1:23" x14ac:dyDescent="0.25">
      <c r="A1949" s="26" t="str">
        <f t="shared" si="318"/>
        <v>PRIMARIA</v>
      </c>
      <c r="B1949" s="26" t="str">
        <f>"09DPR5034M"</f>
        <v>09DPR5034M</v>
      </c>
      <c r="C1949" s="26" t="str">
        <f>"KUKULKAN                                                                                            "</f>
        <v xml:space="preserve">KUKULKAN                                                                                            </v>
      </c>
      <c r="D1949" s="26" t="str">
        <f>"TIEMPO COMPLETO"</f>
        <v>TIEMPO COMPLETO</v>
      </c>
      <c r="E1949" s="26" t="str">
        <f>"NORTE 94 A NO 8519                                                              "</f>
        <v xml:space="preserve">NORTE 94 A NO 8519                                                              </v>
      </c>
      <c r="F1949" s="26" t="str">
        <f>"UNIDAD EL MILAGRO                                                                                                                           "</f>
        <v xml:space="preserve">UNIDAD EL MILAGRO                                                                                                                           </v>
      </c>
      <c r="G1949" s="26" t="str">
        <f>"GUSTAVO A. MADERO                                                               "</f>
        <v xml:space="preserve">GUSTAVO A. MADERO                                                               </v>
      </c>
      <c r="H1949" s="26" t="str">
        <f>"139"</f>
        <v>139</v>
      </c>
      <c r="I1949" s="26" t="str">
        <f t="shared" si="319"/>
        <v>00</v>
      </c>
      <c r="J1949" s="26" t="str">
        <f>"41 "</f>
        <v xml:space="preserve">41 </v>
      </c>
      <c r="K1949" s="26" t="str">
        <f>"PR"</f>
        <v>PR</v>
      </c>
      <c r="L1949" s="26" t="str">
        <f>"DGOSE"</f>
        <v>DGOSE</v>
      </c>
      <c r="M1949" s="26" t="str">
        <f t="shared" si="320"/>
        <v>FEDERAL</v>
      </c>
      <c r="N1949" s="26">
        <v>471</v>
      </c>
      <c r="O1949" s="26">
        <v>221</v>
      </c>
      <c r="P1949" s="26">
        <v>250</v>
      </c>
      <c r="Q1949" s="26">
        <v>16</v>
      </c>
      <c r="R1949" s="26">
        <v>1</v>
      </c>
      <c r="S1949" s="26">
        <v>16</v>
      </c>
      <c r="T1949" s="26">
        <v>16</v>
      </c>
      <c r="U1949" s="26">
        <v>33</v>
      </c>
      <c r="V1949" s="26">
        <v>1</v>
      </c>
      <c r="W1949" s="26" t="s">
        <v>218</v>
      </c>
    </row>
    <row r="1950" spans="1:23" x14ac:dyDescent="0.25">
      <c r="A1950" s="26" t="str">
        <f t="shared" si="318"/>
        <v>PRIMARIA</v>
      </c>
      <c r="B1950" s="26" t="str">
        <f>"09DPR5035L"</f>
        <v>09DPR5035L</v>
      </c>
      <c r="C1950" s="26" t="str">
        <f>"MIGUEL LERDO DE TEJADA                                                                              "</f>
        <v xml:space="preserve">MIGUEL LERDO DE TEJADA                                                                              </v>
      </c>
      <c r="D1950" s="26" t="str">
        <f>"MATUTINO"</f>
        <v>MATUTINO</v>
      </c>
      <c r="E1950" s="26" t="str">
        <f>"FRENTES 6 Y 7                                                                   "</f>
        <v xml:space="preserve">FRENTES 6 Y 7                                                                   </v>
      </c>
      <c r="F1950" s="26" t="str">
        <f>"CHINAMPAC DE JUAREZ                                                                                                                         "</f>
        <v xml:space="preserve">CHINAMPAC DE JUAREZ                                                                                                                         </v>
      </c>
      <c r="G1950" s="26" t="str">
        <f>"IZTAPALAPA                                                                      "</f>
        <v xml:space="preserve">IZTAPALAPA                                                                      </v>
      </c>
      <c r="H1950" s="26" t="str">
        <f>"019"</f>
        <v>019</v>
      </c>
      <c r="I1950" s="26" t="str">
        <f t="shared" si="319"/>
        <v>00</v>
      </c>
      <c r="J1950" s="26" t="str">
        <f>"62 "</f>
        <v xml:space="preserve">62 </v>
      </c>
      <c r="K1950" s="26" t="str">
        <f>"IZ"</f>
        <v>IZ</v>
      </c>
      <c r="L1950" s="26" t="str">
        <f>"DGSEI"</f>
        <v>DGSEI</v>
      </c>
      <c r="M1950" s="26" t="str">
        <f t="shared" si="320"/>
        <v>FEDERAL</v>
      </c>
      <c r="N1950" s="26">
        <v>479</v>
      </c>
      <c r="O1950" s="26">
        <v>230</v>
      </c>
      <c r="P1950" s="26">
        <v>249</v>
      </c>
      <c r="Q1950" s="26">
        <v>14</v>
      </c>
      <c r="R1950" s="26">
        <v>1</v>
      </c>
      <c r="S1950" s="26">
        <v>12</v>
      </c>
      <c r="T1950" s="26">
        <v>7</v>
      </c>
      <c r="U1950" s="26">
        <v>20</v>
      </c>
      <c r="V1950" s="26">
        <v>1</v>
      </c>
      <c r="W1950" s="26"/>
    </row>
    <row r="1951" spans="1:23" x14ac:dyDescent="0.25">
      <c r="A1951" s="26" t="str">
        <f t="shared" si="318"/>
        <v>PRIMARIA</v>
      </c>
      <c r="B1951" s="26" t="str">
        <f>"09DPR5036K"</f>
        <v>09DPR5036K</v>
      </c>
      <c r="C1951" s="26" t="str">
        <f>"MIGUEL BUSTOS CERECEDO                                                                              "</f>
        <v xml:space="preserve">MIGUEL BUSTOS CERECEDO                                                                              </v>
      </c>
      <c r="D1951" s="26" t="str">
        <f>"MATUTINO"</f>
        <v>MATUTINO</v>
      </c>
      <c r="E1951" s="26" t="str">
        <f>"LEY DE POBLACION S/N                                                            "</f>
        <v xml:space="preserve">LEY DE POBLACION S/N                                                            </v>
      </c>
      <c r="F1951" s="26" t="str">
        <f>"PLAN DE AYALA                                                                                                                               "</f>
        <v xml:space="preserve">PLAN DE AYALA                                                                                                                               </v>
      </c>
      <c r="G1951" s="26" t="str">
        <f>"TLALPAN                                                                         "</f>
        <v xml:space="preserve">TLALPAN                                                                         </v>
      </c>
      <c r="H1951" s="26" t="str">
        <f>"529"</f>
        <v>529</v>
      </c>
      <c r="I1951" s="26" t="str">
        <f t="shared" si="319"/>
        <v>00</v>
      </c>
      <c r="J1951" s="26" t="str">
        <f>"45 "</f>
        <v xml:space="preserve">45 </v>
      </c>
      <c r="K1951" s="26" t="str">
        <f>"PR"</f>
        <v>PR</v>
      </c>
      <c r="L1951" s="26" t="str">
        <f>"DGOSE"</f>
        <v>DGOSE</v>
      </c>
      <c r="M1951" s="26" t="str">
        <f t="shared" si="320"/>
        <v>FEDERAL</v>
      </c>
      <c r="N1951" s="26">
        <v>625</v>
      </c>
      <c r="O1951" s="26">
        <v>313</v>
      </c>
      <c r="P1951" s="26">
        <v>312</v>
      </c>
      <c r="Q1951" s="26">
        <v>17</v>
      </c>
      <c r="R1951" s="26">
        <v>2</v>
      </c>
      <c r="S1951" s="26">
        <v>16</v>
      </c>
      <c r="T1951" s="26">
        <v>11</v>
      </c>
      <c r="U1951" s="26">
        <v>29</v>
      </c>
      <c r="V1951" s="26">
        <v>1</v>
      </c>
      <c r="W1951" s="26"/>
    </row>
    <row r="1952" spans="1:23" x14ac:dyDescent="0.25">
      <c r="A1952" s="26" t="str">
        <f t="shared" si="318"/>
        <v>PRIMARIA</v>
      </c>
      <c r="B1952" s="26" t="str">
        <f>"09DPR5037J"</f>
        <v>09DPR5037J</v>
      </c>
      <c r="C1952" s="26" t="str">
        <f>"RAFAEL SOLANA                                                                                       "</f>
        <v xml:space="preserve">RAFAEL SOLANA                                                                                       </v>
      </c>
      <c r="D1952" s="26" t="str">
        <f>"MATUTINO"</f>
        <v>MATUTINO</v>
      </c>
      <c r="E1952" s="26" t="str">
        <f>"JACARANDAS S/N.                                                                 "</f>
        <v xml:space="preserve">JACARANDAS S/N.                                                                 </v>
      </c>
      <c r="F1952" s="26" t="str">
        <f>"CONJUNTO HABITACIONAL SOLIDARIDAD I                                                                                                         "</f>
        <v xml:space="preserve">CONJUNTO HABITACIONAL SOLIDARIDAD I                                                                                                         </v>
      </c>
      <c r="G1952" s="26" t="str">
        <f>"IZTAPALAPA                                                                      "</f>
        <v xml:space="preserve">IZTAPALAPA                                                                      </v>
      </c>
      <c r="H1952" s="26" t="str">
        <f>"031"</f>
        <v>031</v>
      </c>
      <c r="I1952" s="26" t="str">
        <f t="shared" si="319"/>
        <v>00</v>
      </c>
      <c r="J1952" s="26" t="str">
        <f>"62 "</f>
        <v xml:space="preserve">62 </v>
      </c>
      <c r="K1952" s="26" t="str">
        <f>"IZ"</f>
        <v>IZ</v>
      </c>
      <c r="L1952" s="26" t="str">
        <f>"DGSEI"</f>
        <v>DGSEI</v>
      </c>
      <c r="M1952" s="26" t="str">
        <f t="shared" si="320"/>
        <v>FEDERAL</v>
      </c>
      <c r="N1952" s="26">
        <v>607</v>
      </c>
      <c r="O1952" s="26">
        <v>304</v>
      </c>
      <c r="P1952" s="26">
        <v>303</v>
      </c>
      <c r="Q1952" s="26">
        <v>18</v>
      </c>
      <c r="R1952" s="26">
        <v>1</v>
      </c>
      <c r="S1952" s="26">
        <v>18</v>
      </c>
      <c r="T1952" s="26">
        <v>10</v>
      </c>
      <c r="U1952" s="26">
        <v>29</v>
      </c>
      <c r="V1952" s="26">
        <v>1</v>
      </c>
      <c r="W1952" s="26"/>
    </row>
    <row r="1953" spans="1:23" x14ac:dyDescent="0.25">
      <c r="A1953" s="26" t="str">
        <f t="shared" si="318"/>
        <v>PRIMARIA</v>
      </c>
      <c r="B1953" s="26" t="str">
        <f>"09DPR5038I"</f>
        <v>09DPR5038I</v>
      </c>
      <c r="C1953" s="26" t="str">
        <f>"RUFINO TAMAYO                                                                                       "</f>
        <v xml:space="preserve">RUFINO TAMAYO                                                                                       </v>
      </c>
      <c r="D1953" s="26" t="str">
        <f>"MATUTINO"</f>
        <v>MATUTINO</v>
      </c>
      <c r="E1953" s="26" t="str">
        <f>"ENCINOS S/N.                                                                    "</f>
        <v xml:space="preserve">ENCINOS S/N.                                                                    </v>
      </c>
      <c r="F1953" s="26" t="str">
        <f>"CONJUNTO HABITACIONAL SOLIDARIDAD I                                                                                                         "</f>
        <v xml:space="preserve">CONJUNTO HABITACIONAL SOLIDARIDAD I                                                                                                         </v>
      </c>
      <c r="G1953" s="26" t="str">
        <f>"IZTAPALAPA                                                                      "</f>
        <v xml:space="preserve">IZTAPALAPA                                                                      </v>
      </c>
      <c r="H1953" s="26" t="str">
        <f>"031"</f>
        <v>031</v>
      </c>
      <c r="I1953" s="26" t="str">
        <f t="shared" si="319"/>
        <v>00</v>
      </c>
      <c r="J1953" s="26" t="str">
        <f>"62 "</f>
        <v xml:space="preserve">62 </v>
      </c>
      <c r="K1953" s="26" t="str">
        <f>"IZ"</f>
        <v>IZ</v>
      </c>
      <c r="L1953" s="26" t="str">
        <f>"DGSEI"</f>
        <v>DGSEI</v>
      </c>
      <c r="M1953" s="26" t="str">
        <f t="shared" si="320"/>
        <v>FEDERAL</v>
      </c>
      <c r="N1953" s="26">
        <v>606</v>
      </c>
      <c r="O1953" s="26">
        <v>309</v>
      </c>
      <c r="P1953" s="26">
        <v>297</v>
      </c>
      <c r="Q1953" s="26">
        <v>18</v>
      </c>
      <c r="R1953" s="26">
        <v>1</v>
      </c>
      <c r="S1953" s="26">
        <v>18</v>
      </c>
      <c r="T1953" s="26">
        <v>7</v>
      </c>
      <c r="U1953" s="26">
        <v>26</v>
      </c>
      <c r="V1953" s="26">
        <v>1</v>
      </c>
      <c r="W1953" s="26"/>
    </row>
    <row r="1954" spans="1:23" x14ac:dyDescent="0.25">
      <c r="A1954" s="26" t="str">
        <f t="shared" si="318"/>
        <v>PRIMARIA</v>
      </c>
      <c r="B1954" s="26" t="str">
        <f>"09DPR5039H"</f>
        <v>09DPR5039H</v>
      </c>
      <c r="C1954" s="26" t="str">
        <f>"QUETZALCOATL                                                                                        "</f>
        <v xml:space="preserve">QUETZALCOATL                                                                                        </v>
      </c>
      <c r="D1954" s="26" t="str">
        <f>"MATUTINO"</f>
        <v>MATUTINO</v>
      </c>
      <c r="E1954" s="26" t="str">
        <f>"AV. PTO. MEXICO S/N                                                             "</f>
        <v xml:space="preserve">AV. PTO. MEXICO S/N                                                             </v>
      </c>
      <c r="F1954" s="26" t="str">
        <f>"ZENTLAPATL                                                                                                                                  "</f>
        <v xml:space="preserve">ZENTLAPATL                                                                                                                                  </v>
      </c>
      <c r="G1954" s="26" t="str">
        <f>"CUAJIMALPA DE MORELOS                                                           "</f>
        <v xml:space="preserve">CUAJIMALPA DE MORELOS                                                           </v>
      </c>
      <c r="H1954" s="26" t="str">
        <f>"306"</f>
        <v>306</v>
      </c>
      <c r="I1954" s="26" t="str">
        <f t="shared" si="319"/>
        <v>00</v>
      </c>
      <c r="J1954" s="26" t="str">
        <f>"43 "</f>
        <v xml:space="preserve">43 </v>
      </c>
      <c r="K1954" s="26" t="str">
        <f>"PR"</f>
        <v>PR</v>
      </c>
      <c r="L1954" s="26" t="str">
        <f>"DGOSE"</f>
        <v>DGOSE</v>
      </c>
      <c r="M1954" s="26" t="str">
        <f t="shared" si="320"/>
        <v>FEDERAL</v>
      </c>
      <c r="N1954" s="26">
        <v>221</v>
      </c>
      <c r="O1954" s="26">
        <v>98</v>
      </c>
      <c r="P1954" s="26">
        <v>123</v>
      </c>
      <c r="Q1954" s="26">
        <v>6</v>
      </c>
      <c r="R1954" s="26">
        <v>1</v>
      </c>
      <c r="S1954" s="26">
        <v>6</v>
      </c>
      <c r="T1954" s="26">
        <v>6</v>
      </c>
      <c r="U1954" s="26">
        <v>13</v>
      </c>
      <c r="V1954" s="26">
        <v>1</v>
      </c>
      <c r="W1954" s="26"/>
    </row>
    <row r="1955" spans="1:23" x14ac:dyDescent="0.25">
      <c r="A1955" s="26" t="str">
        <f t="shared" si="318"/>
        <v>PRIMARIA</v>
      </c>
      <c r="B1955" s="26" t="str">
        <f>"09DPR5040X"</f>
        <v>09DPR5040X</v>
      </c>
      <c r="C1955" s="26" t="str">
        <f>"LEYES DE REFORMA DEL 57                                                                             "</f>
        <v xml:space="preserve">LEYES DE REFORMA DEL 57                                                                             </v>
      </c>
      <c r="D1955" s="26" t="str">
        <f>"VESPERTINO"</f>
        <v>VESPERTINO</v>
      </c>
      <c r="E1955" s="26" t="str">
        <f>"AV HIDALGO NO 54                                                                "</f>
        <v xml:space="preserve">AV HIDALGO NO 54                                                                </v>
      </c>
      <c r="F1955" s="26" t="str">
        <f>"SAN MIGUEL AJUSCO                                                                                                                           "</f>
        <v xml:space="preserve">SAN MIGUEL AJUSCO                                                                                                                           </v>
      </c>
      <c r="G1955" s="26" t="str">
        <f>"TLALPAN                                                                         "</f>
        <v xml:space="preserve">TLALPAN                                                                         </v>
      </c>
      <c r="H1955" s="26" t="str">
        <f>"530"</f>
        <v>530</v>
      </c>
      <c r="I1955" s="26" t="str">
        <f t="shared" si="319"/>
        <v>00</v>
      </c>
      <c r="J1955" s="26" t="str">
        <f>"45 "</f>
        <v xml:space="preserve">45 </v>
      </c>
      <c r="K1955" s="26" t="str">
        <f>"PR"</f>
        <v>PR</v>
      </c>
      <c r="L1955" s="26" t="str">
        <f>"DGOSE"</f>
        <v>DGOSE</v>
      </c>
      <c r="M1955" s="26" t="str">
        <f t="shared" si="320"/>
        <v>FEDERAL</v>
      </c>
      <c r="N1955" s="26">
        <v>896</v>
      </c>
      <c r="O1955" s="26">
        <v>448</v>
      </c>
      <c r="P1955" s="26">
        <v>448</v>
      </c>
      <c r="Q1955" s="26">
        <v>23</v>
      </c>
      <c r="R1955" s="26">
        <v>1</v>
      </c>
      <c r="S1955" s="26">
        <v>23</v>
      </c>
      <c r="T1955" s="26">
        <v>13</v>
      </c>
      <c r="U1955" s="26">
        <v>37</v>
      </c>
      <c r="V1955" s="26">
        <v>1</v>
      </c>
      <c r="W1955" s="26"/>
    </row>
    <row r="1956" spans="1:23" x14ac:dyDescent="0.25">
      <c r="A1956" s="26" t="str">
        <f t="shared" si="318"/>
        <v>PRIMARIA</v>
      </c>
      <c r="B1956" s="26" t="str">
        <f>"09DPR5041W"</f>
        <v>09DPR5041W</v>
      </c>
      <c r="C1956" s="26" t="str">
        <f>"MIGUEL LERDO DE TEJADA                                                                              "</f>
        <v xml:space="preserve">MIGUEL LERDO DE TEJADA                                                                              </v>
      </c>
      <c r="D1956" s="26" t="str">
        <f>"VESPERTINO"</f>
        <v>VESPERTINO</v>
      </c>
      <c r="E1956" s="26" t="str">
        <f>"FRENTES 6 Y 7                                                                   "</f>
        <v xml:space="preserve">FRENTES 6 Y 7                                                                   </v>
      </c>
      <c r="F1956" s="26" t="str">
        <f>"CHINAMPAC DE JUAREZ                                                                                                                         "</f>
        <v xml:space="preserve">CHINAMPAC DE JUAREZ                                                                                                                         </v>
      </c>
      <c r="G1956" s="26" t="str">
        <f>"IZTAPALAPA                                                                      "</f>
        <v xml:space="preserve">IZTAPALAPA                                                                      </v>
      </c>
      <c r="H1956" s="26" t="str">
        <f>"019"</f>
        <v>019</v>
      </c>
      <c r="I1956" s="26" t="str">
        <f t="shared" si="319"/>
        <v>00</v>
      </c>
      <c r="J1956" s="26" t="str">
        <f>"62 "</f>
        <v xml:space="preserve">62 </v>
      </c>
      <c r="K1956" s="26" t="str">
        <f>"IZ"</f>
        <v>IZ</v>
      </c>
      <c r="L1956" s="26" t="str">
        <f>"DGSEI"</f>
        <v>DGSEI</v>
      </c>
      <c r="M1956" s="26" t="str">
        <f t="shared" si="320"/>
        <v>FEDERAL</v>
      </c>
      <c r="N1956" s="26">
        <v>305</v>
      </c>
      <c r="O1956" s="26">
        <v>165</v>
      </c>
      <c r="P1956" s="26">
        <v>140</v>
      </c>
      <c r="Q1956" s="26">
        <v>14</v>
      </c>
      <c r="R1956" s="26">
        <v>1</v>
      </c>
      <c r="S1956" s="26">
        <v>14</v>
      </c>
      <c r="T1956" s="26">
        <v>8</v>
      </c>
      <c r="U1956" s="26">
        <v>23</v>
      </c>
      <c r="V1956" s="26">
        <v>1</v>
      </c>
      <c r="W1956" s="26"/>
    </row>
    <row r="1957" spans="1:23" x14ac:dyDescent="0.25">
      <c r="A1957" s="26" t="str">
        <f t="shared" si="318"/>
        <v>PRIMARIA</v>
      </c>
      <c r="B1957" s="26" t="str">
        <f>"09DPR5042V"</f>
        <v>09DPR5042V</v>
      </c>
      <c r="C1957" s="26" t="str">
        <f>"MACUILXOCHITZIN                                                                                     "</f>
        <v xml:space="preserve">MACUILXOCHITZIN                                                                                     </v>
      </c>
      <c r="D1957" s="26" t="str">
        <f>"MATUTINO"</f>
        <v>MATUTINO</v>
      </c>
      <c r="E1957" s="26" t="str">
        <f>"EL MANTO S/N.                                                                   "</f>
        <v xml:space="preserve">EL MANTO S/N.                                                                   </v>
      </c>
      <c r="F1957" s="26" t="str">
        <f>"BUENAVISTA                                                                                                                                  "</f>
        <v xml:space="preserve">BUENAVISTA                                                                                                                                  </v>
      </c>
      <c r="G1957" s="26" t="str">
        <f>"IZTAPALAPA                                                                      "</f>
        <v xml:space="preserve">IZTAPALAPA                                                                      </v>
      </c>
      <c r="H1957" s="26" t="str">
        <f>"060"</f>
        <v>060</v>
      </c>
      <c r="I1957" s="26" t="str">
        <f t="shared" si="319"/>
        <v>00</v>
      </c>
      <c r="J1957" s="26" t="str">
        <f>"64 "</f>
        <v xml:space="preserve">64 </v>
      </c>
      <c r="K1957" s="26" t="str">
        <f>"IZ"</f>
        <v>IZ</v>
      </c>
      <c r="L1957" s="26" t="str">
        <f>"DGSEI"</f>
        <v>DGSEI</v>
      </c>
      <c r="M1957" s="26" t="str">
        <f t="shared" si="320"/>
        <v>FEDERAL</v>
      </c>
      <c r="N1957" s="26">
        <v>499</v>
      </c>
      <c r="O1957" s="26">
        <v>243</v>
      </c>
      <c r="P1957" s="26">
        <v>256</v>
      </c>
      <c r="Q1957" s="26">
        <v>14</v>
      </c>
      <c r="R1957" s="26">
        <v>0</v>
      </c>
      <c r="S1957" s="26">
        <v>14</v>
      </c>
      <c r="T1957" s="26">
        <v>5</v>
      </c>
      <c r="U1957" s="26">
        <v>19</v>
      </c>
      <c r="V1957" s="26">
        <v>1</v>
      </c>
      <c r="W1957" s="26"/>
    </row>
    <row r="1958" spans="1:23" x14ac:dyDescent="0.25">
      <c r="A1958" s="26" t="str">
        <f t="shared" si="318"/>
        <v>PRIMARIA</v>
      </c>
      <c r="B1958" s="26" t="str">
        <f>"09DPR5043U"</f>
        <v>09DPR5043U</v>
      </c>
      <c r="C1958" s="26" t="str">
        <f>"JUAN RULFO                                                                                          "</f>
        <v xml:space="preserve">JUAN RULFO                                                                                          </v>
      </c>
      <c r="D1958" s="26" t="str">
        <f>"MATUTINO"</f>
        <v>MATUTINO</v>
      </c>
      <c r="E1958" s="26" t="str">
        <f>"BATALLA 5 DE MAYO Y F. LORETO S/N                                               "</f>
        <v xml:space="preserve">BATALLA 5 DE MAYO Y F. LORETO S/N                                               </v>
      </c>
      <c r="F1958" s="26" t="str">
        <f>"UNIDAD HABITACIONAL EJERCITO CONSTI                                                                                                         "</f>
        <v xml:space="preserve">UNIDAD HABITACIONAL EJERCITO CONSTI                                                                                                         </v>
      </c>
      <c r="G1958" s="26" t="str">
        <f>"IZTAPALAPA                                                                      "</f>
        <v xml:space="preserve">IZTAPALAPA                                                                      </v>
      </c>
      <c r="H1958" s="26" t="str">
        <f>"022"</f>
        <v>022</v>
      </c>
      <c r="I1958" s="26" t="str">
        <f t="shared" si="319"/>
        <v>00</v>
      </c>
      <c r="J1958" s="26" t="str">
        <f>"62 "</f>
        <v xml:space="preserve">62 </v>
      </c>
      <c r="K1958" s="26" t="str">
        <f>"IZ"</f>
        <v>IZ</v>
      </c>
      <c r="L1958" s="26" t="str">
        <f>"DGSEI"</f>
        <v>DGSEI</v>
      </c>
      <c r="M1958" s="26" t="str">
        <f t="shared" si="320"/>
        <v>FEDERAL</v>
      </c>
      <c r="N1958" s="26">
        <v>251</v>
      </c>
      <c r="O1958" s="26">
        <v>116</v>
      </c>
      <c r="P1958" s="26">
        <v>135</v>
      </c>
      <c r="Q1958" s="26">
        <v>7</v>
      </c>
      <c r="R1958" s="26">
        <v>1</v>
      </c>
      <c r="S1958" s="26">
        <v>6</v>
      </c>
      <c r="T1958" s="26">
        <v>5</v>
      </c>
      <c r="U1958" s="26">
        <v>12</v>
      </c>
      <c r="V1958" s="26">
        <v>1</v>
      </c>
      <c r="W1958" s="26"/>
    </row>
    <row r="1959" spans="1:23" x14ac:dyDescent="0.25">
      <c r="A1959" s="26" t="str">
        <f t="shared" si="318"/>
        <v>PRIMARIA</v>
      </c>
      <c r="B1959" s="26" t="str">
        <f>"09DPR5044T"</f>
        <v>09DPR5044T</v>
      </c>
      <c r="C1959" s="26" t="str">
        <f>"RUFINO TAMAYO                                                                                       "</f>
        <v xml:space="preserve">RUFINO TAMAYO                                                                                       </v>
      </c>
      <c r="D1959" s="26" t="str">
        <f>"VESPERTINO"</f>
        <v>VESPERTINO</v>
      </c>
      <c r="E1959" s="26" t="str">
        <f>"ENCINOS S/N                                                                     "</f>
        <v xml:space="preserve">ENCINOS S/N                                                                     </v>
      </c>
      <c r="F1959" s="26" t="str">
        <f>"CONJUNTO HABITACIONAL SOLIDARIDAD I                                                                                                         "</f>
        <v xml:space="preserve">CONJUNTO HABITACIONAL SOLIDARIDAD I                                                                                                         </v>
      </c>
      <c r="G1959" s="26" t="str">
        <f>"IZTAPALAPA                                                                      "</f>
        <v xml:space="preserve">IZTAPALAPA                                                                      </v>
      </c>
      <c r="H1959" s="26" t="str">
        <f>"031"</f>
        <v>031</v>
      </c>
      <c r="I1959" s="26" t="str">
        <f t="shared" si="319"/>
        <v>00</v>
      </c>
      <c r="J1959" s="26" t="str">
        <f>"62 "</f>
        <v xml:space="preserve">62 </v>
      </c>
      <c r="K1959" s="26" t="str">
        <f>"IZ"</f>
        <v>IZ</v>
      </c>
      <c r="L1959" s="26" t="str">
        <f>"DGSEI"</f>
        <v>DGSEI</v>
      </c>
      <c r="M1959" s="26" t="str">
        <f t="shared" si="320"/>
        <v>FEDERAL</v>
      </c>
      <c r="N1959" s="26">
        <v>495</v>
      </c>
      <c r="O1959" s="26">
        <v>248</v>
      </c>
      <c r="P1959" s="26">
        <v>247</v>
      </c>
      <c r="Q1959" s="26">
        <v>18</v>
      </c>
      <c r="R1959" s="26">
        <v>1</v>
      </c>
      <c r="S1959" s="26">
        <v>18</v>
      </c>
      <c r="T1959" s="26">
        <v>8</v>
      </c>
      <c r="U1959" s="26">
        <v>27</v>
      </c>
      <c r="V1959" s="26">
        <v>1</v>
      </c>
      <c r="W1959" s="26"/>
    </row>
    <row r="1960" spans="1:23" x14ac:dyDescent="0.25">
      <c r="A1960" s="26" t="str">
        <f t="shared" si="318"/>
        <v>PRIMARIA</v>
      </c>
      <c r="B1960" s="26" t="str">
        <f>"09DPR5045S"</f>
        <v>09DPR5045S</v>
      </c>
      <c r="C1960" s="26" t="str">
        <f>"CENTAURO DEL NORTE                                                                                  "</f>
        <v xml:space="preserve">CENTAURO DEL NORTE                                                                                  </v>
      </c>
      <c r="D1960" s="26" t="str">
        <f>"MATUTINO"</f>
        <v>MATUTINO</v>
      </c>
      <c r="E1960" s="26" t="str">
        <f>"PROL. ALDAMA S/N                                                                "</f>
        <v xml:space="preserve">PROL. ALDAMA S/N                                                                </v>
      </c>
      <c r="F1960" s="26" t="str">
        <f>"EL MOLINO  IZTAPALAPA                                                                                                                       "</f>
        <v xml:space="preserve">EL MOLINO  IZTAPALAPA                                                                                                                       </v>
      </c>
      <c r="G1960" s="26" t="str">
        <f>"IZTAPALAPA                                                                      "</f>
        <v xml:space="preserve">IZTAPALAPA                                                                      </v>
      </c>
      <c r="H1960" s="26" t="str">
        <f>"051"</f>
        <v>051</v>
      </c>
      <c r="I1960" s="26" t="str">
        <f t="shared" si="319"/>
        <v>00</v>
      </c>
      <c r="J1960" s="26" t="str">
        <f>"63 "</f>
        <v xml:space="preserve">63 </v>
      </c>
      <c r="K1960" s="26" t="str">
        <f>"IZ"</f>
        <v>IZ</v>
      </c>
      <c r="L1960" s="26" t="str">
        <f>"DGSEI"</f>
        <v>DGSEI</v>
      </c>
      <c r="M1960" s="26" t="str">
        <f t="shared" si="320"/>
        <v>FEDERAL</v>
      </c>
      <c r="N1960" s="26">
        <v>531</v>
      </c>
      <c r="O1960" s="26">
        <v>275</v>
      </c>
      <c r="P1960" s="26">
        <v>256</v>
      </c>
      <c r="Q1960" s="26">
        <v>16</v>
      </c>
      <c r="R1960" s="26">
        <v>1</v>
      </c>
      <c r="S1960" s="26">
        <v>16</v>
      </c>
      <c r="T1960" s="26">
        <v>10</v>
      </c>
      <c r="U1960" s="26">
        <v>27</v>
      </c>
      <c r="V1960" s="26">
        <v>1</v>
      </c>
      <c r="W1960" s="26"/>
    </row>
    <row r="1961" spans="1:23" x14ac:dyDescent="0.25">
      <c r="A1961" s="26" t="str">
        <f t="shared" si="318"/>
        <v>PRIMARIA</v>
      </c>
      <c r="B1961" s="26" t="str">
        <f>"09DPR5046R"</f>
        <v>09DPR5046R</v>
      </c>
      <c r="C1961" s="26" t="str">
        <f>"JESUS SOTELO INCLAN                                                                                 "</f>
        <v xml:space="preserve">JESUS SOTELO INCLAN                                                                                 </v>
      </c>
      <c r="D1961" s="26" t="str">
        <f>"JORNADA AMPLIADA"</f>
        <v>JORNADA AMPLIADA</v>
      </c>
      <c r="E1961" s="26" t="str">
        <f>"ANDADOR SIN NOMBRE Y SIN NUMERO                                                 "</f>
        <v xml:space="preserve">ANDADOR SIN NOMBRE Y SIN NUMERO                                                 </v>
      </c>
      <c r="F1961" s="26" t="str">
        <f>"UNIDAD HABITACIONAL SAN PABLO XALPA                                                                                                         "</f>
        <v xml:space="preserve">UNIDAD HABITACIONAL SAN PABLO XALPA                                                                                                         </v>
      </c>
      <c r="G1961" s="26" t="str">
        <f>"AZCAPOTZALCO                                                                    "</f>
        <v xml:space="preserve">AZCAPOTZALCO                                                                    </v>
      </c>
      <c r="H1961" s="26" t="str">
        <f>"100"</f>
        <v>100</v>
      </c>
      <c r="I1961" s="26" t="str">
        <f t="shared" si="319"/>
        <v>00</v>
      </c>
      <c r="J1961" s="26" t="str">
        <f>"41 "</f>
        <v xml:space="preserve">41 </v>
      </c>
      <c r="K1961" s="26" t="str">
        <f>"PR"</f>
        <v>PR</v>
      </c>
      <c r="L1961" s="26" t="str">
        <f>"DGOSE"</f>
        <v>DGOSE</v>
      </c>
      <c r="M1961" s="26" t="str">
        <f t="shared" si="320"/>
        <v>FEDERAL</v>
      </c>
      <c r="N1961" s="26">
        <v>445</v>
      </c>
      <c r="O1961" s="26">
        <v>222</v>
      </c>
      <c r="P1961" s="26">
        <v>223</v>
      </c>
      <c r="Q1961" s="26">
        <v>16</v>
      </c>
      <c r="R1961" s="26">
        <v>1</v>
      </c>
      <c r="S1961" s="26">
        <v>16</v>
      </c>
      <c r="T1961" s="26">
        <v>14</v>
      </c>
      <c r="U1961" s="26">
        <v>31</v>
      </c>
      <c r="V1961" s="26">
        <v>1</v>
      </c>
      <c r="W1961" s="26" t="s">
        <v>2076</v>
      </c>
    </row>
    <row r="1962" spans="1:23" x14ac:dyDescent="0.25">
      <c r="A1962" s="26" t="str">
        <f t="shared" si="318"/>
        <v>PRIMARIA</v>
      </c>
      <c r="B1962" s="26" t="str">
        <f>"09DPR5047Q"</f>
        <v>09DPR5047Q</v>
      </c>
      <c r="C1962" s="26" t="str">
        <f>"SUSANA IRMA HERRERA MASCORRO                                                                        "</f>
        <v xml:space="preserve">SUSANA IRMA HERRERA MASCORRO                                                                        </v>
      </c>
      <c r="D1962" s="26" t="str">
        <f>"VESPERTINO"</f>
        <v>VESPERTINO</v>
      </c>
      <c r="E1962" s="26" t="str">
        <f>"RODOLFO MENDEZ 3                                                                "</f>
        <v xml:space="preserve">RODOLFO MENDEZ 3                                                                </v>
      </c>
      <c r="F1962" s="26" t="str">
        <f>"GABRIEL HERNANDEZ AMPLIACION                                                                                                                "</f>
        <v xml:space="preserve">GABRIEL HERNANDEZ AMPLIACION                                                                                                                </v>
      </c>
      <c r="G1962" s="26" t="str">
        <f>"GUSTAVO A. MADERO                                                               "</f>
        <v xml:space="preserve">GUSTAVO A. MADERO                                                               </v>
      </c>
      <c r="H1962" s="26" t="str">
        <f>"255"</f>
        <v>255</v>
      </c>
      <c r="I1962" s="26" t="str">
        <f t="shared" si="319"/>
        <v>00</v>
      </c>
      <c r="J1962" s="26" t="str">
        <f>"42 "</f>
        <v xml:space="preserve">42 </v>
      </c>
      <c r="K1962" s="26" t="str">
        <f>"PR"</f>
        <v>PR</v>
      </c>
      <c r="L1962" s="26" t="str">
        <f>"DGOSE"</f>
        <v>DGOSE</v>
      </c>
      <c r="M1962" s="26" t="str">
        <f t="shared" si="320"/>
        <v>FEDERAL</v>
      </c>
      <c r="N1962" s="26">
        <v>74</v>
      </c>
      <c r="O1962" s="26">
        <v>37</v>
      </c>
      <c r="P1962" s="26">
        <v>37</v>
      </c>
      <c r="Q1962" s="26">
        <v>6</v>
      </c>
      <c r="R1962" s="26">
        <v>1</v>
      </c>
      <c r="S1962" s="26">
        <v>6</v>
      </c>
      <c r="T1962" s="26">
        <v>3</v>
      </c>
      <c r="U1962" s="26">
        <v>10</v>
      </c>
      <c r="V1962" s="26">
        <v>1</v>
      </c>
      <c r="W1962" s="26"/>
    </row>
    <row r="1963" spans="1:23" x14ac:dyDescent="0.25">
      <c r="A1963" s="26" t="str">
        <f t="shared" si="318"/>
        <v>PRIMARIA</v>
      </c>
      <c r="B1963" s="26" t="str">
        <f>"09DPR5048P"</f>
        <v>09DPR5048P</v>
      </c>
      <c r="C1963" s="26" t="str">
        <f>"POPOL VUH                                                                                           "</f>
        <v xml:space="preserve">POPOL VUH                                                                                           </v>
      </c>
      <c r="D1963" s="26" t="str">
        <f>"MATUTINO"</f>
        <v>MATUTINO</v>
      </c>
      <c r="E1963" s="26" t="str">
        <f>"EDUCACION TECNOLOGICA S/N                                                       "</f>
        <v xml:space="preserve">EDUCACION TECNOLOGICA S/N                                                       </v>
      </c>
      <c r="F1963" s="26" t="str">
        <f>"SAN JUAN IXTAYOPAN                                                                                                                          "</f>
        <v xml:space="preserve">SAN JUAN IXTAYOPAN                                                                                                                          </v>
      </c>
      <c r="G1963" s="26" t="str">
        <f>"TLAHUAC                                                                         "</f>
        <v xml:space="preserve">TLAHUAC                                                                         </v>
      </c>
      <c r="H1963" s="26" t="str">
        <f>"559"</f>
        <v>559</v>
      </c>
      <c r="I1963" s="26" t="str">
        <f t="shared" si="319"/>
        <v>00</v>
      </c>
      <c r="J1963" s="26" t="str">
        <f>"45 "</f>
        <v xml:space="preserve">45 </v>
      </c>
      <c r="K1963" s="26" t="str">
        <f>"PR"</f>
        <v>PR</v>
      </c>
      <c r="L1963" s="26" t="str">
        <f>"DGOSE"</f>
        <v>DGOSE</v>
      </c>
      <c r="M1963" s="26" t="str">
        <f t="shared" si="320"/>
        <v>FEDERAL</v>
      </c>
      <c r="N1963" s="26">
        <v>653</v>
      </c>
      <c r="O1963" s="26">
        <v>337</v>
      </c>
      <c r="P1963" s="26">
        <v>316</v>
      </c>
      <c r="Q1963" s="26">
        <v>17</v>
      </c>
      <c r="R1963" s="26">
        <v>1</v>
      </c>
      <c r="S1963" s="26">
        <v>16</v>
      </c>
      <c r="T1963" s="26">
        <v>8</v>
      </c>
      <c r="U1963" s="26">
        <v>25</v>
      </c>
      <c r="V1963" s="26">
        <v>1</v>
      </c>
      <c r="W1963" s="26"/>
    </row>
    <row r="1964" spans="1:23" x14ac:dyDescent="0.25">
      <c r="A1964" s="26" t="str">
        <f t="shared" si="318"/>
        <v>PRIMARIA</v>
      </c>
      <c r="B1964" s="26" t="str">
        <f>"09DPR5049O"</f>
        <v>09DPR5049O</v>
      </c>
      <c r="C1964" s="26" t="str">
        <f>"WILFRIDO MASSIEU                                                                                    "</f>
        <v xml:space="preserve">WILFRIDO MASSIEU                                                                                    </v>
      </c>
      <c r="D1964" s="26" t="str">
        <f>"JORNADA AMPLIADA"</f>
        <v>JORNADA AMPLIADA</v>
      </c>
      <c r="E1964" s="26" t="str">
        <f>"AV. UNIVERSIDAD S/N.                                                            "</f>
        <v xml:space="preserve">AV. UNIVERSIDAD S/N.                                                            </v>
      </c>
      <c r="F1964" s="26" t="str">
        <f>"LA ALBARRADA                                                                                                                                "</f>
        <v xml:space="preserve">LA ALBARRADA                                                                                                                                </v>
      </c>
      <c r="G1964" s="26" t="str">
        <f>"IZTAPALAPA                                                                      "</f>
        <v xml:space="preserve">IZTAPALAPA                                                                      </v>
      </c>
      <c r="H1964" s="26" t="str">
        <f>"007"</f>
        <v>007</v>
      </c>
      <c r="I1964" s="26" t="str">
        <f t="shared" si="319"/>
        <v>00</v>
      </c>
      <c r="J1964" s="26" t="str">
        <f>"61 "</f>
        <v xml:space="preserve">61 </v>
      </c>
      <c r="K1964" s="26" t="str">
        <f>"IZ"</f>
        <v>IZ</v>
      </c>
      <c r="L1964" s="26" t="str">
        <f>"DGSEI"</f>
        <v>DGSEI</v>
      </c>
      <c r="M1964" s="26" t="str">
        <f t="shared" si="320"/>
        <v>FEDERAL</v>
      </c>
      <c r="N1964" s="26">
        <v>580</v>
      </c>
      <c r="O1964" s="26">
        <v>273</v>
      </c>
      <c r="P1964" s="26">
        <v>307</v>
      </c>
      <c r="Q1964" s="26">
        <v>18</v>
      </c>
      <c r="R1964" s="26">
        <v>1</v>
      </c>
      <c r="S1964" s="26">
        <v>17</v>
      </c>
      <c r="T1964" s="26">
        <v>12</v>
      </c>
      <c r="U1964" s="26">
        <v>30</v>
      </c>
      <c r="V1964" s="26">
        <v>1</v>
      </c>
      <c r="W1964" s="26" t="s">
        <v>2076</v>
      </c>
    </row>
    <row r="1965" spans="1:23" x14ac:dyDescent="0.25">
      <c r="A1965" s="26" t="str">
        <f t="shared" si="318"/>
        <v>PRIMARIA</v>
      </c>
      <c r="B1965" s="26" t="str">
        <f>"09DPR5050D"</f>
        <v>09DPR5050D</v>
      </c>
      <c r="C1965" s="26" t="str">
        <f>"PROFR. MANUEL S. HIDALGO CASTRO                                                                     "</f>
        <v xml:space="preserve">PROFR. MANUEL S. HIDALGO CASTRO                                                                     </v>
      </c>
      <c r="D1965" s="26" t="str">
        <f>"MATUTINO"</f>
        <v>MATUTINO</v>
      </c>
      <c r="E1965" s="26" t="str">
        <f>"FFCC S/N. RAFAEL ATLIXCO                                                        "</f>
        <v xml:space="preserve">FFCC S/N. RAFAEL ATLIXCO                                                        </v>
      </c>
      <c r="F1965" s="26" t="str">
        <f>"SANTIAGO ZAPOTITLAN                                                                                                                         "</f>
        <v xml:space="preserve">SANTIAGO ZAPOTITLAN                                                                                                                         </v>
      </c>
      <c r="G1965" s="26" t="str">
        <f>"TLAHUAC                                                                         "</f>
        <v xml:space="preserve">TLAHUAC                                                                         </v>
      </c>
      <c r="H1965" s="26" t="str">
        <f>"547"</f>
        <v>547</v>
      </c>
      <c r="I1965" s="26" t="str">
        <f t="shared" si="319"/>
        <v>00</v>
      </c>
      <c r="J1965" s="26" t="str">
        <f>"45 "</f>
        <v xml:space="preserve">45 </v>
      </c>
      <c r="K1965" s="26" t="str">
        <f>"PR"</f>
        <v>PR</v>
      </c>
      <c r="L1965" s="26" t="str">
        <f>"DGOSE"</f>
        <v>DGOSE</v>
      </c>
      <c r="M1965" s="26" t="str">
        <f t="shared" si="320"/>
        <v>FEDERAL</v>
      </c>
      <c r="N1965" s="26">
        <v>694</v>
      </c>
      <c r="O1965" s="26">
        <v>354</v>
      </c>
      <c r="P1965" s="26">
        <v>340</v>
      </c>
      <c r="Q1965" s="26">
        <v>18</v>
      </c>
      <c r="R1965" s="26">
        <v>1</v>
      </c>
      <c r="S1965" s="26">
        <v>18</v>
      </c>
      <c r="T1965" s="26">
        <v>8</v>
      </c>
      <c r="U1965" s="26">
        <v>27</v>
      </c>
      <c r="V1965" s="26">
        <v>1</v>
      </c>
      <c r="W1965" s="26"/>
    </row>
    <row r="1966" spans="1:23" x14ac:dyDescent="0.25">
      <c r="A1966" s="26" t="str">
        <f t="shared" si="318"/>
        <v>PRIMARIA</v>
      </c>
      <c r="B1966" s="26" t="str">
        <f>"09DPR5051C"</f>
        <v>09DPR5051C</v>
      </c>
      <c r="C1966" s="26" t="str">
        <f>"PROFR. MANUEL S. HIDALGO CASTRO                                                                     "</f>
        <v xml:space="preserve">PROFR. MANUEL S. HIDALGO CASTRO                                                                     </v>
      </c>
      <c r="D1966" s="26" t="str">
        <f>"VESPERTINO"</f>
        <v>VESPERTINO</v>
      </c>
      <c r="E1966" s="26" t="str">
        <f>"AV FERROCARRIL SN RAFAEL ATLIXCO                                                "</f>
        <v xml:space="preserve">AV FERROCARRIL SN RAFAEL ATLIXCO                                                </v>
      </c>
      <c r="F1966" s="26" t="str">
        <f>"SANTIAGO ZAPOTITLAN                                                                                                                         "</f>
        <v xml:space="preserve">SANTIAGO ZAPOTITLAN                                                                                                                         </v>
      </c>
      <c r="G1966" s="26" t="str">
        <f>"TLAHUAC                                                                         "</f>
        <v xml:space="preserve">TLAHUAC                                                                         </v>
      </c>
      <c r="H1966" s="26" t="str">
        <f>"547"</f>
        <v>547</v>
      </c>
      <c r="I1966" s="26" t="str">
        <f t="shared" si="319"/>
        <v>00</v>
      </c>
      <c r="J1966" s="26" t="str">
        <f>"45 "</f>
        <v xml:space="preserve">45 </v>
      </c>
      <c r="K1966" s="26" t="str">
        <f>"PR"</f>
        <v>PR</v>
      </c>
      <c r="L1966" s="26" t="str">
        <f>"DGOSE"</f>
        <v>DGOSE</v>
      </c>
      <c r="M1966" s="26" t="str">
        <f t="shared" si="320"/>
        <v>FEDERAL</v>
      </c>
      <c r="N1966" s="26">
        <v>638</v>
      </c>
      <c r="O1966" s="26">
        <v>320</v>
      </c>
      <c r="P1966" s="26">
        <v>318</v>
      </c>
      <c r="Q1966" s="26">
        <v>18</v>
      </c>
      <c r="R1966" s="26">
        <v>1</v>
      </c>
      <c r="S1966" s="26">
        <v>18</v>
      </c>
      <c r="T1966" s="26">
        <v>9</v>
      </c>
      <c r="U1966" s="26">
        <v>28</v>
      </c>
      <c r="V1966" s="26">
        <v>1</v>
      </c>
      <c r="W1966" s="26"/>
    </row>
    <row r="1967" spans="1:23" x14ac:dyDescent="0.25">
      <c r="A1967" s="26" t="str">
        <f t="shared" si="318"/>
        <v>PRIMARIA</v>
      </c>
      <c r="B1967" s="26" t="str">
        <f>"09DPR5052B"</f>
        <v>09DPR5052B</v>
      </c>
      <c r="C1967" s="26" t="str">
        <f>"ACAHUALTEPEC                                                                                        "</f>
        <v xml:space="preserve">ACAHUALTEPEC                                                                                        </v>
      </c>
      <c r="D1967" s="26" t="str">
        <f>"MATUTINO"</f>
        <v>MATUTINO</v>
      </c>
      <c r="E1967" s="26" t="str">
        <f>"CEDRO Y CDA. EUCALIPTO                                                          "</f>
        <v xml:space="preserve">CEDRO Y CDA. EUCALIPTO                                                          </v>
      </c>
      <c r="F1967" s="26" t="str">
        <f>"SANTIAGO ACAHUALTEPEC 2A AMPLIACION                                                                                                         "</f>
        <v xml:space="preserve">SANTIAGO ACAHUALTEPEC 2A AMPLIACION                                                                                                         </v>
      </c>
      <c r="G1967" s="26" t="str">
        <f>"IZTAPALAPA                                                                      "</f>
        <v xml:space="preserve">IZTAPALAPA                                                                      </v>
      </c>
      <c r="H1967" s="26" t="str">
        <f>"063"</f>
        <v>063</v>
      </c>
      <c r="I1967" s="26" t="str">
        <f t="shared" si="319"/>
        <v>00</v>
      </c>
      <c r="J1967" s="26" t="str">
        <f>"64 "</f>
        <v xml:space="preserve">64 </v>
      </c>
      <c r="K1967" s="26" t="str">
        <f>"IZ"</f>
        <v>IZ</v>
      </c>
      <c r="L1967" s="26" t="str">
        <f>"DGSEI"</f>
        <v>DGSEI</v>
      </c>
      <c r="M1967" s="26" t="str">
        <f t="shared" si="320"/>
        <v>FEDERAL</v>
      </c>
      <c r="N1967" s="26">
        <v>490</v>
      </c>
      <c r="O1967" s="26">
        <v>267</v>
      </c>
      <c r="P1967" s="26">
        <v>223</v>
      </c>
      <c r="Q1967" s="26">
        <v>12</v>
      </c>
      <c r="R1967" s="26">
        <v>1</v>
      </c>
      <c r="S1967" s="26">
        <v>12</v>
      </c>
      <c r="T1967" s="26">
        <v>5</v>
      </c>
      <c r="U1967" s="26">
        <v>18</v>
      </c>
      <c r="V1967" s="26">
        <v>1</v>
      </c>
      <c r="W1967" s="26"/>
    </row>
    <row r="1968" spans="1:23" x14ac:dyDescent="0.25">
      <c r="A1968" s="26" t="str">
        <f t="shared" si="318"/>
        <v>PRIMARIA</v>
      </c>
      <c r="B1968" s="26" t="str">
        <f>"09DPR5054Z"</f>
        <v>09DPR5054Z</v>
      </c>
      <c r="C1968" s="26" t="str">
        <f>"LINAJE AZTECA                                                                                       "</f>
        <v xml:space="preserve">LINAJE AZTECA                                                                                       </v>
      </c>
      <c r="D1968" s="26" t="str">
        <f>"MATUTINO"</f>
        <v>MATUTINO</v>
      </c>
      <c r="E1968" s="26" t="str">
        <f>"SOR JUANA INES DE LA CRUZ S/N                                                   "</f>
        <v xml:space="preserve">SOR JUANA INES DE LA CRUZ S/N                                                   </v>
      </c>
      <c r="F1968" s="26" t="str">
        <f>"VILLA CENTROAMERICANA Y DEL CARIBE                                                                                                          "</f>
        <v xml:space="preserve">VILLA CENTROAMERICANA Y DEL CARIBE                                                                                                          </v>
      </c>
      <c r="G1968" s="26" t="str">
        <f>"TLAHUAC                                                                         "</f>
        <v xml:space="preserve">TLAHUAC                                                                         </v>
      </c>
      <c r="H1968" s="26" t="str">
        <f>"551"</f>
        <v>551</v>
      </c>
      <c r="I1968" s="26" t="str">
        <f t="shared" si="319"/>
        <v>00</v>
      </c>
      <c r="J1968" s="26" t="str">
        <f>"45 "</f>
        <v xml:space="preserve">45 </v>
      </c>
      <c r="K1968" s="26" t="str">
        <f>"PR"</f>
        <v>PR</v>
      </c>
      <c r="L1968" s="26" t="str">
        <f>"DGOSE"</f>
        <v>DGOSE</v>
      </c>
      <c r="M1968" s="26" t="str">
        <f t="shared" si="320"/>
        <v>FEDERAL</v>
      </c>
      <c r="N1968" s="26">
        <v>532</v>
      </c>
      <c r="O1968" s="26">
        <v>266</v>
      </c>
      <c r="P1968" s="26">
        <v>266</v>
      </c>
      <c r="Q1968" s="26">
        <v>14</v>
      </c>
      <c r="R1968" s="26">
        <v>1</v>
      </c>
      <c r="S1968" s="26">
        <v>12</v>
      </c>
      <c r="T1968" s="26">
        <v>7</v>
      </c>
      <c r="U1968" s="26">
        <v>20</v>
      </c>
      <c r="V1968" s="26">
        <v>1</v>
      </c>
      <c r="W1968" s="26"/>
    </row>
    <row r="1969" spans="1:23" x14ac:dyDescent="0.25">
      <c r="A1969" s="26" t="str">
        <f t="shared" si="318"/>
        <v>PRIMARIA</v>
      </c>
      <c r="B1969" s="26" t="str">
        <f>"09DPR5055Z"</f>
        <v>09DPR5055Z</v>
      </c>
      <c r="C1969" s="26" t="str">
        <f>"CENTAURO DEL NORTE                                                                                  "</f>
        <v xml:space="preserve">CENTAURO DEL NORTE                                                                                  </v>
      </c>
      <c r="D1969" s="26" t="str">
        <f>"VESPERTINO"</f>
        <v>VESPERTINO</v>
      </c>
      <c r="E1969" s="26" t="str">
        <f>"PROL. ALDAMA S/N                                                                "</f>
        <v xml:space="preserve">PROL. ALDAMA S/N                                                                </v>
      </c>
      <c r="F1969" s="26" t="str">
        <f>"EL MOLINO  IZTAPALAPA                                                                                                                       "</f>
        <v xml:space="preserve">EL MOLINO  IZTAPALAPA                                                                                                                       </v>
      </c>
      <c r="G1969" s="26" t="str">
        <f>"IZTAPALAPA                                                                      "</f>
        <v xml:space="preserve">IZTAPALAPA                                                                      </v>
      </c>
      <c r="H1969" s="26" t="str">
        <f>"051"</f>
        <v>051</v>
      </c>
      <c r="I1969" s="26" t="str">
        <f t="shared" si="319"/>
        <v>00</v>
      </c>
      <c r="J1969" s="26" t="str">
        <f>"63 "</f>
        <v xml:space="preserve">63 </v>
      </c>
      <c r="K1969" s="26" t="str">
        <f>"IZ"</f>
        <v>IZ</v>
      </c>
      <c r="L1969" s="26" t="str">
        <f>"DGSEI"</f>
        <v>DGSEI</v>
      </c>
      <c r="M1969" s="26" t="str">
        <f t="shared" si="320"/>
        <v>FEDERAL</v>
      </c>
      <c r="N1969" s="26">
        <v>432</v>
      </c>
      <c r="O1969" s="26">
        <v>220</v>
      </c>
      <c r="P1969" s="26">
        <v>212</v>
      </c>
      <c r="Q1969" s="26">
        <v>16</v>
      </c>
      <c r="R1969" s="26">
        <v>1</v>
      </c>
      <c r="S1969" s="26">
        <v>16</v>
      </c>
      <c r="T1969" s="26">
        <v>10</v>
      </c>
      <c r="U1969" s="26">
        <v>27</v>
      </c>
      <c r="V1969" s="26">
        <v>1</v>
      </c>
      <c r="W1969" s="26"/>
    </row>
    <row r="1970" spans="1:23" x14ac:dyDescent="0.25">
      <c r="A1970" s="26" t="str">
        <f t="shared" si="318"/>
        <v>PRIMARIA</v>
      </c>
      <c r="B1970" s="26" t="str">
        <f>"09DPR5056Y"</f>
        <v>09DPR5056Y</v>
      </c>
      <c r="C1970" s="26" t="str">
        <f>"AZTAHUACAN                                                                                          "</f>
        <v xml:space="preserve">AZTAHUACAN                                                                                          </v>
      </c>
      <c r="D1970" s="26" t="str">
        <f>"TIEMPO COMPLETO"</f>
        <v>TIEMPO COMPLETO</v>
      </c>
      <c r="E1970" s="26" t="str">
        <f>"TECNICOS Y MANUALES NO. 30                                                      "</f>
        <v xml:space="preserve">TECNICOS Y MANUALES NO. 30                                                      </v>
      </c>
      <c r="F1970" s="26" t="str">
        <f>"LOMAS ESTRELLA                                                                                                                              "</f>
        <v xml:space="preserve">LOMAS ESTRELLA                                                                                                                              </v>
      </c>
      <c r="G1970" s="26" t="str">
        <f>"IZTAPALAPA                                                                      "</f>
        <v xml:space="preserve">IZTAPALAPA                                                                      </v>
      </c>
      <c r="H1970" s="26" t="str">
        <f>"009"</f>
        <v>009</v>
      </c>
      <c r="I1970" s="26" t="str">
        <f t="shared" si="319"/>
        <v>00</v>
      </c>
      <c r="J1970" s="26" t="str">
        <f>"61 "</f>
        <v xml:space="preserve">61 </v>
      </c>
      <c r="K1970" s="26" t="str">
        <f>"IZ"</f>
        <v>IZ</v>
      </c>
      <c r="L1970" s="26" t="str">
        <f>"DGSEI"</f>
        <v>DGSEI</v>
      </c>
      <c r="M1970" s="26" t="str">
        <f t="shared" si="320"/>
        <v>FEDERAL</v>
      </c>
      <c r="N1970" s="26">
        <v>484</v>
      </c>
      <c r="O1970" s="26">
        <v>253</v>
      </c>
      <c r="P1970" s="26">
        <v>231</v>
      </c>
      <c r="Q1970" s="26">
        <v>13</v>
      </c>
      <c r="R1970" s="26">
        <v>1</v>
      </c>
      <c r="S1970" s="26">
        <v>13</v>
      </c>
      <c r="T1970" s="26">
        <v>10</v>
      </c>
      <c r="U1970" s="26">
        <v>24</v>
      </c>
      <c r="V1970" s="26">
        <v>1</v>
      </c>
      <c r="W1970" s="26" t="s">
        <v>218</v>
      </c>
    </row>
    <row r="1971" spans="1:23" x14ac:dyDescent="0.25">
      <c r="A1971" s="26" t="str">
        <f t="shared" si="318"/>
        <v>PRIMARIA</v>
      </c>
      <c r="B1971" s="26" t="str">
        <f>"09DPR5057X"</f>
        <v>09DPR5057X</v>
      </c>
      <c r="C1971" s="26" t="str">
        <f>"PROFR. JOSE SANTOS VALDES                                                                           "</f>
        <v xml:space="preserve">PROFR. JOSE SANTOS VALDES                                                                           </v>
      </c>
      <c r="D1971" s="26" t="str">
        <f>"MATUTINO"</f>
        <v>MATUTINO</v>
      </c>
      <c r="E1971" s="26" t="str">
        <f>"YAQUI S/N                                                                       "</f>
        <v xml:space="preserve">YAQUI S/N                                                                       </v>
      </c>
      <c r="F1971" s="26" t="str">
        <f>"DEGOLLADO                                                                                                                                   "</f>
        <v xml:space="preserve">DEGOLLADO                                                                                                                                   </v>
      </c>
      <c r="G1971" s="26" t="str">
        <f>"IZTAPALAPA                                                                      "</f>
        <v xml:space="preserve">IZTAPALAPA                                                                      </v>
      </c>
      <c r="H1971" s="26" t="str">
        <f>"056"</f>
        <v>056</v>
      </c>
      <c r="I1971" s="26" t="str">
        <f t="shared" si="319"/>
        <v>00</v>
      </c>
      <c r="J1971" s="26" t="str">
        <f>"64 "</f>
        <v xml:space="preserve">64 </v>
      </c>
      <c r="K1971" s="26" t="str">
        <f>"IZ"</f>
        <v>IZ</v>
      </c>
      <c r="L1971" s="26" t="str">
        <f>"DGSEI"</f>
        <v>DGSEI</v>
      </c>
      <c r="M1971" s="26" t="str">
        <f t="shared" si="320"/>
        <v>FEDERAL</v>
      </c>
      <c r="N1971" s="26">
        <v>719</v>
      </c>
      <c r="O1971" s="26">
        <v>344</v>
      </c>
      <c r="P1971" s="26">
        <v>375</v>
      </c>
      <c r="Q1971" s="26">
        <v>21</v>
      </c>
      <c r="R1971" s="26">
        <v>1</v>
      </c>
      <c r="S1971" s="26">
        <v>20</v>
      </c>
      <c r="T1971" s="26">
        <v>8</v>
      </c>
      <c r="U1971" s="26">
        <v>29</v>
      </c>
      <c r="V1971" s="26">
        <v>1</v>
      </c>
      <c r="W1971" s="26"/>
    </row>
    <row r="1972" spans="1:23" x14ac:dyDescent="0.25">
      <c r="A1972" s="26" t="str">
        <f t="shared" si="318"/>
        <v>PRIMARIA</v>
      </c>
      <c r="B1972" s="26" t="str">
        <f>"09DPR5058W"</f>
        <v>09DPR5058W</v>
      </c>
      <c r="C1972" s="26" t="str">
        <f>"ESPERANZA VELASCO ZULETA                                                                            "</f>
        <v xml:space="preserve">ESPERANZA VELASCO ZULETA                                                                            </v>
      </c>
      <c r="D1972" s="26" t="str">
        <f>"MATUTINO"</f>
        <v>MATUTINO</v>
      </c>
      <c r="E1972" s="26" t="str">
        <f>"EJE 5 NORTE Y CAMPO BELLO S/N                                                   "</f>
        <v xml:space="preserve">EJE 5 NORTE Y CAMPO BELLO S/N                                                   </v>
      </c>
      <c r="F1972" s="26" t="str">
        <f>"SAN MARTIN XOCHINAHUAC                                                                                                                      "</f>
        <v xml:space="preserve">SAN MARTIN XOCHINAHUAC                                                                                                                      </v>
      </c>
      <c r="G1972" s="26" t="str">
        <f>"AZCAPOTZALCO                                                                    "</f>
        <v xml:space="preserve">AZCAPOTZALCO                                                                    </v>
      </c>
      <c r="H1972" s="26" t="str">
        <f>"200"</f>
        <v>200</v>
      </c>
      <c r="I1972" s="26" t="str">
        <f t="shared" si="319"/>
        <v>00</v>
      </c>
      <c r="J1972" s="26" t="str">
        <f>"42 "</f>
        <v xml:space="preserve">42 </v>
      </c>
      <c r="K1972" s="26" t="str">
        <f>"PR"</f>
        <v>PR</v>
      </c>
      <c r="L1972" s="26" t="str">
        <f>"DGOSE"</f>
        <v>DGOSE</v>
      </c>
      <c r="M1972" s="26" t="str">
        <f t="shared" si="320"/>
        <v>FEDERAL</v>
      </c>
      <c r="N1972" s="26">
        <v>358</v>
      </c>
      <c r="O1972" s="26">
        <v>188</v>
      </c>
      <c r="P1972" s="26">
        <v>170</v>
      </c>
      <c r="Q1972" s="26">
        <v>14</v>
      </c>
      <c r="R1972" s="26">
        <v>1</v>
      </c>
      <c r="S1972" s="26">
        <v>13</v>
      </c>
      <c r="T1972" s="26">
        <v>13</v>
      </c>
      <c r="U1972" s="26">
        <v>27</v>
      </c>
      <c r="V1972" s="26">
        <v>1</v>
      </c>
      <c r="W1972" s="26"/>
    </row>
    <row r="1973" spans="1:23" x14ac:dyDescent="0.25">
      <c r="A1973" s="26" t="str">
        <f t="shared" si="318"/>
        <v>PRIMARIA</v>
      </c>
      <c r="B1973" s="26" t="str">
        <f>"09DPR5059V"</f>
        <v>09DPR5059V</v>
      </c>
      <c r="C1973" s="26" t="str">
        <f>"RAFAEL SOLANA                                                                                       "</f>
        <v xml:space="preserve">RAFAEL SOLANA                                                                                       </v>
      </c>
      <c r="D1973" s="26" t="str">
        <f>"VESPERTINO"</f>
        <v>VESPERTINO</v>
      </c>
      <c r="E1973" s="26" t="str">
        <f>"JACARANDAS S/N.                                                                 "</f>
        <v xml:space="preserve">JACARANDAS S/N.                                                                 </v>
      </c>
      <c r="F1973" s="26" t="str">
        <f>"CONJUNTO HABITACIONAL SOLIDARIDAD I                                                                                                         "</f>
        <v xml:space="preserve">CONJUNTO HABITACIONAL SOLIDARIDAD I                                                                                                         </v>
      </c>
      <c r="G1973" s="26" t="str">
        <f>"IZTAPALAPA                                                                      "</f>
        <v xml:space="preserve">IZTAPALAPA                                                                      </v>
      </c>
      <c r="H1973" s="26" t="str">
        <f>"031"</f>
        <v>031</v>
      </c>
      <c r="I1973" s="26" t="str">
        <f t="shared" si="319"/>
        <v>00</v>
      </c>
      <c r="J1973" s="26" t="str">
        <f>"62 "</f>
        <v xml:space="preserve">62 </v>
      </c>
      <c r="K1973" s="26" t="str">
        <f>"IZ"</f>
        <v>IZ</v>
      </c>
      <c r="L1973" s="26" t="str">
        <f>"DGSEI"</f>
        <v>DGSEI</v>
      </c>
      <c r="M1973" s="26" t="str">
        <f t="shared" si="320"/>
        <v>FEDERAL</v>
      </c>
      <c r="N1973" s="26">
        <v>453</v>
      </c>
      <c r="O1973" s="26">
        <v>242</v>
      </c>
      <c r="P1973" s="26">
        <v>211</v>
      </c>
      <c r="Q1973" s="26">
        <v>18</v>
      </c>
      <c r="R1973" s="26">
        <v>1</v>
      </c>
      <c r="S1973" s="26">
        <v>16</v>
      </c>
      <c r="T1973" s="26">
        <v>7</v>
      </c>
      <c r="U1973" s="26">
        <v>24</v>
      </c>
      <c r="V1973" s="26">
        <v>1</v>
      </c>
      <c r="W1973" s="26"/>
    </row>
    <row r="1974" spans="1:23" x14ac:dyDescent="0.25">
      <c r="A1974" s="26" t="str">
        <f t="shared" si="318"/>
        <v>PRIMARIA</v>
      </c>
      <c r="B1974" s="26" t="str">
        <f>"09DPR5061J"</f>
        <v>09DPR5061J</v>
      </c>
      <c r="C1974" s="26" t="str">
        <f>"MACUILXOCHITZIN                                                                                     "</f>
        <v xml:space="preserve">MACUILXOCHITZIN                                                                                     </v>
      </c>
      <c r="D1974" s="26" t="str">
        <f>"VESPERTINO"</f>
        <v>VESPERTINO</v>
      </c>
      <c r="E1974" s="26" t="str">
        <f>"EL MANTO S/N.                                                                   "</f>
        <v xml:space="preserve">EL MANTO S/N.                                                                   </v>
      </c>
      <c r="F1974" s="26" t="str">
        <f>"BUENAVISTA                                                                                                                                  "</f>
        <v xml:space="preserve">BUENAVISTA                                                                                                                                  </v>
      </c>
      <c r="G1974" s="26" t="str">
        <f>"IZTAPALAPA                                                                      "</f>
        <v xml:space="preserve">IZTAPALAPA                                                                      </v>
      </c>
      <c r="H1974" s="26" t="str">
        <f>"060"</f>
        <v>060</v>
      </c>
      <c r="I1974" s="26" t="str">
        <f t="shared" si="319"/>
        <v>00</v>
      </c>
      <c r="J1974" s="26" t="str">
        <f>"64 "</f>
        <v xml:space="preserve">64 </v>
      </c>
      <c r="K1974" s="26" t="str">
        <f>"IZ"</f>
        <v>IZ</v>
      </c>
      <c r="L1974" s="26" t="str">
        <f>"DGSEI"</f>
        <v>DGSEI</v>
      </c>
      <c r="M1974" s="26" t="str">
        <f t="shared" si="320"/>
        <v>FEDERAL</v>
      </c>
      <c r="N1974" s="26">
        <v>368</v>
      </c>
      <c r="O1974" s="26">
        <v>188</v>
      </c>
      <c r="P1974" s="26">
        <v>180</v>
      </c>
      <c r="Q1974" s="26">
        <v>12</v>
      </c>
      <c r="R1974" s="26">
        <v>0</v>
      </c>
      <c r="S1974" s="26">
        <v>12</v>
      </c>
      <c r="T1974" s="26">
        <v>7</v>
      </c>
      <c r="U1974" s="26">
        <v>19</v>
      </c>
      <c r="V1974" s="26">
        <v>1</v>
      </c>
      <c r="W1974" s="26"/>
    </row>
    <row r="1975" spans="1:23" x14ac:dyDescent="0.25">
      <c r="A1975" s="26" t="str">
        <f t="shared" si="318"/>
        <v>PRIMARIA</v>
      </c>
      <c r="B1975" s="26" t="str">
        <f>"09DPR5062I"</f>
        <v>09DPR5062I</v>
      </c>
      <c r="C1975" s="26" t="str">
        <f>"ACAHUALTEPEC                                                                                        "</f>
        <v xml:space="preserve">ACAHUALTEPEC                                                                                        </v>
      </c>
      <c r="D1975" s="26" t="str">
        <f>"VESPERTINO"</f>
        <v>VESPERTINO</v>
      </c>
      <c r="E1975" s="26" t="str">
        <f>"CEDRO Y CDA. EUCALIPTO                                                          "</f>
        <v xml:space="preserve">CEDRO Y CDA. EUCALIPTO                                                          </v>
      </c>
      <c r="F1975" s="26" t="str">
        <f>"SANTIAGO ACAHUALTEPEC 2A AMPLIACION                                                                                                         "</f>
        <v xml:space="preserve">SANTIAGO ACAHUALTEPEC 2A AMPLIACION                                                                                                         </v>
      </c>
      <c r="G1975" s="26" t="str">
        <f>"IZTAPALAPA                                                                      "</f>
        <v xml:space="preserve">IZTAPALAPA                                                                      </v>
      </c>
      <c r="H1975" s="26" t="str">
        <f>"063"</f>
        <v>063</v>
      </c>
      <c r="I1975" s="26" t="str">
        <f t="shared" si="319"/>
        <v>00</v>
      </c>
      <c r="J1975" s="26" t="str">
        <f>"64 "</f>
        <v xml:space="preserve">64 </v>
      </c>
      <c r="K1975" s="26" t="str">
        <f>"IZ"</f>
        <v>IZ</v>
      </c>
      <c r="L1975" s="26" t="str">
        <f>"DGSEI"</f>
        <v>DGSEI</v>
      </c>
      <c r="M1975" s="26" t="str">
        <f t="shared" si="320"/>
        <v>FEDERAL</v>
      </c>
      <c r="N1975" s="26">
        <v>447</v>
      </c>
      <c r="O1975" s="26">
        <v>219</v>
      </c>
      <c r="P1975" s="26">
        <v>228</v>
      </c>
      <c r="Q1975" s="26">
        <v>12</v>
      </c>
      <c r="R1975" s="26">
        <v>1</v>
      </c>
      <c r="S1975" s="26">
        <v>12</v>
      </c>
      <c r="T1975" s="26">
        <v>6</v>
      </c>
      <c r="U1975" s="26">
        <v>19</v>
      </c>
      <c r="V1975" s="26">
        <v>1</v>
      </c>
      <c r="W1975" s="26"/>
    </row>
    <row r="1976" spans="1:23" x14ac:dyDescent="0.25">
      <c r="A1976" s="26" t="str">
        <f t="shared" si="318"/>
        <v>PRIMARIA</v>
      </c>
      <c r="B1976" s="26" t="str">
        <f>"09DPR5063H"</f>
        <v>09DPR5063H</v>
      </c>
      <c r="C1976" s="26" t="str">
        <f>"TLALOC                                                                                              "</f>
        <v xml:space="preserve">TLALOC                                                                                              </v>
      </c>
      <c r="D1976" s="26" t="str">
        <f>"MATUTINO"</f>
        <v>MATUTINO</v>
      </c>
      <c r="E1976" s="26" t="str">
        <f>"CALLE 2-B Y AV. 4 PONIENTE S/N                                                  "</f>
        <v xml:space="preserve">CALLE 2-B Y AV. 4 PONIENTE S/N                                                  </v>
      </c>
      <c r="F1976" s="26" t="str">
        <f>"RENOVACION                                                                                                                                  "</f>
        <v xml:space="preserve">RENOVACION                                                                                                                                  </v>
      </c>
      <c r="G1976" s="26" t="str">
        <f>"IZTAPALAPA                                                                      "</f>
        <v xml:space="preserve">IZTAPALAPA                                                                      </v>
      </c>
      <c r="H1976" s="26" t="str">
        <f>"017"</f>
        <v>017</v>
      </c>
      <c r="I1976" s="26" t="str">
        <f t="shared" si="319"/>
        <v>00</v>
      </c>
      <c r="J1976" s="26" t="str">
        <f>"62 "</f>
        <v xml:space="preserve">62 </v>
      </c>
      <c r="K1976" s="26" t="str">
        <f>"IZ"</f>
        <v>IZ</v>
      </c>
      <c r="L1976" s="26" t="str">
        <f>"DGSEI"</f>
        <v>DGSEI</v>
      </c>
      <c r="M1976" s="26" t="str">
        <f t="shared" si="320"/>
        <v>FEDERAL</v>
      </c>
      <c r="N1976" s="26">
        <v>396</v>
      </c>
      <c r="O1976" s="26">
        <v>207</v>
      </c>
      <c r="P1976" s="26">
        <v>189</v>
      </c>
      <c r="Q1976" s="26">
        <v>12</v>
      </c>
      <c r="R1976" s="26">
        <v>1</v>
      </c>
      <c r="S1976" s="26">
        <v>12</v>
      </c>
      <c r="T1976" s="26">
        <v>5</v>
      </c>
      <c r="U1976" s="26">
        <v>18</v>
      </c>
      <c r="V1976" s="26">
        <v>1</v>
      </c>
      <c r="W1976" s="26"/>
    </row>
    <row r="1977" spans="1:23" x14ac:dyDescent="0.25">
      <c r="A1977" s="26" t="str">
        <f t="shared" si="318"/>
        <v>PRIMARIA</v>
      </c>
      <c r="B1977" s="26" t="str">
        <f>"09DPR5064G"</f>
        <v>09DPR5064G</v>
      </c>
      <c r="C1977" s="26" t="str">
        <f>"MIGUEL BUSTOS CERECEDO                                                                              "</f>
        <v xml:space="preserve">MIGUEL BUSTOS CERECEDO                                                                              </v>
      </c>
      <c r="D1977" s="26" t="str">
        <f>"VESPERTINO"</f>
        <v>VESPERTINO</v>
      </c>
      <c r="E1977" s="26" t="str">
        <f>"LEY DE POBLACION S/N                                                            "</f>
        <v xml:space="preserve">LEY DE POBLACION S/N                                                            </v>
      </c>
      <c r="F1977" s="26" t="str">
        <f>"PLAN DE AYALA                                                                                                                               "</f>
        <v xml:space="preserve">PLAN DE AYALA                                                                                                                               </v>
      </c>
      <c r="G1977" s="26" t="str">
        <f>"TLALPAN                                                                         "</f>
        <v xml:space="preserve">TLALPAN                                                                         </v>
      </c>
      <c r="H1977" s="26" t="str">
        <f>"529"</f>
        <v>529</v>
      </c>
      <c r="I1977" s="26" t="str">
        <f t="shared" si="319"/>
        <v>00</v>
      </c>
      <c r="J1977" s="26" t="str">
        <f>"45 "</f>
        <v xml:space="preserve">45 </v>
      </c>
      <c r="K1977" s="26" t="str">
        <f>"PR"</f>
        <v>PR</v>
      </c>
      <c r="L1977" s="26" t="str">
        <f>"DGOSE"</f>
        <v>DGOSE</v>
      </c>
      <c r="M1977" s="26" t="str">
        <f t="shared" si="320"/>
        <v>FEDERAL</v>
      </c>
      <c r="N1977" s="26">
        <v>360</v>
      </c>
      <c r="O1977" s="26">
        <v>195</v>
      </c>
      <c r="P1977" s="26">
        <v>165</v>
      </c>
      <c r="Q1977" s="26">
        <v>15</v>
      </c>
      <c r="R1977" s="26">
        <v>1</v>
      </c>
      <c r="S1977" s="26">
        <v>15</v>
      </c>
      <c r="T1977" s="26">
        <v>6</v>
      </c>
      <c r="U1977" s="26">
        <v>22</v>
      </c>
      <c r="V1977" s="26">
        <v>1</v>
      </c>
      <c r="W1977" s="26"/>
    </row>
    <row r="1978" spans="1:23" x14ac:dyDescent="0.25">
      <c r="A1978" s="26" t="str">
        <f t="shared" si="318"/>
        <v>PRIMARIA</v>
      </c>
      <c r="B1978" s="26" t="str">
        <f>"09DPR5065F"</f>
        <v>09DPR5065F</v>
      </c>
      <c r="C1978" s="26" t="str">
        <f>"ESPERANZA VELASCO ZULETA                                                                            "</f>
        <v xml:space="preserve">ESPERANZA VELASCO ZULETA                                                                            </v>
      </c>
      <c r="D1978" s="26" t="str">
        <f>"VESPERTINO"</f>
        <v>VESPERTINO</v>
      </c>
      <c r="E1978" s="26" t="str">
        <f>"EJE 5 NORTE Y CAMPO BELLO S/N                                                   "</f>
        <v xml:space="preserve">EJE 5 NORTE Y CAMPO BELLO S/N                                                   </v>
      </c>
      <c r="F1978" s="26" t="str">
        <f>"SAN MARTIN XOCHINAHUAC                                                                                                                      "</f>
        <v xml:space="preserve">SAN MARTIN XOCHINAHUAC                                                                                                                      </v>
      </c>
      <c r="G1978" s="26" t="str">
        <f>"AZCAPOTZALCO                                                                    "</f>
        <v xml:space="preserve">AZCAPOTZALCO                                                                    </v>
      </c>
      <c r="H1978" s="26" t="str">
        <f>"200"</f>
        <v>200</v>
      </c>
      <c r="I1978" s="26" t="str">
        <f t="shared" si="319"/>
        <v>00</v>
      </c>
      <c r="J1978" s="26" t="str">
        <f>"42 "</f>
        <v xml:space="preserve">42 </v>
      </c>
      <c r="K1978" s="26" t="str">
        <f>"PR"</f>
        <v>PR</v>
      </c>
      <c r="L1978" s="26" t="str">
        <f>"DGOSE"</f>
        <v>DGOSE</v>
      </c>
      <c r="M1978" s="26" t="str">
        <f t="shared" si="320"/>
        <v>FEDERAL</v>
      </c>
      <c r="N1978" s="26">
        <v>85</v>
      </c>
      <c r="O1978" s="26">
        <v>53</v>
      </c>
      <c r="P1978" s="26">
        <v>32</v>
      </c>
      <c r="Q1978" s="26">
        <v>6</v>
      </c>
      <c r="R1978" s="26">
        <v>1</v>
      </c>
      <c r="S1978" s="26">
        <v>6</v>
      </c>
      <c r="T1978" s="26">
        <v>5</v>
      </c>
      <c r="U1978" s="26">
        <v>12</v>
      </c>
      <c r="V1978" s="26">
        <v>1</v>
      </c>
      <c r="W1978" s="26"/>
    </row>
    <row r="1979" spans="1:23" x14ac:dyDescent="0.25">
      <c r="A1979" s="26" t="str">
        <f t="shared" si="318"/>
        <v>PRIMARIA</v>
      </c>
      <c r="B1979" s="26" t="str">
        <f>"09DPR5066E"</f>
        <v>09DPR5066E</v>
      </c>
      <c r="C1979" s="26" t="str">
        <f>"PROFR. RAFAEL C. HARO                                                                               "</f>
        <v xml:space="preserve">PROFR. RAFAEL C. HARO                                                                               </v>
      </c>
      <c r="D1979" s="26" t="str">
        <f>"JORNADA AMPLIADA"</f>
        <v>JORNADA AMPLIADA</v>
      </c>
      <c r="E1979" s="26" t="str">
        <f>"AV EMILIANO ZAPATA S/N                                                          "</f>
        <v xml:space="preserve">AV EMILIANO ZAPATA S/N                                                          </v>
      </c>
      <c r="F1979" s="26" t="str">
        <f>"BOSQUE RESIDENCIAL DEL SUR                                                                                                                  "</f>
        <v xml:space="preserve">BOSQUE RESIDENCIAL DEL SUR                                                                                                                  </v>
      </c>
      <c r="G1979" s="26" t="str">
        <f>"XOCHIMILCO                                                                      "</f>
        <v xml:space="preserve">XOCHIMILCO                                                                      </v>
      </c>
      <c r="H1979" s="26" t="str">
        <f>"448"</f>
        <v>448</v>
      </c>
      <c r="I1979" s="26" t="str">
        <f t="shared" si="319"/>
        <v>00</v>
      </c>
      <c r="J1979" s="26" t="str">
        <f>"44 "</f>
        <v xml:space="preserve">44 </v>
      </c>
      <c r="K1979" s="26" t="str">
        <f>"PR"</f>
        <v>PR</v>
      </c>
      <c r="L1979" s="26" t="str">
        <f>"DGOSE"</f>
        <v>DGOSE</v>
      </c>
      <c r="M1979" s="26" t="str">
        <f t="shared" si="320"/>
        <v>FEDERAL</v>
      </c>
      <c r="N1979" s="26">
        <v>669</v>
      </c>
      <c r="O1979" s="26">
        <v>325</v>
      </c>
      <c r="P1979" s="26">
        <v>344</v>
      </c>
      <c r="Q1979" s="26">
        <v>18</v>
      </c>
      <c r="R1979" s="26">
        <v>1</v>
      </c>
      <c r="S1979" s="26">
        <v>18</v>
      </c>
      <c r="T1979" s="26">
        <v>11</v>
      </c>
      <c r="U1979" s="26">
        <v>30</v>
      </c>
      <c r="V1979" s="26">
        <v>1</v>
      </c>
      <c r="W1979" s="26" t="s">
        <v>2076</v>
      </c>
    </row>
    <row r="1980" spans="1:23" x14ac:dyDescent="0.25">
      <c r="A1980" s="26" t="str">
        <f t="shared" si="318"/>
        <v>PRIMARIA</v>
      </c>
      <c r="B1980" s="26" t="str">
        <f>"09DPR5067D"</f>
        <v>09DPR5067D</v>
      </c>
      <c r="C1980" s="26" t="str">
        <f>"XIUHZITZQUILI                                                                                       "</f>
        <v xml:space="preserve">XIUHZITZQUILI                                                                                       </v>
      </c>
      <c r="D1980" s="26" t="str">
        <f>"MATUTINO"</f>
        <v>MATUTINO</v>
      </c>
      <c r="E1980" s="26" t="str">
        <f>"AV. APOLOCALCO Y YECAHUITZOTL S/N                                               "</f>
        <v xml:space="preserve">AV. APOLOCALCO Y YECAHUITZOTL S/N                                               </v>
      </c>
      <c r="F1980" s="26" t="str">
        <f>"SAN FRANCISCO APOLOCALCO                                                                                                                    "</f>
        <v xml:space="preserve">SAN FRANCISCO APOLOCALCO                                                                                                                    </v>
      </c>
      <c r="G1980" s="26" t="str">
        <f>"IZTAPALAPA                                                                      "</f>
        <v xml:space="preserve">IZTAPALAPA                                                                      </v>
      </c>
      <c r="H1980" s="26" t="str">
        <f>"069"</f>
        <v>069</v>
      </c>
      <c r="I1980" s="26" t="str">
        <f t="shared" si="319"/>
        <v>00</v>
      </c>
      <c r="J1980" s="26" t="str">
        <f>"64 "</f>
        <v xml:space="preserve">64 </v>
      </c>
      <c r="K1980" s="26" t="str">
        <f>"IZ"</f>
        <v>IZ</v>
      </c>
      <c r="L1980" s="26" t="str">
        <f>"DGSEI"</f>
        <v>DGSEI</v>
      </c>
      <c r="M1980" s="26" t="str">
        <f t="shared" si="320"/>
        <v>FEDERAL</v>
      </c>
      <c r="N1980" s="26">
        <v>572</v>
      </c>
      <c r="O1980" s="26">
        <v>288</v>
      </c>
      <c r="P1980" s="26">
        <v>284</v>
      </c>
      <c r="Q1980" s="26">
        <v>16</v>
      </c>
      <c r="R1980" s="26">
        <v>1</v>
      </c>
      <c r="S1980" s="26">
        <v>16</v>
      </c>
      <c r="T1980" s="26">
        <v>6</v>
      </c>
      <c r="U1980" s="26">
        <v>23</v>
      </c>
      <c r="V1980" s="26">
        <v>1</v>
      </c>
      <c r="W1980" s="26"/>
    </row>
    <row r="1981" spans="1:23" x14ac:dyDescent="0.25">
      <c r="A1981" s="26" t="str">
        <f t="shared" si="318"/>
        <v>PRIMARIA</v>
      </c>
      <c r="B1981" s="26" t="str">
        <f>"09DPR5068C"</f>
        <v>09DPR5068C</v>
      </c>
      <c r="C1981" s="26" t="str">
        <f>"XIUHZITZQUILI                                                                                       "</f>
        <v xml:space="preserve">XIUHZITZQUILI                                                                                       </v>
      </c>
      <c r="D1981" s="26" t="str">
        <f>"VESPERTINO"</f>
        <v>VESPERTINO</v>
      </c>
      <c r="E1981" s="26" t="str">
        <f>"AV. APOLOCALCO Y YECAHUITZOTL S/N                                               "</f>
        <v xml:space="preserve">AV. APOLOCALCO Y YECAHUITZOTL S/N                                               </v>
      </c>
      <c r="F1981" s="26" t="str">
        <f>"SAN FRANCISCO APOLOCALCO                                                                                                                    "</f>
        <v xml:space="preserve">SAN FRANCISCO APOLOCALCO                                                                                                                    </v>
      </c>
      <c r="G1981" s="26" t="str">
        <f>"IZTAPALAPA                                                                      "</f>
        <v xml:space="preserve">IZTAPALAPA                                                                      </v>
      </c>
      <c r="H1981" s="26" t="str">
        <f>"069"</f>
        <v>069</v>
      </c>
      <c r="I1981" s="26" t="str">
        <f t="shared" si="319"/>
        <v>00</v>
      </c>
      <c r="J1981" s="26" t="str">
        <f>"64 "</f>
        <v xml:space="preserve">64 </v>
      </c>
      <c r="K1981" s="26" t="str">
        <f>"IZ"</f>
        <v>IZ</v>
      </c>
      <c r="L1981" s="26" t="str">
        <f>"DGSEI"</f>
        <v>DGSEI</v>
      </c>
      <c r="M1981" s="26" t="str">
        <f t="shared" si="320"/>
        <v>FEDERAL</v>
      </c>
      <c r="N1981" s="26">
        <v>532</v>
      </c>
      <c r="O1981" s="26">
        <v>278</v>
      </c>
      <c r="P1981" s="26">
        <v>254</v>
      </c>
      <c r="Q1981" s="26">
        <v>16</v>
      </c>
      <c r="R1981" s="26">
        <v>1</v>
      </c>
      <c r="S1981" s="26">
        <v>16</v>
      </c>
      <c r="T1981" s="26">
        <v>6</v>
      </c>
      <c r="U1981" s="26">
        <v>23</v>
      </c>
      <c r="V1981" s="26">
        <v>1</v>
      </c>
      <c r="W1981" s="26"/>
    </row>
    <row r="1982" spans="1:23" x14ac:dyDescent="0.25">
      <c r="A1982" s="26" t="str">
        <f t="shared" si="318"/>
        <v>PRIMARIA</v>
      </c>
      <c r="B1982" s="26" t="str">
        <f>"09DPR5069B"</f>
        <v>09DPR5069B</v>
      </c>
      <c r="C1982" s="26" t="str">
        <f>"LUIS DONALDO COLOSIO MURRIETA                                                                       "</f>
        <v xml:space="preserve">LUIS DONALDO COLOSIO MURRIETA                                                                       </v>
      </c>
      <c r="D1982" s="26" t="str">
        <f>"JORNADA AMPLIADA"</f>
        <v>JORNADA AMPLIADA</v>
      </c>
      <c r="E1982" s="26" t="str">
        <f>"JUAN SANTIAGO Y 5A CDA.ALFREDO V. BONFIL                                        "</f>
        <v xml:space="preserve">JUAN SANTIAGO Y 5A CDA.ALFREDO V. BONFIL                                        </v>
      </c>
      <c r="F1982" s="26" t="str">
        <f>"PRESIDENTES EJIDALES                                                                                                                        "</f>
        <v xml:space="preserve">PRESIDENTES EJIDALES                                                                                                                        </v>
      </c>
      <c r="G1982" s="26" t="str">
        <f>"COYOACAN                                                                        "</f>
        <v xml:space="preserve">COYOACAN                                                                        </v>
      </c>
      <c r="H1982" s="26" t="str">
        <f>"439"</f>
        <v>439</v>
      </c>
      <c r="I1982" s="26" t="str">
        <f t="shared" si="319"/>
        <v>00</v>
      </c>
      <c r="J1982" s="26" t="str">
        <f>"44 "</f>
        <v xml:space="preserve">44 </v>
      </c>
      <c r="K1982" s="26" t="str">
        <f>"PR"</f>
        <v>PR</v>
      </c>
      <c r="L1982" s="26" t="str">
        <f>"DGOSE"</f>
        <v>DGOSE</v>
      </c>
      <c r="M1982" s="26" t="str">
        <f t="shared" si="320"/>
        <v>FEDERAL</v>
      </c>
      <c r="N1982" s="26">
        <v>355</v>
      </c>
      <c r="O1982" s="26">
        <v>183</v>
      </c>
      <c r="P1982" s="26">
        <v>172</v>
      </c>
      <c r="Q1982" s="26">
        <v>12</v>
      </c>
      <c r="R1982" s="26">
        <v>1</v>
      </c>
      <c r="S1982" s="26">
        <v>12</v>
      </c>
      <c r="T1982" s="26">
        <v>10</v>
      </c>
      <c r="U1982" s="26">
        <v>23</v>
      </c>
      <c r="V1982" s="26">
        <v>1</v>
      </c>
      <c r="W1982" s="26" t="s">
        <v>2076</v>
      </c>
    </row>
    <row r="1983" spans="1:23" x14ac:dyDescent="0.25">
      <c r="A1983" s="26" t="str">
        <f t="shared" si="318"/>
        <v>PRIMARIA</v>
      </c>
      <c r="B1983" s="26" t="str">
        <f>"09DPR5070R"</f>
        <v>09DPR5070R</v>
      </c>
      <c r="C1983" s="26" t="str">
        <f>"NIÑOS HEROES                                                                                        "</f>
        <v xml:space="preserve">NIÑOS HEROES                                                                                        </v>
      </c>
      <c r="D1983" s="26" t="str">
        <f>"MATUTINO"</f>
        <v>MATUTINO</v>
      </c>
      <c r="E1983" s="26" t="str">
        <f>"CDA. DE ANAHUAC Y MONZON S/N                                                    "</f>
        <v xml:space="preserve">CDA. DE ANAHUAC Y MONZON S/N                                                    </v>
      </c>
      <c r="F1983" s="26" t="str">
        <f>"GRANJAS ESTRELLA                                                                                                                            "</f>
        <v xml:space="preserve">GRANJAS ESTRELLA                                                                                                                            </v>
      </c>
      <c r="G1983" s="26" t="str">
        <f t="shared" ref="G1983:G1989" si="321">"IZTAPALAPA                                                                      "</f>
        <v xml:space="preserve">IZTAPALAPA                                                                      </v>
      </c>
      <c r="H1983" s="26" t="str">
        <f>"043"</f>
        <v>043</v>
      </c>
      <c r="I1983" s="26" t="str">
        <f t="shared" si="319"/>
        <v>00</v>
      </c>
      <c r="J1983" s="26" t="str">
        <f>"63 "</f>
        <v xml:space="preserve">63 </v>
      </c>
      <c r="K1983" s="26" t="str">
        <f t="shared" ref="K1983:K1989" si="322">"IZ"</f>
        <v>IZ</v>
      </c>
      <c r="L1983" s="26" t="str">
        <f t="shared" ref="L1983:L1989" si="323">"DGSEI"</f>
        <v>DGSEI</v>
      </c>
      <c r="M1983" s="26" t="str">
        <f t="shared" si="320"/>
        <v>FEDERAL</v>
      </c>
      <c r="N1983" s="26">
        <v>206</v>
      </c>
      <c r="O1983" s="26">
        <v>120</v>
      </c>
      <c r="P1983" s="26">
        <v>86</v>
      </c>
      <c r="Q1983" s="26">
        <v>6</v>
      </c>
      <c r="R1983" s="26">
        <v>1</v>
      </c>
      <c r="S1983" s="26">
        <v>6</v>
      </c>
      <c r="T1983" s="26">
        <v>4</v>
      </c>
      <c r="U1983" s="26">
        <v>11</v>
      </c>
      <c r="V1983" s="26">
        <v>1</v>
      </c>
      <c r="W1983" s="26"/>
    </row>
    <row r="1984" spans="1:23" x14ac:dyDescent="0.25">
      <c r="A1984" s="26" t="str">
        <f t="shared" si="318"/>
        <v>PRIMARIA</v>
      </c>
      <c r="B1984" s="26" t="str">
        <f>"09DPR5071Q"</f>
        <v>09DPR5071Q</v>
      </c>
      <c r="C1984" s="26" t="str">
        <f>"CARLOS ENRIQUE NERI GUZMAN                                                                          "</f>
        <v xml:space="preserve">CARLOS ENRIQUE NERI GUZMAN                                                                          </v>
      </c>
      <c r="D1984" s="26" t="str">
        <f>"VESPERTINO"</f>
        <v>VESPERTINO</v>
      </c>
      <c r="E1984" s="26" t="str">
        <f>"AV. TELECOMUNICACIONES S/N FRENTE 8-9-10                                        "</f>
        <v xml:space="preserve">AV. TELECOMUNICACIONES S/N FRENTE 8-9-10                                        </v>
      </c>
      <c r="F1984" s="26" t="str">
        <f>"CHINAMPAC DE JUAREZ                                                                                                                         "</f>
        <v xml:space="preserve">CHINAMPAC DE JUAREZ                                                                                                                         </v>
      </c>
      <c r="G1984" s="26" t="str">
        <f t="shared" si="321"/>
        <v xml:space="preserve">IZTAPALAPA                                                                      </v>
      </c>
      <c r="H1984" s="26" t="str">
        <f>"019"</f>
        <v>019</v>
      </c>
      <c r="I1984" s="26" t="str">
        <f t="shared" si="319"/>
        <v>00</v>
      </c>
      <c r="J1984" s="26" t="str">
        <f>"62 "</f>
        <v xml:space="preserve">62 </v>
      </c>
      <c r="K1984" s="26" t="str">
        <f t="shared" si="322"/>
        <v>IZ</v>
      </c>
      <c r="L1984" s="26" t="str">
        <f t="shared" si="323"/>
        <v>DGSEI</v>
      </c>
      <c r="M1984" s="26" t="str">
        <f t="shared" si="320"/>
        <v>FEDERAL</v>
      </c>
      <c r="N1984" s="26">
        <v>383</v>
      </c>
      <c r="O1984" s="26">
        <v>211</v>
      </c>
      <c r="P1984" s="26">
        <v>172</v>
      </c>
      <c r="Q1984" s="26">
        <v>15</v>
      </c>
      <c r="R1984" s="26">
        <v>1</v>
      </c>
      <c r="S1984" s="26">
        <v>14</v>
      </c>
      <c r="T1984" s="26">
        <v>7</v>
      </c>
      <c r="U1984" s="26">
        <v>22</v>
      </c>
      <c r="V1984" s="26">
        <v>1</v>
      </c>
      <c r="W1984" s="26"/>
    </row>
    <row r="1985" spans="1:23" x14ac:dyDescent="0.25">
      <c r="A1985" s="26" t="str">
        <f t="shared" si="318"/>
        <v>PRIMARIA</v>
      </c>
      <c r="B1985" s="26" t="str">
        <f>"09DPR5072P"</f>
        <v>09DPR5072P</v>
      </c>
      <c r="C1985" s="26" t="str">
        <f>"CARLOS ENRIQUE NERI GUZMAN                                                                          "</f>
        <v xml:space="preserve">CARLOS ENRIQUE NERI GUZMAN                                                                          </v>
      </c>
      <c r="D1985" s="26" t="str">
        <f>"MATUTINO"</f>
        <v>MATUTINO</v>
      </c>
      <c r="E1985" s="26" t="str">
        <f>"AV. TELECOMUNICACIONES S/N FRENTE 8-9-10                                        "</f>
        <v xml:space="preserve">AV. TELECOMUNICACIONES S/N FRENTE 8-9-10                                        </v>
      </c>
      <c r="F1985" s="26" t="str">
        <f>"CHINAMPAC DE JUAREZ                                                                                                                         "</f>
        <v xml:space="preserve">CHINAMPAC DE JUAREZ                                                                                                                         </v>
      </c>
      <c r="G1985" s="26" t="str">
        <f t="shared" si="321"/>
        <v xml:space="preserve">IZTAPALAPA                                                                      </v>
      </c>
      <c r="H1985" s="26" t="str">
        <f>"019"</f>
        <v>019</v>
      </c>
      <c r="I1985" s="26" t="str">
        <f t="shared" si="319"/>
        <v>00</v>
      </c>
      <c r="J1985" s="26" t="str">
        <f>"62 "</f>
        <v xml:space="preserve">62 </v>
      </c>
      <c r="K1985" s="26" t="str">
        <f t="shared" si="322"/>
        <v>IZ</v>
      </c>
      <c r="L1985" s="26" t="str">
        <f t="shared" si="323"/>
        <v>DGSEI</v>
      </c>
      <c r="M1985" s="26" t="str">
        <f t="shared" si="320"/>
        <v>FEDERAL</v>
      </c>
      <c r="N1985" s="26">
        <v>528</v>
      </c>
      <c r="O1985" s="26">
        <v>252</v>
      </c>
      <c r="P1985" s="26">
        <v>276</v>
      </c>
      <c r="Q1985" s="26">
        <v>16</v>
      </c>
      <c r="R1985" s="26">
        <v>1</v>
      </c>
      <c r="S1985" s="26">
        <v>16</v>
      </c>
      <c r="T1985" s="26">
        <v>7</v>
      </c>
      <c r="U1985" s="26">
        <v>24</v>
      </c>
      <c r="V1985" s="26">
        <v>1</v>
      </c>
      <c r="W1985" s="26"/>
    </row>
    <row r="1986" spans="1:23" x14ac:dyDescent="0.25">
      <c r="A1986" s="26" t="str">
        <f t="shared" ref="A1986:A2049" si="324">"PRIMARIA"</f>
        <v>PRIMARIA</v>
      </c>
      <c r="B1986" s="26" t="str">
        <f>"09DPR5073O"</f>
        <v>09DPR5073O</v>
      </c>
      <c r="C1986" s="26" t="str">
        <f>"JUAN RULFO                                                                                          "</f>
        <v xml:space="preserve">JUAN RULFO                                                                                          </v>
      </c>
      <c r="D1986" s="26" t="str">
        <f>"VESPERTINO"</f>
        <v>VESPERTINO</v>
      </c>
      <c r="E1986" s="26" t="str">
        <f>"BATALLA 5 DE MAYO Y F. LORETO S/N                                               "</f>
        <v xml:space="preserve">BATALLA 5 DE MAYO Y F. LORETO S/N                                               </v>
      </c>
      <c r="F1986" s="26" t="str">
        <f>"UNIDAD HABITACIONAL EJERCITO CONSTI                                                                                                         "</f>
        <v xml:space="preserve">UNIDAD HABITACIONAL EJERCITO CONSTI                                                                                                         </v>
      </c>
      <c r="G1986" s="26" t="str">
        <f t="shared" si="321"/>
        <v xml:space="preserve">IZTAPALAPA                                                                      </v>
      </c>
      <c r="H1986" s="26" t="str">
        <f>"022"</f>
        <v>022</v>
      </c>
      <c r="I1986" s="26" t="str">
        <f t="shared" ref="I1986:I2049" si="325">"00"</f>
        <v>00</v>
      </c>
      <c r="J1986" s="26" t="str">
        <f>"62 "</f>
        <v xml:space="preserve">62 </v>
      </c>
      <c r="K1986" s="26" t="str">
        <f t="shared" si="322"/>
        <v>IZ</v>
      </c>
      <c r="L1986" s="26" t="str">
        <f t="shared" si="323"/>
        <v>DGSEI</v>
      </c>
      <c r="M1986" s="26" t="str">
        <f t="shared" ref="M1986:M2049" si="326">"FEDERAL"</f>
        <v>FEDERAL</v>
      </c>
      <c r="N1986" s="26">
        <v>226</v>
      </c>
      <c r="O1986" s="26">
        <v>117</v>
      </c>
      <c r="P1986" s="26">
        <v>109</v>
      </c>
      <c r="Q1986" s="26">
        <v>7</v>
      </c>
      <c r="R1986" s="26">
        <v>1</v>
      </c>
      <c r="S1986" s="26">
        <v>7</v>
      </c>
      <c r="T1986" s="26">
        <v>4</v>
      </c>
      <c r="U1986" s="26">
        <v>12</v>
      </c>
      <c r="V1986" s="26">
        <v>1</v>
      </c>
      <c r="W1986" s="26"/>
    </row>
    <row r="1987" spans="1:23" x14ac:dyDescent="0.25">
      <c r="A1987" s="26" t="str">
        <f t="shared" si="324"/>
        <v>PRIMARIA</v>
      </c>
      <c r="B1987" s="26" t="str">
        <f>"09DPR5074N"</f>
        <v>09DPR5074N</v>
      </c>
      <c r="C1987" s="26" t="str">
        <f>"PROFR. JOSE SANTOS VALDES                                                                           "</f>
        <v xml:space="preserve">PROFR. JOSE SANTOS VALDES                                                                           </v>
      </c>
      <c r="D1987" s="26" t="str">
        <f>"VESPERTINO"</f>
        <v>VESPERTINO</v>
      </c>
      <c r="E1987" s="26" t="str">
        <f>"YAQUI S/N                                                                       "</f>
        <v xml:space="preserve">YAQUI S/N                                                                       </v>
      </c>
      <c r="F1987" s="26" t="str">
        <f>"DEGOLLADO                                                                                                                                   "</f>
        <v xml:space="preserve">DEGOLLADO                                                                                                                                   </v>
      </c>
      <c r="G1987" s="26" t="str">
        <f t="shared" si="321"/>
        <v xml:space="preserve">IZTAPALAPA                                                                      </v>
      </c>
      <c r="H1987" s="26" t="str">
        <f>"056"</f>
        <v>056</v>
      </c>
      <c r="I1987" s="26" t="str">
        <f t="shared" si="325"/>
        <v>00</v>
      </c>
      <c r="J1987" s="26" t="str">
        <f>"64 "</f>
        <v xml:space="preserve">64 </v>
      </c>
      <c r="K1987" s="26" t="str">
        <f t="shared" si="322"/>
        <v>IZ</v>
      </c>
      <c r="L1987" s="26" t="str">
        <f t="shared" si="323"/>
        <v>DGSEI</v>
      </c>
      <c r="M1987" s="26" t="str">
        <f t="shared" si="326"/>
        <v>FEDERAL</v>
      </c>
      <c r="N1987" s="26">
        <v>632</v>
      </c>
      <c r="O1987" s="26">
        <v>318</v>
      </c>
      <c r="P1987" s="26">
        <v>314</v>
      </c>
      <c r="Q1987" s="26">
        <v>21</v>
      </c>
      <c r="R1987" s="26">
        <v>1</v>
      </c>
      <c r="S1987" s="26">
        <v>21</v>
      </c>
      <c r="T1987" s="26">
        <v>6</v>
      </c>
      <c r="U1987" s="26">
        <v>28</v>
      </c>
      <c r="V1987" s="26">
        <v>1</v>
      </c>
      <c r="W1987" s="26"/>
    </row>
    <row r="1988" spans="1:23" x14ac:dyDescent="0.25">
      <c r="A1988" s="26" t="str">
        <f t="shared" si="324"/>
        <v>PRIMARIA</v>
      </c>
      <c r="B1988" s="26" t="str">
        <f>"09DPR5075M"</f>
        <v>09DPR5075M</v>
      </c>
      <c r="C1988" s="26" t="str">
        <f>"FELIPE CARRILLO PUERTO                                                                              "</f>
        <v xml:space="preserve">FELIPE CARRILLO PUERTO                                                                              </v>
      </c>
      <c r="D1988" s="26" t="str">
        <f>"MATUTINO"</f>
        <v>MATUTINO</v>
      </c>
      <c r="E1988" s="26" t="str">
        <f>"CDA. SIEMPREVIVA S/N                                                            "</f>
        <v xml:space="preserve">CDA. SIEMPREVIVA S/N                                                            </v>
      </c>
      <c r="F1988" s="26" t="str">
        <f>"LOMAS SAN LORENZO                                                                                                                           "</f>
        <v xml:space="preserve">LOMAS SAN LORENZO                                                                                                                           </v>
      </c>
      <c r="G1988" s="26" t="str">
        <f t="shared" si="321"/>
        <v xml:space="preserve">IZTAPALAPA                                                                      </v>
      </c>
      <c r="H1988" s="26" t="str">
        <f>"047"</f>
        <v>047</v>
      </c>
      <c r="I1988" s="26" t="str">
        <f t="shared" si="325"/>
        <v>00</v>
      </c>
      <c r="J1988" s="26" t="str">
        <f>"63 "</f>
        <v xml:space="preserve">63 </v>
      </c>
      <c r="K1988" s="26" t="str">
        <f t="shared" si="322"/>
        <v>IZ</v>
      </c>
      <c r="L1988" s="26" t="str">
        <f t="shared" si="323"/>
        <v>DGSEI</v>
      </c>
      <c r="M1988" s="26" t="str">
        <f t="shared" si="326"/>
        <v>FEDERAL</v>
      </c>
      <c r="N1988" s="26">
        <v>307</v>
      </c>
      <c r="O1988" s="26">
        <v>161</v>
      </c>
      <c r="P1988" s="26">
        <v>146</v>
      </c>
      <c r="Q1988" s="26">
        <v>16</v>
      </c>
      <c r="R1988" s="26">
        <v>2</v>
      </c>
      <c r="S1988" s="26">
        <v>16</v>
      </c>
      <c r="T1988" s="26">
        <v>10</v>
      </c>
      <c r="U1988" s="26">
        <v>28</v>
      </c>
      <c r="V1988" s="26">
        <v>1</v>
      </c>
      <c r="W1988" s="26"/>
    </row>
    <row r="1989" spans="1:23" x14ac:dyDescent="0.25">
      <c r="A1989" s="26" t="str">
        <f t="shared" si="324"/>
        <v>PRIMARIA</v>
      </c>
      <c r="B1989" s="26" t="str">
        <f>"09DPR5076L"</f>
        <v>09DPR5076L</v>
      </c>
      <c r="C1989" s="26" t="str">
        <f>"LOS SIMBOLOS PATRIOS                                                                                "</f>
        <v xml:space="preserve">LOS SIMBOLOS PATRIOS                                                                                </v>
      </c>
      <c r="D1989" s="26" t="str">
        <f>"TIEMPO COMPLETO"</f>
        <v>TIEMPO COMPLETO</v>
      </c>
      <c r="E1989" s="26" t="str">
        <f>"MANUEL ACUÑA S/N.                                                               "</f>
        <v xml:space="preserve">MANUEL ACUÑA S/N.                                                               </v>
      </c>
      <c r="F1989" s="26" t="str">
        <f>"PALMITAS                                                                                                                                    "</f>
        <v xml:space="preserve">PALMITAS                                                                                                                                    </v>
      </c>
      <c r="G1989" s="26" t="str">
        <f t="shared" si="321"/>
        <v xml:space="preserve">IZTAPALAPA                                                                      </v>
      </c>
      <c r="H1989" s="26" t="str">
        <f>"011"</f>
        <v>011</v>
      </c>
      <c r="I1989" s="26" t="str">
        <f t="shared" si="325"/>
        <v>00</v>
      </c>
      <c r="J1989" s="26" t="str">
        <f>"61 "</f>
        <v xml:space="preserve">61 </v>
      </c>
      <c r="K1989" s="26" t="str">
        <f t="shared" si="322"/>
        <v>IZ</v>
      </c>
      <c r="L1989" s="26" t="str">
        <f t="shared" si="323"/>
        <v>DGSEI</v>
      </c>
      <c r="M1989" s="26" t="str">
        <f t="shared" si="326"/>
        <v>FEDERAL</v>
      </c>
      <c r="N1989" s="26">
        <v>415</v>
      </c>
      <c r="O1989" s="26">
        <v>208</v>
      </c>
      <c r="P1989" s="26">
        <v>207</v>
      </c>
      <c r="Q1989" s="26">
        <v>12</v>
      </c>
      <c r="R1989" s="26">
        <v>1</v>
      </c>
      <c r="S1989" s="26">
        <v>11</v>
      </c>
      <c r="T1989" s="26">
        <v>10</v>
      </c>
      <c r="U1989" s="26">
        <v>22</v>
      </c>
      <c r="V1989" s="26">
        <v>1</v>
      </c>
      <c r="W1989" s="26" t="s">
        <v>218</v>
      </c>
    </row>
    <row r="1990" spans="1:23" x14ac:dyDescent="0.25">
      <c r="A1990" s="26" t="str">
        <f t="shared" si="324"/>
        <v>PRIMARIA</v>
      </c>
      <c r="B1990" s="26" t="str">
        <f>"09DPR5077K"</f>
        <v>09DPR5077K</v>
      </c>
      <c r="C1990" s="26" t="str">
        <f>"WENCESLAO VICTORIA SOTO                                                                             "</f>
        <v xml:space="preserve">WENCESLAO VICTORIA SOTO                                                                             </v>
      </c>
      <c r="D1990" s="26" t="str">
        <f>"TIEMPO COMPLETO"</f>
        <v>TIEMPO COMPLETO</v>
      </c>
      <c r="E1990" s="26" t="str">
        <f>"MANZANA 12 S/N                                                                  "</f>
        <v xml:space="preserve">MANZANA 12 S/N                                                                  </v>
      </c>
      <c r="F1990" s="26" t="str">
        <f>"6 DE JUNIO                                                                                                                                  "</f>
        <v xml:space="preserve">6 DE JUNIO                                                                                                                                  </v>
      </c>
      <c r="G1990" s="26" t="str">
        <f>"GUSTAVO A. MADERO                                                               "</f>
        <v xml:space="preserve">GUSTAVO A. MADERO                                                               </v>
      </c>
      <c r="H1990" s="26" t="str">
        <f>"131"</f>
        <v>131</v>
      </c>
      <c r="I1990" s="26" t="str">
        <f t="shared" si="325"/>
        <v>00</v>
      </c>
      <c r="J1990" s="26" t="str">
        <f>"41 "</f>
        <v xml:space="preserve">41 </v>
      </c>
      <c r="K1990" s="26" t="str">
        <f>"PR"</f>
        <v>PR</v>
      </c>
      <c r="L1990" s="26" t="str">
        <f>"DGOSE"</f>
        <v>DGOSE</v>
      </c>
      <c r="M1990" s="26" t="str">
        <f t="shared" si="326"/>
        <v>FEDERAL</v>
      </c>
      <c r="N1990" s="26">
        <v>623</v>
      </c>
      <c r="O1990" s="26">
        <v>320</v>
      </c>
      <c r="P1990" s="26">
        <v>303</v>
      </c>
      <c r="Q1990" s="26">
        <v>18</v>
      </c>
      <c r="R1990" s="26">
        <v>1</v>
      </c>
      <c r="S1990" s="26">
        <v>18</v>
      </c>
      <c r="T1990" s="26">
        <v>7</v>
      </c>
      <c r="U1990" s="26">
        <v>26</v>
      </c>
      <c r="V1990" s="26">
        <v>1</v>
      </c>
      <c r="W1990" s="26" t="s">
        <v>218</v>
      </c>
    </row>
    <row r="1991" spans="1:23" x14ac:dyDescent="0.25">
      <c r="A1991" s="26" t="str">
        <f t="shared" si="324"/>
        <v>PRIMARIA</v>
      </c>
      <c r="B1991" s="26" t="str">
        <f>"09DPR5078J"</f>
        <v>09DPR5078J</v>
      </c>
      <c r="C1991" s="26" t="str">
        <f>"MANUEL GALLARDO ZAMORA                                                                              "</f>
        <v xml:space="preserve">MANUEL GALLARDO ZAMORA                                                                              </v>
      </c>
      <c r="D1991" s="26" t="str">
        <f>"JORNADA AMPLIADA"</f>
        <v>JORNADA AMPLIADA</v>
      </c>
      <c r="E1991" s="26" t="str">
        <f>"LACANDONES ESQ HUASTECOS S/N                                                    "</f>
        <v xml:space="preserve">LACANDONES ESQ HUASTECOS S/N                                                    </v>
      </c>
      <c r="F1991" s="26" t="str">
        <f>"PEDREGAL LAS AGUILAS                                                                                                                        "</f>
        <v xml:space="preserve">PEDREGAL LAS AGUILAS                                                                                                                        </v>
      </c>
      <c r="G1991" s="26" t="str">
        <f>"TLALPAN                                                                         "</f>
        <v xml:space="preserve">TLALPAN                                                                         </v>
      </c>
      <c r="H1991" s="26" t="str">
        <f>"447"</f>
        <v>447</v>
      </c>
      <c r="I1991" s="26" t="str">
        <f t="shared" si="325"/>
        <v>00</v>
      </c>
      <c r="J1991" s="26" t="str">
        <f>"44 "</f>
        <v xml:space="preserve">44 </v>
      </c>
      <c r="K1991" s="26" t="str">
        <f>"PR"</f>
        <v>PR</v>
      </c>
      <c r="L1991" s="26" t="str">
        <f>"DGOSE"</f>
        <v>DGOSE</v>
      </c>
      <c r="M1991" s="26" t="str">
        <f t="shared" si="326"/>
        <v>FEDERAL</v>
      </c>
      <c r="N1991" s="26">
        <v>258</v>
      </c>
      <c r="O1991" s="26">
        <v>130</v>
      </c>
      <c r="P1991" s="26">
        <v>128</v>
      </c>
      <c r="Q1991" s="26">
        <v>6</v>
      </c>
      <c r="R1991" s="26">
        <v>1</v>
      </c>
      <c r="S1991" s="26">
        <v>6</v>
      </c>
      <c r="T1991" s="26">
        <v>5</v>
      </c>
      <c r="U1991" s="26">
        <v>12</v>
      </c>
      <c r="V1991" s="26">
        <v>1</v>
      </c>
      <c r="W1991" s="26" t="s">
        <v>2076</v>
      </c>
    </row>
    <row r="1992" spans="1:23" x14ac:dyDescent="0.25">
      <c r="A1992" s="26" t="str">
        <f t="shared" si="324"/>
        <v>PRIMARIA</v>
      </c>
      <c r="B1992" s="26" t="str">
        <f>"09DPR5079I"</f>
        <v>09DPR5079I</v>
      </c>
      <c r="C1992" s="26" t="str">
        <f>"MARCELIANO TREJO SANTANA                                                                            "</f>
        <v xml:space="preserve">MARCELIANO TREJO SANTANA                                                                            </v>
      </c>
      <c r="D1992" s="26" t="str">
        <f>"MATUTINO"</f>
        <v>MATUTINO</v>
      </c>
      <c r="E1992" s="26" t="str">
        <f>"10 DE ABRIL Y PLAN DE SAN LORENZO                                               "</f>
        <v xml:space="preserve">10 DE ABRIL Y PLAN DE SAN LORENZO                                               </v>
      </c>
      <c r="F1992" s="26" t="str">
        <f>"LA CEBADA                                                                                                                                   "</f>
        <v xml:space="preserve">LA CEBADA                                                                                                                                   </v>
      </c>
      <c r="G1992" s="26" t="str">
        <f>"XOCHIMILCO                                                                      "</f>
        <v xml:space="preserve">XOCHIMILCO                                                                      </v>
      </c>
      <c r="H1992" s="26" t="str">
        <f>"535"</f>
        <v>535</v>
      </c>
      <c r="I1992" s="26" t="str">
        <f t="shared" si="325"/>
        <v>00</v>
      </c>
      <c r="J1992" s="26" t="str">
        <f>"45 "</f>
        <v xml:space="preserve">45 </v>
      </c>
      <c r="K1992" s="26" t="str">
        <f>"PR"</f>
        <v>PR</v>
      </c>
      <c r="L1992" s="26" t="str">
        <f>"DGOSE"</f>
        <v>DGOSE</v>
      </c>
      <c r="M1992" s="26" t="str">
        <f t="shared" si="326"/>
        <v>FEDERAL</v>
      </c>
      <c r="N1992" s="26">
        <v>394</v>
      </c>
      <c r="O1992" s="26">
        <v>186</v>
      </c>
      <c r="P1992" s="26">
        <v>208</v>
      </c>
      <c r="Q1992" s="26">
        <v>12</v>
      </c>
      <c r="R1992" s="26">
        <v>1</v>
      </c>
      <c r="S1992" s="26">
        <v>12</v>
      </c>
      <c r="T1992" s="26">
        <v>9</v>
      </c>
      <c r="U1992" s="26">
        <v>22</v>
      </c>
      <c r="V1992" s="26">
        <v>1</v>
      </c>
      <c r="W1992" s="26"/>
    </row>
    <row r="1993" spans="1:23" x14ac:dyDescent="0.25">
      <c r="A1993" s="26" t="str">
        <f t="shared" si="324"/>
        <v>PRIMARIA</v>
      </c>
      <c r="B1993" s="26" t="str">
        <f>"09DPR5080Y"</f>
        <v>09DPR5080Y</v>
      </c>
      <c r="C1993" s="26" t="str">
        <f>"PROFR. VICENTE V. YBARRA                                                                            "</f>
        <v xml:space="preserve">PROFR. VICENTE V. YBARRA                                                                            </v>
      </c>
      <c r="D1993" s="26" t="str">
        <f>"VESPERTINO"</f>
        <v>VESPERTINO</v>
      </c>
      <c r="E1993" s="26" t="str">
        <f>"GALEANA Y HELIOTROPO S/N                                                        "</f>
        <v xml:space="preserve">GALEANA Y HELIOTROPO S/N                                                        </v>
      </c>
      <c r="F1993" s="26" t="str">
        <f>"XALTOCAN                                                                                                                                    "</f>
        <v xml:space="preserve">XALTOCAN                                                                                                                                    </v>
      </c>
      <c r="G1993" s="26" t="str">
        <f>"XOCHIMILCO                                                                      "</f>
        <v xml:space="preserve">XOCHIMILCO                                                                      </v>
      </c>
      <c r="H1993" s="26" t="str">
        <f>"538"</f>
        <v>538</v>
      </c>
      <c r="I1993" s="26" t="str">
        <f t="shared" si="325"/>
        <v>00</v>
      </c>
      <c r="J1993" s="26" t="str">
        <f>"45 "</f>
        <v xml:space="preserve">45 </v>
      </c>
      <c r="K1993" s="26" t="str">
        <f>"PR"</f>
        <v>PR</v>
      </c>
      <c r="L1993" s="26" t="str">
        <f>"DGOSE"</f>
        <v>DGOSE</v>
      </c>
      <c r="M1993" s="26" t="str">
        <f t="shared" si="326"/>
        <v>FEDERAL</v>
      </c>
      <c r="N1993" s="26">
        <v>228</v>
      </c>
      <c r="O1993" s="26">
        <v>120</v>
      </c>
      <c r="P1993" s="26">
        <v>108</v>
      </c>
      <c r="Q1993" s="26">
        <v>10</v>
      </c>
      <c r="R1993" s="26">
        <v>1</v>
      </c>
      <c r="S1993" s="26">
        <v>10</v>
      </c>
      <c r="T1993" s="26">
        <v>8</v>
      </c>
      <c r="U1993" s="26">
        <v>19</v>
      </c>
      <c r="V1993" s="26">
        <v>1</v>
      </c>
      <c r="W1993" s="26"/>
    </row>
    <row r="1994" spans="1:23" x14ac:dyDescent="0.25">
      <c r="A1994" s="26" t="str">
        <f t="shared" si="324"/>
        <v>PRIMARIA</v>
      </c>
      <c r="B1994" s="26" t="str">
        <f>"09DPR5081X"</f>
        <v>09DPR5081X</v>
      </c>
      <c r="C1994" s="26" t="str">
        <f>"MELCHOR OCAMPO                                                                                      "</f>
        <v xml:space="preserve">MELCHOR OCAMPO                                                                                      </v>
      </c>
      <c r="D1994" s="26" t="str">
        <f>"MATUTINO"</f>
        <v>MATUTINO</v>
      </c>
      <c r="E1994" s="26" t="str">
        <f>"AV. DE LAS TORRES ESQ. OLVIDO                                                   "</f>
        <v xml:space="preserve">AV. DE LAS TORRES ESQ. OLVIDO                                                   </v>
      </c>
      <c r="F1994" s="26" t="str">
        <f t="shared" ref="F1994:F1999" si="327">"SAN MIGUEL TEOTONGO                                                                                                                         "</f>
        <v xml:space="preserve">SAN MIGUEL TEOTONGO                                                                                                                         </v>
      </c>
      <c r="G1994" s="26" t="str">
        <f t="shared" ref="G1994:G1999" si="328">"IZTAPALAPA                                                                      "</f>
        <v xml:space="preserve">IZTAPALAPA                                                                      </v>
      </c>
      <c r="H1994" s="26" t="str">
        <f>"067"</f>
        <v>067</v>
      </c>
      <c r="I1994" s="26" t="str">
        <f t="shared" si="325"/>
        <v>00</v>
      </c>
      <c r="J1994" s="26" t="str">
        <f t="shared" ref="J1994:J1999" si="329">"64 "</f>
        <v xml:space="preserve">64 </v>
      </c>
      <c r="K1994" s="26" t="str">
        <f t="shared" ref="K1994:K1999" si="330">"IZ"</f>
        <v>IZ</v>
      </c>
      <c r="L1994" s="26" t="str">
        <f t="shared" ref="L1994:L1999" si="331">"DGSEI"</f>
        <v>DGSEI</v>
      </c>
      <c r="M1994" s="26" t="str">
        <f t="shared" si="326"/>
        <v>FEDERAL</v>
      </c>
      <c r="N1994" s="26">
        <v>254</v>
      </c>
      <c r="O1994" s="26">
        <v>115</v>
      </c>
      <c r="P1994" s="26">
        <v>139</v>
      </c>
      <c r="Q1994" s="26">
        <v>9</v>
      </c>
      <c r="R1994" s="26">
        <v>1</v>
      </c>
      <c r="S1994" s="26">
        <v>8</v>
      </c>
      <c r="T1994" s="26">
        <v>4</v>
      </c>
      <c r="U1994" s="26">
        <v>13</v>
      </c>
      <c r="V1994" s="26">
        <v>1</v>
      </c>
      <c r="W1994" s="26"/>
    </row>
    <row r="1995" spans="1:23" x14ac:dyDescent="0.25">
      <c r="A1995" s="26" t="str">
        <f t="shared" si="324"/>
        <v>PRIMARIA</v>
      </c>
      <c r="B1995" s="26" t="str">
        <f>"09DPR5082W"</f>
        <v>09DPR5082W</v>
      </c>
      <c r="C1995" s="26" t="str">
        <f>"MELCHOR OCAMPO                                                                                      "</f>
        <v xml:space="preserve">MELCHOR OCAMPO                                                                                      </v>
      </c>
      <c r="D1995" s="26" t="str">
        <f>"VESPERTINO"</f>
        <v>VESPERTINO</v>
      </c>
      <c r="E1995" s="26" t="str">
        <f>"AV. DE LAS TORRES ESQ. OLVIDO                                                   "</f>
        <v xml:space="preserve">AV. DE LAS TORRES ESQ. OLVIDO                                                   </v>
      </c>
      <c r="F1995" s="26" t="str">
        <f t="shared" si="327"/>
        <v xml:space="preserve">SAN MIGUEL TEOTONGO                                                                                                                         </v>
      </c>
      <c r="G1995" s="26" t="str">
        <f t="shared" si="328"/>
        <v xml:space="preserve">IZTAPALAPA                                                                      </v>
      </c>
      <c r="H1995" s="26" t="str">
        <f>"067"</f>
        <v>067</v>
      </c>
      <c r="I1995" s="26" t="str">
        <f t="shared" si="325"/>
        <v>00</v>
      </c>
      <c r="J1995" s="26" t="str">
        <f t="shared" si="329"/>
        <v xml:space="preserve">64 </v>
      </c>
      <c r="K1995" s="26" t="str">
        <f t="shared" si="330"/>
        <v>IZ</v>
      </c>
      <c r="L1995" s="26" t="str">
        <f t="shared" si="331"/>
        <v>DGSEI</v>
      </c>
      <c r="M1995" s="26" t="str">
        <f t="shared" si="326"/>
        <v>FEDERAL</v>
      </c>
      <c r="N1995" s="26">
        <v>221</v>
      </c>
      <c r="O1995" s="26">
        <v>127</v>
      </c>
      <c r="P1995" s="26">
        <v>94</v>
      </c>
      <c r="Q1995" s="26">
        <v>9</v>
      </c>
      <c r="R1995" s="26">
        <v>1</v>
      </c>
      <c r="S1995" s="26">
        <v>9</v>
      </c>
      <c r="T1995" s="26">
        <v>4</v>
      </c>
      <c r="U1995" s="26">
        <v>14</v>
      </c>
      <c r="V1995" s="26">
        <v>1</v>
      </c>
      <c r="W1995" s="26"/>
    </row>
    <row r="1996" spans="1:23" x14ac:dyDescent="0.25">
      <c r="A1996" s="26" t="str">
        <f t="shared" si="324"/>
        <v>PRIMARIA</v>
      </c>
      <c r="B1996" s="26" t="str">
        <f>"09DPR5083V"</f>
        <v>09DPR5083V</v>
      </c>
      <c r="C1996" s="26" t="str">
        <f>"TIERRA Y LIBERTAD                                                                                   "</f>
        <v xml:space="preserve">TIERRA Y LIBERTAD                                                                                   </v>
      </c>
      <c r="D1996" s="26" t="str">
        <f>"MATUTINO"</f>
        <v>MATUTINO</v>
      </c>
      <c r="E1996" s="26" t="str">
        <f>"DIEGO RIVERA ESQ. ISIDRO FABELA                                                 "</f>
        <v xml:space="preserve">DIEGO RIVERA ESQ. ISIDRO FABELA                                                 </v>
      </c>
      <c r="F1996" s="26" t="str">
        <f t="shared" si="327"/>
        <v xml:space="preserve">SAN MIGUEL TEOTONGO                                                                                                                         </v>
      </c>
      <c r="G1996" s="26" t="str">
        <f t="shared" si="328"/>
        <v xml:space="preserve">IZTAPALAPA                                                                      </v>
      </c>
      <c r="H1996" s="26" t="str">
        <f>"067"</f>
        <v>067</v>
      </c>
      <c r="I1996" s="26" t="str">
        <f t="shared" si="325"/>
        <v>00</v>
      </c>
      <c r="J1996" s="26" t="str">
        <f t="shared" si="329"/>
        <v xml:space="preserve">64 </v>
      </c>
      <c r="K1996" s="26" t="str">
        <f t="shared" si="330"/>
        <v>IZ</v>
      </c>
      <c r="L1996" s="26" t="str">
        <f t="shared" si="331"/>
        <v>DGSEI</v>
      </c>
      <c r="M1996" s="26" t="str">
        <f t="shared" si="326"/>
        <v>FEDERAL</v>
      </c>
      <c r="N1996" s="26">
        <v>337</v>
      </c>
      <c r="O1996" s="26">
        <v>168</v>
      </c>
      <c r="P1996" s="26">
        <v>169</v>
      </c>
      <c r="Q1996" s="26">
        <v>12</v>
      </c>
      <c r="R1996" s="26">
        <v>0</v>
      </c>
      <c r="S1996" s="26">
        <v>9</v>
      </c>
      <c r="T1996" s="26">
        <v>5</v>
      </c>
      <c r="U1996" s="26">
        <v>14</v>
      </c>
      <c r="V1996" s="26">
        <v>1</v>
      </c>
      <c r="W1996" s="26"/>
    </row>
    <row r="1997" spans="1:23" x14ac:dyDescent="0.25">
      <c r="A1997" s="26" t="str">
        <f t="shared" si="324"/>
        <v>PRIMARIA</v>
      </c>
      <c r="B1997" s="26" t="str">
        <f>"09DPR5084U"</f>
        <v>09DPR5084U</v>
      </c>
      <c r="C1997" s="26" t="str">
        <f>"TIERRA Y LIBERTAD                                                                                   "</f>
        <v xml:space="preserve">TIERRA Y LIBERTAD                                                                                   </v>
      </c>
      <c r="D1997" s="26" t="str">
        <f>"VESPERTINO"</f>
        <v>VESPERTINO</v>
      </c>
      <c r="E1997" s="26" t="str">
        <f>"DIEGO RIVERA ESQ. ISIDRO FABELA                                                 "</f>
        <v xml:space="preserve">DIEGO RIVERA ESQ. ISIDRO FABELA                                                 </v>
      </c>
      <c r="F1997" s="26" t="str">
        <f t="shared" si="327"/>
        <v xml:space="preserve">SAN MIGUEL TEOTONGO                                                                                                                         </v>
      </c>
      <c r="G1997" s="26" t="str">
        <f t="shared" si="328"/>
        <v xml:space="preserve">IZTAPALAPA                                                                      </v>
      </c>
      <c r="H1997" s="26" t="str">
        <f>"067"</f>
        <v>067</v>
      </c>
      <c r="I1997" s="26" t="str">
        <f t="shared" si="325"/>
        <v>00</v>
      </c>
      <c r="J1997" s="26" t="str">
        <f t="shared" si="329"/>
        <v xml:space="preserve">64 </v>
      </c>
      <c r="K1997" s="26" t="str">
        <f t="shared" si="330"/>
        <v>IZ</v>
      </c>
      <c r="L1997" s="26" t="str">
        <f t="shared" si="331"/>
        <v>DGSEI</v>
      </c>
      <c r="M1997" s="26" t="str">
        <f t="shared" si="326"/>
        <v>FEDERAL</v>
      </c>
      <c r="N1997" s="26">
        <v>212</v>
      </c>
      <c r="O1997" s="26">
        <v>120</v>
      </c>
      <c r="P1997" s="26">
        <v>92</v>
      </c>
      <c r="Q1997" s="26">
        <v>11</v>
      </c>
      <c r="R1997" s="26">
        <v>1</v>
      </c>
      <c r="S1997" s="26">
        <v>11</v>
      </c>
      <c r="T1997" s="26">
        <v>4</v>
      </c>
      <c r="U1997" s="26">
        <v>16</v>
      </c>
      <c r="V1997" s="26">
        <v>1</v>
      </c>
      <c r="W1997" s="26"/>
    </row>
    <row r="1998" spans="1:23" x14ac:dyDescent="0.25">
      <c r="A1998" s="26" t="str">
        <f t="shared" si="324"/>
        <v>PRIMARIA</v>
      </c>
      <c r="B1998" s="26" t="str">
        <f>"09DPR5085T"</f>
        <v>09DPR5085T</v>
      </c>
      <c r="C1998" s="26" t="str">
        <f>"NICOLAS BRAVO                                                                                       "</f>
        <v xml:space="preserve">NICOLAS BRAVO                                                                                       </v>
      </c>
      <c r="D1998" s="26" t="str">
        <f>"MATUTINO"</f>
        <v>MATUTINO</v>
      </c>
      <c r="E1998" s="26" t="str">
        <f>"CARRIL Y CLAVEL                                                                 "</f>
        <v xml:space="preserve">CARRIL Y CLAVEL                                                                 </v>
      </c>
      <c r="F1998" s="26" t="str">
        <f t="shared" si="327"/>
        <v xml:space="preserve">SAN MIGUEL TEOTONGO                                                                                                                         </v>
      </c>
      <c r="G1998" s="26" t="str">
        <f t="shared" si="328"/>
        <v xml:space="preserve">IZTAPALAPA                                                                      </v>
      </c>
      <c r="H1998" s="26" t="str">
        <f>"068"</f>
        <v>068</v>
      </c>
      <c r="I1998" s="26" t="str">
        <f t="shared" si="325"/>
        <v>00</v>
      </c>
      <c r="J1998" s="26" t="str">
        <f t="shared" si="329"/>
        <v xml:space="preserve">64 </v>
      </c>
      <c r="K1998" s="26" t="str">
        <f t="shared" si="330"/>
        <v>IZ</v>
      </c>
      <c r="L1998" s="26" t="str">
        <f t="shared" si="331"/>
        <v>DGSEI</v>
      </c>
      <c r="M1998" s="26" t="str">
        <f t="shared" si="326"/>
        <v>FEDERAL</v>
      </c>
      <c r="N1998" s="26">
        <v>511</v>
      </c>
      <c r="O1998" s="26">
        <v>250</v>
      </c>
      <c r="P1998" s="26">
        <v>261</v>
      </c>
      <c r="Q1998" s="26">
        <v>16</v>
      </c>
      <c r="R1998" s="26">
        <v>1</v>
      </c>
      <c r="S1998" s="26">
        <v>15</v>
      </c>
      <c r="T1998" s="26">
        <v>7</v>
      </c>
      <c r="U1998" s="26">
        <v>23</v>
      </c>
      <c r="V1998" s="26">
        <v>1</v>
      </c>
      <c r="W1998" s="26"/>
    </row>
    <row r="1999" spans="1:23" x14ac:dyDescent="0.25">
      <c r="A1999" s="26" t="str">
        <f t="shared" si="324"/>
        <v>PRIMARIA</v>
      </c>
      <c r="B1999" s="26" t="str">
        <f>"09DPR5086S"</f>
        <v>09DPR5086S</v>
      </c>
      <c r="C1999" s="26" t="str">
        <f>"NICOLAS BRAVO                                                                                       "</f>
        <v xml:space="preserve">NICOLAS BRAVO                                                                                       </v>
      </c>
      <c r="D1999" s="26" t="str">
        <f>"VESPERTINO"</f>
        <v>VESPERTINO</v>
      </c>
      <c r="E1999" s="26" t="str">
        <f>"CARRIL Y CLAVEL                                                                 "</f>
        <v xml:space="preserve">CARRIL Y CLAVEL                                                                 </v>
      </c>
      <c r="F1999" s="26" t="str">
        <f t="shared" si="327"/>
        <v xml:space="preserve">SAN MIGUEL TEOTONGO                                                                                                                         </v>
      </c>
      <c r="G1999" s="26" t="str">
        <f t="shared" si="328"/>
        <v xml:space="preserve">IZTAPALAPA                                                                      </v>
      </c>
      <c r="H1999" s="26" t="str">
        <f>"068"</f>
        <v>068</v>
      </c>
      <c r="I1999" s="26" t="str">
        <f t="shared" si="325"/>
        <v>00</v>
      </c>
      <c r="J1999" s="26" t="str">
        <f t="shared" si="329"/>
        <v xml:space="preserve">64 </v>
      </c>
      <c r="K1999" s="26" t="str">
        <f t="shared" si="330"/>
        <v>IZ</v>
      </c>
      <c r="L1999" s="26" t="str">
        <f t="shared" si="331"/>
        <v>DGSEI</v>
      </c>
      <c r="M1999" s="26" t="str">
        <f t="shared" si="326"/>
        <v>FEDERAL</v>
      </c>
      <c r="N1999" s="26">
        <v>327</v>
      </c>
      <c r="O1999" s="26">
        <v>171</v>
      </c>
      <c r="P1999" s="26">
        <v>156</v>
      </c>
      <c r="Q1999" s="26">
        <v>12</v>
      </c>
      <c r="R1999" s="26">
        <v>1</v>
      </c>
      <c r="S1999" s="26">
        <v>12</v>
      </c>
      <c r="T1999" s="26">
        <v>5</v>
      </c>
      <c r="U1999" s="26">
        <v>18</v>
      </c>
      <c r="V1999" s="26">
        <v>1</v>
      </c>
      <c r="W1999" s="26"/>
    </row>
    <row r="2000" spans="1:23" x14ac:dyDescent="0.25">
      <c r="A2000" s="26" t="str">
        <f t="shared" si="324"/>
        <v>PRIMARIA</v>
      </c>
      <c r="B2000" s="26" t="str">
        <f>"09DPR5087R"</f>
        <v>09DPR5087R</v>
      </c>
      <c r="C2000" s="26" t="str">
        <f>"MARCELIANO TREJO SANTANA                                                                            "</f>
        <v xml:space="preserve">MARCELIANO TREJO SANTANA                                                                            </v>
      </c>
      <c r="D2000" s="26" t="str">
        <f>"VESPERTINO"</f>
        <v>VESPERTINO</v>
      </c>
      <c r="E2000" s="26" t="str">
        <f>"10 DE ABRIL Y PLAN DE SAN LORENZO                                               "</f>
        <v xml:space="preserve">10 DE ABRIL Y PLAN DE SAN LORENZO                                               </v>
      </c>
      <c r="F2000" s="26" t="str">
        <f>"LA CEBADA                                                                                                                                   "</f>
        <v xml:space="preserve">LA CEBADA                                                                                                                                   </v>
      </c>
      <c r="G2000" s="26" t="str">
        <f>"XOCHIMILCO                                                                      "</f>
        <v xml:space="preserve">XOCHIMILCO                                                                      </v>
      </c>
      <c r="H2000" s="26" t="str">
        <f>"535"</f>
        <v>535</v>
      </c>
      <c r="I2000" s="26" t="str">
        <f t="shared" si="325"/>
        <v>00</v>
      </c>
      <c r="J2000" s="26" t="str">
        <f>"45 "</f>
        <v xml:space="preserve">45 </v>
      </c>
      <c r="K2000" s="26" t="str">
        <f>"PR"</f>
        <v>PR</v>
      </c>
      <c r="L2000" s="26" t="str">
        <f>"DGOSE"</f>
        <v>DGOSE</v>
      </c>
      <c r="M2000" s="26" t="str">
        <f t="shared" si="326"/>
        <v>FEDERAL</v>
      </c>
      <c r="N2000" s="26">
        <v>361</v>
      </c>
      <c r="O2000" s="26">
        <v>188</v>
      </c>
      <c r="P2000" s="26">
        <v>173</v>
      </c>
      <c r="Q2000" s="26">
        <v>12</v>
      </c>
      <c r="R2000" s="26">
        <v>1</v>
      </c>
      <c r="S2000" s="26">
        <v>12</v>
      </c>
      <c r="T2000" s="26">
        <v>9</v>
      </c>
      <c r="U2000" s="26">
        <v>22</v>
      </c>
      <c r="V2000" s="26">
        <v>1</v>
      </c>
      <c r="W2000" s="26"/>
    </row>
    <row r="2001" spans="1:23" x14ac:dyDescent="0.25">
      <c r="A2001" s="26" t="str">
        <f t="shared" si="324"/>
        <v>PRIMARIA</v>
      </c>
      <c r="B2001" s="26" t="str">
        <f>"09DPR5088Q"</f>
        <v>09DPR5088Q</v>
      </c>
      <c r="C2001" s="26" t="str">
        <f>"JOSE GOROSTIZA                                                                                      "</f>
        <v xml:space="preserve">JOSE GOROSTIZA                                                                                      </v>
      </c>
      <c r="D2001" s="26" t="str">
        <f>"MATUTINO"</f>
        <v>MATUTINO</v>
      </c>
      <c r="E2001" s="26" t="str">
        <f>"FELIX U GOMEZ NO 36                                                             "</f>
        <v xml:space="preserve">FELIX U GOMEZ NO 36                                                             </v>
      </c>
      <c r="F2001" s="26" t="str">
        <f>"GUERRERO                                                                                                                                    "</f>
        <v xml:space="preserve">GUERRERO                                                                                                                                    </v>
      </c>
      <c r="G2001" s="26" t="str">
        <f>"CUAUHTEMOC                                                                      "</f>
        <v xml:space="preserve">CUAUHTEMOC                                                                      </v>
      </c>
      <c r="H2001" s="26" t="str">
        <f>"217"</f>
        <v>217</v>
      </c>
      <c r="I2001" s="26" t="str">
        <f t="shared" si="325"/>
        <v>00</v>
      </c>
      <c r="J2001" s="26" t="str">
        <f>"42 "</f>
        <v xml:space="preserve">42 </v>
      </c>
      <c r="K2001" s="26" t="str">
        <f>"PR"</f>
        <v>PR</v>
      </c>
      <c r="L2001" s="26" t="str">
        <f>"DGOSE"</f>
        <v>DGOSE</v>
      </c>
      <c r="M2001" s="26" t="str">
        <f t="shared" si="326"/>
        <v>FEDERAL</v>
      </c>
      <c r="N2001" s="26">
        <v>161</v>
      </c>
      <c r="O2001" s="26">
        <v>78</v>
      </c>
      <c r="P2001" s="26">
        <v>83</v>
      </c>
      <c r="Q2001" s="26">
        <v>6</v>
      </c>
      <c r="R2001" s="26">
        <v>1</v>
      </c>
      <c r="S2001" s="26">
        <v>6</v>
      </c>
      <c r="T2001" s="26">
        <v>5</v>
      </c>
      <c r="U2001" s="26">
        <v>12</v>
      </c>
      <c r="V2001" s="26">
        <v>1</v>
      </c>
      <c r="W2001" s="26"/>
    </row>
    <row r="2002" spans="1:23" x14ac:dyDescent="0.25">
      <c r="A2002" s="26" t="str">
        <f t="shared" si="324"/>
        <v>PRIMARIA</v>
      </c>
      <c r="B2002" s="26" t="str">
        <f>"09DPR5090E"</f>
        <v>09DPR5090E</v>
      </c>
      <c r="C2002" s="26" t="str">
        <f>"PROFR. ABEL ORTEGA FLORES                                                                           "</f>
        <v xml:space="preserve">PROFR. ABEL ORTEGA FLORES                                                                           </v>
      </c>
      <c r="D2002" s="26" t="str">
        <f>"VESPERTINO"</f>
        <v>VESPERTINO</v>
      </c>
      <c r="E2002" s="26" t="str">
        <f>"5 DE MAYO Y CUAUHTEMOC S/N                                                      "</f>
        <v xml:space="preserve">5 DE MAYO Y CUAUHTEMOC S/N                                                      </v>
      </c>
      <c r="F2002" s="26" t="str">
        <f>"SAN PEDRO MARTIR                                                                                                                            "</f>
        <v xml:space="preserve">SAN PEDRO MARTIR                                                                                                                            </v>
      </c>
      <c r="G2002" s="26" t="str">
        <f>"TLALPAN                                                                         "</f>
        <v xml:space="preserve">TLALPAN                                                                         </v>
      </c>
      <c r="H2002" s="26" t="str">
        <f>"527"</f>
        <v>527</v>
      </c>
      <c r="I2002" s="26" t="str">
        <f t="shared" si="325"/>
        <v>00</v>
      </c>
      <c r="J2002" s="26" t="str">
        <f>"45 "</f>
        <v xml:space="preserve">45 </v>
      </c>
      <c r="K2002" s="26" t="str">
        <f>"PR"</f>
        <v>PR</v>
      </c>
      <c r="L2002" s="26" t="str">
        <f>"DGOSE"</f>
        <v>DGOSE</v>
      </c>
      <c r="M2002" s="26" t="str">
        <f t="shared" si="326"/>
        <v>FEDERAL</v>
      </c>
      <c r="N2002" s="26">
        <v>233</v>
      </c>
      <c r="O2002" s="26">
        <v>124</v>
      </c>
      <c r="P2002" s="26">
        <v>109</v>
      </c>
      <c r="Q2002" s="26">
        <v>8</v>
      </c>
      <c r="R2002" s="26">
        <v>1</v>
      </c>
      <c r="S2002" s="26">
        <v>8</v>
      </c>
      <c r="T2002" s="26">
        <v>4</v>
      </c>
      <c r="U2002" s="26">
        <v>13</v>
      </c>
      <c r="V2002" s="26">
        <v>1</v>
      </c>
      <c r="W2002" s="26"/>
    </row>
    <row r="2003" spans="1:23" x14ac:dyDescent="0.25">
      <c r="A2003" s="26" t="str">
        <f t="shared" si="324"/>
        <v>PRIMARIA</v>
      </c>
      <c r="B2003" s="26" t="str">
        <f>"09DPR5091D"</f>
        <v>09DPR5091D</v>
      </c>
      <c r="C2003" s="26" t="str">
        <f>"REPUBLICA DE FILIPINAS                                                                              "</f>
        <v xml:space="preserve">REPUBLICA DE FILIPINAS                                                                              </v>
      </c>
      <c r="D2003" s="26" t="str">
        <f>"VESPERTINO"</f>
        <v>VESPERTINO</v>
      </c>
      <c r="E2003" s="26" t="str">
        <f>"CARRIL NO. 13                                                                   "</f>
        <v xml:space="preserve">CARRIL NO. 13                                                                   </v>
      </c>
      <c r="F2003" s="26" t="str">
        <f>"SAN JUAN XALPA                                                                                                                              "</f>
        <v xml:space="preserve">SAN JUAN XALPA                                                                                                                              </v>
      </c>
      <c r="G2003" s="26" t="str">
        <f t="shared" ref="G2003:G2008" si="332">"IZTAPALAPA                                                                      "</f>
        <v xml:space="preserve">IZTAPALAPA                                                                      </v>
      </c>
      <c r="H2003" s="26" t="str">
        <f>"042"</f>
        <v>042</v>
      </c>
      <c r="I2003" s="26" t="str">
        <f t="shared" si="325"/>
        <v>00</v>
      </c>
      <c r="J2003" s="26" t="str">
        <f>"63 "</f>
        <v xml:space="preserve">63 </v>
      </c>
      <c r="K2003" s="26" t="str">
        <f t="shared" ref="K2003:K2008" si="333">"IZ"</f>
        <v>IZ</v>
      </c>
      <c r="L2003" s="26" t="str">
        <f t="shared" ref="L2003:L2008" si="334">"DGSEI"</f>
        <v>DGSEI</v>
      </c>
      <c r="M2003" s="26" t="str">
        <f t="shared" si="326"/>
        <v>FEDERAL</v>
      </c>
      <c r="N2003" s="26">
        <v>174</v>
      </c>
      <c r="O2003" s="26">
        <v>90</v>
      </c>
      <c r="P2003" s="26">
        <v>84</v>
      </c>
      <c r="Q2003" s="26">
        <v>18</v>
      </c>
      <c r="R2003" s="26">
        <v>2</v>
      </c>
      <c r="S2003" s="26">
        <v>18</v>
      </c>
      <c r="T2003" s="26">
        <v>6</v>
      </c>
      <c r="U2003" s="26">
        <v>26</v>
      </c>
      <c r="V2003" s="26">
        <v>1</v>
      </c>
      <c r="W2003" s="26"/>
    </row>
    <row r="2004" spans="1:23" x14ac:dyDescent="0.25">
      <c r="A2004" s="26" t="str">
        <f t="shared" si="324"/>
        <v>PRIMARIA</v>
      </c>
      <c r="B2004" s="26" t="str">
        <f>"09DPR5093B"</f>
        <v>09DPR5093B</v>
      </c>
      <c r="C2004" s="26" t="str">
        <f>"PROFR. LEOPOLDO VELAZQUEZ ACUÑA                                                                     "</f>
        <v xml:space="preserve">PROFR. LEOPOLDO VELAZQUEZ ACUÑA                                                                     </v>
      </c>
      <c r="D2004" s="26" t="str">
        <f>"TIEMPO COMPLETO"</f>
        <v>TIEMPO COMPLETO</v>
      </c>
      <c r="E2004" s="26" t="str">
        <f>"AV. GAVILAN NO. 33                                                              "</f>
        <v xml:space="preserve">AV. GAVILAN NO. 33                                                              </v>
      </c>
      <c r="F2004" s="26" t="str">
        <f>"UNIDAD HABITACIONAL GAVILAN                                                                                                                 "</f>
        <v xml:space="preserve">UNIDAD HABITACIONAL GAVILAN                                                                                                                 </v>
      </c>
      <c r="G2004" s="26" t="str">
        <f t="shared" si="332"/>
        <v xml:space="preserve">IZTAPALAPA                                                                      </v>
      </c>
      <c r="H2004" s="26" t="str">
        <f>"005"</f>
        <v>005</v>
      </c>
      <c r="I2004" s="26" t="str">
        <f t="shared" si="325"/>
        <v>00</v>
      </c>
      <c r="J2004" s="26" t="str">
        <f>"61 "</f>
        <v xml:space="preserve">61 </v>
      </c>
      <c r="K2004" s="26" t="str">
        <f t="shared" si="333"/>
        <v>IZ</v>
      </c>
      <c r="L2004" s="26" t="str">
        <f t="shared" si="334"/>
        <v>DGSEI</v>
      </c>
      <c r="M2004" s="26" t="str">
        <f t="shared" si="326"/>
        <v>FEDERAL</v>
      </c>
      <c r="N2004" s="26">
        <v>221</v>
      </c>
      <c r="O2004" s="26">
        <v>113</v>
      </c>
      <c r="P2004" s="26">
        <v>108</v>
      </c>
      <c r="Q2004" s="26">
        <v>6</v>
      </c>
      <c r="R2004" s="26">
        <v>1</v>
      </c>
      <c r="S2004" s="26">
        <v>5</v>
      </c>
      <c r="T2004" s="26">
        <v>8</v>
      </c>
      <c r="U2004" s="26">
        <v>14</v>
      </c>
      <c r="V2004" s="26">
        <v>1</v>
      </c>
      <c r="W2004" s="26" t="s">
        <v>218</v>
      </c>
    </row>
    <row r="2005" spans="1:23" x14ac:dyDescent="0.25">
      <c r="A2005" s="26" t="str">
        <f t="shared" si="324"/>
        <v>PRIMARIA</v>
      </c>
      <c r="B2005" s="26" t="str">
        <f>"09DPR5094A"</f>
        <v>09DPR5094A</v>
      </c>
      <c r="C2005" s="26" t="str">
        <f>"PROFR. JUAN RAMIREZ MARQUEZ                                                                         "</f>
        <v xml:space="preserve">PROFR. JUAN RAMIREZ MARQUEZ                                                                         </v>
      </c>
      <c r="D2005" s="26" t="str">
        <f>"MATUTINO"</f>
        <v>MATUTINO</v>
      </c>
      <c r="E2005" s="26" t="str">
        <f>"LEONA VICARIO S/N                                                               "</f>
        <v xml:space="preserve">LEONA VICARIO S/N                                                               </v>
      </c>
      <c r="F2005" s="26" t="str">
        <f>"SANTA MARIA AZTAHUACAN                                                                                                                      "</f>
        <v xml:space="preserve">SANTA MARIA AZTAHUACAN                                                                                                                      </v>
      </c>
      <c r="G2005" s="26" t="str">
        <f t="shared" si="332"/>
        <v xml:space="preserve">IZTAPALAPA                                                                      </v>
      </c>
      <c r="H2005" s="26" t="str">
        <f>"061"</f>
        <v>061</v>
      </c>
      <c r="I2005" s="26" t="str">
        <f t="shared" si="325"/>
        <v>00</v>
      </c>
      <c r="J2005" s="26" t="str">
        <f>"64 "</f>
        <v xml:space="preserve">64 </v>
      </c>
      <c r="K2005" s="26" t="str">
        <f t="shared" si="333"/>
        <v>IZ</v>
      </c>
      <c r="L2005" s="26" t="str">
        <f t="shared" si="334"/>
        <v>DGSEI</v>
      </c>
      <c r="M2005" s="26" t="str">
        <f t="shared" si="326"/>
        <v>FEDERAL</v>
      </c>
      <c r="N2005" s="26">
        <v>610</v>
      </c>
      <c r="O2005" s="26">
        <v>287</v>
      </c>
      <c r="P2005" s="26">
        <v>323</v>
      </c>
      <c r="Q2005" s="26">
        <v>18</v>
      </c>
      <c r="R2005" s="26">
        <v>1</v>
      </c>
      <c r="S2005" s="26">
        <v>18</v>
      </c>
      <c r="T2005" s="26">
        <v>8</v>
      </c>
      <c r="U2005" s="26">
        <v>27</v>
      </c>
      <c r="V2005" s="26">
        <v>1</v>
      </c>
      <c r="W2005" s="26"/>
    </row>
    <row r="2006" spans="1:23" x14ac:dyDescent="0.25">
      <c r="A2006" s="26" t="str">
        <f t="shared" si="324"/>
        <v>PRIMARIA</v>
      </c>
      <c r="B2006" s="26" t="str">
        <f>"09DPR5095Z"</f>
        <v>09DPR5095Z</v>
      </c>
      <c r="C2006" s="26" t="str">
        <f>"TLALOC                                                                                              "</f>
        <v xml:space="preserve">TLALOC                                                                                              </v>
      </c>
      <c r="D2006" s="26" t="str">
        <f>"VESPERTINO"</f>
        <v>VESPERTINO</v>
      </c>
      <c r="E2006" s="26" t="str">
        <f>"CALLE 2-B Y AV. 4 PONIENTE S/N                                                  "</f>
        <v xml:space="preserve">CALLE 2-B Y AV. 4 PONIENTE S/N                                                  </v>
      </c>
      <c r="F2006" s="26" t="str">
        <f>"RENOVACION                                                                                                                                  "</f>
        <v xml:space="preserve">RENOVACION                                                                                                                                  </v>
      </c>
      <c r="G2006" s="26" t="str">
        <f t="shared" si="332"/>
        <v xml:space="preserve">IZTAPALAPA                                                                      </v>
      </c>
      <c r="H2006" s="26" t="str">
        <f>"017"</f>
        <v>017</v>
      </c>
      <c r="I2006" s="26" t="str">
        <f t="shared" si="325"/>
        <v>00</v>
      </c>
      <c r="J2006" s="26" t="str">
        <f>"62 "</f>
        <v xml:space="preserve">62 </v>
      </c>
      <c r="K2006" s="26" t="str">
        <f t="shared" si="333"/>
        <v>IZ</v>
      </c>
      <c r="L2006" s="26" t="str">
        <f t="shared" si="334"/>
        <v>DGSEI</v>
      </c>
      <c r="M2006" s="26" t="str">
        <f t="shared" si="326"/>
        <v>FEDERAL</v>
      </c>
      <c r="N2006" s="26">
        <v>368</v>
      </c>
      <c r="O2006" s="26">
        <v>196</v>
      </c>
      <c r="P2006" s="26">
        <v>172</v>
      </c>
      <c r="Q2006" s="26">
        <v>12</v>
      </c>
      <c r="R2006" s="26">
        <v>1</v>
      </c>
      <c r="S2006" s="26">
        <v>12</v>
      </c>
      <c r="T2006" s="26">
        <v>5</v>
      </c>
      <c r="U2006" s="26">
        <v>18</v>
      </c>
      <c r="V2006" s="26">
        <v>1</v>
      </c>
      <c r="W2006" s="26"/>
    </row>
    <row r="2007" spans="1:23" x14ac:dyDescent="0.25">
      <c r="A2007" s="26" t="str">
        <f t="shared" si="324"/>
        <v>PRIMARIA</v>
      </c>
      <c r="B2007" s="26" t="str">
        <f>"09DPR5096Z"</f>
        <v>09DPR5096Z</v>
      </c>
      <c r="C2007" s="26" t="str">
        <f>"NIÑOS HEROES                                                                                        "</f>
        <v xml:space="preserve">NIÑOS HEROES                                                                                        </v>
      </c>
      <c r="D2007" s="26" t="str">
        <f>"VESPERTINO"</f>
        <v>VESPERTINO</v>
      </c>
      <c r="E2007" s="26" t="str">
        <f>"CDA. DE ANAHUAC Y MONZON S/N                                                    "</f>
        <v xml:space="preserve">CDA. DE ANAHUAC Y MONZON S/N                                                    </v>
      </c>
      <c r="F2007" s="26" t="str">
        <f>"GRANJAS ESTRELLA                                                                                                                            "</f>
        <v xml:space="preserve">GRANJAS ESTRELLA                                                                                                                            </v>
      </c>
      <c r="G2007" s="26" t="str">
        <f t="shared" si="332"/>
        <v xml:space="preserve">IZTAPALAPA                                                                      </v>
      </c>
      <c r="H2007" s="26" t="str">
        <f>"043"</f>
        <v>043</v>
      </c>
      <c r="I2007" s="26" t="str">
        <f t="shared" si="325"/>
        <v>00</v>
      </c>
      <c r="J2007" s="26" t="str">
        <f>"63 "</f>
        <v xml:space="preserve">63 </v>
      </c>
      <c r="K2007" s="26" t="str">
        <f t="shared" si="333"/>
        <v>IZ</v>
      </c>
      <c r="L2007" s="26" t="str">
        <f t="shared" si="334"/>
        <v>DGSEI</v>
      </c>
      <c r="M2007" s="26" t="str">
        <f t="shared" si="326"/>
        <v>FEDERAL</v>
      </c>
      <c r="N2007" s="26">
        <v>99</v>
      </c>
      <c r="O2007" s="26">
        <v>56</v>
      </c>
      <c r="P2007" s="26">
        <v>43</v>
      </c>
      <c r="Q2007" s="26">
        <v>6</v>
      </c>
      <c r="R2007" s="26">
        <v>1</v>
      </c>
      <c r="S2007" s="26">
        <v>6</v>
      </c>
      <c r="T2007" s="26">
        <v>3</v>
      </c>
      <c r="U2007" s="26">
        <v>10</v>
      </c>
      <c r="V2007" s="26">
        <v>1</v>
      </c>
      <c r="W2007" s="26"/>
    </row>
    <row r="2008" spans="1:23" x14ac:dyDescent="0.25">
      <c r="A2008" s="26" t="str">
        <f t="shared" si="324"/>
        <v>PRIMARIA</v>
      </c>
      <c r="B2008" s="26" t="str">
        <f>"09DPR5097Y"</f>
        <v>09DPR5097Y</v>
      </c>
      <c r="C2008" s="26" t="str">
        <f>"PROFR. JUAN RAMIREZ MARQUEZ                                                                         "</f>
        <v xml:space="preserve">PROFR. JUAN RAMIREZ MARQUEZ                                                                         </v>
      </c>
      <c r="D2008" s="26" t="str">
        <f>"VESPERTINO"</f>
        <v>VESPERTINO</v>
      </c>
      <c r="E2008" s="26" t="str">
        <f>"LEONA VICARIO S/N                                                               "</f>
        <v xml:space="preserve">LEONA VICARIO S/N                                                               </v>
      </c>
      <c r="F2008" s="26" t="str">
        <f>"SANTA MARIA AZTAHUACAN                                                                                                                      "</f>
        <v xml:space="preserve">SANTA MARIA AZTAHUACAN                                                                                                                      </v>
      </c>
      <c r="G2008" s="26" t="str">
        <f t="shared" si="332"/>
        <v xml:space="preserve">IZTAPALAPA                                                                      </v>
      </c>
      <c r="H2008" s="26" t="str">
        <f>"061"</f>
        <v>061</v>
      </c>
      <c r="I2008" s="26" t="str">
        <f t="shared" si="325"/>
        <v>00</v>
      </c>
      <c r="J2008" s="26" t="str">
        <f>"64 "</f>
        <v xml:space="preserve">64 </v>
      </c>
      <c r="K2008" s="26" t="str">
        <f t="shared" si="333"/>
        <v>IZ</v>
      </c>
      <c r="L2008" s="26" t="str">
        <f t="shared" si="334"/>
        <v>DGSEI</v>
      </c>
      <c r="M2008" s="26" t="str">
        <f t="shared" si="326"/>
        <v>FEDERAL</v>
      </c>
      <c r="N2008" s="26">
        <v>413</v>
      </c>
      <c r="O2008" s="26">
        <v>220</v>
      </c>
      <c r="P2008" s="26">
        <v>193</v>
      </c>
      <c r="Q2008" s="26">
        <v>13</v>
      </c>
      <c r="R2008" s="26">
        <v>1</v>
      </c>
      <c r="S2008" s="26">
        <v>12</v>
      </c>
      <c r="T2008" s="26">
        <v>8</v>
      </c>
      <c r="U2008" s="26">
        <v>21</v>
      </c>
      <c r="V2008" s="26">
        <v>1</v>
      </c>
      <c r="W2008" s="26"/>
    </row>
    <row r="2009" spans="1:23" x14ac:dyDescent="0.25">
      <c r="A2009" s="26" t="str">
        <f t="shared" si="324"/>
        <v>PRIMARIA</v>
      </c>
      <c r="B2009" s="26" t="str">
        <f>"09DPR5098X"</f>
        <v>09DPR5098X</v>
      </c>
      <c r="C2009" s="26" t="str">
        <f>"JOSE SANTOS VALDEZ                                                                                  "</f>
        <v xml:space="preserve">JOSE SANTOS VALDEZ                                                                                  </v>
      </c>
      <c r="D2009" s="26" t="str">
        <f>"TIEMPO COMPLETO"</f>
        <v>TIEMPO COMPLETO</v>
      </c>
      <c r="E2009" s="26" t="str">
        <f>"CALZADA DE LA VIRGEN NO 3000                                                    "</f>
        <v xml:space="preserve">CALZADA DE LA VIRGEN NO 3000                                                    </v>
      </c>
      <c r="F2009" s="26" t="str">
        <f>"SAN FRANCISCO CULHUACAN                                                                                                                     "</f>
        <v xml:space="preserve">SAN FRANCISCO CULHUACAN                                                                                                                     </v>
      </c>
      <c r="G2009" s="26" t="str">
        <f>"COYOACAN                                                                        "</f>
        <v xml:space="preserve">COYOACAN                                                                        </v>
      </c>
      <c r="H2009" s="26" t="str">
        <f>"442"</f>
        <v>442</v>
      </c>
      <c r="I2009" s="26" t="str">
        <f t="shared" si="325"/>
        <v>00</v>
      </c>
      <c r="J2009" s="26" t="str">
        <f>"44 "</f>
        <v xml:space="preserve">44 </v>
      </c>
      <c r="K2009" s="26" t="str">
        <f>"PR"</f>
        <v>PR</v>
      </c>
      <c r="L2009" s="26" t="str">
        <f>"DGOSE"</f>
        <v>DGOSE</v>
      </c>
      <c r="M2009" s="26" t="str">
        <f t="shared" si="326"/>
        <v>FEDERAL</v>
      </c>
      <c r="N2009" s="26">
        <v>198</v>
      </c>
      <c r="O2009" s="26">
        <v>87</v>
      </c>
      <c r="P2009" s="26">
        <v>111</v>
      </c>
      <c r="Q2009" s="26">
        <v>6</v>
      </c>
      <c r="R2009" s="26">
        <v>1</v>
      </c>
      <c r="S2009" s="26">
        <v>6</v>
      </c>
      <c r="T2009" s="26">
        <v>9</v>
      </c>
      <c r="U2009" s="26">
        <v>16</v>
      </c>
      <c r="V2009" s="26">
        <v>1</v>
      </c>
      <c r="W2009" s="26" t="s">
        <v>218</v>
      </c>
    </row>
    <row r="2010" spans="1:23" x14ac:dyDescent="0.25">
      <c r="A2010" s="26" t="str">
        <f t="shared" si="324"/>
        <v>PRIMARIA</v>
      </c>
      <c r="B2010" s="26" t="str">
        <f>"09DPR5099W"</f>
        <v>09DPR5099W</v>
      </c>
      <c r="C2010" s="26" t="str">
        <f>"FELIPE CARRILLO PUERTO                                                                              "</f>
        <v xml:space="preserve">FELIPE CARRILLO PUERTO                                                                              </v>
      </c>
      <c r="D2010" s="26" t="str">
        <f>"VESPERTINO"</f>
        <v>VESPERTINO</v>
      </c>
      <c r="E2010" s="26" t="str">
        <f>"CDA. SIEMPREVIVA S/N                                                            "</f>
        <v xml:space="preserve">CDA. SIEMPREVIVA S/N                                                            </v>
      </c>
      <c r="F2010" s="26" t="str">
        <f>"LOMAS SAN LORENZO                                                                                                                           "</f>
        <v xml:space="preserve">LOMAS SAN LORENZO                                                                                                                           </v>
      </c>
      <c r="G2010" s="26" t="str">
        <f>"IZTAPALAPA                                                                      "</f>
        <v xml:space="preserve">IZTAPALAPA                                                                      </v>
      </c>
      <c r="H2010" s="26" t="str">
        <f>"047"</f>
        <v>047</v>
      </c>
      <c r="I2010" s="26" t="str">
        <f t="shared" si="325"/>
        <v>00</v>
      </c>
      <c r="J2010" s="26" t="str">
        <f>"63 "</f>
        <v xml:space="preserve">63 </v>
      </c>
      <c r="K2010" s="26" t="str">
        <f>"IZ"</f>
        <v>IZ</v>
      </c>
      <c r="L2010" s="26" t="str">
        <f>"DGSEI"</f>
        <v>DGSEI</v>
      </c>
      <c r="M2010" s="26" t="str">
        <f t="shared" si="326"/>
        <v>FEDERAL</v>
      </c>
      <c r="N2010" s="26">
        <v>254</v>
      </c>
      <c r="O2010" s="26">
        <v>121</v>
      </c>
      <c r="P2010" s="26">
        <v>133</v>
      </c>
      <c r="Q2010" s="26">
        <v>8</v>
      </c>
      <c r="R2010" s="26">
        <v>1</v>
      </c>
      <c r="S2010" s="26">
        <v>7</v>
      </c>
      <c r="T2010" s="26">
        <v>6</v>
      </c>
      <c r="U2010" s="26">
        <v>14</v>
      </c>
      <c r="V2010" s="26">
        <v>1</v>
      </c>
      <c r="W2010" s="26"/>
    </row>
    <row r="2011" spans="1:23" x14ac:dyDescent="0.25">
      <c r="A2011" s="26" t="str">
        <f t="shared" si="324"/>
        <v>PRIMARIA</v>
      </c>
      <c r="B2011" s="26" t="str">
        <f>"09DPR5100V"</f>
        <v>09DPR5100V</v>
      </c>
      <c r="C2011" s="26" t="str">
        <f>"JOSE MARIA CHAVEZ ANDRADE                                                                           "</f>
        <v xml:space="preserve">JOSE MARIA CHAVEZ ANDRADE                                                                           </v>
      </c>
      <c r="D2011" s="26" t="str">
        <f>"MATUTINO"</f>
        <v>MATUTINO</v>
      </c>
      <c r="E2011" s="26" t="str">
        <f>"CACTUS Y MAGUEY S/N                                                             "</f>
        <v xml:space="preserve">CACTUS Y MAGUEY S/N                                                             </v>
      </c>
      <c r="F2011" s="26" t="str">
        <f>"CRUZ DEL FAROL                                                                                                                              "</f>
        <v xml:space="preserve">CRUZ DEL FAROL                                                                                                                              </v>
      </c>
      <c r="G2011" s="26" t="str">
        <f>"TLALPAN                                                                         "</f>
        <v xml:space="preserve">TLALPAN                                                                         </v>
      </c>
      <c r="H2011" s="26" t="str">
        <f>"515"</f>
        <v>515</v>
      </c>
      <c r="I2011" s="26" t="str">
        <f t="shared" si="325"/>
        <v>00</v>
      </c>
      <c r="J2011" s="26" t="str">
        <f>"45 "</f>
        <v xml:space="preserve">45 </v>
      </c>
      <c r="K2011" s="26" t="str">
        <f>"PR"</f>
        <v>PR</v>
      </c>
      <c r="L2011" s="26" t="str">
        <f>"DGOSE"</f>
        <v>DGOSE</v>
      </c>
      <c r="M2011" s="26" t="str">
        <f t="shared" si="326"/>
        <v>FEDERAL</v>
      </c>
      <c r="N2011" s="26">
        <v>448</v>
      </c>
      <c r="O2011" s="26">
        <v>228</v>
      </c>
      <c r="P2011" s="26">
        <v>220</v>
      </c>
      <c r="Q2011" s="26">
        <v>12</v>
      </c>
      <c r="R2011" s="26">
        <v>1</v>
      </c>
      <c r="S2011" s="26">
        <v>12</v>
      </c>
      <c r="T2011" s="26">
        <v>4</v>
      </c>
      <c r="U2011" s="26">
        <v>17</v>
      </c>
      <c r="V2011" s="26">
        <v>1</v>
      </c>
      <c r="W2011" s="26"/>
    </row>
    <row r="2012" spans="1:23" x14ac:dyDescent="0.25">
      <c r="A2012" s="26" t="str">
        <f t="shared" si="324"/>
        <v>PRIMARIA</v>
      </c>
      <c r="B2012" s="26" t="str">
        <f>"09DPR5102T"</f>
        <v>09DPR5102T</v>
      </c>
      <c r="C2012" s="26" t="str">
        <f>"ROSA MEXICANO                                                                                       "</f>
        <v xml:space="preserve">ROSA MEXICANO                                                                                       </v>
      </c>
      <c r="D2012" s="26" t="str">
        <f>"JORNADA AMPLIADA"</f>
        <v>JORNADA AMPLIADA</v>
      </c>
      <c r="E2012" s="26" t="str">
        <f>"ANTIGUA VIA LA VENTA S/N                                                        "</f>
        <v xml:space="preserve">ANTIGUA VIA LA VENTA S/N                                                        </v>
      </c>
      <c r="F2012" s="26" t="str">
        <f>"LOMAS DE BECERRA                                                                                                                            "</f>
        <v xml:space="preserve">LOMAS DE BECERRA                                                                                                                            </v>
      </c>
      <c r="G2012" s="26" t="str">
        <f>"ALVARO OBREGON                                                                  "</f>
        <v xml:space="preserve">ALVARO OBREGON                                                                  </v>
      </c>
      <c r="H2012" s="26" t="str">
        <f>"402"</f>
        <v>402</v>
      </c>
      <c r="I2012" s="26" t="str">
        <f t="shared" si="325"/>
        <v>00</v>
      </c>
      <c r="J2012" s="26" t="str">
        <f>"44 "</f>
        <v xml:space="preserve">44 </v>
      </c>
      <c r="K2012" s="26" t="str">
        <f>"PR"</f>
        <v>PR</v>
      </c>
      <c r="L2012" s="26" t="str">
        <f>"DGOSE"</f>
        <v>DGOSE</v>
      </c>
      <c r="M2012" s="26" t="str">
        <f t="shared" si="326"/>
        <v>FEDERAL</v>
      </c>
      <c r="N2012" s="26">
        <v>210</v>
      </c>
      <c r="O2012" s="26">
        <v>93</v>
      </c>
      <c r="P2012" s="26">
        <v>117</v>
      </c>
      <c r="Q2012" s="26">
        <v>8</v>
      </c>
      <c r="R2012" s="26">
        <v>1</v>
      </c>
      <c r="S2012" s="26">
        <v>7</v>
      </c>
      <c r="T2012" s="26">
        <v>8</v>
      </c>
      <c r="U2012" s="26">
        <v>16</v>
      </c>
      <c r="V2012" s="26">
        <v>1</v>
      </c>
      <c r="W2012" s="26" t="s">
        <v>2076</v>
      </c>
    </row>
    <row r="2013" spans="1:23" x14ac:dyDescent="0.25">
      <c r="A2013" s="26" t="str">
        <f t="shared" si="324"/>
        <v>PRIMARIA</v>
      </c>
      <c r="B2013" s="26" t="str">
        <f>"09DPR5103S"</f>
        <v>09DPR5103S</v>
      </c>
      <c r="C2013" s="26" t="str">
        <f>"IGNACIO MANUEL ALTAMIRANO                                                                           "</f>
        <v xml:space="preserve">IGNACIO MANUEL ALTAMIRANO                                                                           </v>
      </c>
      <c r="D2013" s="26" t="str">
        <f>"MATUTINO"</f>
        <v>MATUTINO</v>
      </c>
      <c r="E2013" s="26" t="str">
        <f>"REFORMA AERONAUTICA S/N.                                                        "</f>
        <v xml:space="preserve">REFORMA AERONAUTICA S/N.                                                        </v>
      </c>
      <c r="F2013" s="26" t="str">
        <f>"REFORMA POLITICA                                                                                                                            "</f>
        <v xml:space="preserve">REFORMA POLITICA                                                                                                                            </v>
      </c>
      <c r="G2013" s="26" t="str">
        <f>"IZTAPALAPA                                                                      "</f>
        <v xml:space="preserve">IZTAPALAPA                                                                      </v>
      </c>
      <c r="H2013" s="26" t="str">
        <f>"061"</f>
        <v>061</v>
      </c>
      <c r="I2013" s="26" t="str">
        <f t="shared" si="325"/>
        <v>00</v>
      </c>
      <c r="J2013" s="26" t="str">
        <f>"64 "</f>
        <v xml:space="preserve">64 </v>
      </c>
      <c r="K2013" s="26" t="str">
        <f>"IZ"</f>
        <v>IZ</v>
      </c>
      <c r="L2013" s="26" t="str">
        <f>"DGSEI"</f>
        <v>DGSEI</v>
      </c>
      <c r="M2013" s="26" t="str">
        <f t="shared" si="326"/>
        <v>FEDERAL</v>
      </c>
      <c r="N2013" s="26">
        <v>397</v>
      </c>
      <c r="O2013" s="26">
        <v>206</v>
      </c>
      <c r="P2013" s="26">
        <v>191</v>
      </c>
      <c r="Q2013" s="26">
        <v>10</v>
      </c>
      <c r="R2013" s="26">
        <v>1</v>
      </c>
      <c r="S2013" s="26">
        <v>10</v>
      </c>
      <c r="T2013" s="26">
        <v>4</v>
      </c>
      <c r="U2013" s="26">
        <v>15</v>
      </c>
      <c r="V2013" s="26">
        <v>1</v>
      </c>
      <c r="W2013" s="26"/>
    </row>
    <row r="2014" spans="1:23" x14ac:dyDescent="0.25">
      <c r="A2014" s="26" t="str">
        <f t="shared" si="324"/>
        <v>PRIMARIA</v>
      </c>
      <c r="B2014" s="26" t="str">
        <f>"09DPR5104R"</f>
        <v>09DPR5104R</v>
      </c>
      <c r="C2014" s="26" t="str">
        <f>"MURALISTA ALFREDO ZALCE                                                                             "</f>
        <v xml:space="preserve">MURALISTA ALFREDO ZALCE                                                                             </v>
      </c>
      <c r="D2014" s="26" t="str">
        <f>"MATUTINO"</f>
        <v>MATUTINO</v>
      </c>
      <c r="E2014" s="26" t="str">
        <f>"BILBAO S/N Y AV. 11                                                             "</f>
        <v xml:space="preserve">BILBAO S/N Y AV. 11                                                             </v>
      </c>
      <c r="F2014" s="26" t="str">
        <f>"CERRO DE LA ESTRELLA                                                                                                                        "</f>
        <v xml:space="preserve">CERRO DE LA ESTRELLA                                                                                                                        </v>
      </c>
      <c r="G2014" s="26" t="str">
        <f>"IZTAPALAPA                                                                      "</f>
        <v xml:space="preserve">IZTAPALAPA                                                                      </v>
      </c>
      <c r="H2014" s="26" t="str">
        <f>"045"</f>
        <v>045</v>
      </c>
      <c r="I2014" s="26" t="str">
        <f t="shared" si="325"/>
        <v>00</v>
      </c>
      <c r="J2014" s="26" t="str">
        <f>"63 "</f>
        <v xml:space="preserve">63 </v>
      </c>
      <c r="K2014" s="26" t="str">
        <f>"IZ"</f>
        <v>IZ</v>
      </c>
      <c r="L2014" s="26" t="str">
        <f>"DGSEI"</f>
        <v>DGSEI</v>
      </c>
      <c r="M2014" s="26" t="str">
        <f t="shared" si="326"/>
        <v>FEDERAL</v>
      </c>
      <c r="N2014" s="26">
        <v>474</v>
      </c>
      <c r="O2014" s="26">
        <v>223</v>
      </c>
      <c r="P2014" s="26">
        <v>251</v>
      </c>
      <c r="Q2014" s="26">
        <v>16</v>
      </c>
      <c r="R2014" s="26">
        <v>1</v>
      </c>
      <c r="S2014" s="26">
        <v>16</v>
      </c>
      <c r="T2014" s="26">
        <v>7</v>
      </c>
      <c r="U2014" s="26">
        <v>24</v>
      </c>
      <c r="V2014" s="26">
        <v>1</v>
      </c>
      <c r="W2014" s="26"/>
    </row>
    <row r="2015" spans="1:23" x14ac:dyDescent="0.25">
      <c r="A2015" s="26" t="str">
        <f t="shared" si="324"/>
        <v>PRIMARIA</v>
      </c>
      <c r="B2015" s="26" t="str">
        <f>"09DPR5105Q"</f>
        <v>09DPR5105Q</v>
      </c>
      <c r="C2015" s="26" t="str">
        <f>"JAIME SABINES                                                                                       "</f>
        <v xml:space="preserve">JAIME SABINES                                                                                       </v>
      </c>
      <c r="D2015" s="26" t="str">
        <f>"TIEMPO COMPLETO"</f>
        <v>TIEMPO COMPLETO</v>
      </c>
      <c r="E2015" s="26" t="str">
        <f>"NOCHEBUENA Y AV. CAÑADA S/N                                                     "</f>
        <v xml:space="preserve">NOCHEBUENA Y AV. CAÑADA S/N                                                     </v>
      </c>
      <c r="F2015" s="26" t="str">
        <f>"SAN PABLO 2A SECCION                                                                                                                        "</f>
        <v xml:space="preserve">SAN PABLO 2A SECCION                                                                                                                        </v>
      </c>
      <c r="G2015" s="26" t="str">
        <f>"IZTAPALAPA                                                                      "</f>
        <v xml:space="preserve">IZTAPALAPA                                                                      </v>
      </c>
      <c r="H2015" s="26" t="str">
        <f>"011"</f>
        <v>011</v>
      </c>
      <c r="I2015" s="26" t="str">
        <f t="shared" si="325"/>
        <v>00</v>
      </c>
      <c r="J2015" s="26" t="str">
        <f>"61 "</f>
        <v xml:space="preserve">61 </v>
      </c>
      <c r="K2015" s="26" t="str">
        <f>"IZ"</f>
        <v>IZ</v>
      </c>
      <c r="L2015" s="26" t="str">
        <f>"DGSEI"</f>
        <v>DGSEI</v>
      </c>
      <c r="M2015" s="26" t="str">
        <f t="shared" si="326"/>
        <v>FEDERAL</v>
      </c>
      <c r="N2015" s="26">
        <v>426</v>
      </c>
      <c r="O2015" s="26">
        <v>202</v>
      </c>
      <c r="P2015" s="26">
        <v>224</v>
      </c>
      <c r="Q2015" s="26">
        <v>13</v>
      </c>
      <c r="R2015" s="26">
        <v>1</v>
      </c>
      <c r="S2015" s="26">
        <v>13</v>
      </c>
      <c r="T2015" s="26">
        <v>8</v>
      </c>
      <c r="U2015" s="26">
        <v>22</v>
      </c>
      <c r="V2015" s="26">
        <v>1</v>
      </c>
      <c r="W2015" s="26" t="s">
        <v>218</v>
      </c>
    </row>
    <row r="2016" spans="1:23" x14ac:dyDescent="0.25">
      <c r="A2016" s="26" t="str">
        <f t="shared" si="324"/>
        <v>PRIMARIA</v>
      </c>
      <c r="B2016" s="26" t="str">
        <f>"09DPR5106P"</f>
        <v>09DPR5106P</v>
      </c>
      <c r="C2016" s="26" t="str">
        <f>"TETLALMANCHE                                                                                        "</f>
        <v xml:space="preserve">TETLALMANCHE                                                                                        </v>
      </c>
      <c r="D2016" s="26" t="str">
        <f>"TIEMPO COMPLETO"</f>
        <v>TIEMPO COMPLETO</v>
      </c>
      <c r="E2016" s="26" t="str">
        <f>"PREDIO NO. 68 CDA. PALMITAS                                                     "</f>
        <v xml:space="preserve">PREDIO NO. 68 CDA. PALMITAS                                                     </v>
      </c>
      <c r="F2016" s="26" t="str">
        <f>"SAN MIGUEL TEOTONGO                                                                                                                         "</f>
        <v xml:space="preserve">SAN MIGUEL TEOTONGO                                                                                                                         </v>
      </c>
      <c r="G2016" s="26" t="str">
        <f>"IZTAPALAPA                                                                      "</f>
        <v xml:space="preserve">IZTAPALAPA                                                                      </v>
      </c>
      <c r="H2016" s="26" t="str">
        <f>"012"</f>
        <v>012</v>
      </c>
      <c r="I2016" s="26" t="str">
        <f t="shared" si="325"/>
        <v>00</v>
      </c>
      <c r="J2016" s="26" t="str">
        <f>"61 "</f>
        <v xml:space="preserve">61 </v>
      </c>
      <c r="K2016" s="26" t="str">
        <f>"IZ"</f>
        <v>IZ</v>
      </c>
      <c r="L2016" s="26" t="str">
        <f>"DGSEI"</f>
        <v>DGSEI</v>
      </c>
      <c r="M2016" s="26" t="str">
        <f t="shared" si="326"/>
        <v>FEDERAL</v>
      </c>
      <c r="N2016" s="26">
        <v>482</v>
      </c>
      <c r="O2016" s="26">
        <v>231</v>
      </c>
      <c r="P2016" s="26">
        <v>251</v>
      </c>
      <c r="Q2016" s="26">
        <v>14</v>
      </c>
      <c r="R2016" s="26">
        <v>1</v>
      </c>
      <c r="S2016" s="26">
        <v>14</v>
      </c>
      <c r="T2016" s="26">
        <v>9</v>
      </c>
      <c r="U2016" s="26">
        <v>24</v>
      </c>
      <c r="V2016" s="26">
        <v>1</v>
      </c>
      <c r="W2016" s="26" t="s">
        <v>218</v>
      </c>
    </row>
    <row r="2017" spans="1:23" x14ac:dyDescent="0.25">
      <c r="A2017" s="26" t="str">
        <f t="shared" si="324"/>
        <v>PRIMARIA</v>
      </c>
      <c r="B2017" s="26" t="str">
        <f>"09DPR5107O"</f>
        <v>09DPR5107O</v>
      </c>
      <c r="C2017" s="26" t="str">
        <f>"IGNACIO MANUEL ALTAMIRANO                                                                           "</f>
        <v xml:space="preserve">IGNACIO MANUEL ALTAMIRANO                                                                           </v>
      </c>
      <c r="D2017" s="26" t="str">
        <f>"VESPERTINO"</f>
        <v>VESPERTINO</v>
      </c>
      <c r="E2017" s="26" t="str">
        <f>"REFORMA AERONAUTICA S/N                                                         "</f>
        <v xml:space="preserve">REFORMA AERONAUTICA S/N                                                         </v>
      </c>
      <c r="F2017" s="26" t="str">
        <f>"REFORMA POLITICA                                                                                                                            "</f>
        <v xml:space="preserve">REFORMA POLITICA                                                                                                                            </v>
      </c>
      <c r="G2017" s="26" t="str">
        <f>"IZTAPALAPA                                                                      "</f>
        <v xml:space="preserve">IZTAPALAPA                                                                      </v>
      </c>
      <c r="H2017" s="26" t="str">
        <f>"061"</f>
        <v>061</v>
      </c>
      <c r="I2017" s="26" t="str">
        <f t="shared" si="325"/>
        <v>00</v>
      </c>
      <c r="J2017" s="26" t="str">
        <f>"64 "</f>
        <v xml:space="preserve">64 </v>
      </c>
      <c r="K2017" s="26" t="str">
        <f>"IZ"</f>
        <v>IZ</v>
      </c>
      <c r="L2017" s="26" t="str">
        <f>"DGSEI"</f>
        <v>DGSEI</v>
      </c>
      <c r="M2017" s="26" t="str">
        <f t="shared" si="326"/>
        <v>FEDERAL</v>
      </c>
      <c r="N2017" s="26">
        <v>371</v>
      </c>
      <c r="O2017" s="26">
        <v>182</v>
      </c>
      <c r="P2017" s="26">
        <v>189</v>
      </c>
      <c r="Q2017" s="26">
        <v>10</v>
      </c>
      <c r="R2017" s="26">
        <v>1</v>
      </c>
      <c r="S2017" s="26">
        <v>10</v>
      </c>
      <c r="T2017" s="26">
        <v>3</v>
      </c>
      <c r="U2017" s="26">
        <v>14</v>
      </c>
      <c r="V2017" s="26">
        <v>1</v>
      </c>
      <c r="W2017" s="26"/>
    </row>
    <row r="2018" spans="1:23" x14ac:dyDescent="0.25">
      <c r="A2018" s="26" t="str">
        <f t="shared" si="324"/>
        <v>PRIMARIA</v>
      </c>
      <c r="B2018" s="26" t="str">
        <f>"09DPR5108N"</f>
        <v>09DPR5108N</v>
      </c>
      <c r="C2018" s="26" t="str">
        <f>"MARGARITA MAGON DE FLORES                                                                           "</f>
        <v xml:space="preserve">MARGARITA MAGON DE FLORES                                                                           </v>
      </c>
      <c r="D2018" s="26" t="str">
        <f>"VESPERTINO"</f>
        <v>VESPERTINO</v>
      </c>
      <c r="E2018" s="26" t="str">
        <f>"AV. HIDALGO S/N                                                                 "</f>
        <v xml:space="preserve">AV. HIDALGO S/N                                                                 </v>
      </c>
      <c r="F2018" s="26" t="str">
        <f>"SAN LORENZO ATEMOAYA                                                                                                                        "</f>
        <v xml:space="preserve">SAN LORENZO ATEMOAYA                                                                                                                        </v>
      </c>
      <c r="G2018" s="26" t="str">
        <f>"XOCHIMILCO                                                                      "</f>
        <v xml:space="preserve">XOCHIMILCO                                                                      </v>
      </c>
      <c r="H2018" s="26" t="str">
        <f>"540"</f>
        <v>540</v>
      </c>
      <c r="I2018" s="26" t="str">
        <f t="shared" si="325"/>
        <v>00</v>
      </c>
      <c r="J2018" s="26" t="str">
        <f>"45 "</f>
        <v xml:space="preserve">45 </v>
      </c>
      <c r="K2018" s="26" t="str">
        <f t="shared" ref="K2018:K2023" si="335">"PR"</f>
        <v>PR</v>
      </c>
      <c r="L2018" s="26" t="str">
        <f t="shared" ref="L2018:L2023" si="336">"DGOSE"</f>
        <v>DGOSE</v>
      </c>
      <c r="M2018" s="26" t="str">
        <f t="shared" si="326"/>
        <v>FEDERAL</v>
      </c>
      <c r="N2018" s="26">
        <v>391</v>
      </c>
      <c r="O2018" s="26">
        <v>201</v>
      </c>
      <c r="P2018" s="26">
        <v>190</v>
      </c>
      <c r="Q2018" s="26">
        <v>14</v>
      </c>
      <c r="R2018" s="26">
        <v>1</v>
      </c>
      <c r="S2018" s="26">
        <v>14</v>
      </c>
      <c r="T2018" s="26">
        <v>8</v>
      </c>
      <c r="U2018" s="26">
        <v>23</v>
      </c>
      <c r="V2018" s="26">
        <v>1</v>
      </c>
      <c r="W2018" s="26"/>
    </row>
    <row r="2019" spans="1:23" x14ac:dyDescent="0.25">
      <c r="A2019" s="26" t="str">
        <f t="shared" si="324"/>
        <v>PRIMARIA</v>
      </c>
      <c r="B2019" s="26" t="str">
        <f>"09DPR5109M"</f>
        <v>09DPR5109M</v>
      </c>
      <c r="C2019" s="26" t="str">
        <f>"LINAJE AZTECA                                                                                       "</f>
        <v xml:space="preserve">LINAJE AZTECA                                                                                       </v>
      </c>
      <c r="D2019" s="26" t="str">
        <f>"VESPERTINO"</f>
        <v>VESPERTINO</v>
      </c>
      <c r="E2019" s="26" t="str">
        <f>"SOR JUANA INES DE LA CRUZ S/N                                                   "</f>
        <v xml:space="preserve">SOR JUANA INES DE LA CRUZ S/N                                                   </v>
      </c>
      <c r="F2019" s="26" t="str">
        <f>"VILLA CENTROAMERICANA Y DEL CARIBE                                                                                                          "</f>
        <v xml:space="preserve">VILLA CENTROAMERICANA Y DEL CARIBE                                                                                                          </v>
      </c>
      <c r="G2019" s="26" t="str">
        <f>"TLAHUAC                                                                         "</f>
        <v xml:space="preserve">TLAHUAC                                                                         </v>
      </c>
      <c r="H2019" s="26" t="str">
        <f>"551"</f>
        <v>551</v>
      </c>
      <c r="I2019" s="26" t="str">
        <f t="shared" si="325"/>
        <v>00</v>
      </c>
      <c r="J2019" s="26" t="str">
        <f>"45 "</f>
        <v xml:space="preserve">45 </v>
      </c>
      <c r="K2019" s="26" t="str">
        <f t="shared" si="335"/>
        <v>PR</v>
      </c>
      <c r="L2019" s="26" t="str">
        <f t="shared" si="336"/>
        <v>DGOSE</v>
      </c>
      <c r="M2019" s="26" t="str">
        <f t="shared" si="326"/>
        <v>FEDERAL</v>
      </c>
      <c r="N2019" s="26">
        <v>316</v>
      </c>
      <c r="O2019" s="26">
        <v>161</v>
      </c>
      <c r="P2019" s="26">
        <v>155</v>
      </c>
      <c r="Q2019" s="26">
        <v>14</v>
      </c>
      <c r="R2019" s="26">
        <v>1</v>
      </c>
      <c r="S2019" s="26">
        <v>13</v>
      </c>
      <c r="T2019" s="26">
        <v>8</v>
      </c>
      <c r="U2019" s="26">
        <v>22</v>
      </c>
      <c r="V2019" s="26">
        <v>1</v>
      </c>
      <c r="W2019" s="26"/>
    </row>
    <row r="2020" spans="1:23" x14ac:dyDescent="0.25">
      <c r="A2020" s="26" t="str">
        <f t="shared" si="324"/>
        <v>PRIMARIA</v>
      </c>
      <c r="B2020" s="26" t="str">
        <f>"09DPR5110B"</f>
        <v>09DPR5110B</v>
      </c>
      <c r="C2020" s="26" t="str">
        <f>"JOSE MARIA CHAVEZ ANDRADE                                                                           "</f>
        <v xml:space="preserve">JOSE MARIA CHAVEZ ANDRADE                                                                           </v>
      </c>
      <c r="D2020" s="26" t="str">
        <f>"VESPERTINO"</f>
        <v>VESPERTINO</v>
      </c>
      <c r="E2020" s="26" t="str">
        <f>"CACTUS Y MAGUEY                                                                 "</f>
        <v xml:space="preserve">CACTUS Y MAGUEY                                                                 </v>
      </c>
      <c r="F2020" s="26" t="str">
        <f>"CRUZ DEL FAROL                                                                                                                              "</f>
        <v xml:space="preserve">CRUZ DEL FAROL                                                                                                                              </v>
      </c>
      <c r="G2020" s="26" t="str">
        <f>"TLALPAN                                                                         "</f>
        <v xml:space="preserve">TLALPAN                                                                         </v>
      </c>
      <c r="H2020" s="26" t="str">
        <f>"515"</f>
        <v>515</v>
      </c>
      <c r="I2020" s="26" t="str">
        <f t="shared" si="325"/>
        <v>00</v>
      </c>
      <c r="J2020" s="26" t="str">
        <f>"45 "</f>
        <v xml:space="preserve">45 </v>
      </c>
      <c r="K2020" s="26" t="str">
        <f t="shared" si="335"/>
        <v>PR</v>
      </c>
      <c r="L2020" s="26" t="str">
        <f t="shared" si="336"/>
        <v>DGOSE</v>
      </c>
      <c r="M2020" s="26" t="str">
        <f t="shared" si="326"/>
        <v>FEDERAL</v>
      </c>
      <c r="N2020" s="26">
        <v>391</v>
      </c>
      <c r="O2020" s="26">
        <v>215</v>
      </c>
      <c r="P2020" s="26">
        <v>176</v>
      </c>
      <c r="Q2020" s="26">
        <v>12</v>
      </c>
      <c r="R2020" s="26">
        <v>1</v>
      </c>
      <c r="S2020" s="26">
        <v>12</v>
      </c>
      <c r="T2020" s="26">
        <v>6</v>
      </c>
      <c r="U2020" s="26">
        <v>19</v>
      </c>
      <c r="V2020" s="26">
        <v>1</v>
      </c>
      <c r="W2020" s="26"/>
    </row>
    <row r="2021" spans="1:23" x14ac:dyDescent="0.25">
      <c r="A2021" s="26" t="str">
        <f t="shared" si="324"/>
        <v>PRIMARIA</v>
      </c>
      <c r="B2021" s="26" t="str">
        <f>"09DPR5111A"</f>
        <v>09DPR5111A</v>
      </c>
      <c r="C2021" s="26" t="str">
        <f>"FRANCISCO HERNANDEZ MERCADO                                                                         "</f>
        <v xml:space="preserve">FRANCISCO HERNANDEZ MERCADO                                                                         </v>
      </c>
      <c r="D2021" s="26" t="str">
        <f>"TIEMPO COMPLETO"</f>
        <v>TIEMPO COMPLETO</v>
      </c>
      <c r="E2021" s="26" t="str">
        <f>"ALFONSO CORONA DEL ROSAL S/N                                                    "</f>
        <v xml:space="preserve">ALFONSO CORONA DEL ROSAL S/N                                                    </v>
      </c>
      <c r="F2021" s="26" t="str">
        <f>"DEL CARMEN CUAUTEPEC                                                                                                                        "</f>
        <v xml:space="preserve">DEL CARMEN CUAUTEPEC                                                                                                                        </v>
      </c>
      <c r="G2021" s="26" t="str">
        <f>"GUSTAVO A. MADERO                                                               "</f>
        <v xml:space="preserve">GUSTAVO A. MADERO                                                               </v>
      </c>
      <c r="H2021" s="26" t="str">
        <f>"131"</f>
        <v>131</v>
      </c>
      <c r="I2021" s="26" t="str">
        <f t="shared" si="325"/>
        <v>00</v>
      </c>
      <c r="J2021" s="26" t="str">
        <f>"41 "</f>
        <v xml:space="preserve">41 </v>
      </c>
      <c r="K2021" s="26" t="str">
        <f t="shared" si="335"/>
        <v>PR</v>
      </c>
      <c r="L2021" s="26" t="str">
        <f t="shared" si="336"/>
        <v>DGOSE</v>
      </c>
      <c r="M2021" s="26" t="str">
        <f t="shared" si="326"/>
        <v>FEDERAL</v>
      </c>
      <c r="N2021" s="26">
        <v>145</v>
      </c>
      <c r="O2021" s="26">
        <v>78</v>
      </c>
      <c r="P2021" s="26">
        <v>67</v>
      </c>
      <c r="Q2021" s="26">
        <v>6</v>
      </c>
      <c r="R2021" s="26">
        <v>1</v>
      </c>
      <c r="S2021" s="26">
        <v>6</v>
      </c>
      <c r="T2021" s="26">
        <v>8</v>
      </c>
      <c r="U2021" s="26">
        <v>15</v>
      </c>
      <c r="V2021" s="26">
        <v>1</v>
      </c>
      <c r="W2021" s="26" t="s">
        <v>218</v>
      </c>
    </row>
    <row r="2022" spans="1:23" x14ac:dyDescent="0.25">
      <c r="A2022" s="26" t="str">
        <f t="shared" si="324"/>
        <v>PRIMARIA</v>
      </c>
      <c r="B2022" s="26" t="str">
        <f>"09DPR5112Z"</f>
        <v>09DPR5112Z</v>
      </c>
      <c r="C2022" s="26" t="str">
        <f>"EULALIA GUZMAN BARRON                                                                               "</f>
        <v xml:space="preserve">EULALIA GUZMAN BARRON                                                                               </v>
      </c>
      <c r="D2022" s="26" t="str">
        <f>"VESPERTINO"</f>
        <v>VESPERTINO</v>
      </c>
      <c r="E2022" s="26" t="str">
        <f>"ANGEL REYES S/N                                                                 "</f>
        <v xml:space="preserve">ANGEL REYES S/N                                                                 </v>
      </c>
      <c r="F2022" s="26" t="str">
        <f>"HERON PROAL                                                                                                                                 "</f>
        <v xml:space="preserve">HERON PROAL                                                                                                                                 </v>
      </c>
      <c r="G2022" s="26" t="str">
        <f>"ALVARO OBREGON                                                                  "</f>
        <v xml:space="preserve">ALVARO OBREGON                                                                  </v>
      </c>
      <c r="H2022" s="26" t="str">
        <f>"323"</f>
        <v>323</v>
      </c>
      <c r="I2022" s="26" t="str">
        <f t="shared" si="325"/>
        <v>00</v>
      </c>
      <c r="J2022" s="26" t="str">
        <f>"43 "</f>
        <v xml:space="preserve">43 </v>
      </c>
      <c r="K2022" s="26" t="str">
        <f t="shared" si="335"/>
        <v>PR</v>
      </c>
      <c r="L2022" s="26" t="str">
        <f t="shared" si="336"/>
        <v>DGOSE</v>
      </c>
      <c r="M2022" s="26" t="str">
        <f t="shared" si="326"/>
        <v>FEDERAL</v>
      </c>
      <c r="N2022" s="26">
        <v>247</v>
      </c>
      <c r="O2022" s="26">
        <v>136</v>
      </c>
      <c r="P2022" s="26">
        <v>111</v>
      </c>
      <c r="Q2022" s="26">
        <v>9</v>
      </c>
      <c r="R2022" s="26">
        <v>1</v>
      </c>
      <c r="S2022" s="26">
        <v>9</v>
      </c>
      <c r="T2022" s="26">
        <v>6</v>
      </c>
      <c r="U2022" s="26">
        <v>16</v>
      </c>
      <c r="V2022" s="26">
        <v>1</v>
      </c>
      <c r="W2022" s="26"/>
    </row>
    <row r="2023" spans="1:23" x14ac:dyDescent="0.25">
      <c r="A2023" s="26" t="str">
        <f t="shared" si="324"/>
        <v>PRIMARIA</v>
      </c>
      <c r="B2023" s="26" t="str">
        <f>"09DPR5113Z"</f>
        <v>09DPR5113Z</v>
      </c>
      <c r="C2023" s="26" t="str">
        <f>"REPUBLICA DE LA INDIA                                                                               "</f>
        <v xml:space="preserve">REPUBLICA DE LA INDIA                                                                               </v>
      </c>
      <c r="D2023" s="26" t="str">
        <f>"VESPERTINO"</f>
        <v>VESPERTINO</v>
      </c>
      <c r="E2023" s="26" t="str">
        <f>"CONSTITUCION NUM 20                                                             "</f>
        <v xml:space="preserve">CONSTITUCION NUM 20                                                             </v>
      </c>
      <c r="F2023" s="26" t="str">
        <f>"SAN FRANCISCO TLALNEPANTLA                                                                                                                  "</f>
        <v xml:space="preserve">SAN FRANCISCO TLALNEPANTLA                                                                                                                  </v>
      </c>
      <c r="G2023" s="26" t="str">
        <f>"XOCHIMILCO                                                                      "</f>
        <v xml:space="preserve">XOCHIMILCO                                                                      </v>
      </c>
      <c r="H2023" s="26" t="str">
        <f>"541"</f>
        <v>541</v>
      </c>
      <c r="I2023" s="26" t="str">
        <f t="shared" si="325"/>
        <v>00</v>
      </c>
      <c r="J2023" s="26" t="str">
        <f>"45 "</f>
        <v xml:space="preserve">45 </v>
      </c>
      <c r="K2023" s="26" t="str">
        <f t="shared" si="335"/>
        <v>PR</v>
      </c>
      <c r="L2023" s="26" t="str">
        <f t="shared" si="336"/>
        <v>DGOSE</v>
      </c>
      <c r="M2023" s="26" t="str">
        <f t="shared" si="326"/>
        <v>FEDERAL</v>
      </c>
      <c r="N2023" s="26">
        <v>209</v>
      </c>
      <c r="O2023" s="26">
        <v>122</v>
      </c>
      <c r="P2023" s="26">
        <v>87</v>
      </c>
      <c r="Q2023" s="26">
        <v>8</v>
      </c>
      <c r="R2023" s="26">
        <v>1</v>
      </c>
      <c r="S2023" s="26">
        <v>8</v>
      </c>
      <c r="T2023" s="26">
        <v>6</v>
      </c>
      <c r="U2023" s="26">
        <v>15</v>
      </c>
      <c r="V2023" s="26">
        <v>1</v>
      </c>
      <c r="W2023" s="26"/>
    </row>
    <row r="2024" spans="1:23" x14ac:dyDescent="0.25">
      <c r="A2024" s="26" t="str">
        <f t="shared" si="324"/>
        <v>PRIMARIA</v>
      </c>
      <c r="B2024" s="26" t="str">
        <f>"09DPR5114Y"</f>
        <v>09DPR5114Y</v>
      </c>
      <c r="C2024" s="26" t="str">
        <f>"LUCIO CABAÑAS BARRIENTOS                                                                            "</f>
        <v xml:space="preserve">LUCIO CABAÑAS BARRIENTOS                                                                            </v>
      </c>
      <c r="D2024" s="26" t="str">
        <f>"MATUTINO"</f>
        <v>MATUTINO</v>
      </c>
      <c r="E2024" s="26" t="str">
        <f>"VILLA FRIA S/N ESQ. GATINI                                                      "</f>
        <v xml:space="preserve">VILLA FRIA S/N ESQ. GATINI                                                      </v>
      </c>
      <c r="F2024" s="26" t="str">
        <f>"DESARROLLO URBANO QUETZALCOATL                                                                                                              "</f>
        <v xml:space="preserve">DESARROLLO URBANO QUETZALCOATL                                                                                                              </v>
      </c>
      <c r="G2024" s="26" t="str">
        <f>"IZTAPALAPA                                                                      "</f>
        <v xml:space="preserve">IZTAPALAPA                                                                      </v>
      </c>
      <c r="H2024" s="26" t="str">
        <f>"056"</f>
        <v>056</v>
      </c>
      <c r="I2024" s="26" t="str">
        <f t="shared" si="325"/>
        <v>00</v>
      </c>
      <c r="J2024" s="26" t="str">
        <f>"64 "</f>
        <v xml:space="preserve">64 </v>
      </c>
      <c r="K2024" s="26" t="str">
        <f>"IZ"</f>
        <v>IZ</v>
      </c>
      <c r="L2024" s="26" t="str">
        <f>"DGSEI"</f>
        <v>DGSEI</v>
      </c>
      <c r="M2024" s="26" t="str">
        <f t="shared" si="326"/>
        <v>FEDERAL</v>
      </c>
      <c r="N2024" s="26">
        <v>721</v>
      </c>
      <c r="O2024" s="26">
        <v>357</v>
      </c>
      <c r="P2024" s="26">
        <v>364</v>
      </c>
      <c r="Q2024" s="26">
        <v>19</v>
      </c>
      <c r="R2024" s="26">
        <v>1</v>
      </c>
      <c r="S2024" s="26">
        <v>18</v>
      </c>
      <c r="T2024" s="26">
        <v>8</v>
      </c>
      <c r="U2024" s="26">
        <v>27</v>
      </c>
      <c r="V2024" s="26">
        <v>1</v>
      </c>
      <c r="W2024" s="26"/>
    </row>
    <row r="2025" spans="1:23" x14ac:dyDescent="0.25">
      <c r="A2025" s="26" t="str">
        <f t="shared" si="324"/>
        <v>PRIMARIA</v>
      </c>
      <c r="B2025" s="26" t="str">
        <f>"09DPR5115X"</f>
        <v>09DPR5115X</v>
      </c>
      <c r="C2025" s="26" t="str">
        <f>"MURALISTA ALFREDO ZALCE                                                                             "</f>
        <v xml:space="preserve">MURALISTA ALFREDO ZALCE                                                                             </v>
      </c>
      <c r="D2025" s="26" t="str">
        <f>"VESPERTINO"</f>
        <v>VESPERTINO</v>
      </c>
      <c r="E2025" s="26" t="str">
        <f>"BILBAO S/N Y AV. 11                                                             "</f>
        <v xml:space="preserve">BILBAO S/N Y AV. 11                                                             </v>
      </c>
      <c r="F2025" s="26" t="str">
        <f>"CERRO DE LA ESTRELLA                                                                                                                        "</f>
        <v xml:space="preserve">CERRO DE LA ESTRELLA                                                                                                                        </v>
      </c>
      <c r="G2025" s="26" t="str">
        <f>"IZTAPALAPA                                                                      "</f>
        <v xml:space="preserve">IZTAPALAPA                                                                      </v>
      </c>
      <c r="H2025" s="26" t="str">
        <f>"045"</f>
        <v>045</v>
      </c>
      <c r="I2025" s="26" t="str">
        <f t="shared" si="325"/>
        <v>00</v>
      </c>
      <c r="J2025" s="26" t="str">
        <f>"63 "</f>
        <v xml:space="preserve">63 </v>
      </c>
      <c r="K2025" s="26" t="str">
        <f>"IZ"</f>
        <v>IZ</v>
      </c>
      <c r="L2025" s="26" t="str">
        <f>"DGSEI"</f>
        <v>DGSEI</v>
      </c>
      <c r="M2025" s="26" t="str">
        <f t="shared" si="326"/>
        <v>FEDERAL</v>
      </c>
      <c r="N2025" s="26">
        <v>208</v>
      </c>
      <c r="O2025" s="26">
        <v>108</v>
      </c>
      <c r="P2025" s="26">
        <v>100</v>
      </c>
      <c r="Q2025" s="26">
        <v>10</v>
      </c>
      <c r="R2025" s="26">
        <v>1</v>
      </c>
      <c r="S2025" s="26">
        <v>10</v>
      </c>
      <c r="T2025" s="26">
        <v>5</v>
      </c>
      <c r="U2025" s="26">
        <v>16</v>
      </c>
      <c r="V2025" s="26">
        <v>1</v>
      </c>
      <c r="W2025" s="26"/>
    </row>
    <row r="2026" spans="1:23" x14ac:dyDescent="0.25">
      <c r="A2026" s="26" t="str">
        <f t="shared" si="324"/>
        <v>PRIMARIA</v>
      </c>
      <c r="B2026" s="26" t="str">
        <f>"09DPR5116W"</f>
        <v>09DPR5116W</v>
      </c>
      <c r="C2026" s="26" t="str">
        <f>"LUCIO CABAÑAS BARRIENTOS                                                                            "</f>
        <v xml:space="preserve">LUCIO CABAÑAS BARRIENTOS                                                                            </v>
      </c>
      <c r="D2026" s="26" t="str">
        <f>"VESPERTINO"</f>
        <v>VESPERTINO</v>
      </c>
      <c r="E2026" s="26" t="str">
        <f>"VILLA FRIA S/N ESQ. GATINI                                                      "</f>
        <v xml:space="preserve">VILLA FRIA S/N ESQ. GATINI                                                      </v>
      </c>
      <c r="F2026" s="26" t="str">
        <f>"DESARROLLO URBANO QUETZALCOATL                                                                                                              "</f>
        <v xml:space="preserve">DESARROLLO URBANO QUETZALCOATL                                                                                                              </v>
      </c>
      <c r="G2026" s="26" t="str">
        <f>"IZTAPALAPA                                                                      "</f>
        <v xml:space="preserve">IZTAPALAPA                                                                      </v>
      </c>
      <c r="H2026" s="26" t="str">
        <f>"056"</f>
        <v>056</v>
      </c>
      <c r="I2026" s="26" t="str">
        <f t="shared" si="325"/>
        <v>00</v>
      </c>
      <c r="J2026" s="26" t="str">
        <f>"64 "</f>
        <v xml:space="preserve">64 </v>
      </c>
      <c r="K2026" s="26" t="str">
        <f>"IZ"</f>
        <v>IZ</v>
      </c>
      <c r="L2026" s="26" t="str">
        <f>"DGSEI"</f>
        <v>DGSEI</v>
      </c>
      <c r="M2026" s="26" t="str">
        <f t="shared" si="326"/>
        <v>FEDERAL</v>
      </c>
      <c r="N2026" s="26">
        <v>621</v>
      </c>
      <c r="O2026" s="26">
        <v>341</v>
      </c>
      <c r="P2026" s="26">
        <v>280</v>
      </c>
      <c r="Q2026" s="26">
        <v>19</v>
      </c>
      <c r="R2026" s="26">
        <v>1</v>
      </c>
      <c r="S2026" s="26">
        <v>16</v>
      </c>
      <c r="T2026" s="26">
        <v>8</v>
      </c>
      <c r="U2026" s="26">
        <v>25</v>
      </c>
      <c r="V2026" s="26">
        <v>1</v>
      </c>
      <c r="W2026" s="26"/>
    </row>
    <row r="2027" spans="1:23" x14ac:dyDescent="0.25">
      <c r="A2027" s="26" t="str">
        <f t="shared" si="324"/>
        <v>PRIMARIA</v>
      </c>
      <c r="B2027" s="26" t="str">
        <f>"09DPR5118U"</f>
        <v>09DPR5118U</v>
      </c>
      <c r="C2027" s="26" t="str">
        <f>"CALPULLI CALTONGO                                                                                   "</f>
        <v xml:space="preserve">CALPULLI CALTONGO                                                                                   </v>
      </c>
      <c r="D2027" s="26" t="str">
        <f>"VESPERTINO"</f>
        <v>VESPERTINO</v>
      </c>
      <c r="E2027" s="26" t="str">
        <f>"ROBLE S/N                                                                       "</f>
        <v xml:space="preserve">ROBLE S/N                                                                       </v>
      </c>
      <c r="F2027" s="26" t="str">
        <f>"CALTONGO                                                                                                                                    "</f>
        <v xml:space="preserve">CALTONGO                                                                                                                                    </v>
      </c>
      <c r="G2027" s="26" t="str">
        <f>"XOCHIMILCO                                                                      "</f>
        <v xml:space="preserve">XOCHIMILCO                                                                      </v>
      </c>
      <c r="H2027" s="26" t="str">
        <f>"542"</f>
        <v>542</v>
      </c>
      <c r="I2027" s="26" t="str">
        <f t="shared" si="325"/>
        <v>00</v>
      </c>
      <c r="J2027" s="26" t="str">
        <f>"45 "</f>
        <v xml:space="preserve">45 </v>
      </c>
      <c r="K2027" s="26" t="str">
        <f>"PR"</f>
        <v>PR</v>
      </c>
      <c r="L2027" s="26" t="str">
        <f>"DGOSE"</f>
        <v>DGOSE</v>
      </c>
      <c r="M2027" s="26" t="str">
        <f t="shared" si="326"/>
        <v>FEDERAL</v>
      </c>
      <c r="N2027" s="26">
        <v>222</v>
      </c>
      <c r="O2027" s="26">
        <v>120</v>
      </c>
      <c r="P2027" s="26">
        <v>102</v>
      </c>
      <c r="Q2027" s="26">
        <v>6</v>
      </c>
      <c r="R2027" s="26">
        <v>1</v>
      </c>
      <c r="S2027" s="26">
        <v>6</v>
      </c>
      <c r="T2027" s="26">
        <v>4</v>
      </c>
      <c r="U2027" s="26">
        <v>11</v>
      </c>
      <c r="V2027" s="26">
        <v>1</v>
      </c>
      <c r="W2027" s="26"/>
    </row>
    <row r="2028" spans="1:23" x14ac:dyDescent="0.25">
      <c r="A2028" s="26" t="str">
        <f t="shared" si="324"/>
        <v>PRIMARIA</v>
      </c>
      <c r="B2028" s="26" t="str">
        <f>"09DPR5119T"</f>
        <v>09DPR5119T</v>
      </c>
      <c r="C2028" s="26" t="str">
        <f>"QUETZALCOATL                                                                                        "</f>
        <v xml:space="preserve">QUETZALCOATL                                                                                        </v>
      </c>
      <c r="D2028" s="26" t="str">
        <f>"VESPERTINO"</f>
        <v>VESPERTINO</v>
      </c>
      <c r="E2028" s="26" t="str">
        <f>"PUERTO MEXICO S/N                                                               "</f>
        <v xml:space="preserve">PUERTO MEXICO S/N                                                               </v>
      </c>
      <c r="F2028" s="26" t="str">
        <f>"ZENTLAPATL                                                                                                                                  "</f>
        <v xml:space="preserve">ZENTLAPATL                                                                                                                                  </v>
      </c>
      <c r="G2028" s="26" t="str">
        <f>"CUAJIMALPA DE MORELOS                                                           "</f>
        <v xml:space="preserve">CUAJIMALPA DE MORELOS                                                           </v>
      </c>
      <c r="H2028" s="26" t="str">
        <f>"306"</f>
        <v>306</v>
      </c>
      <c r="I2028" s="26" t="str">
        <f t="shared" si="325"/>
        <v>00</v>
      </c>
      <c r="J2028" s="26" t="str">
        <f>"43 "</f>
        <v xml:space="preserve">43 </v>
      </c>
      <c r="K2028" s="26" t="str">
        <f>"PR"</f>
        <v>PR</v>
      </c>
      <c r="L2028" s="26" t="str">
        <f>"DGOSE"</f>
        <v>DGOSE</v>
      </c>
      <c r="M2028" s="26" t="str">
        <f t="shared" si="326"/>
        <v>FEDERAL</v>
      </c>
      <c r="N2028" s="26">
        <v>207</v>
      </c>
      <c r="O2028" s="26">
        <v>110</v>
      </c>
      <c r="P2028" s="26">
        <v>97</v>
      </c>
      <c r="Q2028" s="26">
        <v>6</v>
      </c>
      <c r="R2028" s="26">
        <v>1</v>
      </c>
      <c r="S2028" s="26">
        <v>6</v>
      </c>
      <c r="T2028" s="26">
        <v>4</v>
      </c>
      <c r="U2028" s="26">
        <v>11</v>
      </c>
      <c r="V2028" s="26">
        <v>1</v>
      </c>
      <c r="W2028" s="26"/>
    </row>
    <row r="2029" spans="1:23" x14ac:dyDescent="0.25">
      <c r="A2029" s="26" t="str">
        <f t="shared" si="324"/>
        <v>PRIMARIA</v>
      </c>
      <c r="B2029" s="26" t="str">
        <f>"09DPR5120I"</f>
        <v>09DPR5120I</v>
      </c>
      <c r="C2029" s="26" t="str">
        <f>"MIGUEL HIDALGO Y COSTILLA                                                                           "</f>
        <v xml:space="preserve">MIGUEL HIDALGO Y COSTILLA                                                                           </v>
      </c>
      <c r="D2029" s="26" t="str">
        <f>"VESPERTINO"</f>
        <v>VESPERTINO</v>
      </c>
      <c r="E2029" s="26" t="str">
        <f>"EMILIANO ZAPATA NUM 50                                                          "</f>
        <v xml:space="preserve">EMILIANO ZAPATA NUM 50                                                          </v>
      </c>
      <c r="F2029" s="26" t="str">
        <f>"SAN PABLO OZTOTEPEC                                                                                                                         "</f>
        <v xml:space="preserve">SAN PABLO OZTOTEPEC                                                                                                                         </v>
      </c>
      <c r="G2029" s="26" t="str">
        <f>"MILPA ALTA                                                                      "</f>
        <v xml:space="preserve">MILPA ALTA                                                                      </v>
      </c>
      <c r="H2029" s="26" t="str">
        <f>"565"</f>
        <v>565</v>
      </c>
      <c r="I2029" s="26" t="str">
        <f t="shared" si="325"/>
        <v>00</v>
      </c>
      <c r="J2029" s="26" t="str">
        <f>"45 "</f>
        <v xml:space="preserve">45 </v>
      </c>
      <c r="K2029" s="26" t="str">
        <f>"PR"</f>
        <v>PR</v>
      </c>
      <c r="L2029" s="26" t="str">
        <f>"DGOSE"</f>
        <v>DGOSE</v>
      </c>
      <c r="M2029" s="26" t="str">
        <f t="shared" si="326"/>
        <v>FEDERAL</v>
      </c>
      <c r="N2029" s="26">
        <v>326</v>
      </c>
      <c r="O2029" s="26">
        <v>162</v>
      </c>
      <c r="P2029" s="26">
        <v>164</v>
      </c>
      <c r="Q2029" s="26">
        <v>9</v>
      </c>
      <c r="R2029" s="26">
        <v>1</v>
      </c>
      <c r="S2029" s="26">
        <v>9</v>
      </c>
      <c r="T2029" s="26">
        <v>7</v>
      </c>
      <c r="U2029" s="26">
        <v>17</v>
      </c>
      <c r="V2029" s="26">
        <v>1</v>
      </c>
      <c r="W2029" s="26"/>
    </row>
    <row r="2030" spans="1:23" x14ac:dyDescent="0.25">
      <c r="A2030" s="26" t="str">
        <f t="shared" si="324"/>
        <v>PRIMARIA</v>
      </c>
      <c r="B2030" s="26" t="str">
        <f>"09DPR5121H"</f>
        <v>09DPR5121H</v>
      </c>
      <c r="C2030" s="26" t="str">
        <f>"OCTAVIO PAZ                                                                                         "</f>
        <v xml:space="preserve">OCTAVIO PAZ                                                                                         </v>
      </c>
      <c r="D2030" s="26" t="str">
        <f>"JORNADA AMPLIADA"</f>
        <v>JORNADA AMPLIADA</v>
      </c>
      <c r="E2030" s="26" t="str">
        <f>"CALLE MUYUGUARDA S/N                                                            "</f>
        <v xml:space="preserve">CALLE MUYUGUARDA S/N                                                            </v>
      </c>
      <c r="F2030" s="26" t="str">
        <f>"SAN LORENZO LA CEBADA                                                                                                                       "</f>
        <v xml:space="preserve">SAN LORENZO LA CEBADA                                                                                                                       </v>
      </c>
      <c r="G2030" s="26" t="str">
        <f>"XOCHIMILCO                                                                      "</f>
        <v xml:space="preserve">XOCHIMILCO                                                                      </v>
      </c>
      <c r="H2030" s="26" t="str">
        <f>"448"</f>
        <v>448</v>
      </c>
      <c r="I2030" s="26" t="str">
        <f t="shared" si="325"/>
        <v>00</v>
      </c>
      <c r="J2030" s="26" t="str">
        <f>"44 "</f>
        <v xml:space="preserve">44 </v>
      </c>
      <c r="K2030" s="26" t="str">
        <f>"PR"</f>
        <v>PR</v>
      </c>
      <c r="L2030" s="26" t="str">
        <f>"DGOSE"</f>
        <v>DGOSE</v>
      </c>
      <c r="M2030" s="26" t="str">
        <f t="shared" si="326"/>
        <v>FEDERAL</v>
      </c>
      <c r="N2030" s="26">
        <v>585</v>
      </c>
      <c r="O2030" s="26">
        <v>288</v>
      </c>
      <c r="P2030" s="26">
        <v>297</v>
      </c>
      <c r="Q2030" s="26">
        <v>16</v>
      </c>
      <c r="R2030" s="26">
        <v>1</v>
      </c>
      <c r="S2030" s="26">
        <v>15</v>
      </c>
      <c r="T2030" s="26">
        <v>11</v>
      </c>
      <c r="U2030" s="26">
        <v>27</v>
      </c>
      <c r="V2030" s="26">
        <v>1</v>
      </c>
      <c r="W2030" s="26" t="s">
        <v>2076</v>
      </c>
    </row>
    <row r="2031" spans="1:23" x14ac:dyDescent="0.25">
      <c r="A2031" s="26" t="str">
        <f t="shared" si="324"/>
        <v>PRIMARIA</v>
      </c>
      <c r="B2031" s="26" t="str">
        <f>"09DPR5122G"</f>
        <v>09DPR5122G</v>
      </c>
      <c r="C2031" s="26" t="str">
        <f>"XOCHITL PALOMINO                                                                                    "</f>
        <v xml:space="preserve">XOCHITL PALOMINO                                                                                    </v>
      </c>
      <c r="D2031" s="26" t="str">
        <f>"TIEMPO COMPLETO"</f>
        <v>TIEMPO COMPLETO</v>
      </c>
      <c r="E2031" s="26" t="str">
        <f>"IZTACCIHUATL S/N                                                                "</f>
        <v xml:space="preserve">IZTACCIHUATL S/N                                                                </v>
      </c>
      <c r="F2031" s="26" t="str">
        <f>"PARAJE SAN JUAN                                                                                                                             "</f>
        <v xml:space="preserve">PARAJE SAN JUAN                                                                                                                             </v>
      </c>
      <c r="G2031" s="26" t="str">
        <f>"IZTAPALAPA                                                                      "</f>
        <v xml:space="preserve">IZTAPALAPA                                                                      </v>
      </c>
      <c r="H2031" s="26" t="str">
        <f>"009"</f>
        <v>009</v>
      </c>
      <c r="I2031" s="26" t="str">
        <f t="shared" si="325"/>
        <v>00</v>
      </c>
      <c r="J2031" s="26" t="str">
        <f>"61 "</f>
        <v xml:space="preserve">61 </v>
      </c>
      <c r="K2031" s="26" t="str">
        <f>"IZ"</f>
        <v>IZ</v>
      </c>
      <c r="L2031" s="26" t="str">
        <f>"DGSEI"</f>
        <v>DGSEI</v>
      </c>
      <c r="M2031" s="26" t="str">
        <f t="shared" si="326"/>
        <v>FEDERAL</v>
      </c>
      <c r="N2031" s="26">
        <v>406</v>
      </c>
      <c r="O2031" s="26">
        <v>194</v>
      </c>
      <c r="P2031" s="26">
        <v>212</v>
      </c>
      <c r="Q2031" s="26">
        <v>13</v>
      </c>
      <c r="R2031" s="26">
        <v>1</v>
      </c>
      <c r="S2031" s="26">
        <v>13</v>
      </c>
      <c r="T2031" s="26">
        <v>8</v>
      </c>
      <c r="U2031" s="26">
        <v>22</v>
      </c>
      <c r="V2031" s="26">
        <v>1</v>
      </c>
      <c r="W2031" s="26" t="s">
        <v>218</v>
      </c>
    </row>
    <row r="2032" spans="1:23" x14ac:dyDescent="0.25">
      <c r="A2032" s="26" t="str">
        <f t="shared" si="324"/>
        <v>PRIMARIA</v>
      </c>
      <c r="B2032" s="26" t="str">
        <f>"09DPR5123F"</f>
        <v>09DPR5123F</v>
      </c>
      <c r="C2032" s="26" t="str">
        <f>"MANUEL GONZALEZ FLORES                                                                              "</f>
        <v xml:space="preserve">MANUEL GONZALEZ FLORES                                                                              </v>
      </c>
      <c r="D2032" s="26" t="str">
        <f>"TIEMPO COMPLETO"</f>
        <v>TIEMPO COMPLETO</v>
      </c>
      <c r="E2032" s="26" t="str">
        <f>"HUECAMPOL S/N                                                                   "</f>
        <v xml:space="preserve">HUECAMPOL S/N                                                                   </v>
      </c>
      <c r="F2032" s="26" t="str">
        <f>"LOMAS DE LA ESTANCIA                                                                                                                        "</f>
        <v xml:space="preserve">LOMAS DE LA ESTANCIA                                                                                                                        </v>
      </c>
      <c r="G2032" s="26" t="str">
        <f>"IZTAPALAPA                                                                      "</f>
        <v xml:space="preserve">IZTAPALAPA                                                                      </v>
      </c>
      <c r="H2032" s="26" t="str">
        <f>"011"</f>
        <v>011</v>
      </c>
      <c r="I2032" s="26" t="str">
        <f t="shared" si="325"/>
        <v>00</v>
      </c>
      <c r="J2032" s="26" t="str">
        <f>"61 "</f>
        <v xml:space="preserve">61 </v>
      </c>
      <c r="K2032" s="26" t="str">
        <f>"IZ"</f>
        <v>IZ</v>
      </c>
      <c r="L2032" s="26" t="str">
        <f>"DGSEI"</f>
        <v>DGSEI</v>
      </c>
      <c r="M2032" s="26" t="str">
        <f t="shared" si="326"/>
        <v>FEDERAL</v>
      </c>
      <c r="N2032" s="26">
        <v>450</v>
      </c>
      <c r="O2032" s="26">
        <v>213</v>
      </c>
      <c r="P2032" s="26">
        <v>237</v>
      </c>
      <c r="Q2032" s="26">
        <v>12</v>
      </c>
      <c r="R2032" s="26">
        <v>1</v>
      </c>
      <c r="S2032" s="26">
        <v>12</v>
      </c>
      <c r="T2032" s="26">
        <v>12</v>
      </c>
      <c r="U2032" s="26">
        <v>25</v>
      </c>
      <c r="V2032" s="26">
        <v>1</v>
      </c>
      <c r="W2032" s="26" t="s">
        <v>218</v>
      </c>
    </row>
    <row r="2033" spans="1:23" x14ac:dyDescent="0.25">
      <c r="A2033" s="26" t="str">
        <f t="shared" si="324"/>
        <v>PRIMARIA</v>
      </c>
      <c r="B2033" s="26" t="str">
        <f>"09DPR5124E"</f>
        <v>09DPR5124E</v>
      </c>
      <c r="C2033" s="26" t="str">
        <f>"BEATRIZ DE LA FUENTE                                                                                "</f>
        <v xml:space="preserve">BEATRIZ DE LA FUENTE                                                                                </v>
      </c>
      <c r="D2033" s="26" t="str">
        <f>"TIEMPO COMPLETO"</f>
        <v>TIEMPO COMPLETO</v>
      </c>
      <c r="E2033" s="26" t="str">
        <f>"PINO Y COLORINES S/N                                                            "</f>
        <v xml:space="preserve">PINO Y COLORINES S/N                                                            </v>
      </c>
      <c r="F2033" s="26" t="str">
        <f>"TENORIOS                                                                                                                                    "</f>
        <v xml:space="preserve">TENORIOS                                                                                                                                    </v>
      </c>
      <c r="G2033" s="26" t="str">
        <f>"IZTAPALAPA                                                                      "</f>
        <v xml:space="preserve">IZTAPALAPA                                                                      </v>
      </c>
      <c r="H2033" s="26" t="str">
        <f>"011"</f>
        <v>011</v>
      </c>
      <c r="I2033" s="26" t="str">
        <f t="shared" si="325"/>
        <v>00</v>
      </c>
      <c r="J2033" s="26" t="str">
        <f>"61 "</f>
        <v xml:space="preserve">61 </v>
      </c>
      <c r="K2033" s="26" t="str">
        <f>"IZ"</f>
        <v>IZ</v>
      </c>
      <c r="L2033" s="26" t="str">
        <f>"DGSEI"</f>
        <v>DGSEI</v>
      </c>
      <c r="M2033" s="26" t="str">
        <f t="shared" si="326"/>
        <v>FEDERAL</v>
      </c>
      <c r="N2033" s="26">
        <v>328</v>
      </c>
      <c r="O2033" s="26">
        <v>162</v>
      </c>
      <c r="P2033" s="26">
        <v>166</v>
      </c>
      <c r="Q2033" s="26">
        <v>10</v>
      </c>
      <c r="R2033" s="26">
        <v>0</v>
      </c>
      <c r="S2033" s="26">
        <v>9</v>
      </c>
      <c r="T2033" s="26">
        <v>9</v>
      </c>
      <c r="U2033" s="26">
        <v>18</v>
      </c>
      <c r="V2033" s="26">
        <v>1</v>
      </c>
      <c r="W2033" s="26" t="s">
        <v>218</v>
      </c>
    </row>
    <row r="2034" spans="1:23" x14ac:dyDescent="0.25">
      <c r="A2034" s="26" t="str">
        <f t="shared" si="324"/>
        <v>PRIMARIA</v>
      </c>
      <c r="B2034" s="26" t="str">
        <f>"09DPR5125D"</f>
        <v>09DPR5125D</v>
      </c>
      <c r="C2034" s="26" t="str">
        <f>"DR. EDUARDO LICEAGA                                                                                 "</f>
        <v xml:space="preserve">DR. EDUARDO LICEAGA                                                                                 </v>
      </c>
      <c r="D2034" s="26" t="str">
        <f>"MATUTINO"</f>
        <v>MATUTINO</v>
      </c>
      <c r="E2034" s="26" t="str">
        <f>"ANDADOR PRINCIPAL Y ANDADOR  14                                                 "</f>
        <v xml:space="preserve">ANDADOR PRINCIPAL Y ANDADOR  14                                                 </v>
      </c>
      <c r="F2034" s="26" t="str">
        <f>"TIERRA UNIDA                                                                                                                                "</f>
        <v xml:space="preserve">TIERRA UNIDA                                                                                                                                </v>
      </c>
      <c r="G2034" s="26" t="str">
        <f>"LA MAGDALENA CONTRERAS                                                          "</f>
        <v xml:space="preserve">LA MAGDALENA CONTRERAS                                                          </v>
      </c>
      <c r="H2034" s="26" t="str">
        <f>"334"</f>
        <v>334</v>
      </c>
      <c r="I2034" s="26" t="str">
        <f t="shared" si="325"/>
        <v>00</v>
      </c>
      <c r="J2034" s="26" t="str">
        <f>"43 "</f>
        <v xml:space="preserve">43 </v>
      </c>
      <c r="K2034" s="26" t="str">
        <f t="shared" ref="K2034:K2066" si="337">"PR"</f>
        <v>PR</v>
      </c>
      <c r="L2034" s="26" t="str">
        <f t="shared" ref="L2034:L2066" si="338">"DGOSE"</f>
        <v>DGOSE</v>
      </c>
      <c r="M2034" s="26" t="str">
        <f t="shared" si="326"/>
        <v>FEDERAL</v>
      </c>
      <c r="N2034" s="26">
        <v>315</v>
      </c>
      <c r="O2034" s="26">
        <v>148</v>
      </c>
      <c r="P2034" s="26">
        <v>167</v>
      </c>
      <c r="Q2034" s="26">
        <v>10</v>
      </c>
      <c r="R2034" s="26">
        <v>1</v>
      </c>
      <c r="S2034" s="26">
        <v>10</v>
      </c>
      <c r="T2034" s="26">
        <v>6</v>
      </c>
      <c r="U2034" s="26">
        <v>17</v>
      </c>
      <c r="V2034" s="26">
        <v>1</v>
      </c>
      <c r="W2034" s="26"/>
    </row>
    <row r="2035" spans="1:23" x14ac:dyDescent="0.25">
      <c r="A2035" s="26" t="str">
        <f t="shared" si="324"/>
        <v>PRIMARIA</v>
      </c>
      <c r="B2035" s="26" t="str">
        <f>"09DPR5126C"</f>
        <v>09DPR5126C</v>
      </c>
      <c r="C2035" s="26" t="str">
        <f>"RAMON G. BONFIL                                                                                     "</f>
        <v xml:space="preserve">RAMON G. BONFIL                                                                                     </v>
      </c>
      <c r="D2035" s="26" t="str">
        <f>"MATUTINO"</f>
        <v>MATUTINO</v>
      </c>
      <c r="E2035" s="26" t="str">
        <f>"BARRANCA SECA S/N                                                               "</f>
        <v xml:space="preserve">BARRANCA SECA S/N                                                               </v>
      </c>
      <c r="F2035" s="26" t="str">
        <f>"SAN ANTONIO TECOMITL                                                                                                                        "</f>
        <v xml:space="preserve">SAN ANTONIO TECOMITL                                                                                                                        </v>
      </c>
      <c r="G2035" s="26" t="str">
        <f>"MILPA ALTA                                                                      "</f>
        <v xml:space="preserve">MILPA ALTA                                                                      </v>
      </c>
      <c r="H2035" s="26" t="str">
        <f>"561"</f>
        <v>561</v>
      </c>
      <c r="I2035" s="26" t="str">
        <f t="shared" si="325"/>
        <v>00</v>
      </c>
      <c r="J2035" s="26" t="str">
        <f>"45 "</f>
        <v xml:space="preserve">45 </v>
      </c>
      <c r="K2035" s="26" t="str">
        <f t="shared" si="337"/>
        <v>PR</v>
      </c>
      <c r="L2035" s="26" t="str">
        <f t="shared" si="338"/>
        <v>DGOSE</v>
      </c>
      <c r="M2035" s="26" t="str">
        <f t="shared" si="326"/>
        <v>FEDERAL</v>
      </c>
      <c r="N2035" s="26">
        <v>533</v>
      </c>
      <c r="O2035" s="26">
        <v>291</v>
      </c>
      <c r="P2035" s="26">
        <v>242</v>
      </c>
      <c r="Q2035" s="26">
        <v>14</v>
      </c>
      <c r="R2035" s="26">
        <v>1</v>
      </c>
      <c r="S2035" s="26">
        <v>14</v>
      </c>
      <c r="T2035" s="26">
        <v>8</v>
      </c>
      <c r="U2035" s="26">
        <v>23</v>
      </c>
      <c r="V2035" s="26">
        <v>1</v>
      </c>
      <c r="W2035" s="26"/>
    </row>
    <row r="2036" spans="1:23" x14ac:dyDescent="0.25">
      <c r="A2036" s="26" t="str">
        <f t="shared" si="324"/>
        <v>PRIMARIA</v>
      </c>
      <c r="B2036" s="26" t="str">
        <f>"09DPR5127B"</f>
        <v>09DPR5127B</v>
      </c>
      <c r="C2036" s="26" t="str">
        <f>"MEDICO BERNARDO SEPULVEDA GUTIERREZ                                                                 "</f>
        <v xml:space="preserve">MEDICO BERNARDO SEPULVEDA GUTIERREZ                                                                 </v>
      </c>
      <c r="D2036" s="26" t="str">
        <f>"JORNADA AMPLIADA"</f>
        <v>JORNADA AMPLIADA</v>
      </c>
      <c r="E2036" s="26" t="str">
        <f>"AV. OJO DE AGUA S.N.                                                            "</f>
        <v xml:space="preserve">AV. OJO DE AGUA S.N.                                                            </v>
      </c>
      <c r="F2036" s="26" t="str">
        <f>"LOMAS DE SAN BERNABE                                                                                                                        "</f>
        <v xml:space="preserve">LOMAS DE SAN BERNABE                                                                                                                        </v>
      </c>
      <c r="G2036" s="26" t="str">
        <f>"LA MAGDALENA CONTRERAS                                                          "</f>
        <v xml:space="preserve">LA MAGDALENA CONTRERAS                                                          </v>
      </c>
      <c r="H2036" s="26" t="str">
        <f>"409"</f>
        <v>409</v>
      </c>
      <c r="I2036" s="26" t="str">
        <f t="shared" si="325"/>
        <v>00</v>
      </c>
      <c r="J2036" s="26" t="str">
        <f>"44 "</f>
        <v xml:space="preserve">44 </v>
      </c>
      <c r="K2036" s="26" t="str">
        <f t="shared" si="337"/>
        <v>PR</v>
      </c>
      <c r="L2036" s="26" t="str">
        <f t="shared" si="338"/>
        <v>DGOSE</v>
      </c>
      <c r="M2036" s="26" t="str">
        <f t="shared" si="326"/>
        <v>FEDERAL</v>
      </c>
      <c r="N2036" s="26">
        <v>240</v>
      </c>
      <c r="O2036" s="26">
        <v>117</v>
      </c>
      <c r="P2036" s="26">
        <v>123</v>
      </c>
      <c r="Q2036" s="26">
        <v>7</v>
      </c>
      <c r="R2036" s="26">
        <v>1</v>
      </c>
      <c r="S2036" s="26">
        <v>7</v>
      </c>
      <c r="T2036" s="26">
        <v>7</v>
      </c>
      <c r="U2036" s="26">
        <v>15</v>
      </c>
      <c r="V2036" s="26">
        <v>1</v>
      </c>
      <c r="W2036" s="26" t="s">
        <v>2076</v>
      </c>
    </row>
    <row r="2037" spans="1:23" x14ac:dyDescent="0.25">
      <c r="A2037" s="26" t="str">
        <f t="shared" si="324"/>
        <v>PRIMARIA</v>
      </c>
      <c r="B2037" s="26" t="str">
        <f>"09DPR5128A"</f>
        <v>09DPR5128A</v>
      </c>
      <c r="C2037" s="26" t="str">
        <f>"DANIEL RAMIREZ PEREZ                                                                                "</f>
        <v xml:space="preserve">DANIEL RAMIREZ PEREZ                                                                                </v>
      </c>
      <c r="D2037" s="26" t="str">
        <f>"VESPERTINO"</f>
        <v>VESPERTINO</v>
      </c>
      <c r="E2037" s="26" t="str">
        <f>"PINO S/N.                                                                       "</f>
        <v xml:space="preserve">PINO S/N.                                                                       </v>
      </c>
      <c r="F2037" s="26" t="str">
        <f>"SAN MATEO XALPA                                                                                                                             "</f>
        <v xml:space="preserve">SAN MATEO XALPA                                                                                                                             </v>
      </c>
      <c r="G2037" s="26" t="str">
        <f>"XOCHIMILCO                                                                      "</f>
        <v xml:space="preserve">XOCHIMILCO                                                                      </v>
      </c>
      <c r="H2037" s="26" t="str">
        <f>"541"</f>
        <v>541</v>
      </c>
      <c r="I2037" s="26" t="str">
        <f t="shared" si="325"/>
        <v>00</v>
      </c>
      <c r="J2037" s="26" t="str">
        <f>"45 "</f>
        <v xml:space="preserve">45 </v>
      </c>
      <c r="K2037" s="26" t="str">
        <f t="shared" si="337"/>
        <v>PR</v>
      </c>
      <c r="L2037" s="26" t="str">
        <f t="shared" si="338"/>
        <v>DGOSE</v>
      </c>
      <c r="M2037" s="26" t="str">
        <f t="shared" si="326"/>
        <v>FEDERAL</v>
      </c>
      <c r="N2037" s="26">
        <v>330</v>
      </c>
      <c r="O2037" s="26">
        <v>161</v>
      </c>
      <c r="P2037" s="26">
        <v>169</v>
      </c>
      <c r="Q2037" s="26">
        <v>12</v>
      </c>
      <c r="R2037" s="26">
        <v>1</v>
      </c>
      <c r="S2037" s="26">
        <v>12</v>
      </c>
      <c r="T2037" s="26">
        <v>9</v>
      </c>
      <c r="U2037" s="26">
        <v>22</v>
      </c>
      <c r="V2037" s="26">
        <v>1</v>
      </c>
      <c r="W2037" s="26"/>
    </row>
    <row r="2038" spans="1:23" x14ac:dyDescent="0.25">
      <c r="A2038" s="26" t="str">
        <f t="shared" si="324"/>
        <v>PRIMARIA</v>
      </c>
      <c r="B2038" s="26" t="str">
        <f>"09DPR5129Z"</f>
        <v>09DPR5129Z</v>
      </c>
      <c r="C2038" s="26" t="str">
        <f>"PROVINCIA DE QUEBEC                                                                                 "</f>
        <v xml:space="preserve">PROVINCIA DE QUEBEC                                                                                 </v>
      </c>
      <c r="D2038" s="26" t="str">
        <f>"VESPERTINO"</f>
        <v>VESPERTINO</v>
      </c>
      <c r="E2038" s="26" t="str">
        <f>"HOMUN NUM 342                                                                   "</f>
        <v xml:space="preserve">HOMUN NUM 342                                                                   </v>
      </c>
      <c r="F2038" s="26" t="str">
        <f>"TORRES DE PADIERNA                                                                                                                          "</f>
        <v xml:space="preserve">TORRES DE PADIERNA                                                                                                                          </v>
      </c>
      <c r="G2038" s="26" t="str">
        <f>"TLALPAN                                                                         "</f>
        <v xml:space="preserve">TLALPAN                                                                         </v>
      </c>
      <c r="H2038" s="26" t="str">
        <f>"513"</f>
        <v>513</v>
      </c>
      <c r="I2038" s="26" t="str">
        <f t="shared" si="325"/>
        <v>00</v>
      </c>
      <c r="J2038" s="26" t="str">
        <f>"45 "</f>
        <v xml:space="preserve">45 </v>
      </c>
      <c r="K2038" s="26" t="str">
        <f t="shared" si="337"/>
        <v>PR</v>
      </c>
      <c r="L2038" s="26" t="str">
        <f t="shared" si="338"/>
        <v>DGOSE</v>
      </c>
      <c r="M2038" s="26" t="str">
        <f t="shared" si="326"/>
        <v>FEDERAL</v>
      </c>
      <c r="N2038" s="26">
        <v>221</v>
      </c>
      <c r="O2038" s="26">
        <v>110</v>
      </c>
      <c r="P2038" s="26">
        <v>111</v>
      </c>
      <c r="Q2038" s="26">
        <v>6</v>
      </c>
      <c r="R2038" s="26">
        <v>1</v>
      </c>
      <c r="S2038" s="26">
        <v>6</v>
      </c>
      <c r="T2038" s="26">
        <v>3</v>
      </c>
      <c r="U2038" s="26">
        <v>10</v>
      </c>
      <c r="V2038" s="26">
        <v>1</v>
      </c>
      <c r="W2038" s="26"/>
    </row>
    <row r="2039" spans="1:23" x14ac:dyDescent="0.25">
      <c r="A2039" s="26" t="str">
        <f t="shared" si="324"/>
        <v>PRIMARIA</v>
      </c>
      <c r="B2039" s="26" t="str">
        <f>"09DPR5130P"</f>
        <v>09DPR5130P</v>
      </c>
      <c r="C2039" s="26" t="str">
        <f>"MAESTRO ADOLFO VALLES                                                                               "</f>
        <v xml:space="preserve">MAESTRO ADOLFO VALLES                                                                               </v>
      </c>
      <c r="D2039" s="26" t="str">
        <f>"VESPERTINO"</f>
        <v>VESPERTINO</v>
      </c>
      <c r="E2039" s="26" t="str">
        <f>"AV. JUAREZ NUM. 21                                                              "</f>
        <v xml:space="preserve">AV. JUAREZ NUM. 21                                                              </v>
      </c>
      <c r="F2039" s="26" t="str">
        <f>"SAN ANDRES AHUAYUCAN                                                                                                                        "</f>
        <v xml:space="preserve">SAN ANDRES AHUAYUCAN                                                                                                                        </v>
      </c>
      <c r="G2039" s="26" t="str">
        <f>"XOCHIMILCO                                                                      "</f>
        <v xml:space="preserve">XOCHIMILCO                                                                      </v>
      </c>
      <c r="H2039" s="26" t="str">
        <f>"541"</f>
        <v>541</v>
      </c>
      <c r="I2039" s="26" t="str">
        <f t="shared" si="325"/>
        <v>00</v>
      </c>
      <c r="J2039" s="26" t="str">
        <f>"45 "</f>
        <v xml:space="preserve">45 </v>
      </c>
      <c r="K2039" s="26" t="str">
        <f t="shared" si="337"/>
        <v>PR</v>
      </c>
      <c r="L2039" s="26" t="str">
        <f t="shared" si="338"/>
        <v>DGOSE</v>
      </c>
      <c r="M2039" s="26" t="str">
        <f t="shared" si="326"/>
        <v>FEDERAL</v>
      </c>
      <c r="N2039" s="26">
        <v>379</v>
      </c>
      <c r="O2039" s="26">
        <v>209</v>
      </c>
      <c r="P2039" s="26">
        <v>170</v>
      </c>
      <c r="Q2039" s="26">
        <v>14</v>
      </c>
      <c r="R2039" s="26">
        <v>1</v>
      </c>
      <c r="S2039" s="26">
        <v>14</v>
      </c>
      <c r="T2039" s="26">
        <v>6</v>
      </c>
      <c r="U2039" s="26">
        <v>21</v>
      </c>
      <c r="V2039" s="26">
        <v>1</v>
      </c>
      <c r="W2039" s="26"/>
    </row>
    <row r="2040" spans="1:23" x14ac:dyDescent="0.25">
      <c r="A2040" s="26" t="str">
        <f t="shared" si="324"/>
        <v>PRIMARIA</v>
      </c>
      <c r="B2040" s="26" t="str">
        <f>"09DPR5131O"</f>
        <v>09DPR5131O</v>
      </c>
      <c r="C2040" s="26" t="str">
        <f>"JULIA NAVA RUIZ SANCHEZ                                                                             "</f>
        <v xml:space="preserve">JULIA NAVA RUIZ SANCHEZ                                                                             </v>
      </c>
      <c r="D2040" s="26" t="str">
        <f>"VESPERTINO"</f>
        <v>VESPERTINO</v>
      </c>
      <c r="E2040" s="26" t="str">
        <f>"AZUCENA S/N.                                                                    "</f>
        <v xml:space="preserve">AZUCENA S/N.                                                                    </v>
      </c>
      <c r="F2040" s="26" t="str">
        <f>"QUIAHUATLA                                                                                                                                  "</f>
        <v xml:space="preserve">QUIAHUATLA                                                                                                                                  </v>
      </c>
      <c r="G2040" s="26" t="str">
        <f>"TLAHUAC                                                                         "</f>
        <v xml:space="preserve">TLAHUAC                                                                         </v>
      </c>
      <c r="H2040" s="26" t="str">
        <f>"558"</f>
        <v>558</v>
      </c>
      <c r="I2040" s="26" t="str">
        <f t="shared" si="325"/>
        <v>00</v>
      </c>
      <c r="J2040" s="26" t="str">
        <f>"45 "</f>
        <v xml:space="preserve">45 </v>
      </c>
      <c r="K2040" s="26" t="str">
        <f t="shared" si="337"/>
        <v>PR</v>
      </c>
      <c r="L2040" s="26" t="str">
        <f t="shared" si="338"/>
        <v>DGOSE</v>
      </c>
      <c r="M2040" s="26" t="str">
        <f t="shared" si="326"/>
        <v>FEDERAL</v>
      </c>
      <c r="N2040" s="26">
        <v>290</v>
      </c>
      <c r="O2040" s="26">
        <v>150</v>
      </c>
      <c r="P2040" s="26">
        <v>140</v>
      </c>
      <c r="Q2040" s="26">
        <v>12</v>
      </c>
      <c r="R2040" s="26">
        <v>1</v>
      </c>
      <c r="S2040" s="26">
        <v>11</v>
      </c>
      <c r="T2040" s="26">
        <v>6</v>
      </c>
      <c r="U2040" s="26">
        <v>18</v>
      </c>
      <c r="V2040" s="26">
        <v>1</v>
      </c>
      <c r="W2040" s="26"/>
    </row>
    <row r="2041" spans="1:23" x14ac:dyDescent="0.25">
      <c r="A2041" s="26" t="str">
        <f t="shared" si="324"/>
        <v>PRIMARIA</v>
      </c>
      <c r="B2041" s="26" t="str">
        <f>"09DPR5132N"</f>
        <v>09DPR5132N</v>
      </c>
      <c r="C2041" s="26" t="str">
        <f>"JOHN F. KENNEDY                                                                                     "</f>
        <v xml:space="preserve">JOHN F. KENNEDY                                                                                     </v>
      </c>
      <c r="D2041" s="26" t="str">
        <f>"VESPERTINO"</f>
        <v>VESPERTINO</v>
      </c>
      <c r="E2041" s="26" t="str">
        <f>"CAÑADA NO 370                                                                   "</f>
        <v xml:space="preserve">CAÑADA NO 370                                                                   </v>
      </c>
      <c r="F2041" s="26" t="str">
        <f>"JARDINES DEL PEDREGAL                                                                                                                       "</f>
        <v xml:space="preserve">JARDINES DEL PEDREGAL                                                                                                                       </v>
      </c>
      <c r="G2041" s="26" t="str">
        <f>"ALVARO OBREGON                                                                  "</f>
        <v xml:space="preserve">ALVARO OBREGON                                                                  </v>
      </c>
      <c r="H2041" s="26" t="str">
        <f>"327"</f>
        <v>327</v>
      </c>
      <c r="I2041" s="26" t="str">
        <f t="shared" si="325"/>
        <v>00</v>
      </c>
      <c r="J2041" s="26" t="str">
        <f>"43 "</f>
        <v xml:space="preserve">43 </v>
      </c>
      <c r="K2041" s="26" t="str">
        <f t="shared" si="337"/>
        <v>PR</v>
      </c>
      <c r="L2041" s="26" t="str">
        <f t="shared" si="338"/>
        <v>DGOSE</v>
      </c>
      <c r="M2041" s="26" t="str">
        <f t="shared" si="326"/>
        <v>FEDERAL</v>
      </c>
      <c r="N2041" s="26">
        <v>171</v>
      </c>
      <c r="O2041" s="26">
        <v>93</v>
      </c>
      <c r="P2041" s="26">
        <v>78</v>
      </c>
      <c r="Q2041" s="26">
        <v>9</v>
      </c>
      <c r="R2041" s="26">
        <v>1</v>
      </c>
      <c r="S2041" s="26">
        <v>9</v>
      </c>
      <c r="T2041" s="26">
        <v>7</v>
      </c>
      <c r="U2041" s="26">
        <v>17</v>
      </c>
      <c r="V2041" s="26">
        <v>1</v>
      </c>
      <c r="W2041" s="26"/>
    </row>
    <row r="2042" spans="1:23" x14ac:dyDescent="0.25">
      <c r="A2042" s="26" t="str">
        <f t="shared" si="324"/>
        <v>PRIMARIA</v>
      </c>
      <c r="B2042" s="26" t="str">
        <f>"09DPR5133M"</f>
        <v>09DPR5133M</v>
      </c>
      <c r="C2042" s="26" t="str">
        <f>"JAIME SABINES                                                                                       "</f>
        <v xml:space="preserve">JAIME SABINES                                                                                       </v>
      </c>
      <c r="D2042" s="26" t="str">
        <f>"MATUTINO"</f>
        <v>MATUTINO</v>
      </c>
      <c r="E2042" s="26" t="str">
        <f>"AV. SAN RAFAEL ATLIXCO NO. 3490                                                 "</f>
        <v xml:space="preserve">AV. SAN RAFAEL ATLIXCO NO. 3490                                                 </v>
      </c>
      <c r="F2042" s="26" t="str">
        <f>"SANTIAGO ZAPOTITLAN                                                                                                                         "</f>
        <v xml:space="preserve">SANTIAGO ZAPOTITLAN                                                                                                                         </v>
      </c>
      <c r="G2042" s="26" t="str">
        <f>"TLAHUAC                                                                         "</f>
        <v xml:space="preserve">TLAHUAC                                                                         </v>
      </c>
      <c r="H2042" s="26" t="str">
        <f>"547"</f>
        <v>547</v>
      </c>
      <c r="I2042" s="26" t="str">
        <f t="shared" si="325"/>
        <v>00</v>
      </c>
      <c r="J2042" s="26" t="str">
        <f>"45 "</f>
        <v xml:space="preserve">45 </v>
      </c>
      <c r="K2042" s="26" t="str">
        <f t="shared" si="337"/>
        <v>PR</v>
      </c>
      <c r="L2042" s="26" t="str">
        <f t="shared" si="338"/>
        <v>DGOSE</v>
      </c>
      <c r="M2042" s="26" t="str">
        <f t="shared" si="326"/>
        <v>FEDERAL</v>
      </c>
      <c r="N2042" s="26">
        <v>343</v>
      </c>
      <c r="O2042" s="26">
        <v>172</v>
      </c>
      <c r="P2042" s="26">
        <v>171</v>
      </c>
      <c r="Q2042" s="26">
        <v>9</v>
      </c>
      <c r="R2042" s="26">
        <v>1</v>
      </c>
      <c r="S2042" s="26">
        <v>8</v>
      </c>
      <c r="T2042" s="26">
        <v>5</v>
      </c>
      <c r="U2042" s="26">
        <v>14</v>
      </c>
      <c r="V2042" s="26">
        <v>1</v>
      </c>
      <c r="W2042" s="26"/>
    </row>
    <row r="2043" spans="1:23" x14ac:dyDescent="0.25">
      <c r="A2043" s="26" t="str">
        <f t="shared" si="324"/>
        <v>PRIMARIA</v>
      </c>
      <c r="B2043" s="26" t="str">
        <f>"09DPR5134L"</f>
        <v>09DPR5134L</v>
      </c>
      <c r="C2043" s="26" t="str">
        <f>"NUEVO MILENIO                                                                                       "</f>
        <v xml:space="preserve">NUEVO MILENIO                                                                                       </v>
      </c>
      <c r="D2043" s="26" t="str">
        <f>"MATUTINO"</f>
        <v>MATUTINO</v>
      </c>
      <c r="E2043" s="26" t="str">
        <f>"GUILLERMO PRIETO S/N                                                            "</f>
        <v xml:space="preserve">GUILLERMO PRIETO S/N                                                            </v>
      </c>
      <c r="F2043" s="26" t="str">
        <f>"MIGUEL HIDALGO                                                                                                                              "</f>
        <v xml:space="preserve">MIGUEL HIDALGO                                                                                                                              </v>
      </c>
      <c r="G2043" s="26" t="str">
        <f>"TLAHUAC                                                                         "</f>
        <v xml:space="preserve">TLAHUAC                                                                         </v>
      </c>
      <c r="H2043" s="26" t="str">
        <f>"552"</f>
        <v>552</v>
      </c>
      <c r="I2043" s="26" t="str">
        <f t="shared" si="325"/>
        <v>00</v>
      </c>
      <c r="J2043" s="26" t="str">
        <f>"45 "</f>
        <v xml:space="preserve">45 </v>
      </c>
      <c r="K2043" s="26" t="str">
        <f t="shared" si="337"/>
        <v>PR</v>
      </c>
      <c r="L2043" s="26" t="str">
        <f t="shared" si="338"/>
        <v>DGOSE</v>
      </c>
      <c r="M2043" s="26" t="str">
        <f t="shared" si="326"/>
        <v>FEDERAL</v>
      </c>
      <c r="N2043" s="26">
        <v>685</v>
      </c>
      <c r="O2043" s="26">
        <v>344</v>
      </c>
      <c r="P2043" s="26">
        <v>341</v>
      </c>
      <c r="Q2043" s="26">
        <v>18</v>
      </c>
      <c r="R2043" s="26">
        <v>1</v>
      </c>
      <c r="S2043" s="26">
        <v>18</v>
      </c>
      <c r="T2043" s="26">
        <v>7</v>
      </c>
      <c r="U2043" s="26">
        <v>26</v>
      </c>
      <c r="V2043" s="26">
        <v>1</v>
      </c>
      <c r="W2043" s="26"/>
    </row>
    <row r="2044" spans="1:23" x14ac:dyDescent="0.25">
      <c r="A2044" s="26" t="str">
        <f t="shared" si="324"/>
        <v>PRIMARIA</v>
      </c>
      <c r="B2044" s="26" t="str">
        <f>"09DPR5135K"</f>
        <v>09DPR5135K</v>
      </c>
      <c r="C2044" s="26" t="str">
        <f>"CENOBIA GARCIA NAVA                                                                                 "</f>
        <v xml:space="preserve">CENOBIA GARCIA NAVA                                                                                 </v>
      </c>
      <c r="D2044" s="26" t="str">
        <f>"VESPERTINO"</f>
        <v>VESPERTINO</v>
      </c>
      <c r="E2044" s="26" t="str">
        <f>"RAFAEL CHECA NO 2                                                               "</f>
        <v xml:space="preserve">RAFAEL CHECA NO 2                                                               </v>
      </c>
      <c r="F2044" s="26" t="str">
        <f>"SANTA ROSA XOCHIAC                                                                                                                          "</f>
        <v xml:space="preserve">SANTA ROSA XOCHIAC                                                                                                                          </v>
      </c>
      <c r="G2044" s="26" t="str">
        <f>"ALVARO OBREGON                                                                  "</f>
        <v xml:space="preserve">ALVARO OBREGON                                                                  </v>
      </c>
      <c r="H2044" s="26" t="str">
        <f>"330"</f>
        <v>330</v>
      </c>
      <c r="I2044" s="26" t="str">
        <f t="shared" si="325"/>
        <v>00</v>
      </c>
      <c r="J2044" s="26" t="str">
        <f>"43 "</f>
        <v xml:space="preserve">43 </v>
      </c>
      <c r="K2044" s="26" t="str">
        <f t="shared" si="337"/>
        <v>PR</v>
      </c>
      <c r="L2044" s="26" t="str">
        <f t="shared" si="338"/>
        <v>DGOSE</v>
      </c>
      <c r="M2044" s="26" t="str">
        <f t="shared" si="326"/>
        <v>FEDERAL</v>
      </c>
      <c r="N2044" s="26">
        <v>428</v>
      </c>
      <c r="O2044" s="26">
        <v>214</v>
      </c>
      <c r="P2044" s="26">
        <v>214</v>
      </c>
      <c r="Q2044" s="26">
        <v>14</v>
      </c>
      <c r="R2044" s="26">
        <v>1</v>
      </c>
      <c r="S2044" s="26">
        <v>14</v>
      </c>
      <c r="T2044" s="26">
        <v>8</v>
      </c>
      <c r="U2044" s="26">
        <v>23</v>
      </c>
      <c r="V2044" s="26">
        <v>1</v>
      </c>
      <c r="W2044" s="26"/>
    </row>
    <row r="2045" spans="1:23" x14ac:dyDescent="0.25">
      <c r="A2045" s="26" t="str">
        <f t="shared" si="324"/>
        <v>PRIMARIA</v>
      </c>
      <c r="B2045" s="26" t="str">
        <f>"09DPR5136J"</f>
        <v>09DPR5136J</v>
      </c>
      <c r="C2045" s="26" t="str">
        <f>"DR. EPIFANIO JIMENEZ AVILA                                                                          "</f>
        <v xml:space="preserve">DR. EPIFANIO JIMENEZ AVILA                                                                          </v>
      </c>
      <c r="D2045" s="26" t="str">
        <f>"MATUTINO"</f>
        <v>MATUTINO</v>
      </c>
      <c r="E2045" s="26" t="str">
        <f>"3 NOPALES S/N                                                                   "</f>
        <v xml:space="preserve">3 NOPALES S/N                                                                   </v>
      </c>
      <c r="F2045" s="26" t="str">
        <f>"CERRILLOS                                                                                                                                   "</f>
        <v xml:space="preserve">CERRILLOS                                                                                                                                   </v>
      </c>
      <c r="G2045" s="26" t="str">
        <f>"XOCHIMILCO                                                                      "</f>
        <v xml:space="preserve">XOCHIMILCO                                                                      </v>
      </c>
      <c r="H2045" s="26" t="str">
        <f>"544"</f>
        <v>544</v>
      </c>
      <c r="I2045" s="26" t="str">
        <f t="shared" si="325"/>
        <v>00</v>
      </c>
      <c r="J2045" s="26" t="str">
        <f t="shared" ref="J2045:J2054" si="339">"45 "</f>
        <v xml:space="preserve">45 </v>
      </c>
      <c r="K2045" s="26" t="str">
        <f t="shared" si="337"/>
        <v>PR</v>
      </c>
      <c r="L2045" s="26" t="str">
        <f t="shared" si="338"/>
        <v>DGOSE</v>
      </c>
      <c r="M2045" s="26" t="str">
        <f t="shared" si="326"/>
        <v>FEDERAL</v>
      </c>
      <c r="N2045" s="26">
        <v>533</v>
      </c>
      <c r="O2045" s="26">
        <v>269</v>
      </c>
      <c r="P2045" s="26">
        <v>264</v>
      </c>
      <c r="Q2045" s="26">
        <v>14</v>
      </c>
      <c r="R2045" s="26">
        <v>1</v>
      </c>
      <c r="S2045" s="26">
        <v>14</v>
      </c>
      <c r="T2045" s="26">
        <v>5</v>
      </c>
      <c r="U2045" s="26">
        <v>20</v>
      </c>
      <c r="V2045" s="26">
        <v>1</v>
      </c>
      <c r="W2045" s="26"/>
    </row>
    <row r="2046" spans="1:23" x14ac:dyDescent="0.25">
      <c r="A2046" s="26" t="str">
        <f t="shared" si="324"/>
        <v>PRIMARIA</v>
      </c>
      <c r="B2046" s="26" t="str">
        <f>"09DPR5137I"</f>
        <v>09DPR5137I</v>
      </c>
      <c r="C2046" s="26" t="str">
        <f>"DR. EPIFANIO JIMENEZ AVILA                                                                          "</f>
        <v xml:space="preserve">DR. EPIFANIO JIMENEZ AVILA                                                                          </v>
      </c>
      <c r="D2046" s="26" t="str">
        <f t="shared" ref="D2046:D2052" si="340">"VESPERTINO"</f>
        <v>VESPERTINO</v>
      </c>
      <c r="E2046" s="26" t="str">
        <f>"TRES NOPALES S/N                                                                "</f>
        <v xml:space="preserve">TRES NOPALES S/N                                                                </v>
      </c>
      <c r="F2046" s="26" t="str">
        <f>"CERRILLOS                                                                                                                                   "</f>
        <v xml:space="preserve">CERRILLOS                                                                                                                                   </v>
      </c>
      <c r="G2046" s="26" t="str">
        <f>"XOCHIMILCO                                                                      "</f>
        <v xml:space="preserve">XOCHIMILCO                                                                      </v>
      </c>
      <c r="H2046" s="26" t="str">
        <f>"544"</f>
        <v>544</v>
      </c>
      <c r="I2046" s="26" t="str">
        <f t="shared" si="325"/>
        <v>00</v>
      </c>
      <c r="J2046" s="26" t="str">
        <f t="shared" si="339"/>
        <v xml:space="preserve">45 </v>
      </c>
      <c r="K2046" s="26" t="str">
        <f t="shared" si="337"/>
        <v>PR</v>
      </c>
      <c r="L2046" s="26" t="str">
        <f t="shared" si="338"/>
        <v>DGOSE</v>
      </c>
      <c r="M2046" s="26" t="str">
        <f t="shared" si="326"/>
        <v>FEDERAL</v>
      </c>
      <c r="N2046" s="26">
        <v>388</v>
      </c>
      <c r="O2046" s="26">
        <v>191</v>
      </c>
      <c r="P2046" s="26">
        <v>197</v>
      </c>
      <c r="Q2046" s="26">
        <v>14</v>
      </c>
      <c r="R2046" s="26">
        <v>1</v>
      </c>
      <c r="S2046" s="26">
        <v>14</v>
      </c>
      <c r="T2046" s="26">
        <v>8</v>
      </c>
      <c r="U2046" s="26">
        <v>23</v>
      </c>
      <c r="V2046" s="26">
        <v>1</v>
      </c>
      <c r="W2046" s="26"/>
    </row>
    <row r="2047" spans="1:23" x14ac:dyDescent="0.25">
      <c r="A2047" s="26" t="str">
        <f t="shared" si="324"/>
        <v>PRIMARIA</v>
      </c>
      <c r="B2047" s="26" t="str">
        <f>"09DPR5138H"</f>
        <v>09DPR5138H</v>
      </c>
      <c r="C2047" s="26" t="str">
        <f>"LIC. MIGUEL ALEMAN                                                                                  "</f>
        <v xml:space="preserve">LIC. MIGUEL ALEMAN                                                                                  </v>
      </c>
      <c r="D2047" s="26" t="str">
        <f t="shared" si="340"/>
        <v>VESPERTINO</v>
      </c>
      <c r="E2047" s="26" t="str">
        <f>"AV. MORELOS S/N                                                                 "</f>
        <v xml:space="preserve">AV. MORELOS S/N                                                                 </v>
      </c>
      <c r="F2047" s="26" t="str">
        <f>"SAN SALVADOR CUAUHTENCO                                                                                                                     "</f>
        <v xml:space="preserve">SAN SALVADOR CUAUHTENCO                                                                                                                     </v>
      </c>
      <c r="G2047" s="26" t="str">
        <f>"MILPA ALTA                                                                      "</f>
        <v xml:space="preserve">MILPA ALTA                                                                      </v>
      </c>
      <c r="H2047" s="26" t="str">
        <f>"565"</f>
        <v>565</v>
      </c>
      <c r="I2047" s="26" t="str">
        <f t="shared" si="325"/>
        <v>00</v>
      </c>
      <c r="J2047" s="26" t="str">
        <f t="shared" si="339"/>
        <v xml:space="preserve">45 </v>
      </c>
      <c r="K2047" s="26" t="str">
        <f t="shared" si="337"/>
        <v>PR</v>
      </c>
      <c r="L2047" s="26" t="str">
        <f t="shared" si="338"/>
        <v>DGOSE</v>
      </c>
      <c r="M2047" s="26" t="str">
        <f t="shared" si="326"/>
        <v>FEDERAL</v>
      </c>
      <c r="N2047" s="26">
        <v>331</v>
      </c>
      <c r="O2047" s="26">
        <v>166</v>
      </c>
      <c r="P2047" s="26">
        <v>165</v>
      </c>
      <c r="Q2047" s="26">
        <v>10</v>
      </c>
      <c r="R2047" s="26">
        <v>1</v>
      </c>
      <c r="S2047" s="26">
        <v>10</v>
      </c>
      <c r="T2047" s="26">
        <v>6</v>
      </c>
      <c r="U2047" s="26">
        <v>17</v>
      </c>
      <c r="V2047" s="26">
        <v>1</v>
      </c>
      <c r="W2047" s="26"/>
    </row>
    <row r="2048" spans="1:23" x14ac:dyDescent="0.25">
      <c r="A2048" s="26" t="str">
        <f t="shared" si="324"/>
        <v>PRIMARIA</v>
      </c>
      <c r="B2048" s="26" t="str">
        <f>"09DPR5139G"</f>
        <v>09DPR5139G</v>
      </c>
      <c r="C2048" s="26" t="str">
        <f>"JAIME SABINES                                                                                       "</f>
        <v xml:space="preserve">JAIME SABINES                                                                                       </v>
      </c>
      <c r="D2048" s="26" t="str">
        <f t="shared" si="340"/>
        <v>VESPERTINO</v>
      </c>
      <c r="E2048" s="26" t="str">
        <f>"AV. SAN RAFAEL ATLIXCO NO.3490                                                  "</f>
        <v xml:space="preserve">AV. SAN RAFAEL ATLIXCO NO.3490                                                  </v>
      </c>
      <c r="F2048" s="26" t="str">
        <f>"SANTIAGO ZAPOTITLAN                                                                                                                         "</f>
        <v xml:space="preserve">SANTIAGO ZAPOTITLAN                                                                                                                         </v>
      </c>
      <c r="G2048" s="26" t="str">
        <f>"TLAHUAC                                                                         "</f>
        <v xml:space="preserve">TLAHUAC                                                                         </v>
      </c>
      <c r="H2048" s="26" t="str">
        <f>"547"</f>
        <v>547</v>
      </c>
      <c r="I2048" s="26" t="str">
        <f t="shared" si="325"/>
        <v>00</v>
      </c>
      <c r="J2048" s="26" t="str">
        <f t="shared" si="339"/>
        <v xml:space="preserve">45 </v>
      </c>
      <c r="K2048" s="26" t="str">
        <f t="shared" si="337"/>
        <v>PR</v>
      </c>
      <c r="L2048" s="26" t="str">
        <f t="shared" si="338"/>
        <v>DGOSE</v>
      </c>
      <c r="M2048" s="26" t="str">
        <f t="shared" si="326"/>
        <v>FEDERAL</v>
      </c>
      <c r="N2048" s="26">
        <v>322</v>
      </c>
      <c r="O2048" s="26">
        <v>174</v>
      </c>
      <c r="P2048" s="26">
        <v>148</v>
      </c>
      <c r="Q2048" s="26">
        <v>9</v>
      </c>
      <c r="R2048" s="26">
        <v>1</v>
      </c>
      <c r="S2048" s="26">
        <v>9</v>
      </c>
      <c r="T2048" s="26">
        <v>4</v>
      </c>
      <c r="U2048" s="26">
        <v>14</v>
      </c>
      <c r="V2048" s="26">
        <v>1</v>
      </c>
      <c r="W2048" s="26"/>
    </row>
    <row r="2049" spans="1:23" x14ac:dyDescent="0.25">
      <c r="A2049" s="26" t="str">
        <f t="shared" si="324"/>
        <v>PRIMARIA</v>
      </c>
      <c r="B2049" s="26" t="str">
        <f>"09DPR5140W"</f>
        <v>09DPR5140W</v>
      </c>
      <c r="C2049" s="26" t="str">
        <f>"GUSTAVO BAZ PRADA                                                                                   "</f>
        <v xml:space="preserve">GUSTAVO BAZ PRADA                                                                                   </v>
      </c>
      <c r="D2049" s="26" t="str">
        <f t="shared" si="340"/>
        <v>VESPERTINO</v>
      </c>
      <c r="E2049" s="26" t="str">
        <f>"DURAZNO NUM. 128                                                                "</f>
        <v xml:space="preserve">DURAZNO NUM. 128                                                                </v>
      </c>
      <c r="F2049" s="26" t="str">
        <f>"DOS DE OCTUBRE                                                                                                                              "</f>
        <v xml:space="preserve">DOS DE OCTUBRE                                                                                                                              </v>
      </c>
      <c r="G2049" s="26" t="str">
        <f>"TLALPAN                                                                         "</f>
        <v xml:space="preserve">TLALPAN                                                                         </v>
      </c>
      <c r="H2049" s="26" t="str">
        <f>"515"</f>
        <v>515</v>
      </c>
      <c r="I2049" s="26" t="str">
        <f t="shared" si="325"/>
        <v>00</v>
      </c>
      <c r="J2049" s="26" t="str">
        <f t="shared" si="339"/>
        <v xml:space="preserve">45 </v>
      </c>
      <c r="K2049" s="26" t="str">
        <f t="shared" si="337"/>
        <v>PR</v>
      </c>
      <c r="L2049" s="26" t="str">
        <f t="shared" si="338"/>
        <v>DGOSE</v>
      </c>
      <c r="M2049" s="26" t="str">
        <f t="shared" si="326"/>
        <v>FEDERAL</v>
      </c>
      <c r="N2049" s="26">
        <v>274</v>
      </c>
      <c r="O2049" s="26">
        <v>154</v>
      </c>
      <c r="P2049" s="26">
        <v>120</v>
      </c>
      <c r="Q2049" s="26">
        <v>10</v>
      </c>
      <c r="R2049" s="26">
        <v>0</v>
      </c>
      <c r="S2049" s="26">
        <v>10</v>
      </c>
      <c r="T2049" s="26">
        <v>4</v>
      </c>
      <c r="U2049" s="26">
        <v>14</v>
      </c>
      <c r="V2049" s="26">
        <v>1</v>
      </c>
      <c r="W2049" s="26"/>
    </row>
    <row r="2050" spans="1:23" x14ac:dyDescent="0.25">
      <c r="A2050" s="26" t="str">
        <f t="shared" ref="A2050:A2113" si="341">"PRIMARIA"</f>
        <v>PRIMARIA</v>
      </c>
      <c r="B2050" s="26" t="str">
        <f>"09DPR5141V"</f>
        <v>09DPR5141V</v>
      </c>
      <c r="C2050" s="26" t="str">
        <f>"TLALOC                                                                                              "</f>
        <v xml:space="preserve">TLALOC                                                                                              </v>
      </c>
      <c r="D2050" s="26" t="str">
        <f t="shared" si="340"/>
        <v>VESPERTINO</v>
      </c>
      <c r="E2050" s="26" t="str">
        <f>"AVENIDA MATAMOROS NUMERO 1                                                      "</f>
        <v xml:space="preserve">AVENIDA MATAMOROS NUMERO 1                                                      </v>
      </c>
      <c r="F2050" s="26" t="str">
        <f>"SAN AGUSTIN OHTENCO                                                                                                                         "</f>
        <v xml:space="preserve">SAN AGUSTIN OHTENCO                                                                                                                         </v>
      </c>
      <c r="G2050" s="26" t="str">
        <f>"MILPA ALTA                                                                      "</f>
        <v xml:space="preserve">MILPA ALTA                                                                      </v>
      </c>
      <c r="H2050" s="26" t="str">
        <f>"562"</f>
        <v>562</v>
      </c>
      <c r="I2050" s="26" t="str">
        <f t="shared" ref="I2050:I2113" si="342">"00"</f>
        <v>00</v>
      </c>
      <c r="J2050" s="26" t="str">
        <f t="shared" si="339"/>
        <v xml:space="preserve">45 </v>
      </c>
      <c r="K2050" s="26" t="str">
        <f t="shared" si="337"/>
        <v>PR</v>
      </c>
      <c r="L2050" s="26" t="str">
        <f t="shared" si="338"/>
        <v>DGOSE</v>
      </c>
      <c r="M2050" s="26" t="str">
        <f t="shared" ref="M2050:M2065" si="343">"FEDERAL"</f>
        <v>FEDERAL</v>
      </c>
      <c r="N2050" s="26">
        <v>201</v>
      </c>
      <c r="O2050" s="26">
        <v>98</v>
      </c>
      <c r="P2050" s="26">
        <v>103</v>
      </c>
      <c r="Q2050" s="26">
        <v>6</v>
      </c>
      <c r="R2050" s="26">
        <v>1</v>
      </c>
      <c r="S2050" s="26">
        <v>6</v>
      </c>
      <c r="T2050" s="26">
        <v>4</v>
      </c>
      <c r="U2050" s="26">
        <v>11</v>
      </c>
      <c r="V2050" s="26">
        <v>1</v>
      </c>
      <c r="W2050" s="26"/>
    </row>
    <row r="2051" spans="1:23" x14ac:dyDescent="0.25">
      <c r="A2051" s="26" t="str">
        <f t="shared" si="341"/>
        <v>PRIMARIA</v>
      </c>
      <c r="B2051" s="26" t="str">
        <f>"09DPR5142U"</f>
        <v>09DPR5142U</v>
      </c>
      <c r="C2051" s="26" t="str">
        <f>"POPOL VUH                                                                                           "</f>
        <v xml:space="preserve">POPOL VUH                                                                                           </v>
      </c>
      <c r="D2051" s="26" t="str">
        <f t="shared" si="340"/>
        <v>VESPERTINO</v>
      </c>
      <c r="E2051" s="26" t="str">
        <f>"EDUCACION TECNOLOGICA S/N                                                       "</f>
        <v xml:space="preserve">EDUCACION TECNOLOGICA S/N                                                       </v>
      </c>
      <c r="F2051" s="26" t="str">
        <f>"SAN JUAN IXTAYOPAN                                                                                                                          "</f>
        <v xml:space="preserve">SAN JUAN IXTAYOPAN                                                                                                                          </v>
      </c>
      <c r="G2051" s="26" t="str">
        <f>"TLAHUAC                                                                         "</f>
        <v xml:space="preserve">TLAHUAC                                                                         </v>
      </c>
      <c r="H2051" s="26" t="str">
        <f>"559"</f>
        <v>559</v>
      </c>
      <c r="I2051" s="26" t="str">
        <f t="shared" si="342"/>
        <v>00</v>
      </c>
      <c r="J2051" s="26" t="str">
        <f t="shared" si="339"/>
        <v xml:space="preserve">45 </v>
      </c>
      <c r="K2051" s="26" t="str">
        <f t="shared" si="337"/>
        <v>PR</v>
      </c>
      <c r="L2051" s="26" t="str">
        <f t="shared" si="338"/>
        <v>DGOSE</v>
      </c>
      <c r="M2051" s="26" t="str">
        <f t="shared" si="343"/>
        <v>FEDERAL</v>
      </c>
      <c r="N2051" s="26">
        <v>350</v>
      </c>
      <c r="O2051" s="26">
        <v>189</v>
      </c>
      <c r="P2051" s="26">
        <v>161</v>
      </c>
      <c r="Q2051" s="26">
        <v>15</v>
      </c>
      <c r="R2051" s="26">
        <v>1</v>
      </c>
      <c r="S2051" s="26">
        <v>15</v>
      </c>
      <c r="T2051" s="26">
        <v>7</v>
      </c>
      <c r="U2051" s="26">
        <v>23</v>
      </c>
      <c r="V2051" s="26">
        <v>1</v>
      </c>
      <c r="W2051" s="26"/>
    </row>
    <row r="2052" spans="1:23" x14ac:dyDescent="0.25">
      <c r="A2052" s="26" t="str">
        <f t="shared" si="341"/>
        <v>PRIMARIA</v>
      </c>
      <c r="B2052" s="26" t="str">
        <f>"09DPR5143T"</f>
        <v>09DPR5143T</v>
      </c>
      <c r="C2052" s="26" t="str">
        <f>"RAMON G. BONFIL                                                                                     "</f>
        <v xml:space="preserve">RAMON G. BONFIL                                                                                     </v>
      </c>
      <c r="D2052" s="26" t="str">
        <f t="shared" si="340"/>
        <v>VESPERTINO</v>
      </c>
      <c r="E2052" s="26" t="str">
        <f>"BARRANCA SECA S/N                                                               "</f>
        <v xml:space="preserve">BARRANCA SECA S/N                                                               </v>
      </c>
      <c r="F2052" s="26" t="str">
        <f>"SAN ANTONIO TECOMITL                                                                                                                        "</f>
        <v xml:space="preserve">SAN ANTONIO TECOMITL                                                                                                                        </v>
      </c>
      <c r="G2052" s="26" t="str">
        <f>"MILPA ALTA                                                                      "</f>
        <v xml:space="preserve">MILPA ALTA                                                                      </v>
      </c>
      <c r="H2052" s="26" t="str">
        <f>"561"</f>
        <v>561</v>
      </c>
      <c r="I2052" s="26" t="str">
        <f t="shared" si="342"/>
        <v>00</v>
      </c>
      <c r="J2052" s="26" t="str">
        <f t="shared" si="339"/>
        <v xml:space="preserve">45 </v>
      </c>
      <c r="K2052" s="26" t="str">
        <f t="shared" si="337"/>
        <v>PR</v>
      </c>
      <c r="L2052" s="26" t="str">
        <f t="shared" si="338"/>
        <v>DGOSE</v>
      </c>
      <c r="M2052" s="26" t="str">
        <f t="shared" si="343"/>
        <v>FEDERAL</v>
      </c>
      <c r="N2052" s="26">
        <v>288</v>
      </c>
      <c r="O2052" s="26">
        <v>159</v>
      </c>
      <c r="P2052" s="26">
        <v>129</v>
      </c>
      <c r="Q2052" s="26">
        <v>10</v>
      </c>
      <c r="R2052" s="26">
        <v>1</v>
      </c>
      <c r="S2052" s="26">
        <v>10</v>
      </c>
      <c r="T2052" s="26">
        <v>7</v>
      </c>
      <c r="U2052" s="26">
        <v>18</v>
      </c>
      <c r="V2052" s="26">
        <v>1</v>
      </c>
      <c r="W2052" s="26"/>
    </row>
    <row r="2053" spans="1:23" x14ac:dyDescent="0.25">
      <c r="A2053" s="26" t="str">
        <f t="shared" si="341"/>
        <v>PRIMARIA</v>
      </c>
      <c r="B2053" s="26" t="str">
        <f>"09DPR5144S"</f>
        <v>09DPR5144S</v>
      </c>
      <c r="C2053" s="26" t="str">
        <f>"JUAN JOSE ARREOLA                                                                                   "</f>
        <v xml:space="preserve">JUAN JOSE ARREOLA                                                                                   </v>
      </c>
      <c r="D2053" s="26" t="str">
        <f>"MATUTINO"</f>
        <v>MATUTINO</v>
      </c>
      <c r="E2053" s="26" t="str">
        <f>"AVENIDA SANTA CRUZ S/N                                                          "</f>
        <v xml:space="preserve">AVENIDA SANTA CRUZ S/N                                                          </v>
      </c>
      <c r="F2053" s="26" t="str">
        <f>"LAS ARBOLEDAS                                                                                                                               "</f>
        <v xml:space="preserve">LAS ARBOLEDAS                                                                                                                               </v>
      </c>
      <c r="G2053" s="26" t="str">
        <f>"TLAHUAC                                                                         "</f>
        <v xml:space="preserve">TLAHUAC                                                                         </v>
      </c>
      <c r="H2053" s="26" t="str">
        <f>"546"</f>
        <v>546</v>
      </c>
      <c r="I2053" s="26" t="str">
        <f t="shared" si="342"/>
        <v>00</v>
      </c>
      <c r="J2053" s="26" t="str">
        <f t="shared" si="339"/>
        <v xml:space="preserve">45 </v>
      </c>
      <c r="K2053" s="26" t="str">
        <f t="shared" si="337"/>
        <v>PR</v>
      </c>
      <c r="L2053" s="26" t="str">
        <f t="shared" si="338"/>
        <v>DGOSE</v>
      </c>
      <c r="M2053" s="26" t="str">
        <f t="shared" si="343"/>
        <v>FEDERAL</v>
      </c>
      <c r="N2053" s="26">
        <v>735</v>
      </c>
      <c r="O2053" s="26">
        <v>365</v>
      </c>
      <c r="P2053" s="26">
        <v>370</v>
      </c>
      <c r="Q2053" s="26">
        <v>18</v>
      </c>
      <c r="R2053" s="26">
        <v>1</v>
      </c>
      <c r="S2053" s="26">
        <v>18</v>
      </c>
      <c r="T2053" s="26">
        <v>6</v>
      </c>
      <c r="U2053" s="26">
        <v>25</v>
      </c>
      <c r="V2053" s="26">
        <v>1</v>
      </c>
      <c r="W2053" s="26"/>
    </row>
    <row r="2054" spans="1:23" x14ac:dyDescent="0.25">
      <c r="A2054" s="26" t="str">
        <f t="shared" si="341"/>
        <v>PRIMARIA</v>
      </c>
      <c r="B2054" s="26" t="str">
        <f>"09DPR5145R"</f>
        <v>09DPR5145R</v>
      </c>
      <c r="C2054" s="26" t="str">
        <f>"JUAN JOSE ARREOLA                                                                                   "</f>
        <v xml:space="preserve">JUAN JOSE ARREOLA                                                                                   </v>
      </c>
      <c r="D2054" s="26" t="str">
        <f>"VESPERTINO"</f>
        <v>VESPERTINO</v>
      </c>
      <c r="E2054" s="26" t="str">
        <f>"AV SANTA CRUZ Y ALTA TENSION                                                    "</f>
        <v xml:space="preserve">AV SANTA CRUZ Y ALTA TENSION                                                    </v>
      </c>
      <c r="F2054" s="26" t="str">
        <f>"LAS ARBOLEDAS                                                                                                                               "</f>
        <v xml:space="preserve">LAS ARBOLEDAS                                                                                                                               </v>
      </c>
      <c r="G2054" s="26" t="str">
        <f>"TLAHUAC                                                                         "</f>
        <v xml:space="preserve">TLAHUAC                                                                         </v>
      </c>
      <c r="H2054" s="26" t="str">
        <f>"546"</f>
        <v>546</v>
      </c>
      <c r="I2054" s="26" t="str">
        <f t="shared" si="342"/>
        <v>00</v>
      </c>
      <c r="J2054" s="26" t="str">
        <f t="shared" si="339"/>
        <v xml:space="preserve">45 </v>
      </c>
      <c r="K2054" s="26" t="str">
        <f t="shared" si="337"/>
        <v>PR</v>
      </c>
      <c r="L2054" s="26" t="str">
        <f t="shared" si="338"/>
        <v>DGOSE</v>
      </c>
      <c r="M2054" s="26" t="str">
        <f t="shared" si="343"/>
        <v>FEDERAL</v>
      </c>
      <c r="N2054" s="26">
        <v>651</v>
      </c>
      <c r="O2054" s="26">
        <v>312</v>
      </c>
      <c r="P2054" s="26">
        <v>339</v>
      </c>
      <c r="Q2054" s="26">
        <v>18</v>
      </c>
      <c r="R2054" s="26">
        <v>1</v>
      </c>
      <c r="S2054" s="26">
        <v>18</v>
      </c>
      <c r="T2054" s="26">
        <v>6</v>
      </c>
      <c r="U2054" s="26">
        <v>25</v>
      </c>
      <c r="V2054" s="26">
        <v>1</v>
      </c>
      <c r="W2054" s="26"/>
    </row>
    <row r="2055" spans="1:23" x14ac:dyDescent="0.25">
      <c r="A2055" s="26" t="str">
        <f t="shared" si="341"/>
        <v>PRIMARIA</v>
      </c>
      <c r="B2055" s="26" t="str">
        <f>"09DPR5146Q"</f>
        <v>09DPR5146Q</v>
      </c>
      <c r="C2055" s="26" t="str">
        <f>"SOR JUANA INES DE LA CRUZ                                                                           "</f>
        <v xml:space="preserve">SOR JUANA INES DE LA CRUZ                                                                           </v>
      </c>
      <c r="D2055" s="26" t="str">
        <f>"JORNADA AMPLIADA"</f>
        <v>JORNADA AMPLIADA</v>
      </c>
      <c r="E2055" s="26" t="str">
        <f>"CDA PROLONGACION BENITO JUAREZ S/N                                              "</f>
        <v xml:space="preserve">CDA PROLONGACION BENITO JUAREZ S/N                                              </v>
      </c>
      <c r="F2055" s="26" t="str">
        <f>"EL ROSARIO EL ALTO IXTAYOPAN                                                                                                                "</f>
        <v xml:space="preserve">EL ROSARIO EL ALTO IXTAYOPAN                                                                                                                </v>
      </c>
      <c r="G2055" s="26" t="str">
        <f>"TLAHUAC                                                                         "</f>
        <v xml:space="preserve">TLAHUAC                                                                         </v>
      </c>
      <c r="H2055" s="26" t="str">
        <f>"450"</f>
        <v>450</v>
      </c>
      <c r="I2055" s="26" t="str">
        <f t="shared" si="342"/>
        <v>00</v>
      </c>
      <c r="J2055" s="26" t="str">
        <f>"44 "</f>
        <v xml:space="preserve">44 </v>
      </c>
      <c r="K2055" s="26" t="str">
        <f t="shared" si="337"/>
        <v>PR</v>
      </c>
      <c r="L2055" s="26" t="str">
        <f t="shared" si="338"/>
        <v>DGOSE</v>
      </c>
      <c r="M2055" s="26" t="str">
        <f t="shared" si="343"/>
        <v>FEDERAL</v>
      </c>
      <c r="N2055" s="26">
        <v>536</v>
      </c>
      <c r="O2055" s="26">
        <v>268</v>
      </c>
      <c r="P2055" s="26">
        <v>268</v>
      </c>
      <c r="Q2055" s="26">
        <v>16</v>
      </c>
      <c r="R2055" s="26">
        <v>1</v>
      </c>
      <c r="S2055" s="26">
        <v>16</v>
      </c>
      <c r="T2055" s="26">
        <v>9</v>
      </c>
      <c r="U2055" s="26">
        <v>26</v>
      </c>
      <c r="V2055" s="26">
        <v>1</v>
      </c>
      <c r="W2055" s="26" t="s">
        <v>2076</v>
      </c>
    </row>
    <row r="2056" spans="1:23" x14ac:dyDescent="0.25">
      <c r="A2056" s="26" t="str">
        <f t="shared" si="341"/>
        <v>PRIMARIA</v>
      </c>
      <c r="B2056" s="26" t="str">
        <f>"09DPR5147P"</f>
        <v>09DPR5147P</v>
      </c>
      <c r="C2056" s="26" t="str">
        <f>"PROFR. MAXIMILIANO MOLINA FUENTE                                                                    "</f>
        <v xml:space="preserve">PROFR. MAXIMILIANO MOLINA FUENTE                                                                    </v>
      </c>
      <c r="D2056" s="26" t="str">
        <f>"JORNADA AMPLIADA"</f>
        <v>JORNADA AMPLIADA</v>
      </c>
      <c r="E2056" s="26" t="str">
        <f>"CUAUHTEMOC S/N                                                                  "</f>
        <v xml:space="preserve">CUAUHTEMOC S/N                                                                  </v>
      </c>
      <c r="F2056" s="26" t="str">
        <f>"SAN MIGUEL TOPILEJO                                                                                                                         "</f>
        <v xml:space="preserve">SAN MIGUEL TOPILEJO                                                                                                                         </v>
      </c>
      <c r="G2056" s="26" t="str">
        <f>"TLALPAN                                                                         "</f>
        <v xml:space="preserve">TLALPAN                                                                         </v>
      </c>
      <c r="H2056" s="26" t="str">
        <f>"447"</f>
        <v>447</v>
      </c>
      <c r="I2056" s="26" t="str">
        <f t="shared" si="342"/>
        <v>00</v>
      </c>
      <c r="J2056" s="26" t="str">
        <f>"44 "</f>
        <v xml:space="preserve">44 </v>
      </c>
      <c r="K2056" s="26" t="str">
        <f t="shared" si="337"/>
        <v>PR</v>
      </c>
      <c r="L2056" s="26" t="str">
        <f t="shared" si="338"/>
        <v>DGOSE</v>
      </c>
      <c r="M2056" s="26" t="str">
        <f t="shared" si="343"/>
        <v>FEDERAL</v>
      </c>
      <c r="N2056" s="26">
        <v>884</v>
      </c>
      <c r="O2056" s="26">
        <v>466</v>
      </c>
      <c r="P2056" s="26">
        <v>418</v>
      </c>
      <c r="Q2056" s="26">
        <v>24</v>
      </c>
      <c r="R2056" s="26">
        <v>1</v>
      </c>
      <c r="S2056" s="26">
        <v>24</v>
      </c>
      <c r="T2056" s="26">
        <v>11</v>
      </c>
      <c r="U2056" s="26">
        <v>36</v>
      </c>
      <c r="V2056" s="26">
        <v>1</v>
      </c>
      <c r="W2056" s="26" t="s">
        <v>2076</v>
      </c>
    </row>
    <row r="2057" spans="1:23" x14ac:dyDescent="0.25">
      <c r="A2057" s="26" t="str">
        <f t="shared" si="341"/>
        <v>PRIMARIA</v>
      </c>
      <c r="B2057" s="26" t="str">
        <f>"09DPR5148O"</f>
        <v>09DPR5148O</v>
      </c>
      <c r="C2057" s="26" t="str">
        <f>"DR.EDUARDO LICEAGA                                                                                  "</f>
        <v xml:space="preserve">DR.EDUARDO LICEAGA                                                                                  </v>
      </c>
      <c r="D2057" s="26" t="str">
        <f>"VESPERTINO"</f>
        <v>VESPERTINO</v>
      </c>
      <c r="E2057" s="26" t="str">
        <f>"ANDADOR PRINCIPAL Y ANDADOR 14                                                  "</f>
        <v xml:space="preserve">ANDADOR PRINCIPAL Y ANDADOR 14                                                  </v>
      </c>
      <c r="F2057" s="26" t="str">
        <f>"TIERRA UNIDA                                                                                                                                "</f>
        <v xml:space="preserve">TIERRA UNIDA                                                                                                                                </v>
      </c>
      <c r="G2057" s="26" t="str">
        <f>"LA MAGDALENA CONTRERAS                                                          "</f>
        <v xml:space="preserve">LA MAGDALENA CONTRERAS                                                          </v>
      </c>
      <c r="H2057" s="26" t="str">
        <f>"334"</f>
        <v>334</v>
      </c>
      <c r="I2057" s="26" t="str">
        <f t="shared" si="342"/>
        <v>00</v>
      </c>
      <c r="J2057" s="26" t="str">
        <f>"43 "</f>
        <v xml:space="preserve">43 </v>
      </c>
      <c r="K2057" s="26" t="str">
        <f t="shared" si="337"/>
        <v>PR</v>
      </c>
      <c r="L2057" s="26" t="str">
        <f t="shared" si="338"/>
        <v>DGOSE</v>
      </c>
      <c r="M2057" s="26" t="str">
        <f t="shared" si="343"/>
        <v>FEDERAL</v>
      </c>
      <c r="N2057" s="26">
        <v>246</v>
      </c>
      <c r="O2057" s="26">
        <v>125</v>
      </c>
      <c r="P2057" s="26">
        <v>121</v>
      </c>
      <c r="Q2057" s="26">
        <v>10</v>
      </c>
      <c r="R2057" s="26">
        <v>1</v>
      </c>
      <c r="S2057" s="26">
        <v>10</v>
      </c>
      <c r="T2057" s="26">
        <v>6</v>
      </c>
      <c r="U2057" s="26">
        <v>17</v>
      </c>
      <c r="V2057" s="26">
        <v>1</v>
      </c>
      <c r="W2057" s="26"/>
    </row>
    <row r="2058" spans="1:23" x14ac:dyDescent="0.25">
      <c r="A2058" s="26" t="str">
        <f t="shared" si="341"/>
        <v>PRIMARIA</v>
      </c>
      <c r="B2058" s="26" t="str">
        <f>"09DPR5149N"</f>
        <v>09DPR5149N</v>
      </c>
      <c r="C2058" s="26" t="str">
        <f>"SIERRA LEONA                                                                                        "</f>
        <v xml:space="preserve">SIERRA LEONA                                                                                        </v>
      </c>
      <c r="D2058" s="26" t="str">
        <f>"VESPERTINO"</f>
        <v>VESPERTINO</v>
      </c>
      <c r="E2058" s="26" t="str">
        <f>"AV NUEVO MEXICO NO 2                                                            "</f>
        <v xml:space="preserve">AV NUEVO MEXICO NO 2                                                            </v>
      </c>
      <c r="F2058" s="26" t="str">
        <f>"SAN JERONIMO MIACATLAN                                                                                                                      "</f>
        <v xml:space="preserve">SAN JERONIMO MIACATLAN                                                                                                                      </v>
      </c>
      <c r="G2058" s="26" t="str">
        <f>"MILPA ALTA                                                                      "</f>
        <v xml:space="preserve">MILPA ALTA                                                                      </v>
      </c>
      <c r="H2058" s="26" t="str">
        <f>"562"</f>
        <v>562</v>
      </c>
      <c r="I2058" s="26" t="str">
        <f t="shared" si="342"/>
        <v>00</v>
      </c>
      <c r="J2058" s="26" t="str">
        <f>"45 "</f>
        <v xml:space="preserve">45 </v>
      </c>
      <c r="K2058" s="26" t="str">
        <f t="shared" si="337"/>
        <v>PR</v>
      </c>
      <c r="L2058" s="26" t="str">
        <f t="shared" si="338"/>
        <v>DGOSE</v>
      </c>
      <c r="M2058" s="26" t="str">
        <f t="shared" si="343"/>
        <v>FEDERAL</v>
      </c>
      <c r="N2058" s="26">
        <v>124</v>
      </c>
      <c r="O2058" s="26">
        <v>65</v>
      </c>
      <c r="P2058" s="26">
        <v>59</v>
      </c>
      <c r="Q2058" s="26">
        <v>6</v>
      </c>
      <c r="R2058" s="26">
        <v>1</v>
      </c>
      <c r="S2058" s="26">
        <v>6</v>
      </c>
      <c r="T2058" s="26">
        <v>6</v>
      </c>
      <c r="U2058" s="26">
        <v>13</v>
      </c>
      <c r="V2058" s="26">
        <v>1</v>
      </c>
      <c r="W2058" s="26"/>
    </row>
    <row r="2059" spans="1:23" x14ac:dyDescent="0.25">
      <c r="A2059" s="26" t="str">
        <f t="shared" si="341"/>
        <v>PRIMARIA</v>
      </c>
      <c r="B2059" s="26" t="str">
        <f>"09DPR5150C"</f>
        <v>09DPR5150C</v>
      </c>
      <c r="C2059" s="26" t="str">
        <f>"NUEVO MILENIO                                                                                       "</f>
        <v xml:space="preserve">NUEVO MILENIO                                                                                       </v>
      </c>
      <c r="D2059" s="26" t="str">
        <f>"VESPERTINO"</f>
        <v>VESPERTINO</v>
      </c>
      <c r="E2059" s="26" t="str">
        <f>"GUILLERMO PRIETO S/N                                                            "</f>
        <v xml:space="preserve">GUILLERMO PRIETO S/N                                                            </v>
      </c>
      <c r="F2059" s="26" t="str">
        <f>"MIGUEL HIDALGO                                                                                                                              "</f>
        <v xml:space="preserve">MIGUEL HIDALGO                                                                                                                              </v>
      </c>
      <c r="G2059" s="26" t="str">
        <f>"TLAHUAC                                                                         "</f>
        <v xml:space="preserve">TLAHUAC                                                                         </v>
      </c>
      <c r="H2059" s="26" t="str">
        <f>"552"</f>
        <v>552</v>
      </c>
      <c r="I2059" s="26" t="str">
        <f t="shared" si="342"/>
        <v>00</v>
      </c>
      <c r="J2059" s="26" t="str">
        <f>"45 "</f>
        <v xml:space="preserve">45 </v>
      </c>
      <c r="K2059" s="26" t="str">
        <f t="shared" si="337"/>
        <v>PR</v>
      </c>
      <c r="L2059" s="26" t="str">
        <f t="shared" si="338"/>
        <v>DGOSE</v>
      </c>
      <c r="M2059" s="26" t="str">
        <f t="shared" si="343"/>
        <v>FEDERAL</v>
      </c>
      <c r="N2059" s="26">
        <v>502</v>
      </c>
      <c r="O2059" s="26">
        <v>263</v>
      </c>
      <c r="P2059" s="26">
        <v>239</v>
      </c>
      <c r="Q2059" s="26">
        <v>18</v>
      </c>
      <c r="R2059" s="26">
        <v>1</v>
      </c>
      <c r="S2059" s="26">
        <v>16</v>
      </c>
      <c r="T2059" s="26">
        <v>8</v>
      </c>
      <c r="U2059" s="26">
        <v>25</v>
      </c>
      <c r="V2059" s="26">
        <v>1</v>
      </c>
      <c r="W2059" s="26"/>
    </row>
    <row r="2060" spans="1:23" x14ac:dyDescent="0.25">
      <c r="A2060" s="26" t="str">
        <f t="shared" si="341"/>
        <v>PRIMARIA</v>
      </c>
      <c r="B2060" s="26" t="str">
        <f>"09DPR5151B"</f>
        <v>09DPR5151B</v>
      </c>
      <c r="C2060" s="26" t="str">
        <f>"MAESTRO JUSTO SIERRA                                                                                "</f>
        <v xml:space="preserve">MAESTRO JUSTO SIERRA                                                                                </v>
      </c>
      <c r="D2060" s="26" t="str">
        <f>"VESPERTINO"</f>
        <v>VESPERTINO</v>
      </c>
      <c r="E2060" s="26" t="str">
        <f>"KM 29.5 CARRETERA MEXICO-TOLUCA                                                 "</f>
        <v xml:space="preserve">KM 29.5 CARRETERA MEXICO-TOLUCA                                                 </v>
      </c>
      <c r="F2060" s="26" t="str">
        <f>"LA PILA                                                                                                                                     "</f>
        <v xml:space="preserve">LA PILA                                                                                                                                     </v>
      </c>
      <c r="G2060" s="26" t="str">
        <f>"CUAJIMALPA DE MORELOS                                                           "</f>
        <v xml:space="preserve">CUAJIMALPA DE MORELOS                                                           </v>
      </c>
      <c r="H2060" s="26" t="str">
        <f>"306"</f>
        <v>306</v>
      </c>
      <c r="I2060" s="26" t="str">
        <f t="shared" si="342"/>
        <v>00</v>
      </c>
      <c r="J2060" s="26" t="str">
        <f>"43 "</f>
        <v xml:space="preserve">43 </v>
      </c>
      <c r="K2060" s="26" t="str">
        <f t="shared" si="337"/>
        <v>PR</v>
      </c>
      <c r="L2060" s="26" t="str">
        <f t="shared" si="338"/>
        <v>DGOSE</v>
      </c>
      <c r="M2060" s="26" t="str">
        <f t="shared" si="343"/>
        <v>FEDERAL</v>
      </c>
      <c r="N2060" s="26">
        <v>295</v>
      </c>
      <c r="O2060" s="26">
        <v>156</v>
      </c>
      <c r="P2060" s="26">
        <v>139</v>
      </c>
      <c r="Q2060" s="26">
        <v>15</v>
      </c>
      <c r="R2060" s="26">
        <v>1</v>
      </c>
      <c r="S2060" s="26">
        <v>11</v>
      </c>
      <c r="T2060" s="26">
        <v>5</v>
      </c>
      <c r="U2060" s="26">
        <v>17</v>
      </c>
      <c r="V2060" s="26">
        <v>1</v>
      </c>
      <c r="W2060" s="26"/>
    </row>
    <row r="2061" spans="1:23" x14ac:dyDescent="0.25">
      <c r="A2061" s="26" t="str">
        <f t="shared" si="341"/>
        <v>PRIMARIA</v>
      </c>
      <c r="B2061" s="26" t="str">
        <f>"09DPR5152A"</f>
        <v>09DPR5152A</v>
      </c>
      <c r="C2061" s="26" t="str">
        <f>"TLAHCUILO                                                                                           "</f>
        <v xml:space="preserve">TLAHCUILO                                                                                           </v>
      </c>
      <c r="D2061" s="26" t="str">
        <f>"JORNADA AMPLIADA"</f>
        <v>JORNADA AMPLIADA</v>
      </c>
      <c r="E2061" s="26" t="str">
        <f>"TEMIZCO SIN NUMERO                                                              "</f>
        <v xml:space="preserve">TEMIZCO SIN NUMERO                                                              </v>
      </c>
      <c r="F2061" s="26" t="str">
        <f>"SANTA ANA TLACOTENCO                                                                                                                        "</f>
        <v xml:space="preserve">SANTA ANA TLACOTENCO                                                                                                                        </v>
      </c>
      <c r="G2061" s="26" t="str">
        <f>"MILPA ALTA                                                                      "</f>
        <v xml:space="preserve">MILPA ALTA                                                                      </v>
      </c>
      <c r="H2061" s="26" t="str">
        <f>"451"</f>
        <v>451</v>
      </c>
      <c r="I2061" s="26" t="str">
        <f t="shared" si="342"/>
        <v>00</v>
      </c>
      <c r="J2061" s="26" t="str">
        <f>"44 "</f>
        <v xml:space="preserve">44 </v>
      </c>
      <c r="K2061" s="26" t="str">
        <f t="shared" si="337"/>
        <v>PR</v>
      </c>
      <c r="L2061" s="26" t="str">
        <f t="shared" si="338"/>
        <v>DGOSE</v>
      </c>
      <c r="M2061" s="26" t="str">
        <f t="shared" si="343"/>
        <v>FEDERAL</v>
      </c>
      <c r="N2061" s="26">
        <v>472</v>
      </c>
      <c r="O2061" s="26">
        <v>227</v>
      </c>
      <c r="P2061" s="26">
        <v>245</v>
      </c>
      <c r="Q2061" s="26">
        <v>14</v>
      </c>
      <c r="R2061" s="26">
        <v>1</v>
      </c>
      <c r="S2061" s="26">
        <v>13</v>
      </c>
      <c r="T2061" s="26">
        <v>12</v>
      </c>
      <c r="U2061" s="26">
        <v>26</v>
      </c>
      <c r="V2061" s="26">
        <v>1</v>
      </c>
      <c r="W2061" s="26" t="s">
        <v>2076</v>
      </c>
    </row>
    <row r="2062" spans="1:23" x14ac:dyDescent="0.25">
      <c r="A2062" s="26" t="str">
        <f t="shared" si="341"/>
        <v>PRIMARIA</v>
      </c>
      <c r="B2062" s="26" t="str">
        <f>"09DPR5153Z"</f>
        <v>09DPR5153Z</v>
      </c>
      <c r="C2062" s="26" t="str">
        <f>"FRANCISCO CABAÑAS PARDO                                                                             "</f>
        <v xml:space="preserve">FRANCISCO CABAÑAS PARDO                                                                             </v>
      </c>
      <c r="D2062" s="26" t="str">
        <f>"TIEMPO COMPLETO"</f>
        <v>TIEMPO COMPLETO</v>
      </c>
      <c r="E2062" s="26" t="str">
        <f>"AVENIDA AÑIL NO 550                                                             "</f>
        <v xml:space="preserve">AVENIDA AÑIL NO 550                                                             </v>
      </c>
      <c r="F2062" s="26" t="str">
        <f>"GRANJAS MEXICO                                                                                                                              "</f>
        <v xml:space="preserve">GRANJAS MEXICO                                                                                                                              </v>
      </c>
      <c r="G2062" s="26" t="str">
        <f>"IZTACALCO                                                                       "</f>
        <v xml:space="preserve">IZTACALCO                                                                       </v>
      </c>
      <c r="H2062" s="26" t="str">
        <f>"427"</f>
        <v>427</v>
      </c>
      <c r="I2062" s="26" t="str">
        <f t="shared" si="342"/>
        <v>00</v>
      </c>
      <c r="J2062" s="26" t="str">
        <f>"44 "</f>
        <v xml:space="preserve">44 </v>
      </c>
      <c r="K2062" s="26" t="str">
        <f t="shared" si="337"/>
        <v>PR</v>
      </c>
      <c r="L2062" s="26" t="str">
        <f t="shared" si="338"/>
        <v>DGOSE</v>
      </c>
      <c r="M2062" s="26" t="str">
        <f t="shared" si="343"/>
        <v>FEDERAL</v>
      </c>
      <c r="N2062" s="26">
        <v>19</v>
      </c>
      <c r="O2062" s="26">
        <v>12</v>
      </c>
      <c r="P2062" s="26">
        <v>7</v>
      </c>
      <c r="Q2062" s="26">
        <v>3</v>
      </c>
      <c r="R2062" s="26">
        <v>1</v>
      </c>
      <c r="S2062" s="26">
        <v>3</v>
      </c>
      <c r="T2062" s="26">
        <v>3</v>
      </c>
      <c r="U2062" s="26">
        <v>7</v>
      </c>
      <c r="V2062" s="26">
        <v>1</v>
      </c>
      <c r="W2062" s="26" t="s">
        <v>218</v>
      </c>
    </row>
    <row r="2063" spans="1:23" x14ac:dyDescent="0.25">
      <c r="A2063" s="26" t="str">
        <f t="shared" si="341"/>
        <v>PRIMARIA</v>
      </c>
      <c r="B2063" s="26" t="str">
        <f>"09DPR5154Z"</f>
        <v>09DPR5154Z</v>
      </c>
      <c r="C2063" s="26" t="str">
        <f>"BENITO JUAREZ                                                                                       "</f>
        <v xml:space="preserve">BENITO JUAREZ                                                                                       </v>
      </c>
      <c r="D2063" s="26" t="str">
        <f>"VESPERTINO"</f>
        <v>VESPERTINO</v>
      </c>
      <c r="E2063" s="26" t="str">
        <f>"AV CINCO DE MAYO NO 42                                                          "</f>
        <v xml:space="preserve">AV CINCO DE MAYO NO 42                                                          </v>
      </c>
      <c r="F2063" s="26" t="str">
        <f>"SAN BARTOLOME XICOMULCO                                                                                                                     "</f>
        <v xml:space="preserve">SAN BARTOLOME XICOMULCO                                                                                                                     </v>
      </c>
      <c r="G2063" s="26" t="str">
        <f>"MILPA ALTA                                                                      "</f>
        <v xml:space="preserve">MILPA ALTA                                                                      </v>
      </c>
      <c r="H2063" s="26" t="str">
        <f>"564"</f>
        <v>564</v>
      </c>
      <c r="I2063" s="26" t="str">
        <f t="shared" si="342"/>
        <v>00</v>
      </c>
      <c r="J2063" s="26" t="str">
        <f>"45 "</f>
        <v xml:space="preserve">45 </v>
      </c>
      <c r="K2063" s="26" t="str">
        <f t="shared" si="337"/>
        <v>PR</v>
      </c>
      <c r="L2063" s="26" t="str">
        <f t="shared" si="338"/>
        <v>DGOSE</v>
      </c>
      <c r="M2063" s="26" t="str">
        <f t="shared" si="343"/>
        <v>FEDERAL</v>
      </c>
      <c r="N2063" s="26">
        <v>234</v>
      </c>
      <c r="O2063" s="26">
        <v>112</v>
      </c>
      <c r="P2063" s="26">
        <v>122</v>
      </c>
      <c r="Q2063" s="26">
        <v>10</v>
      </c>
      <c r="R2063" s="26">
        <v>1</v>
      </c>
      <c r="S2063" s="26">
        <v>10</v>
      </c>
      <c r="T2063" s="26">
        <v>6</v>
      </c>
      <c r="U2063" s="26">
        <v>17</v>
      </c>
      <c r="V2063" s="26">
        <v>1</v>
      </c>
      <c r="W2063" s="26"/>
    </row>
    <row r="2064" spans="1:23" x14ac:dyDescent="0.25">
      <c r="A2064" s="26" t="str">
        <f t="shared" si="341"/>
        <v>PRIMARIA</v>
      </c>
      <c r="B2064" s="26" t="str">
        <f>"09DPR5155Y"</f>
        <v>09DPR5155Y</v>
      </c>
      <c r="C2064" s="26" t="str">
        <f>"PROFR TOMAS FREGOSO                                                                                 "</f>
        <v xml:space="preserve">PROFR TOMAS FREGOSO                                                                                 </v>
      </c>
      <c r="D2064" s="26" t="str">
        <f>"VESPERTINO"</f>
        <v>VESPERTINO</v>
      </c>
      <c r="E2064" s="26" t="str">
        <f>"CALMECAC NO 1                                                                   "</f>
        <v xml:space="preserve">CALMECAC NO 1                                                                   </v>
      </c>
      <c r="F2064" s="26" t="str">
        <f>"SANTA CRUZ MIXQUIC                                                                                                                          "</f>
        <v xml:space="preserve">SANTA CRUZ MIXQUIC                                                                                                                          </v>
      </c>
      <c r="G2064" s="26" t="str">
        <f>"TLAHUAC                                                                         "</f>
        <v xml:space="preserve">TLAHUAC                                                                         </v>
      </c>
      <c r="H2064" s="26" t="str">
        <f>"560"</f>
        <v>560</v>
      </c>
      <c r="I2064" s="26" t="str">
        <f t="shared" si="342"/>
        <v>00</v>
      </c>
      <c r="J2064" s="26" t="str">
        <f>"45 "</f>
        <v xml:space="preserve">45 </v>
      </c>
      <c r="K2064" s="26" t="str">
        <f t="shared" si="337"/>
        <v>PR</v>
      </c>
      <c r="L2064" s="26" t="str">
        <f t="shared" si="338"/>
        <v>DGOSE</v>
      </c>
      <c r="M2064" s="26" t="str">
        <f t="shared" si="343"/>
        <v>FEDERAL</v>
      </c>
      <c r="N2064" s="26">
        <v>321</v>
      </c>
      <c r="O2064" s="26">
        <v>158</v>
      </c>
      <c r="P2064" s="26">
        <v>163</v>
      </c>
      <c r="Q2064" s="26">
        <v>12</v>
      </c>
      <c r="R2064" s="26">
        <v>0</v>
      </c>
      <c r="S2064" s="26">
        <v>12</v>
      </c>
      <c r="T2064" s="26">
        <v>6</v>
      </c>
      <c r="U2064" s="26">
        <v>18</v>
      </c>
      <c r="V2064" s="26">
        <v>1</v>
      </c>
      <c r="W2064" s="26"/>
    </row>
    <row r="2065" spans="1:23" x14ac:dyDescent="0.25">
      <c r="A2065" s="26" t="str">
        <f t="shared" si="341"/>
        <v>PRIMARIA</v>
      </c>
      <c r="B2065" s="26" t="str">
        <f>"09DPR5157W"</f>
        <v>09DPR5157W</v>
      </c>
      <c r="C2065" s="26" t="str">
        <f>"ATENEO DE LA JUVENTUD                                                                               "</f>
        <v xml:space="preserve">ATENEO DE LA JUVENTUD                                                                               </v>
      </c>
      <c r="D2065" s="26" t="str">
        <f>"JORNADA AMPLIADA"</f>
        <v>JORNADA AMPLIADA</v>
      </c>
      <c r="E2065" s="26" t="str">
        <f>"PREDIO TETENCO CAMINO ANTIGUO A CUERNAVACA                                      "</f>
        <v xml:space="preserve">PREDIO TETENCO CAMINO ANTIGUO A CUERNAVACA                                      </v>
      </c>
      <c r="F2065" s="26" t="str">
        <f>"SAN MIGUEL TOPILEJO                                                                                                                         "</f>
        <v xml:space="preserve">SAN MIGUEL TOPILEJO                                                                                                                         </v>
      </c>
      <c r="G2065" s="26" t="str">
        <f>"TLALPAN                                                                         "</f>
        <v xml:space="preserve">TLALPAN                                                                         </v>
      </c>
      <c r="H2065" s="26" t="str">
        <f>"447"</f>
        <v>447</v>
      </c>
      <c r="I2065" s="26" t="str">
        <f t="shared" si="342"/>
        <v>00</v>
      </c>
      <c r="J2065" s="26" t="str">
        <f>"44 "</f>
        <v xml:space="preserve">44 </v>
      </c>
      <c r="K2065" s="26" t="str">
        <f t="shared" si="337"/>
        <v>PR</v>
      </c>
      <c r="L2065" s="26" t="str">
        <f t="shared" si="338"/>
        <v>DGOSE</v>
      </c>
      <c r="M2065" s="26" t="str">
        <f t="shared" si="343"/>
        <v>FEDERAL</v>
      </c>
      <c r="N2065" s="26">
        <v>580</v>
      </c>
      <c r="O2065" s="26">
        <v>291</v>
      </c>
      <c r="P2065" s="26">
        <v>289</v>
      </c>
      <c r="Q2065" s="26">
        <v>19</v>
      </c>
      <c r="R2065" s="26">
        <v>1</v>
      </c>
      <c r="S2065" s="26">
        <v>16</v>
      </c>
      <c r="T2065" s="26">
        <v>9</v>
      </c>
      <c r="U2065" s="26">
        <v>26</v>
      </c>
      <c r="V2065" s="26">
        <v>1</v>
      </c>
      <c r="W2065" s="26" t="s">
        <v>2076</v>
      </c>
    </row>
    <row r="2066" spans="1:23" x14ac:dyDescent="0.25">
      <c r="A2066" s="26" t="str">
        <f t="shared" si="341"/>
        <v>PRIMARIA</v>
      </c>
      <c r="B2066" s="26" t="str">
        <f>"09PPR0001S"</f>
        <v>09PPR0001S</v>
      </c>
      <c r="C2066" s="26" t="str">
        <f>"MIGUEL ANGEL                                                                                        "</f>
        <v xml:space="preserve">MIGUEL ANGEL                                                                                        </v>
      </c>
      <c r="D2066" s="26" t="str">
        <f t="shared" ref="D2066:D2129" si="344">"MATUTINO"</f>
        <v>MATUTINO</v>
      </c>
      <c r="E2066" s="26" t="str">
        <f>"IZTACCIHUATL NO. 239                                                            "</f>
        <v xml:space="preserve">IZTACCIHUATL NO. 239                                                            </v>
      </c>
      <c r="F2066" s="26" t="str">
        <f>"FLORIDA                                                                                                                                     "</f>
        <v xml:space="preserve">FLORIDA                                                                                                                                     </v>
      </c>
      <c r="G2066" s="26" t="str">
        <f>"ALVARO OBREGON                                                                  "</f>
        <v xml:space="preserve">ALVARO OBREGON                                                                  </v>
      </c>
      <c r="H2066" s="26" t="str">
        <f>"320"</f>
        <v>320</v>
      </c>
      <c r="I2066" s="26" t="str">
        <f t="shared" si="342"/>
        <v>00</v>
      </c>
      <c r="J2066" s="26" t="str">
        <f>"43 "</f>
        <v xml:space="preserve">43 </v>
      </c>
      <c r="K2066" s="26" t="str">
        <f t="shared" si="337"/>
        <v>PR</v>
      </c>
      <c r="L2066" s="26" t="str">
        <f t="shared" si="338"/>
        <v>DGOSE</v>
      </c>
      <c r="M2066" s="26" t="str">
        <f t="shared" ref="M2066:M2129" si="345">"PARTICULAR"</f>
        <v>PARTICULAR</v>
      </c>
      <c r="N2066" s="26">
        <v>555</v>
      </c>
      <c r="O2066" s="26">
        <v>210</v>
      </c>
      <c r="P2066" s="26">
        <v>345</v>
      </c>
      <c r="Q2066" s="26">
        <v>21</v>
      </c>
      <c r="R2066" s="26">
        <v>1</v>
      </c>
      <c r="S2066" s="26">
        <v>11</v>
      </c>
      <c r="T2066" s="26">
        <v>24</v>
      </c>
      <c r="U2066" s="26">
        <v>36</v>
      </c>
      <c r="V2066" s="26">
        <v>1</v>
      </c>
      <c r="W2066" s="26"/>
    </row>
    <row r="2067" spans="1:23" x14ac:dyDescent="0.25">
      <c r="A2067" s="26" t="str">
        <f t="shared" si="341"/>
        <v>PRIMARIA</v>
      </c>
      <c r="B2067" s="26" t="str">
        <f>"09PPR0006N"</f>
        <v>09PPR0006N</v>
      </c>
      <c r="C2067" s="26" t="str">
        <f>"SOR JUANA INES DE LA CRUZ                                                                           "</f>
        <v xml:space="preserve">SOR JUANA INES DE LA CRUZ                                                                           </v>
      </c>
      <c r="D2067" s="26" t="str">
        <f t="shared" si="344"/>
        <v>MATUTINO</v>
      </c>
      <c r="E2067" s="26" t="str">
        <f>"ATANASIO SARABIA S/N                                                            "</f>
        <v xml:space="preserve">ATANASIO SARABIA S/N                                                            </v>
      </c>
      <c r="F2067" s="26" t="str">
        <f>"SANTA MARTHA ACATITLA                                                                                                                       "</f>
        <v xml:space="preserve">SANTA MARTHA ACATITLA                                                                                                                       </v>
      </c>
      <c r="G2067" s="26" t="str">
        <f>"IZTAPALAPA                                                                      "</f>
        <v xml:space="preserve">IZTAPALAPA                                                                      </v>
      </c>
      <c r="H2067" s="26" t="str">
        <f>"000"</f>
        <v>000</v>
      </c>
      <c r="I2067" s="26" t="str">
        <f t="shared" si="342"/>
        <v>00</v>
      </c>
      <c r="J2067" s="26" t="str">
        <f>"62 "</f>
        <v xml:space="preserve">62 </v>
      </c>
      <c r="K2067" s="26" t="str">
        <f>"IZ"</f>
        <v>IZ</v>
      </c>
      <c r="L2067" s="26" t="str">
        <f>"DGSEI"</f>
        <v>DGSEI</v>
      </c>
      <c r="M2067" s="26" t="str">
        <f t="shared" si="345"/>
        <v>PARTICULAR</v>
      </c>
      <c r="N2067" s="26">
        <v>197</v>
      </c>
      <c r="O2067" s="26">
        <v>91</v>
      </c>
      <c r="P2067" s="26">
        <v>106</v>
      </c>
      <c r="Q2067" s="26">
        <v>8</v>
      </c>
      <c r="R2067" s="26">
        <v>1</v>
      </c>
      <c r="S2067" s="26">
        <v>8</v>
      </c>
      <c r="T2067" s="26">
        <v>5</v>
      </c>
      <c r="U2067" s="26">
        <v>14</v>
      </c>
      <c r="V2067" s="26">
        <v>1</v>
      </c>
      <c r="W2067" s="26"/>
    </row>
    <row r="2068" spans="1:23" x14ac:dyDescent="0.25">
      <c r="A2068" s="26" t="str">
        <f t="shared" si="341"/>
        <v>PRIMARIA</v>
      </c>
      <c r="B2068" s="26" t="str">
        <f>"09PPR0011Z"</f>
        <v>09PPR0011Z</v>
      </c>
      <c r="C2068" s="26" t="str">
        <f>"AMERICA                                                                                             "</f>
        <v xml:space="preserve">AMERICA                                                                                             </v>
      </c>
      <c r="D2068" s="26" t="str">
        <f t="shared" si="344"/>
        <v>MATUTINO</v>
      </c>
      <c r="E2068" s="26" t="str">
        <f>"MAR EGEO NO. 243                                                                "</f>
        <v xml:space="preserve">MAR EGEO NO. 243                                                                </v>
      </c>
      <c r="F2068" s="26" t="str">
        <f>"POPOTLA                                                                                                                                     "</f>
        <v xml:space="preserve">POPOTLA                                                                                                                                     </v>
      </c>
      <c r="G2068" s="26" t="str">
        <f>"MIGUEL HIDALGO                                                                  "</f>
        <v xml:space="preserve">MIGUEL HIDALGO                                                                  </v>
      </c>
      <c r="H2068" s="26" t="str">
        <f>"213"</f>
        <v>213</v>
      </c>
      <c r="I2068" s="26" t="str">
        <f t="shared" si="342"/>
        <v>00</v>
      </c>
      <c r="J2068" s="26" t="str">
        <f>"42 "</f>
        <v xml:space="preserve">42 </v>
      </c>
      <c r="K2068" s="26" t="str">
        <f t="shared" ref="K2068:K2094" si="346">"PR"</f>
        <v>PR</v>
      </c>
      <c r="L2068" s="26" t="str">
        <f t="shared" ref="L2068:L2094" si="347">"DGOSE"</f>
        <v>DGOSE</v>
      </c>
      <c r="M2068" s="26" t="str">
        <f t="shared" si="345"/>
        <v>PARTICULAR</v>
      </c>
      <c r="N2068" s="26">
        <v>156</v>
      </c>
      <c r="O2068" s="26">
        <v>78</v>
      </c>
      <c r="P2068" s="26">
        <v>78</v>
      </c>
      <c r="Q2068" s="26">
        <v>6</v>
      </c>
      <c r="R2068" s="26">
        <v>1</v>
      </c>
      <c r="S2068" s="26">
        <v>6</v>
      </c>
      <c r="T2068" s="26">
        <v>6</v>
      </c>
      <c r="U2068" s="26">
        <v>13</v>
      </c>
      <c r="V2068" s="26">
        <v>1</v>
      </c>
      <c r="W2068" s="26"/>
    </row>
    <row r="2069" spans="1:23" x14ac:dyDescent="0.25">
      <c r="A2069" s="26" t="str">
        <f t="shared" si="341"/>
        <v>PRIMARIA</v>
      </c>
      <c r="B2069" s="26" t="str">
        <f>"09PPR0012Y"</f>
        <v>09PPR0012Y</v>
      </c>
      <c r="C2069" s="26" t="str">
        <f>"MARIA ERNESTINA LARRAINZAR                                                                          "</f>
        <v xml:space="preserve">MARIA ERNESTINA LARRAINZAR                                                                          </v>
      </c>
      <c r="D2069" s="26" t="str">
        <f t="shared" si="344"/>
        <v>MATUTINO</v>
      </c>
      <c r="E2069" s="26" t="str">
        <f>"REP. DE NICARAGUA NUM. 56                                                       "</f>
        <v xml:space="preserve">REP. DE NICARAGUA NUM. 56                                                       </v>
      </c>
      <c r="F2069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2069" s="26" t="str">
        <f>"CUAUHTEMOC                                                                      "</f>
        <v xml:space="preserve">CUAUHTEMOC                                                                      </v>
      </c>
      <c r="H2069" s="26" t="str">
        <f>"216"</f>
        <v>216</v>
      </c>
      <c r="I2069" s="26" t="str">
        <f t="shared" si="342"/>
        <v>00</v>
      </c>
      <c r="J2069" s="26" t="str">
        <f>"42 "</f>
        <v xml:space="preserve">42 </v>
      </c>
      <c r="K2069" s="26" t="str">
        <f t="shared" si="346"/>
        <v>PR</v>
      </c>
      <c r="L2069" s="26" t="str">
        <f t="shared" si="347"/>
        <v>DGOSE</v>
      </c>
      <c r="M2069" s="26" t="str">
        <f t="shared" si="345"/>
        <v>PARTICULAR</v>
      </c>
      <c r="N2069" s="26">
        <v>85</v>
      </c>
      <c r="O2069" s="26">
        <v>40</v>
      </c>
      <c r="P2069" s="26">
        <v>45</v>
      </c>
      <c r="Q2069" s="26">
        <v>6</v>
      </c>
      <c r="R2069" s="26">
        <v>1</v>
      </c>
      <c r="S2069" s="26">
        <v>6</v>
      </c>
      <c r="T2069" s="26">
        <v>4</v>
      </c>
      <c r="U2069" s="26">
        <v>11</v>
      </c>
      <c r="V2069" s="26">
        <v>1</v>
      </c>
      <c r="W2069" s="26"/>
    </row>
    <row r="2070" spans="1:23" x14ac:dyDescent="0.25">
      <c r="A2070" s="26" t="str">
        <f t="shared" si="341"/>
        <v>PRIMARIA</v>
      </c>
      <c r="B2070" s="26" t="str">
        <f>"09PPR0013X"</f>
        <v>09PPR0013X</v>
      </c>
      <c r="C2070" s="26" t="str">
        <f>"COLEGIO LOS ANGELES                                                                                 "</f>
        <v xml:space="preserve">COLEGIO LOS ANGELES                                                                                 </v>
      </c>
      <c r="D2070" s="26" t="str">
        <f t="shared" si="344"/>
        <v>MATUTINO</v>
      </c>
      <c r="E2070" s="26" t="str">
        <f>"SOL NUM 116                                                                     "</f>
        <v xml:space="preserve">SOL NUM 116                                                                     </v>
      </c>
      <c r="F2070" s="26" t="str">
        <f>"GUERRERO                                                                                                                                    "</f>
        <v xml:space="preserve">GUERRERO                                                                                                                                    </v>
      </c>
      <c r="G2070" s="26" t="str">
        <f>"CUAUHTEMOC                                                                      "</f>
        <v xml:space="preserve">CUAUHTEMOC                                                                      </v>
      </c>
      <c r="H2070" s="26" t="str">
        <f>"218"</f>
        <v>218</v>
      </c>
      <c r="I2070" s="26" t="str">
        <f t="shared" si="342"/>
        <v>00</v>
      </c>
      <c r="J2070" s="26" t="str">
        <f>"42 "</f>
        <v xml:space="preserve">42 </v>
      </c>
      <c r="K2070" s="26" t="str">
        <f t="shared" si="346"/>
        <v>PR</v>
      </c>
      <c r="L2070" s="26" t="str">
        <f t="shared" si="347"/>
        <v>DGOSE</v>
      </c>
      <c r="M2070" s="26" t="str">
        <f t="shared" si="345"/>
        <v>PARTICULAR</v>
      </c>
      <c r="N2070" s="26">
        <v>122</v>
      </c>
      <c r="O2070" s="26">
        <v>61</v>
      </c>
      <c r="P2070" s="26">
        <v>61</v>
      </c>
      <c r="Q2070" s="26">
        <v>6</v>
      </c>
      <c r="R2070" s="26">
        <v>1</v>
      </c>
      <c r="S2070" s="26">
        <v>6</v>
      </c>
      <c r="T2070" s="26">
        <v>11</v>
      </c>
      <c r="U2070" s="26">
        <v>18</v>
      </c>
      <c r="V2070" s="26">
        <v>1</v>
      </c>
      <c r="W2070" s="26"/>
    </row>
    <row r="2071" spans="1:23" x14ac:dyDescent="0.25">
      <c r="A2071" s="26" t="str">
        <f t="shared" si="341"/>
        <v>PRIMARIA</v>
      </c>
      <c r="B2071" s="26" t="str">
        <f>"09PPR0017T"</f>
        <v>09PPR0017T</v>
      </c>
      <c r="C2071" s="26" t="str">
        <f>"CRUZ GOMEZ TAGLE                                                                                    "</f>
        <v xml:space="preserve">CRUZ GOMEZ TAGLE                                                                                    </v>
      </c>
      <c r="D2071" s="26" t="str">
        <f t="shared" si="344"/>
        <v>MATUTINO</v>
      </c>
      <c r="E2071" s="26" t="str">
        <f>"SAN ANTONIO TOMATLAN NO 72                                                      "</f>
        <v xml:space="preserve">SAN ANTONIO TOMATLAN NO 72                                                      </v>
      </c>
      <c r="F2071" s="26" t="str">
        <f>"MORELOS                                                                                                                                     "</f>
        <v xml:space="preserve">MORELOS                                                                                                                                     </v>
      </c>
      <c r="G2071" s="26" t="str">
        <f>"VENUSTIANO CARRANZA                                                             "</f>
        <v xml:space="preserve">VENUSTIANO CARRANZA                                                             </v>
      </c>
      <c r="H2071" s="26" t="str">
        <f>"342"</f>
        <v>342</v>
      </c>
      <c r="I2071" s="26" t="str">
        <f t="shared" si="342"/>
        <v>00</v>
      </c>
      <c r="J2071" s="26" t="str">
        <f>"43 "</f>
        <v xml:space="preserve">43 </v>
      </c>
      <c r="K2071" s="26" t="str">
        <f t="shared" si="346"/>
        <v>PR</v>
      </c>
      <c r="L2071" s="26" t="str">
        <f t="shared" si="347"/>
        <v>DGOSE</v>
      </c>
      <c r="M2071" s="26" t="str">
        <f t="shared" si="345"/>
        <v>PARTICULAR</v>
      </c>
      <c r="N2071" s="26">
        <v>177</v>
      </c>
      <c r="O2071" s="26">
        <v>101</v>
      </c>
      <c r="P2071" s="26">
        <v>76</v>
      </c>
      <c r="Q2071" s="26">
        <v>9</v>
      </c>
      <c r="R2071" s="26">
        <v>1</v>
      </c>
      <c r="S2071" s="26">
        <v>9</v>
      </c>
      <c r="T2071" s="26">
        <v>9</v>
      </c>
      <c r="U2071" s="26">
        <v>19</v>
      </c>
      <c r="V2071" s="26">
        <v>1</v>
      </c>
      <c r="W2071" s="26"/>
    </row>
    <row r="2072" spans="1:23" x14ac:dyDescent="0.25">
      <c r="A2072" s="26" t="str">
        <f t="shared" si="341"/>
        <v>PRIMARIA</v>
      </c>
      <c r="B2072" s="26" t="str">
        <f>"09PPR0021F"</f>
        <v>09PPR0021F</v>
      </c>
      <c r="C2072" s="26" t="str">
        <f>"INSTITUTO RAFAEL GUSTAVO GUERRERO                                                                   "</f>
        <v xml:space="preserve">INSTITUTO RAFAEL GUSTAVO GUERRERO                                                                   </v>
      </c>
      <c r="D2072" s="26" t="str">
        <f t="shared" si="344"/>
        <v>MATUTINO</v>
      </c>
      <c r="E2072" s="26" t="str">
        <f>"TAPICERIA NUM 90                                                                "</f>
        <v xml:space="preserve">TAPICERIA NUM 90                                                                </v>
      </c>
      <c r="F2072" s="26" t="str">
        <f>"MORELOS                                                                                                                                     "</f>
        <v xml:space="preserve">MORELOS                                                                                                                                     </v>
      </c>
      <c r="G2072" s="26" t="str">
        <f>"VENUSTIANO CARRANZA                                                             "</f>
        <v xml:space="preserve">VENUSTIANO CARRANZA                                                             </v>
      </c>
      <c r="H2072" s="26" t="str">
        <f>"343"</f>
        <v>343</v>
      </c>
      <c r="I2072" s="26" t="str">
        <f t="shared" si="342"/>
        <v>00</v>
      </c>
      <c r="J2072" s="26" t="str">
        <f>"43 "</f>
        <v xml:space="preserve">43 </v>
      </c>
      <c r="K2072" s="26" t="str">
        <f t="shared" si="346"/>
        <v>PR</v>
      </c>
      <c r="L2072" s="26" t="str">
        <f t="shared" si="347"/>
        <v>DGOSE</v>
      </c>
      <c r="M2072" s="26" t="str">
        <f t="shared" si="345"/>
        <v>PARTICULAR</v>
      </c>
      <c r="N2072" s="26">
        <v>105</v>
      </c>
      <c r="O2072" s="26">
        <v>45</v>
      </c>
      <c r="P2072" s="26">
        <v>60</v>
      </c>
      <c r="Q2072" s="26">
        <v>6</v>
      </c>
      <c r="R2072" s="26">
        <v>1</v>
      </c>
      <c r="S2072" s="26">
        <v>6</v>
      </c>
      <c r="T2072" s="26">
        <v>14</v>
      </c>
      <c r="U2072" s="26">
        <v>21</v>
      </c>
      <c r="V2072" s="26">
        <v>1</v>
      </c>
      <c r="W2072" s="26"/>
    </row>
    <row r="2073" spans="1:23" x14ac:dyDescent="0.25">
      <c r="A2073" s="26" t="str">
        <f t="shared" si="341"/>
        <v>PRIMARIA</v>
      </c>
      <c r="B2073" s="26" t="str">
        <f>"09PPR0023D"</f>
        <v>09PPR0023D</v>
      </c>
      <c r="C2073" s="26" t="str">
        <f>"COLEGIO FRANCO INGLES                                                                               "</f>
        <v xml:space="preserve">COLEGIO FRANCO INGLES                                                                               </v>
      </c>
      <c r="D2073" s="26" t="str">
        <f t="shared" si="344"/>
        <v>MATUTINO</v>
      </c>
      <c r="E2073" s="26" t="str">
        <f>"ANTIGUO CAMINO A TECAMACHALCO 686                                               "</f>
        <v xml:space="preserve">ANTIGUO CAMINO A TECAMACHALCO 686                                               </v>
      </c>
      <c r="F2073" s="26" t="str">
        <f>"VISTA HERMOSA                                                                                                                               "</f>
        <v xml:space="preserve">VISTA HERMOSA                                                                                                                               </v>
      </c>
      <c r="G2073" s="26" t="str">
        <f>"CUAJIMALPA DE MORELOS                                                           "</f>
        <v xml:space="preserve">CUAJIMALPA DE MORELOS                                                           </v>
      </c>
      <c r="H2073" s="26" t="str">
        <f>"300"</f>
        <v>300</v>
      </c>
      <c r="I2073" s="26" t="str">
        <f t="shared" si="342"/>
        <v>00</v>
      </c>
      <c r="J2073" s="26" t="str">
        <f>"43 "</f>
        <v xml:space="preserve">43 </v>
      </c>
      <c r="K2073" s="26" t="str">
        <f t="shared" si="346"/>
        <v>PR</v>
      </c>
      <c r="L2073" s="26" t="str">
        <f t="shared" si="347"/>
        <v>DGOSE</v>
      </c>
      <c r="M2073" s="26" t="str">
        <f t="shared" si="345"/>
        <v>PARTICULAR</v>
      </c>
      <c r="N2073" s="26">
        <v>326</v>
      </c>
      <c r="O2073" s="26">
        <v>164</v>
      </c>
      <c r="P2073" s="26">
        <v>162</v>
      </c>
      <c r="Q2073" s="26">
        <v>13</v>
      </c>
      <c r="R2073" s="26">
        <v>1</v>
      </c>
      <c r="S2073" s="26">
        <v>13</v>
      </c>
      <c r="T2073" s="26">
        <v>13</v>
      </c>
      <c r="U2073" s="26">
        <v>27</v>
      </c>
      <c r="V2073" s="26">
        <v>1</v>
      </c>
      <c r="W2073" s="26"/>
    </row>
    <row r="2074" spans="1:23" x14ac:dyDescent="0.25">
      <c r="A2074" s="26" t="str">
        <f t="shared" si="341"/>
        <v>PRIMARIA</v>
      </c>
      <c r="B2074" s="26" t="str">
        <f>"09PPR0028Z"</f>
        <v>09PPR0028Z</v>
      </c>
      <c r="C2074" s="26" t="str">
        <f>"COLEGIO DE SAN IGNACIO DE LOYOLA (VIZCAINAS) INSTITUCION DE ASISTENCIA PRIVADA                      "</f>
        <v xml:space="preserve">COLEGIO DE SAN IGNACIO DE LOYOLA (VIZCAINAS) INSTITUCION DE ASISTENCIA PRIVADA                      </v>
      </c>
      <c r="D2074" s="26" t="str">
        <f t="shared" si="344"/>
        <v>MATUTINO</v>
      </c>
      <c r="E2074" s="26" t="str">
        <f>"VIZCAINAS NO 21                                                                 "</f>
        <v xml:space="preserve">VIZCAINAS NO 21                                                                 </v>
      </c>
      <c r="F2074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2074" s="26" t="str">
        <f>"CUAUHTEMOC                                                                      "</f>
        <v xml:space="preserve">CUAUHTEMOC                                                                      </v>
      </c>
      <c r="H2074" s="26" t="str">
        <f>"222"</f>
        <v>222</v>
      </c>
      <c r="I2074" s="26" t="str">
        <f t="shared" si="342"/>
        <v>00</v>
      </c>
      <c r="J2074" s="26" t="str">
        <f t="shared" ref="J2074:J2080" si="348">"42 "</f>
        <v xml:space="preserve">42 </v>
      </c>
      <c r="K2074" s="26" t="str">
        <f t="shared" si="346"/>
        <v>PR</v>
      </c>
      <c r="L2074" s="26" t="str">
        <f t="shared" si="347"/>
        <v>DGOSE</v>
      </c>
      <c r="M2074" s="26" t="str">
        <f t="shared" si="345"/>
        <v>PARTICULAR</v>
      </c>
      <c r="N2074" s="26">
        <v>263</v>
      </c>
      <c r="O2074" s="26">
        <v>112</v>
      </c>
      <c r="P2074" s="26">
        <v>151</v>
      </c>
      <c r="Q2074" s="26">
        <v>15</v>
      </c>
      <c r="R2074" s="26">
        <v>1</v>
      </c>
      <c r="S2074" s="26">
        <v>12</v>
      </c>
      <c r="T2074" s="26">
        <v>14</v>
      </c>
      <c r="U2074" s="26">
        <v>27</v>
      </c>
      <c r="V2074" s="26">
        <v>1</v>
      </c>
      <c r="W2074" s="26"/>
    </row>
    <row r="2075" spans="1:23" x14ac:dyDescent="0.25">
      <c r="A2075" s="26" t="str">
        <f t="shared" si="341"/>
        <v>PRIMARIA</v>
      </c>
      <c r="B2075" s="26" t="str">
        <f>"09PPR0030N"</f>
        <v>09PPR0030N</v>
      </c>
      <c r="C2075" s="26" t="str">
        <f>"RENACIMIENTO                                                                                        "</f>
        <v xml:space="preserve">RENACIMIENTO                                                                                        </v>
      </c>
      <c r="D2075" s="26" t="str">
        <f t="shared" si="344"/>
        <v>MATUTINO</v>
      </c>
      <c r="E2075" s="26" t="str">
        <f>"ORIZABA 136                                                                     "</f>
        <v xml:space="preserve">ORIZABA 136                                                                     </v>
      </c>
      <c r="F2075" s="26" t="str">
        <f>"ROMA NORTE                                                                                                                                  "</f>
        <v xml:space="preserve">ROMA NORTE                                                                                                                                  </v>
      </c>
      <c r="G2075" s="26" t="str">
        <f>"CUAUHTEMOC                                                                      "</f>
        <v xml:space="preserve">CUAUHTEMOC                                                                      </v>
      </c>
      <c r="H2075" s="26" t="str">
        <f>"000"</f>
        <v>000</v>
      </c>
      <c r="I2075" s="26" t="str">
        <f t="shared" si="342"/>
        <v>00</v>
      </c>
      <c r="J2075" s="26" t="str">
        <f t="shared" si="348"/>
        <v xml:space="preserve">42 </v>
      </c>
      <c r="K2075" s="26" t="str">
        <f t="shared" si="346"/>
        <v>PR</v>
      </c>
      <c r="L2075" s="26" t="str">
        <f t="shared" si="347"/>
        <v>DGOSE</v>
      </c>
      <c r="M2075" s="26" t="str">
        <f t="shared" si="345"/>
        <v>PARTICULAR</v>
      </c>
      <c r="N2075" s="26">
        <v>164</v>
      </c>
      <c r="O2075" s="26">
        <v>62</v>
      </c>
      <c r="P2075" s="26">
        <v>102</v>
      </c>
      <c r="Q2075" s="26">
        <v>8</v>
      </c>
      <c r="R2075" s="26">
        <v>0</v>
      </c>
      <c r="S2075" s="26">
        <v>8</v>
      </c>
      <c r="T2075" s="26">
        <v>6</v>
      </c>
      <c r="U2075" s="26">
        <v>14</v>
      </c>
      <c r="V2075" s="26">
        <v>1</v>
      </c>
      <c r="W2075" s="26"/>
    </row>
    <row r="2076" spans="1:23" x14ac:dyDescent="0.25">
      <c r="A2076" s="26" t="str">
        <f t="shared" si="341"/>
        <v>PRIMARIA</v>
      </c>
      <c r="B2076" s="26" t="str">
        <f>"09PPR0032L"</f>
        <v>09PPR0032L</v>
      </c>
      <c r="C2076" s="26" t="str">
        <f>"COLEGIO WILLIAMS                                                                                    "</f>
        <v xml:space="preserve">COLEGIO WILLIAMS                                                                                    </v>
      </c>
      <c r="D2076" s="26" t="str">
        <f t="shared" si="344"/>
        <v>MATUTINO</v>
      </c>
      <c r="E2076" s="26" t="str">
        <f>"SADI CARNOT 33                                                                  "</f>
        <v xml:space="preserve">SADI CARNOT 33                                                                  </v>
      </c>
      <c r="F2076" s="26" t="str">
        <f>"SAN RAFAEL                                                                                                                                  "</f>
        <v xml:space="preserve">SAN RAFAEL                                                                                                                                  </v>
      </c>
      <c r="G2076" s="26" t="str">
        <f>"CUAUHTEMOC                                                                      "</f>
        <v xml:space="preserve">CUAUHTEMOC                                                                      </v>
      </c>
      <c r="H2076" s="26" t="str">
        <f>"220"</f>
        <v>220</v>
      </c>
      <c r="I2076" s="26" t="str">
        <f t="shared" si="342"/>
        <v>00</v>
      </c>
      <c r="J2076" s="26" t="str">
        <f t="shared" si="348"/>
        <v xml:space="preserve">42 </v>
      </c>
      <c r="K2076" s="26" t="str">
        <f t="shared" si="346"/>
        <v>PR</v>
      </c>
      <c r="L2076" s="26" t="str">
        <f t="shared" si="347"/>
        <v>DGOSE</v>
      </c>
      <c r="M2076" s="26" t="str">
        <f t="shared" si="345"/>
        <v>PARTICULAR</v>
      </c>
      <c r="N2076" s="26">
        <v>184</v>
      </c>
      <c r="O2076" s="26">
        <v>86</v>
      </c>
      <c r="P2076" s="26">
        <v>98</v>
      </c>
      <c r="Q2076" s="26">
        <v>8</v>
      </c>
      <c r="R2076" s="26">
        <v>1</v>
      </c>
      <c r="S2076" s="26">
        <v>4</v>
      </c>
      <c r="T2076" s="26">
        <v>14</v>
      </c>
      <c r="U2076" s="26">
        <v>19</v>
      </c>
      <c r="V2076" s="26">
        <v>1</v>
      </c>
      <c r="W2076" s="26"/>
    </row>
    <row r="2077" spans="1:23" x14ac:dyDescent="0.25">
      <c r="A2077" s="26" t="str">
        <f t="shared" si="341"/>
        <v>PRIMARIA</v>
      </c>
      <c r="B2077" s="26" t="str">
        <f>"09PPR0033K"</f>
        <v>09PPR0033K</v>
      </c>
      <c r="C2077" s="26" t="str">
        <f>"NIÑO DOMINGO SAVIO                                                                                  "</f>
        <v xml:space="preserve">NIÑO DOMINGO SAVIO                                                                                  </v>
      </c>
      <c r="D2077" s="26" t="str">
        <f t="shared" si="344"/>
        <v>MATUTINO</v>
      </c>
      <c r="E2077" s="26" t="str">
        <f>"GENERAL ARISTA NO. 96                                                           "</f>
        <v xml:space="preserve">GENERAL ARISTA NO. 96                                                           </v>
      </c>
      <c r="F2077" s="26" t="str">
        <f>"ARGENTINA PONIENTE                                                                                                                          "</f>
        <v xml:space="preserve">ARGENTINA PONIENTE                                                                                                                          </v>
      </c>
      <c r="G2077" s="26" t="str">
        <f>"MIGUEL HIDALGO                                                                  "</f>
        <v xml:space="preserve">MIGUEL HIDALGO                                                                  </v>
      </c>
      <c r="H2077" s="26" t="str">
        <f>"212"</f>
        <v>212</v>
      </c>
      <c r="I2077" s="26" t="str">
        <f t="shared" si="342"/>
        <v>00</v>
      </c>
      <c r="J2077" s="26" t="str">
        <f t="shared" si="348"/>
        <v xml:space="preserve">42 </v>
      </c>
      <c r="K2077" s="26" t="str">
        <f t="shared" si="346"/>
        <v>PR</v>
      </c>
      <c r="L2077" s="26" t="str">
        <f t="shared" si="347"/>
        <v>DGOSE</v>
      </c>
      <c r="M2077" s="26" t="str">
        <f t="shared" si="345"/>
        <v>PARTICULAR</v>
      </c>
      <c r="N2077" s="26">
        <v>417</v>
      </c>
      <c r="O2077" s="26">
        <v>225</v>
      </c>
      <c r="P2077" s="26">
        <v>192</v>
      </c>
      <c r="Q2077" s="26">
        <v>16</v>
      </c>
      <c r="R2077" s="26">
        <v>1</v>
      </c>
      <c r="S2077" s="26">
        <v>15</v>
      </c>
      <c r="T2077" s="26">
        <v>20</v>
      </c>
      <c r="U2077" s="26">
        <v>36</v>
      </c>
      <c r="V2077" s="26">
        <v>1</v>
      </c>
      <c r="W2077" s="26"/>
    </row>
    <row r="2078" spans="1:23" x14ac:dyDescent="0.25">
      <c r="A2078" s="26" t="str">
        <f t="shared" si="341"/>
        <v>PRIMARIA</v>
      </c>
      <c r="B2078" s="26" t="str">
        <f>"09PPR0034J"</f>
        <v>09PPR0034J</v>
      </c>
      <c r="C2078" s="26" t="str">
        <f>"INSTITUTO ANGLO ESPAÑOL                                                                             "</f>
        <v xml:space="preserve">INSTITUTO ANGLO ESPAÑOL                                                                             </v>
      </c>
      <c r="D2078" s="26" t="str">
        <f t="shared" si="344"/>
        <v>MATUTINO</v>
      </c>
      <c r="E2078" s="26" t="str">
        <f>"SADI CARNOT 44                                                                  "</f>
        <v xml:space="preserve">SADI CARNOT 44                                                                  </v>
      </c>
      <c r="F2078" s="26" t="str">
        <f>"SAN RAFAEL                                                                                                                                  "</f>
        <v xml:space="preserve">SAN RAFAEL                                                                                                                                  </v>
      </c>
      <c r="G2078" s="26" t="str">
        <f>"CUAUHTEMOC                                                                      "</f>
        <v xml:space="preserve">CUAUHTEMOC                                                                      </v>
      </c>
      <c r="H2078" s="26" t="str">
        <f>"220"</f>
        <v>220</v>
      </c>
      <c r="I2078" s="26" t="str">
        <f t="shared" si="342"/>
        <v>00</v>
      </c>
      <c r="J2078" s="26" t="str">
        <f t="shared" si="348"/>
        <v xml:space="preserve">42 </v>
      </c>
      <c r="K2078" s="26" t="str">
        <f t="shared" si="346"/>
        <v>PR</v>
      </c>
      <c r="L2078" s="26" t="str">
        <f t="shared" si="347"/>
        <v>DGOSE</v>
      </c>
      <c r="M2078" s="26" t="str">
        <f t="shared" si="345"/>
        <v>PARTICULAR</v>
      </c>
      <c r="N2078" s="26">
        <v>584</v>
      </c>
      <c r="O2078" s="26">
        <v>271</v>
      </c>
      <c r="P2078" s="26">
        <v>313</v>
      </c>
      <c r="Q2078" s="26">
        <v>20</v>
      </c>
      <c r="R2078" s="26">
        <v>1</v>
      </c>
      <c r="S2078" s="26">
        <v>20</v>
      </c>
      <c r="T2078" s="26">
        <v>47</v>
      </c>
      <c r="U2078" s="26">
        <v>68</v>
      </c>
      <c r="V2078" s="26">
        <v>1</v>
      </c>
      <c r="W2078" s="26"/>
    </row>
    <row r="2079" spans="1:23" x14ac:dyDescent="0.25">
      <c r="A2079" s="26" t="str">
        <f t="shared" si="341"/>
        <v>PRIMARIA</v>
      </c>
      <c r="B2079" s="26" t="str">
        <f>"09PPR0035I"</f>
        <v>09PPR0035I</v>
      </c>
      <c r="C2079" s="26" t="str">
        <f>"INSTITUTO CULTURAL FRANCES                                                                          "</f>
        <v xml:space="preserve">INSTITUTO CULTURAL FRANCES                                                                          </v>
      </c>
      <c r="D2079" s="26" t="str">
        <f t="shared" si="344"/>
        <v>MATUTINO</v>
      </c>
      <c r="E2079" s="26" t="str">
        <f>"FERNANDO CELADA NO. 12                                                          "</f>
        <v xml:space="preserve">FERNANDO CELADA NO. 12                                                          </v>
      </c>
      <c r="F2079" s="26" t="str">
        <f>"PERIODISTA                                                                                                                                  "</f>
        <v xml:space="preserve">PERIODISTA                                                                                                                                  </v>
      </c>
      <c r="G2079" s="26" t="str">
        <f>"MIGUEL HIDALGO                                                                  "</f>
        <v xml:space="preserve">MIGUEL HIDALGO                                                                  </v>
      </c>
      <c r="H2079" s="26" t="str">
        <f>"208"</f>
        <v>208</v>
      </c>
      <c r="I2079" s="26" t="str">
        <f t="shared" si="342"/>
        <v>00</v>
      </c>
      <c r="J2079" s="26" t="str">
        <f t="shared" si="348"/>
        <v xml:space="preserve">42 </v>
      </c>
      <c r="K2079" s="26" t="str">
        <f t="shared" si="346"/>
        <v>PR</v>
      </c>
      <c r="L2079" s="26" t="str">
        <f t="shared" si="347"/>
        <v>DGOSE</v>
      </c>
      <c r="M2079" s="26" t="str">
        <f t="shared" si="345"/>
        <v>PARTICULAR</v>
      </c>
      <c r="N2079" s="26">
        <v>65</v>
      </c>
      <c r="O2079" s="26">
        <v>27</v>
      </c>
      <c r="P2079" s="26">
        <v>38</v>
      </c>
      <c r="Q2079" s="26">
        <v>6</v>
      </c>
      <c r="R2079" s="26">
        <v>1</v>
      </c>
      <c r="S2079" s="26">
        <v>6</v>
      </c>
      <c r="T2079" s="26">
        <v>5</v>
      </c>
      <c r="U2079" s="26">
        <v>12</v>
      </c>
      <c r="V2079" s="26">
        <v>1</v>
      </c>
      <c r="W2079" s="26"/>
    </row>
    <row r="2080" spans="1:23" x14ac:dyDescent="0.25">
      <c r="A2080" s="26" t="str">
        <f t="shared" si="341"/>
        <v>PRIMARIA</v>
      </c>
      <c r="B2080" s="26" t="str">
        <f>"09PPR0036H"</f>
        <v>09PPR0036H</v>
      </c>
      <c r="C2080" s="26" t="str">
        <f>"PROFR. ZEFERINO AGUIRRE                                                                             "</f>
        <v xml:space="preserve">PROFR. ZEFERINO AGUIRRE                                                                             </v>
      </c>
      <c r="D2080" s="26" t="str">
        <f t="shared" si="344"/>
        <v>MATUTINO</v>
      </c>
      <c r="E2080" s="26" t="str">
        <f>"SANTA MARIA LA RIBERA NO 61                                                     "</f>
        <v xml:space="preserve">SANTA MARIA LA RIBERA NO 61                                                     </v>
      </c>
      <c r="F2080" s="26" t="str">
        <f>"SANTA MARIA LA RIBERA                                                                                                                       "</f>
        <v xml:space="preserve">SANTA MARIA LA RIBERA                                                                                                                       </v>
      </c>
      <c r="G2080" s="26" t="str">
        <f>"CUAUHTEMOC                                                                      "</f>
        <v xml:space="preserve">CUAUHTEMOC                                                                      </v>
      </c>
      <c r="H2080" s="26" t="str">
        <f>"219"</f>
        <v>219</v>
      </c>
      <c r="I2080" s="26" t="str">
        <f t="shared" si="342"/>
        <v>00</v>
      </c>
      <c r="J2080" s="26" t="str">
        <f t="shared" si="348"/>
        <v xml:space="preserve">42 </v>
      </c>
      <c r="K2080" s="26" t="str">
        <f t="shared" si="346"/>
        <v>PR</v>
      </c>
      <c r="L2080" s="26" t="str">
        <f t="shared" si="347"/>
        <v>DGOSE</v>
      </c>
      <c r="M2080" s="26" t="str">
        <f t="shared" si="345"/>
        <v>PARTICULAR</v>
      </c>
      <c r="N2080" s="26">
        <v>126</v>
      </c>
      <c r="O2080" s="26">
        <v>66</v>
      </c>
      <c r="P2080" s="26">
        <v>60</v>
      </c>
      <c r="Q2080" s="26">
        <v>6</v>
      </c>
      <c r="R2080" s="26">
        <v>1</v>
      </c>
      <c r="S2080" s="26">
        <v>3</v>
      </c>
      <c r="T2080" s="26">
        <v>7</v>
      </c>
      <c r="U2080" s="26">
        <v>11</v>
      </c>
      <c r="V2080" s="26">
        <v>1</v>
      </c>
      <c r="W2080" s="26"/>
    </row>
    <row r="2081" spans="1:23" x14ac:dyDescent="0.25">
      <c r="A2081" s="26" t="str">
        <f t="shared" si="341"/>
        <v>PRIMARIA</v>
      </c>
      <c r="B2081" s="26" t="str">
        <f>"09PPR0037G"</f>
        <v>09PPR0037G</v>
      </c>
      <c r="C2081" s="26" t="str">
        <f>"MANUEL EDUARDO DE GOROSTIZA                                                                         "</f>
        <v xml:space="preserve">MANUEL EDUARDO DE GOROSTIZA                                                                         </v>
      </c>
      <c r="D2081" s="26" t="str">
        <f t="shared" si="344"/>
        <v>MATUTINO</v>
      </c>
      <c r="E2081" s="26" t="str">
        <f>"CALZADA DE LAS BRUJAS 329                                                       "</f>
        <v xml:space="preserve">CALZADA DE LAS BRUJAS 329                                                       </v>
      </c>
      <c r="F2081" s="26" t="str">
        <f>"RINCON DE LAS HADAS                                                                                                                         "</f>
        <v xml:space="preserve">RINCON DE LAS HADAS                                                                                                                         </v>
      </c>
      <c r="G2081" s="26" t="str">
        <f>"TLALPAN                                                                         "</f>
        <v xml:space="preserve">TLALPAN                                                                         </v>
      </c>
      <c r="H2081" s="26" t="str">
        <f>"526"</f>
        <v>526</v>
      </c>
      <c r="I2081" s="26" t="str">
        <f t="shared" si="342"/>
        <v>00</v>
      </c>
      <c r="J2081" s="26" t="str">
        <f>"45 "</f>
        <v xml:space="preserve">45 </v>
      </c>
      <c r="K2081" s="26" t="str">
        <f t="shared" si="346"/>
        <v>PR</v>
      </c>
      <c r="L2081" s="26" t="str">
        <f t="shared" si="347"/>
        <v>DGOSE</v>
      </c>
      <c r="M2081" s="26" t="str">
        <f t="shared" si="345"/>
        <v>PARTICULAR</v>
      </c>
      <c r="N2081" s="26">
        <v>116</v>
      </c>
      <c r="O2081" s="26">
        <v>62</v>
      </c>
      <c r="P2081" s="26">
        <v>54</v>
      </c>
      <c r="Q2081" s="26">
        <v>6</v>
      </c>
      <c r="R2081" s="26">
        <v>1</v>
      </c>
      <c r="S2081" s="26">
        <v>6</v>
      </c>
      <c r="T2081" s="26">
        <v>7</v>
      </c>
      <c r="U2081" s="26">
        <v>14</v>
      </c>
      <c r="V2081" s="26">
        <v>1</v>
      </c>
      <c r="W2081" s="26"/>
    </row>
    <row r="2082" spans="1:23" x14ac:dyDescent="0.25">
      <c r="A2082" s="26" t="str">
        <f t="shared" si="341"/>
        <v>PRIMARIA</v>
      </c>
      <c r="B2082" s="26" t="str">
        <f>"09PPR0038F"</f>
        <v>09PPR0038F</v>
      </c>
      <c r="C2082" s="26" t="str">
        <f>"METROPOLITANA                                                                                       "</f>
        <v xml:space="preserve">METROPOLITANA                                                                                       </v>
      </c>
      <c r="D2082" s="26" t="str">
        <f t="shared" si="344"/>
        <v>MATUTINO</v>
      </c>
      <c r="E2082" s="26" t="str">
        <f>"NARANJO 109                                                                     "</f>
        <v xml:space="preserve">NARANJO 109                                                                     </v>
      </c>
      <c r="F2082" s="26" t="str">
        <f>"SANTA MARIA LA RIBERA                                                                                                                       "</f>
        <v xml:space="preserve">SANTA MARIA LA RIBERA                                                                                                                       </v>
      </c>
      <c r="G2082" s="26" t="str">
        <f>"CUAUHTEMOC                                                                      "</f>
        <v xml:space="preserve">CUAUHTEMOC                                                                      </v>
      </c>
      <c r="H2082" s="26" t="str">
        <f>"219"</f>
        <v>219</v>
      </c>
      <c r="I2082" s="26" t="str">
        <f t="shared" si="342"/>
        <v>00</v>
      </c>
      <c r="J2082" s="26" t="str">
        <f t="shared" ref="J2082:J2090" si="349">"42 "</f>
        <v xml:space="preserve">42 </v>
      </c>
      <c r="K2082" s="26" t="str">
        <f t="shared" si="346"/>
        <v>PR</v>
      </c>
      <c r="L2082" s="26" t="str">
        <f t="shared" si="347"/>
        <v>DGOSE</v>
      </c>
      <c r="M2082" s="26" t="str">
        <f t="shared" si="345"/>
        <v>PARTICULAR</v>
      </c>
      <c r="N2082" s="26">
        <v>306</v>
      </c>
      <c r="O2082" s="26">
        <v>153</v>
      </c>
      <c r="P2082" s="26">
        <v>153</v>
      </c>
      <c r="Q2082" s="26">
        <v>12</v>
      </c>
      <c r="R2082" s="26">
        <v>1</v>
      </c>
      <c r="S2082" s="26">
        <v>12</v>
      </c>
      <c r="T2082" s="26">
        <v>6</v>
      </c>
      <c r="U2082" s="26">
        <v>19</v>
      </c>
      <c r="V2082" s="26">
        <v>1</v>
      </c>
      <c r="W2082" s="26"/>
    </row>
    <row r="2083" spans="1:23" x14ac:dyDescent="0.25">
      <c r="A2083" s="26" t="str">
        <f t="shared" si="341"/>
        <v>PRIMARIA</v>
      </c>
      <c r="B2083" s="26" t="str">
        <f>"09PPR0039E"</f>
        <v>09PPR0039E</v>
      </c>
      <c r="C2083" s="26" t="str">
        <f>"NUEVA ESCUELA JUSTO SIERRA                                                                          "</f>
        <v xml:space="preserve">NUEVA ESCUELA JUSTO SIERRA                                                                          </v>
      </c>
      <c r="D2083" s="26" t="str">
        <f t="shared" si="344"/>
        <v>MATUTINO</v>
      </c>
      <c r="E2083" s="26" t="str">
        <f>"AV JARDIN NO 294                                                                "</f>
        <v xml:space="preserve">AV JARDIN NO 294                                                                </v>
      </c>
      <c r="F2083" s="26" t="str">
        <f>"DEL GAS                                                                                                                                     "</f>
        <v xml:space="preserve">DEL GAS                                                                                                                                     </v>
      </c>
      <c r="G2083" s="26" t="str">
        <f>"AZCAPOTZALCO                                                                    "</f>
        <v xml:space="preserve">AZCAPOTZALCO                                                                    </v>
      </c>
      <c r="H2083" s="26" t="str">
        <f>"207"</f>
        <v>207</v>
      </c>
      <c r="I2083" s="26" t="str">
        <f t="shared" si="342"/>
        <v>00</v>
      </c>
      <c r="J2083" s="26" t="str">
        <f t="shared" si="349"/>
        <v xml:space="preserve">42 </v>
      </c>
      <c r="K2083" s="26" t="str">
        <f t="shared" si="346"/>
        <v>PR</v>
      </c>
      <c r="L2083" s="26" t="str">
        <f t="shared" si="347"/>
        <v>DGOSE</v>
      </c>
      <c r="M2083" s="26" t="str">
        <f t="shared" si="345"/>
        <v>PARTICULAR</v>
      </c>
      <c r="N2083" s="26">
        <v>2229</v>
      </c>
      <c r="O2083" s="26">
        <v>1139</v>
      </c>
      <c r="P2083" s="26">
        <v>1090</v>
      </c>
      <c r="Q2083" s="26">
        <v>66</v>
      </c>
      <c r="R2083" s="26">
        <v>2</v>
      </c>
      <c r="S2083" s="26">
        <v>45</v>
      </c>
      <c r="T2083" s="26">
        <v>72</v>
      </c>
      <c r="U2083" s="26">
        <v>119</v>
      </c>
      <c r="V2083" s="26">
        <v>1</v>
      </c>
      <c r="W2083" s="26"/>
    </row>
    <row r="2084" spans="1:23" x14ac:dyDescent="0.25">
      <c r="A2084" s="26" t="str">
        <f t="shared" si="341"/>
        <v>PRIMARIA</v>
      </c>
      <c r="B2084" s="26" t="str">
        <f>"09PPR0040U"</f>
        <v>09PPR0040U</v>
      </c>
      <c r="C2084" s="26" t="str">
        <f>"ISABEL GRASSETEAU                                                                                   "</f>
        <v xml:space="preserve">ISABEL GRASSETEAU                                                                                   </v>
      </c>
      <c r="D2084" s="26" t="str">
        <f t="shared" si="344"/>
        <v>MATUTINO</v>
      </c>
      <c r="E2084" s="26" t="str">
        <f>"JAIME TORRES BODET 166                                                          "</f>
        <v xml:space="preserve">JAIME TORRES BODET 166                                                          </v>
      </c>
      <c r="F2084" s="26" t="str">
        <f>"SANTA MARIA LA RIBERA                                                                                                                       "</f>
        <v xml:space="preserve">SANTA MARIA LA RIBERA                                                                                                                       </v>
      </c>
      <c r="G2084" s="26" t="str">
        <f>"CUAUHTEMOC                                                                      "</f>
        <v xml:space="preserve">CUAUHTEMOC                                                                      </v>
      </c>
      <c r="H2084" s="26" t="str">
        <f>"219"</f>
        <v>219</v>
      </c>
      <c r="I2084" s="26" t="str">
        <f t="shared" si="342"/>
        <v>00</v>
      </c>
      <c r="J2084" s="26" t="str">
        <f t="shared" si="349"/>
        <v xml:space="preserve">42 </v>
      </c>
      <c r="K2084" s="26" t="str">
        <f t="shared" si="346"/>
        <v>PR</v>
      </c>
      <c r="L2084" s="26" t="str">
        <f t="shared" si="347"/>
        <v>DGOSE</v>
      </c>
      <c r="M2084" s="26" t="str">
        <f t="shared" si="345"/>
        <v>PARTICULAR</v>
      </c>
      <c r="N2084" s="26">
        <v>146</v>
      </c>
      <c r="O2084" s="26">
        <v>74</v>
      </c>
      <c r="P2084" s="26">
        <v>72</v>
      </c>
      <c r="Q2084" s="26">
        <v>8</v>
      </c>
      <c r="R2084" s="26">
        <v>1</v>
      </c>
      <c r="S2084" s="26">
        <v>8</v>
      </c>
      <c r="T2084" s="26">
        <v>14</v>
      </c>
      <c r="U2084" s="26">
        <v>23</v>
      </c>
      <c r="V2084" s="26">
        <v>1</v>
      </c>
      <c r="W2084" s="26"/>
    </row>
    <row r="2085" spans="1:23" x14ac:dyDescent="0.25">
      <c r="A2085" s="26" t="str">
        <f t="shared" si="341"/>
        <v>PRIMARIA</v>
      </c>
      <c r="B2085" s="26" t="str">
        <f>"09PPR0041T"</f>
        <v>09PPR0041T</v>
      </c>
      <c r="C2085" s="26" t="str">
        <f>"HISPANO AMERICANO                                                                                   "</f>
        <v xml:space="preserve">HISPANO AMERICANO                                                                                   </v>
      </c>
      <c r="D2085" s="26" t="str">
        <f t="shared" si="344"/>
        <v>MATUTINO</v>
      </c>
      <c r="E2085" s="26" t="str">
        <f>"JAIME TORRES BODET # 94                                                         "</f>
        <v xml:space="preserve">JAIME TORRES BODET # 94                                                         </v>
      </c>
      <c r="F2085" s="26" t="str">
        <f>"SANTA MARIA LA RIBERA                                                                                                                       "</f>
        <v xml:space="preserve">SANTA MARIA LA RIBERA                                                                                                                       </v>
      </c>
      <c r="G2085" s="26" t="str">
        <f>"CUAUHTEMOC                                                                      "</f>
        <v xml:space="preserve">CUAUHTEMOC                                                                      </v>
      </c>
      <c r="H2085" s="26" t="str">
        <f>"219"</f>
        <v>219</v>
      </c>
      <c r="I2085" s="26" t="str">
        <f t="shared" si="342"/>
        <v>00</v>
      </c>
      <c r="J2085" s="26" t="str">
        <f t="shared" si="349"/>
        <v xml:space="preserve">42 </v>
      </c>
      <c r="K2085" s="26" t="str">
        <f t="shared" si="346"/>
        <v>PR</v>
      </c>
      <c r="L2085" s="26" t="str">
        <f t="shared" si="347"/>
        <v>DGOSE</v>
      </c>
      <c r="M2085" s="26" t="str">
        <f t="shared" si="345"/>
        <v>PARTICULAR</v>
      </c>
      <c r="N2085" s="26">
        <v>297</v>
      </c>
      <c r="O2085" s="26">
        <v>137</v>
      </c>
      <c r="P2085" s="26">
        <v>160</v>
      </c>
      <c r="Q2085" s="26">
        <v>11</v>
      </c>
      <c r="R2085" s="26">
        <v>1</v>
      </c>
      <c r="S2085" s="26">
        <v>11</v>
      </c>
      <c r="T2085" s="26">
        <v>18</v>
      </c>
      <c r="U2085" s="26">
        <v>30</v>
      </c>
      <c r="V2085" s="26">
        <v>1</v>
      </c>
      <c r="W2085" s="26"/>
    </row>
    <row r="2086" spans="1:23" x14ac:dyDescent="0.25">
      <c r="A2086" s="26" t="str">
        <f t="shared" si="341"/>
        <v>PRIMARIA</v>
      </c>
      <c r="B2086" s="26" t="str">
        <f>"09PPR0043R"</f>
        <v>09PPR0043R</v>
      </c>
      <c r="C2086" s="26" t="str">
        <f>"COLEGIO INGLES ELIZABETH BROCK                                                                      "</f>
        <v xml:space="preserve">COLEGIO INGLES ELIZABETH BROCK                                                                      </v>
      </c>
      <c r="D2086" s="26" t="str">
        <f t="shared" si="344"/>
        <v>MATUTINO</v>
      </c>
      <c r="E2086" s="26" t="str">
        <f>"SERAPIO RENDON NO 97                                                            "</f>
        <v xml:space="preserve">SERAPIO RENDON NO 97                                                            </v>
      </c>
      <c r="F2086" s="26" t="str">
        <f>"SAN RAFAEL                                                                                                                                  "</f>
        <v xml:space="preserve">SAN RAFAEL                                                                                                                                  </v>
      </c>
      <c r="G2086" s="26" t="str">
        <f>"CUAUHTEMOC                                                                      "</f>
        <v xml:space="preserve">CUAUHTEMOC                                                                      </v>
      </c>
      <c r="H2086" s="26" t="str">
        <f>"220"</f>
        <v>220</v>
      </c>
      <c r="I2086" s="26" t="str">
        <f t="shared" si="342"/>
        <v>00</v>
      </c>
      <c r="J2086" s="26" t="str">
        <f t="shared" si="349"/>
        <v xml:space="preserve">42 </v>
      </c>
      <c r="K2086" s="26" t="str">
        <f t="shared" si="346"/>
        <v>PR</v>
      </c>
      <c r="L2086" s="26" t="str">
        <f t="shared" si="347"/>
        <v>DGOSE</v>
      </c>
      <c r="M2086" s="26" t="str">
        <f t="shared" si="345"/>
        <v>PARTICULAR</v>
      </c>
      <c r="N2086" s="26">
        <v>199</v>
      </c>
      <c r="O2086" s="26">
        <v>88</v>
      </c>
      <c r="P2086" s="26">
        <v>111</v>
      </c>
      <c r="Q2086" s="26">
        <v>11</v>
      </c>
      <c r="R2086" s="26">
        <v>1</v>
      </c>
      <c r="S2086" s="26">
        <v>6</v>
      </c>
      <c r="T2086" s="26">
        <v>12</v>
      </c>
      <c r="U2086" s="26">
        <v>19</v>
      </c>
      <c r="V2086" s="26">
        <v>1</v>
      </c>
      <c r="W2086" s="26"/>
    </row>
    <row r="2087" spans="1:23" x14ac:dyDescent="0.25">
      <c r="A2087" s="26" t="str">
        <f t="shared" si="341"/>
        <v>PRIMARIA</v>
      </c>
      <c r="B2087" s="26" t="str">
        <f>"09PPR0046O"</f>
        <v>09PPR0046O</v>
      </c>
      <c r="C2087" s="26" t="str">
        <f>"MANUEL ACOSTA                                                                                       "</f>
        <v xml:space="preserve">MANUEL ACOSTA                                                                                       </v>
      </c>
      <c r="D2087" s="26" t="str">
        <f t="shared" si="344"/>
        <v>MATUTINO</v>
      </c>
      <c r="E2087" s="26" t="str">
        <f>"RIO SENA # 42                                                                   "</f>
        <v xml:space="preserve">RIO SENA # 42                                                                   </v>
      </c>
      <c r="F2087" s="26" t="str">
        <f>"CUAUHTEMOC                                                                                                                                  "</f>
        <v xml:space="preserve">CUAUHTEMOC                                                                                                                                  </v>
      </c>
      <c r="G2087" s="26" t="str">
        <f>"CUAUHTEMOC                                                                      "</f>
        <v xml:space="preserve">CUAUHTEMOC                                                                      </v>
      </c>
      <c r="H2087" s="26" t="str">
        <f>"220"</f>
        <v>220</v>
      </c>
      <c r="I2087" s="26" t="str">
        <f t="shared" si="342"/>
        <v>00</v>
      </c>
      <c r="J2087" s="26" t="str">
        <f t="shared" si="349"/>
        <v xml:space="preserve">42 </v>
      </c>
      <c r="K2087" s="26" t="str">
        <f t="shared" si="346"/>
        <v>PR</v>
      </c>
      <c r="L2087" s="26" t="str">
        <f t="shared" si="347"/>
        <v>DGOSE</v>
      </c>
      <c r="M2087" s="26" t="str">
        <f t="shared" si="345"/>
        <v>PARTICULAR</v>
      </c>
      <c r="N2087" s="26">
        <v>543</v>
      </c>
      <c r="O2087" s="26">
        <v>275</v>
      </c>
      <c r="P2087" s="26">
        <v>268</v>
      </c>
      <c r="Q2087" s="26">
        <v>19</v>
      </c>
      <c r="R2087" s="26">
        <v>1</v>
      </c>
      <c r="S2087" s="26">
        <v>11</v>
      </c>
      <c r="T2087" s="26">
        <v>24</v>
      </c>
      <c r="U2087" s="26">
        <v>36</v>
      </c>
      <c r="V2087" s="26">
        <v>1</v>
      </c>
      <c r="W2087" s="26"/>
    </row>
    <row r="2088" spans="1:23" x14ac:dyDescent="0.25">
      <c r="A2088" s="26" t="str">
        <f t="shared" si="341"/>
        <v>PRIMARIA</v>
      </c>
      <c r="B2088" s="26" t="str">
        <f>"09PPR0047N"</f>
        <v>09PPR0047N</v>
      </c>
      <c r="C2088" s="26" t="str">
        <f>"NUEVA PRIMARIA DE MEXICO                                                                            "</f>
        <v xml:space="preserve">NUEVA PRIMARIA DE MEXICO                                                                            </v>
      </c>
      <c r="D2088" s="26" t="str">
        <f t="shared" si="344"/>
        <v>MATUTINO</v>
      </c>
      <c r="E2088" s="26" t="str">
        <f>"POLANCO NO. 80                                                                  "</f>
        <v xml:space="preserve">POLANCO NO. 80                                                                  </v>
      </c>
      <c r="F2088" s="26" t="str">
        <f>"BOSQUES DE CHAPULTEPEC I                                                                                                                    "</f>
        <v xml:space="preserve">BOSQUES DE CHAPULTEPEC I                                                                                                                    </v>
      </c>
      <c r="G2088" s="26" t="str">
        <f>"MIGUEL HIDALGO                                                                  "</f>
        <v xml:space="preserve">MIGUEL HIDALGO                                                                  </v>
      </c>
      <c r="H2088" s="26" t="str">
        <f>"214"</f>
        <v>214</v>
      </c>
      <c r="I2088" s="26" t="str">
        <f t="shared" si="342"/>
        <v>00</v>
      </c>
      <c r="J2088" s="26" t="str">
        <f t="shared" si="349"/>
        <v xml:space="preserve">42 </v>
      </c>
      <c r="K2088" s="26" t="str">
        <f t="shared" si="346"/>
        <v>PR</v>
      </c>
      <c r="L2088" s="26" t="str">
        <f t="shared" si="347"/>
        <v>DGOSE</v>
      </c>
      <c r="M2088" s="26" t="str">
        <f t="shared" si="345"/>
        <v>PARTICULAR</v>
      </c>
      <c r="N2088" s="26">
        <v>520</v>
      </c>
      <c r="O2088" s="26">
        <v>246</v>
      </c>
      <c r="P2088" s="26">
        <v>274</v>
      </c>
      <c r="Q2088" s="26">
        <v>24</v>
      </c>
      <c r="R2088" s="26">
        <v>1</v>
      </c>
      <c r="S2088" s="26">
        <v>12</v>
      </c>
      <c r="T2088" s="26">
        <v>26</v>
      </c>
      <c r="U2088" s="26">
        <v>39</v>
      </c>
      <c r="V2088" s="26">
        <v>1</v>
      </c>
      <c r="W2088" s="26"/>
    </row>
    <row r="2089" spans="1:23" x14ac:dyDescent="0.25">
      <c r="A2089" s="26" t="str">
        <f t="shared" si="341"/>
        <v>PRIMARIA</v>
      </c>
      <c r="B2089" s="26" t="str">
        <f>"09PPR0048M"</f>
        <v>09PPR0048M</v>
      </c>
      <c r="C2089" s="26" t="str">
        <f>"LICEO FRANCO MEXICANO                                                                               "</f>
        <v xml:space="preserve">LICEO FRANCO MEXICANO                                                                               </v>
      </c>
      <c r="D2089" s="26" t="str">
        <f t="shared" si="344"/>
        <v>MATUTINO</v>
      </c>
      <c r="E2089" s="26" t="str">
        <f>"AVENIDA HOMERO 1521                                                             "</f>
        <v xml:space="preserve">AVENIDA HOMERO 1521                                                             </v>
      </c>
      <c r="F2089" s="26" t="str">
        <f>"POLANCO SECCION II                                                                                                                          "</f>
        <v xml:space="preserve">POLANCO SECCION II                                                                                                                          </v>
      </c>
      <c r="G2089" s="26" t="str">
        <f>"MIGUEL HIDALGO                                                                  "</f>
        <v xml:space="preserve">MIGUEL HIDALGO                                                                  </v>
      </c>
      <c r="H2089" s="26" t="str">
        <f>"208"</f>
        <v>208</v>
      </c>
      <c r="I2089" s="26" t="str">
        <f t="shared" si="342"/>
        <v>00</v>
      </c>
      <c r="J2089" s="26" t="str">
        <f t="shared" si="349"/>
        <v xml:space="preserve">42 </v>
      </c>
      <c r="K2089" s="26" t="str">
        <f t="shared" si="346"/>
        <v>PR</v>
      </c>
      <c r="L2089" s="26" t="str">
        <f t="shared" si="347"/>
        <v>DGOSE</v>
      </c>
      <c r="M2089" s="26" t="str">
        <f t="shared" si="345"/>
        <v>PARTICULAR</v>
      </c>
      <c r="N2089" s="26">
        <v>152</v>
      </c>
      <c r="O2089" s="26">
        <v>80</v>
      </c>
      <c r="P2089" s="26">
        <v>72</v>
      </c>
      <c r="Q2089" s="26">
        <v>6</v>
      </c>
      <c r="R2089" s="26">
        <v>1</v>
      </c>
      <c r="S2089" s="26">
        <v>6</v>
      </c>
      <c r="T2089" s="26">
        <v>10</v>
      </c>
      <c r="U2089" s="26">
        <v>17</v>
      </c>
      <c r="V2089" s="26">
        <v>1</v>
      </c>
      <c r="W2089" s="26"/>
    </row>
    <row r="2090" spans="1:23" x14ac:dyDescent="0.25">
      <c r="A2090" s="26" t="str">
        <f t="shared" si="341"/>
        <v>PRIMARIA</v>
      </c>
      <c r="B2090" s="26" t="str">
        <f>"09PPR0049L"</f>
        <v>09PPR0049L</v>
      </c>
      <c r="C2090" s="26" t="str">
        <f>"INGLES KENT                                                                                         "</f>
        <v xml:space="preserve">INGLES KENT                                                                                         </v>
      </c>
      <c r="D2090" s="26" t="str">
        <f t="shared" si="344"/>
        <v>MATUTINO</v>
      </c>
      <c r="E2090" s="26" t="str">
        <f>"RIO DUERO # 50                                                                  "</f>
        <v xml:space="preserve">RIO DUERO # 50                                                                  </v>
      </c>
      <c r="F2090" s="26" t="str">
        <f>"CUAUHTEMOC                                                                                                                                  "</f>
        <v xml:space="preserve">CUAUHTEMOC                                                                                                                                  </v>
      </c>
      <c r="G2090" s="26" t="str">
        <f>"CUAUHTEMOC                                                                      "</f>
        <v xml:space="preserve">CUAUHTEMOC                                                                      </v>
      </c>
      <c r="H2090" s="26" t="str">
        <f>"000"</f>
        <v>000</v>
      </c>
      <c r="I2090" s="26" t="str">
        <f t="shared" si="342"/>
        <v>00</v>
      </c>
      <c r="J2090" s="26" t="str">
        <f t="shared" si="349"/>
        <v xml:space="preserve">42 </v>
      </c>
      <c r="K2090" s="26" t="str">
        <f t="shared" si="346"/>
        <v>PR</v>
      </c>
      <c r="L2090" s="26" t="str">
        <f t="shared" si="347"/>
        <v>DGOSE</v>
      </c>
      <c r="M2090" s="26" t="str">
        <f t="shared" si="345"/>
        <v>PARTICULAR</v>
      </c>
      <c r="N2090" s="26">
        <v>145</v>
      </c>
      <c r="O2090" s="26">
        <v>80</v>
      </c>
      <c r="P2090" s="26">
        <v>65</v>
      </c>
      <c r="Q2090" s="26">
        <v>9</v>
      </c>
      <c r="R2090" s="26">
        <v>1</v>
      </c>
      <c r="S2090" s="26">
        <v>5</v>
      </c>
      <c r="T2090" s="26">
        <v>15</v>
      </c>
      <c r="U2090" s="26">
        <v>21</v>
      </c>
      <c r="V2090" s="26">
        <v>1</v>
      </c>
      <c r="W2090" s="26"/>
    </row>
    <row r="2091" spans="1:23" x14ac:dyDescent="0.25">
      <c r="A2091" s="26" t="str">
        <f t="shared" si="341"/>
        <v>PRIMARIA</v>
      </c>
      <c r="B2091" s="26" t="str">
        <f>"09PPR0050A"</f>
        <v>09PPR0050A</v>
      </c>
      <c r="C2091" s="26" t="str">
        <f>"TALLER MONTESSORI                                                                                   "</f>
        <v xml:space="preserve">TALLER MONTESSORI                                                                                   </v>
      </c>
      <c r="D2091" s="26" t="str">
        <f t="shared" si="344"/>
        <v>MATUTINO</v>
      </c>
      <c r="E2091" s="26" t="str">
        <f>"RANCHO VERGEL 54                                                                "</f>
        <v xml:space="preserve">RANCHO VERGEL 54                                                                </v>
      </c>
      <c r="F2091" s="26" t="str">
        <f>"PRADO COAPA                                                                                                                                 "</f>
        <v xml:space="preserve">PRADO COAPA                                                                                                                                 </v>
      </c>
      <c r="G2091" s="26" t="str">
        <f>"TLALPAN                                                                         "</f>
        <v xml:space="preserve">TLALPAN                                                                         </v>
      </c>
      <c r="H2091" s="26" t="str">
        <f>"525"</f>
        <v>525</v>
      </c>
      <c r="I2091" s="26" t="str">
        <f t="shared" si="342"/>
        <v>00</v>
      </c>
      <c r="J2091" s="26" t="str">
        <f>"45 "</f>
        <v xml:space="preserve">45 </v>
      </c>
      <c r="K2091" s="26" t="str">
        <f t="shared" si="346"/>
        <v>PR</v>
      </c>
      <c r="L2091" s="26" t="str">
        <f t="shared" si="347"/>
        <v>DGOSE</v>
      </c>
      <c r="M2091" s="26" t="str">
        <f t="shared" si="345"/>
        <v>PARTICULAR</v>
      </c>
      <c r="N2091" s="26">
        <v>55</v>
      </c>
      <c r="O2091" s="26">
        <v>34</v>
      </c>
      <c r="P2091" s="26">
        <v>21</v>
      </c>
      <c r="Q2091" s="26">
        <v>6</v>
      </c>
      <c r="R2091" s="26">
        <v>1</v>
      </c>
      <c r="S2091" s="26">
        <v>6</v>
      </c>
      <c r="T2091" s="26">
        <v>5</v>
      </c>
      <c r="U2091" s="26">
        <v>12</v>
      </c>
      <c r="V2091" s="26">
        <v>1</v>
      </c>
      <c r="W2091" s="26"/>
    </row>
    <row r="2092" spans="1:23" x14ac:dyDescent="0.25">
      <c r="A2092" s="26" t="str">
        <f t="shared" si="341"/>
        <v>PRIMARIA</v>
      </c>
      <c r="B2092" s="26" t="str">
        <f>"09PPR0051Z"</f>
        <v>09PPR0051Z</v>
      </c>
      <c r="C2092" s="26" t="str">
        <f>"REINA MARIA                                                                                         "</f>
        <v xml:space="preserve">REINA MARIA                                                                                         </v>
      </c>
      <c r="D2092" s="26" t="str">
        <f t="shared" si="344"/>
        <v>MATUTINO</v>
      </c>
      <c r="E2092" s="26" t="str">
        <f>"RIO EUFRATES # 15                                                               "</f>
        <v xml:space="preserve">RIO EUFRATES # 15                                                               </v>
      </c>
      <c r="F2092" s="26" t="str">
        <f>"CUAUHTEMOC                                                                                                                                  "</f>
        <v xml:space="preserve">CUAUHTEMOC                                                                                                                                  </v>
      </c>
      <c r="G2092" s="26" t="str">
        <f>"CUAUHTEMOC                                                                      "</f>
        <v xml:space="preserve">CUAUHTEMOC                                                                      </v>
      </c>
      <c r="H2092" s="26" t="str">
        <f>"220"</f>
        <v>220</v>
      </c>
      <c r="I2092" s="26" t="str">
        <f t="shared" si="342"/>
        <v>00</v>
      </c>
      <c r="J2092" s="26" t="str">
        <f>"42 "</f>
        <v xml:space="preserve">42 </v>
      </c>
      <c r="K2092" s="26" t="str">
        <f t="shared" si="346"/>
        <v>PR</v>
      </c>
      <c r="L2092" s="26" t="str">
        <f t="shared" si="347"/>
        <v>DGOSE</v>
      </c>
      <c r="M2092" s="26" t="str">
        <f t="shared" si="345"/>
        <v>PARTICULAR</v>
      </c>
      <c r="N2092" s="26">
        <v>376</v>
      </c>
      <c r="O2092" s="26">
        <v>163</v>
      </c>
      <c r="P2092" s="26">
        <v>213</v>
      </c>
      <c r="Q2092" s="26">
        <v>16</v>
      </c>
      <c r="R2092" s="26">
        <v>1</v>
      </c>
      <c r="S2092" s="26">
        <v>8</v>
      </c>
      <c r="T2092" s="26">
        <v>26</v>
      </c>
      <c r="U2092" s="26">
        <v>35</v>
      </c>
      <c r="V2092" s="26">
        <v>1</v>
      </c>
      <c r="W2092" s="26"/>
    </row>
    <row r="2093" spans="1:23" x14ac:dyDescent="0.25">
      <c r="A2093" s="26" t="str">
        <f t="shared" si="341"/>
        <v>PRIMARIA</v>
      </c>
      <c r="B2093" s="26" t="str">
        <f>"09PPR0054X"</f>
        <v>09PPR0054X</v>
      </c>
      <c r="C2093" s="26" t="str">
        <f>"AMADO NERVO                                                                                         "</f>
        <v xml:space="preserve">AMADO NERVO                                                                                         </v>
      </c>
      <c r="D2093" s="26" t="str">
        <f t="shared" si="344"/>
        <v>MATUTINO</v>
      </c>
      <c r="E2093" s="26" t="str">
        <f>"BAJIO NO. 307                                                                   "</f>
        <v xml:space="preserve">BAJIO NO. 307                                                                   </v>
      </c>
      <c r="F2093" s="26" t="str">
        <f>"ROMA SUR                                                                                                                                    "</f>
        <v xml:space="preserve">ROMA SUR                                                                                                                                    </v>
      </c>
      <c r="G2093" s="26" t="str">
        <f>"CUAUHTEMOC                                                                      "</f>
        <v xml:space="preserve">CUAUHTEMOC                                                                      </v>
      </c>
      <c r="H2093" s="26" t="str">
        <f>"221"</f>
        <v>221</v>
      </c>
      <c r="I2093" s="26" t="str">
        <f t="shared" si="342"/>
        <v>00</v>
      </c>
      <c r="J2093" s="26" t="str">
        <f>"42 "</f>
        <v xml:space="preserve">42 </v>
      </c>
      <c r="K2093" s="26" t="str">
        <f t="shared" si="346"/>
        <v>PR</v>
      </c>
      <c r="L2093" s="26" t="str">
        <f t="shared" si="347"/>
        <v>DGOSE</v>
      </c>
      <c r="M2093" s="26" t="str">
        <f t="shared" si="345"/>
        <v>PARTICULAR</v>
      </c>
      <c r="N2093" s="26">
        <v>295</v>
      </c>
      <c r="O2093" s="26">
        <v>156</v>
      </c>
      <c r="P2093" s="26">
        <v>139</v>
      </c>
      <c r="Q2093" s="26">
        <v>12</v>
      </c>
      <c r="R2093" s="26">
        <v>1</v>
      </c>
      <c r="S2093" s="26">
        <v>12</v>
      </c>
      <c r="T2093" s="26">
        <v>22</v>
      </c>
      <c r="U2093" s="26">
        <v>35</v>
      </c>
      <c r="V2093" s="26">
        <v>1</v>
      </c>
      <c r="W2093" s="26"/>
    </row>
    <row r="2094" spans="1:23" x14ac:dyDescent="0.25">
      <c r="A2094" s="26" t="str">
        <f t="shared" si="341"/>
        <v>PRIMARIA</v>
      </c>
      <c r="B2094" s="26" t="str">
        <f>"09PPR0056V"</f>
        <v>09PPR0056V</v>
      </c>
      <c r="C2094" s="26" t="str">
        <f>"INSTITUTO TECNICO Y CULTURAL                                                                        "</f>
        <v xml:space="preserve">INSTITUTO TECNICO Y CULTURAL                                                                        </v>
      </c>
      <c r="D2094" s="26" t="str">
        <f t="shared" si="344"/>
        <v>MATUTINO</v>
      </c>
      <c r="E2094" s="26" t="str">
        <f>"XOCHICALCO 495                                                                  "</f>
        <v xml:space="preserve">XOCHICALCO 495                                                                  </v>
      </c>
      <c r="F2094" s="26" t="str">
        <f>"VERTIZ NARVARTE                                                                                                                             "</f>
        <v xml:space="preserve">VERTIZ NARVARTE                                                                                                                             </v>
      </c>
      <c r="G2094" s="26" t="str">
        <f>"BENITO JUAREZ                                                                   "</f>
        <v xml:space="preserve">BENITO JUAREZ                                                                   </v>
      </c>
      <c r="H2094" s="26" t="str">
        <f>"000"</f>
        <v>000</v>
      </c>
      <c r="I2094" s="26" t="str">
        <f t="shared" si="342"/>
        <v>00</v>
      </c>
      <c r="J2094" s="26" t="str">
        <f>"43 "</f>
        <v xml:space="preserve">43 </v>
      </c>
      <c r="K2094" s="26" t="str">
        <f t="shared" si="346"/>
        <v>PR</v>
      </c>
      <c r="L2094" s="26" t="str">
        <f t="shared" si="347"/>
        <v>DGOSE</v>
      </c>
      <c r="M2094" s="26" t="str">
        <f t="shared" si="345"/>
        <v>PARTICULAR</v>
      </c>
      <c r="N2094" s="26">
        <v>453</v>
      </c>
      <c r="O2094" s="26">
        <v>226</v>
      </c>
      <c r="P2094" s="26">
        <v>227</v>
      </c>
      <c r="Q2094" s="26">
        <v>20</v>
      </c>
      <c r="R2094" s="26">
        <v>1</v>
      </c>
      <c r="S2094" s="26">
        <v>10</v>
      </c>
      <c r="T2094" s="26">
        <v>25</v>
      </c>
      <c r="U2094" s="26">
        <v>36</v>
      </c>
      <c r="V2094" s="26">
        <v>1</v>
      </c>
      <c r="W2094" s="26"/>
    </row>
    <row r="2095" spans="1:23" x14ac:dyDescent="0.25">
      <c r="A2095" s="26" t="str">
        <f t="shared" si="341"/>
        <v>PRIMARIA</v>
      </c>
      <c r="B2095" s="26" t="str">
        <f>"09PPR0057U"</f>
        <v>09PPR0057U</v>
      </c>
      <c r="C2095" s="26" t="str">
        <f>"INSTITUTO BASSOLS                                                                                   "</f>
        <v xml:space="preserve">INSTITUTO BASSOLS                                                                                   </v>
      </c>
      <c r="D2095" s="26" t="str">
        <f t="shared" si="344"/>
        <v>MATUTINO</v>
      </c>
      <c r="E2095" s="26" t="str">
        <f>"JOSEFA ORTIZ DE DOMINGUEZ NO. 1633                                              "</f>
        <v xml:space="preserve">JOSEFA ORTIZ DE DOMINGUEZ NO. 1633                                              </v>
      </c>
      <c r="F2095" s="26" t="str">
        <f>"SANTA MARIA AZTAHUACAN                                                                                                                      "</f>
        <v xml:space="preserve">SANTA MARIA AZTAHUACAN                                                                                                                      </v>
      </c>
      <c r="G2095" s="26" t="str">
        <f>"IZTAPALAPA                                                                      "</f>
        <v xml:space="preserve">IZTAPALAPA                                                                      </v>
      </c>
      <c r="H2095" s="26" t="str">
        <f>"000"</f>
        <v>000</v>
      </c>
      <c r="I2095" s="26" t="str">
        <f t="shared" si="342"/>
        <v>00</v>
      </c>
      <c r="J2095" s="26" t="str">
        <f>"64 "</f>
        <v xml:space="preserve">64 </v>
      </c>
      <c r="K2095" s="26" t="str">
        <f>"IZ"</f>
        <v>IZ</v>
      </c>
      <c r="L2095" s="26" t="str">
        <f>"DGSEI"</f>
        <v>DGSEI</v>
      </c>
      <c r="M2095" s="26" t="str">
        <f t="shared" si="345"/>
        <v>PARTICULAR</v>
      </c>
      <c r="N2095" s="26">
        <v>127</v>
      </c>
      <c r="O2095" s="26">
        <v>66</v>
      </c>
      <c r="P2095" s="26">
        <v>61</v>
      </c>
      <c r="Q2095" s="26">
        <v>6</v>
      </c>
      <c r="R2095" s="26">
        <v>1</v>
      </c>
      <c r="S2095" s="26">
        <v>6</v>
      </c>
      <c r="T2095" s="26">
        <v>3</v>
      </c>
      <c r="U2095" s="26">
        <v>10</v>
      </c>
      <c r="V2095" s="26">
        <v>1</v>
      </c>
      <c r="W2095" s="26"/>
    </row>
    <row r="2096" spans="1:23" x14ac:dyDescent="0.25">
      <c r="A2096" s="26" t="str">
        <f t="shared" si="341"/>
        <v>PRIMARIA</v>
      </c>
      <c r="B2096" s="26" t="str">
        <f>"09PPR0059S"</f>
        <v>09PPR0059S</v>
      </c>
      <c r="C2096" s="26" t="str">
        <f>"FRANCISCO I. MADERO                                                                                 "</f>
        <v xml:space="preserve">FRANCISCO I. MADERO                                                                                 </v>
      </c>
      <c r="D2096" s="26" t="str">
        <f t="shared" si="344"/>
        <v>MATUTINO</v>
      </c>
      <c r="E2096" s="26" t="str">
        <f>"AVENIDA PLUTARCO ELIAS CALLES 710                                               "</f>
        <v xml:space="preserve">AVENIDA PLUTARCO ELIAS CALLES 710                                               </v>
      </c>
      <c r="F2096" s="26" t="str">
        <f>"GRANJAS MEXICO                                                                                                                              "</f>
        <v xml:space="preserve">GRANJAS MEXICO                                                                                                                              </v>
      </c>
      <c r="G2096" s="26" t="str">
        <f>"IZTACALCO                                                                       "</f>
        <v xml:space="preserve">IZTACALCO                                                                       </v>
      </c>
      <c r="H2096" s="26" t="str">
        <f>"359"</f>
        <v>359</v>
      </c>
      <c r="I2096" s="26" t="str">
        <f t="shared" si="342"/>
        <v>00</v>
      </c>
      <c r="J2096" s="26" t="str">
        <f t="shared" ref="J2096:J2105" si="350">"43 "</f>
        <v xml:space="preserve">43 </v>
      </c>
      <c r="K2096" s="26" t="str">
        <f t="shared" ref="K2096:K2135" si="351">"PR"</f>
        <v>PR</v>
      </c>
      <c r="L2096" s="26" t="str">
        <f t="shared" ref="L2096:L2135" si="352">"DGOSE"</f>
        <v>DGOSE</v>
      </c>
      <c r="M2096" s="26" t="str">
        <f t="shared" si="345"/>
        <v>PARTICULAR</v>
      </c>
      <c r="N2096" s="26">
        <v>66</v>
      </c>
      <c r="O2096" s="26">
        <v>35</v>
      </c>
      <c r="P2096" s="26">
        <v>31</v>
      </c>
      <c r="Q2096" s="26">
        <v>6</v>
      </c>
      <c r="R2096" s="26">
        <v>1</v>
      </c>
      <c r="S2096" s="26">
        <v>6</v>
      </c>
      <c r="T2096" s="26">
        <v>8</v>
      </c>
      <c r="U2096" s="26">
        <v>15</v>
      </c>
      <c r="V2096" s="26">
        <v>1</v>
      </c>
      <c r="W2096" s="26"/>
    </row>
    <row r="2097" spans="1:23" x14ac:dyDescent="0.25">
      <c r="A2097" s="26" t="str">
        <f t="shared" si="341"/>
        <v>PRIMARIA</v>
      </c>
      <c r="B2097" s="26" t="str">
        <f>"09PPR0063E"</f>
        <v>09PPR0063E</v>
      </c>
      <c r="C2097" s="26" t="str">
        <f>"INSTITUTO PEDAGOGICO AMERICO VESPUCIO                                                               "</f>
        <v xml:space="preserve">INSTITUTO PEDAGOGICO AMERICO VESPUCIO                                                               </v>
      </c>
      <c r="D2097" s="26" t="str">
        <f t="shared" si="344"/>
        <v>MATUTINO</v>
      </c>
      <c r="E2097" s="26" t="str">
        <f>"RETORNO 6 FRAY SERVANDO TERESA DE MIER No 7                                     "</f>
        <v xml:space="preserve">RETORNO 6 FRAY SERVANDO TERESA DE MIER No 7                                     </v>
      </c>
      <c r="F2097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2097" s="26" t="str">
        <f>"VENUSTIANO CARRANZA                                                             "</f>
        <v xml:space="preserve">VENUSTIANO CARRANZA                                                             </v>
      </c>
      <c r="H2097" s="26" t="str">
        <f>"349"</f>
        <v>349</v>
      </c>
      <c r="I2097" s="26" t="str">
        <f t="shared" si="342"/>
        <v>00</v>
      </c>
      <c r="J2097" s="26" t="str">
        <f t="shared" si="350"/>
        <v xml:space="preserve">43 </v>
      </c>
      <c r="K2097" s="26" t="str">
        <f t="shared" si="351"/>
        <v>PR</v>
      </c>
      <c r="L2097" s="26" t="str">
        <f t="shared" si="352"/>
        <v>DGOSE</v>
      </c>
      <c r="M2097" s="26" t="str">
        <f t="shared" si="345"/>
        <v>PARTICULAR</v>
      </c>
      <c r="N2097" s="26">
        <v>311</v>
      </c>
      <c r="O2097" s="26">
        <v>160</v>
      </c>
      <c r="P2097" s="26">
        <v>151</v>
      </c>
      <c r="Q2097" s="26">
        <v>15</v>
      </c>
      <c r="R2097" s="26">
        <v>1</v>
      </c>
      <c r="S2097" s="26">
        <v>15</v>
      </c>
      <c r="T2097" s="26">
        <v>13</v>
      </c>
      <c r="U2097" s="26">
        <v>29</v>
      </c>
      <c r="V2097" s="26">
        <v>1</v>
      </c>
      <c r="W2097" s="26"/>
    </row>
    <row r="2098" spans="1:23" x14ac:dyDescent="0.25">
      <c r="A2098" s="26" t="str">
        <f t="shared" si="341"/>
        <v>PRIMARIA</v>
      </c>
      <c r="B2098" s="26" t="str">
        <f>"09PPR0064D"</f>
        <v>09PPR0064D</v>
      </c>
      <c r="C2098" s="26" t="str">
        <f>"AMERICA UNIDA                                                                                       "</f>
        <v xml:space="preserve">AMERICA UNIDA                                                                                       </v>
      </c>
      <c r="D2098" s="26" t="str">
        <f t="shared" si="344"/>
        <v>MATUTINO</v>
      </c>
      <c r="E2098" s="26" t="str">
        <f>"CARLOS SANTANA NO 68                                                            "</f>
        <v xml:space="preserve">CARLOS SANTANA NO 68                                                            </v>
      </c>
      <c r="F2098" s="26" t="str">
        <f>"MOCTEZUMA 1A SECCION                                                                                                                        "</f>
        <v xml:space="preserve">MOCTEZUMA 1A SECCION                                                                                                                        </v>
      </c>
      <c r="G2098" s="26" t="str">
        <f>"VENUSTIANO CARRANZA                                                             "</f>
        <v xml:space="preserve">VENUSTIANO CARRANZA                                                             </v>
      </c>
      <c r="H2098" s="26" t="str">
        <f>"349"</f>
        <v>349</v>
      </c>
      <c r="I2098" s="26" t="str">
        <f t="shared" si="342"/>
        <v>00</v>
      </c>
      <c r="J2098" s="26" t="str">
        <f t="shared" si="350"/>
        <v xml:space="preserve">43 </v>
      </c>
      <c r="K2098" s="26" t="str">
        <f t="shared" si="351"/>
        <v>PR</v>
      </c>
      <c r="L2098" s="26" t="str">
        <f t="shared" si="352"/>
        <v>DGOSE</v>
      </c>
      <c r="M2098" s="26" t="str">
        <f t="shared" si="345"/>
        <v>PARTICULAR</v>
      </c>
      <c r="N2098" s="26">
        <v>96</v>
      </c>
      <c r="O2098" s="26">
        <v>44</v>
      </c>
      <c r="P2098" s="26">
        <v>52</v>
      </c>
      <c r="Q2098" s="26">
        <v>6</v>
      </c>
      <c r="R2098" s="26">
        <v>1</v>
      </c>
      <c r="S2098" s="26">
        <v>6</v>
      </c>
      <c r="T2098" s="26">
        <v>9</v>
      </c>
      <c r="U2098" s="26">
        <v>16</v>
      </c>
      <c r="V2098" s="26">
        <v>1</v>
      </c>
      <c r="W2098" s="26"/>
    </row>
    <row r="2099" spans="1:23" x14ac:dyDescent="0.25">
      <c r="A2099" s="26" t="str">
        <f t="shared" si="341"/>
        <v>PRIMARIA</v>
      </c>
      <c r="B2099" s="26" t="str">
        <f>"09PPR0065C"</f>
        <v>09PPR0065C</v>
      </c>
      <c r="C2099" s="26" t="str">
        <f>"ENRIQUE ARVIZU                                                                                      "</f>
        <v xml:space="preserve">ENRIQUE ARVIZU                                                                                      </v>
      </c>
      <c r="D2099" s="26" t="str">
        <f t="shared" si="344"/>
        <v>MATUTINO</v>
      </c>
      <c r="E2099" s="26" t="str">
        <f>"CALLE 4 # 300                                                                   "</f>
        <v xml:space="preserve">CALLE 4 # 300                                                                   </v>
      </c>
      <c r="F2099" s="26" t="str">
        <f>"AGRICOLA PANTITLAN                                                                                                                          "</f>
        <v xml:space="preserve">AGRICOLA PANTITLAN                                                                                                                          </v>
      </c>
      <c r="G2099" s="26" t="str">
        <f>"IZTACALCO                                                                       "</f>
        <v xml:space="preserve">IZTACALCO                                                                       </v>
      </c>
      <c r="H2099" s="26" t="str">
        <f>"354"</f>
        <v>354</v>
      </c>
      <c r="I2099" s="26" t="str">
        <f t="shared" si="342"/>
        <v>00</v>
      </c>
      <c r="J2099" s="26" t="str">
        <f t="shared" si="350"/>
        <v xml:space="preserve">43 </v>
      </c>
      <c r="K2099" s="26" t="str">
        <f t="shared" si="351"/>
        <v>PR</v>
      </c>
      <c r="L2099" s="26" t="str">
        <f t="shared" si="352"/>
        <v>DGOSE</v>
      </c>
      <c r="M2099" s="26" t="str">
        <f t="shared" si="345"/>
        <v>PARTICULAR</v>
      </c>
      <c r="N2099" s="26">
        <v>25</v>
      </c>
      <c r="O2099" s="26">
        <v>12</v>
      </c>
      <c r="P2099" s="26">
        <v>13</v>
      </c>
      <c r="Q2099" s="26">
        <v>5</v>
      </c>
      <c r="R2099" s="26">
        <v>1</v>
      </c>
      <c r="S2099" s="26">
        <v>4</v>
      </c>
      <c r="T2099" s="26">
        <v>6</v>
      </c>
      <c r="U2099" s="26">
        <v>11</v>
      </c>
      <c r="V2099" s="26">
        <v>1</v>
      </c>
      <c r="W2099" s="26"/>
    </row>
    <row r="2100" spans="1:23" x14ac:dyDescent="0.25">
      <c r="A2100" s="26" t="str">
        <f t="shared" si="341"/>
        <v>PRIMARIA</v>
      </c>
      <c r="B2100" s="26" t="str">
        <f>"09PPR0067A"</f>
        <v>09PPR0067A</v>
      </c>
      <c r="C2100" s="26" t="str">
        <f>"ESCUELA PRIMARIA AMERICANA                                                                          "</f>
        <v xml:space="preserve">ESCUELA PRIMARIA AMERICANA                                                                          </v>
      </c>
      <c r="D2100" s="26" t="str">
        <f t="shared" si="344"/>
        <v>MATUTINO</v>
      </c>
      <c r="E2100" s="26" t="str">
        <f>"CALLE 3 NO 38                                                                   "</f>
        <v xml:space="preserve">CALLE 3 NO 38                                                                   </v>
      </c>
      <c r="F2100" s="26" t="str">
        <f>"SAN PEDRO DE LOS PINOS                                                                                                                      "</f>
        <v xml:space="preserve">SAN PEDRO DE LOS PINOS                                                                                                                      </v>
      </c>
      <c r="G2100" s="26" t="str">
        <f>"BENITO JUAREZ                                                                   "</f>
        <v xml:space="preserve">BENITO JUAREZ                                                                   </v>
      </c>
      <c r="H2100" s="26" t="str">
        <f>"339"</f>
        <v>339</v>
      </c>
      <c r="I2100" s="26" t="str">
        <f t="shared" si="342"/>
        <v>00</v>
      </c>
      <c r="J2100" s="26" t="str">
        <f t="shared" si="350"/>
        <v xml:space="preserve">43 </v>
      </c>
      <c r="K2100" s="26" t="str">
        <f t="shared" si="351"/>
        <v>PR</v>
      </c>
      <c r="L2100" s="26" t="str">
        <f t="shared" si="352"/>
        <v>DGOSE</v>
      </c>
      <c r="M2100" s="26" t="str">
        <f t="shared" si="345"/>
        <v>PARTICULAR</v>
      </c>
      <c r="N2100" s="26">
        <v>311</v>
      </c>
      <c r="O2100" s="26">
        <v>161</v>
      </c>
      <c r="P2100" s="26">
        <v>150</v>
      </c>
      <c r="Q2100" s="26">
        <v>12</v>
      </c>
      <c r="R2100" s="26">
        <v>1</v>
      </c>
      <c r="S2100" s="26">
        <v>7</v>
      </c>
      <c r="T2100" s="26">
        <v>20</v>
      </c>
      <c r="U2100" s="26">
        <v>28</v>
      </c>
      <c r="V2100" s="26">
        <v>1</v>
      </c>
      <c r="W2100" s="26"/>
    </row>
    <row r="2101" spans="1:23" x14ac:dyDescent="0.25">
      <c r="A2101" s="26" t="str">
        <f t="shared" si="341"/>
        <v>PRIMARIA</v>
      </c>
      <c r="B2101" s="26" t="str">
        <f>"09PPR0068Z"</f>
        <v>09PPR0068Z</v>
      </c>
      <c r="C2101" s="26" t="str">
        <f>"COLEGIO BRITANICO                                                                                   "</f>
        <v xml:space="preserve">COLEGIO BRITANICO                                                                                   </v>
      </c>
      <c r="D2101" s="26" t="str">
        <f t="shared" si="344"/>
        <v>MATUTINO</v>
      </c>
      <c r="E2101" s="26" t="str">
        <f>"ALABAMA NUM 224                                                                 "</f>
        <v xml:space="preserve">ALABAMA NUM 224                                                                 </v>
      </c>
      <c r="F2101" s="26" t="str">
        <f>"NAPOLES                                                                                                                                     "</f>
        <v xml:space="preserve">NAPOLES                                                                                                                                     </v>
      </c>
      <c r="G2101" s="26" t="str">
        <f>"BENITO JUAREZ                                                                   "</f>
        <v xml:space="preserve">BENITO JUAREZ                                                                   </v>
      </c>
      <c r="H2101" s="26" t="str">
        <f>"339"</f>
        <v>339</v>
      </c>
      <c r="I2101" s="26" t="str">
        <f t="shared" si="342"/>
        <v>00</v>
      </c>
      <c r="J2101" s="26" t="str">
        <f t="shared" si="350"/>
        <v xml:space="preserve">43 </v>
      </c>
      <c r="K2101" s="26" t="str">
        <f t="shared" si="351"/>
        <v>PR</v>
      </c>
      <c r="L2101" s="26" t="str">
        <f t="shared" si="352"/>
        <v>DGOSE</v>
      </c>
      <c r="M2101" s="26" t="str">
        <f t="shared" si="345"/>
        <v>PARTICULAR</v>
      </c>
      <c r="N2101" s="26">
        <v>510</v>
      </c>
      <c r="O2101" s="26">
        <v>248</v>
      </c>
      <c r="P2101" s="26">
        <v>262</v>
      </c>
      <c r="Q2101" s="26">
        <v>21</v>
      </c>
      <c r="R2101" s="26">
        <v>1</v>
      </c>
      <c r="S2101" s="26">
        <v>13</v>
      </c>
      <c r="T2101" s="26">
        <v>23</v>
      </c>
      <c r="U2101" s="26">
        <v>37</v>
      </c>
      <c r="V2101" s="26">
        <v>1</v>
      </c>
      <c r="W2101" s="26"/>
    </row>
    <row r="2102" spans="1:23" x14ac:dyDescent="0.25">
      <c r="A2102" s="26" t="str">
        <f t="shared" si="341"/>
        <v>PRIMARIA</v>
      </c>
      <c r="B2102" s="26" t="str">
        <f>"09PPR0069Z"</f>
        <v>09PPR0069Z</v>
      </c>
      <c r="C2102" s="26" t="str">
        <f>"MOTOLINIA                                                                                           "</f>
        <v xml:space="preserve">MOTOLINIA                                                                                           </v>
      </c>
      <c r="D2102" s="26" t="str">
        <f t="shared" si="344"/>
        <v>MATUTINO</v>
      </c>
      <c r="E2102" s="26" t="str">
        <f>"MAGDALENA 622                                                                   "</f>
        <v xml:space="preserve">MAGDALENA 622                                                                   </v>
      </c>
      <c r="F2102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2102" s="26" t="str">
        <f>"BENITO JUAREZ                                                                   "</f>
        <v xml:space="preserve">BENITO JUAREZ                                                                   </v>
      </c>
      <c r="H2102" s="26" t="str">
        <f>"339"</f>
        <v>339</v>
      </c>
      <c r="I2102" s="26" t="str">
        <f t="shared" si="342"/>
        <v>00</v>
      </c>
      <c r="J2102" s="26" t="str">
        <f t="shared" si="350"/>
        <v xml:space="preserve">43 </v>
      </c>
      <c r="K2102" s="26" t="str">
        <f t="shared" si="351"/>
        <v>PR</v>
      </c>
      <c r="L2102" s="26" t="str">
        <f t="shared" si="352"/>
        <v>DGOSE</v>
      </c>
      <c r="M2102" s="26" t="str">
        <f t="shared" si="345"/>
        <v>PARTICULAR</v>
      </c>
      <c r="N2102" s="26">
        <v>308</v>
      </c>
      <c r="O2102" s="26">
        <v>117</v>
      </c>
      <c r="P2102" s="26">
        <v>191</v>
      </c>
      <c r="Q2102" s="26">
        <v>12</v>
      </c>
      <c r="R2102" s="26">
        <v>1</v>
      </c>
      <c r="S2102" s="26">
        <v>6</v>
      </c>
      <c r="T2102" s="26">
        <v>15</v>
      </c>
      <c r="U2102" s="26">
        <v>22</v>
      </c>
      <c r="V2102" s="26">
        <v>1</v>
      </c>
      <c r="W2102" s="26"/>
    </row>
    <row r="2103" spans="1:23" x14ac:dyDescent="0.25">
      <c r="A2103" s="26" t="str">
        <f t="shared" si="341"/>
        <v>PRIMARIA</v>
      </c>
      <c r="B2103" s="26" t="str">
        <f>"09PPR0070O"</f>
        <v>09PPR0070O</v>
      </c>
      <c r="C2103" s="26" t="str">
        <f>"BERNARDO DE BALBUENA                                                                                "</f>
        <v xml:space="preserve">BERNARDO DE BALBUENA                                                                                </v>
      </c>
      <c r="D2103" s="26" t="str">
        <f t="shared" si="344"/>
        <v>MATUTINO</v>
      </c>
      <c r="E2103" s="26" t="str">
        <f>"RET 45 NO 74 CECILIO ROBELO                                                     "</f>
        <v xml:space="preserve">RET 45 NO 74 CECILIO ROBELO                                                     </v>
      </c>
      <c r="F2103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2103" s="26" t="str">
        <f>"VENUSTIANO CARRANZA                                                             "</f>
        <v xml:space="preserve">VENUSTIANO CARRANZA                                                             </v>
      </c>
      <c r="H2103" s="26" t="str">
        <f>"349"</f>
        <v>349</v>
      </c>
      <c r="I2103" s="26" t="str">
        <f t="shared" si="342"/>
        <v>00</v>
      </c>
      <c r="J2103" s="26" t="str">
        <f t="shared" si="350"/>
        <v xml:space="preserve">43 </v>
      </c>
      <c r="K2103" s="26" t="str">
        <f t="shared" si="351"/>
        <v>PR</v>
      </c>
      <c r="L2103" s="26" t="str">
        <f t="shared" si="352"/>
        <v>DGOSE</v>
      </c>
      <c r="M2103" s="26" t="str">
        <f t="shared" si="345"/>
        <v>PARTICULAR</v>
      </c>
      <c r="N2103" s="26">
        <v>108</v>
      </c>
      <c r="O2103" s="26">
        <v>62</v>
      </c>
      <c r="P2103" s="26">
        <v>46</v>
      </c>
      <c r="Q2103" s="26">
        <v>7</v>
      </c>
      <c r="R2103" s="26">
        <v>1</v>
      </c>
      <c r="S2103" s="26">
        <v>7</v>
      </c>
      <c r="T2103" s="26">
        <v>12</v>
      </c>
      <c r="U2103" s="26">
        <v>20</v>
      </c>
      <c r="V2103" s="26">
        <v>1</v>
      </c>
      <c r="W2103" s="26"/>
    </row>
    <row r="2104" spans="1:23" x14ac:dyDescent="0.25">
      <c r="A2104" s="26" t="str">
        <f t="shared" si="341"/>
        <v>PRIMARIA</v>
      </c>
      <c r="B2104" s="26" t="str">
        <f>"09PPR0071N"</f>
        <v>09PPR0071N</v>
      </c>
      <c r="C2104" s="26" t="str">
        <f>"ING. ARMANDO I. SANTACRUZ                                                                           "</f>
        <v xml:space="preserve">ING. ARMANDO I. SANTACRUZ                                                                           </v>
      </c>
      <c r="D2104" s="26" t="str">
        <f t="shared" si="344"/>
        <v>MATUTINO</v>
      </c>
      <c r="E2104" s="26" t="str">
        <f>"ORIENTE NO 35-19                                                                "</f>
        <v xml:space="preserve">ORIENTE NO 35-19                                                                </v>
      </c>
      <c r="F2104" s="26" t="str">
        <f>"MOCTEZUMA 2A SECCION                                                                                                                        "</f>
        <v xml:space="preserve">MOCTEZUMA 2A SECCION                                                                                                                        </v>
      </c>
      <c r="G2104" s="26" t="str">
        <f>"VENUSTIANO CARRANZA                                                             "</f>
        <v xml:space="preserve">VENUSTIANO CARRANZA                                                             </v>
      </c>
      <c r="H2104" s="26" t="str">
        <f>"346"</f>
        <v>346</v>
      </c>
      <c r="I2104" s="26" t="str">
        <f t="shared" si="342"/>
        <v>00</v>
      </c>
      <c r="J2104" s="26" t="str">
        <f t="shared" si="350"/>
        <v xml:space="preserve">43 </v>
      </c>
      <c r="K2104" s="26" t="str">
        <f t="shared" si="351"/>
        <v>PR</v>
      </c>
      <c r="L2104" s="26" t="str">
        <f t="shared" si="352"/>
        <v>DGOSE</v>
      </c>
      <c r="M2104" s="26" t="str">
        <f t="shared" si="345"/>
        <v>PARTICULAR</v>
      </c>
      <c r="N2104" s="26">
        <v>241</v>
      </c>
      <c r="O2104" s="26">
        <v>127</v>
      </c>
      <c r="P2104" s="26">
        <v>114</v>
      </c>
      <c r="Q2104" s="26">
        <v>12</v>
      </c>
      <c r="R2104" s="26">
        <v>1</v>
      </c>
      <c r="S2104" s="26">
        <v>12</v>
      </c>
      <c r="T2104" s="26">
        <v>11</v>
      </c>
      <c r="U2104" s="26">
        <v>24</v>
      </c>
      <c r="V2104" s="26">
        <v>1</v>
      </c>
      <c r="W2104" s="26"/>
    </row>
    <row r="2105" spans="1:23" x14ac:dyDescent="0.25">
      <c r="A2105" s="26" t="str">
        <f t="shared" si="341"/>
        <v>PRIMARIA</v>
      </c>
      <c r="B2105" s="26" t="str">
        <f>"09PPR0072M"</f>
        <v>09PPR0072M</v>
      </c>
      <c r="C2105" s="26" t="str">
        <f>"XICOTENCATL                                                                                         "</f>
        <v xml:space="preserve">XICOTENCATL                                                                                         </v>
      </c>
      <c r="D2105" s="26" t="str">
        <f t="shared" si="344"/>
        <v>MATUTINO</v>
      </c>
      <c r="E2105" s="26" t="str">
        <f>"OTE. 257 NO. 176                                                                "</f>
        <v xml:space="preserve">OTE. 257 NO. 176                                                                </v>
      </c>
      <c r="F2105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2105" s="26" t="str">
        <f>"IZTACALCO                                                                       "</f>
        <v xml:space="preserve">IZTACALCO                                                                       </v>
      </c>
      <c r="H2105" s="26" t="str">
        <f>"356"</f>
        <v>356</v>
      </c>
      <c r="I2105" s="26" t="str">
        <f t="shared" si="342"/>
        <v>00</v>
      </c>
      <c r="J2105" s="26" t="str">
        <f t="shared" si="350"/>
        <v xml:space="preserve">43 </v>
      </c>
      <c r="K2105" s="26" t="str">
        <f t="shared" si="351"/>
        <v>PR</v>
      </c>
      <c r="L2105" s="26" t="str">
        <f t="shared" si="352"/>
        <v>DGOSE</v>
      </c>
      <c r="M2105" s="26" t="str">
        <f t="shared" si="345"/>
        <v>PARTICULAR</v>
      </c>
      <c r="N2105" s="26">
        <v>36</v>
      </c>
      <c r="O2105" s="26">
        <v>16</v>
      </c>
      <c r="P2105" s="26">
        <v>20</v>
      </c>
      <c r="Q2105" s="26">
        <v>6</v>
      </c>
      <c r="R2105" s="26">
        <v>1</v>
      </c>
      <c r="S2105" s="26">
        <v>6</v>
      </c>
      <c r="T2105" s="26">
        <v>8</v>
      </c>
      <c r="U2105" s="26">
        <v>15</v>
      </c>
      <c r="V2105" s="26">
        <v>1</v>
      </c>
      <c r="W2105" s="26"/>
    </row>
    <row r="2106" spans="1:23" x14ac:dyDescent="0.25">
      <c r="A2106" s="26" t="str">
        <f t="shared" si="341"/>
        <v>PRIMARIA</v>
      </c>
      <c r="B2106" s="26" t="str">
        <f>"09PPR0073L"</f>
        <v>09PPR0073L</v>
      </c>
      <c r="C2106" s="26" t="str">
        <f>"ESCUELA MODERNA AMERICANA                                                                           "</f>
        <v xml:space="preserve">ESCUELA MODERNA AMERICANA                                                                           </v>
      </c>
      <c r="D2106" s="26" t="str">
        <f t="shared" si="344"/>
        <v>MATUTINO</v>
      </c>
      <c r="E2106" s="26" t="str">
        <f>"CERRO DEL HOMBRE NUM 18                                                         "</f>
        <v xml:space="preserve">CERRO DEL HOMBRE NUM 18                                                         </v>
      </c>
      <c r="F2106" s="26" t="str">
        <f>"ROMERO DE TERREROS FRACCIONAMIENTO                                                                                                          "</f>
        <v xml:space="preserve">ROMERO DE TERREROS FRACCIONAMIENTO                                                                                                          </v>
      </c>
      <c r="G2106" s="26" t="str">
        <f>"COYOACAN                                                                        "</f>
        <v xml:space="preserve">COYOACAN                                                                        </v>
      </c>
      <c r="H2106" s="26" t="str">
        <f>"501"</f>
        <v>501</v>
      </c>
      <c r="I2106" s="26" t="str">
        <f t="shared" si="342"/>
        <v>00</v>
      </c>
      <c r="J2106" s="26" t="str">
        <f>"45 "</f>
        <v xml:space="preserve">45 </v>
      </c>
      <c r="K2106" s="26" t="str">
        <f t="shared" si="351"/>
        <v>PR</v>
      </c>
      <c r="L2106" s="26" t="str">
        <f t="shared" si="352"/>
        <v>DGOSE</v>
      </c>
      <c r="M2106" s="26" t="str">
        <f t="shared" si="345"/>
        <v>PARTICULAR</v>
      </c>
      <c r="N2106" s="26">
        <v>942</v>
      </c>
      <c r="O2106" s="26">
        <v>469</v>
      </c>
      <c r="P2106" s="26">
        <v>473</v>
      </c>
      <c r="Q2106" s="26">
        <v>29</v>
      </c>
      <c r="R2106" s="26">
        <v>1</v>
      </c>
      <c r="S2106" s="26">
        <v>16</v>
      </c>
      <c r="T2106" s="26">
        <v>47</v>
      </c>
      <c r="U2106" s="26">
        <v>64</v>
      </c>
      <c r="V2106" s="26">
        <v>1</v>
      </c>
      <c r="W2106" s="26"/>
    </row>
    <row r="2107" spans="1:23" x14ac:dyDescent="0.25">
      <c r="A2107" s="26" t="str">
        <f t="shared" si="341"/>
        <v>PRIMARIA</v>
      </c>
      <c r="B2107" s="26" t="str">
        <f>"09PPR0075J"</f>
        <v>09PPR0075J</v>
      </c>
      <c r="C2107" s="26" t="str">
        <f>"SEBASTIAN DE APARICIO                                                                               "</f>
        <v xml:space="preserve">SEBASTIAN DE APARICIO                                                                               </v>
      </c>
      <c r="D2107" s="26" t="str">
        <f t="shared" si="344"/>
        <v>MATUTINO</v>
      </c>
      <c r="E2107" s="26" t="str">
        <f>"PABLO VERONES 112                                                               "</f>
        <v xml:space="preserve">PABLO VERONES 112                                                               </v>
      </c>
      <c r="F2107" s="26" t="str">
        <f>"ALFONSO XIII                                                                                                                                "</f>
        <v xml:space="preserve">ALFONSO XIII                                                                                                                                </v>
      </c>
      <c r="G2107" s="26" t="str">
        <f>"ALVARO OBREGON                                                                  "</f>
        <v xml:space="preserve">ALVARO OBREGON                                                                  </v>
      </c>
      <c r="H2107" s="26" t="str">
        <f>"313"</f>
        <v>313</v>
      </c>
      <c r="I2107" s="26" t="str">
        <f t="shared" si="342"/>
        <v>00</v>
      </c>
      <c r="J2107" s="26" t="str">
        <f>"43 "</f>
        <v xml:space="preserve">43 </v>
      </c>
      <c r="K2107" s="26" t="str">
        <f t="shared" si="351"/>
        <v>PR</v>
      </c>
      <c r="L2107" s="26" t="str">
        <f t="shared" si="352"/>
        <v>DGOSE</v>
      </c>
      <c r="M2107" s="26" t="str">
        <f t="shared" si="345"/>
        <v>PARTICULAR</v>
      </c>
      <c r="N2107" s="26">
        <v>213</v>
      </c>
      <c r="O2107" s="26">
        <v>96</v>
      </c>
      <c r="P2107" s="26">
        <v>117</v>
      </c>
      <c r="Q2107" s="26">
        <v>10</v>
      </c>
      <c r="R2107" s="26">
        <v>1</v>
      </c>
      <c r="S2107" s="26">
        <v>10</v>
      </c>
      <c r="T2107" s="26">
        <v>11</v>
      </c>
      <c r="U2107" s="26">
        <v>22</v>
      </c>
      <c r="V2107" s="26">
        <v>1</v>
      </c>
      <c r="W2107" s="26"/>
    </row>
    <row r="2108" spans="1:23" x14ac:dyDescent="0.25">
      <c r="A2108" s="26" t="str">
        <f t="shared" si="341"/>
        <v>PRIMARIA</v>
      </c>
      <c r="B2108" s="26" t="str">
        <f>"09PPR0076I"</f>
        <v>09PPR0076I</v>
      </c>
      <c r="C2108" s="26" t="str">
        <f>"SIMON BOLIVAR                                                                                       "</f>
        <v xml:space="preserve">SIMON BOLIVAR                                                                                       </v>
      </c>
      <c r="D2108" s="26" t="str">
        <f t="shared" si="344"/>
        <v>MATUTINO</v>
      </c>
      <c r="E2108" s="26" t="str">
        <f>"GALICIA 8                                                                       "</f>
        <v xml:space="preserve">GALICIA 8                                                                       </v>
      </c>
      <c r="F2108" s="26" t="str">
        <f>"INSURGENTES MIXCOAC                                                                                                                         "</f>
        <v xml:space="preserve">INSURGENTES MIXCOAC                                                                                                                         </v>
      </c>
      <c r="G2108" s="26" t="str">
        <f>"BENITO JUAREZ                                                                   "</f>
        <v xml:space="preserve">BENITO JUAREZ                                                                   </v>
      </c>
      <c r="H2108" s="26" t="str">
        <f>"000"</f>
        <v>000</v>
      </c>
      <c r="I2108" s="26" t="str">
        <f t="shared" si="342"/>
        <v>00</v>
      </c>
      <c r="J2108" s="26" t="str">
        <f>"43 "</f>
        <v xml:space="preserve">43 </v>
      </c>
      <c r="K2108" s="26" t="str">
        <f t="shared" si="351"/>
        <v>PR</v>
      </c>
      <c r="L2108" s="26" t="str">
        <f t="shared" si="352"/>
        <v>DGOSE</v>
      </c>
      <c r="M2108" s="26" t="str">
        <f t="shared" si="345"/>
        <v>PARTICULAR</v>
      </c>
      <c r="N2108" s="26">
        <v>904</v>
      </c>
      <c r="O2108" s="26">
        <v>448</v>
      </c>
      <c r="P2108" s="26">
        <v>456</v>
      </c>
      <c r="Q2108" s="26">
        <v>24</v>
      </c>
      <c r="R2108" s="26">
        <v>1</v>
      </c>
      <c r="S2108" s="26">
        <v>24</v>
      </c>
      <c r="T2108" s="26">
        <v>34</v>
      </c>
      <c r="U2108" s="26">
        <v>59</v>
      </c>
      <c r="V2108" s="26">
        <v>1</v>
      </c>
      <c r="W2108" s="26"/>
    </row>
    <row r="2109" spans="1:23" x14ac:dyDescent="0.25">
      <c r="A2109" s="26" t="str">
        <f t="shared" si="341"/>
        <v>PRIMARIA</v>
      </c>
      <c r="B2109" s="26" t="str">
        <f>"09PPR0077H"</f>
        <v>09PPR0077H</v>
      </c>
      <c r="C2109" s="26" t="str">
        <f>"SALVADOR GARCIDUEÑAS                                                                                "</f>
        <v xml:space="preserve">SALVADOR GARCIDUEÑAS                                                                                </v>
      </c>
      <c r="D2109" s="26" t="str">
        <f t="shared" si="344"/>
        <v>MATUTINO</v>
      </c>
      <c r="E2109" s="26" t="str">
        <f>"PUEBLA NO 55 LOTE 1                                                             "</f>
        <v xml:space="preserve">PUEBLA NO 55 LOTE 1                                                             </v>
      </c>
      <c r="F2109" s="26" t="str">
        <f>"PEÑON DE LOS BAÑOS                                                                                                                          "</f>
        <v xml:space="preserve">PEÑON DE LOS BAÑOS                                                                                                                          </v>
      </c>
      <c r="G2109" s="26" t="str">
        <f>"VENUSTIANO CARRANZA                                                             "</f>
        <v xml:space="preserve">VENUSTIANO CARRANZA                                                             </v>
      </c>
      <c r="H2109" s="26" t="str">
        <f>"345"</f>
        <v>345</v>
      </c>
      <c r="I2109" s="26" t="str">
        <f t="shared" si="342"/>
        <v>00</v>
      </c>
      <c r="J2109" s="26" t="str">
        <f>"43 "</f>
        <v xml:space="preserve">43 </v>
      </c>
      <c r="K2109" s="26" t="str">
        <f t="shared" si="351"/>
        <v>PR</v>
      </c>
      <c r="L2109" s="26" t="str">
        <f t="shared" si="352"/>
        <v>DGOSE</v>
      </c>
      <c r="M2109" s="26" t="str">
        <f t="shared" si="345"/>
        <v>PARTICULAR</v>
      </c>
      <c r="N2109" s="26">
        <v>29</v>
      </c>
      <c r="O2109" s="26">
        <v>19</v>
      </c>
      <c r="P2109" s="26">
        <v>10</v>
      </c>
      <c r="Q2109" s="26">
        <v>6</v>
      </c>
      <c r="R2109" s="26">
        <v>1</v>
      </c>
      <c r="S2109" s="26">
        <v>5</v>
      </c>
      <c r="T2109" s="26">
        <v>3</v>
      </c>
      <c r="U2109" s="26">
        <v>9</v>
      </c>
      <c r="V2109" s="26">
        <v>1</v>
      </c>
      <c r="W2109" s="26"/>
    </row>
    <row r="2110" spans="1:23" x14ac:dyDescent="0.25">
      <c r="A2110" s="26" t="str">
        <f t="shared" si="341"/>
        <v>PRIMARIA</v>
      </c>
      <c r="B2110" s="26" t="str">
        <f>"09PPR0078G"</f>
        <v>09PPR0078G</v>
      </c>
      <c r="C2110" s="26" t="str">
        <f>"PORTUGAL                                                                                            "</f>
        <v xml:space="preserve">PORTUGAL                                                                                            </v>
      </c>
      <c r="D2110" s="26" t="str">
        <f t="shared" si="344"/>
        <v>MATUTINO</v>
      </c>
      <c r="E2110" s="26" t="str">
        <f>"UNIVERSIDAD NACIONAL 1                                                          "</f>
        <v xml:space="preserve">UNIVERSIDAD NACIONAL 1                                                          </v>
      </c>
      <c r="F2110" s="26" t="str">
        <f>"FEDERAL                                                                                                                                     "</f>
        <v xml:space="preserve">FEDERAL                                                                                                                                     </v>
      </c>
      <c r="G2110" s="26" t="str">
        <f>"VENUSTIANO CARRANZA                                                             "</f>
        <v xml:space="preserve">VENUSTIANO CARRANZA                                                             </v>
      </c>
      <c r="H2110" s="26" t="str">
        <f>"350"</f>
        <v>350</v>
      </c>
      <c r="I2110" s="26" t="str">
        <f t="shared" si="342"/>
        <v>00</v>
      </c>
      <c r="J2110" s="26" t="str">
        <f>"43 "</f>
        <v xml:space="preserve">43 </v>
      </c>
      <c r="K2110" s="26" t="str">
        <f t="shared" si="351"/>
        <v>PR</v>
      </c>
      <c r="L2110" s="26" t="str">
        <f t="shared" si="352"/>
        <v>DGOSE</v>
      </c>
      <c r="M2110" s="26" t="str">
        <f t="shared" si="345"/>
        <v>PARTICULAR</v>
      </c>
      <c r="N2110" s="26">
        <v>111</v>
      </c>
      <c r="O2110" s="26">
        <v>64</v>
      </c>
      <c r="P2110" s="26">
        <v>47</v>
      </c>
      <c r="Q2110" s="26">
        <v>6</v>
      </c>
      <c r="R2110" s="26">
        <v>1</v>
      </c>
      <c r="S2110" s="26">
        <v>6</v>
      </c>
      <c r="T2110" s="26">
        <v>6</v>
      </c>
      <c r="U2110" s="26">
        <v>13</v>
      </c>
      <c r="V2110" s="26">
        <v>1</v>
      </c>
      <c r="W2110" s="26"/>
    </row>
    <row r="2111" spans="1:23" x14ac:dyDescent="0.25">
      <c r="A2111" s="26" t="str">
        <f t="shared" si="341"/>
        <v>PRIMARIA</v>
      </c>
      <c r="B2111" s="26" t="str">
        <f>"09PPR0081U"</f>
        <v>09PPR0081U</v>
      </c>
      <c r="C2111" s="26" t="str">
        <f>"LUZ MARIA                                                                                           "</f>
        <v xml:space="preserve">LUZ MARIA                                                                                           </v>
      </c>
      <c r="D2111" s="26" t="str">
        <f t="shared" si="344"/>
        <v>MATUTINO</v>
      </c>
      <c r="E2111" s="26" t="str">
        <f>"NORTE 17 NO 159                                                                 "</f>
        <v xml:space="preserve">NORTE 17 NO 159                                                                 </v>
      </c>
      <c r="F2111" s="26" t="str">
        <f>"MOCTEZUMA 2A SECCION                                                                                                                        "</f>
        <v xml:space="preserve">MOCTEZUMA 2A SECCION                                                                                                                        </v>
      </c>
      <c r="G2111" s="26" t="str">
        <f>"VENUSTIANO CARRANZA                                                             "</f>
        <v xml:space="preserve">VENUSTIANO CARRANZA                                                             </v>
      </c>
      <c r="H2111" s="26" t="str">
        <f>"349"</f>
        <v>349</v>
      </c>
      <c r="I2111" s="26" t="str">
        <f t="shared" si="342"/>
        <v>00</v>
      </c>
      <c r="J2111" s="26" t="str">
        <f>"43 "</f>
        <v xml:space="preserve">43 </v>
      </c>
      <c r="K2111" s="26" t="str">
        <f t="shared" si="351"/>
        <v>PR</v>
      </c>
      <c r="L2111" s="26" t="str">
        <f t="shared" si="352"/>
        <v>DGOSE</v>
      </c>
      <c r="M2111" s="26" t="str">
        <f t="shared" si="345"/>
        <v>PARTICULAR</v>
      </c>
      <c r="N2111" s="26">
        <v>89</v>
      </c>
      <c r="O2111" s="26">
        <v>43</v>
      </c>
      <c r="P2111" s="26">
        <v>46</v>
      </c>
      <c r="Q2111" s="26">
        <v>6</v>
      </c>
      <c r="R2111" s="26">
        <v>1</v>
      </c>
      <c r="S2111" s="26">
        <v>6</v>
      </c>
      <c r="T2111" s="26">
        <v>10</v>
      </c>
      <c r="U2111" s="26">
        <v>17</v>
      </c>
      <c r="V2111" s="26">
        <v>1</v>
      </c>
      <c r="W2111" s="26"/>
    </row>
    <row r="2112" spans="1:23" x14ac:dyDescent="0.25">
      <c r="A2112" s="26" t="str">
        <f t="shared" si="341"/>
        <v>PRIMARIA</v>
      </c>
      <c r="B2112" s="26" t="str">
        <f>"09PPR0082T"</f>
        <v>09PPR0082T</v>
      </c>
      <c r="C2112" s="26" t="str">
        <f>"CUMBRES                                                                                             "</f>
        <v xml:space="preserve">CUMBRES                                                                                             </v>
      </c>
      <c r="D2112" s="26" t="str">
        <f t="shared" si="344"/>
        <v>MATUTINO</v>
      </c>
      <c r="E2112" s="26" t="str">
        <f>"ROSEDAL # 50                                                                    "</f>
        <v xml:space="preserve">ROSEDAL # 50                                                                    </v>
      </c>
      <c r="F2112" s="26" t="str">
        <f>"LOMAS DE CHAPULTEPEC                                                                                                                        "</f>
        <v xml:space="preserve">LOMAS DE CHAPULTEPEC                                                                                                                        </v>
      </c>
      <c r="G2112" s="26" t="str">
        <f>"MIGUEL HIDALGO                                                                  "</f>
        <v xml:space="preserve">MIGUEL HIDALGO                                                                  </v>
      </c>
      <c r="H2112" s="26" t="str">
        <f>"209"</f>
        <v>209</v>
      </c>
      <c r="I2112" s="26" t="str">
        <f t="shared" si="342"/>
        <v>00</v>
      </c>
      <c r="J2112" s="26" t="str">
        <f>"42 "</f>
        <v xml:space="preserve">42 </v>
      </c>
      <c r="K2112" s="26" t="str">
        <f t="shared" si="351"/>
        <v>PR</v>
      </c>
      <c r="L2112" s="26" t="str">
        <f t="shared" si="352"/>
        <v>DGOSE</v>
      </c>
      <c r="M2112" s="26" t="str">
        <f t="shared" si="345"/>
        <v>PARTICULAR</v>
      </c>
      <c r="N2112" s="26">
        <v>238</v>
      </c>
      <c r="O2112" s="26">
        <v>238</v>
      </c>
      <c r="P2112" s="26">
        <v>0</v>
      </c>
      <c r="Q2112" s="26">
        <v>12</v>
      </c>
      <c r="R2112" s="26">
        <v>0</v>
      </c>
      <c r="S2112" s="26">
        <v>8</v>
      </c>
      <c r="T2112" s="26">
        <v>10</v>
      </c>
      <c r="U2112" s="26">
        <v>18</v>
      </c>
      <c r="V2112" s="26">
        <v>1</v>
      </c>
      <c r="W2112" s="26"/>
    </row>
    <row r="2113" spans="1:23" x14ac:dyDescent="0.25">
      <c r="A2113" s="26" t="str">
        <f t="shared" si="341"/>
        <v>PRIMARIA</v>
      </c>
      <c r="B2113" s="26" t="str">
        <f>"09PPR0083S"</f>
        <v>09PPR0083S</v>
      </c>
      <c r="C2113" s="26" t="str">
        <f>"JARDIN DE GUERRERO                                                                                  "</f>
        <v xml:space="preserve">JARDIN DE GUERRERO                                                                                  </v>
      </c>
      <c r="D2113" s="26" t="str">
        <f t="shared" si="344"/>
        <v>MATUTINO</v>
      </c>
      <c r="E2113" s="26" t="str">
        <f>"RET 9 DE GENARO GARCIA NO 24                                                    "</f>
        <v xml:space="preserve">RET 9 DE GENARO GARCIA NO 24                                                    </v>
      </c>
      <c r="F2113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2113" s="26" t="str">
        <f>"VENUSTIANO CARRANZA                                                             "</f>
        <v xml:space="preserve">VENUSTIANO CARRANZA                                                             </v>
      </c>
      <c r="H2113" s="26" t="str">
        <f>"347"</f>
        <v>347</v>
      </c>
      <c r="I2113" s="26" t="str">
        <f t="shared" si="342"/>
        <v>00</v>
      </c>
      <c r="J2113" s="26" t="str">
        <f>"43 "</f>
        <v xml:space="preserve">43 </v>
      </c>
      <c r="K2113" s="26" t="str">
        <f t="shared" si="351"/>
        <v>PR</v>
      </c>
      <c r="L2113" s="26" t="str">
        <f t="shared" si="352"/>
        <v>DGOSE</v>
      </c>
      <c r="M2113" s="26" t="str">
        <f t="shared" si="345"/>
        <v>PARTICULAR</v>
      </c>
      <c r="N2113" s="26">
        <v>98</v>
      </c>
      <c r="O2113" s="26">
        <v>50</v>
      </c>
      <c r="P2113" s="26">
        <v>48</v>
      </c>
      <c r="Q2113" s="26">
        <v>6</v>
      </c>
      <c r="R2113" s="26">
        <v>1</v>
      </c>
      <c r="S2113" s="26">
        <v>6</v>
      </c>
      <c r="T2113" s="26">
        <v>14</v>
      </c>
      <c r="U2113" s="26">
        <v>21</v>
      </c>
      <c r="V2113" s="26">
        <v>1</v>
      </c>
      <c r="W2113" s="26"/>
    </row>
    <row r="2114" spans="1:23" x14ac:dyDescent="0.25">
      <c r="A2114" s="26" t="str">
        <f t="shared" ref="A2114:A2177" si="353">"PRIMARIA"</f>
        <v>PRIMARIA</v>
      </c>
      <c r="B2114" s="26" t="str">
        <f>"09PPR0084R"</f>
        <v>09PPR0084R</v>
      </c>
      <c r="C2114" s="26" t="str">
        <f>"RENACIMIENTO                                                                                        "</f>
        <v xml:space="preserve">RENACIMIENTO                                                                                        </v>
      </c>
      <c r="D2114" s="26" t="str">
        <f t="shared" si="344"/>
        <v>MATUTINO</v>
      </c>
      <c r="E2114" s="26" t="str">
        <f>"ORIENTE 170 NO 340                                                              "</f>
        <v xml:space="preserve">ORIENTE 170 NO 340                                                              </v>
      </c>
      <c r="F2114" s="26" t="str">
        <f>"MOCTEZUMA 2A SECCION                                                                                                                        "</f>
        <v xml:space="preserve">MOCTEZUMA 2A SECCION                                                                                                                        </v>
      </c>
      <c r="G2114" s="26" t="str">
        <f>"VENUSTIANO CARRANZA                                                             "</f>
        <v xml:space="preserve">VENUSTIANO CARRANZA                                                             </v>
      </c>
      <c r="H2114" s="26" t="str">
        <f>"346"</f>
        <v>346</v>
      </c>
      <c r="I2114" s="26" t="str">
        <f t="shared" ref="I2114:I2177" si="354">"00"</f>
        <v>00</v>
      </c>
      <c r="J2114" s="26" t="str">
        <f>"43 "</f>
        <v xml:space="preserve">43 </v>
      </c>
      <c r="K2114" s="26" t="str">
        <f t="shared" si="351"/>
        <v>PR</v>
      </c>
      <c r="L2114" s="26" t="str">
        <f t="shared" si="352"/>
        <v>DGOSE</v>
      </c>
      <c r="M2114" s="26" t="str">
        <f t="shared" si="345"/>
        <v>PARTICULAR</v>
      </c>
      <c r="N2114" s="26">
        <v>82</v>
      </c>
      <c r="O2114" s="26">
        <v>42</v>
      </c>
      <c r="P2114" s="26">
        <v>40</v>
      </c>
      <c r="Q2114" s="26">
        <v>6</v>
      </c>
      <c r="R2114" s="26">
        <v>1</v>
      </c>
      <c r="S2114" s="26">
        <v>3</v>
      </c>
      <c r="T2114" s="26">
        <v>9</v>
      </c>
      <c r="U2114" s="26">
        <v>13</v>
      </c>
      <c r="V2114" s="26">
        <v>1</v>
      </c>
      <c r="W2114" s="26"/>
    </row>
    <row r="2115" spans="1:23" x14ac:dyDescent="0.25">
      <c r="A2115" s="26" t="str">
        <f t="shared" si="353"/>
        <v>PRIMARIA</v>
      </c>
      <c r="B2115" s="26" t="str">
        <f>"09PPR0087O"</f>
        <v>09PPR0087O</v>
      </c>
      <c r="C2115" s="26" t="str">
        <f>"EL PERIODISTA                                                                                       "</f>
        <v xml:space="preserve">EL PERIODISTA                                                                                       </v>
      </c>
      <c r="D2115" s="26" t="str">
        <f t="shared" si="344"/>
        <v>MATUTINO</v>
      </c>
      <c r="E2115" s="26" t="str">
        <f>"AV. INGENIEROS MILITARES 82                                                     "</f>
        <v xml:space="preserve">AV. INGENIEROS MILITARES 82                                                     </v>
      </c>
      <c r="F2115" s="26" t="str">
        <f>"PERIODISTA                                                                                                                                  "</f>
        <v xml:space="preserve">PERIODISTA                                                                                                                                  </v>
      </c>
      <c r="G2115" s="26" t="str">
        <f>"MIGUEL HIDALGO                                                                  "</f>
        <v xml:space="preserve">MIGUEL HIDALGO                                                                  </v>
      </c>
      <c r="H2115" s="26" t="str">
        <f>"208"</f>
        <v>208</v>
      </c>
      <c r="I2115" s="26" t="str">
        <f t="shared" si="354"/>
        <v>00</v>
      </c>
      <c r="J2115" s="26" t="str">
        <f>"42 "</f>
        <v xml:space="preserve">42 </v>
      </c>
      <c r="K2115" s="26" t="str">
        <f t="shared" si="351"/>
        <v>PR</v>
      </c>
      <c r="L2115" s="26" t="str">
        <f t="shared" si="352"/>
        <v>DGOSE</v>
      </c>
      <c r="M2115" s="26" t="str">
        <f t="shared" si="345"/>
        <v>PARTICULAR</v>
      </c>
      <c r="N2115" s="26">
        <v>56</v>
      </c>
      <c r="O2115" s="26">
        <v>29</v>
      </c>
      <c r="P2115" s="26">
        <v>27</v>
      </c>
      <c r="Q2115" s="26">
        <v>6</v>
      </c>
      <c r="R2115" s="26">
        <v>1</v>
      </c>
      <c r="S2115" s="26">
        <v>6</v>
      </c>
      <c r="T2115" s="26">
        <v>4</v>
      </c>
      <c r="U2115" s="26">
        <v>11</v>
      </c>
      <c r="V2115" s="26">
        <v>1</v>
      </c>
      <c r="W2115" s="26"/>
    </row>
    <row r="2116" spans="1:23" x14ac:dyDescent="0.25">
      <c r="A2116" s="26" t="str">
        <f t="shared" si="353"/>
        <v>PRIMARIA</v>
      </c>
      <c r="B2116" s="26" t="str">
        <f>"09PPR0089M"</f>
        <v>09PPR0089M</v>
      </c>
      <c r="C2116" s="26" t="str">
        <f>"COLEGIO VISTA HERMOSA                                                                               "</f>
        <v xml:space="preserve">COLEGIO VISTA HERMOSA                                                                               </v>
      </c>
      <c r="D2116" s="26" t="str">
        <f t="shared" si="344"/>
        <v>MATUTINO</v>
      </c>
      <c r="E2116" s="26" t="str">
        <f>"LOMA DE VISTA HERMOSA NUM 221                                                   "</f>
        <v xml:space="preserve">LOMA DE VISTA HERMOSA NUM 221                                                   </v>
      </c>
      <c r="F2116" s="26" t="str">
        <f>"LOMAS DE VISTA HERMOSA                                                                                                                      "</f>
        <v xml:space="preserve">LOMAS DE VISTA HERMOSA                                                                                                                      </v>
      </c>
      <c r="G2116" s="26" t="str">
        <f>"CUAJIMALPA DE MORELOS                                                           "</f>
        <v xml:space="preserve">CUAJIMALPA DE MORELOS                                                           </v>
      </c>
      <c r="H2116" s="26" t="str">
        <f>"300"</f>
        <v>300</v>
      </c>
      <c r="I2116" s="26" t="str">
        <f t="shared" si="354"/>
        <v>00</v>
      </c>
      <c r="J2116" s="26" t="str">
        <f>"43 "</f>
        <v xml:space="preserve">43 </v>
      </c>
      <c r="K2116" s="26" t="str">
        <f t="shared" si="351"/>
        <v>PR</v>
      </c>
      <c r="L2116" s="26" t="str">
        <f t="shared" si="352"/>
        <v>DGOSE</v>
      </c>
      <c r="M2116" s="26" t="str">
        <f t="shared" si="345"/>
        <v>PARTICULAR</v>
      </c>
      <c r="N2116" s="26">
        <v>957</v>
      </c>
      <c r="O2116" s="26">
        <v>528</v>
      </c>
      <c r="P2116" s="26">
        <v>429</v>
      </c>
      <c r="Q2116" s="26">
        <v>33</v>
      </c>
      <c r="R2116" s="26">
        <v>1</v>
      </c>
      <c r="S2116" s="26">
        <v>17</v>
      </c>
      <c r="T2116" s="26">
        <v>31</v>
      </c>
      <c r="U2116" s="26">
        <v>49</v>
      </c>
      <c r="V2116" s="26">
        <v>1</v>
      </c>
      <c r="W2116" s="26"/>
    </row>
    <row r="2117" spans="1:23" x14ac:dyDescent="0.25">
      <c r="A2117" s="26" t="str">
        <f t="shared" si="353"/>
        <v>PRIMARIA</v>
      </c>
      <c r="B2117" s="26" t="str">
        <f>"09PPR0091A"</f>
        <v>09PPR0091A</v>
      </c>
      <c r="C2117" s="26" t="s">
        <v>3974</v>
      </c>
      <c r="D2117" s="26" t="str">
        <f t="shared" si="344"/>
        <v>MATUTINO</v>
      </c>
      <c r="E2117" s="26" t="str">
        <f>"RUFINA NUM 40                                                                   "</f>
        <v xml:space="preserve">RUFINA NUM 40                                                                   </v>
      </c>
      <c r="F2117" s="26" t="str">
        <f>"TACUBAYA                                                                                                                                    "</f>
        <v xml:space="preserve">TACUBAYA                                                                                                                                    </v>
      </c>
      <c r="G2117" s="26" t="str">
        <f>"MIGUEL HIDALGO                                                                  "</f>
        <v xml:space="preserve">MIGUEL HIDALGO                                                                  </v>
      </c>
      <c r="H2117" s="26" t="str">
        <f>"211"</f>
        <v>211</v>
      </c>
      <c r="I2117" s="26" t="str">
        <f t="shared" si="354"/>
        <v>00</v>
      </c>
      <c r="J2117" s="26" t="str">
        <f>"42 "</f>
        <v xml:space="preserve">42 </v>
      </c>
      <c r="K2117" s="26" t="str">
        <f t="shared" si="351"/>
        <v>PR</v>
      </c>
      <c r="L2117" s="26" t="str">
        <f t="shared" si="352"/>
        <v>DGOSE</v>
      </c>
      <c r="M2117" s="26" t="str">
        <f t="shared" si="345"/>
        <v>PARTICULAR</v>
      </c>
      <c r="N2117" s="26">
        <v>282</v>
      </c>
      <c r="O2117" s="26">
        <v>156</v>
      </c>
      <c r="P2117" s="26">
        <v>126</v>
      </c>
      <c r="Q2117" s="26">
        <v>10</v>
      </c>
      <c r="R2117" s="26">
        <v>1</v>
      </c>
      <c r="S2117" s="26">
        <v>9</v>
      </c>
      <c r="T2117" s="26">
        <v>13</v>
      </c>
      <c r="U2117" s="26">
        <v>23</v>
      </c>
      <c r="V2117" s="26">
        <v>1</v>
      </c>
      <c r="W2117" s="26"/>
    </row>
    <row r="2118" spans="1:23" x14ac:dyDescent="0.25">
      <c r="A2118" s="26" t="str">
        <f t="shared" si="353"/>
        <v>PRIMARIA</v>
      </c>
      <c r="B2118" s="26" t="str">
        <f>"09PPR0093Z"</f>
        <v>09PPR0093Z</v>
      </c>
      <c r="C2118" s="26" t="str">
        <f>"SIERRA NEVADA                                                                                       "</f>
        <v xml:space="preserve">SIERRA NEVADA                                                                                       </v>
      </c>
      <c r="D2118" s="26" t="str">
        <f t="shared" si="344"/>
        <v>MATUTINO</v>
      </c>
      <c r="E2118" s="26" t="str">
        <f>"SIERRA MADRE # 155                                                              "</f>
        <v xml:space="preserve">SIERRA MADRE # 155                                                              </v>
      </c>
      <c r="F2118" s="26" t="str">
        <f>"LOMAS DE CHAPULTEPEC V                                                                                                                      "</f>
        <v xml:space="preserve">LOMAS DE CHAPULTEPEC V                                                                                                                      </v>
      </c>
      <c r="G2118" s="26" t="str">
        <f>"MIGUEL HIDALGO                                                                  "</f>
        <v xml:space="preserve">MIGUEL HIDALGO                                                                  </v>
      </c>
      <c r="H2118" s="26" t="str">
        <f>"209"</f>
        <v>209</v>
      </c>
      <c r="I2118" s="26" t="str">
        <f t="shared" si="354"/>
        <v>00</v>
      </c>
      <c r="J2118" s="26" t="str">
        <f>"42 "</f>
        <v xml:space="preserve">42 </v>
      </c>
      <c r="K2118" s="26" t="str">
        <f t="shared" si="351"/>
        <v>PR</v>
      </c>
      <c r="L2118" s="26" t="str">
        <f t="shared" si="352"/>
        <v>DGOSE</v>
      </c>
      <c r="M2118" s="26" t="str">
        <f t="shared" si="345"/>
        <v>PARTICULAR</v>
      </c>
      <c r="N2118" s="26">
        <v>277</v>
      </c>
      <c r="O2118" s="26">
        <v>134</v>
      </c>
      <c r="P2118" s="26">
        <v>143</v>
      </c>
      <c r="Q2118" s="26">
        <v>12</v>
      </c>
      <c r="R2118" s="26">
        <v>1</v>
      </c>
      <c r="S2118" s="26">
        <v>6</v>
      </c>
      <c r="T2118" s="26">
        <v>11</v>
      </c>
      <c r="U2118" s="26">
        <v>18</v>
      </c>
      <c r="V2118" s="26">
        <v>1</v>
      </c>
      <c r="W2118" s="26"/>
    </row>
    <row r="2119" spans="1:23" x14ac:dyDescent="0.25">
      <c r="A2119" s="26" t="str">
        <f t="shared" si="353"/>
        <v>PRIMARIA</v>
      </c>
      <c r="B2119" s="26" t="str">
        <f>"09PPR0094Y"</f>
        <v>09PPR0094Y</v>
      </c>
      <c r="C2119" s="26" t="str">
        <f>"COLEGIO PETERSON                                                                                    "</f>
        <v xml:space="preserve">COLEGIO PETERSON                                                                                    </v>
      </c>
      <c r="D2119" s="26" t="str">
        <f t="shared" si="344"/>
        <v>MATUTINO</v>
      </c>
      <c r="E2119" s="26" t="str">
        <f>"HUIZACHITO NO.80                                                                "</f>
        <v xml:space="preserve">HUIZACHITO NO.80                                                                </v>
      </c>
      <c r="F2119" s="26" t="str">
        <f>"LOMAS DE VISTA HERMOSA                                                                                                                      "</f>
        <v xml:space="preserve">LOMAS DE VISTA HERMOSA                                                                                                                      </v>
      </c>
      <c r="G2119" s="26" t="str">
        <f>"CUAJIMALPA DE MORELOS                                                           "</f>
        <v xml:space="preserve">CUAJIMALPA DE MORELOS                                                           </v>
      </c>
      <c r="H2119" s="26" t="str">
        <f>"301"</f>
        <v>301</v>
      </c>
      <c r="I2119" s="26" t="str">
        <f t="shared" si="354"/>
        <v>00</v>
      </c>
      <c r="J2119" s="26" t="str">
        <f>"43 "</f>
        <v xml:space="preserve">43 </v>
      </c>
      <c r="K2119" s="26" t="str">
        <f t="shared" si="351"/>
        <v>PR</v>
      </c>
      <c r="L2119" s="26" t="str">
        <f t="shared" si="352"/>
        <v>DGOSE</v>
      </c>
      <c r="M2119" s="26" t="str">
        <f t="shared" si="345"/>
        <v>PARTICULAR</v>
      </c>
      <c r="N2119" s="26">
        <v>513</v>
      </c>
      <c r="O2119" s="26">
        <v>231</v>
      </c>
      <c r="P2119" s="26">
        <v>282</v>
      </c>
      <c r="Q2119" s="26">
        <v>22</v>
      </c>
      <c r="R2119" s="26">
        <v>1</v>
      </c>
      <c r="S2119" s="26">
        <v>11</v>
      </c>
      <c r="T2119" s="26">
        <v>12</v>
      </c>
      <c r="U2119" s="26">
        <v>24</v>
      </c>
      <c r="V2119" s="26">
        <v>1</v>
      </c>
      <c r="W2119" s="26"/>
    </row>
    <row r="2120" spans="1:23" x14ac:dyDescent="0.25">
      <c r="A2120" s="26" t="str">
        <f t="shared" si="353"/>
        <v>PRIMARIA</v>
      </c>
      <c r="B2120" s="26" t="str">
        <f>"09PPR0095X"</f>
        <v>09PPR0095X</v>
      </c>
      <c r="C2120" s="26" t="str">
        <f>"OLLIN YOLIZTLI                                                                                      "</f>
        <v xml:space="preserve">OLLIN YOLIZTLI                                                                                      </v>
      </c>
      <c r="D2120" s="26" t="str">
        <f t="shared" si="344"/>
        <v>MATUTINO</v>
      </c>
      <c r="E2120" s="26" t="str">
        <f>"CHOAPAN 29                                                                      "</f>
        <v xml:space="preserve">CHOAPAN 29                                                                      </v>
      </c>
      <c r="F2120" s="26" t="str">
        <f>"HIPODROMO                                                                                                                                   "</f>
        <v xml:space="preserve">HIPODROMO                                                                                                                                   </v>
      </c>
      <c r="G2120" s="26" t="str">
        <f>"CUAUHTEMOC                                                                      "</f>
        <v xml:space="preserve">CUAUHTEMOC                                                                      </v>
      </c>
      <c r="H2120" s="26" t="str">
        <f>"000"</f>
        <v>000</v>
      </c>
      <c r="I2120" s="26" t="str">
        <f t="shared" si="354"/>
        <v>00</v>
      </c>
      <c r="J2120" s="26" t="str">
        <f>"42 "</f>
        <v xml:space="preserve">42 </v>
      </c>
      <c r="K2120" s="26" t="str">
        <f t="shared" si="351"/>
        <v>PR</v>
      </c>
      <c r="L2120" s="26" t="str">
        <f t="shared" si="352"/>
        <v>DGOSE</v>
      </c>
      <c r="M2120" s="26" t="str">
        <f t="shared" si="345"/>
        <v>PARTICULAR</v>
      </c>
      <c r="N2120" s="26">
        <v>101</v>
      </c>
      <c r="O2120" s="26">
        <v>101</v>
      </c>
      <c r="P2120" s="26">
        <v>0</v>
      </c>
      <c r="Q2120" s="26">
        <v>6</v>
      </c>
      <c r="R2120" s="26">
        <v>1</v>
      </c>
      <c r="S2120" s="26">
        <v>6</v>
      </c>
      <c r="T2120" s="26">
        <v>3</v>
      </c>
      <c r="U2120" s="26">
        <v>10</v>
      </c>
      <c r="V2120" s="26">
        <v>1</v>
      </c>
      <c r="W2120" s="26"/>
    </row>
    <row r="2121" spans="1:23" x14ac:dyDescent="0.25">
      <c r="A2121" s="26" t="str">
        <f t="shared" si="353"/>
        <v>PRIMARIA</v>
      </c>
      <c r="B2121" s="26" t="str">
        <f>"09PPR0098U"</f>
        <v>09PPR0098U</v>
      </c>
      <c r="C2121" s="26" t="str">
        <f>"COLEGIO ANDERSEN                                                                                    "</f>
        <v xml:space="preserve">COLEGIO ANDERSEN                                                                                    </v>
      </c>
      <c r="D2121" s="26" t="str">
        <f t="shared" si="344"/>
        <v>MATUTINO</v>
      </c>
      <c r="E2121" s="26" t="str">
        <f>"MONTE ALBAN NO 233                                                              "</f>
        <v xml:space="preserve">MONTE ALBAN NO 233                                                              </v>
      </c>
      <c r="F2121" s="26" t="str">
        <f>"NARVARTE                                                                                                                                    "</f>
        <v xml:space="preserve">NARVARTE                                                                                                                                    </v>
      </c>
      <c r="G2121" s="26" t="str">
        <f>"BENITO JUAREZ                                                                   "</f>
        <v xml:space="preserve">BENITO JUAREZ                                                                   </v>
      </c>
      <c r="H2121" s="26" t="str">
        <f>"000"</f>
        <v>000</v>
      </c>
      <c r="I2121" s="26" t="str">
        <f t="shared" si="354"/>
        <v>00</v>
      </c>
      <c r="J2121" s="26" t="str">
        <f>"43 "</f>
        <v xml:space="preserve">43 </v>
      </c>
      <c r="K2121" s="26" t="str">
        <f t="shared" si="351"/>
        <v>PR</v>
      </c>
      <c r="L2121" s="26" t="str">
        <f t="shared" si="352"/>
        <v>DGOSE</v>
      </c>
      <c r="M2121" s="26" t="str">
        <f t="shared" si="345"/>
        <v>PARTICULAR</v>
      </c>
      <c r="N2121" s="26">
        <v>140</v>
      </c>
      <c r="O2121" s="26">
        <v>75</v>
      </c>
      <c r="P2121" s="26">
        <v>65</v>
      </c>
      <c r="Q2121" s="26">
        <v>6</v>
      </c>
      <c r="R2121" s="26">
        <v>1</v>
      </c>
      <c r="S2121" s="26">
        <v>3</v>
      </c>
      <c r="T2121" s="26">
        <v>11</v>
      </c>
      <c r="U2121" s="26">
        <v>15</v>
      </c>
      <c r="V2121" s="26">
        <v>1</v>
      </c>
      <c r="W2121" s="26"/>
    </row>
    <row r="2122" spans="1:23" x14ac:dyDescent="0.25">
      <c r="A2122" s="26" t="str">
        <f t="shared" si="353"/>
        <v>PRIMARIA</v>
      </c>
      <c r="B2122" s="26" t="str">
        <f>"09PPR0099T"</f>
        <v>09PPR0099T</v>
      </c>
      <c r="C2122" s="26" t="str">
        <f>"JOSE JOAQUIN FERNANDEZ DE LIZARDI                                                                   "</f>
        <v xml:space="preserve">JOSE JOAQUIN FERNANDEZ DE LIZARDI                                                                   </v>
      </c>
      <c r="D2122" s="26" t="str">
        <f t="shared" si="344"/>
        <v>MATUTINO</v>
      </c>
      <c r="E2122" s="26" t="str">
        <f>"PRESA SANTA TERESA NUM 170                                                      "</f>
        <v xml:space="preserve">PRESA SANTA TERESA NUM 170                                                      </v>
      </c>
      <c r="F2122" s="26" t="str">
        <f>"IRRIGACION                                                                                                                                  "</f>
        <v xml:space="preserve">IRRIGACION                                                                                                                                  </v>
      </c>
      <c r="G2122" s="26" t="str">
        <f>"MIGUEL HIDALGO                                                                  "</f>
        <v xml:space="preserve">MIGUEL HIDALGO                                                                  </v>
      </c>
      <c r="H2122" s="26" t="str">
        <f>"212"</f>
        <v>212</v>
      </c>
      <c r="I2122" s="26" t="str">
        <f t="shared" si="354"/>
        <v>00</v>
      </c>
      <c r="J2122" s="26" t="str">
        <f>"42 "</f>
        <v xml:space="preserve">42 </v>
      </c>
      <c r="K2122" s="26" t="str">
        <f t="shared" si="351"/>
        <v>PR</v>
      </c>
      <c r="L2122" s="26" t="str">
        <f t="shared" si="352"/>
        <v>DGOSE</v>
      </c>
      <c r="M2122" s="26" t="str">
        <f t="shared" si="345"/>
        <v>PARTICULAR</v>
      </c>
      <c r="N2122" s="26">
        <v>79</v>
      </c>
      <c r="O2122" s="26">
        <v>44</v>
      </c>
      <c r="P2122" s="26">
        <v>35</v>
      </c>
      <c r="Q2122" s="26">
        <v>6</v>
      </c>
      <c r="R2122" s="26">
        <v>1</v>
      </c>
      <c r="S2122" s="26">
        <v>6</v>
      </c>
      <c r="T2122" s="26">
        <v>9</v>
      </c>
      <c r="U2122" s="26">
        <v>16</v>
      </c>
      <c r="V2122" s="26">
        <v>1</v>
      </c>
      <c r="W2122" s="26"/>
    </row>
    <row r="2123" spans="1:23" x14ac:dyDescent="0.25">
      <c r="A2123" s="26" t="str">
        <f t="shared" si="353"/>
        <v>PRIMARIA</v>
      </c>
      <c r="B2123" s="26" t="str">
        <f>"09PPR0100S"</f>
        <v>09PPR0100S</v>
      </c>
      <c r="C2123" s="26" t="str">
        <f>"INSTITUTO MEXICANO REGINA                                                                           "</f>
        <v xml:space="preserve">INSTITUTO MEXICANO REGINA                                                                           </v>
      </c>
      <c r="D2123" s="26" t="str">
        <f t="shared" si="344"/>
        <v>MATUTINO</v>
      </c>
      <c r="E2123" s="26" t="str">
        <f>"RIVERA DE CUPIA # 70                                                            "</f>
        <v xml:space="preserve">RIVERA DE CUPIA # 70                                                            </v>
      </c>
      <c r="F2123" s="26" t="str">
        <f>"REAL DE LAS LOMAS                                                                                                                           "</f>
        <v xml:space="preserve">REAL DE LAS LOMAS                                                                                                                           </v>
      </c>
      <c r="G2123" s="26" t="str">
        <f>"MIGUEL HIDALGO                                                                  "</f>
        <v xml:space="preserve">MIGUEL HIDALGO                                                                  </v>
      </c>
      <c r="H2123" s="26" t="str">
        <f>"209"</f>
        <v>209</v>
      </c>
      <c r="I2123" s="26" t="str">
        <f t="shared" si="354"/>
        <v>00</v>
      </c>
      <c r="J2123" s="26" t="str">
        <f>"42 "</f>
        <v xml:space="preserve">42 </v>
      </c>
      <c r="K2123" s="26" t="str">
        <f t="shared" si="351"/>
        <v>PR</v>
      </c>
      <c r="L2123" s="26" t="str">
        <f t="shared" si="352"/>
        <v>DGOSE</v>
      </c>
      <c r="M2123" s="26" t="str">
        <f t="shared" si="345"/>
        <v>PARTICULAR</v>
      </c>
      <c r="N2123" s="26">
        <v>403</v>
      </c>
      <c r="O2123" s="26">
        <v>0</v>
      </c>
      <c r="P2123" s="26">
        <v>403</v>
      </c>
      <c r="Q2123" s="26">
        <v>12</v>
      </c>
      <c r="R2123" s="26">
        <v>1</v>
      </c>
      <c r="S2123" s="26">
        <v>12</v>
      </c>
      <c r="T2123" s="26">
        <v>11</v>
      </c>
      <c r="U2123" s="26">
        <v>24</v>
      </c>
      <c r="V2123" s="26">
        <v>1</v>
      </c>
      <c r="W2123" s="26"/>
    </row>
    <row r="2124" spans="1:23" x14ac:dyDescent="0.25">
      <c r="A2124" s="26" t="str">
        <f t="shared" si="353"/>
        <v>PRIMARIA</v>
      </c>
      <c r="B2124" s="26" t="str">
        <f>"09PPR0104O"</f>
        <v>09PPR0104O</v>
      </c>
      <c r="C2124" s="26" t="str">
        <f>"EMILIA DE PARDO BAZAN                                                                               "</f>
        <v xml:space="preserve">EMILIA DE PARDO BAZAN                                                                               </v>
      </c>
      <c r="D2124" s="26" t="str">
        <f t="shared" si="344"/>
        <v>MATUTINO</v>
      </c>
      <c r="E2124" s="26" t="str">
        <f>"PARQUE ESPAÑA NO 43                                                             "</f>
        <v xml:space="preserve">PARQUE ESPAÑA NO 43                                                             </v>
      </c>
      <c r="F2124" s="26" t="str">
        <f>"CONDESA                                                                                                                                     "</f>
        <v xml:space="preserve">CONDESA                                                                                                                                     </v>
      </c>
      <c r="G2124" s="26" t="str">
        <f>"CUAUHTEMOC                                                                      "</f>
        <v xml:space="preserve">CUAUHTEMOC                                                                      </v>
      </c>
      <c r="H2124" s="26" t="str">
        <f>"000"</f>
        <v>000</v>
      </c>
      <c r="I2124" s="26" t="str">
        <f t="shared" si="354"/>
        <v>00</v>
      </c>
      <c r="J2124" s="26" t="str">
        <f>"42 "</f>
        <v xml:space="preserve">42 </v>
      </c>
      <c r="K2124" s="26" t="str">
        <f t="shared" si="351"/>
        <v>PR</v>
      </c>
      <c r="L2124" s="26" t="str">
        <f t="shared" si="352"/>
        <v>DGOSE</v>
      </c>
      <c r="M2124" s="26" t="str">
        <f t="shared" si="345"/>
        <v>PARTICULAR</v>
      </c>
      <c r="N2124" s="26">
        <v>8</v>
      </c>
      <c r="O2124" s="26">
        <v>4</v>
      </c>
      <c r="P2124" s="26">
        <v>4</v>
      </c>
      <c r="Q2124" s="26">
        <v>4</v>
      </c>
      <c r="R2124" s="26">
        <v>1</v>
      </c>
      <c r="S2124" s="26">
        <v>3</v>
      </c>
      <c r="T2124" s="26">
        <v>4</v>
      </c>
      <c r="U2124" s="26">
        <v>8</v>
      </c>
      <c r="V2124" s="26">
        <v>1</v>
      </c>
      <c r="W2124" s="26"/>
    </row>
    <row r="2125" spans="1:23" x14ac:dyDescent="0.25">
      <c r="A2125" s="26" t="str">
        <f t="shared" si="353"/>
        <v>PRIMARIA</v>
      </c>
      <c r="B2125" s="26" t="str">
        <f>"09PPR0106M"</f>
        <v>09PPR0106M</v>
      </c>
      <c r="C2125" s="26" t="str">
        <f>"COLEGIO SUIZO DE MEXICO                                                                             "</f>
        <v xml:space="preserve">COLEGIO SUIZO DE MEXICO                                                                             </v>
      </c>
      <c r="D2125" s="26" t="str">
        <f t="shared" si="344"/>
        <v>MATUTINO</v>
      </c>
      <c r="E2125" s="26" t="str">
        <f>"NICOLAS SAN JUAN NUM 917                                                        "</f>
        <v xml:space="preserve">NICOLAS SAN JUAN NUM 917                                                        </v>
      </c>
      <c r="F2125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2125" s="26" t="str">
        <f t="shared" ref="G2125:G2132" si="355">"BENITO JUAREZ                                                                   "</f>
        <v xml:space="preserve">BENITO JUAREZ                                                                   </v>
      </c>
      <c r="H2125" s="26" t="str">
        <f>"000"</f>
        <v>000</v>
      </c>
      <c r="I2125" s="26" t="str">
        <f t="shared" si="354"/>
        <v>00</v>
      </c>
      <c r="J2125" s="26" t="str">
        <f t="shared" ref="J2125:J2135" si="356">"43 "</f>
        <v xml:space="preserve">43 </v>
      </c>
      <c r="K2125" s="26" t="str">
        <f t="shared" si="351"/>
        <v>PR</v>
      </c>
      <c r="L2125" s="26" t="str">
        <f t="shared" si="352"/>
        <v>DGOSE</v>
      </c>
      <c r="M2125" s="26" t="str">
        <f t="shared" si="345"/>
        <v>PARTICULAR</v>
      </c>
      <c r="N2125" s="26">
        <v>303</v>
      </c>
      <c r="O2125" s="26">
        <v>156</v>
      </c>
      <c r="P2125" s="26">
        <v>147</v>
      </c>
      <c r="Q2125" s="26">
        <v>13</v>
      </c>
      <c r="R2125" s="26">
        <v>1</v>
      </c>
      <c r="S2125" s="26">
        <v>7</v>
      </c>
      <c r="T2125" s="26">
        <v>15</v>
      </c>
      <c r="U2125" s="26">
        <v>23</v>
      </c>
      <c r="V2125" s="26">
        <v>1</v>
      </c>
      <c r="W2125" s="26"/>
    </row>
    <row r="2126" spans="1:23" x14ac:dyDescent="0.25">
      <c r="A2126" s="26" t="str">
        <f t="shared" si="353"/>
        <v>PRIMARIA</v>
      </c>
      <c r="B2126" s="26" t="str">
        <f>"09PPR0107L"</f>
        <v>09PPR0107L</v>
      </c>
      <c r="C2126" s="26" t="str">
        <f>"INSTITUTO CANADIENSE DE MEXICO                                                                      "</f>
        <v xml:space="preserve">INSTITUTO CANADIENSE DE MEXICO                                                                      </v>
      </c>
      <c r="D2126" s="26" t="str">
        <f t="shared" si="344"/>
        <v>MATUTINO</v>
      </c>
      <c r="E2126" s="26" t="str">
        <f>"BARTOLACHE NUM 1931                                                             "</f>
        <v xml:space="preserve">BARTOLACHE NUM 1931                                                             </v>
      </c>
      <c r="F2126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2126" s="26" t="str">
        <f t="shared" si="355"/>
        <v xml:space="preserve">BENITO JUAREZ                                                                   </v>
      </c>
      <c r="H2126" s="26" t="str">
        <f>"000"</f>
        <v>000</v>
      </c>
      <c r="I2126" s="26" t="str">
        <f t="shared" si="354"/>
        <v>00</v>
      </c>
      <c r="J2126" s="26" t="str">
        <f t="shared" si="356"/>
        <v xml:space="preserve">43 </v>
      </c>
      <c r="K2126" s="26" t="str">
        <f t="shared" si="351"/>
        <v>PR</v>
      </c>
      <c r="L2126" s="26" t="str">
        <f t="shared" si="352"/>
        <v>DGOSE</v>
      </c>
      <c r="M2126" s="26" t="str">
        <f t="shared" si="345"/>
        <v>PARTICULAR</v>
      </c>
      <c r="N2126" s="26">
        <v>170</v>
      </c>
      <c r="O2126" s="26">
        <v>79</v>
      </c>
      <c r="P2126" s="26">
        <v>91</v>
      </c>
      <c r="Q2126" s="26">
        <v>10</v>
      </c>
      <c r="R2126" s="26">
        <v>1</v>
      </c>
      <c r="S2126" s="26">
        <v>6</v>
      </c>
      <c r="T2126" s="26">
        <v>18</v>
      </c>
      <c r="U2126" s="26">
        <v>25</v>
      </c>
      <c r="V2126" s="26">
        <v>1</v>
      </c>
      <c r="W2126" s="26"/>
    </row>
    <row r="2127" spans="1:23" x14ac:dyDescent="0.25">
      <c r="A2127" s="26" t="str">
        <f t="shared" si="353"/>
        <v>PRIMARIA</v>
      </c>
      <c r="B2127" s="26" t="str">
        <f>"09PPR0111Y"</f>
        <v>09PPR0111Y</v>
      </c>
      <c r="C2127" s="26" t="str">
        <f>"VICTOR HUGO                                                                                         "</f>
        <v xml:space="preserve">VICTOR HUGO                                                                                         </v>
      </c>
      <c r="D2127" s="26" t="str">
        <f t="shared" si="344"/>
        <v>MATUTINO</v>
      </c>
      <c r="E2127" s="26" t="str">
        <f>"EJE CENTRAL LAZARO CARDENAS 451                                                 "</f>
        <v xml:space="preserve">EJE CENTRAL LAZARO CARDENAS 451                                                 </v>
      </c>
      <c r="F2127" s="26" t="str">
        <f>"NARVARTE                                                                                                                                    "</f>
        <v xml:space="preserve">NARVARTE                                                                                                                                    </v>
      </c>
      <c r="G2127" s="26" t="str">
        <f t="shared" si="355"/>
        <v xml:space="preserve">BENITO JUAREZ                                                                   </v>
      </c>
      <c r="H2127" s="26" t="str">
        <f>"000"</f>
        <v>000</v>
      </c>
      <c r="I2127" s="26" t="str">
        <f t="shared" si="354"/>
        <v>00</v>
      </c>
      <c r="J2127" s="26" t="str">
        <f t="shared" si="356"/>
        <v xml:space="preserve">43 </v>
      </c>
      <c r="K2127" s="26" t="str">
        <f t="shared" si="351"/>
        <v>PR</v>
      </c>
      <c r="L2127" s="26" t="str">
        <f t="shared" si="352"/>
        <v>DGOSE</v>
      </c>
      <c r="M2127" s="26" t="str">
        <f t="shared" si="345"/>
        <v>PARTICULAR</v>
      </c>
      <c r="N2127" s="26">
        <v>125</v>
      </c>
      <c r="O2127" s="26">
        <v>57</v>
      </c>
      <c r="P2127" s="26">
        <v>68</v>
      </c>
      <c r="Q2127" s="26">
        <v>6</v>
      </c>
      <c r="R2127" s="26">
        <v>1</v>
      </c>
      <c r="S2127" s="26">
        <v>6</v>
      </c>
      <c r="T2127" s="26">
        <v>18</v>
      </c>
      <c r="U2127" s="26">
        <v>25</v>
      </c>
      <c r="V2127" s="26">
        <v>1</v>
      </c>
      <c r="W2127" s="26"/>
    </row>
    <row r="2128" spans="1:23" x14ac:dyDescent="0.25">
      <c r="A2128" s="26" t="str">
        <f t="shared" si="353"/>
        <v>PRIMARIA</v>
      </c>
      <c r="B2128" s="26" t="str">
        <f>"09PPR0112X"</f>
        <v>09PPR0112X</v>
      </c>
      <c r="C2128" s="26" t="str">
        <f>"INSTITUTO FRAY JUAN DE ZUMARRAGA                                                                    "</f>
        <v xml:space="preserve">INSTITUTO FRAY JUAN DE ZUMARRAGA                                                                    </v>
      </c>
      <c r="D2128" s="26" t="str">
        <f t="shared" si="344"/>
        <v>MATUTINO</v>
      </c>
      <c r="E2128" s="26" t="str">
        <f>"PROVIDENCIA 122                                                                 "</f>
        <v xml:space="preserve">PROVIDENCIA 122                                                                 </v>
      </c>
      <c r="F2128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2128" s="26" t="str">
        <f t="shared" si="355"/>
        <v xml:space="preserve">BENITO JUAREZ                                                                   </v>
      </c>
      <c r="H2128" s="26" t="str">
        <f>"338"</f>
        <v>338</v>
      </c>
      <c r="I2128" s="26" t="str">
        <f t="shared" si="354"/>
        <v>00</v>
      </c>
      <c r="J2128" s="26" t="str">
        <f t="shared" si="356"/>
        <v xml:space="preserve">43 </v>
      </c>
      <c r="K2128" s="26" t="str">
        <f t="shared" si="351"/>
        <v>PR</v>
      </c>
      <c r="L2128" s="26" t="str">
        <f t="shared" si="352"/>
        <v>DGOSE</v>
      </c>
      <c r="M2128" s="26" t="str">
        <f t="shared" si="345"/>
        <v>PARTICULAR</v>
      </c>
      <c r="N2128" s="26">
        <v>135</v>
      </c>
      <c r="O2128" s="26">
        <v>79</v>
      </c>
      <c r="P2128" s="26">
        <v>56</v>
      </c>
      <c r="Q2128" s="26">
        <v>6</v>
      </c>
      <c r="R2128" s="26">
        <v>1</v>
      </c>
      <c r="S2128" s="26">
        <v>6</v>
      </c>
      <c r="T2128" s="26">
        <v>7</v>
      </c>
      <c r="U2128" s="26">
        <v>14</v>
      </c>
      <c r="V2128" s="26">
        <v>1</v>
      </c>
      <c r="W2128" s="26"/>
    </row>
    <row r="2129" spans="1:23" x14ac:dyDescent="0.25">
      <c r="A2129" s="26" t="str">
        <f t="shared" si="353"/>
        <v>PRIMARIA</v>
      </c>
      <c r="B2129" s="26" t="str">
        <f>"09PPR0114V"</f>
        <v>09PPR0114V</v>
      </c>
      <c r="C2129" s="26" t="str">
        <f>"DOS NACIONES UNIDAS                                                                                 "</f>
        <v xml:space="preserve">DOS NACIONES UNIDAS                                                                                 </v>
      </c>
      <c r="D2129" s="26" t="str">
        <f t="shared" si="344"/>
        <v>MATUTINO</v>
      </c>
      <c r="E2129" s="26" t="str">
        <f>"PATRICIO SANZ 1304                                                              "</f>
        <v xml:space="preserve">PATRICIO SANZ 1304                                                              </v>
      </c>
      <c r="F2129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2129" s="26" t="str">
        <f t="shared" si="355"/>
        <v xml:space="preserve">BENITO JUAREZ                                                                   </v>
      </c>
      <c r="H2129" s="26" t="str">
        <f>"000"</f>
        <v>000</v>
      </c>
      <c r="I2129" s="26" t="str">
        <f t="shared" si="354"/>
        <v>00</v>
      </c>
      <c r="J2129" s="26" t="str">
        <f t="shared" si="356"/>
        <v xml:space="preserve">43 </v>
      </c>
      <c r="K2129" s="26" t="str">
        <f t="shared" si="351"/>
        <v>PR</v>
      </c>
      <c r="L2129" s="26" t="str">
        <f t="shared" si="352"/>
        <v>DGOSE</v>
      </c>
      <c r="M2129" s="26" t="str">
        <f t="shared" si="345"/>
        <v>PARTICULAR</v>
      </c>
      <c r="N2129" s="26">
        <v>195</v>
      </c>
      <c r="O2129" s="26">
        <v>108</v>
      </c>
      <c r="P2129" s="26">
        <v>87</v>
      </c>
      <c r="Q2129" s="26">
        <v>12</v>
      </c>
      <c r="R2129" s="26">
        <v>1</v>
      </c>
      <c r="S2129" s="26">
        <v>7</v>
      </c>
      <c r="T2129" s="26">
        <v>22</v>
      </c>
      <c r="U2129" s="26">
        <v>30</v>
      </c>
      <c r="V2129" s="26">
        <v>1</v>
      </c>
      <c r="W2129" s="26"/>
    </row>
    <row r="2130" spans="1:23" x14ac:dyDescent="0.25">
      <c r="A2130" s="26" t="str">
        <f t="shared" si="353"/>
        <v>PRIMARIA</v>
      </c>
      <c r="B2130" s="26" t="str">
        <f>"09PPR0115U"</f>
        <v>09PPR0115U</v>
      </c>
      <c r="C2130" s="26" t="str">
        <f>"CENTRO EDUCATIVO MEXICO                                                                             "</f>
        <v xml:space="preserve">CENTRO EDUCATIVO MEXICO                                                                             </v>
      </c>
      <c r="D2130" s="26" t="str">
        <f t="shared" ref="D2130:D2193" si="357">"MATUTINO"</f>
        <v>MATUTINO</v>
      </c>
      <c r="E2130" s="26" t="str">
        <f>"ELEFANTE 104 BIS                                                                "</f>
        <v xml:space="preserve">ELEFANTE 104 BIS                                                                </v>
      </c>
      <c r="F2130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2130" s="26" t="str">
        <f t="shared" si="355"/>
        <v xml:space="preserve">BENITO JUAREZ                                                                   </v>
      </c>
      <c r="H2130" s="26" t="str">
        <f>"000"</f>
        <v>000</v>
      </c>
      <c r="I2130" s="26" t="str">
        <f t="shared" si="354"/>
        <v>00</v>
      </c>
      <c r="J2130" s="26" t="str">
        <f t="shared" si="356"/>
        <v xml:space="preserve">43 </v>
      </c>
      <c r="K2130" s="26" t="str">
        <f t="shared" si="351"/>
        <v>PR</v>
      </c>
      <c r="L2130" s="26" t="str">
        <f t="shared" si="352"/>
        <v>DGOSE</v>
      </c>
      <c r="M2130" s="26" t="str">
        <f t="shared" ref="M2130:M2193" si="358">"PARTICULAR"</f>
        <v>PARTICULAR</v>
      </c>
      <c r="N2130" s="26">
        <v>29</v>
      </c>
      <c r="O2130" s="26">
        <v>18</v>
      </c>
      <c r="P2130" s="26">
        <v>11</v>
      </c>
      <c r="Q2130" s="26">
        <v>6</v>
      </c>
      <c r="R2130" s="26">
        <v>1</v>
      </c>
      <c r="S2130" s="26">
        <v>4</v>
      </c>
      <c r="T2130" s="26">
        <v>8</v>
      </c>
      <c r="U2130" s="26">
        <v>13</v>
      </c>
      <c r="V2130" s="26">
        <v>1</v>
      </c>
      <c r="W2130" s="26"/>
    </row>
    <row r="2131" spans="1:23" x14ac:dyDescent="0.25">
      <c r="A2131" s="26" t="str">
        <f t="shared" si="353"/>
        <v>PRIMARIA</v>
      </c>
      <c r="B2131" s="26" t="str">
        <f>"09PPR0119Q"</f>
        <v>09PPR0119Q</v>
      </c>
      <c r="C2131" s="26" t="str">
        <f>"ESCUELA MEXICANA AMERICANA                                                                          "</f>
        <v xml:space="preserve">ESCUELA MEXICANA AMERICANA                                                                          </v>
      </c>
      <c r="D2131" s="26" t="str">
        <f t="shared" si="357"/>
        <v>MATUTINO</v>
      </c>
      <c r="E2131" s="26" t="str">
        <f>"AMORES 1709                                                                     "</f>
        <v xml:space="preserve">AMORES 1709                                                                     </v>
      </c>
      <c r="F2131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2131" s="26" t="str">
        <f t="shared" si="355"/>
        <v xml:space="preserve">BENITO JUAREZ                                                                   </v>
      </c>
      <c r="H2131" s="26" t="str">
        <f>"000"</f>
        <v>000</v>
      </c>
      <c r="I2131" s="26" t="str">
        <f t="shared" si="354"/>
        <v>00</v>
      </c>
      <c r="J2131" s="26" t="str">
        <f t="shared" si="356"/>
        <v xml:space="preserve">43 </v>
      </c>
      <c r="K2131" s="26" t="str">
        <f t="shared" si="351"/>
        <v>PR</v>
      </c>
      <c r="L2131" s="26" t="str">
        <f t="shared" si="352"/>
        <v>DGOSE</v>
      </c>
      <c r="M2131" s="26" t="str">
        <f t="shared" si="358"/>
        <v>PARTICULAR</v>
      </c>
      <c r="N2131" s="26">
        <v>217</v>
      </c>
      <c r="O2131" s="26">
        <v>116</v>
      </c>
      <c r="P2131" s="26">
        <v>101</v>
      </c>
      <c r="Q2131" s="26">
        <v>11</v>
      </c>
      <c r="R2131" s="26">
        <v>1</v>
      </c>
      <c r="S2131" s="26">
        <v>6</v>
      </c>
      <c r="T2131" s="26">
        <v>22</v>
      </c>
      <c r="U2131" s="26">
        <v>29</v>
      </c>
      <c r="V2131" s="26">
        <v>1</v>
      </c>
      <c r="W2131" s="26"/>
    </row>
    <row r="2132" spans="1:23" x14ac:dyDescent="0.25">
      <c r="A2132" s="26" t="str">
        <f t="shared" si="353"/>
        <v>PRIMARIA</v>
      </c>
      <c r="B2132" s="26" t="str">
        <f>"09PPR0120F"</f>
        <v>09PPR0120F</v>
      </c>
      <c r="C2132" s="26" t="str">
        <f>"COLEGIO MARTINAK                                                                                    "</f>
        <v xml:space="preserve">COLEGIO MARTINAK                                                                                    </v>
      </c>
      <c r="D2132" s="26" t="str">
        <f t="shared" si="357"/>
        <v>MATUTINO</v>
      </c>
      <c r="E2132" s="26" t="str">
        <f>"DR VERTIZ 936                                                                   "</f>
        <v xml:space="preserve">DR VERTIZ 936                                                                   </v>
      </c>
      <c r="F2132" s="26" t="str">
        <f>"NARVARTE                                                                                                                                    "</f>
        <v xml:space="preserve">NARVARTE                                                                                                                                    </v>
      </c>
      <c r="G2132" s="26" t="str">
        <f t="shared" si="355"/>
        <v xml:space="preserve">BENITO JUAREZ                                                                   </v>
      </c>
      <c r="H2132" s="26" t="str">
        <f>"000"</f>
        <v>000</v>
      </c>
      <c r="I2132" s="26" t="str">
        <f t="shared" si="354"/>
        <v>00</v>
      </c>
      <c r="J2132" s="26" t="str">
        <f t="shared" si="356"/>
        <v xml:space="preserve">43 </v>
      </c>
      <c r="K2132" s="26" t="str">
        <f t="shared" si="351"/>
        <v>PR</v>
      </c>
      <c r="L2132" s="26" t="str">
        <f t="shared" si="352"/>
        <v>DGOSE</v>
      </c>
      <c r="M2132" s="26" t="str">
        <f t="shared" si="358"/>
        <v>PARTICULAR</v>
      </c>
      <c r="N2132" s="26">
        <v>143</v>
      </c>
      <c r="O2132" s="26">
        <v>64</v>
      </c>
      <c r="P2132" s="26">
        <v>79</v>
      </c>
      <c r="Q2132" s="26">
        <v>7</v>
      </c>
      <c r="R2132" s="26">
        <v>1</v>
      </c>
      <c r="S2132" s="26">
        <v>4</v>
      </c>
      <c r="T2132" s="26">
        <v>14</v>
      </c>
      <c r="U2132" s="26">
        <v>19</v>
      </c>
      <c r="V2132" s="26">
        <v>1</v>
      </c>
      <c r="W2132" s="26"/>
    </row>
    <row r="2133" spans="1:23" x14ac:dyDescent="0.25">
      <c r="A2133" s="26" t="str">
        <f t="shared" si="353"/>
        <v>PRIMARIA</v>
      </c>
      <c r="B2133" s="26" t="str">
        <f>"09PPR0121E"</f>
        <v>09PPR0121E</v>
      </c>
      <c r="C2133" s="26" t="str">
        <f>"COLEGIO ISRAELITA DE MEXICO                                                                         "</f>
        <v xml:space="preserve">COLEGIO ISRAELITA DE MEXICO                                                                         </v>
      </c>
      <c r="D2133" s="26" t="str">
        <f t="shared" si="357"/>
        <v>MATUTINO</v>
      </c>
      <c r="E2133" s="26" t="str">
        <f>"LOMA DEL RECUERDO 44.                                                           "</f>
        <v xml:space="preserve">LOMA DEL RECUERDO 44.                                                           </v>
      </c>
      <c r="F2133" s="26" t="str">
        <f>"LOMAS DE VISTA HERMOSA                                                                                                                      "</f>
        <v xml:space="preserve">LOMAS DE VISTA HERMOSA                                                                                                                      </v>
      </c>
      <c r="G2133" s="26" t="str">
        <f>"CUAJIMALPA DE MORELOS                                                           "</f>
        <v xml:space="preserve">CUAJIMALPA DE MORELOS                                                           </v>
      </c>
      <c r="H2133" s="26" t="str">
        <f>"300"</f>
        <v>300</v>
      </c>
      <c r="I2133" s="26" t="str">
        <f t="shared" si="354"/>
        <v>00</v>
      </c>
      <c r="J2133" s="26" t="str">
        <f t="shared" si="356"/>
        <v xml:space="preserve">43 </v>
      </c>
      <c r="K2133" s="26" t="str">
        <f t="shared" si="351"/>
        <v>PR</v>
      </c>
      <c r="L2133" s="26" t="str">
        <f t="shared" si="352"/>
        <v>DGOSE</v>
      </c>
      <c r="M2133" s="26" t="str">
        <f t="shared" si="358"/>
        <v>PARTICULAR</v>
      </c>
      <c r="N2133" s="26">
        <v>191</v>
      </c>
      <c r="O2133" s="26">
        <v>99</v>
      </c>
      <c r="P2133" s="26">
        <v>92</v>
      </c>
      <c r="Q2133" s="26">
        <v>11</v>
      </c>
      <c r="R2133" s="26">
        <v>1</v>
      </c>
      <c r="S2133" s="26">
        <v>6</v>
      </c>
      <c r="T2133" s="26">
        <v>5</v>
      </c>
      <c r="U2133" s="26">
        <v>12</v>
      </c>
      <c r="V2133" s="26">
        <v>1</v>
      </c>
      <c r="W2133" s="26"/>
    </row>
    <row r="2134" spans="1:23" x14ac:dyDescent="0.25">
      <c r="A2134" s="26" t="str">
        <f t="shared" si="353"/>
        <v>PRIMARIA</v>
      </c>
      <c r="B2134" s="26" t="str">
        <f>"09PPR0122D"</f>
        <v>09PPR0122D</v>
      </c>
      <c r="C2134" s="26" t="str">
        <f>"INSTITUTO MEXICO                                                                                    "</f>
        <v xml:space="preserve">INSTITUTO MEXICO                                                                                    </v>
      </c>
      <c r="D2134" s="26" t="str">
        <f t="shared" si="357"/>
        <v>MATUTINO</v>
      </c>
      <c r="E2134" s="26" t="str">
        <f>"AMORES 1317                                                                     "</f>
        <v xml:space="preserve">AMORES 1317                                                                     </v>
      </c>
      <c r="F2134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2134" s="26" t="str">
        <f>"BENITO JUAREZ                                                                   "</f>
        <v xml:space="preserve">BENITO JUAREZ                                                                   </v>
      </c>
      <c r="H2134" s="26" t="str">
        <f t="shared" ref="H2134:H2143" si="359">"000"</f>
        <v>000</v>
      </c>
      <c r="I2134" s="26" t="str">
        <f t="shared" si="354"/>
        <v>00</v>
      </c>
      <c r="J2134" s="26" t="str">
        <f t="shared" si="356"/>
        <v xml:space="preserve">43 </v>
      </c>
      <c r="K2134" s="26" t="str">
        <f t="shared" si="351"/>
        <v>PR</v>
      </c>
      <c r="L2134" s="26" t="str">
        <f t="shared" si="352"/>
        <v>DGOSE</v>
      </c>
      <c r="M2134" s="26" t="str">
        <f t="shared" si="358"/>
        <v>PARTICULAR</v>
      </c>
      <c r="N2134" s="26">
        <v>1031</v>
      </c>
      <c r="O2134" s="26">
        <v>619</v>
      </c>
      <c r="P2134" s="26">
        <v>412</v>
      </c>
      <c r="Q2134" s="26">
        <v>31</v>
      </c>
      <c r="R2134" s="26">
        <v>1</v>
      </c>
      <c r="S2134" s="26">
        <v>31</v>
      </c>
      <c r="T2134" s="26">
        <v>51</v>
      </c>
      <c r="U2134" s="26">
        <v>83</v>
      </c>
      <c r="V2134" s="26">
        <v>1</v>
      </c>
      <c r="W2134" s="26"/>
    </row>
    <row r="2135" spans="1:23" x14ac:dyDescent="0.25">
      <c r="A2135" s="26" t="str">
        <f t="shared" si="353"/>
        <v>PRIMARIA</v>
      </c>
      <c r="B2135" s="26" t="str">
        <f>"09PPR0123C"</f>
        <v>09PPR0123C</v>
      </c>
      <c r="C2135" s="26" t="str">
        <f>"INSTITUTO SCIFI                                                                                     "</f>
        <v xml:space="preserve">INSTITUTO SCIFI                                                                                     </v>
      </c>
      <c r="D2135" s="26" t="str">
        <f t="shared" si="357"/>
        <v>MATUTINO</v>
      </c>
      <c r="E2135" s="26" t="str">
        <f>"AV COYOACAN 615                                                                 "</f>
        <v xml:space="preserve">AV COYOACAN 615                                                                 </v>
      </c>
      <c r="F2135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2135" s="26" t="str">
        <f>"BENITO JUAREZ                                                                   "</f>
        <v xml:space="preserve">BENITO JUAREZ                                                                   </v>
      </c>
      <c r="H2135" s="26" t="str">
        <f t="shared" si="359"/>
        <v>000</v>
      </c>
      <c r="I2135" s="26" t="str">
        <f t="shared" si="354"/>
        <v>00</v>
      </c>
      <c r="J2135" s="26" t="str">
        <f t="shared" si="356"/>
        <v xml:space="preserve">43 </v>
      </c>
      <c r="K2135" s="26" t="str">
        <f t="shared" si="351"/>
        <v>PR</v>
      </c>
      <c r="L2135" s="26" t="str">
        <f t="shared" si="352"/>
        <v>DGOSE</v>
      </c>
      <c r="M2135" s="26" t="str">
        <f t="shared" si="358"/>
        <v>PARTICULAR</v>
      </c>
      <c r="N2135" s="26">
        <v>104</v>
      </c>
      <c r="O2135" s="26">
        <v>40</v>
      </c>
      <c r="P2135" s="26">
        <v>64</v>
      </c>
      <c r="Q2135" s="26">
        <v>6</v>
      </c>
      <c r="R2135" s="26">
        <v>1</v>
      </c>
      <c r="S2135" s="26">
        <v>6</v>
      </c>
      <c r="T2135" s="26">
        <v>9</v>
      </c>
      <c r="U2135" s="26">
        <v>16</v>
      </c>
      <c r="V2135" s="26">
        <v>1</v>
      </c>
      <c r="W2135" s="26"/>
    </row>
    <row r="2136" spans="1:23" x14ac:dyDescent="0.25">
      <c r="A2136" s="26" t="str">
        <f t="shared" si="353"/>
        <v>PRIMARIA</v>
      </c>
      <c r="B2136" s="26" t="str">
        <f>"09PPR0124B"</f>
        <v>09PPR0124B</v>
      </c>
      <c r="C2136" s="26" t="str">
        <f>"ESCUELA ACTIVA                                                                                      "</f>
        <v xml:space="preserve">ESCUELA ACTIVA                                                                                      </v>
      </c>
      <c r="D2136" s="26" t="str">
        <f t="shared" si="357"/>
        <v>MATUTINO</v>
      </c>
      <c r="E2136" s="26" t="str">
        <f>"EMILIO CARRANZA NO. 359                                                         "</f>
        <v xml:space="preserve">EMILIO CARRANZA NO. 359                                                         </v>
      </c>
      <c r="F2136" s="26" t="str">
        <f>"SAN ANDRES TETEPILCO                                                                                                                        "</f>
        <v xml:space="preserve">SAN ANDRES TETEPILCO                                                                                                                        </v>
      </c>
      <c r="G2136" s="26" t="str">
        <f>"IZTAPALAPA                                                                      "</f>
        <v xml:space="preserve">IZTAPALAPA                                                                      </v>
      </c>
      <c r="H2136" s="26" t="str">
        <f t="shared" si="359"/>
        <v>000</v>
      </c>
      <c r="I2136" s="26" t="str">
        <f t="shared" si="354"/>
        <v>00</v>
      </c>
      <c r="J2136" s="26" t="str">
        <f>"61 "</f>
        <v xml:space="preserve">61 </v>
      </c>
      <c r="K2136" s="26" t="str">
        <f>"IZ"</f>
        <v>IZ</v>
      </c>
      <c r="L2136" s="26" t="str">
        <f>"DGSEI"</f>
        <v>DGSEI</v>
      </c>
      <c r="M2136" s="26" t="str">
        <f t="shared" si="358"/>
        <v>PARTICULAR</v>
      </c>
      <c r="N2136" s="26">
        <v>168</v>
      </c>
      <c r="O2136" s="26">
        <v>97</v>
      </c>
      <c r="P2136" s="26">
        <v>71</v>
      </c>
      <c r="Q2136" s="26">
        <v>6</v>
      </c>
      <c r="R2136" s="26">
        <v>1</v>
      </c>
      <c r="S2136" s="26">
        <v>6</v>
      </c>
      <c r="T2136" s="26">
        <v>1</v>
      </c>
      <c r="U2136" s="26">
        <v>8</v>
      </c>
      <c r="V2136" s="26">
        <v>1</v>
      </c>
      <c r="W2136" s="26"/>
    </row>
    <row r="2137" spans="1:23" x14ac:dyDescent="0.25">
      <c r="A2137" s="26" t="str">
        <f t="shared" si="353"/>
        <v>PRIMARIA</v>
      </c>
      <c r="B2137" s="26" t="str">
        <f>"09PPR0126Z"</f>
        <v>09PPR0126Z</v>
      </c>
      <c r="C2137" s="26" t="str">
        <f>"ESCUELA ATENEA                                                                                      "</f>
        <v xml:space="preserve">ESCUELA ATENEA                                                                                      </v>
      </c>
      <c r="D2137" s="26" t="str">
        <f t="shared" si="357"/>
        <v>MATUTINO</v>
      </c>
      <c r="E2137" s="26" t="str">
        <f>"CALLE 6 NO. 165                                                                 "</f>
        <v xml:space="preserve">CALLE 6 NO. 165                                                                 </v>
      </c>
      <c r="F2137" s="26" t="str">
        <f>"GRANJAS SAN ANTONIO                                                                                                                         "</f>
        <v xml:space="preserve">GRANJAS SAN ANTONIO                                                                                                                         </v>
      </c>
      <c r="G2137" s="26" t="str">
        <f>"IZTAPALAPA                                                                      "</f>
        <v xml:space="preserve">IZTAPALAPA                                                                      </v>
      </c>
      <c r="H2137" s="26" t="str">
        <f t="shared" si="359"/>
        <v>000</v>
      </c>
      <c r="I2137" s="26" t="str">
        <f t="shared" si="354"/>
        <v>00</v>
      </c>
      <c r="J2137" s="26" t="str">
        <f>"61 "</f>
        <v xml:space="preserve">61 </v>
      </c>
      <c r="K2137" s="26" t="str">
        <f>"IZ"</f>
        <v>IZ</v>
      </c>
      <c r="L2137" s="26" t="str">
        <f>"DGSEI"</f>
        <v>DGSEI</v>
      </c>
      <c r="M2137" s="26" t="str">
        <f t="shared" si="358"/>
        <v>PARTICULAR</v>
      </c>
      <c r="N2137" s="26">
        <v>101</v>
      </c>
      <c r="O2137" s="26">
        <v>50</v>
      </c>
      <c r="P2137" s="26">
        <v>51</v>
      </c>
      <c r="Q2137" s="26">
        <v>6</v>
      </c>
      <c r="R2137" s="26">
        <v>1</v>
      </c>
      <c r="S2137" s="26">
        <v>6</v>
      </c>
      <c r="T2137" s="26">
        <v>8</v>
      </c>
      <c r="U2137" s="26">
        <v>15</v>
      </c>
      <c r="V2137" s="26">
        <v>1</v>
      </c>
      <c r="W2137" s="26"/>
    </row>
    <row r="2138" spans="1:23" x14ac:dyDescent="0.25">
      <c r="A2138" s="26" t="str">
        <f t="shared" si="353"/>
        <v>PRIMARIA</v>
      </c>
      <c r="B2138" s="26" t="str">
        <f>"09PPR0128Y"</f>
        <v>09PPR0128Y</v>
      </c>
      <c r="C2138" s="26" t="str">
        <f>"CLAUDIO MARIA DUBUIS                                                                                "</f>
        <v xml:space="preserve">CLAUDIO MARIA DUBUIS                                                                                </v>
      </c>
      <c r="D2138" s="26" t="str">
        <f t="shared" si="357"/>
        <v>MATUTINO</v>
      </c>
      <c r="E2138" s="26" t="str">
        <f>"CALLE STA. MARIA NO. 133                                                        "</f>
        <v xml:space="preserve">CALLE STA. MARIA NO. 133                                                        </v>
      </c>
      <c r="F2138" s="26" t="str">
        <f>"MAGDALENA ATLAZOLPA                                                                                                                         "</f>
        <v xml:space="preserve">MAGDALENA ATLAZOLPA                                                                                                                         </v>
      </c>
      <c r="G2138" s="26" t="str">
        <f>"IZTAPALAPA                                                                      "</f>
        <v xml:space="preserve">IZTAPALAPA                                                                      </v>
      </c>
      <c r="H2138" s="26" t="str">
        <f t="shared" si="359"/>
        <v>000</v>
      </c>
      <c r="I2138" s="26" t="str">
        <f t="shared" si="354"/>
        <v>00</v>
      </c>
      <c r="J2138" s="26" t="str">
        <f>"61 "</f>
        <v xml:space="preserve">61 </v>
      </c>
      <c r="K2138" s="26" t="str">
        <f>"IZ"</f>
        <v>IZ</v>
      </c>
      <c r="L2138" s="26" t="str">
        <f>"DGSEI"</f>
        <v>DGSEI</v>
      </c>
      <c r="M2138" s="26" t="str">
        <f t="shared" si="358"/>
        <v>PARTICULAR</v>
      </c>
      <c r="N2138" s="26">
        <v>267</v>
      </c>
      <c r="O2138" s="26">
        <v>124</v>
      </c>
      <c r="P2138" s="26">
        <v>143</v>
      </c>
      <c r="Q2138" s="26">
        <v>9</v>
      </c>
      <c r="R2138" s="26">
        <v>1</v>
      </c>
      <c r="S2138" s="26">
        <v>8</v>
      </c>
      <c r="T2138" s="26">
        <v>4</v>
      </c>
      <c r="U2138" s="26">
        <v>13</v>
      </c>
      <c r="V2138" s="26">
        <v>1</v>
      </c>
      <c r="W2138" s="26"/>
    </row>
    <row r="2139" spans="1:23" x14ac:dyDescent="0.25">
      <c r="A2139" s="26" t="str">
        <f t="shared" si="353"/>
        <v>PRIMARIA</v>
      </c>
      <c r="B2139" s="26" t="str">
        <f>"09PPR0129X"</f>
        <v>09PPR0129X</v>
      </c>
      <c r="C2139" s="26" t="str">
        <f>"CONCEPCION CABRERA DE ARMIDA                                                                        "</f>
        <v xml:space="preserve">CONCEPCION CABRERA DE ARMIDA                                                                        </v>
      </c>
      <c r="D2139" s="26" t="str">
        <f t="shared" si="357"/>
        <v>MATUTINO</v>
      </c>
      <c r="E2139" s="26" t="str">
        <f>"SUR 103 NO. 227                                                                 "</f>
        <v xml:space="preserve">SUR 103 NO. 227                                                                 </v>
      </c>
      <c r="F2139" s="26" t="str">
        <f>"HEROES DE CHURUBUSCO                                                                                                                        "</f>
        <v xml:space="preserve">HEROES DE CHURUBUSCO                                                                                                                        </v>
      </c>
      <c r="G2139" s="26" t="str">
        <f>"IZTAPALAPA                                                                      "</f>
        <v xml:space="preserve">IZTAPALAPA                                                                      </v>
      </c>
      <c r="H2139" s="26" t="str">
        <f t="shared" si="359"/>
        <v>000</v>
      </c>
      <c r="I2139" s="26" t="str">
        <f t="shared" si="354"/>
        <v>00</v>
      </c>
      <c r="J2139" s="26" t="str">
        <f>"61 "</f>
        <v xml:space="preserve">61 </v>
      </c>
      <c r="K2139" s="26" t="str">
        <f>"IZ"</f>
        <v>IZ</v>
      </c>
      <c r="L2139" s="26" t="str">
        <f>"DGSEI"</f>
        <v>DGSEI</v>
      </c>
      <c r="M2139" s="26" t="str">
        <f t="shared" si="358"/>
        <v>PARTICULAR</v>
      </c>
      <c r="N2139" s="26">
        <v>93</v>
      </c>
      <c r="O2139" s="26">
        <v>54</v>
      </c>
      <c r="P2139" s="26">
        <v>39</v>
      </c>
      <c r="Q2139" s="26">
        <v>6</v>
      </c>
      <c r="R2139" s="26">
        <v>1</v>
      </c>
      <c r="S2139" s="26">
        <v>6</v>
      </c>
      <c r="T2139" s="26">
        <v>11</v>
      </c>
      <c r="U2139" s="26">
        <v>18</v>
      </c>
      <c r="V2139" s="26">
        <v>1</v>
      </c>
      <c r="W2139" s="26"/>
    </row>
    <row r="2140" spans="1:23" x14ac:dyDescent="0.25">
      <c r="A2140" s="26" t="str">
        <f t="shared" si="353"/>
        <v>PRIMARIA</v>
      </c>
      <c r="B2140" s="26" t="str">
        <f>"09PPR0130M"</f>
        <v>09PPR0130M</v>
      </c>
      <c r="C2140" s="26" t="str">
        <f>"INSTITUTO VILLA DE CORTES                                                                           "</f>
        <v xml:space="preserve">INSTITUTO VILLA DE CORTES                                                                           </v>
      </c>
      <c r="D2140" s="26" t="str">
        <f t="shared" si="357"/>
        <v>MATUTINO</v>
      </c>
      <c r="E2140" s="26" t="str">
        <f>"RUBEN M CAMPOS 2608                                                             "</f>
        <v xml:space="preserve">RUBEN M CAMPOS 2608                                                             </v>
      </c>
      <c r="F2140" s="26" t="str">
        <f>"VILLA DE CORTES                                                                                                                             "</f>
        <v xml:space="preserve">VILLA DE CORTES                                                                                                                             </v>
      </c>
      <c r="G2140" s="26" t="str">
        <f>"BENITO JUAREZ                                                                   "</f>
        <v xml:space="preserve">BENITO JUAREZ                                                                   </v>
      </c>
      <c r="H2140" s="26" t="str">
        <f t="shared" si="359"/>
        <v>000</v>
      </c>
      <c r="I2140" s="26" t="str">
        <f t="shared" si="354"/>
        <v>00</v>
      </c>
      <c r="J2140" s="26" t="str">
        <f>"43 "</f>
        <v xml:space="preserve">43 </v>
      </c>
      <c r="K2140" s="26" t="str">
        <f>"PR"</f>
        <v>PR</v>
      </c>
      <c r="L2140" s="26" t="str">
        <f>"DGOSE"</f>
        <v>DGOSE</v>
      </c>
      <c r="M2140" s="26" t="str">
        <f t="shared" si="358"/>
        <v>PARTICULAR</v>
      </c>
      <c r="N2140" s="26">
        <v>195</v>
      </c>
      <c r="O2140" s="26">
        <v>94</v>
      </c>
      <c r="P2140" s="26">
        <v>101</v>
      </c>
      <c r="Q2140" s="26">
        <v>11</v>
      </c>
      <c r="R2140" s="26">
        <v>1</v>
      </c>
      <c r="S2140" s="26">
        <v>11</v>
      </c>
      <c r="T2140" s="26">
        <v>9</v>
      </c>
      <c r="U2140" s="26">
        <v>21</v>
      </c>
      <c r="V2140" s="26">
        <v>1</v>
      </c>
      <c r="W2140" s="26"/>
    </row>
    <row r="2141" spans="1:23" x14ac:dyDescent="0.25">
      <c r="A2141" s="26" t="str">
        <f t="shared" si="353"/>
        <v>PRIMARIA</v>
      </c>
      <c r="B2141" s="26" t="str">
        <f>"09PPR0131L"</f>
        <v>09PPR0131L</v>
      </c>
      <c r="C2141" s="26" t="str">
        <f>"VILASECA ESPARZA                                                                                    "</f>
        <v xml:space="preserve">VILASECA ESPARZA                                                                                    </v>
      </c>
      <c r="D2141" s="26" t="str">
        <f t="shared" si="357"/>
        <v>MATUTINO</v>
      </c>
      <c r="E2141" s="26" t="str">
        <f>"ALBERT 9                                                                        "</f>
        <v xml:space="preserve">ALBERT 9                                                                        </v>
      </c>
      <c r="F2141" s="26" t="str">
        <f>"ALBERT                                                                                                                                      "</f>
        <v xml:space="preserve">ALBERT                                                                                                                                      </v>
      </c>
      <c r="G2141" s="26" t="str">
        <f>"BENITO JUAREZ                                                                   "</f>
        <v xml:space="preserve">BENITO JUAREZ                                                                   </v>
      </c>
      <c r="H2141" s="26" t="str">
        <f t="shared" si="359"/>
        <v>000</v>
      </c>
      <c r="I2141" s="26" t="str">
        <f t="shared" si="354"/>
        <v>00</v>
      </c>
      <c r="J2141" s="26" t="str">
        <f>"43 "</f>
        <v xml:space="preserve">43 </v>
      </c>
      <c r="K2141" s="26" t="str">
        <f>"PR"</f>
        <v>PR</v>
      </c>
      <c r="L2141" s="26" t="str">
        <f>"DGOSE"</f>
        <v>DGOSE</v>
      </c>
      <c r="M2141" s="26" t="str">
        <f t="shared" si="358"/>
        <v>PARTICULAR</v>
      </c>
      <c r="N2141" s="26">
        <v>120</v>
      </c>
      <c r="O2141" s="26">
        <v>61</v>
      </c>
      <c r="P2141" s="26">
        <v>59</v>
      </c>
      <c r="Q2141" s="26">
        <v>6</v>
      </c>
      <c r="R2141" s="26">
        <v>1</v>
      </c>
      <c r="S2141" s="26">
        <v>6</v>
      </c>
      <c r="T2141" s="26">
        <v>9</v>
      </c>
      <c r="U2141" s="26">
        <v>16</v>
      </c>
      <c r="V2141" s="26">
        <v>1</v>
      </c>
      <c r="W2141" s="26"/>
    </row>
    <row r="2142" spans="1:23" x14ac:dyDescent="0.25">
      <c r="A2142" s="26" t="str">
        <f t="shared" si="353"/>
        <v>PRIMARIA</v>
      </c>
      <c r="B2142" s="26" t="str">
        <f>"09PPR0132K"</f>
        <v>09PPR0132K</v>
      </c>
      <c r="C2142" s="26" t="str">
        <f>"DON BOSCO                                                                                           "</f>
        <v xml:space="preserve">DON BOSCO                                                                                           </v>
      </c>
      <c r="D2142" s="26" t="str">
        <f t="shared" si="357"/>
        <v>MATUTINO</v>
      </c>
      <c r="E2142" s="26" t="str">
        <f>"AVENA NO.196                                                                    "</f>
        <v xml:space="preserve">AVENA NO.196                                                                    </v>
      </c>
      <c r="F2142" s="26" t="str">
        <f>"GRANJAS ESMERALDA                                                                                                                           "</f>
        <v xml:space="preserve">GRANJAS ESMERALDA                                                                                                                           </v>
      </c>
      <c r="G2142" s="26" t="str">
        <f>"IZTAPALAPA                                                                      "</f>
        <v xml:space="preserve">IZTAPALAPA                                                                      </v>
      </c>
      <c r="H2142" s="26" t="str">
        <f t="shared" si="359"/>
        <v>000</v>
      </c>
      <c r="I2142" s="26" t="str">
        <f t="shared" si="354"/>
        <v>00</v>
      </c>
      <c r="J2142" s="26" t="str">
        <f>"61 "</f>
        <v xml:space="preserve">61 </v>
      </c>
      <c r="K2142" s="26" t="str">
        <f>"IZ"</f>
        <v>IZ</v>
      </c>
      <c r="L2142" s="26" t="str">
        <f>"DGSEI"</f>
        <v>DGSEI</v>
      </c>
      <c r="M2142" s="26" t="str">
        <f t="shared" si="358"/>
        <v>PARTICULAR</v>
      </c>
      <c r="N2142" s="26">
        <v>734</v>
      </c>
      <c r="O2142" s="26">
        <v>372</v>
      </c>
      <c r="P2142" s="26">
        <v>362</v>
      </c>
      <c r="Q2142" s="26">
        <v>26</v>
      </c>
      <c r="R2142" s="26">
        <v>1</v>
      </c>
      <c r="S2142" s="26">
        <v>26</v>
      </c>
      <c r="T2142" s="26">
        <v>16</v>
      </c>
      <c r="U2142" s="26">
        <v>43</v>
      </c>
      <c r="V2142" s="26">
        <v>1</v>
      </c>
      <c r="W2142" s="26"/>
    </row>
    <row r="2143" spans="1:23" x14ac:dyDescent="0.25">
      <c r="A2143" s="26" t="str">
        <f t="shared" si="353"/>
        <v>PRIMARIA</v>
      </c>
      <c r="B2143" s="26" t="str">
        <f>"09PPR0133J"</f>
        <v>09PPR0133J</v>
      </c>
      <c r="C2143" s="26" t="str">
        <f>"COLEGIO TENOCHTITLAN                                                                                "</f>
        <v xml:space="preserve">COLEGIO TENOCHTITLAN                                                                                </v>
      </c>
      <c r="D2143" s="26" t="str">
        <f t="shared" si="357"/>
        <v>MATUTINO</v>
      </c>
      <c r="E2143" s="26" t="str">
        <f>"RASCARRABIAS 49 ANTES CERRADA UNO                                               "</f>
        <v xml:space="preserve">RASCARRABIAS 49 ANTES CERRADA UNO                                               </v>
      </c>
      <c r="F2143" s="26" t="str">
        <f>"INDEPENDENCIA                                                                                                                               "</f>
        <v xml:space="preserve">INDEPENDENCIA                                                                                                                               </v>
      </c>
      <c r="G2143" s="26" t="str">
        <f>"BENITO JUAREZ                                                                   "</f>
        <v xml:space="preserve">BENITO JUAREZ                                                                   </v>
      </c>
      <c r="H2143" s="26" t="str">
        <f t="shared" si="359"/>
        <v>000</v>
      </c>
      <c r="I2143" s="26" t="str">
        <f t="shared" si="354"/>
        <v>00</v>
      </c>
      <c r="J2143" s="26" t="str">
        <f>"43 "</f>
        <v xml:space="preserve">43 </v>
      </c>
      <c r="K2143" s="26" t="str">
        <f t="shared" ref="K2143:K2150" si="360">"PR"</f>
        <v>PR</v>
      </c>
      <c r="L2143" s="26" t="str">
        <f t="shared" ref="L2143:L2150" si="361">"DGOSE"</f>
        <v>DGOSE</v>
      </c>
      <c r="M2143" s="26" t="str">
        <f t="shared" si="358"/>
        <v>PARTICULAR</v>
      </c>
      <c r="N2143" s="26">
        <v>155</v>
      </c>
      <c r="O2143" s="26">
        <v>66</v>
      </c>
      <c r="P2143" s="26">
        <v>89</v>
      </c>
      <c r="Q2143" s="26">
        <v>8</v>
      </c>
      <c r="R2143" s="26">
        <v>1</v>
      </c>
      <c r="S2143" s="26">
        <v>8</v>
      </c>
      <c r="T2143" s="26">
        <v>11</v>
      </c>
      <c r="U2143" s="26">
        <v>20</v>
      </c>
      <c r="V2143" s="26">
        <v>1</v>
      </c>
      <c r="W2143" s="26"/>
    </row>
    <row r="2144" spans="1:23" x14ac:dyDescent="0.25">
      <c r="A2144" s="26" t="str">
        <f t="shared" si="353"/>
        <v>PRIMARIA</v>
      </c>
      <c r="B2144" s="26" t="str">
        <f>"09PPR0135H"</f>
        <v>09PPR0135H</v>
      </c>
      <c r="C2144" s="26" t="str">
        <f>"MARIA REGINA SANCHEZ MUÑOZ                                                                          "</f>
        <v xml:space="preserve">MARIA REGINA SANCHEZ MUÑOZ                                                                          </v>
      </c>
      <c r="D2144" s="26" t="str">
        <f t="shared" si="357"/>
        <v>MATUTINO</v>
      </c>
      <c r="E2144" s="26" t="str">
        <f>"AV. ENCARNACION ORTIZ NO.1842                                                   "</f>
        <v xml:space="preserve">AV. ENCARNACION ORTIZ NO.1842                                                   </v>
      </c>
      <c r="F2144" s="26" t="str">
        <f>"COSMOPOLITA AMPLIACION                                                                                                                      "</f>
        <v xml:space="preserve">COSMOPOLITA AMPLIACION                                                                                                                      </v>
      </c>
      <c r="G2144" s="26" t="str">
        <f>"AZCAPOTZALCO                                                                    "</f>
        <v xml:space="preserve">AZCAPOTZALCO                                                                    </v>
      </c>
      <c r="H2144" s="26" t="str">
        <f>"207"</f>
        <v>207</v>
      </c>
      <c r="I2144" s="26" t="str">
        <f t="shared" si="354"/>
        <v>00</v>
      </c>
      <c r="J2144" s="26" t="str">
        <f>"42 "</f>
        <v xml:space="preserve">42 </v>
      </c>
      <c r="K2144" s="26" t="str">
        <f t="shared" si="360"/>
        <v>PR</v>
      </c>
      <c r="L2144" s="26" t="str">
        <f t="shared" si="361"/>
        <v>DGOSE</v>
      </c>
      <c r="M2144" s="26" t="str">
        <f t="shared" si="358"/>
        <v>PARTICULAR</v>
      </c>
      <c r="N2144" s="26">
        <v>99</v>
      </c>
      <c r="O2144" s="26">
        <v>42</v>
      </c>
      <c r="P2144" s="26">
        <v>57</v>
      </c>
      <c r="Q2144" s="26">
        <v>6</v>
      </c>
      <c r="R2144" s="26">
        <v>1</v>
      </c>
      <c r="S2144" s="26">
        <v>6</v>
      </c>
      <c r="T2144" s="26">
        <v>8</v>
      </c>
      <c r="U2144" s="26">
        <v>15</v>
      </c>
      <c r="V2144" s="26">
        <v>1</v>
      </c>
      <c r="W2144" s="26"/>
    </row>
    <row r="2145" spans="1:23" x14ac:dyDescent="0.25">
      <c r="A2145" s="26" t="str">
        <f t="shared" si="353"/>
        <v>PRIMARIA</v>
      </c>
      <c r="B2145" s="26" t="str">
        <f>"09PPR0136G"</f>
        <v>09PPR0136G</v>
      </c>
      <c r="C2145" s="26" t="str">
        <f>"SIMON BOLIVAR DE POPOCATEPETL                                                                       "</f>
        <v xml:space="preserve">SIMON BOLIVAR DE POPOCATEPETL                                                                       </v>
      </c>
      <c r="D2145" s="26" t="str">
        <f t="shared" si="357"/>
        <v>MATUTINO</v>
      </c>
      <c r="E2145" s="26" t="str">
        <f>"CDA POPOCATEPETL No 65                                                          "</f>
        <v xml:space="preserve">CDA POPOCATEPETL No 65                                                          </v>
      </c>
      <c r="F2145" s="26" t="str">
        <f>"XOCO                                                                                                                                        "</f>
        <v xml:space="preserve">XOCO                                                                                                                                        </v>
      </c>
      <c r="G2145" s="26" t="str">
        <f>"BENITO JUAREZ                                                                   "</f>
        <v xml:space="preserve">BENITO JUAREZ                                                                   </v>
      </c>
      <c r="H2145" s="26" t="str">
        <f>"341"</f>
        <v>341</v>
      </c>
      <c r="I2145" s="26" t="str">
        <f t="shared" si="354"/>
        <v>00</v>
      </c>
      <c r="J2145" s="26" t="str">
        <f>"43 "</f>
        <v xml:space="preserve">43 </v>
      </c>
      <c r="K2145" s="26" t="str">
        <f t="shared" si="360"/>
        <v>PR</v>
      </c>
      <c r="L2145" s="26" t="str">
        <f t="shared" si="361"/>
        <v>DGOSE</v>
      </c>
      <c r="M2145" s="26" t="str">
        <f t="shared" si="358"/>
        <v>PARTICULAR</v>
      </c>
      <c r="N2145" s="26">
        <v>337</v>
      </c>
      <c r="O2145" s="26">
        <v>198</v>
      </c>
      <c r="P2145" s="26">
        <v>139</v>
      </c>
      <c r="Q2145" s="26">
        <v>14</v>
      </c>
      <c r="R2145" s="26">
        <v>1</v>
      </c>
      <c r="S2145" s="26">
        <v>7</v>
      </c>
      <c r="T2145" s="26">
        <v>14</v>
      </c>
      <c r="U2145" s="26">
        <v>22</v>
      </c>
      <c r="V2145" s="26">
        <v>1</v>
      </c>
      <c r="W2145" s="26"/>
    </row>
    <row r="2146" spans="1:23" x14ac:dyDescent="0.25">
      <c r="A2146" s="26" t="str">
        <f t="shared" si="353"/>
        <v>PRIMARIA</v>
      </c>
      <c r="B2146" s="26" t="str">
        <f>"09PPR0137F"</f>
        <v>09PPR0137F</v>
      </c>
      <c r="C2146" s="26" t="str">
        <f>"SANTACRUZ                                                                                           "</f>
        <v xml:space="preserve">SANTACRUZ                                                                                           </v>
      </c>
      <c r="D2146" s="26" t="str">
        <f t="shared" si="357"/>
        <v>MATUTINO</v>
      </c>
      <c r="E2146" s="26" t="str">
        <f>"5 DE FEBRERO 614                                                                "</f>
        <v xml:space="preserve">5 DE FEBRERO 614                                                                </v>
      </c>
      <c r="F2146" s="26" t="str">
        <f>"ALAMOS                                                                                                                                      "</f>
        <v xml:space="preserve">ALAMOS                                                                                                                                      </v>
      </c>
      <c r="G2146" s="26" t="str">
        <f>"BENITO JUAREZ                                                                   "</f>
        <v xml:space="preserve">BENITO JUAREZ                                                                   </v>
      </c>
      <c r="H2146" s="26" t="str">
        <f>"000"</f>
        <v>000</v>
      </c>
      <c r="I2146" s="26" t="str">
        <f t="shared" si="354"/>
        <v>00</v>
      </c>
      <c r="J2146" s="26" t="str">
        <f>"43 "</f>
        <v xml:space="preserve">43 </v>
      </c>
      <c r="K2146" s="26" t="str">
        <f t="shared" si="360"/>
        <v>PR</v>
      </c>
      <c r="L2146" s="26" t="str">
        <f t="shared" si="361"/>
        <v>DGOSE</v>
      </c>
      <c r="M2146" s="26" t="str">
        <f t="shared" si="358"/>
        <v>PARTICULAR</v>
      </c>
      <c r="N2146" s="26">
        <v>130</v>
      </c>
      <c r="O2146" s="26">
        <v>73</v>
      </c>
      <c r="P2146" s="26">
        <v>57</v>
      </c>
      <c r="Q2146" s="26">
        <v>12</v>
      </c>
      <c r="R2146" s="26">
        <v>2</v>
      </c>
      <c r="S2146" s="26">
        <v>12</v>
      </c>
      <c r="T2146" s="26">
        <v>18</v>
      </c>
      <c r="U2146" s="26">
        <v>32</v>
      </c>
      <c r="V2146" s="26">
        <v>1</v>
      </c>
      <c r="W2146" s="26"/>
    </row>
    <row r="2147" spans="1:23" x14ac:dyDescent="0.25">
      <c r="A2147" s="26" t="str">
        <f t="shared" si="353"/>
        <v>PRIMARIA</v>
      </c>
      <c r="B2147" s="26" t="str">
        <f>"09PPR0138E"</f>
        <v>09PPR0138E</v>
      </c>
      <c r="C2147" s="26" t="str">
        <f>"PRADO                                                                                               "</f>
        <v xml:space="preserve">PRADO                                                                                               </v>
      </c>
      <c r="D2147" s="26" t="str">
        <f t="shared" si="357"/>
        <v>MATUTINO</v>
      </c>
      <c r="E2147" s="26" t="str">
        <f>"CANARIAS  912                                                                   "</f>
        <v xml:space="preserve">CANARIAS  912                                                                   </v>
      </c>
      <c r="F2147" s="26" t="str">
        <f>"PORTALES                                                                                                                                    "</f>
        <v xml:space="preserve">PORTALES                                                                                                                                    </v>
      </c>
      <c r="G2147" s="26" t="str">
        <f>"BENITO JUAREZ                                                                   "</f>
        <v xml:space="preserve">BENITO JUAREZ                                                                   </v>
      </c>
      <c r="H2147" s="26" t="str">
        <f>"000"</f>
        <v>000</v>
      </c>
      <c r="I2147" s="26" t="str">
        <f t="shared" si="354"/>
        <v>00</v>
      </c>
      <c r="J2147" s="26" t="str">
        <f>"43 "</f>
        <v xml:space="preserve">43 </v>
      </c>
      <c r="K2147" s="26" t="str">
        <f t="shared" si="360"/>
        <v>PR</v>
      </c>
      <c r="L2147" s="26" t="str">
        <f t="shared" si="361"/>
        <v>DGOSE</v>
      </c>
      <c r="M2147" s="26" t="str">
        <f t="shared" si="358"/>
        <v>PARTICULAR</v>
      </c>
      <c r="N2147" s="26">
        <v>62</v>
      </c>
      <c r="O2147" s="26">
        <v>35</v>
      </c>
      <c r="P2147" s="26">
        <v>27</v>
      </c>
      <c r="Q2147" s="26">
        <v>6</v>
      </c>
      <c r="R2147" s="26">
        <v>1</v>
      </c>
      <c r="S2147" s="26">
        <v>3</v>
      </c>
      <c r="T2147" s="26">
        <v>10</v>
      </c>
      <c r="U2147" s="26">
        <v>14</v>
      </c>
      <c r="V2147" s="26">
        <v>1</v>
      </c>
      <c r="W2147" s="26"/>
    </row>
    <row r="2148" spans="1:23" x14ac:dyDescent="0.25">
      <c r="A2148" s="26" t="str">
        <f t="shared" si="353"/>
        <v>PRIMARIA</v>
      </c>
      <c r="B2148" s="26" t="str">
        <f>"09PPR0139D"</f>
        <v>09PPR0139D</v>
      </c>
      <c r="C2148" s="26" t="str">
        <f>"COLEGIO AZCAPOTZALCO                                                                                "</f>
        <v xml:space="preserve">COLEGIO AZCAPOTZALCO                                                                                </v>
      </c>
      <c r="D2148" s="26" t="str">
        <f t="shared" si="357"/>
        <v>MATUTINO</v>
      </c>
      <c r="E2148" s="26" t="str">
        <f>"RAYON NO 80                                                                     "</f>
        <v xml:space="preserve">RAYON NO 80                                                                     </v>
      </c>
      <c r="F2148" s="26" t="str">
        <f>"REYES LOS                                                                                                                                   "</f>
        <v xml:space="preserve">REYES LOS                                                                                                                                   </v>
      </c>
      <c r="G2148" s="26" t="str">
        <f>"AZCAPOTZALCO                                                                    "</f>
        <v xml:space="preserve">AZCAPOTZALCO                                                                    </v>
      </c>
      <c r="H2148" s="26" t="str">
        <f>"202"</f>
        <v>202</v>
      </c>
      <c r="I2148" s="26" t="str">
        <f t="shared" si="354"/>
        <v>00</v>
      </c>
      <c r="J2148" s="26" t="str">
        <f>"42 "</f>
        <v xml:space="preserve">42 </v>
      </c>
      <c r="K2148" s="26" t="str">
        <f t="shared" si="360"/>
        <v>PR</v>
      </c>
      <c r="L2148" s="26" t="str">
        <f t="shared" si="361"/>
        <v>DGOSE</v>
      </c>
      <c r="M2148" s="26" t="str">
        <f t="shared" si="358"/>
        <v>PARTICULAR</v>
      </c>
      <c r="N2148" s="26">
        <v>344</v>
      </c>
      <c r="O2148" s="26">
        <v>175</v>
      </c>
      <c r="P2148" s="26">
        <v>169</v>
      </c>
      <c r="Q2148" s="26">
        <v>12</v>
      </c>
      <c r="R2148" s="26">
        <v>0</v>
      </c>
      <c r="S2148" s="26">
        <v>12</v>
      </c>
      <c r="T2148" s="26">
        <v>10</v>
      </c>
      <c r="U2148" s="26">
        <v>22</v>
      </c>
      <c r="V2148" s="26">
        <v>1</v>
      </c>
      <c r="W2148" s="26"/>
    </row>
    <row r="2149" spans="1:23" x14ac:dyDescent="0.25">
      <c r="A2149" s="26" t="str">
        <f t="shared" si="353"/>
        <v>PRIMARIA</v>
      </c>
      <c r="B2149" s="26" t="str">
        <f>"09PPR0141S"</f>
        <v>09PPR0141S</v>
      </c>
      <c r="C2149" s="26" t="str">
        <f>"PARTENON                                                                                            "</f>
        <v xml:space="preserve">PARTENON                                                                                            </v>
      </c>
      <c r="D2149" s="26" t="str">
        <f t="shared" si="357"/>
        <v>MATUTINO</v>
      </c>
      <c r="E2149" s="26" t="str">
        <f>"PLAYA MANZANILLO 349                                                            "</f>
        <v xml:space="preserve">PLAYA MANZANILLO 349                                                            </v>
      </c>
      <c r="F2149" s="26" t="str">
        <f>"REFORMA IZTACCIHUATL                                                                                                                        "</f>
        <v xml:space="preserve">REFORMA IZTACCIHUATL                                                                                                                        </v>
      </c>
      <c r="G2149" s="26" t="str">
        <f>"IZTACALCO                                                                       "</f>
        <v xml:space="preserve">IZTACALCO                                                                       </v>
      </c>
      <c r="H2149" s="26" t="str">
        <f>"363"</f>
        <v>363</v>
      </c>
      <c r="I2149" s="26" t="str">
        <f t="shared" si="354"/>
        <v>00</v>
      </c>
      <c r="J2149" s="26" t="str">
        <f>"43 "</f>
        <v xml:space="preserve">43 </v>
      </c>
      <c r="K2149" s="26" t="str">
        <f t="shared" si="360"/>
        <v>PR</v>
      </c>
      <c r="L2149" s="26" t="str">
        <f t="shared" si="361"/>
        <v>DGOSE</v>
      </c>
      <c r="M2149" s="26" t="str">
        <f t="shared" si="358"/>
        <v>PARTICULAR</v>
      </c>
      <c r="N2149" s="26">
        <v>365</v>
      </c>
      <c r="O2149" s="26">
        <v>192</v>
      </c>
      <c r="P2149" s="26">
        <v>173</v>
      </c>
      <c r="Q2149" s="26">
        <v>15</v>
      </c>
      <c r="R2149" s="26">
        <v>1</v>
      </c>
      <c r="S2149" s="26">
        <v>15</v>
      </c>
      <c r="T2149" s="26">
        <v>31</v>
      </c>
      <c r="U2149" s="26">
        <v>47</v>
      </c>
      <c r="V2149" s="26">
        <v>1</v>
      </c>
      <c r="W2149" s="26"/>
    </row>
    <row r="2150" spans="1:23" x14ac:dyDescent="0.25">
      <c r="A2150" s="26" t="str">
        <f t="shared" si="353"/>
        <v>PRIMARIA</v>
      </c>
      <c r="B2150" s="26" t="str">
        <f>"09PPR0142R"</f>
        <v>09PPR0142R</v>
      </c>
      <c r="C2150" s="26" t="str">
        <f>"NUEVO COLEGIO CONTINENTAL AMERICANO                                                                 "</f>
        <v xml:space="preserve">NUEVO COLEGIO CONTINENTAL AMERICANO                                                                 </v>
      </c>
      <c r="D2150" s="26" t="str">
        <f t="shared" si="357"/>
        <v>MATUTINO</v>
      </c>
      <c r="E2150" s="26" t="str">
        <f>"MAYORAZGO DE SOLIS No.50                                                        "</f>
        <v xml:space="preserve">MAYORAZGO DE SOLIS No.50                                                        </v>
      </c>
      <c r="F2150" s="26" t="str">
        <f>"XOCO                                                                                                                                        "</f>
        <v xml:space="preserve">XOCO                                                                                                                                        </v>
      </c>
      <c r="G2150" s="26" t="str">
        <f>"BENITO JUAREZ                                                                   "</f>
        <v xml:space="preserve">BENITO JUAREZ                                                                   </v>
      </c>
      <c r="H2150" s="26" t="str">
        <f>"341"</f>
        <v>341</v>
      </c>
      <c r="I2150" s="26" t="str">
        <f t="shared" si="354"/>
        <v>00</v>
      </c>
      <c r="J2150" s="26" t="str">
        <f>"43 "</f>
        <v xml:space="preserve">43 </v>
      </c>
      <c r="K2150" s="26" t="str">
        <f t="shared" si="360"/>
        <v>PR</v>
      </c>
      <c r="L2150" s="26" t="str">
        <f t="shared" si="361"/>
        <v>DGOSE</v>
      </c>
      <c r="M2150" s="26" t="str">
        <f t="shared" si="358"/>
        <v>PARTICULAR</v>
      </c>
      <c r="N2150" s="26">
        <v>61</v>
      </c>
      <c r="O2150" s="26">
        <v>31</v>
      </c>
      <c r="P2150" s="26">
        <v>30</v>
      </c>
      <c r="Q2150" s="26">
        <v>6</v>
      </c>
      <c r="R2150" s="26">
        <v>1</v>
      </c>
      <c r="S2150" s="26">
        <v>6</v>
      </c>
      <c r="T2150" s="26">
        <v>12</v>
      </c>
      <c r="U2150" s="26">
        <v>19</v>
      </c>
      <c r="V2150" s="26">
        <v>1</v>
      </c>
      <c r="W2150" s="26"/>
    </row>
    <row r="2151" spans="1:23" x14ac:dyDescent="0.25">
      <c r="A2151" s="26" t="str">
        <f t="shared" si="353"/>
        <v>PRIMARIA</v>
      </c>
      <c r="B2151" s="26" t="str">
        <f>"09PPR0144P"</f>
        <v>09PPR0144P</v>
      </c>
      <c r="C2151" s="26" t="str">
        <f>"BELMONT AMERICAN SCHOOL                                                                             "</f>
        <v xml:space="preserve">BELMONT AMERICAN SCHOOL                                                                             </v>
      </c>
      <c r="D2151" s="26" t="str">
        <f t="shared" si="357"/>
        <v>MATUTINO</v>
      </c>
      <c r="E2151" s="26" t="str">
        <f>"BOULEVARD CAPRI NO. 97                                                          "</f>
        <v xml:space="preserve">BOULEVARD CAPRI NO. 97                                                          </v>
      </c>
      <c r="F2151" s="26" t="str">
        <f>"LOMAS ESTRELLA                                                                                                                              "</f>
        <v xml:space="preserve">LOMAS ESTRELLA                                                                                                                              </v>
      </c>
      <c r="G2151" s="26" t="str">
        <f>"IZTAPALAPA                                                                      "</f>
        <v xml:space="preserve">IZTAPALAPA                                                                      </v>
      </c>
      <c r="H2151" s="26" t="str">
        <f>"000"</f>
        <v>000</v>
      </c>
      <c r="I2151" s="26" t="str">
        <f t="shared" si="354"/>
        <v>00</v>
      </c>
      <c r="J2151" s="26" t="str">
        <f>"63 "</f>
        <v xml:space="preserve">63 </v>
      </c>
      <c r="K2151" s="26" t="str">
        <f>"IZ"</f>
        <v>IZ</v>
      </c>
      <c r="L2151" s="26" t="str">
        <f>"DGSEI"</f>
        <v>DGSEI</v>
      </c>
      <c r="M2151" s="26" t="str">
        <f t="shared" si="358"/>
        <v>PARTICULAR</v>
      </c>
      <c r="N2151" s="26">
        <v>259</v>
      </c>
      <c r="O2151" s="26">
        <v>129</v>
      </c>
      <c r="P2151" s="26">
        <v>130</v>
      </c>
      <c r="Q2151" s="26">
        <v>11</v>
      </c>
      <c r="R2151" s="26">
        <v>1</v>
      </c>
      <c r="S2151" s="26">
        <v>5</v>
      </c>
      <c r="T2151" s="26">
        <v>5</v>
      </c>
      <c r="U2151" s="26">
        <v>11</v>
      </c>
      <c r="V2151" s="26">
        <v>1</v>
      </c>
      <c r="W2151" s="26"/>
    </row>
    <row r="2152" spans="1:23" x14ac:dyDescent="0.25">
      <c r="A2152" s="26" t="str">
        <f t="shared" si="353"/>
        <v>PRIMARIA</v>
      </c>
      <c r="B2152" s="26" t="str">
        <f>"09PPR0145O"</f>
        <v>09PPR0145O</v>
      </c>
      <c r="C2152" s="26" t="str">
        <f>"COLEGIO NICOLAS BRAVO                                                                               "</f>
        <v xml:space="preserve">COLEGIO NICOLAS BRAVO                                                                               </v>
      </c>
      <c r="D2152" s="26" t="str">
        <f t="shared" si="357"/>
        <v>MATUTINO</v>
      </c>
      <c r="E2152" s="26" t="str">
        <f>"AV. 5 DE MAYO NO. 162                                                           "</f>
        <v xml:space="preserve">AV. 5 DE MAYO NO. 162                                                           </v>
      </c>
      <c r="F2152" s="26" t="str">
        <f>"SAN LUCAS                                                                                                                                   "</f>
        <v xml:space="preserve">SAN LUCAS                                                                                                                                   </v>
      </c>
      <c r="G2152" s="26" t="str">
        <f>"IZTAPALAPA                                                                      "</f>
        <v xml:space="preserve">IZTAPALAPA                                                                      </v>
      </c>
      <c r="H2152" s="26" t="str">
        <f>"000"</f>
        <v>000</v>
      </c>
      <c r="I2152" s="26" t="str">
        <f t="shared" si="354"/>
        <v>00</v>
      </c>
      <c r="J2152" s="26" t="str">
        <f>"61 "</f>
        <v xml:space="preserve">61 </v>
      </c>
      <c r="K2152" s="26" t="str">
        <f>"IZ"</f>
        <v>IZ</v>
      </c>
      <c r="L2152" s="26" t="str">
        <f>"DGSEI"</f>
        <v>DGSEI</v>
      </c>
      <c r="M2152" s="26" t="str">
        <f t="shared" si="358"/>
        <v>PARTICULAR</v>
      </c>
      <c r="N2152" s="26">
        <v>195</v>
      </c>
      <c r="O2152" s="26">
        <v>106</v>
      </c>
      <c r="P2152" s="26">
        <v>89</v>
      </c>
      <c r="Q2152" s="26">
        <v>10</v>
      </c>
      <c r="R2152" s="26">
        <v>1</v>
      </c>
      <c r="S2152" s="26">
        <v>10</v>
      </c>
      <c r="T2152" s="26">
        <v>12</v>
      </c>
      <c r="U2152" s="26">
        <v>23</v>
      </c>
      <c r="V2152" s="26">
        <v>1</v>
      </c>
      <c r="W2152" s="26"/>
    </row>
    <row r="2153" spans="1:23" x14ac:dyDescent="0.25">
      <c r="A2153" s="26" t="str">
        <f t="shared" si="353"/>
        <v>PRIMARIA</v>
      </c>
      <c r="B2153" s="26" t="str">
        <f>"09PPR0146N"</f>
        <v>09PPR0146N</v>
      </c>
      <c r="C2153" s="26" t="str">
        <f>"COLEGIO MICHELET DE MEXICO                                                                          "</f>
        <v xml:space="preserve">COLEGIO MICHELET DE MEXICO                                                                          </v>
      </c>
      <c r="D2153" s="26" t="str">
        <f t="shared" si="357"/>
        <v>MATUTINO</v>
      </c>
      <c r="E2153" s="26" t="str">
        <f>"PLUTARCO ELIAS CALLES 1148                                                      "</f>
        <v xml:space="preserve">PLUTARCO ELIAS CALLES 1148                                                      </v>
      </c>
      <c r="F2153" s="26" t="str">
        <f>"MILITAR MARTE                                                                                                                               "</f>
        <v xml:space="preserve">MILITAR MARTE                                                                                                                               </v>
      </c>
      <c r="G2153" s="26" t="str">
        <f>"IZTACALCO                                                                       "</f>
        <v xml:space="preserve">IZTACALCO                                                                       </v>
      </c>
      <c r="H2153" s="26" t="str">
        <f>"363"</f>
        <v>363</v>
      </c>
      <c r="I2153" s="26" t="str">
        <f t="shared" si="354"/>
        <v>00</v>
      </c>
      <c r="J2153" s="26" t="str">
        <f>"43 "</f>
        <v xml:space="preserve">43 </v>
      </c>
      <c r="K2153" s="26" t="str">
        <f>"PR"</f>
        <v>PR</v>
      </c>
      <c r="L2153" s="26" t="str">
        <f>"DGOSE"</f>
        <v>DGOSE</v>
      </c>
      <c r="M2153" s="26" t="str">
        <f t="shared" si="358"/>
        <v>PARTICULAR</v>
      </c>
      <c r="N2153" s="26">
        <v>196</v>
      </c>
      <c r="O2153" s="26">
        <v>101</v>
      </c>
      <c r="P2153" s="26">
        <v>95</v>
      </c>
      <c r="Q2153" s="26">
        <v>8</v>
      </c>
      <c r="R2153" s="26">
        <v>1</v>
      </c>
      <c r="S2153" s="26">
        <v>8</v>
      </c>
      <c r="T2153" s="26">
        <v>8</v>
      </c>
      <c r="U2153" s="26">
        <v>17</v>
      </c>
      <c r="V2153" s="26">
        <v>1</v>
      </c>
      <c r="W2153" s="26"/>
    </row>
    <row r="2154" spans="1:23" x14ac:dyDescent="0.25">
      <c r="A2154" s="26" t="str">
        <f t="shared" si="353"/>
        <v>PRIMARIA</v>
      </c>
      <c r="B2154" s="26" t="str">
        <f>"09PPR0147M"</f>
        <v>09PPR0147M</v>
      </c>
      <c r="C2154" s="26" t="str">
        <f>"INSTITUTO PROGRESO Y ESPERANZA  A.C.                                                                "</f>
        <v xml:space="preserve">INSTITUTO PROGRESO Y ESPERANZA  A.C.                                                                </v>
      </c>
      <c r="D2154" s="26" t="str">
        <f t="shared" si="357"/>
        <v>MATUTINO</v>
      </c>
      <c r="E2154" s="26" t="str">
        <f>"AV.5 NO.89                                                                      "</f>
        <v xml:space="preserve">AV.5 NO.89                                                                      </v>
      </c>
      <c r="F2154" s="26" t="str">
        <f>"GRANJAS SAN ANTONIO                                                                                                                         "</f>
        <v xml:space="preserve">GRANJAS SAN ANTONIO                                                                                                                         </v>
      </c>
      <c r="G2154" s="26" t="str">
        <f>"IZTAPALAPA                                                                      "</f>
        <v xml:space="preserve">IZTAPALAPA                                                                      </v>
      </c>
      <c r="H2154" s="26" t="str">
        <f>"000"</f>
        <v>000</v>
      </c>
      <c r="I2154" s="26" t="str">
        <f t="shared" si="354"/>
        <v>00</v>
      </c>
      <c r="J2154" s="26" t="str">
        <f>"61 "</f>
        <v xml:space="preserve">61 </v>
      </c>
      <c r="K2154" s="26" t="str">
        <f>"IZ"</f>
        <v>IZ</v>
      </c>
      <c r="L2154" s="26" t="str">
        <f>"DGSEI"</f>
        <v>DGSEI</v>
      </c>
      <c r="M2154" s="26" t="str">
        <f t="shared" si="358"/>
        <v>PARTICULAR</v>
      </c>
      <c r="N2154" s="26">
        <v>508</v>
      </c>
      <c r="O2154" s="26">
        <v>246</v>
      </c>
      <c r="P2154" s="26">
        <v>262</v>
      </c>
      <c r="Q2154" s="26">
        <v>18</v>
      </c>
      <c r="R2154" s="26">
        <v>1</v>
      </c>
      <c r="S2154" s="26">
        <v>18</v>
      </c>
      <c r="T2154" s="26">
        <v>17</v>
      </c>
      <c r="U2154" s="26">
        <v>36</v>
      </c>
      <c r="V2154" s="26">
        <v>1</v>
      </c>
      <c r="W2154" s="26"/>
    </row>
    <row r="2155" spans="1:23" x14ac:dyDescent="0.25">
      <c r="A2155" s="26" t="str">
        <f t="shared" si="353"/>
        <v>PRIMARIA</v>
      </c>
      <c r="B2155" s="26" t="str">
        <f>"09PPR0148L"</f>
        <v>09PPR0148L</v>
      </c>
      <c r="C2155" s="26" t="str">
        <f>"COLEGIO JOSE MARIA MORELOS Y PAVON                                                                  "</f>
        <v xml:space="preserve">COLEGIO JOSE MARIA MORELOS Y PAVON                                                                  </v>
      </c>
      <c r="D2155" s="26" t="str">
        <f t="shared" si="357"/>
        <v>MATUTINO</v>
      </c>
      <c r="E2155" s="26" t="str">
        <f>"SAN FRANCISCO NO. 429                                                           "</f>
        <v xml:space="preserve">SAN FRANCISCO NO. 429                                                           </v>
      </c>
      <c r="F2155" s="26" t="str">
        <f>"GRANJAS ESTRELLA                                                                                                                            "</f>
        <v xml:space="preserve">GRANJAS ESTRELLA                                                                                                                            </v>
      </c>
      <c r="G2155" s="26" t="str">
        <f>"IZTAPALAPA                                                                      "</f>
        <v xml:space="preserve">IZTAPALAPA                                                                      </v>
      </c>
      <c r="H2155" s="26" t="str">
        <f>"000"</f>
        <v>000</v>
      </c>
      <c r="I2155" s="26" t="str">
        <f t="shared" si="354"/>
        <v>00</v>
      </c>
      <c r="J2155" s="26" t="str">
        <f>"63 "</f>
        <v xml:space="preserve">63 </v>
      </c>
      <c r="K2155" s="26" t="str">
        <f>"IZ"</f>
        <v>IZ</v>
      </c>
      <c r="L2155" s="26" t="str">
        <f>"DGSEI"</f>
        <v>DGSEI</v>
      </c>
      <c r="M2155" s="26" t="str">
        <f t="shared" si="358"/>
        <v>PARTICULAR</v>
      </c>
      <c r="N2155" s="26">
        <v>475</v>
      </c>
      <c r="O2155" s="26">
        <v>228</v>
      </c>
      <c r="P2155" s="26">
        <v>247</v>
      </c>
      <c r="Q2155" s="26">
        <v>18</v>
      </c>
      <c r="R2155" s="26">
        <v>1</v>
      </c>
      <c r="S2155" s="26">
        <v>16</v>
      </c>
      <c r="T2155" s="26">
        <v>10</v>
      </c>
      <c r="U2155" s="26">
        <v>27</v>
      </c>
      <c r="V2155" s="26">
        <v>1</v>
      </c>
      <c r="W2155" s="26"/>
    </row>
    <row r="2156" spans="1:23" x14ac:dyDescent="0.25">
      <c r="A2156" s="26" t="str">
        <f t="shared" si="353"/>
        <v>PRIMARIA</v>
      </c>
      <c r="B2156" s="26" t="str">
        <f>"09PPR0149K"</f>
        <v>09PPR0149K</v>
      </c>
      <c r="C2156" s="26" t="str">
        <f>"INSTITUTO REFORMA                                                                                   "</f>
        <v xml:space="preserve">INSTITUTO REFORMA                                                                                   </v>
      </c>
      <c r="D2156" s="26" t="str">
        <f t="shared" si="357"/>
        <v>MATUTINO</v>
      </c>
      <c r="E2156" s="26" t="str">
        <f>"PLAYA PIE DE LA CUESTA NO. 337                                                  "</f>
        <v xml:space="preserve">PLAYA PIE DE LA CUESTA NO. 337                                                  </v>
      </c>
      <c r="F2156" s="26" t="str">
        <f>"EL RETOÑO                                                                                                                                   "</f>
        <v xml:space="preserve">EL RETOÑO                                                                                                                                   </v>
      </c>
      <c r="G2156" s="26" t="str">
        <f>"IZTAPALAPA                                                                      "</f>
        <v xml:space="preserve">IZTAPALAPA                                                                      </v>
      </c>
      <c r="H2156" s="26" t="str">
        <f>"000"</f>
        <v>000</v>
      </c>
      <c r="I2156" s="26" t="str">
        <f t="shared" si="354"/>
        <v>00</v>
      </c>
      <c r="J2156" s="26" t="str">
        <f>"61 "</f>
        <v xml:space="preserve">61 </v>
      </c>
      <c r="K2156" s="26" t="str">
        <f>"IZ"</f>
        <v>IZ</v>
      </c>
      <c r="L2156" s="26" t="str">
        <f>"DGSEI"</f>
        <v>DGSEI</v>
      </c>
      <c r="M2156" s="26" t="str">
        <f t="shared" si="358"/>
        <v>PARTICULAR</v>
      </c>
      <c r="N2156" s="26">
        <v>95</v>
      </c>
      <c r="O2156" s="26">
        <v>39</v>
      </c>
      <c r="P2156" s="26">
        <v>56</v>
      </c>
      <c r="Q2156" s="26">
        <v>6</v>
      </c>
      <c r="R2156" s="26">
        <v>1</v>
      </c>
      <c r="S2156" s="26">
        <v>6</v>
      </c>
      <c r="T2156" s="26">
        <v>6</v>
      </c>
      <c r="U2156" s="26">
        <v>13</v>
      </c>
      <c r="V2156" s="26">
        <v>1</v>
      </c>
      <c r="W2156" s="26"/>
    </row>
    <row r="2157" spans="1:23" x14ac:dyDescent="0.25">
      <c r="A2157" s="26" t="str">
        <f t="shared" si="353"/>
        <v>PRIMARIA</v>
      </c>
      <c r="B2157" s="26" t="str">
        <f>"09PPR0150Z"</f>
        <v>09PPR0150Z</v>
      </c>
      <c r="C2157" s="26" t="str">
        <f>"INSTITUTO DE LOS NIÑOS                                                                              "</f>
        <v xml:space="preserve">INSTITUTO DE LOS NIÑOS                                                                              </v>
      </c>
      <c r="D2157" s="26" t="str">
        <f t="shared" si="357"/>
        <v>MATUTINO</v>
      </c>
      <c r="E2157" s="26" t="str">
        <f>"AMADO NERVO NO. 70                                                              "</f>
        <v xml:space="preserve">AMADO NERVO NO. 70                                                              </v>
      </c>
      <c r="F2157" s="26" t="str">
        <f>"MODERNA                                                                                                                                     "</f>
        <v xml:space="preserve">MODERNA                                                                                                                                     </v>
      </c>
      <c r="G2157" s="26" t="str">
        <f>"BENITO JUAREZ                                                                   "</f>
        <v xml:space="preserve">BENITO JUAREZ                                                                   </v>
      </c>
      <c r="H2157" s="26" t="str">
        <f>"000"</f>
        <v>000</v>
      </c>
      <c r="I2157" s="26" t="str">
        <f t="shared" si="354"/>
        <v>00</v>
      </c>
      <c r="J2157" s="26" t="str">
        <f>"43 "</f>
        <v xml:space="preserve">43 </v>
      </c>
      <c r="K2157" s="26" t="str">
        <f>"PR"</f>
        <v>PR</v>
      </c>
      <c r="L2157" s="26" t="str">
        <f>"DGOSE"</f>
        <v>DGOSE</v>
      </c>
      <c r="M2157" s="26" t="str">
        <f t="shared" si="358"/>
        <v>PARTICULAR</v>
      </c>
      <c r="N2157" s="26">
        <v>94</v>
      </c>
      <c r="O2157" s="26">
        <v>39</v>
      </c>
      <c r="P2157" s="26">
        <v>55</v>
      </c>
      <c r="Q2157" s="26">
        <v>6</v>
      </c>
      <c r="R2157" s="26">
        <v>1</v>
      </c>
      <c r="S2157" s="26">
        <v>2</v>
      </c>
      <c r="T2157" s="26">
        <v>7</v>
      </c>
      <c r="U2157" s="26">
        <v>10</v>
      </c>
      <c r="V2157" s="26">
        <v>1</v>
      </c>
      <c r="W2157" s="26"/>
    </row>
    <row r="2158" spans="1:23" x14ac:dyDescent="0.25">
      <c r="A2158" s="26" t="str">
        <f t="shared" si="353"/>
        <v>PRIMARIA</v>
      </c>
      <c r="B2158" s="26" t="str">
        <f>"09PPR0152Y"</f>
        <v>09PPR0152Y</v>
      </c>
      <c r="C2158" s="26" t="str">
        <f>"IGNACIO MANUEL ALTAMIRANO                                                                           "</f>
        <v xml:space="preserve">IGNACIO MANUEL ALTAMIRANO                                                                           </v>
      </c>
      <c r="D2158" s="26" t="str">
        <f t="shared" si="357"/>
        <v>MATUTINO</v>
      </c>
      <c r="E2158" s="26" t="str">
        <f>"NORTE. 90 NO4501                                                                "</f>
        <v xml:space="preserve">NORTE. 90 NO4501                                                                </v>
      </c>
      <c r="F2158" s="26" t="str">
        <f>"NUEVA TENOCHTITLAN                                                                                                                          "</f>
        <v xml:space="preserve">NUEVA TENOCHTITLAN                                                                                                                          </v>
      </c>
      <c r="G2158" s="26" t="str">
        <f>"GUSTAVO A. MADERO                                                               "</f>
        <v xml:space="preserve">GUSTAVO A. MADERO                                                               </v>
      </c>
      <c r="H2158" s="26" t="str">
        <f>"254"</f>
        <v>254</v>
      </c>
      <c r="I2158" s="26" t="str">
        <f t="shared" si="354"/>
        <v>00</v>
      </c>
      <c r="J2158" s="26" t="str">
        <f>"42 "</f>
        <v xml:space="preserve">42 </v>
      </c>
      <c r="K2158" s="26" t="str">
        <f>"PR"</f>
        <v>PR</v>
      </c>
      <c r="L2158" s="26" t="str">
        <f>"DGOSE"</f>
        <v>DGOSE</v>
      </c>
      <c r="M2158" s="26" t="str">
        <f t="shared" si="358"/>
        <v>PARTICULAR</v>
      </c>
      <c r="N2158" s="26">
        <v>41</v>
      </c>
      <c r="O2158" s="26">
        <v>27</v>
      </c>
      <c r="P2158" s="26">
        <v>14</v>
      </c>
      <c r="Q2158" s="26">
        <v>6</v>
      </c>
      <c r="R2158" s="26">
        <v>1</v>
      </c>
      <c r="S2158" s="26">
        <v>5</v>
      </c>
      <c r="T2158" s="26">
        <v>6</v>
      </c>
      <c r="U2158" s="26">
        <v>12</v>
      </c>
      <c r="V2158" s="26">
        <v>1</v>
      </c>
      <c r="W2158" s="26"/>
    </row>
    <row r="2159" spans="1:23" x14ac:dyDescent="0.25">
      <c r="A2159" s="26" t="str">
        <f t="shared" si="353"/>
        <v>PRIMARIA</v>
      </c>
      <c r="B2159" s="26" t="str">
        <f>"09PPR0153X"</f>
        <v>09PPR0153X</v>
      </c>
      <c r="C2159" s="26" t="str">
        <f>"ESCUELA HEROES DE VERACRUZ                                                                          "</f>
        <v xml:space="preserve">ESCUELA HEROES DE VERACRUZ                                                                          </v>
      </c>
      <c r="D2159" s="26" t="str">
        <f t="shared" si="357"/>
        <v>MATUTINO</v>
      </c>
      <c r="E2159" s="26" t="str">
        <f>"SUR 101-B 329 Y 346                                                             "</f>
        <v xml:space="preserve">SUR 101-B 329 Y 346                                                             </v>
      </c>
      <c r="F2159" s="26" t="str">
        <f>"HEROES DE CHURUBUSCO                                                                                                                        "</f>
        <v xml:space="preserve">HEROES DE CHURUBUSCO                                                                                                                        </v>
      </c>
      <c r="G2159" s="26" t="str">
        <f>"IZTAPALAPA                                                                      "</f>
        <v xml:space="preserve">IZTAPALAPA                                                                      </v>
      </c>
      <c r="H2159" s="26" t="str">
        <f>"000"</f>
        <v>000</v>
      </c>
      <c r="I2159" s="26" t="str">
        <f t="shared" si="354"/>
        <v>00</v>
      </c>
      <c r="J2159" s="26" t="str">
        <f>"61 "</f>
        <v xml:space="preserve">61 </v>
      </c>
      <c r="K2159" s="26" t="str">
        <f>"IZ"</f>
        <v>IZ</v>
      </c>
      <c r="L2159" s="26" t="str">
        <f>"DGSEI"</f>
        <v>DGSEI</v>
      </c>
      <c r="M2159" s="26" t="str">
        <f t="shared" si="358"/>
        <v>PARTICULAR</v>
      </c>
      <c r="N2159" s="26">
        <v>44</v>
      </c>
      <c r="O2159" s="26">
        <v>25</v>
      </c>
      <c r="P2159" s="26">
        <v>19</v>
      </c>
      <c r="Q2159" s="26">
        <v>6</v>
      </c>
      <c r="R2159" s="26">
        <v>1</v>
      </c>
      <c r="S2159" s="26">
        <v>3</v>
      </c>
      <c r="T2159" s="26">
        <v>2</v>
      </c>
      <c r="U2159" s="26">
        <v>6</v>
      </c>
      <c r="V2159" s="26">
        <v>1</v>
      </c>
      <c r="W2159" s="26"/>
    </row>
    <row r="2160" spans="1:23" x14ac:dyDescent="0.25">
      <c r="A2160" s="26" t="str">
        <f t="shared" si="353"/>
        <v>PRIMARIA</v>
      </c>
      <c r="B2160" s="26" t="str">
        <f>"09PPR0155V"</f>
        <v>09PPR0155V</v>
      </c>
      <c r="C2160" s="26" t="str">
        <f>"GARSIDE                                                                                             "</f>
        <v xml:space="preserve">GARSIDE                                                                                             </v>
      </c>
      <c r="D2160" s="26" t="str">
        <f t="shared" si="357"/>
        <v>MATUTINO</v>
      </c>
      <c r="E2160" s="26" t="str">
        <f>"PROLONG UXMAL 1002                                                              "</f>
        <v xml:space="preserve">PROLONG UXMAL 1002                                                              </v>
      </c>
      <c r="F2160" s="26" t="str">
        <f>"PORTALES                                                                                                                                    "</f>
        <v xml:space="preserve">PORTALES                                                                                                                                    </v>
      </c>
      <c r="G2160" s="26" t="str">
        <f>"BENITO JUAREZ                                                                   "</f>
        <v xml:space="preserve">BENITO JUAREZ                                                                   </v>
      </c>
      <c r="H2160" s="26" t="str">
        <f>"341"</f>
        <v>341</v>
      </c>
      <c r="I2160" s="26" t="str">
        <f t="shared" si="354"/>
        <v>00</v>
      </c>
      <c r="J2160" s="26" t="str">
        <f>"43 "</f>
        <v xml:space="preserve">43 </v>
      </c>
      <c r="K2160" s="26" t="str">
        <f>"PR"</f>
        <v>PR</v>
      </c>
      <c r="L2160" s="26" t="str">
        <f>"DGOSE"</f>
        <v>DGOSE</v>
      </c>
      <c r="M2160" s="26" t="str">
        <f t="shared" si="358"/>
        <v>PARTICULAR</v>
      </c>
      <c r="N2160" s="26">
        <v>139</v>
      </c>
      <c r="O2160" s="26">
        <v>72</v>
      </c>
      <c r="P2160" s="26">
        <v>67</v>
      </c>
      <c r="Q2160" s="26">
        <v>6</v>
      </c>
      <c r="R2160" s="26">
        <v>1</v>
      </c>
      <c r="S2160" s="26">
        <v>4</v>
      </c>
      <c r="T2160" s="26">
        <v>15</v>
      </c>
      <c r="U2160" s="26">
        <v>20</v>
      </c>
      <c r="V2160" s="26">
        <v>1</v>
      </c>
      <c r="W2160" s="26"/>
    </row>
    <row r="2161" spans="1:23" x14ac:dyDescent="0.25">
      <c r="A2161" s="26" t="str">
        <f t="shared" si="353"/>
        <v>PRIMARIA</v>
      </c>
      <c r="B2161" s="26" t="str">
        <f>"09PPR0157T"</f>
        <v>09PPR0157T</v>
      </c>
      <c r="C2161" s="26" t="str">
        <f>"ERASMO CASTELLANOS QUINTO                                                                           "</f>
        <v xml:space="preserve">ERASMO CASTELLANOS QUINTO                                                                           </v>
      </c>
      <c r="D2161" s="26" t="str">
        <f t="shared" si="357"/>
        <v>MATUTINO</v>
      </c>
      <c r="E2161" s="26" t="str">
        <f>"MIGUEL ANGEL # 25                                                               "</f>
        <v xml:space="preserve">MIGUEL ANGEL # 25                                                               </v>
      </c>
      <c r="F2161" s="26" t="str">
        <f>"MODERNA                                                                                                                                     "</f>
        <v xml:space="preserve">MODERNA                                                                                                                                     </v>
      </c>
      <c r="G2161" s="26" t="str">
        <f>"BENITO JUAREZ                                                                   "</f>
        <v xml:space="preserve">BENITO JUAREZ                                                                   </v>
      </c>
      <c r="H2161" s="26" t="str">
        <f>"000"</f>
        <v>000</v>
      </c>
      <c r="I2161" s="26" t="str">
        <f t="shared" si="354"/>
        <v>00</v>
      </c>
      <c r="J2161" s="26" t="str">
        <f>"43 "</f>
        <v xml:space="preserve">43 </v>
      </c>
      <c r="K2161" s="26" t="str">
        <f>"PR"</f>
        <v>PR</v>
      </c>
      <c r="L2161" s="26" t="str">
        <f>"DGOSE"</f>
        <v>DGOSE</v>
      </c>
      <c r="M2161" s="26" t="str">
        <f t="shared" si="358"/>
        <v>PARTICULAR</v>
      </c>
      <c r="N2161" s="26">
        <v>97</v>
      </c>
      <c r="O2161" s="26">
        <v>50</v>
      </c>
      <c r="P2161" s="26">
        <v>47</v>
      </c>
      <c r="Q2161" s="26">
        <v>6</v>
      </c>
      <c r="R2161" s="26">
        <v>1</v>
      </c>
      <c r="S2161" s="26">
        <v>4</v>
      </c>
      <c r="T2161" s="26">
        <v>11</v>
      </c>
      <c r="U2161" s="26">
        <v>16</v>
      </c>
      <c r="V2161" s="26">
        <v>1</v>
      </c>
      <c r="W2161" s="26"/>
    </row>
    <row r="2162" spans="1:23" x14ac:dyDescent="0.25">
      <c r="A2162" s="26" t="str">
        <f t="shared" si="353"/>
        <v>PRIMARIA</v>
      </c>
      <c r="B2162" s="26" t="str">
        <f>"09PPR0158S"</f>
        <v>09PPR0158S</v>
      </c>
      <c r="C2162" s="26" t="str">
        <f>"INSTITUTO MONTESSORI                                                                                "</f>
        <v xml:space="preserve">INSTITUTO MONTESSORI                                                                                </v>
      </c>
      <c r="D2162" s="26" t="str">
        <f t="shared" si="357"/>
        <v>MATUTINO</v>
      </c>
      <c r="E2162" s="26" t="str">
        <f>"PROL.EMILIANO ZAPATA NO.65                                                      "</f>
        <v xml:space="preserve">PROL.EMILIANO ZAPATA NO.65                                                      </v>
      </c>
      <c r="F2162" s="26" t="str">
        <f>"UNIDAD MODELO                                                                                                                               "</f>
        <v xml:space="preserve">UNIDAD MODELO                                                                                                                               </v>
      </c>
      <c r="G2162" s="26" t="str">
        <f>"IZTAPALAPA                                                                      "</f>
        <v xml:space="preserve">IZTAPALAPA                                                                      </v>
      </c>
      <c r="H2162" s="26" t="str">
        <f>"000"</f>
        <v>000</v>
      </c>
      <c r="I2162" s="26" t="str">
        <f t="shared" si="354"/>
        <v>00</v>
      </c>
      <c r="J2162" s="26" t="str">
        <f>"61 "</f>
        <v xml:space="preserve">61 </v>
      </c>
      <c r="K2162" s="26" t="str">
        <f>"IZ"</f>
        <v>IZ</v>
      </c>
      <c r="L2162" s="26" t="str">
        <f>"DGSEI"</f>
        <v>DGSEI</v>
      </c>
      <c r="M2162" s="26" t="str">
        <f t="shared" si="358"/>
        <v>PARTICULAR</v>
      </c>
      <c r="N2162" s="26">
        <v>72</v>
      </c>
      <c r="O2162" s="26">
        <v>39</v>
      </c>
      <c r="P2162" s="26">
        <v>33</v>
      </c>
      <c r="Q2162" s="26">
        <v>6</v>
      </c>
      <c r="R2162" s="26">
        <v>1</v>
      </c>
      <c r="S2162" s="26">
        <v>6</v>
      </c>
      <c r="T2162" s="26">
        <v>4</v>
      </c>
      <c r="U2162" s="26">
        <v>11</v>
      </c>
      <c r="V2162" s="26">
        <v>1</v>
      </c>
      <c r="W2162" s="26"/>
    </row>
    <row r="2163" spans="1:23" x14ac:dyDescent="0.25">
      <c r="A2163" s="26" t="str">
        <f t="shared" si="353"/>
        <v>PRIMARIA</v>
      </c>
      <c r="B2163" s="26" t="str">
        <f>"09PPR0159R"</f>
        <v>09PPR0159R</v>
      </c>
      <c r="C2163" s="26" t="str">
        <f>"CRISTIANA FERNANDEZ DE MERINO                                                                       "</f>
        <v xml:space="preserve">CRISTIANA FERNANDEZ DE MERINO                                                                       </v>
      </c>
      <c r="D2163" s="26" t="str">
        <f t="shared" si="357"/>
        <v>MATUTINO</v>
      </c>
      <c r="E2163" s="26" t="str">
        <f>"TRIPOLI # 112                                                                   "</f>
        <v xml:space="preserve">TRIPOLI # 112                                                                   </v>
      </c>
      <c r="F2163" s="26" t="str">
        <f>"PORTALES                                                                                                                                    "</f>
        <v xml:space="preserve">PORTALES                                                                                                                                    </v>
      </c>
      <c r="G2163" s="26" t="str">
        <f>"BENITO JUAREZ                                                                   "</f>
        <v xml:space="preserve">BENITO JUAREZ                                                                   </v>
      </c>
      <c r="H2163" s="26" t="str">
        <f>"341"</f>
        <v>341</v>
      </c>
      <c r="I2163" s="26" t="str">
        <f t="shared" si="354"/>
        <v>00</v>
      </c>
      <c r="J2163" s="26" t="str">
        <f>"43 "</f>
        <v xml:space="preserve">43 </v>
      </c>
      <c r="K2163" s="26" t="str">
        <f>"PR"</f>
        <v>PR</v>
      </c>
      <c r="L2163" s="26" t="str">
        <f>"DGOSE"</f>
        <v>DGOSE</v>
      </c>
      <c r="M2163" s="26" t="str">
        <f t="shared" si="358"/>
        <v>PARTICULAR</v>
      </c>
      <c r="N2163" s="26">
        <v>144</v>
      </c>
      <c r="O2163" s="26">
        <v>72</v>
      </c>
      <c r="P2163" s="26">
        <v>72</v>
      </c>
      <c r="Q2163" s="26">
        <v>6</v>
      </c>
      <c r="R2163" s="26">
        <v>1</v>
      </c>
      <c r="S2163" s="26">
        <v>6</v>
      </c>
      <c r="T2163" s="26">
        <v>8</v>
      </c>
      <c r="U2163" s="26">
        <v>15</v>
      </c>
      <c r="V2163" s="26">
        <v>1</v>
      </c>
      <c r="W2163" s="26"/>
    </row>
    <row r="2164" spans="1:23" x14ac:dyDescent="0.25">
      <c r="A2164" s="26" t="str">
        <f t="shared" si="353"/>
        <v>PRIMARIA</v>
      </c>
      <c r="B2164" s="26" t="str">
        <f>"09PPR0160G"</f>
        <v>09PPR0160G</v>
      </c>
      <c r="C2164" s="26" t="str">
        <f>"CONSUELO                                                                                            "</f>
        <v xml:space="preserve">CONSUELO                                                                                            </v>
      </c>
      <c r="D2164" s="26" t="str">
        <f t="shared" si="357"/>
        <v>MATUTINO</v>
      </c>
      <c r="E2164" s="26" t="str">
        <f>"CONSUELO NO. 8                                                                  "</f>
        <v xml:space="preserve">CONSUELO NO. 8                                                                  </v>
      </c>
      <c r="F2164" s="26" t="str">
        <f>"SANTA MARTHA ACATITLA                                                                                                                       "</f>
        <v xml:space="preserve">SANTA MARTHA ACATITLA                                                                                                                       </v>
      </c>
      <c r="G2164" s="26" t="str">
        <f>"IZTAPALAPA                                                                      "</f>
        <v xml:space="preserve">IZTAPALAPA                                                                      </v>
      </c>
      <c r="H2164" s="26" t="str">
        <f>"000"</f>
        <v>000</v>
      </c>
      <c r="I2164" s="26" t="str">
        <f t="shared" si="354"/>
        <v>00</v>
      </c>
      <c r="J2164" s="26" t="str">
        <f>"62 "</f>
        <v xml:space="preserve">62 </v>
      </c>
      <c r="K2164" s="26" t="str">
        <f>"IZ"</f>
        <v>IZ</v>
      </c>
      <c r="L2164" s="26" t="str">
        <f>"DGSEI"</f>
        <v>DGSEI</v>
      </c>
      <c r="M2164" s="26" t="str">
        <f t="shared" si="358"/>
        <v>PARTICULAR</v>
      </c>
      <c r="N2164" s="26">
        <v>132</v>
      </c>
      <c r="O2164" s="26">
        <v>62</v>
      </c>
      <c r="P2164" s="26">
        <v>70</v>
      </c>
      <c r="Q2164" s="26">
        <v>6</v>
      </c>
      <c r="R2164" s="26">
        <v>1</v>
      </c>
      <c r="S2164" s="26">
        <v>6</v>
      </c>
      <c r="T2164" s="26">
        <v>5</v>
      </c>
      <c r="U2164" s="26">
        <v>12</v>
      </c>
      <c r="V2164" s="26">
        <v>1</v>
      </c>
      <c r="W2164" s="26"/>
    </row>
    <row r="2165" spans="1:23" x14ac:dyDescent="0.25">
      <c r="A2165" s="26" t="str">
        <f t="shared" si="353"/>
        <v>PRIMARIA</v>
      </c>
      <c r="B2165" s="26" t="str">
        <f>"09PPR0165B"</f>
        <v>09PPR0165B</v>
      </c>
      <c r="C2165" s="26" t="str">
        <f>"COLEGIO ALVAREZ                                                                                     "</f>
        <v xml:space="preserve">COLEGIO ALVAREZ                                                                                     </v>
      </c>
      <c r="D2165" s="26" t="str">
        <f t="shared" si="357"/>
        <v>MATUTINO</v>
      </c>
      <c r="E2165" s="26" t="str">
        <f>"CAMINO DEL ESFUERZO # 49                                                        "</f>
        <v xml:space="preserve">CAMINO DEL ESFUERZO # 49                                                        </v>
      </c>
      <c r="F2165" s="26" t="str">
        <f>"CAMPESTRE ARAGON                                                                                                                            "</f>
        <v xml:space="preserve">CAMPESTRE ARAGON                                                                                                                            </v>
      </c>
      <c r="G2165" s="26" t="str">
        <f>"GUSTAVO A. MADERO                                                               "</f>
        <v xml:space="preserve">GUSTAVO A. MADERO                                                               </v>
      </c>
      <c r="H2165" s="26" t="str">
        <f>"264"</f>
        <v>264</v>
      </c>
      <c r="I2165" s="26" t="str">
        <f t="shared" si="354"/>
        <v>00</v>
      </c>
      <c r="J2165" s="26" t="str">
        <f t="shared" ref="J2165:J2189" si="362">"42 "</f>
        <v xml:space="preserve">42 </v>
      </c>
      <c r="K2165" s="26" t="str">
        <f t="shared" ref="K2165:K2228" si="363">"PR"</f>
        <v>PR</v>
      </c>
      <c r="L2165" s="26" t="str">
        <f t="shared" ref="L2165:L2228" si="364">"DGOSE"</f>
        <v>DGOSE</v>
      </c>
      <c r="M2165" s="26" t="str">
        <f t="shared" si="358"/>
        <v>PARTICULAR</v>
      </c>
      <c r="N2165" s="26">
        <v>113</v>
      </c>
      <c r="O2165" s="26">
        <v>62</v>
      </c>
      <c r="P2165" s="26">
        <v>51</v>
      </c>
      <c r="Q2165" s="26">
        <v>6</v>
      </c>
      <c r="R2165" s="26">
        <v>1</v>
      </c>
      <c r="S2165" s="26">
        <v>6</v>
      </c>
      <c r="T2165" s="26">
        <v>5</v>
      </c>
      <c r="U2165" s="26">
        <v>12</v>
      </c>
      <c r="V2165" s="26">
        <v>1</v>
      </c>
      <c r="W2165" s="26"/>
    </row>
    <row r="2166" spans="1:23" x14ac:dyDescent="0.25">
      <c r="A2166" s="26" t="str">
        <f t="shared" si="353"/>
        <v>PRIMARIA</v>
      </c>
      <c r="B2166" s="26" t="str">
        <f>"09PPR0166A"</f>
        <v>09PPR0166A</v>
      </c>
      <c r="C2166" s="26" t="str">
        <f>"ALFREDO BINET                                                                                       "</f>
        <v xml:space="preserve">ALFREDO BINET                                                                                       </v>
      </c>
      <c r="D2166" s="26" t="str">
        <f t="shared" si="357"/>
        <v>MATUTINO</v>
      </c>
      <c r="E2166" s="26" t="str">
        <f>"NORTE 60 NUM 3633                                                               "</f>
        <v xml:space="preserve">NORTE 60 NUM 3633                                                               </v>
      </c>
      <c r="F2166" s="26" t="str">
        <f>"MARTIRES DE RIO BLANCO                                                                                                                      "</f>
        <v xml:space="preserve">MARTIRES DE RIO BLANCO                                                                                                                      </v>
      </c>
      <c r="G2166" s="26" t="str">
        <f>"GUSTAVO A. MADERO                                                               "</f>
        <v xml:space="preserve">GUSTAVO A. MADERO                                                               </v>
      </c>
      <c r="H2166" s="26" t="str">
        <f>"251"</f>
        <v>251</v>
      </c>
      <c r="I2166" s="26" t="str">
        <f t="shared" si="354"/>
        <v>00</v>
      </c>
      <c r="J2166" s="26" t="str">
        <f t="shared" si="362"/>
        <v xml:space="preserve">42 </v>
      </c>
      <c r="K2166" s="26" t="str">
        <f t="shared" si="363"/>
        <v>PR</v>
      </c>
      <c r="L2166" s="26" t="str">
        <f t="shared" si="364"/>
        <v>DGOSE</v>
      </c>
      <c r="M2166" s="26" t="str">
        <f t="shared" si="358"/>
        <v>PARTICULAR</v>
      </c>
      <c r="N2166" s="26">
        <v>47</v>
      </c>
      <c r="O2166" s="26">
        <v>28</v>
      </c>
      <c r="P2166" s="26">
        <v>19</v>
      </c>
      <c r="Q2166" s="26">
        <v>6</v>
      </c>
      <c r="R2166" s="26">
        <v>1</v>
      </c>
      <c r="S2166" s="26">
        <v>6</v>
      </c>
      <c r="T2166" s="26">
        <v>1</v>
      </c>
      <c r="U2166" s="26">
        <v>8</v>
      </c>
      <c r="V2166" s="26">
        <v>1</v>
      </c>
      <c r="W2166" s="26"/>
    </row>
    <row r="2167" spans="1:23" x14ac:dyDescent="0.25">
      <c r="A2167" s="26" t="str">
        <f t="shared" si="353"/>
        <v>PRIMARIA</v>
      </c>
      <c r="B2167" s="26" t="str">
        <f>"09PPR0168Z"</f>
        <v>09PPR0168Z</v>
      </c>
      <c r="C2167" s="26" t="str">
        <f>"GUADALUPE CARPIO CANDAS                                                                             "</f>
        <v xml:space="preserve">GUADALUPE CARPIO CANDAS                                                                             </v>
      </c>
      <c r="D2167" s="26" t="str">
        <f t="shared" si="357"/>
        <v>MATUTINO</v>
      </c>
      <c r="E2167" s="26" t="str">
        <f>"NUBIA 196                                                                       "</f>
        <v xml:space="preserve">NUBIA 196                                                                       </v>
      </c>
      <c r="F2167" s="26" t="str">
        <f>"EL RECREO                                                                                                                                   "</f>
        <v xml:space="preserve">EL RECREO                                                                                                                                   </v>
      </c>
      <c r="G2167" s="26" t="str">
        <f>"AZCAPOTZALCO                                                                    "</f>
        <v xml:space="preserve">AZCAPOTZALCO                                                                    </v>
      </c>
      <c r="H2167" s="26" t="str">
        <f>"000"</f>
        <v>000</v>
      </c>
      <c r="I2167" s="26" t="str">
        <f t="shared" si="354"/>
        <v>00</v>
      </c>
      <c r="J2167" s="26" t="str">
        <f t="shared" si="362"/>
        <v xml:space="preserve">42 </v>
      </c>
      <c r="K2167" s="26" t="str">
        <f t="shared" si="363"/>
        <v>PR</v>
      </c>
      <c r="L2167" s="26" t="str">
        <f t="shared" si="364"/>
        <v>DGOSE</v>
      </c>
      <c r="M2167" s="26" t="str">
        <f t="shared" si="358"/>
        <v>PARTICULAR</v>
      </c>
      <c r="N2167" s="26">
        <v>124</v>
      </c>
      <c r="O2167" s="26">
        <v>53</v>
      </c>
      <c r="P2167" s="26">
        <v>71</v>
      </c>
      <c r="Q2167" s="26">
        <v>6</v>
      </c>
      <c r="R2167" s="26">
        <v>1</v>
      </c>
      <c r="S2167" s="26">
        <v>6</v>
      </c>
      <c r="T2167" s="26">
        <v>10</v>
      </c>
      <c r="U2167" s="26">
        <v>17</v>
      </c>
      <c r="V2167" s="26">
        <v>1</v>
      </c>
      <c r="W2167" s="26"/>
    </row>
    <row r="2168" spans="1:23" x14ac:dyDescent="0.25">
      <c r="A2168" s="26" t="str">
        <f t="shared" si="353"/>
        <v>PRIMARIA</v>
      </c>
      <c r="B2168" s="26" t="str">
        <f>"09PPR0170N"</f>
        <v>09PPR0170N</v>
      </c>
      <c r="C2168" s="26" t="str">
        <f>"MARIA LUISA GODEAU                                                                                  "</f>
        <v xml:space="preserve">MARIA LUISA GODEAU                                                                                  </v>
      </c>
      <c r="D2168" s="26" t="str">
        <f t="shared" si="357"/>
        <v>MATUTINO</v>
      </c>
      <c r="E2168" s="26" t="str">
        <f>"GARRIDO NO 40                                                                   "</f>
        <v xml:space="preserve">GARRIDO NO 40                                                                   </v>
      </c>
      <c r="F2168" s="26" t="str">
        <f>"ARAGON                                                                                                                                      "</f>
        <v xml:space="preserve">ARAGON                                                                                                                                      </v>
      </c>
      <c r="G2168" s="26" t="str">
        <f t="shared" ref="G2168:G2174" si="365">"GUSTAVO A. MADERO                                                               "</f>
        <v xml:space="preserve">GUSTAVO A. MADERO                                                               </v>
      </c>
      <c r="H2168" s="26" t="str">
        <f>"245"</f>
        <v>245</v>
      </c>
      <c r="I2168" s="26" t="str">
        <f t="shared" si="354"/>
        <v>00</v>
      </c>
      <c r="J2168" s="26" t="str">
        <f t="shared" si="362"/>
        <v xml:space="preserve">42 </v>
      </c>
      <c r="K2168" s="26" t="str">
        <f t="shared" si="363"/>
        <v>PR</v>
      </c>
      <c r="L2168" s="26" t="str">
        <f t="shared" si="364"/>
        <v>DGOSE</v>
      </c>
      <c r="M2168" s="26" t="str">
        <f t="shared" si="358"/>
        <v>PARTICULAR</v>
      </c>
      <c r="N2168" s="26">
        <v>76</v>
      </c>
      <c r="O2168" s="26">
        <v>44</v>
      </c>
      <c r="P2168" s="26">
        <v>32</v>
      </c>
      <c r="Q2168" s="26">
        <v>6</v>
      </c>
      <c r="R2168" s="26">
        <v>1</v>
      </c>
      <c r="S2168" s="26">
        <v>6</v>
      </c>
      <c r="T2168" s="26">
        <v>13</v>
      </c>
      <c r="U2168" s="26">
        <v>20</v>
      </c>
      <c r="V2168" s="26">
        <v>1</v>
      </c>
      <c r="W2168" s="26"/>
    </row>
    <row r="2169" spans="1:23" x14ac:dyDescent="0.25">
      <c r="A2169" s="26" t="str">
        <f t="shared" si="353"/>
        <v>PRIMARIA</v>
      </c>
      <c r="B2169" s="26" t="str">
        <f>"09PPR0171M"</f>
        <v>09PPR0171M</v>
      </c>
      <c r="C2169" s="26" t="str">
        <f>"COLEGIO MARGARITA GALINDO DE RUIZ                                                                   "</f>
        <v xml:space="preserve">COLEGIO MARGARITA GALINDO DE RUIZ                                                                   </v>
      </c>
      <c r="D2169" s="26" t="str">
        <f t="shared" si="357"/>
        <v>MATUTINO</v>
      </c>
      <c r="E2169" s="26" t="str">
        <f>"PUERTO ZIHUATANEJO NO 46                                                        "</f>
        <v xml:space="preserve">PUERTO ZIHUATANEJO NO 46                                                        </v>
      </c>
      <c r="F2169" s="26" t="str">
        <f>"CASAS ALEMAN AMPLIACION                                                                                                                     "</f>
        <v xml:space="preserve">CASAS ALEMAN AMPLIACION                                                                                                                     </v>
      </c>
      <c r="G2169" s="26" t="str">
        <f t="shared" si="365"/>
        <v xml:space="preserve">GUSTAVO A. MADERO                                                               </v>
      </c>
      <c r="H2169" s="26" t="str">
        <f>"258"</f>
        <v>258</v>
      </c>
      <c r="I2169" s="26" t="str">
        <f t="shared" si="354"/>
        <v>00</v>
      </c>
      <c r="J2169" s="26" t="str">
        <f t="shared" si="362"/>
        <v xml:space="preserve">42 </v>
      </c>
      <c r="K2169" s="26" t="str">
        <f t="shared" si="363"/>
        <v>PR</v>
      </c>
      <c r="L2169" s="26" t="str">
        <f t="shared" si="364"/>
        <v>DGOSE</v>
      </c>
      <c r="M2169" s="26" t="str">
        <f t="shared" si="358"/>
        <v>PARTICULAR</v>
      </c>
      <c r="N2169" s="26">
        <v>189</v>
      </c>
      <c r="O2169" s="26">
        <v>96</v>
      </c>
      <c r="P2169" s="26">
        <v>93</v>
      </c>
      <c r="Q2169" s="26">
        <v>9</v>
      </c>
      <c r="R2169" s="26">
        <v>1</v>
      </c>
      <c r="S2169" s="26">
        <v>9</v>
      </c>
      <c r="T2169" s="26">
        <v>10</v>
      </c>
      <c r="U2169" s="26">
        <v>20</v>
      </c>
      <c r="V2169" s="26">
        <v>1</v>
      </c>
      <c r="W2169" s="26"/>
    </row>
    <row r="2170" spans="1:23" x14ac:dyDescent="0.25">
      <c r="A2170" s="26" t="str">
        <f t="shared" si="353"/>
        <v>PRIMARIA</v>
      </c>
      <c r="B2170" s="26" t="str">
        <f>"09PPR0172L"</f>
        <v>09PPR0172L</v>
      </c>
      <c r="C2170" s="26" t="str">
        <f>"LUZ DEL TEPEYAC                                                                                     "</f>
        <v xml:space="preserve">LUZ DEL TEPEYAC                                                                                     </v>
      </c>
      <c r="D2170" s="26" t="str">
        <f t="shared" si="357"/>
        <v>MATUTINO</v>
      </c>
      <c r="E2170" s="26" t="str">
        <f>"HIDALGO NO 4                                                                    "</f>
        <v xml:space="preserve">HIDALGO NO 4                                                                    </v>
      </c>
      <c r="F2170" s="26" t="str">
        <f>"ARAGON                                                                                                                                      "</f>
        <v xml:space="preserve">ARAGON                                                                                                                                      </v>
      </c>
      <c r="G2170" s="26" t="str">
        <f t="shared" si="365"/>
        <v xml:space="preserve">GUSTAVO A. MADERO                                                               </v>
      </c>
      <c r="H2170" s="26" t="str">
        <f>"250"</f>
        <v>250</v>
      </c>
      <c r="I2170" s="26" t="str">
        <f t="shared" si="354"/>
        <v>00</v>
      </c>
      <c r="J2170" s="26" t="str">
        <f t="shared" si="362"/>
        <v xml:space="preserve">42 </v>
      </c>
      <c r="K2170" s="26" t="str">
        <f t="shared" si="363"/>
        <v>PR</v>
      </c>
      <c r="L2170" s="26" t="str">
        <f t="shared" si="364"/>
        <v>DGOSE</v>
      </c>
      <c r="M2170" s="26" t="str">
        <f t="shared" si="358"/>
        <v>PARTICULAR</v>
      </c>
      <c r="N2170" s="26">
        <v>218</v>
      </c>
      <c r="O2170" s="26">
        <v>0</v>
      </c>
      <c r="P2170" s="26">
        <v>218</v>
      </c>
      <c r="Q2170" s="26">
        <v>9</v>
      </c>
      <c r="R2170" s="26">
        <v>1</v>
      </c>
      <c r="S2170" s="26">
        <v>9</v>
      </c>
      <c r="T2170" s="26">
        <v>10</v>
      </c>
      <c r="U2170" s="26">
        <v>20</v>
      </c>
      <c r="V2170" s="26">
        <v>1</v>
      </c>
      <c r="W2170" s="26"/>
    </row>
    <row r="2171" spans="1:23" x14ac:dyDescent="0.25">
      <c r="A2171" s="26" t="str">
        <f t="shared" si="353"/>
        <v>PRIMARIA</v>
      </c>
      <c r="B2171" s="26" t="str">
        <f>"09PPR0174J"</f>
        <v>09PPR0174J</v>
      </c>
      <c r="C2171" s="26" t="str">
        <f>"LONDRES                                                                                             "</f>
        <v xml:space="preserve">LONDRES                                                                                             </v>
      </c>
      <c r="D2171" s="26" t="str">
        <f t="shared" si="357"/>
        <v>MATUTINO</v>
      </c>
      <c r="E2171" s="26" t="str">
        <f>"MARTIN CARRERA NO 155                                                           "</f>
        <v xml:space="preserve">MARTIN CARRERA NO 155                                                           </v>
      </c>
      <c r="F2171" s="26" t="str">
        <f>"MARTIN CARRERA                                                                                                                              "</f>
        <v xml:space="preserve">MARTIN CARRERA                                                                                                                              </v>
      </c>
      <c r="G2171" s="26" t="str">
        <f t="shared" si="365"/>
        <v xml:space="preserve">GUSTAVO A. MADERO                                                               </v>
      </c>
      <c r="H2171" s="26" t="str">
        <f>"248"</f>
        <v>248</v>
      </c>
      <c r="I2171" s="26" t="str">
        <f t="shared" si="354"/>
        <v>00</v>
      </c>
      <c r="J2171" s="26" t="str">
        <f t="shared" si="362"/>
        <v xml:space="preserve">42 </v>
      </c>
      <c r="K2171" s="26" t="str">
        <f t="shared" si="363"/>
        <v>PR</v>
      </c>
      <c r="L2171" s="26" t="str">
        <f t="shared" si="364"/>
        <v>DGOSE</v>
      </c>
      <c r="M2171" s="26" t="str">
        <f t="shared" si="358"/>
        <v>PARTICULAR</v>
      </c>
      <c r="N2171" s="26">
        <v>161</v>
      </c>
      <c r="O2171" s="26">
        <v>81</v>
      </c>
      <c r="P2171" s="26">
        <v>80</v>
      </c>
      <c r="Q2171" s="26">
        <v>6</v>
      </c>
      <c r="R2171" s="26">
        <v>1</v>
      </c>
      <c r="S2171" s="26">
        <v>6</v>
      </c>
      <c r="T2171" s="26">
        <v>5</v>
      </c>
      <c r="U2171" s="26">
        <v>12</v>
      </c>
      <c r="V2171" s="26">
        <v>1</v>
      </c>
      <c r="W2171" s="26"/>
    </row>
    <row r="2172" spans="1:23" x14ac:dyDescent="0.25">
      <c r="A2172" s="26" t="str">
        <f t="shared" si="353"/>
        <v>PRIMARIA</v>
      </c>
      <c r="B2172" s="26" t="str">
        <f>"09PPR0175I"</f>
        <v>09PPR0175I</v>
      </c>
      <c r="C2172" s="26" t="str">
        <f>"""COLEGIO MEXICO""                                                                                    "</f>
        <v xml:space="preserve">"COLEGIO MEXICO"                                                                                    </v>
      </c>
      <c r="D2172" s="26" t="str">
        <f t="shared" si="357"/>
        <v>MATUTINO</v>
      </c>
      <c r="E2172" s="26" t="str">
        <f>"NORTE 86-A NO 6538                                                              "</f>
        <v xml:space="preserve">NORTE 86-A NO 6538                                                              </v>
      </c>
      <c r="F2172" s="26" t="str">
        <f>"SAN PEDRO EL CHICO                                                                                                                          "</f>
        <v xml:space="preserve">SAN PEDRO EL CHICO                                                                                                                          </v>
      </c>
      <c r="G2172" s="26" t="str">
        <f t="shared" si="365"/>
        <v xml:space="preserve">GUSTAVO A. MADERO                                                               </v>
      </c>
      <c r="H2172" s="26" t="str">
        <f>"253"</f>
        <v>253</v>
      </c>
      <c r="I2172" s="26" t="str">
        <f t="shared" si="354"/>
        <v>00</v>
      </c>
      <c r="J2172" s="26" t="str">
        <f t="shared" si="362"/>
        <v xml:space="preserve">42 </v>
      </c>
      <c r="K2172" s="26" t="str">
        <f t="shared" si="363"/>
        <v>PR</v>
      </c>
      <c r="L2172" s="26" t="str">
        <f t="shared" si="364"/>
        <v>DGOSE</v>
      </c>
      <c r="M2172" s="26" t="str">
        <f t="shared" si="358"/>
        <v>PARTICULAR</v>
      </c>
      <c r="N2172" s="26">
        <v>18</v>
      </c>
      <c r="O2172" s="26">
        <v>13</v>
      </c>
      <c r="P2172" s="26">
        <v>5</v>
      </c>
      <c r="Q2172" s="26">
        <v>6</v>
      </c>
      <c r="R2172" s="26">
        <v>1</v>
      </c>
      <c r="S2172" s="26">
        <v>3</v>
      </c>
      <c r="T2172" s="26">
        <v>1</v>
      </c>
      <c r="U2172" s="26">
        <v>5</v>
      </c>
      <c r="V2172" s="26">
        <v>1</v>
      </c>
      <c r="W2172" s="26"/>
    </row>
    <row r="2173" spans="1:23" x14ac:dyDescent="0.25">
      <c r="A2173" s="26" t="str">
        <f t="shared" si="353"/>
        <v>PRIMARIA</v>
      </c>
      <c r="B2173" s="26" t="str">
        <f>"09PPR0176H"</f>
        <v>09PPR0176H</v>
      </c>
      <c r="C2173" s="26" t="str">
        <f>"LAS ROSAS                                                                                           "</f>
        <v xml:space="preserve">LAS ROSAS                                                                                           </v>
      </c>
      <c r="D2173" s="26" t="str">
        <f t="shared" si="357"/>
        <v>MATUTINO</v>
      </c>
      <c r="E2173" s="26" t="str">
        <f>"GARRIDO NO 123                                                                  "</f>
        <v xml:space="preserve">GARRIDO NO 123                                                                  </v>
      </c>
      <c r="F2173" s="26" t="str">
        <f>"ARAGON                                                                                                                                      "</f>
        <v xml:space="preserve">ARAGON                                                                                                                                      </v>
      </c>
      <c r="G2173" s="26" t="str">
        <f t="shared" si="365"/>
        <v xml:space="preserve">GUSTAVO A. MADERO                                                               </v>
      </c>
      <c r="H2173" s="26" t="str">
        <f>"245"</f>
        <v>245</v>
      </c>
      <c r="I2173" s="26" t="str">
        <f t="shared" si="354"/>
        <v>00</v>
      </c>
      <c r="J2173" s="26" t="str">
        <f t="shared" si="362"/>
        <v xml:space="preserve">42 </v>
      </c>
      <c r="K2173" s="26" t="str">
        <f t="shared" si="363"/>
        <v>PR</v>
      </c>
      <c r="L2173" s="26" t="str">
        <f t="shared" si="364"/>
        <v>DGOSE</v>
      </c>
      <c r="M2173" s="26" t="str">
        <f t="shared" si="358"/>
        <v>PARTICULAR</v>
      </c>
      <c r="N2173" s="26">
        <v>273</v>
      </c>
      <c r="O2173" s="26">
        <v>114</v>
      </c>
      <c r="P2173" s="26">
        <v>159</v>
      </c>
      <c r="Q2173" s="26">
        <v>10</v>
      </c>
      <c r="R2173" s="26">
        <v>1</v>
      </c>
      <c r="S2173" s="26">
        <v>10</v>
      </c>
      <c r="T2173" s="26">
        <v>17</v>
      </c>
      <c r="U2173" s="26">
        <v>28</v>
      </c>
      <c r="V2173" s="26">
        <v>1</v>
      </c>
      <c r="W2173" s="26"/>
    </row>
    <row r="2174" spans="1:23" x14ac:dyDescent="0.25">
      <c r="A2174" s="26" t="str">
        <f t="shared" si="353"/>
        <v>PRIMARIA</v>
      </c>
      <c r="B2174" s="26" t="str">
        <f>"09PPR0177G"</f>
        <v>09PPR0177G</v>
      </c>
      <c r="C2174" s="26" t="str">
        <f>"LA UNIDAD                                                                                           "</f>
        <v xml:space="preserve">LA UNIDAD                                                                                           </v>
      </c>
      <c r="D2174" s="26" t="str">
        <f t="shared" si="357"/>
        <v>MATUTINO</v>
      </c>
      <c r="E2174" s="26" t="str">
        <f>"PUERTO COZUMEL NUM 20                                                           "</f>
        <v xml:space="preserve">PUERTO COZUMEL NUM 20                                                           </v>
      </c>
      <c r="F2174" s="26" t="str">
        <f>"CASAS ALEMAN AMPLIACION                                                                                                                     "</f>
        <v xml:space="preserve">CASAS ALEMAN AMPLIACION                                                                                                                     </v>
      </c>
      <c r="G2174" s="26" t="str">
        <f t="shared" si="365"/>
        <v xml:space="preserve">GUSTAVO A. MADERO                                                               </v>
      </c>
      <c r="H2174" s="26" t="str">
        <f>"264"</f>
        <v>264</v>
      </c>
      <c r="I2174" s="26" t="str">
        <f t="shared" si="354"/>
        <v>00</v>
      </c>
      <c r="J2174" s="26" t="str">
        <f t="shared" si="362"/>
        <v xml:space="preserve">42 </v>
      </c>
      <c r="K2174" s="26" t="str">
        <f t="shared" si="363"/>
        <v>PR</v>
      </c>
      <c r="L2174" s="26" t="str">
        <f t="shared" si="364"/>
        <v>DGOSE</v>
      </c>
      <c r="M2174" s="26" t="str">
        <f t="shared" si="358"/>
        <v>PARTICULAR</v>
      </c>
      <c r="N2174" s="26">
        <v>184</v>
      </c>
      <c r="O2174" s="26">
        <v>91</v>
      </c>
      <c r="P2174" s="26">
        <v>93</v>
      </c>
      <c r="Q2174" s="26">
        <v>8</v>
      </c>
      <c r="R2174" s="26">
        <v>1</v>
      </c>
      <c r="S2174" s="26">
        <v>8</v>
      </c>
      <c r="T2174" s="26">
        <v>9</v>
      </c>
      <c r="U2174" s="26">
        <v>18</v>
      </c>
      <c r="V2174" s="26">
        <v>1</v>
      </c>
      <c r="W2174" s="26"/>
    </row>
    <row r="2175" spans="1:23" x14ac:dyDescent="0.25">
      <c r="A2175" s="26" t="str">
        <f t="shared" si="353"/>
        <v>PRIMARIA</v>
      </c>
      <c r="B2175" s="26" t="str">
        <f>"09PPR0178F"</f>
        <v>09PPR0178F</v>
      </c>
      <c r="C2175" s="26" t="str">
        <f>"CONCEPCION PASCAL CRUZADO                                                                           "</f>
        <v xml:space="preserve">CONCEPCION PASCAL CRUZADO                                                                           </v>
      </c>
      <c r="D2175" s="26" t="str">
        <f t="shared" si="357"/>
        <v>MATUTINO</v>
      </c>
      <c r="E2175" s="26" t="str">
        <f>"SALONICA NO 73                                                                  "</f>
        <v xml:space="preserve">SALONICA NO 73                                                                  </v>
      </c>
      <c r="F2175" s="26" t="str">
        <f>"CLAVERIA                                                                                                                                    "</f>
        <v xml:space="preserve">CLAVERIA                                                                                                                                    </v>
      </c>
      <c r="G2175" s="26" t="str">
        <f>"AZCAPOTZALCO                                                                    "</f>
        <v xml:space="preserve">AZCAPOTZALCO                                                                    </v>
      </c>
      <c r="H2175" s="26" t="str">
        <f>"000"</f>
        <v>000</v>
      </c>
      <c r="I2175" s="26" t="str">
        <f t="shared" si="354"/>
        <v>00</v>
      </c>
      <c r="J2175" s="26" t="str">
        <f t="shared" si="362"/>
        <v xml:space="preserve">42 </v>
      </c>
      <c r="K2175" s="26" t="str">
        <f t="shared" si="363"/>
        <v>PR</v>
      </c>
      <c r="L2175" s="26" t="str">
        <f t="shared" si="364"/>
        <v>DGOSE</v>
      </c>
      <c r="M2175" s="26" t="str">
        <f t="shared" si="358"/>
        <v>PARTICULAR</v>
      </c>
      <c r="N2175" s="26">
        <v>66</v>
      </c>
      <c r="O2175" s="26">
        <v>30</v>
      </c>
      <c r="P2175" s="26">
        <v>36</v>
      </c>
      <c r="Q2175" s="26">
        <v>6</v>
      </c>
      <c r="R2175" s="26">
        <v>1</v>
      </c>
      <c r="S2175" s="26">
        <v>6</v>
      </c>
      <c r="T2175" s="26">
        <v>5</v>
      </c>
      <c r="U2175" s="26">
        <v>12</v>
      </c>
      <c r="V2175" s="26">
        <v>1</v>
      </c>
      <c r="W2175" s="26"/>
    </row>
    <row r="2176" spans="1:23" x14ac:dyDescent="0.25">
      <c r="A2176" s="26" t="str">
        <f t="shared" si="353"/>
        <v>PRIMARIA</v>
      </c>
      <c r="B2176" s="26" t="str">
        <f>"09PPR0179E"</f>
        <v>09PPR0179E</v>
      </c>
      <c r="C2176" s="26" t="str">
        <f>"JUSTO SIERRA                                                                                        "</f>
        <v xml:space="preserve">JUSTO SIERRA                                                                                        </v>
      </c>
      <c r="D2176" s="26" t="str">
        <f t="shared" si="357"/>
        <v>MATUTINO</v>
      </c>
      <c r="E2176" s="26" t="str">
        <f>"AV MONTIEL NO 220                                                               "</f>
        <v xml:space="preserve">AV MONTIEL NO 220                                                               </v>
      </c>
      <c r="F2176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2176" s="26" t="str">
        <f>"GUSTAVO A. MADERO                                                               "</f>
        <v xml:space="preserve">GUSTAVO A. MADERO                                                               </v>
      </c>
      <c r="H2176" s="26" t="str">
        <f>"243"</f>
        <v>243</v>
      </c>
      <c r="I2176" s="26" t="str">
        <f t="shared" si="354"/>
        <v>00</v>
      </c>
      <c r="J2176" s="26" t="str">
        <f t="shared" si="362"/>
        <v xml:space="preserve">42 </v>
      </c>
      <c r="K2176" s="26" t="str">
        <f t="shared" si="363"/>
        <v>PR</v>
      </c>
      <c r="L2176" s="26" t="str">
        <f t="shared" si="364"/>
        <v>DGOSE</v>
      </c>
      <c r="M2176" s="26" t="str">
        <f t="shared" si="358"/>
        <v>PARTICULAR</v>
      </c>
      <c r="N2176" s="26">
        <v>119</v>
      </c>
      <c r="O2176" s="26">
        <v>66</v>
      </c>
      <c r="P2176" s="26">
        <v>53</v>
      </c>
      <c r="Q2176" s="26">
        <v>6</v>
      </c>
      <c r="R2176" s="26">
        <v>1</v>
      </c>
      <c r="S2176" s="26">
        <v>6</v>
      </c>
      <c r="T2176" s="26">
        <v>11</v>
      </c>
      <c r="U2176" s="26">
        <v>18</v>
      </c>
      <c r="V2176" s="26">
        <v>1</v>
      </c>
      <c r="W2176" s="26"/>
    </row>
    <row r="2177" spans="1:23" x14ac:dyDescent="0.25">
      <c r="A2177" s="26" t="str">
        <f t="shared" si="353"/>
        <v>PRIMARIA</v>
      </c>
      <c r="B2177" s="26" t="str">
        <f>"09PPR0180U"</f>
        <v>09PPR0180U</v>
      </c>
      <c r="C2177" s="26" t="str">
        <f>"INSTITUTO COBRE DE MEXICO                                                                           "</f>
        <v xml:space="preserve">INSTITUTO COBRE DE MEXICO                                                                           </v>
      </c>
      <c r="D2177" s="26" t="str">
        <f t="shared" si="357"/>
        <v>MATUTINO</v>
      </c>
      <c r="E2177" s="26" t="str">
        <f>"CALZADA CAMARONES 206                                                           "</f>
        <v xml:space="preserve">CALZADA CAMARONES 206                                                           </v>
      </c>
      <c r="F2177" s="26" t="str">
        <f>"OBRERO POPULAR                                                                                                                              "</f>
        <v xml:space="preserve">OBRERO POPULAR                                                                                                                              </v>
      </c>
      <c r="G2177" s="26" t="str">
        <f>"AZCAPOTZALCO                                                                    "</f>
        <v xml:space="preserve">AZCAPOTZALCO                                                                    </v>
      </c>
      <c r="H2177" s="26" t="str">
        <f>"206"</f>
        <v>206</v>
      </c>
      <c r="I2177" s="26" t="str">
        <f t="shared" si="354"/>
        <v>00</v>
      </c>
      <c r="J2177" s="26" t="str">
        <f t="shared" si="362"/>
        <v xml:space="preserve">42 </v>
      </c>
      <c r="K2177" s="26" t="str">
        <f t="shared" si="363"/>
        <v>PR</v>
      </c>
      <c r="L2177" s="26" t="str">
        <f t="shared" si="364"/>
        <v>DGOSE</v>
      </c>
      <c r="M2177" s="26" t="str">
        <f t="shared" si="358"/>
        <v>PARTICULAR</v>
      </c>
      <c r="N2177" s="26">
        <v>189</v>
      </c>
      <c r="O2177" s="26">
        <v>94</v>
      </c>
      <c r="P2177" s="26">
        <v>95</v>
      </c>
      <c r="Q2177" s="26">
        <v>12</v>
      </c>
      <c r="R2177" s="26">
        <v>1</v>
      </c>
      <c r="S2177" s="26">
        <v>12</v>
      </c>
      <c r="T2177" s="26">
        <v>16</v>
      </c>
      <c r="U2177" s="26">
        <v>29</v>
      </c>
      <c r="V2177" s="26">
        <v>1</v>
      </c>
      <c r="W2177" s="26"/>
    </row>
    <row r="2178" spans="1:23" x14ac:dyDescent="0.25">
      <c r="A2178" s="26" t="str">
        <f t="shared" ref="A2178:A2241" si="366">"PRIMARIA"</f>
        <v>PRIMARIA</v>
      </c>
      <c r="B2178" s="26" t="str">
        <f>"09PPR0181T"</f>
        <v>09PPR0181T</v>
      </c>
      <c r="C2178" s="26" t="str">
        <f>"FRANCES JUANA DE ARCO                                                                               "</f>
        <v xml:space="preserve">FRANCES JUANA DE ARCO                                                                               </v>
      </c>
      <c r="D2178" s="26" t="str">
        <f t="shared" si="357"/>
        <v>MATUTINO</v>
      </c>
      <c r="E2178" s="26" t="str">
        <f>"PROLG MISTERIOS NO 59                                                           "</f>
        <v xml:space="preserve">PROLG MISTERIOS NO 59                                                           </v>
      </c>
      <c r="F2178" s="26" t="str">
        <f>"GUSTAVO A. MADERO                                                                                                                           "</f>
        <v xml:space="preserve">GUSTAVO A. MADERO                                                                                                                           </v>
      </c>
      <c r="G2178" s="26" t="str">
        <f t="shared" ref="G2178:G2189" si="367">"GUSTAVO A. MADERO                                                               "</f>
        <v xml:space="preserve">GUSTAVO A. MADERO                                                               </v>
      </c>
      <c r="H2178" s="26" t="str">
        <f>"244"</f>
        <v>244</v>
      </c>
      <c r="I2178" s="26" t="str">
        <f t="shared" ref="I2178:I2241" si="368">"00"</f>
        <v>00</v>
      </c>
      <c r="J2178" s="26" t="str">
        <f t="shared" si="362"/>
        <v xml:space="preserve">42 </v>
      </c>
      <c r="K2178" s="26" t="str">
        <f t="shared" si="363"/>
        <v>PR</v>
      </c>
      <c r="L2178" s="26" t="str">
        <f t="shared" si="364"/>
        <v>DGOSE</v>
      </c>
      <c r="M2178" s="26" t="str">
        <f t="shared" si="358"/>
        <v>PARTICULAR</v>
      </c>
      <c r="N2178" s="26">
        <v>186</v>
      </c>
      <c r="O2178" s="26">
        <v>89</v>
      </c>
      <c r="P2178" s="26">
        <v>97</v>
      </c>
      <c r="Q2178" s="26">
        <v>11</v>
      </c>
      <c r="R2178" s="26">
        <v>1</v>
      </c>
      <c r="S2178" s="26">
        <v>11</v>
      </c>
      <c r="T2178" s="26">
        <v>12</v>
      </c>
      <c r="U2178" s="26">
        <v>24</v>
      </c>
      <c r="V2178" s="26">
        <v>1</v>
      </c>
      <c r="W2178" s="26"/>
    </row>
    <row r="2179" spans="1:23" x14ac:dyDescent="0.25">
      <c r="A2179" s="26" t="str">
        <f t="shared" si="366"/>
        <v>PRIMARIA</v>
      </c>
      <c r="B2179" s="26" t="str">
        <f>"09PPR0183R"</f>
        <v>09PPR0183R</v>
      </c>
      <c r="C2179" s="26" t="str">
        <f>"INSTITUTO ATENIENSE                                                                                 "</f>
        <v xml:space="preserve">INSTITUTO ATENIENSE                                                                                 </v>
      </c>
      <c r="D2179" s="26" t="str">
        <f t="shared" si="357"/>
        <v>MATUTINO</v>
      </c>
      <c r="E2179" s="26" t="str">
        <f>"ELSA NO 7                                                                       "</f>
        <v xml:space="preserve">ELSA NO 7                                                                       </v>
      </c>
      <c r="F2179" s="26" t="str">
        <f>"GUADALUPE TEPEYAC                                                                                                                           "</f>
        <v xml:space="preserve">GUADALUPE TEPEYAC                                                                                                                           </v>
      </c>
      <c r="G2179" s="26" t="str">
        <f t="shared" si="367"/>
        <v xml:space="preserve">GUSTAVO A. MADERO                                                               </v>
      </c>
      <c r="H2179" s="26" t="str">
        <f>"249"</f>
        <v>249</v>
      </c>
      <c r="I2179" s="26" t="str">
        <f t="shared" si="368"/>
        <v>00</v>
      </c>
      <c r="J2179" s="26" t="str">
        <f t="shared" si="362"/>
        <v xml:space="preserve">42 </v>
      </c>
      <c r="K2179" s="26" t="str">
        <f t="shared" si="363"/>
        <v>PR</v>
      </c>
      <c r="L2179" s="26" t="str">
        <f t="shared" si="364"/>
        <v>DGOSE</v>
      </c>
      <c r="M2179" s="26" t="str">
        <f t="shared" si="358"/>
        <v>PARTICULAR</v>
      </c>
      <c r="N2179" s="26">
        <v>140</v>
      </c>
      <c r="O2179" s="26">
        <v>74</v>
      </c>
      <c r="P2179" s="26">
        <v>66</v>
      </c>
      <c r="Q2179" s="26">
        <v>6</v>
      </c>
      <c r="R2179" s="26">
        <v>1</v>
      </c>
      <c r="S2179" s="26">
        <v>6</v>
      </c>
      <c r="T2179" s="26">
        <v>7</v>
      </c>
      <c r="U2179" s="26">
        <v>14</v>
      </c>
      <c r="V2179" s="26">
        <v>1</v>
      </c>
      <c r="W2179" s="26"/>
    </row>
    <row r="2180" spans="1:23" x14ac:dyDescent="0.25">
      <c r="A2180" s="26" t="str">
        <f t="shared" si="366"/>
        <v>PRIMARIA</v>
      </c>
      <c r="B2180" s="26" t="str">
        <f>"09PPR0186O"</f>
        <v>09PPR0186O</v>
      </c>
      <c r="C2180" s="26" t="str">
        <f>"INSTITUTO GUADALUPE INSURGENTES                                                                     "</f>
        <v xml:space="preserve">INSTITUTO GUADALUPE INSURGENTES                                                                     </v>
      </c>
      <c r="D2180" s="26" t="str">
        <f t="shared" si="357"/>
        <v>MATUTINO</v>
      </c>
      <c r="E2180" s="26" t="str">
        <f>"INGENIERO ANTONIO NARRO ACUÑA NO 187                                            "</f>
        <v xml:space="preserve">INGENIERO ANTONIO NARRO ACUÑA NO 187                                            </v>
      </c>
      <c r="F2180" s="26" t="str">
        <f>"GUADALUPE INSURGENTES                                                                                                                       "</f>
        <v xml:space="preserve">GUADALUPE INSURGENTES                                                                                                                       </v>
      </c>
      <c r="G2180" s="26" t="str">
        <f t="shared" si="367"/>
        <v xml:space="preserve">GUSTAVO A. MADERO                                                               </v>
      </c>
      <c r="H2180" s="26" t="str">
        <f>"247"</f>
        <v>247</v>
      </c>
      <c r="I2180" s="26" t="str">
        <f t="shared" si="368"/>
        <v>00</v>
      </c>
      <c r="J2180" s="26" t="str">
        <f t="shared" si="362"/>
        <v xml:space="preserve">42 </v>
      </c>
      <c r="K2180" s="26" t="str">
        <f t="shared" si="363"/>
        <v>PR</v>
      </c>
      <c r="L2180" s="26" t="str">
        <f t="shared" si="364"/>
        <v>DGOSE</v>
      </c>
      <c r="M2180" s="26" t="str">
        <f t="shared" si="358"/>
        <v>PARTICULAR</v>
      </c>
      <c r="N2180" s="26">
        <v>222</v>
      </c>
      <c r="O2180" s="26">
        <v>105</v>
      </c>
      <c r="P2180" s="26">
        <v>117</v>
      </c>
      <c r="Q2180" s="26">
        <v>9</v>
      </c>
      <c r="R2180" s="26">
        <v>1</v>
      </c>
      <c r="S2180" s="26">
        <v>9</v>
      </c>
      <c r="T2180" s="26">
        <v>13</v>
      </c>
      <c r="U2180" s="26">
        <v>23</v>
      </c>
      <c r="V2180" s="26">
        <v>1</v>
      </c>
      <c r="W2180" s="26"/>
    </row>
    <row r="2181" spans="1:23" x14ac:dyDescent="0.25">
      <c r="A2181" s="26" t="str">
        <f t="shared" si="366"/>
        <v>PRIMARIA</v>
      </c>
      <c r="B2181" s="26" t="str">
        <f>"09PPR0187N"</f>
        <v>09PPR0187N</v>
      </c>
      <c r="C2181" s="26" t="str">
        <f>"ZACATECAS                                                                                           "</f>
        <v xml:space="preserve">ZACATECAS                                                                                           </v>
      </c>
      <c r="D2181" s="26" t="str">
        <f t="shared" si="357"/>
        <v>MATUTINO</v>
      </c>
      <c r="E2181" s="26" t="str">
        <f>"GRAL SANTA ANA NO 155                                                           "</f>
        <v xml:space="preserve">GRAL SANTA ANA NO 155                                                           </v>
      </c>
      <c r="F2181" s="26" t="str">
        <f>"MARTIN CARRERA                                                                                                                              "</f>
        <v xml:space="preserve">MARTIN CARRERA                                                                                                                              </v>
      </c>
      <c r="G2181" s="26" t="str">
        <f t="shared" si="367"/>
        <v xml:space="preserve">GUSTAVO A. MADERO                                                               </v>
      </c>
      <c r="H2181" s="26" t="str">
        <f>"249"</f>
        <v>249</v>
      </c>
      <c r="I2181" s="26" t="str">
        <f t="shared" si="368"/>
        <v>00</v>
      </c>
      <c r="J2181" s="26" t="str">
        <f t="shared" si="362"/>
        <v xml:space="preserve">42 </v>
      </c>
      <c r="K2181" s="26" t="str">
        <f t="shared" si="363"/>
        <v>PR</v>
      </c>
      <c r="L2181" s="26" t="str">
        <f t="shared" si="364"/>
        <v>DGOSE</v>
      </c>
      <c r="M2181" s="26" t="str">
        <f t="shared" si="358"/>
        <v>PARTICULAR</v>
      </c>
      <c r="N2181" s="26">
        <v>258</v>
      </c>
      <c r="O2181" s="26">
        <v>119</v>
      </c>
      <c r="P2181" s="26">
        <v>139</v>
      </c>
      <c r="Q2181" s="26">
        <v>12</v>
      </c>
      <c r="R2181" s="26">
        <v>1</v>
      </c>
      <c r="S2181" s="26">
        <v>12</v>
      </c>
      <c r="T2181" s="26">
        <v>7</v>
      </c>
      <c r="U2181" s="26">
        <v>20</v>
      </c>
      <c r="V2181" s="26">
        <v>1</v>
      </c>
      <c r="W2181" s="26"/>
    </row>
    <row r="2182" spans="1:23" x14ac:dyDescent="0.25">
      <c r="A2182" s="26" t="str">
        <f t="shared" si="366"/>
        <v>PRIMARIA</v>
      </c>
      <c r="B2182" s="26" t="str">
        <f>"09PPR0188M"</f>
        <v>09PPR0188M</v>
      </c>
      <c r="C2182" s="26" t="str">
        <f>"VALLE DEL TEPEYAC                                                                                   "</f>
        <v xml:space="preserve">VALLE DEL TEPEYAC                                                                                   </v>
      </c>
      <c r="D2182" s="26" t="str">
        <f t="shared" si="357"/>
        <v>MATUTINO</v>
      </c>
      <c r="E2182" s="26" t="str">
        <f>"APASEO EL ALTO 4                                                                "</f>
        <v xml:space="preserve">APASEO EL ALTO 4                                                                </v>
      </c>
      <c r="F2182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2182" s="26" t="str">
        <f t="shared" si="367"/>
        <v xml:space="preserve">GUSTAVO A. MADERO                                                               </v>
      </c>
      <c r="H2182" s="26" t="str">
        <f>"241"</f>
        <v>241</v>
      </c>
      <c r="I2182" s="26" t="str">
        <f t="shared" si="368"/>
        <v>00</v>
      </c>
      <c r="J2182" s="26" t="str">
        <f t="shared" si="362"/>
        <v xml:space="preserve">42 </v>
      </c>
      <c r="K2182" s="26" t="str">
        <f t="shared" si="363"/>
        <v>PR</v>
      </c>
      <c r="L2182" s="26" t="str">
        <f t="shared" si="364"/>
        <v>DGOSE</v>
      </c>
      <c r="M2182" s="26" t="str">
        <f t="shared" si="358"/>
        <v>PARTICULAR</v>
      </c>
      <c r="N2182" s="26">
        <v>183</v>
      </c>
      <c r="O2182" s="26">
        <v>92</v>
      </c>
      <c r="P2182" s="26">
        <v>91</v>
      </c>
      <c r="Q2182" s="26">
        <v>11</v>
      </c>
      <c r="R2182" s="26">
        <v>2</v>
      </c>
      <c r="S2182" s="26">
        <v>11</v>
      </c>
      <c r="T2182" s="26">
        <v>23</v>
      </c>
      <c r="U2182" s="26">
        <v>36</v>
      </c>
      <c r="V2182" s="26">
        <v>1</v>
      </c>
      <c r="W2182" s="26"/>
    </row>
    <row r="2183" spans="1:23" x14ac:dyDescent="0.25">
      <c r="A2183" s="26" t="str">
        <f t="shared" si="366"/>
        <v>PRIMARIA</v>
      </c>
      <c r="B2183" s="26" t="str">
        <f>"09PPR0189L"</f>
        <v>09PPR0189L</v>
      </c>
      <c r="C2183" s="26" t="str">
        <f>"FRAY TORIBIO DE BENAVENTE                                                                           "</f>
        <v xml:space="preserve">FRAY TORIBIO DE BENAVENTE                                                                           </v>
      </c>
      <c r="D2183" s="26" t="str">
        <f t="shared" si="357"/>
        <v>MATUTINO</v>
      </c>
      <c r="E2183" s="26" t="str">
        <f>"CALLE 323 NO 910                                                                "</f>
        <v xml:space="preserve">CALLE 323 NO 910                                                                </v>
      </c>
      <c r="F2183" s="26" t="str">
        <f>"NUEVA ATZACOALCO                                                                                                                            "</f>
        <v xml:space="preserve">NUEVA ATZACOALCO                                                                                                                            </v>
      </c>
      <c r="G2183" s="26" t="str">
        <f t="shared" si="367"/>
        <v xml:space="preserve">GUSTAVO A. MADERO                                                               </v>
      </c>
      <c r="H2183" s="26" t="str">
        <f>"257"</f>
        <v>257</v>
      </c>
      <c r="I2183" s="26" t="str">
        <f t="shared" si="368"/>
        <v>00</v>
      </c>
      <c r="J2183" s="26" t="str">
        <f t="shared" si="362"/>
        <v xml:space="preserve">42 </v>
      </c>
      <c r="K2183" s="26" t="str">
        <f t="shared" si="363"/>
        <v>PR</v>
      </c>
      <c r="L2183" s="26" t="str">
        <f t="shared" si="364"/>
        <v>DGOSE</v>
      </c>
      <c r="M2183" s="26" t="str">
        <f t="shared" si="358"/>
        <v>PARTICULAR</v>
      </c>
      <c r="N2183" s="26">
        <v>105</v>
      </c>
      <c r="O2183" s="26">
        <v>63</v>
      </c>
      <c r="P2183" s="26">
        <v>42</v>
      </c>
      <c r="Q2183" s="26">
        <v>6</v>
      </c>
      <c r="R2183" s="26">
        <v>1</v>
      </c>
      <c r="S2183" s="26">
        <v>3</v>
      </c>
      <c r="T2183" s="26">
        <v>14</v>
      </c>
      <c r="U2183" s="26">
        <v>18</v>
      </c>
      <c r="V2183" s="26">
        <v>1</v>
      </c>
      <c r="W2183" s="26"/>
    </row>
    <row r="2184" spans="1:23" x14ac:dyDescent="0.25">
      <c r="A2184" s="26" t="str">
        <f t="shared" si="366"/>
        <v>PRIMARIA</v>
      </c>
      <c r="B2184" s="26" t="str">
        <f>"09PPR0190A"</f>
        <v>09PPR0190A</v>
      </c>
      <c r="C2184" s="26" t="str">
        <f>"FRAY GARCIA DE CISNEROS                                                                             "</f>
        <v xml:space="preserve">FRAY GARCIA DE CISNEROS                                                                             </v>
      </c>
      <c r="D2184" s="26" t="str">
        <f t="shared" si="357"/>
        <v>MATUTINO</v>
      </c>
      <c r="E2184" s="26" t="str">
        <f>"INSURGENTES NORTE NO 1590                                                       "</f>
        <v xml:space="preserve">INSURGENTES NORTE NO 1590                                                       </v>
      </c>
      <c r="F2184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2184" s="26" t="str">
        <f t="shared" si="367"/>
        <v xml:space="preserve">GUSTAVO A. MADERO                                                               </v>
      </c>
      <c r="H2184" s="26" t="str">
        <f>"243"</f>
        <v>243</v>
      </c>
      <c r="I2184" s="26" t="str">
        <f t="shared" si="368"/>
        <v>00</v>
      </c>
      <c r="J2184" s="26" t="str">
        <f t="shared" si="362"/>
        <v xml:space="preserve">42 </v>
      </c>
      <c r="K2184" s="26" t="str">
        <f t="shared" si="363"/>
        <v>PR</v>
      </c>
      <c r="L2184" s="26" t="str">
        <f t="shared" si="364"/>
        <v>DGOSE</v>
      </c>
      <c r="M2184" s="26" t="str">
        <f t="shared" si="358"/>
        <v>PARTICULAR</v>
      </c>
      <c r="N2184" s="26">
        <v>167</v>
      </c>
      <c r="O2184" s="26">
        <v>87</v>
      </c>
      <c r="P2184" s="26">
        <v>80</v>
      </c>
      <c r="Q2184" s="26">
        <v>9</v>
      </c>
      <c r="R2184" s="26">
        <v>1</v>
      </c>
      <c r="S2184" s="26">
        <v>5</v>
      </c>
      <c r="T2184" s="26">
        <v>13</v>
      </c>
      <c r="U2184" s="26">
        <v>19</v>
      </c>
      <c r="V2184" s="26">
        <v>1</v>
      </c>
      <c r="W2184" s="26"/>
    </row>
    <row r="2185" spans="1:23" x14ac:dyDescent="0.25">
      <c r="A2185" s="26" t="str">
        <f t="shared" si="366"/>
        <v>PRIMARIA</v>
      </c>
      <c r="B2185" s="26" t="str">
        <f>"09PPR0191Z"</f>
        <v>09PPR0191Z</v>
      </c>
      <c r="C2185" s="26" t="str">
        <f>"FRAY LUIS DE LEON                                                                                   "</f>
        <v xml:space="preserve">FRAY LUIS DE LEON                                                                                   </v>
      </c>
      <c r="D2185" s="26" t="str">
        <f t="shared" si="357"/>
        <v>MATUTINO</v>
      </c>
      <c r="E2185" s="26" t="str">
        <f>"DONIZETTI NO. 167                                                               "</f>
        <v xml:space="preserve">DONIZETTI NO. 167                                                               </v>
      </c>
      <c r="F2185" s="26" t="str">
        <f>"VALLEJO                                                                                                                                     "</f>
        <v xml:space="preserve">VALLEJO                                                                                                                                     </v>
      </c>
      <c r="G2185" s="26" t="str">
        <f t="shared" si="367"/>
        <v xml:space="preserve">GUSTAVO A. MADERO                                                               </v>
      </c>
      <c r="H2185" s="26" t="str">
        <f>"247"</f>
        <v>247</v>
      </c>
      <c r="I2185" s="26" t="str">
        <f t="shared" si="368"/>
        <v>00</v>
      </c>
      <c r="J2185" s="26" t="str">
        <f t="shared" si="362"/>
        <v xml:space="preserve">42 </v>
      </c>
      <c r="K2185" s="26" t="str">
        <f t="shared" si="363"/>
        <v>PR</v>
      </c>
      <c r="L2185" s="26" t="str">
        <f t="shared" si="364"/>
        <v>DGOSE</v>
      </c>
      <c r="M2185" s="26" t="str">
        <f t="shared" si="358"/>
        <v>PARTICULAR</v>
      </c>
      <c r="N2185" s="26">
        <v>94</v>
      </c>
      <c r="O2185" s="26">
        <v>48</v>
      </c>
      <c r="P2185" s="26">
        <v>46</v>
      </c>
      <c r="Q2185" s="26">
        <v>6</v>
      </c>
      <c r="R2185" s="26">
        <v>1</v>
      </c>
      <c r="S2185" s="26">
        <v>6</v>
      </c>
      <c r="T2185" s="26">
        <v>9</v>
      </c>
      <c r="U2185" s="26">
        <v>16</v>
      </c>
      <c r="V2185" s="26">
        <v>1</v>
      </c>
      <c r="W2185" s="26"/>
    </row>
    <row r="2186" spans="1:23" x14ac:dyDescent="0.25">
      <c r="A2186" s="26" t="str">
        <f t="shared" si="366"/>
        <v>PRIMARIA</v>
      </c>
      <c r="B2186" s="26" t="str">
        <f>"09PPR0193Y"</f>
        <v>09PPR0193Y</v>
      </c>
      <c r="C2186" s="26" t="str">
        <f>"TEPEYAC ESTRELLA                                                                                    "</f>
        <v xml:space="preserve">TEPEYAC ESTRELLA                                                                                    </v>
      </c>
      <c r="D2186" s="26" t="str">
        <f t="shared" si="357"/>
        <v>MATUTINO</v>
      </c>
      <c r="E2186" s="26" t="str">
        <f>"VENTURINA NO 75                                                                 "</f>
        <v xml:space="preserve">VENTURINA NO 75                                                                 </v>
      </c>
      <c r="F2186" s="26" t="str">
        <f>"ESTRELLA                                                                                                                                    "</f>
        <v xml:space="preserve">ESTRELLA                                                                                                                                    </v>
      </c>
      <c r="G2186" s="26" t="str">
        <f t="shared" si="367"/>
        <v xml:space="preserve">GUSTAVO A. MADERO                                                               </v>
      </c>
      <c r="H2186" s="26" t="str">
        <f>"253"</f>
        <v>253</v>
      </c>
      <c r="I2186" s="26" t="str">
        <f t="shared" si="368"/>
        <v>00</v>
      </c>
      <c r="J2186" s="26" t="str">
        <f t="shared" si="362"/>
        <v xml:space="preserve">42 </v>
      </c>
      <c r="K2186" s="26" t="str">
        <f t="shared" si="363"/>
        <v>PR</v>
      </c>
      <c r="L2186" s="26" t="str">
        <f t="shared" si="364"/>
        <v>DGOSE</v>
      </c>
      <c r="M2186" s="26" t="str">
        <f t="shared" si="358"/>
        <v>PARTICULAR</v>
      </c>
      <c r="N2186" s="26">
        <v>91</v>
      </c>
      <c r="O2186" s="26">
        <v>49</v>
      </c>
      <c r="P2186" s="26">
        <v>42</v>
      </c>
      <c r="Q2186" s="26">
        <v>6</v>
      </c>
      <c r="R2186" s="26">
        <v>1</v>
      </c>
      <c r="S2186" s="26">
        <v>6</v>
      </c>
      <c r="T2186" s="26">
        <v>5</v>
      </c>
      <c r="U2186" s="26">
        <v>12</v>
      </c>
      <c r="V2186" s="26">
        <v>1</v>
      </c>
      <c r="W2186" s="26"/>
    </row>
    <row r="2187" spans="1:23" x14ac:dyDescent="0.25">
      <c r="A2187" s="26" t="str">
        <f t="shared" si="366"/>
        <v>PRIMARIA</v>
      </c>
      <c r="B2187" s="26" t="str">
        <f>"09PPR0194X"</f>
        <v>09PPR0194X</v>
      </c>
      <c r="C2187" s="26" t="str">
        <f>"TEPEYAC MEXICANO                                                                                    "</f>
        <v xml:space="preserve">TEPEYAC MEXICANO                                                                                    </v>
      </c>
      <c r="D2187" s="26" t="str">
        <f t="shared" si="357"/>
        <v>MATUTINO</v>
      </c>
      <c r="E2187" s="26" t="str">
        <f>"CALLE TALARA NO 187                                                             "</f>
        <v xml:space="preserve">CALLE TALARA NO 187                                                             </v>
      </c>
      <c r="F2187" s="26" t="str">
        <f>"TEPEYAC INSURGENTES                                                                                                                         "</f>
        <v xml:space="preserve">TEPEYAC INSURGENTES                                                                                                                         </v>
      </c>
      <c r="G2187" s="26" t="str">
        <f t="shared" si="367"/>
        <v xml:space="preserve">GUSTAVO A. MADERO                                                               </v>
      </c>
      <c r="H2187" s="26" t="str">
        <f>"245"</f>
        <v>245</v>
      </c>
      <c r="I2187" s="26" t="str">
        <f t="shared" si="368"/>
        <v>00</v>
      </c>
      <c r="J2187" s="26" t="str">
        <f t="shared" si="362"/>
        <v xml:space="preserve">42 </v>
      </c>
      <c r="K2187" s="26" t="str">
        <f t="shared" si="363"/>
        <v>PR</v>
      </c>
      <c r="L2187" s="26" t="str">
        <f t="shared" si="364"/>
        <v>DGOSE</v>
      </c>
      <c r="M2187" s="26" t="str">
        <f t="shared" si="358"/>
        <v>PARTICULAR</v>
      </c>
      <c r="N2187" s="26">
        <v>78</v>
      </c>
      <c r="O2187" s="26">
        <v>44</v>
      </c>
      <c r="P2187" s="26">
        <v>34</v>
      </c>
      <c r="Q2187" s="26">
        <v>6</v>
      </c>
      <c r="R2187" s="26">
        <v>1</v>
      </c>
      <c r="S2187" s="26">
        <v>6</v>
      </c>
      <c r="T2187" s="26">
        <v>6</v>
      </c>
      <c r="U2187" s="26">
        <v>13</v>
      </c>
      <c r="V2187" s="26">
        <v>1</v>
      </c>
      <c r="W2187" s="26"/>
    </row>
    <row r="2188" spans="1:23" x14ac:dyDescent="0.25">
      <c r="A2188" s="26" t="str">
        <f t="shared" si="366"/>
        <v>PRIMARIA</v>
      </c>
      <c r="B2188" s="26" t="str">
        <f>"09PPR0195W"</f>
        <v>09PPR0195W</v>
      </c>
      <c r="C2188" s="26" t="str">
        <f>"FRANCES HIDALGO                                                                                     "</f>
        <v xml:space="preserve">FRANCES HIDALGO                                                                                     </v>
      </c>
      <c r="D2188" s="26" t="str">
        <f t="shared" si="357"/>
        <v>MATUTINO</v>
      </c>
      <c r="E2188" s="26" t="str">
        <f>"AV HUITZILIHUITL NO 30                                                          "</f>
        <v xml:space="preserve">AV HUITZILIHUITL NO 30                                                          </v>
      </c>
      <c r="F2188" s="26" t="str">
        <f>"SANTA ISABEL TOLA                                                                                                                           "</f>
        <v xml:space="preserve">SANTA ISABEL TOLA                                                                                                                           </v>
      </c>
      <c r="G2188" s="26" t="str">
        <f t="shared" si="367"/>
        <v xml:space="preserve">GUSTAVO A. MADERO                                                               </v>
      </c>
      <c r="H2188" s="26" t="str">
        <f>"244"</f>
        <v>244</v>
      </c>
      <c r="I2188" s="26" t="str">
        <f t="shared" si="368"/>
        <v>00</v>
      </c>
      <c r="J2188" s="26" t="str">
        <f t="shared" si="362"/>
        <v xml:space="preserve">42 </v>
      </c>
      <c r="K2188" s="26" t="str">
        <f t="shared" si="363"/>
        <v>PR</v>
      </c>
      <c r="L2188" s="26" t="str">
        <f t="shared" si="364"/>
        <v>DGOSE</v>
      </c>
      <c r="M2188" s="26" t="str">
        <f t="shared" si="358"/>
        <v>PARTICULAR</v>
      </c>
      <c r="N2188" s="26">
        <v>416</v>
      </c>
      <c r="O2188" s="26">
        <v>216</v>
      </c>
      <c r="P2188" s="26">
        <v>200</v>
      </c>
      <c r="Q2188" s="26">
        <v>16</v>
      </c>
      <c r="R2188" s="26">
        <v>1</v>
      </c>
      <c r="S2188" s="26">
        <v>8</v>
      </c>
      <c r="T2188" s="26">
        <v>22</v>
      </c>
      <c r="U2188" s="26">
        <v>31</v>
      </c>
      <c r="V2188" s="26">
        <v>1</v>
      </c>
      <c r="W2188" s="26"/>
    </row>
    <row r="2189" spans="1:23" x14ac:dyDescent="0.25">
      <c r="A2189" s="26" t="str">
        <f t="shared" si="366"/>
        <v>PRIMARIA</v>
      </c>
      <c r="B2189" s="26" t="str">
        <f>"09PPR0196V"</f>
        <v>09PPR0196V</v>
      </c>
      <c r="C2189" s="26" t="str">
        <f>"VICTORIA TEPEYAC                                                                                    "</f>
        <v xml:space="preserve">VICTORIA TEPEYAC                                                                                    </v>
      </c>
      <c r="D2189" s="26" t="str">
        <f t="shared" si="357"/>
        <v>MATUTINO</v>
      </c>
      <c r="E2189" s="26" t="str">
        <f>"MATANZAS NO 798                                                                 "</f>
        <v xml:space="preserve">MATANZAS NO 798                                                                 </v>
      </c>
      <c r="F2189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2189" s="26" t="str">
        <f t="shared" si="367"/>
        <v xml:space="preserve">GUSTAVO A. MADERO                                                               </v>
      </c>
      <c r="H2189" s="26" t="str">
        <f>"240"</f>
        <v>240</v>
      </c>
      <c r="I2189" s="26" t="str">
        <f t="shared" si="368"/>
        <v>00</v>
      </c>
      <c r="J2189" s="26" t="str">
        <f t="shared" si="362"/>
        <v xml:space="preserve">42 </v>
      </c>
      <c r="K2189" s="26" t="str">
        <f t="shared" si="363"/>
        <v>PR</v>
      </c>
      <c r="L2189" s="26" t="str">
        <f t="shared" si="364"/>
        <v>DGOSE</v>
      </c>
      <c r="M2189" s="26" t="str">
        <f t="shared" si="358"/>
        <v>PARTICULAR</v>
      </c>
      <c r="N2189" s="26">
        <v>201</v>
      </c>
      <c r="O2189" s="26">
        <v>105</v>
      </c>
      <c r="P2189" s="26">
        <v>96</v>
      </c>
      <c r="Q2189" s="26">
        <v>12</v>
      </c>
      <c r="R2189" s="26">
        <v>1</v>
      </c>
      <c r="S2189" s="26">
        <v>6</v>
      </c>
      <c r="T2189" s="26">
        <v>14</v>
      </c>
      <c r="U2189" s="26">
        <v>21</v>
      </c>
      <c r="V2189" s="26">
        <v>1</v>
      </c>
      <c r="W2189" s="26"/>
    </row>
    <row r="2190" spans="1:23" x14ac:dyDescent="0.25">
      <c r="A2190" s="26" t="str">
        <f t="shared" si="366"/>
        <v>PRIMARIA</v>
      </c>
      <c r="B2190" s="26" t="str">
        <f>"09PPR0197U"</f>
        <v>09PPR0197U</v>
      </c>
      <c r="C2190" s="26" t="str">
        <f>"ESCUELA OLIVAR DEL CONDE                                                                            "</f>
        <v xml:space="preserve">ESCUELA OLIVAR DEL CONDE                                                                            </v>
      </c>
      <c r="D2190" s="26" t="str">
        <f t="shared" si="357"/>
        <v>MATUTINO</v>
      </c>
      <c r="E2190" s="26" t="str">
        <f>"ROSA CHINA NO 44                                                                "</f>
        <v xml:space="preserve">ROSA CHINA NO 44                                                                </v>
      </c>
      <c r="F2190" s="26" t="str">
        <f>"MOLINO DE ROSAS                                                                                                                             "</f>
        <v xml:space="preserve">MOLINO DE ROSAS                                                                                                                             </v>
      </c>
      <c r="G2190" s="26" t="str">
        <f>"ALVARO OBREGON                                                                  "</f>
        <v xml:space="preserve">ALVARO OBREGON                                                                  </v>
      </c>
      <c r="H2190" s="26" t="str">
        <f>"313"</f>
        <v>313</v>
      </c>
      <c r="I2190" s="26" t="str">
        <f t="shared" si="368"/>
        <v>00</v>
      </c>
      <c r="J2190" s="26" t="str">
        <f>"43 "</f>
        <v xml:space="preserve">43 </v>
      </c>
      <c r="K2190" s="26" t="str">
        <f t="shared" si="363"/>
        <v>PR</v>
      </c>
      <c r="L2190" s="26" t="str">
        <f t="shared" si="364"/>
        <v>DGOSE</v>
      </c>
      <c r="M2190" s="26" t="str">
        <f t="shared" si="358"/>
        <v>PARTICULAR</v>
      </c>
      <c r="N2190" s="26">
        <v>365</v>
      </c>
      <c r="O2190" s="26">
        <v>188</v>
      </c>
      <c r="P2190" s="26">
        <v>177</v>
      </c>
      <c r="Q2190" s="26">
        <v>12</v>
      </c>
      <c r="R2190" s="26">
        <v>1</v>
      </c>
      <c r="S2190" s="26">
        <v>12</v>
      </c>
      <c r="T2190" s="26">
        <v>10</v>
      </c>
      <c r="U2190" s="26">
        <v>23</v>
      </c>
      <c r="V2190" s="26">
        <v>1</v>
      </c>
      <c r="W2190" s="26"/>
    </row>
    <row r="2191" spans="1:23" x14ac:dyDescent="0.25">
      <c r="A2191" s="26" t="str">
        <f t="shared" si="366"/>
        <v>PRIMARIA</v>
      </c>
      <c r="B2191" s="26" t="str">
        <f>"09PPR0199S"</f>
        <v>09PPR0199S</v>
      </c>
      <c r="C2191" s="26" t="str">
        <f>"COLEGIO SIMON BOLIVAR                                                                               "</f>
        <v xml:space="preserve">COLEGIO SIMON BOLIVAR                                                                               </v>
      </c>
      <c r="D2191" s="26" t="str">
        <f t="shared" si="357"/>
        <v>MATUTINO</v>
      </c>
      <c r="E2191" s="26" t="str">
        <f>"CAMINO SANTA TERESA 230                                                         "</f>
        <v xml:space="preserve">CAMINO SANTA TERESA 230                                                         </v>
      </c>
      <c r="F2191" s="26" t="str">
        <f>"JARDINES DEL PEDREGAL                                                                                                                       "</f>
        <v xml:space="preserve">JARDINES DEL PEDREGAL                                                                                                                       </v>
      </c>
      <c r="G2191" s="26" t="str">
        <f>"ALVARO OBREGON                                                                  "</f>
        <v xml:space="preserve">ALVARO OBREGON                                                                  </v>
      </c>
      <c r="H2191" s="26" t="str">
        <f>"327"</f>
        <v>327</v>
      </c>
      <c r="I2191" s="26" t="str">
        <f t="shared" si="368"/>
        <v>00</v>
      </c>
      <c r="J2191" s="26" t="str">
        <f>"43 "</f>
        <v xml:space="preserve">43 </v>
      </c>
      <c r="K2191" s="26" t="str">
        <f t="shared" si="363"/>
        <v>PR</v>
      </c>
      <c r="L2191" s="26" t="str">
        <f t="shared" si="364"/>
        <v>DGOSE</v>
      </c>
      <c r="M2191" s="26" t="str">
        <f t="shared" si="358"/>
        <v>PARTICULAR</v>
      </c>
      <c r="N2191" s="26">
        <v>461</v>
      </c>
      <c r="O2191" s="26">
        <v>257</v>
      </c>
      <c r="P2191" s="26">
        <v>204</v>
      </c>
      <c r="Q2191" s="26">
        <v>14</v>
      </c>
      <c r="R2191" s="26">
        <v>1</v>
      </c>
      <c r="S2191" s="26">
        <v>7</v>
      </c>
      <c r="T2191" s="26">
        <v>19</v>
      </c>
      <c r="U2191" s="26">
        <v>27</v>
      </c>
      <c r="V2191" s="26">
        <v>1</v>
      </c>
      <c r="W2191" s="26"/>
    </row>
    <row r="2192" spans="1:23" x14ac:dyDescent="0.25">
      <c r="A2192" s="26" t="str">
        <f t="shared" si="366"/>
        <v>PRIMARIA</v>
      </c>
      <c r="B2192" s="26" t="str">
        <f>"09PPR0200R"</f>
        <v>09PPR0200R</v>
      </c>
      <c r="C2192" s="26" t="str">
        <f>"COLEGIO SAGRADO CORAZON                                                                             "</f>
        <v xml:space="preserve">COLEGIO SAGRADO CORAZON                                                                             </v>
      </c>
      <c r="D2192" s="26" t="str">
        <f t="shared" si="357"/>
        <v>MATUTINO</v>
      </c>
      <c r="E2192" s="26" t="str">
        <f>"CAMINO SANTA TERESA 950                                                         "</f>
        <v xml:space="preserve">CAMINO SANTA TERESA 950                                                         </v>
      </c>
      <c r="F2192" s="26" t="str">
        <f>"SANTA TERESA                                                                                                                                "</f>
        <v xml:space="preserve">SANTA TERESA                                                                                                                                </v>
      </c>
      <c r="G2192" s="26" t="str">
        <f>"LA MAGDALENA CONTRERAS                                                          "</f>
        <v xml:space="preserve">LA MAGDALENA CONTRERAS                                                          </v>
      </c>
      <c r="H2192" s="26" t="str">
        <f>"337"</f>
        <v>337</v>
      </c>
      <c r="I2192" s="26" t="str">
        <f t="shared" si="368"/>
        <v>00</v>
      </c>
      <c r="J2192" s="26" t="str">
        <f>"43 "</f>
        <v xml:space="preserve">43 </v>
      </c>
      <c r="K2192" s="26" t="str">
        <f t="shared" si="363"/>
        <v>PR</v>
      </c>
      <c r="L2192" s="26" t="str">
        <f t="shared" si="364"/>
        <v>DGOSE</v>
      </c>
      <c r="M2192" s="26" t="str">
        <f t="shared" si="358"/>
        <v>PARTICULAR</v>
      </c>
      <c r="N2192" s="26">
        <v>362</v>
      </c>
      <c r="O2192" s="26">
        <v>0</v>
      </c>
      <c r="P2192" s="26">
        <v>362</v>
      </c>
      <c r="Q2192" s="26">
        <v>12</v>
      </c>
      <c r="R2192" s="26">
        <v>1</v>
      </c>
      <c r="S2192" s="26">
        <v>6</v>
      </c>
      <c r="T2192" s="26">
        <v>14</v>
      </c>
      <c r="U2192" s="26">
        <v>21</v>
      </c>
      <c r="V2192" s="26">
        <v>1</v>
      </c>
      <c r="W2192" s="26"/>
    </row>
    <row r="2193" spans="1:23" x14ac:dyDescent="0.25">
      <c r="A2193" s="26" t="str">
        <f t="shared" si="366"/>
        <v>PRIMARIA</v>
      </c>
      <c r="B2193" s="26" t="str">
        <f>"09PPR0201Q"</f>
        <v>09PPR0201Q</v>
      </c>
      <c r="C2193" s="26" t="str">
        <f>"EDUARDO JENNER                                                                                      "</f>
        <v xml:space="preserve">EDUARDO JENNER                                                                                      </v>
      </c>
      <c r="D2193" s="26" t="str">
        <f t="shared" si="357"/>
        <v>MATUTINO</v>
      </c>
      <c r="E2193" s="26" t="str">
        <f>"SAN JUAN DE LOS LAGOS S/N                                                       "</f>
        <v xml:space="preserve">SAN JUAN DE LOS LAGOS S/N                                                       </v>
      </c>
      <c r="F2193" s="26" t="str">
        <f>"SAN FELIPE DE JESUS                                                                                                                         "</f>
        <v xml:space="preserve">SAN FELIPE DE JESUS                                                                                                                         </v>
      </c>
      <c r="G2193" s="26" t="str">
        <f>"GUSTAVO A. MADERO                                                               "</f>
        <v xml:space="preserve">GUSTAVO A. MADERO                                                               </v>
      </c>
      <c r="H2193" s="26" t="str">
        <f>"262"</f>
        <v>262</v>
      </c>
      <c r="I2193" s="26" t="str">
        <f t="shared" si="368"/>
        <v>00</v>
      </c>
      <c r="J2193" s="26" t="str">
        <f>"42 "</f>
        <v xml:space="preserve">42 </v>
      </c>
      <c r="K2193" s="26" t="str">
        <f t="shared" si="363"/>
        <v>PR</v>
      </c>
      <c r="L2193" s="26" t="str">
        <f t="shared" si="364"/>
        <v>DGOSE</v>
      </c>
      <c r="M2193" s="26" t="str">
        <f t="shared" si="358"/>
        <v>PARTICULAR</v>
      </c>
      <c r="N2193" s="26">
        <v>81</v>
      </c>
      <c r="O2193" s="26">
        <v>40</v>
      </c>
      <c r="P2193" s="26">
        <v>41</v>
      </c>
      <c r="Q2193" s="26">
        <v>6</v>
      </c>
      <c r="R2193" s="26">
        <v>1</v>
      </c>
      <c r="S2193" s="26">
        <v>6</v>
      </c>
      <c r="T2193" s="26">
        <v>9</v>
      </c>
      <c r="U2193" s="26">
        <v>16</v>
      </c>
      <c r="V2193" s="26">
        <v>1</v>
      </c>
      <c r="W2193" s="26"/>
    </row>
    <row r="2194" spans="1:23" x14ac:dyDescent="0.25">
      <c r="A2194" s="26" t="str">
        <f t="shared" si="366"/>
        <v>PRIMARIA</v>
      </c>
      <c r="B2194" s="26" t="str">
        <f>"09PPR0202P"</f>
        <v>09PPR0202P</v>
      </c>
      <c r="C2194" s="26" t="str">
        <f>"DONCELLA DE ORLEANS                                                                                 "</f>
        <v xml:space="preserve">DONCELLA DE ORLEANS                                                                                 </v>
      </c>
      <c r="D2194" s="26" t="str">
        <f t="shared" ref="D2194:D2201" si="369">"MATUTINO"</f>
        <v>MATUTINO</v>
      </c>
      <c r="E2194" s="26" t="str">
        <f>"HUASTECA NO 238                                                                 "</f>
        <v xml:space="preserve">HUASTECA NO 238                                                                 </v>
      </c>
      <c r="F2194" s="26" t="str">
        <f>"INDUSTRIAL                                                                                                                                  "</f>
        <v xml:space="preserve">INDUSTRIAL                                                                                                                                  </v>
      </c>
      <c r="G2194" s="26" t="str">
        <f>"GUSTAVO A. MADERO                                                               "</f>
        <v xml:space="preserve">GUSTAVO A. MADERO                                                               </v>
      </c>
      <c r="H2194" s="26" t="str">
        <f>"246"</f>
        <v>246</v>
      </c>
      <c r="I2194" s="26" t="str">
        <f t="shared" si="368"/>
        <v>00</v>
      </c>
      <c r="J2194" s="26" t="str">
        <f>"42 "</f>
        <v xml:space="preserve">42 </v>
      </c>
      <c r="K2194" s="26" t="str">
        <f t="shared" si="363"/>
        <v>PR</v>
      </c>
      <c r="L2194" s="26" t="str">
        <f t="shared" si="364"/>
        <v>DGOSE</v>
      </c>
      <c r="M2194" s="26" t="str">
        <f t="shared" ref="M2194:M2257" si="370">"PARTICULAR"</f>
        <v>PARTICULAR</v>
      </c>
      <c r="N2194" s="26">
        <v>101</v>
      </c>
      <c r="O2194" s="26">
        <v>56</v>
      </c>
      <c r="P2194" s="26">
        <v>45</v>
      </c>
      <c r="Q2194" s="26">
        <v>6</v>
      </c>
      <c r="R2194" s="26">
        <v>1</v>
      </c>
      <c r="S2194" s="26">
        <v>6</v>
      </c>
      <c r="T2194" s="26">
        <v>9</v>
      </c>
      <c r="U2194" s="26">
        <v>16</v>
      </c>
      <c r="V2194" s="26">
        <v>1</v>
      </c>
      <c r="W2194" s="26"/>
    </row>
    <row r="2195" spans="1:23" x14ac:dyDescent="0.25">
      <c r="A2195" s="26" t="str">
        <f t="shared" si="366"/>
        <v>PRIMARIA</v>
      </c>
      <c r="B2195" s="26" t="str">
        <f>"09PPR0203O"</f>
        <v>09PPR0203O</v>
      </c>
      <c r="C2195" s="26" t="str">
        <f>"ROSARIO ARREVILLAGA                                                                                 "</f>
        <v xml:space="preserve">ROSARIO ARREVILLAGA                                                                                 </v>
      </c>
      <c r="D2195" s="26" t="str">
        <f t="shared" si="369"/>
        <v>MATUTINO</v>
      </c>
      <c r="E2195" s="26" t="str">
        <f>"FRANCISCO I. MADERO #3                                                          "</f>
        <v xml:space="preserve">FRANCISCO I. MADERO #3                                                          </v>
      </c>
      <c r="F2195" s="26" t="str">
        <f>"TLALPAN                                                                                                                                     "</f>
        <v xml:space="preserve">TLALPAN                                                                                                                                     </v>
      </c>
      <c r="G2195" s="26" t="str">
        <f>"TLALPAN                                                                         "</f>
        <v xml:space="preserve">TLALPAN                                                                         </v>
      </c>
      <c r="H2195" s="26" t="str">
        <f>"520"</f>
        <v>520</v>
      </c>
      <c r="I2195" s="26" t="str">
        <f t="shared" si="368"/>
        <v>00</v>
      </c>
      <c r="J2195" s="26" t="str">
        <f>"45 "</f>
        <v xml:space="preserve">45 </v>
      </c>
      <c r="K2195" s="26" t="str">
        <f t="shared" si="363"/>
        <v>PR</v>
      </c>
      <c r="L2195" s="26" t="str">
        <f t="shared" si="364"/>
        <v>DGOSE</v>
      </c>
      <c r="M2195" s="26" t="str">
        <f t="shared" si="370"/>
        <v>PARTICULAR</v>
      </c>
      <c r="N2195" s="26">
        <v>248</v>
      </c>
      <c r="O2195" s="26">
        <v>105</v>
      </c>
      <c r="P2195" s="26">
        <v>143</v>
      </c>
      <c r="Q2195" s="26">
        <v>12</v>
      </c>
      <c r="R2195" s="26">
        <v>1</v>
      </c>
      <c r="S2195" s="26">
        <v>12</v>
      </c>
      <c r="T2195" s="26">
        <v>15</v>
      </c>
      <c r="U2195" s="26">
        <v>28</v>
      </c>
      <c r="V2195" s="26">
        <v>1</v>
      </c>
      <c r="W2195" s="26"/>
    </row>
    <row r="2196" spans="1:23" x14ac:dyDescent="0.25">
      <c r="A2196" s="26" t="str">
        <f t="shared" si="366"/>
        <v>PRIMARIA</v>
      </c>
      <c r="B2196" s="26" t="str">
        <f>"09PPR0204N"</f>
        <v>09PPR0204N</v>
      </c>
      <c r="C2196" s="26" t="str">
        <f>"MANUELA CATAÑO                                                                                      "</f>
        <v xml:space="preserve">MANUELA CATAÑO                                                                                      </v>
      </c>
      <c r="D2196" s="26" t="str">
        <f t="shared" si="369"/>
        <v>MATUTINO</v>
      </c>
      <c r="E2196" s="26" t="str">
        <f>"MAGISTERIO NACIONAL NO 9                                                        "</f>
        <v xml:space="preserve">MAGISTERIO NACIONAL NO 9                                                        </v>
      </c>
      <c r="F2196" s="26" t="str">
        <f>"TLALPAN                                                                                                                                     "</f>
        <v xml:space="preserve">TLALPAN                                                                                                                                     </v>
      </c>
      <c r="G2196" s="26" t="str">
        <f>"TLALPAN                                                                         "</f>
        <v xml:space="preserve">TLALPAN                                                                         </v>
      </c>
      <c r="H2196" s="26" t="str">
        <f>"520"</f>
        <v>520</v>
      </c>
      <c r="I2196" s="26" t="str">
        <f t="shared" si="368"/>
        <v>00</v>
      </c>
      <c r="J2196" s="26" t="str">
        <f>"45 "</f>
        <v xml:space="preserve">45 </v>
      </c>
      <c r="K2196" s="26" t="str">
        <f t="shared" si="363"/>
        <v>PR</v>
      </c>
      <c r="L2196" s="26" t="str">
        <f t="shared" si="364"/>
        <v>DGOSE</v>
      </c>
      <c r="M2196" s="26" t="str">
        <f t="shared" si="370"/>
        <v>PARTICULAR</v>
      </c>
      <c r="N2196" s="26">
        <v>159</v>
      </c>
      <c r="O2196" s="26">
        <v>71</v>
      </c>
      <c r="P2196" s="26">
        <v>88</v>
      </c>
      <c r="Q2196" s="26">
        <v>7</v>
      </c>
      <c r="R2196" s="26">
        <v>1</v>
      </c>
      <c r="S2196" s="26">
        <v>7</v>
      </c>
      <c r="T2196" s="26">
        <v>10</v>
      </c>
      <c r="U2196" s="26">
        <v>18</v>
      </c>
      <c r="V2196" s="26">
        <v>1</v>
      </c>
      <c r="W2196" s="26"/>
    </row>
    <row r="2197" spans="1:23" x14ac:dyDescent="0.25">
      <c r="A2197" s="26" t="str">
        <f t="shared" si="366"/>
        <v>PRIMARIA</v>
      </c>
      <c r="B2197" s="26" t="str">
        <f>"09PPR0205M"</f>
        <v>09PPR0205M</v>
      </c>
      <c r="C2197" s="26" t="str">
        <f>"COLEGIO WESTMINSTER                                                                                 "</f>
        <v xml:space="preserve">COLEGIO WESTMINSTER                                                                                 </v>
      </c>
      <c r="D2197" s="26" t="str">
        <f t="shared" si="369"/>
        <v>MATUTINO</v>
      </c>
      <c r="E2197" s="26" t="str">
        <f>"CAMINO STA TERESA TLALPAN NO 811                                                "</f>
        <v xml:space="preserve">CAMINO STA TERESA TLALPAN NO 811                                                </v>
      </c>
      <c r="F2197" s="26" t="str">
        <f>"MIGUEL HIDALGO AMPLIACION                                                                                                                   "</f>
        <v xml:space="preserve">MIGUEL HIDALGO AMPLIACION                                                                                                                   </v>
      </c>
      <c r="G2197" s="26" t="str">
        <f>"TLALPAN                                                                         "</f>
        <v xml:space="preserve">TLALPAN                                                                         </v>
      </c>
      <c r="H2197" s="26" t="str">
        <f>"518"</f>
        <v>518</v>
      </c>
      <c r="I2197" s="26" t="str">
        <f t="shared" si="368"/>
        <v>00</v>
      </c>
      <c r="J2197" s="26" t="str">
        <f>"45 "</f>
        <v xml:space="preserve">45 </v>
      </c>
      <c r="K2197" s="26" t="str">
        <f t="shared" si="363"/>
        <v>PR</v>
      </c>
      <c r="L2197" s="26" t="str">
        <f t="shared" si="364"/>
        <v>DGOSE</v>
      </c>
      <c r="M2197" s="26" t="str">
        <f t="shared" si="370"/>
        <v>PARTICULAR</v>
      </c>
      <c r="N2197" s="26">
        <v>136</v>
      </c>
      <c r="O2197" s="26">
        <v>69</v>
      </c>
      <c r="P2197" s="26">
        <v>67</v>
      </c>
      <c r="Q2197" s="26">
        <v>9</v>
      </c>
      <c r="R2197" s="26">
        <v>1</v>
      </c>
      <c r="S2197" s="26">
        <v>5</v>
      </c>
      <c r="T2197" s="26">
        <v>9</v>
      </c>
      <c r="U2197" s="26">
        <v>15</v>
      </c>
      <c r="V2197" s="26">
        <v>1</v>
      </c>
      <c r="W2197" s="26"/>
    </row>
    <row r="2198" spans="1:23" x14ac:dyDescent="0.25">
      <c r="A2198" s="26" t="str">
        <f t="shared" si="366"/>
        <v>PRIMARIA</v>
      </c>
      <c r="B2198" s="26" t="str">
        <f>"09PPR0207K"</f>
        <v>09PPR0207K</v>
      </c>
      <c r="C2198" s="26" t="str">
        <f>"CULTURA Y FRATERNIDAD                                                                               "</f>
        <v xml:space="preserve">CULTURA Y FRATERNIDAD                                                                               </v>
      </c>
      <c r="D2198" s="26" t="str">
        <f t="shared" si="369"/>
        <v>MATUTINO</v>
      </c>
      <c r="E2198" s="26" t="str">
        <f>"AV VICTORIA ORIENTE NO 4219                                                     "</f>
        <v xml:space="preserve">AV VICTORIA ORIENTE NO 4219                                                     </v>
      </c>
      <c r="F2198" s="26" t="str">
        <f>"GERTRUDIS SANCHEZ 2A SECCION                                                                                                                "</f>
        <v xml:space="preserve">GERTRUDIS SANCHEZ 2A SECCION                                                                                                                </v>
      </c>
      <c r="G2198" s="26" t="str">
        <f>"GUSTAVO A. MADERO                                                               "</f>
        <v xml:space="preserve">GUSTAVO A. MADERO                                                               </v>
      </c>
      <c r="H2198" s="26" t="str">
        <f>"253"</f>
        <v>253</v>
      </c>
      <c r="I2198" s="26" t="str">
        <f t="shared" si="368"/>
        <v>00</v>
      </c>
      <c r="J2198" s="26" t="str">
        <f t="shared" ref="J2198:J2210" si="371">"42 "</f>
        <v xml:space="preserve">42 </v>
      </c>
      <c r="K2198" s="26" t="str">
        <f t="shared" si="363"/>
        <v>PR</v>
      </c>
      <c r="L2198" s="26" t="str">
        <f t="shared" si="364"/>
        <v>DGOSE</v>
      </c>
      <c r="M2198" s="26" t="str">
        <f t="shared" si="370"/>
        <v>PARTICULAR</v>
      </c>
      <c r="N2198" s="26">
        <v>164</v>
      </c>
      <c r="O2198" s="26">
        <v>77</v>
      </c>
      <c r="P2198" s="26">
        <v>87</v>
      </c>
      <c r="Q2198" s="26">
        <v>7</v>
      </c>
      <c r="R2198" s="26">
        <v>1</v>
      </c>
      <c r="S2198" s="26">
        <v>7</v>
      </c>
      <c r="T2198" s="26">
        <v>8</v>
      </c>
      <c r="U2198" s="26">
        <v>16</v>
      </c>
      <c r="V2198" s="26">
        <v>1</v>
      </c>
      <c r="W2198" s="26"/>
    </row>
    <row r="2199" spans="1:23" x14ac:dyDescent="0.25">
      <c r="A2199" s="26" t="str">
        <f t="shared" si="366"/>
        <v>PRIMARIA</v>
      </c>
      <c r="B2199" s="26" t="str">
        <f>"09PPR0208J"</f>
        <v>09PPR0208J</v>
      </c>
      <c r="C2199" s="26" t="str">
        <f>"CULTURA Y PATRIA                                                                                    "</f>
        <v xml:space="preserve">CULTURA Y PATRIA                                                                                    </v>
      </c>
      <c r="D2199" s="26" t="str">
        <f t="shared" si="369"/>
        <v>MATUTINO</v>
      </c>
      <c r="E2199" s="26" t="str">
        <f>"CALZ. DE LOS MISTERIOS NUM 751                                                  "</f>
        <v xml:space="preserve">CALZ. DE LOS MISTERIOS NUM 751                                                  </v>
      </c>
      <c r="F2199" s="26" t="str">
        <f>"TEPEYAC INSURGENTES                                                                                                                         "</f>
        <v xml:space="preserve">TEPEYAC INSURGENTES                                                                                                                         </v>
      </c>
      <c r="G2199" s="26" t="str">
        <f>"GUSTAVO A. MADERO                                                               "</f>
        <v xml:space="preserve">GUSTAVO A. MADERO                                                               </v>
      </c>
      <c r="H2199" s="26" t="str">
        <f>"246"</f>
        <v>246</v>
      </c>
      <c r="I2199" s="26" t="str">
        <f t="shared" si="368"/>
        <v>00</v>
      </c>
      <c r="J2199" s="26" t="str">
        <f t="shared" si="371"/>
        <v xml:space="preserve">42 </v>
      </c>
      <c r="K2199" s="26" t="str">
        <f t="shared" si="363"/>
        <v>PR</v>
      </c>
      <c r="L2199" s="26" t="str">
        <f t="shared" si="364"/>
        <v>DGOSE</v>
      </c>
      <c r="M2199" s="26" t="str">
        <f t="shared" si="370"/>
        <v>PARTICULAR</v>
      </c>
      <c r="N2199" s="26">
        <v>136</v>
      </c>
      <c r="O2199" s="26">
        <v>64</v>
      </c>
      <c r="P2199" s="26">
        <v>72</v>
      </c>
      <c r="Q2199" s="26">
        <v>6</v>
      </c>
      <c r="R2199" s="26">
        <v>1</v>
      </c>
      <c r="S2199" s="26">
        <v>6</v>
      </c>
      <c r="T2199" s="26">
        <v>7</v>
      </c>
      <c r="U2199" s="26">
        <v>14</v>
      </c>
      <c r="V2199" s="26">
        <v>1</v>
      </c>
      <c r="W2199" s="26"/>
    </row>
    <row r="2200" spans="1:23" x14ac:dyDescent="0.25">
      <c r="A2200" s="26" t="str">
        <f t="shared" si="366"/>
        <v>PRIMARIA</v>
      </c>
      <c r="B2200" s="26" t="str">
        <f>"09PPR0210Y"</f>
        <v>09PPR0210Y</v>
      </c>
      <c r="C2200" s="26" t="str">
        <f>"CRISTOBAL COLON                                                                                     "</f>
        <v xml:space="preserve">CRISTOBAL COLON                                                                                     </v>
      </c>
      <c r="D2200" s="26" t="str">
        <f t="shared" si="369"/>
        <v>MATUTINO</v>
      </c>
      <c r="E2200" s="26" t="str">
        <f>"CHULAVISTA NO 43                                                                "</f>
        <v xml:space="preserve">CHULAVISTA NO 43                                                                </v>
      </c>
      <c r="F2200" s="26" t="str">
        <f>"TEPEYAC INSURGENTES                                                                                                                         "</f>
        <v xml:space="preserve">TEPEYAC INSURGENTES                                                                                                                         </v>
      </c>
      <c r="G2200" s="26" t="str">
        <f>"GUSTAVO A. MADERO                                                               "</f>
        <v xml:space="preserve">GUSTAVO A. MADERO                                                               </v>
      </c>
      <c r="H2200" s="26" t="str">
        <f>"244"</f>
        <v>244</v>
      </c>
      <c r="I2200" s="26" t="str">
        <f t="shared" si="368"/>
        <v>00</v>
      </c>
      <c r="J2200" s="26" t="str">
        <f t="shared" si="371"/>
        <v xml:space="preserve">42 </v>
      </c>
      <c r="K2200" s="26" t="str">
        <f t="shared" si="363"/>
        <v>PR</v>
      </c>
      <c r="L2200" s="26" t="str">
        <f t="shared" si="364"/>
        <v>DGOSE</v>
      </c>
      <c r="M2200" s="26" t="str">
        <f t="shared" si="370"/>
        <v>PARTICULAR</v>
      </c>
      <c r="N2200" s="26">
        <v>810</v>
      </c>
      <c r="O2200" s="26">
        <v>518</v>
      </c>
      <c r="P2200" s="26">
        <v>292</v>
      </c>
      <c r="Q2200" s="26">
        <v>32</v>
      </c>
      <c r="R2200" s="26">
        <v>1</v>
      </c>
      <c r="S2200" s="26">
        <v>32</v>
      </c>
      <c r="T2200" s="26">
        <v>27</v>
      </c>
      <c r="U2200" s="26">
        <v>60</v>
      </c>
      <c r="V2200" s="26">
        <v>1</v>
      </c>
      <c r="W2200" s="26"/>
    </row>
    <row r="2201" spans="1:23" x14ac:dyDescent="0.25">
      <c r="A2201" s="26" t="str">
        <f t="shared" si="366"/>
        <v>PRIMARIA</v>
      </c>
      <c r="B2201" s="26" t="str">
        <f>"09PPR0211X"</f>
        <v>09PPR0211X</v>
      </c>
      <c r="C2201" s="26" t="str">
        <f>"""GUADALUPE""                                                                                         "</f>
        <v xml:space="preserve">"GUADALUPE"                                                                                         </v>
      </c>
      <c r="D2201" s="26" t="str">
        <f t="shared" si="369"/>
        <v>MATUTINO</v>
      </c>
      <c r="E2201" s="26" t="str">
        <f>"AVENIDA MANAGUA NUM. 852                                                        "</f>
        <v xml:space="preserve">AVENIDA MANAGUA NUM. 852                                                        </v>
      </c>
      <c r="F2201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2201" s="26" t="str">
        <f>"GUSTAVO A. MADERO                                                               "</f>
        <v xml:space="preserve">GUSTAVO A. MADERO                                                               </v>
      </c>
      <c r="H2201" s="26" t="str">
        <f>"239"</f>
        <v>239</v>
      </c>
      <c r="I2201" s="26" t="str">
        <f t="shared" si="368"/>
        <v>00</v>
      </c>
      <c r="J2201" s="26" t="str">
        <f t="shared" si="371"/>
        <v xml:space="preserve">42 </v>
      </c>
      <c r="K2201" s="26" t="str">
        <f t="shared" si="363"/>
        <v>PR</v>
      </c>
      <c r="L2201" s="26" t="str">
        <f t="shared" si="364"/>
        <v>DGOSE</v>
      </c>
      <c r="M2201" s="26" t="str">
        <f t="shared" si="370"/>
        <v>PARTICULAR</v>
      </c>
      <c r="N2201" s="26">
        <v>382</v>
      </c>
      <c r="O2201" s="26">
        <v>0</v>
      </c>
      <c r="P2201" s="26">
        <v>382</v>
      </c>
      <c r="Q2201" s="26">
        <v>17</v>
      </c>
      <c r="R2201" s="26">
        <v>1</v>
      </c>
      <c r="S2201" s="26">
        <v>10</v>
      </c>
      <c r="T2201" s="26">
        <v>33</v>
      </c>
      <c r="U2201" s="26">
        <v>44</v>
      </c>
      <c r="V2201" s="26">
        <v>1</v>
      </c>
      <c r="W2201" s="26"/>
    </row>
    <row r="2202" spans="1:23" x14ac:dyDescent="0.25">
      <c r="A2202" s="26" t="str">
        <f t="shared" si="366"/>
        <v>PRIMARIA</v>
      </c>
      <c r="B2202" s="26" t="str">
        <f>"09PPR0215T"</f>
        <v>09PPR0215T</v>
      </c>
      <c r="C2202" s="26" t="str">
        <f>"COLEGIO MERCEDES                                                                                    "</f>
        <v xml:space="preserve">COLEGIO MERCEDES                                                                                    </v>
      </c>
      <c r="D2202" s="26" t="str">
        <f>"VESPERTINO"</f>
        <v>VESPERTINO</v>
      </c>
      <c r="E2202" s="26" t="str">
        <f>"AREQUIPA NO 796                                                                 "</f>
        <v xml:space="preserve">AREQUIPA NO 796                                                                 </v>
      </c>
      <c r="F2202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2202" s="26" t="str">
        <f>"GUSTAVO A. MADERO                                                               "</f>
        <v xml:space="preserve">GUSTAVO A. MADERO                                                               </v>
      </c>
      <c r="H2202" s="26" t="str">
        <f>"243"</f>
        <v>243</v>
      </c>
      <c r="I2202" s="26" t="str">
        <f t="shared" si="368"/>
        <v>00</v>
      </c>
      <c r="J2202" s="26" t="str">
        <f t="shared" si="371"/>
        <v xml:space="preserve">42 </v>
      </c>
      <c r="K2202" s="26" t="str">
        <f t="shared" si="363"/>
        <v>PR</v>
      </c>
      <c r="L2202" s="26" t="str">
        <f t="shared" si="364"/>
        <v>DGOSE</v>
      </c>
      <c r="M2202" s="26" t="str">
        <f t="shared" si="370"/>
        <v>PARTICULAR</v>
      </c>
      <c r="N2202" s="26">
        <v>249</v>
      </c>
      <c r="O2202" s="26">
        <v>96</v>
      </c>
      <c r="P2202" s="26">
        <v>153</v>
      </c>
      <c r="Q2202" s="26">
        <v>8</v>
      </c>
      <c r="R2202" s="26">
        <v>1</v>
      </c>
      <c r="S2202" s="26">
        <v>8</v>
      </c>
      <c r="T2202" s="26">
        <v>10</v>
      </c>
      <c r="U2202" s="26">
        <v>19</v>
      </c>
      <c r="V2202" s="26">
        <v>1</v>
      </c>
      <c r="W2202" s="26"/>
    </row>
    <row r="2203" spans="1:23" x14ac:dyDescent="0.25">
      <c r="A2203" s="26" t="str">
        <f t="shared" si="366"/>
        <v>PRIMARIA</v>
      </c>
      <c r="B2203" s="26" t="str">
        <f>"09PPR0216S"</f>
        <v>09PPR0216S</v>
      </c>
      <c r="C2203" s="26" t="str">
        <f>"COLEGIO MONTALVO                                                                                    "</f>
        <v xml:space="preserve">COLEGIO MONTALVO                                                                                    </v>
      </c>
      <c r="D2203" s="26" t="str">
        <f t="shared" ref="D2203:D2240" si="372">"MATUTINO"</f>
        <v>MATUTINO</v>
      </c>
      <c r="E2203" s="26" t="str">
        <f>"BAJA CALIFORNIA NO. 320-A                                                       "</f>
        <v xml:space="preserve">BAJA CALIFORNIA NO. 320-A                                                       </v>
      </c>
      <c r="F2203" s="26" t="str">
        <f>"HIPODROMO                                                                                                                                   "</f>
        <v xml:space="preserve">HIPODROMO                                                                                                                                   </v>
      </c>
      <c r="G2203" s="26" t="str">
        <f>"CUAUHTEMOC                                                                      "</f>
        <v xml:space="preserve">CUAUHTEMOC                                                                      </v>
      </c>
      <c r="H2203" s="26" t="str">
        <f>"221"</f>
        <v>221</v>
      </c>
      <c r="I2203" s="26" t="str">
        <f t="shared" si="368"/>
        <v>00</v>
      </c>
      <c r="J2203" s="26" t="str">
        <f t="shared" si="371"/>
        <v xml:space="preserve">42 </v>
      </c>
      <c r="K2203" s="26" t="str">
        <f t="shared" si="363"/>
        <v>PR</v>
      </c>
      <c r="L2203" s="26" t="str">
        <f t="shared" si="364"/>
        <v>DGOSE</v>
      </c>
      <c r="M2203" s="26" t="str">
        <f t="shared" si="370"/>
        <v>PARTICULAR</v>
      </c>
      <c r="N2203" s="26">
        <v>5</v>
      </c>
      <c r="O2203" s="26">
        <v>5</v>
      </c>
      <c r="P2203" s="26">
        <v>0</v>
      </c>
      <c r="Q2203" s="26">
        <v>4</v>
      </c>
      <c r="R2203" s="26">
        <v>1</v>
      </c>
      <c r="S2203" s="26">
        <v>3</v>
      </c>
      <c r="T2203" s="26">
        <v>4</v>
      </c>
      <c r="U2203" s="26">
        <v>8</v>
      </c>
      <c r="V2203" s="26">
        <v>1</v>
      </c>
      <c r="W2203" s="26"/>
    </row>
    <row r="2204" spans="1:23" x14ac:dyDescent="0.25">
      <c r="A2204" s="26" t="str">
        <f t="shared" si="366"/>
        <v>PRIMARIA</v>
      </c>
      <c r="B2204" s="26" t="str">
        <f>"09PPR0217R"</f>
        <v>09PPR0217R</v>
      </c>
      <c r="C2204" s="26" t="str">
        <f>"INSTITUTO BILINGUE LIBERTAD                                                                         "</f>
        <v xml:space="preserve">INSTITUTO BILINGUE LIBERTAD                                                                         </v>
      </c>
      <c r="D2204" s="26" t="str">
        <f t="shared" si="372"/>
        <v>MATUTINO</v>
      </c>
      <c r="E2204" s="26" t="str">
        <f>"MAR MEDITERRANEO 175                                                            "</f>
        <v xml:space="preserve">MAR MEDITERRANEO 175                                                            </v>
      </c>
      <c r="F2204" s="26" t="str">
        <f>"POPOTLA                                                                                                                                     "</f>
        <v xml:space="preserve">POPOTLA                                                                                                                                     </v>
      </c>
      <c r="G2204" s="26" t="str">
        <f>"MIGUEL HIDALGO                                                                  "</f>
        <v xml:space="preserve">MIGUEL HIDALGO                                                                  </v>
      </c>
      <c r="H2204" s="26" t="str">
        <f>"213"</f>
        <v>213</v>
      </c>
      <c r="I2204" s="26" t="str">
        <f t="shared" si="368"/>
        <v>00</v>
      </c>
      <c r="J2204" s="26" t="str">
        <f t="shared" si="371"/>
        <v xml:space="preserve">42 </v>
      </c>
      <c r="K2204" s="26" t="str">
        <f t="shared" si="363"/>
        <v>PR</v>
      </c>
      <c r="L2204" s="26" t="str">
        <f t="shared" si="364"/>
        <v>DGOSE</v>
      </c>
      <c r="M2204" s="26" t="str">
        <f t="shared" si="370"/>
        <v>PARTICULAR</v>
      </c>
      <c r="N2204" s="26">
        <v>203</v>
      </c>
      <c r="O2204" s="26">
        <v>101</v>
      </c>
      <c r="P2204" s="26">
        <v>102</v>
      </c>
      <c r="Q2204" s="26">
        <v>9</v>
      </c>
      <c r="R2204" s="26">
        <v>1</v>
      </c>
      <c r="S2204" s="26">
        <v>9</v>
      </c>
      <c r="T2204" s="26">
        <v>8</v>
      </c>
      <c r="U2204" s="26">
        <v>18</v>
      </c>
      <c r="V2204" s="26">
        <v>1</v>
      </c>
      <c r="W2204" s="26"/>
    </row>
    <row r="2205" spans="1:23" x14ac:dyDescent="0.25">
      <c r="A2205" s="26" t="str">
        <f t="shared" si="366"/>
        <v>PRIMARIA</v>
      </c>
      <c r="B2205" s="26" t="str">
        <f>"09PPR0218Q"</f>
        <v>09PPR0218Q</v>
      </c>
      <c r="C2205" s="26" t="str">
        <f>"INSTITUTO OVALLE MONDAY                                                                             "</f>
        <v xml:space="preserve">INSTITUTO OVALLE MONDAY                                                                             </v>
      </c>
      <c r="D2205" s="26" t="str">
        <f t="shared" si="372"/>
        <v>MATUTINO</v>
      </c>
      <c r="E2205" s="26" t="str">
        <f>"LATACUNGA NO 802                                                                "</f>
        <v xml:space="preserve">LATACUNGA NO 802                                                                </v>
      </c>
      <c r="F2205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2205" s="26" t="str">
        <f>"GUSTAVO A. MADERO                                                               "</f>
        <v xml:space="preserve">GUSTAVO A. MADERO                                                               </v>
      </c>
      <c r="H2205" s="26" t="str">
        <f>"240"</f>
        <v>240</v>
      </c>
      <c r="I2205" s="26" t="str">
        <f t="shared" si="368"/>
        <v>00</v>
      </c>
      <c r="J2205" s="26" t="str">
        <f t="shared" si="371"/>
        <v xml:space="preserve">42 </v>
      </c>
      <c r="K2205" s="26" t="str">
        <f t="shared" si="363"/>
        <v>PR</v>
      </c>
      <c r="L2205" s="26" t="str">
        <f t="shared" si="364"/>
        <v>DGOSE</v>
      </c>
      <c r="M2205" s="26" t="str">
        <f t="shared" si="370"/>
        <v>PARTICULAR</v>
      </c>
      <c r="N2205" s="26">
        <v>539</v>
      </c>
      <c r="O2205" s="26">
        <v>265</v>
      </c>
      <c r="P2205" s="26">
        <v>274</v>
      </c>
      <c r="Q2205" s="26">
        <v>18</v>
      </c>
      <c r="R2205" s="26">
        <v>1</v>
      </c>
      <c r="S2205" s="26">
        <v>11</v>
      </c>
      <c r="T2205" s="26">
        <v>27</v>
      </c>
      <c r="U2205" s="26">
        <v>39</v>
      </c>
      <c r="V2205" s="26">
        <v>1</v>
      </c>
      <c r="W2205" s="26"/>
    </row>
    <row r="2206" spans="1:23" x14ac:dyDescent="0.25">
      <c r="A2206" s="26" t="str">
        <f t="shared" si="366"/>
        <v>PRIMARIA</v>
      </c>
      <c r="B2206" s="26" t="str">
        <f>"09PPR0219P"</f>
        <v>09PPR0219P</v>
      </c>
      <c r="C2206" s="26" t="str">
        <f>"COLEGIO MERCEDES                                                                                    "</f>
        <v xml:space="preserve">COLEGIO MERCEDES                                                                                    </v>
      </c>
      <c r="D2206" s="26" t="str">
        <f t="shared" si="372"/>
        <v>MATUTINO</v>
      </c>
      <c r="E2206" s="26" t="str">
        <f>"AREQUIPA NO 796                                                                 "</f>
        <v xml:space="preserve">AREQUIPA NO 796                                                                 </v>
      </c>
      <c r="F2206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2206" s="26" t="str">
        <f>"GUSTAVO A. MADERO                                                               "</f>
        <v xml:space="preserve">GUSTAVO A. MADERO                                                               </v>
      </c>
      <c r="H2206" s="26" t="str">
        <f>"243"</f>
        <v>243</v>
      </c>
      <c r="I2206" s="26" t="str">
        <f t="shared" si="368"/>
        <v>00</v>
      </c>
      <c r="J2206" s="26" t="str">
        <f t="shared" si="371"/>
        <v xml:space="preserve">42 </v>
      </c>
      <c r="K2206" s="26" t="str">
        <f t="shared" si="363"/>
        <v>PR</v>
      </c>
      <c r="L2206" s="26" t="str">
        <f t="shared" si="364"/>
        <v>DGOSE</v>
      </c>
      <c r="M2206" s="26" t="str">
        <f t="shared" si="370"/>
        <v>PARTICULAR</v>
      </c>
      <c r="N2206" s="26">
        <v>345</v>
      </c>
      <c r="O2206" s="26">
        <v>160</v>
      </c>
      <c r="P2206" s="26">
        <v>185</v>
      </c>
      <c r="Q2206" s="26">
        <v>12</v>
      </c>
      <c r="R2206" s="26">
        <v>1</v>
      </c>
      <c r="S2206" s="26">
        <v>12</v>
      </c>
      <c r="T2206" s="26">
        <v>21</v>
      </c>
      <c r="U2206" s="26">
        <v>34</v>
      </c>
      <c r="V2206" s="26">
        <v>1</v>
      </c>
      <c r="W2206" s="26"/>
    </row>
    <row r="2207" spans="1:23" x14ac:dyDescent="0.25">
      <c r="A2207" s="26" t="str">
        <f t="shared" si="366"/>
        <v>PRIMARIA</v>
      </c>
      <c r="B2207" s="26" t="str">
        <f>"09PPR0220E"</f>
        <v>09PPR0220E</v>
      </c>
      <c r="C2207" s="26" t="str">
        <f>"MIER Y PESADO                                                                                       "</f>
        <v xml:space="preserve">MIER Y PESADO                                                                                       </v>
      </c>
      <c r="D2207" s="26" t="str">
        <f t="shared" si="372"/>
        <v>MATUTINO</v>
      </c>
      <c r="E2207" s="26" t="str">
        <f>"CALZADA DE GUADALUPE NUMERO 540                                                 "</f>
        <v xml:space="preserve">CALZADA DE GUADALUPE NUMERO 540                                                 </v>
      </c>
      <c r="F2207" s="26" t="str">
        <f>"INDUSTRIAL                                                                                                                                  "</f>
        <v xml:space="preserve">INDUSTRIAL                                                                                                                                  </v>
      </c>
      <c r="G2207" s="26" t="str">
        <f>"GUSTAVO A. MADERO                                                               "</f>
        <v xml:space="preserve">GUSTAVO A. MADERO                                                               </v>
      </c>
      <c r="H2207" s="26" t="str">
        <f>"250"</f>
        <v>250</v>
      </c>
      <c r="I2207" s="26" t="str">
        <f t="shared" si="368"/>
        <v>00</v>
      </c>
      <c r="J2207" s="26" t="str">
        <f t="shared" si="371"/>
        <v xml:space="preserve">42 </v>
      </c>
      <c r="K2207" s="26" t="str">
        <f t="shared" si="363"/>
        <v>PR</v>
      </c>
      <c r="L2207" s="26" t="str">
        <f t="shared" si="364"/>
        <v>DGOSE</v>
      </c>
      <c r="M2207" s="26" t="str">
        <f t="shared" si="370"/>
        <v>PARTICULAR</v>
      </c>
      <c r="N2207" s="26">
        <v>645</v>
      </c>
      <c r="O2207" s="26">
        <v>0</v>
      </c>
      <c r="P2207" s="26">
        <v>645</v>
      </c>
      <c r="Q2207" s="26">
        <v>21</v>
      </c>
      <c r="R2207" s="26">
        <v>1</v>
      </c>
      <c r="S2207" s="26">
        <v>21</v>
      </c>
      <c r="T2207" s="26">
        <v>21</v>
      </c>
      <c r="U2207" s="26">
        <v>43</v>
      </c>
      <c r="V2207" s="26">
        <v>1</v>
      </c>
      <c r="W2207" s="26"/>
    </row>
    <row r="2208" spans="1:23" x14ac:dyDescent="0.25">
      <c r="A2208" s="26" t="str">
        <f t="shared" si="366"/>
        <v>PRIMARIA</v>
      </c>
      <c r="B2208" s="26" t="str">
        <f>"09PPR0221D"</f>
        <v>09PPR0221D</v>
      </c>
      <c r="C2208" s="26" t="str">
        <f>"MARIA CURIE                                                                                         "</f>
        <v xml:space="preserve">MARIA CURIE                                                                                         </v>
      </c>
      <c r="D2208" s="26" t="str">
        <f t="shared" si="372"/>
        <v>MATUTINO</v>
      </c>
      <c r="E2208" s="26" t="str">
        <f>"FRANCISCO MORENO NO. 136                                                        "</f>
        <v xml:space="preserve">FRANCISCO MORENO NO. 136                                                        </v>
      </c>
      <c r="F2208" s="26" t="str">
        <f>"GUSTAVO A. MADERO                                                                                                                           "</f>
        <v xml:space="preserve">GUSTAVO A. MADERO                                                                                                                           </v>
      </c>
      <c r="G2208" s="26" t="str">
        <f>"GUSTAVO A. MADERO                                                               "</f>
        <v xml:space="preserve">GUSTAVO A. MADERO                                                               </v>
      </c>
      <c r="H2208" s="26" t="str">
        <f>"249"</f>
        <v>249</v>
      </c>
      <c r="I2208" s="26" t="str">
        <f t="shared" si="368"/>
        <v>00</v>
      </c>
      <c r="J2208" s="26" t="str">
        <f t="shared" si="371"/>
        <v xml:space="preserve">42 </v>
      </c>
      <c r="K2208" s="26" t="str">
        <f t="shared" si="363"/>
        <v>PR</v>
      </c>
      <c r="L2208" s="26" t="str">
        <f t="shared" si="364"/>
        <v>DGOSE</v>
      </c>
      <c r="M2208" s="26" t="str">
        <f t="shared" si="370"/>
        <v>PARTICULAR</v>
      </c>
      <c r="N2208" s="26">
        <v>352</v>
      </c>
      <c r="O2208" s="26">
        <v>171</v>
      </c>
      <c r="P2208" s="26">
        <v>181</v>
      </c>
      <c r="Q2208" s="26">
        <v>12</v>
      </c>
      <c r="R2208" s="26">
        <v>1</v>
      </c>
      <c r="S2208" s="26">
        <v>12</v>
      </c>
      <c r="T2208" s="26">
        <v>15</v>
      </c>
      <c r="U2208" s="26">
        <v>28</v>
      </c>
      <c r="V2208" s="26">
        <v>1</v>
      </c>
      <c r="W2208" s="26"/>
    </row>
    <row r="2209" spans="1:23" x14ac:dyDescent="0.25">
      <c r="A2209" s="26" t="str">
        <f t="shared" si="366"/>
        <v>PRIMARIA</v>
      </c>
      <c r="B2209" s="26" t="str">
        <f>"09PPR0223B"</f>
        <v>09PPR0223B</v>
      </c>
      <c r="C2209" s="26" t="str">
        <f>"MANUEL MARIA CONTRERAS                                                                              "</f>
        <v xml:space="preserve">MANUEL MARIA CONTRERAS                                                                              </v>
      </c>
      <c r="D2209" s="26" t="str">
        <f t="shared" si="372"/>
        <v>MATUTINO</v>
      </c>
      <c r="E2209" s="26" t="str">
        <f>"MANUEL MARIA CONTRERAS 93                                                       "</f>
        <v xml:space="preserve">MANUEL MARIA CONTRERAS 93                                                       </v>
      </c>
      <c r="F2209" s="26" t="str">
        <f>"SAN RAFAEL                                                                                                                                  "</f>
        <v xml:space="preserve">SAN RAFAEL                                                                                                                                  </v>
      </c>
      <c r="G2209" s="26" t="str">
        <f>"CUAUHTEMOC                                                                      "</f>
        <v xml:space="preserve">CUAUHTEMOC                                                                      </v>
      </c>
      <c r="H2209" s="26" t="str">
        <f>"220"</f>
        <v>220</v>
      </c>
      <c r="I2209" s="26" t="str">
        <f t="shared" si="368"/>
        <v>00</v>
      </c>
      <c r="J2209" s="26" t="str">
        <f t="shared" si="371"/>
        <v xml:space="preserve">42 </v>
      </c>
      <c r="K2209" s="26" t="str">
        <f t="shared" si="363"/>
        <v>PR</v>
      </c>
      <c r="L2209" s="26" t="str">
        <f t="shared" si="364"/>
        <v>DGOSE</v>
      </c>
      <c r="M2209" s="26" t="str">
        <f t="shared" si="370"/>
        <v>PARTICULAR</v>
      </c>
      <c r="N2209" s="26">
        <v>114</v>
      </c>
      <c r="O2209" s="26">
        <v>54</v>
      </c>
      <c r="P2209" s="26">
        <v>60</v>
      </c>
      <c r="Q2209" s="26">
        <v>6</v>
      </c>
      <c r="R2209" s="26">
        <v>1</v>
      </c>
      <c r="S2209" s="26">
        <v>6</v>
      </c>
      <c r="T2209" s="26">
        <v>6</v>
      </c>
      <c r="U2209" s="26">
        <v>13</v>
      </c>
      <c r="V2209" s="26">
        <v>1</v>
      </c>
      <c r="W2209" s="26"/>
    </row>
    <row r="2210" spans="1:23" x14ac:dyDescent="0.25">
      <c r="A2210" s="26" t="str">
        <f t="shared" si="366"/>
        <v>PRIMARIA</v>
      </c>
      <c r="B2210" s="26" t="str">
        <f>"09PPR0225Z"</f>
        <v>09PPR0225Z</v>
      </c>
      <c r="C2210" s="26" t="str">
        <f>"""INSTITUTO CRISOL""                                                                                  "</f>
        <v xml:space="preserve">"INSTITUTO CRISOL"                                                                                  </v>
      </c>
      <c r="D2210" s="26" t="str">
        <f t="shared" si="372"/>
        <v>MATUTINO</v>
      </c>
      <c r="E2210" s="26" t="str">
        <f>"1A CERRADA AV JARDIN NUM 31                                                     "</f>
        <v xml:space="preserve">1A CERRADA AV JARDIN NUM 31                                                     </v>
      </c>
      <c r="F2210" s="26" t="str">
        <f>"DEL GAS                                                                                                                                     "</f>
        <v xml:space="preserve">DEL GAS                                                                                                                                     </v>
      </c>
      <c r="G2210" s="26" t="str">
        <f>"AZCAPOTZALCO                                                                    "</f>
        <v xml:space="preserve">AZCAPOTZALCO                                                                    </v>
      </c>
      <c r="H2210" s="26" t="str">
        <f>"207"</f>
        <v>207</v>
      </c>
      <c r="I2210" s="26" t="str">
        <f t="shared" si="368"/>
        <v>00</v>
      </c>
      <c r="J2210" s="26" t="str">
        <f t="shared" si="371"/>
        <v xml:space="preserve">42 </v>
      </c>
      <c r="K2210" s="26" t="str">
        <f t="shared" si="363"/>
        <v>PR</v>
      </c>
      <c r="L2210" s="26" t="str">
        <f t="shared" si="364"/>
        <v>DGOSE</v>
      </c>
      <c r="M2210" s="26" t="str">
        <f t="shared" si="370"/>
        <v>PARTICULAR</v>
      </c>
      <c r="N2210" s="26">
        <v>183</v>
      </c>
      <c r="O2210" s="26">
        <v>94</v>
      </c>
      <c r="P2210" s="26">
        <v>89</v>
      </c>
      <c r="Q2210" s="26">
        <v>8</v>
      </c>
      <c r="R2210" s="26">
        <v>1</v>
      </c>
      <c r="S2210" s="26">
        <v>8</v>
      </c>
      <c r="T2210" s="26">
        <v>10</v>
      </c>
      <c r="U2210" s="26">
        <v>19</v>
      </c>
      <c r="V2210" s="26">
        <v>1</v>
      </c>
      <c r="W2210" s="26"/>
    </row>
    <row r="2211" spans="1:23" x14ac:dyDescent="0.25">
      <c r="A2211" s="26" t="str">
        <f t="shared" si="366"/>
        <v>PRIMARIA</v>
      </c>
      <c r="B2211" s="26" t="str">
        <f>"09PPR0226Z"</f>
        <v>09PPR0226Z</v>
      </c>
      <c r="C2211" s="26" t="str">
        <f>"COLEGIO WALDEN DOS                                                                                  "</f>
        <v xml:space="preserve">COLEGIO WALDEN DOS                                                                                  </v>
      </c>
      <c r="D2211" s="26" t="str">
        <f t="shared" si="372"/>
        <v>MATUTINO</v>
      </c>
      <c r="E2211" s="26" t="str">
        <f>"XOLA 203 Y 205                                                                  "</f>
        <v xml:space="preserve">XOLA 203 Y 205                                                                  </v>
      </c>
      <c r="F2211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2211" s="26" t="str">
        <f>"BENITO JUAREZ                                                                   "</f>
        <v xml:space="preserve">BENITO JUAREZ                                                                   </v>
      </c>
      <c r="H2211" s="26" t="str">
        <f>"338"</f>
        <v>338</v>
      </c>
      <c r="I2211" s="26" t="str">
        <f t="shared" si="368"/>
        <v>00</v>
      </c>
      <c r="J2211" s="26" t="str">
        <f>"43 "</f>
        <v xml:space="preserve">43 </v>
      </c>
      <c r="K2211" s="26" t="str">
        <f t="shared" si="363"/>
        <v>PR</v>
      </c>
      <c r="L2211" s="26" t="str">
        <f t="shared" si="364"/>
        <v>DGOSE</v>
      </c>
      <c r="M2211" s="26" t="str">
        <f t="shared" si="370"/>
        <v>PARTICULAR</v>
      </c>
      <c r="N2211" s="26">
        <v>267</v>
      </c>
      <c r="O2211" s="26">
        <v>133</v>
      </c>
      <c r="P2211" s="26">
        <v>134</v>
      </c>
      <c r="Q2211" s="26">
        <v>14</v>
      </c>
      <c r="R2211" s="26">
        <v>1</v>
      </c>
      <c r="S2211" s="26">
        <v>6</v>
      </c>
      <c r="T2211" s="26">
        <v>13</v>
      </c>
      <c r="U2211" s="26">
        <v>20</v>
      </c>
      <c r="V2211" s="26">
        <v>1</v>
      </c>
      <c r="W2211" s="26"/>
    </row>
    <row r="2212" spans="1:23" x14ac:dyDescent="0.25">
      <c r="A2212" s="26" t="str">
        <f t="shared" si="366"/>
        <v>PRIMARIA</v>
      </c>
      <c r="B2212" s="26" t="str">
        <f>"09PPR0227Y"</f>
        <v>09PPR0227Y</v>
      </c>
      <c r="C2212" s="26" t="str">
        <f>"INSTITUTO NOTTINGHAM                                                                                "</f>
        <v xml:space="preserve">INSTITUTO NOTTINGHAM                                                                                </v>
      </c>
      <c r="D2212" s="26" t="str">
        <f t="shared" si="372"/>
        <v>MATUTINO</v>
      </c>
      <c r="E2212" s="26" t="str">
        <f>"AV 553 NO 75                                                                    "</f>
        <v xml:space="preserve">AV 553 NO 75                                                                    </v>
      </c>
      <c r="F2212" s="26" t="str">
        <f>"SAN JUAN DE ARAGON                                                                                                                          "</f>
        <v xml:space="preserve">SAN JUAN DE ARAGON                                                                                                                          </v>
      </c>
      <c r="G2212" s="26" t="str">
        <f>"GUSTAVO A. MADERO                                                               "</f>
        <v xml:space="preserve">GUSTAVO A. MADERO                                                               </v>
      </c>
      <c r="H2212" s="26" t="str">
        <f>"269"</f>
        <v>269</v>
      </c>
      <c r="I2212" s="26" t="str">
        <f t="shared" si="368"/>
        <v>00</v>
      </c>
      <c r="J2212" s="26" t="str">
        <f t="shared" ref="J2212:J2224" si="373">"42 "</f>
        <v xml:space="preserve">42 </v>
      </c>
      <c r="K2212" s="26" t="str">
        <f t="shared" si="363"/>
        <v>PR</v>
      </c>
      <c r="L2212" s="26" t="str">
        <f t="shared" si="364"/>
        <v>DGOSE</v>
      </c>
      <c r="M2212" s="26" t="str">
        <f t="shared" si="370"/>
        <v>PARTICULAR</v>
      </c>
      <c r="N2212" s="26">
        <v>117</v>
      </c>
      <c r="O2212" s="26">
        <v>61</v>
      </c>
      <c r="P2212" s="26">
        <v>56</v>
      </c>
      <c r="Q2212" s="26">
        <v>6</v>
      </c>
      <c r="R2212" s="26">
        <v>1</v>
      </c>
      <c r="S2212" s="26">
        <v>3</v>
      </c>
      <c r="T2212" s="26">
        <v>4</v>
      </c>
      <c r="U2212" s="26">
        <v>8</v>
      </c>
      <c r="V2212" s="26">
        <v>1</v>
      </c>
      <c r="W2212" s="26"/>
    </row>
    <row r="2213" spans="1:23" x14ac:dyDescent="0.25">
      <c r="A2213" s="26" t="str">
        <f t="shared" si="366"/>
        <v>PRIMARIA</v>
      </c>
      <c r="B2213" s="26" t="str">
        <f>"09PPR0229W"</f>
        <v>09PPR0229W</v>
      </c>
      <c r="C2213" s="26" t="str">
        <f>"FRAY MATIAS DE CORDOVA                                                                              "</f>
        <v xml:space="preserve">FRAY MATIAS DE CORDOVA                                                                              </v>
      </c>
      <c r="D2213" s="26" t="str">
        <f t="shared" si="372"/>
        <v>MATUTINO</v>
      </c>
      <c r="E2213" s="26" t="str">
        <f>"AV.CENTENARIO NUM.395 BIS.                                                      "</f>
        <v xml:space="preserve">AV.CENTENARIO NUM.395 BIS.                                                      </v>
      </c>
      <c r="F2213" s="26" t="str">
        <f>"NEXTENGO                                                                                                                                    "</f>
        <v xml:space="preserve">NEXTENGO                                                                                                                                    </v>
      </c>
      <c r="G2213" s="26" t="str">
        <f>"AZCAPOTZALCO                                                                    "</f>
        <v xml:space="preserve">AZCAPOTZALCO                                                                    </v>
      </c>
      <c r="H2213" s="26" t="str">
        <f>"000"</f>
        <v>000</v>
      </c>
      <c r="I2213" s="26" t="str">
        <f t="shared" si="368"/>
        <v>00</v>
      </c>
      <c r="J2213" s="26" t="str">
        <f t="shared" si="373"/>
        <v xml:space="preserve">42 </v>
      </c>
      <c r="K2213" s="26" t="str">
        <f t="shared" si="363"/>
        <v>PR</v>
      </c>
      <c r="L2213" s="26" t="str">
        <f t="shared" si="364"/>
        <v>DGOSE</v>
      </c>
      <c r="M2213" s="26" t="str">
        <f t="shared" si="370"/>
        <v>PARTICULAR</v>
      </c>
      <c r="N2213" s="26">
        <v>299</v>
      </c>
      <c r="O2213" s="26">
        <v>122</v>
      </c>
      <c r="P2213" s="26">
        <v>177</v>
      </c>
      <c r="Q2213" s="26">
        <v>13</v>
      </c>
      <c r="R2213" s="26">
        <v>1</v>
      </c>
      <c r="S2213" s="26">
        <v>13</v>
      </c>
      <c r="T2213" s="26">
        <v>11</v>
      </c>
      <c r="U2213" s="26">
        <v>25</v>
      </c>
      <c r="V2213" s="26">
        <v>1</v>
      </c>
      <c r="W2213" s="26"/>
    </row>
    <row r="2214" spans="1:23" x14ac:dyDescent="0.25">
      <c r="A2214" s="26" t="str">
        <f t="shared" si="366"/>
        <v>PRIMARIA</v>
      </c>
      <c r="B2214" s="26" t="str">
        <f>"09PPR0230L"</f>
        <v>09PPR0230L</v>
      </c>
      <c r="C2214" s="26" t="str">
        <f>"CENTRO EDUCATIVO AMARU                                                                              "</f>
        <v xml:space="preserve">CENTRO EDUCATIVO AMARU                                                                              </v>
      </c>
      <c r="D2214" s="26" t="str">
        <f t="shared" si="372"/>
        <v>MATUTINO</v>
      </c>
      <c r="E2214" s="26" t="str">
        <f>"MORELOS NO 37  Y39                                                              "</f>
        <v xml:space="preserve">MORELOS NO 37  Y39                                                              </v>
      </c>
      <c r="F2214" s="26" t="str">
        <f>"AZCAPOTZALCO                                                                                                                                "</f>
        <v xml:space="preserve">AZCAPOTZALCO                                                                                                                                </v>
      </c>
      <c r="G2214" s="26" t="str">
        <f>"AZCAPOTZALCO                                                                    "</f>
        <v xml:space="preserve">AZCAPOTZALCO                                                                    </v>
      </c>
      <c r="H2214" s="26" t="str">
        <f>"205"</f>
        <v>205</v>
      </c>
      <c r="I2214" s="26" t="str">
        <f t="shared" si="368"/>
        <v>00</v>
      </c>
      <c r="J2214" s="26" t="str">
        <f t="shared" si="373"/>
        <v xml:space="preserve">42 </v>
      </c>
      <c r="K2214" s="26" t="str">
        <f t="shared" si="363"/>
        <v>PR</v>
      </c>
      <c r="L2214" s="26" t="str">
        <f t="shared" si="364"/>
        <v>DGOSE</v>
      </c>
      <c r="M2214" s="26" t="str">
        <f t="shared" si="370"/>
        <v>PARTICULAR</v>
      </c>
      <c r="N2214" s="26">
        <v>124</v>
      </c>
      <c r="O2214" s="26">
        <v>64</v>
      </c>
      <c r="P2214" s="26">
        <v>60</v>
      </c>
      <c r="Q2214" s="26">
        <v>6</v>
      </c>
      <c r="R2214" s="26">
        <v>1</v>
      </c>
      <c r="S2214" s="26">
        <v>3</v>
      </c>
      <c r="T2214" s="26">
        <v>6</v>
      </c>
      <c r="U2214" s="26">
        <v>10</v>
      </c>
      <c r="V2214" s="26">
        <v>1</v>
      </c>
      <c r="W2214" s="26"/>
    </row>
    <row r="2215" spans="1:23" x14ac:dyDescent="0.25">
      <c r="A2215" s="26" t="str">
        <f t="shared" si="366"/>
        <v>PRIMARIA</v>
      </c>
      <c r="B2215" s="26" t="str">
        <f>"09PPR0231K"</f>
        <v>09PPR0231K</v>
      </c>
      <c r="C2215" s="26" t="str">
        <f>"COLEGIO FRANCES NUEVA SANTA MARIA                                                                   "</f>
        <v xml:space="preserve">COLEGIO FRANCES NUEVA SANTA MARIA                                                                   </v>
      </c>
      <c r="D2215" s="26" t="str">
        <f t="shared" si="372"/>
        <v>MATUTINO</v>
      </c>
      <c r="E2215" s="26" t="str">
        <f>"BEGONIAS NO 103                                                                 "</f>
        <v xml:space="preserve">BEGONIAS NO 103                                                                 </v>
      </c>
      <c r="F2215" s="26" t="str">
        <f>"NUEVA SANTA MARIA                                                                                                                           "</f>
        <v xml:space="preserve">NUEVA SANTA MARIA                                                                                                                           </v>
      </c>
      <c r="G2215" s="26" t="str">
        <f>"AZCAPOTZALCO                                                                    "</f>
        <v xml:space="preserve">AZCAPOTZALCO                                                                    </v>
      </c>
      <c r="H2215" s="26" t="str">
        <f>"206"</f>
        <v>206</v>
      </c>
      <c r="I2215" s="26" t="str">
        <f t="shared" si="368"/>
        <v>00</v>
      </c>
      <c r="J2215" s="26" t="str">
        <f t="shared" si="373"/>
        <v xml:space="preserve">42 </v>
      </c>
      <c r="K2215" s="26" t="str">
        <f t="shared" si="363"/>
        <v>PR</v>
      </c>
      <c r="L2215" s="26" t="str">
        <f t="shared" si="364"/>
        <v>DGOSE</v>
      </c>
      <c r="M2215" s="26" t="str">
        <f t="shared" si="370"/>
        <v>PARTICULAR</v>
      </c>
      <c r="N2215" s="26">
        <v>154</v>
      </c>
      <c r="O2215" s="26">
        <v>70</v>
      </c>
      <c r="P2215" s="26">
        <v>84</v>
      </c>
      <c r="Q2215" s="26">
        <v>9</v>
      </c>
      <c r="R2215" s="26">
        <v>1</v>
      </c>
      <c r="S2215" s="26">
        <v>9</v>
      </c>
      <c r="T2215" s="26">
        <v>16</v>
      </c>
      <c r="U2215" s="26">
        <v>26</v>
      </c>
      <c r="V2215" s="26">
        <v>1</v>
      </c>
      <c r="W2215" s="26"/>
    </row>
    <row r="2216" spans="1:23" x14ac:dyDescent="0.25">
      <c r="A2216" s="26" t="str">
        <f t="shared" si="366"/>
        <v>PRIMARIA</v>
      </c>
      <c r="B2216" s="26" t="str">
        <f>"09PPR0232J"</f>
        <v>09PPR0232J</v>
      </c>
      <c r="C2216" s="26" t="str">
        <f>"""EMILIO FUENTES Y BETANCOURT""                                                                       "</f>
        <v xml:space="preserve">"EMILIO FUENTES Y BETANCOURT"                                                                       </v>
      </c>
      <c r="D2216" s="26" t="str">
        <f t="shared" si="372"/>
        <v>MATUTINO</v>
      </c>
      <c r="E2216" s="26" t="str">
        <f>"AV 414 NO 282                                                                   "</f>
        <v xml:space="preserve">AV 414 NO 282                                                                   </v>
      </c>
      <c r="F2216" s="26" t="str">
        <f>"UNIDAD SAN JUAN DE ARAGON 6A SECCIO                                                                                                         "</f>
        <v xml:space="preserve">UNIDAD SAN JUAN DE ARAGON 6A SECCIO                                                                                                         </v>
      </c>
      <c r="G2216" s="26" t="str">
        <f>"GUSTAVO A. MADERO                                                               "</f>
        <v xml:space="preserve">GUSTAVO A. MADERO                                                               </v>
      </c>
      <c r="H2216" s="26" t="str">
        <f>"263"</f>
        <v>263</v>
      </c>
      <c r="I2216" s="26" t="str">
        <f t="shared" si="368"/>
        <v>00</v>
      </c>
      <c r="J2216" s="26" t="str">
        <f t="shared" si="373"/>
        <v xml:space="preserve">42 </v>
      </c>
      <c r="K2216" s="26" t="str">
        <f t="shared" si="363"/>
        <v>PR</v>
      </c>
      <c r="L2216" s="26" t="str">
        <f t="shared" si="364"/>
        <v>DGOSE</v>
      </c>
      <c r="M2216" s="26" t="str">
        <f t="shared" si="370"/>
        <v>PARTICULAR</v>
      </c>
      <c r="N2216" s="26">
        <v>14</v>
      </c>
      <c r="O2216" s="26">
        <v>8</v>
      </c>
      <c r="P2216" s="26">
        <v>6</v>
      </c>
      <c r="Q2216" s="26">
        <v>4</v>
      </c>
      <c r="R2216" s="26">
        <v>1</v>
      </c>
      <c r="S2216" s="26">
        <v>2</v>
      </c>
      <c r="T2216" s="26">
        <v>6</v>
      </c>
      <c r="U2216" s="26">
        <v>9</v>
      </c>
      <c r="V2216" s="26">
        <v>1</v>
      </c>
      <c r="W2216" s="26"/>
    </row>
    <row r="2217" spans="1:23" x14ac:dyDescent="0.25">
      <c r="A2217" s="26" t="str">
        <f t="shared" si="366"/>
        <v>PRIMARIA</v>
      </c>
      <c r="B2217" s="26" t="str">
        <f>"09PPR0233I"</f>
        <v>09PPR0233I</v>
      </c>
      <c r="C2217" s="26" t="str">
        <f>"INSTITUTO LA PAZ                                                                                    "</f>
        <v xml:space="preserve">INSTITUTO LA PAZ                                                                                    </v>
      </c>
      <c r="D2217" s="26" t="str">
        <f t="shared" si="372"/>
        <v>MATUTINO</v>
      </c>
      <c r="E2217" s="26" t="str">
        <f>"PLAN DE SAN LUIS 445                                                            "</f>
        <v xml:space="preserve">PLAN DE SAN LUIS 445                                                            </v>
      </c>
      <c r="F2217" s="26" t="str">
        <f>"NUEVA SANTA MARIA                                                                                                                           "</f>
        <v xml:space="preserve">NUEVA SANTA MARIA                                                                                                                           </v>
      </c>
      <c r="G2217" s="26" t="str">
        <f>"AZCAPOTZALCO                                                                    "</f>
        <v xml:space="preserve">AZCAPOTZALCO                                                                    </v>
      </c>
      <c r="H2217" s="26" t="str">
        <f>"206"</f>
        <v>206</v>
      </c>
      <c r="I2217" s="26" t="str">
        <f t="shared" si="368"/>
        <v>00</v>
      </c>
      <c r="J2217" s="26" t="str">
        <f t="shared" si="373"/>
        <v xml:space="preserve">42 </v>
      </c>
      <c r="K2217" s="26" t="str">
        <f t="shared" si="363"/>
        <v>PR</v>
      </c>
      <c r="L2217" s="26" t="str">
        <f t="shared" si="364"/>
        <v>DGOSE</v>
      </c>
      <c r="M2217" s="26" t="str">
        <f t="shared" si="370"/>
        <v>PARTICULAR</v>
      </c>
      <c r="N2217" s="26">
        <v>523</v>
      </c>
      <c r="O2217" s="26">
        <v>240</v>
      </c>
      <c r="P2217" s="26">
        <v>283</v>
      </c>
      <c r="Q2217" s="26">
        <v>21</v>
      </c>
      <c r="R2217" s="26">
        <v>1</v>
      </c>
      <c r="S2217" s="26">
        <v>11</v>
      </c>
      <c r="T2217" s="26">
        <v>20</v>
      </c>
      <c r="U2217" s="26">
        <v>32</v>
      </c>
      <c r="V2217" s="26">
        <v>1</v>
      </c>
      <c r="W2217" s="26"/>
    </row>
    <row r="2218" spans="1:23" x14ac:dyDescent="0.25">
      <c r="A2218" s="26" t="str">
        <f t="shared" si="366"/>
        <v>PRIMARIA</v>
      </c>
      <c r="B2218" s="26" t="str">
        <f>"09PPR0234H"</f>
        <v>09PPR0234H</v>
      </c>
      <c r="C2218" s="26" t="str">
        <f>"INSTITUTO VICTORIA                                                                                  "</f>
        <v xml:space="preserve">INSTITUTO VICTORIA                                                                                  </v>
      </c>
      <c r="D2218" s="26" t="str">
        <f t="shared" si="372"/>
        <v>MATUTINO</v>
      </c>
      <c r="E2218" s="26" t="str">
        <f>"RAFAEL BUELNA NO. 63                                                            "</f>
        <v xml:space="preserve">RAFAEL BUELNA NO. 63                                                            </v>
      </c>
      <c r="F2218" s="26" t="str">
        <f>"TEZOZOMOC                                                                                                                                   "</f>
        <v xml:space="preserve">TEZOZOMOC                                                                                                                                   </v>
      </c>
      <c r="G2218" s="26" t="str">
        <f>"AZCAPOTZALCO                                                                    "</f>
        <v xml:space="preserve">AZCAPOTZALCO                                                                    </v>
      </c>
      <c r="H2218" s="26" t="str">
        <f>"204"</f>
        <v>204</v>
      </c>
      <c r="I2218" s="26" t="str">
        <f t="shared" si="368"/>
        <v>00</v>
      </c>
      <c r="J2218" s="26" t="str">
        <f t="shared" si="373"/>
        <v xml:space="preserve">42 </v>
      </c>
      <c r="K2218" s="26" t="str">
        <f t="shared" si="363"/>
        <v>PR</v>
      </c>
      <c r="L2218" s="26" t="str">
        <f t="shared" si="364"/>
        <v>DGOSE</v>
      </c>
      <c r="M2218" s="26" t="str">
        <f t="shared" si="370"/>
        <v>PARTICULAR</v>
      </c>
      <c r="N2218" s="26">
        <v>125</v>
      </c>
      <c r="O2218" s="26">
        <v>57</v>
      </c>
      <c r="P2218" s="26">
        <v>68</v>
      </c>
      <c r="Q2218" s="26">
        <v>6</v>
      </c>
      <c r="R2218" s="26">
        <v>1</v>
      </c>
      <c r="S2218" s="26">
        <v>6</v>
      </c>
      <c r="T2218" s="26">
        <v>7</v>
      </c>
      <c r="U2218" s="26">
        <v>14</v>
      </c>
      <c r="V2218" s="26">
        <v>1</v>
      </c>
      <c r="W2218" s="26"/>
    </row>
    <row r="2219" spans="1:23" x14ac:dyDescent="0.25">
      <c r="A2219" s="26" t="str">
        <f t="shared" si="366"/>
        <v>PRIMARIA</v>
      </c>
      <c r="B2219" s="26" t="str">
        <f>"09PPR0235G"</f>
        <v>09PPR0235G</v>
      </c>
      <c r="C2219" s="26" t="str">
        <f>"ESTADO DE MEXICO                                                                                    "</f>
        <v xml:space="preserve">ESTADO DE MEXICO                                                                                    </v>
      </c>
      <c r="D2219" s="26" t="str">
        <f t="shared" si="372"/>
        <v>MATUTINO</v>
      </c>
      <c r="E2219" s="26" t="str">
        <f>"FLORESTA NO. 134                                                                "</f>
        <v xml:space="preserve">FLORESTA NO. 134                                                                </v>
      </c>
      <c r="F2219" s="26" t="str">
        <f>"CLAVERIA                                                                                                                                    "</f>
        <v xml:space="preserve">CLAVERIA                                                                                                                                    </v>
      </c>
      <c r="G2219" s="26" t="str">
        <f>"AZCAPOTZALCO                                                                    "</f>
        <v xml:space="preserve">AZCAPOTZALCO                                                                    </v>
      </c>
      <c r="H2219" s="26" t="str">
        <f>"000"</f>
        <v>000</v>
      </c>
      <c r="I2219" s="26" t="str">
        <f t="shared" si="368"/>
        <v>00</v>
      </c>
      <c r="J2219" s="26" t="str">
        <f t="shared" si="373"/>
        <v xml:space="preserve">42 </v>
      </c>
      <c r="K2219" s="26" t="str">
        <f t="shared" si="363"/>
        <v>PR</v>
      </c>
      <c r="L2219" s="26" t="str">
        <f t="shared" si="364"/>
        <v>DGOSE</v>
      </c>
      <c r="M2219" s="26" t="str">
        <f t="shared" si="370"/>
        <v>PARTICULAR</v>
      </c>
      <c r="N2219" s="26">
        <v>199</v>
      </c>
      <c r="O2219" s="26">
        <v>106</v>
      </c>
      <c r="P2219" s="26">
        <v>93</v>
      </c>
      <c r="Q2219" s="26">
        <v>10</v>
      </c>
      <c r="R2219" s="26">
        <v>1</v>
      </c>
      <c r="S2219" s="26">
        <v>10</v>
      </c>
      <c r="T2219" s="26">
        <v>6</v>
      </c>
      <c r="U2219" s="26">
        <v>17</v>
      </c>
      <c r="V2219" s="26">
        <v>1</v>
      </c>
      <c r="W2219" s="26"/>
    </row>
    <row r="2220" spans="1:23" x14ac:dyDescent="0.25">
      <c r="A2220" s="26" t="str">
        <f t="shared" si="366"/>
        <v>PRIMARIA</v>
      </c>
      <c r="B2220" s="26" t="str">
        <f>"09PPR0236F"</f>
        <v>09PPR0236F</v>
      </c>
      <c r="C2220" s="26" t="str">
        <f>"RENACIMIENTO                                                                                        "</f>
        <v xml:space="preserve">RENACIMIENTO                                                                                        </v>
      </c>
      <c r="D2220" s="26" t="str">
        <f t="shared" si="372"/>
        <v>MATUTINO</v>
      </c>
      <c r="E2220" s="26" t="str">
        <f>"LAGUNA DE TAMIAHUA 97                                                           "</f>
        <v xml:space="preserve">LAGUNA DE TAMIAHUA 97                                                           </v>
      </c>
      <c r="F2220" s="26" t="str">
        <f>"ANAHUAC I                                                                                                                                   "</f>
        <v xml:space="preserve">ANAHUAC I                                                                                                                                   </v>
      </c>
      <c r="G2220" s="26" t="str">
        <f>"MIGUEL HIDALGO                                                                  "</f>
        <v xml:space="preserve">MIGUEL HIDALGO                                                                  </v>
      </c>
      <c r="H2220" s="26" t="str">
        <f>"215"</f>
        <v>215</v>
      </c>
      <c r="I2220" s="26" t="str">
        <f t="shared" si="368"/>
        <v>00</v>
      </c>
      <c r="J2220" s="26" t="str">
        <f t="shared" si="373"/>
        <v xml:space="preserve">42 </v>
      </c>
      <c r="K2220" s="26" t="str">
        <f t="shared" si="363"/>
        <v>PR</v>
      </c>
      <c r="L2220" s="26" t="str">
        <f t="shared" si="364"/>
        <v>DGOSE</v>
      </c>
      <c r="M2220" s="26" t="str">
        <f t="shared" si="370"/>
        <v>PARTICULAR</v>
      </c>
      <c r="N2220" s="26">
        <v>550</v>
      </c>
      <c r="O2220" s="26">
        <v>305</v>
      </c>
      <c r="P2220" s="26">
        <v>245</v>
      </c>
      <c r="Q2220" s="26">
        <v>20</v>
      </c>
      <c r="R2220" s="26">
        <v>1</v>
      </c>
      <c r="S2220" s="26">
        <v>20</v>
      </c>
      <c r="T2220" s="26">
        <v>19</v>
      </c>
      <c r="U2220" s="26">
        <v>40</v>
      </c>
      <c r="V2220" s="26">
        <v>1</v>
      </c>
      <c r="W2220" s="26"/>
    </row>
    <row r="2221" spans="1:23" x14ac:dyDescent="0.25">
      <c r="A2221" s="26" t="str">
        <f t="shared" si="366"/>
        <v>PRIMARIA</v>
      </c>
      <c r="B2221" s="26" t="str">
        <f>"09PPR0237E"</f>
        <v>09PPR0237E</v>
      </c>
      <c r="C2221" s="26" t="str">
        <f>"SARA ALARCON                                                                                        "</f>
        <v xml:space="preserve">SARA ALARCON                                                                                        </v>
      </c>
      <c r="D2221" s="26" t="str">
        <f t="shared" si="372"/>
        <v>MATUTINO</v>
      </c>
      <c r="E2221" s="26" t="str">
        <f>"LAGO ALBERTO 291                                                                "</f>
        <v xml:space="preserve">LAGO ALBERTO 291                                                                </v>
      </c>
      <c r="F2221" s="26" t="str">
        <f>"GRANADA                                                                                                                                     "</f>
        <v xml:space="preserve">GRANADA                                                                                                                                     </v>
      </c>
      <c r="G2221" s="26" t="str">
        <f>"MIGUEL HIDALGO                                                                  "</f>
        <v xml:space="preserve">MIGUEL HIDALGO                                                                  </v>
      </c>
      <c r="H2221" s="26" t="str">
        <f>"214"</f>
        <v>214</v>
      </c>
      <c r="I2221" s="26" t="str">
        <f t="shared" si="368"/>
        <v>00</v>
      </c>
      <c r="J2221" s="26" t="str">
        <f t="shared" si="373"/>
        <v xml:space="preserve">42 </v>
      </c>
      <c r="K2221" s="26" t="str">
        <f t="shared" si="363"/>
        <v>PR</v>
      </c>
      <c r="L2221" s="26" t="str">
        <f t="shared" si="364"/>
        <v>DGOSE</v>
      </c>
      <c r="M2221" s="26" t="str">
        <f t="shared" si="370"/>
        <v>PARTICULAR</v>
      </c>
      <c r="N2221" s="26">
        <v>473</v>
      </c>
      <c r="O2221" s="26">
        <v>232</v>
      </c>
      <c r="P2221" s="26">
        <v>241</v>
      </c>
      <c r="Q2221" s="26">
        <v>18</v>
      </c>
      <c r="R2221" s="26">
        <v>1</v>
      </c>
      <c r="S2221" s="26">
        <v>10</v>
      </c>
      <c r="T2221" s="26">
        <v>15</v>
      </c>
      <c r="U2221" s="26">
        <v>26</v>
      </c>
      <c r="V2221" s="26">
        <v>1</v>
      </c>
      <c r="W2221" s="26"/>
    </row>
    <row r="2222" spans="1:23" x14ac:dyDescent="0.25">
      <c r="A2222" s="26" t="str">
        <f t="shared" si="366"/>
        <v>PRIMARIA</v>
      </c>
      <c r="B2222" s="26" t="str">
        <f>"09PPR0238D"</f>
        <v>09PPR0238D</v>
      </c>
      <c r="C2222" s="26" t="str">
        <f>"COLEGIO MEXICANO GUADALUPANO                                                                        "</f>
        <v xml:space="preserve">COLEGIO MEXICANO GUADALUPANO                                                                        </v>
      </c>
      <c r="D2222" s="26" t="str">
        <f t="shared" si="372"/>
        <v>MATUTINO</v>
      </c>
      <c r="E2222" s="26" t="str">
        <f>"LAGO GUADALUPE NO. 269                                                          "</f>
        <v xml:space="preserve">LAGO GUADALUPE NO. 269                                                          </v>
      </c>
      <c r="F2222" s="26" t="str">
        <f>"GRANADA                                                                                                                                     "</f>
        <v xml:space="preserve">GRANADA                                                                                                                                     </v>
      </c>
      <c r="G2222" s="26" t="str">
        <f>"MIGUEL HIDALGO                                                                  "</f>
        <v xml:space="preserve">MIGUEL HIDALGO                                                                  </v>
      </c>
      <c r="H2222" s="26" t="str">
        <f>"213"</f>
        <v>213</v>
      </c>
      <c r="I2222" s="26" t="str">
        <f t="shared" si="368"/>
        <v>00</v>
      </c>
      <c r="J2222" s="26" t="str">
        <f t="shared" si="373"/>
        <v xml:space="preserve">42 </v>
      </c>
      <c r="K2222" s="26" t="str">
        <f t="shared" si="363"/>
        <v>PR</v>
      </c>
      <c r="L2222" s="26" t="str">
        <f t="shared" si="364"/>
        <v>DGOSE</v>
      </c>
      <c r="M2222" s="26" t="str">
        <f t="shared" si="370"/>
        <v>PARTICULAR</v>
      </c>
      <c r="N2222" s="26">
        <v>87</v>
      </c>
      <c r="O2222" s="26">
        <v>48</v>
      </c>
      <c r="P2222" s="26">
        <v>39</v>
      </c>
      <c r="Q2222" s="26">
        <v>7</v>
      </c>
      <c r="R2222" s="26">
        <v>1</v>
      </c>
      <c r="S2222" s="26">
        <v>7</v>
      </c>
      <c r="T2222" s="26">
        <v>4</v>
      </c>
      <c r="U2222" s="26">
        <v>12</v>
      </c>
      <c r="V2222" s="26">
        <v>1</v>
      </c>
      <c r="W2222" s="26"/>
    </row>
    <row r="2223" spans="1:23" x14ac:dyDescent="0.25">
      <c r="A2223" s="26" t="str">
        <f t="shared" si="366"/>
        <v>PRIMARIA</v>
      </c>
      <c r="B2223" s="26" t="str">
        <f>"09PPR0244O"</f>
        <v>09PPR0244O</v>
      </c>
      <c r="C2223" s="26" t="str">
        <f>"INSTITUTO ESPERANZA                                                                                 "</f>
        <v xml:space="preserve">INSTITUTO ESPERANZA                                                                                 </v>
      </c>
      <c r="D2223" s="26" t="str">
        <f t="shared" si="372"/>
        <v>MATUTINO</v>
      </c>
      <c r="E2223" s="26" t="str">
        <f>"GOLFO DE MEXICO NUM 19                                                          "</f>
        <v xml:space="preserve">GOLFO DE MEXICO NUM 19                                                          </v>
      </c>
      <c r="F2223" s="26" t="str">
        <f>"TACUBA                                                                                                                                      "</f>
        <v xml:space="preserve">TACUBA                                                                                                                                      </v>
      </c>
      <c r="G2223" s="26" t="str">
        <f>"MIGUEL HIDALGO                                                                  "</f>
        <v xml:space="preserve">MIGUEL HIDALGO                                                                  </v>
      </c>
      <c r="H2223" s="26" t="str">
        <f>"213"</f>
        <v>213</v>
      </c>
      <c r="I2223" s="26" t="str">
        <f t="shared" si="368"/>
        <v>00</v>
      </c>
      <c r="J2223" s="26" t="str">
        <f t="shared" si="373"/>
        <v xml:space="preserve">42 </v>
      </c>
      <c r="K2223" s="26" t="str">
        <f t="shared" si="363"/>
        <v>PR</v>
      </c>
      <c r="L2223" s="26" t="str">
        <f t="shared" si="364"/>
        <v>DGOSE</v>
      </c>
      <c r="M2223" s="26" t="str">
        <f t="shared" si="370"/>
        <v>PARTICULAR</v>
      </c>
      <c r="N2223" s="26">
        <v>153</v>
      </c>
      <c r="O2223" s="26">
        <v>83</v>
      </c>
      <c r="P2223" s="26">
        <v>70</v>
      </c>
      <c r="Q2223" s="26">
        <v>7</v>
      </c>
      <c r="R2223" s="26">
        <v>1</v>
      </c>
      <c r="S2223" s="26">
        <v>7</v>
      </c>
      <c r="T2223" s="26">
        <v>7</v>
      </c>
      <c r="U2223" s="26">
        <v>15</v>
      </c>
      <c r="V2223" s="26">
        <v>1</v>
      </c>
      <c r="W2223" s="26"/>
    </row>
    <row r="2224" spans="1:23" x14ac:dyDescent="0.25">
      <c r="A2224" s="26" t="str">
        <f t="shared" si="366"/>
        <v>PRIMARIA</v>
      </c>
      <c r="B2224" s="26" t="str">
        <f>"09PPR0245N"</f>
        <v>09PPR0245N</v>
      </c>
      <c r="C2224" s="26" t="str">
        <f>"INSTITUTO MORELOS                                                                                   "</f>
        <v xml:space="preserve">INSTITUTO MORELOS                                                                                   </v>
      </c>
      <c r="D2224" s="26" t="str">
        <f t="shared" si="372"/>
        <v>MATUTINO</v>
      </c>
      <c r="E2224" s="26" t="str">
        <f>"CALZ. MEXICO TACUBA #724                                                        "</f>
        <v xml:space="preserve">CALZ. MEXICO TACUBA #724                                                        </v>
      </c>
      <c r="F2224" s="26" t="str">
        <f>"TACUBA                                                                                                                                      "</f>
        <v xml:space="preserve">TACUBA                                                                                                                                      </v>
      </c>
      <c r="G2224" s="26" t="str">
        <f>"MIGUEL HIDALGO                                                                  "</f>
        <v xml:space="preserve">MIGUEL HIDALGO                                                                  </v>
      </c>
      <c r="H2224" s="26" t="str">
        <f>"213"</f>
        <v>213</v>
      </c>
      <c r="I2224" s="26" t="str">
        <f t="shared" si="368"/>
        <v>00</v>
      </c>
      <c r="J2224" s="26" t="str">
        <f t="shared" si="373"/>
        <v xml:space="preserve">42 </v>
      </c>
      <c r="K2224" s="26" t="str">
        <f t="shared" si="363"/>
        <v>PR</v>
      </c>
      <c r="L2224" s="26" t="str">
        <f t="shared" si="364"/>
        <v>DGOSE</v>
      </c>
      <c r="M2224" s="26" t="str">
        <f t="shared" si="370"/>
        <v>PARTICULAR</v>
      </c>
      <c r="N2224" s="26">
        <v>274</v>
      </c>
      <c r="O2224" s="26">
        <v>140</v>
      </c>
      <c r="P2224" s="26">
        <v>134</v>
      </c>
      <c r="Q2224" s="26">
        <v>12</v>
      </c>
      <c r="R2224" s="26">
        <v>1</v>
      </c>
      <c r="S2224" s="26">
        <v>12</v>
      </c>
      <c r="T2224" s="26">
        <v>8</v>
      </c>
      <c r="U2224" s="26">
        <v>21</v>
      </c>
      <c r="V2224" s="26">
        <v>1</v>
      </c>
      <c r="W2224" s="26"/>
    </row>
    <row r="2225" spans="1:23" x14ac:dyDescent="0.25">
      <c r="A2225" s="26" t="str">
        <f t="shared" si="366"/>
        <v>PRIMARIA</v>
      </c>
      <c r="B2225" s="26" t="str">
        <f>"09PPR0246M"</f>
        <v>09PPR0246M</v>
      </c>
      <c r="C2225" s="26" t="str">
        <f>"COLEGIO HEBREO TARBUT                                                                               "</f>
        <v xml:space="preserve">COLEGIO HEBREO TARBUT                                                                               </v>
      </c>
      <c r="D2225" s="26" t="str">
        <f t="shared" si="372"/>
        <v>MATUTINO</v>
      </c>
      <c r="E2225" s="26" t="str">
        <f>"AV. LOMA DEL PARQUE NO. 216                                                     "</f>
        <v xml:space="preserve">AV. LOMA DEL PARQUE NO. 216                                                     </v>
      </c>
      <c r="F2225" s="26" t="str">
        <f>"LOMAS DE VISTA HERMOSA                                                                                                                      "</f>
        <v xml:space="preserve">LOMAS DE VISTA HERMOSA                                                                                                                      </v>
      </c>
      <c r="G2225" s="26" t="str">
        <f>"CUAJIMALPA DE MORELOS                                                           "</f>
        <v xml:space="preserve">CUAJIMALPA DE MORELOS                                                           </v>
      </c>
      <c r="H2225" s="26" t="str">
        <f>"300"</f>
        <v>300</v>
      </c>
      <c r="I2225" s="26" t="str">
        <f t="shared" si="368"/>
        <v>00</v>
      </c>
      <c r="J2225" s="26" t="str">
        <f>"43 "</f>
        <v xml:space="preserve">43 </v>
      </c>
      <c r="K2225" s="26" t="str">
        <f t="shared" si="363"/>
        <v>PR</v>
      </c>
      <c r="L2225" s="26" t="str">
        <f t="shared" si="364"/>
        <v>DGOSE</v>
      </c>
      <c r="M2225" s="26" t="str">
        <f t="shared" si="370"/>
        <v>PARTICULAR</v>
      </c>
      <c r="N2225" s="26">
        <v>339</v>
      </c>
      <c r="O2225" s="26">
        <v>171</v>
      </c>
      <c r="P2225" s="26">
        <v>168</v>
      </c>
      <c r="Q2225" s="26">
        <v>18</v>
      </c>
      <c r="R2225" s="26">
        <v>1</v>
      </c>
      <c r="S2225" s="26">
        <v>10</v>
      </c>
      <c r="T2225" s="26">
        <v>13</v>
      </c>
      <c r="U2225" s="26">
        <v>24</v>
      </c>
      <c r="V2225" s="26">
        <v>1</v>
      </c>
      <c r="W2225" s="26"/>
    </row>
    <row r="2226" spans="1:23" x14ac:dyDescent="0.25">
      <c r="A2226" s="26" t="str">
        <f t="shared" si="366"/>
        <v>PRIMARIA</v>
      </c>
      <c r="B2226" s="26" t="str">
        <f>"09PPR0247L"</f>
        <v>09PPR0247L</v>
      </c>
      <c r="C2226" s="26" t="str">
        <f>"FERNANDO R RODRIGUEZ                                                                                "</f>
        <v xml:space="preserve">FERNANDO R RODRIGUEZ                                                                                </v>
      </c>
      <c r="D2226" s="26" t="str">
        <f t="shared" si="372"/>
        <v>MATUTINO</v>
      </c>
      <c r="E2226" s="26" t="str">
        <f>"ARENAL 36                                                                       "</f>
        <v xml:space="preserve">ARENAL 36                                                                       </v>
      </c>
      <c r="F2226" s="26" t="str">
        <f>"CHIMALISTAC                                                                                                                                 "</f>
        <v xml:space="preserve">CHIMALISTAC                                                                                                                                 </v>
      </c>
      <c r="G2226" s="26" t="str">
        <f>"ALVARO OBREGON                                                                  "</f>
        <v xml:space="preserve">ALVARO OBREGON                                                                  </v>
      </c>
      <c r="H2226" s="26" t="str">
        <f>"325"</f>
        <v>325</v>
      </c>
      <c r="I2226" s="26" t="str">
        <f t="shared" si="368"/>
        <v>00</v>
      </c>
      <c r="J2226" s="26" t="str">
        <f>"43 "</f>
        <v xml:space="preserve">43 </v>
      </c>
      <c r="K2226" s="26" t="str">
        <f t="shared" si="363"/>
        <v>PR</v>
      </c>
      <c r="L2226" s="26" t="str">
        <f t="shared" si="364"/>
        <v>DGOSE</v>
      </c>
      <c r="M2226" s="26" t="str">
        <f t="shared" si="370"/>
        <v>PARTICULAR</v>
      </c>
      <c r="N2226" s="26">
        <v>155</v>
      </c>
      <c r="O2226" s="26">
        <v>85</v>
      </c>
      <c r="P2226" s="26">
        <v>70</v>
      </c>
      <c r="Q2226" s="26">
        <v>9</v>
      </c>
      <c r="R2226" s="26">
        <v>1</v>
      </c>
      <c r="S2226" s="26">
        <v>5</v>
      </c>
      <c r="T2226" s="26">
        <v>15</v>
      </c>
      <c r="U2226" s="26">
        <v>21</v>
      </c>
      <c r="V2226" s="26">
        <v>1</v>
      </c>
      <c r="W2226" s="26"/>
    </row>
    <row r="2227" spans="1:23" x14ac:dyDescent="0.25">
      <c r="A2227" s="26" t="str">
        <f t="shared" si="366"/>
        <v>PRIMARIA</v>
      </c>
      <c r="B2227" s="26" t="str">
        <f>"09PPR0248K"</f>
        <v>09PPR0248K</v>
      </c>
      <c r="C2227" s="26" t="str">
        <f>"FRANCES PASTEUR                                                                                     "</f>
        <v xml:space="preserve">FRANCES PASTEUR                                                                                     </v>
      </c>
      <c r="D2227" s="26" t="str">
        <f t="shared" si="372"/>
        <v>MATUTINO</v>
      </c>
      <c r="E2227" s="26" t="str">
        <f>"SCHILLER 139                                                                    "</f>
        <v xml:space="preserve">SCHILLER 139                                                                    </v>
      </c>
      <c r="F2227" s="26" t="str">
        <f>"CHAPULTEPEC MORALES                                                                                                                         "</f>
        <v xml:space="preserve">CHAPULTEPEC MORALES                                                                                                                         </v>
      </c>
      <c r="G2227" s="26" t="str">
        <f>"MIGUEL HIDALGO                                                                  "</f>
        <v xml:space="preserve">MIGUEL HIDALGO                                                                  </v>
      </c>
      <c r="H2227" s="26" t="str">
        <f>"214"</f>
        <v>214</v>
      </c>
      <c r="I2227" s="26" t="str">
        <f t="shared" si="368"/>
        <v>00</v>
      </c>
      <c r="J2227" s="26" t="str">
        <f>"42 "</f>
        <v xml:space="preserve">42 </v>
      </c>
      <c r="K2227" s="26" t="str">
        <f t="shared" si="363"/>
        <v>PR</v>
      </c>
      <c r="L2227" s="26" t="str">
        <f t="shared" si="364"/>
        <v>DGOSE</v>
      </c>
      <c r="M2227" s="26" t="str">
        <f t="shared" si="370"/>
        <v>PARTICULAR</v>
      </c>
      <c r="N2227" s="26">
        <v>325</v>
      </c>
      <c r="O2227" s="26">
        <v>141</v>
      </c>
      <c r="P2227" s="26">
        <v>184</v>
      </c>
      <c r="Q2227" s="26">
        <v>12</v>
      </c>
      <c r="R2227" s="26">
        <v>1</v>
      </c>
      <c r="S2227" s="26">
        <v>12</v>
      </c>
      <c r="T2227" s="26">
        <v>20</v>
      </c>
      <c r="U2227" s="26">
        <v>33</v>
      </c>
      <c r="V2227" s="26">
        <v>1</v>
      </c>
      <c r="W2227" s="26"/>
    </row>
    <row r="2228" spans="1:23" x14ac:dyDescent="0.25">
      <c r="A2228" s="26" t="str">
        <f t="shared" si="366"/>
        <v>PRIMARIA</v>
      </c>
      <c r="B2228" s="26" t="str">
        <f>"09PPR0249J"</f>
        <v>09PPR0249J</v>
      </c>
      <c r="C2228" s="26" t="str">
        <f>"CIVILIZACION                                                                                        "</f>
        <v xml:space="preserve">CIVILIZACION                                                                                        </v>
      </c>
      <c r="D2228" s="26" t="str">
        <f t="shared" si="372"/>
        <v>MATUTINO</v>
      </c>
      <c r="E2228" s="26" t="str">
        <f>"LAGUNA SAN CRISTOBAL 50                                                         "</f>
        <v xml:space="preserve">LAGUNA SAN CRISTOBAL 50                                                         </v>
      </c>
      <c r="F2228" s="26" t="str">
        <f>"ANAHUAC I                                                                                                                                   "</f>
        <v xml:space="preserve">ANAHUAC I                                                                                                                                   </v>
      </c>
      <c r="G2228" s="26" t="str">
        <f>"MIGUEL HIDALGO                                                                  "</f>
        <v xml:space="preserve">MIGUEL HIDALGO                                                                  </v>
      </c>
      <c r="H2228" s="26" t="str">
        <f>"215"</f>
        <v>215</v>
      </c>
      <c r="I2228" s="26" t="str">
        <f t="shared" si="368"/>
        <v>00</v>
      </c>
      <c r="J2228" s="26" t="str">
        <f>"42 "</f>
        <v xml:space="preserve">42 </v>
      </c>
      <c r="K2228" s="26" t="str">
        <f t="shared" si="363"/>
        <v>PR</v>
      </c>
      <c r="L2228" s="26" t="str">
        <f t="shared" si="364"/>
        <v>DGOSE</v>
      </c>
      <c r="M2228" s="26" t="str">
        <f t="shared" si="370"/>
        <v>PARTICULAR</v>
      </c>
      <c r="N2228" s="26">
        <v>514</v>
      </c>
      <c r="O2228" s="26">
        <v>244</v>
      </c>
      <c r="P2228" s="26">
        <v>270</v>
      </c>
      <c r="Q2228" s="26">
        <v>18</v>
      </c>
      <c r="R2228" s="26">
        <v>1</v>
      </c>
      <c r="S2228" s="26">
        <v>18</v>
      </c>
      <c r="T2228" s="26">
        <v>9</v>
      </c>
      <c r="U2228" s="26">
        <v>28</v>
      </c>
      <c r="V2228" s="26">
        <v>1</v>
      </c>
      <c r="W2228" s="26"/>
    </row>
    <row r="2229" spans="1:23" x14ac:dyDescent="0.25">
      <c r="A2229" s="26" t="str">
        <f t="shared" si="366"/>
        <v>PRIMARIA</v>
      </c>
      <c r="B2229" s="26" t="str">
        <f>"09PPR0250Z"</f>
        <v>09PPR0250Z</v>
      </c>
      <c r="C2229" s="26" t="str">
        <f>"FRANCISCO I. MADERO                                                                                 "</f>
        <v xml:space="preserve">FRANCISCO I. MADERO                                                                                 </v>
      </c>
      <c r="D2229" s="26" t="str">
        <f t="shared" si="372"/>
        <v>MATUTINO</v>
      </c>
      <c r="E2229" s="26" t="str">
        <f>"CALLE 3 NUM 535                                                                 "</f>
        <v xml:space="preserve">CALLE 3 NUM 535                                                                 </v>
      </c>
      <c r="F2229" s="26" t="str">
        <f>"FRANCISCO I MADERO                                                                                                                          "</f>
        <v xml:space="preserve">FRANCISCO I MADERO                                                                                                                          </v>
      </c>
      <c r="G2229" s="26" t="str">
        <f>"MIGUEL HIDALGO                                                                  "</f>
        <v xml:space="preserve">MIGUEL HIDALGO                                                                  </v>
      </c>
      <c r="H2229" s="26" t="str">
        <f>"212"</f>
        <v>212</v>
      </c>
      <c r="I2229" s="26" t="str">
        <f t="shared" si="368"/>
        <v>00</v>
      </c>
      <c r="J2229" s="26" t="str">
        <f>"42 "</f>
        <v xml:space="preserve">42 </v>
      </c>
      <c r="K2229" s="26" t="str">
        <f t="shared" ref="K2229:K2292" si="374">"PR"</f>
        <v>PR</v>
      </c>
      <c r="L2229" s="26" t="str">
        <f t="shared" ref="L2229:L2292" si="375">"DGOSE"</f>
        <v>DGOSE</v>
      </c>
      <c r="M2229" s="26" t="str">
        <f t="shared" si="370"/>
        <v>PARTICULAR</v>
      </c>
      <c r="N2229" s="26">
        <v>88</v>
      </c>
      <c r="O2229" s="26">
        <v>36</v>
      </c>
      <c r="P2229" s="26">
        <v>52</v>
      </c>
      <c r="Q2229" s="26">
        <v>6</v>
      </c>
      <c r="R2229" s="26">
        <v>1</v>
      </c>
      <c r="S2229" s="26">
        <v>6</v>
      </c>
      <c r="T2229" s="26">
        <v>6</v>
      </c>
      <c r="U2229" s="26">
        <v>13</v>
      </c>
      <c r="V2229" s="26">
        <v>1</v>
      </c>
      <c r="W2229" s="26"/>
    </row>
    <row r="2230" spans="1:23" x14ac:dyDescent="0.25">
      <c r="A2230" s="26" t="str">
        <f t="shared" si="366"/>
        <v>PRIMARIA</v>
      </c>
      <c r="B2230" s="26" t="str">
        <f>"09PPR0255U"</f>
        <v>09PPR0255U</v>
      </c>
      <c r="C2230" s="26" t="str">
        <f>"DANTE ALIGHIERI                                                                                     "</f>
        <v xml:space="preserve">DANTE ALIGHIERI                                                                                     </v>
      </c>
      <c r="D2230" s="26" t="str">
        <f t="shared" si="372"/>
        <v>MATUTINO</v>
      </c>
      <c r="E2230" s="26" t="str">
        <f>"CERRADA DE LA PAZ 15                                                            "</f>
        <v xml:space="preserve">CERRADA DE LA PAZ 15                                                            </v>
      </c>
      <c r="F2230" s="26" t="str">
        <f>"ESCANDON II                                                                                                                                 "</f>
        <v xml:space="preserve">ESCANDON II                                                                                                                                 </v>
      </c>
      <c r="G2230" s="26" t="str">
        <f>"MIGUEL HIDALGO                                                                  "</f>
        <v xml:space="preserve">MIGUEL HIDALGO                                                                  </v>
      </c>
      <c r="H2230" s="26" t="str">
        <f>"211"</f>
        <v>211</v>
      </c>
      <c r="I2230" s="26" t="str">
        <f t="shared" si="368"/>
        <v>00</v>
      </c>
      <c r="J2230" s="26" t="str">
        <f>"42 "</f>
        <v xml:space="preserve">42 </v>
      </c>
      <c r="K2230" s="26" t="str">
        <f t="shared" si="374"/>
        <v>PR</v>
      </c>
      <c r="L2230" s="26" t="str">
        <f t="shared" si="375"/>
        <v>DGOSE</v>
      </c>
      <c r="M2230" s="26" t="str">
        <f t="shared" si="370"/>
        <v>PARTICULAR</v>
      </c>
      <c r="N2230" s="26">
        <v>129</v>
      </c>
      <c r="O2230" s="26">
        <v>57</v>
      </c>
      <c r="P2230" s="26">
        <v>72</v>
      </c>
      <c r="Q2230" s="26">
        <v>6</v>
      </c>
      <c r="R2230" s="26">
        <v>1</v>
      </c>
      <c r="S2230" s="26">
        <v>6</v>
      </c>
      <c r="T2230" s="26">
        <v>12</v>
      </c>
      <c r="U2230" s="26">
        <v>19</v>
      </c>
      <c r="V2230" s="26">
        <v>1</v>
      </c>
      <c r="W2230" s="26"/>
    </row>
    <row r="2231" spans="1:23" x14ac:dyDescent="0.25">
      <c r="A2231" s="26" t="str">
        <f t="shared" si="366"/>
        <v>PRIMARIA</v>
      </c>
      <c r="B2231" s="26" t="str">
        <f>"09PPR0256T"</f>
        <v>09PPR0256T</v>
      </c>
      <c r="C2231" s="26" t="str">
        <f>"MARGARITA NASSEAU                                                                                   "</f>
        <v xml:space="preserve">MARGARITA NASSEAU                                                                                   </v>
      </c>
      <c r="D2231" s="26" t="str">
        <f t="shared" si="372"/>
        <v>MATUTINO</v>
      </c>
      <c r="E2231" s="26" t="str">
        <f>"AV. OBSERVATORIO NO. 87.                                                        "</f>
        <v xml:space="preserve">AV. OBSERVATORIO NO. 87.                                                        </v>
      </c>
      <c r="F2231" s="26" t="str">
        <f>"TACUBAYA                                                                                                                                    "</f>
        <v xml:space="preserve">TACUBAYA                                                                                                                                    </v>
      </c>
      <c r="G2231" s="26" t="str">
        <f>"MIGUEL HIDALGO                                                                  "</f>
        <v xml:space="preserve">MIGUEL HIDALGO                                                                  </v>
      </c>
      <c r="H2231" s="26" t="str">
        <f>"211"</f>
        <v>211</v>
      </c>
      <c r="I2231" s="26" t="str">
        <f t="shared" si="368"/>
        <v>00</v>
      </c>
      <c r="J2231" s="26" t="str">
        <f>"42 "</f>
        <v xml:space="preserve">42 </v>
      </c>
      <c r="K2231" s="26" t="str">
        <f t="shared" si="374"/>
        <v>PR</v>
      </c>
      <c r="L2231" s="26" t="str">
        <f t="shared" si="375"/>
        <v>DGOSE</v>
      </c>
      <c r="M2231" s="26" t="str">
        <f t="shared" si="370"/>
        <v>PARTICULAR</v>
      </c>
      <c r="N2231" s="26">
        <v>111</v>
      </c>
      <c r="O2231" s="26">
        <v>11</v>
      </c>
      <c r="P2231" s="26">
        <v>100</v>
      </c>
      <c r="Q2231" s="26">
        <v>6</v>
      </c>
      <c r="R2231" s="26">
        <v>1</v>
      </c>
      <c r="S2231" s="26">
        <v>6</v>
      </c>
      <c r="T2231" s="26">
        <v>4</v>
      </c>
      <c r="U2231" s="26">
        <v>11</v>
      </c>
      <c r="V2231" s="26">
        <v>1</v>
      </c>
      <c r="W2231" s="26"/>
    </row>
    <row r="2232" spans="1:23" x14ac:dyDescent="0.25">
      <c r="A2232" s="26" t="str">
        <f t="shared" si="366"/>
        <v>PRIMARIA</v>
      </c>
      <c r="B2232" s="26" t="str">
        <f>"09PPR0259Q"</f>
        <v>09PPR0259Q</v>
      </c>
      <c r="C2232" s="26" t="str">
        <f>"COLEGIO VELAZQUEZ IZUNZA                                                                            "</f>
        <v xml:space="preserve">COLEGIO VELAZQUEZ IZUNZA                                                                            </v>
      </c>
      <c r="D2232" s="26" t="str">
        <f t="shared" si="372"/>
        <v>MATUTINO</v>
      </c>
      <c r="E2232" s="26" t="str">
        <f>"CALLE 21 NUM 83                                                                 "</f>
        <v xml:space="preserve">CALLE 21 NUM 83                                                                 </v>
      </c>
      <c r="F2232" s="26" t="str">
        <f>"SAN PEDRO DE LOS PINOS                                                                                                                      "</f>
        <v xml:space="preserve">SAN PEDRO DE LOS PINOS                                                                                                                      </v>
      </c>
      <c r="G2232" s="26" t="str">
        <f>"BENITO JUAREZ                                                                   "</f>
        <v xml:space="preserve">BENITO JUAREZ                                                                   </v>
      </c>
      <c r="H2232" s="26" t="str">
        <f>"340"</f>
        <v>340</v>
      </c>
      <c r="I2232" s="26" t="str">
        <f t="shared" si="368"/>
        <v>00</v>
      </c>
      <c r="J2232" s="26" t="str">
        <f>"43 "</f>
        <v xml:space="preserve">43 </v>
      </c>
      <c r="K2232" s="26" t="str">
        <f t="shared" si="374"/>
        <v>PR</v>
      </c>
      <c r="L2232" s="26" t="str">
        <f t="shared" si="375"/>
        <v>DGOSE</v>
      </c>
      <c r="M2232" s="26" t="str">
        <f t="shared" si="370"/>
        <v>PARTICULAR</v>
      </c>
      <c r="N2232" s="26">
        <v>71</v>
      </c>
      <c r="O2232" s="26">
        <v>50</v>
      </c>
      <c r="P2232" s="26">
        <v>21</v>
      </c>
      <c r="Q2232" s="26">
        <v>6</v>
      </c>
      <c r="R2232" s="26">
        <v>1</v>
      </c>
      <c r="S2232" s="26">
        <v>6</v>
      </c>
      <c r="T2232" s="26">
        <v>7</v>
      </c>
      <c r="U2232" s="26">
        <v>14</v>
      </c>
      <c r="V2232" s="26">
        <v>1</v>
      </c>
      <c r="W2232" s="26"/>
    </row>
    <row r="2233" spans="1:23" x14ac:dyDescent="0.25">
      <c r="A2233" s="26" t="str">
        <f t="shared" si="366"/>
        <v>PRIMARIA</v>
      </c>
      <c r="B2233" s="26" t="str">
        <f>"09PPR0260F"</f>
        <v>09PPR0260F</v>
      </c>
      <c r="C2233" s="26" t="str">
        <f>"COLEGIO ROSSLAND                                                                                    "</f>
        <v xml:space="preserve">COLEGIO ROSSLAND                                                                                    </v>
      </c>
      <c r="D2233" s="26" t="str">
        <f t="shared" si="372"/>
        <v>MATUTINO</v>
      </c>
      <c r="E2233" s="26" t="str">
        <f>"13 DE SEPTIEMBRE NO. 18                                                         "</f>
        <v xml:space="preserve">13 DE SEPTIEMBRE NO. 18                                                         </v>
      </c>
      <c r="F2233" s="26" t="str">
        <f>"ESCANDON II                                                                                                                                 "</f>
        <v xml:space="preserve">ESCANDON II                                                                                                                                 </v>
      </c>
      <c r="G2233" s="26" t="str">
        <f>"MIGUEL HIDALGO                                                                  "</f>
        <v xml:space="preserve">MIGUEL HIDALGO                                                                  </v>
      </c>
      <c r="H2233" s="26" t="str">
        <f>"211"</f>
        <v>211</v>
      </c>
      <c r="I2233" s="26" t="str">
        <f t="shared" si="368"/>
        <v>00</v>
      </c>
      <c r="J2233" s="26" t="str">
        <f>"42 "</f>
        <v xml:space="preserve">42 </v>
      </c>
      <c r="K2233" s="26" t="str">
        <f t="shared" si="374"/>
        <v>PR</v>
      </c>
      <c r="L2233" s="26" t="str">
        <f t="shared" si="375"/>
        <v>DGOSE</v>
      </c>
      <c r="M2233" s="26" t="str">
        <f t="shared" si="370"/>
        <v>PARTICULAR</v>
      </c>
      <c r="N2233" s="26">
        <v>140</v>
      </c>
      <c r="O2233" s="26">
        <v>76</v>
      </c>
      <c r="P2233" s="26">
        <v>64</v>
      </c>
      <c r="Q2233" s="26">
        <v>6</v>
      </c>
      <c r="R2233" s="26">
        <v>1</v>
      </c>
      <c r="S2233" s="26">
        <v>3</v>
      </c>
      <c r="T2233" s="26">
        <v>9</v>
      </c>
      <c r="U2233" s="26">
        <v>13</v>
      </c>
      <c r="V2233" s="26">
        <v>1</v>
      </c>
      <c r="W2233" s="26"/>
    </row>
    <row r="2234" spans="1:23" x14ac:dyDescent="0.25">
      <c r="A2234" s="26" t="str">
        <f t="shared" si="366"/>
        <v>PRIMARIA</v>
      </c>
      <c r="B2234" s="26" t="str">
        <f>"09PPR0263C"</f>
        <v>09PPR0263C</v>
      </c>
      <c r="C2234" s="26" t="str">
        <f>"MONTESSORI KALPILLI                                                                                 "</f>
        <v xml:space="preserve">MONTESSORI KALPILLI                                                                                 </v>
      </c>
      <c r="D2234" s="26" t="str">
        <f t="shared" si="372"/>
        <v>MATUTINO</v>
      </c>
      <c r="E2234" s="26" t="str">
        <f>"AV DOS NUM 48                                                                   "</f>
        <v xml:space="preserve">AV DOS NUM 48                                                                   </v>
      </c>
      <c r="F2234" s="26" t="str">
        <f>"SAN PEDRO DE LOS PINOS                                                                                                                      "</f>
        <v xml:space="preserve">SAN PEDRO DE LOS PINOS                                                                                                                      </v>
      </c>
      <c r="G2234" s="26" t="str">
        <f>"BENITO JUAREZ                                                                   "</f>
        <v xml:space="preserve">BENITO JUAREZ                                                                   </v>
      </c>
      <c r="H2234" s="26" t="str">
        <f>"339"</f>
        <v>339</v>
      </c>
      <c r="I2234" s="26" t="str">
        <f t="shared" si="368"/>
        <v>00</v>
      </c>
      <c r="J2234" s="26" t="str">
        <f>"43 "</f>
        <v xml:space="preserve">43 </v>
      </c>
      <c r="K2234" s="26" t="str">
        <f t="shared" si="374"/>
        <v>PR</v>
      </c>
      <c r="L2234" s="26" t="str">
        <f t="shared" si="375"/>
        <v>DGOSE</v>
      </c>
      <c r="M2234" s="26" t="str">
        <f t="shared" si="370"/>
        <v>PARTICULAR</v>
      </c>
      <c r="N2234" s="26">
        <v>73</v>
      </c>
      <c r="O2234" s="26">
        <v>37</v>
      </c>
      <c r="P2234" s="26">
        <v>36</v>
      </c>
      <c r="Q2234" s="26">
        <v>6</v>
      </c>
      <c r="R2234" s="26">
        <v>1</v>
      </c>
      <c r="S2234" s="26">
        <v>3</v>
      </c>
      <c r="T2234" s="26">
        <v>7</v>
      </c>
      <c r="U2234" s="26">
        <v>11</v>
      </c>
      <c r="V2234" s="26">
        <v>1</v>
      </c>
      <c r="W2234" s="26"/>
    </row>
    <row r="2235" spans="1:23" x14ac:dyDescent="0.25">
      <c r="A2235" s="26" t="str">
        <f t="shared" si="366"/>
        <v>PRIMARIA</v>
      </c>
      <c r="B2235" s="26" t="str">
        <f>"09PPR0264B"</f>
        <v>09PPR0264B</v>
      </c>
      <c r="C2235" s="26" t="str">
        <f>"COLEGIO MILITARIZADO MODERNO ALARID                                                                 "</f>
        <v xml:space="preserve">COLEGIO MILITARIZADO MODERNO ALARID                                                                 </v>
      </c>
      <c r="D2235" s="26" t="str">
        <f t="shared" si="372"/>
        <v>MATUTINO</v>
      </c>
      <c r="E2235" s="26" t="str">
        <f>"AV REVOLUCION NO 606                                                            "</f>
        <v xml:space="preserve">AV REVOLUCION NO 606                                                            </v>
      </c>
      <c r="F2235" s="26" t="str">
        <f>"SAN PEDRO DE LOS PINOS                                                                                                                      "</f>
        <v xml:space="preserve">SAN PEDRO DE LOS PINOS                                                                                                                      </v>
      </c>
      <c r="G2235" s="26" t="str">
        <f>"BENITO JUAREZ                                                                   "</f>
        <v xml:space="preserve">BENITO JUAREZ                                                                   </v>
      </c>
      <c r="H2235" s="26" t="str">
        <f>"340"</f>
        <v>340</v>
      </c>
      <c r="I2235" s="26" t="str">
        <f t="shared" si="368"/>
        <v>00</v>
      </c>
      <c r="J2235" s="26" t="str">
        <f>"43 "</f>
        <v xml:space="preserve">43 </v>
      </c>
      <c r="K2235" s="26" t="str">
        <f t="shared" si="374"/>
        <v>PR</v>
      </c>
      <c r="L2235" s="26" t="str">
        <f t="shared" si="375"/>
        <v>DGOSE</v>
      </c>
      <c r="M2235" s="26" t="str">
        <f t="shared" si="370"/>
        <v>PARTICULAR</v>
      </c>
      <c r="N2235" s="26">
        <v>63</v>
      </c>
      <c r="O2235" s="26">
        <v>47</v>
      </c>
      <c r="P2235" s="26">
        <v>16</v>
      </c>
      <c r="Q2235" s="26">
        <v>6</v>
      </c>
      <c r="R2235" s="26">
        <v>1</v>
      </c>
      <c r="S2235" s="26">
        <v>2</v>
      </c>
      <c r="T2235" s="26">
        <v>9</v>
      </c>
      <c r="U2235" s="26">
        <v>12</v>
      </c>
      <c r="V2235" s="26">
        <v>1</v>
      </c>
      <c r="W2235" s="26"/>
    </row>
    <row r="2236" spans="1:23" x14ac:dyDescent="0.25">
      <c r="A2236" s="26" t="str">
        <f t="shared" si="366"/>
        <v>PRIMARIA</v>
      </c>
      <c r="B2236" s="26" t="str">
        <f>"09PPR0265A"</f>
        <v>09PPR0265A</v>
      </c>
      <c r="C2236" s="26" t="str">
        <f>"COLEGIO MARIA MONTESSORI                                                                            "</f>
        <v xml:space="preserve">COLEGIO MARIA MONTESSORI                                                                            </v>
      </c>
      <c r="D2236" s="26" t="str">
        <f t="shared" si="372"/>
        <v>MATUTINO</v>
      </c>
      <c r="E2236" s="26" t="str">
        <f>"MARTI NO. 240 Y B FRANKLIN NO. 164                                              "</f>
        <v xml:space="preserve">MARTI NO. 240 Y B FRANKLIN NO. 164                                              </v>
      </c>
      <c r="F2236" s="26" t="str">
        <f>"ESCANDON II                                                                                                                                 "</f>
        <v xml:space="preserve">ESCANDON II                                                                                                                                 </v>
      </c>
      <c r="G2236" s="26" t="str">
        <f>"MIGUEL HIDALGO                                                                  "</f>
        <v xml:space="preserve">MIGUEL HIDALGO                                                                  </v>
      </c>
      <c r="H2236" s="26" t="str">
        <f>"211"</f>
        <v>211</v>
      </c>
      <c r="I2236" s="26" t="str">
        <f t="shared" si="368"/>
        <v>00</v>
      </c>
      <c r="J2236" s="26" t="str">
        <f>"42 "</f>
        <v xml:space="preserve">42 </v>
      </c>
      <c r="K2236" s="26" t="str">
        <f t="shared" si="374"/>
        <v>PR</v>
      </c>
      <c r="L2236" s="26" t="str">
        <f t="shared" si="375"/>
        <v>DGOSE</v>
      </c>
      <c r="M2236" s="26" t="str">
        <f t="shared" si="370"/>
        <v>PARTICULAR</v>
      </c>
      <c r="N2236" s="26">
        <v>613</v>
      </c>
      <c r="O2236" s="26">
        <v>306</v>
      </c>
      <c r="P2236" s="26">
        <v>307</v>
      </c>
      <c r="Q2236" s="26">
        <v>22</v>
      </c>
      <c r="R2236" s="26">
        <v>1</v>
      </c>
      <c r="S2236" s="26">
        <v>10</v>
      </c>
      <c r="T2236" s="26">
        <v>25</v>
      </c>
      <c r="U2236" s="26">
        <v>36</v>
      </c>
      <c r="V2236" s="26">
        <v>1</v>
      </c>
      <c r="W2236" s="26"/>
    </row>
    <row r="2237" spans="1:23" x14ac:dyDescent="0.25">
      <c r="A2237" s="26" t="str">
        <f t="shared" si="366"/>
        <v>PRIMARIA</v>
      </c>
      <c r="B2237" s="26" t="str">
        <f>"09PPR0267Z"</f>
        <v>09PPR0267Z</v>
      </c>
      <c r="C2237" s="26" t="str">
        <f>"LUIS VIVES                                                                                          "</f>
        <v xml:space="preserve">LUIS VIVES                                                                                          </v>
      </c>
      <c r="D2237" s="26" t="str">
        <f t="shared" si="372"/>
        <v>MATUTINO</v>
      </c>
      <c r="E2237" s="26" t="str">
        <f>"CARLOS B. ZETINA 45                                                             "</f>
        <v xml:space="preserve">CARLOS B. ZETINA 45                                                             </v>
      </c>
      <c r="F2237" s="26" t="str">
        <f>"ESCANDON II                                                                                                                                 "</f>
        <v xml:space="preserve">ESCANDON II                                                                                                                                 </v>
      </c>
      <c r="G2237" s="26" t="str">
        <f>"MIGUEL HIDALGO                                                                  "</f>
        <v xml:space="preserve">MIGUEL HIDALGO                                                                  </v>
      </c>
      <c r="H2237" s="26" t="str">
        <f>"211"</f>
        <v>211</v>
      </c>
      <c r="I2237" s="26" t="str">
        <f t="shared" si="368"/>
        <v>00</v>
      </c>
      <c r="J2237" s="26" t="str">
        <f>"42 "</f>
        <v xml:space="preserve">42 </v>
      </c>
      <c r="K2237" s="26" t="str">
        <f t="shared" si="374"/>
        <v>PR</v>
      </c>
      <c r="L2237" s="26" t="str">
        <f t="shared" si="375"/>
        <v>DGOSE</v>
      </c>
      <c r="M2237" s="26" t="str">
        <f t="shared" si="370"/>
        <v>PARTICULAR</v>
      </c>
      <c r="N2237" s="26">
        <v>107</v>
      </c>
      <c r="O2237" s="26">
        <v>46</v>
      </c>
      <c r="P2237" s="26">
        <v>61</v>
      </c>
      <c r="Q2237" s="26">
        <v>6</v>
      </c>
      <c r="R2237" s="26">
        <v>1</v>
      </c>
      <c r="S2237" s="26">
        <v>6</v>
      </c>
      <c r="T2237" s="26">
        <v>13</v>
      </c>
      <c r="U2237" s="26">
        <v>20</v>
      </c>
      <c r="V2237" s="26">
        <v>1</v>
      </c>
      <c r="W2237" s="26"/>
    </row>
    <row r="2238" spans="1:23" x14ac:dyDescent="0.25">
      <c r="A2238" s="26" t="str">
        <f t="shared" si="366"/>
        <v>PRIMARIA</v>
      </c>
      <c r="B2238" s="26" t="str">
        <f>"09PPR0268Y"</f>
        <v>09PPR0268Y</v>
      </c>
      <c r="C2238" s="26" t="str">
        <f>"LA FLORIDA                                                                                          "</f>
        <v xml:space="preserve">LA FLORIDA                                                                                          </v>
      </c>
      <c r="D2238" s="26" t="str">
        <f t="shared" si="372"/>
        <v>MATUTINO</v>
      </c>
      <c r="E2238" s="26" t="str">
        <f>"INDIANA NO 165                                                                  "</f>
        <v xml:space="preserve">INDIANA NO 165                                                                  </v>
      </c>
      <c r="F2238" s="26" t="str">
        <f>"NAPOLES                                                                                                                                     "</f>
        <v xml:space="preserve">NAPOLES                                                                                                                                     </v>
      </c>
      <c r="G2238" s="26" t="str">
        <f>"BENITO JUAREZ                                                                   "</f>
        <v xml:space="preserve">BENITO JUAREZ                                                                   </v>
      </c>
      <c r="H2238" s="26" t="str">
        <f>"339"</f>
        <v>339</v>
      </c>
      <c r="I2238" s="26" t="str">
        <f t="shared" si="368"/>
        <v>00</v>
      </c>
      <c r="J2238" s="26" t="str">
        <f>"43 "</f>
        <v xml:space="preserve">43 </v>
      </c>
      <c r="K2238" s="26" t="str">
        <f t="shared" si="374"/>
        <v>PR</v>
      </c>
      <c r="L2238" s="26" t="str">
        <f t="shared" si="375"/>
        <v>DGOSE</v>
      </c>
      <c r="M2238" s="26" t="str">
        <f t="shared" si="370"/>
        <v>PARTICULAR</v>
      </c>
      <c r="N2238" s="26">
        <v>546</v>
      </c>
      <c r="O2238" s="26">
        <v>218</v>
      </c>
      <c r="P2238" s="26">
        <v>328</v>
      </c>
      <c r="Q2238" s="26">
        <v>18</v>
      </c>
      <c r="R2238" s="26">
        <v>1</v>
      </c>
      <c r="S2238" s="26">
        <v>9</v>
      </c>
      <c r="T2238" s="26">
        <v>17</v>
      </c>
      <c r="U2238" s="26">
        <v>27</v>
      </c>
      <c r="V2238" s="26">
        <v>1</v>
      </c>
      <c r="W2238" s="26"/>
    </row>
    <row r="2239" spans="1:23" x14ac:dyDescent="0.25">
      <c r="A2239" s="26" t="str">
        <f t="shared" si="366"/>
        <v>PRIMARIA</v>
      </c>
      <c r="B2239" s="26" t="str">
        <f>"09PPR0269X"</f>
        <v>09PPR0269X</v>
      </c>
      <c r="C2239" s="26" t="str">
        <f>"JUNIPERO                                                                                            "</f>
        <v xml:space="preserve">JUNIPERO                                                                                            </v>
      </c>
      <c r="D2239" s="26" t="str">
        <f t="shared" si="372"/>
        <v>MATUTINO</v>
      </c>
      <c r="E2239" s="26" t="str">
        <f>"BONDOJITO NUM 238                                                               "</f>
        <v xml:space="preserve">BONDOJITO NUM 238                                                               </v>
      </c>
      <c r="F2239" s="26" t="str">
        <f>"ESTADO DE HIDALGO                                                                                                                           "</f>
        <v xml:space="preserve">ESTADO DE HIDALGO                                                                                                                           </v>
      </c>
      <c r="G2239" s="26" t="str">
        <f>"ALVARO OBREGON                                                                  "</f>
        <v xml:space="preserve">ALVARO OBREGON                                                                  </v>
      </c>
      <c r="H2239" s="26" t="str">
        <f>"307"</f>
        <v>307</v>
      </c>
      <c r="I2239" s="26" t="str">
        <f t="shared" si="368"/>
        <v>00</v>
      </c>
      <c r="J2239" s="26" t="str">
        <f>"43 "</f>
        <v xml:space="preserve">43 </v>
      </c>
      <c r="K2239" s="26" t="str">
        <f t="shared" si="374"/>
        <v>PR</v>
      </c>
      <c r="L2239" s="26" t="str">
        <f t="shared" si="375"/>
        <v>DGOSE</v>
      </c>
      <c r="M2239" s="26" t="str">
        <f t="shared" si="370"/>
        <v>PARTICULAR</v>
      </c>
      <c r="N2239" s="26">
        <v>281</v>
      </c>
      <c r="O2239" s="26">
        <v>141</v>
      </c>
      <c r="P2239" s="26">
        <v>140</v>
      </c>
      <c r="Q2239" s="26">
        <v>12</v>
      </c>
      <c r="R2239" s="26">
        <v>1</v>
      </c>
      <c r="S2239" s="26">
        <v>8</v>
      </c>
      <c r="T2239" s="26">
        <v>13</v>
      </c>
      <c r="U2239" s="26">
        <v>22</v>
      </c>
      <c r="V2239" s="26">
        <v>1</v>
      </c>
      <c r="W2239" s="26"/>
    </row>
    <row r="2240" spans="1:23" x14ac:dyDescent="0.25">
      <c r="A2240" s="26" t="str">
        <f t="shared" si="366"/>
        <v>PRIMARIA</v>
      </c>
      <c r="B2240" s="26" t="str">
        <f>"09PPR0271L"</f>
        <v>09PPR0271L</v>
      </c>
      <c r="C2240" s="26" t="str">
        <f>"INSTITUTO HISPANO INGLES DE MEXICO                                                                  "</f>
        <v xml:space="preserve">INSTITUTO HISPANO INGLES DE MEXICO                                                                  </v>
      </c>
      <c r="D2240" s="26" t="str">
        <f t="shared" si="372"/>
        <v>MATUTINO</v>
      </c>
      <c r="E2240" s="26" t="str">
        <f>"GENERAL CANO 153                                                                "</f>
        <v xml:space="preserve">GENERAL CANO 153                                                                </v>
      </c>
      <c r="F2240" s="26" t="str">
        <f>"SAN MIGUEL CHAPULTEPEC SECCION I                                                                                                            "</f>
        <v xml:space="preserve">SAN MIGUEL CHAPULTEPEC SECCION I                                                                                                            </v>
      </c>
      <c r="G2240" s="26" t="str">
        <f>"MIGUEL HIDALGO                                                                  "</f>
        <v xml:space="preserve">MIGUEL HIDALGO                                                                  </v>
      </c>
      <c r="H2240" s="26" t="str">
        <f>"211"</f>
        <v>211</v>
      </c>
      <c r="I2240" s="26" t="str">
        <f t="shared" si="368"/>
        <v>00</v>
      </c>
      <c r="J2240" s="26" t="str">
        <f>"42 "</f>
        <v xml:space="preserve">42 </v>
      </c>
      <c r="K2240" s="26" t="str">
        <f t="shared" si="374"/>
        <v>PR</v>
      </c>
      <c r="L2240" s="26" t="str">
        <f t="shared" si="375"/>
        <v>DGOSE</v>
      </c>
      <c r="M2240" s="26" t="str">
        <f t="shared" si="370"/>
        <v>PARTICULAR</v>
      </c>
      <c r="N2240" s="26">
        <v>212</v>
      </c>
      <c r="O2240" s="26">
        <v>99</v>
      </c>
      <c r="P2240" s="26">
        <v>113</v>
      </c>
      <c r="Q2240" s="26">
        <v>8</v>
      </c>
      <c r="R2240" s="26">
        <v>1</v>
      </c>
      <c r="S2240" s="26">
        <v>8</v>
      </c>
      <c r="T2240" s="26">
        <v>11</v>
      </c>
      <c r="U2240" s="26">
        <v>20</v>
      </c>
      <c r="V2240" s="26">
        <v>1</v>
      </c>
      <c r="W2240" s="26"/>
    </row>
    <row r="2241" spans="1:23" x14ac:dyDescent="0.25">
      <c r="A2241" s="26" t="str">
        <f t="shared" si="366"/>
        <v>PRIMARIA</v>
      </c>
      <c r="B2241" s="26" t="str">
        <f>"09PPR0272K"</f>
        <v>09PPR0272K</v>
      </c>
      <c r="C2241" s="26" t="str">
        <f>"SIMON BOLIVAR                                                                                       "</f>
        <v xml:space="preserve">SIMON BOLIVAR                                                                                       </v>
      </c>
      <c r="D2241" s="26" t="str">
        <f>"VESPERTINO"</f>
        <v>VESPERTINO</v>
      </c>
      <c r="E2241" s="26" t="str">
        <f>"GALICIA 8                                                                       "</f>
        <v xml:space="preserve">GALICIA 8                                                                       </v>
      </c>
      <c r="F2241" s="26" t="str">
        <f>"INSURGENTES MIXCOAC                                                                                                                         "</f>
        <v xml:space="preserve">INSURGENTES MIXCOAC                                                                                                                         </v>
      </c>
      <c r="G2241" s="26" t="str">
        <f>"BENITO JUAREZ                                                                   "</f>
        <v xml:space="preserve">BENITO JUAREZ                                                                   </v>
      </c>
      <c r="H2241" s="26" t="str">
        <f>"000"</f>
        <v>000</v>
      </c>
      <c r="I2241" s="26" t="str">
        <f t="shared" si="368"/>
        <v>00</v>
      </c>
      <c r="J2241" s="26" t="str">
        <f>"43 "</f>
        <v xml:space="preserve">43 </v>
      </c>
      <c r="K2241" s="26" t="str">
        <f t="shared" si="374"/>
        <v>PR</v>
      </c>
      <c r="L2241" s="26" t="str">
        <f t="shared" si="375"/>
        <v>DGOSE</v>
      </c>
      <c r="M2241" s="26" t="str">
        <f t="shared" si="370"/>
        <v>PARTICULAR</v>
      </c>
      <c r="N2241" s="26">
        <v>506</v>
      </c>
      <c r="O2241" s="26">
        <v>247</v>
      </c>
      <c r="P2241" s="26">
        <v>259</v>
      </c>
      <c r="Q2241" s="26">
        <v>12</v>
      </c>
      <c r="R2241" s="26">
        <v>1</v>
      </c>
      <c r="S2241" s="26">
        <v>12</v>
      </c>
      <c r="T2241" s="26">
        <v>16</v>
      </c>
      <c r="U2241" s="26">
        <v>29</v>
      </c>
      <c r="V2241" s="26">
        <v>1</v>
      </c>
      <c r="W2241" s="26"/>
    </row>
    <row r="2242" spans="1:23" x14ac:dyDescent="0.25">
      <c r="A2242" s="26" t="str">
        <f t="shared" ref="A2242:A2305" si="376">"PRIMARIA"</f>
        <v>PRIMARIA</v>
      </c>
      <c r="B2242" s="26" t="str">
        <f>"09PPR0274I"</f>
        <v>09PPR0274I</v>
      </c>
      <c r="C2242" s="26" t="str">
        <f>"AMERICA                                                                                             "</f>
        <v xml:space="preserve">AMERICA                                                                                             </v>
      </c>
      <c r="D2242" s="26" t="str">
        <f t="shared" ref="D2242:D2305" si="377">"MATUTINO"</f>
        <v>MATUTINO</v>
      </c>
      <c r="E2242" s="26" t="str">
        <f>"RETORNO 15 DE J GALINDO Y VILLA 15                                              "</f>
        <v xml:space="preserve">RETORNO 15 DE J GALINDO Y VILLA 15                                              </v>
      </c>
      <c r="F2242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2242" s="26" t="str">
        <f>"VENUSTIANO CARRANZA                                                             "</f>
        <v xml:space="preserve">VENUSTIANO CARRANZA                                                             </v>
      </c>
      <c r="H2242" s="26" t="str">
        <f>"348"</f>
        <v>348</v>
      </c>
      <c r="I2242" s="26" t="str">
        <f t="shared" ref="I2242:I2305" si="378">"00"</f>
        <v>00</v>
      </c>
      <c r="J2242" s="26" t="str">
        <f>"43 "</f>
        <v xml:space="preserve">43 </v>
      </c>
      <c r="K2242" s="26" t="str">
        <f t="shared" si="374"/>
        <v>PR</v>
      </c>
      <c r="L2242" s="26" t="str">
        <f t="shared" si="375"/>
        <v>DGOSE</v>
      </c>
      <c r="M2242" s="26" t="str">
        <f t="shared" si="370"/>
        <v>PARTICULAR</v>
      </c>
      <c r="N2242" s="26">
        <v>44</v>
      </c>
      <c r="O2242" s="26">
        <v>21</v>
      </c>
      <c r="P2242" s="26">
        <v>23</v>
      </c>
      <c r="Q2242" s="26">
        <v>6</v>
      </c>
      <c r="R2242" s="26">
        <v>1</v>
      </c>
      <c r="S2242" s="26">
        <v>3</v>
      </c>
      <c r="T2242" s="26">
        <v>9</v>
      </c>
      <c r="U2242" s="26">
        <v>13</v>
      </c>
      <c r="V2242" s="26">
        <v>1</v>
      </c>
      <c r="W2242" s="26"/>
    </row>
    <row r="2243" spans="1:23" x14ac:dyDescent="0.25">
      <c r="A2243" s="26" t="str">
        <f t="shared" si="376"/>
        <v>PRIMARIA</v>
      </c>
      <c r="B2243" s="26" t="str">
        <f>"09PPR0276G"</f>
        <v>09PPR0276G</v>
      </c>
      <c r="C2243" s="26" t="str">
        <f>"INSTITUTO ALVARO GALVEZ Y FUENTES                                                                   "</f>
        <v xml:space="preserve">INSTITUTO ALVARO GALVEZ Y FUENTES                                                                   </v>
      </c>
      <c r="D2243" s="26" t="str">
        <f t="shared" si="377"/>
        <v>MATUTINO</v>
      </c>
      <c r="E2243" s="26" t="str">
        <f>"GREGORIO LOPEZ NUM 2                                                            "</f>
        <v xml:space="preserve">GREGORIO LOPEZ NUM 2                                                            </v>
      </c>
      <c r="F2243" s="26" t="str">
        <f>"SANTA FE                                                                                                                                    "</f>
        <v xml:space="preserve">SANTA FE                                                                                                                                    </v>
      </c>
      <c r="G2243" s="26" t="str">
        <f>"ALVARO OBREGON                                                                  "</f>
        <v xml:space="preserve">ALVARO OBREGON                                                                  </v>
      </c>
      <c r="H2243" s="26" t="str">
        <f>"312"</f>
        <v>312</v>
      </c>
      <c r="I2243" s="26" t="str">
        <f t="shared" si="378"/>
        <v>00</v>
      </c>
      <c r="J2243" s="26" t="str">
        <f>"43 "</f>
        <v xml:space="preserve">43 </v>
      </c>
      <c r="K2243" s="26" t="str">
        <f t="shared" si="374"/>
        <v>PR</v>
      </c>
      <c r="L2243" s="26" t="str">
        <f t="shared" si="375"/>
        <v>DGOSE</v>
      </c>
      <c r="M2243" s="26" t="str">
        <f t="shared" si="370"/>
        <v>PARTICULAR</v>
      </c>
      <c r="N2243" s="26">
        <v>63</v>
      </c>
      <c r="O2243" s="26">
        <v>38</v>
      </c>
      <c r="P2243" s="26">
        <v>25</v>
      </c>
      <c r="Q2243" s="26">
        <v>6</v>
      </c>
      <c r="R2243" s="26">
        <v>1</v>
      </c>
      <c r="S2243" s="26">
        <v>6</v>
      </c>
      <c r="T2243" s="26">
        <v>3</v>
      </c>
      <c r="U2243" s="26">
        <v>10</v>
      </c>
      <c r="V2243" s="26">
        <v>1</v>
      </c>
      <c r="W2243" s="26"/>
    </row>
    <row r="2244" spans="1:23" x14ac:dyDescent="0.25">
      <c r="A2244" s="26" t="str">
        <f t="shared" si="376"/>
        <v>PRIMARIA</v>
      </c>
      <c r="B2244" s="26" t="str">
        <f>"09PPR0277F"</f>
        <v>09PPR0277F</v>
      </c>
      <c r="C2244" s="26" t="str">
        <f>"COLEGIO MADRID                                                                                      "</f>
        <v xml:space="preserve">COLEGIO MADRID                                                                                      </v>
      </c>
      <c r="D2244" s="26" t="str">
        <f t="shared" si="377"/>
        <v>MATUTINO</v>
      </c>
      <c r="E2244" s="26" t="str">
        <f>"PUENTE NO 224                                                                   "</f>
        <v xml:space="preserve">PUENTE NO 224                                                                   </v>
      </c>
      <c r="F2244" s="26" t="str">
        <f>"RESIDENCIAL EX-HACIENDA COAPA                                                                                                               "</f>
        <v xml:space="preserve">RESIDENCIAL EX-HACIENDA COAPA                                                                                                               </v>
      </c>
      <c r="G2244" s="26" t="str">
        <f>"TLALPAN                                                                         "</f>
        <v xml:space="preserve">TLALPAN                                                                         </v>
      </c>
      <c r="H2244" s="26" t="str">
        <f>"524"</f>
        <v>524</v>
      </c>
      <c r="I2244" s="26" t="str">
        <f t="shared" si="378"/>
        <v>00</v>
      </c>
      <c r="J2244" s="26" t="str">
        <f>"45 "</f>
        <v xml:space="preserve">45 </v>
      </c>
      <c r="K2244" s="26" t="str">
        <f t="shared" si="374"/>
        <v>PR</v>
      </c>
      <c r="L2244" s="26" t="str">
        <f t="shared" si="375"/>
        <v>DGOSE</v>
      </c>
      <c r="M2244" s="26" t="str">
        <f t="shared" si="370"/>
        <v>PARTICULAR</v>
      </c>
      <c r="N2244" s="26">
        <v>714</v>
      </c>
      <c r="O2244" s="26">
        <v>354</v>
      </c>
      <c r="P2244" s="26">
        <v>360</v>
      </c>
      <c r="Q2244" s="26">
        <v>25</v>
      </c>
      <c r="R2244" s="26">
        <v>1</v>
      </c>
      <c r="S2244" s="26">
        <v>25</v>
      </c>
      <c r="T2244" s="26">
        <v>31</v>
      </c>
      <c r="U2244" s="26">
        <v>57</v>
      </c>
      <c r="V2244" s="26">
        <v>1</v>
      </c>
      <c r="W2244" s="26"/>
    </row>
    <row r="2245" spans="1:23" x14ac:dyDescent="0.25">
      <c r="A2245" s="26" t="str">
        <f t="shared" si="376"/>
        <v>PRIMARIA</v>
      </c>
      <c r="B2245" s="26" t="str">
        <f>"09PPR0278E"</f>
        <v>09PPR0278E</v>
      </c>
      <c r="C2245" s="26" t="str">
        <f>"JOSE DE LA LUZ MENA                                                                                 "</f>
        <v xml:space="preserve">JOSE DE LA LUZ MENA                                                                                 </v>
      </c>
      <c r="D2245" s="26" t="str">
        <f t="shared" si="377"/>
        <v>MATUTINO</v>
      </c>
      <c r="E2245" s="26" t="str">
        <f>"MONTE ALBAN 70                                                                  "</f>
        <v xml:space="preserve">MONTE ALBAN 70                                                                  </v>
      </c>
      <c r="F2245" s="26" t="str">
        <f>"NARVARTE                                                                                                                                    "</f>
        <v xml:space="preserve">NARVARTE                                                                                                                                    </v>
      </c>
      <c r="G2245" s="26" t="str">
        <f>"BENITO JUAREZ                                                                   "</f>
        <v xml:space="preserve">BENITO JUAREZ                                                                   </v>
      </c>
      <c r="H2245" s="26" t="str">
        <f>"000"</f>
        <v>000</v>
      </c>
      <c r="I2245" s="26" t="str">
        <f t="shared" si="378"/>
        <v>00</v>
      </c>
      <c r="J2245" s="26" t="str">
        <f t="shared" ref="J2245:J2255" si="379">"43 "</f>
        <v xml:space="preserve">43 </v>
      </c>
      <c r="K2245" s="26" t="str">
        <f t="shared" si="374"/>
        <v>PR</v>
      </c>
      <c r="L2245" s="26" t="str">
        <f t="shared" si="375"/>
        <v>DGOSE</v>
      </c>
      <c r="M2245" s="26" t="str">
        <f t="shared" si="370"/>
        <v>PARTICULAR</v>
      </c>
      <c r="N2245" s="26">
        <v>64</v>
      </c>
      <c r="O2245" s="26">
        <v>38</v>
      </c>
      <c r="P2245" s="26">
        <v>26</v>
      </c>
      <c r="Q2245" s="26">
        <v>6</v>
      </c>
      <c r="R2245" s="26">
        <v>1</v>
      </c>
      <c r="S2245" s="26">
        <v>3</v>
      </c>
      <c r="T2245" s="26">
        <v>6</v>
      </c>
      <c r="U2245" s="26">
        <v>10</v>
      </c>
      <c r="V2245" s="26">
        <v>1</v>
      </c>
      <c r="W2245" s="26"/>
    </row>
    <row r="2246" spans="1:23" x14ac:dyDescent="0.25">
      <c r="A2246" s="26" t="str">
        <f t="shared" si="376"/>
        <v>PRIMARIA</v>
      </c>
      <c r="B2246" s="26" t="str">
        <f>"09PPR0280T"</f>
        <v>09PPR0280T</v>
      </c>
      <c r="C2246" s="26" t="str">
        <f>"LIC. MANUEL G. ESCOBEDO DIAZ DE LEON                                                                "</f>
        <v xml:space="preserve">LIC. MANUEL G. ESCOBEDO DIAZ DE LEON                                                                </v>
      </c>
      <c r="D2246" s="26" t="str">
        <f t="shared" si="377"/>
        <v>MATUTINO</v>
      </c>
      <c r="E2246" s="26" t="str">
        <f>"CALLEJON DE SAN JERONIMO 44                                                     "</f>
        <v xml:space="preserve">CALLEJON DE SAN JERONIMO 44                                                     </v>
      </c>
      <c r="F2246" s="26" t="str">
        <f>"SAN JERONIMO LIDICE                                                                                                                         "</f>
        <v xml:space="preserve">SAN JERONIMO LIDICE                                                                                                                         </v>
      </c>
      <c r="G2246" s="26" t="str">
        <f>"LA MAGDALENA CONTRERAS                                                          "</f>
        <v xml:space="preserve">LA MAGDALENA CONTRERAS                                                          </v>
      </c>
      <c r="H2246" s="26" t="str">
        <f>"331"</f>
        <v>331</v>
      </c>
      <c r="I2246" s="26" t="str">
        <f t="shared" si="378"/>
        <v>00</v>
      </c>
      <c r="J2246" s="26" t="str">
        <f t="shared" si="379"/>
        <v xml:space="preserve">43 </v>
      </c>
      <c r="K2246" s="26" t="str">
        <f t="shared" si="374"/>
        <v>PR</v>
      </c>
      <c r="L2246" s="26" t="str">
        <f t="shared" si="375"/>
        <v>DGOSE</v>
      </c>
      <c r="M2246" s="26" t="str">
        <f t="shared" si="370"/>
        <v>PARTICULAR</v>
      </c>
      <c r="N2246" s="26">
        <v>94</v>
      </c>
      <c r="O2246" s="26">
        <v>46</v>
      </c>
      <c r="P2246" s="26">
        <v>48</v>
      </c>
      <c r="Q2246" s="26">
        <v>6</v>
      </c>
      <c r="R2246" s="26">
        <v>1</v>
      </c>
      <c r="S2246" s="26">
        <v>3</v>
      </c>
      <c r="T2246" s="26">
        <v>15</v>
      </c>
      <c r="U2246" s="26">
        <v>19</v>
      </c>
      <c r="V2246" s="26">
        <v>1</v>
      </c>
      <c r="W2246" s="26"/>
    </row>
    <row r="2247" spans="1:23" x14ac:dyDescent="0.25">
      <c r="A2247" s="26" t="str">
        <f t="shared" si="376"/>
        <v>PRIMARIA</v>
      </c>
      <c r="B2247" s="26" t="str">
        <f>"09PPR0282R"</f>
        <v>09PPR0282R</v>
      </c>
      <c r="C2247" s="26" t="str">
        <f>"FEDERICO SALVADOR                                                                                   "</f>
        <v xml:space="preserve">FEDERICO SALVADOR                                                                                   </v>
      </c>
      <c r="D2247" s="26" t="str">
        <f t="shared" si="377"/>
        <v>MATUTINO</v>
      </c>
      <c r="E2247" s="26" t="str">
        <f>"SATURNINO HERRAN 49                                                             "</f>
        <v xml:space="preserve">SATURNINO HERRAN 49                                                             </v>
      </c>
      <c r="F2247" s="26" t="str">
        <f>"SAN JOSE INSURGENTES                                                                                                                        "</f>
        <v xml:space="preserve">SAN JOSE INSURGENTES                                                                                                                        </v>
      </c>
      <c r="G2247" s="26" t="str">
        <f>"BENITO JUAREZ                                                                   "</f>
        <v xml:space="preserve">BENITO JUAREZ                                                                   </v>
      </c>
      <c r="H2247" s="26" t="str">
        <f>"000"</f>
        <v>000</v>
      </c>
      <c r="I2247" s="26" t="str">
        <f t="shared" si="378"/>
        <v>00</v>
      </c>
      <c r="J2247" s="26" t="str">
        <f t="shared" si="379"/>
        <v xml:space="preserve">43 </v>
      </c>
      <c r="K2247" s="26" t="str">
        <f t="shared" si="374"/>
        <v>PR</v>
      </c>
      <c r="L2247" s="26" t="str">
        <f t="shared" si="375"/>
        <v>DGOSE</v>
      </c>
      <c r="M2247" s="26" t="str">
        <f t="shared" si="370"/>
        <v>PARTICULAR</v>
      </c>
      <c r="N2247" s="26">
        <v>103</v>
      </c>
      <c r="O2247" s="26">
        <v>47</v>
      </c>
      <c r="P2247" s="26">
        <v>56</v>
      </c>
      <c r="Q2247" s="26">
        <v>6</v>
      </c>
      <c r="R2247" s="26">
        <v>1</v>
      </c>
      <c r="S2247" s="26">
        <v>3</v>
      </c>
      <c r="T2247" s="26">
        <v>7</v>
      </c>
      <c r="U2247" s="26">
        <v>11</v>
      </c>
      <c r="V2247" s="26">
        <v>1</v>
      </c>
      <c r="W2247" s="26"/>
    </row>
    <row r="2248" spans="1:23" x14ac:dyDescent="0.25">
      <c r="A2248" s="26" t="str">
        <f t="shared" si="376"/>
        <v>PRIMARIA</v>
      </c>
      <c r="B2248" s="26" t="str">
        <f>"09PPR0284P"</f>
        <v>09PPR0284P</v>
      </c>
      <c r="C2248" s="26" t="str">
        <f>"COLEGIO WILLIAMS                                                                                    "</f>
        <v xml:space="preserve">COLEGIO WILLIAMS                                                                                    </v>
      </c>
      <c r="D2248" s="26" t="str">
        <f t="shared" si="377"/>
        <v>MATUTINO</v>
      </c>
      <c r="E2248" s="26" t="str">
        <f>"EMPRESA 8 Y REVOLUCION                                                          "</f>
        <v xml:space="preserve">EMPRESA 8 Y REVOLUCION                                                          </v>
      </c>
      <c r="F2248" s="26" t="str">
        <f>"INSURGENTES MIXCOAC                                                                                                                         "</f>
        <v xml:space="preserve">INSURGENTES MIXCOAC                                                                                                                         </v>
      </c>
      <c r="G2248" s="26" t="str">
        <f>"BENITO JUAREZ                                                                   "</f>
        <v xml:space="preserve">BENITO JUAREZ                                                                   </v>
      </c>
      <c r="H2248" s="26" t="str">
        <f>"000"</f>
        <v>000</v>
      </c>
      <c r="I2248" s="26" t="str">
        <f t="shared" si="378"/>
        <v>00</v>
      </c>
      <c r="J2248" s="26" t="str">
        <f t="shared" si="379"/>
        <v xml:space="preserve">43 </v>
      </c>
      <c r="K2248" s="26" t="str">
        <f t="shared" si="374"/>
        <v>PR</v>
      </c>
      <c r="L2248" s="26" t="str">
        <f t="shared" si="375"/>
        <v>DGOSE</v>
      </c>
      <c r="M2248" s="26" t="str">
        <f t="shared" si="370"/>
        <v>PARTICULAR</v>
      </c>
      <c r="N2248" s="26">
        <v>683</v>
      </c>
      <c r="O2248" s="26">
        <v>378</v>
      </c>
      <c r="P2248" s="26">
        <v>305</v>
      </c>
      <c r="Q2248" s="26">
        <v>30</v>
      </c>
      <c r="R2248" s="26">
        <v>1</v>
      </c>
      <c r="S2248" s="26">
        <v>23</v>
      </c>
      <c r="T2248" s="26">
        <v>49</v>
      </c>
      <c r="U2248" s="26">
        <v>73</v>
      </c>
      <c r="V2248" s="26">
        <v>1</v>
      </c>
      <c r="W2248" s="26"/>
    </row>
    <row r="2249" spans="1:23" x14ac:dyDescent="0.25">
      <c r="A2249" s="26" t="str">
        <f t="shared" si="376"/>
        <v>PRIMARIA</v>
      </c>
      <c r="B2249" s="26" t="str">
        <f>"09PPR0285O"</f>
        <v>09PPR0285O</v>
      </c>
      <c r="C2249" s="26" t="str">
        <f>"TABASCO                                                                                             "</f>
        <v xml:space="preserve">TABASCO                                                                                             </v>
      </c>
      <c r="D2249" s="26" t="str">
        <f t="shared" si="377"/>
        <v>MATUTINO</v>
      </c>
      <c r="E2249" s="26" t="str">
        <f>"NATTIER 2                                                                       "</f>
        <v xml:space="preserve">NATTIER 2                                                                       </v>
      </c>
      <c r="F2249" s="26" t="str">
        <f>"SAN JUAN                                                                                                                                    "</f>
        <v xml:space="preserve">SAN JUAN                                                                                                                                    </v>
      </c>
      <c r="G2249" s="26" t="str">
        <f>"BENITO JUAREZ                                                                   "</f>
        <v xml:space="preserve">BENITO JUAREZ                                                                   </v>
      </c>
      <c r="H2249" s="26" t="str">
        <f>"340"</f>
        <v>340</v>
      </c>
      <c r="I2249" s="26" t="str">
        <f t="shared" si="378"/>
        <v>00</v>
      </c>
      <c r="J2249" s="26" t="str">
        <f t="shared" si="379"/>
        <v xml:space="preserve">43 </v>
      </c>
      <c r="K2249" s="26" t="str">
        <f t="shared" si="374"/>
        <v>PR</v>
      </c>
      <c r="L2249" s="26" t="str">
        <f t="shared" si="375"/>
        <v>DGOSE</v>
      </c>
      <c r="M2249" s="26" t="str">
        <f t="shared" si="370"/>
        <v>PARTICULAR</v>
      </c>
      <c r="N2249" s="26">
        <v>156</v>
      </c>
      <c r="O2249" s="26">
        <v>93</v>
      </c>
      <c r="P2249" s="26">
        <v>63</v>
      </c>
      <c r="Q2249" s="26">
        <v>6</v>
      </c>
      <c r="R2249" s="26">
        <v>1</v>
      </c>
      <c r="S2249" s="26">
        <v>6</v>
      </c>
      <c r="T2249" s="26">
        <v>9</v>
      </c>
      <c r="U2249" s="26">
        <v>16</v>
      </c>
      <c r="V2249" s="26">
        <v>1</v>
      </c>
      <c r="W2249" s="26"/>
    </row>
    <row r="2250" spans="1:23" x14ac:dyDescent="0.25">
      <c r="A2250" s="26" t="str">
        <f t="shared" si="376"/>
        <v>PRIMARIA</v>
      </c>
      <c r="B2250" s="26" t="str">
        <f>"09PPR0286N"</f>
        <v>09PPR0286N</v>
      </c>
      <c r="C2250" s="26" t="str">
        <f>"SIMON BOLIVAR                                                                                       "</f>
        <v xml:space="preserve">SIMON BOLIVAR                                                                                       </v>
      </c>
      <c r="D2250" s="26" t="str">
        <f t="shared" si="377"/>
        <v>MATUTINO</v>
      </c>
      <c r="E2250" s="26" t="str">
        <f>"AV RIO MIXCOAC 145                                                              "</f>
        <v xml:space="preserve">AV RIO MIXCOAC 145                                                              </v>
      </c>
      <c r="F2250" s="26" t="str">
        <f>"INSURGENTES MIXCOAC                                                                                                                         "</f>
        <v xml:space="preserve">INSURGENTES MIXCOAC                                                                                                                         </v>
      </c>
      <c r="G2250" s="26" t="str">
        <f>"BENITO JUAREZ                                                                   "</f>
        <v xml:space="preserve">BENITO JUAREZ                                                                   </v>
      </c>
      <c r="H2250" s="26" t="str">
        <f>"000"</f>
        <v>000</v>
      </c>
      <c r="I2250" s="26" t="str">
        <f t="shared" si="378"/>
        <v>00</v>
      </c>
      <c r="J2250" s="26" t="str">
        <f t="shared" si="379"/>
        <v xml:space="preserve">43 </v>
      </c>
      <c r="K2250" s="26" t="str">
        <f t="shared" si="374"/>
        <v>PR</v>
      </c>
      <c r="L2250" s="26" t="str">
        <f t="shared" si="375"/>
        <v>DGOSE</v>
      </c>
      <c r="M2250" s="26" t="str">
        <f t="shared" si="370"/>
        <v>PARTICULAR</v>
      </c>
      <c r="N2250" s="26">
        <v>819</v>
      </c>
      <c r="O2250" s="26">
        <v>369</v>
      </c>
      <c r="P2250" s="26">
        <v>450</v>
      </c>
      <c r="Q2250" s="26">
        <v>22</v>
      </c>
      <c r="R2250" s="26">
        <v>1</v>
      </c>
      <c r="S2250" s="26">
        <v>11</v>
      </c>
      <c r="T2250" s="26">
        <v>28</v>
      </c>
      <c r="U2250" s="26">
        <v>40</v>
      </c>
      <c r="V2250" s="26">
        <v>1</v>
      </c>
      <c r="W2250" s="26"/>
    </row>
    <row r="2251" spans="1:23" x14ac:dyDescent="0.25">
      <c r="A2251" s="26" t="str">
        <f t="shared" si="376"/>
        <v>PRIMARIA</v>
      </c>
      <c r="B2251" s="26" t="str">
        <f>"09PPR0287M"</f>
        <v>09PPR0287M</v>
      </c>
      <c r="C2251" s="26" t="str">
        <f>"A FAVOR DEL NIÑO                                                                                    "</f>
        <v xml:space="preserve">A FAVOR DEL NIÑO                                                                                    </v>
      </c>
      <c r="D2251" s="26" t="str">
        <f t="shared" si="377"/>
        <v>MATUTINO</v>
      </c>
      <c r="E2251" s="26" t="str">
        <f>"AV SAN JERONIMO 860                                                             "</f>
        <v xml:space="preserve">AV SAN JERONIMO 860                                                             </v>
      </c>
      <c r="F2251" s="26" t="str">
        <f>"SAN JERONIMO LIDICE                                                                                                                         "</f>
        <v xml:space="preserve">SAN JERONIMO LIDICE                                                                                                                         </v>
      </c>
      <c r="G2251" s="26" t="str">
        <f>"LA MAGDALENA CONTRERAS                                                          "</f>
        <v xml:space="preserve">LA MAGDALENA CONTRERAS                                                          </v>
      </c>
      <c r="H2251" s="26" t="str">
        <f>"331"</f>
        <v>331</v>
      </c>
      <c r="I2251" s="26" t="str">
        <f t="shared" si="378"/>
        <v>00</v>
      </c>
      <c r="J2251" s="26" t="str">
        <f t="shared" si="379"/>
        <v xml:space="preserve">43 </v>
      </c>
      <c r="K2251" s="26" t="str">
        <f t="shared" si="374"/>
        <v>PR</v>
      </c>
      <c r="L2251" s="26" t="str">
        <f t="shared" si="375"/>
        <v>DGOSE</v>
      </c>
      <c r="M2251" s="26" t="str">
        <f t="shared" si="370"/>
        <v>PARTICULAR</v>
      </c>
      <c r="N2251" s="26">
        <v>146</v>
      </c>
      <c r="O2251" s="26">
        <v>67</v>
      </c>
      <c r="P2251" s="26">
        <v>79</v>
      </c>
      <c r="Q2251" s="26">
        <v>6</v>
      </c>
      <c r="R2251" s="26">
        <v>1</v>
      </c>
      <c r="S2251" s="26">
        <v>6</v>
      </c>
      <c r="T2251" s="26">
        <v>4</v>
      </c>
      <c r="U2251" s="26">
        <v>11</v>
      </c>
      <c r="V2251" s="26">
        <v>1</v>
      </c>
      <c r="W2251" s="26"/>
    </row>
    <row r="2252" spans="1:23" x14ac:dyDescent="0.25">
      <c r="A2252" s="26" t="str">
        <f t="shared" si="376"/>
        <v>PRIMARIA</v>
      </c>
      <c r="B2252" s="26" t="str">
        <f>"09PPR0289K"</f>
        <v>09PPR0289K</v>
      </c>
      <c r="C2252" s="26" t="str">
        <f>"ALEXANDER BAIN                                                                                      "</f>
        <v xml:space="preserve">ALEXANDER BAIN                                                                                      </v>
      </c>
      <c r="D2252" s="26" t="str">
        <f t="shared" si="377"/>
        <v>MATUTINO</v>
      </c>
      <c r="E2252" s="26" t="str">
        <f>"BARRANCA DE PILARES NO 4                                                        "</f>
        <v xml:space="preserve">BARRANCA DE PILARES NO 4                                                        </v>
      </c>
      <c r="F2252" s="26" t="str">
        <f>"TLACOPAC                                                                                                                                    "</f>
        <v xml:space="preserve">TLACOPAC                                                                                                                                    </v>
      </c>
      <c r="G2252" s="26" t="str">
        <f>"ALVARO OBREGON                                                                  "</f>
        <v xml:space="preserve">ALVARO OBREGON                                                                  </v>
      </c>
      <c r="H2252" s="26" t="str">
        <f>"321"</f>
        <v>321</v>
      </c>
      <c r="I2252" s="26" t="str">
        <f t="shared" si="378"/>
        <v>00</v>
      </c>
      <c r="J2252" s="26" t="str">
        <f t="shared" si="379"/>
        <v xml:space="preserve">43 </v>
      </c>
      <c r="K2252" s="26" t="str">
        <f t="shared" si="374"/>
        <v>PR</v>
      </c>
      <c r="L2252" s="26" t="str">
        <f t="shared" si="375"/>
        <v>DGOSE</v>
      </c>
      <c r="M2252" s="26" t="str">
        <f t="shared" si="370"/>
        <v>PARTICULAR</v>
      </c>
      <c r="N2252" s="26">
        <v>339</v>
      </c>
      <c r="O2252" s="26">
        <v>182</v>
      </c>
      <c r="P2252" s="26">
        <v>157</v>
      </c>
      <c r="Q2252" s="26">
        <v>18</v>
      </c>
      <c r="R2252" s="26">
        <v>1</v>
      </c>
      <c r="S2252" s="26">
        <v>12</v>
      </c>
      <c r="T2252" s="26">
        <v>38</v>
      </c>
      <c r="U2252" s="26">
        <v>51</v>
      </c>
      <c r="V2252" s="26">
        <v>1</v>
      </c>
      <c r="W2252" s="26"/>
    </row>
    <row r="2253" spans="1:23" x14ac:dyDescent="0.25">
      <c r="A2253" s="26" t="str">
        <f t="shared" si="376"/>
        <v>PRIMARIA</v>
      </c>
      <c r="B2253" s="26" t="str">
        <f>"09PPR0290Z"</f>
        <v>09PPR0290Z</v>
      </c>
      <c r="C2253" s="26" t="str">
        <f>"FRANCES DEL PEDREGAL                                                                                "</f>
        <v xml:space="preserve">FRANCES DEL PEDREGAL                                                                                </v>
      </c>
      <c r="D2253" s="26" t="str">
        <f t="shared" si="377"/>
        <v>MATUTINO</v>
      </c>
      <c r="E2253" s="26" t="str">
        <f>"COLEGIO NUM 330                                                                 "</f>
        <v xml:space="preserve">COLEGIO NUM 330                                                                 </v>
      </c>
      <c r="F2253" s="26" t="str">
        <f>"JARDINES DEL PEDREGAL                                                                                                                       "</f>
        <v xml:space="preserve">JARDINES DEL PEDREGAL                                                                                                                       </v>
      </c>
      <c r="G2253" s="26" t="str">
        <f>"ALVARO OBREGON                                                                  "</f>
        <v xml:space="preserve">ALVARO OBREGON                                                                  </v>
      </c>
      <c r="H2253" s="26" t="str">
        <f>"327"</f>
        <v>327</v>
      </c>
      <c r="I2253" s="26" t="str">
        <f t="shared" si="378"/>
        <v>00</v>
      </c>
      <c r="J2253" s="26" t="str">
        <f t="shared" si="379"/>
        <v xml:space="preserve">43 </v>
      </c>
      <c r="K2253" s="26" t="str">
        <f t="shared" si="374"/>
        <v>PR</v>
      </c>
      <c r="L2253" s="26" t="str">
        <f t="shared" si="375"/>
        <v>DGOSE</v>
      </c>
      <c r="M2253" s="26" t="str">
        <f t="shared" si="370"/>
        <v>PARTICULAR</v>
      </c>
      <c r="N2253" s="26">
        <v>233</v>
      </c>
      <c r="O2253" s="26">
        <v>0</v>
      </c>
      <c r="P2253" s="26">
        <v>233</v>
      </c>
      <c r="Q2253" s="26">
        <v>12</v>
      </c>
      <c r="R2253" s="26">
        <v>1</v>
      </c>
      <c r="S2253" s="26">
        <v>6</v>
      </c>
      <c r="T2253" s="26">
        <v>18</v>
      </c>
      <c r="U2253" s="26">
        <v>25</v>
      </c>
      <c r="V2253" s="26">
        <v>1</v>
      </c>
      <c r="W2253" s="26"/>
    </row>
    <row r="2254" spans="1:23" x14ac:dyDescent="0.25">
      <c r="A2254" s="26" t="str">
        <f t="shared" si="376"/>
        <v>PRIMARIA</v>
      </c>
      <c r="B2254" s="26" t="str">
        <f>"09PPR0291Z"</f>
        <v>09PPR0291Z</v>
      </c>
      <c r="C2254" s="26" t="str">
        <f>"FELIX DE JESUS ROUGIER                                                                              "</f>
        <v xml:space="preserve">FELIX DE JESUS ROUGIER                                                                              </v>
      </c>
      <c r="D2254" s="26" t="str">
        <f t="shared" si="377"/>
        <v>MATUTINO</v>
      </c>
      <c r="E2254" s="26" t="str">
        <f>"HORTENSIA NUM 11                                                                "</f>
        <v xml:space="preserve">HORTENSIA NUM 11                                                                </v>
      </c>
      <c r="F2254" s="26" t="str">
        <f>"FLORIDA                                                                                                                                     "</f>
        <v xml:space="preserve">FLORIDA                                                                                                                                     </v>
      </c>
      <c r="G2254" s="26" t="str">
        <f>"ALVARO OBREGON                                                                  "</f>
        <v xml:space="preserve">ALVARO OBREGON                                                                  </v>
      </c>
      <c r="H2254" s="26" t="str">
        <f>"320"</f>
        <v>320</v>
      </c>
      <c r="I2254" s="26" t="str">
        <f t="shared" si="378"/>
        <v>00</v>
      </c>
      <c r="J2254" s="26" t="str">
        <f t="shared" si="379"/>
        <v xml:space="preserve">43 </v>
      </c>
      <c r="K2254" s="26" t="str">
        <f t="shared" si="374"/>
        <v>PR</v>
      </c>
      <c r="L2254" s="26" t="str">
        <f t="shared" si="375"/>
        <v>DGOSE</v>
      </c>
      <c r="M2254" s="26" t="str">
        <f t="shared" si="370"/>
        <v>PARTICULAR</v>
      </c>
      <c r="N2254" s="26">
        <v>75</v>
      </c>
      <c r="O2254" s="26">
        <v>34</v>
      </c>
      <c r="P2254" s="26">
        <v>41</v>
      </c>
      <c r="Q2254" s="26">
        <v>6</v>
      </c>
      <c r="R2254" s="26">
        <v>1</v>
      </c>
      <c r="S2254" s="26">
        <v>3</v>
      </c>
      <c r="T2254" s="26">
        <v>9</v>
      </c>
      <c r="U2254" s="26">
        <v>13</v>
      </c>
      <c r="V2254" s="26">
        <v>1</v>
      </c>
      <c r="W2254" s="26"/>
    </row>
    <row r="2255" spans="1:23" x14ac:dyDescent="0.25">
      <c r="A2255" s="26" t="str">
        <f t="shared" si="376"/>
        <v>PRIMARIA</v>
      </c>
      <c r="B2255" s="26" t="str">
        <f>"09PPR0293X"</f>
        <v>09PPR0293X</v>
      </c>
      <c r="C2255" s="26" t="str">
        <f>"FEDERICO FROEBEL                                                                                    "</f>
        <v xml:space="preserve">FEDERICO FROEBEL                                                                                    </v>
      </c>
      <c r="D2255" s="26" t="str">
        <f t="shared" si="377"/>
        <v>MATUTINO</v>
      </c>
      <c r="E2255" s="26" t="str">
        <f>"LA OTRA BANDA NO. 37                                                            "</f>
        <v xml:space="preserve">LA OTRA BANDA NO. 37                                                            </v>
      </c>
      <c r="F2255" s="26" t="str">
        <f>"SAN ANGEL                                                                                                                                   "</f>
        <v xml:space="preserve">SAN ANGEL                                                                                                                                   </v>
      </c>
      <c r="G2255" s="26" t="str">
        <f>"ALVARO OBREGON                                                                  "</f>
        <v xml:space="preserve">ALVARO OBREGON                                                                  </v>
      </c>
      <c r="H2255" s="26" t="str">
        <f>"325"</f>
        <v>325</v>
      </c>
      <c r="I2255" s="26" t="str">
        <f t="shared" si="378"/>
        <v>00</v>
      </c>
      <c r="J2255" s="26" t="str">
        <f t="shared" si="379"/>
        <v xml:space="preserve">43 </v>
      </c>
      <c r="K2255" s="26" t="str">
        <f t="shared" si="374"/>
        <v>PR</v>
      </c>
      <c r="L2255" s="26" t="str">
        <f t="shared" si="375"/>
        <v>DGOSE</v>
      </c>
      <c r="M2255" s="26" t="str">
        <f t="shared" si="370"/>
        <v>PARTICULAR</v>
      </c>
      <c r="N2255" s="26">
        <v>136</v>
      </c>
      <c r="O2255" s="26">
        <v>67</v>
      </c>
      <c r="P2255" s="26">
        <v>69</v>
      </c>
      <c r="Q2255" s="26">
        <v>6</v>
      </c>
      <c r="R2255" s="26">
        <v>1</v>
      </c>
      <c r="S2255" s="26">
        <v>6</v>
      </c>
      <c r="T2255" s="26">
        <v>12</v>
      </c>
      <c r="U2255" s="26">
        <v>19</v>
      </c>
      <c r="V2255" s="26">
        <v>1</v>
      </c>
      <c r="W2255" s="26"/>
    </row>
    <row r="2256" spans="1:23" x14ac:dyDescent="0.25">
      <c r="A2256" s="26" t="str">
        <f t="shared" si="376"/>
        <v>PRIMARIA</v>
      </c>
      <c r="B2256" s="26" t="str">
        <f>"09PPR0296U"</f>
        <v>09PPR0296U</v>
      </c>
      <c r="C2256" s="26" t="str">
        <f>"MARIA EUGENIA MILLERET                                                                              "</f>
        <v xml:space="preserve">MARIA EUGENIA MILLERET                                                                              </v>
      </c>
      <c r="D2256" s="26" t="str">
        <f t="shared" si="377"/>
        <v>MATUTINO</v>
      </c>
      <c r="E2256" s="26" t="str">
        <f>"AV. JOHN F. KENNEDY S/N                                                         "</f>
        <v xml:space="preserve">AV. JOHN F. KENNEDY S/N                                                         </v>
      </c>
      <c r="F2256" s="26" t="str">
        <f>"ISIDRO FABELA                                                                                                                               "</f>
        <v xml:space="preserve">ISIDRO FABELA                                                                                                                               </v>
      </c>
      <c r="G2256" s="26" t="str">
        <f>"TLALPAN                                                                         "</f>
        <v xml:space="preserve">TLALPAN                                                                         </v>
      </c>
      <c r="H2256" s="26" t="str">
        <f>"519"</f>
        <v>519</v>
      </c>
      <c r="I2256" s="26" t="str">
        <f t="shared" si="378"/>
        <v>00</v>
      </c>
      <c r="J2256" s="26" t="str">
        <f>"45 "</f>
        <v xml:space="preserve">45 </v>
      </c>
      <c r="K2256" s="26" t="str">
        <f t="shared" si="374"/>
        <v>PR</v>
      </c>
      <c r="L2256" s="26" t="str">
        <f t="shared" si="375"/>
        <v>DGOSE</v>
      </c>
      <c r="M2256" s="26" t="str">
        <f t="shared" si="370"/>
        <v>PARTICULAR</v>
      </c>
      <c r="N2256" s="26">
        <v>309</v>
      </c>
      <c r="O2256" s="26">
        <v>156</v>
      </c>
      <c r="P2256" s="26">
        <v>153</v>
      </c>
      <c r="Q2256" s="26">
        <v>12</v>
      </c>
      <c r="R2256" s="26">
        <v>1</v>
      </c>
      <c r="S2256" s="26">
        <v>12</v>
      </c>
      <c r="T2256" s="26">
        <v>11</v>
      </c>
      <c r="U2256" s="26">
        <v>24</v>
      </c>
      <c r="V2256" s="26">
        <v>1</v>
      </c>
      <c r="W2256" s="26"/>
    </row>
    <row r="2257" spans="1:23" x14ac:dyDescent="0.25">
      <c r="A2257" s="26" t="str">
        <f t="shared" si="376"/>
        <v>PRIMARIA</v>
      </c>
      <c r="B2257" s="26" t="str">
        <f>"09PPR0297T"</f>
        <v>09PPR0297T</v>
      </c>
      <c r="C2257" s="26" t="str">
        <f>"PABLO MARIA GUZMAN                                                                                  "</f>
        <v xml:space="preserve">PABLO MARIA GUZMAN                                                                                  </v>
      </c>
      <c r="D2257" s="26" t="str">
        <f t="shared" si="377"/>
        <v>MATUTINO</v>
      </c>
      <c r="E2257" s="26" t="str">
        <f>"AVENIDA SAN BERNABE NO 276                                                      "</f>
        <v xml:space="preserve">AVENIDA SAN BERNABE NO 276                                                      </v>
      </c>
      <c r="F2257" s="26" t="str">
        <f>"SAN JERONIMO LIDICE                                                                                                                         "</f>
        <v xml:space="preserve">SAN JERONIMO LIDICE                                                                                                                         </v>
      </c>
      <c r="G2257" s="26" t="str">
        <f>"LA MAGDALENA CONTRERAS                                                          "</f>
        <v xml:space="preserve">LA MAGDALENA CONTRERAS                                                          </v>
      </c>
      <c r="H2257" s="26" t="str">
        <f>"331"</f>
        <v>331</v>
      </c>
      <c r="I2257" s="26" t="str">
        <f t="shared" si="378"/>
        <v>00</v>
      </c>
      <c r="J2257" s="26" t="str">
        <f>"43 "</f>
        <v xml:space="preserve">43 </v>
      </c>
      <c r="K2257" s="26" t="str">
        <f t="shared" si="374"/>
        <v>PR</v>
      </c>
      <c r="L2257" s="26" t="str">
        <f t="shared" si="375"/>
        <v>DGOSE</v>
      </c>
      <c r="M2257" s="26" t="str">
        <f t="shared" si="370"/>
        <v>PARTICULAR</v>
      </c>
      <c r="N2257" s="26">
        <v>171</v>
      </c>
      <c r="O2257" s="26">
        <v>44</v>
      </c>
      <c r="P2257" s="26">
        <v>127</v>
      </c>
      <c r="Q2257" s="26">
        <v>6</v>
      </c>
      <c r="R2257" s="26">
        <v>1</v>
      </c>
      <c r="S2257" s="26">
        <v>6</v>
      </c>
      <c r="T2257" s="26">
        <v>12</v>
      </c>
      <c r="U2257" s="26">
        <v>19</v>
      </c>
      <c r="V2257" s="26">
        <v>1</v>
      </c>
      <c r="W2257" s="26"/>
    </row>
    <row r="2258" spans="1:23" x14ac:dyDescent="0.25">
      <c r="A2258" s="26" t="str">
        <f t="shared" si="376"/>
        <v>PRIMARIA</v>
      </c>
      <c r="B2258" s="26" t="str">
        <f>"09PPR0299R"</f>
        <v>09PPR0299R</v>
      </c>
      <c r="C2258" s="26" t="str">
        <f>"CEDROS                                                                                              "</f>
        <v xml:space="preserve">CEDROS                                                                                              </v>
      </c>
      <c r="D2258" s="26" t="str">
        <f t="shared" si="377"/>
        <v>MATUTINO</v>
      </c>
      <c r="E2258" s="26" t="str">
        <f>"TECOYOTITLA NO. 364                                                             "</f>
        <v xml:space="preserve">TECOYOTITLA NO. 364                                                             </v>
      </c>
      <c r="F2258" s="26" t="str">
        <f>"FLORIDA                                                                                                                                     "</f>
        <v xml:space="preserve">FLORIDA                                                                                                                                     </v>
      </c>
      <c r="G2258" s="26" t="str">
        <f>"ALVARO OBREGON                                                                  "</f>
        <v xml:space="preserve">ALVARO OBREGON                                                                  </v>
      </c>
      <c r="H2258" s="26" t="str">
        <f>"320"</f>
        <v>320</v>
      </c>
      <c r="I2258" s="26" t="str">
        <f t="shared" si="378"/>
        <v>00</v>
      </c>
      <c r="J2258" s="26" t="str">
        <f>"43 "</f>
        <v xml:space="preserve">43 </v>
      </c>
      <c r="K2258" s="26" t="str">
        <f t="shared" si="374"/>
        <v>PR</v>
      </c>
      <c r="L2258" s="26" t="str">
        <f t="shared" si="375"/>
        <v>DGOSE</v>
      </c>
      <c r="M2258" s="26" t="str">
        <f t="shared" ref="M2258:M2321" si="380">"PARTICULAR"</f>
        <v>PARTICULAR</v>
      </c>
      <c r="N2258" s="26">
        <v>711</v>
      </c>
      <c r="O2258" s="26">
        <v>711</v>
      </c>
      <c r="P2258" s="26">
        <v>0</v>
      </c>
      <c r="Q2258" s="26">
        <v>30</v>
      </c>
      <c r="R2258" s="26">
        <v>1</v>
      </c>
      <c r="S2258" s="26">
        <v>17</v>
      </c>
      <c r="T2258" s="26">
        <v>25</v>
      </c>
      <c r="U2258" s="26">
        <v>43</v>
      </c>
      <c r="V2258" s="26">
        <v>1</v>
      </c>
      <c r="W2258" s="26"/>
    </row>
    <row r="2259" spans="1:23" x14ac:dyDescent="0.25">
      <c r="A2259" s="26" t="str">
        <f t="shared" si="376"/>
        <v>PRIMARIA</v>
      </c>
      <c r="B2259" s="26" t="str">
        <f>"09PPR0301P"</f>
        <v>09PPR0301P</v>
      </c>
      <c r="C2259" s="26" t="str">
        <f>"""MARÍA DEL CARMEN MURIEL""                                                                           "</f>
        <v xml:space="preserve">"MARÍA DEL CARMEN MURIEL"                                                                           </v>
      </c>
      <c r="D2259" s="26" t="str">
        <f t="shared" si="377"/>
        <v>MATUTINO</v>
      </c>
      <c r="E2259" s="26" t="str">
        <f>"AGUAYO NUM 43                                                                   "</f>
        <v xml:space="preserve">AGUAYO NUM 43                                                                   </v>
      </c>
      <c r="F2259" s="26" t="str">
        <f>"DEL CARMEN                                                                                                                                  "</f>
        <v xml:space="preserve">DEL CARMEN                                                                                                                                  </v>
      </c>
      <c r="G2259" s="26" t="str">
        <f>"COYOACAN                                                                        "</f>
        <v xml:space="preserve">COYOACAN                                                                        </v>
      </c>
      <c r="H2259" s="26" t="str">
        <f>"500"</f>
        <v>500</v>
      </c>
      <c r="I2259" s="26" t="str">
        <f t="shared" si="378"/>
        <v>00</v>
      </c>
      <c r="J2259" s="26" t="str">
        <f>"45 "</f>
        <v xml:space="preserve">45 </v>
      </c>
      <c r="K2259" s="26" t="str">
        <f t="shared" si="374"/>
        <v>PR</v>
      </c>
      <c r="L2259" s="26" t="str">
        <f t="shared" si="375"/>
        <v>DGOSE</v>
      </c>
      <c r="M2259" s="26" t="str">
        <f t="shared" si="380"/>
        <v>PARTICULAR</v>
      </c>
      <c r="N2259" s="26">
        <v>150</v>
      </c>
      <c r="O2259" s="26">
        <v>54</v>
      </c>
      <c r="P2259" s="26">
        <v>96</v>
      </c>
      <c r="Q2259" s="26">
        <v>7</v>
      </c>
      <c r="R2259" s="26">
        <v>1</v>
      </c>
      <c r="S2259" s="26">
        <v>7</v>
      </c>
      <c r="T2259" s="26">
        <v>8</v>
      </c>
      <c r="U2259" s="26">
        <v>16</v>
      </c>
      <c r="V2259" s="26">
        <v>1</v>
      </c>
      <c r="W2259" s="26"/>
    </row>
    <row r="2260" spans="1:23" x14ac:dyDescent="0.25">
      <c r="A2260" s="26" t="str">
        <f t="shared" si="376"/>
        <v>PRIMARIA</v>
      </c>
      <c r="B2260" s="26" t="str">
        <f>"09PPR0302O"</f>
        <v>09PPR0302O</v>
      </c>
      <c r="C2260" s="26" t="str">
        <f>"REINA ISABEL                                                                                        "</f>
        <v xml:space="preserve">REINA ISABEL                                                                                        </v>
      </c>
      <c r="D2260" s="26" t="str">
        <f t="shared" si="377"/>
        <v>MATUTINO</v>
      </c>
      <c r="E2260" s="26" t="str">
        <f>"CONDOR NO 198                                                                   "</f>
        <v xml:space="preserve">CONDOR NO 198                                                                   </v>
      </c>
      <c r="F2260" s="26" t="str">
        <f>"ALPES                                                                                                                                       "</f>
        <v xml:space="preserve">ALPES                                                                                                                                       </v>
      </c>
      <c r="G2260" s="26" t="str">
        <f>"ALVARO OBREGON                                                                  "</f>
        <v xml:space="preserve">ALVARO OBREGON                                                                  </v>
      </c>
      <c r="H2260" s="26" t="str">
        <f>"319"</f>
        <v>319</v>
      </c>
      <c r="I2260" s="26" t="str">
        <f t="shared" si="378"/>
        <v>00</v>
      </c>
      <c r="J2260" s="26" t="str">
        <f>"43 "</f>
        <v xml:space="preserve">43 </v>
      </c>
      <c r="K2260" s="26" t="str">
        <f t="shared" si="374"/>
        <v>PR</v>
      </c>
      <c r="L2260" s="26" t="str">
        <f t="shared" si="375"/>
        <v>DGOSE</v>
      </c>
      <c r="M2260" s="26" t="str">
        <f t="shared" si="380"/>
        <v>PARTICULAR</v>
      </c>
      <c r="N2260" s="26">
        <v>317</v>
      </c>
      <c r="O2260" s="26">
        <v>150</v>
      </c>
      <c r="P2260" s="26">
        <v>167</v>
      </c>
      <c r="Q2260" s="26">
        <v>8</v>
      </c>
      <c r="R2260" s="26">
        <v>1</v>
      </c>
      <c r="S2260" s="26">
        <v>8</v>
      </c>
      <c r="T2260" s="26">
        <v>13</v>
      </c>
      <c r="U2260" s="26">
        <v>22</v>
      </c>
      <c r="V2260" s="26">
        <v>1</v>
      </c>
      <c r="W2260" s="26"/>
    </row>
    <row r="2261" spans="1:23" x14ac:dyDescent="0.25">
      <c r="A2261" s="26" t="str">
        <f t="shared" si="376"/>
        <v>PRIMARIA</v>
      </c>
      <c r="B2261" s="26" t="str">
        <f>"09PPR0303N"</f>
        <v>09PPR0303N</v>
      </c>
      <c r="C2261" s="26" t="str">
        <f>"COLEGIO OXFORD                                                                                      "</f>
        <v xml:space="preserve">COLEGIO OXFORD                                                                                      </v>
      </c>
      <c r="D2261" s="26" t="str">
        <f t="shared" si="377"/>
        <v>MATUTINO</v>
      </c>
      <c r="E2261" s="26" t="str">
        <f>"ANTIGUO CAMINO A ACAPULCO NO 287                                                "</f>
        <v xml:space="preserve">ANTIGUO CAMINO A ACAPULCO NO 287                                                </v>
      </c>
      <c r="F2261" s="26" t="str">
        <f>"SAN ANGEL INN                                                                                                                               "</f>
        <v xml:space="preserve">SAN ANGEL INN                                                                                                                               </v>
      </c>
      <c r="G2261" s="26" t="str">
        <f>"ALVARO OBREGON                                                                  "</f>
        <v xml:space="preserve">ALVARO OBREGON                                                                  </v>
      </c>
      <c r="H2261" s="26" t="str">
        <f>"326"</f>
        <v>326</v>
      </c>
      <c r="I2261" s="26" t="str">
        <f t="shared" si="378"/>
        <v>00</v>
      </c>
      <c r="J2261" s="26" t="str">
        <f>"43 "</f>
        <v xml:space="preserve">43 </v>
      </c>
      <c r="K2261" s="26" t="str">
        <f t="shared" si="374"/>
        <v>PR</v>
      </c>
      <c r="L2261" s="26" t="str">
        <f t="shared" si="375"/>
        <v>DGOSE</v>
      </c>
      <c r="M2261" s="26" t="str">
        <f t="shared" si="380"/>
        <v>PARTICULAR</v>
      </c>
      <c r="N2261" s="26">
        <v>226</v>
      </c>
      <c r="O2261" s="26">
        <v>0</v>
      </c>
      <c r="P2261" s="26">
        <v>226</v>
      </c>
      <c r="Q2261" s="26">
        <v>12</v>
      </c>
      <c r="R2261" s="26">
        <v>1</v>
      </c>
      <c r="S2261" s="26">
        <v>6</v>
      </c>
      <c r="T2261" s="26">
        <v>14</v>
      </c>
      <c r="U2261" s="26">
        <v>21</v>
      </c>
      <c r="V2261" s="26">
        <v>1</v>
      </c>
      <c r="W2261" s="26"/>
    </row>
    <row r="2262" spans="1:23" x14ac:dyDescent="0.25">
      <c r="A2262" s="26" t="str">
        <f t="shared" si="376"/>
        <v>PRIMARIA</v>
      </c>
      <c r="B2262" s="26" t="str">
        <f>"09PPR0304M"</f>
        <v>09PPR0304M</v>
      </c>
      <c r="C2262" s="26" t="str">
        <f>"LA SALLE                                                                                            "</f>
        <v xml:space="preserve">LA SALLE                                                                                            </v>
      </c>
      <c r="D2262" s="26" t="str">
        <f t="shared" si="377"/>
        <v>MATUTINO</v>
      </c>
      <c r="E2262" s="26" t="str">
        <f>"FRANCIA 31                                                                      "</f>
        <v xml:space="preserve">FRANCIA 31                                                                      </v>
      </c>
      <c r="F2262" s="26" t="str">
        <f>"FLORIDA                                                                                                                                     "</f>
        <v xml:space="preserve">FLORIDA                                                                                                                                     </v>
      </c>
      <c r="G2262" s="26" t="str">
        <f>"ALVARO OBREGON                                                                  "</f>
        <v xml:space="preserve">ALVARO OBREGON                                                                  </v>
      </c>
      <c r="H2262" s="26" t="str">
        <f>"320"</f>
        <v>320</v>
      </c>
      <c r="I2262" s="26" t="str">
        <f t="shared" si="378"/>
        <v>00</v>
      </c>
      <c r="J2262" s="26" t="str">
        <f>"43 "</f>
        <v xml:space="preserve">43 </v>
      </c>
      <c r="K2262" s="26" t="str">
        <f t="shared" si="374"/>
        <v>PR</v>
      </c>
      <c r="L2262" s="26" t="str">
        <f t="shared" si="375"/>
        <v>DGOSE</v>
      </c>
      <c r="M2262" s="26" t="str">
        <f t="shared" si="380"/>
        <v>PARTICULAR</v>
      </c>
      <c r="N2262" s="26">
        <v>526</v>
      </c>
      <c r="O2262" s="26">
        <v>266</v>
      </c>
      <c r="P2262" s="26">
        <v>260</v>
      </c>
      <c r="Q2262" s="26">
        <v>18</v>
      </c>
      <c r="R2262" s="26">
        <v>1</v>
      </c>
      <c r="S2262" s="26">
        <v>18</v>
      </c>
      <c r="T2262" s="26">
        <v>38</v>
      </c>
      <c r="U2262" s="26">
        <v>57</v>
      </c>
      <c r="V2262" s="26">
        <v>1</v>
      </c>
      <c r="W2262" s="26"/>
    </row>
    <row r="2263" spans="1:23" x14ac:dyDescent="0.25">
      <c r="A2263" s="26" t="str">
        <f t="shared" si="376"/>
        <v>PRIMARIA</v>
      </c>
      <c r="B2263" s="26" t="str">
        <f>"09PPR0305L"</f>
        <v>09PPR0305L</v>
      </c>
      <c r="C2263" s="26" t="str">
        <f>"LESTONNAC                                                                                           "</f>
        <v xml:space="preserve">LESTONNAC                                                                                           </v>
      </c>
      <c r="D2263" s="26" t="str">
        <f t="shared" si="377"/>
        <v>MATUTINO</v>
      </c>
      <c r="E2263" s="26" t="str">
        <f>"CAFETALES NUM 140                                                               "</f>
        <v xml:space="preserve">CAFETALES NUM 140                                                               </v>
      </c>
      <c r="F2263" s="26" t="str">
        <f>"RESIDENCIAL EX-HACIENDA COAPA                                                                                                               "</f>
        <v xml:space="preserve">RESIDENCIAL EX-HACIENDA COAPA                                                                                                               </v>
      </c>
      <c r="G2263" s="26" t="str">
        <f>"TLALPAN                                                                         "</f>
        <v xml:space="preserve">TLALPAN                                                                         </v>
      </c>
      <c r="H2263" s="26" t="str">
        <f>"526"</f>
        <v>526</v>
      </c>
      <c r="I2263" s="26" t="str">
        <f t="shared" si="378"/>
        <v>00</v>
      </c>
      <c r="J2263" s="26" t="str">
        <f>"45 "</f>
        <v xml:space="preserve">45 </v>
      </c>
      <c r="K2263" s="26" t="str">
        <f t="shared" si="374"/>
        <v>PR</v>
      </c>
      <c r="L2263" s="26" t="str">
        <f t="shared" si="375"/>
        <v>DGOSE</v>
      </c>
      <c r="M2263" s="26" t="str">
        <f t="shared" si="380"/>
        <v>PARTICULAR</v>
      </c>
      <c r="N2263" s="26">
        <v>303</v>
      </c>
      <c r="O2263" s="26">
        <v>141</v>
      </c>
      <c r="P2263" s="26">
        <v>162</v>
      </c>
      <c r="Q2263" s="26">
        <v>11</v>
      </c>
      <c r="R2263" s="26">
        <v>1</v>
      </c>
      <c r="S2263" s="26">
        <v>11</v>
      </c>
      <c r="T2263" s="26">
        <v>16</v>
      </c>
      <c r="U2263" s="26">
        <v>28</v>
      </c>
      <c r="V2263" s="26">
        <v>1</v>
      </c>
      <c r="W2263" s="26"/>
    </row>
    <row r="2264" spans="1:23" x14ac:dyDescent="0.25">
      <c r="A2264" s="26" t="str">
        <f t="shared" si="376"/>
        <v>PRIMARIA</v>
      </c>
      <c r="B2264" s="26" t="str">
        <f>"09PPR0306K"</f>
        <v>09PPR0306K</v>
      </c>
      <c r="C2264" s="26" t="str">
        <f>"JESUS DE URQUIAGA                                                                                   "</f>
        <v xml:space="preserve">JESUS DE URQUIAGA                                                                                   </v>
      </c>
      <c r="D2264" s="26" t="str">
        <f t="shared" si="377"/>
        <v>MATUTINO</v>
      </c>
      <c r="E2264" s="26" t="str">
        <f>"FRONTERA 40                                                                     "</f>
        <v xml:space="preserve">FRONTERA 40                                                                     </v>
      </c>
      <c r="F2264" s="26" t="str">
        <f>"SAN ANGEL                                                                                                                                   "</f>
        <v xml:space="preserve">SAN ANGEL                                                                                                                                   </v>
      </c>
      <c r="G2264" s="26" t="str">
        <f>"ALVARO OBREGON                                                                  "</f>
        <v xml:space="preserve">ALVARO OBREGON                                                                  </v>
      </c>
      <c r="H2264" s="26" t="str">
        <f>"325"</f>
        <v>325</v>
      </c>
      <c r="I2264" s="26" t="str">
        <f t="shared" si="378"/>
        <v>00</v>
      </c>
      <c r="J2264" s="26" t="str">
        <f>"43 "</f>
        <v xml:space="preserve">43 </v>
      </c>
      <c r="K2264" s="26" t="str">
        <f t="shared" si="374"/>
        <v>PR</v>
      </c>
      <c r="L2264" s="26" t="str">
        <f t="shared" si="375"/>
        <v>DGOSE</v>
      </c>
      <c r="M2264" s="26" t="str">
        <f t="shared" si="380"/>
        <v>PARTICULAR</v>
      </c>
      <c r="N2264" s="26">
        <v>374</v>
      </c>
      <c r="O2264" s="26">
        <v>197</v>
      </c>
      <c r="P2264" s="26">
        <v>177</v>
      </c>
      <c r="Q2264" s="26">
        <v>13</v>
      </c>
      <c r="R2264" s="26">
        <v>1</v>
      </c>
      <c r="S2264" s="26">
        <v>13</v>
      </c>
      <c r="T2264" s="26">
        <v>10</v>
      </c>
      <c r="U2264" s="26">
        <v>24</v>
      </c>
      <c r="V2264" s="26">
        <v>1</v>
      </c>
      <c r="W2264" s="26"/>
    </row>
    <row r="2265" spans="1:23" x14ac:dyDescent="0.25">
      <c r="A2265" s="26" t="str">
        <f t="shared" si="376"/>
        <v>PRIMARIA</v>
      </c>
      <c r="B2265" s="26" t="str">
        <f>"09PPR0307J"</f>
        <v>09PPR0307J</v>
      </c>
      <c r="C2265" s="26" t="str">
        <f>"INSTITUTO NURSIA                                                                                    "</f>
        <v xml:space="preserve">INSTITUTO NURSIA                                                                                    </v>
      </c>
      <c r="D2265" s="26" t="str">
        <f t="shared" si="377"/>
        <v>MATUTINO</v>
      </c>
      <c r="E2265" s="26" t="str">
        <f>"SAN FRANCISCO 256                                                               "</f>
        <v xml:space="preserve">SAN FRANCISCO 256                                                               </v>
      </c>
      <c r="F2265" s="26" t="str">
        <f>"SAN FRANCISCO BARRIO                                                                                                                        "</f>
        <v xml:space="preserve">SAN FRANCISCO BARRIO                                                                                                                        </v>
      </c>
      <c r="G2265" s="26" t="str">
        <f>"LA MAGDALENA CONTRERAS                                                          "</f>
        <v xml:space="preserve">LA MAGDALENA CONTRERAS                                                          </v>
      </c>
      <c r="H2265" s="26" t="str">
        <f>"336"</f>
        <v>336</v>
      </c>
      <c r="I2265" s="26" t="str">
        <f t="shared" si="378"/>
        <v>00</v>
      </c>
      <c r="J2265" s="26" t="str">
        <f>"43 "</f>
        <v xml:space="preserve">43 </v>
      </c>
      <c r="K2265" s="26" t="str">
        <f t="shared" si="374"/>
        <v>PR</v>
      </c>
      <c r="L2265" s="26" t="str">
        <f t="shared" si="375"/>
        <v>DGOSE</v>
      </c>
      <c r="M2265" s="26" t="str">
        <f t="shared" si="380"/>
        <v>PARTICULAR</v>
      </c>
      <c r="N2265" s="26">
        <v>249</v>
      </c>
      <c r="O2265" s="26">
        <v>123</v>
      </c>
      <c r="P2265" s="26">
        <v>126</v>
      </c>
      <c r="Q2265" s="26">
        <v>11</v>
      </c>
      <c r="R2265" s="26">
        <v>1</v>
      </c>
      <c r="S2265" s="26">
        <v>11</v>
      </c>
      <c r="T2265" s="26">
        <v>14</v>
      </c>
      <c r="U2265" s="26">
        <v>26</v>
      </c>
      <c r="V2265" s="26">
        <v>1</v>
      </c>
      <c r="W2265" s="26"/>
    </row>
    <row r="2266" spans="1:23" x14ac:dyDescent="0.25">
      <c r="A2266" s="26" t="str">
        <f t="shared" si="376"/>
        <v>PRIMARIA</v>
      </c>
      <c r="B2266" s="26" t="str">
        <f>"09PPR0308I"</f>
        <v>09PPR0308I</v>
      </c>
      <c r="C2266" s="26" t="str">
        <f>"LICEO ALBERT EINSTEIN                                                                               "</f>
        <v xml:space="preserve">LICEO ALBERT EINSTEIN                                                                               </v>
      </c>
      <c r="D2266" s="26" t="str">
        <f t="shared" si="377"/>
        <v>MATUTINO</v>
      </c>
      <c r="E2266" s="26" t="str">
        <f>"CALZ DEL HUESO NO 801                                                           "</f>
        <v xml:space="preserve">CALZ DEL HUESO NO 801                                                           </v>
      </c>
      <c r="F2266" s="26" t="str">
        <f>"GRANJAS COAPA                                                                                                                               "</f>
        <v xml:space="preserve">GRANJAS COAPA                                                                                                                               </v>
      </c>
      <c r="G2266" s="26" t="str">
        <f>"TLALPAN                                                                         "</f>
        <v xml:space="preserve">TLALPAN                                                                         </v>
      </c>
      <c r="H2266" s="26" t="str">
        <f>"526"</f>
        <v>526</v>
      </c>
      <c r="I2266" s="26" t="str">
        <f t="shared" si="378"/>
        <v>00</v>
      </c>
      <c r="J2266" s="26" t="str">
        <f>"45 "</f>
        <v xml:space="preserve">45 </v>
      </c>
      <c r="K2266" s="26" t="str">
        <f t="shared" si="374"/>
        <v>PR</v>
      </c>
      <c r="L2266" s="26" t="str">
        <f t="shared" si="375"/>
        <v>DGOSE</v>
      </c>
      <c r="M2266" s="26" t="str">
        <f t="shared" si="380"/>
        <v>PARTICULAR</v>
      </c>
      <c r="N2266" s="26">
        <v>182</v>
      </c>
      <c r="O2266" s="26">
        <v>96</v>
      </c>
      <c r="P2266" s="26">
        <v>86</v>
      </c>
      <c r="Q2266" s="26">
        <v>10</v>
      </c>
      <c r="R2266" s="26">
        <v>1</v>
      </c>
      <c r="S2266" s="26">
        <v>5</v>
      </c>
      <c r="T2266" s="26">
        <v>18</v>
      </c>
      <c r="U2266" s="26">
        <v>24</v>
      </c>
      <c r="V2266" s="26">
        <v>1</v>
      </c>
      <c r="W2266" s="26"/>
    </row>
    <row r="2267" spans="1:23" x14ac:dyDescent="0.25">
      <c r="A2267" s="26" t="str">
        <f t="shared" si="376"/>
        <v>PRIMARIA</v>
      </c>
      <c r="B2267" s="26" t="str">
        <f>"09PPR0309H"</f>
        <v>09PPR0309H</v>
      </c>
      <c r="C2267" s="26" t="str">
        <f>"INSTITUTO ASUNCION DE MEXICO                                                                        "</f>
        <v xml:space="preserve">INSTITUTO ASUNCION DE MEXICO                                                                        </v>
      </c>
      <c r="D2267" s="26" t="str">
        <f t="shared" si="377"/>
        <v>MATUTINO</v>
      </c>
      <c r="E2267" s="26" t="str">
        <f>"CALZADA DE LAS AGUILAS 219                                                      "</f>
        <v xml:space="preserve">CALZADA DE LAS AGUILAS 219                                                      </v>
      </c>
      <c r="F2267" s="26" t="str">
        <f>"LAS AGUILAS                                                                                                                                 "</f>
        <v xml:space="preserve">LAS AGUILAS                                                                                                                                 </v>
      </c>
      <c r="G2267" s="26" t="str">
        <f>"ALVARO OBREGON                                                                  "</f>
        <v xml:space="preserve">ALVARO OBREGON                                                                  </v>
      </c>
      <c r="H2267" s="26" t="str">
        <f>"319"</f>
        <v>319</v>
      </c>
      <c r="I2267" s="26" t="str">
        <f t="shared" si="378"/>
        <v>00</v>
      </c>
      <c r="J2267" s="26" t="str">
        <f>"43 "</f>
        <v xml:space="preserve">43 </v>
      </c>
      <c r="K2267" s="26" t="str">
        <f t="shared" si="374"/>
        <v>PR</v>
      </c>
      <c r="L2267" s="26" t="str">
        <f t="shared" si="375"/>
        <v>DGOSE</v>
      </c>
      <c r="M2267" s="26" t="str">
        <f t="shared" si="380"/>
        <v>PARTICULAR</v>
      </c>
      <c r="N2267" s="26">
        <v>453</v>
      </c>
      <c r="O2267" s="26">
        <v>225</v>
      </c>
      <c r="P2267" s="26">
        <v>228</v>
      </c>
      <c r="Q2267" s="26">
        <v>12</v>
      </c>
      <c r="R2267" s="26">
        <v>1</v>
      </c>
      <c r="S2267" s="26">
        <v>12</v>
      </c>
      <c r="T2267" s="26">
        <v>21</v>
      </c>
      <c r="U2267" s="26">
        <v>34</v>
      </c>
      <c r="V2267" s="26">
        <v>1</v>
      </c>
      <c r="W2267" s="26"/>
    </row>
    <row r="2268" spans="1:23" x14ac:dyDescent="0.25">
      <c r="A2268" s="26" t="str">
        <f t="shared" si="376"/>
        <v>PRIMARIA</v>
      </c>
      <c r="B2268" s="26" t="str">
        <f>"09PPR0310X"</f>
        <v>09PPR0310X</v>
      </c>
      <c r="C2268" s="26" t="str">
        <f>"ACADEMIA MODERNA                                                                                    "</f>
        <v xml:space="preserve">ACADEMIA MODERNA                                                                                    </v>
      </c>
      <c r="D2268" s="26" t="str">
        <f t="shared" si="377"/>
        <v>MATUTINO</v>
      </c>
      <c r="E2268" s="26" t="str">
        <f>"AMERICA 184                                                                     "</f>
        <v xml:space="preserve">AMERICA 184                                                                     </v>
      </c>
      <c r="F2268" s="26" t="str">
        <f>"PARQUE SAN ANDRES                                                                                                                           "</f>
        <v xml:space="preserve">PARQUE SAN ANDRES                                                                                                                           </v>
      </c>
      <c r="G2268" s="26" t="str">
        <f>"COYOACAN                                                                        "</f>
        <v xml:space="preserve">COYOACAN                                                                        </v>
      </c>
      <c r="H2268" s="26" t="str">
        <f>"502"</f>
        <v>502</v>
      </c>
      <c r="I2268" s="26" t="str">
        <f t="shared" si="378"/>
        <v>00</v>
      </c>
      <c r="J2268" s="26" t="str">
        <f>"45 "</f>
        <v xml:space="preserve">45 </v>
      </c>
      <c r="K2268" s="26" t="str">
        <f t="shared" si="374"/>
        <v>PR</v>
      </c>
      <c r="L2268" s="26" t="str">
        <f t="shared" si="375"/>
        <v>DGOSE</v>
      </c>
      <c r="M2268" s="26" t="str">
        <f t="shared" si="380"/>
        <v>PARTICULAR</v>
      </c>
      <c r="N2268" s="26">
        <v>247</v>
      </c>
      <c r="O2268" s="26">
        <v>112</v>
      </c>
      <c r="P2268" s="26">
        <v>135</v>
      </c>
      <c r="Q2268" s="26">
        <v>11</v>
      </c>
      <c r="R2268" s="26">
        <v>1</v>
      </c>
      <c r="S2268" s="26">
        <v>11</v>
      </c>
      <c r="T2268" s="26">
        <v>7</v>
      </c>
      <c r="U2268" s="26">
        <v>19</v>
      </c>
      <c r="V2268" s="26">
        <v>1</v>
      </c>
      <c r="W2268" s="26"/>
    </row>
    <row r="2269" spans="1:23" x14ac:dyDescent="0.25">
      <c r="A2269" s="26" t="str">
        <f t="shared" si="376"/>
        <v>PRIMARIA</v>
      </c>
      <c r="B2269" s="26" t="str">
        <f>"09PPR0311W"</f>
        <v>09PPR0311W</v>
      </c>
      <c r="C2269" s="26" t="str">
        <f>"COLEGIO LOWELL                                                                                      "</f>
        <v xml:space="preserve">COLEGIO LOWELL                                                                                      </v>
      </c>
      <c r="D2269" s="26" t="str">
        <f t="shared" si="377"/>
        <v>MATUTINO</v>
      </c>
      <c r="E2269" s="26" t="str">
        <f>"SANTIAGO NUM 451                                                                "</f>
        <v xml:space="preserve">SANTIAGO NUM 451                                                                </v>
      </c>
      <c r="F2269" s="26" t="str">
        <f>"SAN JERONIMO LIDICE                                                                                                                         "</f>
        <v xml:space="preserve">SAN JERONIMO LIDICE                                                                                                                         </v>
      </c>
      <c r="G2269" s="26" t="str">
        <f>"LA MAGDALENA CONTRERAS                                                          "</f>
        <v xml:space="preserve">LA MAGDALENA CONTRERAS                                                          </v>
      </c>
      <c r="H2269" s="26" t="str">
        <f>"332"</f>
        <v>332</v>
      </c>
      <c r="I2269" s="26" t="str">
        <f t="shared" si="378"/>
        <v>00</v>
      </c>
      <c r="J2269" s="26" t="str">
        <f>"43 "</f>
        <v xml:space="preserve">43 </v>
      </c>
      <c r="K2269" s="26" t="str">
        <f t="shared" si="374"/>
        <v>PR</v>
      </c>
      <c r="L2269" s="26" t="str">
        <f t="shared" si="375"/>
        <v>DGOSE</v>
      </c>
      <c r="M2269" s="26" t="str">
        <f t="shared" si="380"/>
        <v>PARTICULAR</v>
      </c>
      <c r="N2269" s="26">
        <v>137</v>
      </c>
      <c r="O2269" s="26">
        <v>83</v>
      </c>
      <c r="P2269" s="26">
        <v>54</v>
      </c>
      <c r="Q2269" s="26">
        <v>6</v>
      </c>
      <c r="R2269" s="26">
        <v>1</v>
      </c>
      <c r="S2269" s="26">
        <v>6</v>
      </c>
      <c r="T2269" s="26">
        <v>13</v>
      </c>
      <c r="U2269" s="26">
        <v>20</v>
      </c>
      <c r="V2269" s="26">
        <v>1</v>
      </c>
      <c r="W2269" s="26"/>
    </row>
    <row r="2270" spans="1:23" x14ac:dyDescent="0.25">
      <c r="A2270" s="26" t="str">
        <f t="shared" si="376"/>
        <v>PRIMARIA</v>
      </c>
      <c r="B2270" s="26" t="str">
        <f>"09PPR0312V"</f>
        <v>09PPR0312V</v>
      </c>
      <c r="C2270" s="26" t="s">
        <v>3975</v>
      </c>
      <c r="D2270" s="26" t="str">
        <f t="shared" si="377"/>
        <v>MATUTINO</v>
      </c>
      <c r="E2270" s="26" t="str">
        <f>"CHIMALCOYOTL 37                                                                 "</f>
        <v xml:space="preserve">CHIMALCOYOTL 37                                                                 </v>
      </c>
      <c r="F2270" s="26" t="str">
        <f>"TORIELLO GUERRA                                                                                                                             "</f>
        <v xml:space="preserve">TORIELLO GUERRA                                                                                                                             </v>
      </c>
      <c r="G2270" s="26" t="str">
        <f>"TLALPAN                                                                         "</f>
        <v xml:space="preserve">TLALPAN                                                                         </v>
      </c>
      <c r="H2270" s="26" t="str">
        <f>"523"</f>
        <v>523</v>
      </c>
      <c r="I2270" s="26" t="str">
        <f t="shared" si="378"/>
        <v>00</v>
      </c>
      <c r="J2270" s="26" t="str">
        <f t="shared" ref="J2270:J2291" si="381">"45 "</f>
        <v xml:space="preserve">45 </v>
      </c>
      <c r="K2270" s="26" t="str">
        <f t="shared" si="374"/>
        <v>PR</v>
      </c>
      <c r="L2270" s="26" t="str">
        <f t="shared" si="375"/>
        <v>DGOSE</v>
      </c>
      <c r="M2270" s="26" t="str">
        <f t="shared" si="380"/>
        <v>PARTICULAR</v>
      </c>
      <c r="N2270" s="26">
        <v>392</v>
      </c>
      <c r="O2270" s="26">
        <v>203</v>
      </c>
      <c r="P2270" s="26">
        <v>189</v>
      </c>
      <c r="Q2270" s="26">
        <v>13</v>
      </c>
      <c r="R2270" s="26">
        <v>1</v>
      </c>
      <c r="S2270" s="26">
        <v>13</v>
      </c>
      <c r="T2270" s="26">
        <v>15</v>
      </c>
      <c r="U2270" s="26">
        <v>29</v>
      </c>
      <c r="V2270" s="26">
        <v>1</v>
      </c>
      <c r="W2270" s="26"/>
    </row>
    <row r="2271" spans="1:23" x14ac:dyDescent="0.25">
      <c r="A2271" s="26" t="str">
        <f t="shared" si="376"/>
        <v>PRIMARIA</v>
      </c>
      <c r="B2271" s="26" t="str">
        <f>"09PPR0313U"</f>
        <v>09PPR0313U</v>
      </c>
      <c r="C2271" s="26" t="str">
        <f>"ESCUELA HERMINIO ALMENDROS                                                                          "</f>
        <v xml:space="preserve">ESCUELA HERMINIO ALMENDROS                                                                          </v>
      </c>
      <c r="D2271" s="26" t="str">
        <f t="shared" si="377"/>
        <v>MATUTINO</v>
      </c>
      <c r="E2271" s="26" t="str">
        <f>"CHILMALCOYOTL NO 97-A                                                           "</f>
        <v xml:space="preserve">CHILMALCOYOTL NO 97-A                                                           </v>
      </c>
      <c r="F2271" s="26" t="str">
        <f>"TORIELLO GUERRA                                                                                                                             "</f>
        <v xml:space="preserve">TORIELLO GUERRA                                                                                                                             </v>
      </c>
      <c r="G2271" s="26" t="str">
        <f>"TLALPAN                                                                         "</f>
        <v xml:space="preserve">TLALPAN                                                                         </v>
      </c>
      <c r="H2271" s="26" t="str">
        <f>"523"</f>
        <v>523</v>
      </c>
      <c r="I2271" s="26" t="str">
        <f t="shared" si="378"/>
        <v>00</v>
      </c>
      <c r="J2271" s="26" t="str">
        <f t="shared" si="381"/>
        <v xml:space="preserve">45 </v>
      </c>
      <c r="K2271" s="26" t="str">
        <f t="shared" si="374"/>
        <v>PR</v>
      </c>
      <c r="L2271" s="26" t="str">
        <f t="shared" si="375"/>
        <v>DGOSE</v>
      </c>
      <c r="M2271" s="26" t="str">
        <f t="shared" si="380"/>
        <v>PARTICULAR</v>
      </c>
      <c r="N2271" s="26">
        <v>162</v>
      </c>
      <c r="O2271" s="26">
        <v>89</v>
      </c>
      <c r="P2271" s="26">
        <v>73</v>
      </c>
      <c r="Q2271" s="26">
        <v>6</v>
      </c>
      <c r="R2271" s="26">
        <v>1</v>
      </c>
      <c r="S2271" s="26">
        <v>6</v>
      </c>
      <c r="T2271" s="26">
        <v>13</v>
      </c>
      <c r="U2271" s="26">
        <v>20</v>
      </c>
      <c r="V2271" s="26">
        <v>1</v>
      </c>
      <c r="W2271" s="26"/>
    </row>
    <row r="2272" spans="1:23" x14ac:dyDescent="0.25">
      <c r="A2272" s="26" t="str">
        <f t="shared" si="376"/>
        <v>PRIMARIA</v>
      </c>
      <c r="B2272" s="26" t="str">
        <f>"09PPR0315S"</f>
        <v>09PPR0315S</v>
      </c>
      <c r="C2272" s="26" t="str">
        <f>"PATRICIO SANZ                                                                                       "</f>
        <v xml:space="preserve">PATRICIO SANZ                                                                                       </v>
      </c>
      <c r="D2272" s="26" t="str">
        <f t="shared" si="377"/>
        <v>MATUTINO</v>
      </c>
      <c r="E2272" s="26" t="str">
        <f>"CANADA NO. 210                                                                  "</f>
        <v xml:space="preserve">CANADA NO. 210                                                                  </v>
      </c>
      <c r="F2272" s="26" t="str">
        <f>"SAN LUCAS                                                                                                                                   "</f>
        <v xml:space="preserve">SAN LUCAS                                                                                                                                   </v>
      </c>
      <c r="G2272" s="26" t="str">
        <f>"COYOACAN                                                                        "</f>
        <v xml:space="preserve">COYOACAN                                                                        </v>
      </c>
      <c r="H2272" s="26" t="str">
        <f>"500"</f>
        <v>500</v>
      </c>
      <c r="I2272" s="26" t="str">
        <f t="shared" si="378"/>
        <v>00</v>
      </c>
      <c r="J2272" s="26" t="str">
        <f t="shared" si="381"/>
        <v xml:space="preserve">45 </v>
      </c>
      <c r="K2272" s="26" t="str">
        <f t="shared" si="374"/>
        <v>PR</v>
      </c>
      <c r="L2272" s="26" t="str">
        <f t="shared" si="375"/>
        <v>DGOSE</v>
      </c>
      <c r="M2272" s="26" t="str">
        <f t="shared" si="380"/>
        <v>PARTICULAR</v>
      </c>
      <c r="N2272" s="26">
        <v>60</v>
      </c>
      <c r="O2272" s="26">
        <v>33</v>
      </c>
      <c r="P2272" s="26">
        <v>27</v>
      </c>
      <c r="Q2272" s="26">
        <v>6</v>
      </c>
      <c r="R2272" s="26">
        <v>1</v>
      </c>
      <c r="S2272" s="26">
        <v>6</v>
      </c>
      <c r="T2272" s="26">
        <v>5</v>
      </c>
      <c r="U2272" s="26">
        <v>12</v>
      </c>
      <c r="V2272" s="26">
        <v>1</v>
      </c>
      <c r="W2272" s="26"/>
    </row>
    <row r="2273" spans="1:23" x14ac:dyDescent="0.25">
      <c r="A2273" s="26" t="str">
        <f t="shared" si="376"/>
        <v>PRIMARIA</v>
      </c>
      <c r="B2273" s="26" t="str">
        <f>"09PPR0316R"</f>
        <v>09PPR0316R</v>
      </c>
      <c r="C2273" s="26" t="str">
        <f>"FUNDACION MIER Y PESADO                                                                             "</f>
        <v xml:space="preserve">FUNDACION MIER Y PESADO                                                                             </v>
      </c>
      <c r="D2273" s="26" t="str">
        <f t="shared" si="377"/>
        <v>MATUTINO</v>
      </c>
      <c r="E2273" s="26" t="str">
        <f>"GENERAL ANAYA NUM 371                                                           "</f>
        <v xml:space="preserve">GENERAL ANAYA NUM 371                                                           </v>
      </c>
      <c r="F2273" s="26" t="str">
        <f>"DEL CARMEN                                                                                                                                  "</f>
        <v xml:space="preserve">DEL CARMEN                                                                                                                                  </v>
      </c>
      <c r="G2273" s="26" t="str">
        <f>"COYOACAN                                                                        "</f>
        <v xml:space="preserve">COYOACAN                                                                        </v>
      </c>
      <c r="H2273" s="26" t="str">
        <f>"502"</f>
        <v>502</v>
      </c>
      <c r="I2273" s="26" t="str">
        <f t="shared" si="378"/>
        <v>00</v>
      </c>
      <c r="J2273" s="26" t="str">
        <f t="shared" si="381"/>
        <v xml:space="preserve">45 </v>
      </c>
      <c r="K2273" s="26" t="str">
        <f t="shared" si="374"/>
        <v>PR</v>
      </c>
      <c r="L2273" s="26" t="str">
        <f t="shared" si="375"/>
        <v>DGOSE</v>
      </c>
      <c r="M2273" s="26" t="str">
        <f t="shared" si="380"/>
        <v>PARTICULAR</v>
      </c>
      <c r="N2273" s="26">
        <v>516</v>
      </c>
      <c r="O2273" s="26">
        <v>256</v>
      </c>
      <c r="P2273" s="26">
        <v>260</v>
      </c>
      <c r="Q2273" s="26">
        <v>12</v>
      </c>
      <c r="R2273" s="26">
        <v>1</v>
      </c>
      <c r="S2273" s="26">
        <v>12</v>
      </c>
      <c r="T2273" s="26">
        <v>9</v>
      </c>
      <c r="U2273" s="26">
        <v>22</v>
      </c>
      <c r="V2273" s="26">
        <v>1</v>
      </c>
      <c r="W2273" s="26"/>
    </row>
    <row r="2274" spans="1:23" x14ac:dyDescent="0.25">
      <c r="A2274" s="26" t="str">
        <f t="shared" si="376"/>
        <v>PRIMARIA</v>
      </c>
      <c r="B2274" s="26" t="str">
        <f>"09PPR0317Q"</f>
        <v>09PPR0317Q</v>
      </c>
      <c r="C2274" s="26" t="str">
        <f>"COLEGIO LOYAN                                                                                       "</f>
        <v xml:space="preserve">COLEGIO LOYAN                                                                                       </v>
      </c>
      <c r="D2274" s="26" t="str">
        <f t="shared" si="377"/>
        <v>MATUTINO</v>
      </c>
      <c r="E2274" s="26" t="str">
        <f>"MIGUEL ANGEL PRECIAT NO.38                                                      "</f>
        <v xml:space="preserve">MIGUEL ANGEL PRECIAT NO.38                                                      </v>
      </c>
      <c r="F2274" s="26" t="str">
        <f>"LOS CIPRESES                                                                                                                                "</f>
        <v xml:space="preserve">LOS CIPRESES                                                                                                                                </v>
      </c>
      <c r="G2274" s="26" t="str">
        <f>"COYOACAN                                                                        "</f>
        <v xml:space="preserve">COYOACAN                                                                        </v>
      </c>
      <c r="H2274" s="26" t="str">
        <f>"566"</f>
        <v>566</v>
      </c>
      <c r="I2274" s="26" t="str">
        <f t="shared" si="378"/>
        <v>00</v>
      </c>
      <c r="J2274" s="26" t="str">
        <f t="shared" si="381"/>
        <v xml:space="preserve">45 </v>
      </c>
      <c r="K2274" s="26" t="str">
        <f t="shared" si="374"/>
        <v>PR</v>
      </c>
      <c r="L2274" s="26" t="str">
        <f t="shared" si="375"/>
        <v>DGOSE</v>
      </c>
      <c r="M2274" s="26" t="str">
        <f t="shared" si="380"/>
        <v>PARTICULAR</v>
      </c>
      <c r="N2274" s="26">
        <v>51</v>
      </c>
      <c r="O2274" s="26">
        <v>32</v>
      </c>
      <c r="P2274" s="26">
        <v>19</v>
      </c>
      <c r="Q2274" s="26">
        <v>6</v>
      </c>
      <c r="R2274" s="26">
        <v>1</v>
      </c>
      <c r="S2274" s="26">
        <v>3</v>
      </c>
      <c r="T2274" s="26">
        <v>8</v>
      </c>
      <c r="U2274" s="26">
        <v>12</v>
      </c>
      <c r="V2274" s="26">
        <v>1</v>
      </c>
      <c r="W2274" s="26"/>
    </row>
    <row r="2275" spans="1:23" x14ac:dyDescent="0.25">
      <c r="A2275" s="26" t="str">
        <f t="shared" si="376"/>
        <v>PRIMARIA</v>
      </c>
      <c r="B2275" s="26" t="str">
        <f>"09PPR0319O"</f>
        <v>09PPR0319O</v>
      </c>
      <c r="C2275" s="26" t="str">
        <f>"LIC. JUSTO SIERRA MENDEZ                                                                            "</f>
        <v xml:space="preserve">LIC. JUSTO SIERRA MENDEZ                                                                            </v>
      </c>
      <c r="D2275" s="26" t="str">
        <f t="shared" si="377"/>
        <v>MATUTINO</v>
      </c>
      <c r="E2275" s="26" t="str">
        <f>"CALLEJON GENERAL ANAYA NUM 95                                                   "</f>
        <v xml:space="preserve">CALLEJON GENERAL ANAYA NUM 95                                                   </v>
      </c>
      <c r="F2275" s="26" t="str">
        <f>"CHURUBUSCO                                                                                                                                  "</f>
        <v xml:space="preserve">CHURUBUSCO                                                                                                                                  </v>
      </c>
      <c r="G2275" s="26" t="str">
        <f>"COYOACAN                                                                        "</f>
        <v xml:space="preserve">COYOACAN                                                                        </v>
      </c>
      <c r="H2275" s="26" t="str">
        <f>"502"</f>
        <v>502</v>
      </c>
      <c r="I2275" s="26" t="str">
        <f t="shared" si="378"/>
        <v>00</v>
      </c>
      <c r="J2275" s="26" t="str">
        <f t="shared" si="381"/>
        <v xml:space="preserve">45 </v>
      </c>
      <c r="K2275" s="26" t="str">
        <f t="shared" si="374"/>
        <v>PR</v>
      </c>
      <c r="L2275" s="26" t="str">
        <f t="shared" si="375"/>
        <v>DGOSE</v>
      </c>
      <c r="M2275" s="26" t="str">
        <f t="shared" si="380"/>
        <v>PARTICULAR</v>
      </c>
      <c r="N2275" s="26">
        <v>112</v>
      </c>
      <c r="O2275" s="26">
        <v>55</v>
      </c>
      <c r="P2275" s="26">
        <v>57</v>
      </c>
      <c r="Q2275" s="26">
        <v>6</v>
      </c>
      <c r="R2275" s="26">
        <v>1</v>
      </c>
      <c r="S2275" s="26">
        <v>6</v>
      </c>
      <c r="T2275" s="26">
        <v>7</v>
      </c>
      <c r="U2275" s="26">
        <v>14</v>
      </c>
      <c r="V2275" s="26">
        <v>1</v>
      </c>
      <c r="W2275" s="26"/>
    </row>
    <row r="2276" spans="1:23" x14ac:dyDescent="0.25">
      <c r="A2276" s="26" t="str">
        <f t="shared" si="376"/>
        <v>PRIMARIA</v>
      </c>
      <c r="B2276" s="26" t="str">
        <f>"09PPR0320D"</f>
        <v>09PPR0320D</v>
      </c>
      <c r="C2276" s="26" t="str">
        <f>"INSTITUTO CULTURAL                                                                                  "</f>
        <v xml:space="preserve">INSTITUTO CULTURAL                                                                                  </v>
      </c>
      <c r="D2276" s="26" t="str">
        <f t="shared" si="377"/>
        <v>MATUTINO</v>
      </c>
      <c r="E2276" s="26" t="str">
        <f>"MIGUEL ANGEL DE QUEVEDO 1190                                                    "</f>
        <v xml:space="preserve">MIGUEL ANGEL DE QUEVEDO 1190                                                    </v>
      </c>
      <c r="F2276" s="26" t="str">
        <f>"PARQUE SAN ANDRES                                                                                                                           "</f>
        <v xml:space="preserve">PARQUE SAN ANDRES                                                                                                                           </v>
      </c>
      <c r="G2276" s="26" t="str">
        <f>"COYOACAN                                                                        "</f>
        <v xml:space="preserve">COYOACAN                                                                        </v>
      </c>
      <c r="H2276" s="26" t="str">
        <f>"502"</f>
        <v>502</v>
      </c>
      <c r="I2276" s="26" t="str">
        <f t="shared" si="378"/>
        <v>00</v>
      </c>
      <c r="J2276" s="26" t="str">
        <f t="shared" si="381"/>
        <v xml:space="preserve">45 </v>
      </c>
      <c r="K2276" s="26" t="str">
        <f t="shared" si="374"/>
        <v>PR</v>
      </c>
      <c r="L2276" s="26" t="str">
        <f t="shared" si="375"/>
        <v>DGOSE</v>
      </c>
      <c r="M2276" s="26" t="str">
        <f t="shared" si="380"/>
        <v>PARTICULAR</v>
      </c>
      <c r="N2276" s="26">
        <v>302</v>
      </c>
      <c r="O2276" s="26">
        <v>151</v>
      </c>
      <c r="P2276" s="26">
        <v>151</v>
      </c>
      <c r="Q2276" s="26">
        <v>12</v>
      </c>
      <c r="R2276" s="26">
        <v>1</v>
      </c>
      <c r="S2276" s="26">
        <v>6</v>
      </c>
      <c r="T2276" s="26">
        <v>13</v>
      </c>
      <c r="U2276" s="26">
        <v>20</v>
      </c>
      <c r="V2276" s="26">
        <v>1</v>
      </c>
      <c r="W2276" s="26"/>
    </row>
    <row r="2277" spans="1:23" x14ac:dyDescent="0.25">
      <c r="A2277" s="26" t="str">
        <f t="shared" si="376"/>
        <v>PRIMARIA</v>
      </c>
      <c r="B2277" s="26" t="str">
        <f>"09PPR0321C"</f>
        <v>09PPR0321C</v>
      </c>
      <c r="C2277" s="26" t="str">
        <f>"COLEGIO ERANDI                                                                                      "</f>
        <v xml:space="preserve">COLEGIO ERANDI                                                                                      </v>
      </c>
      <c r="D2277" s="26" t="str">
        <f t="shared" si="377"/>
        <v>MATUTINO</v>
      </c>
      <c r="E2277" s="26" t="str">
        <f>"CALZADA DE LOS TENORIOS NUM 287                                                 "</f>
        <v xml:space="preserve">CALZADA DE LOS TENORIOS NUM 287                                                 </v>
      </c>
      <c r="F2277" s="26" t="str">
        <f>"RESIDENCIAL VILLA COAPA                                                                                                                     "</f>
        <v xml:space="preserve">RESIDENCIAL VILLA COAPA                                                                                                                     </v>
      </c>
      <c r="G2277" s="26" t="str">
        <f>"TLALPAN                                                                         "</f>
        <v xml:space="preserve">TLALPAN                                                                         </v>
      </c>
      <c r="H2277" s="26" t="str">
        <f>"526"</f>
        <v>526</v>
      </c>
      <c r="I2277" s="26" t="str">
        <f t="shared" si="378"/>
        <v>00</v>
      </c>
      <c r="J2277" s="26" t="str">
        <f t="shared" si="381"/>
        <v xml:space="preserve">45 </v>
      </c>
      <c r="K2277" s="26" t="str">
        <f t="shared" si="374"/>
        <v>PR</v>
      </c>
      <c r="L2277" s="26" t="str">
        <f t="shared" si="375"/>
        <v>DGOSE</v>
      </c>
      <c r="M2277" s="26" t="str">
        <f t="shared" si="380"/>
        <v>PARTICULAR</v>
      </c>
      <c r="N2277" s="26">
        <v>157</v>
      </c>
      <c r="O2277" s="26">
        <v>70</v>
      </c>
      <c r="P2277" s="26">
        <v>87</v>
      </c>
      <c r="Q2277" s="26">
        <v>6</v>
      </c>
      <c r="R2277" s="26">
        <v>1</v>
      </c>
      <c r="S2277" s="26">
        <v>6</v>
      </c>
      <c r="T2277" s="26">
        <v>8</v>
      </c>
      <c r="U2277" s="26">
        <v>15</v>
      </c>
      <c r="V2277" s="26">
        <v>1</v>
      </c>
      <c r="W2277" s="26"/>
    </row>
    <row r="2278" spans="1:23" x14ac:dyDescent="0.25">
      <c r="A2278" s="26" t="str">
        <f t="shared" si="376"/>
        <v>PRIMARIA</v>
      </c>
      <c r="B2278" s="26" t="str">
        <f>"09PPR0322B"</f>
        <v>09PPR0322B</v>
      </c>
      <c r="C2278" s="26" t="str">
        <f>"HÉROES                                                                                              "</f>
        <v xml:space="preserve">HÉROES                                                                                              </v>
      </c>
      <c r="D2278" s="26" t="str">
        <f t="shared" si="377"/>
        <v>MATUTINO</v>
      </c>
      <c r="E2278" s="26" t="str">
        <f>"MIGUEL ANGEL DE QUEVEDO NUM 426                                                 "</f>
        <v xml:space="preserve">MIGUEL ANGEL DE QUEVEDO NUM 426                                                 </v>
      </c>
      <c r="F2278" s="26" t="str">
        <f>"MANUEL ROMERO DE TERREROS                                                                                                                   "</f>
        <v xml:space="preserve">MANUEL ROMERO DE TERREROS                                                                                                                   </v>
      </c>
      <c r="G2278" s="26" t="str">
        <f>"COYOACAN                                                                        "</f>
        <v xml:space="preserve">COYOACAN                                                                        </v>
      </c>
      <c r="H2278" s="26" t="str">
        <f>"501"</f>
        <v>501</v>
      </c>
      <c r="I2278" s="26" t="str">
        <f t="shared" si="378"/>
        <v>00</v>
      </c>
      <c r="J2278" s="26" t="str">
        <f t="shared" si="381"/>
        <v xml:space="preserve">45 </v>
      </c>
      <c r="K2278" s="26" t="str">
        <f t="shared" si="374"/>
        <v>PR</v>
      </c>
      <c r="L2278" s="26" t="str">
        <f t="shared" si="375"/>
        <v>DGOSE</v>
      </c>
      <c r="M2278" s="26" t="str">
        <f t="shared" si="380"/>
        <v>PARTICULAR</v>
      </c>
      <c r="N2278" s="26">
        <v>185</v>
      </c>
      <c r="O2278" s="26">
        <v>105</v>
      </c>
      <c r="P2278" s="26">
        <v>80</v>
      </c>
      <c r="Q2278" s="26">
        <v>6</v>
      </c>
      <c r="R2278" s="26">
        <v>1</v>
      </c>
      <c r="S2278" s="26">
        <v>6</v>
      </c>
      <c r="T2278" s="26">
        <v>15</v>
      </c>
      <c r="U2278" s="26">
        <v>22</v>
      </c>
      <c r="V2278" s="26">
        <v>1</v>
      </c>
      <c r="W2278" s="26"/>
    </row>
    <row r="2279" spans="1:23" x14ac:dyDescent="0.25">
      <c r="A2279" s="26" t="str">
        <f t="shared" si="376"/>
        <v>PRIMARIA</v>
      </c>
      <c r="B2279" s="26" t="str">
        <f>"09PPR0323A"</f>
        <v>09PPR0323A</v>
      </c>
      <c r="C2279" s="26" t="str">
        <f>"GIRARD                                                                                              "</f>
        <v xml:space="preserve">GIRARD                                                                                              </v>
      </c>
      <c r="D2279" s="26" t="str">
        <f t="shared" si="377"/>
        <v>MATUTINO</v>
      </c>
      <c r="E2279" s="26" t="str">
        <f>"ALEMANIA NUMERO 13                                                              "</f>
        <v xml:space="preserve">ALEMANIA NUMERO 13                                                              </v>
      </c>
      <c r="F2279" s="26" t="str">
        <f>"PARQUE SAN ANDRES                                                                                                                           "</f>
        <v xml:space="preserve">PARQUE SAN ANDRES                                                                                                                           </v>
      </c>
      <c r="G2279" s="26" t="str">
        <f>"COYOACAN                                                                        "</f>
        <v xml:space="preserve">COYOACAN                                                                        </v>
      </c>
      <c r="H2279" s="26" t="str">
        <f>"502"</f>
        <v>502</v>
      </c>
      <c r="I2279" s="26" t="str">
        <f t="shared" si="378"/>
        <v>00</v>
      </c>
      <c r="J2279" s="26" t="str">
        <f t="shared" si="381"/>
        <v xml:space="preserve">45 </v>
      </c>
      <c r="K2279" s="26" t="str">
        <f t="shared" si="374"/>
        <v>PR</v>
      </c>
      <c r="L2279" s="26" t="str">
        <f t="shared" si="375"/>
        <v>DGOSE</v>
      </c>
      <c r="M2279" s="26" t="str">
        <f t="shared" si="380"/>
        <v>PARTICULAR</v>
      </c>
      <c r="N2279" s="26">
        <v>67</v>
      </c>
      <c r="O2279" s="26">
        <v>36</v>
      </c>
      <c r="P2279" s="26">
        <v>31</v>
      </c>
      <c r="Q2279" s="26">
        <v>6</v>
      </c>
      <c r="R2279" s="26">
        <v>1</v>
      </c>
      <c r="S2279" s="26">
        <v>5</v>
      </c>
      <c r="T2279" s="26">
        <v>9</v>
      </c>
      <c r="U2279" s="26">
        <v>15</v>
      </c>
      <c r="V2279" s="26">
        <v>1</v>
      </c>
      <c r="W2279" s="26"/>
    </row>
    <row r="2280" spans="1:23" x14ac:dyDescent="0.25">
      <c r="A2280" s="26" t="str">
        <f t="shared" si="376"/>
        <v>PRIMARIA</v>
      </c>
      <c r="B2280" s="26" t="str">
        <f>"09PPR0324Z"</f>
        <v>09PPR0324Z</v>
      </c>
      <c r="C2280" s="26" t="str">
        <f>"COLEGIO DE EDUCACION INTEGRAL                                                                       "</f>
        <v xml:space="preserve">COLEGIO DE EDUCACION INTEGRAL                                                                       </v>
      </c>
      <c r="D2280" s="26" t="str">
        <f t="shared" si="377"/>
        <v>MATUTINO</v>
      </c>
      <c r="E2280" s="26" t="str">
        <f>"SAN PEDRO NUM 44                                                                "</f>
        <v xml:space="preserve">SAN PEDRO NUM 44                                                                </v>
      </c>
      <c r="F2280" s="26" t="str">
        <f>"LA JOYA                                                                                                                                     "</f>
        <v xml:space="preserve">LA JOYA                                                                                                                                     </v>
      </c>
      <c r="G2280" s="26" t="str">
        <f>"TLALPAN                                                                         "</f>
        <v xml:space="preserve">TLALPAN                                                                         </v>
      </c>
      <c r="H2280" s="26" t="str">
        <f>"522"</f>
        <v>522</v>
      </c>
      <c r="I2280" s="26" t="str">
        <f t="shared" si="378"/>
        <v>00</v>
      </c>
      <c r="J2280" s="26" t="str">
        <f t="shared" si="381"/>
        <v xml:space="preserve">45 </v>
      </c>
      <c r="K2280" s="26" t="str">
        <f t="shared" si="374"/>
        <v>PR</v>
      </c>
      <c r="L2280" s="26" t="str">
        <f t="shared" si="375"/>
        <v>DGOSE</v>
      </c>
      <c r="M2280" s="26" t="str">
        <f t="shared" si="380"/>
        <v>PARTICULAR</v>
      </c>
      <c r="N2280" s="26">
        <v>85</v>
      </c>
      <c r="O2280" s="26">
        <v>47</v>
      </c>
      <c r="P2280" s="26">
        <v>38</v>
      </c>
      <c r="Q2280" s="26">
        <v>6</v>
      </c>
      <c r="R2280" s="26">
        <v>1</v>
      </c>
      <c r="S2280" s="26">
        <v>6</v>
      </c>
      <c r="T2280" s="26">
        <v>5</v>
      </c>
      <c r="U2280" s="26">
        <v>12</v>
      </c>
      <c r="V2280" s="26">
        <v>1</v>
      </c>
      <c r="W2280" s="26"/>
    </row>
    <row r="2281" spans="1:23" x14ac:dyDescent="0.25">
      <c r="A2281" s="26" t="str">
        <f t="shared" si="376"/>
        <v>PRIMARIA</v>
      </c>
      <c r="B2281" s="26" t="str">
        <f>"09PPR0327X"</f>
        <v>09PPR0327X</v>
      </c>
      <c r="C2281" s="26" t="str">
        <f>"COLEGIO COYOACAN                                                                                    "</f>
        <v xml:space="preserve">COLEGIO COYOACAN                                                                                    </v>
      </c>
      <c r="D2281" s="26" t="str">
        <f t="shared" si="377"/>
        <v>MATUTINO</v>
      </c>
      <c r="E2281" s="26" t="str">
        <f>"CENTENARIO 20                                                                   "</f>
        <v xml:space="preserve">CENTENARIO 20                                                                   </v>
      </c>
      <c r="F2281" s="26" t="str">
        <f>"DEL CARMEN                                                                                                                                  "</f>
        <v xml:space="preserve">DEL CARMEN                                                                                                                                  </v>
      </c>
      <c r="G2281" s="26" t="str">
        <f>"COYOACAN                                                                        "</f>
        <v xml:space="preserve">COYOACAN                                                                        </v>
      </c>
      <c r="H2281" s="26" t="str">
        <f>"500"</f>
        <v>500</v>
      </c>
      <c r="I2281" s="26" t="str">
        <f t="shared" si="378"/>
        <v>00</v>
      </c>
      <c r="J2281" s="26" t="str">
        <f t="shared" si="381"/>
        <v xml:space="preserve">45 </v>
      </c>
      <c r="K2281" s="26" t="str">
        <f t="shared" si="374"/>
        <v>PR</v>
      </c>
      <c r="L2281" s="26" t="str">
        <f t="shared" si="375"/>
        <v>DGOSE</v>
      </c>
      <c r="M2281" s="26" t="str">
        <f t="shared" si="380"/>
        <v>PARTICULAR</v>
      </c>
      <c r="N2281" s="26">
        <v>45</v>
      </c>
      <c r="O2281" s="26">
        <v>26</v>
      </c>
      <c r="P2281" s="26">
        <v>19</v>
      </c>
      <c r="Q2281" s="26">
        <v>6</v>
      </c>
      <c r="R2281" s="26">
        <v>1</v>
      </c>
      <c r="S2281" s="26">
        <v>6</v>
      </c>
      <c r="T2281" s="26">
        <v>6</v>
      </c>
      <c r="U2281" s="26">
        <v>13</v>
      </c>
      <c r="V2281" s="26">
        <v>1</v>
      </c>
      <c r="W2281" s="26"/>
    </row>
    <row r="2282" spans="1:23" x14ac:dyDescent="0.25">
      <c r="A2282" s="26" t="str">
        <f t="shared" si="376"/>
        <v>PRIMARIA</v>
      </c>
      <c r="B2282" s="26" t="str">
        <f>"09PPR0328W"</f>
        <v>09PPR0328W</v>
      </c>
      <c r="C2282" s="26" t="str">
        <f>"INSTITUTO JUAREZ                                                                                    "</f>
        <v xml:space="preserve">INSTITUTO JUAREZ                                                                                    </v>
      </c>
      <c r="D2282" s="26" t="str">
        <f t="shared" si="377"/>
        <v>MATUTINO</v>
      </c>
      <c r="E2282" s="26" t="str">
        <f>"CUAUHTEMOC NO. 99                                                               "</f>
        <v xml:space="preserve">CUAUHTEMOC NO. 99                                                               </v>
      </c>
      <c r="F2282" s="26" t="str">
        <f>"DEL CARMEN                                                                                                                                  "</f>
        <v xml:space="preserve">DEL CARMEN                                                                                                                                  </v>
      </c>
      <c r="G2282" s="26" t="str">
        <f>"COYOACAN                                                                        "</f>
        <v xml:space="preserve">COYOACAN                                                                        </v>
      </c>
      <c r="H2282" s="26" t="str">
        <f>"500"</f>
        <v>500</v>
      </c>
      <c r="I2282" s="26" t="str">
        <f t="shared" si="378"/>
        <v>00</v>
      </c>
      <c r="J2282" s="26" t="str">
        <f t="shared" si="381"/>
        <v xml:space="preserve">45 </v>
      </c>
      <c r="K2282" s="26" t="str">
        <f t="shared" si="374"/>
        <v>PR</v>
      </c>
      <c r="L2282" s="26" t="str">
        <f t="shared" si="375"/>
        <v>DGOSE</v>
      </c>
      <c r="M2282" s="26" t="str">
        <f t="shared" si="380"/>
        <v>PARTICULAR</v>
      </c>
      <c r="N2282" s="26">
        <v>168</v>
      </c>
      <c r="O2282" s="26">
        <v>85</v>
      </c>
      <c r="P2282" s="26">
        <v>83</v>
      </c>
      <c r="Q2282" s="26">
        <v>8</v>
      </c>
      <c r="R2282" s="26">
        <v>1</v>
      </c>
      <c r="S2282" s="26">
        <v>3</v>
      </c>
      <c r="T2282" s="26">
        <v>10</v>
      </c>
      <c r="U2282" s="26">
        <v>14</v>
      </c>
      <c r="V2282" s="26">
        <v>1</v>
      </c>
      <c r="W2282" s="26"/>
    </row>
    <row r="2283" spans="1:23" x14ac:dyDescent="0.25">
      <c r="A2283" s="26" t="str">
        <f t="shared" si="376"/>
        <v>PRIMARIA</v>
      </c>
      <c r="B2283" s="26" t="str">
        <f>"09PPR0332I"</f>
        <v>09PPR0332I</v>
      </c>
      <c r="C2283" s="26" t="str">
        <f>"ANTONIO JOSE DE SUCRE                                                                               "</f>
        <v xml:space="preserve">ANTONIO JOSE DE SUCRE                                                                               </v>
      </c>
      <c r="D2283" s="26" t="str">
        <f t="shared" si="377"/>
        <v>MATUTINO</v>
      </c>
      <c r="E2283" s="26" t="str">
        <f>"CERRO DE JESUS NO.140                                                           "</f>
        <v xml:space="preserve">CERRO DE JESUS NO.140                                                           </v>
      </c>
      <c r="F2283" s="26" t="str">
        <f>"CAMPESTRE CHURUBUSCO                                                                                                                        "</f>
        <v xml:space="preserve">CAMPESTRE CHURUBUSCO                                                                                                                        </v>
      </c>
      <c r="G2283" s="26" t="str">
        <f>"COYOACAN                                                                        "</f>
        <v xml:space="preserve">COYOACAN                                                                        </v>
      </c>
      <c r="H2283" s="26" t="str">
        <f>"509"</f>
        <v>509</v>
      </c>
      <c r="I2283" s="26" t="str">
        <f t="shared" si="378"/>
        <v>00</v>
      </c>
      <c r="J2283" s="26" t="str">
        <f t="shared" si="381"/>
        <v xml:space="preserve">45 </v>
      </c>
      <c r="K2283" s="26" t="str">
        <f t="shared" si="374"/>
        <v>PR</v>
      </c>
      <c r="L2283" s="26" t="str">
        <f t="shared" si="375"/>
        <v>DGOSE</v>
      </c>
      <c r="M2283" s="26" t="str">
        <f t="shared" si="380"/>
        <v>PARTICULAR</v>
      </c>
      <c r="N2283" s="26">
        <v>275</v>
      </c>
      <c r="O2283" s="26">
        <v>137</v>
      </c>
      <c r="P2283" s="26">
        <v>138</v>
      </c>
      <c r="Q2283" s="26">
        <v>12</v>
      </c>
      <c r="R2283" s="26">
        <v>1</v>
      </c>
      <c r="S2283" s="26">
        <v>11</v>
      </c>
      <c r="T2283" s="26">
        <v>18</v>
      </c>
      <c r="U2283" s="26">
        <v>30</v>
      </c>
      <c r="V2283" s="26">
        <v>1</v>
      </c>
      <c r="W2283" s="26"/>
    </row>
    <row r="2284" spans="1:23" x14ac:dyDescent="0.25">
      <c r="A2284" s="26" t="str">
        <f t="shared" si="376"/>
        <v>PRIMARIA</v>
      </c>
      <c r="B2284" s="26" t="str">
        <f>"09PPR0335F"</f>
        <v>09PPR0335F</v>
      </c>
      <c r="C2284" s="26" t="str">
        <f>"AGUSTIN GARCIA CONDE                                                                                "</f>
        <v xml:space="preserve">AGUSTIN GARCIA CONDE                                                                                </v>
      </c>
      <c r="D2284" s="26" t="str">
        <f t="shared" si="377"/>
        <v>MATUTINO</v>
      </c>
      <c r="E2284" s="26" t="str">
        <f>"MORELOS NO 11                                                                   "</f>
        <v xml:space="preserve">MORELOS NO 11                                                                   </v>
      </c>
      <c r="F2284" s="26" t="str">
        <f>"TLALPAN                                                                                                                                     "</f>
        <v xml:space="preserve">TLALPAN                                                                                                                                     </v>
      </c>
      <c r="G2284" s="26" t="str">
        <f>"TLALPAN                                                                         "</f>
        <v xml:space="preserve">TLALPAN                                                                         </v>
      </c>
      <c r="H2284" s="26" t="str">
        <f>"520"</f>
        <v>520</v>
      </c>
      <c r="I2284" s="26" t="str">
        <f t="shared" si="378"/>
        <v>00</v>
      </c>
      <c r="J2284" s="26" t="str">
        <f t="shared" si="381"/>
        <v xml:space="preserve">45 </v>
      </c>
      <c r="K2284" s="26" t="str">
        <f t="shared" si="374"/>
        <v>PR</v>
      </c>
      <c r="L2284" s="26" t="str">
        <f t="shared" si="375"/>
        <v>DGOSE</v>
      </c>
      <c r="M2284" s="26" t="str">
        <f t="shared" si="380"/>
        <v>PARTICULAR</v>
      </c>
      <c r="N2284" s="26">
        <v>661</v>
      </c>
      <c r="O2284" s="26">
        <v>294</v>
      </c>
      <c r="P2284" s="26">
        <v>367</v>
      </c>
      <c r="Q2284" s="26">
        <v>23</v>
      </c>
      <c r="R2284" s="26">
        <v>1</v>
      </c>
      <c r="S2284" s="26">
        <v>23</v>
      </c>
      <c r="T2284" s="26">
        <v>15</v>
      </c>
      <c r="U2284" s="26">
        <v>39</v>
      </c>
      <c r="V2284" s="26">
        <v>1</v>
      </c>
      <c r="W2284" s="26"/>
    </row>
    <row r="2285" spans="1:23" x14ac:dyDescent="0.25">
      <c r="A2285" s="26" t="str">
        <f t="shared" si="376"/>
        <v>PRIMARIA</v>
      </c>
      <c r="B2285" s="26" t="str">
        <f>"09PPR0336E"</f>
        <v>09PPR0336E</v>
      </c>
      <c r="C2285" s="26" t="str">
        <f>"""ALFONSO L HERRERA""                                                                                 "</f>
        <v xml:space="preserve">"ALFONSO L HERRERA"                                                                                 </v>
      </c>
      <c r="D2285" s="26" t="str">
        <f t="shared" si="377"/>
        <v>MATUTINO</v>
      </c>
      <c r="E2285" s="26" t="str">
        <f>"DIEGO RIVERA NO 3                                                               "</f>
        <v xml:space="preserve">DIEGO RIVERA NO 3                                                               </v>
      </c>
      <c r="F2285" s="26" t="str">
        <f>"EL RELOJ                                                                                                                                    "</f>
        <v xml:space="preserve">EL RELOJ                                                                                                                                    </v>
      </c>
      <c r="G2285" s="26" t="str">
        <f>"COYOACAN                                                                        "</f>
        <v xml:space="preserve">COYOACAN                                                                        </v>
      </c>
      <c r="H2285" s="26" t="str">
        <f>"503"</f>
        <v>503</v>
      </c>
      <c r="I2285" s="26" t="str">
        <f t="shared" si="378"/>
        <v>00</v>
      </c>
      <c r="J2285" s="26" t="str">
        <f t="shared" si="381"/>
        <v xml:space="preserve">45 </v>
      </c>
      <c r="K2285" s="26" t="str">
        <f t="shared" si="374"/>
        <v>PR</v>
      </c>
      <c r="L2285" s="26" t="str">
        <f t="shared" si="375"/>
        <v>DGOSE</v>
      </c>
      <c r="M2285" s="26" t="str">
        <f t="shared" si="380"/>
        <v>PARTICULAR</v>
      </c>
      <c r="N2285" s="26">
        <v>97</v>
      </c>
      <c r="O2285" s="26">
        <v>51</v>
      </c>
      <c r="P2285" s="26">
        <v>46</v>
      </c>
      <c r="Q2285" s="26">
        <v>6</v>
      </c>
      <c r="R2285" s="26">
        <v>1</v>
      </c>
      <c r="S2285" s="26">
        <v>6</v>
      </c>
      <c r="T2285" s="26">
        <v>4</v>
      </c>
      <c r="U2285" s="26">
        <v>11</v>
      </c>
      <c r="V2285" s="26">
        <v>1</v>
      </c>
      <c r="W2285" s="26"/>
    </row>
    <row r="2286" spans="1:23" x14ac:dyDescent="0.25">
      <c r="A2286" s="26" t="str">
        <f t="shared" si="376"/>
        <v>PRIMARIA</v>
      </c>
      <c r="B2286" s="26" t="str">
        <f>"09PPR0337D"</f>
        <v>09PPR0337D</v>
      </c>
      <c r="C2286" s="26" t="str">
        <f>"ESPIRITU DE MEXICO                                                                                  "</f>
        <v xml:space="preserve">ESPIRITU DE MEXICO                                                                                  </v>
      </c>
      <c r="D2286" s="26" t="str">
        <f t="shared" si="377"/>
        <v>MATUTINO</v>
      </c>
      <c r="E2286" s="26" t="str">
        <f>"XOMPOL NO 51                                                                    "</f>
        <v xml:space="preserve">XOMPOL NO 51                                                                    </v>
      </c>
      <c r="F2286" s="26" t="str">
        <f>"SAN MATEO XALPA                                                                                                                             "</f>
        <v xml:space="preserve">SAN MATEO XALPA                                                                                                                             </v>
      </c>
      <c r="G2286" s="26" t="str">
        <f>"XOCHIMILCO                                                                      "</f>
        <v xml:space="preserve">XOCHIMILCO                                                                      </v>
      </c>
      <c r="H2286" s="26" t="str">
        <f>"539"</f>
        <v>539</v>
      </c>
      <c r="I2286" s="26" t="str">
        <f t="shared" si="378"/>
        <v>00</v>
      </c>
      <c r="J2286" s="26" t="str">
        <f t="shared" si="381"/>
        <v xml:space="preserve">45 </v>
      </c>
      <c r="K2286" s="26" t="str">
        <f t="shared" si="374"/>
        <v>PR</v>
      </c>
      <c r="L2286" s="26" t="str">
        <f t="shared" si="375"/>
        <v>DGOSE</v>
      </c>
      <c r="M2286" s="26" t="str">
        <f t="shared" si="380"/>
        <v>PARTICULAR</v>
      </c>
      <c r="N2286" s="26">
        <v>144</v>
      </c>
      <c r="O2286" s="26">
        <v>86</v>
      </c>
      <c r="P2286" s="26">
        <v>58</v>
      </c>
      <c r="Q2286" s="26">
        <v>6</v>
      </c>
      <c r="R2286" s="26">
        <v>1</v>
      </c>
      <c r="S2286" s="26">
        <v>6</v>
      </c>
      <c r="T2286" s="26">
        <v>12</v>
      </c>
      <c r="U2286" s="26">
        <v>19</v>
      </c>
      <c r="V2286" s="26">
        <v>1</v>
      </c>
      <c r="W2286" s="26"/>
    </row>
    <row r="2287" spans="1:23" x14ac:dyDescent="0.25">
      <c r="A2287" s="26" t="str">
        <f t="shared" si="376"/>
        <v>PRIMARIA</v>
      </c>
      <c r="B2287" s="26" t="str">
        <f>"09PPR0338C"</f>
        <v>09PPR0338C</v>
      </c>
      <c r="C2287" s="26" t="str">
        <f>"COLEGIO DEL VALLE DE MEXICO                                                                         "</f>
        <v xml:space="preserve">COLEGIO DEL VALLE DE MEXICO                                                                         </v>
      </c>
      <c r="D2287" s="26" t="str">
        <f t="shared" si="377"/>
        <v>MATUTINO</v>
      </c>
      <c r="E2287" s="26" t="str">
        <f>"CARRASCO NUM 29                                                                 "</f>
        <v xml:space="preserve">CARRASCO NUM 29                                                                 </v>
      </c>
      <c r="F2287" s="26" t="str">
        <f>"TORIELLO GUERRA                                                                                                                             "</f>
        <v xml:space="preserve">TORIELLO GUERRA                                                                                                                             </v>
      </c>
      <c r="G2287" s="26" t="str">
        <f>"TLALPAN                                                                         "</f>
        <v xml:space="preserve">TLALPAN                                                                         </v>
      </c>
      <c r="H2287" s="26" t="str">
        <f>"519"</f>
        <v>519</v>
      </c>
      <c r="I2287" s="26" t="str">
        <f t="shared" si="378"/>
        <v>00</v>
      </c>
      <c r="J2287" s="26" t="str">
        <f t="shared" si="381"/>
        <v xml:space="preserve">45 </v>
      </c>
      <c r="K2287" s="26" t="str">
        <f t="shared" si="374"/>
        <v>PR</v>
      </c>
      <c r="L2287" s="26" t="str">
        <f t="shared" si="375"/>
        <v>DGOSE</v>
      </c>
      <c r="M2287" s="26" t="str">
        <f t="shared" si="380"/>
        <v>PARTICULAR</v>
      </c>
      <c r="N2287" s="26">
        <v>171</v>
      </c>
      <c r="O2287" s="26">
        <v>65</v>
      </c>
      <c r="P2287" s="26">
        <v>106</v>
      </c>
      <c r="Q2287" s="26">
        <v>6</v>
      </c>
      <c r="R2287" s="26">
        <v>1</v>
      </c>
      <c r="S2287" s="26">
        <v>6</v>
      </c>
      <c r="T2287" s="26">
        <v>11</v>
      </c>
      <c r="U2287" s="26">
        <v>18</v>
      </c>
      <c r="V2287" s="26">
        <v>1</v>
      </c>
      <c r="W2287" s="26"/>
    </row>
    <row r="2288" spans="1:23" x14ac:dyDescent="0.25">
      <c r="A2288" s="26" t="str">
        <f t="shared" si="376"/>
        <v>PRIMARIA</v>
      </c>
      <c r="B2288" s="26" t="str">
        <f>"09PPR0339B"</f>
        <v>09PPR0339B</v>
      </c>
      <c r="C2288" s="26" t="str">
        <f>"COLEGIO OVIEDO SCHONTHAL                                                                            "</f>
        <v xml:space="preserve">COLEGIO OVIEDO SCHONTHAL                                                                            </v>
      </c>
      <c r="D2288" s="26" t="str">
        <f t="shared" si="377"/>
        <v>MATUTINO</v>
      </c>
      <c r="E2288" s="26" t="str">
        <f>"CALZADA DE TLALPAN 5090                                                         "</f>
        <v xml:space="preserve">CALZADA DE TLALPAN 5090                                                         </v>
      </c>
      <c r="F2288" s="26" t="str">
        <f>"LA JOYA                                                                                                                                     "</f>
        <v xml:space="preserve">LA JOYA                                                                                                                                     </v>
      </c>
      <c r="G2288" s="26" t="str">
        <f>"TLALPAN                                                                         "</f>
        <v xml:space="preserve">TLALPAN                                                                         </v>
      </c>
      <c r="H2288" s="26" t="str">
        <f>"522"</f>
        <v>522</v>
      </c>
      <c r="I2288" s="26" t="str">
        <f t="shared" si="378"/>
        <v>00</v>
      </c>
      <c r="J2288" s="26" t="str">
        <f t="shared" si="381"/>
        <v xml:space="preserve">45 </v>
      </c>
      <c r="K2288" s="26" t="str">
        <f t="shared" si="374"/>
        <v>PR</v>
      </c>
      <c r="L2288" s="26" t="str">
        <f t="shared" si="375"/>
        <v>DGOSE</v>
      </c>
      <c r="M2288" s="26" t="str">
        <f t="shared" si="380"/>
        <v>PARTICULAR</v>
      </c>
      <c r="N2288" s="26">
        <v>280</v>
      </c>
      <c r="O2288" s="26">
        <v>144</v>
      </c>
      <c r="P2288" s="26">
        <v>136</v>
      </c>
      <c r="Q2288" s="26">
        <v>12</v>
      </c>
      <c r="R2288" s="26">
        <v>1</v>
      </c>
      <c r="S2288" s="26">
        <v>6</v>
      </c>
      <c r="T2288" s="26">
        <v>14</v>
      </c>
      <c r="U2288" s="26">
        <v>21</v>
      </c>
      <c r="V2288" s="26">
        <v>1</v>
      </c>
      <c r="W2288" s="26"/>
    </row>
    <row r="2289" spans="1:23" x14ac:dyDescent="0.25">
      <c r="A2289" s="26" t="str">
        <f t="shared" si="376"/>
        <v>PRIMARIA</v>
      </c>
      <c r="B2289" s="26" t="str">
        <f>"09PPR0340R"</f>
        <v>09PPR0340R</v>
      </c>
      <c r="C2289" s="26" t="str">
        <f>"JOSE SALVADOR                                                                                       "</f>
        <v xml:space="preserve">JOSE SALVADOR                                                                                       </v>
      </c>
      <c r="D2289" s="26" t="str">
        <f t="shared" si="377"/>
        <v>MATUTINO</v>
      </c>
      <c r="E2289" s="26" t="str">
        <f>"RANCHO LA VENTA NO 1                                                            "</f>
        <v xml:space="preserve">RANCHO LA VENTA NO 1                                                            </v>
      </c>
      <c r="F2289" s="26" t="str">
        <f>"SAN MIGUEL AJUSCO                                                                                                                           "</f>
        <v xml:space="preserve">SAN MIGUEL AJUSCO                                                                                                                           </v>
      </c>
      <c r="G2289" s="26" t="str">
        <f>"TLALPAN                                                                         "</f>
        <v xml:space="preserve">TLALPAN                                                                         </v>
      </c>
      <c r="H2289" s="26" t="str">
        <f>"530"</f>
        <v>530</v>
      </c>
      <c r="I2289" s="26" t="str">
        <f t="shared" si="378"/>
        <v>00</v>
      </c>
      <c r="J2289" s="26" t="str">
        <f t="shared" si="381"/>
        <v xml:space="preserve">45 </v>
      </c>
      <c r="K2289" s="26" t="str">
        <f t="shared" si="374"/>
        <v>PR</v>
      </c>
      <c r="L2289" s="26" t="str">
        <f t="shared" si="375"/>
        <v>DGOSE</v>
      </c>
      <c r="M2289" s="26" t="str">
        <f t="shared" si="380"/>
        <v>PARTICULAR</v>
      </c>
      <c r="N2289" s="26">
        <v>337</v>
      </c>
      <c r="O2289" s="26">
        <v>154</v>
      </c>
      <c r="P2289" s="26">
        <v>183</v>
      </c>
      <c r="Q2289" s="26">
        <v>13</v>
      </c>
      <c r="R2289" s="26">
        <v>1</v>
      </c>
      <c r="S2289" s="26">
        <v>13</v>
      </c>
      <c r="T2289" s="26">
        <v>7</v>
      </c>
      <c r="U2289" s="26">
        <v>21</v>
      </c>
      <c r="V2289" s="26">
        <v>1</v>
      </c>
      <c r="W2289" s="26"/>
    </row>
    <row r="2290" spans="1:23" x14ac:dyDescent="0.25">
      <c r="A2290" s="26" t="str">
        <f t="shared" si="376"/>
        <v>PRIMARIA</v>
      </c>
      <c r="B2290" s="26" t="str">
        <f>"09PPR0342P"</f>
        <v>09PPR0342P</v>
      </c>
      <c r="C2290" s="26" t="str">
        <f>"HERNAN CORTES                                                                                       "</f>
        <v xml:space="preserve">HERNAN CORTES                                                                                       </v>
      </c>
      <c r="D2290" s="26" t="str">
        <f t="shared" si="377"/>
        <v>MATUTINO</v>
      </c>
      <c r="E2290" s="26" t="str">
        <f>"HIDALGO NUM 2                                                                   "</f>
        <v xml:space="preserve">HIDALGO NUM 2                                                                   </v>
      </c>
      <c r="F2290" s="26" t="str">
        <f>"TLALPAN                                                                                                                                     "</f>
        <v xml:space="preserve">TLALPAN                                                                                                                                     </v>
      </c>
      <c r="G2290" s="26" t="str">
        <f>"TLALPAN                                                                         "</f>
        <v xml:space="preserve">TLALPAN                                                                         </v>
      </c>
      <c r="H2290" s="26" t="str">
        <f>"520"</f>
        <v>520</v>
      </c>
      <c r="I2290" s="26" t="str">
        <f t="shared" si="378"/>
        <v>00</v>
      </c>
      <c r="J2290" s="26" t="str">
        <f t="shared" si="381"/>
        <v xml:space="preserve">45 </v>
      </c>
      <c r="K2290" s="26" t="str">
        <f t="shared" si="374"/>
        <v>PR</v>
      </c>
      <c r="L2290" s="26" t="str">
        <f t="shared" si="375"/>
        <v>DGOSE</v>
      </c>
      <c r="M2290" s="26" t="str">
        <f t="shared" si="380"/>
        <v>PARTICULAR</v>
      </c>
      <c r="N2290" s="26">
        <v>156</v>
      </c>
      <c r="O2290" s="26">
        <v>79</v>
      </c>
      <c r="P2290" s="26">
        <v>77</v>
      </c>
      <c r="Q2290" s="26">
        <v>6</v>
      </c>
      <c r="R2290" s="26">
        <v>1</v>
      </c>
      <c r="S2290" s="26">
        <v>6</v>
      </c>
      <c r="T2290" s="26">
        <v>7</v>
      </c>
      <c r="U2290" s="26">
        <v>14</v>
      </c>
      <c r="V2290" s="26">
        <v>1</v>
      </c>
      <c r="W2290" s="26"/>
    </row>
    <row r="2291" spans="1:23" x14ac:dyDescent="0.25">
      <c r="A2291" s="26" t="str">
        <f t="shared" si="376"/>
        <v>PRIMARIA</v>
      </c>
      <c r="B2291" s="26" t="str">
        <f>"09PPR0344N"</f>
        <v>09PPR0344N</v>
      </c>
      <c r="C2291" s="26" t="str">
        <f>"MARTIN DE LA CRUZ                                                                                   "</f>
        <v xml:space="preserve">MARTIN DE LA CRUZ                                                                                   </v>
      </c>
      <c r="D2291" s="26" t="str">
        <f t="shared" si="377"/>
        <v>MATUTINO</v>
      </c>
      <c r="E2291" s="26" t="str">
        <f>"GARGOLAS NO 110                                                                 "</f>
        <v xml:space="preserve">GARGOLAS NO 110                                                                 </v>
      </c>
      <c r="F2291" s="26" t="str">
        <f>"JARDINES DEL SUR FRACCIONAMIENTO                                                                                                            "</f>
        <v xml:space="preserve">JARDINES DEL SUR FRACCIONAMIENTO                                                                                                            </v>
      </c>
      <c r="G2291" s="26" t="str">
        <f>"XOCHIMILCO                                                                      "</f>
        <v xml:space="preserve">XOCHIMILCO                                                                      </v>
      </c>
      <c r="H2291" s="26" t="str">
        <f>"534"</f>
        <v>534</v>
      </c>
      <c r="I2291" s="26" t="str">
        <f t="shared" si="378"/>
        <v>00</v>
      </c>
      <c r="J2291" s="26" t="str">
        <f t="shared" si="381"/>
        <v xml:space="preserve">45 </v>
      </c>
      <c r="K2291" s="26" t="str">
        <f t="shared" si="374"/>
        <v>PR</v>
      </c>
      <c r="L2291" s="26" t="str">
        <f t="shared" si="375"/>
        <v>DGOSE</v>
      </c>
      <c r="M2291" s="26" t="str">
        <f t="shared" si="380"/>
        <v>PARTICULAR</v>
      </c>
      <c r="N2291" s="26">
        <v>271</v>
      </c>
      <c r="O2291" s="26">
        <v>143</v>
      </c>
      <c r="P2291" s="26">
        <v>128</v>
      </c>
      <c r="Q2291" s="26">
        <v>12</v>
      </c>
      <c r="R2291" s="26">
        <v>1</v>
      </c>
      <c r="S2291" s="26">
        <v>12</v>
      </c>
      <c r="T2291" s="26">
        <v>15</v>
      </c>
      <c r="U2291" s="26">
        <v>28</v>
      </c>
      <c r="V2291" s="26">
        <v>1</v>
      </c>
      <c r="W2291" s="26"/>
    </row>
    <row r="2292" spans="1:23" x14ac:dyDescent="0.25">
      <c r="A2292" s="26" t="str">
        <f t="shared" si="376"/>
        <v>PRIMARIA</v>
      </c>
      <c r="B2292" s="26" t="str">
        <f>"09PPR0346L"</f>
        <v>09PPR0346L</v>
      </c>
      <c r="C2292" s="26" t="str">
        <f>"ESCUELA LOMAS ALTAS                                                                                 "</f>
        <v xml:space="preserve">ESCUELA LOMAS ALTAS                                                                                 </v>
      </c>
      <c r="D2292" s="26" t="str">
        <f t="shared" si="377"/>
        <v>MATUTINO</v>
      </c>
      <c r="E2292" s="26" t="str">
        <f>"MONTAÑAS CALIZAS NO 305                                                         "</f>
        <v xml:space="preserve">MONTAÑAS CALIZAS NO 305                                                         </v>
      </c>
      <c r="F2292" s="26" t="str">
        <f>"LOMAS DE CHAPULTEPEC V                                                                                                                      "</f>
        <v xml:space="preserve">LOMAS DE CHAPULTEPEC V                                                                                                                      </v>
      </c>
      <c r="G2292" s="26" t="str">
        <f>"MIGUEL HIDALGO                                                                  "</f>
        <v xml:space="preserve">MIGUEL HIDALGO                                                                  </v>
      </c>
      <c r="H2292" s="26" t="str">
        <f>"209"</f>
        <v>209</v>
      </c>
      <c r="I2292" s="26" t="str">
        <f t="shared" si="378"/>
        <v>00</v>
      </c>
      <c r="J2292" s="26" t="str">
        <f>"42 "</f>
        <v xml:space="preserve">42 </v>
      </c>
      <c r="K2292" s="26" t="str">
        <f t="shared" si="374"/>
        <v>PR</v>
      </c>
      <c r="L2292" s="26" t="str">
        <f t="shared" si="375"/>
        <v>DGOSE</v>
      </c>
      <c r="M2292" s="26" t="str">
        <f t="shared" si="380"/>
        <v>PARTICULAR</v>
      </c>
      <c r="N2292" s="26">
        <v>136</v>
      </c>
      <c r="O2292" s="26">
        <v>59</v>
      </c>
      <c r="P2292" s="26">
        <v>77</v>
      </c>
      <c r="Q2292" s="26">
        <v>6</v>
      </c>
      <c r="R2292" s="26">
        <v>1</v>
      </c>
      <c r="S2292" s="26">
        <v>3</v>
      </c>
      <c r="T2292" s="26">
        <v>8</v>
      </c>
      <c r="U2292" s="26">
        <v>12</v>
      </c>
      <c r="V2292" s="26">
        <v>1</v>
      </c>
      <c r="W2292" s="26"/>
    </row>
    <row r="2293" spans="1:23" x14ac:dyDescent="0.25">
      <c r="A2293" s="26" t="str">
        <f t="shared" si="376"/>
        <v>PRIMARIA</v>
      </c>
      <c r="B2293" s="26" t="str">
        <f>"09PPR0348J"</f>
        <v>09PPR0348J</v>
      </c>
      <c r="C2293" s="26" t="str">
        <f>"""CENTRO EDUCATIVO JEAN PIAGET""                                                                      "</f>
        <v xml:space="preserve">"CENTRO EDUCATIVO JEAN PIAGET"                                                                      </v>
      </c>
      <c r="D2293" s="26" t="str">
        <f t="shared" si="377"/>
        <v>MATUTINO</v>
      </c>
      <c r="E2293" s="26" t="str">
        <f>"AVENIDA PATRIOTISMO NO 757 POUSSINI NO 70 Y RUBENS NO 39                        "</f>
        <v xml:space="preserve">AVENIDA PATRIOTISMO NO 757 POUSSINI NO 70 Y RUBENS NO 39                        </v>
      </c>
      <c r="F2293" s="26" t="str">
        <f>"SAN JUAN                                                                                                                                    "</f>
        <v xml:space="preserve">SAN JUAN                                                                                                                                    </v>
      </c>
      <c r="G2293" s="26" t="str">
        <f>"BENITO JUAREZ                                                                   "</f>
        <v xml:space="preserve">BENITO JUAREZ                                                                   </v>
      </c>
      <c r="H2293" s="26" t="str">
        <f>"340"</f>
        <v>340</v>
      </c>
      <c r="I2293" s="26" t="str">
        <f t="shared" si="378"/>
        <v>00</v>
      </c>
      <c r="J2293" s="26" t="str">
        <f>"43 "</f>
        <v xml:space="preserve">43 </v>
      </c>
      <c r="K2293" s="26" t="str">
        <f t="shared" ref="K2293" si="382">"PR"</f>
        <v>PR</v>
      </c>
      <c r="L2293" s="26" t="str">
        <f t="shared" ref="L2293" si="383">"DGOSE"</f>
        <v>DGOSE</v>
      </c>
      <c r="M2293" s="26" t="str">
        <f t="shared" si="380"/>
        <v>PARTICULAR</v>
      </c>
      <c r="N2293" s="26">
        <v>271</v>
      </c>
      <c r="O2293" s="26">
        <v>115</v>
      </c>
      <c r="P2293" s="26">
        <v>156</v>
      </c>
      <c r="Q2293" s="26">
        <v>12</v>
      </c>
      <c r="R2293" s="26">
        <v>1</v>
      </c>
      <c r="S2293" s="26">
        <v>6</v>
      </c>
      <c r="T2293" s="26">
        <v>26</v>
      </c>
      <c r="U2293" s="26">
        <v>33</v>
      </c>
      <c r="V2293" s="26">
        <v>1</v>
      </c>
      <c r="W2293" s="26"/>
    </row>
    <row r="2294" spans="1:23" x14ac:dyDescent="0.25">
      <c r="A2294" s="26" t="str">
        <f t="shared" si="376"/>
        <v>PRIMARIA</v>
      </c>
      <c r="B2294" s="26" t="str">
        <f>"09PPR0349I"</f>
        <v>09PPR0349I</v>
      </c>
      <c r="C2294" s="26" t="str">
        <f>"LUIS M. MARTINEZ                                                                                    "</f>
        <v xml:space="preserve">LUIS M. MARTINEZ                                                                                    </v>
      </c>
      <c r="D2294" s="26" t="str">
        <f t="shared" si="377"/>
        <v>MATUTINO</v>
      </c>
      <c r="E2294" s="26" t="str">
        <f>"CECILIO GARCIA NO. 30                                                           "</f>
        <v xml:space="preserve">CECILIO GARCIA NO. 30                                                           </v>
      </c>
      <c r="F2294" s="26" t="str">
        <f>"SANTA MARTHA ACATITLA                                                                                                                       "</f>
        <v xml:space="preserve">SANTA MARTHA ACATITLA                                                                                                                       </v>
      </c>
      <c r="G2294" s="26" t="str">
        <f>"IZTAPALAPA                                                                      "</f>
        <v xml:space="preserve">IZTAPALAPA                                                                      </v>
      </c>
      <c r="H2294" s="26" t="str">
        <f>"000"</f>
        <v>000</v>
      </c>
      <c r="I2294" s="26" t="str">
        <f t="shared" si="378"/>
        <v>00</v>
      </c>
      <c r="J2294" s="26" t="str">
        <f>"62 "</f>
        <v xml:space="preserve">62 </v>
      </c>
      <c r="K2294" s="26" t="str">
        <f>"IZ"</f>
        <v>IZ</v>
      </c>
      <c r="L2294" s="26" t="str">
        <f>"DGSEI"</f>
        <v>DGSEI</v>
      </c>
      <c r="M2294" s="26" t="str">
        <f t="shared" si="380"/>
        <v>PARTICULAR</v>
      </c>
      <c r="N2294" s="26">
        <v>118</v>
      </c>
      <c r="O2294" s="26">
        <v>90</v>
      </c>
      <c r="P2294" s="26">
        <v>28</v>
      </c>
      <c r="Q2294" s="26">
        <v>6</v>
      </c>
      <c r="R2294" s="26">
        <v>1</v>
      </c>
      <c r="S2294" s="26">
        <v>6</v>
      </c>
      <c r="T2294" s="26">
        <v>5</v>
      </c>
      <c r="U2294" s="26">
        <v>12</v>
      </c>
      <c r="V2294" s="26">
        <v>1</v>
      </c>
      <c r="W2294" s="26"/>
    </row>
    <row r="2295" spans="1:23" x14ac:dyDescent="0.25">
      <c r="A2295" s="26" t="str">
        <f t="shared" si="376"/>
        <v>PRIMARIA</v>
      </c>
      <c r="B2295" s="26" t="str">
        <f>"09PPR0350Y"</f>
        <v>09PPR0350Y</v>
      </c>
      <c r="C2295" s="26" t="str">
        <f>"FLORENCIA NIGHTINGALE                                                                               "</f>
        <v xml:space="preserve">FLORENCIA NIGHTINGALE                                                                               </v>
      </c>
      <c r="D2295" s="26" t="str">
        <f t="shared" si="377"/>
        <v>MATUTINO</v>
      </c>
      <c r="E2295" s="26" t="str">
        <f>"AV LINDAVISTA NO. 170                                                           "</f>
        <v xml:space="preserve">AV LINDAVISTA NO. 170                                                           </v>
      </c>
      <c r="F2295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2295" s="26" t="str">
        <f>"GUSTAVO A. MADERO                                                               "</f>
        <v xml:space="preserve">GUSTAVO A. MADERO                                                               </v>
      </c>
      <c r="H2295" s="26" t="str">
        <f>"242"</f>
        <v>242</v>
      </c>
      <c r="I2295" s="26" t="str">
        <f t="shared" si="378"/>
        <v>00</v>
      </c>
      <c r="J2295" s="26" t="str">
        <f>"42 "</f>
        <v xml:space="preserve">42 </v>
      </c>
      <c r="K2295" s="26" t="str">
        <f t="shared" ref="K2295:K2312" si="384">"PR"</f>
        <v>PR</v>
      </c>
      <c r="L2295" s="26" t="str">
        <f t="shared" ref="L2295:L2312" si="385">"DGOSE"</f>
        <v>DGOSE</v>
      </c>
      <c r="M2295" s="26" t="str">
        <f t="shared" si="380"/>
        <v>PARTICULAR</v>
      </c>
      <c r="N2295" s="26">
        <v>489</v>
      </c>
      <c r="O2295" s="26">
        <v>247</v>
      </c>
      <c r="P2295" s="26">
        <v>242</v>
      </c>
      <c r="Q2295" s="26">
        <v>18</v>
      </c>
      <c r="R2295" s="26">
        <v>1</v>
      </c>
      <c r="S2295" s="26">
        <v>18</v>
      </c>
      <c r="T2295" s="26">
        <v>17</v>
      </c>
      <c r="U2295" s="26">
        <v>36</v>
      </c>
      <c r="V2295" s="26">
        <v>1</v>
      </c>
      <c r="W2295" s="26"/>
    </row>
    <row r="2296" spans="1:23" x14ac:dyDescent="0.25">
      <c r="A2296" s="26" t="str">
        <f t="shared" si="376"/>
        <v>PRIMARIA</v>
      </c>
      <c r="B2296" s="26" t="str">
        <f>"09PPR0351X"</f>
        <v>09PPR0351X</v>
      </c>
      <c r="C2296" s="26" t="str">
        <f>"GERARDO MONIER                                                                                      "</f>
        <v xml:space="preserve">GERARDO MONIER                                                                                      </v>
      </c>
      <c r="D2296" s="26" t="str">
        <f t="shared" si="377"/>
        <v>MATUTINO</v>
      </c>
      <c r="E2296" s="26" t="str">
        <f>"AVENIDA REVOLUCION NO 1932                                                      "</f>
        <v xml:space="preserve">AVENIDA REVOLUCION NO 1932                                                      </v>
      </c>
      <c r="F2296" s="26" t="str">
        <f>"SAN ANGEL                                                                                                                                   "</f>
        <v xml:space="preserve">SAN ANGEL                                                                                                                                   </v>
      </c>
      <c r="G2296" s="26" t="str">
        <f>"ALVARO OBREGON                                                                  "</f>
        <v xml:space="preserve">ALVARO OBREGON                                                                  </v>
      </c>
      <c r="H2296" s="26" t="str">
        <f>"325"</f>
        <v>325</v>
      </c>
      <c r="I2296" s="26" t="str">
        <f t="shared" si="378"/>
        <v>00</v>
      </c>
      <c r="J2296" s="26" t="str">
        <f>"43 "</f>
        <v xml:space="preserve">43 </v>
      </c>
      <c r="K2296" s="26" t="str">
        <f t="shared" si="384"/>
        <v>PR</v>
      </c>
      <c r="L2296" s="26" t="str">
        <f t="shared" si="385"/>
        <v>DGOSE</v>
      </c>
      <c r="M2296" s="26" t="str">
        <f t="shared" si="380"/>
        <v>PARTICULAR</v>
      </c>
      <c r="N2296" s="26">
        <v>232</v>
      </c>
      <c r="O2296" s="26">
        <v>130</v>
      </c>
      <c r="P2296" s="26">
        <v>102</v>
      </c>
      <c r="Q2296" s="26">
        <v>6</v>
      </c>
      <c r="R2296" s="26">
        <v>1</v>
      </c>
      <c r="S2296" s="26">
        <v>6</v>
      </c>
      <c r="T2296" s="26">
        <v>10</v>
      </c>
      <c r="U2296" s="26">
        <v>17</v>
      </c>
      <c r="V2296" s="26">
        <v>1</v>
      </c>
      <c r="W2296" s="26"/>
    </row>
    <row r="2297" spans="1:23" x14ac:dyDescent="0.25">
      <c r="A2297" s="26" t="str">
        <f t="shared" si="376"/>
        <v>PRIMARIA</v>
      </c>
      <c r="B2297" s="26" t="str">
        <f>"09PPR0352W"</f>
        <v>09PPR0352W</v>
      </c>
      <c r="C2297" s="26" t="str">
        <f>"COLEGIO MERICI                                                                                      "</f>
        <v xml:space="preserve">COLEGIO MERICI                                                                                      </v>
      </c>
      <c r="D2297" s="26" t="str">
        <f t="shared" si="377"/>
        <v>MATUTINO</v>
      </c>
      <c r="E2297" s="26" t="str">
        <f>"LAS GRANJAS NO 45                                                               "</f>
        <v xml:space="preserve">LAS GRANJAS NO 45                                                               </v>
      </c>
      <c r="F2297" s="26" t="str">
        <f>"GRAJAS DE PALO ALTO                                                                                                                         "</f>
        <v xml:space="preserve">GRAJAS DE PALO ALTO                                                                                                                         </v>
      </c>
      <c r="G2297" s="26" t="str">
        <f>"CUAJIMALPA DE MORELOS                                                           "</f>
        <v xml:space="preserve">CUAJIMALPA DE MORELOS                                                           </v>
      </c>
      <c r="H2297" s="26" t="str">
        <f>"300"</f>
        <v>300</v>
      </c>
      <c r="I2297" s="26" t="str">
        <f t="shared" si="378"/>
        <v>00</v>
      </c>
      <c r="J2297" s="26" t="str">
        <f>"43 "</f>
        <v xml:space="preserve">43 </v>
      </c>
      <c r="K2297" s="26" t="str">
        <f t="shared" si="384"/>
        <v>PR</v>
      </c>
      <c r="L2297" s="26" t="str">
        <f t="shared" si="385"/>
        <v>DGOSE</v>
      </c>
      <c r="M2297" s="26" t="str">
        <f t="shared" si="380"/>
        <v>PARTICULAR</v>
      </c>
      <c r="N2297" s="26">
        <v>303</v>
      </c>
      <c r="O2297" s="26">
        <v>171</v>
      </c>
      <c r="P2297" s="26">
        <v>132</v>
      </c>
      <c r="Q2297" s="26">
        <v>16</v>
      </c>
      <c r="R2297" s="26">
        <v>1</v>
      </c>
      <c r="S2297" s="26">
        <v>9</v>
      </c>
      <c r="T2297" s="26">
        <v>12</v>
      </c>
      <c r="U2297" s="26">
        <v>22</v>
      </c>
      <c r="V2297" s="26">
        <v>1</v>
      </c>
      <c r="W2297" s="26"/>
    </row>
    <row r="2298" spans="1:23" x14ac:dyDescent="0.25">
      <c r="A2298" s="26" t="str">
        <f t="shared" si="376"/>
        <v>PRIMARIA</v>
      </c>
      <c r="B2298" s="26" t="str">
        <f>"09PPR0354U"</f>
        <v>09PPR0354U</v>
      </c>
      <c r="C2298" s="26" t="str">
        <f>"INSTITUTO ANA MARIA ALFARO                                                                          "</f>
        <v xml:space="preserve">INSTITUTO ANA MARIA ALFARO                                                                          </v>
      </c>
      <c r="D2298" s="26" t="str">
        <f t="shared" si="377"/>
        <v>MATUTINO</v>
      </c>
      <c r="E2298" s="26" t="str">
        <f>"AV LA GARITA NO 135                                                             "</f>
        <v xml:space="preserve">AV LA GARITA NO 135                                                             </v>
      </c>
      <c r="F2298" s="26" t="str">
        <f>"VILLA COAPA                                                                                                                                 "</f>
        <v xml:space="preserve">VILLA COAPA                                                                                                                                 </v>
      </c>
      <c r="G2298" s="26" t="str">
        <f>"TLALPAN                                                                         "</f>
        <v xml:space="preserve">TLALPAN                                                                         </v>
      </c>
      <c r="H2298" s="26" t="str">
        <f>"524"</f>
        <v>524</v>
      </c>
      <c r="I2298" s="26" t="str">
        <f t="shared" si="378"/>
        <v>00</v>
      </c>
      <c r="J2298" s="26" t="str">
        <f>"45 "</f>
        <v xml:space="preserve">45 </v>
      </c>
      <c r="K2298" s="26" t="str">
        <f t="shared" si="384"/>
        <v>PR</v>
      </c>
      <c r="L2298" s="26" t="str">
        <f t="shared" si="385"/>
        <v>DGOSE</v>
      </c>
      <c r="M2298" s="26" t="str">
        <f t="shared" si="380"/>
        <v>PARTICULAR</v>
      </c>
      <c r="N2298" s="26">
        <v>96</v>
      </c>
      <c r="O2298" s="26">
        <v>61</v>
      </c>
      <c r="P2298" s="26">
        <v>35</v>
      </c>
      <c r="Q2298" s="26">
        <v>6</v>
      </c>
      <c r="R2298" s="26">
        <v>1</v>
      </c>
      <c r="S2298" s="26">
        <v>6</v>
      </c>
      <c r="T2298" s="26">
        <v>8</v>
      </c>
      <c r="U2298" s="26">
        <v>15</v>
      </c>
      <c r="V2298" s="26">
        <v>1</v>
      </c>
      <c r="W2298" s="26"/>
    </row>
    <row r="2299" spans="1:23" x14ac:dyDescent="0.25">
      <c r="A2299" s="26" t="str">
        <f t="shared" si="376"/>
        <v>PRIMARIA</v>
      </c>
      <c r="B2299" s="26" t="str">
        <f>"09PPR0360E"</f>
        <v>09PPR0360E</v>
      </c>
      <c r="C2299" s="26" t="str">
        <f>"LEGARIA                                                                                             "</f>
        <v xml:space="preserve">LEGARIA                                                                                             </v>
      </c>
      <c r="D2299" s="26" t="str">
        <f t="shared" si="377"/>
        <v>MATUTINO</v>
      </c>
      <c r="E2299" s="26" t="str">
        <f>"1RA. CERRADA DE IGNACIO ALLENDE NO. 29                                          "</f>
        <v xml:space="preserve">1RA. CERRADA DE IGNACIO ALLENDE NO. 29                                          </v>
      </c>
      <c r="F2299" s="26" t="str">
        <f>"ARGENTINA ANTIGUA                                                                                                                           "</f>
        <v xml:space="preserve">ARGENTINA ANTIGUA                                                                                                                           </v>
      </c>
      <c r="G2299" s="26" t="str">
        <f>"MIGUEL HIDALGO                                                                  "</f>
        <v xml:space="preserve">MIGUEL HIDALGO                                                                  </v>
      </c>
      <c r="H2299" s="26" t="str">
        <f>"212"</f>
        <v>212</v>
      </c>
      <c r="I2299" s="26" t="str">
        <f t="shared" si="378"/>
        <v>00</v>
      </c>
      <c r="J2299" s="26" t="str">
        <f>"42 "</f>
        <v xml:space="preserve">42 </v>
      </c>
      <c r="K2299" s="26" t="str">
        <f t="shared" si="384"/>
        <v>PR</v>
      </c>
      <c r="L2299" s="26" t="str">
        <f t="shared" si="385"/>
        <v>DGOSE</v>
      </c>
      <c r="M2299" s="26" t="str">
        <f t="shared" si="380"/>
        <v>PARTICULAR</v>
      </c>
      <c r="N2299" s="26">
        <v>79</v>
      </c>
      <c r="O2299" s="26">
        <v>41</v>
      </c>
      <c r="P2299" s="26">
        <v>38</v>
      </c>
      <c r="Q2299" s="26">
        <v>6</v>
      </c>
      <c r="R2299" s="26">
        <v>1</v>
      </c>
      <c r="S2299" s="26">
        <v>6</v>
      </c>
      <c r="T2299" s="26">
        <v>5</v>
      </c>
      <c r="U2299" s="26">
        <v>12</v>
      </c>
      <c r="V2299" s="26">
        <v>1</v>
      </c>
      <c r="W2299" s="26"/>
    </row>
    <row r="2300" spans="1:23" x14ac:dyDescent="0.25">
      <c r="A2300" s="26" t="str">
        <f t="shared" si="376"/>
        <v>PRIMARIA</v>
      </c>
      <c r="B2300" s="26" t="str">
        <f>"09PPR0361D"</f>
        <v>09PPR0361D</v>
      </c>
      <c r="C2300" s="26" t="str">
        <f>"COLEGIO DEL TEPEYAC                                                                                 "</f>
        <v xml:space="preserve">COLEGIO DEL TEPEYAC                                                                                 </v>
      </c>
      <c r="D2300" s="26" t="str">
        <f t="shared" si="377"/>
        <v>MATUTINO</v>
      </c>
      <c r="E2300" s="26" t="str">
        <f>"AV CALLAO NO 842                                                                "</f>
        <v xml:space="preserve">AV CALLAO NO 842                                                                </v>
      </c>
      <c r="F2300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2300" s="26" t="str">
        <f>"GUSTAVO A. MADERO                                                               "</f>
        <v xml:space="preserve">GUSTAVO A. MADERO                                                               </v>
      </c>
      <c r="H2300" s="26" t="str">
        <f>"243"</f>
        <v>243</v>
      </c>
      <c r="I2300" s="26" t="str">
        <f t="shared" si="378"/>
        <v>00</v>
      </c>
      <c r="J2300" s="26" t="str">
        <f>"42 "</f>
        <v xml:space="preserve">42 </v>
      </c>
      <c r="K2300" s="26" t="str">
        <f t="shared" si="384"/>
        <v>PR</v>
      </c>
      <c r="L2300" s="26" t="str">
        <f t="shared" si="385"/>
        <v>DGOSE</v>
      </c>
      <c r="M2300" s="26" t="str">
        <f t="shared" si="380"/>
        <v>PARTICULAR</v>
      </c>
      <c r="N2300" s="26">
        <v>793</v>
      </c>
      <c r="O2300" s="26">
        <v>434</v>
      </c>
      <c r="P2300" s="26">
        <v>359</v>
      </c>
      <c r="Q2300" s="26">
        <v>24</v>
      </c>
      <c r="R2300" s="26">
        <v>1</v>
      </c>
      <c r="S2300" s="26">
        <v>13</v>
      </c>
      <c r="T2300" s="26">
        <v>46</v>
      </c>
      <c r="U2300" s="26">
        <v>60</v>
      </c>
      <c r="V2300" s="26">
        <v>1</v>
      </c>
      <c r="W2300" s="26"/>
    </row>
    <row r="2301" spans="1:23" x14ac:dyDescent="0.25">
      <c r="A2301" s="26" t="str">
        <f t="shared" si="376"/>
        <v>PRIMARIA</v>
      </c>
      <c r="B2301" s="26" t="str">
        <f>"09PPR0363B"</f>
        <v>09PPR0363B</v>
      </c>
      <c r="C2301" s="26" t="str">
        <f>"INSTITUTO BOSTON                                                                                    "</f>
        <v xml:space="preserve">INSTITUTO BOSTON                                                                                    </v>
      </c>
      <c r="D2301" s="26" t="str">
        <f t="shared" si="377"/>
        <v>MATUTINO</v>
      </c>
      <c r="E2301" s="26" t="str">
        <f>"RIO PANUCO # 65                                                                 "</f>
        <v xml:space="preserve">RIO PANUCO # 65                                                                 </v>
      </c>
      <c r="F2301" s="26" t="str">
        <f>"CUAUHTEMOC                                                                                                                                  "</f>
        <v xml:space="preserve">CUAUHTEMOC                                                                                                                                  </v>
      </c>
      <c r="G2301" s="26" t="str">
        <f>"CUAUHTEMOC                                                                      "</f>
        <v xml:space="preserve">CUAUHTEMOC                                                                      </v>
      </c>
      <c r="H2301" s="26" t="str">
        <f>"220"</f>
        <v>220</v>
      </c>
      <c r="I2301" s="26" t="str">
        <f t="shared" si="378"/>
        <v>00</v>
      </c>
      <c r="J2301" s="26" t="str">
        <f>"42 "</f>
        <v xml:space="preserve">42 </v>
      </c>
      <c r="K2301" s="26" t="str">
        <f t="shared" si="384"/>
        <v>PR</v>
      </c>
      <c r="L2301" s="26" t="str">
        <f t="shared" si="385"/>
        <v>DGOSE</v>
      </c>
      <c r="M2301" s="26" t="str">
        <f t="shared" si="380"/>
        <v>PARTICULAR</v>
      </c>
      <c r="N2301" s="26">
        <v>121</v>
      </c>
      <c r="O2301" s="26">
        <v>61</v>
      </c>
      <c r="P2301" s="26">
        <v>60</v>
      </c>
      <c r="Q2301" s="26">
        <v>7</v>
      </c>
      <c r="R2301" s="26">
        <v>1</v>
      </c>
      <c r="S2301" s="26">
        <v>2</v>
      </c>
      <c r="T2301" s="26">
        <v>11</v>
      </c>
      <c r="U2301" s="26">
        <v>14</v>
      </c>
      <c r="V2301" s="26">
        <v>1</v>
      </c>
      <c r="W2301" s="26"/>
    </row>
    <row r="2302" spans="1:23" x14ac:dyDescent="0.25">
      <c r="A2302" s="26" t="str">
        <f t="shared" si="376"/>
        <v>PRIMARIA</v>
      </c>
      <c r="B2302" s="26" t="str">
        <f>"09PPR0365Z"</f>
        <v>09PPR0365Z</v>
      </c>
      <c r="C2302" s="26" t="str">
        <f>"LICEO MEXICANO                                                                                      "</f>
        <v xml:space="preserve">LICEO MEXICANO                                                                                      </v>
      </c>
      <c r="D2302" s="26" t="str">
        <f t="shared" si="377"/>
        <v>MATUTINO</v>
      </c>
      <c r="E2302" s="26" t="str">
        <f>"CORDOBA 167                                                                     "</f>
        <v xml:space="preserve">CORDOBA 167                                                                     </v>
      </c>
      <c r="F2302" s="26" t="str">
        <f>"ROMA SUR                                                                                                                                    "</f>
        <v xml:space="preserve">ROMA SUR                                                                                                                                    </v>
      </c>
      <c r="G2302" s="26" t="str">
        <f>"CUAUHTEMOC                                                                      "</f>
        <v xml:space="preserve">CUAUHTEMOC                                                                      </v>
      </c>
      <c r="H2302" s="26" t="str">
        <f>"000"</f>
        <v>000</v>
      </c>
      <c r="I2302" s="26" t="str">
        <f t="shared" si="378"/>
        <v>00</v>
      </c>
      <c r="J2302" s="26" t="str">
        <f>"42 "</f>
        <v xml:space="preserve">42 </v>
      </c>
      <c r="K2302" s="26" t="str">
        <f t="shared" si="384"/>
        <v>PR</v>
      </c>
      <c r="L2302" s="26" t="str">
        <f t="shared" si="385"/>
        <v>DGOSE</v>
      </c>
      <c r="M2302" s="26" t="str">
        <f t="shared" si="380"/>
        <v>PARTICULAR</v>
      </c>
      <c r="N2302" s="26">
        <v>56</v>
      </c>
      <c r="O2302" s="26">
        <v>29</v>
      </c>
      <c r="P2302" s="26">
        <v>27</v>
      </c>
      <c r="Q2302" s="26">
        <v>6</v>
      </c>
      <c r="R2302" s="26">
        <v>1</v>
      </c>
      <c r="S2302" s="26">
        <v>5</v>
      </c>
      <c r="T2302" s="26">
        <v>5</v>
      </c>
      <c r="U2302" s="26">
        <v>11</v>
      </c>
      <c r="V2302" s="26">
        <v>1</v>
      </c>
      <c r="W2302" s="26"/>
    </row>
    <row r="2303" spans="1:23" x14ac:dyDescent="0.25">
      <c r="A2303" s="26" t="str">
        <f t="shared" si="376"/>
        <v>PRIMARIA</v>
      </c>
      <c r="B2303" s="26" t="str">
        <f>"09PPR0367Y"</f>
        <v>09PPR0367Y</v>
      </c>
      <c r="C2303" s="26" t="str">
        <f>"INSTITUTO FRAY JUAN DE ZUMARRAGA                                                                    "</f>
        <v xml:space="preserve">INSTITUTO FRAY JUAN DE ZUMARRAGA                                                                    </v>
      </c>
      <c r="D2303" s="26" t="str">
        <f t="shared" si="377"/>
        <v>MATUTINO</v>
      </c>
      <c r="E2303" s="26" t="str">
        <f>"AMORES 318                                                                      "</f>
        <v xml:space="preserve">AMORES 318                                                                      </v>
      </c>
      <c r="F2303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2303" s="26" t="str">
        <f>"BENITO JUAREZ                                                                   "</f>
        <v xml:space="preserve">BENITO JUAREZ                                                                   </v>
      </c>
      <c r="H2303" s="26" t="str">
        <f>"338"</f>
        <v>338</v>
      </c>
      <c r="I2303" s="26" t="str">
        <f t="shared" si="378"/>
        <v>00</v>
      </c>
      <c r="J2303" s="26" t="str">
        <f>"43 "</f>
        <v xml:space="preserve">43 </v>
      </c>
      <c r="K2303" s="26" t="str">
        <f t="shared" si="384"/>
        <v>PR</v>
      </c>
      <c r="L2303" s="26" t="str">
        <f t="shared" si="385"/>
        <v>DGOSE</v>
      </c>
      <c r="M2303" s="26" t="str">
        <f t="shared" si="380"/>
        <v>PARTICULAR</v>
      </c>
      <c r="N2303" s="26">
        <v>53</v>
      </c>
      <c r="O2303" s="26">
        <v>29</v>
      </c>
      <c r="P2303" s="26">
        <v>24</v>
      </c>
      <c r="Q2303" s="26">
        <v>6</v>
      </c>
      <c r="R2303" s="26">
        <v>1</v>
      </c>
      <c r="S2303" s="26">
        <v>6</v>
      </c>
      <c r="T2303" s="26">
        <v>6</v>
      </c>
      <c r="U2303" s="26">
        <v>13</v>
      </c>
      <c r="V2303" s="26">
        <v>1</v>
      </c>
      <c r="W2303" s="26"/>
    </row>
    <row r="2304" spans="1:23" x14ac:dyDescent="0.25">
      <c r="A2304" s="26" t="str">
        <f t="shared" si="376"/>
        <v>PRIMARIA</v>
      </c>
      <c r="B2304" s="26" t="str">
        <f>"09PPR0373I"</f>
        <v>09PPR0373I</v>
      </c>
      <c r="C2304" s="26" t="str">
        <f>"ROBERTO MORENO GARCIA                                                                               "</f>
        <v xml:space="preserve">ROBERTO MORENO GARCIA                                                                               </v>
      </c>
      <c r="D2304" s="26" t="str">
        <f t="shared" si="377"/>
        <v>MATUTINO</v>
      </c>
      <c r="E2304" s="26" t="str">
        <f>"ANTONIO RUIZ GALINDO NO 4413                                                    "</f>
        <v xml:space="preserve">ANTONIO RUIZ GALINDO NO 4413                                                    </v>
      </c>
      <c r="F2304" s="26" t="str">
        <f>"SAN PEDRO EL CHICO                                                                                                                          "</f>
        <v xml:space="preserve">SAN PEDRO EL CHICO                                                                                                                          </v>
      </c>
      <c r="G2304" s="26" t="str">
        <f>"GUSTAVO A. MADERO                                                               "</f>
        <v xml:space="preserve">GUSTAVO A. MADERO                                                               </v>
      </c>
      <c r="H2304" s="26" t="str">
        <f>"253"</f>
        <v>253</v>
      </c>
      <c r="I2304" s="26" t="str">
        <f t="shared" si="378"/>
        <v>00</v>
      </c>
      <c r="J2304" s="26" t="str">
        <f>"42 "</f>
        <v xml:space="preserve">42 </v>
      </c>
      <c r="K2304" s="26" t="str">
        <f t="shared" si="384"/>
        <v>PR</v>
      </c>
      <c r="L2304" s="26" t="str">
        <f t="shared" si="385"/>
        <v>DGOSE</v>
      </c>
      <c r="M2304" s="26" t="str">
        <f t="shared" si="380"/>
        <v>PARTICULAR</v>
      </c>
      <c r="N2304" s="26">
        <v>56</v>
      </c>
      <c r="O2304" s="26">
        <v>33</v>
      </c>
      <c r="P2304" s="26">
        <v>23</v>
      </c>
      <c r="Q2304" s="26">
        <v>6</v>
      </c>
      <c r="R2304" s="26">
        <v>1</v>
      </c>
      <c r="S2304" s="26">
        <v>6</v>
      </c>
      <c r="T2304" s="26">
        <v>10</v>
      </c>
      <c r="U2304" s="26">
        <v>17</v>
      </c>
      <c r="V2304" s="26">
        <v>1</v>
      </c>
      <c r="W2304" s="26"/>
    </row>
    <row r="2305" spans="1:23" x14ac:dyDescent="0.25">
      <c r="A2305" s="26" t="str">
        <f t="shared" si="376"/>
        <v>PRIMARIA</v>
      </c>
      <c r="B2305" s="26" t="str">
        <f>"09PPR0381R"</f>
        <v>09PPR0381R</v>
      </c>
      <c r="C2305" s="26" t="str">
        <f>"SOR JUANA INES DE LA CRUZ                                                                           "</f>
        <v xml:space="preserve">SOR JUANA INES DE LA CRUZ                                                                           </v>
      </c>
      <c r="D2305" s="26" t="str">
        <f t="shared" si="377"/>
        <v>MATUTINO</v>
      </c>
      <c r="E2305" s="26" t="str">
        <f>"SALVADOR ALVARADO 175                                                           "</f>
        <v xml:space="preserve">SALVADOR ALVARADO 175                                                           </v>
      </c>
      <c r="F2305" s="26" t="str">
        <f>"CONDESA                                                                                                                                     "</f>
        <v xml:space="preserve">CONDESA                                                                                                                                     </v>
      </c>
      <c r="G2305" s="26" t="str">
        <f>"CUAUHTEMOC                                                                      "</f>
        <v xml:space="preserve">CUAUHTEMOC                                                                      </v>
      </c>
      <c r="H2305" s="26" t="str">
        <f>"000"</f>
        <v>000</v>
      </c>
      <c r="I2305" s="26" t="str">
        <f t="shared" si="378"/>
        <v>00</v>
      </c>
      <c r="J2305" s="26" t="str">
        <f>"42 "</f>
        <v xml:space="preserve">42 </v>
      </c>
      <c r="K2305" s="26" t="str">
        <f t="shared" si="384"/>
        <v>PR</v>
      </c>
      <c r="L2305" s="26" t="str">
        <f t="shared" si="385"/>
        <v>DGOSE</v>
      </c>
      <c r="M2305" s="26" t="str">
        <f t="shared" si="380"/>
        <v>PARTICULAR</v>
      </c>
      <c r="N2305" s="26">
        <v>36</v>
      </c>
      <c r="O2305" s="26">
        <v>31</v>
      </c>
      <c r="P2305" s="26">
        <v>5</v>
      </c>
      <c r="Q2305" s="26">
        <v>6</v>
      </c>
      <c r="R2305" s="26">
        <v>1</v>
      </c>
      <c r="S2305" s="26">
        <v>3</v>
      </c>
      <c r="T2305" s="26">
        <v>12</v>
      </c>
      <c r="U2305" s="26">
        <v>16</v>
      </c>
      <c r="V2305" s="26">
        <v>1</v>
      </c>
      <c r="W2305" s="26"/>
    </row>
    <row r="2306" spans="1:23" x14ac:dyDescent="0.25">
      <c r="A2306" s="26" t="str">
        <f t="shared" ref="A2306:A2369" si="386">"PRIMARIA"</f>
        <v>PRIMARIA</v>
      </c>
      <c r="B2306" s="26" t="str">
        <f>"09PPR0382Q"</f>
        <v>09PPR0382Q</v>
      </c>
      <c r="C2306" s="26" t="str">
        <f>"TRABAJADORES DEL CAMPO                                                                              "</f>
        <v xml:space="preserve">TRABAJADORES DEL CAMPO                                                                              </v>
      </c>
      <c r="D2306" s="26" t="str">
        <f t="shared" ref="D2306:D2369" si="387">"MATUTINO"</f>
        <v>MATUTINO</v>
      </c>
      <c r="E2306" s="26" t="str">
        <f>"AURELIO RUELAS NUM 43                                                           "</f>
        <v xml:space="preserve">AURELIO RUELAS NUM 43                                                           </v>
      </c>
      <c r="F2306" s="26" t="str">
        <f>"MIGUEL HIDALGO                                                                                                                              "</f>
        <v xml:space="preserve">MIGUEL HIDALGO                                                                                                                              </v>
      </c>
      <c r="G2306" s="26" t="str">
        <f>"TLALPAN                                                                         "</f>
        <v xml:space="preserve">TLALPAN                                                                         </v>
      </c>
      <c r="H2306" s="26" t="str">
        <f>"517"</f>
        <v>517</v>
      </c>
      <c r="I2306" s="26" t="str">
        <f t="shared" ref="I2306:I2369" si="388">"00"</f>
        <v>00</v>
      </c>
      <c r="J2306" s="26" t="str">
        <f>"45 "</f>
        <v xml:space="preserve">45 </v>
      </c>
      <c r="K2306" s="26" t="str">
        <f t="shared" si="384"/>
        <v>PR</v>
      </c>
      <c r="L2306" s="26" t="str">
        <f t="shared" si="385"/>
        <v>DGOSE</v>
      </c>
      <c r="M2306" s="26" t="str">
        <f t="shared" si="380"/>
        <v>PARTICULAR</v>
      </c>
      <c r="N2306" s="26">
        <v>70</v>
      </c>
      <c r="O2306" s="26">
        <v>40</v>
      </c>
      <c r="P2306" s="26">
        <v>30</v>
      </c>
      <c r="Q2306" s="26">
        <v>6</v>
      </c>
      <c r="R2306" s="26">
        <v>1</v>
      </c>
      <c r="S2306" s="26">
        <v>6</v>
      </c>
      <c r="T2306" s="26">
        <v>7</v>
      </c>
      <c r="U2306" s="26">
        <v>14</v>
      </c>
      <c r="V2306" s="26">
        <v>1</v>
      </c>
      <c r="W2306" s="26"/>
    </row>
    <row r="2307" spans="1:23" x14ac:dyDescent="0.25">
      <c r="A2307" s="26" t="str">
        <f t="shared" si="386"/>
        <v>PRIMARIA</v>
      </c>
      <c r="B2307" s="26" t="str">
        <f>"09PPR0383P"</f>
        <v>09PPR0383P</v>
      </c>
      <c r="C2307" s="26" t="str">
        <f>"CAMARA DE COMERCIO                                                                                  "</f>
        <v xml:space="preserve">CAMARA DE COMERCIO                                                                                  </v>
      </c>
      <c r="D2307" s="26" t="str">
        <f t="shared" si="387"/>
        <v>MATUTINO</v>
      </c>
      <c r="E2307" s="26" t="str">
        <f>"GUANAJUATO NO. 69                                                               "</f>
        <v xml:space="preserve">GUANAJUATO NO. 69                                                               </v>
      </c>
      <c r="F2307" s="26" t="str">
        <f>"ROMA NORTE                                                                                                                                  "</f>
        <v xml:space="preserve">ROMA NORTE                                                                                                                                  </v>
      </c>
      <c r="G2307" s="26" t="str">
        <f>"CUAUHTEMOC                                                                      "</f>
        <v xml:space="preserve">CUAUHTEMOC                                                                      </v>
      </c>
      <c r="H2307" s="26" t="str">
        <f>"000"</f>
        <v>000</v>
      </c>
      <c r="I2307" s="26" t="str">
        <f t="shared" si="388"/>
        <v>00</v>
      </c>
      <c r="J2307" s="26" t="str">
        <f>"42 "</f>
        <v xml:space="preserve">42 </v>
      </c>
      <c r="K2307" s="26" t="str">
        <f t="shared" si="384"/>
        <v>PR</v>
      </c>
      <c r="L2307" s="26" t="str">
        <f t="shared" si="385"/>
        <v>DGOSE</v>
      </c>
      <c r="M2307" s="26" t="str">
        <f t="shared" si="380"/>
        <v>PARTICULAR</v>
      </c>
      <c r="N2307" s="26">
        <v>383</v>
      </c>
      <c r="O2307" s="26">
        <v>187</v>
      </c>
      <c r="P2307" s="26">
        <v>196</v>
      </c>
      <c r="Q2307" s="26">
        <v>15</v>
      </c>
      <c r="R2307" s="26">
        <v>1</v>
      </c>
      <c r="S2307" s="26">
        <v>7</v>
      </c>
      <c r="T2307" s="26">
        <v>14</v>
      </c>
      <c r="U2307" s="26">
        <v>22</v>
      </c>
      <c r="V2307" s="26">
        <v>1</v>
      </c>
      <c r="W2307" s="26"/>
    </row>
    <row r="2308" spans="1:23" x14ac:dyDescent="0.25">
      <c r="A2308" s="26" t="str">
        <f t="shared" si="386"/>
        <v>PRIMARIA</v>
      </c>
      <c r="B2308" s="26" t="str">
        <f>"09PPR0387L"</f>
        <v>09PPR0387L</v>
      </c>
      <c r="C2308" s="26" t="str">
        <f>"COLEGIO SIMON BOLIVAR DEL PEDREGAL                                                                  "</f>
        <v xml:space="preserve">COLEGIO SIMON BOLIVAR DEL PEDREGAL                                                                  </v>
      </c>
      <c r="D2308" s="26" t="str">
        <f t="shared" si="387"/>
        <v>MATUTINO</v>
      </c>
      <c r="E2308" s="26" t="str">
        <f>"CAMINO SANTA TERESA 71                                                          "</f>
        <v xml:space="preserve">CAMINO SANTA TERESA 71                                                          </v>
      </c>
      <c r="F2308" s="26" t="str">
        <f>"JARDINES DEL PEDREGAL                                                                                                                       "</f>
        <v xml:space="preserve">JARDINES DEL PEDREGAL                                                                                                                       </v>
      </c>
      <c r="G2308" s="26" t="str">
        <f>"ALVARO OBREGON                                                                  "</f>
        <v xml:space="preserve">ALVARO OBREGON                                                                  </v>
      </c>
      <c r="H2308" s="26" t="str">
        <f>"327"</f>
        <v>327</v>
      </c>
      <c r="I2308" s="26" t="str">
        <f t="shared" si="388"/>
        <v>00</v>
      </c>
      <c r="J2308" s="26" t="str">
        <f>"43 "</f>
        <v xml:space="preserve">43 </v>
      </c>
      <c r="K2308" s="26" t="str">
        <f t="shared" si="384"/>
        <v>PR</v>
      </c>
      <c r="L2308" s="26" t="str">
        <f t="shared" si="385"/>
        <v>DGOSE</v>
      </c>
      <c r="M2308" s="26" t="str">
        <f t="shared" si="380"/>
        <v>PARTICULAR</v>
      </c>
      <c r="N2308" s="26">
        <v>84</v>
      </c>
      <c r="O2308" s="26">
        <v>44</v>
      </c>
      <c r="P2308" s="26">
        <v>40</v>
      </c>
      <c r="Q2308" s="26">
        <v>6</v>
      </c>
      <c r="R2308" s="26">
        <v>1</v>
      </c>
      <c r="S2308" s="26">
        <v>3</v>
      </c>
      <c r="T2308" s="26">
        <v>7</v>
      </c>
      <c r="U2308" s="26">
        <v>11</v>
      </c>
      <c r="V2308" s="26">
        <v>1</v>
      </c>
      <c r="W2308" s="26"/>
    </row>
    <row r="2309" spans="1:23" x14ac:dyDescent="0.25">
      <c r="A2309" s="26" t="str">
        <f t="shared" si="386"/>
        <v>PRIMARIA</v>
      </c>
      <c r="B2309" s="26" t="str">
        <f>"09PPR0388K"</f>
        <v>09PPR0388K</v>
      </c>
      <c r="C2309" s="26" t="str">
        <f>"LA PAZ                                                                                              "</f>
        <v xml:space="preserve">LA PAZ                                                                                              </v>
      </c>
      <c r="D2309" s="26" t="str">
        <f t="shared" si="387"/>
        <v>MATUTINO</v>
      </c>
      <c r="E2309" s="26" t="str">
        <f>"PROLG 5 DE MAYO NO 283                                                          "</f>
        <v xml:space="preserve">PROLG 5 DE MAYO NO 283                                                          </v>
      </c>
      <c r="F2309" s="26" t="str">
        <f>"SAN PEDRO MARTIR                                                                                                                            "</f>
        <v xml:space="preserve">SAN PEDRO MARTIR                                                                                                                            </v>
      </c>
      <c r="G2309" s="26" t="str">
        <f>"TLALPAN                                                                         "</f>
        <v xml:space="preserve">TLALPAN                                                                         </v>
      </c>
      <c r="H2309" s="26" t="str">
        <f>"528"</f>
        <v>528</v>
      </c>
      <c r="I2309" s="26" t="str">
        <f t="shared" si="388"/>
        <v>00</v>
      </c>
      <c r="J2309" s="26" t="str">
        <f>"45 "</f>
        <v xml:space="preserve">45 </v>
      </c>
      <c r="K2309" s="26" t="str">
        <f t="shared" si="384"/>
        <v>PR</v>
      </c>
      <c r="L2309" s="26" t="str">
        <f t="shared" si="385"/>
        <v>DGOSE</v>
      </c>
      <c r="M2309" s="26" t="str">
        <f t="shared" si="380"/>
        <v>PARTICULAR</v>
      </c>
      <c r="N2309" s="26">
        <v>116</v>
      </c>
      <c r="O2309" s="26">
        <v>50</v>
      </c>
      <c r="P2309" s="26">
        <v>66</v>
      </c>
      <c r="Q2309" s="26">
        <v>6</v>
      </c>
      <c r="R2309" s="26">
        <v>1</v>
      </c>
      <c r="S2309" s="26">
        <v>5</v>
      </c>
      <c r="T2309" s="26">
        <v>4</v>
      </c>
      <c r="U2309" s="26">
        <v>10</v>
      </c>
      <c r="V2309" s="26">
        <v>1</v>
      </c>
      <c r="W2309" s="26"/>
    </row>
    <row r="2310" spans="1:23" x14ac:dyDescent="0.25">
      <c r="A2310" s="26" t="str">
        <f t="shared" si="386"/>
        <v>PRIMARIA</v>
      </c>
      <c r="B2310" s="26" t="str">
        <f>"09PPR0389J"</f>
        <v>09PPR0389J</v>
      </c>
      <c r="C2310" s="26" t="str">
        <f>"AVANTE                                                                                              "</f>
        <v xml:space="preserve">AVANTE                                                                                              </v>
      </c>
      <c r="D2310" s="26" t="str">
        <f t="shared" si="387"/>
        <v>MATUTINO</v>
      </c>
      <c r="E2310" s="26" t="str">
        <f>"ADOLFO PRIETO 1810                                                              "</f>
        <v xml:space="preserve">ADOLFO PRIETO 1810                                                              </v>
      </c>
      <c r="F2310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2310" s="26" t="str">
        <f>"BENITO JUAREZ                                                                   "</f>
        <v xml:space="preserve">BENITO JUAREZ                                                                   </v>
      </c>
      <c r="H2310" s="26" t="str">
        <f>"000"</f>
        <v>000</v>
      </c>
      <c r="I2310" s="26" t="str">
        <f t="shared" si="388"/>
        <v>00</v>
      </c>
      <c r="J2310" s="26" t="str">
        <f>"43 "</f>
        <v xml:space="preserve">43 </v>
      </c>
      <c r="K2310" s="26" t="str">
        <f t="shared" si="384"/>
        <v>PR</v>
      </c>
      <c r="L2310" s="26" t="str">
        <f t="shared" si="385"/>
        <v>DGOSE</v>
      </c>
      <c r="M2310" s="26" t="str">
        <f t="shared" si="380"/>
        <v>PARTICULAR</v>
      </c>
      <c r="N2310" s="26">
        <v>180</v>
      </c>
      <c r="O2310" s="26">
        <v>94</v>
      </c>
      <c r="P2310" s="26">
        <v>86</v>
      </c>
      <c r="Q2310" s="26">
        <v>12</v>
      </c>
      <c r="R2310" s="26">
        <v>1</v>
      </c>
      <c r="S2310" s="26">
        <v>12</v>
      </c>
      <c r="T2310" s="26">
        <v>24</v>
      </c>
      <c r="U2310" s="26">
        <v>37</v>
      </c>
      <c r="V2310" s="26">
        <v>1</v>
      </c>
      <c r="W2310" s="26"/>
    </row>
    <row r="2311" spans="1:23" x14ac:dyDescent="0.25">
      <c r="A2311" s="26" t="str">
        <f t="shared" si="386"/>
        <v>PRIMARIA</v>
      </c>
      <c r="B2311" s="26" t="str">
        <f>"09PPR0390Z"</f>
        <v>09PPR0390Z</v>
      </c>
      <c r="C2311" s="26" t="str">
        <f>"INSTITUTO ALBERTO EINSTEIN                                                                          "</f>
        <v xml:space="preserve">INSTITUTO ALBERTO EINSTEIN                                                                          </v>
      </c>
      <c r="D2311" s="26" t="str">
        <f t="shared" si="387"/>
        <v>MATUTINO</v>
      </c>
      <c r="E2311" s="26" t="str">
        <f>"LAGO MERU 63                                                                    "</f>
        <v xml:space="preserve">LAGO MERU 63                                                                    </v>
      </c>
      <c r="F2311" s="26" t="str">
        <f>"GRANADA                                                                                                                                     "</f>
        <v xml:space="preserve">GRANADA                                                                                                                                     </v>
      </c>
      <c r="G2311" s="26" t="str">
        <f>"MIGUEL HIDALGO                                                                  "</f>
        <v xml:space="preserve">MIGUEL HIDALGO                                                                  </v>
      </c>
      <c r="H2311" s="26" t="str">
        <f>"214"</f>
        <v>214</v>
      </c>
      <c r="I2311" s="26" t="str">
        <f t="shared" si="388"/>
        <v>00</v>
      </c>
      <c r="J2311" s="26" t="str">
        <f>"42 "</f>
        <v xml:space="preserve">42 </v>
      </c>
      <c r="K2311" s="26" t="str">
        <f t="shared" si="384"/>
        <v>PR</v>
      </c>
      <c r="L2311" s="26" t="str">
        <f t="shared" si="385"/>
        <v>DGOSE</v>
      </c>
      <c r="M2311" s="26" t="str">
        <f t="shared" si="380"/>
        <v>PARTICULAR</v>
      </c>
      <c r="N2311" s="26">
        <v>315</v>
      </c>
      <c r="O2311" s="26">
        <v>0</v>
      </c>
      <c r="P2311" s="26">
        <v>315</v>
      </c>
      <c r="Q2311" s="26">
        <v>18</v>
      </c>
      <c r="R2311" s="26">
        <v>1</v>
      </c>
      <c r="S2311" s="26">
        <v>10</v>
      </c>
      <c r="T2311" s="26">
        <v>16</v>
      </c>
      <c r="U2311" s="26">
        <v>27</v>
      </c>
      <c r="V2311" s="26">
        <v>1</v>
      </c>
      <c r="W2311" s="26"/>
    </row>
    <row r="2312" spans="1:23" x14ac:dyDescent="0.25">
      <c r="A2312" s="26" t="str">
        <f t="shared" si="386"/>
        <v>PRIMARIA</v>
      </c>
      <c r="B2312" s="26" t="str">
        <f>"09PPR0396T"</f>
        <v>09PPR0396T</v>
      </c>
      <c r="C2312" s="26" t="str">
        <f>"CENTRO ESCOLAR MORELOS                                                                              "</f>
        <v xml:space="preserve">CENTRO ESCOLAR MORELOS                                                                              </v>
      </c>
      <c r="D2312" s="26" t="str">
        <f t="shared" si="387"/>
        <v>MATUTINO</v>
      </c>
      <c r="E2312" s="26" t="str">
        <f>"AV MORELOS NO 665                                                               "</f>
        <v xml:space="preserve">AV MORELOS NO 665                                                               </v>
      </c>
      <c r="F2312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2312" s="26" t="str">
        <f>"VENUSTIANO CARRANZA                                                             "</f>
        <v xml:space="preserve">VENUSTIANO CARRANZA                                                             </v>
      </c>
      <c r="H2312" s="26" t="str">
        <f>"347"</f>
        <v>347</v>
      </c>
      <c r="I2312" s="26" t="str">
        <f t="shared" si="388"/>
        <v>00</v>
      </c>
      <c r="J2312" s="26" t="str">
        <f>"43 "</f>
        <v xml:space="preserve">43 </v>
      </c>
      <c r="K2312" s="26" t="str">
        <f t="shared" si="384"/>
        <v>PR</v>
      </c>
      <c r="L2312" s="26" t="str">
        <f t="shared" si="385"/>
        <v>DGOSE</v>
      </c>
      <c r="M2312" s="26" t="str">
        <f t="shared" si="380"/>
        <v>PARTICULAR</v>
      </c>
      <c r="N2312" s="26">
        <v>273</v>
      </c>
      <c r="O2312" s="26">
        <v>133</v>
      </c>
      <c r="P2312" s="26">
        <v>140</v>
      </c>
      <c r="Q2312" s="26">
        <v>12</v>
      </c>
      <c r="R2312" s="26">
        <v>1</v>
      </c>
      <c r="S2312" s="26">
        <v>6</v>
      </c>
      <c r="T2312" s="26">
        <v>14</v>
      </c>
      <c r="U2312" s="26">
        <v>21</v>
      </c>
      <c r="V2312" s="26">
        <v>1</v>
      </c>
      <c r="W2312" s="26"/>
    </row>
    <row r="2313" spans="1:23" x14ac:dyDescent="0.25">
      <c r="A2313" s="26" t="str">
        <f t="shared" si="386"/>
        <v>PRIMARIA</v>
      </c>
      <c r="B2313" s="26" t="str">
        <f>"09PPR0397S"</f>
        <v>09PPR0397S</v>
      </c>
      <c r="C2313" s="26" t="str">
        <f>"NARCISO MENDOZA                                                                                     "</f>
        <v xml:space="preserve">NARCISO MENDOZA                                                                                     </v>
      </c>
      <c r="D2313" s="26" t="str">
        <f t="shared" si="387"/>
        <v>MATUTINO</v>
      </c>
      <c r="E2313" s="26" t="str">
        <f>"CORONEL LINO MERINO NO. 822                                                     "</f>
        <v xml:space="preserve">CORONEL LINO MERINO NO. 822                                                     </v>
      </c>
      <c r="F2313" s="26" t="str">
        <f>"JUAN ESCUTIA                                                                                                                                "</f>
        <v xml:space="preserve">JUAN ESCUTIA                                                                                                                                </v>
      </c>
      <c r="G2313" s="26" t="str">
        <f>"IZTAPALAPA                                                                      "</f>
        <v xml:space="preserve">IZTAPALAPA                                                                      </v>
      </c>
      <c r="H2313" s="26" t="str">
        <f>"000"</f>
        <v>000</v>
      </c>
      <c r="I2313" s="26" t="str">
        <f t="shared" si="388"/>
        <v>00</v>
      </c>
      <c r="J2313" s="26" t="str">
        <f>"62 "</f>
        <v xml:space="preserve">62 </v>
      </c>
      <c r="K2313" s="26" t="str">
        <f>"IZ"</f>
        <v>IZ</v>
      </c>
      <c r="L2313" s="26" t="str">
        <f>"DGSEI"</f>
        <v>DGSEI</v>
      </c>
      <c r="M2313" s="26" t="str">
        <f t="shared" si="380"/>
        <v>PARTICULAR</v>
      </c>
      <c r="N2313" s="26">
        <v>253</v>
      </c>
      <c r="O2313" s="26">
        <v>134</v>
      </c>
      <c r="P2313" s="26">
        <v>119</v>
      </c>
      <c r="Q2313" s="26">
        <v>12</v>
      </c>
      <c r="R2313" s="26">
        <v>1</v>
      </c>
      <c r="S2313" s="26">
        <v>12</v>
      </c>
      <c r="T2313" s="26">
        <v>6</v>
      </c>
      <c r="U2313" s="26">
        <v>19</v>
      </c>
      <c r="V2313" s="26">
        <v>1</v>
      </c>
      <c r="W2313" s="26"/>
    </row>
    <row r="2314" spans="1:23" x14ac:dyDescent="0.25">
      <c r="A2314" s="26" t="str">
        <f t="shared" si="386"/>
        <v>PRIMARIA</v>
      </c>
      <c r="B2314" s="26" t="str">
        <f>"09PPR0398R"</f>
        <v>09PPR0398R</v>
      </c>
      <c r="C2314" s="26" t="str">
        <f>"PRADO CHURUBUSCO                                                                                    "</f>
        <v xml:space="preserve">PRADO CHURUBUSCO                                                                                    </v>
      </c>
      <c r="D2314" s="26" t="str">
        <f t="shared" si="387"/>
        <v>MATUTINO</v>
      </c>
      <c r="E2314" s="26" t="str">
        <f>"AURIGA NO. 100                                                                  "</f>
        <v xml:space="preserve">AURIGA NO. 100                                                                  </v>
      </c>
      <c r="F2314" s="26" t="str">
        <f>"PRADO CHURUBUSCO                                                                                                                            "</f>
        <v xml:space="preserve">PRADO CHURUBUSCO                                                                                                                            </v>
      </c>
      <c r="G2314" s="26" t="str">
        <f>"COYOACAN                                                                        "</f>
        <v xml:space="preserve">COYOACAN                                                                        </v>
      </c>
      <c r="H2314" s="26" t="str">
        <f>"509"</f>
        <v>509</v>
      </c>
      <c r="I2314" s="26" t="str">
        <f t="shared" si="388"/>
        <v>00</v>
      </c>
      <c r="J2314" s="26" t="str">
        <f>"45 "</f>
        <v xml:space="preserve">45 </v>
      </c>
      <c r="K2314" s="26" t="str">
        <f>"PR"</f>
        <v>PR</v>
      </c>
      <c r="L2314" s="26" t="str">
        <f>"DGOSE"</f>
        <v>DGOSE</v>
      </c>
      <c r="M2314" s="26" t="str">
        <f t="shared" si="380"/>
        <v>PARTICULAR</v>
      </c>
      <c r="N2314" s="26">
        <v>29</v>
      </c>
      <c r="O2314" s="26">
        <v>18</v>
      </c>
      <c r="P2314" s="26">
        <v>11</v>
      </c>
      <c r="Q2314" s="26">
        <v>6</v>
      </c>
      <c r="R2314" s="26">
        <v>1</v>
      </c>
      <c r="S2314" s="26">
        <v>6</v>
      </c>
      <c r="T2314" s="26">
        <v>3</v>
      </c>
      <c r="U2314" s="26">
        <v>10</v>
      </c>
      <c r="V2314" s="26">
        <v>1</v>
      </c>
      <c r="W2314" s="26"/>
    </row>
    <row r="2315" spans="1:23" x14ac:dyDescent="0.25">
      <c r="A2315" s="26" t="str">
        <f t="shared" si="386"/>
        <v>PRIMARIA</v>
      </c>
      <c r="B2315" s="26" t="str">
        <f>"09PPR0399Q"</f>
        <v>09PPR0399Q</v>
      </c>
      <c r="C2315" s="26" t="str">
        <f>"JOSE ENCARNACION GONZALEZ VILLASEÑOR                                                                "</f>
        <v xml:space="preserve">JOSE ENCARNACION GONZALEZ VILLASEÑOR                                                                </v>
      </c>
      <c r="D2315" s="26" t="str">
        <f t="shared" si="387"/>
        <v>MATUTINO</v>
      </c>
      <c r="E2315" s="26" t="str">
        <f>"ALLENDE NO. 108                                                                 "</f>
        <v xml:space="preserve">ALLENDE NO. 108                                                                 </v>
      </c>
      <c r="F2315" s="26" t="str">
        <f>"SAN PEDRO                                                                                                                                   "</f>
        <v xml:space="preserve">SAN PEDRO                                                                                                                                   </v>
      </c>
      <c r="G2315" s="26" t="str">
        <f>"IZTAPALAPA                                                                      "</f>
        <v xml:space="preserve">IZTAPALAPA                                                                      </v>
      </c>
      <c r="H2315" s="26" t="str">
        <f>"000"</f>
        <v>000</v>
      </c>
      <c r="I2315" s="26" t="str">
        <f t="shared" si="388"/>
        <v>00</v>
      </c>
      <c r="J2315" s="26" t="str">
        <f>"61 "</f>
        <v xml:space="preserve">61 </v>
      </c>
      <c r="K2315" s="26" t="str">
        <f>"IZ"</f>
        <v>IZ</v>
      </c>
      <c r="L2315" s="26" t="str">
        <f>"DGSEI"</f>
        <v>DGSEI</v>
      </c>
      <c r="M2315" s="26" t="str">
        <f t="shared" si="380"/>
        <v>PARTICULAR</v>
      </c>
      <c r="N2315" s="26">
        <v>155</v>
      </c>
      <c r="O2315" s="26">
        <v>76</v>
      </c>
      <c r="P2315" s="26">
        <v>79</v>
      </c>
      <c r="Q2315" s="26">
        <v>7</v>
      </c>
      <c r="R2315" s="26">
        <v>1</v>
      </c>
      <c r="S2315" s="26">
        <v>7</v>
      </c>
      <c r="T2315" s="26">
        <v>4</v>
      </c>
      <c r="U2315" s="26">
        <v>12</v>
      </c>
      <c r="V2315" s="26">
        <v>1</v>
      </c>
      <c r="W2315" s="26"/>
    </row>
    <row r="2316" spans="1:23" x14ac:dyDescent="0.25">
      <c r="A2316" s="26" t="str">
        <f t="shared" si="386"/>
        <v>PRIMARIA</v>
      </c>
      <c r="B2316" s="26" t="str">
        <f>"09PPR0400P"</f>
        <v>09PPR0400P</v>
      </c>
      <c r="C2316" s="26" t="str">
        <f>"FERNANDO DE ALVA                                                                                    "</f>
        <v xml:space="preserve">FERNANDO DE ALVA                                                                                    </v>
      </c>
      <c r="D2316" s="26" t="str">
        <f t="shared" si="387"/>
        <v>MATUTINO</v>
      </c>
      <c r="E2316" s="26" t="str">
        <f>"PURISIMA 10-BIS                                                                 "</f>
        <v xml:space="preserve">PURISIMA 10-BIS                                                                 </v>
      </c>
      <c r="F2316" s="26" t="str">
        <f>"SANTA MARIA TOMATLAN                                                                                                                        "</f>
        <v xml:space="preserve">SANTA MARIA TOMATLAN                                                                                                                        </v>
      </c>
      <c r="G2316" s="26" t="str">
        <f>"IZTAPALAPA                                                                      "</f>
        <v xml:space="preserve">IZTAPALAPA                                                                      </v>
      </c>
      <c r="H2316" s="26" t="str">
        <f>"000"</f>
        <v>000</v>
      </c>
      <c r="I2316" s="26" t="str">
        <f t="shared" si="388"/>
        <v>00</v>
      </c>
      <c r="J2316" s="26" t="str">
        <f>"63 "</f>
        <v xml:space="preserve">63 </v>
      </c>
      <c r="K2316" s="26" t="str">
        <f>"IZ"</f>
        <v>IZ</v>
      </c>
      <c r="L2316" s="26" t="str">
        <f>"DGSEI"</f>
        <v>DGSEI</v>
      </c>
      <c r="M2316" s="26" t="str">
        <f t="shared" si="380"/>
        <v>PARTICULAR</v>
      </c>
      <c r="N2316" s="26">
        <v>43</v>
      </c>
      <c r="O2316" s="26">
        <v>25</v>
      </c>
      <c r="P2316" s="26">
        <v>18</v>
      </c>
      <c r="Q2316" s="26">
        <v>6</v>
      </c>
      <c r="R2316" s="26">
        <v>1</v>
      </c>
      <c r="S2316" s="26">
        <v>6</v>
      </c>
      <c r="T2316" s="26">
        <v>6</v>
      </c>
      <c r="U2316" s="26">
        <v>13</v>
      </c>
      <c r="V2316" s="26">
        <v>1</v>
      </c>
      <c r="W2316" s="26"/>
    </row>
    <row r="2317" spans="1:23" x14ac:dyDescent="0.25">
      <c r="A2317" s="26" t="str">
        <f t="shared" si="386"/>
        <v>PRIMARIA</v>
      </c>
      <c r="B2317" s="26" t="str">
        <f>"09PPR0401O"</f>
        <v>09PPR0401O</v>
      </c>
      <c r="C2317" s="26" t="str">
        <f>"LICEO MEXICANO JAPONES                                                                              "</f>
        <v xml:space="preserve">LICEO MEXICANO JAPONES                                                                              </v>
      </c>
      <c r="D2317" s="26" t="str">
        <f t="shared" si="387"/>
        <v>MATUTINO</v>
      </c>
      <c r="E2317" s="26" t="str">
        <f>"CAMINO SANTA TERESA NO 1500                                                     "</f>
        <v xml:space="preserve">CAMINO SANTA TERESA NO 1500                                                     </v>
      </c>
      <c r="F2317" s="26" t="str">
        <f>"JARDINES DEL PEDREGAL                                                                                                                       "</f>
        <v xml:space="preserve">JARDINES DEL PEDREGAL                                                                                                                       </v>
      </c>
      <c r="G2317" s="26" t="str">
        <f>"ALVARO OBREGON                                                                  "</f>
        <v xml:space="preserve">ALVARO OBREGON                                                                  </v>
      </c>
      <c r="H2317" s="26" t="str">
        <f>"327"</f>
        <v>327</v>
      </c>
      <c r="I2317" s="26" t="str">
        <f t="shared" si="388"/>
        <v>00</v>
      </c>
      <c r="J2317" s="26" t="str">
        <f>"43 "</f>
        <v xml:space="preserve">43 </v>
      </c>
      <c r="K2317" s="26" t="str">
        <f>"PR"</f>
        <v>PR</v>
      </c>
      <c r="L2317" s="26" t="str">
        <f>"DGOSE"</f>
        <v>DGOSE</v>
      </c>
      <c r="M2317" s="26" t="str">
        <f t="shared" si="380"/>
        <v>PARTICULAR</v>
      </c>
      <c r="N2317" s="26">
        <v>361</v>
      </c>
      <c r="O2317" s="26">
        <v>194</v>
      </c>
      <c r="P2317" s="26">
        <v>167</v>
      </c>
      <c r="Q2317" s="26">
        <v>18</v>
      </c>
      <c r="R2317" s="26">
        <v>1</v>
      </c>
      <c r="S2317" s="26">
        <v>18</v>
      </c>
      <c r="T2317" s="26">
        <v>24</v>
      </c>
      <c r="U2317" s="26">
        <v>43</v>
      </c>
      <c r="V2317" s="26">
        <v>1</v>
      </c>
      <c r="W2317" s="26"/>
    </row>
    <row r="2318" spans="1:23" x14ac:dyDescent="0.25">
      <c r="A2318" s="26" t="str">
        <f t="shared" si="386"/>
        <v>PRIMARIA</v>
      </c>
      <c r="B2318" s="26" t="str">
        <f>"09PPR0403M"</f>
        <v>09PPR0403M</v>
      </c>
      <c r="C2318" s="26" t="str">
        <f>"IGNACIO M. ALTAMIRANO                                                                               "</f>
        <v xml:space="preserve">IGNACIO M. ALTAMIRANO                                                                               </v>
      </c>
      <c r="D2318" s="26" t="str">
        <f t="shared" si="387"/>
        <v>MATUTINO</v>
      </c>
      <c r="E2318" s="26" t="str">
        <f>"PROSPERIDAD 91                                                                  "</f>
        <v xml:space="preserve">PROSPERIDAD 91                                                                  </v>
      </c>
      <c r="F2318" s="26" t="str">
        <f>"ESCANDON II                                                                                                                                 "</f>
        <v xml:space="preserve">ESCANDON II                                                                                                                                 </v>
      </c>
      <c r="G2318" s="26" t="str">
        <f>"MIGUEL HIDALGO                                                                  "</f>
        <v xml:space="preserve">MIGUEL HIDALGO                                                                  </v>
      </c>
      <c r="H2318" s="26" t="str">
        <f>"211"</f>
        <v>211</v>
      </c>
      <c r="I2318" s="26" t="str">
        <f t="shared" si="388"/>
        <v>00</v>
      </c>
      <c r="J2318" s="26" t="str">
        <f>"42 "</f>
        <v xml:space="preserve">42 </v>
      </c>
      <c r="K2318" s="26" t="str">
        <f>"PR"</f>
        <v>PR</v>
      </c>
      <c r="L2318" s="26" t="str">
        <f>"DGOSE"</f>
        <v>DGOSE</v>
      </c>
      <c r="M2318" s="26" t="str">
        <f t="shared" si="380"/>
        <v>PARTICULAR</v>
      </c>
      <c r="N2318" s="26">
        <v>92</v>
      </c>
      <c r="O2318" s="26">
        <v>53</v>
      </c>
      <c r="P2318" s="26">
        <v>39</v>
      </c>
      <c r="Q2318" s="26">
        <v>6</v>
      </c>
      <c r="R2318" s="26">
        <v>1</v>
      </c>
      <c r="S2318" s="26">
        <v>6</v>
      </c>
      <c r="T2318" s="26">
        <v>8</v>
      </c>
      <c r="U2318" s="26">
        <v>15</v>
      </c>
      <c r="V2318" s="26">
        <v>1</v>
      </c>
      <c r="W2318" s="26"/>
    </row>
    <row r="2319" spans="1:23" x14ac:dyDescent="0.25">
      <c r="A2319" s="26" t="str">
        <f t="shared" si="386"/>
        <v>PRIMARIA</v>
      </c>
      <c r="B2319" s="26" t="str">
        <f>"09PPR0404L"</f>
        <v>09PPR0404L</v>
      </c>
      <c r="C2319" s="26" t="str">
        <f>"COLEGIO ALEMAN ALEXANDER VON HUMBOLDT                                                               "</f>
        <v xml:space="preserve">COLEGIO ALEMAN ALEXANDER VON HUMBOLDT                                                               </v>
      </c>
      <c r="D2319" s="26" t="str">
        <f t="shared" si="387"/>
        <v>MATUTINO</v>
      </c>
      <c r="E2319" s="26" t="str">
        <f>"CAMINO REAL A XOCHITEPEC 89                                                     "</f>
        <v xml:space="preserve">CAMINO REAL A XOCHITEPEC 89                                                     </v>
      </c>
      <c r="F2319" s="26" t="str">
        <f>"TEPEPAN                                                                                                                                     "</f>
        <v xml:space="preserve">TEPEPAN                                                                                                                                     </v>
      </c>
      <c r="G2319" s="26" t="str">
        <f>"XOCHIMILCO                                                                      "</f>
        <v xml:space="preserve">XOCHIMILCO                                                                      </v>
      </c>
      <c r="H2319" s="26" t="str">
        <f>"532"</f>
        <v>532</v>
      </c>
      <c r="I2319" s="26" t="str">
        <f t="shared" si="388"/>
        <v>00</v>
      </c>
      <c r="J2319" s="26" t="str">
        <f>"45 "</f>
        <v xml:space="preserve">45 </v>
      </c>
      <c r="K2319" s="26" t="str">
        <f>"PR"</f>
        <v>PR</v>
      </c>
      <c r="L2319" s="26" t="str">
        <f>"DGOSE"</f>
        <v>DGOSE</v>
      </c>
      <c r="M2319" s="26" t="str">
        <f t="shared" si="380"/>
        <v>PARTICULAR</v>
      </c>
      <c r="N2319" s="26">
        <v>482</v>
      </c>
      <c r="O2319" s="26">
        <v>245</v>
      </c>
      <c r="P2319" s="26">
        <v>237</v>
      </c>
      <c r="Q2319" s="26">
        <v>27</v>
      </c>
      <c r="R2319" s="26">
        <v>1</v>
      </c>
      <c r="S2319" s="26">
        <v>13</v>
      </c>
      <c r="T2319" s="26">
        <v>36</v>
      </c>
      <c r="U2319" s="26">
        <v>50</v>
      </c>
      <c r="V2319" s="26">
        <v>1</v>
      </c>
      <c r="W2319" s="26"/>
    </row>
    <row r="2320" spans="1:23" x14ac:dyDescent="0.25">
      <c r="A2320" s="26" t="str">
        <f t="shared" si="386"/>
        <v>PRIMARIA</v>
      </c>
      <c r="B2320" s="26" t="str">
        <f>"09PPR0405K"</f>
        <v>09PPR0405K</v>
      </c>
      <c r="C2320" s="26" t="str">
        <f>"COLEGIO LUZ CASANOVA                                                                                "</f>
        <v xml:space="preserve">COLEGIO LUZ CASANOVA                                                                                </v>
      </c>
      <c r="D2320" s="26" t="str">
        <f t="shared" si="387"/>
        <v>MATUTINO</v>
      </c>
      <c r="E2320" s="26" t="str">
        <f>"INSURGENTES NO. 319                                                             "</f>
        <v xml:space="preserve">INSURGENTES NO. 319                                                             </v>
      </c>
      <c r="F2320" s="26" t="str">
        <f>"DESARROLLO URBANO QUETZALCOATL                                                                                                              "</f>
        <v xml:space="preserve">DESARROLLO URBANO QUETZALCOATL                                                                                                              </v>
      </c>
      <c r="G2320" s="26" t="str">
        <f>"IZTAPALAPA                                                                      "</f>
        <v xml:space="preserve">IZTAPALAPA                                                                      </v>
      </c>
      <c r="H2320" s="26" t="str">
        <f>"000"</f>
        <v>000</v>
      </c>
      <c r="I2320" s="26" t="str">
        <f t="shared" si="388"/>
        <v>00</v>
      </c>
      <c r="J2320" s="26" t="str">
        <f>"63 "</f>
        <v xml:space="preserve">63 </v>
      </c>
      <c r="K2320" s="26" t="str">
        <f>"IZ"</f>
        <v>IZ</v>
      </c>
      <c r="L2320" s="26" t="str">
        <f>"DGSEI"</f>
        <v>DGSEI</v>
      </c>
      <c r="M2320" s="26" t="str">
        <f t="shared" si="380"/>
        <v>PARTICULAR</v>
      </c>
      <c r="N2320" s="26">
        <v>282</v>
      </c>
      <c r="O2320" s="26">
        <v>144</v>
      </c>
      <c r="P2320" s="26">
        <v>138</v>
      </c>
      <c r="Q2320" s="26">
        <v>12</v>
      </c>
      <c r="R2320" s="26">
        <v>1</v>
      </c>
      <c r="S2320" s="26">
        <v>11</v>
      </c>
      <c r="T2320" s="26">
        <v>10</v>
      </c>
      <c r="U2320" s="26">
        <v>22</v>
      </c>
      <c r="V2320" s="26">
        <v>1</v>
      </c>
      <c r="W2320" s="26"/>
    </row>
    <row r="2321" spans="1:23" x14ac:dyDescent="0.25">
      <c r="A2321" s="26" t="str">
        <f t="shared" si="386"/>
        <v>PRIMARIA</v>
      </c>
      <c r="B2321" s="26" t="str">
        <f>"09PPR0406J"</f>
        <v>09PPR0406J</v>
      </c>
      <c r="C2321" s="26" t="str">
        <f>"ANDRES QUINTANA ROO                                                                                 "</f>
        <v xml:space="preserve">ANDRES QUINTANA ROO                                                                                 </v>
      </c>
      <c r="D2321" s="26" t="str">
        <f t="shared" si="387"/>
        <v>MATUTINO</v>
      </c>
      <c r="E2321" s="26" t="str">
        <f>"ASTURIAS 193                                                                    "</f>
        <v xml:space="preserve">ASTURIAS 193                                                                    </v>
      </c>
      <c r="F2321" s="26" t="str">
        <f>"ALAMOS                                                                                                                                      "</f>
        <v xml:space="preserve">ALAMOS                                                                                                                                      </v>
      </c>
      <c r="G2321" s="26" t="str">
        <f>"BENITO JUAREZ                                                                   "</f>
        <v xml:space="preserve">BENITO JUAREZ                                                                   </v>
      </c>
      <c r="H2321" s="26" t="str">
        <f>"000"</f>
        <v>000</v>
      </c>
      <c r="I2321" s="26" t="str">
        <f t="shared" si="388"/>
        <v>00</v>
      </c>
      <c r="J2321" s="26" t="str">
        <f>"43 "</f>
        <v xml:space="preserve">43 </v>
      </c>
      <c r="K2321" s="26" t="str">
        <f t="shared" ref="K2321:K2327" si="389">"PR"</f>
        <v>PR</v>
      </c>
      <c r="L2321" s="26" t="str">
        <f t="shared" ref="L2321:L2327" si="390">"DGOSE"</f>
        <v>DGOSE</v>
      </c>
      <c r="M2321" s="26" t="str">
        <f t="shared" si="380"/>
        <v>PARTICULAR</v>
      </c>
      <c r="N2321" s="26">
        <v>359</v>
      </c>
      <c r="O2321" s="26">
        <v>172</v>
      </c>
      <c r="P2321" s="26">
        <v>187</v>
      </c>
      <c r="Q2321" s="26">
        <v>13</v>
      </c>
      <c r="R2321" s="26">
        <v>1</v>
      </c>
      <c r="S2321" s="26">
        <v>13</v>
      </c>
      <c r="T2321" s="26">
        <v>20</v>
      </c>
      <c r="U2321" s="26">
        <v>34</v>
      </c>
      <c r="V2321" s="26">
        <v>1</v>
      </c>
      <c r="W2321" s="26"/>
    </row>
    <row r="2322" spans="1:23" x14ac:dyDescent="0.25">
      <c r="A2322" s="26" t="str">
        <f t="shared" si="386"/>
        <v>PRIMARIA</v>
      </c>
      <c r="B2322" s="26" t="str">
        <f>"09PPR0407I"</f>
        <v>09PPR0407I</v>
      </c>
      <c r="C2322" s="26" t="str">
        <f>"COLUMBIA                                                                                            "</f>
        <v xml:space="preserve">COLUMBIA                                                                                            </v>
      </c>
      <c r="D2322" s="26" t="str">
        <f t="shared" si="387"/>
        <v>MATUTINO</v>
      </c>
      <c r="E2322" s="26" t="str">
        <f>"BONDOJITO #290                                                                  "</f>
        <v xml:space="preserve">BONDOJITO #290                                                                  </v>
      </c>
      <c r="F2322" s="26" t="str">
        <f>"ESTADO DE HIDALGO                                                                                                                           "</f>
        <v xml:space="preserve">ESTADO DE HIDALGO                                                                                                                           </v>
      </c>
      <c r="G2322" s="26" t="str">
        <f>"ALVARO OBREGON                                                                  "</f>
        <v xml:space="preserve">ALVARO OBREGON                                                                  </v>
      </c>
      <c r="H2322" s="26" t="str">
        <f>"307"</f>
        <v>307</v>
      </c>
      <c r="I2322" s="26" t="str">
        <f t="shared" si="388"/>
        <v>00</v>
      </c>
      <c r="J2322" s="26" t="str">
        <f>"43 "</f>
        <v xml:space="preserve">43 </v>
      </c>
      <c r="K2322" s="26" t="str">
        <f t="shared" si="389"/>
        <v>PR</v>
      </c>
      <c r="L2322" s="26" t="str">
        <f t="shared" si="390"/>
        <v>DGOSE</v>
      </c>
      <c r="M2322" s="26" t="str">
        <f t="shared" ref="M2322:M2385" si="391">"PARTICULAR"</f>
        <v>PARTICULAR</v>
      </c>
      <c r="N2322" s="26">
        <v>270</v>
      </c>
      <c r="O2322" s="26">
        <v>143</v>
      </c>
      <c r="P2322" s="26">
        <v>127</v>
      </c>
      <c r="Q2322" s="26">
        <v>16</v>
      </c>
      <c r="R2322" s="26">
        <v>1</v>
      </c>
      <c r="S2322" s="26">
        <v>7</v>
      </c>
      <c r="T2322" s="26">
        <v>14</v>
      </c>
      <c r="U2322" s="26">
        <v>22</v>
      </c>
      <c r="V2322" s="26">
        <v>1</v>
      </c>
      <c r="W2322" s="26"/>
    </row>
    <row r="2323" spans="1:23" x14ac:dyDescent="0.25">
      <c r="A2323" s="26" t="str">
        <f t="shared" si="386"/>
        <v>PRIMARIA</v>
      </c>
      <c r="B2323" s="26" t="str">
        <f>"09PPR0409G"</f>
        <v>09PPR0409G</v>
      </c>
      <c r="C2323" s="26" t="str">
        <f>"PERLA S BUCK                                                                                        "</f>
        <v xml:space="preserve">PERLA S BUCK                                                                                        </v>
      </c>
      <c r="D2323" s="26" t="str">
        <f t="shared" si="387"/>
        <v>MATUTINO</v>
      </c>
      <c r="E2323" s="26" t="str">
        <f>"AV L DE LOS ALDAMAS L 3350 M 247 NUM. 92                                        "</f>
        <v xml:space="preserve">AV L DE LOS ALDAMAS L 3350 M 247 NUM. 92                                        </v>
      </c>
      <c r="F2323" s="26" t="str">
        <f>"SAN FELIPE DE JESUS                                                                                                                         "</f>
        <v xml:space="preserve">SAN FELIPE DE JESUS                                                                                                                         </v>
      </c>
      <c r="G2323" s="26" t="str">
        <f>"GUSTAVO A. MADERO                                                               "</f>
        <v xml:space="preserve">GUSTAVO A. MADERO                                                               </v>
      </c>
      <c r="H2323" s="26" t="str">
        <f>"261"</f>
        <v>261</v>
      </c>
      <c r="I2323" s="26" t="str">
        <f t="shared" si="388"/>
        <v>00</v>
      </c>
      <c r="J2323" s="26" t="str">
        <f>"42 "</f>
        <v xml:space="preserve">42 </v>
      </c>
      <c r="K2323" s="26" t="str">
        <f t="shared" si="389"/>
        <v>PR</v>
      </c>
      <c r="L2323" s="26" t="str">
        <f t="shared" si="390"/>
        <v>DGOSE</v>
      </c>
      <c r="M2323" s="26" t="str">
        <f t="shared" si="391"/>
        <v>PARTICULAR</v>
      </c>
      <c r="N2323" s="26">
        <v>226</v>
      </c>
      <c r="O2323" s="26">
        <v>105</v>
      </c>
      <c r="P2323" s="26">
        <v>121</v>
      </c>
      <c r="Q2323" s="26">
        <v>11</v>
      </c>
      <c r="R2323" s="26">
        <v>1</v>
      </c>
      <c r="S2323" s="26">
        <v>11</v>
      </c>
      <c r="T2323" s="26">
        <v>8</v>
      </c>
      <c r="U2323" s="26">
        <v>20</v>
      </c>
      <c r="V2323" s="26">
        <v>1</v>
      </c>
      <c r="W2323" s="26"/>
    </row>
    <row r="2324" spans="1:23" x14ac:dyDescent="0.25">
      <c r="A2324" s="26" t="str">
        <f t="shared" si="386"/>
        <v>PRIMARIA</v>
      </c>
      <c r="B2324" s="26" t="str">
        <f>"09PPR0410W"</f>
        <v>09PPR0410W</v>
      </c>
      <c r="C2324" s="26" t="str">
        <f>"ABERDEEN                                                                                            "</f>
        <v xml:space="preserve">ABERDEEN                                                                                            </v>
      </c>
      <c r="D2324" s="26" t="str">
        <f t="shared" si="387"/>
        <v>MATUTINO</v>
      </c>
      <c r="E2324" s="26" t="str">
        <f>"NUEVO LEON 134                                                                  "</f>
        <v xml:space="preserve">NUEVO LEON 134                                                                  </v>
      </c>
      <c r="F2324" s="26" t="str">
        <f>"HIPODROMO                                                                                                                                   "</f>
        <v xml:space="preserve">HIPODROMO                                                                                                                                   </v>
      </c>
      <c r="G2324" s="26" t="str">
        <f>"CUAUHTEMOC                                                                      "</f>
        <v xml:space="preserve">CUAUHTEMOC                                                                      </v>
      </c>
      <c r="H2324" s="26" t="str">
        <f>"000"</f>
        <v>000</v>
      </c>
      <c r="I2324" s="26" t="str">
        <f t="shared" si="388"/>
        <v>00</v>
      </c>
      <c r="J2324" s="26" t="str">
        <f>"42 "</f>
        <v xml:space="preserve">42 </v>
      </c>
      <c r="K2324" s="26" t="str">
        <f t="shared" si="389"/>
        <v>PR</v>
      </c>
      <c r="L2324" s="26" t="str">
        <f t="shared" si="390"/>
        <v>DGOSE</v>
      </c>
      <c r="M2324" s="26" t="str">
        <f t="shared" si="391"/>
        <v>PARTICULAR</v>
      </c>
      <c r="N2324" s="26">
        <v>172</v>
      </c>
      <c r="O2324" s="26">
        <v>99</v>
      </c>
      <c r="P2324" s="26">
        <v>73</v>
      </c>
      <c r="Q2324" s="26">
        <v>6</v>
      </c>
      <c r="R2324" s="26">
        <v>1</v>
      </c>
      <c r="S2324" s="26">
        <v>4</v>
      </c>
      <c r="T2324" s="26">
        <v>7</v>
      </c>
      <c r="U2324" s="26">
        <v>12</v>
      </c>
      <c r="V2324" s="26">
        <v>1</v>
      </c>
      <c r="W2324" s="26"/>
    </row>
    <row r="2325" spans="1:23" x14ac:dyDescent="0.25">
      <c r="A2325" s="26" t="str">
        <f t="shared" si="386"/>
        <v>PRIMARIA</v>
      </c>
      <c r="B2325" s="26" t="str">
        <f>"09PPR0412U"</f>
        <v>09PPR0412U</v>
      </c>
      <c r="C2325" s="26" t="str">
        <f>"COLEGIO MEXICO                                                                                      "</f>
        <v xml:space="preserve">COLEGIO MEXICO                                                                                      </v>
      </c>
      <c r="D2325" s="26" t="str">
        <f t="shared" si="387"/>
        <v>MATUTINO</v>
      </c>
      <c r="E2325" s="26" t="str">
        <f>"MERIDA 50                                                                       "</f>
        <v xml:space="preserve">MERIDA 50                                                                       </v>
      </c>
      <c r="F2325" s="26" t="str">
        <f>"ROMA NORTE                                                                                                                                  "</f>
        <v xml:space="preserve">ROMA NORTE                                                                                                                                  </v>
      </c>
      <c r="G2325" s="26" t="str">
        <f>"CUAUHTEMOC                                                                      "</f>
        <v xml:space="preserve">CUAUHTEMOC                                                                      </v>
      </c>
      <c r="H2325" s="26" t="str">
        <f>"000"</f>
        <v>000</v>
      </c>
      <c r="I2325" s="26" t="str">
        <f t="shared" si="388"/>
        <v>00</v>
      </c>
      <c r="J2325" s="26" t="str">
        <f>"42 "</f>
        <v xml:space="preserve">42 </v>
      </c>
      <c r="K2325" s="26" t="str">
        <f t="shared" si="389"/>
        <v>PR</v>
      </c>
      <c r="L2325" s="26" t="str">
        <f t="shared" si="390"/>
        <v>DGOSE</v>
      </c>
      <c r="M2325" s="26" t="str">
        <f t="shared" si="391"/>
        <v>PARTICULAR</v>
      </c>
      <c r="N2325" s="26">
        <v>371</v>
      </c>
      <c r="O2325" s="26">
        <v>218</v>
      </c>
      <c r="P2325" s="26">
        <v>153</v>
      </c>
      <c r="Q2325" s="26">
        <v>15</v>
      </c>
      <c r="R2325" s="26">
        <v>1</v>
      </c>
      <c r="S2325" s="26">
        <v>15</v>
      </c>
      <c r="T2325" s="26">
        <v>22</v>
      </c>
      <c r="U2325" s="26">
        <v>38</v>
      </c>
      <c r="V2325" s="26">
        <v>1</v>
      </c>
      <c r="W2325" s="26"/>
    </row>
    <row r="2326" spans="1:23" x14ac:dyDescent="0.25">
      <c r="A2326" s="26" t="str">
        <f t="shared" si="386"/>
        <v>PRIMARIA</v>
      </c>
      <c r="B2326" s="26" t="str">
        <f>"09PPR0417P"</f>
        <v>09PPR0417P</v>
      </c>
      <c r="C2326" s="26" t="str">
        <f>"CALMECAC DEL PEDREGAL                                                                               "</f>
        <v xml:space="preserve">CALMECAC DEL PEDREGAL                                                                               </v>
      </c>
      <c r="D2326" s="26" t="str">
        <f t="shared" si="387"/>
        <v>MATUTINO</v>
      </c>
      <c r="E2326" s="26" t="str">
        <f>"ROCIO NUM 142                                                                   "</f>
        <v xml:space="preserve">ROCIO NUM 142                                                                   </v>
      </c>
      <c r="F2326" s="26" t="str">
        <f>"JARDINES DEL PEDREGAL                                                                                                                       "</f>
        <v xml:space="preserve">JARDINES DEL PEDREGAL                                                                                                                       </v>
      </c>
      <c r="G2326" s="26" t="str">
        <f>"ALVARO OBREGON                                                                  "</f>
        <v xml:space="preserve">ALVARO OBREGON                                                                  </v>
      </c>
      <c r="H2326" s="26" t="str">
        <f>"326"</f>
        <v>326</v>
      </c>
      <c r="I2326" s="26" t="str">
        <f t="shared" si="388"/>
        <v>00</v>
      </c>
      <c r="J2326" s="26" t="str">
        <f>"43 "</f>
        <v xml:space="preserve">43 </v>
      </c>
      <c r="K2326" s="26" t="str">
        <f t="shared" si="389"/>
        <v>PR</v>
      </c>
      <c r="L2326" s="26" t="str">
        <f t="shared" si="390"/>
        <v>DGOSE</v>
      </c>
      <c r="M2326" s="26" t="str">
        <f t="shared" si="391"/>
        <v>PARTICULAR</v>
      </c>
      <c r="N2326" s="26">
        <v>398</v>
      </c>
      <c r="O2326" s="26">
        <v>208</v>
      </c>
      <c r="P2326" s="26">
        <v>190</v>
      </c>
      <c r="Q2326" s="26">
        <v>17</v>
      </c>
      <c r="R2326" s="26">
        <v>1</v>
      </c>
      <c r="S2326" s="26">
        <v>9</v>
      </c>
      <c r="T2326" s="26">
        <v>18</v>
      </c>
      <c r="U2326" s="26">
        <v>28</v>
      </c>
      <c r="V2326" s="26">
        <v>1</v>
      </c>
      <c r="W2326" s="26"/>
    </row>
    <row r="2327" spans="1:23" x14ac:dyDescent="0.25">
      <c r="A2327" s="26" t="str">
        <f t="shared" si="386"/>
        <v>PRIMARIA</v>
      </c>
      <c r="B2327" s="26" t="str">
        <f>"09PPR0418O"</f>
        <v>09PPR0418O</v>
      </c>
      <c r="C2327" s="26" t="str">
        <f>"ALBERTO GONZALEZ VALLE                                                                              "</f>
        <v xml:space="preserve">ALBERTO GONZALEZ VALLE                                                                              </v>
      </c>
      <c r="D2327" s="26" t="str">
        <f t="shared" si="387"/>
        <v>MATUTINO</v>
      </c>
      <c r="E2327" s="26" t="str">
        <f>"CALLE 3 NUM 315                                                                 "</f>
        <v xml:space="preserve">CALLE 3 NUM 315                                                                 </v>
      </c>
      <c r="F2327" s="26" t="str">
        <f>"AGRICOLA PANTITLAN                                                                                                                          "</f>
        <v xml:space="preserve">AGRICOLA PANTITLAN                                                                                                                          </v>
      </c>
      <c r="G2327" s="26" t="str">
        <f>"IZTACALCO                                                                       "</f>
        <v xml:space="preserve">IZTACALCO                                                                       </v>
      </c>
      <c r="H2327" s="26" t="str">
        <f>"354"</f>
        <v>354</v>
      </c>
      <c r="I2327" s="26" t="str">
        <f t="shared" si="388"/>
        <v>00</v>
      </c>
      <c r="J2327" s="26" t="str">
        <f>"43 "</f>
        <v xml:space="preserve">43 </v>
      </c>
      <c r="K2327" s="26" t="str">
        <f t="shared" si="389"/>
        <v>PR</v>
      </c>
      <c r="L2327" s="26" t="str">
        <f t="shared" si="390"/>
        <v>DGOSE</v>
      </c>
      <c r="M2327" s="26" t="str">
        <f t="shared" si="391"/>
        <v>PARTICULAR</v>
      </c>
      <c r="N2327" s="26">
        <v>108</v>
      </c>
      <c r="O2327" s="26">
        <v>36</v>
      </c>
      <c r="P2327" s="26">
        <v>72</v>
      </c>
      <c r="Q2327" s="26">
        <v>6</v>
      </c>
      <c r="R2327" s="26">
        <v>1</v>
      </c>
      <c r="S2327" s="26">
        <v>6</v>
      </c>
      <c r="T2327" s="26">
        <v>5</v>
      </c>
      <c r="U2327" s="26">
        <v>12</v>
      </c>
      <c r="V2327" s="26">
        <v>1</v>
      </c>
      <c r="W2327" s="26"/>
    </row>
    <row r="2328" spans="1:23" x14ac:dyDescent="0.25">
      <c r="A2328" s="26" t="str">
        <f t="shared" si="386"/>
        <v>PRIMARIA</v>
      </c>
      <c r="B2328" s="26" t="str">
        <f>"09PPR0419N"</f>
        <v>09PPR0419N</v>
      </c>
      <c r="C2328" s="26" t="str">
        <f>"JOSE AMADOR GARCIA                                                                                  "</f>
        <v xml:space="preserve">JOSE AMADOR GARCIA                                                                                  </v>
      </c>
      <c r="D2328" s="26" t="str">
        <f t="shared" si="387"/>
        <v>MATUTINO</v>
      </c>
      <c r="E2328" s="26" t="str">
        <f>"JOSE MA. PARRAS NO. 218                                                         "</f>
        <v xml:space="preserve">JOSE MA. PARRAS NO. 218                                                         </v>
      </c>
      <c r="F2328" s="26" t="str">
        <f>"JUAN ESCUTIA                                                                                                                                "</f>
        <v xml:space="preserve">JUAN ESCUTIA                                                                                                                                </v>
      </c>
      <c r="G2328" s="26" t="str">
        <f>"IZTAPALAPA                                                                      "</f>
        <v xml:space="preserve">IZTAPALAPA                                                                      </v>
      </c>
      <c r="H2328" s="26" t="str">
        <f>"000"</f>
        <v>000</v>
      </c>
      <c r="I2328" s="26" t="str">
        <f t="shared" si="388"/>
        <v>00</v>
      </c>
      <c r="J2328" s="26" t="str">
        <f>"62 "</f>
        <v xml:space="preserve">62 </v>
      </c>
      <c r="K2328" s="26" t="str">
        <f>"IZ"</f>
        <v>IZ</v>
      </c>
      <c r="L2328" s="26" t="str">
        <f>"DGSEI"</f>
        <v>DGSEI</v>
      </c>
      <c r="M2328" s="26" t="str">
        <f t="shared" si="391"/>
        <v>PARTICULAR</v>
      </c>
      <c r="N2328" s="26">
        <v>37</v>
      </c>
      <c r="O2328" s="26">
        <v>24</v>
      </c>
      <c r="P2328" s="26">
        <v>13</v>
      </c>
      <c r="Q2328" s="26">
        <v>6</v>
      </c>
      <c r="R2328" s="26">
        <v>1</v>
      </c>
      <c r="S2328" s="26">
        <v>4</v>
      </c>
      <c r="T2328" s="26">
        <v>10</v>
      </c>
      <c r="U2328" s="26">
        <v>15</v>
      </c>
      <c r="V2328" s="26">
        <v>1</v>
      </c>
      <c r="W2328" s="26"/>
    </row>
    <row r="2329" spans="1:23" x14ac:dyDescent="0.25">
      <c r="A2329" s="26" t="str">
        <f t="shared" si="386"/>
        <v>PRIMARIA</v>
      </c>
      <c r="B2329" s="26" t="str">
        <f>"09PPR0420C"</f>
        <v>09PPR0420C</v>
      </c>
      <c r="C2329" s="26" t="str">
        <f>"INSTITUTO PEDAGOGICO PATRICIO REDONDO                                                               "</f>
        <v xml:space="preserve">INSTITUTO PEDAGOGICO PATRICIO REDONDO                                                               </v>
      </c>
      <c r="D2329" s="26" t="str">
        <f t="shared" si="387"/>
        <v>MATUTINO</v>
      </c>
      <c r="E2329" s="26" t="str">
        <f>"PLAYA CALETA 312 BIS                                                            "</f>
        <v xml:space="preserve">PLAYA CALETA 312 BIS                                                            </v>
      </c>
      <c r="F2329" s="26" t="str">
        <f>"REFORMA IZTACCIHUATL NORTE                                                                                                                  "</f>
        <v xml:space="preserve">REFORMA IZTACCIHUATL NORTE                                                                                                                  </v>
      </c>
      <c r="G2329" s="26" t="str">
        <f>"IZTACALCO                                                                       "</f>
        <v xml:space="preserve">IZTACALCO                                                                       </v>
      </c>
      <c r="H2329" s="26" t="str">
        <f>"363"</f>
        <v>363</v>
      </c>
      <c r="I2329" s="26" t="str">
        <f t="shared" si="388"/>
        <v>00</v>
      </c>
      <c r="J2329" s="26" t="str">
        <f>"43 "</f>
        <v xml:space="preserve">43 </v>
      </c>
      <c r="K2329" s="26" t="str">
        <f>"PR"</f>
        <v>PR</v>
      </c>
      <c r="L2329" s="26" t="str">
        <f>"DGOSE"</f>
        <v>DGOSE</v>
      </c>
      <c r="M2329" s="26" t="str">
        <f t="shared" si="391"/>
        <v>PARTICULAR</v>
      </c>
      <c r="N2329" s="26">
        <v>80</v>
      </c>
      <c r="O2329" s="26">
        <v>46</v>
      </c>
      <c r="P2329" s="26">
        <v>34</v>
      </c>
      <c r="Q2329" s="26">
        <v>6</v>
      </c>
      <c r="R2329" s="26">
        <v>1</v>
      </c>
      <c r="S2329" s="26">
        <v>6</v>
      </c>
      <c r="T2329" s="26">
        <v>6</v>
      </c>
      <c r="U2329" s="26">
        <v>13</v>
      </c>
      <c r="V2329" s="26">
        <v>1</v>
      </c>
      <c r="W2329" s="26"/>
    </row>
    <row r="2330" spans="1:23" x14ac:dyDescent="0.25">
      <c r="A2330" s="26" t="str">
        <f t="shared" si="386"/>
        <v>PRIMARIA</v>
      </c>
      <c r="B2330" s="26" t="str">
        <f>"09PPR0422A"</f>
        <v>09PPR0422A</v>
      </c>
      <c r="C2330" s="26" t="str">
        <f>"INSTITUTO JOSE LEVY                                                                                 "</f>
        <v xml:space="preserve">INSTITUTO JOSE LEVY                                                                                 </v>
      </c>
      <c r="D2330" s="26" t="str">
        <f t="shared" si="387"/>
        <v>MATUTINO</v>
      </c>
      <c r="E2330" s="26" t="str">
        <f>"GENARO GARCIA # 363                                                             "</f>
        <v xml:space="preserve">GENARO GARCIA # 363                                                             </v>
      </c>
      <c r="F2330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2330" s="26" t="str">
        <f>"VENUSTIANO CARRANZA                                                             "</f>
        <v xml:space="preserve">VENUSTIANO CARRANZA                                                             </v>
      </c>
      <c r="H2330" s="26" t="str">
        <f>"348"</f>
        <v>348</v>
      </c>
      <c r="I2330" s="26" t="str">
        <f t="shared" si="388"/>
        <v>00</v>
      </c>
      <c r="J2330" s="26" t="str">
        <f>"43 "</f>
        <v xml:space="preserve">43 </v>
      </c>
      <c r="K2330" s="26" t="str">
        <f>"PR"</f>
        <v>PR</v>
      </c>
      <c r="L2330" s="26" t="str">
        <f>"DGOSE"</f>
        <v>DGOSE</v>
      </c>
      <c r="M2330" s="26" t="str">
        <f t="shared" si="391"/>
        <v>PARTICULAR</v>
      </c>
      <c r="N2330" s="26">
        <v>246</v>
      </c>
      <c r="O2330" s="26">
        <v>129</v>
      </c>
      <c r="P2330" s="26">
        <v>117</v>
      </c>
      <c r="Q2330" s="26">
        <v>12</v>
      </c>
      <c r="R2330" s="26">
        <v>1</v>
      </c>
      <c r="S2330" s="26">
        <v>12</v>
      </c>
      <c r="T2330" s="26">
        <v>17</v>
      </c>
      <c r="U2330" s="26">
        <v>30</v>
      </c>
      <c r="V2330" s="26">
        <v>1</v>
      </c>
      <c r="W2330" s="26"/>
    </row>
    <row r="2331" spans="1:23" x14ac:dyDescent="0.25">
      <c r="A2331" s="26" t="str">
        <f t="shared" si="386"/>
        <v>PRIMARIA</v>
      </c>
      <c r="B2331" s="26" t="str">
        <f>"09PPR0423Z"</f>
        <v>09PPR0423Z</v>
      </c>
      <c r="C2331" s="26" t="str">
        <f>"THOMAS WOODROW WILSON                                                                               "</f>
        <v xml:space="preserve">THOMAS WOODROW WILSON                                                                               </v>
      </c>
      <c r="D2331" s="26" t="str">
        <f t="shared" si="387"/>
        <v>MATUTINO</v>
      </c>
      <c r="E2331" s="26" t="str">
        <f>"SUR 67""A"" NO. 131                                                               "</f>
        <v xml:space="preserve">SUR 67"A" NO. 131                                                               </v>
      </c>
      <c r="F2331" s="26" t="str">
        <f>"EL PRADO                                                                                                                                    "</f>
        <v xml:space="preserve">EL PRADO                                                                                                                                    </v>
      </c>
      <c r="G2331" s="26" t="str">
        <f>"IZTAPALAPA                                                                      "</f>
        <v xml:space="preserve">IZTAPALAPA                                                                      </v>
      </c>
      <c r="H2331" s="26" t="str">
        <f>"000"</f>
        <v>000</v>
      </c>
      <c r="I2331" s="26" t="str">
        <f t="shared" si="388"/>
        <v>00</v>
      </c>
      <c r="J2331" s="26" t="str">
        <f>"61 "</f>
        <v xml:space="preserve">61 </v>
      </c>
      <c r="K2331" s="26" t="str">
        <f>"IZ"</f>
        <v>IZ</v>
      </c>
      <c r="L2331" s="26" t="str">
        <f>"DGSEI"</f>
        <v>DGSEI</v>
      </c>
      <c r="M2331" s="26" t="str">
        <f t="shared" si="391"/>
        <v>PARTICULAR</v>
      </c>
      <c r="N2331" s="26">
        <v>212</v>
      </c>
      <c r="O2331" s="26">
        <v>103</v>
      </c>
      <c r="P2331" s="26">
        <v>109</v>
      </c>
      <c r="Q2331" s="26">
        <v>10</v>
      </c>
      <c r="R2331" s="26">
        <v>1</v>
      </c>
      <c r="S2331" s="26">
        <v>7</v>
      </c>
      <c r="T2331" s="26">
        <v>1</v>
      </c>
      <c r="U2331" s="26">
        <v>9</v>
      </c>
      <c r="V2331" s="26">
        <v>1</v>
      </c>
      <c r="W2331" s="26"/>
    </row>
    <row r="2332" spans="1:23" x14ac:dyDescent="0.25">
      <c r="A2332" s="26" t="str">
        <f t="shared" si="386"/>
        <v>PRIMARIA</v>
      </c>
      <c r="B2332" s="26" t="str">
        <f>"09PPR0424Z"</f>
        <v>09PPR0424Z</v>
      </c>
      <c r="C2332" s="26" t="str">
        <f>"ANDERSEN                                                                                            "</f>
        <v xml:space="preserve">ANDERSEN                                                                                            </v>
      </c>
      <c r="D2332" s="26" t="str">
        <f t="shared" si="387"/>
        <v>MATUTINO</v>
      </c>
      <c r="E2332" s="26" t="str">
        <f>"AV HIDALGO NO 256                                                               "</f>
        <v xml:space="preserve">AV HIDALGO NO 256                                                               </v>
      </c>
      <c r="F2332" s="26" t="str">
        <f>"SAN MIGUEL DE LAS SALERAS                                                                                                                   "</f>
        <v xml:space="preserve">SAN MIGUEL DE LAS SALERAS                                                                                                                   </v>
      </c>
      <c r="G2332" s="26" t="str">
        <f>"IZTAPALAPA                                                                      "</f>
        <v xml:space="preserve">IZTAPALAPA                                                                      </v>
      </c>
      <c r="H2332" s="26" t="str">
        <f>"000"</f>
        <v>000</v>
      </c>
      <c r="I2332" s="26" t="str">
        <f t="shared" si="388"/>
        <v>00</v>
      </c>
      <c r="J2332" s="26" t="str">
        <f>"61 "</f>
        <v xml:space="preserve">61 </v>
      </c>
      <c r="K2332" s="26" t="str">
        <f>"IZ"</f>
        <v>IZ</v>
      </c>
      <c r="L2332" s="26" t="str">
        <f>"DGSEI"</f>
        <v>DGSEI</v>
      </c>
      <c r="M2332" s="26" t="str">
        <f t="shared" si="391"/>
        <v>PARTICULAR</v>
      </c>
      <c r="N2332" s="26">
        <v>579</v>
      </c>
      <c r="O2332" s="26">
        <v>287</v>
      </c>
      <c r="P2332" s="26">
        <v>292</v>
      </c>
      <c r="Q2332" s="26">
        <v>18</v>
      </c>
      <c r="R2332" s="26">
        <v>1</v>
      </c>
      <c r="S2332" s="26">
        <v>18</v>
      </c>
      <c r="T2332" s="26">
        <v>27</v>
      </c>
      <c r="U2332" s="26">
        <v>46</v>
      </c>
      <c r="V2332" s="26">
        <v>1</v>
      </c>
      <c r="W2332" s="26"/>
    </row>
    <row r="2333" spans="1:23" x14ac:dyDescent="0.25">
      <c r="A2333" s="26" t="str">
        <f t="shared" si="386"/>
        <v>PRIMARIA</v>
      </c>
      <c r="B2333" s="26" t="str">
        <f>"09PPR0426X"</f>
        <v>09PPR0426X</v>
      </c>
      <c r="C2333" s="26" t="str">
        <f>"ESCUELA INTERNACIONAL                                                                               "</f>
        <v xml:space="preserve">ESCUELA INTERNACIONAL                                                                               </v>
      </c>
      <c r="D2333" s="26" t="str">
        <f t="shared" si="387"/>
        <v>MATUTINO</v>
      </c>
      <c r="E2333" s="26" t="str">
        <f>"GENERAL ANAYA NO. 313                                                           "</f>
        <v xml:space="preserve">GENERAL ANAYA NO. 313                                                           </v>
      </c>
      <c r="F2333" s="26" t="str">
        <f>"DEL CARMEN                                                                                                                                  "</f>
        <v xml:space="preserve">DEL CARMEN                                                                                                                                  </v>
      </c>
      <c r="G2333" s="26" t="str">
        <f>"COYOACAN                                                                        "</f>
        <v xml:space="preserve">COYOACAN                                                                        </v>
      </c>
      <c r="H2333" s="26" t="str">
        <f>"500"</f>
        <v>500</v>
      </c>
      <c r="I2333" s="26" t="str">
        <f t="shared" si="388"/>
        <v>00</v>
      </c>
      <c r="J2333" s="26" t="str">
        <f>"45 "</f>
        <v xml:space="preserve">45 </v>
      </c>
      <c r="K2333" s="26" t="str">
        <f t="shared" ref="K2333:K2396" si="392">"PR"</f>
        <v>PR</v>
      </c>
      <c r="L2333" s="26" t="str">
        <f t="shared" ref="L2333:L2396" si="393">"DGOSE"</f>
        <v>DGOSE</v>
      </c>
      <c r="M2333" s="26" t="str">
        <f t="shared" si="391"/>
        <v>PARTICULAR</v>
      </c>
      <c r="N2333" s="26">
        <v>92</v>
      </c>
      <c r="O2333" s="26">
        <v>50</v>
      </c>
      <c r="P2333" s="26">
        <v>42</v>
      </c>
      <c r="Q2333" s="26">
        <v>6</v>
      </c>
      <c r="R2333" s="26">
        <v>1</v>
      </c>
      <c r="S2333" s="26">
        <v>3</v>
      </c>
      <c r="T2333" s="26">
        <v>11</v>
      </c>
      <c r="U2333" s="26">
        <v>15</v>
      </c>
      <c r="V2333" s="26">
        <v>1</v>
      </c>
      <c r="W2333" s="26"/>
    </row>
    <row r="2334" spans="1:23" x14ac:dyDescent="0.25">
      <c r="A2334" s="26" t="str">
        <f t="shared" si="386"/>
        <v>PRIMARIA</v>
      </c>
      <c r="B2334" s="26" t="str">
        <f>"09PPR0427W"</f>
        <v>09PPR0427W</v>
      </c>
      <c r="C2334" s="26" t="str">
        <f>"CENTRO ESCOLAR LANCASTER                                                                            "</f>
        <v xml:space="preserve">CENTRO ESCOLAR LANCASTER                                                                            </v>
      </c>
      <c r="D2334" s="26" t="str">
        <f t="shared" si="387"/>
        <v>MATUTINO</v>
      </c>
      <c r="E2334" s="26" t="str">
        <f>"HACIENDA LA ESCOLASTICA NUM. 66                                                 "</f>
        <v xml:space="preserve">HACIENDA LA ESCOLASTICA NUM. 66                                                 </v>
      </c>
      <c r="F2334" s="26" t="str">
        <f>"LA PROVIDENCIA                                                                                                                              "</f>
        <v xml:space="preserve">LA PROVIDENCIA                                                                                                                              </v>
      </c>
      <c r="G2334" s="26" t="str">
        <f>"AZCAPOTZALCO                                                                    "</f>
        <v xml:space="preserve">AZCAPOTZALCO                                                                    </v>
      </c>
      <c r="H2334" s="26" t="str">
        <f>"201"</f>
        <v>201</v>
      </c>
      <c r="I2334" s="26" t="str">
        <f t="shared" si="388"/>
        <v>00</v>
      </c>
      <c r="J2334" s="26" t="str">
        <f>"42 "</f>
        <v xml:space="preserve">42 </v>
      </c>
      <c r="K2334" s="26" t="str">
        <f t="shared" si="392"/>
        <v>PR</v>
      </c>
      <c r="L2334" s="26" t="str">
        <f t="shared" si="393"/>
        <v>DGOSE</v>
      </c>
      <c r="M2334" s="26" t="str">
        <f t="shared" si="391"/>
        <v>PARTICULAR</v>
      </c>
      <c r="N2334" s="26">
        <v>341</v>
      </c>
      <c r="O2334" s="26">
        <v>179</v>
      </c>
      <c r="P2334" s="26">
        <v>162</v>
      </c>
      <c r="Q2334" s="26">
        <v>12</v>
      </c>
      <c r="R2334" s="26">
        <v>1</v>
      </c>
      <c r="S2334" s="26">
        <v>6</v>
      </c>
      <c r="T2334" s="26">
        <v>16</v>
      </c>
      <c r="U2334" s="26">
        <v>23</v>
      </c>
      <c r="V2334" s="26">
        <v>1</v>
      </c>
      <c r="W2334" s="26"/>
    </row>
    <row r="2335" spans="1:23" x14ac:dyDescent="0.25">
      <c r="A2335" s="26" t="str">
        <f t="shared" si="386"/>
        <v>PRIMARIA</v>
      </c>
      <c r="B2335" s="26" t="str">
        <f>"09PPR0428V"</f>
        <v>09PPR0428V</v>
      </c>
      <c r="C2335" s="26" t="str">
        <f>"COLEGIO SUBIACO                                                                                     "</f>
        <v xml:space="preserve">COLEGIO SUBIACO                                                                                     </v>
      </c>
      <c r="D2335" s="26" t="str">
        <f t="shared" si="387"/>
        <v>MATUTINO</v>
      </c>
      <c r="E2335" s="26" t="str">
        <f>"LAS ROSAS NO. 32                                                                "</f>
        <v xml:space="preserve">LAS ROSAS NO. 32                                                                </v>
      </c>
      <c r="F2335" s="26" t="str">
        <f>"SAN FRANCISCO CULHUACAN                                                                                                                     "</f>
        <v xml:space="preserve">SAN FRANCISCO CULHUACAN                                                                                                                     </v>
      </c>
      <c r="G2335" s="26" t="str">
        <f>"COYOACAN                                                                        "</f>
        <v xml:space="preserve">COYOACAN                                                                        </v>
      </c>
      <c r="H2335" s="26" t="str">
        <f>"508"</f>
        <v>508</v>
      </c>
      <c r="I2335" s="26" t="str">
        <f t="shared" si="388"/>
        <v>00</v>
      </c>
      <c r="J2335" s="26" t="str">
        <f>"45 "</f>
        <v xml:space="preserve">45 </v>
      </c>
      <c r="K2335" s="26" t="str">
        <f t="shared" si="392"/>
        <v>PR</v>
      </c>
      <c r="L2335" s="26" t="str">
        <f t="shared" si="393"/>
        <v>DGOSE</v>
      </c>
      <c r="M2335" s="26" t="str">
        <f t="shared" si="391"/>
        <v>PARTICULAR</v>
      </c>
      <c r="N2335" s="26">
        <v>49</v>
      </c>
      <c r="O2335" s="26">
        <v>31</v>
      </c>
      <c r="P2335" s="26">
        <v>18</v>
      </c>
      <c r="Q2335" s="26">
        <v>6</v>
      </c>
      <c r="R2335" s="26">
        <v>1</v>
      </c>
      <c r="S2335" s="26">
        <v>6</v>
      </c>
      <c r="T2335" s="26">
        <v>11</v>
      </c>
      <c r="U2335" s="26">
        <v>18</v>
      </c>
      <c r="V2335" s="26">
        <v>1</v>
      </c>
      <c r="W2335" s="26"/>
    </row>
    <row r="2336" spans="1:23" x14ac:dyDescent="0.25">
      <c r="A2336" s="26" t="str">
        <f t="shared" si="386"/>
        <v>PRIMARIA</v>
      </c>
      <c r="B2336" s="26" t="str">
        <f>"09PPR0429U"</f>
        <v>09PPR0429U</v>
      </c>
      <c r="C2336" s="26" t="str">
        <f>"INSTITUTO ROSEDAL                                                                                   "</f>
        <v xml:space="preserve">INSTITUTO ROSEDAL                                                                                   </v>
      </c>
      <c r="D2336" s="26" t="str">
        <f t="shared" si="387"/>
        <v>MATUTINO</v>
      </c>
      <c r="E2336" s="26" t="str">
        <f>"ROSEDAL NUMERO 48                                                               "</f>
        <v xml:space="preserve">ROSEDAL NUMERO 48                                                               </v>
      </c>
      <c r="F2336" s="26" t="str">
        <f>"LOMAS DE CHAPULTEPEC I                                                                                                                      "</f>
        <v xml:space="preserve">LOMAS DE CHAPULTEPEC I                                                                                                                      </v>
      </c>
      <c r="G2336" s="26" t="str">
        <f>"MIGUEL HIDALGO                                                                  "</f>
        <v xml:space="preserve">MIGUEL HIDALGO                                                                  </v>
      </c>
      <c r="H2336" s="26" t="str">
        <f>"209"</f>
        <v>209</v>
      </c>
      <c r="I2336" s="26" t="str">
        <f t="shared" si="388"/>
        <v>00</v>
      </c>
      <c r="J2336" s="26" t="str">
        <f>"42 "</f>
        <v xml:space="preserve">42 </v>
      </c>
      <c r="K2336" s="26" t="str">
        <f t="shared" si="392"/>
        <v>PR</v>
      </c>
      <c r="L2336" s="26" t="str">
        <f t="shared" si="393"/>
        <v>DGOSE</v>
      </c>
      <c r="M2336" s="26" t="str">
        <f t="shared" si="391"/>
        <v>PARTICULAR</v>
      </c>
      <c r="N2336" s="26">
        <v>253</v>
      </c>
      <c r="O2336" s="26">
        <v>0</v>
      </c>
      <c r="P2336" s="26">
        <v>253</v>
      </c>
      <c r="Q2336" s="26">
        <v>12</v>
      </c>
      <c r="R2336" s="26">
        <v>1</v>
      </c>
      <c r="S2336" s="26">
        <v>6</v>
      </c>
      <c r="T2336" s="26">
        <v>8</v>
      </c>
      <c r="U2336" s="26">
        <v>15</v>
      </c>
      <c r="V2336" s="26">
        <v>1</v>
      </c>
      <c r="W2336" s="26"/>
    </row>
    <row r="2337" spans="1:23" x14ac:dyDescent="0.25">
      <c r="A2337" s="26" t="str">
        <f t="shared" si="386"/>
        <v>PRIMARIA</v>
      </c>
      <c r="B2337" s="26" t="str">
        <f>"09PPR0431I"</f>
        <v>09PPR0431I</v>
      </c>
      <c r="C2337" s="26" t="str">
        <f>"TALLER EDUCATIVO MONTESSORI                                                                         "</f>
        <v xml:space="preserve">TALLER EDUCATIVO MONTESSORI                                                                         </v>
      </c>
      <c r="D2337" s="26" t="str">
        <f t="shared" si="387"/>
        <v>MATUTINO</v>
      </c>
      <c r="E2337" s="26" t="str">
        <f>"LOMA DEL PARQUE 182                                                             "</f>
        <v xml:space="preserve">LOMA DEL PARQUE 182                                                             </v>
      </c>
      <c r="F2337" s="26" t="str">
        <f>"LOMAS DE VISTA HERMOSA                                                                                                                      "</f>
        <v xml:space="preserve">LOMAS DE VISTA HERMOSA                                                                                                                      </v>
      </c>
      <c r="G2337" s="26" t="str">
        <f>"CUAJIMALPA DE MORELOS                                                           "</f>
        <v xml:space="preserve">CUAJIMALPA DE MORELOS                                                           </v>
      </c>
      <c r="H2337" s="26" t="str">
        <f>"300"</f>
        <v>300</v>
      </c>
      <c r="I2337" s="26" t="str">
        <f t="shared" si="388"/>
        <v>00</v>
      </c>
      <c r="J2337" s="26" t="str">
        <f>"43 "</f>
        <v xml:space="preserve">43 </v>
      </c>
      <c r="K2337" s="26" t="str">
        <f t="shared" si="392"/>
        <v>PR</v>
      </c>
      <c r="L2337" s="26" t="str">
        <f t="shared" si="393"/>
        <v>DGOSE</v>
      </c>
      <c r="M2337" s="26" t="str">
        <f t="shared" si="391"/>
        <v>PARTICULAR</v>
      </c>
      <c r="N2337" s="26">
        <v>253</v>
      </c>
      <c r="O2337" s="26">
        <v>125</v>
      </c>
      <c r="P2337" s="26">
        <v>128</v>
      </c>
      <c r="Q2337" s="26">
        <v>6</v>
      </c>
      <c r="R2337" s="26">
        <v>1</v>
      </c>
      <c r="S2337" s="26">
        <v>6</v>
      </c>
      <c r="T2337" s="26">
        <v>13</v>
      </c>
      <c r="U2337" s="26">
        <v>20</v>
      </c>
      <c r="V2337" s="26">
        <v>1</v>
      </c>
      <c r="W2337" s="26"/>
    </row>
    <row r="2338" spans="1:23" x14ac:dyDescent="0.25">
      <c r="A2338" s="26" t="str">
        <f t="shared" si="386"/>
        <v>PRIMARIA</v>
      </c>
      <c r="B2338" s="26" t="str">
        <f>"09PPR0432H"</f>
        <v>09PPR0432H</v>
      </c>
      <c r="C2338" s="26" t="str">
        <f>"INSTITUTO SAN ANGEL INN                                                                             "</f>
        <v xml:space="preserve">INSTITUTO SAN ANGEL INN                                                                             </v>
      </c>
      <c r="D2338" s="26" t="str">
        <f t="shared" si="387"/>
        <v>MATUTINO</v>
      </c>
      <c r="E2338" s="26" t="str">
        <f>"AV CENTENARIO NUM 1196                                                          "</f>
        <v xml:space="preserve">AV CENTENARIO NUM 1196                                                          </v>
      </c>
      <c r="F2338" s="26" t="str">
        <f>"HERON PROAL                                                                                                                                 "</f>
        <v xml:space="preserve">HERON PROAL                                                                                                                                 </v>
      </c>
      <c r="G2338" s="26" t="str">
        <f>"ALVARO OBREGON                                                                  "</f>
        <v xml:space="preserve">ALVARO OBREGON                                                                  </v>
      </c>
      <c r="H2338" s="26" t="str">
        <f>"323"</f>
        <v>323</v>
      </c>
      <c r="I2338" s="26" t="str">
        <f t="shared" si="388"/>
        <v>00</v>
      </c>
      <c r="J2338" s="26" t="str">
        <f>"43 "</f>
        <v xml:space="preserve">43 </v>
      </c>
      <c r="K2338" s="26" t="str">
        <f t="shared" si="392"/>
        <v>PR</v>
      </c>
      <c r="L2338" s="26" t="str">
        <f t="shared" si="393"/>
        <v>DGOSE</v>
      </c>
      <c r="M2338" s="26" t="str">
        <f t="shared" si="391"/>
        <v>PARTICULAR</v>
      </c>
      <c r="N2338" s="26">
        <v>105</v>
      </c>
      <c r="O2338" s="26">
        <v>57</v>
      </c>
      <c r="P2338" s="26">
        <v>48</v>
      </c>
      <c r="Q2338" s="26">
        <v>6</v>
      </c>
      <c r="R2338" s="26">
        <v>1</v>
      </c>
      <c r="S2338" s="26">
        <v>3</v>
      </c>
      <c r="T2338" s="26">
        <v>9</v>
      </c>
      <c r="U2338" s="26">
        <v>13</v>
      </c>
      <c r="V2338" s="26">
        <v>1</v>
      </c>
      <c r="W2338" s="26"/>
    </row>
    <row r="2339" spans="1:23" x14ac:dyDescent="0.25">
      <c r="A2339" s="26" t="str">
        <f t="shared" si="386"/>
        <v>PRIMARIA</v>
      </c>
      <c r="B2339" s="26" t="str">
        <f>"09PPR0435E"</f>
        <v>09PPR0435E</v>
      </c>
      <c r="C2339" s="26" t="str">
        <f>"LEOPOLDO KIEL                                                                                       "</f>
        <v xml:space="preserve">LEOPOLDO KIEL                                                                                       </v>
      </c>
      <c r="D2339" s="26" t="str">
        <f t="shared" si="387"/>
        <v>MATUTINO</v>
      </c>
      <c r="E2339" s="26" t="str">
        <f>"CARLOS DOLCI NO. 42                                                             "</f>
        <v xml:space="preserve">CARLOS DOLCI NO. 42                                                             </v>
      </c>
      <c r="F2339" s="26" t="str">
        <f>"ALFONSO XIII                                                                                                                                "</f>
        <v xml:space="preserve">ALFONSO XIII                                                                                                                                </v>
      </c>
      <c r="G2339" s="26" t="str">
        <f>"ALVARO OBREGON                                                                  "</f>
        <v xml:space="preserve">ALVARO OBREGON                                                                  </v>
      </c>
      <c r="H2339" s="26" t="str">
        <f>"313"</f>
        <v>313</v>
      </c>
      <c r="I2339" s="26" t="str">
        <f t="shared" si="388"/>
        <v>00</v>
      </c>
      <c r="J2339" s="26" t="str">
        <f>"43 "</f>
        <v xml:space="preserve">43 </v>
      </c>
      <c r="K2339" s="26" t="str">
        <f t="shared" si="392"/>
        <v>PR</v>
      </c>
      <c r="L2339" s="26" t="str">
        <f t="shared" si="393"/>
        <v>DGOSE</v>
      </c>
      <c r="M2339" s="26" t="str">
        <f t="shared" si="391"/>
        <v>PARTICULAR</v>
      </c>
      <c r="N2339" s="26">
        <v>121</v>
      </c>
      <c r="O2339" s="26">
        <v>62</v>
      </c>
      <c r="P2339" s="26">
        <v>59</v>
      </c>
      <c r="Q2339" s="26">
        <v>6</v>
      </c>
      <c r="R2339" s="26">
        <v>1</v>
      </c>
      <c r="S2339" s="26">
        <v>3</v>
      </c>
      <c r="T2339" s="26">
        <v>15</v>
      </c>
      <c r="U2339" s="26">
        <v>19</v>
      </c>
      <c r="V2339" s="26">
        <v>1</v>
      </c>
      <c r="W2339" s="26"/>
    </row>
    <row r="2340" spans="1:23" x14ac:dyDescent="0.25">
      <c r="A2340" s="26" t="str">
        <f t="shared" si="386"/>
        <v>PRIMARIA</v>
      </c>
      <c r="B2340" s="26" t="str">
        <f>"09PPR0436D"</f>
        <v>09PPR0436D</v>
      </c>
      <c r="C2340" s="26" t="str">
        <f>"INSTITUTO GODWIN                                                                                    "</f>
        <v xml:space="preserve">INSTITUTO GODWIN                                                                                    </v>
      </c>
      <c r="D2340" s="26" t="str">
        <f t="shared" si="387"/>
        <v>MATUTINO</v>
      </c>
      <c r="E2340" s="26" t="str">
        <f>"CUITLAHUAC NO 15                                                                "</f>
        <v xml:space="preserve">CUITLAHUAC NO 15                                                                </v>
      </c>
      <c r="F2340" s="26" t="str">
        <f>"TORIELLO GUERRA                                                                                                                             "</f>
        <v xml:space="preserve">TORIELLO GUERRA                                                                                                                             </v>
      </c>
      <c r="G2340" s="26" t="str">
        <f>"TLALPAN                                                                         "</f>
        <v xml:space="preserve">TLALPAN                                                                         </v>
      </c>
      <c r="H2340" s="26" t="str">
        <f>"523"</f>
        <v>523</v>
      </c>
      <c r="I2340" s="26" t="str">
        <f t="shared" si="388"/>
        <v>00</v>
      </c>
      <c r="J2340" s="26" t="str">
        <f>"45 "</f>
        <v xml:space="preserve">45 </v>
      </c>
      <c r="K2340" s="26" t="str">
        <f t="shared" si="392"/>
        <v>PR</v>
      </c>
      <c r="L2340" s="26" t="str">
        <f t="shared" si="393"/>
        <v>DGOSE</v>
      </c>
      <c r="M2340" s="26" t="str">
        <f t="shared" si="391"/>
        <v>PARTICULAR</v>
      </c>
      <c r="N2340" s="26">
        <v>199</v>
      </c>
      <c r="O2340" s="26">
        <v>0</v>
      </c>
      <c r="P2340" s="26">
        <v>199</v>
      </c>
      <c r="Q2340" s="26">
        <v>10</v>
      </c>
      <c r="R2340" s="26">
        <v>1</v>
      </c>
      <c r="S2340" s="26">
        <v>7</v>
      </c>
      <c r="T2340" s="26">
        <v>9</v>
      </c>
      <c r="U2340" s="26">
        <v>17</v>
      </c>
      <c r="V2340" s="26">
        <v>1</v>
      </c>
      <c r="W2340" s="26"/>
    </row>
    <row r="2341" spans="1:23" x14ac:dyDescent="0.25">
      <c r="A2341" s="26" t="str">
        <f t="shared" si="386"/>
        <v>PRIMARIA</v>
      </c>
      <c r="B2341" s="26" t="str">
        <f>"09PPR0438B"</f>
        <v>09PPR0438B</v>
      </c>
      <c r="C2341" s="26" t="str">
        <f>"FRAY SERVANDO TERESA DE MIER                                                                        "</f>
        <v xml:space="preserve">FRAY SERVANDO TERESA DE MIER                                                                        </v>
      </c>
      <c r="D2341" s="26" t="str">
        <f t="shared" si="387"/>
        <v>MATUTINO</v>
      </c>
      <c r="E2341" s="26" t="str">
        <f>"TINUM # 314                                                                     "</f>
        <v xml:space="preserve">TINUM # 314                                                                     </v>
      </c>
      <c r="F2341" s="26" t="str">
        <f>"PEDREGAL DE SAN NICOLAS                                                                                                                     "</f>
        <v xml:space="preserve">PEDREGAL DE SAN NICOLAS                                                                                                                     </v>
      </c>
      <c r="G2341" s="26" t="str">
        <f>"TLALPAN                                                                         "</f>
        <v xml:space="preserve">TLALPAN                                                                         </v>
      </c>
      <c r="H2341" s="26" t="str">
        <f>"512"</f>
        <v>512</v>
      </c>
      <c r="I2341" s="26" t="str">
        <f t="shared" si="388"/>
        <v>00</v>
      </c>
      <c r="J2341" s="26" t="str">
        <f>"45 "</f>
        <v xml:space="preserve">45 </v>
      </c>
      <c r="K2341" s="26" t="str">
        <f t="shared" si="392"/>
        <v>PR</v>
      </c>
      <c r="L2341" s="26" t="str">
        <f t="shared" si="393"/>
        <v>DGOSE</v>
      </c>
      <c r="M2341" s="26" t="str">
        <f t="shared" si="391"/>
        <v>PARTICULAR</v>
      </c>
      <c r="N2341" s="26">
        <v>154</v>
      </c>
      <c r="O2341" s="26">
        <v>67</v>
      </c>
      <c r="P2341" s="26">
        <v>87</v>
      </c>
      <c r="Q2341" s="26">
        <v>8</v>
      </c>
      <c r="R2341" s="26">
        <v>1</v>
      </c>
      <c r="S2341" s="26">
        <v>8</v>
      </c>
      <c r="T2341" s="26">
        <v>13</v>
      </c>
      <c r="U2341" s="26">
        <v>22</v>
      </c>
      <c r="V2341" s="26">
        <v>1</v>
      </c>
      <c r="W2341" s="26"/>
    </row>
    <row r="2342" spans="1:23" x14ac:dyDescent="0.25">
      <c r="A2342" s="26" t="str">
        <f t="shared" si="386"/>
        <v>PRIMARIA</v>
      </c>
      <c r="B2342" s="26" t="str">
        <f>"09PPR0441P"</f>
        <v>09PPR0441P</v>
      </c>
      <c r="C2342" s="26" t="str">
        <f>"INSTITUTO METROPOLITANO                                                                             "</f>
        <v xml:space="preserve">INSTITUTO METROPOLITANO                                                                             </v>
      </c>
      <c r="D2342" s="26" t="str">
        <f t="shared" si="387"/>
        <v>MATUTINO</v>
      </c>
      <c r="E2342" s="26" t="str">
        <f>"SAN BORJA 909                                                                   "</f>
        <v xml:space="preserve">SAN BORJA 909                                                                   </v>
      </c>
      <c r="F2342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2342" s="26" t="str">
        <f>"BENITO JUAREZ                                                                   "</f>
        <v xml:space="preserve">BENITO JUAREZ                                                                   </v>
      </c>
      <c r="H2342" s="26" t="str">
        <f>"000"</f>
        <v>000</v>
      </c>
      <c r="I2342" s="26" t="str">
        <f t="shared" si="388"/>
        <v>00</v>
      </c>
      <c r="J2342" s="26" t="str">
        <f>"43 "</f>
        <v xml:space="preserve">43 </v>
      </c>
      <c r="K2342" s="26" t="str">
        <f t="shared" si="392"/>
        <v>PR</v>
      </c>
      <c r="L2342" s="26" t="str">
        <f t="shared" si="393"/>
        <v>DGOSE</v>
      </c>
      <c r="M2342" s="26" t="str">
        <f t="shared" si="391"/>
        <v>PARTICULAR</v>
      </c>
      <c r="N2342" s="26">
        <v>104</v>
      </c>
      <c r="O2342" s="26">
        <v>51</v>
      </c>
      <c r="P2342" s="26">
        <v>53</v>
      </c>
      <c r="Q2342" s="26">
        <v>6</v>
      </c>
      <c r="R2342" s="26">
        <v>1</v>
      </c>
      <c r="S2342" s="26">
        <v>6</v>
      </c>
      <c r="T2342" s="26">
        <v>10</v>
      </c>
      <c r="U2342" s="26">
        <v>17</v>
      </c>
      <c r="V2342" s="26">
        <v>1</v>
      </c>
      <c r="W2342" s="26"/>
    </row>
    <row r="2343" spans="1:23" x14ac:dyDescent="0.25">
      <c r="A2343" s="26" t="str">
        <f t="shared" si="386"/>
        <v>PRIMARIA</v>
      </c>
      <c r="B2343" s="26" t="str">
        <f>"09PPR0442O"</f>
        <v>09PPR0442O</v>
      </c>
      <c r="C2343" s="26" t="str">
        <f>"COLEGIO MIXCOAC                                                                                     "</f>
        <v xml:space="preserve">COLEGIO MIXCOAC                                                                                     </v>
      </c>
      <c r="D2343" s="26" t="str">
        <f t="shared" si="387"/>
        <v>MATUTINO</v>
      </c>
      <c r="E2343" s="26" t="str">
        <f>"GIOTTO 92                                                                       "</f>
        <v xml:space="preserve">GIOTTO 92                                                                       </v>
      </c>
      <c r="F2343" s="26" t="str">
        <f>"ALFONSO XIII                                                                                                                                "</f>
        <v xml:space="preserve">ALFONSO XIII                                                                                                                                </v>
      </c>
      <c r="G2343" s="26" t="str">
        <f>"ALVARO OBREGON                                                                  "</f>
        <v xml:space="preserve">ALVARO OBREGON                                                                  </v>
      </c>
      <c r="H2343" s="26" t="str">
        <f>"313"</f>
        <v>313</v>
      </c>
      <c r="I2343" s="26" t="str">
        <f t="shared" si="388"/>
        <v>00</v>
      </c>
      <c r="J2343" s="26" t="str">
        <f>"43 "</f>
        <v xml:space="preserve">43 </v>
      </c>
      <c r="K2343" s="26" t="str">
        <f t="shared" si="392"/>
        <v>PR</v>
      </c>
      <c r="L2343" s="26" t="str">
        <f t="shared" si="393"/>
        <v>DGOSE</v>
      </c>
      <c r="M2343" s="26" t="str">
        <f t="shared" si="391"/>
        <v>PARTICULAR</v>
      </c>
      <c r="N2343" s="26">
        <v>192</v>
      </c>
      <c r="O2343" s="26">
        <v>93</v>
      </c>
      <c r="P2343" s="26">
        <v>99</v>
      </c>
      <c r="Q2343" s="26">
        <v>9</v>
      </c>
      <c r="R2343" s="26">
        <v>1</v>
      </c>
      <c r="S2343" s="26">
        <v>9</v>
      </c>
      <c r="T2343" s="26">
        <v>12</v>
      </c>
      <c r="U2343" s="26">
        <v>22</v>
      </c>
      <c r="V2343" s="26">
        <v>1</v>
      </c>
      <c r="W2343" s="26"/>
    </row>
    <row r="2344" spans="1:23" x14ac:dyDescent="0.25">
      <c r="A2344" s="26" t="str">
        <f t="shared" si="386"/>
        <v>PRIMARIA</v>
      </c>
      <c r="B2344" s="26" t="str">
        <f>"09PPR0443N"</f>
        <v>09PPR0443N</v>
      </c>
      <c r="C2344" s="26" t="str">
        <f>"COLEGIO LOS ANGELES                                                                                 "</f>
        <v xml:space="preserve">COLEGIO LOS ANGELES                                                                                 </v>
      </c>
      <c r="D2344" s="26" t="str">
        <f t="shared" si="387"/>
        <v>MATUTINO</v>
      </c>
      <c r="E2344" s="26" t="str">
        <f>"CARRETERA FED A CUERNAVACA KM 25 NO 7000                                        "</f>
        <v xml:space="preserve">CARRETERA FED A CUERNAVACA KM 25 NO 7000                                        </v>
      </c>
      <c r="F2344" s="26" t="str">
        <f>"SAN MIGUEL XICALCO                                                                                                                          "</f>
        <v xml:space="preserve">SAN MIGUEL XICALCO                                                                                                                          </v>
      </c>
      <c r="G2344" s="26" t="str">
        <f>"TLALPAN                                                                         "</f>
        <v xml:space="preserve">TLALPAN                                                                         </v>
      </c>
      <c r="H2344" s="26" t="str">
        <f>"529"</f>
        <v>529</v>
      </c>
      <c r="I2344" s="26" t="str">
        <f t="shared" si="388"/>
        <v>00</v>
      </c>
      <c r="J2344" s="26" t="str">
        <f>"45 "</f>
        <v xml:space="preserve">45 </v>
      </c>
      <c r="K2344" s="26" t="str">
        <f t="shared" si="392"/>
        <v>PR</v>
      </c>
      <c r="L2344" s="26" t="str">
        <f t="shared" si="393"/>
        <v>DGOSE</v>
      </c>
      <c r="M2344" s="26" t="str">
        <f t="shared" si="391"/>
        <v>PARTICULAR</v>
      </c>
      <c r="N2344" s="26">
        <v>128</v>
      </c>
      <c r="O2344" s="26">
        <v>71</v>
      </c>
      <c r="P2344" s="26">
        <v>57</v>
      </c>
      <c r="Q2344" s="26">
        <v>6</v>
      </c>
      <c r="R2344" s="26">
        <v>1</v>
      </c>
      <c r="S2344" s="26">
        <v>3</v>
      </c>
      <c r="T2344" s="26">
        <v>7</v>
      </c>
      <c r="U2344" s="26">
        <v>11</v>
      </c>
      <c r="V2344" s="26">
        <v>1</v>
      </c>
      <c r="W2344" s="26"/>
    </row>
    <row r="2345" spans="1:23" x14ac:dyDescent="0.25">
      <c r="A2345" s="26" t="str">
        <f t="shared" si="386"/>
        <v>PRIMARIA</v>
      </c>
      <c r="B2345" s="26" t="str">
        <f>"09PPR0444M"</f>
        <v>09PPR0444M</v>
      </c>
      <c r="C2345" s="26" t="str">
        <f>"CENTRO DE INTEGRACION EDUCATIVA                                                                     "</f>
        <v xml:space="preserve">CENTRO DE INTEGRACION EDUCATIVA                                                                     </v>
      </c>
      <c r="D2345" s="26" t="str">
        <f t="shared" si="387"/>
        <v>MATUTINO</v>
      </c>
      <c r="E2345" s="26" t="str">
        <f>"AV. CASA DE LA MONEDA 214                                                       "</f>
        <v xml:space="preserve">AV. CASA DE LA MONEDA 214                                                       </v>
      </c>
      <c r="F2345" s="26" t="str">
        <f>"10 DE ABRIL                                                                                                                                 "</f>
        <v xml:space="preserve">10 DE ABRIL                                                                                                                                 </v>
      </c>
      <c r="G2345" s="26" t="str">
        <f>"MIGUEL HIDALGO                                                                  "</f>
        <v xml:space="preserve">MIGUEL HIDALGO                                                                  </v>
      </c>
      <c r="H2345" s="26" t="str">
        <f>"212"</f>
        <v>212</v>
      </c>
      <c r="I2345" s="26" t="str">
        <f t="shared" si="388"/>
        <v>00</v>
      </c>
      <c r="J2345" s="26" t="str">
        <f>"42 "</f>
        <v xml:space="preserve">42 </v>
      </c>
      <c r="K2345" s="26" t="str">
        <f t="shared" si="392"/>
        <v>PR</v>
      </c>
      <c r="L2345" s="26" t="str">
        <f t="shared" si="393"/>
        <v>DGOSE</v>
      </c>
      <c r="M2345" s="26" t="str">
        <f t="shared" si="391"/>
        <v>PARTICULAR</v>
      </c>
      <c r="N2345" s="26">
        <v>68</v>
      </c>
      <c r="O2345" s="26">
        <v>39</v>
      </c>
      <c r="P2345" s="26">
        <v>29</v>
      </c>
      <c r="Q2345" s="26">
        <v>6</v>
      </c>
      <c r="R2345" s="26">
        <v>1</v>
      </c>
      <c r="S2345" s="26">
        <v>3</v>
      </c>
      <c r="T2345" s="26">
        <v>9</v>
      </c>
      <c r="U2345" s="26">
        <v>13</v>
      </c>
      <c r="V2345" s="26">
        <v>1</v>
      </c>
      <c r="W2345" s="26"/>
    </row>
    <row r="2346" spans="1:23" x14ac:dyDescent="0.25">
      <c r="A2346" s="26" t="str">
        <f t="shared" si="386"/>
        <v>PRIMARIA</v>
      </c>
      <c r="B2346" s="26" t="str">
        <f>"09PPR0446K"</f>
        <v>09PPR0446K</v>
      </c>
      <c r="C2346" s="26" t="str">
        <f>"REFORMA EDUCATIVA                                                                                   "</f>
        <v xml:space="preserve">REFORMA EDUCATIVA                                                                                   </v>
      </c>
      <c r="D2346" s="26" t="str">
        <f t="shared" si="387"/>
        <v>MATUTINO</v>
      </c>
      <c r="E2346" s="26" t="str">
        <f>"RECREO 45                                                                       "</f>
        <v xml:space="preserve">RECREO 45                                                                       </v>
      </c>
      <c r="F2346" s="26" t="str">
        <f>"ZAPOTLA BARRIO                                                                                                                              "</f>
        <v xml:space="preserve">ZAPOTLA BARRIO                                                                                                                              </v>
      </c>
      <c r="G2346" s="26" t="str">
        <f>"IZTACALCO                                                                       "</f>
        <v xml:space="preserve">IZTACALCO                                                                       </v>
      </c>
      <c r="H2346" s="26" t="str">
        <f>"362"</f>
        <v>362</v>
      </c>
      <c r="I2346" s="26" t="str">
        <f t="shared" si="388"/>
        <v>00</v>
      </c>
      <c r="J2346" s="26" t="str">
        <f>"43 "</f>
        <v xml:space="preserve">43 </v>
      </c>
      <c r="K2346" s="26" t="str">
        <f t="shared" si="392"/>
        <v>PR</v>
      </c>
      <c r="L2346" s="26" t="str">
        <f t="shared" si="393"/>
        <v>DGOSE</v>
      </c>
      <c r="M2346" s="26" t="str">
        <f t="shared" si="391"/>
        <v>PARTICULAR</v>
      </c>
      <c r="N2346" s="26">
        <v>115</v>
      </c>
      <c r="O2346" s="26">
        <v>64</v>
      </c>
      <c r="P2346" s="26">
        <v>51</v>
      </c>
      <c r="Q2346" s="26">
        <v>6</v>
      </c>
      <c r="R2346" s="26">
        <v>1</v>
      </c>
      <c r="S2346" s="26">
        <v>6</v>
      </c>
      <c r="T2346" s="26">
        <v>8</v>
      </c>
      <c r="U2346" s="26">
        <v>15</v>
      </c>
      <c r="V2346" s="26">
        <v>1</v>
      </c>
      <c r="W2346" s="26"/>
    </row>
    <row r="2347" spans="1:23" x14ac:dyDescent="0.25">
      <c r="A2347" s="26" t="str">
        <f t="shared" si="386"/>
        <v>PRIMARIA</v>
      </c>
      <c r="B2347" s="26" t="str">
        <f>"09PPR0447J"</f>
        <v>09PPR0447J</v>
      </c>
      <c r="C2347" s="26" t="str">
        <f>"ESCUELA ACTIVA PAIDOS                                                                               "</f>
        <v xml:space="preserve">ESCUELA ACTIVA PAIDOS                                                                               </v>
      </c>
      <c r="D2347" s="26" t="str">
        <f t="shared" si="387"/>
        <v>MATUTINO</v>
      </c>
      <c r="E2347" s="26" t="str">
        <f>"EMILIANO ZAPATA NO 60                                                           "</f>
        <v xml:space="preserve">EMILIANO ZAPATA NO 60                                                           </v>
      </c>
      <c r="F2347" s="26" t="str">
        <f>"LA CANDELARIA                                                                                                                               "</f>
        <v xml:space="preserve">LA CANDELARIA                                                                                                                               </v>
      </c>
      <c r="G2347" s="26" t="str">
        <f>"COYOACAN                                                                        "</f>
        <v xml:space="preserve">COYOACAN                                                                        </v>
      </c>
      <c r="H2347" s="26" t="str">
        <f>"503"</f>
        <v>503</v>
      </c>
      <c r="I2347" s="26" t="str">
        <f t="shared" si="388"/>
        <v>00</v>
      </c>
      <c r="J2347" s="26" t="str">
        <f>"45 "</f>
        <v xml:space="preserve">45 </v>
      </c>
      <c r="K2347" s="26" t="str">
        <f t="shared" si="392"/>
        <v>PR</v>
      </c>
      <c r="L2347" s="26" t="str">
        <f t="shared" si="393"/>
        <v>DGOSE</v>
      </c>
      <c r="M2347" s="26" t="str">
        <f t="shared" si="391"/>
        <v>PARTICULAR</v>
      </c>
      <c r="N2347" s="26">
        <v>76</v>
      </c>
      <c r="O2347" s="26">
        <v>36</v>
      </c>
      <c r="P2347" s="26">
        <v>40</v>
      </c>
      <c r="Q2347" s="26">
        <v>6</v>
      </c>
      <c r="R2347" s="26">
        <v>1</v>
      </c>
      <c r="S2347" s="26">
        <v>6</v>
      </c>
      <c r="T2347" s="26">
        <v>9</v>
      </c>
      <c r="U2347" s="26">
        <v>16</v>
      </c>
      <c r="V2347" s="26">
        <v>1</v>
      </c>
      <c r="W2347" s="26"/>
    </row>
    <row r="2348" spans="1:23" x14ac:dyDescent="0.25">
      <c r="A2348" s="26" t="str">
        <f t="shared" si="386"/>
        <v>PRIMARIA</v>
      </c>
      <c r="B2348" s="26" t="str">
        <f>"09PPR0448I"</f>
        <v>09PPR0448I</v>
      </c>
      <c r="C2348" s="26" t="str">
        <f>"RAFAEL DONDE                                                                                        "</f>
        <v xml:space="preserve">RAFAEL DONDE                                                                                        </v>
      </c>
      <c r="D2348" s="26" t="str">
        <f t="shared" si="387"/>
        <v>MATUTINO</v>
      </c>
      <c r="E2348" s="26" t="str">
        <f>"AV CENTRAL NUM 401                                                              "</f>
        <v xml:space="preserve">AV CENTRAL NUM 401                                                              </v>
      </c>
      <c r="F2348" s="26" t="str">
        <f>"CAROLA                                                                                                                                      "</f>
        <v xml:space="preserve">CAROLA                                                                                                                                      </v>
      </c>
      <c r="G2348" s="26" t="str">
        <f>"ALVARO OBREGON                                                                  "</f>
        <v xml:space="preserve">ALVARO OBREGON                                                                  </v>
      </c>
      <c r="H2348" s="26" t="str">
        <f>"308"</f>
        <v>308</v>
      </c>
      <c r="I2348" s="26" t="str">
        <f t="shared" si="388"/>
        <v>00</v>
      </c>
      <c r="J2348" s="26" t="str">
        <f>"43 "</f>
        <v xml:space="preserve">43 </v>
      </c>
      <c r="K2348" s="26" t="str">
        <f t="shared" si="392"/>
        <v>PR</v>
      </c>
      <c r="L2348" s="26" t="str">
        <f t="shared" si="393"/>
        <v>DGOSE</v>
      </c>
      <c r="M2348" s="26" t="str">
        <f t="shared" si="391"/>
        <v>PARTICULAR</v>
      </c>
      <c r="N2348" s="26">
        <v>373</v>
      </c>
      <c r="O2348" s="26">
        <v>172</v>
      </c>
      <c r="P2348" s="26">
        <v>201</v>
      </c>
      <c r="Q2348" s="26">
        <v>12</v>
      </c>
      <c r="R2348" s="26">
        <v>1</v>
      </c>
      <c r="S2348" s="26">
        <v>12</v>
      </c>
      <c r="T2348" s="26">
        <v>6</v>
      </c>
      <c r="U2348" s="26">
        <v>19</v>
      </c>
      <c r="V2348" s="26">
        <v>1</v>
      </c>
      <c r="W2348" s="26"/>
    </row>
    <row r="2349" spans="1:23" x14ac:dyDescent="0.25">
      <c r="A2349" s="26" t="str">
        <f t="shared" si="386"/>
        <v>PRIMARIA</v>
      </c>
      <c r="B2349" s="26" t="str">
        <f>"09PPR0450X"</f>
        <v>09PPR0450X</v>
      </c>
      <c r="C2349" s="26" t="str">
        <f>"INSTITUTO BUCKINGHAM                                                                                "</f>
        <v xml:space="preserve">INSTITUTO BUCKINGHAM                                                                                </v>
      </c>
      <c r="D2349" s="26" t="str">
        <f t="shared" si="387"/>
        <v>MATUTINO</v>
      </c>
      <c r="E2349" s="26" t="str">
        <f>"SAN FELIPE NUM 63                                                               "</f>
        <v xml:space="preserve">SAN FELIPE NUM 63                                                               </v>
      </c>
      <c r="F2349" s="26" t="str">
        <f>"XOCO                                                                                                                                        "</f>
        <v xml:space="preserve">XOCO                                                                                                                                        </v>
      </c>
      <c r="G2349" s="26" t="str">
        <f>"BENITO JUAREZ                                                                   "</f>
        <v xml:space="preserve">BENITO JUAREZ                                                                   </v>
      </c>
      <c r="H2349" s="26" t="str">
        <f>"341"</f>
        <v>341</v>
      </c>
      <c r="I2349" s="26" t="str">
        <f t="shared" si="388"/>
        <v>00</v>
      </c>
      <c r="J2349" s="26" t="str">
        <f>"43 "</f>
        <v xml:space="preserve">43 </v>
      </c>
      <c r="K2349" s="26" t="str">
        <f t="shared" si="392"/>
        <v>PR</v>
      </c>
      <c r="L2349" s="26" t="str">
        <f t="shared" si="393"/>
        <v>DGOSE</v>
      </c>
      <c r="M2349" s="26" t="str">
        <f t="shared" si="391"/>
        <v>PARTICULAR</v>
      </c>
      <c r="N2349" s="26">
        <v>114</v>
      </c>
      <c r="O2349" s="26">
        <v>53</v>
      </c>
      <c r="P2349" s="26">
        <v>61</v>
      </c>
      <c r="Q2349" s="26">
        <v>7</v>
      </c>
      <c r="R2349" s="26">
        <v>1</v>
      </c>
      <c r="S2349" s="26">
        <v>4</v>
      </c>
      <c r="T2349" s="26">
        <v>13</v>
      </c>
      <c r="U2349" s="26">
        <v>18</v>
      </c>
      <c r="V2349" s="26">
        <v>1</v>
      </c>
      <c r="W2349" s="26"/>
    </row>
    <row r="2350" spans="1:23" x14ac:dyDescent="0.25">
      <c r="A2350" s="26" t="str">
        <f t="shared" si="386"/>
        <v>PRIMARIA</v>
      </c>
      <c r="B2350" s="26" t="str">
        <f>"09PPR0453U"</f>
        <v>09PPR0453U</v>
      </c>
      <c r="C2350" s="26" t="str">
        <f>"OSCAR GONZALEZ BLAKALLER                                                                            "</f>
        <v xml:space="preserve">OSCAR GONZALEZ BLAKALLER                                                                            </v>
      </c>
      <c r="D2350" s="26" t="str">
        <f t="shared" si="387"/>
        <v>MATUTINO</v>
      </c>
      <c r="E2350" s="26" t="str">
        <f>"17 DE MAYO 140                                                                  "</f>
        <v xml:space="preserve">17 DE MAYO 140                                                                  </v>
      </c>
      <c r="F2350" s="26" t="str">
        <f>"PLANETARIO LINDAVISTA                                                                                                                       "</f>
        <v xml:space="preserve">PLANETARIO LINDAVISTA                                                                                                                       </v>
      </c>
      <c r="G2350" s="26" t="str">
        <f>"GUSTAVO A. MADERO                                                               "</f>
        <v xml:space="preserve">GUSTAVO A. MADERO                                                               </v>
      </c>
      <c r="H2350" s="26" t="str">
        <f>"241"</f>
        <v>241</v>
      </c>
      <c r="I2350" s="26" t="str">
        <f t="shared" si="388"/>
        <v>00</v>
      </c>
      <c r="J2350" s="26" t="str">
        <f>"42 "</f>
        <v xml:space="preserve">42 </v>
      </c>
      <c r="K2350" s="26" t="str">
        <f t="shared" si="392"/>
        <v>PR</v>
      </c>
      <c r="L2350" s="26" t="str">
        <f t="shared" si="393"/>
        <v>DGOSE</v>
      </c>
      <c r="M2350" s="26" t="str">
        <f t="shared" si="391"/>
        <v>PARTICULAR</v>
      </c>
      <c r="N2350" s="26">
        <v>242</v>
      </c>
      <c r="O2350" s="26">
        <v>114</v>
      </c>
      <c r="P2350" s="26">
        <v>128</v>
      </c>
      <c r="Q2350" s="26">
        <v>12</v>
      </c>
      <c r="R2350" s="26">
        <v>1</v>
      </c>
      <c r="S2350" s="26">
        <v>6</v>
      </c>
      <c r="T2350" s="26">
        <v>14</v>
      </c>
      <c r="U2350" s="26">
        <v>21</v>
      </c>
      <c r="V2350" s="26">
        <v>1</v>
      </c>
      <c r="W2350" s="26"/>
    </row>
    <row r="2351" spans="1:23" x14ac:dyDescent="0.25">
      <c r="A2351" s="26" t="str">
        <f t="shared" si="386"/>
        <v>PRIMARIA</v>
      </c>
      <c r="B2351" s="26" t="str">
        <f>"09PPR0456R"</f>
        <v>09PPR0456R</v>
      </c>
      <c r="C2351" s="26" t="str">
        <f>"COLEGIO TEKAX                                                                                       "</f>
        <v xml:space="preserve">COLEGIO TEKAX                                                                                       </v>
      </c>
      <c r="D2351" s="26" t="str">
        <f t="shared" si="387"/>
        <v>MATUTINO</v>
      </c>
      <c r="E2351" s="26" t="str">
        <f>"TEKAX MZNA 216 LOTE 12                                                          "</f>
        <v xml:space="preserve">TEKAX MZNA 216 LOTE 12                                                          </v>
      </c>
      <c r="F2351" s="26" t="str">
        <f>"HEROES DE PADIERNA                                                                                                                          "</f>
        <v xml:space="preserve">HEROES DE PADIERNA                                                                                                                          </v>
      </c>
      <c r="G2351" s="26" t="str">
        <f>"TLALPAN                                                                         "</f>
        <v xml:space="preserve">TLALPAN                                                                         </v>
      </c>
      <c r="H2351" s="26" t="str">
        <f>"513"</f>
        <v>513</v>
      </c>
      <c r="I2351" s="26" t="str">
        <f t="shared" si="388"/>
        <v>00</v>
      </c>
      <c r="J2351" s="26" t="str">
        <f>"45 "</f>
        <v xml:space="preserve">45 </v>
      </c>
      <c r="K2351" s="26" t="str">
        <f t="shared" si="392"/>
        <v>PR</v>
      </c>
      <c r="L2351" s="26" t="str">
        <f t="shared" si="393"/>
        <v>DGOSE</v>
      </c>
      <c r="M2351" s="26" t="str">
        <f t="shared" si="391"/>
        <v>PARTICULAR</v>
      </c>
      <c r="N2351" s="26">
        <v>130</v>
      </c>
      <c r="O2351" s="26">
        <v>64</v>
      </c>
      <c r="P2351" s="26">
        <v>66</v>
      </c>
      <c r="Q2351" s="26">
        <v>6</v>
      </c>
      <c r="R2351" s="26">
        <v>1</v>
      </c>
      <c r="S2351" s="26">
        <v>6</v>
      </c>
      <c r="T2351" s="26">
        <v>14</v>
      </c>
      <c r="U2351" s="26">
        <v>21</v>
      </c>
      <c r="V2351" s="26">
        <v>1</v>
      </c>
      <c r="W2351" s="26"/>
    </row>
    <row r="2352" spans="1:23" x14ac:dyDescent="0.25">
      <c r="A2352" s="26" t="str">
        <f t="shared" si="386"/>
        <v>PRIMARIA</v>
      </c>
      <c r="B2352" s="26" t="str">
        <f>"09PPR0457Q"</f>
        <v>09PPR0457Q</v>
      </c>
      <c r="C2352" s="26" t="str">
        <f>"ESCUELA MEXICANA DEL VALLE                                                                          "</f>
        <v xml:space="preserve">ESCUELA MEXICANA DEL VALLE                                                                          </v>
      </c>
      <c r="D2352" s="26" t="str">
        <f t="shared" si="387"/>
        <v>MATUTINO</v>
      </c>
      <c r="E2352" s="26" t="str">
        <f>"GABRIEL MANCERA 1611                                                            "</f>
        <v xml:space="preserve">GABRIEL MANCERA 1611                                                            </v>
      </c>
      <c r="F2352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2352" s="26" t="str">
        <f>"BENITO JUAREZ                                                                   "</f>
        <v xml:space="preserve">BENITO JUAREZ                                                                   </v>
      </c>
      <c r="H2352" s="26" t="str">
        <f>"000"</f>
        <v>000</v>
      </c>
      <c r="I2352" s="26" t="str">
        <f t="shared" si="388"/>
        <v>00</v>
      </c>
      <c r="J2352" s="26" t="str">
        <f t="shared" ref="J2352:J2362" si="394">"43 "</f>
        <v xml:space="preserve">43 </v>
      </c>
      <c r="K2352" s="26" t="str">
        <f t="shared" si="392"/>
        <v>PR</v>
      </c>
      <c r="L2352" s="26" t="str">
        <f t="shared" si="393"/>
        <v>DGOSE</v>
      </c>
      <c r="M2352" s="26" t="str">
        <f t="shared" si="391"/>
        <v>PARTICULAR</v>
      </c>
      <c r="N2352" s="26">
        <v>211</v>
      </c>
      <c r="O2352" s="26">
        <v>108</v>
      </c>
      <c r="P2352" s="26">
        <v>103</v>
      </c>
      <c r="Q2352" s="26">
        <v>11</v>
      </c>
      <c r="R2352" s="26">
        <v>1</v>
      </c>
      <c r="S2352" s="26">
        <v>6</v>
      </c>
      <c r="T2352" s="26">
        <v>22</v>
      </c>
      <c r="U2352" s="26">
        <v>29</v>
      </c>
      <c r="V2352" s="26">
        <v>1</v>
      </c>
      <c r="W2352" s="26"/>
    </row>
    <row r="2353" spans="1:23" x14ac:dyDescent="0.25">
      <c r="A2353" s="26" t="str">
        <f t="shared" si="386"/>
        <v>PRIMARIA</v>
      </c>
      <c r="B2353" s="26" t="str">
        <f>"09PPR0459O"</f>
        <v>09PPR0459O</v>
      </c>
      <c r="C2353" s="26" t="str">
        <f>"INSTITUTO JAN AMOS KOMENSKY                                                                         "</f>
        <v xml:space="preserve">INSTITUTO JAN AMOS KOMENSKY                                                                         </v>
      </c>
      <c r="D2353" s="26" t="str">
        <f t="shared" si="387"/>
        <v>MATUTINO</v>
      </c>
      <c r="E2353" s="26" t="str">
        <f>"FERNANDO VILLALPANDO 24                                                         "</f>
        <v xml:space="preserve">FERNANDO VILLALPANDO 24                                                         </v>
      </c>
      <c r="F2353" s="26" t="str">
        <f>"GUADALUPE INN                                                                                                                               "</f>
        <v xml:space="preserve">GUADALUPE INN                                                                                                                               </v>
      </c>
      <c r="G2353" s="26" t="str">
        <f>"ALVARO OBREGON                                                                  "</f>
        <v xml:space="preserve">ALVARO OBREGON                                                                  </v>
      </c>
      <c r="H2353" s="26" t="str">
        <f>"325"</f>
        <v>325</v>
      </c>
      <c r="I2353" s="26" t="str">
        <f t="shared" si="388"/>
        <v>00</v>
      </c>
      <c r="J2353" s="26" t="str">
        <f t="shared" si="394"/>
        <v xml:space="preserve">43 </v>
      </c>
      <c r="K2353" s="26" t="str">
        <f t="shared" si="392"/>
        <v>PR</v>
      </c>
      <c r="L2353" s="26" t="str">
        <f t="shared" si="393"/>
        <v>DGOSE</v>
      </c>
      <c r="M2353" s="26" t="str">
        <f t="shared" si="391"/>
        <v>PARTICULAR</v>
      </c>
      <c r="N2353" s="26">
        <v>120</v>
      </c>
      <c r="O2353" s="26">
        <v>65</v>
      </c>
      <c r="P2353" s="26">
        <v>55</v>
      </c>
      <c r="Q2353" s="26">
        <v>6</v>
      </c>
      <c r="R2353" s="26">
        <v>1</v>
      </c>
      <c r="S2353" s="26">
        <v>4</v>
      </c>
      <c r="T2353" s="26">
        <v>7</v>
      </c>
      <c r="U2353" s="26">
        <v>12</v>
      </c>
      <c r="V2353" s="26">
        <v>1</v>
      </c>
      <c r="W2353" s="26"/>
    </row>
    <row r="2354" spans="1:23" x14ac:dyDescent="0.25">
      <c r="A2354" s="26" t="str">
        <f t="shared" si="386"/>
        <v>PRIMARIA</v>
      </c>
      <c r="B2354" s="26" t="str">
        <f>"09PPR0464Z"</f>
        <v>09PPR0464Z</v>
      </c>
      <c r="C2354" s="26" t="str">
        <f>"COLEGIO CLAPAREDE                                                                                   "</f>
        <v xml:space="preserve">COLEGIO CLAPAREDE                                                                                   </v>
      </c>
      <c r="D2354" s="26" t="str">
        <f t="shared" si="387"/>
        <v>MATUTINO</v>
      </c>
      <c r="E2354" s="26" t="str">
        <f>"MIGUEL ANGEL 73                                                                 "</f>
        <v xml:space="preserve">MIGUEL ANGEL 73                                                                 </v>
      </c>
      <c r="F2354" s="26" t="str">
        <f>"MIXCOAC                                                                                                                                     "</f>
        <v xml:space="preserve">MIXCOAC                                                                                                                                     </v>
      </c>
      <c r="G2354" s="26" t="str">
        <f>"BENITO JUAREZ                                                                   "</f>
        <v xml:space="preserve">BENITO JUAREZ                                                                   </v>
      </c>
      <c r="H2354" s="26" t="str">
        <f>"340"</f>
        <v>340</v>
      </c>
      <c r="I2354" s="26" t="str">
        <f t="shared" si="388"/>
        <v>00</v>
      </c>
      <c r="J2354" s="26" t="str">
        <f t="shared" si="394"/>
        <v xml:space="preserve">43 </v>
      </c>
      <c r="K2354" s="26" t="str">
        <f t="shared" si="392"/>
        <v>PR</v>
      </c>
      <c r="L2354" s="26" t="str">
        <f t="shared" si="393"/>
        <v>DGOSE</v>
      </c>
      <c r="M2354" s="26" t="str">
        <f t="shared" si="391"/>
        <v>PARTICULAR</v>
      </c>
      <c r="N2354" s="26">
        <v>48</v>
      </c>
      <c r="O2354" s="26">
        <v>29</v>
      </c>
      <c r="P2354" s="26">
        <v>19</v>
      </c>
      <c r="Q2354" s="26">
        <v>6</v>
      </c>
      <c r="R2354" s="26">
        <v>1</v>
      </c>
      <c r="S2354" s="26">
        <v>6</v>
      </c>
      <c r="T2354" s="26">
        <v>10</v>
      </c>
      <c r="U2354" s="26">
        <v>17</v>
      </c>
      <c r="V2354" s="26">
        <v>1</v>
      </c>
      <c r="W2354" s="26"/>
    </row>
    <row r="2355" spans="1:23" x14ac:dyDescent="0.25">
      <c r="A2355" s="26" t="str">
        <f t="shared" si="386"/>
        <v>PRIMARIA</v>
      </c>
      <c r="B2355" s="26" t="str">
        <f>"09PPR0465Z"</f>
        <v>09PPR0465Z</v>
      </c>
      <c r="C2355" s="26" t="str">
        <f>"COLEGIO FRONTENAC                                                                                   "</f>
        <v xml:space="preserve">COLEGIO FRONTENAC                                                                                   </v>
      </c>
      <c r="D2355" s="26" t="str">
        <f t="shared" si="387"/>
        <v>MATUTINO</v>
      </c>
      <c r="E2355" s="26" t="str">
        <f>"PLAYA MIRAMAR 543                                                               "</f>
        <v xml:space="preserve">PLAYA MIRAMAR 543                                                               </v>
      </c>
      <c r="F2355" s="26" t="str">
        <f>"REFORMA IZTACCIHUATL                                                                                                                        "</f>
        <v xml:space="preserve">REFORMA IZTACCIHUATL                                                                                                                        </v>
      </c>
      <c r="G2355" s="26" t="str">
        <f>"IZTACALCO                                                                       "</f>
        <v xml:space="preserve">IZTACALCO                                                                       </v>
      </c>
      <c r="H2355" s="26" t="str">
        <f>"363"</f>
        <v>363</v>
      </c>
      <c r="I2355" s="26" t="str">
        <f t="shared" si="388"/>
        <v>00</v>
      </c>
      <c r="J2355" s="26" t="str">
        <f t="shared" si="394"/>
        <v xml:space="preserve">43 </v>
      </c>
      <c r="K2355" s="26" t="str">
        <f t="shared" si="392"/>
        <v>PR</v>
      </c>
      <c r="L2355" s="26" t="str">
        <f t="shared" si="393"/>
        <v>DGOSE</v>
      </c>
      <c r="M2355" s="26" t="str">
        <f t="shared" si="391"/>
        <v>PARTICULAR</v>
      </c>
      <c r="N2355" s="26">
        <v>65</v>
      </c>
      <c r="O2355" s="26">
        <v>31</v>
      </c>
      <c r="P2355" s="26">
        <v>34</v>
      </c>
      <c r="Q2355" s="26">
        <v>6</v>
      </c>
      <c r="R2355" s="26">
        <v>1</v>
      </c>
      <c r="S2355" s="26">
        <v>6</v>
      </c>
      <c r="T2355" s="26">
        <v>6</v>
      </c>
      <c r="U2355" s="26">
        <v>13</v>
      </c>
      <c r="V2355" s="26">
        <v>1</v>
      </c>
      <c r="W2355" s="26"/>
    </row>
    <row r="2356" spans="1:23" x14ac:dyDescent="0.25">
      <c r="A2356" s="26" t="str">
        <f t="shared" si="386"/>
        <v>PRIMARIA</v>
      </c>
      <c r="B2356" s="26" t="str">
        <f>"09PPR0466Y"</f>
        <v>09PPR0466Y</v>
      </c>
      <c r="C2356" s="26" t="str">
        <f>"GREEN HILLS SCHOOL                                                                                  "</f>
        <v xml:space="preserve">GREEN HILLS SCHOOL                                                                                  </v>
      </c>
      <c r="D2356" s="26" t="str">
        <f t="shared" si="387"/>
        <v>MATUTINO</v>
      </c>
      <c r="E2356" s="26" t="str">
        <f>"AV. SAN BERNABE NUM. 960                                                        "</f>
        <v xml:space="preserve">AV. SAN BERNABE NUM. 960                                                        </v>
      </c>
      <c r="F2356" s="26" t="str">
        <f>"SAN JERONIMO LIDICE                                                                                                                         "</f>
        <v xml:space="preserve">SAN JERONIMO LIDICE                                                                                                                         </v>
      </c>
      <c r="G2356" s="26" t="str">
        <f>"LA MAGDALENA CONTRERAS                                                          "</f>
        <v xml:space="preserve">LA MAGDALENA CONTRERAS                                                          </v>
      </c>
      <c r="H2356" s="26" t="str">
        <f>"332"</f>
        <v>332</v>
      </c>
      <c r="I2356" s="26" t="str">
        <f t="shared" si="388"/>
        <v>00</v>
      </c>
      <c r="J2356" s="26" t="str">
        <f t="shared" si="394"/>
        <v xml:space="preserve">43 </v>
      </c>
      <c r="K2356" s="26" t="str">
        <f t="shared" si="392"/>
        <v>PR</v>
      </c>
      <c r="L2356" s="26" t="str">
        <f t="shared" si="393"/>
        <v>DGOSE</v>
      </c>
      <c r="M2356" s="26" t="str">
        <f t="shared" si="391"/>
        <v>PARTICULAR</v>
      </c>
      <c r="N2356" s="26">
        <v>371</v>
      </c>
      <c r="O2356" s="26">
        <v>187</v>
      </c>
      <c r="P2356" s="26">
        <v>184</v>
      </c>
      <c r="Q2356" s="26">
        <v>17</v>
      </c>
      <c r="R2356" s="26">
        <v>1</v>
      </c>
      <c r="S2356" s="26">
        <v>11</v>
      </c>
      <c r="T2356" s="26">
        <v>27</v>
      </c>
      <c r="U2356" s="26">
        <v>39</v>
      </c>
      <c r="V2356" s="26">
        <v>1</v>
      </c>
      <c r="W2356" s="26"/>
    </row>
    <row r="2357" spans="1:23" x14ac:dyDescent="0.25">
      <c r="A2357" s="26" t="str">
        <f t="shared" si="386"/>
        <v>PRIMARIA</v>
      </c>
      <c r="B2357" s="26" t="str">
        <f>"09PPR0467X"</f>
        <v>09PPR0467X</v>
      </c>
      <c r="C2357" s="26" t="str">
        <f>"ABRAHAM LINCOLN                                                                                     "</f>
        <v xml:space="preserve">ABRAHAM LINCOLN                                                                                     </v>
      </c>
      <c r="D2357" s="26" t="str">
        <f t="shared" si="387"/>
        <v>MATUTINO</v>
      </c>
      <c r="E2357" s="26" t="str">
        <f>"NISPERO 17                                                                      "</f>
        <v xml:space="preserve">NISPERO 17                                                                      </v>
      </c>
      <c r="F2357" s="26" t="str">
        <f>"SAN JOSE DE LOS CEDROS                                                                                                                      "</f>
        <v xml:space="preserve">SAN JOSE DE LOS CEDROS                                                                                                                      </v>
      </c>
      <c r="G2357" s="26" t="str">
        <f>"CUAJIMALPA DE MORELOS                                                           "</f>
        <v xml:space="preserve">CUAJIMALPA DE MORELOS                                                           </v>
      </c>
      <c r="H2357" s="26" t="str">
        <f>"302"</f>
        <v>302</v>
      </c>
      <c r="I2357" s="26" t="str">
        <f t="shared" si="388"/>
        <v>00</v>
      </c>
      <c r="J2357" s="26" t="str">
        <f t="shared" si="394"/>
        <v xml:space="preserve">43 </v>
      </c>
      <c r="K2357" s="26" t="str">
        <f t="shared" si="392"/>
        <v>PR</v>
      </c>
      <c r="L2357" s="26" t="str">
        <f t="shared" si="393"/>
        <v>DGOSE</v>
      </c>
      <c r="M2357" s="26" t="str">
        <f t="shared" si="391"/>
        <v>PARTICULAR</v>
      </c>
      <c r="N2357" s="26">
        <v>93</v>
      </c>
      <c r="O2357" s="26">
        <v>41</v>
      </c>
      <c r="P2357" s="26">
        <v>52</v>
      </c>
      <c r="Q2357" s="26">
        <v>6</v>
      </c>
      <c r="R2357" s="26">
        <v>1</v>
      </c>
      <c r="S2357" s="26">
        <v>6</v>
      </c>
      <c r="T2357" s="26">
        <v>8</v>
      </c>
      <c r="U2357" s="26">
        <v>15</v>
      </c>
      <c r="V2357" s="26">
        <v>1</v>
      </c>
      <c r="W2357" s="26"/>
    </row>
    <row r="2358" spans="1:23" x14ac:dyDescent="0.25">
      <c r="A2358" s="26" t="str">
        <f t="shared" si="386"/>
        <v>PRIMARIA</v>
      </c>
      <c r="B2358" s="26" t="str">
        <f>"09PPR0469V"</f>
        <v>09PPR0469V</v>
      </c>
      <c r="C2358" s="26" t="str">
        <f>"INSTITUTO GUILLERMO MARCONI                                                                         "</f>
        <v xml:space="preserve">INSTITUTO GUILLERMO MARCONI                                                                         </v>
      </c>
      <c r="D2358" s="26" t="str">
        <f t="shared" si="387"/>
        <v>MATUTINO</v>
      </c>
      <c r="E2358" s="26" t="str">
        <f>"PLAYA ROSARITO 336                                                              "</f>
        <v xml:space="preserve">PLAYA ROSARITO 336                                                              </v>
      </c>
      <c r="F2358" s="26" t="str">
        <f>"REFORMA IZTACCIHUATL                                                                                                                        "</f>
        <v xml:space="preserve">REFORMA IZTACCIHUATL                                                                                                                        </v>
      </c>
      <c r="G2358" s="26" t="str">
        <f>"IZTACALCO                                                                       "</f>
        <v xml:space="preserve">IZTACALCO                                                                       </v>
      </c>
      <c r="H2358" s="26" t="str">
        <f>"363"</f>
        <v>363</v>
      </c>
      <c r="I2358" s="26" t="str">
        <f t="shared" si="388"/>
        <v>00</v>
      </c>
      <c r="J2358" s="26" t="str">
        <f t="shared" si="394"/>
        <v xml:space="preserve">43 </v>
      </c>
      <c r="K2358" s="26" t="str">
        <f t="shared" si="392"/>
        <v>PR</v>
      </c>
      <c r="L2358" s="26" t="str">
        <f t="shared" si="393"/>
        <v>DGOSE</v>
      </c>
      <c r="M2358" s="26" t="str">
        <f t="shared" si="391"/>
        <v>PARTICULAR</v>
      </c>
      <c r="N2358" s="26">
        <v>242</v>
      </c>
      <c r="O2358" s="26">
        <v>122</v>
      </c>
      <c r="P2358" s="26">
        <v>120</v>
      </c>
      <c r="Q2358" s="26">
        <v>12</v>
      </c>
      <c r="R2358" s="26">
        <v>1</v>
      </c>
      <c r="S2358" s="26">
        <v>12</v>
      </c>
      <c r="T2358" s="26">
        <v>9</v>
      </c>
      <c r="U2358" s="26">
        <v>22</v>
      </c>
      <c r="V2358" s="26">
        <v>1</v>
      </c>
      <c r="W2358" s="26"/>
    </row>
    <row r="2359" spans="1:23" x14ac:dyDescent="0.25">
      <c r="A2359" s="26" t="str">
        <f t="shared" si="386"/>
        <v>PRIMARIA</v>
      </c>
      <c r="B2359" s="26" t="str">
        <f>"09PPR0475F"</f>
        <v>09PPR0475F</v>
      </c>
      <c r="C2359" s="26" t="str">
        <f>"BARTOLOME GUTIERREZ                                                                                 "</f>
        <v xml:space="preserve">BARTOLOME GUTIERREZ                                                                                 </v>
      </c>
      <c r="D2359" s="26" t="str">
        <f t="shared" si="387"/>
        <v>MATUTINO</v>
      </c>
      <c r="E2359" s="26" t="str">
        <f>"TIZAYUCA NO 34                                                                  "</f>
        <v xml:space="preserve">TIZAYUCA NO 34                                                                  </v>
      </c>
      <c r="F2359" s="26" t="str">
        <f>"MICHOACANA                                                                                                                                  "</f>
        <v xml:space="preserve">MICHOACANA                                                                                                                                  </v>
      </c>
      <c r="G2359" s="26" t="str">
        <f>"VENUSTIANO CARRANZA                                                             "</f>
        <v xml:space="preserve">VENUSTIANO CARRANZA                                                             </v>
      </c>
      <c r="H2359" s="26" t="str">
        <f>"342"</f>
        <v>342</v>
      </c>
      <c r="I2359" s="26" t="str">
        <f t="shared" si="388"/>
        <v>00</v>
      </c>
      <c r="J2359" s="26" t="str">
        <f t="shared" si="394"/>
        <v xml:space="preserve">43 </v>
      </c>
      <c r="K2359" s="26" t="str">
        <f t="shared" si="392"/>
        <v>PR</v>
      </c>
      <c r="L2359" s="26" t="str">
        <f t="shared" si="393"/>
        <v>DGOSE</v>
      </c>
      <c r="M2359" s="26" t="str">
        <f t="shared" si="391"/>
        <v>PARTICULAR</v>
      </c>
      <c r="N2359" s="26">
        <v>49</v>
      </c>
      <c r="O2359" s="26">
        <v>27</v>
      </c>
      <c r="P2359" s="26">
        <v>22</v>
      </c>
      <c r="Q2359" s="26">
        <v>6</v>
      </c>
      <c r="R2359" s="26">
        <v>1</v>
      </c>
      <c r="S2359" s="26">
        <v>6</v>
      </c>
      <c r="T2359" s="26">
        <v>5</v>
      </c>
      <c r="U2359" s="26">
        <v>12</v>
      </c>
      <c r="V2359" s="26">
        <v>1</v>
      </c>
      <c r="W2359" s="26"/>
    </row>
    <row r="2360" spans="1:23" x14ac:dyDescent="0.25">
      <c r="A2360" s="26" t="str">
        <f t="shared" si="386"/>
        <v>PRIMARIA</v>
      </c>
      <c r="B2360" s="26" t="str">
        <f>"09PPR0477D"</f>
        <v>09PPR0477D</v>
      </c>
      <c r="C2360" s="26" t="str">
        <f>"INSTITUTO ALEXANDER BAIN                                                                            "</f>
        <v xml:space="preserve">INSTITUTO ALEXANDER BAIN                                                                            </v>
      </c>
      <c r="D2360" s="26" t="str">
        <f t="shared" si="387"/>
        <v>MATUTINO</v>
      </c>
      <c r="E2360" s="26" t="str">
        <f>"CASCADA 320                                                                     "</f>
        <v xml:space="preserve">CASCADA 320                                                                     </v>
      </c>
      <c r="F2360" s="26" t="str">
        <f>"JARDINES DEL PEDREGAL                                                                                                                       "</f>
        <v xml:space="preserve">JARDINES DEL PEDREGAL                                                                                                                       </v>
      </c>
      <c r="G2360" s="26" t="str">
        <f>"ALVARO OBREGON                                                                  "</f>
        <v xml:space="preserve">ALVARO OBREGON                                                                  </v>
      </c>
      <c r="H2360" s="26" t="str">
        <f>"325"</f>
        <v>325</v>
      </c>
      <c r="I2360" s="26" t="str">
        <f t="shared" si="388"/>
        <v>00</v>
      </c>
      <c r="J2360" s="26" t="str">
        <f t="shared" si="394"/>
        <v xml:space="preserve">43 </v>
      </c>
      <c r="K2360" s="26" t="str">
        <f t="shared" si="392"/>
        <v>PR</v>
      </c>
      <c r="L2360" s="26" t="str">
        <f t="shared" si="393"/>
        <v>DGOSE</v>
      </c>
      <c r="M2360" s="26" t="str">
        <f t="shared" si="391"/>
        <v>PARTICULAR</v>
      </c>
      <c r="N2360" s="26">
        <v>461</v>
      </c>
      <c r="O2360" s="26">
        <v>226</v>
      </c>
      <c r="P2360" s="26">
        <v>235</v>
      </c>
      <c r="Q2360" s="26">
        <v>18</v>
      </c>
      <c r="R2360" s="26">
        <v>1</v>
      </c>
      <c r="S2360" s="26">
        <v>12</v>
      </c>
      <c r="T2360" s="26">
        <v>39</v>
      </c>
      <c r="U2360" s="26">
        <v>52</v>
      </c>
      <c r="V2360" s="26">
        <v>1</v>
      </c>
      <c r="W2360" s="26"/>
    </row>
    <row r="2361" spans="1:23" x14ac:dyDescent="0.25">
      <c r="A2361" s="26" t="str">
        <f t="shared" si="386"/>
        <v>PRIMARIA</v>
      </c>
      <c r="B2361" s="26" t="str">
        <f>"09PPR0478C"</f>
        <v>09PPR0478C</v>
      </c>
      <c r="C2361" s="26" t="str">
        <f>"CENTRO PEDAGOGICO DEL AJUSCO                                                                        "</f>
        <v xml:space="preserve">CENTRO PEDAGOGICO DEL AJUSCO                                                                        </v>
      </c>
      <c r="D2361" s="26" t="str">
        <f t="shared" si="387"/>
        <v>MATUTINO</v>
      </c>
      <c r="E2361" s="26" t="str">
        <f>"PASEO DEL PEDREGAL NO 1201                                                      "</f>
        <v xml:space="preserve">PASEO DEL PEDREGAL NO 1201                                                      </v>
      </c>
      <c r="F2361" s="26" t="str">
        <f>"JARDINES DEL PEDREGAL                                                                                                                       "</f>
        <v xml:space="preserve">JARDINES DEL PEDREGAL                                                                                                                       </v>
      </c>
      <c r="G2361" s="26" t="str">
        <f>"ALVARO OBREGON                                                                  "</f>
        <v xml:space="preserve">ALVARO OBREGON                                                                  </v>
      </c>
      <c r="H2361" s="26" t="str">
        <f>"327"</f>
        <v>327</v>
      </c>
      <c r="I2361" s="26" t="str">
        <f t="shared" si="388"/>
        <v>00</v>
      </c>
      <c r="J2361" s="26" t="str">
        <f t="shared" si="394"/>
        <v xml:space="preserve">43 </v>
      </c>
      <c r="K2361" s="26" t="str">
        <f t="shared" si="392"/>
        <v>PR</v>
      </c>
      <c r="L2361" s="26" t="str">
        <f t="shared" si="393"/>
        <v>DGOSE</v>
      </c>
      <c r="M2361" s="26" t="str">
        <f t="shared" si="391"/>
        <v>PARTICULAR</v>
      </c>
      <c r="N2361" s="26">
        <v>34</v>
      </c>
      <c r="O2361" s="26">
        <v>23</v>
      </c>
      <c r="P2361" s="26">
        <v>11</v>
      </c>
      <c r="Q2361" s="26">
        <v>6</v>
      </c>
      <c r="R2361" s="26">
        <v>1</v>
      </c>
      <c r="S2361" s="26">
        <v>3</v>
      </c>
      <c r="T2361" s="26">
        <v>5</v>
      </c>
      <c r="U2361" s="26">
        <v>9</v>
      </c>
      <c r="V2361" s="26">
        <v>1</v>
      </c>
      <c r="W2361" s="26"/>
    </row>
    <row r="2362" spans="1:23" x14ac:dyDescent="0.25">
      <c r="A2362" s="26" t="str">
        <f t="shared" si="386"/>
        <v>PRIMARIA</v>
      </c>
      <c r="B2362" s="26" t="str">
        <f>"09PPR0480R"</f>
        <v>09PPR0480R</v>
      </c>
      <c r="C2362" s="26" t="str">
        <f>"GIORDANO BRUNO                                                                                      "</f>
        <v xml:space="preserve">GIORDANO BRUNO                                                                                      </v>
      </c>
      <c r="D2362" s="26" t="str">
        <f t="shared" si="387"/>
        <v>MATUTINO</v>
      </c>
      <c r="E2362" s="26" t="str">
        <f>"PALMAS 164                                                                      "</f>
        <v xml:space="preserve">PALMAS 164                                                                      </v>
      </c>
      <c r="F2362" s="26" t="str">
        <f>"EL ROSAL BAJO                                                                                                                               "</f>
        <v xml:space="preserve">EL ROSAL BAJO                                                                                                                               </v>
      </c>
      <c r="G2362" s="26" t="str">
        <f>"LA MAGDALENA CONTRERAS                                                          "</f>
        <v xml:space="preserve">LA MAGDALENA CONTRERAS                                                          </v>
      </c>
      <c r="H2362" s="26" t="str">
        <f>"333"</f>
        <v>333</v>
      </c>
      <c r="I2362" s="26" t="str">
        <f t="shared" si="388"/>
        <v>00</v>
      </c>
      <c r="J2362" s="26" t="str">
        <f t="shared" si="394"/>
        <v xml:space="preserve">43 </v>
      </c>
      <c r="K2362" s="26" t="str">
        <f t="shared" si="392"/>
        <v>PR</v>
      </c>
      <c r="L2362" s="26" t="str">
        <f t="shared" si="393"/>
        <v>DGOSE</v>
      </c>
      <c r="M2362" s="26" t="str">
        <f t="shared" si="391"/>
        <v>PARTICULAR</v>
      </c>
      <c r="N2362" s="26">
        <v>103</v>
      </c>
      <c r="O2362" s="26">
        <v>60</v>
      </c>
      <c r="P2362" s="26">
        <v>43</v>
      </c>
      <c r="Q2362" s="26">
        <v>6</v>
      </c>
      <c r="R2362" s="26">
        <v>1</v>
      </c>
      <c r="S2362" s="26">
        <v>6</v>
      </c>
      <c r="T2362" s="26">
        <v>8</v>
      </c>
      <c r="U2362" s="26">
        <v>15</v>
      </c>
      <c r="V2362" s="26">
        <v>1</v>
      </c>
      <c r="W2362" s="26"/>
    </row>
    <row r="2363" spans="1:23" x14ac:dyDescent="0.25">
      <c r="A2363" s="26" t="str">
        <f t="shared" si="386"/>
        <v>PRIMARIA</v>
      </c>
      <c r="B2363" s="26" t="str">
        <f>"09PPR0482P"</f>
        <v>09PPR0482P</v>
      </c>
      <c r="C2363" s="26" t="str">
        <f>"BERTA VON GLUMER                                                                                    "</f>
        <v xml:space="preserve">BERTA VON GLUMER                                                                                    </v>
      </c>
      <c r="D2363" s="26" t="str">
        <f t="shared" si="387"/>
        <v>MATUTINO</v>
      </c>
      <c r="E2363" s="26" t="str">
        <f>"PUEBLA 419                                                                      "</f>
        <v xml:space="preserve">PUEBLA 419                                                                      </v>
      </c>
      <c r="F2363" s="26" t="str">
        <f>"ROMA NORTE                                                                                                                                  "</f>
        <v xml:space="preserve">ROMA NORTE                                                                                                                                  </v>
      </c>
      <c r="G2363" s="26" t="str">
        <f>"CUAUHTEMOC                                                                      "</f>
        <v xml:space="preserve">CUAUHTEMOC                                                                      </v>
      </c>
      <c r="H2363" s="26" t="str">
        <f>"000"</f>
        <v>000</v>
      </c>
      <c r="I2363" s="26" t="str">
        <f t="shared" si="388"/>
        <v>00</v>
      </c>
      <c r="J2363" s="26" t="str">
        <f>"42 "</f>
        <v xml:space="preserve">42 </v>
      </c>
      <c r="K2363" s="26" t="str">
        <f t="shared" si="392"/>
        <v>PR</v>
      </c>
      <c r="L2363" s="26" t="str">
        <f t="shared" si="393"/>
        <v>DGOSE</v>
      </c>
      <c r="M2363" s="26" t="str">
        <f t="shared" si="391"/>
        <v>PARTICULAR</v>
      </c>
      <c r="N2363" s="26">
        <v>284</v>
      </c>
      <c r="O2363" s="26">
        <v>148</v>
      </c>
      <c r="P2363" s="26">
        <v>136</v>
      </c>
      <c r="Q2363" s="26">
        <v>12</v>
      </c>
      <c r="R2363" s="26">
        <v>1</v>
      </c>
      <c r="S2363" s="26">
        <v>6</v>
      </c>
      <c r="T2363" s="26">
        <v>15</v>
      </c>
      <c r="U2363" s="26">
        <v>22</v>
      </c>
      <c r="V2363" s="26">
        <v>1</v>
      </c>
      <c r="W2363" s="26"/>
    </row>
    <row r="2364" spans="1:23" x14ac:dyDescent="0.25">
      <c r="A2364" s="26" t="str">
        <f t="shared" si="386"/>
        <v>PRIMARIA</v>
      </c>
      <c r="B2364" s="26" t="str">
        <f>"09PPR0483O"</f>
        <v>09PPR0483O</v>
      </c>
      <c r="C2364" s="26" t="str">
        <f>"CENTRO ESCOLAR YAOCALLI                                                                             "</f>
        <v xml:space="preserve">CENTRO ESCOLAR YAOCALLI                                                                             </v>
      </c>
      <c r="D2364" s="26" t="str">
        <f t="shared" si="387"/>
        <v>MATUTINO</v>
      </c>
      <c r="E2364" s="26" t="str">
        <f>"CERRADA CIUDAD DE LEON NO. 54                                                   "</f>
        <v xml:space="preserve">CERRADA CIUDAD DE LEON NO. 54                                                   </v>
      </c>
      <c r="F2364" s="26" t="str">
        <f>"MIGUEL HIDALGO                                                                                                                              "</f>
        <v xml:space="preserve">MIGUEL HIDALGO                                                                                                                              </v>
      </c>
      <c r="G2364" s="26" t="str">
        <f>"TLALPAN                                                                         "</f>
        <v xml:space="preserve">TLALPAN                                                                         </v>
      </c>
      <c r="H2364" s="26" t="str">
        <f>"518"</f>
        <v>518</v>
      </c>
      <c r="I2364" s="26" t="str">
        <f t="shared" si="388"/>
        <v>00</v>
      </c>
      <c r="J2364" s="26" t="str">
        <f>"45 "</f>
        <v xml:space="preserve">45 </v>
      </c>
      <c r="K2364" s="26" t="str">
        <f t="shared" si="392"/>
        <v>PR</v>
      </c>
      <c r="L2364" s="26" t="str">
        <f t="shared" si="393"/>
        <v>DGOSE</v>
      </c>
      <c r="M2364" s="26" t="str">
        <f t="shared" si="391"/>
        <v>PARTICULAR</v>
      </c>
      <c r="N2364" s="26">
        <v>304</v>
      </c>
      <c r="O2364" s="26">
        <v>0</v>
      </c>
      <c r="P2364" s="26">
        <v>304</v>
      </c>
      <c r="Q2364" s="26">
        <v>13</v>
      </c>
      <c r="R2364" s="26">
        <v>1</v>
      </c>
      <c r="S2364" s="26">
        <v>7</v>
      </c>
      <c r="T2364" s="26">
        <v>12</v>
      </c>
      <c r="U2364" s="26">
        <v>20</v>
      </c>
      <c r="V2364" s="26">
        <v>1</v>
      </c>
      <c r="W2364" s="26"/>
    </row>
    <row r="2365" spans="1:23" x14ac:dyDescent="0.25">
      <c r="A2365" s="26" t="str">
        <f t="shared" si="386"/>
        <v>PRIMARIA</v>
      </c>
      <c r="B2365" s="26" t="str">
        <f>"09PPR0484N"</f>
        <v>09PPR0484N</v>
      </c>
      <c r="C2365" s="26" t="str">
        <f>"COLEGIO PORVENIR                                                                                    "</f>
        <v xml:space="preserve">COLEGIO PORVENIR                                                                                    </v>
      </c>
      <c r="D2365" s="26" t="str">
        <f t="shared" si="387"/>
        <v>MATUTINO</v>
      </c>
      <c r="E2365" s="26" t="str">
        <f>"TABASCO 145                                                                     "</f>
        <v xml:space="preserve">TABASCO 145                                                                     </v>
      </c>
      <c r="F2365" s="26" t="str">
        <f>"ROMA NORTE                                                                                                                                  "</f>
        <v xml:space="preserve">ROMA NORTE                                                                                                                                  </v>
      </c>
      <c r="G2365" s="26" t="str">
        <f>"CUAUHTEMOC                                                                      "</f>
        <v xml:space="preserve">CUAUHTEMOC                                                                      </v>
      </c>
      <c r="H2365" s="26" t="str">
        <f>"000"</f>
        <v>000</v>
      </c>
      <c r="I2365" s="26" t="str">
        <f t="shared" si="388"/>
        <v>00</v>
      </c>
      <c r="J2365" s="26" t="str">
        <f>"42 "</f>
        <v xml:space="preserve">42 </v>
      </c>
      <c r="K2365" s="26" t="str">
        <f t="shared" si="392"/>
        <v>PR</v>
      </c>
      <c r="L2365" s="26" t="str">
        <f t="shared" si="393"/>
        <v>DGOSE</v>
      </c>
      <c r="M2365" s="26" t="str">
        <f t="shared" si="391"/>
        <v>PARTICULAR</v>
      </c>
      <c r="N2365" s="26">
        <v>184</v>
      </c>
      <c r="O2365" s="26">
        <v>74</v>
      </c>
      <c r="P2365" s="26">
        <v>110</v>
      </c>
      <c r="Q2365" s="26">
        <v>10</v>
      </c>
      <c r="R2365" s="26">
        <v>1</v>
      </c>
      <c r="S2365" s="26">
        <v>5</v>
      </c>
      <c r="T2365" s="26">
        <v>14</v>
      </c>
      <c r="U2365" s="26">
        <v>20</v>
      </c>
      <c r="V2365" s="26">
        <v>1</v>
      </c>
      <c r="W2365" s="26"/>
    </row>
    <row r="2366" spans="1:23" x14ac:dyDescent="0.25">
      <c r="A2366" s="26" t="str">
        <f t="shared" si="386"/>
        <v>PRIMARIA</v>
      </c>
      <c r="B2366" s="26" t="str">
        <f>"09PPR0486L"</f>
        <v>09PPR0486L</v>
      </c>
      <c r="C2366" s="26" t="str">
        <f>"HERALDOS DE MEXICO                                                                                  "</f>
        <v xml:space="preserve">HERALDOS DE MEXICO                                                                                  </v>
      </c>
      <c r="D2366" s="26" t="str">
        <f t="shared" si="387"/>
        <v>MATUTINO</v>
      </c>
      <c r="E2366" s="26" t="str">
        <f>"AV LA GARITA NO 243                                                             "</f>
        <v xml:space="preserve">AV LA GARITA NO 243                                                             </v>
      </c>
      <c r="F2366" s="26" t="str">
        <f>"RESIDENCIAL VILLA COAPA                                                                                                                     "</f>
        <v xml:space="preserve">RESIDENCIAL VILLA COAPA                                                                                                                     </v>
      </c>
      <c r="G2366" s="26" t="str">
        <f>"TLALPAN                                                                         "</f>
        <v xml:space="preserve">TLALPAN                                                                         </v>
      </c>
      <c r="H2366" s="26" t="str">
        <f>"526"</f>
        <v>526</v>
      </c>
      <c r="I2366" s="26" t="str">
        <f t="shared" si="388"/>
        <v>00</v>
      </c>
      <c r="J2366" s="26" t="str">
        <f>"45 "</f>
        <v xml:space="preserve">45 </v>
      </c>
      <c r="K2366" s="26" t="str">
        <f t="shared" si="392"/>
        <v>PR</v>
      </c>
      <c r="L2366" s="26" t="str">
        <f t="shared" si="393"/>
        <v>DGOSE</v>
      </c>
      <c r="M2366" s="26" t="str">
        <f t="shared" si="391"/>
        <v>PARTICULAR</v>
      </c>
      <c r="N2366" s="26">
        <v>263</v>
      </c>
      <c r="O2366" s="26">
        <v>109</v>
      </c>
      <c r="P2366" s="26">
        <v>154</v>
      </c>
      <c r="Q2366" s="26">
        <v>12</v>
      </c>
      <c r="R2366" s="26">
        <v>1</v>
      </c>
      <c r="S2366" s="26">
        <v>5</v>
      </c>
      <c r="T2366" s="26">
        <v>22</v>
      </c>
      <c r="U2366" s="26">
        <v>28</v>
      </c>
      <c r="V2366" s="26">
        <v>1</v>
      </c>
      <c r="W2366" s="26"/>
    </row>
    <row r="2367" spans="1:23" x14ac:dyDescent="0.25">
      <c r="A2367" s="26" t="str">
        <f t="shared" si="386"/>
        <v>PRIMARIA</v>
      </c>
      <c r="B2367" s="26" t="str">
        <f>"09PPR0487K"</f>
        <v>09PPR0487K</v>
      </c>
      <c r="C2367" s="26" t="str">
        <f>"ESCUELA MONTESSORI DE LA CIUDAD DE MEXICO                                                           "</f>
        <v xml:space="preserve">ESCUELA MONTESSORI DE LA CIUDAD DE MEXICO                                                           </v>
      </c>
      <c r="D2367" s="26" t="str">
        <f t="shared" si="387"/>
        <v>MATUTINO</v>
      </c>
      <c r="E2367" s="26" t="str">
        <f>"SIERRA FRIA 355                                                                 "</f>
        <v xml:space="preserve">SIERRA FRIA 355                                                                 </v>
      </c>
      <c r="F2367" s="26" t="str">
        <f>"LOMAS DE CHAPULTEPEC V                                                                                                                      "</f>
        <v xml:space="preserve">LOMAS DE CHAPULTEPEC V                                                                                                                      </v>
      </c>
      <c r="G2367" s="26" t="str">
        <f>"MIGUEL HIDALGO                                                                  "</f>
        <v xml:space="preserve">MIGUEL HIDALGO                                                                  </v>
      </c>
      <c r="H2367" s="26" t="str">
        <f>"209"</f>
        <v>209</v>
      </c>
      <c r="I2367" s="26" t="str">
        <f t="shared" si="388"/>
        <v>00</v>
      </c>
      <c r="J2367" s="26" t="str">
        <f>"42 "</f>
        <v xml:space="preserve">42 </v>
      </c>
      <c r="K2367" s="26" t="str">
        <f t="shared" si="392"/>
        <v>PR</v>
      </c>
      <c r="L2367" s="26" t="str">
        <f t="shared" si="393"/>
        <v>DGOSE</v>
      </c>
      <c r="M2367" s="26" t="str">
        <f t="shared" si="391"/>
        <v>PARTICULAR</v>
      </c>
      <c r="N2367" s="26">
        <v>145</v>
      </c>
      <c r="O2367" s="26">
        <v>86</v>
      </c>
      <c r="P2367" s="26">
        <v>59</v>
      </c>
      <c r="Q2367" s="26">
        <v>6</v>
      </c>
      <c r="R2367" s="26">
        <v>1</v>
      </c>
      <c r="S2367" s="26">
        <v>6</v>
      </c>
      <c r="T2367" s="26">
        <v>8</v>
      </c>
      <c r="U2367" s="26">
        <v>15</v>
      </c>
      <c r="V2367" s="26">
        <v>1</v>
      </c>
      <c r="W2367" s="26"/>
    </row>
    <row r="2368" spans="1:23" x14ac:dyDescent="0.25">
      <c r="A2368" s="26" t="str">
        <f t="shared" si="386"/>
        <v>PRIMARIA</v>
      </c>
      <c r="B2368" s="26" t="str">
        <f>"09PPR0489I"</f>
        <v>09PPR0489I</v>
      </c>
      <c r="C2368" s="26" t="str">
        <f>"SEFARADI                                                                                            "</f>
        <v xml:space="preserve">SEFARADI                                                                                            </v>
      </c>
      <c r="D2368" s="26" t="str">
        <f t="shared" si="387"/>
        <v>MATUTINO</v>
      </c>
      <c r="E2368" s="26" t="str">
        <f>"AV DE LOS BOSQUES NUM 292-B                                                     "</f>
        <v xml:space="preserve">AV DE LOS BOSQUES NUM 292-B                                                     </v>
      </c>
      <c r="F2368" s="26" t="str">
        <f>"LOMAS DE CHAMIZAL                                                                                                                           "</f>
        <v xml:space="preserve">LOMAS DE CHAMIZAL                                                                                                                           </v>
      </c>
      <c r="G2368" s="26" t="str">
        <f>"CUAJIMALPA DE MORELOS                                                           "</f>
        <v xml:space="preserve">CUAJIMALPA DE MORELOS                                                           </v>
      </c>
      <c r="H2368" s="26" t="str">
        <f>"300"</f>
        <v>300</v>
      </c>
      <c r="I2368" s="26" t="str">
        <f t="shared" si="388"/>
        <v>00</v>
      </c>
      <c r="J2368" s="26" t="str">
        <f>"43 "</f>
        <v xml:space="preserve">43 </v>
      </c>
      <c r="K2368" s="26" t="str">
        <f t="shared" si="392"/>
        <v>PR</v>
      </c>
      <c r="L2368" s="26" t="str">
        <f t="shared" si="393"/>
        <v>DGOSE</v>
      </c>
      <c r="M2368" s="26" t="str">
        <f t="shared" si="391"/>
        <v>PARTICULAR</v>
      </c>
      <c r="N2368" s="26">
        <v>244</v>
      </c>
      <c r="O2368" s="26">
        <v>122</v>
      </c>
      <c r="P2368" s="26">
        <v>122</v>
      </c>
      <c r="Q2368" s="26">
        <v>12</v>
      </c>
      <c r="R2368" s="26">
        <v>1</v>
      </c>
      <c r="S2368" s="26">
        <v>6</v>
      </c>
      <c r="T2368" s="26">
        <v>15</v>
      </c>
      <c r="U2368" s="26">
        <v>22</v>
      </c>
      <c r="V2368" s="26">
        <v>1</v>
      </c>
      <c r="W2368" s="26"/>
    </row>
    <row r="2369" spans="1:23" x14ac:dyDescent="0.25">
      <c r="A2369" s="26" t="str">
        <f t="shared" si="386"/>
        <v>PRIMARIA</v>
      </c>
      <c r="B2369" s="26" t="str">
        <f>"09PPR0490Y"</f>
        <v>09PPR0490Y</v>
      </c>
      <c r="C2369" s="26" t="str">
        <f>"INSTITUTO INGLES MEXICANO S. C.                                                                     "</f>
        <v xml:space="preserve">INSTITUTO INGLES MEXICANO S. C.                                                                     </v>
      </c>
      <c r="D2369" s="26" t="str">
        <f t="shared" si="387"/>
        <v>MATUTINO</v>
      </c>
      <c r="E2369" s="26" t="str">
        <f>"CEBADALES NO 64                                                                 "</f>
        <v xml:space="preserve">CEBADALES NO 64                                                                 </v>
      </c>
      <c r="F2369" s="26" t="str">
        <f>"GRANJAS COAPA                                                                                                                               "</f>
        <v xml:space="preserve">GRANJAS COAPA                                                                                                                               </v>
      </c>
      <c r="G2369" s="26" t="str">
        <f>"TLALPAN                                                                         "</f>
        <v xml:space="preserve">TLALPAN                                                                         </v>
      </c>
      <c r="H2369" s="26" t="str">
        <f>"526"</f>
        <v>526</v>
      </c>
      <c r="I2369" s="26" t="str">
        <f t="shared" si="388"/>
        <v>00</v>
      </c>
      <c r="J2369" s="26" t="str">
        <f>"45 "</f>
        <v xml:space="preserve">45 </v>
      </c>
      <c r="K2369" s="26" t="str">
        <f t="shared" si="392"/>
        <v>PR</v>
      </c>
      <c r="L2369" s="26" t="str">
        <f t="shared" si="393"/>
        <v>DGOSE</v>
      </c>
      <c r="M2369" s="26" t="str">
        <f t="shared" si="391"/>
        <v>PARTICULAR</v>
      </c>
      <c r="N2369" s="26">
        <v>582</v>
      </c>
      <c r="O2369" s="26">
        <v>294</v>
      </c>
      <c r="P2369" s="26">
        <v>288</v>
      </c>
      <c r="Q2369" s="26">
        <v>18</v>
      </c>
      <c r="R2369" s="26">
        <v>1</v>
      </c>
      <c r="S2369" s="26">
        <v>18</v>
      </c>
      <c r="T2369" s="26">
        <v>54</v>
      </c>
      <c r="U2369" s="26">
        <v>73</v>
      </c>
      <c r="V2369" s="26">
        <v>1</v>
      </c>
      <c r="W2369" s="26"/>
    </row>
    <row r="2370" spans="1:23" x14ac:dyDescent="0.25">
      <c r="A2370" s="26" t="str">
        <f t="shared" ref="A2370:A2433" si="395">"PRIMARIA"</f>
        <v>PRIMARIA</v>
      </c>
      <c r="B2370" s="26" t="str">
        <f>"09PPR0493V"</f>
        <v>09PPR0493V</v>
      </c>
      <c r="C2370" s="26" t="str">
        <f>"""COLEGIO CUAUHTEMOC""                                                                                "</f>
        <v xml:space="preserve">"COLEGIO CUAUHTEMOC"                                                                                </v>
      </c>
      <c r="D2370" s="26" t="str">
        <f t="shared" ref="D2370:D2387" si="396">"MATUTINO"</f>
        <v>MATUTINO</v>
      </c>
      <c r="E2370" s="26" t="str">
        <f>"BELISARIO DOMINGUEZ 36                                                          "</f>
        <v xml:space="preserve">BELISARIO DOMINGUEZ 36                                                          </v>
      </c>
      <c r="F2370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2370" s="26" t="str">
        <f>"CUAUHTEMOC                                                                      "</f>
        <v xml:space="preserve">CUAUHTEMOC                                                                      </v>
      </c>
      <c r="H2370" s="26" t="str">
        <f>"218"</f>
        <v>218</v>
      </c>
      <c r="I2370" s="26" t="str">
        <f t="shared" ref="I2370:I2433" si="397">"00"</f>
        <v>00</v>
      </c>
      <c r="J2370" s="26" t="str">
        <f>"42 "</f>
        <v xml:space="preserve">42 </v>
      </c>
      <c r="K2370" s="26" t="str">
        <f t="shared" si="392"/>
        <v>PR</v>
      </c>
      <c r="L2370" s="26" t="str">
        <f t="shared" si="393"/>
        <v>DGOSE</v>
      </c>
      <c r="M2370" s="26" t="str">
        <f t="shared" si="391"/>
        <v>PARTICULAR</v>
      </c>
      <c r="N2370" s="26">
        <v>134</v>
      </c>
      <c r="O2370" s="26">
        <v>77</v>
      </c>
      <c r="P2370" s="26">
        <v>57</v>
      </c>
      <c r="Q2370" s="26">
        <v>6</v>
      </c>
      <c r="R2370" s="26">
        <v>1</v>
      </c>
      <c r="S2370" s="26">
        <v>6</v>
      </c>
      <c r="T2370" s="26">
        <v>8</v>
      </c>
      <c r="U2370" s="26">
        <v>15</v>
      </c>
      <c r="V2370" s="26">
        <v>1</v>
      </c>
      <c r="W2370" s="26"/>
    </row>
    <row r="2371" spans="1:23" x14ac:dyDescent="0.25">
      <c r="A2371" s="26" t="str">
        <f t="shared" si="395"/>
        <v>PRIMARIA</v>
      </c>
      <c r="B2371" s="26" t="str">
        <f>"09PPR0495T"</f>
        <v>09PPR0495T</v>
      </c>
      <c r="C2371" s="26" t="str">
        <f>"MANUEL BARTOLOME COSSIO                                                                             "</f>
        <v xml:space="preserve">MANUEL BARTOLOME COSSIO                                                                             </v>
      </c>
      <c r="D2371" s="26" t="str">
        <f t="shared" si="396"/>
        <v>MATUTINO</v>
      </c>
      <c r="E2371" s="26" t="str">
        <f>"COAPA 90                                                                        "</f>
        <v xml:space="preserve">COAPA 90                                                                        </v>
      </c>
      <c r="F2371" s="26" t="str">
        <f>"TORIELLO GUERRA                                                                                                                             "</f>
        <v xml:space="preserve">TORIELLO GUERRA                                                                                                                             </v>
      </c>
      <c r="G2371" s="26" t="str">
        <f>"TLALPAN                                                                         "</f>
        <v xml:space="preserve">TLALPAN                                                                         </v>
      </c>
      <c r="H2371" s="26" t="str">
        <f>"519"</f>
        <v>519</v>
      </c>
      <c r="I2371" s="26" t="str">
        <f t="shared" si="397"/>
        <v>00</v>
      </c>
      <c r="J2371" s="26" t="str">
        <f>"45 "</f>
        <v xml:space="preserve">45 </v>
      </c>
      <c r="K2371" s="26" t="str">
        <f t="shared" si="392"/>
        <v>PR</v>
      </c>
      <c r="L2371" s="26" t="str">
        <f t="shared" si="393"/>
        <v>DGOSE</v>
      </c>
      <c r="M2371" s="26" t="str">
        <f t="shared" si="391"/>
        <v>PARTICULAR</v>
      </c>
      <c r="N2371" s="26">
        <v>207</v>
      </c>
      <c r="O2371" s="26">
        <v>101</v>
      </c>
      <c r="P2371" s="26">
        <v>106</v>
      </c>
      <c r="Q2371" s="26">
        <v>6</v>
      </c>
      <c r="R2371" s="26">
        <v>1</v>
      </c>
      <c r="S2371" s="26">
        <v>6</v>
      </c>
      <c r="T2371" s="26">
        <v>13</v>
      </c>
      <c r="U2371" s="26">
        <v>20</v>
      </c>
      <c r="V2371" s="26">
        <v>1</v>
      </c>
      <c r="W2371" s="26"/>
    </row>
    <row r="2372" spans="1:23" x14ac:dyDescent="0.25">
      <c r="A2372" s="26" t="str">
        <f t="shared" si="395"/>
        <v>PRIMARIA</v>
      </c>
      <c r="B2372" s="26" t="str">
        <f>"09PPR0499P"</f>
        <v>09PPR0499P</v>
      </c>
      <c r="C2372" s="26" t="str">
        <f>"CEYCA                                                                                               "</f>
        <v xml:space="preserve">CEYCA                                                                                               </v>
      </c>
      <c r="D2372" s="26" t="str">
        <f t="shared" si="396"/>
        <v>MATUTINO</v>
      </c>
      <c r="E2372" s="26" t="str">
        <f>"RIO NO 4                                                                        "</f>
        <v xml:space="preserve">RIO NO 4                                                                        </v>
      </c>
      <c r="F2372" s="26" t="str">
        <f>"TORIELLO GUERRA                                                                                                                             "</f>
        <v xml:space="preserve">TORIELLO GUERRA                                                                                                                             </v>
      </c>
      <c r="G2372" s="26" t="str">
        <f>"TLALPAN                                                                         "</f>
        <v xml:space="preserve">TLALPAN                                                                         </v>
      </c>
      <c r="H2372" s="26" t="str">
        <f>"523"</f>
        <v>523</v>
      </c>
      <c r="I2372" s="26" t="str">
        <f t="shared" si="397"/>
        <v>00</v>
      </c>
      <c r="J2372" s="26" t="str">
        <f>"45 "</f>
        <v xml:space="preserve">45 </v>
      </c>
      <c r="K2372" s="26" t="str">
        <f t="shared" si="392"/>
        <v>PR</v>
      </c>
      <c r="L2372" s="26" t="str">
        <f t="shared" si="393"/>
        <v>DGOSE</v>
      </c>
      <c r="M2372" s="26" t="str">
        <f t="shared" si="391"/>
        <v>PARTICULAR</v>
      </c>
      <c r="N2372" s="26">
        <v>190</v>
      </c>
      <c r="O2372" s="26">
        <v>190</v>
      </c>
      <c r="P2372" s="26">
        <v>0</v>
      </c>
      <c r="Q2372" s="26">
        <v>9</v>
      </c>
      <c r="R2372" s="26">
        <v>1</v>
      </c>
      <c r="S2372" s="26">
        <v>4</v>
      </c>
      <c r="T2372" s="26">
        <v>15</v>
      </c>
      <c r="U2372" s="26">
        <v>20</v>
      </c>
      <c r="V2372" s="26">
        <v>1</v>
      </c>
      <c r="W2372" s="26"/>
    </row>
    <row r="2373" spans="1:23" x14ac:dyDescent="0.25">
      <c r="A2373" s="26" t="str">
        <f t="shared" si="395"/>
        <v>PRIMARIA</v>
      </c>
      <c r="B2373" s="26" t="str">
        <f>"09PPR0503L"</f>
        <v>09PPR0503L</v>
      </c>
      <c r="C2373" s="26" t="str">
        <f>"INSTITUTO MEXICANO DE EDUCACION PRIMARIA                                                            "</f>
        <v xml:space="preserve">INSTITUTO MEXICANO DE EDUCACION PRIMARIA                                                            </v>
      </c>
      <c r="D2373" s="26" t="str">
        <f t="shared" si="396"/>
        <v>MATUTINO</v>
      </c>
      <c r="E2373" s="26" t="str">
        <f>"AVENIDA THIERS NUM 201                                                          "</f>
        <v xml:space="preserve">AVENIDA THIERS NUM 201                                                          </v>
      </c>
      <c r="F2373" s="26" t="str">
        <f>"ANZURES                                                                                                                                     "</f>
        <v xml:space="preserve">ANZURES                                                                                                                                     </v>
      </c>
      <c r="G2373" s="26" t="str">
        <f>"MIGUEL HIDALGO                                                                  "</f>
        <v xml:space="preserve">MIGUEL HIDALGO                                                                  </v>
      </c>
      <c r="H2373" s="26" t="str">
        <f>"214"</f>
        <v>214</v>
      </c>
      <c r="I2373" s="26" t="str">
        <f t="shared" si="397"/>
        <v>00</v>
      </c>
      <c r="J2373" s="26" t="str">
        <f>"42 "</f>
        <v xml:space="preserve">42 </v>
      </c>
      <c r="K2373" s="26" t="str">
        <f t="shared" si="392"/>
        <v>PR</v>
      </c>
      <c r="L2373" s="26" t="str">
        <f t="shared" si="393"/>
        <v>DGOSE</v>
      </c>
      <c r="M2373" s="26" t="str">
        <f t="shared" si="391"/>
        <v>PARTICULAR</v>
      </c>
      <c r="N2373" s="26">
        <v>60</v>
      </c>
      <c r="O2373" s="26">
        <v>28</v>
      </c>
      <c r="P2373" s="26">
        <v>32</v>
      </c>
      <c r="Q2373" s="26">
        <v>6</v>
      </c>
      <c r="R2373" s="26">
        <v>1</v>
      </c>
      <c r="S2373" s="26">
        <v>6</v>
      </c>
      <c r="T2373" s="26">
        <v>8</v>
      </c>
      <c r="U2373" s="26">
        <v>15</v>
      </c>
      <c r="V2373" s="26">
        <v>1</v>
      </c>
      <c r="W2373" s="26"/>
    </row>
    <row r="2374" spans="1:23" x14ac:dyDescent="0.25">
      <c r="A2374" s="26" t="str">
        <f t="shared" si="395"/>
        <v>PRIMARIA</v>
      </c>
      <c r="B2374" s="26" t="str">
        <f>"09PPR0504K"</f>
        <v>09PPR0504K</v>
      </c>
      <c r="C2374" s="26" t="str">
        <f>"INSTITUTO EDUCATIVO OLINCA                                                                          "</f>
        <v xml:space="preserve">INSTITUTO EDUCATIVO OLINCA                                                                          </v>
      </c>
      <c r="D2374" s="26" t="str">
        <f t="shared" si="396"/>
        <v>MATUTINO</v>
      </c>
      <c r="E2374" s="26" t="str">
        <f>"AV PERIFERICO SUR NO 5170                                                       "</f>
        <v xml:space="preserve">AV PERIFERICO SUR NO 5170                                                       </v>
      </c>
      <c r="F2374" s="26" t="str">
        <f>"PEDREGAL DE CARRASCO                                                                                                                        "</f>
        <v xml:space="preserve">PEDREGAL DE CARRASCO                                                                                                                        </v>
      </c>
      <c r="G2374" s="26" t="str">
        <f>"COYOACAN                                                                        "</f>
        <v xml:space="preserve">COYOACAN                                                                        </v>
      </c>
      <c r="H2374" s="26" t="str">
        <f>"506"</f>
        <v>506</v>
      </c>
      <c r="I2374" s="26" t="str">
        <f t="shared" si="397"/>
        <v>00</v>
      </c>
      <c r="J2374" s="26" t="str">
        <f>"45 "</f>
        <v xml:space="preserve">45 </v>
      </c>
      <c r="K2374" s="26" t="str">
        <f t="shared" si="392"/>
        <v>PR</v>
      </c>
      <c r="L2374" s="26" t="str">
        <f t="shared" si="393"/>
        <v>DGOSE</v>
      </c>
      <c r="M2374" s="26" t="str">
        <f t="shared" si="391"/>
        <v>PARTICULAR</v>
      </c>
      <c r="N2374" s="26">
        <v>400</v>
      </c>
      <c r="O2374" s="26">
        <v>189</v>
      </c>
      <c r="P2374" s="26">
        <v>211</v>
      </c>
      <c r="Q2374" s="26">
        <v>19</v>
      </c>
      <c r="R2374" s="26">
        <v>1</v>
      </c>
      <c r="S2374" s="26">
        <v>12</v>
      </c>
      <c r="T2374" s="26">
        <v>21</v>
      </c>
      <c r="U2374" s="26">
        <v>34</v>
      </c>
      <c r="V2374" s="26">
        <v>1</v>
      </c>
      <c r="W2374" s="26"/>
    </row>
    <row r="2375" spans="1:23" x14ac:dyDescent="0.25">
      <c r="A2375" s="26" t="str">
        <f t="shared" si="395"/>
        <v>PRIMARIA</v>
      </c>
      <c r="B2375" s="26" t="str">
        <f>"09PPR0505J"</f>
        <v>09PPR0505J</v>
      </c>
      <c r="C2375" s="26" t="str">
        <f>"ESCUELA MEXICANA BILINGÜE                                                                           "</f>
        <v xml:space="preserve">ESCUELA MEXICANA BILINGÜE                                                                           </v>
      </c>
      <c r="D2375" s="26" t="str">
        <f t="shared" si="396"/>
        <v>MATUTINO</v>
      </c>
      <c r="E2375" s="26" t="str">
        <f>"AMORES NUM 1160                                                                 "</f>
        <v xml:space="preserve">AMORES NUM 1160                                                                 </v>
      </c>
      <c r="F2375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2375" s="26" t="str">
        <f>"BENITO JUAREZ                                                                   "</f>
        <v xml:space="preserve">BENITO JUAREZ                                                                   </v>
      </c>
      <c r="H2375" s="26" t="str">
        <f>"000"</f>
        <v>000</v>
      </c>
      <c r="I2375" s="26" t="str">
        <f t="shared" si="397"/>
        <v>00</v>
      </c>
      <c r="J2375" s="26" t="str">
        <f>"43 "</f>
        <v xml:space="preserve">43 </v>
      </c>
      <c r="K2375" s="26" t="str">
        <f t="shared" si="392"/>
        <v>PR</v>
      </c>
      <c r="L2375" s="26" t="str">
        <f t="shared" si="393"/>
        <v>DGOSE</v>
      </c>
      <c r="M2375" s="26" t="str">
        <f t="shared" si="391"/>
        <v>PARTICULAR</v>
      </c>
      <c r="N2375" s="26">
        <v>85</v>
      </c>
      <c r="O2375" s="26">
        <v>35</v>
      </c>
      <c r="P2375" s="26">
        <v>50</v>
      </c>
      <c r="Q2375" s="26">
        <v>6</v>
      </c>
      <c r="R2375" s="26">
        <v>1</v>
      </c>
      <c r="S2375" s="26">
        <v>3</v>
      </c>
      <c r="T2375" s="26">
        <v>14</v>
      </c>
      <c r="U2375" s="26">
        <v>18</v>
      </c>
      <c r="V2375" s="26">
        <v>1</v>
      </c>
      <c r="W2375" s="26"/>
    </row>
    <row r="2376" spans="1:23" x14ac:dyDescent="0.25">
      <c r="A2376" s="26" t="str">
        <f t="shared" si="395"/>
        <v>PRIMARIA</v>
      </c>
      <c r="B2376" s="26" t="str">
        <f>"09PPR0508G"</f>
        <v>09PPR0508G</v>
      </c>
      <c r="C2376" s="26" t="str">
        <f>"""LICEO ACOXPA DE COAPA""                                                                             "</f>
        <v xml:space="preserve">"LICEO ACOXPA DE COAPA"                                                                             </v>
      </c>
      <c r="D2376" s="26" t="str">
        <f t="shared" si="396"/>
        <v>MATUTINO</v>
      </c>
      <c r="E2376" s="26" t="str">
        <f>"ABREVADERO 21                                                                   "</f>
        <v xml:space="preserve">ABREVADERO 21                                                                   </v>
      </c>
      <c r="F2376" s="26" t="str">
        <f>"RESIDENCIAL VILLA COAPA                                                                                                                     "</f>
        <v xml:space="preserve">RESIDENCIAL VILLA COAPA                                                                                                                     </v>
      </c>
      <c r="G2376" s="26" t="str">
        <f>"TLALPAN                                                                         "</f>
        <v xml:space="preserve">TLALPAN                                                                         </v>
      </c>
      <c r="H2376" s="26" t="str">
        <f>"526"</f>
        <v>526</v>
      </c>
      <c r="I2376" s="26" t="str">
        <f t="shared" si="397"/>
        <v>00</v>
      </c>
      <c r="J2376" s="26" t="str">
        <f>"45 "</f>
        <v xml:space="preserve">45 </v>
      </c>
      <c r="K2376" s="26" t="str">
        <f t="shared" si="392"/>
        <v>PR</v>
      </c>
      <c r="L2376" s="26" t="str">
        <f t="shared" si="393"/>
        <v>DGOSE</v>
      </c>
      <c r="M2376" s="26" t="str">
        <f t="shared" si="391"/>
        <v>PARTICULAR</v>
      </c>
      <c r="N2376" s="26">
        <v>95</v>
      </c>
      <c r="O2376" s="26">
        <v>50</v>
      </c>
      <c r="P2376" s="26">
        <v>45</v>
      </c>
      <c r="Q2376" s="26">
        <v>6</v>
      </c>
      <c r="R2376" s="26">
        <v>1</v>
      </c>
      <c r="S2376" s="26">
        <v>2</v>
      </c>
      <c r="T2376" s="26">
        <v>8</v>
      </c>
      <c r="U2376" s="26">
        <v>11</v>
      </c>
      <c r="V2376" s="26">
        <v>1</v>
      </c>
      <c r="W2376" s="26"/>
    </row>
    <row r="2377" spans="1:23" x14ac:dyDescent="0.25">
      <c r="A2377" s="26" t="str">
        <f t="shared" si="395"/>
        <v>PRIMARIA</v>
      </c>
      <c r="B2377" s="26" t="str">
        <f>"09PPR0509F"</f>
        <v>09PPR0509F</v>
      </c>
      <c r="C2377" s="26" t="str">
        <f>"INSTITUTO I. D. E. A.                                                                               "</f>
        <v xml:space="preserve">INSTITUTO I. D. E. A.                                                                               </v>
      </c>
      <c r="D2377" s="26" t="str">
        <f t="shared" si="396"/>
        <v>MATUTINO</v>
      </c>
      <c r="E2377" s="26" t="str">
        <f>"ANTONIO SOLA NUM 65                                                             "</f>
        <v xml:space="preserve">ANTONIO SOLA NUM 65                                                             </v>
      </c>
      <c r="F2377" s="26" t="str">
        <f>"CONDESA                                                                                                                                     "</f>
        <v xml:space="preserve">CONDESA                                                                                                                                     </v>
      </c>
      <c r="G2377" s="26" t="str">
        <f>"CUAUHTEMOC                                                                      "</f>
        <v xml:space="preserve">CUAUHTEMOC                                                                      </v>
      </c>
      <c r="H2377" s="26" t="str">
        <f>"000"</f>
        <v>000</v>
      </c>
      <c r="I2377" s="26" t="str">
        <f t="shared" si="397"/>
        <v>00</v>
      </c>
      <c r="J2377" s="26" t="str">
        <f>"42 "</f>
        <v xml:space="preserve">42 </v>
      </c>
      <c r="K2377" s="26" t="str">
        <f t="shared" si="392"/>
        <v>PR</v>
      </c>
      <c r="L2377" s="26" t="str">
        <f t="shared" si="393"/>
        <v>DGOSE</v>
      </c>
      <c r="M2377" s="26" t="str">
        <f t="shared" si="391"/>
        <v>PARTICULAR</v>
      </c>
      <c r="N2377" s="26">
        <v>124</v>
      </c>
      <c r="O2377" s="26">
        <v>71</v>
      </c>
      <c r="P2377" s="26">
        <v>53</v>
      </c>
      <c r="Q2377" s="26">
        <v>6</v>
      </c>
      <c r="R2377" s="26">
        <v>1</v>
      </c>
      <c r="S2377" s="26">
        <v>6</v>
      </c>
      <c r="T2377" s="26">
        <v>7</v>
      </c>
      <c r="U2377" s="26">
        <v>14</v>
      </c>
      <c r="V2377" s="26">
        <v>1</v>
      </c>
      <c r="W2377" s="26"/>
    </row>
    <row r="2378" spans="1:23" x14ac:dyDescent="0.25">
      <c r="A2378" s="26" t="str">
        <f t="shared" si="395"/>
        <v>PRIMARIA</v>
      </c>
      <c r="B2378" s="26" t="str">
        <f>"09PPR0510V"</f>
        <v>09PPR0510V</v>
      </c>
      <c r="C2378" s="26" t="str">
        <f>"ENRIQUE PESTALOZZI                                                                                  "</f>
        <v xml:space="preserve">ENRIQUE PESTALOZZI                                                                                  </v>
      </c>
      <c r="D2378" s="26" t="str">
        <f t="shared" si="396"/>
        <v>MATUTINO</v>
      </c>
      <c r="E2378" s="26" t="str">
        <f>"CALLE 12 LOTE 15 MANZANA 30                                                     "</f>
        <v xml:space="preserve">CALLE 12 LOTE 15 MANZANA 30                                                     </v>
      </c>
      <c r="F2378" s="26" t="str">
        <f>"GUADALUPE PROLETARIA                                                                                                                        "</f>
        <v xml:space="preserve">GUADALUPE PROLETARIA                                                                                                                        </v>
      </c>
      <c r="G2378" s="26" t="str">
        <f>"GUSTAVO A. MADERO                                                               "</f>
        <v xml:space="preserve">GUSTAVO A. MADERO                                                               </v>
      </c>
      <c r="H2378" s="26" t="str">
        <f>"238"</f>
        <v>238</v>
      </c>
      <c r="I2378" s="26" t="str">
        <f t="shared" si="397"/>
        <v>00</v>
      </c>
      <c r="J2378" s="26" t="str">
        <f>"42 "</f>
        <v xml:space="preserve">42 </v>
      </c>
      <c r="K2378" s="26" t="str">
        <f t="shared" si="392"/>
        <v>PR</v>
      </c>
      <c r="L2378" s="26" t="str">
        <f t="shared" si="393"/>
        <v>DGOSE</v>
      </c>
      <c r="M2378" s="26" t="str">
        <f t="shared" si="391"/>
        <v>PARTICULAR</v>
      </c>
      <c r="N2378" s="26">
        <v>94</v>
      </c>
      <c r="O2378" s="26">
        <v>52</v>
      </c>
      <c r="P2378" s="26">
        <v>42</v>
      </c>
      <c r="Q2378" s="26">
        <v>6</v>
      </c>
      <c r="R2378" s="26">
        <v>1</v>
      </c>
      <c r="S2378" s="26">
        <v>6</v>
      </c>
      <c r="T2378" s="26">
        <v>6</v>
      </c>
      <c r="U2378" s="26">
        <v>13</v>
      </c>
      <c r="V2378" s="26">
        <v>1</v>
      </c>
      <c r="W2378" s="26"/>
    </row>
    <row r="2379" spans="1:23" x14ac:dyDescent="0.25">
      <c r="A2379" s="26" t="str">
        <f t="shared" si="395"/>
        <v>PRIMARIA</v>
      </c>
      <c r="B2379" s="26" t="str">
        <f>"09PPR0515Q"</f>
        <v>09PPR0515Q</v>
      </c>
      <c r="C2379" s="26" t="str">
        <f>"CENTRO ESCOLAR DOLORES ECHEVERRIA ESPARZA                                                           "</f>
        <v xml:space="preserve">CENTRO ESCOLAR DOLORES ECHEVERRIA ESPARZA                                                           </v>
      </c>
      <c r="D2379" s="26" t="str">
        <f t="shared" si="396"/>
        <v>MATUTINO</v>
      </c>
      <c r="E2379" s="26" t="str">
        <f>"ABASOLO NUM 116                                                                 "</f>
        <v xml:space="preserve">ABASOLO NUM 116                                                                 </v>
      </c>
      <c r="F2379" s="26" t="str">
        <f>"TLALPAN                                                                                                                                     "</f>
        <v xml:space="preserve">TLALPAN                                                                                                                                     </v>
      </c>
      <c r="G2379" s="26" t="str">
        <f>"TLALPAN                                                                         "</f>
        <v xml:space="preserve">TLALPAN                                                                         </v>
      </c>
      <c r="H2379" s="26" t="str">
        <f>"520"</f>
        <v>520</v>
      </c>
      <c r="I2379" s="26" t="str">
        <f t="shared" si="397"/>
        <v>00</v>
      </c>
      <c r="J2379" s="26" t="str">
        <f>"45 "</f>
        <v xml:space="preserve">45 </v>
      </c>
      <c r="K2379" s="26" t="str">
        <f t="shared" si="392"/>
        <v>PR</v>
      </c>
      <c r="L2379" s="26" t="str">
        <f t="shared" si="393"/>
        <v>DGOSE</v>
      </c>
      <c r="M2379" s="26" t="str">
        <f t="shared" si="391"/>
        <v>PARTICULAR</v>
      </c>
      <c r="N2379" s="26">
        <v>281</v>
      </c>
      <c r="O2379" s="26">
        <v>134</v>
      </c>
      <c r="P2379" s="26">
        <v>147</v>
      </c>
      <c r="Q2379" s="26">
        <v>12</v>
      </c>
      <c r="R2379" s="26">
        <v>1</v>
      </c>
      <c r="S2379" s="26">
        <v>12</v>
      </c>
      <c r="T2379" s="26">
        <v>20</v>
      </c>
      <c r="U2379" s="26">
        <v>33</v>
      </c>
      <c r="V2379" s="26">
        <v>1</v>
      </c>
      <c r="W2379" s="26"/>
    </row>
    <row r="2380" spans="1:23" x14ac:dyDescent="0.25">
      <c r="A2380" s="26" t="str">
        <f t="shared" si="395"/>
        <v>PRIMARIA</v>
      </c>
      <c r="B2380" s="26" t="str">
        <f>"09PPR0516P"</f>
        <v>09PPR0516P</v>
      </c>
      <c r="C2380" s="26" t="str">
        <f>"CENTENARIO CONSTITUCION 57                                                                          "</f>
        <v xml:space="preserve">CENTENARIO CONSTITUCION 57                                                                          </v>
      </c>
      <c r="D2380" s="26" t="str">
        <f t="shared" si="396"/>
        <v>MATUTINO</v>
      </c>
      <c r="E2380" s="26" t="str">
        <f>"MARTHA NO 89                                                                    "</f>
        <v xml:space="preserve">MARTHA NO 89                                                                    </v>
      </c>
      <c r="F2380" s="26" t="str">
        <f>"GUADALUPE TEPEYAC                                                                                                                           "</f>
        <v xml:space="preserve">GUADALUPE TEPEYAC                                                                                                                           </v>
      </c>
      <c r="G2380" s="26" t="str">
        <f>"GUSTAVO A. MADERO                                                               "</f>
        <v xml:space="preserve">GUSTAVO A. MADERO                                                               </v>
      </c>
      <c r="H2380" s="26" t="str">
        <f>"249"</f>
        <v>249</v>
      </c>
      <c r="I2380" s="26" t="str">
        <f t="shared" si="397"/>
        <v>00</v>
      </c>
      <c r="J2380" s="26" t="str">
        <f>"42 "</f>
        <v xml:space="preserve">42 </v>
      </c>
      <c r="K2380" s="26" t="str">
        <f t="shared" si="392"/>
        <v>PR</v>
      </c>
      <c r="L2380" s="26" t="str">
        <f t="shared" si="393"/>
        <v>DGOSE</v>
      </c>
      <c r="M2380" s="26" t="str">
        <f t="shared" si="391"/>
        <v>PARTICULAR</v>
      </c>
      <c r="N2380" s="26">
        <v>106</v>
      </c>
      <c r="O2380" s="26">
        <v>59</v>
      </c>
      <c r="P2380" s="26">
        <v>47</v>
      </c>
      <c r="Q2380" s="26">
        <v>6</v>
      </c>
      <c r="R2380" s="26">
        <v>1</v>
      </c>
      <c r="S2380" s="26">
        <v>6</v>
      </c>
      <c r="T2380" s="26">
        <v>6</v>
      </c>
      <c r="U2380" s="26">
        <v>13</v>
      </c>
      <c r="V2380" s="26">
        <v>1</v>
      </c>
      <c r="W2380" s="26"/>
    </row>
    <row r="2381" spans="1:23" x14ac:dyDescent="0.25">
      <c r="A2381" s="26" t="str">
        <f t="shared" si="395"/>
        <v>PRIMARIA</v>
      </c>
      <c r="B2381" s="26" t="str">
        <f>"09PPR0518N"</f>
        <v>09PPR0518N</v>
      </c>
      <c r="C2381" s="26" t="str">
        <f>"MARGARITA MAZA DE JUAREZ                                                                            "</f>
        <v xml:space="preserve">MARGARITA MAZA DE JUAREZ                                                                            </v>
      </c>
      <c r="D2381" s="26" t="str">
        <f t="shared" si="396"/>
        <v>MATUTINO</v>
      </c>
      <c r="E2381" s="26" t="str">
        <f>"PLAZA DE LOS FAROLES NUM 36                                                     "</f>
        <v xml:space="preserve">PLAZA DE LOS FAROLES NUM 36                                                     </v>
      </c>
      <c r="F2381" s="26" t="str">
        <f>"JARDINES DEL SUR FRACCIONAMIENTO                                                                                                            "</f>
        <v xml:space="preserve">JARDINES DEL SUR FRACCIONAMIENTO                                                                                                            </v>
      </c>
      <c r="G2381" s="26" t="str">
        <f>"XOCHIMILCO                                                                      "</f>
        <v xml:space="preserve">XOCHIMILCO                                                                      </v>
      </c>
      <c r="H2381" s="26" t="str">
        <f>"534"</f>
        <v>534</v>
      </c>
      <c r="I2381" s="26" t="str">
        <f t="shared" si="397"/>
        <v>00</v>
      </c>
      <c r="J2381" s="26" t="str">
        <f>"45 "</f>
        <v xml:space="preserve">45 </v>
      </c>
      <c r="K2381" s="26" t="str">
        <f t="shared" si="392"/>
        <v>PR</v>
      </c>
      <c r="L2381" s="26" t="str">
        <f t="shared" si="393"/>
        <v>DGOSE</v>
      </c>
      <c r="M2381" s="26" t="str">
        <f t="shared" si="391"/>
        <v>PARTICULAR</v>
      </c>
      <c r="N2381" s="26">
        <v>211</v>
      </c>
      <c r="O2381" s="26">
        <v>110</v>
      </c>
      <c r="P2381" s="26">
        <v>101</v>
      </c>
      <c r="Q2381" s="26">
        <v>11</v>
      </c>
      <c r="R2381" s="26">
        <v>1</v>
      </c>
      <c r="S2381" s="26">
        <v>11</v>
      </c>
      <c r="T2381" s="26">
        <v>14</v>
      </c>
      <c r="U2381" s="26">
        <v>26</v>
      </c>
      <c r="V2381" s="26">
        <v>1</v>
      </c>
      <c r="W2381" s="26"/>
    </row>
    <row r="2382" spans="1:23" x14ac:dyDescent="0.25">
      <c r="A2382" s="26" t="str">
        <f t="shared" si="395"/>
        <v>PRIMARIA</v>
      </c>
      <c r="B2382" s="26" t="str">
        <f>"09PPR0519M"</f>
        <v>09PPR0519M</v>
      </c>
      <c r="C2382" s="26" t="str">
        <f>"WEBSTER                                                                                             "</f>
        <v xml:space="preserve">WEBSTER                                                                                             </v>
      </c>
      <c r="D2382" s="26" t="str">
        <f t="shared" si="396"/>
        <v>MATUTINO</v>
      </c>
      <c r="E2382" s="26" t="str">
        <f>"FLORES MAGON NUM 62                                                             "</f>
        <v xml:space="preserve">FLORES MAGON NUM 62                                                             </v>
      </c>
      <c r="F2382" s="26" t="str">
        <f>"SANTA TERESA                                                                                                                                "</f>
        <v xml:space="preserve">SANTA TERESA                                                                                                                                </v>
      </c>
      <c r="G2382" s="26" t="str">
        <f>"LA MAGDALENA CONTRERAS                                                          "</f>
        <v xml:space="preserve">LA MAGDALENA CONTRERAS                                                          </v>
      </c>
      <c r="H2382" s="26" t="str">
        <f>"337"</f>
        <v>337</v>
      </c>
      <c r="I2382" s="26" t="str">
        <f t="shared" si="397"/>
        <v>00</v>
      </c>
      <c r="J2382" s="26" t="str">
        <f>"43 "</f>
        <v xml:space="preserve">43 </v>
      </c>
      <c r="K2382" s="26" t="str">
        <f t="shared" si="392"/>
        <v>PR</v>
      </c>
      <c r="L2382" s="26" t="str">
        <f t="shared" si="393"/>
        <v>DGOSE</v>
      </c>
      <c r="M2382" s="26" t="str">
        <f t="shared" si="391"/>
        <v>PARTICULAR</v>
      </c>
      <c r="N2382" s="26">
        <v>89</v>
      </c>
      <c r="O2382" s="26">
        <v>46</v>
      </c>
      <c r="P2382" s="26">
        <v>43</v>
      </c>
      <c r="Q2382" s="26">
        <v>6</v>
      </c>
      <c r="R2382" s="26">
        <v>1</v>
      </c>
      <c r="S2382" s="26">
        <v>4</v>
      </c>
      <c r="T2382" s="26">
        <v>9</v>
      </c>
      <c r="U2382" s="26">
        <v>14</v>
      </c>
      <c r="V2382" s="26">
        <v>1</v>
      </c>
      <c r="W2382" s="26"/>
    </row>
    <row r="2383" spans="1:23" x14ac:dyDescent="0.25">
      <c r="A2383" s="26" t="str">
        <f t="shared" si="395"/>
        <v>PRIMARIA</v>
      </c>
      <c r="B2383" s="26" t="str">
        <f>"09PPR0520B"</f>
        <v>09PPR0520B</v>
      </c>
      <c r="C2383" s="26" t="str">
        <f>"VERMONT                                                                                             "</f>
        <v xml:space="preserve">VERMONT                                                                                             </v>
      </c>
      <c r="D2383" s="26" t="str">
        <f t="shared" si="396"/>
        <v>MATUTINO</v>
      </c>
      <c r="E2383" s="26" t="str">
        <f>"VEREDA 90                                                                       "</f>
        <v xml:space="preserve">VEREDA 90                                                                       </v>
      </c>
      <c r="F2383" s="26" t="str">
        <f>"JARDINES DEL PEDREGAL                                                                                                                       "</f>
        <v xml:space="preserve">JARDINES DEL PEDREGAL                                                                                                                       </v>
      </c>
      <c r="G2383" s="26" t="str">
        <f>"ALVARO OBREGON                                                                  "</f>
        <v xml:space="preserve">ALVARO OBREGON                                                                  </v>
      </c>
      <c r="H2383" s="26" t="str">
        <f>"327"</f>
        <v>327</v>
      </c>
      <c r="I2383" s="26" t="str">
        <f t="shared" si="397"/>
        <v>00</v>
      </c>
      <c r="J2383" s="26" t="str">
        <f>"43 "</f>
        <v xml:space="preserve">43 </v>
      </c>
      <c r="K2383" s="26" t="str">
        <f t="shared" si="392"/>
        <v>PR</v>
      </c>
      <c r="L2383" s="26" t="str">
        <f t="shared" si="393"/>
        <v>DGOSE</v>
      </c>
      <c r="M2383" s="26" t="str">
        <f t="shared" si="391"/>
        <v>PARTICULAR</v>
      </c>
      <c r="N2383" s="26">
        <v>323</v>
      </c>
      <c r="O2383" s="26">
        <v>163</v>
      </c>
      <c r="P2383" s="26">
        <v>160</v>
      </c>
      <c r="Q2383" s="26">
        <v>17</v>
      </c>
      <c r="R2383" s="26">
        <v>1</v>
      </c>
      <c r="S2383" s="26">
        <v>9</v>
      </c>
      <c r="T2383" s="26">
        <v>19</v>
      </c>
      <c r="U2383" s="26">
        <v>29</v>
      </c>
      <c r="V2383" s="26">
        <v>1</v>
      </c>
      <c r="W2383" s="26"/>
    </row>
    <row r="2384" spans="1:23" x14ac:dyDescent="0.25">
      <c r="A2384" s="26" t="str">
        <f t="shared" si="395"/>
        <v>PRIMARIA</v>
      </c>
      <c r="B2384" s="26" t="str">
        <f>"09PPR0521A"</f>
        <v>09PPR0521A</v>
      </c>
      <c r="C2384" s="26" t="str">
        <f>"COMUNIDAD EDUCATIVA MONTESSORI                                                                      "</f>
        <v xml:space="preserve">COMUNIDAD EDUCATIVA MONTESSORI                                                                      </v>
      </c>
      <c r="D2384" s="26" t="str">
        <f t="shared" si="396"/>
        <v>MATUTINO</v>
      </c>
      <c r="E2384" s="26" t="str">
        <f>"PIEDRA DEL COMAL 15                                                             "</f>
        <v xml:space="preserve">PIEDRA DEL COMAL 15                                                             </v>
      </c>
      <c r="F2384" s="26" t="str">
        <f>"TEPEPAN                                                                                                                                     "</f>
        <v xml:space="preserve">TEPEPAN                                                                                                                                     </v>
      </c>
      <c r="G2384" s="26" t="str">
        <f>"XOCHIMILCO                                                                      "</f>
        <v xml:space="preserve">XOCHIMILCO                                                                      </v>
      </c>
      <c r="H2384" s="26" t="str">
        <f>"532"</f>
        <v>532</v>
      </c>
      <c r="I2384" s="26" t="str">
        <f t="shared" si="397"/>
        <v>00</v>
      </c>
      <c r="J2384" s="26" t="str">
        <f>"45 "</f>
        <v xml:space="preserve">45 </v>
      </c>
      <c r="K2384" s="26" t="str">
        <f t="shared" si="392"/>
        <v>PR</v>
      </c>
      <c r="L2384" s="26" t="str">
        <f t="shared" si="393"/>
        <v>DGOSE</v>
      </c>
      <c r="M2384" s="26" t="str">
        <f t="shared" si="391"/>
        <v>PARTICULAR</v>
      </c>
      <c r="N2384" s="26">
        <v>89</v>
      </c>
      <c r="O2384" s="26">
        <v>52</v>
      </c>
      <c r="P2384" s="26">
        <v>37</v>
      </c>
      <c r="Q2384" s="26">
        <v>6</v>
      </c>
      <c r="R2384" s="26">
        <v>1</v>
      </c>
      <c r="S2384" s="26">
        <v>6</v>
      </c>
      <c r="T2384" s="26">
        <v>6</v>
      </c>
      <c r="U2384" s="26">
        <v>13</v>
      </c>
      <c r="V2384" s="26">
        <v>1</v>
      </c>
      <c r="W2384" s="26"/>
    </row>
    <row r="2385" spans="1:23" x14ac:dyDescent="0.25">
      <c r="A2385" s="26" t="str">
        <f t="shared" si="395"/>
        <v>PRIMARIA</v>
      </c>
      <c r="B2385" s="26" t="str">
        <f>"09PPR0525X"</f>
        <v>09PPR0525X</v>
      </c>
      <c r="C2385" s="26" t="str">
        <f>"JORGE WASHINGTON                                                                                    "</f>
        <v xml:space="preserve">JORGE WASHINGTON                                                                                    </v>
      </c>
      <c r="D2385" s="26" t="str">
        <f t="shared" si="396"/>
        <v>MATUTINO</v>
      </c>
      <c r="E2385" s="26" t="str">
        <f>"AVENIDA DEL TALLER No. 640                                                      "</f>
        <v xml:space="preserve">AVENIDA DEL TALLER No. 640                                                      </v>
      </c>
      <c r="F2385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2385" s="26" t="str">
        <f>"VENUSTIANO CARRANZA                                                             "</f>
        <v xml:space="preserve">VENUSTIANO CARRANZA                                                             </v>
      </c>
      <c r="H2385" s="26" t="str">
        <f>"348"</f>
        <v>348</v>
      </c>
      <c r="I2385" s="26" t="str">
        <f t="shared" si="397"/>
        <v>00</v>
      </c>
      <c r="J2385" s="26" t="str">
        <f>"43 "</f>
        <v xml:space="preserve">43 </v>
      </c>
      <c r="K2385" s="26" t="str">
        <f t="shared" si="392"/>
        <v>PR</v>
      </c>
      <c r="L2385" s="26" t="str">
        <f t="shared" si="393"/>
        <v>DGOSE</v>
      </c>
      <c r="M2385" s="26" t="str">
        <f t="shared" si="391"/>
        <v>PARTICULAR</v>
      </c>
      <c r="N2385" s="26">
        <v>178</v>
      </c>
      <c r="O2385" s="26">
        <v>81</v>
      </c>
      <c r="P2385" s="26">
        <v>97</v>
      </c>
      <c r="Q2385" s="26">
        <v>12</v>
      </c>
      <c r="R2385" s="26">
        <v>1</v>
      </c>
      <c r="S2385" s="26">
        <v>12</v>
      </c>
      <c r="T2385" s="26">
        <v>15</v>
      </c>
      <c r="U2385" s="26">
        <v>28</v>
      </c>
      <c r="V2385" s="26">
        <v>1</v>
      </c>
      <c r="W2385" s="26"/>
    </row>
    <row r="2386" spans="1:23" x14ac:dyDescent="0.25">
      <c r="A2386" s="26" t="str">
        <f t="shared" si="395"/>
        <v>PRIMARIA</v>
      </c>
      <c r="B2386" s="26" t="str">
        <f>"09PPR0527V"</f>
        <v>09PPR0527V</v>
      </c>
      <c r="C2386" s="26" t="str">
        <f>"TULUM                                                                                               "</f>
        <v xml:space="preserve">TULUM                                                                                               </v>
      </c>
      <c r="D2386" s="26" t="str">
        <f t="shared" si="396"/>
        <v>MATUTINO</v>
      </c>
      <c r="E2386" s="26" t="str">
        <f>"SHAKESPEARE 81                                                                  "</f>
        <v xml:space="preserve">SHAKESPEARE 81                                                                  </v>
      </c>
      <c r="F2386" s="26" t="str">
        <f>"ANZURES                                                                                                                                     "</f>
        <v xml:space="preserve">ANZURES                                                                                                                                     </v>
      </c>
      <c r="G2386" s="26" t="str">
        <f>"MIGUEL HIDALGO                                                                  "</f>
        <v xml:space="preserve">MIGUEL HIDALGO                                                                  </v>
      </c>
      <c r="H2386" s="26" t="str">
        <f>"215"</f>
        <v>215</v>
      </c>
      <c r="I2386" s="26" t="str">
        <f t="shared" si="397"/>
        <v>00</v>
      </c>
      <c r="J2386" s="26" t="str">
        <f>"42 "</f>
        <v xml:space="preserve">42 </v>
      </c>
      <c r="K2386" s="26" t="str">
        <f t="shared" si="392"/>
        <v>PR</v>
      </c>
      <c r="L2386" s="26" t="str">
        <f t="shared" si="393"/>
        <v>DGOSE</v>
      </c>
      <c r="M2386" s="26" t="str">
        <f t="shared" ref="M2386:M2449" si="398">"PARTICULAR"</f>
        <v>PARTICULAR</v>
      </c>
      <c r="N2386" s="26">
        <v>36</v>
      </c>
      <c r="O2386" s="26">
        <v>24</v>
      </c>
      <c r="P2386" s="26">
        <v>12</v>
      </c>
      <c r="Q2386" s="26">
        <v>7</v>
      </c>
      <c r="R2386" s="26">
        <v>1</v>
      </c>
      <c r="S2386" s="26">
        <v>7</v>
      </c>
      <c r="T2386" s="26">
        <v>4</v>
      </c>
      <c r="U2386" s="26">
        <v>12</v>
      </c>
      <c r="V2386" s="26">
        <v>1</v>
      </c>
      <c r="W2386" s="26"/>
    </row>
    <row r="2387" spans="1:23" x14ac:dyDescent="0.25">
      <c r="A2387" s="26" t="str">
        <f t="shared" si="395"/>
        <v>PRIMARIA</v>
      </c>
      <c r="B2387" s="26" t="str">
        <f>"09PPR0529T"</f>
        <v>09PPR0529T</v>
      </c>
      <c r="C2387" s="26" t="str">
        <f>"INSTITUTO GANTE                                                                                     "</f>
        <v xml:space="preserve">INSTITUTO GANTE                                                                                     </v>
      </c>
      <c r="D2387" s="26" t="str">
        <f t="shared" si="396"/>
        <v>MATUTINO</v>
      </c>
      <c r="E2387" s="26" t="str">
        <f>"HOMERO 720                                                                      "</f>
        <v xml:space="preserve">HOMERO 720                                                                      </v>
      </c>
      <c r="F2387" s="26" t="str">
        <f>"POLANCO SECCION III                                                                                                                         "</f>
        <v xml:space="preserve">POLANCO SECCION III                                                                                                                         </v>
      </c>
      <c r="G2387" s="26" t="str">
        <f>"MIGUEL HIDALGO                                                                  "</f>
        <v xml:space="preserve">MIGUEL HIDALGO                                                                  </v>
      </c>
      <c r="H2387" s="26" t="str">
        <f>"214"</f>
        <v>214</v>
      </c>
      <c r="I2387" s="26" t="str">
        <f t="shared" si="397"/>
        <v>00</v>
      </c>
      <c r="J2387" s="26" t="str">
        <f>"42 "</f>
        <v xml:space="preserve">42 </v>
      </c>
      <c r="K2387" s="26" t="str">
        <f t="shared" si="392"/>
        <v>PR</v>
      </c>
      <c r="L2387" s="26" t="str">
        <f t="shared" si="393"/>
        <v>DGOSE</v>
      </c>
      <c r="M2387" s="26" t="str">
        <f t="shared" si="398"/>
        <v>PARTICULAR</v>
      </c>
      <c r="N2387" s="26">
        <v>156</v>
      </c>
      <c r="O2387" s="26">
        <v>93</v>
      </c>
      <c r="P2387" s="26">
        <v>63</v>
      </c>
      <c r="Q2387" s="26">
        <v>7</v>
      </c>
      <c r="R2387" s="26">
        <v>1</v>
      </c>
      <c r="S2387" s="26">
        <v>4</v>
      </c>
      <c r="T2387" s="26">
        <v>9</v>
      </c>
      <c r="U2387" s="26">
        <v>14</v>
      </c>
      <c r="V2387" s="26">
        <v>1</v>
      </c>
      <c r="W2387" s="26"/>
    </row>
    <row r="2388" spans="1:23" x14ac:dyDescent="0.25">
      <c r="A2388" s="26" t="str">
        <f t="shared" si="395"/>
        <v>PRIMARIA</v>
      </c>
      <c r="B2388" s="26" t="str">
        <f>"09PPR0530I"</f>
        <v>09PPR0530I</v>
      </c>
      <c r="C2388" s="26" t="str">
        <f>"JOHANN HEINRICH PESTALOZZI                                                                          "</f>
        <v xml:space="preserve">JOHANN HEINRICH PESTALOZZI                                                                          </v>
      </c>
      <c r="D2388" s="26" t="str">
        <f>"VESPERTINO"</f>
        <v>VESPERTINO</v>
      </c>
      <c r="E2388" s="26" t="str">
        <f>"BLVD. MANUEL AVILA CAMACHO 605                                                  "</f>
        <v xml:space="preserve">BLVD. MANUEL AVILA CAMACHO 605                                                  </v>
      </c>
      <c r="F2388" s="26" t="str">
        <f>"PERIODISTA                                                                                                                                  "</f>
        <v xml:space="preserve">PERIODISTA                                                                                                                                  </v>
      </c>
      <c r="G2388" s="26" t="str">
        <f>"MIGUEL HIDALGO                                                                  "</f>
        <v xml:space="preserve">MIGUEL HIDALGO                                                                  </v>
      </c>
      <c r="H2388" s="26" t="str">
        <f>"208"</f>
        <v>208</v>
      </c>
      <c r="I2388" s="26" t="str">
        <f t="shared" si="397"/>
        <v>00</v>
      </c>
      <c r="J2388" s="26" t="str">
        <f>"42 "</f>
        <v xml:space="preserve">42 </v>
      </c>
      <c r="K2388" s="26" t="str">
        <f t="shared" si="392"/>
        <v>PR</v>
      </c>
      <c r="L2388" s="26" t="str">
        <f t="shared" si="393"/>
        <v>DGOSE</v>
      </c>
      <c r="M2388" s="26" t="str">
        <f t="shared" si="398"/>
        <v>PARTICULAR</v>
      </c>
      <c r="N2388" s="26">
        <v>158</v>
      </c>
      <c r="O2388" s="26">
        <v>158</v>
      </c>
      <c r="P2388" s="26">
        <v>0</v>
      </c>
      <c r="Q2388" s="26">
        <v>6</v>
      </c>
      <c r="R2388" s="26">
        <v>1</v>
      </c>
      <c r="S2388" s="26">
        <v>6</v>
      </c>
      <c r="T2388" s="26">
        <v>3</v>
      </c>
      <c r="U2388" s="26">
        <v>10</v>
      </c>
      <c r="V2388" s="26">
        <v>1</v>
      </c>
      <c r="W2388" s="26"/>
    </row>
    <row r="2389" spans="1:23" x14ac:dyDescent="0.25">
      <c r="A2389" s="26" t="str">
        <f t="shared" si="395"/>
        <v>PRIMARIA</v>
      </c>
      <c r="B2389" s="26" t="str">
        <f>"09PPR0531H"</f>
        <v>09PPR0531H</v>
      </c>
      <c r="C2389" s="26" t="str">
        <f>"COLEGIO HOLANDES                                                                                    "</f>
        <v xml:space="preserve">COLEGIO HOLANDES                                                                                    </v>
      </c>
      <c r="D2389" s="26" t="str">
        <f t="shared" ref="D2389:D2452" si="399">"MATUTINO"</f>
        <v>MATUTINO</v>
      </c>
      <c r="E2389" s="26" t="str">
        <f>"HEGEL 337                                                                       "</f>
        <v xml:space="preserve">HEGEL 337                                                                       </v>
      </c>
      <c r="F2389" s="26" t="str">
        <f>"POLANCO SECCION V                                                                                                                           "</f>
        <v xml:space="preserve">POLANCO SECCION V                                                                                                                           </v>
      </c>
      <c r="G2389" s="26" t="str">
        <f>"MIGUEL HIDALGO                                                                  "</f>
        <v xml:space="preserve">MIGUEL HIDALGO                                                                  </v>
      </c>
      <c r="H2389" s="26" t="str">
        <f>"214"</f>
        <v>214</v>
      </c>
      <c r="I2389" s="26" t="str">
        <f t="shared" si="397"/>
        <v>00</v>
      </c>
      <c r="J2389" s="26" t="str">
        <f>"42 "</f>
        <v xml:space="preserve">42 </v>
      </c>
      <c r="K2389" s="26" t="str">
        <f t="shared" si="392"/>
        <v>PR</v>
      </c>
      <c r="L2389" s="26" t="str">
        <f t="shared" si="393"/>
        <v>DGOSE</v>
      </c>
      <c r="M2389" s="26" t="str">
        <f t="shared" si="398"/>
        <v>PARTICULAR</v>
      </c>
      <c r="N2389" s="26">
        <v>53</v>
      </c>
      <c r="O2389" s="26">
        <v>23</v>
      </c>
      <c r="P2389" s="26">
        <v>30</v>
      </c>
      <c r="Q2389" s="26">
        <v>6</v>
      </c>
      <c r="R2389" s="26">
        <v>1</v>
      </c>
      <c r="S2389" s="26">
        <v>4</v>
      </c>
      <c r="T2389" s="26">
        <v>8</v>
      </c>
      <c r="U2389" s="26">
        <v>13</v>
      </c>
      <c r="V2389" s="26">
        <v>1</v>
      </c>
      <c r="W2389" s="26"/>
    </row>
    <row r="2390" spans="1:23" x14ac:dyDescent="0.25">
      <c r="A2390" s="26" t="str">
        <f t="shared" si="395"/>
        <v>PRIMARIA</v>
      </c>
      <c r="B2390" s="26" t="str">
        <f>"09PPR0534E"</f>
        <v>09PPR0534E</v>
      </c>
      <c r="C2390" s="26" t="str">
        <f>"MONTESSORI DEL PEDREGAL                                                                             "</f>
        <v xml:space="preserve">MONTESSORI DEL PEDREGAL                                                                             </v>
      </c>
      <c r="D2390" s="26" t="str">
        <f t="shared" si="399"/>
        <v>MATUTINO</v>
      </c>
      <c r="E2390" s="26" t="str">
        <f>"RINCONADA STA TERESA 136                                                        "</f>
        <v xml:space="preserve">RINCONADA STA TERESA 136                                                        </v>
      </c>
      <c r="F2390" s="26" t="str">
        <f>"PEDREGAL DE SAN ANGEL                                                                                                                       "</f>
        <v xml:space="preserve">PEDREGAL DE SAN ANGEL                                                                                                                       </v>
      </c>
      <c r="G2390" s="26" t="str">
        <f>"TLALPAN                                                                         "</f>
        <v xml:space="preserve">TLALPAN                                                                         </v>
      </c>
      <c r="H2390" s="26" t="str">
        <f>"518"</f>
        <v>518</v>
      </c>
      <c r="I2390" s="26" t="str">
        <f t="shared" si="397"/>
        <v>00</v>
      </c>
      <c r="J2390" s="26" t="str">
        <f>"45 "</f>
        <v xml:space="preserve">45 </v>
      </c>
      <c r="K2390" s="26" t="str">
        <f t="shared" si="392"/>
        <v>PR</v>
      </c>
      <c r="L2390" s="26" t="str">
        <f t="shared" si="393"/>
        <v>DGOSE</v>
      </c>
      <c r="M2390" s="26" t="str">
        <f t="shared" si="398"/>
        <v>PARTICULAR</v>
      </c>
      <c r="N2390" s="26">
        <v>134</v>
      </c>
      <c r="O2390" s="26">
        <v>69</v>
      </c>
      <c r="P2390" s="26">
        <v>65</v>
      </c>
      <c r="Q2390" s="26">
        <v>6</v>
      </c>
      <c r="R2390" s="26">
        <v>1</v>
      </c>
      <c r="S2390" s="26">
        <v>3</v>
      </c>
      <c r="T2390" s="26">
        <v>5</v>
      </c>
      <c r="U2390" s="26">
        <v>9</v>
      </c>
      <c r="V2390" s="26">
        <v>1</v>
      </c>
      <c r="W2390" s="26"/>
    </row>
    <row r="2391" spans="1:23" x14ac:dyDescent="0.25">
      <c r="A2391" s="26" t="str">
        <f t="shared" si="395"/>
        <v>PRIMARIA</v>
      </c>
      <c r="B2391" s="26" t="str">
        <f>"09PPR0535D"</f>
        <v>09PPR0535D</v>
      </c>
      <c r="C2391" s="26" t="str">
        <f>"COLEGIO DE LA VERA CRUZ                                                                             "</f>
        <v xml:space="preserve">COLEGIO DE LA VERA CRUZ                                                                             </v>
      </c>
      <c r="D2391" s="26" t="str">
        <f t="shared" si="399"/>
        <v>MATUTINO</v>
      </c>
      <c r="E2391" s="26" t="str">
        <f>"MANUEL GUTIERREZ ZAMORA 145                                                     "</f>
        <v xml:space="preserve">MANUEL GUTIERREZ ZAMORA 145                                                     </v>
      </c>
      <c r="F2391" s="26" t="str">
        <f>"LAS AGUILAS                                                                                                                                 "</f>
        <v xml:space="preserve">LAS AGUILAS                                                                                                                                 </v>
      </c>
      <c r="G2391" s="26" t="str">
        <f>"ALVARO OBREGON                                                                  "</f>
        <v xml:space="preserve">ALVARO OBREGON                                                                  </v>
      </c>
      <c r="H2391" s="26" t="str">
        <f>"321"</f>
        <v>321</v>
      </c>
      <c r="I2391" s="26" t="str">
        <f t="shared" si="397"/>
        <v>00</v>
      </c>
      <c r="J2391" s="26" t="str">
        <f>"43 "</f>
        <v xml:space="preserve">43 </v>
      </c>
      <c r="K2391" s="26" t="str">
        <f t="shared" si="392"/>
        <v>PR</v>
      </c>
      <c r="L2391" s="26" t="str">
        <f t="shared" si="393"/>
        <v>DGOSE</v>
      </c>
      <c r="M2391" s="26" t="str">
        <f t="shared" si="398"/>
        <v>PARTICULAR</v>
      </c>
      <c r="N2391" s="26">
        <v>125</v>
      </c>
      <c r="O2391" s="26">
        <v>59</v>
      </c>
      <c r="P2391" s="26">
        <v>66</v>
      </c>
      <c r="Q2391" s="26">
        <v>6</v>
      </c>
      <c r="R2391" s="26">
        <v>1</v>
      </c>
      <c r="S2391" s="26">
        <v>6</v>
      </c>
      <c r="T2391" s="26">
        <v>5</v>
      </c>
      <c r="U2391" s="26">
        <v>12</v>
      </c>
      <c r="V2391" s="26">
        <v>1</v>
      </c>
      <c r="W2391" s="26"/>
    </row>
    <row r="2392" spans="1:23" x14ac:dyDescent="0.25">
      <c r="A2392" s="26" t="str">
        <f t="shared" si="395"/>
        <v>PRIMARIA</v>
      </c>
      <c r="B2392" s="26" t="str">
        <f>"09PPR0537B"</f>
        <v>09PPR0537B</v>
      </c>
      <c r="C2392" s="26" t="str">
        <f>"INSTITUTO MONTINI                                                                                   "</f>
        <v xml:space="preserve">INSTITUTO MONTINI                                                                                   </v>
      </c>
      <c r="D2392" s="26" t="str">
        <f t="shared" si="399"/>
        <v>MATUTINO</v>
      </c>
      <c r="E2392" s="26" t="str">
        <f>"LOS JUAREZ NUM 31                                                               "</f>
        <v xml:space="preserve">LOS JUAREZ NUM 31                                                               </v>
      </c>
      <c r="F2392" s="26" t="str">
        <f>"SAN JOSE INSURGENTES                                                                                                                        "</f>
        <v xml:space="preserve">SAN JOSE INSURGENTES                                                                                                                        </v>
      </c>
      <c r="G2392" s="26" t="str">
        <f>"BENITO JUAREZ                                                                   "</f>
        <v xml:space="preserve">BENITO JUAREZ                                                                   </v>
      </c>
      <c r="H2392" s="26" t="str">
        <f>"000"</f>
        <v>000</v>
      </c>
      <c r="I2392" s="26" t="str">
        <f t="shared" si="397"/>
        <v>00</v>
      </c>
      <c r="J2392" s="26" t="str">
        <f>"43 "</f>
        <v xml:space="preserve">43 </v>
      </c>
      <c r="K2392" s="26" t="str">
        <f t="shared" si="392"/>
        <v>PR</v>
      </c>
      <c r="L2392" s="26" t="str">
        <f t="shared" si="393"/>
        <v>DGOSE</v>
      </c>
      <c r="M2392" s="26" t="str">
        <f t="shared" si="398"/>
        <v>PARTICULAR</v>
      </c>
      <c r="N2392" s="26">
        <v>108</v>
      </c>
      <c r="O2392" s="26">
        <v>57</v>
      </c>
      <c r="P2392" s="26">
        <v>51</v>
      </c>
      <c r="Q2392" s="26">
        <v>6</v>
      </c>
      <c r="R2392" s="26">
        <v>1</v>
      </c>
      <c r="S2392" s="26">
        <v>4</v>
      </c>
      <c r="T2392" s="26">
        <v>13</v>
      </c>
      <c r="U2392" s="26">
        <v>18</v>
      </c>
      <c r="V2392" s="26">
        <v>1</v>
      </c>
      <c r="W2392" s="26"/>
    </row>
    <row r="2393" spans="1:23" x14ac:dyDescent="0.25">
      <c r="A2393" s="26" t="str">
        <f t="shared" si="395"/>
        <v>PRIMARIA</v>
      </c>
      <c r="B2393" s="26" t="str">
        <f>"09PPR0545K"</f>
        <v>09PPR0545K</v>
      </c>
      <c r="C2393" s="26" t="str">
        <f>"ELISA MARGARITA BERRUECOS                                                                           "</f>
        <v xml:space="preserve">ELISA MARGARITA BERRUECOS                                                                           </v>
      </c>
      <c r="D2393" s="26" t="str">
        <f t="shared" si="399"/>
        <v>MATUTINO</v>
      </c>
      <c r="E2393" s="26" t="str">
        <f>"AV 2 NO 46                                                                      "</f>
        <v xml:space="preserve">AV 2 NO 46                                                                      </v>
      </c>
      <c r="F2393" s="26" t="str">
        <f>"SAN PEDRO DE LOS PINOS                                                                                                                      "</f>
        <v xml:space="preserve">SAN PEDRO DE LOS PINOS                                                                                                                      </v>
      </c>
      <c r="G2393" s="26" t="str">
        <f>"BENITO JUAREZ                                                                   "</f>
        <v xml:space="preserve">BENITO JUAREZ                                                                   </v>
      </c>
      <c r="H2393" s="26" t="str">
        <f>"339"</f>
        <v>339</v>
      </c>
      <c r="I2393" s="26" t="str">
        <f t="shared" si="397"/>
        <v>00</v>
      </c>
      <c r="J2393" s="26" t="str">
        <f>"43 "</f>
        <v xml:space="preserve">43 </v>
      </c>
      <c r="K2393" s="26" t="str">
        <f t="shared" si="392"/>
        <v>PR</v>
      </c>
      <c r="L2393" s="26" t="str">
        <f t="shared" si="393"/>
        <v>DGOSE</v>
      </c>
      <c r="M2393" s="26" t="str">
        <f t="shared" si="398"/>
        <v>PARTICULAR</v>
      </c>
      <c r="N2393" s="26">
        <v>105</v>
      </c>
      <c r="O2393" s="26">
        <v>50</v>
      </c>
      <c r="P2393" s="26">
        <v>55</v>
      </c>
      <c r="Q2393" s="26">
        <v>6</v>
      </c>
      <c r="R2393" s="26">
        <v>1</v>
      </c>
      <c r="S2393" s="26">
        <v>6</v>
      </c>
      <c r="T2393" s="26">
        <v>6</v>
      </c>
      <c r="U2393" s="26">
        <v>13</v>
      </c>
      <c r="V2393" s="26">
        <v>1</v>
      </c>
      <c r="W2393" s="26"/>
    </row>
    <row r="2394" spans="1:23" x14ac:dyDescent="0.25">
      <c r="A2394" s="26" t="str">
        <f t="shared" si="395"/>
        <v>PRIMARIA</v>
      </c>
      <c r="B2394" s="26" t="str">
        <f>"09PPR0547I"</f>
        <v>09PPR0547I</v>
      </c>
      <c r="C2394" s="26" t="str">
        <f>"PIERRE CURIE                                                                                        "</f>
        <v xml:space="preserve">PIERRE CURIE                                                                                        </v>
      </c>
      <c r="D2394" s="26" t="str">
        <f t="shared" si="399"/>
        <v>MATUTINO</v>
      </c>
      <c r="E2394" s="26" t="str">
        <f>"PARANAGUA NO 1079                                                               "</f>
        <v xml:space="preserve">PARANAGUA NO 1079                                                               </v>
      </c>
      <c r="F2394" s="26" t="str">
        <f>"RESIDENCIAL ZACATENCO                                                                                                                       "</f>
        <v xml:space="preserve">RESIDENCIAL ZACATENCO                                                                                                                       </v>
      </c>
      <c r="G2394" s="26" t="str">
        <f>"GUSTAVO A. MADERO                                                               "</f>
        <v xml:space="preserve">GUSTAVO A. MADERO                                                               </v>
      </c>
      <c r="H2394" s="26" t="str">
        <f>"239"</f>
        <v>239</v>
      </c>
      <c r="I2394" s="26" t="str">
        <f t="shared" si="397"/>
        <v>00</v>
      </c>
      <c r="J2394" s="26" t="str">
        <f>"42 "</f>
        <v xml:space="preserve">42 </v>
      </c>
      <c r="K2394" s="26" t="str">
        <f t="shared" si="392"/>
        <v>PR</v>
      </c>
      <c r="L2394" s="26" t="str">
        <f t="shared" si="393"/>
        <v>DGOSE</v>
      </c>
      <c r="M2394" s="26" t="str">
        <f t="shared" si="398"/>
        <v>PARTICULAR</v>
      </c>
      <c r="N2394" s="26">
        <v>109</v>
      </c>
      <c r="O2394" s="26">
        <v>60</v>
      </c>
      <c r="P2394" s="26">
        <v>49</v>
      </c>
      <c r="Q2394" s="26">
        <v>6</v>
      </c>
      <c r="R2394" s="26">
        <v>1</v>
      </c>
      <c r="S2394" s="26">
        <v>6</v>
      </c>
      <c r="T2394" s="26">
        <v>4</v>
      </c>
      <c r="U2394" s="26">
        <v>11</v>
      </c>
      <c r="V2394" s="26">
        <v>1</v>
      </c>
      <c r="W2394" s="26"/>
    </row>
    <row r="2395" spans="1:23" x14ac:dyDescent="0.25">
      <c r="A2395" s="26" t="str">
        <f t="shared" si="395"/>
        <v>PRIMARIA</v>
      </c>
      <c r="B2395" s="26" t="str">
        <f>"09PPR0548H"</f>
        <v>09PPR0548H</v>
      </c>
      <c r="C2395" s="26" t="str">
        <f>"COLEGIO DEL BOSQUE                                                                                  "</f>
        <v xml:space="preserve">COLEGIO DEL BOSQUE                                                                                  </v>
      </c>
      <c r="D2395" s="26" t="str">
        <f t="shared" si="399"/>
        <v>MATUTINO</v>
      </c>
      <c r="E2395" s="26" t="str">
        <f>"BOSQUE DE HUIZACHES NUM. 3                                                      "</f>
        <v xml:space="preserve">BOSQUE DE HUIZACHES NUM. 3                                                      </v>
      </c>
      <c r="F2395" s="26" t="str">
        <f>"BOSQUES DE LAS LOMAS                                                                                                                        "</f>
        <v xml:space="preserve">BOSQUES DE LAS LOMAS                                                                                                                        </v>
      </c>
      <c r="G2395" s="26" t="str">
        <f>"CUAJIMALPA DE MORELOS                                                           "</f>
        <v xml:space="preserve">CUAJIMALPA DE MORELOS                                                           </v>
      </c>
      <c r="H2395" s="26" t="str">
        <f>"301"</f>
        <v>301</v>
      </c>
      <c r="I2395" s="26" t="str">
        <f t="shared" si="397"/>
        <v>00</v>
      </c>
      <c r="J2395" s="26" t="str">
        <f>"43 "</f>
        <v xml:space="preserve">43 </v>
      </c>
      <c r="K2395" s="26" t="str">
        <f t="shared" si="392"/>
        <v>PR</v>
      </c>
      <c r="L2395" s="26" t="str">
        <f t="shared" si="393"/>
        <v>DGOSE</v>
      </c>
      <c r="M2395" s="26" t="str">
        <f t="shared" si="398"/>
        <v>PARTICULAR</v>
      </c>
      <c r="N2395" s="26">
        <v>230</v>
      </c>
      <c r="O2395" s="26">
        <v>0</v>
      </c>
      <c r="P2395" s="26">
        <v>230</v>
      </c>
      <c r="Q2395" s="26">
        <v>12</v>
      </c>
      <c r="R2395" s="26">
        <v>1</v>
      </c>
      <c r="S2395" s="26">
        <v>6</v>
      </c>
      <c r="T2395" s="26">
        <v>12</v>
      </c>
      <c r="U2395" s="26">
        <v>19</v>
      </c>
      <c r="V2395" s="26">
        <v>1</v>
      </c>
      <c r="W2395" s="26"/>
    </row>
    <row r="2396" spans="1:23" x14ac:dyDescent="0.25">
      <c r="A2396" s="26" t="str">
        <f t="shared" si="395"/>
        <v>PRIMARIA</v>
      </c>
      <c r="B2396" s="26" t="str">
        <f>"09PPR0567W"</f>
        <v>09PPR0567W</v>
      </c>
      <c r="C2396" s="26" t="str">
        <f>"10 DE MAYO                                                                                          "</f>
        <v xml:space="preserve">10 DE MAYO                                                                                          </v>
      </c>
      <c r="D2396" s="26" t="str">
        <f t="shared" si="399"/>
        <v>MATUTINO</v>
      </c>
      <c r="E2396" s="26" t="str">
        <f>"CALLE 17 NUM 220                                                                "</f>
        <v xml:space="preserve">CALLE 17 NUM 220                                                                </v>
      </c>
      <c r="F2396" s="26" t="str">
        <f>"PRO  HOGAR                                                                                                                                  "</f>
        <v xml:space="preserve">PRO  HOGAR                                                                                                                                  </v>
      </c>
      <c r="G2396" s="26" t="str">
        <f>"AZCAPOTZALCO                                                                    "</f>
        <v xml:space="preserve">AZCAPOTZALCO                                                                    </v>
      </c>
      <c r="H2396" s="26" t="str">
        <f>"000"</f>
        <v>000</v>
      </c>
      <c r="I2396" s="26" t="str">
        <f t="shared" si="397"/>
        <v>00</v>
      </c>
      <c r="J2396" s="26" t="str">
        <f>"42 "</f>
        <v xml:space="preserve">42 </v>
      </c>
      <c r="K2396" s="26" t="str">
        <f t="shared" si="392"/>
        <v>PR</v>
      </c>
      <c r="L2396" s="26" t="str">
        <f t="shared" si="393"/>
        <v>DGOSE</v>
      </c>
      <c r="M2396" s="26" t="str">
        <f t="shared" si="398"/>
        <v>PARTICULAR</v>
      </c>
      <c r="N2396" s="26">
        <v>130</v>
      </c>
      <c r="O2396" s="26">
        <v>64</v>
      </c>
      <c r="P2396" s="26">
        <v>66</v>
      </c>
      <c r="Q2396" s="26">
        <v>6</v>
      </c>
      <c r="R2396" s="26">
        <v>1</v>
      </c>
      <c r="S2396" s="26">
        <v>6</v>
      </c>
      <c r="T2396" s="26">
        <v>9</v>
      </c>
      <c r="U2396" s="26">
        <v>16</v>
      </c>
      <c r="V2396" s="26">
        <v>1</v>
      </c>
      <c r="W2396" s="26"/>
    </row>
    <row r="2397" spans="1:23" x14ac:dyDescent="0.25">
      <c r="A2397" s="26" t="str">
        <f t="shared" si="395"/>
        <v>PRIMARIA</v>
      </c>
      <c r="B2397" s="26" t="str">
        <f>"09PPR0568V"</f>
        <v>09PPR0568V</v>
      </c>
      <c r="C2397" s="26" t="str">
        <f>"ESCUELA DE LA CIUDAD DE MEXICO                                                                      "</f>
        <v xml:space="preserve">ESCUELA DE LA CIUDAD DE MEXICO                                                                      </v>
      </c>
      <c r="D2397" s="26" t="str">
        <f t="shared" si="399"/>
        <v>MATUTINO</v>
      </c>
      <c r="E2397" s="26" t="str">
        <f>"FRESNO 111                                                                      "</f>
        <v xml:space="preserve">FRESNO 111                                                                      </v>
      </c>
      <c r="F2397" s="26" t="str">
        <f>"SANTA MARIA LA RIBERA                                                                                                                       "</f>
        <v xml:space="preserve">SANTA MARIA LA RIBERA                                                                                                                       </v>
      </c>
      <c r="G2397" s="26" t="str">
        <f>"CUAUHTEMOC                                                                      "</f>
        <v xml:space="preserve">CUAUHTEMOC                                                                      </v>
      </c>
      <c r="H2397" s="26" t="str">
        <f>"219"</f>
        <v>219</v>
      </c>
      <c r="I2397" s="26" t="str">
        <f t="shared" si="397"/>
        <v>00</v>
      </c>
      <c r="J2397" s="26" t="str">
        <f>"42 "</f>
        <v xml:space="preserve">42 </v>
      </c>
      <c r="K2397" s="26" t="str">
        <f t="shared" ref="K2397:K2400" si="400">"PR"</f>
        <v>PR</v>
      </c>
      <c r="L2397" s="26" t="str">
        <f t="shared" ref="L2397:L2400" si="401">"DGOSE"</f>
        <v>DGOSE</v>
      </c>
      <c r="M2397" s="26" t="str">
        <f t="shared" si="398"/>
        <v>PARTICULAR</v>
      </c>
      <c r="N2397" s="26">
        <v>217</v>
      </c>
      <c r="O2397" s="26">
        <v>98</v>
      </c>
      <c r="P2397" s="26">
        <v>119</v>
      </c>
      <c r="Q2397" s="26">
        <v>12</v>
      </c>
      <c r="R2397" s="26">
        <v>1</v>
      </c>
      <c r="S2397" s="26">
        <v>6</v>
      </c>
      <c r="T2397" s="26">
        <v>16</v>
      </c>
      <c r="U2397" s="26">
        <v>23</v>
      </c>
      <c r="V2397" s="26">
        <v>1</v>
      </c>
      <c r="W2397" s="26"/>
    </row>
    <row r="2398" spans="1:23" x14ac:dyDescent="0.25">
      <c r="A2398" s="26" t="str">
        <f t="shared" si="395"/>
        <v>PRIMARIA</v>
      </c>
      <c r="B2398" s="26" t="str">
        <f>"09PPR0569U"</f>
        <v>09PPR0569U</v>
      </c>
      <c r="C2398" s="26" t="str">
        <f>"JUAN RAMON JIMENEZ                                                                                  "</f>
        <v xml:space="preserve">JUAN RAMON JIMENEZ                                                                                  </v>
      </c>
      <c r="D2398" s="26" t="str">
        <f t="shared" si="399"/>
        <v>MATUTINO</v>
      </c>
      <c r="E2398" s="26" t="str">
        <f>"AV ACUEDUCTO NO. 6 7 8                                                          "</f>
        <v xml:space="preserve">AV ACUEDUCTO NO. 6 7 8                                                          </v>
      </c>
      <c r="F2398" s="26" t="str">
        <f>"SAN PEDRO ZACATENCO                                                                                                                         "</f>
        <v xml:space="preserve">SAN PEDRO ZACATENCO                                                                                                                         </v>
      </c>
      <c r="G2398" s="26" t="str">
        <f>"GUSTAVO A. MADERO                                                               "</f>
        <v xml:space="preserve">GUSTAVO A. MADERO                                                               </v>
      </c>
      <c r="H2398" s="26" t="str">
        <f>"237"</f>
        <v>237</v>
      </c>
      <c r="I2398" s="26" t="str">
        <f t="shared" si="397"/>
        <v>00</v>
      </c>
      <c r="J2398" s="26" t="str">
        <f>"42 "</f>
        <v xml:space="preserve">42 </v>
      </c>
      <c r="K2398" s="26" t="str">
        <f t="shared" si="400"/>
        <v>PR</v>
      </c>
      <c r="L2398" s="26" t="str">
        <f t="shared" si="401"/>
        <v>DGOSE</v>
      </c>
      <c r="M2398" s="26" t="str">
        <f t="shared" si="398"/>
        <v>PARTICULAR</v>
      </c>
      <c r="N2398" s="26">
        <v>300</v>
      </c>
      <c r="O2398" s="26">
        <v>130</v>
      </c>
      <c r="P2398" s="26">
        <v>170</v>
      </c>
      <c r="Q2398" s="26">
        <v>12</v>
      </c>
      <c r="R2398" s="26">
        <v>1</v>
      </c>
      <c r="S2398" s="26">
        <v>12</v>
      </c>
      <c r="T2398" s="26">
        <v>3</v>
      </c>
      <c r="U2398" s="26">
        <v>16</v>
      </c>
      <c r="V2398" s="26">
        <v>1</v>
      </c>
      <c r="W2398" s="26"/>
    </row>
    <row r="2399" spans="1:23" x14ac:dyDescent="0.25">
      <c r="A2399" s="26" t="str">
        <f t="shared" si="395"/>
        <v>PRIMARIA</v>
      </c>
      <c r="B2399" s="26" t="str">
        <f>"09PPR0570J"</f>
        <v>09PPR0570J</v>
      </c>
      <c r="C2399" s="26" t="str">
        <f>"""PRIMARIA TULYEHUALCO""                                                                              "</f>
        <v xml:space="preserve">"PRIMARIA TULYEHUALCO"                                                                              </v>
      </c>
      <c r="D2399" s="26" t="str">
        <f t="shared" si="399"/>
        <v>MATUTINO</v>
      </c>
      <c r="E2399" s="26" t="str">
        <f>"FRANCISCO VILLA NO. 20                                                          "</f>
        <v xml:space="preserve">FRANCISCO VILLA NO. 20                                                          </v>
      </c>
      <c r="F2399" s="26" t="str">
        <f>"LOS REYES                                                                                                                                   "</f>
        <v xml:space="preserve">LOS REYES                                                                                                                                   </v>
      </c>
      <c r="G2399" s="26" t="str">
        <f>"TLAHUAC                                                                         "</f>
        <v xml:space="preserve">TLAHUAC                                                                         </v>
      </c>
      <c r="H2399" s="26" t="str">
        <f>"558"</f>
        <v>558</v>
      </c>
      <c r="I2399" s="26" t="str">
        <f t="shared" si="397"/>
        <v>00</v>
      </c>
      <c r="J2399" s="26" t="str">
        <f>"45 "</f>
        <v xml:space="preserve">45 </v>
      </c>
      <c r="K2399" s="26" t="str">
        <f t="shared" si="400"/>
        <v>PR</v>
      </c>
      <c r="L2399" s="26" t="str">
        <f t="shared" si="401"/>
        <v>DGOSE</v>
      </c>
      <c r="M2399" s="26" t="str">
        <f t="shared" si="398"/>
        <v>PARTICULAR</v>
      </c>
      <c r="N2399" s="26">
        <v>69</v>
      </c>
      <c r="O2399" s="26">
        <v>37</v>
      </c>
      <c r="P2399" s="26">
        <v>32</v>
      </c>
      <c r="Q2399" s="26">
        <v>6</v>
      </c>
      <c r="R2399" s="26">
        <v>1</v>
      </c>
      <c r="S2399" s="26">
        <v>3</v>
      </c>
      <c r="T2399" s="26">
        <v>7</v>
      </c>
      <c r="U2399" s="26">
        <v>11</v>
      </c>
      <c r="V2399" s="26">
        <v>1</v>
      </c>
      <c r="W2399" s="26"/>
    </row>
    <row r="2400" spans="1:23" x14ac:dyDescent="0.25">
      <c r="A2400" s="26" t="str">
        <f t="shared" si="395"/>
        <v>PRIMARIA</v>
      </c>
      <c r="B2400" s="26" t="str">
        <f>"09PPR0572H"</f>
        <v>09PPR0572H</v>
      </c>
      <c r="C2400" s="26" t="str">
        <f>"SIMON BOLIVAR                                                                                       "</f>
        <v xml:space="preserve">SIMON BOLIVAR                                                                                       </v>
      </c>
      <c r="D2400" s="26" t="str">
        <f t="shared" si="399"/>
        <v>MATUTINO</v>
      </c>
      <c r="E2400" s="26" t="str">
        <f>"RETORNO 11A FRAY SERVANDO TERESA DE MIER No18                                   "</f>
        <v xml:space="preserve">RETORNO 11A FRAY SERVANDO TERESA DE MIER No18                                   </v>
      </c>
      <c r="F2400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2400" s="26" t="str">
        <f>"VENUSTIANO CARRANZA                                                             "</f>
        <v xml:space="preserve">VENUSTIANO CARRANZA                                                             </v>
      </c>
      <c r="H2400" s="26" t="str">
        <f>"347"</f>
        <v>347</v>
      </c>
      <c r="I2400" s="26" t="str">
        <f t="shared" si="397"/>
        <v>00</v>
      </c>
      <c r="J2400" s="26" t="str">
        <f>"43 "</f>
        <v xml:space="preserve">43 </v>
      </c>
      <c r="K2400" s="26" t="str">
        <f t="shared" si="400"/>
        <v>PR</v>
      </c>
      <c r="L2400" s="26" t="str">
        <f t="shared" si="401"/>
        <v>DGOSE</v>
      </c>
      <c r="M2400" s="26" t="str">
        <f t="shared" si="398"/>
        <v>PARTICULAR</v>
      </c>
      <c r="N2400" s="26">
        <v>385</v>
      </c>
      <c r="O2400" s="26">
        <v>183</v>
      </c>
      <c r="P2400" s="26">
        <v>202</v>
      </c>
      <c r="Q2400" s="26">
        <v>15</v>
      </c>
      <c r="R2400" s="26">
        <v>1</v>
      </c>
      <c r="S2400" s="26">
        <v>15</v>
      </c>
      <c r="T2400" s="26">
        <v>7</v>
      </c>
      <c r="U2400" s="26">
        <v>23</v>
      </c>
      <c r="V2400" s="26">
        <v>1</v>
      </c>
      <c r="W2400" s="26"/>
    </row>
    <row r="2401" spans="1:23" x14ac:dyDescent="0.25">
      <c r="A2401" s="26" t="str">
        <f t="shared" si="395"/>
        <v>PRIMARIA</v>
      </c>
      <c r="B2401" s="26" t="str">
        <f>"09PPR0573G"</f>
        <v>09PPR0573G</v>
      </c>
      <c r="C2401" s="26" t="str">
        <f>"INSTITUTO JUANA DE ARCO                                                                             "</f>
        <v xml:space="preserve">INSTITUTO JUANA DE ARCO                                                                             </v>
      </c>
      <c r="D2401" s="26" t="str">
        <f t="shared" si="399"/>
        <v>MATUTINO</v>
      </c>
      <c r="E2401" s="26" t="str">
        <f>"CERRADA GENERAL HERMINIO CHAVARRIA NO 22                                        "</f>
        <v xml:space="preserve">CERRADA GENERAL HERMINIO CHAVARRIA NO 22                                        </v>
      </c>
      <c r="F2401" s="26" t="str">
        <f>"CITLALI                                                                                                                                     "</f>
        <v xml:space="preserve">CITLALI                                                                                                                                     </v>
      </c>
      <c r="G2401" s="26" t="str">
        <f>"IZTAPALAPA                                                                      "</f>
        <v xml:space="preserve">IZTAPALAPA                                                                      </v>
      </c>
      <c r="H2401" s="26" t="str">
        <f>"056"</f>
        <v>056</v>
      </c>
      <c r="I2401" s="26" t="str">
        <f t="shared" si="397"/>
        <v>00</v>
      </c>
      <c r="J2401" s="26" t="str">
        <f>"64 "</f>
        <v xml:space="preserve">64 </v>
      </c>
      <c r="K2401" s="26" t="str">
        <f>"IZ"</f>
        <v>IZ</v>
      </c>
      <c r="L2401" s="26" t="str">
        <f>"DGSEI"</f>
        <v>DGSEI</v>
      </c>
      <c r="M2401" s="26" t="str">
        <f t="shared" si="398"/>
        <v>PARTICULAR</v>
      </c>
      <c r="N2401" s="26">
        <v>68</v>
      </c>
      <c r="O2401" s="26">
        <v>36</v>
      </c>
      <c r="P2401" s="26">
        <v>32</v>
      </c>
      <c r="Q2401" s="26">
        <v>6</v>
      </c>
      <c r="R2401" s="26">
        <v>1</v>
      </c>
      <c r="S2401" s="26">
        <v>6</v>
      </c>
      <c r="T2401" s="26">
        <v>0</v>
      </c>
      <c r="U2401" s="26">
        <v>7</v>
      </c>
      <c r="V2401" s="26">
        <v>1</v>
      </c>
      <c r="W2401" s="26"/>
    </row>
    <row r="2402" spans="1:23" x14ac:dyDescent="0.25">
      <c r="A2402" s="26" t="str">
        <f t="shared" si="395"/>
        <v>PRIMARIA</v>
      </c>
      <c r="B2402" s="26" t="str">
        <f>"09PPR0576D"</f>
        <v>09PPR0576D</v>
      </c>
      <c r="C2402" s="26" t="str">
        <f>"ALEJANDRO GUILLOT                                                                                   "</f>
        <v xml:space="preserve">ALEJANDRO GUILLOT                                                                                   </v>
      </c>
      <c r="D2402" s="26" t="str">
        <f t="shared" si="399"/>
        <v>MATUTINO</v>
      </c>
      <c r="E2402" s="26" t="str">
        <f>"CANAL DE MIRAMONTES NO 3160                                                     "</f>
        <v xml:space="preserve">CANAL DE MIRAMONTES NO 3160                                                     </v>
      </c>
      <c r="F2402" s="26" t="str">
        <f>"RESIDENCIAL EX-HACIENDA COAPA                                                                                                               "</f>
        <v xml:space="preserve">RESIDENCIAL EX-HACIENDA COAPA                                                                                                               </v>
      </c>
      <c r="G2402" s="26" t="str">
        <f>"TLALPAN                                                                         "</f>
        <v xml:space="preserve">TLALPAN                                                                         </v>
      </c>
      <c r="H2402" s="26" t="str">
        <f>"525"</f>
        <v>525</v>
      </c>
      <c r="I2402" s="26" t="str">
        <f t="shared" si="397"/>
        <v>00</v>
      </c>
      <c r="J2402" s="26" t="str">
        <f>"45 "</f>
        <v xml:space="preserve">45 </v>
      </c>
      <c r="K2402" s="26" t="str">
        <f t="shared" ref="K2402:K2407" si="402">"PR"</f>
        <v>PR</v>
      </c>
      <c r="L2402" s="26" t="str">
        <f t="shared" ref="L2402:L2407" si="403">"DGOSE"</f>
        <v>DGOSE</v>
      </c>
      <c r="M2402" s="26" t="str">
        <f t="shared" si="398"/>
        <v>PARTICULAR</v>
      </c>
      <c r="N2402" s="26">
        <v>241</v>
      </c>
      <c r="O2402" s="26">
        <v>121</v>
      </c>
      <c r="P2402" s="26">
        <v>120</v>
      </c>
      <c r="Q2402" s="26">
        <v>12</v>
      </c>
      <c r="R2402" s="26">
        <v>1</v>
      </c>
      <c r="S2402" s="26">
        <v>7</v>
      </c>
      <c r="T2402" s="26">
        <v>22</v>
      </c>
      <c r="U2402" s="26">
        <v>30</v>
      </c>
      <c r="V2402" s="26">
        <v>1</v>
      </c>
      <c r="W2402" s="26"/>
    </row>
    <row r="2403" spans="1:23" x14ac:dyDescent="0.25">
      <c r="A2403" s="26" t="str">
        <f t="shared" si="395"/>
        <v>PRIMARIA</v>
      </c>
      <c r="B2403" s="26" t="str">
        <f>"09PPR0577C"</f>
        <v>09PPR0577C</v>
      </c>
      <c r="C2403" s="26" t="str">
        <f>"MAESTRO CARLOS CHAVEZ                                                                               "</f>
        <v xml:space="preserve">MAESTRO CARLOS CHAVEZ                                                                               </v>
      </c>
      <c r="D2403" s="26" t="str">
        <f t="shared" si="399"/>
        <v>MATUTINO</v>
      </c>
      <c r="E2403" s="26" t="str">
        <f>"PROLG DIVISION DEL NORTE NUM. 5466                                              "</f>
        <v xml:space="preserve">PROLG DIVISION DEL NORTE NUM. 5466                                              </v>
      </c>
      <c r="F2403" s="26" t="str">
        <f>"SAN MARCOS                                                                                                                                  "</f>
        <v xml:space="preserve">SAN MARCOS                                                                                                                                  </v>
      </c>
      <c r="G2403" s="26" t="str">
        <f>"XOCHIMILCO                                                                      "</f>
        <v xml:space="preserve">XOCHIMILCO                                                                      </v>
      </c>
      <c r="H2403" s="26" t="str">
        <f>"536"</f>
        <v>536</v>
      </c>
      <c r="I2403" s="26" t="str">
        <f t="shared" si="397"/>
        <v>00</v>
      </c>
      <c r="J2403" s="26" t="str">
        <f>"45 "</f>
        <v xml:space="preserve">45 </v>
      </c>
      <c r="K2403" s="26" t="str">
        <f t="shared" si="402"/>
        <v>PR</v>
      </c>
      <c r="L2403" s="26" t="str">
        <f t="shared" si="403"/>
        <v>DGOSE</v>
      </c>
      <c r="M2403" s="26" t="str">
        <f t="shared" si="398"/>
        <v>PARTICULAR</v>
      </c>
      <c r="N2403" s="26">
        <v>99</v>
      </c>
      <c r="O2403" s="26">
        <v>57</v>
      </c>
      <c r="P2403" s="26">
        <v>42</v>
      </c>
      <c r="Q2403" s="26">
        <v>6</v>
      </c>
      <c r="R2403" s="26">
        <v>1</v>
      </c>
      <c r="S2403" s="26">
        <v>6</v>
      </c>
      <c r="T2403" s="26">
        <v>12</v>
      </c>
      <c r="U2403" s="26">
        <v>19</v>
      </c>
      <c r="V2403" s="26">
        <v>1</v>
      </c>
      <c r="W2403" s="26"/>
    </row>
    <row r="2404" spans="1:23" x14ac:dyDescent="0.25">
      <c r="A2404" s="26" t="str">
        <f t="shared" si="395"/>
        <v>PRIMARIA</v>
      </c>
      <c r="B2404" s="26" t="str">
        <f>"09PPR0578B"</f>
        <v>09PPR0578B</v>
      </c>
      <c r="C2404" s="26" t="str">
        <f>"PRIMARIA ECA                                                                                        "</f>
        <v xml:space="preserve">PRIMARIA ECA                                                                                        </v>
      </c>
      <c r="D2404" s="26" t="str">
        <f t="shared" si="399"/>
        <v>MATUTINO</v>
      </c>
      <c r="E2404" s="26" t="str">
        <f>"CALLE B NUM 20 MANZANA XI                                                       "</f>
        <v xml:space="preserve">CALLE B NUM 20 MANZANA XI                                                       </v>
      </c>
      <c r="F2404" s="26" t="str">
        <f>"EDUCACION                                                                                                                                   "</f>
        <v xml:space="preserve">EDUCACION                                                                                                                                   </v>
      </c>
      <c r="G2404" s="26" t="str">
        <f>"COYOACAN                                                                        "</f>
        <v xml:space="preserve">COYOACAN                                                                        </v>
      </c>
      <c r="H2404" s="26" t="str">
        <f>"508"</f>
        <v>508</v>
      </c>
      <c r="I2404" s="26" t="str">
        <f t="shared" si="397"/>
        <v>00</v>
      </c>
      <c r="J2404" s="26" t="str">
        <f>"45 "</f>
        <v xml:space="preserve">45 </v>
      </c>
      <c r="K2404" s="26" t="str">
        <f t="shared" si="402"/>
        <v>PR</v>
      </c>
      <c r="L2404" s="26" t="str">
        <f t="shared" si="403"/>
        <v>DGOSE</v>
      </c>
      <c r="M2404" s="26" t="str">
        <f t="shared" si="398"/>
        <v>PARTICULAR</v>
      </c>
      <c r="N2404" s="26">
        <v>411</v>
      </c>
      <c r="O2404" s="26">
        <v>208</v>
      </c>
      <c r="P2404" s="26">
        <v>203</v>
      </c>
      <c r="Q2404" s="26">
        <v>15</v>
      </c>
      <c r="R2404" s="26">
        <v>1</v>
      </c>
      <c r="S2404" s="26">
        <v>10</v>
      </c>
      <c r="T2404" s="26">
        <v>12</v>
      </c>
      <c r="U2404" s="26">
        <v>23</v>
      </c>
      <c r="V2404" s="26">
        <v>1</v>
      </c>
      <c r="W2404" s="26"/>
    </row>
    <row r="2405" spans="1:23" x14ac:dyDescent="0.25">
      <c r="A2405" s="26" t="str">
        <f t="shared" si="395"/>
        <v>PRIMARIA</v>
      </c>
      <c r="B2405" s="26" t="str">
        <f>"09PPR0579A"</f>
        <v>09PPR0579A</v>
      </c>
      <c r="C2405" s="26" t="str">
        <f>"COLEGIO OLIVERIO CROMWELL                                                                           "</f>
        <v xml:space="preserve">COLEGIO OLIVERIO CROMWELL                                                                           </v>
      </c>
      <c r="D2405" s="26" t="str">
        <f t="shared" si="399"/>
        <v>MATUTINO</v>
      </c>
      <c r="E2405" s="26" t="str">
        <f>"MIXTECAS NUM 334                                                                "</f>
        <v xml:space="preserve">MIXTECAS NUM 334                                                                </v>
      </c>
      <c r="F2405" s="26" t="str">
        <f>"AJUSCO                                                                                                                                      "</f>
        <v xml:space="preserve">AJUSCO                                                                                                                                      </v>
      </c>
      <c r="G2405" s="26" t="str">
        <f>"COYOACAN                                                                        "</f>
        <v xml:space="preserve">COYOACAN                                                                        </v>
      </c>
      <c r="H2405" s="26" t="str">
        <f>"505"</f>
        <v>505</v>
      </c>
      <c r="I2405" s="26" t="str">
        <f t="shared" si="397"/>
        <v>00</v>
      </c>
      <c r="J2405" s="26" t="str">
        <f>"45 "</f>
        <v xml:space="preserve">45 </v>
      </c>
      <c r="K2405" s="26" t="str">
        <f t="shared" si="402"/>
        <v>PR</v>
      </c>
      <c r="L2405" s="26" t="str">
        <f t="shared" si="403"/>
        <v>DGOSE</v>
      </c>
      <c r="M2405" s="26" t="str">
        <f t="shared" si="398"/>
        <v>PARTICULAR</v>
      </c>
      <c r="N2405" s="26">
        <v>257</v>
      </c>
      <c r="O2405" s="26">
        <v>123</v>
      </c>
      <c r="P2405" s="26">
        <v>134</v>
      </c>
      <c r="Q2405" s="26">
        <v>12</v>
      </c>
      <c r="R2405" s="26">
        <v>1</v>
      </c>
      <c r="S2405" s="26">
        <v>6</v>
      </c>
      <c r="T2405" s="26">
        <v>14</v>
      </c>
      <c r="U2405" s="26">
        <v>21</v>
      </c>
      <c r="V2405" s="26">
        <v>1</v>
      </c>
      <c r="W2405" s="26"/>
    </row>
    <row r="2406" spans="1:23" x14ac:dyDescent="0.25">
      <c r="A2406" s="26" t="str">
        <f t="shared" si="395"/>
        <v>PRIMARIA</v>
      </c>
      <c r="B2406" s="26" t="str">
        <f>"09PPR0583N"</f>
        <v>09PPR0583N</v>
      </c>
      <c r="C2406" s="26" t="str">
        <f>"AMADO NERVO                                                                                         "</f>
        <v xml:space="preserve">AMADO NERVO                                                                                         </v>
      </c>
      <c r="D2406" s="26" t="str">
        <f t="shared" si="399"/>
        <v>MATUTINO</v>
      </c>
      <c r="E2406" s="26" t="str">
        <f>"AV 510 NO 55                                                                    "</f>
        <v xml:space="preserve">AV 510 NO 55                                                                    </v>
      </c>
      <c r="F2406" s="26" t="str">
        <f>"SAN JUAN DE ARAGON                                                                                                                          "</f>
        <v xml:space="preserve">SAN JUAN DE ARAGON                                                                                                                          </v>
      </c>
      <c r="G2406" s="26" t="str">
        <f>"GUSTAVO A. MADERO                                                               "</f>
        <v xml:space="preserve">GUSTAVO A. MADERO                                                               </v>
      </c>
      <c r="H2406" s="26" t="str">
        <f>"269"</f>
        <v>269</v>
      </c>
      <c r="I2406" s="26" t="str">
        <f t="shared" si="397"/>
        <v>00</v>
      </c>
      <c r="J2406" s="26" t="str">
        <f>"42 "</f>
        <v xml:space="preserve">42 </v>
      </c>
      <c r="K2406" s="26" t="str">
        <f t="shared" si="402"/>
        <v>PR</v>
      </c>
      <c r="L2406" s="26" t="str">
        <f t="shared" si="403"/>
        <v>DGOSE</v>
      </c>
      <c r="M2406" s="26" t="str">
        <f t="shared" si="398"/>
        <v>PARTICULAR</v>
      </c>
      <c r="N2406" s="26">
        <v>104</v>
      </c>
      <c r="O2406" s="26">
        <v>53</v>
      </c>
      <c r="P2406" s="26">
        <v>51</v>
      </c>
      <c r="Q2406" s="26">
        <v>6</v>
      </c>
      <c r="R2406" s="26">
        <v>1</v>
      </c>
      <c r="S2406" s="26">
        <v>6</v>
      </c>
      <c r="T2406" s="26">
        <v>5</v>
      </c>
      <c r="U2406" s="26">
        <v>12</v>
      </c>
      <c r="V2406" s="26">
        <v>1</v>
      </c>
      <c r="W2406" s="26"/>
    </row>
    <row r="2407" spans="1:23" x14ac:dyDescent="0.25">
      <c r="A2407" s="26" t="str">
        <f t="shared" si="395"/>
        <v>PRIMARIA</v>
      </c>
      <c r="B2407" s="26" t="str">
        <f>"09PPR0584M"</f>
        <v>09PPR0584M</v>
      </c>
      <c r="C2407" s="26" t="str">
        <f>"AMADO NERVO                                                                                         "</f>
        <v xml:space="preserve">AMADO NERVO                                                                                         </v>
      </c>
      <c r="D2407" s="26" t="str">
        <f t="shared" si="399"/>
        <v>MATUTINO</v>
      </c>
      <c r="E2407" s="26" t="str">
        <f>"CALLE 7 NUM 258                                                                 "</f>
        <v xml:space="preserve">CALLE 7 NUM 258                                                                 </v>
      </c>
      <c r="F2407" s="26" t="str">
        <f>"AGRICOLA PANTITLAN                                                                                                                          "</f>
        <v xml:space="preserve">AGRICOLA PANTITLAN                                                                                                                          </v>
      </c>
      <c r="G2407" s="26" t="str">
        <f>"IZTACALCO                                                                       "</f>
        <v xml:space="preserve">IZTACALCO                                                                       </v>
      </c>
      <c r="H2407" s="26" t="str">
        <f>"355"</f>
        <v>355</v>
      </c>
      <c r="I2407" s="26" t="str">
        <f t="shared" si="397"/>
        <v>00</v>
      </c>
      <c r="J2407" s="26" t="str">
        <f>"43 "</f>
        <v xml:space="preserve">43 </v>
      </c>
      <c r="K2407" s="26" t="str">
        <f t="shared" si="402"/>
        <v>PR</v>
      </c>
      <c r="L2407" s="26" t="str">
        <f t="shared" si="403"/>
        <v>DGOSE</v>
      </c>
      <c r="M2407" s="26" t="str">
        <f t="shared" si="398"/>
        <v>PARTICULAR</v>
      </c>
      <c r="N2407" s="26">
        <v>104</v>
      </c>
      <c r="O2407" s="26">
        <v>50</v>
      </c>
      <c r="P2407" s="26">
        <v>54</v>
      </c>
      <c r="Q2407" s="26">
        <v>6</v>
      </c>
      <c r="R2407" s="26">
        <v>1</v>
      </c>
      <c r="S2407" s="26">
        <v>6</v>
      </c>
      <c r="T2407" s="26">
        <v>10</v>
      </c>
      <c r="U2407" s="26">
        <v>17</v>
      </c>
      <c r="V2407" s="26">
        <v>1</v>
      </c>
      <c r="W2407" s="26"/>
    </row>
    <row r="2408" spans="1:23" x14ac:dyDescent="0.25">
      <c r="A2408" s="26" t="str">
        <f t="shared" si="395"/>
        <v>PRIMARIA</v>
      </c>
      <c r="B2408" s="26" t="str">
        <f>"09PPR0585L"</f>
        <v>09PPR0585L</v>
      </c>
      <c r="C2408" s="26" t="str">
        <f>"INSTITUTO PEDAGOGICO IBEROAMERICANO                                                                 "</f>
        <v xml:space="preserve">INSTITUTO PEDAGOGICO IBEROAMERICANO                                                                 </v>
      </c>
      <c r="D2408" s="26" t="str">
        <f t="shared" si="399"/>
        <v>MATUTINO</v>
      </c>
      <c r="E2408" s="26" t="str">
        <f>"CAMPESINOS NO. 134                                                              "</f>
        <v xml:space="preserve">CAMPESINOS NO. 134                                                              </v>
      </c>
      <c r="F2408" s="26" t="str">
        <f>"GRANJAS ESMERALDA                                                                                                                           "</f>
        <v xml:space="preserve">GRANJAS ESMERALDA                                                                                                                           </v>
      </c>
      <c r="G2408" s="26" t="str">
        <f>"IZTAPALAPA                                                                      "</f>
        <v xml:space="preserve">IZTAPALAPA                                                                      </v>
      </c>
      <c r="H2408" s="26" t="str">
        <f>"000"</f>
        <v>000</v>
      </c>
      <c r="I2408" s="26" t="str">
        <f t="shared" si="397"/>
        <v>00</v>
      </c>
      <c r="J2408" s="26" t="str">
        <f>"61 "</f>
        <v xml:space="preserve">61 </v>
      </c>
      <c r="K2408" s="26" t="str">
        <f>"IZ"</f>
        <v>IZ</v>
      </c>
      <c r="L2408" s="26" t="str">
        <f>"DGSEI"</f>
        <v>DGSEI</v>
      </c>
      <c r="M2408" s="26" t="str">
        <f t="shared" si="398"/>
        <v>PARTICULAR</v>
      </c>
      <c r="N2408" s="26">
        <v>226</v>
      </c>
      <c r="O2408" s="26">
        <v>118</v>
      </c>
      <c r="P2408" s="26">
        <v>108</v>
      </c>
      <c r="Q2408" s="26">
        <v>10</v>
      </c>
      <c r="R2408" s="26">
        <v>1</v>
      </c>
      <c r="S2408" s="26">
        <v>10</v>
      </c>
      <c r="T2408" s="26">
        <v>10</v>
      </c>
      <c r="U2408" s="26">
        <v>21</v>
      </c>
      <c r="V2408" s="26">
        <v>1</v>
      </c>
      <c r="W2408" s="26"/>
    </row>
    <row r="2409" spans="1:23" x14ac:dyDescent="0.25">
      <c r="A2409" s="26" t="str">
        <f t="shared" si="395"/>
        <v>PRIMARIA</v>
      </c>
      <c r="B2409" s="26" t="str">
        <f>"09PPR0586K"</f>
        <v>09PPR0586K</v>
      </c>
      <c r="C2409" s="26" t="str">
        <f>"CENTRO EDUCATIVO CONEET                                                                             "</f>
        <v xml:space="preserve">CENTRO EDUCATIVO CONEET                                                                             </v>
      </c>
      <c r="D2409" s="26" t="str">
        <f t="shared" si="399"/>
        <v>MATUTINO</v>
      </c>
      <c r="E2409" s="26" t="str">
        <f>"CALVARIO 13                                                                     "</f>
        <v xml:space="preserve">CALVARIO 13                                                                     </v>
      </c>
      <c r="F2409" s="26" t="str">
        <f>"TLALPAN                                                                                                                                     "</f>
        <v xml:space="preserve">TLALPAN                                                                                                                                     </v>
      </c>
      <c r="G2409" s="26" t="str">
        <f>"TLALPAN                                                                         "</f>
        <v xml:space="preserve">TLALPAN                                                                         </v>
      </c>
      <c r="H2409" s="26" t="str">
        <f>"520"</f>
        <v>520</v>
      </c>
      <c r="I2409" s="26" t="str">
        <f t="shared" si="397"/>
        <v>00</v>
      </c>
      <c r="J2409" s="26" t="str">
        <f>"45 "</f>
        <v xml:space="preserve">45 </v>
      </c>
      <c r="K2409" s="26" t="str">
        <f t="shared" ref="K2409:K2427" si="404">"PR"</f>
        <v>PR</v>
      </c>
      <c r="L2409" s="26" t="str">
        <f t="shared" ref="L2409:L2427" si="405">"DGOSE"</f>
        <v>DGOSE</v>
      </c>
      <c r="M2409" s="26" t="str">
        <f t="shared" si="398"/>
        <v>PARTICULAR</v>
      </c>
      <c r="N2409" s="26">
        <v>76</v>
      </c>
      <c r="O2409" s="26">
        <v>38</v>
      </c>
      <c r="P2409" s="26">
        <v>38</v>
      </c>
      <c r="Q2409" s="26">
        <v>6</v>
      </c>
      <c r="R2409" s="26">
        <v>1</v>
      </c>
      <c r="S2409" s="26">
        <v>4</v>
      </c>
      <c r="T2409" s="26">
        <v>8</v>
      </c>
      <c r="U2409" s="26">
        <v>13</v>
      </c>
      <c r="V2409" s="26">
        <v>1</v>
      </c>
      <c r="W2409" s="26"/>
    </row>
    <row r="2410" spans="1:23" x14ac:dyDescent="0.25">
      <c r="A2410" s="26" t="str">
        <f t="shared" si="395"/>
        <v>PRIMARIA</v>
      </c>
      <c r="B2410" s="26" t="str">
        <f>"09PPR0587J"</f>
        <v>09PPR0587J</v>
      </c>
      <c r="C2410" s="26" t="str">
        <f>"WILLIAM JAMES                                                                                       "</f>
        <v xml:space="preserve">WILLIAM JAMES                                                                                       </v>
      </c>
      <c r="D2410" s="26" t="str">
        <f t="shared" si="399"/>
        <v>MATUTINO</v>
      </c>
      <c r="E2410" s="26" t="str">
        <f>"VAN DICK # 110                                                                  "</f>
        <v xml:space="preserve">VAN DICK # 110                                                                  </v>
      </c>
      <c r="F2410" s="26" t="str">
        <f>"SANTA MARIA NONOALCO                                                                                                                        "</f>
        <v xml:space="preserve">SANTA MARIA NONOALCO                                                                                                                        </v>
      </c>
      <c r="G2410" s="26" t="str">
        <f>"ALVARO OBREGON                                                                  "</f>
        <v xml:space="preserve">ALVARO OBREGON                                                                  </v>
      </c>
      <c r="H2410" s="26" t="str">
        <f>"313"</f>
        <v>313</v>
      </c>
      <c r="I2410" s="26" t="str">
        <f t="shared" si="397"/>
        <v>00</v>
      </c>
      <c r="J2410" s="26" t="str">
        <f>"43 "</f>
        <v xml:space="preserve">43 </v>
      </c>
      <c r="K2410" s="26" t="str">
        <f t="shared" si="404"/>
        <v>PR</v>
      </c>
      <c r="L2410" s="26" t="str">
        <f t="shared" si="405"/>
        <v>DGOSE</v>
      </c>
      <c r="M2410" s="26" t="str">
        <f t="shared" si="398"/>
        <v>PARTICULAR</v>
      </c>
      <c r="N2410" s="26">
        <v>83</v>
      </c>
      <c r="O2410" s="26">
        <v>43</v>
      </c>
      <c r="P2410" s="26">
        <v>40</v>
      </c>
      <c r="Q2410" s="26">
        <v>6</v>
      </c>
      <c r="R2410" s="26">
        <v>1</v>
      </c>
      <c r="S2410" s="26">
        <v>3</v>
      </c>
      <c r="T2410" s="26">
        <v>8</v>
      </c>
      <c r="U2410" s="26">
        <v>12</v>
      </c>
      <c r="V2410" s="26">
        <v>1</v>
      </c>
      <c r="W2410" s="26"/>
    </row>
    <row r="2411" spans="1:23" x14ac:dyDescent="0.25">
      <c r="A2411" s="26" t="str">
        <f t="shared" si="395"/>
        <v>PRIMARIA</v>
      </c>
      <c r="B2411" s="26" t="str">
        <f>"09PPR0588I"</f>
        <v>09PPR0588I</v>
      </c>
      <c r="C2411" s="26" t="str">
        <f>"COLEGIO ATENEA                                                                                      "</f>
        <v xml:space="preserve">COLEGIO ATENEA                                                                                      </v>
      </c>
      <c r="D2411" s="26" t="str">
        <f t="shared" si="399"/>
        <v>MATUTINO</v>
      </c>
      <c r="E2411" s="26" t="str">
        <f>"TRIGALES NUM 25                                                                 "</f>
        <v xml:space="preserve">TRIGALES NUM 25                                                                 </v>
      </c>
      <c r="F2411" s="26" t="str">
        <f>"RESIDENCIAL EX-HACIENDA COAPA                                                                                                               "</f>
        <v xml:space="preserve">RESIDENCIAL EX-HACIENDA COAPA                                                                                                               </v>
      </c>
      <c r="G2411" s="26" t="str">
        <f>"TLALPAN                                                                         "</f>
        <v xml:space="preserve">TLALPAN                                                                         </v>
      </c>
      <c r="H2411" s="26" t="str">
        <f>"526"</f>
        <v>526</v>
      </c>
      <c r="I2411" s="26" t="str">
        <f t="shared" si="397"/>
        <v>00</v>
      </c>
      <c r="J2411" s="26" t="str">
        <f>"45 "</f>
        <v xml:space="preserve">45 </v>
      </c>
      <c r="K2411" s="26" t="str">
        <f t="shared" si="404"/>
        <v>PR</v>
      </c>
      <c r="L2411" s="26" t="str">
        <f t="shared" si="405"/>
        <v>DGOSE</v>
      </c>
      <c r="M2411" s="26" t="str">
        <f t="shared" si="398"/>
        <v>PARTICULAR</v>
      </c>
      <c r="N2411" s="26">
        <v>129</v>
      </c>
      <c r="O2411" s="26">
        <v>69</v>
      </c>
      <c r="P2411" s="26">
        <v>60</v>
      </c>
      <c r="Q2411" s="26">
        <v>6</v>
      </c>
      <c r="R2411" s="26">
        <v>1</v>
      </c>
      <c r="S2411" s="26">
        <v>6</v>
      </c>
      <c r="T2411" s="26">
        <v>8</v>
      </c>
      <c r="U2411" s="26">
        <v>15</v>
      </c>
      <c r="V2411" s="26">
        <v>1</v>
      </c>
      <c r="W2411" s="26"/>
    </row>
    <row r="2412" spans="1:23" x14ac:dyDescent="0.25">
      <c r="A2412" s="26" t="str">
        <f t="shared" si="395"/>
        <v>PRIMARIA</v>
      </c>
      <c r="B2412" s="26" t="str">
        <f>"09PPR0590X"</f>
        <v>09PPR0590X</v>
      </c>
      <c r="C2412" s="26" t="str">
        <f>"""COLEGIO PRINCETON DE MÉXICO""                                                                       "</f>
        <v xml:space="preserve">"COLEGIO PRINCETON DE MÉXICO"                                                                       </v>
      </c>
      <c r="D2412" s="26" t="str">
        <f t="shared" si="399"/>
        <v>MATUTINO</v>
      </c>
      <c r="E2412" s="26" t="str">
        <f>"AV DE LAS FUENTES NUM 218                                                       "</f>
        <v xml:space="preserve">AV DE LAS FUENTES NUM 218                                                       </v>
      </c>
      <c r="F2412" s="26" t="str">
        <f>"JARDINES DEL PEDREGAL                                                                                                                       "</f>
        <v xml:space="preserve">JARDINES DEL PEDREGAL                                                                                                                       </v>
      </c>
      <c r="G2412" s="26" t="str">
        <f>"ALVARO OBREGON                                                                  "</f>
        <v xml:space="preserve">ALVARO OBREGON                                                                  </v>
      </c>
      <c r="H2412" s="26" t="str">
        <f>"327"</f>
        <v>327</v>
      </c>
      <c r="I2412" s="26" t="str">
        <f t="shared" si="397"/>
        <v>00</v>
      </c>
      <c r="J2412" s="26" t="str">
        <f>"43 "</f>
        <v xml:space="preserve">43 </v>
      </c>
      <c r="K2412" s="26" t="str">
        <f t="shared" si="404"/>
        <v>PR</v>
      </c>
      <c r="L2412" s="26" t="str">
        <f t="shared" si="405"/>
        <v>DGOSE</v>
      </c>
      <c r="M2412" s="26" t="str">
        <f t="shared" si="398"/>
        <v>PARTICULAR</v>
      </c>
      <c r="N2412" s="26">
        <v>181</v>
      </c>
      <c r="O2412" s="26">
        <v>103</v>
      </c>
      <c r="P2412" s="26">
        <v>78</v>
      </c>
      <c r="Q2412" s="26">
        <v>11</v>
      </c>
      <c r="R2412" s="26">
        <v>1</v>
      </c>
      <c r="S2412" s="26">
        <v>6</v>
      </c>
      <c r="T2412" s="26">
        <v>22</v>
      </c>
      <c r="U2412" s="26">
        <v>29</v>
      </c>
      <c r="V2412" s="26">
        <v>1</v>
      </c>
      <c r="W2412" s="26"/>
    </row>
    <row r="2413" spans="1:23" x14ac:dyDescent="0.25">
      <c r="A2413" s="26" t="str">
        <f t="shared" si="395"/>
        <v>PRIMARIA</v>
      </c>
      <c r="B2413" s="26" t="str">
        <f>"09PPR0591W"</f>
        <v>09PPR0591W</v>
      </c>
      <c r="C2413" s="26" t="str">
        <f>"ESCUELA CAMPESTRE DE MEXICO                                                                         "</f>
        <v xml:space="preserve">ESCUELA CAMPESTRE DE MEXICO                                                                         </v>
      </c>
      <c r="D2413" s="26" t="str">
        <f t="shared" si="399"/>
        <v>MATUTINO</v>
      </c>
      <c r="E2413" s="26" t="str">
        <f>"CALLE DE LA BOLSA NUM 456                                                       "</f>
        <v xml:space="preserve">CALLE DE LA BOLSA NUM 456                                                       </v>
      </c>
      <c r="F2413" s="26" t="str">
        <f>"CONTADERO                                                                                                                                   "</f>
        <v xml:space="preserve">CONTADERO                                                                                                                                   </v>
      </c>
      <c r="G2413" s="26" t="str">
        <f>"CUAJIMALPA DE MORELOS                                                           "</f>
        <v xml:space="preserve">CUAJIMALPA DE MORELOS                                                           </v>
      </c>
      <c r="H2413" s="26" t="str">
        <f>"304"</f>
        <v>304</v>
      </c>
      <c r="I2413" s="26" t="str">
        <f t="shared" si="397"/>
        <v>00</v>
      </c>
      <c r="J2413" s="26" t="str">
        <f>"43 "</f>
        <v xml:space="preserve">43 </v>
      </c>
      <c r="K2413" s="26" t="str">
        <f t="shared" si="404"/>
        <v>PR</v>
      </c>
      <c r="L2413" s="26" t="str">
        <f t="shared" si="405"/>
        <v>DGOSE</v>
      </c>
      <c r="M2413" s="26" t="str">
        <f t="shared" si="398"/>
        <v>PARTICULAR</v>
      </c>
      <c r="N2413" s="26">
        <v>246</v>
      </c>
      <c r="O2413" s="26">
        <v>129</v>
      </c>
      <c r="P2413" s="26">
        <v>117</v>
      </c>
      <c r="Q2413" s="26">
        <v>13</v>
      </c>
      <c r="R2413" s="26">
        <v>1</v>
      </c>
      <c r="S2413" s="26">
        <v>7</v>
      </c>
      <c r="T2413" s="26">
        <v>15</v>
      </c>
      <c r="U2413" s="26">
        <v>23</v>
      </c>
      <c r="V2413" s="26">
        <v>1</v>
      </c>
      <c r="W2413" s="26"/>
    </row>
    <row r="2414" spans="1:23" x14ac:dyDescent="0.25">
      <c r="A2414" s="26" t="str">
        <f t="shared" si="395"/>
        <v>PRIMARIA</v>
      </c>
      <c r="B2414" s="26" t="str">
        <f>"09PPR0592V"</f>
        <v>09PPR0592V</v>
      </c>
      <c r="C2414" s="26" t="str">
        <f>"LEONARDO DA VINCI                                                                                   "</f>
        <v xml:space="preserve">LEONARDO DA VINCI                                                                                   </v>
      </c>
      <c r="D2414" s="26" t="str">
        <f t="shared" si="399"/>
        <v>MATUTINO</v>
      </c>
      <c r="E2414" s="26" t="str">
        <f>"CERRO ACASULCO S/N                                                              "</f>
        <v xml:space="preserve">CERRO ACASULCO S/N                                                              </v>
      </c>
      <c r="F2414" s="26" t="str">
        <f>"OXTOPULCO                                                                                                                                   "</f>
        <v xml:space="preserve">OXTOPULCO                                                                                                                                   </v>
      </c>
      <c r="G2414" s="26" t="str">
        <f>"COYOACAN                                                                        "</f>
        <v xml:space="preserve">COYOACAN                                                                        </v>
      </c>
      <c r="H2414" s="26" t="str">
        <f>"501"</f>
        <v>501</v>
      </c>
      <c r="I2414" s="26" t="str">
        <f t="shared" si="397"/>
        <v>00</v>
      </c>
      <c r="J2414" s="26" t="str">
        <f>"45 "</f>
        <v xml:space="preserve">45 </v>
      </c>
      <c r="K2414" s="26" t="str">
        <f t="shared" si="404"/>
        <v>PR</v>
      </c>
      <c r="L2414" s="26" t="str">
        <f t="shared" si="405"/>
        <v>DGOSE</v>
      </c>
      <c r="M2414" s="26" t="str">
        <f t="shared" si="398"/>
        <v>PARTICULAR</v>
      </c>
      <c r="N2414" s="26">
        <v>114</v>
      </c>
      <c r="O2414" s="26">
        <v>47</v>
      </c>
      <c r="P2414" s="26">
        <v>67</v>
      </c>
      <c r="Q2414" s="26">
        <v>6</v>
      </c>
      <c r="R2414" s="26">
        <v>1</v>
      </c>
      <c r="S2414" s="26">
        <v>4</v>
      </c>
      <c r="T2414" s="26">
        <v>12</v>
      </c>
      <c r="U2414" s="26">
        <v>17</v>
      </c>
      <c r="V2414" s="26">
        <v>1</v>
      </c>
      <c r="W2414" s="26"/>
    </row>
    <row r="2415" spans="1:23" x14ac:dyDescent="0.25">
      <c r="A2415" s="26" t="str">
        <f t="shared" si="395"/>
        <v>PRIMARIA</v>
      </c>
      <c r="B2415" s="26" t="str">
        <f>"09PPR0594T"</f>
        <v>09PPR0594T</v>
      </c>
      <c r="C2415" s="26" t="str">
        <f>"COLEGIO ANGLO MEXICANO DE COYOACAN                                                                  "</f>
        <v xml:space="preserve">COLEGIO ANGLO MEXICANO DE COYOACAN                                                                  </v>
      </c>
      <c r="D2415" s="26" t="str">
        <f t="shared" si="399"/>
        <v>MATUTINO</v>
      </c>
      <c r="E2415" s="26" t="str">
        <f>"AV. RIO CHURUBUSCO NO 405                                                       "</f>
        <v xml:space="preserve">AV. RIO CHURUBUSCO NO 405                                                       </v>
      </c>
      <c r="F2415" s="26" t="str">
        <f>"PASEOS DE TAXQUEÑA                                                                                                                          "</f>
        <v xml:space="preserve">PASEOS DE TAXQUEÑA                                                                                                                          </v>
      </c>
      <c r="G2415" s="26" t="str">
        <f>"COYOACAN                                                                        "</f>
        <v xml:space="preserve">COYOACAN                                                                        </v>
      </c>
      <c r="H2415" s="26" t="str">
        <f>"509"</f>
        <v>509</v>
      </c>
      <c r="I2415" s="26" t="str">
        <f t="shared" si="397"/>
        <v>00</v>
      </c>
      <c r="J2415" s="26" t="str">
        <f>"45 "</f>
        <v xml:space="preserve">45 </v>
      </c>
      <c r="K2415" s="26" t="str">
        <f t="shared" si="404"/>
        <v>PR</v>
      </c>
      <c r="L2415" s="26" t="str">
        <f t="shared" si="405"/>
        <v>DGOSE</v>
      </c>
      <c r="M2415" s="26" t="str">
        <f t="shared" si="398"/>
        <v>PARTICULAR</v>
      </c>
      <c r="N2415" s="26">
        <v>401</v>
      </c>
      <c r="O2415" s="26">
        <v>202</v>
      </c>
      <c r="P2415" s="26">
        <v>199</v>
      </c>
      <c r="Q2415" s="26">
        <v>17</v>
      </c>
      <c r="R2415" s="26">
        <v>1</v>
      </c>
      <c r="S2415" s="26">
        <v>9</v>
      </c>
      <c r="T2415" s="26">
        <v>13</v>
      </c>
      <c r="U2415" s="26">
        <v>23</v>
      </c>
      <c r="V2415" s="26">
        <v>1</v>
      </c>
      <c r="W2415" s="26"/>
    </row>
    <row r="2416" spans="1:23" x14ac:dyDescent="0.25">
      <c r="A2416" s="26" t="str">
        <f t="shared" si="395"/>
        <v>PRIMARIA</v>
      </c>
      <c r="B2416" s="26" t="str">
        <f>"09PPR0628T"</f>
        <v>09PPR0628T</v>
      </c>
      <c r="C2416" s="26" t="str">
        <f>"CENTRO EDUCATIVO MODERNO                                                                            "</f>
        <v xml:space="preserve">CENTRO EDUCATIVO MODERNO                                                                            </v>
      </c>
      <c r="D2416" s="26" t="str">
        <f t="shared" si="399"/>
        <v>MATUTINO</v>
      </c>
      <c r="E2416" s="26" t="str">
        <f>"XOLA 36                                                                         "</f>
        <v xml:space="preserve">XOLA 36                                                                         </v>
      </c>
      <c r="F2416" s="26" t="str">
        <f>"ALAMOS                                                                                                                                      "</f>
        <v xml:space="preserve">ALAMOS                                                                                                                                      </v>
      </c>
      <c r="G2416" s="26" t="str">
        <f>"BENITO JUAREZ                                                                   "</f>
        <v xml:space="preserve">BENITO JUAREZ                                                                   </v>
      </c>
      <c r="H2416" s="26" t="str">
        <f>"000"</f>
        <v>000</v>
      </c>
      <c r="I2416" s="26" t="str">
        <f t="shared" si="397"/>
        <v>00</v>
      </c>
      <c r="J2416" s="26" t="str">
        <f>"43 "</f>
        <v xml:space="preserve">43 </v>
      </c>
      <c r="K2416" s="26" t="str">
        <f t="shared" si="404"/>
        <v>PR</v>
      </c>
      <c r="L2416" s="26" t="str">
        <f t="shared" si="405"/>
        <v>DGOSE</v>
      </c>
      <c r="M2416" s="26" t="str">
        <f t="shared" si="398"/>
        <v>PARTICULAR</v>
      </c>
      <c r="N2416" s="26">
        <v>92</v>
      </c>
      <c r="O2416" s="26">
        <v>49</v>
      </c>
      <c r="P2416" s="26">
        <v>43</v>
      </c>
      <c r="Q2416" s="26">
        <v>7</v>
      </c>
      <c r="R2416" s="26">
        <v>1</v>
      </c>
      <c r="S2416" s="26">
        <v>4</v>
      </c>
      <c r="T2416" s="26">
        <v>11</v>
      </c>
      <c r="U2416" s="26">
        <v>16</v>
      </c>
      <c r="V2416" s="26">
        <v>1</v>
      </c>
      <c r="W2416" s="26"/>
    </row>
    <row r="2417" spans="1:23" x14ac:dyDescent="0.25">
      <c r="A2417" s="26" t="str">
        <f t="shared" si="395"/>
        <v>PRIMARIA</v>
      </c>
      <c r="B2417" s="26" t="str">
        <f>"09PPR0652T"</f>
        <v>09PPR0652T</v>
      </c>
      <c r="C2417" s="26" t="str">
        <f>"COLEGIO LINDAVISTA                                                                                  "</f>
        <v xml:space="preserve">COLEGIO LINDAVISTA                                                                                  </v>
      </c>
      <c r="D2417" s="26" t="str">
        <f t="shared" si="399"/>
        <v>MATUTINO</v>
      </c>
      <c r="E2417" s="26" t="str">
        <f>"CALLAO NO 654                                                                   "</f>
        <v xml:space="preserve">CALLAO NO 654                                                                   </v>
      </c>
      <c r="F2417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2417" s="26" t="str">
        <f>"GUSTAVO A. MADERO                                                               "</f>
        <v xml:space="preserve">GUSTAVO A. MADERO                                                               </v>
      </c>
      <c r="H2417" s="26" t="str">
        <f>"243"</f>
        <v>243</v>
      </c>
      <c r="I2417" s="26" t="str">
        <f t="shared" si="397"/>
        <v>00</v>
      </c>
      <c r="J2417" s="26" t="str">
        <f>"42 "</f>
        <v xml:space="preserve">42 </v>
      </c>
      <c r="K2417" s="26" t="str">
        <f t="shared" si="404"/>
        <v>PR</v>
      </c>
      <c r="L2417" s="26" t="str">
        <f t="shared" si="405"/>
        <v>DGOSE</v>
      </c>
      <c r="M2417" s="26" t="str">
        <f t="shared" si="398"/>
        <v>PARTICULAR</v>
      </c>
      <c r="N2417" s="26">
        <v>50</v>
      </c>
      <c r="O2417" s="26">
        <v>34</v>
      </c>
      <c r="P2417" s="26">
        <v>16</v>
      </c>
      <c r="Q2417" s="26">
        <v>6</v>
      </c>
      <c r="R2417" s="26">
        <v>1</v>
      </c>
      <c r="S2417" s="26">
        <v>3</v>
      </c>
      <c r="T2417" s="26">
        <v>8</v>
      </c>
      <c r="U2417" s="26">
        <v>12</v>
      </c>
      <c r="V2417" s="26">
        <v>1</v>
      </c>
      <c r="W2417" s="26"/>
    </row>
    <row r="2418" spans="1:23" x14ac:dyDescent="0.25">
      <c r="A2418" s="26" t="str">
        <f t="shared" si="395"/>
        <v>PRIMARIA</v>
      </c>
      <c r="B2418" s="26" t="str">
        <f>"09PPR0653S"</f>
        <v>09PPR0653S</v>
      </c>
      <c r="C2418" s="26" t="str">
        <f>"COLEGIO ITZCOATL                                                                                    "</f>
        <v xml:space="preserve">COLEGIO ITZCOATL                                                                                    </v>
      </c>
      <c r="D2418" s="26" t="str">
        <f t="shared" si="399"/>
        <v>MATUTINO</v>
      </c>
      <c r="E2418" s="26" t="str">
        <f>"HUASTECA NO 342                                                                 "</f>
        <v xml:space="preserve">HUASTECA NO 342                                                                 </v>
      </c>
      <c r="F2418" s="26" t="str">
        <f>"INDUSTRIAL                                                                                                                                  "</f>
        <v xml:space="preserve">INDUSTRIAL                                                                                                                                  </v>
      </c>
      <c r="G2418" s="26" t="str">
        <f>"GUSTAVO A. MADERO                                                               "</f>
        <v xml:space="preserve">GUSTAVO A. MADERO                                                               </v>
      </c>
      <c r="H2418" s="26" t="str">
        <f>"246"</f>
        <v>246</v>
      </c>
      <c r="I2418" s="26" t="str">
        <f t="shared" si="397"/>
        <v>00</v>
      </c>
      <c r="J2418" s="26" t="str">
        <f>"42 "</f>
        <v xml:space="preserve">42 </v>
      </c>
      <c r="K2418" s="26" t="str">
        <f t="shared" si="404"/>
        <v>PR</v>
      </c>
      <c r="L2418" s="26" t="str">
        <f t="shared" si="405"/>
        <v>DGOSE</v>
      </c>
      <c r="M2418" s="26" t="str">
        <f t="shared" si="398"/>
        <v>PARTICULAR</v>
      </c>
      <c r="N2418" s="26">
        <v>175</v>
      </c>
      <c r="O2418" s="26">
        <v>89</v>
      </c>
      <c r="P2418" s="26">
        <v>86</v>
      </c>
      <c r="Q2418" s="26">
        <v>6</v>
      </c>
      <c r="R2418" s="26">
        <v>1</v>
      </c>
      <c r="S2418" s="26">
        <v>6</v>
      </c>
      <c r="T2418" s="26">
        <v>8</v>
      </c>
      <c r="U2418" s="26">
        <v>15</v>
      </c>
      <c r="V2418" s="26">
        <v>1</v>
      </c>
      <c r="W2418" s="26"/>
    </row>
    <row r="2419" spans="1:23" x14ac:dyDescent="0.25">
      <c r="A2419" s="26" t="str">
        <f t="shared" si="395"/>
        <v>PRIMARIA</v>
      </c>
      <c r="B2419" s="26" t="str">
        <f>"09PPR0661A"</f>
        <v>09PPR0661A</v>
      </c>
      <c r="C2419" s="26" t="str">
        <f>"COLEGIO NUEVA INFANCIA                                                                              "</f>
        <v xml:space="preserve">COLEGIO NUEVA INFANCIA                                                                              </v>
      </c>
      <c r="D2419" s="26" t="str">
        <f t="shared" si="399"/>
        <v>MATUTINO</v>
      </c>
      <c r="E2419" s="26" t="str">
        <f>"RIO SENA 51                                                                     "</f>
        <v xml:space="preserve">RIO SENA 51                                                                     </v>
      </c>
      <c r="F2419" s="26" t="str">
        <f>"CUAUHTEMOC                                                                                                                                  "</f>
        <v xml:space="preserve">CUAUHTEMOC                                                                                                                                  </v>
      </c>
      <c r="G2419" s="26" t="str">
        <f>"CUAUHTEMOC                                                                      "</f>
        <v xml:space="preserve">CUAUHTEMOC                                                                      </v>
      </c>
      <c r="H2419" s="26" t="str">
        <f>"220"</f>
        <v>220</v>
      </c>
      <c r="I2419" s="26" t="str">
        <f t="shared" si="397"/>
        <v>00</v>
      </c>
      <c r="J2419" s="26" t="str">
        <f>"42 "</f>
        <v xml:space="preserve">42 </v>
      </c>
      <c r="K2419" s="26" t="str">
        <f t="shared" si="404"/>
        <v>PR</v>
      </c>
      <c r="L2419" s="26" t="str">
        <f t="shared" si="405"/>
        <v>DGOSE</v>
      </c>
      <c r="M2419" s="26" t="str">
        <f t="shared" si="398"/>
        <v>PARTICULAR</v>
      </c>
      <c r="N2419" s="26">
        <v>201</v>
      </c>
      <c r="O2419" s="26">
        <v>100</v>
      </c>
      <c r="P2419" s="26">
        <v>101</v>
      </c>
      <c r="Q2419" s="26">
        <v>6</v>
      </c>
      <c r="R2419" s="26">
        <v>1</v>
      </c>
      <c r="S2419" s="26">
        <v>6</v>
      </c>
      <c r="T2419" s="26">
        <v>13</v>
      </c>
      <c r="U2419" s="26">
        <v>20</v>
      </c>
      <c r="V2419" s="26">
        <v>1</v>
      </c>
      <c r="W2419" s="26"/>
    </row>
    <row r="2420" spans="1:23" x14ac:dyDescent="0.25">
      <c r="A2420" s="26" t="str">
        <f t="shared" si="395"/>
        <v>PRIMARIA</v>
      </c>
      <c r="B2420" s="26" t="str">
        <f>"09PPR0662Z"</f>
        <v>09PPR0662Z</v>
      </c>
      <c r="C2420" s="26" t="str">
        <f>"BILINGUE COLIMAN                                                                                    "</f>
        <v xml:space="preserve">BILINGUE COLIMAN                                                                                    </v>
      </c>
      <c r="D2420" s="26" t="str">
        <f t="shared" si="399"/>
        <v>MATUTINO</v>
      </c>
      <c r="E2420" s="26" t="str">
        <f>"CAIRO NO 241                                                                    "</f>
        <v xml:space="preserve">CAIRO NO 241                                                                    </v>
      </c>
      <c r="F2420" s="26" t="str">
        <f>"EL RECREO                                                                                                                                   "</f>
        <v xml:space="preserve">EL RECREO                                                                                                                                   </v>
      </c>
      <c r="G2420" s="26" t="str">
        <f>"AZCAPOTZALCO                                                                    "</f>
        <v xml:space="preserve">AZCAPOTZALCO                                                                    </v>
      </c>
      <c r="H2420" s="26" t="str">
        <f>"000"</f>
        <v>000</v>
      </c>
      <c r="I2420" s="26" t="str">
        <f t="shared" si="397"/>
        <v>00</v>
      </c>
      <c r="J2420" s="26" t="str">
        <f>"42 "</f>
        <v xml:space="preserve">42 </v>
      </c>
      <c r="K2420" s="26" t="str">
        <f t="shared" si="404"/>
        <v>PR</v>
      </c>
      <c r="L2420" s="26" t="str">
        <f t="shared" si="405"/>
        <v>DGOSE</v>
      </c>
      <c r="M2420" s="26" t="str">
        <f t="shared" si="398"/>
        <v>PARTICULAR</v>
      </c>
      <c r="N2420" s="26">
        <v>22</v>
      </c>
      <c r="O2420" s="26">
        <v>9</v>
      </c>
      <c r="P2420" s="26">
        <v>13</v>
      </c>
      <c r="Q2420" s="26">
        <v>6</v>
      </c>
      <c r="R2420" s="26">
        <v>1</v>
      </c>
      <c r="S2420" s="26">
        <v>6</v>
      </c>
      <c r="T2420" s="26">
        <v>5</v>
      </c>
      <c r="U2420" s="26">
        <v>12</v>
      </c>
      <c r="V2420" s="26">
        <v>1</v>
      </c>
      <c r="W2420" s="26"/>
    </row>
    <row r="2421" spans="1:23" x14ac:dyDescent="0.25">
      <c r="A2421" s="26" t="str">
        <f t="shared" si="395"/>
        <v>PRIMARIA</v>
      </c>
      <c r="B2421" s="26" t="str">
        <f>"09PPR0663Z"</f>
        <v>09PPR0663Z</v>
      </c>
      <c r="C2421" s="26" t="str">
        <f>"COLEGIO ALAMOS                                                                                      "</f>
        <v xml:space="preserve">COLEGIO ALAMOS                                                                                      </v>
      </c>
      <c r="D2421" s="26" t="str">
        <f t="shared" si="399"/>
        <v>MATUTINO</v>
      </c>
      <c r="E2421" s="26" t="str">
        <f>"TOLEDO 134                                                                      "</f>
        <v xml:space="preserve">TOLEDO 134                                                                      </v>
      </c>
      <c r="F2421" s="26" t="str">
        <f>"ALAMOS                                                                                                                                      "</f>
        <v xml:space="preserve">ALAMOS                                                                                                                                      </v>
      </c>
      <c r="G2421" s="26" t="str">
        <f>"BENITO JUAREZ                                                                   "</f>
        <v xml:space="preserve">BENITO JUAREZ                                                                   </v>
      </c>
      <c r="H2421" s="26" t="str">
        <f>"000"</f>
        <v>000</v>
      </c>
      <c r="I2421" s="26" t="str">
        <f t="shared" si="397"/>
        <v>00</v>
      </c>
      <c r="J2421" s="26" t="str">
        <f>"43 "</f>
        <v xml:space="preserve">43 </v>
      </c>
      <c r="K2421" s="26" t="str">
        <f t="shared" si="404"/>
        <v>PR</v>
      </c>
      <c r="L2421" s="26" t="str">
        <f t="shared" si="405"/>
        <v>DGOSE</v>
      </c>
      <c r="M2421" s="26" t="str">
        <f t="shared" si="398"/>
        <v>PARTICULAR</v>
      </c>
      <c r="N2421" s="26">
        <v>70</v>
      </c>
      <c r="O2421" s="26">
        <v>33</v>
      </c>
      <c r="P2421" s="26">
        <v>37</v>
      </c>
      <c r="Q2421" s="26">
        <v>6</v>
      </c>
      <c r="R2421" s="26">
        <v>1</v>
      </c>
      <c r="S2421" s="26">
        <v>6</v>
      </c>
      <c r="T2421" s="26">
        <v>6</v>
      </c>
      <c r="U2421" s="26">
        <v>13</v>
      </c>
      <c r="V2421" s="26">
        <v>1</v>
      </c>
      <c r="W2421" s="26"/>
    </row>
    <row r="2422" spans="1:23" x14ac:dyDescent="0.25">
      <c r="A2422" s="26" t="str">
        <f t="shared" si="395"/>
        <v>PRIMARIA</v>
      </c>
      <c r="B2422" s="26" t="str">
        <f>"09PPR0664Y"</f>
        <v>09PPR0664Y</v>
      </c>
      <c r="C2422" s="26" t="str">
        <f>"PROFR. EUGENIO ALCALA                                                                               "</f>
        <v xml:space="preserve">PROFR. EUGENIO ALCALA                                                                               </v>
      </c>
      <c r="D2422" s="26" t="str">
        <f t="shared" si="399"/>
        <v>MATUTINO</v>
      </c>
      <c r="E2422" s="26" t="str">
        <f>"AV 3 NUM 61                                                                     "</f>
        <v xml:space="preserve">AV 3 NUM 61                                                                     </v>
      </c>
      <c r="F2422" s="26" t="str">
        <f>"SAN PEDRO DE LOS PINOS                                                                                                                      "</f>
        <v xml:space="preserve">SAN PEDRO DE LOS PINOS                                                                                                                      </v>
      </c>
      <c r="G2422" s="26" t="str">
        <f>"BENITO JUAREZ                                                                   "</f>
        <v xml:space="preserve">BENITO JUAREZ                                                                   </v>
      </c>
      <c r="H2422" s="26" t="str">
        <f>"339"</f>
        <v>339</v>
      </c>
      <c r="I2422" s="26" t="str">
        <f t="shared" si="397"/>
        <v>00</v>
      </c>
      <c r="J2422" s="26" t="str">
        <f>"43 "</f>
        <v xml:space="preserve">43 </v>
      </c>
      <c r="K2422" s="26" t="str">
        <f t="shared" si="404"/>
        <v>PR</v>
      </c>
      <c r="L2422" s="26" t="str">
        <f t="shared" si="405"/>
        <v>DGOSE</v>
      </c>
      <c r="M2422" s="26" t="str">
        <f t="shared" si="398"/>
        <v>PARTICULAR</v>
      </c>
      <c r="N2422" s="26">
        <v>85</v>
      </c>
      <c r="O2422" s="26">
        <v>48</v>
      </c>
      <c r="P2422" s="26">
        <v>37</v>
      </c>
      <c r="Q2422" s="26">
        <v>6</v>
      </c>
      <c r="R2422" s="26">
        <v>1</v>
      </c>
      <c r="S2422" s="26">
        <v>4</v>
      </c>
      <c r="T2422" s="26">
        <v>9</v>
      </c>
      <c r="U2422" s="26">
        <v>14</v>
      </c>
      <c r="V2422" s="26">
        <v>1</v>
      </c>
      <c r="W2422" s="26"/>
    </row>
    <row r="2423" spans="1:23" x14ac:dyDescent="0.25">
      <c r="A2423" s="26" t="str">
        <f t="shared" si="395"/>
        <v>PRIMARIA</v>
      </c>
      <c r="B2423" s="26" t="str">
        <f>"09PPR0665X"</f>
        <v>09PPR0665X</v>
      </c>
      <c r="C2423" s="26" t="str">
        <f>"AMEYALLI                                                                                            "</f>
        <v xml:space="preserve">AMEYALLI                                                                                            </v>
      </c>
      <c r="D2423" s="26" t="str">
        <f t="shared" si="399"/>
        <v>MATUTINO</v>
      </c>
      <c r="E2423" s="26" t="str">
        <f>"CALZ DE LAS AGUILAS NUM 1972                                                    "</f>
        <v xml:space="preserve">CALZ DE LAS AGUILAS NUM 1972                                                    </v>
      </c>
      <c r="F2423" s="26" t="str">
        <f>"LOMAS DE AXOMIATLA                                                                                                                          "</f>
        <v xml:space="preserve">LOMAS DE AXOMIATLA                                                                                                                          </v>
      </c>
      <c r="G2423" s="26" t="str">
        <f>"ALVARO OBREGON                                                                  "</f>
        <v xml:space="preserve">ALVARO OBREGON                                                                  </v>
      </c>
      <c r="H2423" s="26" t="str">
        <f>"322"</f>
        <v>322</v>
      </c>
      <c r="I2423" s="26" t="str">
        <f t="shared" si="397"/>
        <v>00</v>
      </c>
      <c r="J2423" s="26" t="str">
        <f>"43 "</f>
        <v xml:space="preserve">43 </v>
      </c>
      <c r="K2423" s="26" t="str">
        <f t="shared" si="404"/>
        <v>PR</v>
      </c>
      <c r="L2423" s="26" t="str">
        <f t="shared" si="405"/>
        <v>DGOSE</v>
      </c>
      <c r="M2423" s="26" t="str">
        <f t="shared" si="398"/>
        <v>PARTICULAR</v>
      </c>
      <c r="N2423" s="26">
        <v>193</v>
      </c>
      <c r="O2423" s="26">
        <v>90</v>
      </c>
      <c r="P2423" s="26">
        <v>103</v>
      </c>
      <c r="Q2423" s="26">
        <v>12</v>
      </c>
      <c r="R2423" s="26">
        <v>1</v>
      </c>
      <c r="S2423" s="26">
        <v>6</v>
      </c>
      <c r="T2423" s="26">
        <v>24</v>
      </c>
      <c r="U2423" s="26">
        <v>31</v>
      </c>
      <c r="V2423" s="26">
        <v>1</v>
      </c>
      <c r="W2423" s="26"/>
    </row>
    <row r="2424" spans="1:23" x14ac:dyDescent="0.25">
      <c r="A2424" s="26" t="str">
        <f t="shared" si="395"/>
        <v>PRIMARIA</v>
      </c>
      <c r="B2424" s="26" t="str">
        <f>"09PPR0668U"</f>
        <v>09PPR0668U</v>
      </c>
      <c r="C2424" s="26" t="str">
        <f>"TECELTICAN                                                                                          "</f>
        <v xml:space="preserve">TECELTICAN                                                                                          </v>
      </c>
      <c r="D2424" s="26" t="str">
        <f t="shared" si="399"/>
        <v>MATUTINO</v>
      </c>
      <c r="E2424" s="26" t="str">
        <f>"CALLE SEIS S/N MANZANA 167 LOTE 59                                              "</f>
        <v xml:space="preserve">CALLE SEIS S/N MANZANA 167 LOTE 59                                              </v>
      </c>
      <c r="F2424" s="26" t="str">
        <f>"TEPEPAN                                                                                                                                     "</f>
        <v xml:space="preserve">TEPEPAN                                                                                                                                     </v>
      </c>
      <c r="G2424" s="26" t="str">
        <f>"XOCHIMILCO                                                                      "</f>
        <v xml:space="preserve">XOCHIMILCO                                                                      </v>
      </c>
      <c r="H2424" s="26" t="str">
        <f>"532"</f>
        <v>532</v>
      </c>
      <c r="I2424" s="26" t="str">
        <f t="shared" si="397"/>
        <v>00</v>
      </c>
      <c r="J2424" s="26" t="str">
        <f>"45 "</f>
        <v xml:space="preserve">45 </v>
      </c>
      <c r="K2424" s="26" t="str">
        <f t="shared" si="404"/>
        <v>PR</v>
      </c>
      <c r="L2424" s="26" t="str">
        <f t="shared" si="405"/>
        <v>DGOSE</v>
      </c>
      <c r="M2424" s="26" t="str">
        <f t="shared" si="398"/>
        <v>PARTICULAR</v>
      </c>
      <c r="N2424" s="26">
        <v>77</v>
      </c>
      <c r="O2424" s="26">
        <v>41</v>
      </c>
      <c r="P2424" s="26">
        <v>36</v>
      </c>
      <c r="Q2424" s="26">
        <v>6</v>
      </c>
      <c r="R2424" s="26">
        <v>1</v>
      </c>
      <c r="S2424" s="26">
        <v>6</v>
      </c>
      <c r="T2424" s="26">
        <v>5</v>
      </c>
      <c r="U2424" s="26">
        <v>12</v>
      </c>
      <c r="V2424" s="26">
        <v>1</v>
      </c>
      <c r="W2424" s="26"/>
    </row>
    <row r="2425" spans="1:23" x14ac:dyDescent="0.25">
      <c r="A2425" s="26" t="str">
        <f t="shared" si="395"/>
        <v>PRIMARIA</v>
      </c>
      <c r="B2425" s="26" t="str">
        <f>"09PPR0671H"</f>
        <v>09PPR0671H</v>
      </c>
      <c r="C2425" s="26" t="str">
        <f>"NUEVO CONTINENTE                                                                                    "</f>
        <v xml:space="preserve">NUEVO CONTINENTE                                                                                    </v>
      </c>
      <c r="D2425" s="26" t="str">
        <f t="shared" si="399"/>
        <v>MATUTINO</v>
      </c>
      <c r="E2425" s="26" t="str">
        <f>"NICOLAS SAN JUAN NUM 1141                                                       "</f>
        <v xml:space="preserve">NICOLAS SAN JUAN NUM 1141                                                       </v>
      </c>
      <c r="F2425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2425" s="26" t="str">
        <f>"BENITO JUAREZ                                                                   "</f>
        <v xml:space="preserve">BENITO JUAREZ                                                                   </v>
      </c>
      <c r="H2425" s="26" t="str">
        <f>"000"</f>
        <v>000</v>
      </c>
      <c r="I2425" s="26" t="str">
        <f t="shared" si="397"/>
        <v>00</v>
      </c>
      <c r="J2425" s="26" t="str">
        <f>"43 "</f>
        <v xml:space="preserve">43 </v>
      </c>
      <c r="K2425" s="26" t="str">
        <f t="shared" si="404"/>
        <v>PR</v>
      </c>
      <c r="L2425" s="26" t="str">
        <f t="shared" si="405"/>
        <v>DGOSE</v>
      </c>
      <c r="M2425" s="26" t="str">
        <f t="shared" si="398"/>
        <v>PARTICULAR</v>
      </c>
      <c r="N2425" s="26">
        <v>869</v>
      </c>
      <c r="O2425" s="26">
        <v>435</v>
      </c>
      <c r="P2425" s="26">
        <v>434</v>
      </c>
      <c r="Q2425" s="26">
        <v>30</v>
      </c>
      <c r="R2425" s="26">
        <v>1</v>
      </c>
      <c r="S2425" s="26">
        <v>16</v>
      </c>
      <c r="T2425" s="26">
        <v>39</v>
      </c>
      <c r="U2425" s="26">
        <v>56</v>
      </c>
      <c r="V2425" s="26">
        <v>1</v>
      </c>
      <c r="W2425" s="26"/>
    </row>
    <row r="2426" spans="1:23" x14ac:dyDescent="0.25">
      <c r="A2426" s="26" t="str">
        <f t="shared" si="395"/>
        <v>PRIMARIA</v>
      </c>
      <c r="B2426" s="26" t="str">
        <f>"09PPR0672G"</f>
        <v>09PPR0672G</v>
      </c>
      <c r="C2426" s="26" t="str">
        <f>"ESCUELA CONTINENTAL                                                                                 "</f>
        <v xml:space="preserve">ESCUELA CONTINENTAL                                                                                 </v>
      </c>
      <c r="D2426" s="26" t="str">
        <f t="shared" si="399"/>
        <v>MATUTINO</v>
      </c>
      <c r="E2426" s="26" t="str">
        <f>"ALGODONALES NO 56                                                               "</f>
        <v xml:space="preserve">ALGODONALES NO 56                                                               </v>
      </c>
      <c r="F2426" s="26" t="str">
        <f>"RINCONADA COAPA                                                                                                                             "</f>
        <v xml:space="preserve">RINCONADA COAPA                                                                                                                             </v>
      </c>
      <c r="G2426" s="26" t="str">
        <f>"TLALPAN                                                                         "</f>
        <v xml:space="preserve">TLALPAN                                                                         </v>
      </c>
      <c r="H2426" s="26" t="str">
        <f>"525"</f>
        <v>525</v>
      </c>
      <c r="I2426" s="26" t="str">
        <f t="shared" si="397"/>
        <v>00</v>
      </c>
      <c r="J2426" s="26" t="str">
        <f>"45 "</f>
        <v xml:space="preserve">45 </v>
      </c>
      <c r="K2426" s="26" t="str">
        <f t="shared" si="404"/>
        <v>PR</v>
      </c>
      <c r="L2426" s="26" t="str">
        <f t="shared" si="405"/>
        <v>DGOSE</v>
      </c>
      <c r="M2426" s="26" t="str">
        <f t="shared" si="398"/>
        <v>PARTICULAR</v>
      </c>
      <c r="N2426" s="26">
        <v>592</v>
      </c>
      <c r="O2426" s="26">
        <v>273</v>
      </c>
      <c r="P2426" s="26">
        <v>319</v>
      </c>
      <c r="Q2426" s="26">
        <v>19</v>
      </c>
      <c r="R2426" s="26">
        <v>1</v>
      </c>
      <c r="S2426" s="26">
        <v>14</v>
      </c>
      <c r="T2426" s="26">
        <v>21</v>
      </c>
      <c r="U2426" s="26">
        <v>36</v>
      </c>
      <c r="V2426" s="26">
        <v>1</v>
      </c>
      <c r="W2426" s="26"/>
    </row>
    <row r="2427" spans="1:23" x14ac:dyDescent="0.25">
      <c r="A2427" s="26" t="str">
        <f t="shared" si="395"/>
        <v>PRIMARIA</v>
      </c>
      <c r="B2427" s="26" t="str">
        <f>"09PPR0674E"</f>
        <v>09PPR0674E</v>
      </c>
      <c r="C2427" s="26" t="str">
        <f>"INSTITUTO GRAN UNION                                                                                "</f>
        <v xml:space="preserve">INSTITUTO GRAN UNION                                                                                </v>
      </c>
      <c r="D2427" s="26" t="str">
        <f t="shared" si="399"/>
        <v>MATUTINO</v>
      </c>
      <c r="E2427" s="26" t="str">
        <f>"KRAMER 74                                                                       "</f>
        <v xml:space="preserve">KRAMER 74                                                                       </v>
      </c>
      <c r="F2427" s="26" t="str">
        <f>"ATLANTIDA                                                                                                                                   "</f>
        <v xml:space="preserve">ATLANTIDA                                                                                                                                   </v>
      </c>
      <c r="G2427" s="26" t="str">
        <f>"COYOACAN                                                                        "</f>
        <v xml:space="preserve">COYOACAN                                                                        </v>
      </c>
      <c r="H2427" s="26" t="str">
        <f>"502"</f>
        <v>502</v>
      </c>
      <c r="I2427" s="26" t="str">
        <f t="shared" si="397"/>
        <v>00</v>
      </c>
      <c r="J2427" s="26" t="str">
        <f>"45 "</f>
        <v xml:space="preserve">45 </v>
      </c>
      <c r="K2427" s="26" t="str">
        <f t="shared" si="404"/>
        <v>PR</v>
      </c>
      <c r="L2427" s="26" t="str">
        <f t="shared" si="405"/>
        <v>DGOSE</v>
      </c>
      <c r="M2427" s="26" t="str">
        <f t="shared" si="398"/>
        <v>PARTICULAR</v>
      </c>
      <c r="N2427" s="26">
        <v>275</v>
      </c>
      <c r="O2427" s="26">
        <v>126</v>
      </c>
      <c r="P2427" s="26">
        <v>149</v>
      </c>
      <c r="Q2427" s="26">
        <v>13</v>
      </c>
      <c r="R2427" s="26">
        <v>1</v>
      </c>
      <c r="S2427" s="26">
        <v>8</v>
      </c>
      <c r="T2427" s="26">
        <v>13</v>
      </c>
      <c r="U2427" s="26">
        <v>22</v>
      </c>
      <c r="V2427" s="26">
        <v>1</v>
      </c>
      <c r="W2427" s="26"/>
    </row>
    <row r="2428" spans="1:23" x14ac:dyDescent="0.25">
      <c r="A2428" s="26" t="str">
        <f t="shared" si="395"/>
        <v>PRIMARIA</v>
      </c>
      <c r="B2428" s="26" t="str">
        <f>"09PPR0676C"</f>
        <v>09PPR0676C</v>
      </c>
      <c r="C2428" s="26" t="str">
        <f>"COLEGIO RAFAEL RAMIREZ                                                                              "</f>
        <v xml:space="preserve">COLEGIO RAFAEL RAMIREZ                                                                              </v>
      </c>
      <c r="D2428" s="26" t="str">
        <f t="shared" si="399"/>
        <v>MATUTINO</v>
      </c>
      <c r="E2428" s="26" t="str">
        <f>"JUAN ALVAREZ NO. 24                                                             "</f>
        <v xml:space="preserve">JUAN ALVAREZ NO. 24                                                             </v>
      </c>
      <c r="F2428" s="26" t="str">
        <f>"SAN MIGUEL AMPLIACION                                                                                                                       "</f>
        <v xml:space="preserve">SAN MIGUEL AMPLIACION                                                                                                                       </v>
      </c>
      <c r="G2428" s="26" t="str">
        <f>"IZTAPALAPA                                                                      "</f>
        <v xml:space="preserve">IZTAPALAPA                                                                      </v>
      </c>
      <c r="H2428" s="26" t="str">
        <f>"000"</f>
        <v>000</v>
      </c>
      <c r="I2428" s="26" t="str">
        <f t="shared" si="397"/>
        <v>00</v>
      </c>
      <c r="J2428" s="26" t="str">
        <f>"61 "</f>
        <v xml:space="preserve">61 </v>
      </c>
      <c r="K2428" s="26" t="str">
        <f>"IZ"</f>
        <v>IZ</v>
      </c>
      <c r="L2428" s="26" t="str">
        <f>"DGSEI"</f>
        <v>DGSEI</v>
      </c>
      <c r="M2428" s="26" t="str">
        <f t="shared" si="398"/>
        <v>PARTICULAR</v>
      </c>
      <c r="N2428" s="26">
        <v>184</v>
      </c>
      <c r="O2428" s="26">
        <v>95</v>
      </c>
      <c r="P2428" s="26">
        <v>89</v>
      </c>
      <c r="Q2428" s="26">
        <v>6</v>
      </c>
      <c r="R2428" s="26">
        <v>1</v>
      </c>
      <c r="S2428" s="26">
        <v>6</v>
      </c>
      <c r="T2428" s="26">
        <v>16</v>
      </c>
      <c r="U2428" s="26">
        <v>23</v>
      </c>
      <c r="V2428" s="26">
        <v>1</v>
      </c>
      <c r="W2428" s="26"/>
    </row>
    <row r="2429" spans="1:23" x14ac:dyDescent="0.25">
      <c r="A2429" s="26" t="str">
        <f t="shared" si="395"/>
        <v>PRIMARIA</v>
      </c>
      <c r="B2429" s="26" t="str">
        <f>"09PPR0677B"</f>
        <v>09PPR0677B</v>
      </c>
      <c r="C2429" s="26" t="str">
        <f>"COLEGIO BROOKFIELD AMERICANO A C                                                                    "</f>
        <v xml:space="preserve">COLEGIO BROOKFIELD AMERICANO A C                                                                    </v>
      </c>
      <c r="D2429" s="26" t="str">
        <f t="shared" si="399"/>
        <v>MATUTINO</v>
      </c>
      <c r="E2429" s="26" t="str">
        <f>"SANTA CECILIA NO 41                                                             "</f>
        <v xml:space="preserve">SANTA CECILIA NO 41                                                             </v>
      </c>
      <c r="F2429" s="26" t="str">
        <f>"RESIDENCIAL CAFETALES                                                                                                                       "</f>
        <v xml:space="preserve">RESIDENCIAL CAFETALES                                                                                                                       </v>
      </c>
      <c r="G2429" s="26" t="str">
        <f>"COYOACAN                                                                        "</f>
        <v xml:space="preserve">COYOACAN                                                                        </v>
      </c>
      <c r="H2429" s="26" t="str">
        <f>"510"</f>
        <v>510</v>
      </c>
      <c r="I2429" s="26" t="str">
        <f t="shared" si="397"/>
        <v>00</v>
      </c>
      <c r="J2429" s="26" t="str">
        <f>"45 "</f>
        <v xml:space="preserve">45 </v>
      </c>
      <c r="K2429" s="26" t="str">
        <f t="shared" ref="K2429:K2435" si="406">"PR"</f>
        <v>PR</v>
      </c>
      <c r="L2429" s="26" t="str">
        <f t="shared" ref="L2429:L2435" si="407">"DGOSE"</f>
        <v>DGOSE</v>
      </c>
      <c r="M2429" s="26" t="str">
        <f t="shared" si="398"/>
        <v>PARTICULAR</v>
      </c>
      <c r="N2429" s="26">
        <v>260</v>
      </c>
      <c r="O2429" s="26">
        <v>121</v>
      </c>
      <c r="P2429" s="26">
        <v>139</v>
      </c>
      <c r="Q2429" s="26">
        <v>12</v>
      </c>
      <c r="R2429" s="26">
        <v>1</v>
      </c>
      <c r="S2429" s="26">
        <v>7</v>
      </c>
      <c r="T2429" s="26">
        <v>18</v>
      </c>
      <c r="U2429" s="26">
        <v>26</v>
      </c>
      <c r="V2429" s="26">
        <v>1</v>
      </c>
      <c r="W2429" s="26"/>
    </row>
    <row r="2430" spans="1:23" x14ac:dyDescent="0.25">
      <c r="A2430" s="26" t="str">
        <f t="shared" si="395"/>
        <v>PRIMARIA</v>
      </c>
      <c r="B2430" s="26" t="str">
        <f>"09PPR0679Z"</f>
        <v>09PPR0679Z</v>
      </c>
      <c r="C2430" s="26" t="str">
        <f>"JULIO VERNE                                                                                         "</f>
        <v xml:space="preserve">JULIO VERNE                                                                                         </v>
      </c>
      <c r="D2430" s="26" t="str">
        <f t="shared" si="399"/>
        <v>MATUTINO</v>
      </c>
      <c r="E2430" s="26" t="str">
        <f>"CALLE UNION NO 35                                                               "</f>
        <v xml:space="preserve">CALLE UNION NO 35                                                               </v>
      </c>
      <c r="F2430" s="26" t="str">
        <f>"AGRICOLA PANTITLAN                                                                                                                          "</f>
        <v xml:space="preserve">AGRICOLA PANTITLAN                                                                                                                          </v>
      </c>
      <c r="G2430" s="26" t="str">
        <f>"IZTACALCO                                                                       "</f>
        <v xml:space="preserve">IZTACALCO                                                                       </v>
      </c>
      <c r="H2430" s="26" t="str">
        <f>"354"</f>
        <v>354</v>
      </c>
      <c r="I2430" s="26" t="str">
        <f t="shared" si="397"/>
        <v>00</v>
      </c>
      <c r="J2430" s="26" t="str">
        <f>"43 "</f>
        <v xml:space="preserve">43 </v>
      </c>
      <c r="K2430" s="26" t="str">
        <f t="shared" si="406"/>
        <v>PR</v>
      </c>
      <c r="L2430" s="26" t="str">
        <f t="shared" si="407"/>
        <v>DGOSE</v>
      </c>
      <c r="M2430" s="26" t="str">
        <f t="shared" si="398"/>
        <v>PARTICULAR</v>
      </c>
      <c r="N2430" s="26">
        <v>27</v>
      </c>
      <c r="O2430" s="26">
        <v>18</v>
      </c>
      <c r="P2430" s="26">
        <v>9</v>
      </c>
      <c r="Q2430" s="26">
        <v>6</v>
      </c>
      <c r="R2430" s="26">
        <v>1</v>
      </c>
      <c r="S2430" s="26">
        <v>3</v>
      </c>
      <c r="T2430" s="26">
        <v>3</v>
      </c>
      <c r="U2430" s="26">
        <v>7</v>
      </c>
      <c r="V2430" s="26">
        <v>1</v>
      </c>
      <c r="W2430" s="26"/>
    </row>
    <row r="2431" spans="1:23" x14ac:dyDescent="0.25">
      <c r="A2431" s="26" t="str">
        <f t="shared" si="395"/>
        <v>PRIMARIA</v>
      </c>
      <c r="B2431" s="26" t="str">
        <f>"09PPR0680P"</f>
        <v>09PPR0680P</v>
      </c>
      <c r="C2431" s="26" t="str">
        <f>"BERNAL DIAZ DEL CASTILLO                                                                            "</f>
        <v xml:space="preserve">BERNAL DIAZ DEL CASTILLO                                                                            </v>
      </c>
      <c r="D2431" s="26" t="str">
        <f t="shared" si="399"/>
        <v>MATUTINO</v>
      </c>
      <c r="E2431" s="26" t="str">
        <f>"PLAYA REGATAS NO 313                                                            "</f>
        <v xml:space="preserve">PLAYA REGATAS NO 313                                                            </v>
      </c>
      <c r="F2431" s="26" t="str">
        <f>"REFORMA IZTACCIHUATL NORTE                                                                                                                  "</f>
        <v xml:space="preserve">REFORMA IZTACCIHUATL NORTE                                                                                                                  </v>
      </c>
      <c r="G2431" s="26" t="str">
        <f>"IZTACALCO                                                                       "</f>
        <v xml:space="preserve">IZTACALCO                                                                       </v>
      </c>
      <c r="H2431" s="26" t="str">
        <f>"363"</f>
        <v>363</v>
      </c>
      <c r="I2431" s="26" t="str">
        <f t="shared" si="397"/>
        <v>00</v>
      </c>
      <c r="J2431" s="26" t="str">
        <f>"43 "</f>
        <v xml:space="preserve">43 </v>
      </c>
      <c r="K2431" s="26" t="str">
        <f t="shared" si="406"/>
        <v>PR</v>
      </c>
      <c r="L2431" s="26" t="str">
        <f t="shared" si="407"/>
        <v>DGOSE</v>
      </c>
      <c r="M2431" s="26" t="str">
        <f t="shared" si="398"/>
        <v>PARTICULAR</v>
      </c>
      <c r="N2431" s="26">
        <v>42</v>
      </c>
      <c r="O2431" s="26">
        <v>28</v>
      </c>
      <c r="P2431" s="26">
        <v>14</v>
      </c>
      <c r="Q2431" s="26">
        <v>6</v>
      </c>
      <c r="R2431" s="26">
        <v>1</v>
      </c>
      <c r="S2431" s="26">
        <v>6</v>
      </c>
      <c r="T2431" s="26">
        <v>2</v>
      </c>
      <c r="U2431" s="26">
        <v>9</v>
      </c>
      <c r="V2431" s="26">
        <v>1</v>
      </c>
      <c r="W2431" s="26"/>
    </row>
    <row r="2432" spans="1:23" x14ac:dyDescent="0.25">
      <c r="A2432" s="26" t="str">
        <f t="shared" si="395"/>
        <v>PRIMARIA</v>
      </c>
      <c r="B2432" s="26" t="str">
        <f>"09PPR0682N"</f>
        <v>09PPR0682N</v>
      </c>
      <c r="C2432" s="26" t="str">
        <f>"COLEGIO MAKARENKO                                                                                   "</f>
        <v xml:space="preserve">COLEGIO MAKARENKO                                                                                   </v>
      </c>
      <c r="D2432" s="26" t="str">
        <f t="shared" si="399"/>
        <v>MATUTINO</v>
      </c>
      <c r="E2432" s="26" t="str">
        <f>"CALZADA MISTERIOS NUM 709                                                       "</f>
        <v xml:space="preserve">CALZADA MISTERIOS NUM 709                                                       </v>
      </c>
      <c r="F2432" s="26" t="str">
        <f>"INDUSTRIAL                                                                                                                                  "</f>
        <v xml:space="preserve">INDUSTRIAL                                                                                                                                  </v>
      </c>
      <c r="G2432" s="26" t="str">
        <f>"GUSTAVO A. MADERO                                                               "</f>
        <v xml:space="preserve">GUSTAVO A. MADERO                                                               </v>
      </c>
      <c r="H2432" s="26" t="str">
        <f>"246"</f>
        <v>246</v>
      </c>
      <c r="I2432" s="26" t="str">
        <f t="shared" si="397"/>
        <v>00</v>
      </c>
      <c r="J2432" s="26" t="str">
        <f>"42 "</f>
        <v xml:space="preserve">42 </v>
      </c>
      <c r="K2432" s="26" t="str">
        <f t="shared" si="406"/>
        <v>PR</v>
      </c>
      <c r="L2432" s="26" t="str">
        <f t="shared" si="407"/>
        <v>DGOSE</v>
      </c>
      <c r="M2432" s="26" t="str">
        <f t="shared" si="398"/>
        <v>PARTICULAR</v>
      </c>
      <c r="N2432" s="26">
        <v>164</v>
      </c>
      <c r="O2432" s="26">
        <v>85</v>
      </c>
      <c r="P2432" s="26">
        <v>79</v>
      </c>
      <c r="Q2432" s="26">
        <v>6</v>
      </c>
      <c r="R2432" s="26">
        <v>1</v>
      </c>
      <c r="S2432" s="26">
        <v>5</v>
      </c>
      <c r="T2432" s="26">
        <v>14</v>
      </c>
      <c r="U2432" s="26">
        <v>20</v>
      </c>
      <c r="V2432" s="26">
        <v>1</v>
      </c>
      <c r="W2432" s="26"/>
    </row>
    <row r="2433" spans="1:23" x14ac:dyDescent="0.25">
      <c r="A2433" s="26" t="str">
        <f t="shared" si="395"/>
        <v>PRIMARIA</v>
      </c>
      <c r="B2433" s="26" t="str">
        <f>"09PPR0683M"</f>
        <v>09PPR0683M</v>
      </c>
      <c r="C2433" s="26" t="str">
        <f>"COLEGIO ONTARIO                                                                                     "</f>
        <v xml:space="preserve">COLEGIO ONTARIO                                                                                     </v>
      </c>
      <c r="D2433" s="26" t="str">
        <f t="shared" si="399"/>
        <v>MATUTINO</v>
      </c>
      <c r="E2433" s="26" t="str">
        <f>"NORTE 66 NUM 3653                                                               "</f>
        <v xml:space="preserve">NORTE 66 NUM 3653                                                               </v>
      </c>
      <c r="F2433" s="26" t="str">
        <f>"MARTIRES DE RIO BLANCO                                                                                                                      "</f>
        <v xml:space="preserve">MARTIRES DE RIO BLANCO                                                                                                                      </v>
      </c>
      <c r="G2433" s="26" t="str">
        <f>"GUSTAVO A. MADERO                                                               "</f>
        <v xml:space="preserve">GUSTAVO A. MADERO                                                               </v>
      </c>
      <c r="H2433" s="26" t="str">
        <f>"252"</f>
        <v>252</v>
      </c>
      <c r="I2433" s="26" t="str">
        <f t="shared" si="397"/>
        <v>00</v>
      </c>
      <c r="J2433" s="26" t="str">
        <f>"42 "</f>
        <v xml:space="preserve">42 </v>
      </c>
      <c r="K2433" s="26" t="str">
        <f t="shared" si="406"/>
        <v>PR</v>
      </c>
      <c r="L2433" s="26" t="str">
        <f t="shared" si="407"/>
        <v>DGOSE</v>
      </c>
      <c r="M2433" s="26" t="str">
        <f t="shared" si="398"/>
        <v>PARTICULAR</v>
      </c>
      <c r="N2433" s="26">
        <v>155</v>
      </c>
      <c r="O2433" s="26">
        <v>79</v>
      </c>
      <c r="P2433" s="26">
        <v>76</v>
      </c>
      <c r="Q2433" s="26">
        <v>6</v>
      </c>
      <c r="R2433" s="26">
        <v>1</v>
      </c>
      <c r="S2433" s="26">
        <v>6</v>
      </c>
      <c r="T2433" s="26">
        <v>10</v>
      </c>
      <c r="U2433" s="26">
        <v>17</v>
      </c>
      <c r="V2433" s="26">
        <v>1</v>
      </c>
      <c r="W2433" s="26"/>
    </row>
    <row r="2434" spans="1:23" x14ac:dyDescent="0.25">
      <c r="A2434" s="26" t="str">
        <f t="shared" ref="A2434:A2497" si="408">"PRIMARIA"</f>
        <v>PRIMARIA</v>
      </c>
      <c r="B2434" s="26" t="str">
        <f>"09PPR0685K"</f>
        <v>09PPR0685K</v>
      </c>
      <c r="C2434" s="26" t="str">
        <f>"JOSEFINA MARIA VALENCIA                                                                             "</f>
        <v xml:space="preserve">JOSEFINA MARIA VALENCIA                                                                             </v>
      </c>
      <c r="D2434" s="26" t="str">
        <f t="shared" si="399"/>
        <v>MATUTINO</v>
      </c>
      <c r="E2434" s="26" t="str">
        <f>"AV MORELOS NO 133                                                               "</f>
        <v xml:space="preserve">AV MORELOS NO 133                                                               </v>
      </c>
      <c r="F2434" s="26" t="str">
        <f>"SANTA ISABEL TOLA                                                                                                                           "</f>
        <v xml:space="preserve">SANTA ISABEL TOLA                                                                                                                           </v>
      </c>
      <c r="G2434" s="26" t="str">
        <f>"GUSTAVO A. MADERO                                                               "</f>
        <v xml:space="preserve">GUSTAVO A. MADERO                                                               </v>
      </c>
      <c r="H2434" s="26" t="str">
        <f>"244"</f>
        <v>244</v>
      </c>
      <c r="I2434" s="26" t="str">
        <f t="shared" ref="I2434:I2497" si="409">"00"</f>
        <v>00</v>
      </c>
      <c r="J2434" s="26" t="str">
        <f>"42 "</f>
        <v xml:space="preserve">42 </v>
      </c>
      <c r="K2434" s="26" t="str">
        <f t="shared" si="406"/>
        <v>PR</v>
      </c>
      <c r="L2434" s="26" t="str">
        <f t="shared" si="407"/>
        <v>DGOSE</v>
      </c>
      <c r="M2434" s="26" t="str">
        <f t="shared" si="398"/>
        <v>PARTICULAR</v>
      </c>
      <c r="N2434" s="26">
        <v>109</v>
      </c>
      <c r="O2434" s="26">
        <v>57</v>
      </c>
      <c r="P2434" s="26">
        <v>52</v>
      </c>
      <c r="Q2434" s="26">
        <v>6</v>
      </c>
      <c r="R2434" s="26">
        <v>1</v>
      </c>
      <c r="S2434" s="26">
        <v>6</v>
      </c>
      <c r="T2434" s="26">
        <v>9</v>
      </c>
      <c r="U2434" s="26">
        <v>16</v>
      </c>
      <c r="V2434" s="26">
        <v>1</v>
      </c>
      <c r="W2434" s="26"/>
    </row>
    <row r="2435" spans="1:23" x14ac:dyDescent="0.25">
      <c r="A2435" s="26" t="str">
        <f t="shared" si="408"/>
        <v>PRIMARIA</v>
      </c>
      <c r="B2435" s="26" t="str">
        <f>"09PPR0686J"</f>
        <v>09PPR0686J</v>
      </c>
      <c r="C2435" s="26" t="str">
        <f>"INSTITUTO OVALLE MONDAY TORRES LINDAVISTA                                                           "</f>
        <v xml:space="preserve">INSTITUTO OVALLE MONDAY TORRES LINDAVISTA                                                           </v>
      </c>
      <c r="D2435" s="26" t="str">
        <f t="shared" si="399"/>
        <v>MATUTINO</v>
      </c>
      <c r="E2435" s="26" t="str">
        <f>"URUYEN NO 38                                                                    "</f>
        <v xml:space="preserve">URUYEN NO 38                                                                    </v>
      </c>
      <c r="F2435" s="26" t="str">
        <f>"TORRES DE LINDAVISTA                                                                                                                        "</f>
        <v xml:space="preserve">TORRES DE LINDAVISTA                                                                                                                        </v>
      </c>
      <c r="G2435" s="26" t="str">
        <f>"GUSTAVO A. MADERO                                                               "</f>
        <v xml:space="preserve">GUSTAVO A. MADERO                                                               </v>
      </c>
      <c r="H2435" s="26" t="str">
        <f>"241"</f>
        <v>241</v>
      </c>
      <c r="I2435" s="26" t="str">
        <f t="shared" si="409"/>
        <v>00</v>
      </c>
      <c r="J2435" s="26" t="str">
        <f>"42 "</f>
        <v xml:space="preserve">42 </v>
      </c>
      <c r="K2435" s="26" t="str">
        <f t="shared" si="406"/>
        <v>PR</v>
      </c>
      <c r="L2435" s="26" t="str">
        <f t="shared" si="407"/>
        <v>DGOSE</v>
      </c>
      <c r="M2435" s="26" t="str">
        <f t="shared" si="398"/>
        <v>PARTICULAR</v>
      </c>
      <c r="N2435" s="26">
        <v>1008</v>
      </c>
      <c r="O2435" s="26">
        <v>465</v>
      </c>
      <c r="P2435" s="26">
        <v>543</v>
      </c>
      <c r="Q2435" s="26">
        <v>30</v>
      </c>
      <c r="R2435" s="26">
        <v>1</v>
      </c>
      <c r="S2435" s="26">
        <v>20</v>
      </c>
      <c r="T2435" s="26">
        <v>57</v>
      </c>
      <c r="U2435" s="26">
        <v>78</v>
      </c>
      <c r="V2435" s="26">
        <v>1</v>
      </c>
      <c r="W2435" s="26"/>
    </row>
    <row r="2436" spans="1:23" x14ac:dyDescent="0.25">
      <c r="A2436" s="26" t="str">
        <f t="shared" si="408"/>
        <v>PRIMARIA</v>
      </c>
      <c r="B2436" s="26" t="str">
        <f>"09PPR0701L"</f>
        <v>09PPR0701L</v>
      </c>
      <c r="C2436" s="26" t="str">
        <f>"COLEGIO HEROES MEXICANOS                                                                            "</f>
        <v xml:space="preserve">COLEGIO HEROES MEXICANOS                                                                            </v>
      </c>
      <c r="D2436" s="26" t="str">
        <f t="shared" si="399"/>
        <v>MATUTINO</v>
      </c>
      <c r="E2436" s="26" t="str">
        <f>"IGNACIO RAMOS PRASLOW NO. 40                                                    "</f>
        <v xml:space="preserve">IGNACIO RAMOS PRASLOW NO. 40                                                    </v>
      </c>
      <c r="F2436" s="26" t="str">
        <f>"CONSTITUCION 1917                                                                                                                           "</f>
        <v xml:space="preserve">CONSTITUCION 1917                                                                                                                           </v>
      </c>
      <c r="G2436" s="26" t="str">
        <f>"IZTAPALAPA                                                                      "</f>
        <v xml:space="preserve">IZTAPALAPA                                                                      </v>
      </c>
      <c r="H2436" s="26" t="str">
        <f>"000"</f>
        <v>000</v>
      </c>
      <c r="I2436" s="26" t="str">
        <f t="shared" si="409"/>
        <v>00</v>
      </c>
      <c r="J2436" s="26" t="str">
        <f>"64 "</f>
        <v xml:space="preserve">64 </v>
      </c>
      <c r="K2436" s="26" t="str">
        <f>"IZ"</f>
        <v>IZ</v>
      </c>
      <c r="L2436" s="26" t="str">
        <f>"DGSEI"</f>
        <v>DGSEI</v>
      </c>
      <c r="M2436" s="26" t="str">
        <f t="shared" si="398"/>
        <v>PARTICULAR</v>
      </c>
      <c r="N2436" s="26">
        <v>135</v>
      </c>
      <c r="O2436" s="26">
        <v>64</v>
      </c>
      <c r="P2436" s="26">
        <v>71</v>
      </c>
      <c r="Q2436" s="26">
        <v>6</v>
      </c>
      <c r="R2436" s="26">
        <v>1</v>
      </c>
      <c r="S2436" s="26">
        <v>6</v>
      </c>
      <c r="T2436" s="26">
        <v>10</v>
      </c>
      <c r="U2436" s="26">
        <v>17</v>
      </c>
      <c r="V2436" s="26">
        <v>1</v>
      </c>
      <c r="W2436" s="26"/>
    </row>
    <row r="2437" spans="1:23" x14ac:dyDescent="0.25">
      <c r="A2437" s="26" t="str">
        <f t="shared" si="408"/>
        <v>PRIMARIA</v>
      </c>
      <c r="B2437" s="26" t="str">
        <f>"09PPR0703J"</f>
        <v>09PPR0703J</v>
      </c>
      <c r="C2437" s="26" t="str">
        <f>"COLEGIO GALILEO GALILEI                                                                             "</f>
        <v xml:space="preserve">COLEGIO GALILEO GALILEI                                                                             </v>
      </c>
      <c r="D2437" s="26" t="str">
        <f t="shared" si="399"/>
        <v>MATUTINO</v>
      </c>
      <c r="E2437" s="26" t="str">
        <f>"TENOSIQUE NUM 379 ESQ SACALUM                                                   "</f>
        <v xml:space="preserve">TENOSIQUE NUM 379 ESQ SACALUM                                                   </v>
      </c>
      <c r="F2437" s="26" t="str">
        <f>"HEROES DE PADIERNA                                                                                                                          "</f>
        <v xml:space="preserve">HEROES DE PADIERNA                                                                                                                          </v>
      </c>
      <c r="G2437" s="26" t="str">
        <f>"TLALPAN                                                                         "</f>
        <v xml:space="preserve">TLALPAN                                                                         </v>
      </c>
      <c r="H2437" s="26" t="str">
        <f>"513"</f>
        <v>513</v>
      </c>
      <c r="I2437" s="26" t="str">
        <f t="shared" si="409"/>
        <v>00</v>
      </c>
      <c r="J2437" s="26" t="str">
        <f t="shared" ref="J2437:J2442" si="410">"45 "</f>
        <v xml:space="preserve">45 </v>
      </c>
      <c r="K2437" s="26" t="str">
        <f t="shared" ref="K2437:K2442" si="411">"PR"</f>
        <v>PR</v>
      </c>
      <c r="L2437" s="26" t="str">
        <f t="shared" ref="L2437:L2442" si="412">"DGOSE"</f>
        <v>DGOSE</v>
      </c>
      <c r="M2437" s="26" t="str">
        <f t="shared" si="398"/>
        <v>PARTICULAR</v>
      </c>
      <c r="N2437" s="26">
        <v>108</v>
      </c>
      <c r="O2437" s="26">
        <v>55</v>
      </c>
      <c r="P2437" s="26">
        <v>53</v>
      </c>
      <c r="Q2437" s="26">
        <v>6</v>
      </c>
      <c r="R2437" s="26">
        <v>1</v>
      </c>
      <c r="S2437" s="26">
        <v>6</v>
      </c>
      <c r="T2437" s="26">
        <v>7</v>
      </c>
      <c r="U2437" s="26">
        <v>14</v>
      </c>
      <c r="V2437" s="26">
        <v>1</v>
      </c>
      <c r="W2437" s="26"/>
    </row>
    <row r="2438" spans="1:23" x14ac:dyDescent="0.25">
      <c r="A2438" s="26" t="str">
        <f t="shared" si="408"/>
        <v>PRIMARIA</v>
      </c>
      <c r="B2438" s="26" t="str">
        <f>"09PPR0705H"</f>
        <v>09PPR0705H</v>
      </c>
      <c r="C2438" s="26" t="str">
        <f>"CENTRO DE EDUCACION PREESCOLAR Y PRIMARIA STUNAM                                                    "</f>
        <v xml:space="preserve">CENTRO DE EDUCACION PREESCOLAR Y PRIMARIA STUNAM                                                    </v>
      </c>
      <c r="D2438" s="26" t="str">
        <f t="shared" si="399"/>
        <v>MATUTINO</v>
      </c>
      <c r="E2438" s="26" t="str">
        <f>"TOLTECAS Y REY MOCTEZUMA NO 15                                                  "</f>
        <v xml:space="preserve">TOLTECAS Y REY MOCTEZUMA NO 15                                                  </v>
      </c>
      <c r="F2438" s="26" t="str">
        <f>"AJUSCO                                                                                                                                      "</f>
        <v xml:space="preserve">AJUSCO                                                                                                                                      </v>
      </c>
      <c r="G2438" s="26" t="str">
        <f>"COYOACAN                                                                        "</f>
        <v xml:space="preserve">COYOACAN                                                                        </v>
      </c>
      <c r="H2438" s="26" t="str">
        <f>"503"</f>
        <v>503</v>
      </c>
      <c r="I2438" s="26" t="str">
        <f t="shared" si="409"/>
        <v>00</v>
      </c>
      <c r="J2438" s="26" t="str">
        <f t="shared" si="410"/>
        <v xml:space="preserve">45 </v>
      </c>
      <c r="K2438" s="26" t="str">
        <f t="shared" si="411"/>
        <v>PR</v>
      </c>
      <c r="L2438" s="26" t="str">
        <f t="shared" si="412"/>
        <v>DGOSE</v>
      </c>
      <c r="M2438" s="26" t="str">
        <f t="shared" si="398"/>
        <v>PARTICULAR</v>
      </c>
      <c r="N2438" s="26">
        <v>378</v>
      </c>
      <c r="O2438" s="26">
        <v>188</v>
      </c>
      <c r="P2438" s="26">
        <v>190</v>
      </c>
      <c r="Q2438" s="26">
        <v>12</v>
      </c>
      <c r="R2438" s="26">
        <v>0</v>
      </c>
      <c r="S2438" s="26">
        <v>12</v>
      </c>
      <c r="T2438" s="26">
        <v>11</v>
      </c>
      <c r="U2438" s="26">
        <v>23</v>
      </c>
      <c r="V2438" s="26">
        <v>1</v>
      </c>
      <c r="W2438" s="26"/>
    </row>
    <row r="2439" spans="1:23" x14ac:dyDescent="0.25">
      <c r="A2439" s="26" t="str">
        <f t="shared" si="408"/>
        <v>PRIMARIA</v>
      </c>
      <c r="B2439" s="26" t="str">
        <f>"09PPR0707F"</f>
        <v>09PPR0707F</v>
      </c>
      <c r="C2439" s="26" t="str">
        <f>"COLEGIO AMSTERDAM                                                                                   "</f>
        <v xml:space="preserve">COLEGIO AMSTERDAM                                                                                   </v>
      </c>
      <c r="D2439" s="26" t="str">
        <f t="shared" si="399"/>
        <v>MATUTINO</v>
      </c>
      <c r="E2439" s="26" t="str">
        <f>"AMACUZAC NUM 220                                                                "</f>
        <v xml:space="preserve">AMACUZAC NUM 220                                                                </v>
      </c>
      <c r="F2439" s="26" t="str">
        <f>"HERMOSILLO                                                                                                                                  "</f>
        <v xml:space="preserve">HERMOSILLO                                                                                                                                  </v>
      </c>
      <c r="G2439" s="26" t="str">
        <f>"COYOACAN                                                                        "</f>
        <v xml:space="preserve">COYOACAN                                                                        </v>
      </c>
      <c r="H2439" s="26" t="str">
        <f>"509"</f>
        <v>509</v>
      </c>
      <c r="I2439" s="26" t="str">
        <f t="shared" si="409"/>
        <v>00</v>
      </c>
      <c r="J2439" s="26" t="str">
        <f t="shared" si="410"/>
        <v xml:space="preserve">45 </v>
      </c>
      <c r="K2439" s="26" t="str">
        <f t="shared" si="411"/>
        <v>PR</v>
      </c>
      <c r="L2439" s="26" t="str">
        <f t="shared" si="412"/>
        <v>DGOSE</v>
      </c>
      <c r="M2439" s="26" t="str">
        <f t="shared" si="398"/>
        <v>PARTICULAR</v>
      </c>
      <c r="N2439" s="26">
        <v>63</v>
      </c>
      <c r="O2439" s="26">
        <v>24</v>
      </c>
      <c r="P2439" s="26">
        <v>39</v>
      </c>
      <c r="Q2439" s="26">
        <v>6</v>
      </c>
      <c r="R2439" s="26">
        <v>1</v>
      </c>
      <c r="S2439" s="26">
        <v>3</v>
      </c>
      <c r="T2439" s="26">
        <v>6</v>
      </c>
      <c r="U2439" s="26">
        <v>10</v>
      </c>
      <c r="V2439" s="26">
        <v>1</v>
      </c>
      <c r="W2439" s="26"/>
    </row>
    <row r="2440" spans="1:23" x14ac:dyDescent="0.25">
      <c r="A2440" s="26" t="str">
        <f t="shared" si="408"/>
        <v>PRIMARIA</v>
      </c>
      <c r="B2440" s="26" t="str">
        <f>"09PPR0708E"</f>
        <v>09PPR0708E</v>
      </c>
      <c r="C2440" s="26" t="str">
        <f>"ERASMO DE ROTTERDAM                                                                                 "</f>
        <v xml:space="preserve">ERASMO DE ROTTERDAM                                                                                 </v>
      </c>
      <c r="D2440" s="26" t="str">
        <f t="shared" si="399"/>
        <v>MATUTINO</v>
      </c>
      <c r="E2440" s="26" t="str">
        <f>"AV UNIVERSIDAD NUM 1919                                                         "</f>
        <v xml:space="preserve">AV UNIVERSIDAD NUM 1919                                                         </v>
      </c>
      <c r="F2440" s="26" t="str">
        <f>"OXTOPULCO                                                                                                                                   "</f>
        <v xml:space="preserve">OXTOPULCO                                                                                                                                   </v>
      </c>
      <c r="G2440" s="26" t="str">
        <f>"COYOACAN                                                                        "</f>
        <v xml:space="preserve">COYOACAN                                                                        </v>
      </c>
      <c r="H2440" s="26" t="str">
        <f>"501"</f>
        <v>501</v>
      </c>
      <c r="I2440" s="26" t="str">
        <f t="shared" si="409"/>
        <v>00</v>
      </c>
      <c r="J2440" s="26" t="str">
        <f t="shared" si="410"/>
        <v xml:space="preserve">45 </v>
      </c>
      <c r="K2440" s="26" t="str">
        <f t="shared" si="411"/>
        <v>PR</v>
      </c>
      <c r="L2440" s="26" t="str">
        <f t="shared" si="412"/>
        <v>DGOSE</v>
      </c>
      <c r="M2440" s="26" t="str">
        <f t="shared" si="398"/>
        <v>PARTICULAR</v>
      </c>
      <c r="N2440" s="26">
        <v>184</v>
      </c>
      <c r="O2440" s="26">
        <v>87</v>
      </c>
      <c r="P2440" s="26">
        <v>97</v>
      </c>
      <c r="Q2440" s="26">
        <v>10</v>
      </c>
      <c r="R2440" s="26">
        <v>1</v>
      </c>
      <c r="S2440" s="26">
        <v>8</v>
      </c>
      <c r="T2440" s="26">
        <v>16</v>
      </c>
      <c r="U2440" s="26">
        <v>25</v>
      </c>
      <c r="V2440" s="26">
        <v>1</v>
      </c>
      <c r="W2440" s="26"/>
    </row>
    <row r="2441" spans="1:23" x14ac:dyDescent="0.25">
      <c r="A2441" s="26" t="str">
        <f t="shared" si="408"/>
        <v>PRIMARIA</v>
      </c>
      <c r="B2441" s="26" t="str">
        <f>"09PPR0709D"</f>
        <v>09PPR0709D</v>
      </c>
      <c r="C2441" s="26" t="str">
        <f>"INSTITUTO VILLA DEL SUR                                                                             "</f>
        <v xml:space="preserve">INSTITUTO VILLA DEL SUR                                                                             </v>
      </c>
      <c r="D2441" s="26" t="str">
        <f t="shared" si="399"/>
        <v>MATUTINO</v>
      </c>
      <c r="E2441" s="26" t="str">
        <f>"14 DE JULIO NO 38                                                               "</f>
        <v xml:space="preserve">14 DE JULIO NO 38                                                               </v>
      </c>
      <c r="F2441" s="26" t="str">
        <f>"HUICHAPAN                                                                                                                                   "</f>
        <v xml:space="preserve">HUICHAPAN                                                                                                                                   </v>
      </c>
      <c r="G2441" s="26" t="str">
        <f>"XOCHIMILCO                                                                      "</f>
        <v xml:space="preserve">XOCHIMILCO                                                                      </v>
      </c>
      <c r="H2441" s="26" t="str">
        <f>"534"</f>
        <v>534</v>
      </c>
      <c r="I2441" s="26" t="str">
        <f t="shared" si="409"/>
        <v>00</v>
      </c>
      <c r="J2441" s="26" t="str">
        <f t="shared" si="410"/>
        <v xml:space="preserve">45 </v>
      </c>
      <c r="K2441" s="26" t="str">
        <f t="shared" si="411"/>
        <v>PR</v>
      </c>
      <c r="L2441" s="26" t="str">
        <f t="shared" si="412"/>
        <v>DGOSE</v>
      </c>
      <c r="M2441" s="26" t="str">
        <f t="shared" si="398"/>
        <v>PARTICULAR</v>
      </c>
      <c r="N2441" s="26">
        <v>34</v>
      </c>
      <c r="O2441" s="26">
        <v>21</v>
      </c>
      <c r="P2441" s="26">
        <v>13</v>
      </c>
      <c r="Q2441" s="26">
        <v>6</v>
      </c>
      <c r="R2441" s="26">
        <v>1</v>
      </c>
      <c r="S2441" s="26">
        <v>5</v>
      </c>
      <c r="T2441" s="26">
        <v>6</v>
      </c>
      <c r="U2441" s="26">
        <v>12</v>
      </c>
      <c r="V2441" s="26">
        <v>1</v>
      </c>
      <c r="W2441" s="26"/>
    </row>
    <row r="2442" spans="1:23" x14ac:dyDescent="0.25">
      <c r="A2442" s="26" t="str">
        <f t="shared" si="408"/>
        <v>PRIMARIA</v>
      </c>
      <c r="B2442" s="26" t="str">
        <f>"09PPR0711S"</f>
        <v>09PPR0711S</v>
      </c>
      <c r="C2442" s="26" t="str">
        <f>"COLEGIO CARMEL                                                                                      "</f>
        <v xml:space="preserve">COLEGIO CARMEL                                                                                      </v>
      </c>
      <c r="D2442" s="26" t="str">
        <f t="shared" si="399"/>
        <v>MATUTINO</v>
      </c>
      <c r="E2442" s="26" t="str">
        <f>"RANCHO ESTANZUELA NO 130                                                        "</f>
        <v xml:space="preserve">RANCHO ESTANZUELA NO 130                                                        </v>
      </c>
      <c r="F2442" s="26" t="str">
        <f>"HACIENDAS DE COYOACAN                                                                                                                       "</f>
        <v xml:space="preserve">HACIENDAS DE COYOACAN                                                                                                                       </v>
      </c>
      <c r="G2442" s="26" t="str">
        <f>"COYOACAN                                                                        "</f>
        <v xml:space="preserve">COYOACAN                                                                        </v>
      </c>
      <c r="H2442" s="26" t="str">
        <f>"510"</f>
        <v>510</v>
      </c>
      <c r="I2442" s="26" t="str">
        <f t="shared" si="409"/>
        <v>00</v>
      </c>
      <c r="J2442" s="26" t="str">
        <f t="shared" si="410"/>
        <v xml:space="preserve">45 </v>
      </c>
      <c r="K2442" s="26" t="str">
        <f t="shared" si="411"/>
        <v>PR</v>
      </c>
      <c r="L2442" s="26" t="str">
        <f t="shared" si="412"/>
        <v>DGOSE</v>
      </c>
      <c r="M2442" s="26" t="str">
        <f t="shared" si="398"/>
        <v>PARTICULAR</v>
      </c>
      <c r="N2442" s="26">
        <v>331</v>
      </c>
      <c r="O2442" s="26">
        <v>180</v>
      </c>
      <c r="P2442" s="26">
        <v>151</v>
      </c>
      <c r="Q2442" s="26">
        <v>15</v>
      </c>
      <c r="R2442" s="26">
        <v>1</v>
      </c>
      <c r="S2442" s="26">
        <v>4</v>
      </c>
      <c r="T2442" s="26">
        <v>7</v>
      </c>
      <c r="U2442" s="26">
        <v>12</v>
      </c>
      <c r="V2442" s="26">
        <v>1</v>
      </c>
      <c r="W2442" s="26"/>
    </row>
    <row r="2443" spans="1:23" x14ac:dyDescent="0.25">
      <c r="A2443" s="26" t="str">
        <f t="shared" si="408"/>
        <v>PRIMARIA</v>
      </c>
      <c r="B2443" s="26" t="str">
        <f>"09PPR0714P"</f>
        <v>09PPR0714P</v>
      </c>
      <c r="C2443" s="26" t="str">
        <f>"RENE DESCARTES                                                                                      "</f>
        <v xml:space="preserve">RENE DESCARTES                                                                                      </v>
      </c>
      <c r="D2443" s="26" t="str">
        <f t="shared" si="399"/>
        <v>MATUTINO</v>
      </c>
      <c r="E2443" s="26" t="str">
        <f>"VIVEROS NO.33                                                                   "</f>
        <v xml:space="preserve">VIVEROS NO.33                                                                   </v>
      </c>
      <c r="F2443" s="26" t="str">
        <f>"SANTA MARIA TOMATLAN                                                                                                                        "</f>
        <v xml:space="preserve">SANTA MARIA TOMATLAN                                                                                                                        </v>
      </c>
      <c r="G2443" s="26" t="str">
        <f>"IZTAPALAPA                                                                      "</f>
        <v xml:space="preserve">IZTAPALAPA                                                                      </v>
      </c>
      <c r="H2443" s="26" t="str">
        <f>"000"</f>
        <v>000</v>
      </c>
      <c r="I2443" s="26" t="str">
        <f t="shared" si="409"/>
        <v>00</v>
      </c>
      <c r="J2443" s="26" t="str">
        <f>"63 "</f>
        <v xml:space="preserve">63 </v>
      </c>
      <c r="K2443" s="26" t="str">
        <f>"IZ"</f>
        <v>IZ</v>
      </c>
      <c r="L2443" s="26" t="str">
        <f>"DGSEI"</f>
        <v>DGSEI</v>
      </c>
      <c r="M2443" s="26" t="str">
        <f t="shared" si="398"/>
        <v>PARTICULAR</v>
      </c>
      <c r="N2443" s="26">
        <v>132</v>
      </c>
      <c r="O2443" s="26">
        <v>72</v>
      </c>
      <c r="P2443" s="26">
        <v>60</v>
      </c>
      <c r="Q2443" s="26">
        <v>6</v>
      </c>
      <c r="R2443" s="26">
        <v>1</v>
      </c>
      <c r="S2443" s="26">
        <v>3</v>
      </c>
      <c r="T2443" s="26">
        <v>6</v>
      </c>
      <c r="U2443" s="26">
        <v>10</v>
      </c>
      <c r="V2443" s="26">
        <v>1</v>
      </c>
      <c r="W2443" s="26"/>
    </row>
    <row r="2444" spans="1:23" x14ac:dyDescent="0.25">
      <c r="A2444" s="26" t="str">
        <f t="shared" si="408"/>
        <v>PRIMARIA</v>
      </c>
      <c r="B2444" s="26" t="str">
        <f>"09PPR0718L"</f>
        <v>09PPR0718L</v>
      </c>
      <c r="C2444" s="26" t="str">
        <f>"REED WALTER                                                                                         "</f>
        <v xml:space="preserve">REED WALTER                                                                                         </v>
      </c>
      <c r="D2444" s="26" t="str">
        <f t="shared" si="399"/>
        <v>MATUTINO</v>
      </c>
      <c r="E2444" s="26" t="str">
        <f>"PENSAMIENTO MZA 44 LOTE 35                                                      "</f>
        <v xml:space="preserve">PENSAMIENTO MZA 44 LOTE 35                                                      </v>
      </c>
      <c r="F2444" s="26" t="str">
        <f>"JUAN GONZALEZ ROMERO                                                                                                                        "</f>
        <v xml:space="preserve">JUAN GONZALEZ ROMERO                                                                                                                        </v>
      </c>
      <c r="G2444" s="26" t="str">
        <f>"GUSTAVO A. MADERO                                                               "</f>
        <v xml:space="preserve">GUSTAVO A. MADERO                                                               </v>
      </c>
      <c r="H2444" s="26" t="str">
        <f>"256"</f>
        <v>256</v>
      </c>
      <c r="I2444" s="26" t="str">
        <f t="shared" si="409"/>
        <v>00</v>
      </c>
      <c r="J2444" s="26" t="str">
        <f>"42 "</f>
        <v xml:space="preserve">42 </v>
      </c>
      <c r="K2444" s="26" t="str">
        <f>"PR"</f>
        <v>PR</v>
      </c>
      <c r="L2444" s="26" t="str">
        <f>"DGOSE"</f>
        <v>DGOSE</v>
      </c>
      <c r="M2444" s="26" t="str">
        <f t="shared" si="398"/>
        <v>PARTICULAR</v>
      </c>
      <c r="N2444" s="26">
        <v>40</v>
      </c>
      <c r="O2444" s="26">
        <v>23</v>
      </c>
      <c r="P2444" s="26">
        <v>17</v>
      </c>
      <c r="Q2444" s="26">
        <v>6</v>
      </c>
      <c r="R2444" s="26">
        <v>1</v>
      </c>
      <c r="S2444" s="26">
        <v>4</v>
      </c>
      <c r="T2444" s="26">
        <v>4</v>
      </c>
      <c r="U2444" s="26">
        <v>9</v>
      </c>
      <c r="V2444" s="26">
        <v>1</v>
      </c>
      <c r="W2444" s="26"/>
    </row>
    <row r="2445" spans="1:23" x14ac:dyDescent="0.25">
      <c r="A2445" s="26" t="str">
        <f t="shared" si="408"/>
        <v>PRIMARIA</v>
      </c>
      <c r="B2445" s="26" t="str">
        <f>"09PPR0719K"</f>
        <v>09PPR0719K</v>
      </c>
      <c r="C2445" s="26" t="str">
        <f>"CHARLES R DARWIN SCHOOL                                                                             "</f>
        <v xml:space="preserve">CHARLES R DARWIN SCHOOL                                                                             </v>
      </c>
      <c r="D2445" s="26" t="str">
        <f t="shared" si="399"/>
        <v>MATUTINO</v>
      </c>
      <c r="E2445" s="26" t="str">
        <f>"FELIPE VILLANUEVA NO 66                                                         "</f>
        <v xml:space="preserve">FELIPE VILLANUEVA NO 66                                                         </v>
      </c>
      <c r="F2445" s="26" t="str">
        <f>"PERALVILLO                                                                                                                                  "</f>
        <v xml:space="preserve">PERALVILLO                                                                                                                                  </v>
      </c>
      <c r="G2445" s="26" t="str">
        <f>"CUAUHTEMOC                                                                      "</f>
        <v xml:space="preserve">CUAUHTEMOC                                                                      </v>
      </c>
      <c r="H2445" s="26" t="str">
        <f>"000"</f>
        <v>000</v>
      </c>
      <c r="I2445" s="26" t="str">
        <f t="shared" si="409"/>
        <v>00</v>
      </c>
      <c r="J2445" s="26" t="str">
        <f>"42 "</f>
        <v xml:space="preserve">42 </v>
      </c>
      <c r="K2445" s="26" t="str">
        <f>"PR"</f>
        <v>PR</v>
      </c>
      <c r="L2445" s="26" t="str">
        <f>"DGOSE"</f>
        <v>DGOSE</v>
      </c>
      <c r="M2445" s="26" t="str">
        <f t="shared" si="398"/>
        <v>PARTICULAR</v>
      </c>
      <c r="N2445" s="26">
        <v>35</v>
      </c>
      <c r="O2445" s="26">
        <v>14</v>
      </c>
      <c r="P2445" s="26">
        <v>21</v>
      </c>
      <c r="Q2445" s="26">
        <v>6</v>
      </c>
      <c r="R2445" s="26">
        <v>1</v>
      </c>
      <c r="S2445" s="26">
        <v>3</v>
      </c>
      <c r="T2445" s="26">
        <v>4</v>
      </c>
      <c r="U2445" s="26">
        <v>8</v>
      </c>
      <c r="V2445" s="26">
        <v>1</v>
      </c>
      <c r="W2445" s="26"/>
    </row>
    <row r="2446" spans="1:23" x14ac:dyDescent="0.25">
      <c r="A2446" s="26" t="str">
        <f t="shared" si="408"/>
        <v>PRIMARIA</v>
      </c>
      <c r="B2446" s="26" t="str">
        <f>"09PPR0725V"</f>
        <v>09PPR0725V</v>
      </c>
      <c r="C2446" s="26" t="str">
        <f>"JULIO RAMIREZ MERIDA                                                                                "</f>
        <v xml:space="preserve">JULIO RAMIREZ MERIDA                                                                                </v>
      </c>
      <c r="D2446" s="26" t="str">
        <f t="shared" si="399"/>
        <v>MATUTINO</v>
      </c>
      <c r="E2446" s="26" t="str">
        <f>"NORTE 25 NO 60                                                                  "</f>
        <v xml:space="preserve">NORTE 25 NO 60                                                                  </v>
      </c>
      <c r="F2446" s="26" t="str">
        <f>"MOCTEZUMA 2A SECCION                                                                                                                        "</f>
        <v xml:space="preserve">MOCTEZUMA 2A SECCION                                                                                                                        </v>
      </c>
      <c r="G2446" s="26" t="str">
        <f>"VENUSTIANO CARRANZA                                                             "</f>
        <v xml:space="preserve">VENUSTIANO CARRANZA                                                             </v>
      </c>
      <c r="H2446" s="26" t="str">
        <f>"346"</f>
        <v>346</v>
      </c>
      <c r="I2446" s="26" t="str">
        <f t="shared" si="409"/>
        <v>00</v>
      </c>
      <c r="J2446" s="26" t="str">
        <f>"43 "</f>
        <v xml:space="preserve">43 </v>
      </c>
      <c r="K2446" s="26" t="str">
        <f>"PR"</f>
        <v>PR</v>
      </c>
      <c r="L2446" s="26" t="str">
        <f>"DGOSE"</f>
        <v>DGOSE</v>
      </c>
      <c r="M2446" s="26" t="str">
        <f t="shared" si="398"/>
        <v>PARTICULAR</v>
      </c>
      <c r="N2446" s="26">
        <v>28</v>
      </c>
      <c r="O2446" s="26">
        <v>14</v>
      </c>
      <c r="P2446" s="26">
        <v>14</v>
      </c>
      <c r="Q2446" s="26">
        <v>6</v>
      </c>
      <c r="R2446" s="26">
        <v>1</v>
      </c>
      <c r="S2446" s="26">
        <v>3</v>
      </c>
      <c r="T2446" s="26">
        <v>5</v>
      </c>
      <c r="U2446" s="26">
        <v>9</v>
      </c>
      <c r="V2446" s="26">
        <v>1</v>
      </c>
      <c r="W2446" s="26"/>
    </row>
    <row r="2447" spans="1:23" x14ac:dyDescent="0.25">
      <c r="A2447" s="26" t="str">
        <f t="shared" si="408"/>
        <v>PRIMARIA</v>
      </c>
      <c r="B2447" s="26" t="str">
        <f>"09PPR0726U"</f>
        <v>09PPR0726U</v>
      </c>
      <c r="C2447" s="26" t="str">
        <f>"COLEGIO SACBE                                                                                       "</f>
        <v xml:space="preserve">COLEGIO SACBE                                                                                       </v>
      </c>
      <c r="D2447" s="26" t="str">
        <f t="shared" si="399"/>
        <v>MATUTINO</v>
      </c>
      <c r="E2447" s="26" t="str">
        <f>"BOULEVARD CAPRI NO. 70                                                          "</f>
        <v xml:space="preserve">BOULEVARD CAPRI NO. 70                                                          </v>
      </c>
      <c r="F2447" s="26" t="str">
        <f>"LOMAS ESTRELLA                                                                                                                              "</f>
        <v xml:space="preserve">LOMAS ESTRELLA                                                                                                                              </v>
      </c>
      <c r="G2447" s="26" t="str">
        <f>"IZTAPALAPA                                                                      "</f>
        <v xml:space="preserve">IZTAPALAPA                                                                      </v>
      </c>
      <c r="H2447" s="26" t="str">
        <f>"000"</f>
        <v>000</v>
      </c>
      <c r="I2447" s="26" t="str">
        <f t="shared" si="409"/>
        <v>00</v>
      </c>
      <c r="J2447" s="26" t="str">
        <f>"63 "</f>
        <v xml:space="preserve">63 </v>
      </c>
      <c r="K2447" s="26" t="str">
        <f>"IZ"</f>
        <v>IZ</v>
      </c>
      <c r="L2447" s="26" t="str">
        <f>"DGSEI"</f>
        <v>DGSEI</v>
      </c>
      <c r="M2447" s="26" t="str">
        <f t="shared" si="398"/>
        <v>PARTICULAR</v>
      </c>
      <c r="N2447" s="26">
        <v>77</v>
      </c>
      <c r="O2447" s="26">
        <v>44</v>
      </c>
      <c r="P2447" s="26">
        <v>33</v>
      </c>
      <c r="Q2447" s="26">
        <v>6</v>
      </c>
      <c r="R2447" s="26">
        <v>1</v>
      </c>
      <c r="S2447" s="26">
        <v>4</v>
      </c>
      <c r="T2447" s="26">
        <v>7</v>
      </c>
      <c r="U2447" s="26">
        <v>12</v>
      </c>
      <c r="V2447" s="26">
        <v>1</v>
      </c>
      <c r="W2447" s="26"/>
    </row>
    <row r="2448" spans="1:23" x14ac:dyDescent="0.25">
      <c r="A2448" s="26" t="str">
        <f t="shared" si="408"/>
        <v>PRIMARIA</v>
      </c>
      <c r="B2448" s="26" t="str">
        <f>"09PPR0728S"</f>
        <v>09PPR0728S</v>
      </c>
      <c r="C2448" s="26" t="str">
        <f>"SARMIENTOCO ESCUELA BRITANICA AMERICANA                                                             "</f>
        <v xml:space="preserve">SARMIENTOCO ESCUELA BRITANICA AMERICANA                                                             </v>
      </c>
      <c r="D2448" s="26" t="str">
        <f t="shared" si="399"/>
        <v>MATUTINO</v>
      </c>
      <c r="E2448" s="26" t="str">
        <f>"INSURGENTES SUR NO 4040                                                         "</f>
        <v xml:space="preserve">INSURGENTES SUR NO 4040                                                         </v>
      </c>
      <c r="F2448" s="26" t="str">
        <f>"TLALPAN                                                                                                                                     "</f>
        <v xml:space="preserve">TLALPAN                                                                                                                                     </v>
      </c>
      <c r="G2448" s="26" t="str">
        <f>"TLALPAN                                                                         "</f>
        <v xml:space="preserve">TLALPAN                                                                         </v>
      </c>
      <c r="H2448" s="26" t="str">
        <f>"521"</f>
        <v>521</v>
      </c>
      <c r="I2448" s="26" t="str">
        <f t="shared" si="409"/>
        <v>00</v>
      </c>
      <c r="J2448" s="26" t="str">
        <f>"45 "</f>
        <v xml:space="preserve">45 </v>
      </c>
      <c r="K2448" s="26" t="str">
        <f>"PR"</f>
        <v>PR</v>
      </c>
      <c r="L2448" s="26" t="str">
        <f>"DGOSE"</f>
        <v>DGOSE</v>
      </c>
      <c r="M2448" s="26" t="str">
        <f t="shared" si="398"/>
        <v>PARTICULAR</v>
      </c>
      <c r="N2448" s="26">
        <v>67</v>
      </c>
      <c r="O2448" s="26">
        <v>32</v>
      </c>
      <c r="P2448" s="26">
        <v>35</v>
      </c>
      <c r="Q2448" s="26">
        <v>6</v>
      </c>
      <c r="R2448" s="26">
        <v>1</v>
      </c>
      <c r="S2448" s="26">
        <v>3</v>
      </c>
      <c r="T2448" s="26">
        <v>11</v>
      </c>
      <c r="U2448" s="26">
        <v>15</v>
      </c>
      <c r="V2448" s="26">
        <v>1</v>
      </c>
      <c r="W2448" s="26"/>
    </row>
    <row r="2449" spans="1:23" x14ac:dyDescent="0.25">
      <c r="A2449" s="26" t="str">
        <f t="shared" si="408"/>
        <v>PRIMARIA</v>
      </c>
      <c r="B2449" s="26" t="str">
        <f>"09PPR0732E"</f>
        <v>09PPR0732E</v>
      </c>
      <c r="C2449" s="26" t="str">
        <f>"LICEO EMPERADORES AZTECAS                                                                           "</f>
        <v xml:space="preserve">LICEO EMPERADORES AZTECAS                                                                           </v>
      </c>
      <c r="D2449" s="26" t="str">
        <f t="shared" si="399"/>
        <v>MATUTINO</v>
      </c>
      <c r="E2449" s="26" t="str">
        <f>"MANUEL ACUÑA NO. 114                                                            "</f>
        <v xml:space="preserve">MANUEL ACUÑA NO. 114                                                            </v>
      </c>
      <c r="F2449" s="26" t="str">
        <f>"JACARANDAS                                                                                                                                  "</f>
        <v xml:space="preserve">JACARANDAS                                                                                                                                  </v>
      </c>
      <c r="G2449" s="26" t="str">
        <f>"IZTAPALAPA                                                                      "</f>
        <v xml:space="preserve">IZTAPALAPA                                                                      </v>
      </c>
      <c r="H2449" s="26" t="str">
        <f>"000"</f>
        <v>000</v>
      </c>
      <c r="I2449" s="26" t="str">
        <f t="shared" si="409"/>
        <v>00</v>
      </c>
      <c r="J2449" s="26" t="str">
        <f>"64 "</f>
        <v xml:space="preserve">64 </v>
      </c>
      <c r="K2449" s="26" t="str">
        <f>"IZ"</f>
        <v>IZ</v>
      </c>
      <c r="L2449" s="26" t="str">
        <f>"DGSEI"</f>
        <v>DGSEI</v>
      </c>
      <c r="M2449" s="26" t="str">
        <f t="shared" si="398"/>
        <v>PARTICULAR</v>
      </c>
      <c r="N2449" s="26">
        <v>257</v>
      </c>
      <c r="O2449" s="26">
        <v>123</v>
      </c>
      <c r="P2449" s="26">
        <v>134</v>
      </c>
      <c r="Q2449" s="26">
        <v>12</v>
      </c>
      <c r="R2449" s="26">
        <v>1</v>
      </c>
      <c r="S2449" s="26">
        <v>12</v>
      </c>
      <c r="T2449" s="26">
        <v>18</v>
      </c>
      <c r="U2449" s="26">
        <v>31</v>
      </c>
      <c r="V2449" s="26">
        <v>1</v>
      </c>
      <c r="W2449" s="26"/>
    </row>
    <row r="2450" spans="1:23" x14ac:dyDescent="0.25">
      <c r="A2450" s="26" t="str">
        <f t="shared" si="408"/>
        <v>PRIMARIA</v>
      </c>
      <c r="B2450" s="26" t="str">
        <f>"09PPR0736A"</f>
        <v>09PPR0736A</v>
      </c>
      <c r="C2450" s="26" t="str">
        <f>"COLEGIO O´FARRILL SOCIEDAD CIVIL                                                                    "</f>
        <v xml:space="preserve">COLEGIO O´FARRILL SOCIEDAD CIVIL                                                                    </v>
      </c>
      <c r="D2450" s="26" t="str">
        <f t="shared" si="399"/>
        <v>MATUTINO</v>
      </c>
      <c r="E2450" s="26" t="str">
        <f>"HORTENCIA Y ACANTO LOTE 322 MZ 27                                               "</f>
        <v xml:space="preserve">HORTENCIA Y ACANTO LOTE 322 MZ 27                                               </v>
      </c>
      <c r="F2450" s="26" t="str">
        <f>"MIGUEL HIDALGO AMPLIACION                                                                                                                   "</f>
        <v xml:space="preserve">MIGUEL HIDALGO AMPLIACION                                                                                                                   </v>
      </c>
      <c r="G2450" s="26" t="str">
        <f>"TLALPAN                                                                         "</f>
        <v xml:space="preserve">TLALPAN                                                                         </v>
      </c>
      <c r="H2450" s="26" t="str">
        <f>"516"</f>
        <v>516</v>
      </c>
      <c r="I2450" s="26" t="str">
        <f t="shared" si="409"/>
        <v>00</v>
      </c>
      <c r="J2450" s="26" t="str">
        <f>"45 "</f>
        <v xml:space="preserve">45 </v>
      </c>
      <c r="K2450" s="26" t="str">
        <f>"PR"</f>
        <v>PR</v>
      </c>
      <c r="L2450" s="26" t="str">
        <f>"DGOSE"</f>
        <v>DGOSE</v>
      </c>
      <c r="M2450" s="26" t="str">
        <f t="shared" ref="M2450:M2513" si="413">"PARTICULAR"</f>
        <v>PARTICULAR</v>
      </c>
      <c r="N2450" s="26">
        <v>277</v>
      </c>
      <c r="O2450" s="26">
        <v>129</v>
      </c>
      <c r="P2450" s="26">
        <v>148</v>
      </c>
      <c r="Q2450" s="26">
        <v>13</v>
      </c>
      <c r="R2450" s="26">
        <v>1</v>
      </c>
      <c r="S2450" s="26">
        <v>7</v>
      </c>
      <c r="T2450" s="26">
        <v>19</v>
      </c>
      <c r="U2450" s="26">
        <v>27</v>
      </c>
      <c r="V2450" s="26">
        <v>1</v>
      </c>
      <c r="W2450" s="26"/>
    </row>
    <row r="2451" spans="1:23" x14ac:dyDescent="0.25">
      <c r="A2451" s="26" t="str">
        <f t="shared" si="408"/>
        <v>PRIMARIA</v>
      </c>
      <c r="B2451" s="26" t="str">
        <f>"09PPR0738Z"</f>
        <v>09PPR0738Z</v>
      </c>
      <c r="C2451" s="26" t="str">
        <f>"MARIANO MONTERDE                                                                                    "</f>
        <v xml:space="preserve">MARIANO MONTERDE                                                                                    </v>
      </c>
      <c r="D2451" s="26" t="str">
        <f t="shared" si="399"/>
        <v>MATUTINO</v>
      </c>
      <c r="E2451" s="26" t="str">
        <f>"CDA RANCHO XINTE NO 25                                                          "</f>
        <v xml:space="preserve">CDA RANCHO XINTE NO 25                                                          </v>
      </c>
      <c r="F2451" s="26" t="str">
        <f>"RESIDENCIAL EX-HACIENDA COAPA                                                                                                               "</f>
        <v xml:space="preserve">RESIDENCIAL EX-HACIENDA COAPA                                                                                                               </v>
      </c>
      <c r="G2451" s="26" t="str">
        <f>"TLALPAN                                                                         "</f>
        <v xml:space="preserve">TLALPAN                                                                         </v>
      </c>
      <c r="H2451" s="26" t="str">
        <f>"525"</f>
        <v>525</v>
      </c>
      <c r="I2451" s="26" t="str">
        <f t="shared" si="409"/>
        <v>00</v>
      </c>
      <c r="J2451" s="26" t="str">
        <f>"45 "</f>
        <v xml:space="preserve">45 </v>
      </c>
      <c r="K2451" s="26" t="str">
        <f>"PR"</f>
        <v>PR</v>
      </c>
      <c r="L2451" s="26" t="str">
        <f>"DGOSE"</f>
        <v>DGOSE</v>
      </c>
      <c r="M2451" s="26" t="str">
        <f t="shared" si="413"/>
        <v>PARTICULAR</v>
      </c>
      <c r="N2451" s="26">
        <v>47</v>
      </c>
      <c r="O2451" s="26">
        <v>24</v>
      </c>
      <c r="P2451" s="26">
        <v>23</v>
      </c>
      <c r="Q2451" s="26">
        <v>6</v>
      </c>
      <c r="R2451" s="26">
        <v>1</v>
      </c>
      <c r="S2451" s="26">
        <v>4</v>
      </c>
      <c r="T2451" s="26">
        <v>6</v>
      </c>
      <c r="U2451" s="26">
        <v>11</v>
      </c>
      <c r="V2451" s="26">
        <v>1</v>
      </c>
      <c r="W2451" s="26"/>
    </row>
    <row r="2452" spans="1:23" x14ac:dyDescent="0.25">
      <c r="A2452" s="26" t="str">
        <f t="shared" si="408"/>
        <v>PRIMARIA</v>
      </c>
      <c r="B2452" s="26" t="str">
        <f>"09PPR0739Y"</f>
        <v>09PPR0739Y</v>
      </c>
      <c r="C2452" s="26" t="str">
        <f>"COLEGIO HEBREO MAGUEN DAVID                                                                         "</f>
        <v xml:space="preserve">COLEGIO HEBREO MAGUEN DAVID                                                                         </v>
      </c>
      <c r="D2452" s="26" t="str">
        <f t="shared" si="399"/>
        <v>MATUTINO</v>
      </c>
      <c r="E2452" s="26" t="str">
        <f>"ANTIGUO CAM A TECAMACHALCO 370                                                  "</f>
        <v xml:space="preserve">ANTIGUO CAM A TECAMACHALCO 370                                                  </v>
      </c>
      <c r="F2452" s="26" t="str">
        <f>"LOMAS DE VISTA HERMOSA                                                                                                                      "</f>
        <v xml:space="preserve">LOMAS DE VISTA HERMOSA                                                                                                                      </v>
      </c>
      <c r="G2452" s="26" t="str">
        <f>"CUAJIMALPA DE MORELOS                                                           "</f>
        <v xml:space="preserve">CUAJIMALPA DE MORELOS                                                           </v>
      </c>
      <c r="H2452" s="26" t="str">
        <f>"300"</f>
        <v>300</v>
      </c>
      <c r="I2452" s="26" t="str">
        <f t="shared" si="409"/>
        <v>00</v>
      </c>
      <c r="J2452" s="26" t="str">
        <f>"43 "</f>
        <v xml:space="preserve">43 </v>
      </c>
      <c r="K2452" s="26" t="str">
        <f>"PR"</f>
        <v>PR</v>
      </c>
      <c r="L2452" s="26" t="str">
        <f>"DGOSE"</f>
        <v>DGOSE</v>
      </c>
      <c r="M2452" s="26" t="str">
        <f t="shared" si="413"/>
        <v>PARTICULAR</v>
      </c>
      <c r="N2452" s="26">
        <v>467</v>
      </c>
      <c r="O2452" s="26">
        <v>218</v>
      </c>
      <c r="P2452" s="26">
        <v>249</v>
      </c>
      <c r="Q2452" s="26">
        <v>23</v>
      </c>
      <c r="R2452" s="26">
        <v>1</v>
      </c>
      <c r="S2452" s="26">
        <v>18</v>
      </c>
      <c r="T2452" s="26">
        <v>41</v>
      </c>
      <c r="U2452" s="26">
        <v>60</v>
      </c>
      <c r="V2452" s="26">
        <v>1</v>
      </c>
      <c r="W2452" s="26"/>
    </row>
    <row r="2453" spans="1:23" x14ac:dyDescent="0.25">
      <c r="A2453" s="26" t="str">
        <f t="shared" si="408"/>
        <v>PRIMARIA</v>
      </c>
      <c r="B2453" s="26" t="str">
        <f>"09PPR0740N"</f>
        <v>09PPR0740N</v>
      </c>
      <c r="C2453" s="26" t="str">
        <f>"MAHATMA GANDHI                                                                                      "</f>
        <v xml:space="preserve">MAHATMA GANDHI                                                                                      </v>
      </c>
      <c r="D2453" s="26" t="str">
        <f t="shared" ref="D2453:D2516" si="414">"MATUTINO"</f>
        <v>MATUTINO</v>
      </c>
      <c r="E2453" s="26" t="str">
        <f>"EJIDO SAN LORENZO TEZONCO NUM 184                                               "</f>
        <v xml:space="preserve">EJIDO SAN LORENZO TEZONCO NUM 184                                               </v>
      </c>
      <c r="F2453" s="26" t="str">
        <f>"SAN FRANCISCO CULHUACAN                                                                                                                     "</f>
        <v xml:space="preserve">SAN FRANCISCO CULHUACAN                                                                                                                     </v>
      </c>
      <c r="G2453" s="26" t="str">
        <f>"COYOACAN                                                                        "</f>
        <v xml:space="preserve">COYOACAN                                                                        </v>
      </c>
      <c r="H2453" s="26" t="str">
        <f>"566"</f>
        <v>566</v>
      </c>
      <c r="I2453" s="26" t="str">
        <f t="shared" si="409"/>
        <v>00</v>
      </c>
      <c r="J2453" s="26" t="str">
        <f>"45 "</f>
        <v xml:space="preserve">45 </v>
      </c>
      <c r="K2453" s="26" t="str">
        <f>"PR"</f>
        <v>PR</v>
      </c>
      <c r="L2453" s="26" t="str">
        <f>"DGOSE"</f>
        <v>DGOSE</v>
      </c>
      <c r="M2453" s="26" t="str">
        <f t="shared" si="413"/>
        <v>PARTICULAR</v>
      </c>
      <c r="N2453" s="26">
        <v>356</v>
      </c>
      <c r="O2453" s="26">
        <v>175</v>
      </c>
      <c r="P2453" s="26">
        <v>181</v>
      </c>
      <c r="Q2453" s="26">
        <v>15</v>
      </c>
      <c r="R2453" s="26">
        <v>1</v>
      </c>
      <c r="S2453" s="26">
        <v>8</v>
      </c>
      <c r="T2453" s="26">
        <v>14</v>
      </c>
      <c r="U2453" s="26">
        <v>23</v>
      </c>
      <c r="V2453" s="26">
        <v>1</v>
      </c>
      <c r="W2453" s="26"/>
    </row>
    <row r="2454" spans="1:23" x14ac:dyDescent="0.25">
      <c r="A2454" s="26" t="str">
        <f t="shared" si="408"/>
        <v>PRIMARIA</v>
      </c>
      <c r="B2454" s="26" t="str">
        <f>"09PPR0741M"</f>
        <v>09PPR0741M</v>
      </c>
      <c r="C2454" s="26" t="str">
        <f>"INSTITUTO CULTURAL EDUCATIVO ""FRATELLI""                                                             "</f>
        <v xml:space="preserve">INSTITUTO CULTURAL EDUCATIVO "FRATELLI"                                                             </v>
      </c>
      <c r="D2454" s="26" t="str">
        <f t="shared" si="414"/>
        <v>MATUTINO</v>
      </c>
      <c r="E2454" s="26" t="str">
        <f>"AVENIDA DE LOS ARCOS NUM. 157 (ANTES 160)                                       "</f>
        <v xml:space="preserve">AVENIDA DE LOS ARCOS NUM. 157 (ANTES 160)                                       </v>
      </c>
      <c r="F2454" s="26" t="str">
        <f>"JARDINES DEL SUR FRACCIONAMIENTO                                                                                                            "</f>
        <v xml:space="preserve">JARDINES DEL SUR FRACCIONAMIENTO                                                                                                            </v>
      </c>
      <c r="G2454" s="26" t="str">
        <f>"XOCHIMILCO                                                                      "</f>
        <v xml:space="preserve">XOCHIMILCO                                                                      </v>
      </c>
      <c r="H2454" s="26" t="str">
        <f>"534"</f>
        <v>534</v>
      </c>
      <c r="I2454" s="26" t="str">
        <f t="shared" si="409"/>
        <v>00</v>
      </c>
      <c r="J2454" s="26" t="str">
        <f>"45 "</f>
        <v xml:space="preserve">45 </v>
      </c>
      <c r="K2454" s="26" t="str">
        <f>"PR"</f>
        <v>PR</v>
      </c>
      <c r="L2454" s="26" t="str">
        <f>"DGOSE"</f>
        <v>DGOSE</v>
      </c>
      <c r="M2454" s="26" t="str">
        <f t="shared" si="413"/>
        <v>PARTICULAR</v>
      </c>
      <c r="N2454" s="26">
        <v>32</v>
      </c>
      <c r="O2454" s="26">
        <v>17</v>
      </c>
      <c r="P2454" s="26">
        <v>15</v>
      </c>
      <c r="Q2454" s="26">
        <v>6</v>
      </c>
      <c r="R2454" s="26">
        <v>1</v>
      </c>
      <c r="S2454" s="26">
        <v>3</v>
      </c>
      <c r="T2454" s="26">
        <v>5</v>
      </c>
      <c r="U2454" s="26">
        <v>9</v>
      </c>
      <c r="V2454" s="26">
        <v>1</v>
      </c>
      <c r="W2454" s="26"/>
    </row>
    <row r="2455" spans="1:23" x14ac:dyDescent="0.25">
      <c r="A2455" s="26" t="str">
        <f t="shared" si="408"/>
        <v>PRIMARIA</v>
      </c>
      <c r="B2455" s="26" t="str">
        <f>"09PPR0743K"</f>
        <v>09PPR0743K</v>
      </c>
      <c r="C2455" s="26" t="str">
        <f>"ALBERTINE A. NECKER                                                                                 "</f>
        <v xml:space="preserve">ALBERTINE A. NECKER                                                                                 </v>
      </c>
      <c r="D2455" s="26" t="str">
        <f t="shared" si="414"/>
        <v>MATUTINO</v>
      </c>
      <c r="E2455" s="26" t="str">
        <f>"ARNESES NO. 64                                                                  "</f>
        <v xml:space="preserve">ARNESES NO. 64                                                                  </v>
      </c>
      <c r="F2455" s="26" t="str">
        <f>"MINERVA                                                                                                                                     "</f>
        <v xml:space="preserve">MINERVA                                                                                                                                     </v>
      </c>
      <c r="G2455" s="26" t="str">
        <f>"IZTAPALAPA                                                                      "</f>
        <v xml:space="preserve">IZTAPALAPA                                                                      </v>
      </c>
      <c r="H2455" s="26" t="str">
        <f>"000"</f>
        <v>000</v>
      </c>
      <c r="I2455" s="26" t="str">
        <f t="shared" si="409"/>
        <v>00</v>
      </c>
      <c r="J2455" s="26" t="str">
        <f>"61 "</f>
        <v xml:space="preserve">61 </v>
      </c>
      <c r="K2455" s="26" t="str">
        <f>"IZ"</f>
        <v>IZ</v>
      </c>
      <c r="L2455" s="26" t="str">
        <f>"DGSEI"</f>
        <v>DGSEI</v>
      </c>
      <c r="M2455" s="26" t="str">
        <f t="shared" si="413"/>
        <v>PARTICULAR</v>
      </c>
      <c r="N2455" s="26">
        <v>70</v>
      </c>
      <c r="O2455" s="26">
        <v>36</v>
      </c>
      <c r="P2455" s="26">
        <v>34</v>
      </c>
      <c r="Q2455" s="26">
        <v>6</v>
      </c>
      <c r="R2455" s="26">
        <v>1</v>
      </c>
      <c r="S2455" s="26">
        <v>3</v>
      </c>
      <c r="T2455" s="26">
        <v>8</v>
      </c>
      <c r="U2455" s="26">
        <v>12</v>
      </c>
      <c r="V2455" s="26">
        <v>1</v>
      </c>
      <c r="W2455" s="26"/>
    </row>
    <row r="2456" spans="1:23" x14ac:dyDescent="0.25">
      <c r="A2456" s="26" t="str">
        <f t="shared" si="408"/>
        <v>PRIMARIA</v>
      </c>
      <c r="B2456" s="26" t="str">
        <f>"09PPR0744J"</f>
        <v>09PPR0744J</v>
      </c>
      <c r="C2456" s="26" t="str">
        <f>"TOMAS ALVA EDISON                                                                                   "</f>
        <v xml:space="preserve">TOMAS ALVA EDISON                                                                                   </v>
      </c>
      <c r="D2456" s="26" t="str">
        <f t="shared" si="414"/>
        <v>MATUTINO</v>
      </c>
      <c r="E2456" s="26" t="str">
        <f>"MANZANAS NUM 11 BARRIO ACTIPAN                                                  "</f>
        <v xml:space="preserve">MANZANAS NUM 11 BARRIO ACTIPAN                                                  </v>
      </c>
      <c r="F2456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2456" s="26" t="str">
        <f>"BENITO JUAREZ                                                                   "</f>
        <v xml:space="preserve">BENITO JUAREZ                                                                   </v>
      </c>
      <c r="H2456" s="26" t="str">
        <f>"000"</f>
        <v>000</v>
      </c>
      <c r="I2456" s="26" t="str">
        <f t="shared" si="409"/>
        <v>00</v>
      </c>
      <c r="J2456" s="26" t="str">
        <f>"43 "</f>
        <v xml:space="preserve">43 </v>
      </c>
      <c r="K2456" s="26" t="str">
        <f>"PR"</f>
        <v>PR</v>
      </c>
      <c r="L2456" s="26" t="str">
        <f>"DGOSE"</f>
        <v>DGOSE</v>
      </c>
      <c r="M2456" s="26" t="str">
        <f t="shared" si="413"/>
        <v>PARTICULAR</v>
      </c>
      <c r="N2456" s="26">
        <v>625</v>
      </c>
      <c r="O2456" s="26">
        <v>317</v>
      </c>
      <c r="P2456" s="26">
        <v>308</v>
      </c>
      <c r="Q2456" s="26">
        <v>21</v>
      </c>
      <c r="R2456" s="26">
        <v>1</v>
      </c>
      <c r="S2456" s="26">
        <v>21</v>
      </c>
      <c r="T2456" s="26">
        <v>63</v>
      </c>
      <c r="U2456" s="26">
        <v>85</v>
      </c>
      <c r="V2456" s="26">
        <v>1</v>
      </c>
      <c r="W2456" s="26"/>
    </row>
    <row r="2457" spans="1:23" x14ac:dyDescent="0.25">
      <c r="A2457" s="26" t="str">
        <f t="shared" si="408"/>
        <v>PRIMARIA</v>
      </c>
      <c r="B2457" s="26" t="str">
        <f>"09PPR0748F"</f>
        <v>09PPR0748F</v>
      </c>
      <c r="C2457" s="26" t="str">
        <f>"ANDRES OSUNA                                                                                        "</f>
        <v xml:space="preserve">ANDRES OSUNA                                                                                        </v>
      </c>
      <c r="D2457" s="26" t="str">
        <f t="shared" si="414"/>
        <v>MATUTINO</v>
      </c>
      <c r="E2457" s="26" t="str">
        <f>"BIOGRAFOS NO. 23                                                                "</f>
        <v xml:space="preserve">BIOGRAFOS NO. 23                                                                </v>
      </c>
      <c r="F2457" s="26" t="str">
        <f>"SIFON AMPLIACION                                                                                                                            "</f>
        <v xml:space="preserve">SIFON AMPLIACION                                                                                                                            </v>
      </c>
      <c r="G2457" s="26" t="str">
        <f>"IZTAPALAPA                                                                      "</f>
        <v xml:space="preserve">IZTAPALAPA                                                                      </v>
      </c>
      <c r="H2457" s="26" t="str">
        <f>"000"</f>
        <v>000</v>
      </c>
      <c r="I2457" s="26" t="str">
        <f t="shared" si="409"/>
        <v>00</v>
      </c>
      <c r="J2457" s="26" t="str">
        <f>"61 "</f>
        <v xml:space="preserve">61 </v>
      </c>
      <c r="K2457" s="26" t="str">
        <f>"IZ"</f>
        <v>IZ</v>
      </c>
      <c r="L2457" s="26" t="str">
        <f>"DGSEI"</f>
        <v>DGSEI</v>
      </c>
      <c r="M2457" s="26" t="str">
        <f t="shared" si="413"/>
        <v>PARTICULAR</v>
      </c>
      <c r="N2457" s="26">
        <v>85</v>
      </c>
      <c r="O2457" s="26">
        <v>44</v>
      </c>
      <c r="P2457" s="26">
        <v>41</v>
      </c>
      <c r="Q2457" s="26">
        <v>6</v>
      </c>
      <c r="R2457" s="26">
        <v>1</v>
      </c>
      <c r="S2457" s="26">
        <v>3</v>
      </c>
      <c r="T2457" s="26">
        <v>7</v>
      </c>
      <c r="U2457" s="26">
        <v>11</v>
      </c>
      <c r="V2457" s="26">
        <v>1</v>
      </c>
      <c r="W2457" s="26"/>
    </row>
    <row r="2458" spans="1:23" x14ac:dyDescent="0.25">
      <c r="A2458" s="26" t="str">
        <f t="shared" si="408"/>
        <v>PRIMARIA</v>
      </c>
      <c r="B2458" s="26" t="str">
        <f>"09PPR0750U"</f>
        <v>09PPR0750U</v>
      </c>
      <c r="C2458" s="26" t="str">
        <f>"LA ESCUELA DE LANCASTER                                                                             "</f>
        <v xml:space="preserve">LA ESCUELA DE LANCASTER                                                                             </v>
      </c>
      <c r="D2458" s="26" t="str">
        <f t="shared" si="414"/>
        <v>MATUTINO</v>
      </c>
      <c r="E2458" s="26" t="str">
        <f>"REY YUPANQUI NO 46                                                              "</f>
        <v xml:space="preserve">REY YUPANQUI NO 46                                                              </v>
      </c>
      <c r="F2458" s="26" t="str">
        <f>"TLALCOLIGIA                                                                                                                                 "</f>
        <v xml:space="preserve">TLALCOLIGIA                                                                                                                                 </v>
      </c>
      <c r="G2458" s="26" t="str">
        <f>"TLALPAN                                                                         "</f>
        <v xml:space="preserve">TLALPAN                                                                         </v>
      </c>
      <c r="H2458" s="26" t="str">
        <f>"522"</f>
        <v>522</v>
      </c>
      <c r="I2458" s="26" t="str">
        <f t="shared" si="409"/>
        <v>00</v>
      </c>
      <c r="J2458" s="26" t="str">
        <f>"45 "</f>
        <v xml:space="preserve">45 </v>
      </c>
      <c r="K2458" s="26" t="str">
        <f t="shared" ref="K2458:K2464" si="415">"PR"</f>
        <v>PR</v>
      </c>
      <c r="L2458" s="26" t="str">
        <f t="shared" ref="L2458:L2464" si="416">"DGOSE"</f>
        <v>DGOSE</v>
      </c>
      <c r="M2458" s="26" t="str">
        <f t="shared" si="413"/>
        <v>PARTICULAR</v>
      </c>
      <c r="N2458" s="26">
        <v>318</v>
      </c>
      <c r="O2458" s="26">
        <v>173</v>
      </c>
      <c r="P2458" s="26">
        <v>145</v>
      </c>
      <c r="Q2458" s="26">
        <v>13</v>
      </c>
      <c r="R2458" s="26">
        <v>1</v>
      </c>
      <c r="S2458" s="26">
        <v>6</v>
      </c>
      <c r="T2458" s="26">
        <v>15</v>
      </c>
      <c r="U2458" s="26">
        <v>22</v>
      </c>
      <c r="V2458" s="26">
        <v>1</v>
      </c>
      <c r="W2458" s="26"/>
    </row>
    <row r="2459" spans="1:23" x14ac:dyDescent="0.25">
      <c r="A2459" s="26" t="str">
        <f t="shared" si="408"/>
        <v>PRIMARIA</v>
      </c>
      <c r="B2459" s="26" t="str">
        <f>"09PPR0752S"</f>
        <v>09PPR0752S</v>
      </c>
      <c r="C2459" s="26" t="str">
        <f>"COLEGIO EUTERPE                                                                                     "</f>
        <v xml:space="preserve">COLEGIO EUTERPE                                                                                     </v>
      </c>
      <c r="D2459" s="26" t="str">
        <f t="shared" si="414"/>
        <v>MATUTINO</v>
      </c>
      <c r="E2459" s="26" t="str">
        <f>"2A CERRADA DE ALDAMA NO 19                                                      "</f>
        <v xml:space="preserve">2A CERRADA DE ALDAMA NO 19                                                      </v>
      </c>
      <c r="F2459" s="26" t="str">
        <f>"XOCHIMILCO                                                                                                                                  "</f>
        <v xml:space="preserve">XOCHIMILCO                                                                                                                                  </v>
      </c>
      <c r="G2459" s="26" t="str">
        <f>"XOCHIMILCO                                                                      "</f>
        <v xml:space="preserve">XOCHIMILCO                                                                      </v>
      </c>
      <c r="H2459" s="26" t="str">
        <f>"535"</f>
        <v>535</v>
      </c>
      <c r="I2459" s="26" t="str">
        <f t="shared" si="409"/>
        <v>00</v>
      </c>
      <c r="J2459" s="26" t="str">
        <f>"45 "</f>
        <v xml:space="preserve">45 </v>
      </c>
      <c r="K2459" s="26" t="str">
        <f t="shared" si="415"/>
        <v>PR</v>
      </c>
      <c r="L2459" s="26" t="str">
        <f t="shared" si="416"/>
        <v>DGOSE</v>
      </c>
      <c r="M2459" s="26" t="str">
        <f t="shared" si="413"/>
        <v>PARTICULAR</v>
      </c>
      <c r="N2459" s="26">
        <v>53</v>
      </c>
      <c r="O2459" s="26">
        <v>28</v>
      </c>
      <c r="P2459" s="26">
        <v>25</v>
      </c>
      <c r="Q2459" s="26">
        <v>6</v>
      </c>
      <c r="R2459" s="26">
        <v>1</v>
      </c>
      <c r="S2459" s="26">
        <v>3</v>
      </c>
      <c r="T2459" s="26">
        <v>6</v>
      </c>
      <c r="U2459" s="26">
        <v>10</v>
      </c>
      <c r="V2459" s="26">
        <v>1</v>
      </c>
      <c r="W2459" s="26"/>
    </row>
    <row r="2460" spans="1:23" x14ac:dyDescent="0.25">
      <c r="A2460" s="26" t="str">
        <f t="shared" si="408"/>
        <v>PRIMARIA</v>
      </c>
      <c r="B2460" s="26" t="str">
        <f>"09PPR0753R"</f>
        <v>09PPR0753R</v>
      </c>
      <c r="C2460" s="26" t="str">
        <f>"ALEXANDER FLEMING                                                                                   "</f>
        <v xml:space="preserve">ALEXANDER FLEMING                                                                                   </v>
      </c>
      <c r="D2460" s="26" t="str">
        <f t="shared" si="414"/>
        <v>MATUTINO</v>
      </c>
      <c r="E2460" s="26" t="str">
        <f>"ARENAL NO 29 ESQ INSURGENTES SUR                                                "</f>
        <v xml:space="preserve">ARENAL NO 29 ESQ INSURGENTES SUR                                                </v>
      </c>
      <c r="F2460" s="26" t="str">
        <f>"TLALPAN                                                                                                                                     "</f>
        <v xml:space="preserve">TLALPAN                                                                                                                                     </v>
      </c>
      <c r="G2460" s="26" t="str">
        <f>"TLALPAN                                                                         "</f>
        <v xml:space="preserve">TLALPAN                                                                         </v>
      </c>
      <c r="H2460" s="26" t="str">
        <f>"521"</f>
        <v>521</v>
      </c>
      <c r="I2460" s="26" t="str">
        <f t="shared" si="409"/>
        <v>00</v>
      </c>
      <c r="J2460" s="26" t="str">
        <f>"45 "</f>
        <v xml:space="preserve">45 </v>
      </c>
      <c r="K2460" s="26" t="str">
        <f t="shared" si="415"/>
        <v>PR</v>
      </c>
      <c r="L2460" s="26" t="str">
        <f t="shared" si="416"/>
        <v>DGOSE</v>
      </c>
      <c r="M2460" s="26" t="str">
        <f t="shared" si="413"/>
        <v>PARTICULAR</v>
      </c>
      <c r="N2460" s="26">
        <v>51</v>
      </c>
      <c r="O2460" s="26">
        <v>32</v>
      </c>
      <c r="P2460" s="26">
        <v>19</v>
      </c>
      <c r="Q2460" s="26">
        <v>6</v>
      </c>
      <c r="R2460" s="26">
        <v>1</v>
      </c>
      <c r="S2460" s="26">
        <v>3</v>
      </c>
      <c r="T2460" s="26">
        <v>5</v>
      </c>
      <c r="U2460" s="26">
        <v>9</v>
      </c>
      <c r="V2460" s="26">
        <v>1</v>
      </c>
      <c r="W2460" s="26"/>
    </row>
    <row r="2461" spans="1:23" x14ac:dyDescent="0.25">
      <c r="A2461" s="26" t="str">
        <f t="shared" si="408"/>
        <v>PRIMARIA</v>
      </c>
      <c r="B2461" s="26" t="str">
        <f>"09PPR0755P"</f>
        <v>09PPR0755P</v>
      </c>
      <c r="C2461" s="26" t="str">
        <f>"COLEGIO BELFORT                                                                                     "</f>
        <v xml:space="preserve">COLEGIO BELFORT                                                                                     </v>
      </c>
      <c r="D2461" s="26" t="str">
        <f t="shared" si="414"/>
        <v>MATUTINO</v>
      </c>
      <c r="E2461" s="26" t="str">
        <f>"ESCOLLO NUM. 225                                                                "</f>
        <v xml:space="preserve">ESCOLLO NUM. 225                                                                </v>
      </c>
      <c r="F2461" s="26" t="str">
        <f>"LAS AGUILAS AMPLIACION                                                                                                                      "</f>
        <v xml:space="preserve">LAS AGUILAS AMPLIACION                                                                                                                      </v>
      </c>
      <c r="G2461" s="26" t="str">
        <f>"ALVARO OBREGON                                                                  "</f>
        <v xml:space="preserve">ALVARO OBREGON                                                                  </v>
      </c>
      <c r="H2461" s="26" t="str">
        <f>"322"</f>
        <v>322</v>
      </c>
      <c r="I2461" s="26" t="str">
        <f t="shared" si="409"/>
        <v>00</v>
      </c>
      <c r="J2461" s="26" t="str">
        <f>"43 "</f>
        <v xml:space="preserve">43 </v>
      </c>
      <c r="K2461" s="26" t="str">
        <f t="shared" si="415"/>
        <v>PR</v>
      </c>
      <c r="L2461" s="26" t="str">
        <f t="shared" si="416"/>
        <v>DGOSE</v>
      </c>
      <c r="M2461" s="26" t="str">
        <f t="shared" si="413"/>
        <v>PARTICULAR</v>
      </c>
      <c r="N2461" s="26">
        <v>134</v>
      </c>
      <c r="O2461" s="26">
        <v>65</v>
      </c>
      <c r="P2461" s="26">
        <v>69</v>
      </c>
      <c r="Q2461" s="26">
        <v>6</v>
      </c>
      <c r="R2461" s="26">
        <v>1</v>
      </c>
      <c r="S2461" s="26">
        <v>6</v>
      </c>
      <c r="T2461" s="26">
        <v>7</v>
      </c>
      <c r="U2461" s="26">
        <v>14</v>
      </c>
      <c r="V2461" s="26">
        <v>1</v>
      </c>
      <c r="W2461" s="26"/>
    </row>
    <row r="2462" spans="1:23" x14ac:dyDescent="0.25">
      <c r="A2462" s="26" t="str">
        <f t="shared" si="408"/>
        <v>PRIMARIA</v>
      </c>
      <c r="B2462" s="26" t="str">
        <f>"09PPR0756O"</f>
        <v>09PPR0756O</v>
      </c>
      <c r="C2462" s="26" t="str">
        <f>"TOMAS MORO                                                                                          "</f>
        <v xml:space="preserve">TOMAS MORO                                                                                          </v>
      </c>
      <c r="D2462" s="26" t="str">
        <f t="shared" si="414"/>
        <v>MATUTINO</v>
      </c>
      <c r="E2462" s="26" t="str">
        <f>"CALLE MAGUEY NUM 64                                                             "</f>
        <v xml:space="preserve">CALLE MAGUEY NUM 64                                                             </v>
      </c>
      <c r="F2462" s="26" t="str">
        <f>"SAN JOSE DE LOS CEDROS                                                                                                                      "</f>
        <v xml:space="preserve">SAN JOSE DE LOS CEDROS                                                                                                                      </v>
      </c>
      <c r="G2462" s="26" t="str">
        <f>"CUAJIMALPA DE MORELOS                                                           "</f>
        <v xml:space="preserve">CUAJIMALPA DE MORELOS                                                           </v>
      </c>
      <c r="H2462" s="26" t="str">
        <f>"302"</f>
        <v>302</v>
      </c>
      <c r="I2462" s="26" t="str">
        <f t="shared" si="409"/>
        <v>00</v>
      </c>
      <c r="J2462" s="26" t="str">
        <f>"43 "</f>
        <v xml:space="preserve">43 </v>
      </c>
      <c r="K2462" s="26" t="str">
        <f t="shared" si="415"/>
        <v>PR</v>
      </c>
      <c r="L2462" s="26" t="str">
        <f t="shared" si="416"/>
        <v>DGOSE</v>
      </c>
      <c r="M2462" s="26" t="str">
        <f t="shared" si="413"/>
        <v>PARTICULAR</v>
      </c>
      <c r="N2462" s="26">
        <v>309</v>
      </c>
      <c r="O2462" s="26">
        <v>158</v>
      </c>
      <c r="P2462" s="26">
        <v>151</v>
      </c>
      <c r="Q2462" s="26">
        <v>12</v>
      </c>
      <c r="R2462" s="26">
        <v>1</v>
      </c>
      <c r="S2462" s="26">
        <v>6</v>
      </c>
      <c r="T2462" s="26">
        <v>20</v>
      </c>
      <c r="U2462" s="26">
        <v>27</v>
      </c>
      <c r="V2462" s="26">
        <v>1</v>
      </c>
      <c r="W2462" s="26"/>
    </row>
    <row r="2463" spans="1:23" x14ac:dyDescent="0.25">
      <c r="A2463" s="26" t="str">
        <f t="shared" si="408"/>
        <v>PRIMARIA</v>
      </c>
      <c r="B2463" s="26" t="str">
        <f>"09PPR0757N"</f>
        <v>09PPR0757N</v>
      </c>
      <c r="C2463" s="26" t="str">
        <f>"DECROLY                                                                                             "</f>
        <v xml:space="preserve">DECROLY                                                                                             </v>
      </c>
      <c r="D2463" s="26" t="str">
        <f t="shared" si="414"/>
        <v>MATUTINO</v>
      </c>
      <c r="E2463" s="26" t="str">
        <f>"ZACATECAS 88                                                                    "</f>
        <v xml:space="preserve">ZACATECAS 88                                                                    </v>
      </c>
      <c r="F2463" s="26" t="str">
        <f>"ROMA NORTE                                                                                                                                  "</f>
        <v xml:space="preserve">ROMA NORTE                                                                                                                                  </v>
      </c>
      <c r="G2463" s="26" t="str">
        <f>"CUAUHTEMOC                                                                      "</f>
        <v xml:space="preserve">CUAUHTEMOC                                                                      </v>
      </c>
      <c r="H2463" s="26" t="str">
        <f>"000"</f>
        <v>000</v>
      </c>
      <c r="I2463" s="26" t="str">
        <f t="shared" si="409"/>
        <v>00</v>
      </c>
      <c r="J2463" s="26" t="str">
        <f>"42 "</f>
        <v xml:space="preserve">42 </v>
      </c>
      <c r="K2463" s="26" t="str">
        <f t="shared" si="415"/>
        <v>PR</v>
      </c>
      <c r="L2463" s="26" t="str">
        <f t="shared" si="416"/>
        <v>DGOSE</v>
      </c>
      <c r="M2463" s="26" t="str">
        <f t="shared" si="413"/>
        <v>PARTICULAR</v>
      </c>
      <c r="N2463" s="26">
        <v>178</v>
      </c>
      <c r="O2463" s="26">
        <v>97</v>
      </c>
      <c r="P2463" s="26">
        <v>81</v>
      </c>
      <c r="Q2463" s="26">
        <v>6</v>
      </c>
      <c r="R2463" s="26">
        <v>0</v>
      </c>
      <c r="S2463" s="26">
        <v>6</v>
      </c>
      <c r="T2463" s="26">
        <v>7</v>
      </c>
      <c r="U2463" s="26">
        <v>13</v>
      </c>
      <c r="V2463" s="26">
        <v>1</v>
      </c>
      <c r="W2463" s="26"/>
    </row>
    <row r="2464" spans="1:23" x14ac:dyDescent="0.25">
      <c r="A2464" s="26" t="str">
        <f t="shared" si="408"/>
        <v>PRIMARIA</v>
      </c>
      <c r="B2464" s="26" t="str">
        <f>"09PPR0759L"</f>
        <v>09PPR0759L</v>
      </c>
      <c r="C2464" s="26" t="str">
        <f>"COLEGIO CAMPESTRE COYOACAN                                                                          "</f>
        <v xml:space="preserve">COLEGIO CAMPESTRE COYOACAN                                                                          </v>
      </c>
      <c r="D2464" s="26" t="str">
        <f t="shared" si="414"/>
        <v>MATUTINO</v>
      </c>
      <c r="E2464" s="26" t="str">
        <f>"RANCHO SAN MIGUEL NO 4                                                          "</f>
        <v xml:space="preserve">RANCHO SAN MIGUEL NO 4                                                          </v>
      </c>
      <c r="F2464" s="26" t="str">
        <f>"CAMPESTRE COYOACAN                                                                                                                          "</f>
        <v xml:space="preserve">CAMPESTRE COYOACAN                                                                                                                          </v>
      </c>
      <c r="G2464" s="26" t="str">
        <f>"COYOACAN                                                                        "</f>
        <v xml:space="preserve">COYOACAN                                                                        </v>
      </c>
      <c r="H2464" s="26" t="str">
        <f>"510"</f>
        <v>510</v>
      </c>
      <c r="I2464" s="26" t="str">
        <f t="shared" si="409"/>
        <v>00</v>
      </c>
      <c r="J2464" s="26" t="str">
        <f>"45 "</f>
        <v xml:space="preserve">45 </v>
      </c>
      <c r="K2464" s="26" t="str">
        <f t="shared" si="415"/>
        <v>PR</v>
      </c>
      <c r="L2464" s="26" t="str">
        <f t="shared" si="416"/>
        <v>DGOSE</v>
      </c>
      <c r="M2464" s="26" t="str">
        <f t="shared" si="413"/>
        <v>PARTICULAR</v>
      </c>
      <c r="N2464" s="26">
        <v>130</v>
      </c>
      <c r="O2464" s="26">
        <v>67</v>
      </c>
      <c r="P2464" s="26">
        <v>63</v>
      </c>
      <c r="Q2464" s="26">
        <v>6</v>
      </c>
      <c r="R2464" s="26">
        <v>1</v>
      </c>
      <c r="S2464" s="26">
        <v>3</v>
      </c>
      <c r="T2464" s="26">
        <v>12</v>
      </c>
      <c r="U2464" s="26">
        <v>16</v>
      </c>
      <c r="V2464" s="26">
        <v>1</v>
      </c>
      <c r="W2464" s="26"/>
    </row>
    <row r="2465" spans="1:23" x14ac:dyDescent="0.25">
      <c r="A2465" s="26" t="str">
        <f t="shared" si="408"/>
        <v>PRIMARIA</v>
      </c>
      <c r="B2465" s="26" t="str">
        <f>"09PPR0760A"</f>
        <v>09PPR0760A</v>
      </c>
      <c r="C2465" s="26" t="str">
        <f>"JUAN DE DIOS BATIZ                                                                                  "</f>
        <v xml:space="preserve">JUAN DE DIOS BATIZ                                                                                  </v>
      </c>
      <c r="D2465" s="26" t="str">
        <f t="shared" si="414"/>
        <v>MATUTINO</v>
      </c>
      <c r="E2465" s="26" t="str">
        <f>"JOSE DEL RIO NO. 170-A                                                          "</f>
        <v xml:space="preserve">JOSE DEL RIO NO. 170-A                                                          </v>
      </c>
      <c r="F2465" s="26" t="str">
        <f>"SANTA MARTHA ACATITLA                                                                                                                       "</f>
        <v xml:space="preserve">SANTA MARTHA ACATITLA                                                                                                                       </v>
      </c>
      <c r="G2465" s="26" t="str">
        <f>"IZTAPALAPA                                                                      "</f>
        <v xml:space="preserve">IZTAPALAPA                                                                      </v>
      </c>
      <c r="H2465" s="26" t="str">
        <f>"000"</f>
        <v>000</v>
      </c>
      <c r="I2465" s="26" t="str">
        <f t="shared" si="409"/>
        <v>00</v>
      </c>
      <c r="J2465" s="26" t="str">
        <f>"62 "</f>
        <v xml:space="preserve">62 </v>
      </c>
      <c r="K2465" s="26" t="str">
        <f>"IZ"</f>
        <v>IZ</v>
      </c>
      <c r="L2465" s="26" t="str">
        <f>"DGSEI"</f>
        <v>DGSEI</v>
      </c>
      <c r="M2465" s="26" t="str">
        <f t="shared" si="413"/>
        <v>PARTICULAR</v>
      </c>
      <c r="N2465" s="26">
        <v>26</v>
      </c>
      <c r="O2465" s="26">
        <v>20</v>
      </c>
      <c r="P2465" s="26">
        <v>6</v>
      </c>
      <c r="Q2465" s="26">
        <v>6</v>
      </c>
      <c r="R2465" s="26">
        <v>1</v>
      </c>
      <c r="S2465" s="26">
        <v>6</v>
      </c>
      <c r="T2465" s="26">
        <v>3</v>
      </c>
      <c r="U2465" s="26">
        <v>10</v>
      </c>
      <c r="V2465" s="26">
        <v>1</v>
      </c>
      <c r="W2465" s="26"/>
    </row>
    <row r="2466" spans="1:23" x14ac:dyDescent="0.25">
      <c r="A2466" s="26" t="str">
        <f t="shared" si="408"/>
        <v>PRIMARIA</v>
      </c>
      <c r="B2466" s="26" t="str">
        <f>"09PPR0763Y"</f>
        <v>09PPR0763Y</v>
      </c>
      <c r="C2466" s="26" t="str">
        <f>"COLEGIO LIBERTADORES DE AMERICA                                                                     "</f>
        <v xml:space="preserve">COLEGIO LIBERTADORES DE AMERICA                                                                     </v>
      </c>
      <c r="D2466" s="26" t="str">
        <f t="shared" si="414"/>
        <v>MATUTINO</v>
      </c>
      <c r="E2466" s="26" t="str">
        <f>"AV SAN FERNANDO NUM 93                                                          "</f>
        <v xml:space="preserve">AV SAN FERNANDO NUM 93                                                          </v>
      </c>
      <c r="F2466" s="26" t="str">
        <f>"PEÑA POBRE                                                                                                                                  "</f>
        <v xml:space="preserve">PEÑA POBRE                                                                                                                                  </v>
      </c>
      <c r="G2466" s="26" t="str">
        <f>"TLALPAN                                                                         "</f>
        <v xml:space="preserve">TLALPAN                                                                         </v>
      </c>
      <c r="H2466" s="26" t="str">
        <f>"519"</f>
        <v>519</v>
      </c>
      <c r="I2466" s="26" t="str">
        <f t="shared" si="409"/>
        <v>00</v>
      </c>
      <c r="J2466" s="26" t="str">
        <f>"45 "</f>
        <v xml:space="preserve">45 </v>
      </c>
      <c r="K2466" s="26" t="str">
        <f t="shared" ref="K2466:K2475" si="417">"PR"</f>
        <v>PR</v>
      </c>
      <c r="L2466" s="26" t="str">
        <f t="shared" ref="L2466:L2475" si="418">"DGOSE"</f>
        <v>DGOSE</v>
      </c>
      <c r="M2466" s="26" t="str">
        <f t="shared" si="413"/>
        <v>PARTICULAR</v>
      </c>
      <c r="N2466" s="26">
        <v>160</v>
      </c>
      <c r="O2466" s="26">
        <v>91</v>
      </c>
      <c r="P2466" s="26">
        <v>69</v>
      </c>
      <c r="Q2466" s="26">
        <v>10</v>
      </c>
      <c r="R2466" s="26">
        <v>1</v>
      </c>
      <c r="S2466" s="26">
        <v>6</v>
      </c>
      <c r="T2466" s="26">
        <v>6</v>
      </c>
      <c r="U2466" s="26">
        <v>13</v>
      </c>
      <c r="V2466" s="26">
        <v>1</v>
      </c>
      <c r="W2466" s="26"/>
    </row>
    <row r="2467" spans="1:23" x14ac:dyDescent="0.25">
      <c r="A2467" s="26" t="str">
        <f t="shared" si="408"/>
        <v>PRIMARIA</v>
      </c>
      <c r="B2467" s="26" t="str">
        <f>"09PPR0765W"</f>
        <v>09PPR0765W</v>
      </c>
      <c r="C2467" s="26" t="str">
        <f>"COLEGIO GABRIEL FERNANDEZ LEDESMA                                                                   "</f>
        <v xml:space="preserve">COLEGIO GABRIEL FERNANDEZ LEDESMA                                                                   </v>
      </c>
      <c r="D2467" s="26" t="str">
        <f t="shared" si="414"/>
        <v>MATUTINO</v>
      </c>
      <c r="E2467" s="26" t="str">
        <f>"INDUSTRIA NO 1                                                                  "</f>
        <v xml:space="preserve">INDUSTRIA NO 1                                                                  </v>
      </c>
      <c r="F2467" s="26" t="str">
        <f>"TEPEYAC INSURGENTES                                                                                                                         "</f>
        <v xml:space="preserve">TEPEYAC INSURGENTES                                                                                                                         </v>
      </c>
      <c r="G2467" s="26" t="str">
        <f>"GUSTAVO A. MADERO                                                               "</f>
        <v xml:space="preserve">GUSTAVO A. MADERO                                                               </v>
      </c>
      <c r="H2467" s="26" t="str">
        <f>"244"</f>
        <v>244</v>
      </c>
      <c r="I2467" s="26" t="str">
        <f t="shared" si="409"/>
        <v>00</v>
      </c>
      <c r="J2467" s="26" t="str">
        <f>"42 "</f>
        <v xml:space="preserve">42 </v>
      </c>
      <c r="K2467" s="26" t="str">
        <f t="shared" si="417"/>
        <v>PR</v>
      </c>
      <c r="L2467" s="26" t="str">
        <f t="shared" si="418"/>
        <v>DGOSE</v>
      </c>
      <c r="M2467" s="26" t="str">
        <f t="shared" si="413"/>
        <v>PARTICULAR</v>
      </c>
      <c r="N2467" s="26">
        <v>23</v>
      </c>
      <c r="O2467" s="26">
        <v>17</v>
      </c>
      <c r="P2467" s="26">
        <v>6</v>
      </c>
      <c r="Q2467" s="26">
        <v>6</v>
      </c>
      <c r="R2467" s="26">
        <v>1</v>
      </c>
      <c r="S2467" s="26">
        <v>6</v>
      </c>
      <c r="T2467" s="26">
        <v>6</v>
      </c>
      <c r="U2467" s="26">
        <v>13</v>
      </c>
      <c r="V2467" s="26">
        <v>1</v>
      </c>
      <c r="W2467" s="26"/>
    </row>
    <row r="2468" spans="1:23" x14ac:dyDescent="0.25">
      <c r="A2468" s="26" t="str">
        <f t="shared" si="408"/>
        <v>PRIMARIA</v>
      </c>
      <c r="B2468" s="26" t="str">
        <f>"09PPR0766V"</f>
        <v>09PPR0766V</v>
      </c>
      <c r="C2468" s="26" t="str">
        <f>"LUCES DEL SABER                                                                                     "</f>
        <v xml:space="preserve">LUCES DEL SABER                                                                                     </v>
      </c>
      <c r="D2468" s="26" t="str">
        <f t="shared" si="414"/>
        <v>MATUTINO</v>
      </c>
      <c r="E2468" s="26" t="str">
        <f>"ORIENTE 159 NO 3305                                                             "</f>
        <v xml:space="preserve">ORIENTE 159 NO 3305                                                             </v>
      </c>
      <c r="F2468" s="26" t="str">
        <f>"SALVADOR DIAZ MIRON                                                                                                                         "</f>
        <v xml:space="preserve">SALVADOR DIAZ MIRON                                                                                                                         </v>
      </c>
      <c r="G2468" s="26" t="str">
        <f>"GUSTAVO A. MADERO                                                               "</f>
        <v xml:space="preserve">GUSTAVO A. MADERO                                                               </v>
      </c>
      <c r="H2468" s="26" t="str">
        <f>"259"</f>
        <v>259</v>
      </c>
      <c r="I2468" s="26" t="str">
        <f t="shared" si="409"/>
        <v>00</v>
      </c>
      <c r="J2468" s="26" t="str">
        <f>"42 "</f>
        <v xml:space="preserve">42 </v>
      </c>
      <c r="K2468" s="26" t="str">
        <f t="shared" si="417"/>
        <v>PR</v>
      </c>
      <c r="L2468" s="26" t="str">
        <f t="shared" si="418"/>
        <v>DGOSE</v>
      </c>
      <c r="M2468" s="26" t="str">
        <f t="shared" si="413"/>
        <v>PARTICULAR</v>
      </c>
      <c r="N2468" s="26">
        <v>35</v>
      </c>
      <c r="O2468" s="26">
        <v>21</v>
      </c>
      <c r="P2468" s="26">
        <v>14</v>
      </c>
      <c r="Q2468" s="26">
        <v>6</v>
      </c>
      <c r="R2468" s="26">
        <v>1</v>
      </c>
      <c r="S2468" s="26">
        <v>6</v>
      </c>
      <c r="T2468" s="26">
        <v>5</v>
      </c>
      <c r="U2468" s="26">
        <v>12</v>
      </c>
      <c r="V2468" s="26">
        <v>1</v>
      </c>
      <c r="W2468" s="26"/>
    </row>
    <row r="2469" spans="1:23" x14ac:dyDescent="0.25">
      <c r="A2469" s="26" t="str">
        <f t="shared" si="408"/>
        <v>PRIMARIA</v>
      </c>
      <c r="B2469" s="26" t="str">
        <f>"09PPR0767U"</f>
        <v>09PPR0767U</v>
      </c>
      <c r="C2469" s="26" t="str">
        <f>"ANTONIO DE OBREGON Y ALCOCER                                                                        "</f>
        <v xml:space="preserve">ANTONIO DE OBREGON Y ALCOCER                                                                        </v>
      </c>
      <c r="D2469" s="26" t="str">
        <f t="shared" si="414"/>
        <v>MATUTINO</v>
      </c>
      <c r="E2469" s="26" t="str">
        <f>"MATANZAS NUM 1039                                                               "</f>
        <v xml:space="preserve">MATANZAS NUM 1039                                                               </v>
      </c>
      <c r="F2469" s="26" t="str">
        <f>"RESIDENCIAL ZACATENCO                                                                                                                       "</f>
        <v xml:space="preserve">RESIDENCIAL ZACATENCO                                                                                                                       </v>
      </c>
      <c r="G2469" s="26" t="str">
        <f>"GUSTAVO A. MADERO                                                               "</f>
        <v xml:space="preserve">GUSTAVO A. MADERO                                                               </v>
      </c>
      <c r="H2469" s="26" t="str">
        <f>"243"</f>
        <v>243</v>
      </c>
      <c r="I2469" s="26" t="str">
        <f t="shared" si="409"/>
        <v>00</v>
      </c>
      <c r="J2469" s="26" t="str">
        <f>"42 "</f>
        <v xml:space="preserve">42 </v>
      </c>
      <c r="K2469" s="26" t="str">
        <f t="shared" si="417"/>
        <v>PR</v>
      </c>
      <c r="L2469" s="26" t="str">
        <f t="shared" si="418"/>
        <v>DGOSE</v>
      </c>
      <c r="M2469" s="26" t="str">
        <f t="shared" si="413"/>
        <v>PARTICULAR</v>
      </c>
      <c r="N2469" s="26">
        <v>22</v>
      </c>
      <c r="O2469" s="26">
        <v>14</v>
      </c>
      <c r="P2469" s="26">
        <v>8</v>
      </c>
      <c r="Q2469" s="26">
        <v>5</v>
      </c>
      <c r="R2469" s="26">
        <v>1</v>
      </c>
      <c r="S2469" s="26">
        <v>2</v>
      </c>
      <c r="T2469" s="26">
        <v>2</v>
      </c>
      <c r="U2469" s="26">
        <v>5</v>
      </c>
      <c r="V2469" s="26">
        <v>1</v>
      </c>
      <c r="W2469" s="26"/>
    </row>
    <row r="2470" spans="1:23" x14ac:dyDescent="0.25">
      <c r="A2470" s="26" t="str">
        <f t="shared" si="408"/>
        <v>PRIMARIA</v>
      </c>
      <c r="B2470" s="26" t="str">
        <f>"09PPR0768T"</f>
        <v>09PPR0768T</v>
      </c>
      <c r="C2470" s="26" t="str">
        <f>"COLEGIO BRITANIA                                                                                    "</f>
        <v xml:space="preserve">COLEGIO BRITANIA                                                                                    </v>
      </c>
      <c r="D2470" s="26" t="str">
        <f t="shared" si="414"/>
        <v>MATUTINO</v>
      </c>
      <c r="E2470" s="26" t="str">
        <f>"AV SANTA LUCIA NUM 1533                                                         "</f>
        <v xml:space="preserve">AV SANTA LUCIA NUM 1533                                                         </v>
      </c>
      <c r="F2470" s="26" t="str">
        <f>"COLINAS DEL SUR                                                                                                                             "</f>
        <v xml:space="preserve">COLINAS DEL SUR                                                                                                                             </v>
      </c>
      <c r="G2470" s="26" t="str">
        <f>"ALVARO OBREGON                                                                  "</f>
        <v xml:space="preserve">ALVARO OBREGON                                                                  </v>
      </c>
      <c r="H2470" s="26" t="str">
        <f>"315"</f>
        <v>315</v>
      </c>
      <c r="I2470" s="26" t="str">
        <f t="shared" si="409"/>
        <v>00</v>
      </c>
      <c r="J2470" s="26" t="str">
        <f>"43 "</f>
        <v xml:space="preserve">43 </v>
      </c>
      <c r="K2470" s="26" t="str">
        <f t="shared" si="417"/>
        <v>PR</v>
      </c>
      <c r="L2470" s="26" t="str">
        <f t="shared" si="418"/>
        <v>DGOSE</v>
      </c>
      <c r="M2470" s="26" t="str">
        <f t="shared" si="413"/>
        <v>PARTICULAR</v>
      </c>
      <c r="N2470" s="26">
        <v>86</v>
      </c>
      <c r="O2470" s="26">
        <v>45</v>
      </c>
      <c r="P2470" s="26">
        <v>41</v>
      </c>
      <c r="Q2470" s="26">
        <v>6</v>
      </c>
      <c r="R2470" s="26">
        <v>1</v>
      </c>
      <c r="S2470" s="26">
        <v>3</v>
      </c>
      <c r="T2470" s="26">
        <v>9</v>
      </c>
      <c r="U2470" s="26">
        <v>13</v>
      </c>
      <c r="V2470" s="26">
        <v>1</v>
      </c>
      <c r="W2470" s="26"/>
    </row>
    <row r="2471" spans="1:23" x14ac:dyDescent="0.25">
      <c r="A2471" s="26" t="str">
        <f t="shared" si="408"/>
        <v>PRIMARIA</v>
      </c>
      <c r="B2471" s="26" t="str">
        <f>"09PPR0771G"</f>
        <v>09PPR0771G</v>
      </c>
      <c r="C2471" s="26" t="str">
        <f>"ENRIQUE REBSAMEN                                                                                    "</f>
        <v xml:space="preserve">ENRIQUE REBSAMEN                                                                                    </v>
      </c>
      <c r="D2471" s="26" t="str">
        <f t="shared" si="414"/>
        <v>MATUTINO</v>
      </c>
      <c r="E2471" s="26" t="str">
        <f>"RANCHO TAMBOREO # 11                                                            "</f>
        <v xml:space="preserve">RANCHO TAMBOREO # 11                                                            </v>
      </c>
      <c r="F2471" s="26" t="str">
        <f>"NUEVA ORIENTAL                                                                                                                              "</f>
        <v xml:space="preserve">NUEVA ORIENTAL                                                                                                                              </v>
      </c>
      <c r="G2471" s="26" t="str">
        <f>"TLALPAN                                                                         "</f>
        <v xml:space="preserve">TLALPAN                                                                         </v>
      </c>
      <c r="H2471" s="26" t="str">
        <f>"525"</f>
        <v>525</v>
      </c>
      <c r="I2471" s="26" t="str">
        <f t="shared" si="409"/>
        <v>00</v>
      </c>
      <c r="J2471" s="26" t="str">
        <f>"45 "</f>
        <v xml:space="preserve">45 </v>
      </c>
      <c r="K2471" s="26" t="str">
        <f t="shared" si="417"/>
        <v>PR</v>
      </c>
      <c r="L2471" s="26" t="str">
        <f t="shared" si="418"/>
        <v>DGOSE</v>
      </c>
      <c r="M2471" s="26" t="str">
        <f t="shared" si="413"/>
        <v>PARTICULAR</v>
      </c>
      <c r="N2471" s="26">
        <v>184</v>
      </c>
      <c r="O2471" s="26">
        <v>91</v>
      </c>
      <c r="P2471" s="26">
        <v>93</v>
      </c>
      <c r="Q2471" s="26">
        <v>11</v>
      </c>
      <c r="R2471" s="26">
        <v>1</v>
      </c>
      <c r="S2471" s="26">
        <v>11</v>
      </c>
      <c r="T2471" s="26">
        <v>11</v>
      </c>
      <c r="U2471" s="26">
        <v>23</v>
      </c>
      <c r="V2471" s="26">
        <v>1</v>
      </c>
      <c r="W2471" s="26"/>
    </row>
    <row r="2472" spans="1:23" x14ac:dyDescent="0.25">
      <c r="A2472" s="26" t="str">
        <f t="shared" si="408"/>
        <v>PRIMARIA</v>
      </c>
      <c r="B2472" s="26" t="str">
        <f>"09PPR0773E"</f>
        <v>09PPR0773E</v>
      </c>
      <c r="C2472" s="26" t="str">
        <f>"ATLAPULCO                                                                                           "</f>
        <v xml:space="preserve">ATLAPULCO                                                                                           </v>
      </c>
      <c r="D2472" s="26" t="str">
        <f t="shared" si="414"/>
        <v>MATUTINO</v>
      </c>
      <c r="E2472" s="26" t="str">
        <f>"AV MEXICO ORIENTE NO. 48                                                        "</f>
        <v xml:space="preserve">AV MEXICO ORIENTE NO. 48                                                        </v>
      </c>
      <c r="F2472" s="26" t="str">
        <f>"SAN GREGORIO ATLAPULCO                                                                                                                      "</f>
        <v xml:space="preserve">SAN GREGORIO ATLAPULCO                                                                                                                      </v>
      </c>
      <c r="G2472" s="26" t="str">
        <f>"XOCHIMILCO                                                                      "</f>
        <v xml:space="preserve">XOCHIMILCO                                                                      </v>
      </c>
      <c r="H2472" s="26" t="str">
        <f>"543"</f>
        <v>543</v>
      </c>
      <c r="I2472" s="26" t="str">
        <f t="shared" si="409"/>
        <v>00</v>
      </c>
      <c r="J2472" s="26" t="str">
        <f>"45 "</f>
        <v xml:space="preserve">45 </v>
      </c>
      <c r="K2472" s="26" t="str">
        <f t="shared" si="417"/>
        <v>PR</v>
      </c>
      <c r="L2472" s="26" t="str">
        <f t="shared" si="418"/>
        <v>DGOSE</v>
      </c>
      <c r="M2472" s="26" t="str">
        <f t="shared" si="413"/>
        <v>PARTICULAR</v>
      </c>
      <c r="N2472" s="26">
        <v>44</v>
      </c>
      <c r="O2472" s="26">
        <v>29</v>
      </c>
      <c r="P2472" s="26">
        <v>15</v>
      </c>
      <c r="Q2472" s="26">
        <v>5</v>
      </c>
      <c r="R2472" s="26">
        <v>1</v>
      </c>
      <c r="S2472" s="26">
        <v>5</v>
      </c>
      <c r="T2472" s="26">
        <v>5</v>
      </c>
      <c r="U2472" s="26">
        <v>11</v>
      </c>
      <c r="V2472" s="26">
        <v>1</v>
      </c>
      <c r="W2472" s="26"/>
    </row>
    <row r="2473" spans="1:23" x14ac:dyDescent="0.25">
      <c r="A2473" s="26" t="str">
        <f t="shared" si="408"/>
        <v>PRIMARIA</v>
      </c>
      <c r="B2473" s="26" t="str">
        <f>"09PPR0777A"</f>
        <v>09PPR0777A</v>
      </c>
      <c r="C2473" s="26" t="str">
        <f>"AMOS COMENIO                                                                                        "</f>
        <v xml:space="preserve">AMOS COMENIO                                                                                        </v>
      </c>
      <c r="D2473" s="26" t="str">
        <f t="shared" si="414"/>
        <v>MATUTINO</v>
      </c>
      <c r="E2473" s="26" t="str">
        <f>"AVENIDA ANDRES MOLINA ENRIQUEZ 4337                                             "</f>
        <v xml:space="preserve">AVENIDA ANDRES MOLINA ENRIQUEZ 4337                                             </v>
      </c>
      <c r="F2473" s="26" t="str">
        <f>"VIADUCTO PIEDAD                                                                                                                             "</f>
        <v xml:space="preserve">VIADUCTO PIEDAD                                                                                                                             </v>
      </c>
      <c r="G2473" s="26" t="str">
        <f>"IZTACALCO                                                                       "</f>
        <v xml:space="preserve">IZTACALCO                                                                       </v>
      </c>
      <c r="H2473" s="26" t="str">
        <f>"361"</f>
        <v>361</v>
      </c>
      <c r="I2473" s="26" t="str">
        <f t="shared" si="409"/>
        <v>00</v>
      </c>
      <c r="J2473" s="26" t="str">
        <f>"43 "</f>
        <v xml:space="preserve">43 </v>
      </c>
      <c r="K2473" s="26" t="str">
        <f t="shared" si="417"/>
        <v>PR</v>
      </c>
      <c r="L2473" s="26" t="str">
        <f t="shared" si="418"/>
        <v>DGOSE</v>
      </c>
      <c r="M2473" s="26" t="str">
        <f t="shared" si="413"/>
        <v>PARTICULAR</v>
      </c>
      <c r="N2473" s="26">
        <v>133</v>
      </c>
      <c r="O2473" s="26">
        <v>80</v>
      </c>
      <c r="P2473" s="26">
        <v>53</v>
      </c>
      <c r="Q2473" s="26">
        <v>6</v>
      </c>
      <c r="R2473" s="26">
        <v>1</v>
      </c>
      <c r="S2473" s="26">
        <v>6</v>
      </c>
      <c r="T2473" s="26">
        <v>10</v>
      </c>
      <c r="U2473" s="26">
        <v>17</v>
      </c>
      <c r="V2473" s="26">
        <v>1</v>
      </c>
      <c r="W2473" s="26"/>
    </row>
    <row r="2474" spans="1:23" x14ac:dyDescent="0.25">
      <c r="A2474" s="26" t="str">
        <f t="shared" si="408"/>
        <v>PRIMARIA</v>
      </c>
      <c r="B2474" s="26" t="str">
        <f>"09PPR0779Z"</f>
        <v>09PPR0779Z</v>
      </c>
      <c r="C2474" s="26" t="str">
        <f>"EVA SAMANO DE LOPEZ MATEOS                                                                          "</f>
        <v xml:space="preserve">EVA SAMANO DE LOPEZ MATEOS                                                                          </v>
      </c>
      <c r="D2474" s="26" t="str">
        <f t="shared" si="414"/>
        <v>MATUTINO</v>
      </c>
      <c r="E2474" s="26" t="str">
        <f>"VIA LACTEA NUM 120                                                              "</f>
        <v xml:space="preserve">VIA LACTEA NUM 120                                                              </v>
      </c>
      <c r="F2474" s="26" t="str">
        <f>"PRADO CHURUBUSCO                                                                                                                            "</f>
        <v xml:space="preserve">PRADO CHURUBUSCO                                                                                                                            </v>
      </c>
      <c r="G2474" s="26" t="str">
        <f>"COYOACAN                                                                        "</f>
        <v xml:space="preserve">COYOACAN                                                                        </v>
      </c>
      <c r="H2474" s="26" t="str">
        <f>"509"</f>
        <v>509</v>
      </c>
      <c r="I2474" s="26" t="str">
        <f t="shared" si="409"/>
        <v>00</v>
      </c>
      <c r="J2474" s="26" t="str">
        <f>"45 "</f>
        <v xml:space="preserve">45 </v>
      </c>
      <c r="K2474" s="26" t="str">
        <f t="shared" si="417"/>
        <v>PR</v>
      </c>
      <c r="L2474" s="26" t="str">
        <f t="shared" si="418"/>
        <v>DGOSE</v>
      </c>
      <c r="M2474" s="26" t="str">
        <f t="shared" si="413"/>
        <v>PARTICULAR</v>
      </c>
      <c r="N2474" s="26">
        <v>74</v>
      </c>
      <c r="O2474" s="26">
        <v>44</v>
      </c>
      <c r="P2474" s="26">
        <v>30</v>
      </c>
      <c r="Q2474" s="26">
        <v>6</v>
      </c>
      <c r="R2474" s="26">
        <v>1</v>
      </c>
      <c r="S2474" s="26">
        <v>2</v>
      </c>
      <c r="T2474" s="26">
        <v>10</v>
      </c>
      <c r="U2474" s="26">
        <v>13</v>
      </c>
      <c r="V2474" s="26">
        <v>1</v>
      </c>
      <c r="W2474" s="26"/>
    </row>
    <row r="2475" spans="1:23" x14ac:dyDescent="0.25">
      <c r="A2475" s="26" t="str">
        <f t="shared" si="408"/>
        <v>PRIMARIA</v>
      </c>
      <c r="B2475" s="26" t="str">
        <f>"09PPR0781N"</f>
        <v>09PPR0781N</v>
      </c>
      <c r="C2475" s="26" t="str">
        <f>"COLEGIO S JUAN PABLO II                                                                             "</f>
        <v xml:space="preserve">COLEGIO S JUAN PABLO II                                                                             </v>
      </c>
      <c r="D2475" s="26" t="str">
        <f t="shared" si="414"/>
        <v>MATUTINO</v>
      </c>
      <c r="E2475" s="26" t="str">
        <f>"EMILIANO ZAPATA NO 366                                                          "</f>
        <v xml:space="preserve">EMILIANO ZAPATA NO 366                                                          </v>
      </c>
      <c r="F2475" s="26" t="str">
        <f>"SANTA CRUZ ATOYAC                                                                                                                           "</f>
        <v xml:space="preserve">SANTA CRUZ ATOYAC                                                                                                                           </v>
      </c>
      <c r="G2475" s="26" t="str">
        <f>"BENITO JUAREZ                                                                   "</f>
        <v xml:space="preserve">BENITO JUAREZ                                                                   </v>
      </c>
      <c r="H2475" s="26" t="str">
        <f>"341"</f>
        <v>341</v>
      </c>
      <c r="I2475" s="26" t="str">
        <f t="shared" si="409"/>
        <v>00</v>
      </c>
      <c r="J2475" s="26" t="str">
        <f>"43 "</f>
        <v xml:space="preserve">43 </v>
      </c>
      <c r="K2475" s="26" t="str">
        <f t="shared" si="417"/>
        <v>PR</v>
      </c>
      <c r="L2475" s="26" t="str">
        <f t="shared" si="418"/>
        <v>DGOSE</v>
      </c>
      <c r="M2475" s="26" t="str">
        <f t="shared" si="413"/>
        <v>PARTICULAR</v>
      </c>
      <c r="N2475" s="26">
        <v>140</v>
      </c>
      <c r="O2475" s="26">
        <v>66</v>
      </c>
      <c r="P2475" s="26">
        <v>74</v>
      </c>
      <c r="Q2475" s="26">
        <v>6</v>
      </c>
      <c r="R2475" s="26">
        <v>1</v>
      </c>
      <c r="S2475" s="26">
        <v>6</v>
      </c>
      <c r="T2475" s="26">
        <v>10</v>
      </c>
      <c r="U2475" s="26">
        <v>17</v>
      </c>
      <c r="V2475" s="26">
        <v>1</v>
      </c>
      <c r="W2475" s="26"/>
    </row>
    <row r="2476" spans="1:23" x14ac:dyDescent="0.25">
      <c r="A2476" s="26" t="str">
        <f t="shared" si="408"/>
        <v>PRIMARIA</v>
      </c>
      <c r="B2476" s="26" t="str">
        <f>"09PPR0782M"</f>
        <v>09PPR0782M</v>
      </c>
      <c r="C2476" s="26" t="str">
        <f>"ABRAHAM CASTELLANOS                                                                                 "</f>
        <v xml:space="preserve">ABRAHAM CASTELLANOS                                                                                 </v>
      </c>
      <c r="D2476" s="26" t="str">
        <f t="shared" si="414"/>
        <v>MATUTINO</v>
      </c>
      <c r="E2476" s="26" t="str">
        <f>"PROLONG. PACHICALCO NO. 48                                                      "</f>
        <v xml:space="preserve">PROLONG. PACHICALCO NO. 48                                                      </v>
      </c>
      <c r="F2476" s="26" t="str">
        <f>"SAN LUCAS                                                                                                                                   "</f>
        <v xml:space="preserve">SAN LUCAS                                                                                                                                   </v>
      </c>
      <c r="G2476" s="26" t="str">
        <f>"IZTAPALAPA                                                                      "</f>
        <v xml:space="preserve">IZTAPALAPA                                                                      </v>
      </c>
      <c r="H2476" s="26" t="str">
        <f>"000"</f>
        <v>000</v>
      </c>
      <c r="I2476" s="26" t="str">
        <f t="shared" si="409"/>
        <v>00</v>
      </c>
      <c r="J2476" s="26" t="str">
        <f>"61 "</f>
        <v xml:space="preserve">61 </v>
      </c>
      <c r="K2476" s="26" t="str">
        <f>"IZ"</f>
        <v>IZ</v>
      </c>
      <c r="L2476" s="26" t="str">
        <f>"DGSEI"</f>
        <v>DGSEI</v>
      </c>
      <c r="M2476" s="26" t="str">
        <f t="shared" si="413"/>
        <v>PARTICULAR</v>
      </c>
      <c r="N2476" s="26">
        <v>91</v>
      </c>
      <c r="O2476" s="26">
        <v>49</v>
      </c>
      <c r="P2476" s="26">
        <v>42</v>
      </c>
      <c r="Q2476" s="26">
        <v>6</v>
      </c>
      <c r="R2476" s="26">
        <v>1</v>
      </c>
      <c r="S2476" s="26">
        <v>6</v>
      </c>
      <c r="T2476" s="26">
        <v>3</v>
      </c>
      <c r="U2476" s="26">
        <v>10</v>
      </c>
      <c r="V2476" s="26">
        <v>1</v>
      </c>
      <c r="W2476" s="26"/>
    </row>
    <row r="2477" spans="1:23" x14ac:dyDescent="0.25">
      <c r="A2477" s="26" t="str">
        <f t="shared" si="408"/>
        <v>PRIMARIA</v>
      </c>
      <c r="B2477" s="26" t="str">
        <f>"09PPR0786I"</f>
        <v>09PPR0786I</v>
      </c>
      <c r="C2477" s="26" t="str">
        <f>"GIOTTO                                                                                              "</f>
        <v xml:space="preserve">GIOTTO                                                                                              </v>
      </c>
      <c r="D2477" s="26" t="str">
        <f t="shared" si="414"/>
        <v>MATUTINO</v>
      </c>
      <c r="E2477" s="26" t="str">
        <f>"PEDRO NOLASCO NO. 6                                                             "</f>
        <v xml:space="preserve">PEDRO NOLASCO NO. 6                                                             </v>
      </c>
      <c r="F2477" s="26" t="str">
        <f>"CUAUTEPEC BARRIO ALTO                                                                                                                       "</f>
        <v xml:space="preserve">CUAUTEPEC BARRIO ALTO                                                                                                                       </v>
      </c>
      <c r="G2477" s="26" t="str">
        <f>"GUSTAVO A. MADERO                                                               "</f>
        <v xml:space="preserve">GUSTAVO A. MADERO                                                               </v>
      </c>
      <c r="H2477" s="26" t="str">
        <f>"226"</f>
        <v>226</v>
      </c>
      <c r="I2477" s="26" t="str">
        <f t="shared" si="409"/>
        <v>00</v>
      </c>
      <c r="J2477" s="26" t="str">
        <f>"42 "</f>
        <v xml:space="preserve">42 </v>
      </c>
      <c r="K2477" s="26" t="str">
        <f t="shared" ref="K2477:K2498" si="419">"PR"</f>
        <v>PR</v>
      </c>
      <c r="L2477" s="26" t="str">
        <f t="shared" ref="L2477:L2498" si="420">"DGOSE"</f>
        <v>DGOSE</v>
      </c>
      <c r="M2477" s="26" t="str">
        <f t="shared" si="413"/>
        <v>PARTICULAR</v>
      </c>
      <c r="N2477" s="26">
        <v>85</v>
      </c>
      <c r="O2477" s="26">
        <v>41</v>
      </c>
      <c r="P2477" s="26">
        <v>44</v>
      </c>
      <c r="Q2477" s="26">
        <v>6</v>
      </c>
      <c r="R2477" s="26">
        <v>1</v>
      </c>
      <c r="S2477" s="26">
        <v>5</v>
      </c>
      <c r="T2477" s="26">
        <v>5</v>
      </c>
      <c r="U2477" s="26">
        <v>11</v>
      </c>
      <c r="V2477" s="26">
        <v>1</v>
      </c>
      <c r="W2477" s="26"/>
    </row>
    <row r="2478" spans="1:23" x14ac:dyDescent="0.25">
      <c r="A2478" s="26" t="str">
        <f t="shared" si="408"/>
        <v>PRIMARIA</v>
      </c>
      <c r="B2478" s="26" t="str">
        <f>"09PPR0788G"</f>
        <v>09PPR0788G</v>
      </c>
      <c r="C2478" s="26" t="str">
        <f>"PALAS ATENEA                                                                                        "</f>
        <v xml:space="preserve">PALAS ATENEA                                                                                        </v>
      </c>
      <c r="D2478" s="26" t="str">
        <f t="shared" si="414"/>
        <v>MATUTINO</v>
      </c>
      <c r="E2478" s="26" t="str">
        <f>"AV 508 Y 557                                                                    "</f>
        <v xml:space="preserve">AV 508 Y 557                                                                    </v>
      </c>
      <c r="F2478" s="26" t="str">
        <f>"SAN JUAN DE ARAGON                                                                                                                          "</f>
        <v xml:space="preserve">SAN JUAN DE ARAGON                                                                                                                          </v>
      </c>
      <c r="G2478" s="26" t="str">
        <f>"GUSTAVO A. MADERO                                                               "</f>
        <v xml:space="preserve">GUSTAVO A. MADERO                                                               </v>
      </c>
      <c r="H2478" s="26" t="str">
        <f>"269"</f>
        <v>269</v>
      </c>
      <c r="I2478" s="26" t="str">
        <f t="shared" si="409"/>
        <v>00</v>
      </c>
      <c r="J2478" s="26" t="str">
        <f>"42 "</f>
        <v xml:space="preserve">42 </v>
      </c>
      <c r="K2478" s="26" t="str">
        <f t="shared" si="419"/>
        <v>PR</v>
      </c>
      <c r="L2478" s="26" t="str">
        <f t="shared" si="420"/>
        <v>DGOSE</v>
      </c>
      <c r="M2478" s="26" t="str">
        <f t="shared" si="413"/>
        <v>PARTICULAR</v>
      </c>
      <c r="N2478" s="26">
        <v>98</v>
      </c>
      <c r="O2478" s="26">
        <v>56</v>
      </c>
      <c r="P2478" s="26">
        <v>42</v>
      </c>
      <c r="Q2478" s="26">
        <v>6</v>
      </c>
      <c r="R2478" s="26">
        <v>1</v>
      </c>
      <c r="S2478" s="26">
        <v>3</v>
      </c>
      <c r="T2478" s="26">
        <v>7</v>
      </c>
      <c r="U2478" s="26">
        <v>11</v>
      </c>
      <c r="V2478" s="26">
        <v>1</v>
      </c>
      <c r="W2478" s="26"/>
    </row>
    <row r="2479" spans="1:23" x14ac:dyDescent="0.25">
      <c r="A2479" s="26" t="str">
        <f t="shared" si="408"/>
        <v>PRIMARIA</v>
      </c>
      <c r="B2479" s="26" t="str">
        <f>"09PPR0790V"</f>
        <v>09PPR0790V</v>
      </c>
      <c r="C2479" s="26" t="str">
        <f>"MARIA ESTUARDO                                                                                      "</f>
        <v xml:space="preserve">MARIA ESTUARDO                                                                                      </v>
      </c>
      <c r="D2479" s="26" t="str">
        <f t="shared" si="414"/>
        <v>MATUTINO</v>
      </c>
      <c r="E2479" s="26" t="str">
        <f>"MAGNOLIA 30                                                                     "</f>
        <v xml:space="preserve">MAGNOLIA 30                                                                     </v>
      </c>
      <c r="F2479" s="26" t="str">
        <f>"GUERRERO                                                                                                                                    "</f>
        <v xml:space="preserve">GUERRERO                                                                                                                                    </v>
      </c>
      <c r="G2479" s="26" t="str">
        <f>"CUAUHTEMOC                                                                      "</f>
        <v xml:space="preserve">CUAUHTEMOC                                                                      </v>
      </c>
      <c r="H2479" s="26" t="str">
        <f>"218"</f>
        <v>218</v>
      </c>
      <c r="I2479" s="26" t="str">
        <f t="shared" si="409"/>
        <v>00</v>
      </c>
      <c r="J2479" s="26" t="str">
        <f>"42 "</f>
        <v xml:space="preserve">42 </v>
      </c>
      <c r="K2479" s="26" t="str">
        <f t="shared" si="419"/>
        <v>PR</v>
      </c>
      <c r="L2479" s="26" t="str">
        <f t="shared" si="420"/>
        <v>DGOSE</v>
      </c>
      <c r="M2479" s="26" t="str">
        <f t="shared" si="413"/>
        <v>PARTICULAR</v>
      </c>
      <c r="N2479" s="26">
        <v>156</v>
      </c>
      <c r="O2479" s="26">
        <v>73</v>
      </c>
      <c r="P2479" s="26">
        <v>83</v>
      </c>
      <c r="Q2479" s="26">
        <v>9</v>
      </c>
      <c r="R2479" s="26">
        <v>2</v>
      </c>
      <c r="S2479" s="26">
        <v>5</v>
      </c>
      <c r="T2479" s="26">
        <v>16</v>
      </c>
      <c r="U2479" s="26">
        <v>23</v>
      </c>
      <c r="V2479" s="26">
        <v>1</v>
      </c>
      <c r="W2479" s="26"/>
    </row>
    <row r="2480" spans="1:23" x14ac:dyDescent="0.25">
      <c r="A2480" s="26" t="str">
        <f t="shared" si="408"/>
        <v>PRIMARIA</v>
      </c>
      <c r="B2480" s="26" t="str">
        <f>"09PPR0793S"</f>
        <v>09PPR0793S</v>
      </c>
      <c r="C2480" s="26" t="str">
        <f>"FERNANDO DE MAGALLANES                                                                              "</f>
        <v xml:space="preserve">FERNANDO DE MAGALLANES                                                                              </v>
      </c>
      <c r="D2480" s="26" t="str">
        <f t="shared" si="414"/>
        <v>MATUTINO</v>
      </c>
      <c r="E2480" s="26" t="str">
        <f>"CALLE DE MIER Y PESADO NUM 132                                                  "</f>
        <v xml:space="preserve">CALLE DE MIER Y PESADO NUM 132                                                  </v>
      </c>
      <c r="F2480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2480" s="26" t="str">
        <f>"BENITO JUAREZ                                                                   "</f>
        <v xml:space="preserve">BENITO JUAREZ                                                                   </v>
      </c>
      <c r="H2480" s="26" t="str">
        <f>"338"</f>
        <v>338</v>
      </c>
      <c r="I2480" s="26" t="str">
        <f t="shared" si="409"/>
        <v>00</v>
      </c>
      <c r="J2480" s="26" t="str">
        <f>"43 "</f>
        <v xml:space="preserve">43 </v>
      </c>
      <c r="K2480" s="26" t="str">
        <f t="shared" si="419"/>
        <v>PR</v>
      </c>
      <c r="L2480" s="26" t="str">
        <f t="shared" si="420"/>
        <v>DGOSE</v>
      </c>
      <c r="M2480" s="26" t="str">
        <f t="shared" si="413"/>
        <v>PARTICULAR</v>
      </c>
      <c r="N2480" s="26">
        <v>276</v>
      </c>
      <c r="O2480" s="26">
        <v>136</v>
      </c>
      <c r="P2480" s="26">
        <v>140</v>
      </c>
      <c r="Q2480" s="26">
        <v>12</v>
      </c>
      <c r="R2480" s="26">
        <v>1</v>
      </c>
      <c r="S2480" s="26">
        <v>6</v>
      </c>
      <c r="T2480" s="26">
        <v>16</v>
      </c>
      <c r="U2480" s="26">
        <v>23</v>
      </c>
      <c r="V2480" s="26">
        <v>1</v>
      </c>
      <c r="W2480" s="26"/>
    </row>
    <row r="2481" spans="1:23" x14ac:dyDescent="0.25">
      <c r="A2481" s="26" t="str">
        <f t="shared" si="408"/>
        <v>PRIMARIA</v>
      </c>
      <c r="B2481" s="26" t="str">
        <f>"09PPR0794R"</f>
        <v>09PPR0794R</v>
      </c>
      <c r="C2481" s="26" t="str">
        <f>"COLEGIO GANDHI                                                                                      "</f>
        <v xml:space="preserve">COLEGIO GANDHI                                                                                      </v>
      </c>
      <c r="D2481" s="26" t="str">
        <f t="shared" si="414"/>
        <v>MATUTINO</v>
      </c>
      <c r="E2481" s="26" t="str">
        <f>"SILLON DE MENDOZA NUMERO 55                                                     "</f>
        <v xml:space="preserve">SILLON DE MENDOZA NUMERO 55                                                     </v>
      </c>
      <c r="F2481" s="26" t="str">
        <f>"TORIELLO GUERRA                                                                                                                             "</f>
        <v xml:space="preserve">TORIELLO GUERRA                                                                                                                             </v>
      </c>
      <c r="G2481" s="26" t="str">
        <f>"TLALPAN                                                                         "</f>
        <v xml:space="preserve">TLALPAN                                                                         </v>
      </c>
      <c r="H2481" s="26" t="str">
        <f>"523"</f>
        <v>523</v>
      </c>
      <c r="I2481" s="26" t="str">
        <f t="shared" si="409"/>
        <v>00</v>
      </c>
      <c r="J2481" s="26" t="str">
        <f>"45 "</f>
        <v xml:space="preserve">45 </v>
      </c>
      <c r="K2481" s="26" t="str">
        <f t="shared" si="419"/>
        <v>PR</v>
      </c>
      <c r="L2481" s="26" t="str">
        <f t="shared" si="420"/>
        <v>DGOSE</v>
      </c>
      <c r="M2481" s="26" t="str">
        <f t="shared" si="413"/>
        <v>PARTICULAR</v>
      </c>
      <c r="N2481" s="26">
        <v>270</v>
      </c>
      <c r="O2481" s="26">
        <v>129</v>
      </c>
      <c r="P2481" s="26">
        <v>141</v>
      </c>
      <c r="Q2481" s="26">
        <v>12</v>
      </c>
      <c r="R2481" s="26">
        <v>1</v>
      </c>
      <c r="S2481" s="26">
        <v>6</v>
      </c>
      <c r="T2481" s="26">
        <v>32</v>
      </c>
      <c r="U2481" s="26">
        <v>39</v>
      </c>
      <c r="V2481" s="26">
        <v>1</v>
      </c>
      <c r="W2481" s="26"/>
    </row>
    <row r="2482" spans="1:23" x14ac:dyDescent="0.25">
      <c r="A2482" s="26" t="str">
        <f t="shared" si="408"/>
        <v>PRIMARIA</v>
      </c>
      <c r="B2482" s="26" t="str">
        <f>"09PPR0795Q"</f>
        <v>09PPR0795Q</v>
      </c>
      <c r="C2482" s="26" t="str">
        <f>"COLEGIO DAVID LIVINGSTONE                                                                           "</f>
        <v xml:space="preserve">COLEGIO DAVID LIVINGSTONE                                                                           </v>
      </c>
      <c r="D2482" s="26" t="str">
        <f t="shared" si="414"/>
        <v>MATUTINO</v>
      </c>
      <c r="E2482" s="26" t="str">
        <f>"AV. CLAVERIA Y AV. AZCAPOTZALCO                                                 "</f>
        <v xml:space="preserve">AV. CLAVERIA Y AV. AZCAPOTZALCO                                                 </v>
      </c>
      <c r="F2482" s="26" t="str">
        <f>"CLAVERIA                                                                                                                                    "</f>
        <v xml:space="preserve">CLAVERIA                                                                                                                                    </v>
      </c>
      <c r="G2482" s="26" t="str">
        <f>"AZCAPOTZALCO                                                                    "</f>
        <v xml:space="preserve">AZCAPOTZALCO                                                                    </v>
      </c>
      <c r="H2482" s="26" t="str">
        <f>"000"</f>
        <v>000</v>
      </c>
      <c r="I2482" s="26" t="str">
        <f t="shared" si="409"/>
        <v>00</v>
      </c>
      <c r="J2482" s="26" t="str">
        <f>"42 "</f>
        <v xml:space="preserve">42 </v>
      </c>
      <c r="K2482" s="26" t="str">
        <f t="shared" si="419"/>
        <v>PR</v>
      </c>
      <c r="L2482" s="26" t="str">
        <f t="shared" si="420"/>
        <v>DGOSE</v>
      </c>
      <c r="M2482" s="26" t="str">
        <f t="shared" si="413"/>
        <v>PARTICULAR</v>
      </c>
      <c r="N2482" s="26">
        <v>343</v>
      </c>
      <c r="O2482" s="26">
        <v>168</v>
      </c>
      <c r="P2482" s="26">
        <v>175</v>
      </c>
      <c r="Q2482" s="26">
        <v>15</v>
      </c>
      <c r="R2482" s="26">
        <v>1</v>
      </c>
      <c r="S2482" s="26">
        <v>9</v>
      </c>
      <c r="T2482" s="26">
        <v>15</v>
      </c>
      <c r="U2482" s="26">
        <v>25</v>
      </c>
      <c r="V2482" s="26">
        <v>1</v>
      </c>
      <c r="W2482" s="26"/>
    </row>
    <row r="2483" spans="1:23" x14ac:dyDescent="0.25">
      <c r="A2483" s="26" t="str">
        <f t="shared" si="408"/>
        <v>PRIMARIA</v>
      </c>
      <c r="B2483" s="26" t="str">
        <f>"09PPR0798N"</f>
        <v>09PPR0798N</v>
      </c>
      <c r="C2483" s="26" t="str">
        <f>"ISAAC NEWTON                                                                                        "</f>
        <v xml:space="preserve">ISAAC NEWTON                                                                                        </v>
      </c>
      <c r="D2483" s="26" t="str">
        <f t="shared" si="414"/>
        <v>MATUTINO</v>
      </c>
      <c r="E2483" s="26" t="str">
        <f>"CALLES ORIENTE 257 Y SUR 20 No. 264 Y 580                                       "</f>
        <v xml:space="preserve">CALLES ORIENTE 257 Y SUR 20 No. 264 Y 580                                       </v>
      </c>
      <c r="F2483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2483" s="26" t="str">
        <f>"IZTACALCO                                                                       "</f>
        <v xml:space="preserve">IZTACALCO                                                                       </v>
      </c>
      <c r="H2483" s="26" t="str">
        <f>"356"</f>
        <v>356</v>
      </c>
      <c r="I2483" s="26" t="str">
        <f t="shared" si="409"/>
        <v>00</v>
      </c>
      <c r="J2483" s="26" t="str">
        <f t="shared" ref="J2483:J2489" si="421">"43 "</f>
        <v xml:space="preserve">43 </v>
      </c>
      <c r="K2483" s="26" t="str">
        <f t="shared" si="419"/>
        <v>PR</v>
      </c>
      <c r="L2483" s="26" t="str">
        <f t="shared" si="420"/>
        <v>DGOSE</v>
      </c>
      <c r="M2483" s="26" t="str">
        <f t="shared" si="413"/>
        <v>PARTICULAR</v>
      </c>
      <c r="N2483" s="26">
        <v>182</v>
      </c>
      <c r="O2483" s="26">
        <v>108</v>
      </c>
      <c r="P2483" s="26">
        <v>74</v>
      </c>
      <c r="Q2483" s="26">
        <v>7</v>
      </c>
      <c r="R2483" s="26">
        <v>1</v>
      </c>
      <c r="S2483" s="26">
        <v>6</v>
      </c>
      <c r="T2483" s="26">
        <v>15</v>
      </c>
      <c r="U2483" s="26">
        <v>22</v>
      </c>
      <c r="V2483" s="26">
        <v>1</v>
      </c>
      <c r="W2483" s="26"/>
    </row>
    <row r="2484" spans="1:23" x14ac:dyDescent="0.25">
      <c r="A2484" s="26" t="str">
        <f t="shared" si="408"/>
        <v>PRIMARIA</v>
      </c>
      <c r="B2484" s="26" t="str">
        <f>"09PPR0799M"</f>
        <v>09PPR0799M</v>
      </c>
      <c r="C2484" s="26" t="str">
        <f>"COLEGIO VAN DYCK                                                                                    "</f>
        <v xml:space="preserve">COLEGIO VAN DYCK                                                                                    </v>
      </c>
      <c r="D2484" s="26" t="str">
        <f t="shared" si="414"/>
        <v>MATUTINO</v>
      </c>
      <c r="E2484" s="26" t="str">
        <f>"REFORMA NUM 12                                                                  "</f>
        <v xml:space="preserve">REFORMA NUM 12                                                                  </v>
      </c>
      <c r="F2484" s="26" t="str">
        <f>"TIZAPAN                                                                                                                                     "</f>
        <v xml:space="preserve">TIZAPAN                                                                                                                                     </v>
      </c>
      <c r="G2484" s="26" t="str">
        <f>"ALVARO OBREGON                                                                  "</f>
        <v xml:space="preserve">ALVARO OBREGON                                                                  </v>
      </c>
      <c r="H2484" s="26" t="str">
        <f>"325"</f>
        <v>325</v>
      </c>
      <c r="I2484" s="26" t="str">
        <f t="shared" si="409"/>
        <v>00</v>
      </c>
      <c r="J2484" s="26" t="str">
        <f t="shared" si="421"/>
        <v xml:space="preserve">43 </v>
      </c>
      <c r="K2484" s="26" t="str">
        <f t="shared" si="419"/>
        <v>PR</v>
      </c>
      <c r="L2484" s="26" t="str">
        <f t="shared" si="420"/>
        <v>DGOSE</v>
      </c>
      <c r="M2484" s="26" t="str">
        <f t="shared" si="413"/>
        <v>PARTICULAR</v>
      </c>
      <c r="N2484" s="26">
        <v>91</v>
      </c>
      <c r="O2484" s="26">
        <v>47</v>
      </c>
      <c r="P2484" s="26">
        <v>44</v>
      </c>
      <c r="Q2484" s="26">
        <v>6</v>
      </c>
      <c r="R2484" s="26">
        <v>1</v>
      </c>
      <c r="S2484" s="26">
        <v>6</v>
      </c>
      <c r="T2484" s="26">
        <v>9</v>
      </c>
      <c r="U2484" s="26">
        <v>16</v>
      </c>
      <c r="V2484" s="26">
        <v>1</v>
      </c>
      <c r="W2484" s="26"/>
    </row>
    <row r="2485" spans="1:23" x14ac:dyDescent="0.25">
      <c r="A2485" s="26" t="str">
        <f t="shared" si="408"/>
        <v>PRIMARIA</v>
      </c>
      <c r="B2485" s="26" t="str">
        <f>"09PPR0800L"</f>
        <v>09PPR0800L</v>
      </c>
      <c r="C2485" s="26" t="str">
        <f>"DONAJI                                                                                              "</f>
        <v xml:space="preserve">DONAJI                                                                                              </v>
      </c>
      <c r="D2485" s="26" t="str">
        <f t="shared" si="414"/>
        <v>MATUTINO</v>
      </c>
      <c r="E2485" s="26" t="str">
        <f>"ORIENTE 243 A No.263                                                            "</f>
        <v xml:space="preserve">ORIENTE 243 A No.263                                                            </v>
      </c>
      <c r="F2485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2485" s="26" t="str">
        <f>"IZTACALCO                                                                       "</f>
        <v xml:space="preserve">IZTACALCO                                                                       </v>
      </c>
      <c r="H2485" s="26" t="str">
        <f>"358"</f>
        <v>358</v>
      </c>
      <c r="I2485" s="26" t="str">
        <f t="shared" si="409"/>
        <v>00</v>
      </c>
      <c r="J2485" s="26" t="str">
        <f t="shared" si="421"/>
        <v xml:space="preserve">43 </v>
      </c>
      <c r="K2485" s="26" t="str">
        <f t="shared" si="419"/>
        <v>PR</v>
      </c>
      <c r="L2485" s="26" t="str">
        <f t="shared" si="420"/>
        <v>DGOSE</v>
      </c>
      <c r="M2485" s="26" t="str">
        <f t="shared" si="413"/>
        <v>PARTICULAR</v>
      </c>
      <c r="N2485" s="26">
        <v>88</v>
      </c>
      <c r="O2485" s="26">
        <v>48</v>
      </c>
      <c r="P2485" s="26">
        <v>40</v>
      </c>
      <c r="Q2485" s="26">
        <v>6</v>
      </c>
      <c r="R2485" s="26">
        <v>1</v>
      </c>
      <c r="S2485" s="26">
        <v>3</v>
      </c>
      <c r="T2485" s="26">
        <v>8</v>
      </c>
      <c r="U2485" s="26">
        <v>12</v>
      </c>
      <c r="V2485" s="26">
        <v>1</v>
      </c>
      <c r="W2485" s="26"/>
    </row>
    <row r="2486" spans="1:23" x14ac:dyDescent="0.25">
      <c r="A2486" s="26" t="str">
        <f t="shared" si="408"/>
        <v>PRIMARIA</v>
      </c>
      <c r="B2486" s="26" t="str">
        <f>"09PPR0801K"</f>
        <v>09PPR0801K</v>
      </c>
      <c r="C2486" s="26" t="str">
        <f>"BUCKINGHAM                                                                                          "</f>
        <v xml:space="preserve">BUCKINGHAM                                                                                          </v>
      </c>
      <c r="D2486" s="26" t="str">
        <f t="shared" si="414"/>
        <v>MATUTINO</v>
      </c>
      <c r="E2486" s="26" t="str">
        <f>"PETEN NO 297                                                                    "</f>
        <v xml:space="preserve">PETEN NO 297                                                                    </v>
      </c>
      <c r="F2486" s="26" t="str">
        <f>"NARVARTE                                                                                                                                    "</f>
        <v xml:space="preserve">NARVARTE                                                                                                                                    </v>
      </c>
      <c r="G2486" s="26" t="str">
        <f>"BENITO JUAREZ                                                                   "</f>
        <v xml:space="preserve">BENITO JUAREZ                                                                   </v>
      </c>
      <c r="H2486" s="26" t="str">
        <f>"000"</f>
        <v>000</v>
      </c>
      <c r="I2486" s="26" t="str">
        <f t="shared" si="409"/>
        <v>00</v>
      </c>
      <c r="J2486" s="26" t="str">
        <f t="shared" si="421"/>
        <v xml:space="preserve">43 </v>
      </c>
      <c r="K2486" s="26" t="str">
        <f t="shared" si="419"/>
        <v>PR</v>
      </c>
      <c r="L2486" s="26" t="str">
        <f t="shared" si="420"/>
        <v>DGOSE</v>
      </c>
      <c r="M2486" s="26" t="str">
        <f t="shared" si="413"/>
        <v>PARTICULAR</v>
      </c>
      <c r="N2486" s="26">
        <v>178</v>
      </c>
      <c r="O2486" s="26">
        <v>83</v>
      </c>
      <c r="P2486" s="26">
        <v>95</v>
      </c>
      <c r="Q2486" s="26">
        <v>7</v>
      </c>
      <c r="R2486" s="26">
        <v>1</v>
      </c>
      <c r="S2486" s="26">
        <v>4</v>
      </c>
      <c r="T2486" s="26">
        <v>7</v>
      </c>
      <c r="U2486" s="26">
        <v>12</v>
      </c>
      <c r="V2486" s="26">
        <v>1</v>
      </c>
      <c r="W2486" s="26"/>
    </row>
    <row r="2487" spans="1:23" x14ac:dyDescent="0.25">
      <c r="A2487" s="26" t="str">
        <f t="shared" si="408"/>
        <v>PRIMARIA</v>
      </c>
      <c r="B2487" s="26" t="str">
        <f>"09PPR0802J"</f>
        <v>09PPR0802J</v>
      </c>
      <c r="C2487" s="26" t="str">
        <f>"COLEGIO AXAYACATL                                                                                   "</f>
        <v xml:space="preserve">COLEGIO AXAYACATL                                                                                   </v>
      </c>
      <c r="D2487" s="26" t="str">
        <f t="shared" si="414"/>
        <v>MATUTINO</v>
      </c>
      <c r="E2487" s="26" t="str">
        <f>"AV CIRCUNVALACION NO 443                                                        "</f>
        <v xml:space="preserve">AV CIRCUNVALACION NO 443                                                        </v>
      </c>
      <c r="F2487" s="26" t="str">
        <f>"CUCHILLA PANTITLAN                                                                                                                          "</f>
        <v xml:space="preserve">CUCHILLA PANTITLAN                                                                                                                          </v>
      </c>
      <c r="G2487" s="26" t="str">
        <f>"VENUSTIANO CARRANZA                                                             "</f>
        <v xml:space="preserve">VENUSTIANO CARRANZA                                                             </v>
      </c>
      <c r="H2487" s="26" t="str">
        <f>"352"</f>
        <v>352</v>
      </c>
      <c r="I2487" s="26" t="str">
        <f t="shared" si="409"/>
        <v>00</v>
      </c>
      <c r="J2487" s="26" t="str">
        <f t="shared" si="421"/>
        <v xml:space="preserve">43 </v>
      </c>
      <c r="K2487" s="26" t="str">
        <f t="shared" si="419"/>
        <v>PR</v>
      </c>
      <c r="L2487" s="26" t="str">
        <f t="shared" si="420"/>
        <v>DGOSE</v>
      </c>
      <c r="M2487" s="26" t="str">
        <f t="shared" si="413"/>
        <v>PARTICULAR</v>
      </c>
      <c r="N2487" s="26">
        <v>136</v>
      </c>
      <c r="O2487" s="26">
        <v>65</v>
      </c>
      <c r="P2487" s="26">
        <v>71</v>
      </c>
      <c r="Q2487" s="26">
        <v>6</v>
      </c>
      <c r="R2487" s="26">
        <v>1</v>
      </c>
      <c r="S2487" s="26">
        <v>6</v>
      </c>
      <c r="T2487" s="26">
        <v>7</v>
      </c>
      <c r="U2487" s="26">
        <v>14</v>
      </c>
      <c r="V2487" s="26">
        <v>1</v>
      </c>
      <c r="W2487" s="26"/>
    </row>
    <row r="2488" spans="1:23" x14ac:dyDescent="0.25">
      <c r="A2488" s="26" t="str">
        <f t="shared" si="408"/>
        <v>PRIMARIA</v>
      </c>
      <c r="B2488" s="26" t="str">
        <f>"09PPR0803I"</f>
        <v>09PPR0803I</v>
      </c>
      <c r="C2488" s="26" t="str">
        <f>"CLAUDINA THEVENET                                                                                   "</f>
        <v xml:space="preserve">CLAUDINA THEVENET                                                                                   </v>
      </c>
      <c r="D2488" s="26" t="str">
        <f t="shared" si="414"/>
        <v>MATUTINO</v>
      </c>
      <c r="E2488" s="26" t="str">
        <f>"SUR 128 NUM 15                                                                  "</f>
        <v xml:space="preserve">SUR 128 NUM 15                                                                  </v>
      </c>
      <c r="F2488" s="26" t="str">
        <f>"COVE                                                                                                                                        "</f>
        <v xml:space="preserve">COVE                                                                                                                                        </v>
      </c>
      <c r="G2488" s="26" t="str">
        <f>"ALVARO OBREGON                                                                  "</f>
        <v xml:space="preserve">ALVARO OBREGON                                                                  </v>
      </c>
      <c r="H2488" s="26" t="str">
        <f>"307"</f>
        <v>307</v>
      </c>
      <c r="I2488" s="26" t="str">
        <f t="shared" si="409"/>
        <v>00</v>
      </c>
      <c r="J2488" s="26" t="str">
        <f t="shared" si="421"/>
        <v xml:space="preserve">43 </v>
      </c>
      <c r="K2488" s="26" t="str">
        <f t="shared" si="419"/>
        <v>PR</v>
      </c>
      <c r="L2488" s="26" t="str">
        <f t="shared" si="420"/>
        <v>DGOSE</v>
      </c>
      <c r="M2488" s="26" t="str">
        <f t="shared" si="413"/>
        <v>PARTICULAR</v>
      </c>
      <c r="N2488" s="26">
        <v>489</v>
      </c>
      <c r="O2488" s="26">
        <v>100</v>
      </c>
      <c r="P2488" s="26">
        <v>389</v>
      </c>
      <c r="Q2488" s="26">
        <v>14</v>
      </c>
      <c r="R2488" s="26">
        <v>1</v>
      </c>
      <c r="S2488" s="26">
        <v>14</v>
      </c>
      <c r="T2488" s="26">
        <v>6</v>
      </c>
      <c r="U2488" s="26">
        <v>21</v>
      </c>
      <c r="V2488" s="26">
        <v>1</v>
      </c>
      <c r="W2488" s="26"/>
    </row>
    <row r="2489" spans="1:23" x14ac:dyDescent="0.25">
      <c r="A2489" s="26" t="str">
        <f t="shared" si="408"/>
        <v>PRIMARIA</v>
      </c>
      <c r="B2489" s="26" t="str">
        <f>"09PPR0806F"</f>
        <v>09PPR0806F</v>
      </c>
      <c r="C2489" s="26" t="str">
        <f>"JULIO VERNE                                                                                         "</f>
        <v xml:space="preserve">JULIO VERNE                                                                                         </v>
      </c>
      <c r="D2489" s="26" t="str">
        <f t="shared" si="414"/>
        <v>MATUTINO</v>
      </c>
      <c r="E2489" s="26" t="str">
        <f>"HERIBERTO FRIAS NUMERO 949                                                      "</f>
        <v xml:space="preserve">HERIBERTO FRIAS NUMERO 949                                                      </v>
      </c>
      <c r="F2489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2489" s="26" t="str">
        <f>"BENITO JUAREZ                                                                   "</f>
        <v xml:space="preserve">BENITO JUAREZ                                                                   </v>
      </c>
      <c r="H2489" s="26" t="str">
        <f>"000"</f>
        <v>000</v>
      </c>
      <c r="I2489" s="26" t="str">
        <f t="shared" si="409"/>
        <v>00</v>
      </c>
      <c r="J2489" s="26" t="str">
        <f t="shared" si="421"/>
        <v xml:space="preserve">43 </v>
      </c>
      <c r="K2489" s="26" t="str">
        <f t="shared" si="419"/>
        <v>PR</v>
      </c>
      <c r="L2489" s="26" t="str">
        <f t="shared" si="420"/>
        <v>DGOSE</v>
      </c>
      <c r="M2489" s="26" t="str">
        <f t="shared" si="413"/>
        <v>PARTICULAR</v>
      </c>
      <c r="N2489" s="26">
        <v>69</v>
      </c>
      <c r="O2489" s="26">
        <v>41</v>
      </c>
      <c r="P2489" s="26">
        <v>28</v>
      </c>
      <c r="Q2489" s="26">
        <v>6</v>
      </c>
      <c r="R2489" s="26">
        <v>1</v>
      </c>
      <c r="S2489" s="26">
        <v>3</v>
      </c>
      <c r="T2489" s="26">
        <v>10</v>
      </c>
      <c r="U2489" s="26">
        <v>14</v>
      </c>
      <c r="V2489" s="26">
        <v>1</v>
      </c>
      <c r="W2489" s="26"/>
    </row>
    <row r="2490" spans="1:23" x14ac:dyDescent="0.25">
      <c r="A2490" s="26" t="str">
        <f t="shared" si="408"/>
        <v>PRIMARIA</v>
      </c>
      <c r="B2490" s="26" t="str">
        <f>"09PPR0809C"</f>
        <v>09PPR0809C</v>
      </c>
      <c r="C2490" s="26" t="str">
        <f>"CENTRO EDUCATIVO EXEA                                                                               "</f>
        <v xml:space="preserve">CENTRO EDUCATIVO EXEA                                                                               </v>
      </c>
      <c r="D2490" s="26" t="str">
        <f t="shared" si="414"/>
        <v>MATUTINO</v>
      </c>
      <c r="E2490" s="26" t="str">
        <f>"EJE 10 SUR NO 49                                                                "</f>
        <v xml:space="preserve">EJE 10 SUR NO 49                                                                </v>
      </c>
      <c r="F2490" s="26" t="str">
        <f>"LOS REYES                                                                                                                                   "</f>
        <v xml:space="preserve">LOS REYES                                                                                                                                   </v>
      </c>
      <c r="G2490" s="26" t="str">
        <f>"COYOACAN                                                                        "</f>
        <v xml:space="preserve">COYOACAN                                                                        </v>
      </c>
      <c r="H2490" s="26" t="str">
        <f>"503"</f>
        <v>503</v>
      </c>
      <c r="I2490" s="26" t="str">
        <f t="shared" si="409"/>
        <v>00</v>
      </c>
      <c r="J2490" s="26" t="str">
        <f>"45 "</f>
        <v xml:space="preserve">45 </v>
      </c>
      <c r="K2490" s="26" t="str">
        <f t="shared" si="419"/>
        <v>PR</v>
      </c>
      <c r="L2490" s="26" t="str">
        <f t="shared" si="420"/>
        <v>DGOSE</v>
      </c>
      <c r="M2490" s="26" t="str">
        <f t="shared" si="413"/>
        <v>PARTICULAR</v>
      </c>
      <c r="N2490" s="26">
        <v>65</v>
      </c>
      <c r="O2490" s="26">
        <v>41</v>
      </c>
      <c r="P2490" s="26">
        <v>24</v>
      </c>
      <c r="Q2490" s="26">
        <v>6</v>
      </c>
      <c r="R2490" s="26">
        <v>1</v>
      </c>
      <c r="S2490" s="26">
        <v>3</v>
      </c>
      <c r="T2490" s="26">
        <v>12</v>
      </c>
      <c r="U2490" s="26">
        <v>16</v>
      </c>
      <c r="V2490" s="26">
        <v>1</v>
      </c>
      <c r="W2490" s="26"/>
    </row>
    <row r="2491" spans="1:23" x14ac:dyDescent="0.25">
      <c r="A2491" s="26" t="str">
        <f t="shared" si="408"/>
        <v>PRIMARIA</v>
      </c>
      <c r="B2491" s="26" t="str">
        <f>"09PPR0810S"</f>
        <v>09PPR0810S</v>
      </c>
      <c r="C2491" s="26" t="str">
        <f>"COLEGIO TEIFAROS                                                                                    "</f>
        <v xml:space="preserve">COLEGIO TEIFAROS                                                                                    </v>
      </c>
      <c r="D2491" s="26" t="str">
        <f t="shared" si="414"/>
        <v>MATUTINO</v>
      </c>
      <c r="E2491" s="26" t="str">
        <f>"FERNANDEZ LEAL NUM 16                                                           "</f>
        <v xml:space="preserve">FERNANDEZ LEAL NUM 16                                                           </v>
      </c>
      <c r="F2491" s="26" t="str">
        <f>"CONCEPCION                                                                                                                                  "</f>
        <v xml:space="preserve">CONCEPCION                                                                                                                                  </v>
      </c>
      <c r="G2491" s="26" t="str">
        <f>"COYOACAN                                                                        "</f>
        <v xml:space="preserve">COYOACAN                                                                        </v>
      </c>
      <c r="H2491" s="26" t="str">
        <f>"500"</f>
        <v>500</v>
      </c>
      <c r="I2491" s="26" t="str">
        <f t="shared" si="409"/>
        <v>00</v>
      </c>
      <c r="J2491" s="26" t="str">
        <f>"45 "</f>
        <v xml:space="preserve">45 </v>
      </c>
      <c r="K2491" s="26" t="str">
        <f t="shared" si="419"/>
        <v>PR</v>
      </c>
      <c r="L2491" s="26" t="str">
        <f t="shared" si="420"/>
        <v>DGOSE</v>
      </c>
      <c r="M2491" s="26" t="str">
        <f t="shared" si="413"/>
        <v>PARTICULAR</v>
      </c>
      <c r="N2491" s="26">
        <v>373</v>
      </c>
      <c r="O2491" s="26">
        <v>203</v>
      </c>
      <c r="P2491" s="26">
        <v>170</v>
      </c>
      <c r="Q2491" s="26">
        <v>17</v>
      </c>
      <c r="R2491" s="26">
        <v>1</v>
      </c>
      <c r="S2491" s="26">
        <v>10</v>
      </c>
      <c r="T2491" s="26">
        <v>15</v>
      </c>
      <c r="U2491" s="26">
        <v>26</v>
      </c>
      <c r="V2491" s="26">
        <v>1</v>
      </c>
      <c r="W2491" s="26"/>
    </row>
    <row r="2492" spans="1:23" x14ac:dyDescent="0.25">
      <c r="A2492" s="26" t="str">
        <f t="shared" si="408"/>
        <v>PRIMARIA</v>
      </c>
      <c r="B2492" s="26" t="str">
        <f>"09PPR0814O"</f>
        <v>09PPR0814O</v>
      </c>
      <c r="C2492" s="26" t="str">
        <f>"COLEGIO JUAN DE PALAFOX Y MENDOZA                                                                   "</f>
        <v xml:space="preserve">COLEGIO JUAN DE PALAFOX Y MENDOZA                                                                   </v>
      </c>
      <c r="D2492" s="26" t="str">
        <f t="shared" si="414"/>
        <v>MATUTINO</v>
      </c>
      <c r="E2492" s="26" t="str">
        <f>"AV ACUEDUCTO DE GUADALUPE NUM 329                                               "</f>
        <v xml:space="preserve">AV ACUEDUCTO DE GUADALUPE NUM 329                                               </v>
      </c>
      <c r="F2492" s="26" t="str">
        <f>"ACUEDUCTO DE GUADALUPE                                                                                                                      "</f>
        <v xml:space="preserve">ACUEDUCTO DE GUADALUPE                                                                                                                      </v>
      </c>
      <c r="G2492" s="26" t="str">
        <f>"GUSTAVO A. MADERO                                                               "</f>
        <v xml:space="preserve">GUSTAVO A. MADERO                                                               </v>
      </c>
      <c r="H2492" s="26" t="str">
        <f>"236"</f>
        <v>236</v>
      </c>
      <c r="I2492" s="26" t="str">
        <f t="shared" si="409"/>
        <v>00</v>
      </c>
      <c r="J2492" s="26" t="str">
        <f>"42 "</f>
        <v xml:space="preserve">42 </v>
      </c>
      <c r="K2492" s="26" t="str">
        <f t="shared" si="419"/>
        <v>PR</v>
      </c>
      <c r="L2492" s="26" t="str">
        <f t="shared" si="420"/>
        <v>DGOSE</v>
      </c>
      <c r="M2492" s="26" t="str">
        <f t="shared" si="413"/>
        <v>PARTICULAR</v>
      </c>
      <c r="N2492" s="26">
        <v>72</v>
      </c>
      <c r="O2492" s="26">
        <v>39</v>
      </c>
      <c r="P2492" s="26">
        <v>33</v>
      </c>
      <c r="Q2492" s="26">
        <v>6</v>
      </c>
      <c r="R2492" s="26">
        <v>1</v>
      </c>
      <c r="S2492" s="26">
        <v>6</v>
      </c>
      <c r="T2492" s="26">
        <v>11</v>
      </c>
      <c r="U2492" s="26">
        <v>18</v>
      </c>
      <c r="V2492" s="26">
        <v>1</v>
      </c>
      <c r="W2492" s="26"/>
    </row>
    <row r="2493" spans="1:23" x14ac:dyDescent="0.25">
      <c r="A2493" s="26" t="str">
        <f t="shared" si="408"/>
        <v>PRIMARIA</v>
      </c>
      <c r="B2493" s="26" t="str">
        <f>"09PPR0820Z"</f>
        <v>09PPR0820Z</v>
      </c>
      <c r="C2493" s="26" t="str">
        <f>"COLEGIO BOSQUES                                                                                     "</f>
        <v xml:space="preserve">COLEGIO BOSQUES                                                                                     </v>
      </c>
      <c r="D2493" s="26" t="str">
        <f t="shared" si="414"/>
        <v>MATUTINO</v>
      </c>
      <c r="E2493" s="26" t="str">
        <f>"AV VERACRUZ NO.112                                                              "</f>
        <v xml:space="preserve">AV VERACRUZ NO.112                                                              </v>
      </c>
      <c r="F2493" s="26" t="str">
        <f>"CONTADERO                                                                                                                                   "</f>
        <v xml:space="preserve">CONTADERO                                                                                                                                   </v>
      </c>
      <c r="G2493" s="26" t="str">
        <f>"CUAJIMALPA DE MORELOS                                                           "</f>
        <v xml:space="preserve">CUAJIMALPA DE MORELOS                                                           </v>
      </c>
      <c r="H2493" s="26" t="str">
        <f>"304"</f>
        <v>304</v>
      </c>
      <c r="I2493" s="26" t="str">
        <f t="shared" si="409"/>
        <v>00</v>
      </c>
      <c r="J2493" s="26" t="str">
        <f>"43 "</f>
        <v xml:space="preserve">43 </v>
      </c>
      <c r="K2493" s="26" t="str">
        <f t="shared" si="419"/>
        <v>PR</v>
      </c>
      <c r="L2493" s="26" t="str">
        <f t="shared" si="420"/>
        <v>DGOSE</v>
      </c>
      <c r="M2493" s="26" t="str">
        <f t="shared" si="413"/>
        <v>PARTICULAR</v>
      </c>
      <c r="N2493" s="26">
        <v>89</v>
      </c>
      <c r="O2493" s="26">
        <v>48</v>
      </c>
      <c r="P2493" s="26">
        <v>41</v>
      </c>
      <c r="Q2493" s="26">
        <v>6</v>
      </c>
      <c r="R2493" s="26">
        <v>1</v>
      </c>
      <c r="S2493" s="26">
        <v>6</v>
      </c>
      <c r="T2493" s="26">
        <v>5</v>
      </c>
      <c r="U2493" s="26">
        <v>12</v>
      </c>
      <c r="V2493" s="26">
        <v>1</v>
      </c>
      <c r="W2493" s="26"/>
    </row>
    <row r="2494" spans="1:23" x14ac:dyDescent="0.25">
      <c r="A2494" s="26" t="str">
        <f t="shared" si="408"/>
        <v>PRIMARIA</v>
      </c>
      <c r="B2494" s="26" t="str">
        <f>"09PPR0821Y"</f>
        <v>09PPR0821Y</v>
      </c>
      <c r="C2494" s="26" t="str">
        <f>"""FRIDA KAHLO""                                                                                       "</f>
        <v xml:space="preserve">"FRIDA KAHLO"                                                                                       </v>
      </c>
      <c r="D2494" s="26" t="str">
        <f t="shared" si="414"/>
        <v>MATUTINO</v>
      </c>
      <c r="E2494" s="26" t="str">
        <f>"PATRIA NO 357                                                                   "</f>
        <v xml:space="preserve">PATRIA NO 357                                                                   </v>
      </c>
      <c r="F2494" s="26" t="str">
        <f>"LA LAGUNA TICOMAN                                                                                                                           "</f>
        <v xml:space="preserve">LA LAGUNA TICOMAN                                                                                                                           </v>
      </c>
      <c r="G2494" s="26" t="str">
        <f>"GUSTAVO A. MADERO                                                               "</f>
        <v xml:space="preserve">GUSTAVO A. MADERO                                                               </v>
      </c>
      <c r="H2494" s="26" t="str">
        <f>"235"</f>
        <v>235</v>
      </c>
      <c r="I2494" s="26" t="str">
        <f t="shared" si="409"/>
        <v>00</v>
      </c>
      <c r="J2494" s="26" t="str">
        <f>"42 "</f>
        <v xml:space="preserve">42 </v>
      </c>
      <c r="K2494" s="26" t="str">
        <f t="shared" si="419"/>
        <v>PR</v>
      </c>
      <c r="L2494" s="26" t="str">
        <f t="shared" si="420"/>
        <v>DGOSE</v>
      </c>
      <c r="M2494" s="26" t="str">
        <f t="shared" si="413"/>
        <v>PARTICULAR</v>
      </c>
      <c r="N2494" s="26">
        <v>32</v>
      </c>
      <c r="O2494" s="26">
        <v>18</v>
      </c>
      <c r="P2494" s="26">
        <v>14</v>
      </c>
      <c r="Q2494" s="26">
        <v>6</v>
      </c>
      <c r="R2494" s="26">
        <v>1</v>
      </c>
      <c r="S2494" s="26">
        <v>6</v>
      </c>
      <c r="T2494" s="26">
        <v>3</v>
      </c>
      <c r="U2494" s="26">
        <v>10</v>
      </c>
      <c r="V2494" s="26">
        <v>1</v>
      </c>
      <c r="W2494" s="26"/>
    </row>
    <row r="2495" spans="1:23" x14ac:dyDescent="0.25">
      <c r="A2495" s="26" t="str">
        <f t="shared" si="408"/>
        <v>PRIMARIA</v>
      </c>
      <c r="B2495" s="26" t="str">
        <f>"09PPR0822X"</f>
        <v>09PPR0822X</v>
      </c>
      <c r="C2495" s="26" t="str">
        <f>"AZTLAN                                                                                              "</f>
        <v xml:space="preserve">AZTLAN                                                                                              </v>
      </c>
      <c r="D2495" s="26" t="str">
        <f t="shared" si="414"/>
        <v>MATUTINO</v>
      </c>
      <c r="E2495" s="26" t="str">
        <f>"PROLG DIVISION DEL NORTE NO 4366                                                "</f>
        <v xml:space="preserve">PROLG DIVISION DEL NORTE NO 4366                                                </v>
      </c>
      <c r="F2495" s="26" t="str">
        <f>"RESIDENCIAL EX-HACIENDA COAPA                                                                                                               "</f>
        <v xml:space="preserve">RESIDENCIAL EX-HACIENDA COAPA                                                                                                               </v>
      </c>
      <c r="G2495" s="26" t="str">
        <f>"TLALPAN                                                                         "</f>
        <v xml:space="preserve">TLALPAN                                                                         </v>
      </c>
      <c r="H2495" s="26" t="str">
        <f>"525"</f>
        <v>525</v>
      </c>
      <c r="I2495" s="26" t="str">
        <f t="shared" si="409"/>
        <v>00</v>
      </c>
      <c r="J2495" s="26" t="str">
        <f>"45 "</f>
        <v xml:space="preserve">45 </v>
      </c>
      <c r="K2495" s="26" t="str">
        <f t="shared" si="419"/>
        <v>PR</v>
      </c>
      <c r="L2495" s="26" t="str">
        <f t="shared" si="420"/>
        <v>DGOSE</v>
      </c>
      <c r="M2495" s="26" t="str">
        <f t="shared" si="413"/>
        <v>PARTICULAR</v>
      </c>
      <c r="N2495" s="26">
        <v>63</v>
      </c>
      <c r="O2495" s="26">
        <v>35</v>
      </c>
      <c r="P2495" s="26">
        <v>28</v>
      </c>
      <c r="Q2495" s="26">
        <v>6</v>
      </c>
      <c r="R2495" s="26">
        <v>1</v>
      </c>
      <c r="S2495" s="26">
        <v>3</v>
      </c>
      <c r="T2495" s="26">
        <v>8</v>
      </c>
      <c r="U2495" s="26">
        <v>12</v>
      </c>
      <c r="V2495" s="26">
        <v>1</v>
      </c>
      <c r="W2495" s="26"/>
    </row>
    <row r="2496" spans="1:23" x14ac:dyDescent="0.25">
      <c r="A2496" s="26" t="str">
        <f t="shared" si="408"/>
        <v>PRIMARIA</v>
      </c>
      <c r="B2496" s="26" t="str">
        <f>"09PPR0824V"</f>
        <v>09PPR0824V</v>
      </c>
      <c r="C2496" s="26" t="str">
        <f>"ILIN MARSHAK                                                                                        "</f>
        <v xml:space="preserve">ILIN MARSHAK                                                                                        </v>
      </c>
      <c r="D2496" s="26" t="str">
        <f t="shared" si="414"/>
        <v>MATUTINO</v>
      </c>
      <c r="E2496" s="26" t="str">
        <f>"JOSE REVUELTAS 280                                                              "</f>
        <v xml:space="preserve">JOSE REVUELTAS 280                                                              </v>
      </c>
      <c r="F2496" s="26" t="str">
        <f>"VILLA DE CORTES                                                                                                                             "</f>
        <v xml:space="preserve">VILLA DE CORTES                                                                                                                             </v>
      </c>
      <c r="G2496" s="26" t="str">
        <f>"BENITO JUAREZ                                                                   "</f>
        <v xml:space="preserve">BENITO JUAREZ                                                                   </v>
      </c>
      <c r="H2496" s="26" t="str">
        <f>"000"</f>
        <v>000</v>
      </c>
      <c r="I2496" s="26" t="str">
        <f t="shared" si="409"/>
        <v>00</v>
      </c>
      <c r="J2496" s="26" t="str">
        <f>"43 "</f>
        <v xml:space="preserve">43 </v>
      </c>
      <c r="K2496" s="26" t="str">
        <f t="shared" si="419"/>
        <v>PR</v>
      </c>
      <c r="L2496" s="26" t="str">
        <f t="shared" si="420"/>
        <v>DGOSE</v>
      </c>
      <c r="M2496" s="26" t="str">
        <f t="shared" si="413"/>
        <v>PARTICULAR</v>
      </c>
      <c r="N2496" s="26">
        <v>25</v>
      </c>
      <c r="O2496" s="26">
        <v>11</v>
      </c>
      <c r="P2496" s="26">
        <v>14</v>
      </c>
      <c r="Q2496" s="26">
        <v>6</v>
      </c>
      <c r="R2496" s="26">
        <v>1</v>
      </c>
      <c r="S2496" s="26">
        <v>3</v>
      </c>
      <c r="T2496" s="26">
        <v>5</v>
      </c>
      <c r="U2496" s="26">
        <v>9</v>
      </c>
      <c r="V2496" s="26">
        <v>1</v>
      </c>
      <c r="W2496" s="26"/>
    </row>
    <row r="2497" spans="1:23" x14ac:dyDescent="0.25">
      <c r="A2497" s="26" t="str">
        <f t="shared" si="408"/>
        <v>PRIMARIA</v>
      </c>
      <c r="B2497" s="26" t="str">
        <f>"09PPR0825U"</f>
        <v>09PPR0825U</v>
      </c>
      <c r="C2497" s="26" t="str">
        <f>"GABRIELA MISTRAL                                                                                    "</f>
        <v xml:space="preserve">GABRIELA MISTRAL                                                                                    </v>
      </c>
      <c r="D2497" s="26" t="str">
        <f t="shared" si="414"/>
        <v>MATUTINO</v>
      </c>
      <c r="E2497" s="26" t="str">
        <f>"AV HECTOR VICTORIA NO 264                                                       "</f>
        <v xml:space="preserve">AV HECTOR VICTORIA NO 264                                                       </v>
      </c>
      <c r="F2497" s="26" t="str">
        <f>"GRANJAS DE NAVIDAD                                                                                                                          "</f>
        <v xml:space="preserve">GRANJAS DE NAVIDAD                                                                                                                          </v>
      </c>
      <c r="G2497" s="26" t="str">
        <f>"CUAJIMALPA DE MORELOS                                                           "</f>
        <v xml:space="preserve">CUAJIMALPA DE MORELOS                                                           </v>
      </c>
      <c r="H2497" s="26" t="str">
        <f>"301"</f>
        <v>301</v>
      </c>
      <c r="I2497" s="26" t="str">
        <f t="shared" si="409"/>
        <v>00</v>
      </c>
      <c r="J2497" s="26" t="str">
        <f>"43 "</f>
        <v xml:space="preserve">43 </v>
      </c>
      <c r="K2497" s="26" t="str">
        <f t="shared" si="419"/>
        <v>PR</v>
      </c>
      <c r="L2497" s="26" t="str">
        <f t="shared" si="420"/>
        <v>DGOSE</v>
      </c>
      <c r="M2497" s="26" t="str">
        <f t="shared" si="413"/>
        <v>PARTICULAR</v>
      </c>
      <c r="N2497" s="26">
        <v>117</v>
      </c>
      <c r="O2497" s="26">
        <v>47</v>
      </c>
      <c r="P2497" s="26">
        <v>70</v>
      </c>
      <c r="Q2497" s="26">
        <v>6</v>
      </c>
      <c r="R2497" s="26">
        <v>1</v>
      </c>
      <c r="S2497" s="26">
        <v>6</v>
      </c>
      <c r="T2497" s="26">
        <v>9</v>
      </c>
      <c r="U2497" s="26">
        <v>16</v>
      </c>
      <c r="V2497" s="26">
        <v>1</v>
      </c>
      <c r="W2497" s="26"/>
    </row>
    <row r="2498" spans="1:23" x14ac:dyDescent="0.25">
      <c r="A2498" s="26" t="str">
        <f t="shared" ref="A2498:A2561" si="422">"PRIMARIA"</f>
        <v>PRIMARIA</v>
      </c>
      <c r="B2498" s="26" t="str">
        <f>"09PPR0826T"</f>
        <v>09PPR0826T</v>
      </c>
      <c r="C2498" s="26" t="str">
        <f>"INSTITUTO NEUCHATEL                                                                                 "</f>
        <v xml:space="preserve">INSTITUTO NEUCHATEL                                                                                 </v>
      </c>
      <c r="D2498" s="26" t="str">
        <f t="shared" si="414"/>
        <v>MATUTINO</v>
      </c>
      <c r="E2498" s="26" t="str">
        <f>"NUBES NUM 413                                                                   "</f>
        <v xml:space="preserve">NUBES NUM 413                                                                   </v>
      </c>
      <c r="F2498" s="26" t="str">
        <f>"JARDINES DEL PEDREGAL                                                                                                                       "</f>
        <v xml:space="preserve">JARDINES DEL PEDREGAL                                                                                                                       </v>
      </c>
      <c r="G2498" s="26" t="str">
        <f>"ALVARO OBREGON                                                                  "</f>
        <v xml:space="preserve">ALVARO OBREGON                                                                  </v>
      </c>
      <c r="H2498" s="26" t="str">
        <f>"327"</f>
        <v>327</v>
      </c>
      <c r="I2498" s="26" t="str">
        <f t="shared" ref="I2498:I2561" si="423">"00"</f>
        <v>00</v>
      </c>
      <c r="J2498" s="26" t="str">
        <f>"43 "</f>
        <v xml:space="preserve">43 </v>
      </c>
      <c r="K2498" s="26" t="str">
        <f t="shared" si="419"/>
        <v>PR</v>
      </c>
      <c r="L2498" s="26" t="str">
        <f t="shared" si="420"/>
        <v>DGOSE</v>
      </c>
      <c r="M2498" s="26" t="str">
        <f t="shared" si="413"/>
        <v>PARTICULAR</v>
      </c>
      <c r="N2498" s="26">
        <v>376</v>
      </c>
      <c r="O2498" s="26">
        <v>186</v>
      </c>
      <c r="P2498" s="26">
        <v>190</v>
      </c>
      <c r="Q2498" s="26">
        <v>18</v>
      </c>
      <c r="R2498" s="26">
        <v>1</v>
      </c>
      <c r="S2498" s="26">
        <v>8</v>
      </c>
      <c r="T2498" s="26">
        <v>18</v>
      </c>
      <c r="U2498" s="26">
        <v>27</v>
      </c>
      <c r="V2498" s="26">
        <v>1</v>
      </c>
      <c r="W2498" s="26"/>
    </row>
    <row r="2499" spans="1:23" x14ac:dyDescent="0.25">
      <c r="A2499" s="26" t="str">
        <f t="shared" si="422"/>
        <v>PRIMARIA</v>
      </c>
      <c r="B2499" s="26" t="str">
        <f>"09PPR0829Q"</f>
        <v>09PPR0829Q</v>
      </c>
      <c r="C2499" s="26" t="str">
        <f>"BIK'IT                                                                                              "</f>
        <v xml:space="preserve">BIK'IT                                                                                              </v>
      </c>
      <c r="D2499" s="26" t="str">
        <f t="shared" si="414"/>
        <v>MATUTINO</v>
      </c>
      <c r="E2499" s="26" t="str">
        <f>"AV. RIO SOTO LA MARINA NO. 60                                                   "</f>
        <v xml:space="preserve">AV. RIO SOTO LA MARINA NO. 60                                                   </v>
      </c>
      <c r="F2499" s="26" t="str">
        <f>"PASEOS DE CHURUBUSCO                                                                                                                        "</f>
        <v xml:space="preserve">PASEOS DE CHURUBUSCO                                                                                                                        </v>
      </c>
      <c r="G2499" s="26" t="str">
        <f>"IZTAPALAPA                                                                      "</f>
        <v xml:space="preserve">IZTAPALAPA                                                                      </v>
      </c>
      <c r="H2499" s="26" t="str">
        <f>"000"</f>
        <v>000</v>
      </c>
      <c r="I2499" s="26" t="str">
        <f t="shared" si="423"/>
        <v>00</v>
      </c>
      <c r="J2499" s="26" t="str">
        <f>"61 "</f>
        <v xml:space="preserve">61 </v>
      </c>
      <c r="K2499" s="26" t="str">
        <f>"IZ"</f>
        <v>IZ</v>
      </c>
      <c r="L2499" s="26" t="str">
        <f>"DGSEI"</f>
        <v>DGSEI</v>
      </c>
      <c r="M2499" s="26" t="str">
        <f t="shared" si="413"/>
        <v>PARTICULAR</v>
      </c>
      <c r="N2499" s="26">
        <v>98</v>
      </c>
      <c r="O2499" s="26">
        <v>44</v>
      </c>
      <c r="P2499" s="26">
        <v>54</v>
      </c>
      <c r="Q2499" s="26">
        <v>6</v>
      </c>
      <c r="R2499" s="26">
        <v>1</v>
      </c>
      <c r="S2499" s="26">
        <v>6</v>
      </c>
      <c r="T2499" s="26">
        <v>11</v>
      </c>
      <c r="U2499" s="26">
        <v>18</v>
      </c>
      <c r="V2499" s="26">
        <v>1</v>
      </c>
      <c r="W2499" s="26"/>
    </row>
    <row r="2500" spans="1:23" x14ac:dyDescent="0.25">
      <c r="A2500" s="26" t="str">
        <f t="shared" si="422"/>
        <v>PRIMARIA</v>
      </c>
      <c r="B2500" s="26" t="str">
        <f>"09PPR0831E"</f>
        <v>09PPR0831E</v>
      </c>
      <c r="C2500" s="26" t="str">
        <f>"COLEGIO IZTAPALAPA                                                                                  "</f>
        <v xml:space="preserve">COLEGIO IZTAPALAPA                                                                                  </v>
      </c>
      <c r="D2500" s="26" t="str">
        <f t="shared" si="414"/>
        <v>MATUTINO</v>
      </c>
      <c r="E2500" s="26" t="str">
        <f>"SUR 95-B NO. 620                                                                "</f>
        <v xml:space="preserve">SUR 95-B NO. 620                                                                </v>
      </c>
      <c r="F2500" s="26" t="str">
        <f>"SECTOR POPULAR                                                                                                                              "</f>
        <v xml:space="preserve">SECTOR POPULAR                                                                                                                              </v>
      </c>
      <c r="G2500" s="26" t="str">
        <f>"IZTAPALAPA                                                                      "</f>
        <v xml:space="preserve">IZTAPALAPA                                                                      </v>
      </c>
      <c r="H2500" s="26" t="str">
        <f>"000"</f>
        <v>000</v>
      </c>
      <c r="I2500" s="26" t="str">
        <f t="shared" si="423"/>
        <v>00</v>
      </c>
      <c r="J2500" s="26" t="str">
        <f>"61 "</f>
        <v xml:space="preserve">61 </v>
      </c>
      <c r="K2500" s="26" t="str">
        <f>"IZ"</f>
        <v>IZ</v>
      </c>
      <c r="L2500" s="26" t="str">
        <f>"DGSEI"</f>
        <v>DGSEI</v>
      </c>
      <c r="M2500" s="26" t="str">
        <f t="shared" si="413"/>
        <v>PARTICULAR</v>
      </c>
      <c r="N2500" s="26">
        <v>92</v>
      </c>
      <c r="O2500" s="26">
        <v>49</v>
      </c>
      <c r="P2500" s="26">
        <v>43</v>
      </c>
      <c r="Q2500" s="26">
        <v>6</v>
      </c>
      <c r="R2500" s="26">
        <v>1</v>
      </c>
      <c r="S2500" s="26">
        <v>3</v>
      </c>
      <c r="T2500" s="26">
        <v>9</v>
      </c>
      <c r="U2500" s="26">
        <v>13</v>
      </c>
      <c r="V2500" s="26">
        <v>1</v>
      </c>
      <c r="W2500" s="26"/>
    </row>
    <row r="2501" spans="1:23" x14ac:dyDescent="0.25">
      <c r="A2501" s="26" t="str">
        <f t="shared" si="422"/>
        <v>PRIMARIA</v>
      </c>
      <c r="B2501" s="26" t="str">
        <f>"09PPR0832D"</f>
        <v>09PPR0832D</v>
      </c>
      <c r="C2501" s="26" t="str">
        <f>"ELODIA RAMOS CHAVEZ                                                                                 "</f>
        <v xml:space="preserve">ELODIA RAMOS CHAVEZ                                                                                 </v>
      </c>
      <c r="D2501" s="26" t="str">
        <f t="shared" si="414"/>
        <v>MATUTINO</v>
      </c>
      <c r="E2501" s="26" t="str">
        <f>"ORIENTE 253 NUM 39                                                              "</f>
        <v xml:space="preserve">ORIENTE 253 NUM 39                                                              </v>
      </c>
      <c r="F2501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2501" s="26" t="str">
        <f>"IZTACALCO                                                                       "</f>
        <v xml:space="preserve">IZTACALCO                                                                       </v>
      </c>
      <c r="H2501" s="26" t="str">
        <f>"355"</f>
        <v>355</v>
      </c>
      <c r="I2501" s="26" t="str">
        <f t="shared" si="423"/>
        <v>00</v>
      </c>
      <c r="J2501" s="26" t="str">
        <f>"43 "</f>
        <v xml:space="preserve">43 </v>
      </c>
      <c r="K2501" s="26" t="str">
        <f>"PR"</f>
        <v>PR</v>
      </c>
      <c r="L2501" s="26" t="str">
        <f>"DGOSE"</f>
        <v>DGOSE</v>
      </c>
      <c r="M2501" s="26" t="str">
        <f t="shared" si="413"/>
        <v>PARTICULAR</v>
      </c>
      <c r="N2501" s="26">
        <v>81</v>
      </c>
      <c r="O2501" s="26">
        <v>44</v>
      </c>
      <c r="P2501" s="26">
        <v>37</v>
      </c>
      <c r="Q2501" s="26">
        <v>6</v>
      </c>
      <c r="R2501" s="26">
        <v>1</v>
      </c>
      <c r="S2501" s="26">
        <v>6</v>
      </c>
      <c r="T2501" s="26">
        <v>9</v>
      </c>
      <c r="U2501" s="26">
        <v>16</v>
      </c>
      <c r="V2501" s="26">
        <v>1</v>
      </c>
      <c r="W2501" s="26"/>
    </row>
    <row r="2502" spans="1:23" x14ac:dyDescent="0.25">
      <c r="A2502" s="26" t="str">
        <f t="shared" si="422"/>
        <v>PRIMARIA</v>
      </c>
      <c r="B2502" s="26" t="str">
        <f>"09PPR0833C"</f>
        <v>09PPR0833C</v>
      </c>
      <c r="C2502" s="26" t="str">
        <f>"AZTAHUACAN                                                                                          "</f>
        <v xml:space="preserve">AZTAHUACAN                                                                                          </v>
      </c>
      <c r="D2502" s="26" t="str">
        <f t="shared" si="414"/>
        <v>MATUTINO</v>
      </c>
      <c r="E2502" s="26" t="str">
        <f>"AV. MEXICO NO. 14-A                                                             "</f>
        <v xml:space="preserve">AV. MEXICO NO. 14-A                                                             </v>
      </c>
      <c r="F2502" s="26" t="str">
        <f>"SANTA MARIA AZTAHUACAN                                                                                                                      "</f>
        <v xml:space="preserve">SANTA MARIA AZTAHUACAN                                                                                                                      </v>
      </c>
      <c r="G2502" s="26" t="str">
        <f>"IZTAPALAPA                                                                      "</f>
        <v xml:space="preserve">IZTAPALAPA                                                                      </v>
      </c>
      <c r="H2502" s="26" t="str">
        <f>"000"</f>
        <v>000</v>
      </c>
      <c r="I2502" s="26" t="str">
        <f t="shared" si="423"/>
        <v>00</v>
      </c>
      <c r="J2502" s="26" t="str">
        <f>"62 "</f>
        <v xml:space="preserve">62 </v>
      </c>
      <c r="K2502" s="26" t="str">
        <f>"IZ"</f>
        <v>IZ</v>
      </c>
      <c r="L2502" s="26" t="str">
        <f>"DGSEI"</f>
        <v>DGSEI</v>
      </c>
      <c r="M2502" s="26" t="str">
        <f t="shared" si="413"/>
        <v>PARTICULAR</v>
      </c>
      <c r="N2502" s="26">
        <v>100</v>
      </c>
      <c r="O2502" s="26">
        <v>49</v>
      </c>
      <c r="P2502" s="26">
        <v>51</v>
      </c>
      <c r="Q2502" s="26">
        <v>6</v>
      </c>
      <c r="R2502" s="26">
        <v>1</v>
      </c>
      <c r="S2502" s="26">
        <v>6</v>
      </c>
      <c r="T2502" s="26">
        <v>5</v>
      </c>
      <c r="U2502" s="26">
        <v>12</v>
      </c>
      <c r="V2502" s="26">
        <v>1</v>
      </c>
      <c r="W2502" s="26"/>
    </row>
    <row r="2503" spans="1:23" x14ac:dyDescent="0.25">
      <c r="A2503" s="26" t="str">
        <f t="shared" si="422"/>
        <v>PRIMARIA</v>
      </c>
      <c r="B2503" s="26" t="str">
        <f>"09PPR0838Y"</f>
        <v>09PPR0838Y</v>
      </c>
      <c r="C2503" s="26" t="str">
        <f>"COLEGIO DE LAS AMERICAS DE ARAGON                                                                   "</f>
        <v xml:space="preserve">COLEGIO DE LAS AMERICAS DE ARAGON                                                                   </v>
      </c>
      <c r="D2503" s="26" t="str">
        <f t="shared" si="414"/>
        <v>MATUTINO</v>
      </c>
      <c r="E2503" s="26" t="str">
        <f>"AV 608 NO 327                                                                   "</f>
        <v xml:space="preserve">AV 608 NO 327                                                                   </v>
      </c>
      <c r="F2503" s="26" t="str">
        <f>"SAN JUAN DE ARAGON                                                                                                                          "</f>
        <v xml:space="preserve">SAN JUAN DE ARAGON                                                                                                                          </v>
      </c>
      <c r="G2503" s="26" t="str">
        <f>"GUSTAVO A. MADERO                                                               "</f>
        <v xml:space="preserve">GUSTAVO A. MADERO                                                               </v>
      </c>
      <c r="H2503" s="26" t="str">
        <f>"268"</f>
        <v>268</v>
      </c>
      <c r="I2503" s="26" t="str">
        <f t="shared" si="423"/>
        <v>00</v>
      </c>
      <c r="J2503" s="26" t="str">
        <f>"42 "</f>
        <v xml:space="preserve">42 </v>
      </c>
      <c r="K2503" s="26" t="str">
        <f>"PR"</f>
        <v>PR</v>
      </c>
      <c r="L2503" s="26" t="str">
        <f>"DGOSE"</f>
        <v>DGOSE</v>
      </c>
      <c r="M2503" s="26" t="str">
        <f t="shared" si="413"/>
        <v>PARTICULAR</v>
      </c>
      <c r="N2503" s="26">
        <v>226</v>
      </c>
      <c r="O2503" s="26">
        <v>106</v>
      </c>
      <c r="P2503" s="26">
        <v>120</v>
      </c>
      <c r="Q2503" s="26">
        <v>12</v>
      </c>
      <c r="R2503" s="26">
        <v>1</v>
      </c>
      <c r="S2503" s="26">
        <v>6</v>
      </c>
      <c r="T2503" s="26">
        <v>15</v>
      </c>
      <c r="U2503" s="26">
        <v>22</v>
      </c>
      <c r="V2503" s="26">
        <v>1</v>
      </c>
      <c r="W2503" s="26"/>
    </row>
    <row r="2504" spans="1:23" x14ac:dyDescent="0.25">
      <c r="A2504" s="26" t="str">
        <f t="shared" si="422"/>
        <v>PRIMARIA</v>
      </c>
      <c r="B2504" s="26" t="str">
        <f>"09PPR0839X"</f>
        <v>09PPR0839X</v>
      </c>
      <c r="C2504" s="26" t="str">
        <f>"COLEGIO INGLES MICHAEL FARADAY                                                                      "</f>
        <v xml:space="preserve">COLEGIO INGLES MICHAEL FARADAY                                                                      </v>
      </c>
      <c r="D2504" s="26" t="str">
        <f t="shared" si="414"/>
        <v>MATUTINO</v>
      </c>
      <c r="E2504" s="26" t="str">
        <f>"LAGO ZIRAHUEN #46                                                               "</f>
        <v xml:space="preserve">LAGO ZIRAHUEN #46                                                               </v>
      </c>
      <c r="F2504" s="26" t="str">
        <f>"ANAHUAC I                                                                                                                                   "</f>
        <v xml:space="preserve">ANAHUAC I                                                                                                                                   </v>
      </c>
      <c r="G2504" s="26" t="str">
        <f>"MIGUEL HIDALGO                                                                  "</f>
        <v xml:space="preserve">MIGUEL HIDALGO                                                                  </v>
      </c>
      <c r="H2504" s="26" t="str">
        <f>"215"</f>
        <v>215</v>
      </c>
      <c r="I2504" s="26" t="str">
        <f t="shared" si="423"/>
        <v>00</v>
      </c>
      <c r="J2504" s="26" t="str">
        <f>"42 "</f>
        <v xml:space="preserve">42 </v>
      </c>
      <c r="K2504" s="26" t="str">
        <f>"PR"</f>
        <v>PR</v>
      </c>
      <c r="L2504" s="26" t="str">
        <f>"DGOSE"</f>
        <v>DGOSE</v>
      </c>
      <c r="M2504" s="26" t="str">
        <f t="shared" si="413"/>
        <v>PARTICULAR</v>
      </c>
      <c r="N2504" s="26">
        <v>214</v>
      </c>
      <c r="O2504" s="26">
        <v>99</v>
      </c>
      <c r="P2504" s="26">
        <v>115</v>
      </c>
      <c r="Q2504" s="26">
        <v>10</v>
      </c>
      <c r="R2504" s="26">
        <v>1</v>
      </c>
      <c r="S2504" s="26">
        <v>10</v>
      </c>
      <c r="T2504" s="26">
        <v>12</v>
      </c>
      <c r="U2504" s="26">
        <v>23</v>
      </c>
      <c r="V2504" s="26">
        <v>1</v>
      </c>
      <c r="W2504" s="26"/>
    </row>
    <row r="2505" spans="1:23" x14ac:dyDescent="0.25">
      <c r="A2505" s="26" t="str">
        <f t="shared" si="422"/>
        <v>PRIMARIA</v>
      </c>
      <c r="B2505" s="26" t="str">
        <f>"09PPR0843J"</f>
        <v>09PPR0843J</v>
      </c>
      <c r="C2505" s="26" t="str">
        <f>"DOLORES CORREA ZAPATA                                                                               "</f>
        <v xml:space="preserve">DOLORES CORREA ZAPATA                                                                               </v>
      </c>
      <c r="D2505" s="26" t="str">
        <f t="shared" si="414"/>
        <v>MATUTINO</v>
      </c>
      <c r="E2505" s="26" t="str">
        <f>"AV AQUILES SERDAN NO 140                                                        "</f>
        <v xml:space="preserve">AV AQUILES SERDAN NO 140                                                        </v>
      </c>
      <c r="F2505" s="26" t="str">
        <f>"SANTIAGO TULYEHUALCO                                                                                                                        "</f>
        <v xml:space="preserve">SANTIAGO TULYEHUALCO                                                                                                                        </v>
      </c>
      <c r="G2505" s="26" t="str">
        <f>"XOCHIMILCO                                                                      "</f>
        <v xml:space="preserve">XOCHIMILCO                                                                      </v>
      </c>
      <c r="H2505" s="26" t="str">
        <f>"545"</f>
        <v>545</v>
      </c>
      <c r="I2505" s="26" t="str">
        <f t="shared" si="423"/>
        <v>00</v>
      </c>
      <c r="J2505" s="26" t="str">
        <f>"45 "</f>
        <v xml:space="preserve">45 </v>
      </c>
      <c r="K2505" s="26" t="str">
        <f>"PR"</f>
        <v>PR</v>
      </c>
      <c r="L2505" s="26" t="str">
        <f>"DGOSE"</f>
        <v>DGOSE</v>
      </c>
      <c r="M2505" s="26" t="str">
        <f t="shared" si="413"/>
        <v>PARTICULAR</v>
      </c>
      <c r="N2505" s="26">
        <v>249</v>
      </c>
      <c r="O2505" s="26">
        <v>136</v>
      </c>
      <c r="P2505" s="26">
        <v>113</v>
      </c>
      <c r="Q2505" s="26">
        <v>7</v>
      </c>
      <c r="R2505" s="26">
        <v>1</v>
      </c>
      <c r="S2505" s="26">
        <v>7</v>
      </c>
      <c r="T2505" s="26">
        <v>11</v>
      </c>
      <c r="U2505" s="26">
        <v>19</v>
      </c>
      <c r="V2505" s="26">
        <v>1</v>
      </c>
      <c r="W2505" s="26"/>
    </row>
    <row r="2506" spans="1:23" x14ac:dyDescent="0.25">
      <c r="A2506" s="26" t="str">
        <f t="shared" si="422"/>
        <v>PRIMARIA</v>
      </c>
      <c r="B2506" s="26" t="str">
        <f>"09PPR0844I"</f>
        <v>09PPR0844I</v>
      </c>
      <c r="C2506" s="26" t="str">
        <f>"IXTLAMACHILIZTLI                                                                                    "</f>
        <v xml:space="preserve">IXTLAMACHILIZTLI                                                                                    </v>
      </c>
      <c r="D2506" s="26" t="str">
        <f t="shared" si="414"/>
        <v>MATUTINO</v>
      </c>
      <c r="E2506" s="26" t="str">
        <f>"ANGEL TRIAS NO. 250                                                             "</f>
        <v xml:space="preserve">ANGEL TRIAS NO. 250                                                             </v>
      </c>
      <c r="F2506" s="26" t="str">
        <f>"JUAN ESCUTIA                                                                                                                                "</f>
        <v xml:space="preserve">JUAN ESCUTIA                                                                                                                                </v>
      </c>
      <c r="G2506" s="26" t="str">
        <f>"IZTAPALAPA                                                                      "</f>
        <v xml:space="preserve">IZTAPALAPA                                                                      </v>
      </c>
      <c r="H2506" s="26" t="str">
        <f>"000"</f>
        <v>000</v>
      </c>
      <c r="I2506" s="26" t="str">
        <f t="shared" si="423"/>
        <v>00</v>
      </c>
      <c r="J2506" s="26" t="str">
        <f>"62 "</f>
        <v xml:space="preserve">62 </v>
      </c>
      <c r="K2506" s="26" t="str">
        <f>"IZ"</f>
        <v>IZ</v>
      </c>
      <c r="L2506" s="26" t="str">
        <f>"DGSEI"</f>
        <v>DGSEI</v>
      </c>
      <c r="M2506" s="26" t="str">
        <f t="shared" si="413"/>
        <v>PARTICULAR</v>
      </c>
      <c r="N2506" s="26">
        <v>174</v>
      </c>
      <c r="O2506" s="26">
        <v>89</v>
      </c>
      <c r="P2506" s="26">
        <v>85</v>
      </c>
      <c r="Q2506" s="26">
        <v>7</v>
      </c>
      <c r="R2506" s="26">
        <v>1</v>
      </c>
      <c r="S2506" s="26">
        <v>7</v>
      </c>
      <c r="T2506" s="26">
        <v>8</v>
      </c>
      <c r="U2506" s="26">
        <v>16</v>
      </c>
      <c r="V2506" s="26">
        <v>1</v>
      </c>
      <c r="W2506" s="26"/>
    </row>
    <row r="2507" spans="1:23" x14ac:dyDescent="0.25">
      <c r="A2507" s="26" t="str">
        <f t="shared" si="422"/>
        <v>PRIMARIA</v>
      </c>
      <c r="B2507" s="26" t="str">
        <f>"09PPR0845H"</f>
        <v>09PPR0845H</v>
      </c>
      <c r="C2507" s="26" t="str">
        <f>"OLOF PALME                                                                                          "</f>
        <v xml:space="preserve">OLOF PALME                                                                                          </v>
      </c>
      <c r="D2507" s="26" t="str">
        <f t="shared" si="414"/>
        <v>MATUTINO</v>
      </c>
      <c r="E2507" s="26" t="str">
        <f>"CALLE UNIDAD NO 35                                                              "</f>
        <v xml:space="preserve">CALLE UNIDAD NO 35                                                              </v>
      </c>
      <c r="F2507" s="26" t="str">
        <f>"EJIDOS DE HUIPULCO                                                                                                                          "</f>
        <v xml:space="preserve">EJIDOS DE HUIPULCO                                                                                                                          </v>
      </c>
      <c r="G2507" s="26" t="str">
        <f>"TLALPAN                                                                         "</f>
        <v xml:space="preserve">TLALPAN                                                                         </v>
      </c>
      <c r="H2507" s="26" t="str">
        <f>"523"</f>
        <v>523</v>
      </c>
      <c r="I2507" s="26" t="str">
        <f t="shared" si="423"/>
        <v>00</v>
      </c>
      <c r="J2507" s="26" t="str">
        <f>"45 "</f>
        <v xml:space="preserve">45 </v>
      </c>
      <c r="K2507" s="26" t="str">
        <f>"PR"</f>
        <v>PR</v>
      </c>
      <c r="L2507" s="26" t="str">
        <f>"DGOSE"</f>
        <v>DGOSE</v>
      </c>
      <c r="M2507" s="26" t="str">
        <f t="shared" si="413"/>
        <v>PARTICULAR</v>
      </c>
      <c r="N2507" s="26">
        <v>106</v>
      </c>
      <c r="O2507" s="26">
        <v>56</v>
      </c>
      <c r="P2507" s="26">
        <v>50</v>
      </c>
      <c r="Q2507" s="26">
        <v>6</v>
      </c>
      <c r="R2507" s="26">
        <v>1</v>
      </c>
      <c r="S2507" s="26">
        <v>6</v>
      </c>
      <c r="T2507" s="26">
        <v>5</v>
      </c>
      <c r="U2507" s="26">
        <v>12</v>
      </c>
      <c r="V2507" s="26">
        <v>1</v>
      </c>
      <c r="W2507" s="26"/>
    </row>
    <row r="2508" spans="1:23" x14ac:dyDescent="0.25">
      <c r="A2508" s="26" t="str">
        <f t="shared" si="422"/>
        <v>PRIMARIA</v>
      </c>
      <c r="B2508" s="26" t="str">
        <f>"09PPR0846G"</f>
        <v>09PPR0846G</v>
      </c>
      <c r="C2508" s="26" t="str">
        <f>"COLEGIO FRANCISCO ORTEGA                                                                            "</f>
        <v xml:space="preserve">COLEGIO FRANCISCO ORTEGA                                                                            </v>
      </c>
      <c r="D2508" s="26" t="str">
        <f t="shared" si="414"/>
        <v>MATUTINO</v>
      </c>
      <c r="E2508" s="26" t="str">
        <f>"2A. PRIVADA DE BUENAVISTA NO. 3                                                 "</f>
        <v xml:space="preserve">2A. PRIVADA DE BUENAVISTA NO. 3                                                 </v>
      </c>
      <c r="F2508" s="26" t="str">
        <f>"PUEBLO NUEVO BAJO                                                                                                                           "</f>
        <v xml:space="preserve">PUEBLO NUEVO BAJO                                                                                                                           </v>
      </c>
      <c r="G2508" s="26" t="str">
        <f>"LA MAGDALENA CONTRERAS                                                          "</f>
        <v xml:space="preserve">LA MAGDALENA CONTRERAS                                                          </v>
      </c>
      <c r="H2508" s="26" t="str">
        <f>"336"</f>
        <v>336</v>
      </c>
      <c r="I2508" s="26" t="str">
        <f t="shared" si="423"/>
        <v>00</v>
      </c>
      <c r="J2508" s="26" t="str">
        <f>"43 "</f>
        <v xml:space="preserve">43 </v>
      </c>
      <c r="K2508" s="26" t="str">
        <f>"PR"</f>
        <v>PR</v>
      </c>
      <c r="L2508" s="26" t="str">
        <f>"DGOSE"</f>
        <v>DGOSE</v>
      </c>
      <c r="M2508" s="26" t="str">
        <f t="shared" si="413"/>
        <v>PARTICULAR</v>
      </c>
      <c r="N2508" s="26">
        <v>91</v>
      </c>
      <c r="O2508" s="26">
        <v>47</v>
      </c>
      <c r="P2508" s="26">
        <v>44</v>
      </c>
      <c r="Q2508" s="26">
        <v>6</v>
      </c>
      <c r="R2508" s="26">
        <v>1</v>
      </c>
      <c r="S2508" s="26">
        <v>6</v>
      </c>
      <c r="T2508" s="26">
        <v>8</v>
      </c>
      <c r="U2508" s="26">
        <v>15</v>
      </c>
      <c r="V2508" s="26">
        <v>1</v>
      </c>
      <c r="W2508" s="26"/>
    </row>
    <row r="2509" spans="1:23" x14ac:dyDescent="0.25">
      <c r="A2509" s="26" t="str">
        <f t="shared" si="422"/>
        <v>PRIMARIA</v>
      </c>
      <c r="B2509" s="26" t="str">
        <f>"09PPR0847F"</f>
        <v>09PPR0847F</v>
      </c>
      <c r="C2509" s="26" t="str">
        <f>"COLEGIO SKINNER                                                                                     "</f>
        <v xml:space="preserve">COLEGIO SKINNER                                                                                     </v>
      </c>
      <c r="D2509" s="26" t="str">
        <f t="shared" si="414"/>
        <v>MATUTINO</v>
      </c>
      <c r="E2509" s="26" t="str">
        <f>"AV. RIO MEZCALAPA NO. 32                                                        "</f>
        <v xml:space="preserve">AV. RIO MEZCALAPA NO. 32                                                        </v>
      </c>
      <c r="F2509" s="26" t="str">
        <f>"PASEOS DE CHURUBUSCO                                                                                                                        "</f>
        <v xml:space="preserve">PASEOS DE CHURUBUSCO                                                                                                                        </v>
      </c>
      <c r="G2509" s="26" t="str">
        <f>"IZTAPALAPA                                                                      "</f>
        <v xml:space="preserve">IZTAPALAPA                                                                      </v>
      </c>
      <c r="H2509" s="26" t="str">
        <f>"000"</f>
        <v>000</v>
      </c>
      <c r="I2509" s="26" t="str">
        <f t="shared" si="423"/>
        <v>00</v>
      </c>
      <c r="J2509" s="26" t="str">
        <f>"61 "</f>
        <v xml:space="preserve">61 </v>
      </c>
      <c r="K2509" s="26" t="str">
        <f>"IZ"</f>
        <v>IZ</v>
      </c>
      <c r="L2509" s="26" t="str">
        <f>"DGSEI"</f>
        <v>DGSEI</v>
      </c>
      <c r="M2509" s="26" t="str">
        <f t="shared" si="413"/>
        <v>PARTICULAR</v>
      </c>
      <c r="N2509" s="26">
        <v>339</v>
      </c>
      <c r="O2509" s="26">
        <v>161</v>
      </c>
      <c r="P2509" s="26">
        <v>178</v>
      </c>
      <c r="Q2509" s="26">
        <v>15</v>
      </c>
      <c r="R2509" s="26">
        <v>1</v>
      </c>
      <c r="S2509" s="26">
        <v>15</v>
      </c>
      <c r="T2509" s="26">
        <v>24</v>
      </c>
      <c r="U2509" s="26">
        <v>40</v>
      </c>
      <c r="V2509" s="26">
        <v>1</v>
      </c>
      <c r="W2509" s="26"/>
    </row>
    <row r="2510" spans="1:23" x14ac:dyDescent="0.25">
      <c r="A2510" s="26" t="str">
        <f t="shared" si="422"/>
        <v>PRIMARIA</v>
      </c>
      <c r="B2510" s="26" t="str">
        <f>"09PPR0848E"</f>
        <v>09PPR0848E</v>
      </c>
      <c r="C2510" s="26" t="str">
        <f>"FELIPE FRANCO                                                                                       "</f>
        <v xml:space="preserve">FELIPE FRANCO                                                                                       </v>
      </c>
      <c r="D2510" s="26" t="str">
        <f t="shared" si="414"/>
        <v>MATUTINO</v>
      </c>
      <c r="E2510" s="26" t="str">
        <f>"AV GUADALUPE VICTORIA NO 52                                                     "</f>
        <v xml:space="preserve">AV GUADALUPE VICTORIA NO 52                                                     </v>
      </c>
      <c r="F2510" s="26" t="str">
        <f>"CUAUTEPEC DE MADERO                                                                                                                         "</f>
        <v xml:space="preserve">CUAUTEPEC DE MADERO                                                                                                                         </v>
      </c>
      <c r="G2510" s="26" t="str">
        <f>"GUSTAVO A. MADERO                                                               "</f>
        <v xml:space="preserve">GUSTAVO A. MADERO                                                               </v>
      </c>
      <c r="H2510" s="26" t="str">
        <f>"231"</f>
        <v>231</v>
      </c>
      <c r="I2510" s="26" t="str">
        <f t="shared" si="423"/>
        <v>00</v>
      </c>
      <c r="J2510" s="26" t="str">
        <f>"42 "</f>
        <v xml:space="preserve">42 </v>
      </c>
      <c r="K2510" s="26" t="str">
        <f t="shared" ref="K2510:K2523" si="424">"PR"</f>
        <v>PR</v>
      </c>
      <c r="L2510" s="26" t="str">
        <f t="shared" ref="L2510:L2523" si="425">"DGOSE"</f>
        <v>DGOSE</v>
      </c>
      <c r="M2510" s="26" t="str">
        <f t="shared" si="413"/>
        <v>PARTICULAR</v>
      </c>
      <c r="N2510" s="26">
        <v>99</v>
      </c>
      <c r="O2510" s="26">
        <v>48</v>
      </c>
      <c r="P2510" s="26">
        <v>51</v>
      </c>
      <c r="Q2510" s="26">
        <v>6</v>
      </c>
      <c r="R2510" s="26">
        <v>1</v>
      </c>
      <c r="S2510" s="26">
        <v>6</v>
      </c>
      <c r="T2510" s="26">
        <v>7</v>
      </c>
      <c r="U2510" s="26">
        <v>14</v>
      </c>
      <c r="V2510" s="26">
        <v>1</v>
      </c>
      <c r="W2510" s="26"/>
    </row>
    <row r="2511" spans="1:23" x14ac:dyDescent="0.25">
      <c r="A2511" s="26" t="str">
        <f t="shared" si="422"/>
        <v>PRIMARIA</v>
      </c>
      <c r="B2511" s="26" t="str">
        <f>"09PPR0850T"</f>
        <v>09PPR0850T</v>
      </c>
      <c r="C2511" s="26" t="str">
        <f>"NIÑOS DE MEXICO                                                                                     "</f>
        <v xml:space="preserve">NIÑOS DE MEXICO                                                                                     </v>
      </c>
      <c r="D2511" s="26" t="str">
        <f t="shared" si="414"/>
        <v>MATUTINO</v>
      </c>
      <c r="E2511" s="26" t="str">
        <f>"ZACATECAS NUM. 154                                                              "</f>
        <v xml:space="preserve">ZACATECAS NUM. 154                                                              </v>
      </c>
      <c r="F2511" s="26" t="str">
        <f>"ROMA NORTE                                                                                                                                  "</f>
        <v xml:space="preserve">ROMA NORTE                                                                                                                                  </v>
      </c>
      <c r="G2511" s="26" t="str">
        <f>"CUAUHTEMOC                                                                      "</f>
        <v xml:space="preserve">CUAUHTEMOC                                                                      </v>
      </c>
      <c r="H2511" s="26" t="str">
        <f>"000"</f>
        <v>000</v>
      </c>
      <c r="I2511" s="26" t="str">
        <f t="shared" si="423"/>
        <v>00</v>
      </c>
      <c r="J2511" s="26" t="str">
        <f>"42 "</f>
        <v xml:space="preserve">42 </v>
      </c>
      <c r="K2511" s="26" t="str">
        <f t="shared" si="424"/>
        <v>PR</v>
      </c>
      <c r="L2511" s="26" t="str">
        <f t="shared" si="425"/>
        <v>DGOSE</v>
      </c>
      <c r="M2511" s="26" t="str">
        <f t="shared" si="413"/>
        <v>PARTICULAR</v>
      </c>
      <c r="N2511" s="26">
        <v>480</v>
      </c>
      <c r="O2511" s="26">
        <v>263</v>
      </c>
      <c r="P2511" s="26">
        <v>217</v>
      </c>
      <c r="Q2511" s="26">
        <v>16</v>
      </c>
      <c r="R2511" s="26">
        <v>1</v>
      </c>
      <c r="S2511" s="26">
        <v>14</v>
      </c>
      <c r="T2511" s="26">
        <v>20</v>
      </c>
      <c r="U2511" s="26">
        <v>35</v>
      </c>
      <c r="V2511" s="26">
        <v>1</v>
      </c>
      <c r="W2511" s="26"/>
    </row>
    <row r="2512" spans="1:23" x14ac:dyDescent="0.25">
      <c r="A2512" s="26" t="str">
        <f t="shared" si="422"/>
        <v>PRIMARIA</v>
      </c>
      <c r="B2512" s="26" t="str">
        <f>"09PPR0851S"</f>
        <v>09PPR0851S</v>
      </c>
      <c r="C2512" s="26" t="str">
        <f>"COLEGIO PANAMERICANO                                                                                "</f>
        <v xml:space="preserve">COLEGIO PANAMERICANO                                                                                </v>
      </c>
      <c r="D2512" s="26" t="str">
        <f t="shared" si="414"/>
        <v>MATUTINO</v>
      </c>
      <c r="E2512" s="26" t="str">
        <f>"AMORES 1648                                                                     "</f>
        <v xml:space="preserve">AMORES 1648                                                                     </v>
      </c>
      <c r="F2512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2512" s="26" t="str">
        <f>"BENITO JUAREZ                                                                   "</f>
        <v xml:space="preserve">BENITO JUAREZ                                                                   </v>
      </c>
      <c r="H2512" s="26" t="str">
        <f>"000"</f>
        <v>000</v>
      </c>
      <c r="I2512" s="26" t="str">
        <f t="shared" si="423"/>
        <v>00</v>
      </c>
      <c r="J2512" s="26" t="str">
        <f>"43 "</f>
        <v xml:space="preserve">43 </v>
      </c>
      <c r="K2512" s="26" t="str">
        <f t="shared" si="424"/>
        <v>PR</v>
      </c>
      <c r="L2512" s="26" t="str">
        <f t="shared" si="425"/>
        <v>DGOSE</v>
      </c>
      <c r="M2512" s="26" t="str">
        <f t="shared" si="413"/>
        <v>PARTICULAR</v>
      </c>
      <c r="N2512" s="26">
        <v>79</v>
      </c>
      <c r="O2512" s="26">
        <v>44</v>
      </c>
      <c r="P2512" s="26">
        <v>35</v>
      </c>
      <c r="Q2512" s="26">
        <v>6</v>
      </c>
      <c r="R2512" s="26">
        <v>1</v>
      </c>
      <c r="S2512" s="26">
        <v>3</v>
      </c>
      <c r="T2512" s="26">
        <v>13</v>
      </c>
      <c r="U2512" s="26">
        <v>17</v>
      </c>
      <c r="V2512" s="26">
        <v>1</v>
      </c>
      <c r="W2512" s="26"/>
    </row>
    <row r="2513" spans="1:23" x14ac:dyDescent="0.25">
      <c r="A2513" s="26" t="str">
        <f t="shared" si="422"/>
        <v>PRIMARIA</v>
      </c>
      <c r="B2513" s="26" t="str">
        <f>"09PPR0860Z"</f>
        <v>09PPR0860Z</v>
      </c>
      <c r="C2513" s="26" t="str">
        <f>"COLEGIO ST. JOHN'S                                                                                  "</f>
        <v xml:space="preserve">COLEGIO ST. JOHN'S                                                                                  </v>
      </c>
      <c r="D2513" s="26" t="str">
        <f t="shared" si="414"/>
        <v>MATUTINO</v>
      </c>
      <c r="E2513" s="26" t="str">
        <f>"TENORIOS NUM 80                                                                 "</f>
        <v xml:space="preserve">TENORIOS NUM 80                                                                 </v>
      </c>
      <c r="F2513" s="26" t="str">
        <f>"RAMOS MILLAN COAPA                                                                                                                          "</f>
        <v xml:space="preserve">RAMOS MILLAN COAPA                                                                                                                          </v>
      </c>
      <c r="G2513" s="26" t="str">
        <f>"TLALPAN                                                                         "</f>
        <v xml:space="preserve">TLALPAN                                                                         </v>
      </c>
      <c r="H2513" s="26" t="str">
        <f>"526"</f>
        <v>526</v>
      </c>
      <c r="I2513" s="26" t="str">
        <f t="shared" si="423"/>
        <v>00</v>
      </c>
      <c r="J2513" s="26" t="str">
        <f>"45 "</f>
        <v xml:space="preserve">45 </v>
      </c>
      <c r="K2513" s="26" t="str">
        <f t="shared" si="424"/>
        <v>PR</v>
      </c>
      <c r="L2513" s="26" t="str">
        <f t="shared" si="425"/>
        <v>DGOSE</v>
      </c>
      <c r="M2513" s="26" t="str">
        <f t="shared" si="413"/>
        <v>PARTICULAR</v>
      </c>
      <c r="N2513" s="26">
        <v>283</v>
      </c>
      <c r="O2513" s="26">
        <v>140</v>
      </c>
      <c r="P2513" s="26">
        <v>143</v>
      </c>
      <c r="Q2513" s="26">
        <v>12</v>
      </c>
      <c r="R2513" s="26">
        <v>1</v>
      </c>
      <c r="S2513" s="26">
        <v>6</v>
      </c>
      <c r="T2513" s="26">
        <v>15</v>
      </c>
      <c r="U2513" s="26">
        <v>22</v>
      </c>
      <c r="V2513" s="26">
        <v>1</v>
      </c>
      <c r="W2513" s="26"/>
    </row>
    <row r="2514" spans="1:23" x14ac:dyDescent="0.25">
      <c r="A2514" s="26" t="str">
        <f t="shared" si="422"/>
        <v>PRIMARIA</v>
      </c>
      <c r="B2514" s="26" t="str">
        <f>"09PPR0862Y"</f>
        <v>09PPR0862Y</v>
      </c>
      <c r="C2514" s="26" t="str">
        <f>"COLEGIO WALTER C. BUCHANAN                                                                          "</f>
        <v xml:space="preserve">COLEGIO WALTER C. BUCHANAN                                                                          </v>
      </c>
      <c r="D2514" s="26" t="str">
        <f t="shared" si="414"/>
        <v>MATUTINO</v>
      </c>
      <c r="E2514" s="26" t="str">
        <f>"HOLBEIN NUM 61                                                                  "</f>
        <v xml:space="preserve">HOLBEIN NUM 61                                                                  </v>
      </c>
      <c r="F2514" s="26" t="str">
        <f>"SAN JUAN                                                                                                                                    "</f>
        <v xml:space="preserve">SAN JUAN                                                                                                                                    </v>
      </c>
      <c r="G2514" s="26" t="str">
        <f>"BENITO JUAREZ                                                                   "</f>
        <v xml:space="preserve">BENITO JUAREZ                                                                   </v>
      </c>
      <c r="H2514" s="26" t="str">
        <f>"340"</f>
        <v>340</v>
      </c>
      <c r="I2514" s="26" t="str">
        <f t="shared" si="423"/>
        <v>00</v>
      </c>
      <c r="J2514" s="26" t="str">
        <f>"43 "</f>
        <v xml:space="preserve">43 </v>
      </c>
      <c r="K2514" s="26" t="str">
        <f t="shared" si="424"/>
        <v>PR</v>
      </c>
      <c r="L2514" s="26" t="str">
        <f t="shared" si="425"/>
        <v>DGOSE</v>
      </c>
      <c r="M2514" s="26" t="str">
        <f t="shared" ref="M2514:M2577" si="426">"PARTICULAR"</f>
        <v>PARTICULAR</v>
      </c>
      <c r="N2514" s="26">
        <v>80</v>
      </c>
      <c r="O2514" s="26">
        <v>46</v>
      </c>
      <c r="P2514" s="26">
        <v>34</v>
      </c>
      <c r="Q2514" s="26">
        <v>6</v>
      </c>
      <c r="R2514" s="26">
        <v>1</v>
      </c>
      <c r="S2514" s="26">
        <v>3</v>
      </c>
      <c r="T2514" s="26">
        <v>9</v>
      </c>
      <c r="U2514" s="26">
        <v>13</v>
      </c>
      <c r="V2514" s="26">
        <v>1</v>
      </c>
      <c r="W2514" s="26"/>
    </row>
    <row r="2515" spans="1:23" x14ac:dyDescent="0.25">
      <c r="A2515" s="26" t="str">
        <f t="shared" si="422"/>
        <v>PRIMARIA</v>
      </c>
      <c r="B2515" s="26" t="str">
        <f>"09PPR0866U"</f>
        <v>09PPR0866U</v>
      </c>
      <c r="C2515" s="26" t="str">
        <f>"ELENA JACKSON FISKEHUNT                                                                             "</f>
        <v xml:space="preserve">ELENA JACKSON FISKEHUNT                                                                             </v>
      </c>
      <c r="D2515" s="26" t="str">
        <f t="shared" si="414"/>
        <v>MATUTINO</v>
      </c>
      <c r="E2515" s="26" t="str">
        <f>"TOTONACAS MANZANA 22 LOTE 35                                                    "</f>
        <v xml:space="preserve">TOTONACAS MANZANA 22 LOTE 35                                                    </v>
      </c>
      <c r="F2515" s="26" t="str">
        <f>"AJUSCO                                                                                                                                      "</f>
        <v xml:space="preserve">AJUSCO                                                                                                                                      </v>
      </c>
      <c r="G2515" s="26" t="str">
        <f>"COYOACAN                                                                        "</f>
        <v xml:space="preserve">COYOACAN                                                                        </v>
      </c>
      <c r="H2515" s="26" t="str">
        <f>"506"</f>
        <v>506</v>
      </c>
      <c r="I2515" s="26" t="str">
        <f t="shared" si="423"/>
        <v>00</v>
      </c>
      <c r="J2515" s="26" t="str">
        <f>"45 "</f>
        <v xml:space="preserve">45 </v>
      </c>
      <c r="K2515" s="26" t="str">
        <f t="shared" si="424"/>
        <v>PR</v>
      </c>
      <c r="L2515" s="26" t="str">
        <f t="shared" si="425"/>
        <v>DGOSE</v>
      </c>
      <c r="M2515" s="26" t="str">
        <f t="shared" si="426"/>
        <v>PARTICULAR</v>
      </c>
      <c r="N2515" s="26">
        <v>67</v>
      </c>
      <c r="O2515" s="26">
        <v>35</v>
      </c>
      <c r="P2515" s="26">
        <v>32</v>
      </c>
      <c r="Q2515" s="26">
        <v>6</v>
      </c>
      <c r="R2515" s="26">
        <v>1</v>
      </c>
      <c r="S2515" s="26">
        <v>3</v>
      </c>
      <c r="T2515" s="26">
        <v>7</v>
      </c>
      <c r="U2515" s="26">
        <v>11</v>
      </c>
      <c r="V2515" s="26">
        <v>1</v>
      </c>
      <c r="W2515" s="26"/>
    </row>
    <row r="2516" spans="1:23" x14ac:dyDescent="0.25">
      <c r="A2516" s="26" t="str">
        <f t="shared" si="422"/>
        <v>PRIMARIA</v>
      </c>
      <c r="B2516" s="26" t="str">
        <f>"09PPR0868S"</f>
        <v>09PPR0868S</v>
      </c>
      <c r="C2516" s="26" t="str">
        <f>"ANTONIO MACHADO Y RUIZ                                                                              "</f>
        <v xml:space="preserve">ANTONIO MACHADO Y RUIZ                                                                              </v>
      </c>
      <c r="D2516" s="26" t="str">
        <f t="shared" si="414"/>
        <v>MATUTINO</v>
      </c>
      <c r="E2516" s="26" t="str">
        <f>"RETORNO 807 NUM 25                                                              "</f>
        <v xml:space="preserve">RETORNO 807 NUM 25                                                              </v>
      </c>
      <c r="F2516" s="26" t="str">
        <f>"CENTINELA                                                                                                                                   "</f>
        <v xml:space="preserve">CENTINELA                                                                                                                                   </v>
      </c>
      <c r="G2516" s="26" t="str">
        <f>"COYOACAN                                                                        "</f>
        <v xml:space="preserve">COYOACAN                                                                        </v>
      </c>
      <c r="H2516" s="26" t="str">
        <f>"508"</f>
        <v>508</v>
      </c>
      <c r="I2516" s="26" t="str">
        <f t="shared" si="423"/>
        <v>00</v>
      </c>
      <c r="J2516" s="26" t="str">
        <f>"45 "</f>
        <v xml:space="preserve">45 </v>
      </c>
      <c r="K2516" s="26" t="str">
        <f t="shared" si="424"/>
        <v>PR</v>
      </c>
      <c r="L2516" s="26" t="str">
        <f t="shared" si="425"/>
        <v>DGOSE</v>
      </c>
      <c r="M2516" s="26" t="str">
        <f t="shared" si="426"/>
        <v>PARTICULAR</v>
      </c>
      <c r="N2516" s="26">
        <v>82</v>
      </c>
      <c r="O2516" s="26">
        <v>38</v>
      </c>
      <c r="P2516" s="26">
        <v>44</v>
      </c>
      <c r="Q2516" s="26">
        <v>6</v>
      </c>
      <c r="R2516" s="26">
        <v>1</v>
      </c>
      <c r="S2516" s="26">
        <v>6</v>
      </c>
      <c r="T2516" s="26">
        <v>8</v>
      </c>
      <c r="U2516" s="26">
        <v>15</v>
      </c>
      <c r="V2516" s="26">
        <v>1</v>
      </c>
      <c r="W2516" s="26"/>
    </row>
    <row r="2517" spans="1:23" x14ac:dyDescent="0.25">
      <c r="A2517" s="26" t="str">
        <f t="shared" si="422"/>
        <v>PRIMARIA</v>
      </c>
      <c r="B2517" s="26" t="str">
        <f>"09PPR0870G"</f>
        <v>09PPR0870G</v>
      </c>
      <c r="C2517" s="26" t="str">
        <f>"COLEGIO PATRIA DE JUAREZ                                                                            "</f>
        <v xml:space="preserve">COLEGIO PATRIA DE JUAREZ                                                                            </v>
      </c>
      <c r="D2517" s="26" t="str">
        <f t="shared" ref="D2517:D2580" si="427">"MATUTINO"</f>
        <v>MATUTINO</v>
      </c>
      <c r="E2517" s="26" t="str">
        <f>"SAN FELIPE NUM 72                                                               "</f>
        <v xml:space="preserve">SAN FELIPE NUM 72                                                               </v>
      </c>
      <c r="F2517" s="26" t="str">
        <f>"XOCO                                                                                                                                        "</f>
        <v xml:space="preserve">XOCO                                                                                                                                        </v>
      </c>
      <c r="G2517" s="26" t="str">
        <f>"BENITO JUAREZ                                                                   "</f>
        <v xml:space="preserve">BENITO JUAREZ                                                                   </v>
      </c>
      <c r="H2517" s="26" t="str">
        <f>"000"</f>
        <v>000</v>
      </c>
      <c r="I2517" s="26" t="str">
        <f t="shared" si="423"/>
        <v>00</v>
      </c>
      <c r="J2517" s="26" t="str">
        <f>"43 "</f>
        <v xml:space="preserve">43 </v>
      </c>
      <c r="K2517" s="26" t="str">
        <f t="shared" si="424"/>
        <v>PR</v>
      </c>
      <c r="L2517" s="26" t="str">
        <f t="shared" si="425"/>
        <v>DGOSE</v>
      </c>
      <c r="M2517" s="26" t="str">
        <f t="shared" si="426"/>
        <v>PARTICULAR</v>
      </c>
      <c r="N2517" s="26">
        <v>83</v>
      </c>
      <c r="O2517" s="26">
        <v>44</v>
      </c>
      <c r="P2517" s="26">
        <v>39</v>
      </c>
      <c r="Q2517" s="26">
        <v>6</v>
      </c>
      <c r="R2517" s="26">
        <v>1</v>
      </c>
      <c r="S2517" s="26">
        <v>3</v>
      </c>
      <c r="T2517" s="26">
        <v>11</v>
      </c>
      <c r="U2517" s="26">
        <v>15</v>
      </c>
      <c r="V2517" s="26">
        <v>1</v>
      </c>
      <c r="W2517" s="26"/>
    </row>
    <row r="2518" spans="1:23" x14ac:dyDescent="0.25">
      <c r="A2518" s="26" t="str">
        <f t="shared" si="422"/>
        <v>PRIMARIA</v>
      </c>
      <c r="B2518" s="26" t="str">
        <f>"09PPR0871F"</f>
        <v>09PPR0871F</v>
      </c>
      <c r="C2518" s="26" t="str">
        <f>"BONAMPAK                                                                                            "</f>
        <v xml:space="preserve">BONAMPAK                                                                                            </v>
      </c>
      <c r="D2518" s="26" t="str">
        <f t="shared" si="427"/>
        <v>MATUTINO</v>
      </c>
      <c r="E2518" s="26" t="str">
        <f>"RIO DE SAN JAVIER NO 262                                                        "</f>
        <v xml:space="preserve">RIO DE SAN JAVIER NO 262                                                        </v>
      </c>
      <c r="F2518" s="26" t="str">
        <f>"ACUEDUCTO DE GUADALUPE                                                                                                                      "</f>
        <v xml:space="preserve">ACUEDUCTO DE GUADALUPE                                                                                                                      </v>
      </c>
      <c r="G2518" s="26" t="str">
        <f>"GUSTAVO A. MADERO                                                               "</f>
        <v xml:space="preserve">GUSTAVO A. MADERO                                                               </v>
      </c>
      <c r="H2518" s="26" t="str">
        <f>"234"</f>
        <v>234</v>
      </c>
      <c r="I2518" s="26" t="str">
        <f t="shared" si="423"/>
        <v>00</v>
      </c>
      <c r="J2518" s="26" t="str">
        <f>"42 "</f>
        <v xml:space="preserve">42 </v>
      </c>
      <c r="K2518" s="26" t="str">
        <f t="shared" si="424"/>
        <v>PR</v>
      </c>
      <c r="L2518" s="26" t="str">
        <f t="shared" si="425"/>
        <v>DGOSE</v>
      </c>
      <c r="M2518" s="26" t="str">
        <f t="shared" si="426"/>
        <v>PARTICULAR</v>
      </c>
      <c r="N2518" s="26">
        <v>93</v>
      </c>
      <c r="O2518" s="26">
        <v>38</v>
      </c>
      <c r="P2518" s="26">
        <v>55</v>
      </c>
      <c r="Q2518" s="26">
        <v>6</v>
      </c>
      <c r="R2518" s="26">
        <v>1</v>
      </c>
      <c r="S2518" s="26">
        <v>6</v>
      </c>
      <c r="T2518" s="26">
        <v>7</v>
      </c>
      <c r="U2518" s="26">
        <v>14</v>
      </c>
      <c r="V2518" s="26">
        <v>1</v>
      </c>
      <c r="W2518" s="26"/>
    </row>
    <row r="2519" spans="1:23" x14ac:dyDescent="0.25">
      <c r="A2519" s="26" t="str">
        <f t="shared" si="422"/>
        <v>PRIMARIA</v>
      </c>
      <c r="B2519" s="26" t="str">
        <f>"09PPR0872E"</f>
        <v>09PPR0872E</v>
      </c>
      <c r="C2519" s="26" t="str">
        <f>"AXDREL SCHOOL                                                                                       "</f>
        <v xml:space="preserve">AXDREL SCHOOL                                                                                       </v>
      </c>
      <c r="D2519" s="26" t="str">
        <f t="shared" si="427"/>
        <v>MATUTINO</v>
      </c>
      <c r="E2519" s="26" t="str">
        <f>"CARRILLO PUERTO NUM 344                                                         "</f>
        <v xml:space="preserve">CARRILLO PUERTO NUM 344                                                         </v>
      </c>
      <c r="F2519" s="26" t="str">
        <f>"GENERAL PEDRO MARIA ANAYA                                                                                                                   "</f>
        <v xml:space="preserve">GENERAL PEDRO MARIA ANAYA                                                                                                                   </v>
      </c>
      <c r="G2519" s="26" t="str">
        <f>"BENITO JUAREZ                                                                   "</f>
        <v xml:space="preserve">BENITO JUAREZ                                                                   </v>
      </c>
      <c r="H2519" s="26" t="str">
        <f>"341"</f>
        <v>341</v>
      </c>
      <c r="I2519" s="26" t="str">
        <f t="shared" si="423"/>
        <v>00</v>
      </c>
      <c r="J2519" s="26" t="str">
        <f>"43 "</f>
        <v xml:space="preserve">43 </v>
      </c>
      <c r="K2519" s="26" t="str">
        <f t="shared" si="424"/>
        <v>PR</v>
      </c>
      <c r="L2519" s="26" t="str">
        <f t="shared" si="425"/>
        <v>DGOSE</v>
      </c>
      <c r="M2519" s="26" t="str">
        <f t="shared" si="426"/>
        <v>PARTICULAR</v>
      </c>
      <c r="N2519" s="26">
        <v>31</v>
      </c>
      <c r="O2519" s="26">
        <v>15</v>
      </c>
      <c r="P2519" s="26">
        <v>16</v>
      </c>
      <c r="Q2519" s="26">
        <v>4</v>
      </c>
      <c r="R2519" s="26">
        <v>1</v>
      </c>
      <c r="S2519" s="26">
        <v>3</v>
      </c>
      <c r="T2519" s="26">
        <v>4</v>
      </c>
      <c r="U2519" s="26">
        <v>8</v>
      </c>
      <c r="V2519" s="26">
        <v>1</v>
      </c>
      <c r="W2519" s="26"/>
    </row>
    <row r="2520" spans="1:23" x14ac:dyDescent="0.25">
      <c r="A2520" s="26" t="str">
        <f t="shared" si="422"/>
        <v>PRIMARIA</v>
      </c>
      <c r="B2520" s="26" t="str">
        <f>"09PPR0875B"</f>
        <v>09PPR0875B</v>
      </c>
      <c r="C2520" s="26" t="str">
        <f>"JERONIMO MARIANO USERA Y ALARCON                                                                    "</f>
        <v xml:space="preserve">JERONIMO MARIANO USERA Y ALARCON                                                                    </v>
      </c>
      <c r="D2520" s="26" t="str">
        <f t="shared" si="427"/>
        <v>MATUTINO</v>
      </c>
      <c r="E2520" s="26" t="str">
        <f>"VENUSTIANO CARRANZA NUM 1184                                                    "</f>
        <v xml:space="preserve">VENUSTIANO CARRANZA NUM 1184                                                    </v>
      </c>
      <c r="F2520" s="26" t="str">
        <f>"CUAUTEPEC BARRIO ALTO                                                                                                                       "</f>
        <v xml:space="preserve">CUAUTEPEC BARRIO ALTO                                                                                                                       </v>
      </c>
      <c r="G2520" s="26" t="str">
        <f>"GUSTAVO A. MADERO                                                               "</f>
        <v xml:space="preserve">GUSTAVO A. MADERO                                                               </v>
      </c>
      <c r="H2520" s="26" t="str">
        <f>"229"</f>
        <v>229</v>
      </c>
      <c r="I2520" s="26" t="str">
        <f t="shared" si="423"/>
        <v>00</v>
      </c>
      <c r="J2520" s="26" t="str">
        <f>"42 "</f>
        <v xml:space="preserve">42 </v>
      </c>
      <c r="K2520" s="26" t="str">
        <f t="shared" si="424"/>
        <v>PR</v>
      </c>
      <c r="L2520" s="26" t="str">
        <f t="shared" si="425"/>
        <v>DGOSE</v>
      </c>
      <c r="M2520" s="26" t="str">
        <f t="shared" si="426"/>
        <v>PARTICULAR</v>
      </c>
      <c r="N2520" s="26">
        <v>235</v>
      </c>
      <c r="O2520" s="26">
        <v>118</v>
      </c>
      <c r="P2520" s="26">
        <v>117</v>
      </c>
      <c r="Q2520" s="26">
        <v>9</v>
      </c>
      <c r="R2520" s="26">
        <v>1</v>
      </c>
      <c r="S2520" s="26">
        <v>8</v>
      </c>
      <c r="T2520" s="26">
        <v>9</v>
      </c>
      <c r="U2520" s="26">
        <v>18</v>
      </c>
      <c r="V2520" s="26">
        <v>1</v>
      </c>
      <c r="W2520" s="26"/>
    </row>
    <row r="2521" spans="1:23" x14ac:dyDescent="0.25">
      <c r="A2521" s="26" t="str">
        <f t="shared" si="422"/>
        <v>PRIMARIA</v>
      </c>
      <c r="B2521" s="26" t="str">
        <f>"09PPR0878Z"</f>
        <v>09PPR0878Z</v>
      </c>
      <c r="C2521" s="26" t="str">
        <f>"QUIRINO MENDOZA CORTES                                                                              "</f>
        <v xml:space="preserve">QUIRINO MENDOZA CORTES                                                                              </v>
      </c>
      <c r="D2521" s="26" t="str">
        <f t="shared" si="427"/>
        <v>MATUTINO</v>
      </c>
      <c r="E2521" s="26" t="str">
        <f>"MELCHOR OCAMPO NO 36                                                            "</f>
        <v xml:space="preserve">MELCHOR OCAMPO NO 36                                                            </v>
      </c>
      <c r="F2521" s="26" t="str">
        <f>"SANTIAGO TULYEHUALCO                                                                                                                        "</f>
        <v xml:space="preserve">SANTIAGO TULYEHUALCO                                                                                                                        </v>
      </c>
      <c r="G2521" s="26" t="str">
        <f>"XOCHIMILCO                                                                      "</f>
        <v xml:space="preserve">XOCHIMILCO                                                                      </v>
      </c>
      <c r="H2521" s="26" t="str">
        <f>"545"</f>
        <v>545</v>
      </c>
      <c r="I2521" s="26" t="str">
        <f t="shared" si="423"/>
        <v>00</v>
      </c>
      <c r="J2521" s="26" t="str">
        <f>"45 "</f>
        <v xml:space="preserve">45 </v>
      </c>
      <c r="K2521" s="26" t="str">
        <f t="shared" si="424"/>
        <v>PR</v>
      </c>
      <c r="L2521" s="26" t="str">
        <f t="shared" si="425"/>
        <v>DGOSE</v>
      </c>
      <c r="M2521" s="26" t="str">
        <f t="shared" si="426"/>
        <v>PARTICULAR</v>
      </c>
      <c r="N2521" s="26">
        <v>316</v>
      </c>
      <c r="O2521" s="26">
        <v>166</v>
      </c>
      <c r="P2521" s="26">
        <v>150</v>
      </c>
      <c r="Q2521" s="26">
        <v>16</v>
      </c>
      <c r="R2521" s="26">
        <v>1</v>
      </c>
      <c r="S2521" s="26">
        <v>16</v>
      </c>
      <c r="T2521" s="26">
        <v>5</v>
      </c>
      <c r="U2521" s="26">
        <v>22</v>
      </c>
      <c r="V2521" s="26">
        <v>1</v>
      </c>
      <c r="W2521" s="26"/>
    </row>
    <row r="2522" spans="1:23" x14ac:dyDescent="0.25">
      <c r="A2522" s="26" t="str">
        <f t="shared" si="422"/>
        <v>PRIMARIA</v>
      </c>
      <c r="B2522" s="26" t="str">
        <f>"09PPR0879Y"</f>
        <v>09PPR0879Y</v>
      </c>
      <c r="C2522" s="26" t="str">
        <f>"INSTITUTO ISAAC SABA MASRI                                                                          "</f>
        <v xml:space="preserve">INSTITUTO ISAAC SABA MASRI                                                                          </v>
      </c>
      <c r="D2522" s="26" t="str">
        <f t="shared" si="427"/>
        <v>MATUTINO</v>
      </c>
      <c r="E2522" s="26" t="str">
        <f>"LAGO BANGUEOLO 36 B                                                             "</f>
        <v xml:space="preserve">LAGO BANGUEOLO 36 B                                                             </v>
      </c>
      <c r="F2522" s="26" t="str">
        <f>"GRANADA                                                                                                                                     "</f>
        <v xml:space="preserve">GRANADA                                                                                                                                     </v>
      </c>
      <c r="G2522" s="26" t="str">
        <f>"MIGUEL HIDALGO                                                                  "</f>
        <v xml:space="preserve">MIGUEL HIDALGO                                                                  </v>
      </c>
      <c r="H2522" s="26" t="str">
        <f>"214"</f>
        <v>214</v>
      </c>
      <c r="I2522" s="26" t="str">
        <f t="shared" si="423"/>
        <v>00</v>
      </c>
      <c r="J2522" s="26" t="str">
        <f>"42 "</f>
        <v xml:space="preserve">42 </v>
      </c>
      <c r="K2522" s="26" t="str">
        <f t="shared" si="424"/>
        <v>PR</v>
      </c>
      <c r="L2522" s="26" t="str">
        <f t="shared" si="425"/>
        <v>DGOSE</v>
      </c>
      <c r="M2522" s="26" t="str">
        <f t="shared" si="426"/>
        <v>PARTICULAR</v>
      </c>
      <c r="N2522" s="26">
        <v>304</v>
      </c>
      <c r="O2522" s="26">
        <v>304</v>
      </c>
      <c r="P2522" s="26">
        <v>0</v>
      </c>
      <c r="Q2522" s="26">
        <v>18</v>
      </c>
      <c r="R2522" s="26">
        <v>1</v>
      </c>
      <c r="S2522" s="26">
        <v>11</v>
      </c>
      <c r="T2522" s="26">
        <v>9</v>
      </c>
      <c r="U2522" s="26">
        <v>21</v>
      </c>
      <c r="V2522" s="26">
        <v>1</v>
      </c>
      <c r="W2522" s="26"/>
    </row>
    <row r="2523" spans="1:23" x14ac:dyDescent="0.25">
      <c r="A2523" s="26" t="str">
        <f t="shared" si="422"/>
        <v>PRIMARIA</v>
      </c>
      <c r="B2523" s="26" t="str">
        <f>"09PPR0880N"</f>
        <v>09PPR0880N</v>
      </c>
      <c r="C2523" s="26" t="str">
        <f>"BETH YAACOV                                                                                         "</f>
        <v xml:space="preserve">BETH YAACOV                                                                                         </v>
      </c>
      <c r="D2523" s="26" t="str">
        <f t="shared" si="427"/>
        <v>MATUTINO</v>
      </c>
      <c r="E2523" s="26" t="str">
        <f>"RAFAEL ALDUCIN NUM 8                                                            "</f>
        <v xml:space="preserve">RAFAEL ALDUCIN NUM 8                                                            </v>
      </c>
      <c r="F2523" s="26" t="str">
        <f>"PERIODISTA                                                                                                                                  "</f>
        <v xml:space="preserve">PERIODISTA                                                                                                                                  </v>
      </c>
      <c r="G2523" s="26" t="str">
        <f>"MIGUEL HIDALGO                                                                  "</f>
        <v xml:space="preserve">MIGUEL HIDALGO                                                                  </v>
      </c>
      <c r="H2523" s="26" t="str">
        <f>"208"</f>
        <v>208</v>
      </c>
      <c r="I2523" s="26" t="str">
        <f t="shared" si="423"/>
        <v>00</v>
      </c>
      <c r="J2523" s="26" t="str">
        <f>"42 "</f>
        <v xml:space="preserve">42 </v>
      </c>
      <c r="K2523" s="26" t="str">
        <f t="shared" si="424"/>
        <v>PR</v>
      </c>
      <c r="L2523" s="26" t="str">
        <f t="shared" si="425"/>
        <v>DGOSE</v>
      </c>
      <c r="M2523" s="26" t="str">
        <f t="shared" si="426"/>
        <v>PARTICULAR</v>
      </c>
      <c r="N2523" s="26">
        <v>146</v>
      </c>
      <c r="O2523" s="26">
        <v>0</v>
      </c>
      <c r="P2523" s="26">
        <v>146</v>
      </c>
      <c r="Q2523" s="26">
        <v>9</v>
      </c>
      <c r="R2523" s="26">
        <v>1</v>
      </c>
      <c r="S2523" s="26">
        <v>9</v>
      </c>
      <c r="T2523" s="26">
        <v>3</v>
      </c>
      <c r="U2523" s="26">
        <v>13</v>
      </c>
      <c r="V2523" s="26">
        <v>1</v>
      </c>
      <c r="W2523" s="26"/>
    </row>
    <row r="2524" spans="1:23" x14ac:dyDescent="0.25">
      <c r="A2524" s="26" t="str">
        <f t="shared" si="422"/>
        <v>PRIMARIA</v>
      </c>
      <c r="B2524" s="26" t="str">
        <f>"09PPR0883K"</f>
        <v>09PPR0883K</v>
      </c>
      <c r="C2524" s="26" t="str">
        <f>"HUITZILOPOCHTLI                                                                                     "</f>
        <v xml:space="preserve">HUITZILOPOCHTLI                                                                                     </v>
      </c>
      <c r="D2524" s="26" t="str">
        <f t="shared" si="427"/>
        <v>MATUTINO</v>
      </c>
      <c r="E2524" s="26" t="str">
        <f>"NICOLAS TOLENTINO MZ. 25 LT. 27                                                 "</f>
        <v xml:space="preserve">NICOLAS TOLENTINO MZ. 25 LT. 27                                                 </v>
      </c>
      <c r="F2524" s="26" t="str">
        <f>"PRESIDENTES DE MEXICO                                                                                                                       "</f>
        <v xml:space="preserve">PRESIDENTES DE MEXICO                                                                                                                       </v>
      </c>
      <c r="G2524" s="26" t="str">
        <f>"IZTAPALAPA                                                                      "</f>
        <v xml:space="preserve">IZTAPALAPA                                                                      </v>
      </c>
      <c r="H2524" s="26" t="str">
        <f>"000"</f>
        <v>000</v>
      </c>
      <c r="I2524" s="26" t="str">
        <f t="shared" si="423"/>
        <v>00</v>
      </c>
      <c r="J2524" s="26" t="str">
        <f>"63 "</f>
        <v xml:space="preserve">63 </v>
      </c>
      <c r="K2524" s="26" t="str">
        <f>"IZ"</f>
        <v>IZ</v>
      </c>
      <c r="L2524" s="26" t="str">
        <f>"DGSEI"</f>
        <v>DGSEI</v>
      </c>
      <c r="M2524" s="26" t="str">
        <f t="shared" si="426"/>
        <v>PARTICULAR</v>
      </c>
      <c r="N2524" s="26">
        <v>141</v>
      </c>
      <c r="O2524" s="26">
        <v>67</v>
      </c>
      <c r="P2524" s="26">
        <v>74</v>
      </c>
      <c r="Q2524" s="26">
        <v>6</v>
      </c>
      <c r="R2524" s="26">
        <v>1</v>
      </c>
      <c r="S2524" s="26">
        <v>6</v>
      </c>
      <c r="T2524" s="26">
        <v>5</v>
      </c>
      <c r="U2524" s="26">
        <v>12</v>
      </c>
      <c r="V2524" s="26">
        <v>1</v>
      </c>
      <c r="W2524" s="26"/>
    </row>
    <row r="2525" spans="1:23" x14ac:dyDescent="0.25">
      <c r="A2525" s="26" t="str">
        <f t="shared" si="422"/>
        <v>PRIMARIA</v>
      </c>
      <c r="B2525" s="26" t="str">
        <f>"09PPR0885I"</f>
        <v>09PPR0885I</v>
      </c>
      <c r="C2525" s="26" t="str">
        <f>"COLEGIO JESUS ROMERO FLORES                                                                         "</f>
        <v xml:space="preserve">COLEGIO JESUS ROMERO FLORES                                                                         </v>
      </c>
      <c r="D2525" s="26" t="str">
        <f t="shared" si="427"/>
        <v>MATUTINO</v>
      </c>
      <c r="E2525" s="26" t="str">
        <f>"MORELOS 11                                                                      "</f>
        <v xml:space="preserve">MORELOS 11                                                                      </v>
      </c>
      <c r="F2525" s="26" t="str">
        <f>"SANTA FE                                                                                                                                    "</f>
        <v xml:space="preserve">SANTA FE                                                                                                                                    </v>
      </c>
      <c r="G2525" s="26" t="str">
        <f>"ALVARO OBREGON                                                                  "</f>
        <v xml:space="preserve">ALVARO OBREGON                                                                  </v>
      </c>
      <c r="H2525" s="26" t="str">
        <f>"312"</f>
        <v>312</v>
      </c>
      <c r="I2525" s="26" t="str">
        <f t="shared" si="423"/>
        <v>00</v>
      </c>
      <c r="J2525" s="26" t="str">
        <f>"43 "</f>
        <v xml:space="preserve">43 </v>
      </c>
      <c r="K2525" s="26" t="str">
        <f>"PR"</f>
        <v>PR</v>
      </c>
      <c r="L2525" s="26" t="str">
        <f>"DGOSE"</f>
        <v>DGOSE</v>
      </c>
      <c r="M2525" s="26" t="str">
        <f t="shared" si="426"/>
        <v>PARTICULAR</v>
      </c>
      <c r="N2525" s="26">
        <v>73</v>
      </c>
      <c r="O2525" s="26">
        <v>35</v>
      </c>
      <c r="P2525" s="26">
        <v>38</v>
      </c>
      <c r="Q2525" s="26">
        <v>6</v>
      </c>
      <c r="R2525" s="26">
        <v>1</v>
      </c>
      <c r="S2525" s="26">
        <v>6</v>
      </c>
      <c r="T2525" s="26">
        <v>5</v>
      </c>
      <c r="U2525" s="26">
        <v>12</v>
      </c>
      <c r="V2525" s="26">
        <v>1</v>
      </c>
      <c r="W2525" s="26"/>
    </row>
    <row r="2526" spans="1:23" x14ac:dyDescent="0.25">
      <c r="A2526" s="26" t="str">
        <f t="shared" si="422"/>
        <v>PRIMARIA</v>
      </c>
      <c r="B2526" s="26" t="str">
        <f>"09PPR0886H"</f>
        <v>09PPR0886H</v>
      </c>
      <c r="C2526" s="26" t="str">
        <f>"INSTITUTO VIENA                                                                                     "</f>
        <v xml:space="preserve">INSTITUTO VIENA                                                                                     </v>
      </c>
      <c r="D2526" s="26" t="str">
        <f t="shared" si="427"/>
        <v>MATUTINO</v>
      </c>
      <c r="E2526" s="26" t="str">
        <f>"MANUEL NAVARRETE # 27                                                           "</f>
        <v xml:space="preserve">MANUEL NAVARRETE # 27                                                           </v>
      </c>
      <c r="F2526" s="26" t="str">
        <f>"ALGARIN                                                                                                                                     "</f>
        <v xml:space="preserve">ALGARIN                                                                                                                                     </v>
      </c>
      <c r="G2526" s="26" t="str">
        <f>"CUAUHTEMOC                                                                      "</f>
        <v xml:space="preserve">CUAUHTEMOC                                                                      </v>
      </c>
      <c r="H2526" s="26" t="str">
        <f>"225"</f>
        <v>225</v>
      </c>
      <c r="I2526" s="26" t="str">
        <f t="shared" si="423"/>
        <v>00</v>
      </c>
      <c r="J2526" s="26" t="str">
        <f>"42 "</f>
        <v xml:space="preserve">42 </v>
      </c>
      <c r="K2526" s="26" t="str">
        <f>"PR"</f>
        <v>PR</v>
      </c>
      <c r="L2526" s="26" t="str">
        <f>"DGOSE"</f>
        <v>DGOSE</v>
      </c>
      <c r="M2526" s="26" t="str">
        <f t="shared" si="426"/>
        <v>PARTICULAR</v>
      </c>
      <c r="N2526" s="26">
        <v>114</v>
      </c>
      <c r="O2526" s="26">
        <v>48</v>
      </c>
      <c r="P2526" s="26">
        <v>66</v>
      </c>
      <c r="Q2526" s="26">
        <v>6</v>
      </c>
      <c r="R2526" s="26">
        <v>1</v>
      </c>
      <c r="S2526" s="26">
        <v>6</v>
      </c>
      <c r="T2526" s="26">
        <v>9</v>
      </c>
      <c r="U2526" s="26">
        <v>16</v>
      </c>
      <c r="V2526" s="26">
        <v>1</v>
      </c>
      <c r="W2526" s="26"/>
    </row>
    <row r="2527" spans="1:23" x14ac:dyDescent="0.25">
      <c r="A2527" s="26" t="str">
        <f t="shared" si="422"/>
        <v>PRIMARIA</v>
      </c>
      <c r="B2527" s="26" t="str">
        <f>"09PPR0889E"</f>
        <v>09PPR0889E</v>
      </c>
      <c r="C2527" s="26" t="str">
        <f>"INSTITUTO CUMBRES BOSQUES                                                                           "</f>
        <v xml:space="preserve">INSTITUTO CUMBRES BOSQUES                                                                           </v>
      </c>
      <c r="D2527" s="26" t="str">
        <f t="shared" si="427"/>
        <v>MATUTINO</v>
      </c>
      <c r="E2527" s="26" t="str">
        <f>"AHUEHUETES NORTE NUM. 1251                                                      "</f>
        <v xml:space="preserve">AHUEHUETES NORTE NUM. 1251                                                      </v>
      </c>
      <c r="F2527" s="26" t="str">
        <f>"BOSQUES DE LAS LOMAS                                                                                                                        "</f>
        <v xml:space="preserve">BOSQUES DE LAS LOMAS                                                                                                                        </v>
      </c>
      <c r="G2527" s="26" t="str">
        <f>"MIGUEL HIDALGO                                                                  "</f>
        <v xml:space="preserve">MIGUEL HIDALGO                                                                  </v>
      </c>
      <c r="H2527" s="26" t="str">
        <f>"209"</f>
        <v>209</v>
      </c>
      <c r="I2527" s="26" t="str">
        <f t="shared" si="423"/>
        <v>00</v>
      </c>
      <c r="J2527" s="26" t="str">
        <f>"42 "</f>
        <v xml:space="preserve">42 </v>
      </c>
      <c r="K2527" s="26" t="str">
        <f>"PR"</f>
        <v>PR</v>
      </c>
      <c r="L2527" s="26" t="str">
        <f>"DGOSE"</f>
        <v>DGOSE</v>
      </c>
      <c r="M2527" s="26" t="str">
        <f t="shared" si="426"/>
        <v>PARTICULAR</v>
      </c>
      <c r="N2527" s="26">
        <v>208</v>
      </c>
      <c r="O2527" s="26">
        <v>208</v>
      </c>
      <c r="P2527" s="26">
        <v>0</v>
      </c>
      <c r="Q2527" s="26">
        <v>12</v>
      </c>
      <c r="R2527" s="26">
        <v>1</v>
      </c>
      <c r="S2527" s="26">
        <v>6</v>
      </c>
      <c r="T2527" s="26">
        <v>8</v>
      </c>
      <c r="U2527" s="26">
        <v>15</v>
      </c>
      <c r="V2527" s="26">
        <v>1</v>
      </c>
      <c r="W2527" s="26"/>
    </row>
    <row r="2528" spans="1:23" x14ac:dyDescent="0.25">
      <c r="A2528" s="26" t="str">
        <f t="shared" si="422"/>
        <v>PRIMARIA</v>
      </c>
      <c r="B2528" s="26" t="str">
        <f>"09PPR0891T"</f>
        <v>09PPR0891T</v>
      </c>
      <c r="C2528" s="26" t="str">
        <f>"COLEGIO MARIANO HIDALGO                                                                             "</f>
        <v xml:space="preserve">COLEGIO MARIANO HIDALGO                                                                             </v>
      </c>
      <c r="D2528" s="26" t="str">
        <f t="shared" si="427"/>
        <v>MATUTINO</v>
      </c>
      <c r="E2528" s="26" t="str">
        <f>"AQUILES SERDAN MZ. 58 LT. 653                                                   "</f>
        <v xml:space="preserve">AQUILES SERDAN MZ. 58 LT. 653                                                   </v>
      </c>
      <c r="F2528" s="26" t="str">
        <f>"SANTA MARIA AZTAHUACAN                                                                                                                      "</f>
        <v xml:space="preserve">SANTA MARIA AZTAHUACAN                                                                                                                      </v>
      </c>
      <c r="G2528" s="26" t="str">
        <f>"IZTAPALAPA                                                                      "</f>
        <v xml:space="preserve">IZTAPALAPA                                                                      </v>
      </c>
      <c r="H2528" s="26" t="str">
        <f>"000"</f>
        <v>000</v>
      </c>
      <c r="I2528" s="26" t="str">
        <f t="shared" si="423"/>
        <v>00</v>
      </c>
      <c r="J2528" s="26" t="str">
        <f>"64 "</f>
        <v xml:space="preserve">64 </v>
      </c>
      <c r="K2528" s="26" t="str">
        <f>"IZ"</f>
        <v>IZ</v>
      </c>
      <c r="L2528" s="26" t="str">
        <f>"DGSEI"</f>
        <v>DGSEI</v>
      </c>
      <c r="M2528" s="26" t="str">
        <f t="shared" si="426"/>
        <v>PARTICULAR</v>
      </c>
      <c r="N2528" s="26">
        <v>263</v>
      </c>
      <c r="O2528" s="26">
        <v>107</v>
      </c>
      <c r="P2528" s="26">
        <v>156</v>
      </c>
      <c r="Q2528" s="26">
        <v>6</v>
      </c>
      <c r="R2528" s="26">
        <v>1</v>
      </c>
      <c r="S2528" s="26">
        <v>6</v>
      </c>
      <c r="T2528" s="26">
        <v>6</v>
      </c>
      <c r="U2528" s="26">
        <v>13</v>
      </c>
      <c r="V2528" s="26">
        <v>1</v>
      </c>
      <c r="W2528" s="26"/>
    </row>
    <row r="2529" spans="1:23" x14ac:dyDescent="0.25">
      <c r="A2529" s="26" t="str">
        <f t="shared" si="422"/>
        <v>PRIMARIA</v>
      </c>
      <c r="B2529" s="26" t="str">
        <f>"09PPR0892S"</f>
        <v>09PPR0892S</v>
      </c>
      <c r="C2529" s="26" t="str">
        <f>"COLEGIO TEYOCOYANI                                                                                  "</f>
        <v xml:space="preserve">COLEGIO TEYOCOYANI                                                                                  </v>
      </c>
      <c r="D2529" s="26" t="str">
        <f t="shared" si="427"/>
        <v>MATUTINO</v>
      </c>
      <c r="E2529" s="26" t="str">
        <f>"6TA.CDA. DE AV. IMAN 39                                                         "</f>
        <v xml:space="preserve">6TA.CDA. DE AV. IMAN 39                                                         </v>
      </c>
      <c r="F2529" s="26" t="str">
        <f>"EL CARACOL                                                                                                                                  "</f>
        <v xml:space="preserve">EL CARACOL                                                                                                                                  </v>
      </c>
      <c r="G2529" s="26" t="str">
        <f>"COYOACAN                                                                        "</f>
        <v xml:space="preserve">COYOACAN                                                                        </v>
      </c>
      <c r="H2529" s="26" t="str">
        <f>"507"</f>
        <v>507</v>
      </c>
      <c r="I2529" s="26" t="str">
        <f t="shared" si="423"/>
        <v>00</v>
      </c>
      <c r="J2529" s="26" t="str">
        <f>"45 "</f>
        <v xml:space="preserve">45 </v>
      </c>
      <c r="K2529" s="26" t="str">
        <f t="shared" ref="K2529:K2535" si="428">"PR"</f>
        <v>PR</v>
      </c>
      <c r="L2529" s="26" t="str">
        <f t="shared" ref="L2529:L2535" si="429">"DGOSE"</f>
        <v>DGOSE</v>
      </c>
      <c r="M2529" s="26" t="str">
        <f t="shared" si="426"/>
        <v>PARTICULAR</v>
      </c>
      <c r="N2529" s="26">
        <v>85</v>
      </c>
      <c r="O2529" s="26">
        <v>38</v>
      </c>
      <c r="P2529" s="26">
        <v>47</v>
      </c>
      <c r="Q2529" s="26">
        <v>6</v>
      </c>
      <c r="R2529" s="26">
        <v>1</v>
      </c>
      <c r="S2529" s="26">
        <v>6</v>
      </c>
      <c r="T2529" s="26">
        <v>8</v>
      </c>
      <c r="U2529" s="26">
        <v>15</v>
      </c>
      <c r="V2529" s="26">
        <v>1</v>
      </c>
      <c r="W2529" s="26"/>
    </row>
    <row r="2530" spans="1:23" x14ac:dyDescent="0.25">
      <c r="A2530" s="26" t="str">
        <f t="shared" si="422"/>
        <v>PRIMARIA</v>
      </c>
      <c r="B2530" s="26" t="str">
        <f>"09PPR0893R"</f>
        <v>09PPR0893R</v>
      </c>
      <c r="C2530" s="26" t="str">
        <f>"EL COLEGIO BRITANICO THE EDRON ACADEMY                                                              "</f>
        <v xml:space="preserve">EL COLEGIO BRITANICO THE EDRON ACADEMY                                                              </v>
      </c>
      <c r="D2530" s="26" t="str">
        <f t="shared" si="427"/>
        <v>MATUTINO</v>
      </c>
      <c r="E2530" s="26" t="str">
        <f>"CALZ DESIERTO DE LOS LEONES 5578                                                "</f>
        <v xml:space="preserve">CALZ DESIERTO DE LOS LEONES 5578                                                </v>
      </c>
      <c r="F2530" s="26" t="str">
        <f>"OLIVAR DE LOS PADRES                                                                                                                        "</f>
        <v xml:space="preserve">OLIVAR DE LOS PADRES                                                                                                                        </v>
      </c>
      <c r="G2530" s="26" t="str">
        <f>"ALVARO OBREGON                                                                  "</f>
        <v xml:space="preserve">ALVARO OBREGON                                                                  </v>
      </c>
      <c r="H2530" s="26" t="str">
        <f>"328"</f>
        <v>328</v>
      </c>
      <c r="I2530" s="26" t="str">
        <f t="shared" si="423"/>
        <v>00</v>
      </c>
      <c r="J2530" s="26" t="str">
        <f>"43 "</f>
        <v xml:space="preserve">43 </v>
      </c>
      <c r="K2530" s="26" t="str">
        <f t="shared" si="428"/>
        <v>PR</v>
      </c>
      <c r="L2530" s="26" t="str">
        <f t="shared" si="429"/>
        <v>DGOSE</v>
      </c>
      <c r="M2530" s="26" t="str">
        <f t="shared" si="426"/>
        <v>PARTICULAR</v>
      </c>
      <c r="N2530" s="26">
        <v>437</v>
      </c>
      <c r="O2530" s="26">
        <v>223</v>
      </c>
      <c r="P2530" s="26">
        <v>214</v>
      </c>
      <c r="Q2530" s="26">
        <v>18</v>
      </c>
      <c r="R2530" s="26">
        <v>1</v>
      </c>
      <c r="S2530" s="26">
        <v>10</v>
      </c>
      <c r="T2530" s="26">
        <v>27</v>
      </c>
      <c r="U2530" s="26">
        <v>38</v>
      </c>
      <c r="V2530" s="26">
        <v>1</v>
      </c>
      <c r="W2530" s="26"/>
    </row>
    <row r="2531" spans="1:23" x14ac:dyDescent="0.25">
      <c r="A2531" s="26" t="str">
        <f t="shared" si="422"/>
        <v>PRIMARIA</v>
      </c>
      <c r="B2531" s="26" t="str">
        <f>"09PPR0895P"</f>
        <v>09PPR0895P</v>
      </c>
      <c r="C2531" s="26" t="str">
        <f>"COLEGIO BILBAO                                                                                      "</f>
        <v xml:space="preserve">COLEGIO BILBAO                                                                                      </v>
      </c>
      <c r="D2531" s="26" t="str">
        <f t="shared" si="427"/>
        <v>MATUTINO</v>
      </c>
      <c r="E2531" s="26" t="str">
        <f>"CALLE TLALMIMILOLPA NUMERO 39                                                   "</f>
        <v xml:space="preserve">CALLE TLALMIMILOLPA NUMERO 39                                                   </v>
      </c>
      <c r="F2531" s="26" t="str">
        <f>"SAN MATEO TLALTENANGO                                                                                                                       "</f>
        <v xml:space="preserve">SAN MATEO TLALTENANGO                                                                                                                       </v>
      </c>
      <c r="G2531" s="26" t="str">
        <f>"CUAJIMALPA DE MORELOS                                                           "</f>
        <v xml:space="preserve">CUAJIMALPA DE MORELOS                                                           </v>
      </c>
      <c r="H2531" s="26" t="str">
        <f>"303"</f>
        <v>303</v>
      </c>
      <c r="I2531" s="26" t="str">
        <f t="shared" si="423"/>
        <v>00</v>
      </c>
      <c r="J2531" s="26" t="str">
        <f>"43 "</f>
        <v xml:space="preserve">43 </v>
      </c>
      <c r="K2531" s="26" t="str">
        <f t="shared" si="428"/>
        <v>PR</v>
      </c>
      <c r="L2531" s="26" t="str">
        <f t="shared" si="429"/>
        <v>DGOSE</v>
      </c>
      <c r="M2531" s="26" t="str">
        <f t="shared" si="426"/>
        <v>PARTICULAR</v>
      </c>
      <c r="N2531" s="26">
        <v>131</v>
      </c>
      <c r="O2531" s="26">
        <v>74</v>
      </c>
      <c r="P2531" s="26">
        <v>57</v>
      </c>
      <c r="Q2531" s="26">
        <v>10</v>
      </c>
      <c r="R2531" s="26">
        <v>1</v>
      </c>
      <c r="S2531" s="26">
        <v>6</v>
      </c>
      <c r="T2531" s="26">
        <v>15</v>
      </c>
      <c r="U2531" s="26">
        <v>22</v>
      </c>
      <c r="V2531" s="26">
        <v>1</v>
      </c>
      <c r="W2531" s="26"/>
    </row>
    <row r="2532" spans="1:23" x14ac:dyDescent="0.25">
      <c r="A2532" s="26" t="str">
        <f t="shared" si="422"/>
        <v>PRIMARIA</v>
      </c>
      <c r="B2532" s="26" t="str">
        <f>"09PPR0897N"</f>
        <v>09PPR0897N</v>
      </c>
      <c r="C2532" s="26" t="str">
        <f>"COLEGIO MIGUEL ANGEL ASTURIAS                                                                       "</f>
        <v xml:space="preserve">COLEGIO MIGUEL ANGEL ASTURIAS                                                                       </v>
      </c>
      <c r="D2532" s="26" t="str">
        <f t="shared" si="427"/>
        <v>MATUTINO</v>
      </c>
      <c r="E2532" s="26" t="str">
        <f>"UXMAL NUM 367                                                                   "</f>
        <v xml:space="preserve">UXMAL NUM 367                                                                   </v>
      </c>
      <c r="F2532" s="26" t="str">
        <f>"NARVARTE                                                                                                                                    "</f>
        <v xml:space="preserve">NARVARTE                                                                                                                                    </v>
      </c>
      <c r="G2532" s="26" t="str">
        <f>"BENITO JUAREZ                                                                   "</f>
        <v xml:space="preserve">BENITO JUAREZ                                                                   </v>
      </c>
      <c r="H2532" s="26" t="str">
        <f>"000"</f>
        <v>000</v>
      </c>
      <c r="I2532" s="26" t="str">
        <f t="shared" si="423"/>
        <v>00</v>
      </c>
      <c r="J2532" s="26" t="str">
        <f>"43 "</f>
        <v xml:space="preserve">43 </v>
      </c>
      <c r="K2532" s="26" t="str">
        <f t="shared" si="428"/>
        <v>PR</v>
      </c>
      <c r="L2532" s="26" t="str">
        <f t="shared" si="429"/>
        <v>DGOSE</v>
      </c>
      <c r="M2532" s="26" t="str">
        <f t="shared" si="426"/>
        <v>PARTICULAR</v>
      </c>
      <c r="N2532" s="26">
        <v>67</v>
      </c>
      <c r="O2532" s="26">
        <v>26</v>
      </c>
      <c r="P2532" s="26">
        <v>41</v>
      </c>
      <c r="Q2532" s="26">
        <v>6</v>
      </c>
      <c r="R2532" s="26">
        <v>1</v>
      </c>
      <c r="S2532" s="26">
        <v>6</v>
      </c>
      <c r="T2532" s="26">
        <v>6</v>
      </c>
      <c r="U2532" s="26">
        <v>13</v>
      </c>
      <c r="V2532" s="26">
        <v>1</v>
      </c>
      <c r="W2532" s="26"/>
    </row>
    <row r="2533" spans="1:23" x14ac:dyDescent="0.25">
      <c r="A2533" s="26" t="str">
        <f t="shared" si="422"/>
        <v>PRIMARIA</v>
      </c>
      <c r="B2533" s="26" t="str">
        <f>"09PPR0898M"</f>
        <v>09PPR0898M</v>
      </c>
      <c r="C2533" s="26" t="str">
        <f>"COLEGIO PALMERSTON                                                                                  "</f>
        <v xml:space="preserve">COLEGIO PALMERSTON                                                                                  </v>
      </c>
      <c r="D2533" s="26" t="str">
        <f t="shared" si="427"/>
        <v>MATUTINO</v>
      </c>
      <c r="E2533" s="26" t="str">
        <f>"RANCHO CAMICHINES NUM. 19                                                       "</f>
        <v xml:space="preserve">RANCHO CAMICHINES NUM. 19                                                       </v>
      </c>
      <c r="F2533" s="26" t="str">
        <f>"NUEVA ORIENTAL                                                                                                                              "</f>
        <v xml:space="preserve">NUEVA ORIENTAL                                                                                                                              </v>
      </c>
      <c r="G2533" s="26" t="str">
        <f>"TLALPAN                                                                         "</f>
        <v xml:space="preserve">TLALPAN                                                                         </v>
      </c>
      <c r="H2533" s="26" t="str">
        <f>"525"</f>
        <v>525</v>
      </c>
      <c r="I2533" s="26" t="str">
        <f t="shared" si="423"/>
        <v>00</v>
      </c>
      <c r="J2533" s="26" t="str">
        <f>"45 "</f>
        <v xml:space="preserve">45 </v>
      </c>
      <c r="K2533" s="26" t="str">
        <f t="shared" si="428"/>
        <v>PR</v>
      </c>
      <c r="L2533" s="26" t="str">
        <f t="shared" si="429"/>
        <v>DGOSE</v>
      </c>
      <c r="M2533" s="26" t="str">
        <f t="shared" si="426"/>
        <v>PARTICULAR</v>
      </c>
      <c r="N2533" s="26">
        <v>84</v>
      </c>
      <c r="O2533" s="26">
        <v>39</v>
      </c>
      <c r="P2533" s="26">
        <v>45</v>
      </c>
      <c r="Q2533" s="26">
        <v>6</v>
      </c>
      <c r="R2533" s="26">
        <v>1</v>
      </c>
      <c r="S2533" s="26">
        <v>4</v>
      </c>
      <c r="T2533" s="26">
        <v>10</v>
      </c>
      <c r="U2533" s="26">
        <v>15</v>
      </c>
      <c r="V2533" s="26">
        <v>1</v>
      </c>
      <c r="W2533" s="26"/>
    </row>
    <row r="2534" spans="1:23" x14ac:dyDescent="0.25">
      <c r="A2534" s="26" t="str">
        <f t="shared" si="422"/>
        <v>PRIMARIA</v>
      </c>
      <c r="B2534" s="26" t="str">
        <f>"09PPR0899L"</f>
        <v>09PPR0899L</v>
      </c>
      <c r="C2534" s="26" t="str">
        <f>"CIRCULO MEXICANO DE INTEGRACION EDUCATIVA                                                           "</f>
        <v xml:space="preserve">CIRCULO MEXICANO DE INTEGRACION EDUCATIVA                                                           </v>
      </c>
      <c r="D2534" s="26" t="str">
        <f t="shared" si="427"/>
        <v>MATUTINO</v>
      </c>
      <c r="E2534" s="26" t="str">
        <f>"PROL. YACATAS ESQUINA SANTISIMA                                                 "</f>
        <v xml:space="preserve">PROL. YACATAS ESQUINA SANTISIMA                                                 </v>
      </c>
      <c r="F2534" s="26" t="str">
        <f>"SANTA CRUZ ATOYAC                                                                                                                           "</f>
        <v xml:space="preserve">SANTA CRUZ ATOYAC                                                                                                                           </v>
      </c>
      <c r="G2534" s="26" t="str">
        <f>"BENITO JUAREZ                                                                   "</f>
        <v xml:space="preserve">BENITO JUAREZ                                                                   </v>
      </c>
      <c r="H2534" s="26" t="str">
        <f>"341"</f>
        <v>341</v>
      </c>
      <c r="I2534" s="26" t="str">
        <f t="shared" si="423"/>
        <v>00</v>
      </c>
      <c r="J2534" s="26" t="str">
        <f>"43 "</f>
        <v xml:space="preserve">43 </v>
      </c>
      <c r="K2534" s="26" t="str">
        <f t="shared" si="428"/>
        <v>PR</v>
      </c>
      <c r="L2534" s="26" t="str">
        <f t="shared" si="429"/>
        <v>DGOSE</v>
      </c>
      <c r="M2534" s="26" t="str">
        <f t="shared" si="426"/>
        <v>PARTICULAR</v>
      </c>
      <c r="N2534" s="26">
        <v>113</v>
      </c>
      <c r="O2534" s="26">
        <v>69</v>
      </c>
      <c r="P2534" s="26">
        <v>44</v>
      </c>
      <c r="Q2534" s="26">
        <v>8</v>
      </c>
      <c r="R2534" s="26">
        <v>1</v>
      </c>
      <c r="S2534" s="26">
        <v>4</v>
      </c>
      <c r="T2534" s="26">
        <v>14</v>
      </c>
      <c r="U2534" s="26">
        <v>19</v>
      </c>
      <c r="V2534" s="26">
        <v>1</v>
      </c>
      <c r="W2534" s="26"/>
    </row>
    <row r="2535" spans="1:23" x14ac:dyDescent="0.25">
      <c r="A2535" s="26" t="str">
        <f t="shared" si="422"/>
        <v>PRIMARIA</v>
      </c>
      <c r="B2535" s="26" t="str">
        <f>"09PPR0901J"</f>
        <v>09PPR0901J</v>
      </c>
      <c r="C2535" s="26" t="str">
        <f>"ENRIQUE GONZALEZ MARTINEZ                                                                           "</f>
        <v xml:space="preserve">ENRIQUE GONZALEZ MARTINEZ                                                                           </v>
      </c>
      <c r="D2535" s="26" t="str">
        <f t="shared" si="427"/>
        <v>MATUTINO</v>
      </c>
      <c r="E2535" s="26" t="str">
        <f>"AV. TLALCOLIGIA NO. 50                                                          "</f>
        <v xml:space="preserve">AV. TLALCOLIGIA NO. 50                                                          </v>
      </c>
      <c r="F2535" s="26" t="str">
        <f>"TLALCOLIGIA                                                                                                                                 "</f>
        <v xml:space="preserve">TLALCOLIGIA                                                                                                                                 </v>
      </c>
      <c r="G2535" s="26" t="str">
        <f>"TLALPAN                                                                         "</f>
        <v xml:space="preserve">TLALPAN                                                                         </v>
      </c>
      <c r="H2535" s="26" t="str">
        <f>"521"</f>
        <v>521</v>
      </c>
      <c r="I2535" s="26" t="str">
        <f t="shared" si="423"/>
        <v>00</v>
      </c>
      <c r="J2535" s="26" t="str">
        <f>"45 "</f>
        <v xml:space="preserve">45 </v>
      </c>
      <c r="K2535" s="26" t="str">
        <f t="shared" si="428"/>
        <v>PR</v>
      </c>
      <c r="L2535" s="26" t="str">
        <f t="shared" si="429"/>
        <v>DGOSE</v>
      </c>
      <c r="M2535" s="26" t="str">
        <f t="shared" si="426"/>
        <v>PARTICULAR</v>
      </c>
      <c r="N2535" s="26">
        <v>6</v>
      </c>
      <c r="O2535" s="26">
        <v>5</v>
      </c>
      <c r="P2535" s="26">
        <v>1</v>
      </c>
      <c r="Q2535" s="26">
        <v>4</v>
      </c>
      <c r="R2535" s="26">
        <v>1</v>
      </c>
      <c r="S2535" s="26">
        <v>3</v>
      </c>
      <c r="T2535" s="26">
        <v>3</v>
      </c>
      <c r="U2535" s="26">
        <v>7</v>
      </c>
      <c r="V2535" s="26">
        <v>1</v>
      </c>
      <c r="W2535" s="26"/>
    </row>
    <row r="2536" spans="1:23" x14ac:dyDescent="0.25">
      <c r="A2536" s="26" t="str">
        <f t="shared" si="422"/>
        <v>PRIMARIA</v>
      </c>
      <c r="B2536" s="26" t="str">
        <f>"09PPR0902I"</f>
        <v>09PPR0902I</v>
      </c>
      <c r="C2536" s="26" t="str">
        <f>"COLEGIO HEIDELBERG                                                                                  "</f>
        <v xml:space="preserve">COLEGIO HEIDELBERG                                                                                  </v>
      </c>
      <c r="D2536" s="26" t="str">
        <f t="shared" si="427"/>
        <v>MATUTINO</v>
      </c>
      <c r="E2536" s="26" t="str">
        <f>"AV. SINATEL NO. 40                                                              "</f>
        <v xml:space="preserve">AV. SINATEL NO. 40                                                              </v>
      </c>
      <c r="F2536" s="26" t="str">
        <f>"SINATEL AMPLIACION                                                                                                                          "</f>
        <v xml:space="preserve">SINATEL AMPLIACION                                                                                                                          </v>
      </c>
      <c r="G2536" s="26" t="str">
        <f>"IZTAPALAPA                                                                      "</f>
        <v xml:space="preserve">IZTAPALAPA                                                                      </v>
      </c>
      <c r="H2536" s="26" t="str">
        <f>"000"</f>
        <v>000</v>
      </c>
      <c r="I2536" s="26" t="str">
        <f t="shared" si="423"/>
        <v>00</v>
      </c>
      <c r="J2536" s="26" t="str">
        <f>"61 "</f>
        <v xml:space="preserve">61 </v>
      </c>
      <c r="K2536" s="26" t="str">
        <f>"IZ"</f>
        <v>IZ</v>
      </c>
      <c r="L2536" s="26" t="str">
        <f>"DGSEI"</f>
        <v>DGSEI</v>
      </c>
      <c r="M2536" s="26" t="str">
        <f t="shared" si="426"/>
        <v>PARTICULAR</v>
      </c>
      <c r="N2536" s="26">
        <v>64</v>
      </c>
      <c r="O2536" s="26">
        <v>42</v>
      </c>
      <c r="P2536" s="26">
        <v>22</v>
      </c>
      <c r="Q2536" s="26">
        <v>6</v>
      </c>
      <c r="R2536" s="26">
        <v>1</v>
      </c>
      <c r="S2536" s="26">
        <v>3</v>
      </c>
      <c r="T2536" s="26">
        <v>5</v>
      </c>
      <c r="U2536" s="26">
        <v>9</v>
      </c>
      <c r="V2536" s="26">
        <v>1</v>
      </c>
      <c r="W2536" s="26"/>
    </row>
    <row r="2537" spans="1:23" x14ac:dyDescent="0.25">
      <c r="A2537" s="26" t="str">
        <f t="shared" si="422"/>
        <v>PRIMARIA</v>
      </c>
      <c r="B2537" s="26" t="str">
        <f>"09PPR0903H"</f>
        <v>09PPR0903H</v>
      </c>
      <c r="C2537" s="26" t="str">
        <f>"REIMS                                                                                               "</f>
        <v xml:space="preserve">REIMS                                                                                               </v>
      </c>
      <c r="D2537" s="26" t="str">
        <f t="shared" si="427"/>
        <v>MATUTINO</v>
      </c>
      <c r="E2537" s="26" t="str">
        <f>"CAFETALES NUM 239                                                               "</f>
        <v xml:space="preserve">CAFETALES NUM 239                                                               </v>
      </c>
      <c r="F2537" s="26" t="str">
        <f>"RINCONADA COAPA                                                                                                                             "</f>
        <v xml:space="preserve">RINCONADA COAPA                                                                                                                             </v>
      </c>
      <c r="G2537" s="26" t="str">
        <f>"TLALPAN                                                                         "</f>
        <v xml:space="preserve">TLALPAN                                                                         </v>
      </c>
      <c r="H2537" s="26" t="str">
        <f>"526"</f>
        <v>526</v>
      </c>
      <c r="I2537" s="26" t="str">
        <f t="shared" si="423"/>
        <v>00</v>
      </c>
      <c r="J2537" s="26" t="str">
        <f>"45 "</f>
        <v xml:space="preserve">45 </v>
      </c>
      <c r="K2537" s="26" t="str">
        <f>"PR"</f>
        <v>PR</v>
      </c>
      <c r="L2537" s="26" t="str">
        <f>"DGOSE"</f>
        <v>DGOSE</v>
      </c>
      <c r="M2537" s="26" t="str">
        <f t="shared" si="426"/>
        <v>PARTICULAR</v>
      </c>
      <c r="N2537" s="26">
        <v>292</v>
      </c>
      <c r="O2537" s="26">
        <v>137</v>
      </c>
      <c r="P2537" s="26">
        <v>155</v>
      </c>
      <c r="Q2537" s="26">
        <v>14</v>
      </c>
      <c r="R2537" s="26">
        <v>1</v>
      </c>
      <c r="S2537" s="26">
        <v>14</v>
      </c>
      <c r="T2537" s="26">
        <v>16</v>
      </c>
      <c r="U2537" s="26">
        <v>31</v>
      </c>
      <c r="V2537" s="26">
        <v>1</v>
      </c>
      <c r="W2537" s="26"/>
    </row>
    <row r="2538" spans="1:23" x14ac:dyDescent="0.25">
      <c r="A2538" s="26" t="str">
        <f t="shared" si="422"/>
        <v>PRIMARIA</v>
      </c>
      <c r="B2538" s="26" t="str">
        <f>"09PPR0907D"</f>
        <v>09PPR0907D</v>
      </c>
      <c r="C2538" s="26" t="str">
        <f>"INSTITUTO CULTURAL DERECHOS HUMANOS                                                                 "</f>
        <v xml:space="preserve">INSTITUTO CULTURAL DERECHOS HUMANOS                                                                 </v>
      </c>
      <c r="D2538" s="26" t="str">
        <f t="shared" si="427"/>
        <v>MATUTINO</v>
      </c>
      <c r="E2538" s="26" t="str">
        <f>"EMILIO N. ACOSTA NO. 62                                                         "</f>
        <v xml:space="preserve">EMILIO N. ACOSTA NO. 62                                                         </v>
      </c>
      <c r="F2538" s="26" t="str">
        <f>"SANTA MARTHA ACATITLA                                                                                                                       "</f>
        <v xml:space="preserve">SANTA MARTHA ACATITLA                                                                                                                       </v>
      </c>
      <c r="G2538" s="26" t="str">
        <f>"IZTAPALAPA                                                                      "</f>
        <v xml:space="preserve">IZTAPALAPA                                                                      </v>
      </c>
      <c r="H2538" s="26" t="str">
        <f>"000"</f>
        <v>000</v>
      </c>
      <c r="I2538" s="26" t="str">
        <f t="shared" si="423"/>
        <v>00</v>
      </c>
      <c r="J2538" s="26" t="str">
        <f>"62 "</f>
        <v xml:space="preserve">62 </v>
      </c>
      <c r="K2538" s="26" t="str">
        <f>"IZ"</f>
        <v>IZ</v>
      </c>
      <c r="L2538" s="26" t="str">
        <f>"DGSEI"</f>
        <v>DGSEI</v>
      </c>
      <c r="M2538" s="26" t="str">
        <f t="shared" si="426"/>
        <v>PARTICULAR</v>
      </c>
      <c r="N2538" s="26">
        <v>147</v>
      </c>
      <c r="O2538" s="26">
        <v>69</v>
      </c>
      <c r="P2538" s="26">
        <v>78</v>
      </c>
      <c r="Q2538" s="26">
        <v>6</v>
      </c>
      <c r="R2538" s="26">
        <v>1</v>
      </c>
      <c r="S2538" s="26">
        <v>5</v>
      </c>
      <c r="T2538" s="26">
        <v>9</v>
      </c>
      <c r="U2538" s="26">
        <v>15</v>
      </c>
      <c r="V2538" s="26">
        <v>1</v>
      </c>
      <c r="W2538" s="26"/>
    </row>
    <row r="2539" spans="1:23" x14ac:dyDescent="0.25">
      <c r="A2539" s="26" t="str">
        <f t="shared" si="422"/>
        <v>PRIMARIA</v>
      </c>
      <c r="B2539" s="26" t="str">
        <f>"09PPR0910R"</f>
        <v>09PPR0910R</v>
      </c>
      <c r="C2539" s="26" t="str">
        <f>"IVAN PETROVICH PAVLOV                                                                               "</f>
        <v xml:space="preserve">IVAN PETROVICH PAVLOV                                                                               </v>
      </c>
      <c r="D2539" s="26" t="str">
        <f t="shared" si="427"/>
        <v>MATUTINO</v>
      </c>
      <c r="E2539" s="26" t="str">
        <f>"AV MANI MANZ 146 LOTE 11                                                        "</f>
        <v xml:space="preserve">AV MANI MANZ 146 LOTE 11                                                        </v>
      </c>
      <c r="F2539" s="26" t="str">
        <f>"PEDREGAL DE SAN NICOLAS                                                                                                                     "</f>
        <v xml:space="preserve">PEDREGAL DE SAN NICOLAS                                                                                                                     </v>
      </c>
      <c r="G2539" s="26" t="str">
        <f>"TLALPAN                                                                         "</f>
        <v xml:space="preserve">TLALPAN                                                                         </v>
      </c>
      <c r="H2539" s="26" t="str">
        <f>"512"</f>
        <v>512</v>
      </c>
      <c r="I2539" s="26" t="str">
        <f t="shared" si="423"/>
        <v>00</v>
      </c>
      <c r="J2539" s="26" t="str">
        <f>"45 "</f>
        <v xml:space="preserve">45 </v>
      </c>
      <c r="K2539" s="26" t="str">
        <f>"PR"</f>
        <v>PR</v>
      </c>
      <c r="L2539" s="26" t="str">
        <f>"DGOSE"</f>
        <v>DGOSE</v>
      </c>
      <c r="M2539" s="26" t="str">
        <f t="shared" si="426"/>
        <v>PARTICULAR</v>
      </c>
      <c r="N2539" s="26">
        <v>176</v>
      </c>
      <c r="O2539" s="26">
        <v>85</v>
      </c>
      <c r="P2539" s="26">
        <v>91</v>
      </c>
      <c r="Q2539" s="26">
        <v>6</v>
      </c>
      <c r="R2539" s="26">
        <v>1</v>
      </c>
      <c r="S2539" s="26">
        <v>6</v>
      </c>
      <c r="T2539" s="26">
        <v>7</v>
      </c>
      <c r="U2539" s="26">
        <v>14</v>
      </c>
      <c r="V2539" s="26">
        <v>1</v>
      </c>
      <c r="W2539" s="26"/>
    </row>
    <row r="2540" spans="1:23" x14ac:dyDescent="0.25">
      <c r="A2540" s="26" t="str">
        <f t="shared" si="422"/>
        <v>PRIMARIA</v>
      </c>
      <c r="B2540" s="26" t="str">
        <f>"09PPR0912P"</f>
        <v>09PPR0912P</v>
      </c>
      <c r="C2540" s="26" t="str">
        <f>"COLEGIO QUETZAL                                                                                     "</f>
        <v xml:space="preserve">COLEGIO QUETZAL                                                                                     </v>
      </c>
      <c r="D2540" s="26" t="str">
        <f t="shared" si="427"/>
        <v>MATUTINO</v>
      </c>
      <c r="E2540" s="26" t="str">
        <f>"AV SUR-20 No.315                                                                "</f>
        <v xml:space="preserve">AV SUR-20 No.315                                                                </v>
      </c>
      <c r="F2540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2540" s="26" t="str">
        <f>"IZTACALCO                                                                       "</f>
        <v xml:space="preserve">IZTACALCO                                                                       </v>
      </c>
      <c r="H2540" s="26" t="str">
        <f>"357"</f>
        <v>357</v>
      </c>
      <c r="I2540" s="26" t="str">
        <f t="shared" si="423"/>
        <v>00</v>
      </c>
      <c r="J2540" s="26" t="str">
        <f>"43 "</f>
        <v xml:space="preserve">43 </v>
      </c>
      <c r="K2540" s="26" t="str">
        <f>"PR"</f>
        <v>PR</v>
      </c>
      <c r="L2540" s="26" t="str">
        <f>"DGOSE"</f>
        <v>DGOSE</v>
      </c>
      <c r="M2540" s="26" t="str">
        <f t="shared" si="426"/>
        <v>PARTICULAR</v>
      </c>
      <c r="N2540" s="26">
        <v>149</v>
      </c>
      <c r="O2540" s="26">
        <v>80</v>
      </c>
      <c r="P2540" s="26">
        <v>69</v>
      </c>
      <c r="Q2540" s="26">
        <v>8</v>
      </c>
      <c r="R2540" s="26">
        <v>1</v>
      </c>
      <c r="S2540" s="26">
        <v>4</v>
      </c>
      <c r="T2540" s="26">
        <v>11</v>
      </c>
      <c r="U2540" s="26">
        <v>16</v>
      </c>
      <c r="V2540" s="26">
        <v>1</v>
      </c>
      <c r="W2540" s="26"/>
    </row>
    <row r="2541" spans="1:23" x14ac:dyDescent="0.25">
      <c r="A2541" s="26" t="str">
        <f t="shared" si="422"/>
        <v>PRIMARIA</v>
      </c>
      <c r="B2541" s="26" t="str">
        <f>"09PPR0914N"</f>
        <v>09PPR0914N</v>
      </c>
      <c r="C2541" s="26" t="str">
        <f>"INSTITUTO MARCELINA                                                                                 "</f>
        <v xml:space="preserve">INSTITUTO MARCELINA                                                                                 </v>
      </c>
      <c r="D2541" s="26" t="str">
        <f t="shared" si="427"/>
        <v>MATUTINO</v>
      </c>
      <c r="E2541" s="26" t="str">
        <f>"AV 521 NO 58                                                                    "</f>
        <v xml:space="preserve">AV 521 NO 58                                                                    </v>
      </c>
      <c r="F2541" s="26" t="str">
        <f>"SAN JUAN DE ARAGON                                                                                                                          "</f>
        <v xml:space="preserve">SAN JUAN DE ARAGON                                                                                                                          </v>
      </c>
      <c r="G2541" s="26" t="str">
        <f>"GUSTAVO A. MADERO                                                               "</f>
        <v xml:space="preserve">GUSTAVO A. MADERO                                                               </v>
      </c>
      <c r="H2541" s="26" t="str">
        <f>"270"</f>
        <v>270</v>
      </c>
      <c r="I2541" s="26" t="str">
        <f t="shared" si="423"/>
        <v>00</v>
      </c>
      <c r="J2541" s="26" t="str">
        <f>"42 "</f>
        <v xml:space="preserve">42 </v>
      </c>
      <c r="K2541" s="26" t="str">
        <f>"PR"</f>
        <v>PR</v>
      </c>
      <c r="L2541" s="26" t="str">
        <f>"DGOSE"</f>
        <v>DGOSE</v>
      </c>
      <c r="M2541" s="26" t="str">
        <f t="shared" si="426"/>
        <v>PARTICULAR</v>
      </c>
      <c r="N2541" s="26">
        <v>92</v>
      </c>
      <c r="O2541" s="26">
        <v>48</v>
      </c>
      <c r="P2541" s="26">
        <v>44</v>
      </c>
      <c r="Q2541" s="26">
        <v>6</v>
      </c>
      <c r="R2541" s="26">
        <v>1</v>
      </c>
      <c r="S2541" s="26">
        <v>6</v>
      </c>
      <c r="T2541" s="26">
        <v>7</v>
      </c>
      <c r="U2541" s="26">
        <v>14</v>
      </c>
      <c r="V2541" s="26">
        <v>1</v>
      </c>
      <c r="W2541" s="26"/>
    </row>
    <row r="2542" spans="1:23" x14ac:dyDescent="0.25">
      <c r="A2542" s="26" t="str">
        <f t="shared" si="422"/>
        <v>PRIMARIA</v>
      </c>
      <c r="B2542" s="26" t="str">
        <f>"09PPR0915M"</f>
        <v>09PPR0915M</v>
      </c>
      <c r="C2542" s="26" t="str">
        <f>"CENTRO ESCOLAR DE LAS AMERICAS PLANTEL OBSIDIANA                                                    "</f>
        <v xml:space="preserve">CENTRO ESCOLAR DE LAS AMERICAS PLANTEL OBSIDIANA                                                    </v>
      </c>
      <c r="D2542" s="26" t="str">
        <f t="shared" si="427"/>
        <v>MATUTINO</v>
      </c>
      <c r="E2542" s="26" t="str">
        <f>"OBSIDIANA NO 19                                                                 "</f>
        <v xml:space="preserve">OBSIDIANA NO 19                                                                 </v>
      </c>
      <c r="F2542" s="26" t="str">
        <f>"ESTRELLA                                                                                                                                    "</f>
        <v xml:space="preserve">ESTRELLA                                                                                                                                    </v>
      </c>
      <c r="G2542" s="26" t="str">
        <f>"GUSTAVO A. MADERO                                                               "</f>
        <v xml:space="preserve">GUSTAVO A. MADERO                                                               </v>
      </c>
      <c r="H2542" s="26" t="str">
        <f>"250"</f>
        <v>250</v>
      </c>
      <c r="I2542" s="26" t="str">
        <f t="shared" si="423"/>
        <v>00</v>
      </c>
      <c r="J2542" s="26" t="str">
        <f>"42 "</f>
        <v xml:space="preserve">42 </v>
      </c>
      <c r="K2542" s="26" t="str">
        <f>"PR"</f>
        <v>PR</v>
      </c>
      <c r="L2542" s="26" t="str">
        <f>"DGOSE"</f>
        <v>DGOSE</v>
      </c>
      <c r="M2542" s="26" t="str">
        <f t="shared" si="426"/>
        <v>PARTICULAR</v>
      </c>
      <c r="N2542" s="26">
        <v>171</v>
      </c>
      <c r="O2542" s="26">
        <v>84</v>
      </c>
      <c r="P2542" s="26">
        <v>87</v>
      </c>
      <c r="Q2542" s="26">
        <v>6</v>
      </c>
      <c r="R2542" s="26">
        <v>1</v>
      </c>
      <c r="S2542" s="26">
        <v>3</v>
      </c>
      <c r="T2542" s="26">
        <v>12</v>
      </c>
      <c r="U2542" s="26">
        <v>16</v>
      </c>
      <c r="V2542" s="26">
        <v>1</v>
      </c>
      <c r="W2542" s="26"/>
    </row>
    <row r="2543" spans="1:23" x14ac:dyDescent="0.25">
      <c r="A2543" s="26" t="str">
        <f t="shared" si="422"/>
        <v>PRIMARIA</v>
      </c>
      <c r="B2543" s="26" t="str">
        <f>"09PPR0916L"</f>
        <v>09PPR0916L</v>
      </c>
      <c r="C2543" s="26" t="str">
        <f>"MONTE ROSA                                                                                          "</f>
        <v xml:space="preserve">MONTE ROSA                                                                                          </v>
      </c>
      <c r="D2543" s="26" t="str">
        <f t="shared" si="427"/>
        <v>MATUTINO</v>
      </c>
      <c r="E2543" s="26" t="str">
        <f>"GENARO GARCIA NO 125                                                            "</f>
        <v xml:space="preserve">GENARO GARCIA NO 125                                                            </v>
      </c>
      <c r="F2543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2543" s="26" t="str">
        <f>"VENUSTIANO CARRANZA                                                             "</f>
        <v xml:space="preserve">VENUSTIANO CARRANZA                                                             </v>
      </c>
      <c r="H2543" s="26" t="str">
        <f>"347"</f>
        <v>347</v>
      </c>
      <c r="I2543" s="26" t="str">
        <f t="shared" si="423"/>
        <v>00</v>
      </c>
      <c r="J2543" s="26" t="str">
        <f>"43 "</f>
        <v xml:space="preserve">43 </v>
      </c>
      <c r="K2543" s="26" t="str">
        <f>"PR"</f>
        <v>PR</v>
      </c>
      <c r="L2543" s="26" t="str">
        <f>"DGOSE"</f>
        <v>DGOSE</v>
      </c>
      <c r="M2543" s="26" t="str">
        <f t="shared" si="426"/>
        <v>PARTICULAR</v>
      </c>
      <c r="N2543" s="26">
        <v>180</v>
      </c>
      <c r="O2543" s="26">
        <v>85</v>
      </c>
      <c r="P2543" s="26">
        <v>95</v>
      </c>
      <c r="Q2543" s="26">
        <v>12</v>
      </c>
      <c r="R2543" s="26">
        <v>1</v>
      </c>
      <c r="S2543" s="26">
        <v>6</v>
      </c>
      <c r="T2543" s="26">
        <v>12</v>
      </c>
      <c r="U2543" s="26">
        <v>19</v>
      </c>
      <c r="V2543" s="26">
        <v>1</v>
      </c>
      <c r="W2543" s="26"/>
    </row>
    <row r="2544" spans="1:23" x14ac:dyDescent="0.25">
      <c r="A2544" s="26" t="str">
        <f t="shared" si="422"/>
        <v>PRIMARIA</v>
      </c>
      <c r="B2544" s="26" t="str">
        <f>"09PPR0919I"</f>
        <v>09PPR0919I</v>
      </c>
      <c r="C2544" s="26" t="str">
        <f>"CENTRO EDUCATIVO IXCHEL                                                                             "</f>
        <v xml:space="preserve">CENTRO EDUCATIVO IXCHEL                                                                             </v>
      </c>
      <c r="D2544" s="26" t="str">
        <f t="shared" si="427"/>
        <v>MATUTINO</v>
      </c>
      <c r="E2544" s="26" t="str">
        <f>"SUR 25 L-69 FRACC.""B"" Y ""C"" M-7                                                 "</f>
        <v xml:space="preserve">SUR 25 L-69 FRACC."B" Y "C" M-7                                                 </v>
      </c>
      <c r="F2544" s="26" t="str">
        <f>"PURISIMA                                                                                                                                    "</f>
        <v xml:space="preserve">PURISIMA                                                                                                                                    </v>
      </c>
      <c r="G2544" s="26" t="str">
        <f>"IZTAPALAPA                                                                      "</f>
        <v xml:space="preserve">IZTAPALAPA                                                                      </v>
      </c>
      <c r="H2544" s="26" t="str">
        <f>"000"</f>
        <v>000</v>
      </c>
      <c r="I2544" s="26" t="str">
        <f t="shared" si="423"/>
        <v>00</v>
      </c>
      <c r="J2544" s="26" t="str">
        <f>"62 "</f>
        <v xml:space="preserve">62 </v>
      </c>
      <c r="K2544" s="26" t="str">
        <f>"IZ"</f>
        <v>IZ</v>
      </c>
      <c r="L2544" s="26" t="str">
        <f>"DGSEI"</f>
        <v>DGSEI</v>
      </c>
      <c r="M2544" s="26" t="str">
        <f t="shared" si="426"/>
        <v>PARTICULAR</v>
      </c>
      <c r="N2544" s="26">
        <v>103</v>
      </c>
      <c r="O2544" s="26">
        <v>51</v>
      </c>
      <c r="P2544" s="26">
        <v>52</v>
      </c>
      <c r="Q2544" s="26">
        <v>6</v>
      </c>
      <c r="R2544" s="26">
        <v>1</v>
      </c>
      <c r="S2544" s="26">
        <v>6</v>
      </c>
      <c r="T2544" s="26">
        <v>6</v>
      </c>
      <c r="U2544" s="26">
        <v>13</v>
      </c>
      <c r="V2544" s="26">
        <v>1</v>
      </c>
      <c r="W2544" s="26"/>
    </row>
    <row r="2545" spans="1:23" x14ac:dyDescent="0.25">
      <c r="A2545" s="26" t="str">
        <f t="shared" si="422"/>
        <v>PRIMARIA</v>
      </c>
      <c r="B2545" s="26" t="str">
        <f>"09PPR0920Y"</f>
        <v>09PPR0920Y</v>
      </c>
      <c r="C2545" s="26" t="str">
        <f>"COLEGIO SIGLO XXI                                                                                   "</f>
        <v xml:space="preserve">COLEGIO SIGLO XXI                                                                                   </v>
      </c>
      <c r="D2545" s="26" t="str">
        <f t="shared" si="427"/>
        <v>MATUTINO</v>
      </c>
      <c r="E2545" s="26" t="str">
        <f>"MANZANILLO NO. 82                                                               "</f>
        <v xml:space="preserve">MANZANILLO NO. 82                                                               </v>
      </c>
      <c r="F2545" s="26" t="str">
        <f>"ROMA SUR                                                                                                                                    "</f>
        <v xml:space="preserve">ROMA SUR                                                                                                                                    </v>
      </c>
      <c r="G2545" s="26" t="str">
        <f>"CUAUHTEMOC                                                                      "</f>
        <v xml:space="preserve">CUAUHTEMOC                                                                      </v>
      </c>
      <c r="H2545" s="26" t="str">
        <f>"221"</f>
        <v>221</v>
      </c>
      <c r="I2545" s="26" t="str">
        <f t="shared" si="423"/>
        <v>00</v>
      </c>
      <c r="J2545" s="26" t="str">
        <f>"42 "</f>
        <v xml:space="preserve">42 </v>
      </c>
      <c r="K2545" s="26" t="str">
        <f t="shared" ref="K2545:K2552" si="430">"PR"</f>
        <v>PR</v>
      </c>
      <c r="L2545" s="26" t="str">
        <f t="shared" ref="L2545:L2552" si="431">"DGOSE"</f>
        <v>DGOSE</v>
      </c>
      <c r="M2545" s="26" t="str">
        <f t="shared" si="426"/>
        <v>PARTICULAR</v>
      </c>
      <c r="N2545" s="26">
        <v>57</v>
      </c>
      <c r="O2545" s="26">
        <v>34</v>
      </c>
      <c r="P2545" s="26">
        <v>23</v>
      </c>
      <c r="Q2545" s="26">
        <v>6</v>
      </c>
      <c r="R2545" s="26">
        <v>1</v>
      </c>
      <c r="S2545" s="26">
        <v>2</v>
      </c>
      <c r="T2545" s="26">
        <v>7</v>
      </c>
      <c r="U2545" s="26">
        <v>10</v>
      </c>
      <c r="V2545" s="26">
        <v>1</v>
      </c>
      <c r="W2545" s="26"/>
    </row>
    <row r="2546" spans="1:23" x14ac:dyDescent="0.25">
      <c r="A2546" s="26" t="str">
        <f t="shared" si="422"/>
        <v>PRIMARIA</v>
      </c>
      <c r="B2546" s="26" t="str">
        <f>"09PPR0923V"</f>
        <v>09PPR0923V</v>
      </c>
      <c r="C2546" s="26" t="str">
        <f>"COLEGIO BILINGÜE DEL DANTE                                                                          "</f>
        <v xml:space="preserve">COLEGIO BILINGÜE DEL DANTE                                                                          </v>
      </c>
      <c r="D2546" s="26" t="str">
        <f t="shared" si="427"/>
        <v>MATUTINO</v>
      </c>
      <c r="E2546" s="26" t="str">
        <f>"GIOTTO NO 218                                                                   "</f>
        <v xml:space="preserve">GIOTTO NO 218                                                                   </v>
      </c>
      <c r="F2546" s="26" t="str">
        <f>"ALFONSO XIII                                                                                                                                "</f>
        <v xml:space="preserve">ALFONSO XIII                                                                                                                                </v>
      </c>
      <c r="G2546" s="26" t="str">
        <f>"ALVARO OBREGON                                                                  "</f>
        <v xml:space="preserve">ALVARO OBREGON                                                                  </v>
      </c>
      <c r="H2546" s="26" t="str">
        <f>"313"</f>
        <v>313</v>
      </c>
      <c r="I2546" s="26" t="str">
        <f t="shared" si="423"/>
        <v>00</v>
      </c>
      <c r="J2546" s="26" t="str">
        <f>"43 "</f>
        <v xml:space="preserve">43 </v>
      </c>
      <c r="K2546" s="26" t="str">
        <f t="shared" si="430"/>
        <v>PR</v>
      </c>
      <c r="L2546" s="26" t="str">
        <f t="shared" si="431"/>
        <v>DGOSE</v>
      </c>
      <c r="M2546" s="26" t="str">
        <f t="shared" si="426"/>
        <v>PARTICULAR</v>
      </c>
      <c r="N2546" s="26">
        <v>77</v>
      </c>
      <c r="O2546" s="26">
        <v>31</v>
      </c>
      <c r="P2546" s="26">
        <v>46</v>
      </c>
      <c r="Q2546" s="26">
        <v>6</v>
      </c>
      <c r="R2546" s="26">
        <v>1</v>
      </c>
      <c r="S2546" s="26">
        <v>3</v>
      </c>
      <c r="T2546" s="26">
        <v>7</v>
      </c>
      <c r="U2546" s="26">
        <v>11</v>
      </c>
      <c r="V2546" s="26">
        <v>1</v>
      </c>
      <c r="W2546" s="26"/>
    </row>
    <row r="2547" spans="1:23" x14ac:dyDescent="0.25">
      <c r="A2547" s="26" t="str">
        <f t="shared" si="422"/>
        <v>PRIMARIA</v>
      </c>
      <c r="B2547" s="26" t="str">
        <f>"09PPR0924U"</f>
        <v>09PPR0924U</v>
      </c>
      <c r="C2547" s="26" t="str">
        <f>"INSTITUTO INESIANO                                                                                  "</f>
        <v xml:space="preserve">INSTITUTO INESIANO                                                                                  </v>
      </c>
      <c r="D2547" s="26" t="str">
        <f t="shared" si="427"/>
        <v>MATUTINO</v>
      </c>
      <c r="E2547" s="26" t="str">
        <f>"AMORES NUM 923                                                                  "</f>
        <v xml:space="preserve">AMORES NUM 923                                                                  </v>
      </c>
      <c r="F2547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2547" s="26" t="str">
        <f>"BENITO JUAREZ                                                                   "</f>
        <v xml:space="preserve">BENITO JUAREZ                                                                   </v>
      </c>
      <c r="H2547" s="26" t="str">
        <f>"000"</f>
        <v>000</v>
      </c>
      <c r="I2547" s="26" t="str">
        <f t="shared" si="423"/>
        <v>00</v>
      </c>
      <c r="J2547" s="26" t="str">
        <f>"43 "</f>
        <v xml:space="preserve">43 </v>
      </c>
      <c r="K2547" s="26" t="str">
        <f t="shared" si="430"/>
        <v>PR</v>
      </c>
      <c r="L2547" s="26" t="str">
        <f t="shared" si="431"/>
        <v>DGOSE</v>
      </c>
      <c r="M2547" s="26" t="str">
        <f t="shared" si="426"/>
        <v>PARTICULAR</v>
      </c>
      <c r="N2547" s="26">
        <v>63</v>
      </c>
      <c r="O2547" s="26">
        <v>31</v>
      </c>
      <c r="P2547" s="26">
        <v>32</v>
      </c>
      <c r="Q2547" s="26">
        <v>6</v>
      </c>
      <c r="R2547" s="26">
        <v>1</v>
      </c>
      <c r="S2547" s="26">
        <v>3</v>
      </c>
      <c r="T2547" s="26">
        <v>8</v>
      </c>
      <c r="U2547" s="26">
        <v>12</v>
      </c>
      <c r="V2547" s="26">
        <v>1</v>
      </c>
      <c r="W2547" s="26"/>
    </row>
    <row r="2548" spans="1:23" x14ac:dyDescent="0.25">
      <c r="A2548" s="26" t="str">
        <f t="shared" si="422"/>
        <v>PRIMARIA</v>
      </c>
      <c r="B2548" s="26" t="str">
        <f>"09PPR0925T"</f>
        <v>09PPR0925T</v>
      </c>
      <c r="C2548" s="26" t="str">
        <f>"LAS CARABELAS DE COLON                                                                              "</f>
        <v xml:space="preserve">LAS CARABELAS DE COLON                                                                              </v>
      </c>
      <c r="D2548" s="26" t="str">
        <f t="shared" si="427"/>
        <v>MATUTINO</v>
      </c>
      <c r="E2548" s="26" t="str">
        <f>"CIENFUEGOS # 764                                                                "</f>
        <v xml:space="preserve">CIENFUEGOS # 764                                                                </v>
      </c>
      <c r="F2548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2548" s="26" t="str">
        <f>"GUSTAVO A. MADERO                                                               "</f>
        <v xml:space="preserve">GUSTAVO A. MADERO                                                               </v>
      </c>
      <c r="H2548" s="26" t="str">
        <f>"240"</f>
        <v>240</v>
      </c>
      <c r="I2548" s="26" t="str">
        <f t="shared" si="423"/>
        <v>00</v>
      </c>
      <c r="J2548" s="26" t="str">
        <f>"42 "</f>
        <v xml:space="preserve">42 </v>
      </c>
      <c r="K2548" s="26" t="str">
        <f t="shared" si="430"/>
        <v>PR</v>
      </c>
      <c r="L2548" s="26" t="str">
        <f t="shared" si="431"/>
        <v>DGOSE</v>
      </c>
      <c r="M2548" s="26" t="str">
        <f t="shared" si="426"/>
        <v>PARTICULAR</v>
      </c>
      <c r="N2548" s="26">
        <v>106</v>
      </c>
      <c r="O2548" s="26">
        <v>45</v>
      </c>
      <c r="P2548" s="26">
        <v>61</v>
      </c>
      <c r="Q2548" s="26">
        <v>6</v>
      </c>
      <c r="R2548" s="26">
        <v>1</v>
      </c>
      <c r="S2548" s="26">
        <v>6</v>
      </c>
      <c r="T2548" s="26">
        <v>5</v>
      </c>
      <c r="U2548" s="26">
        <v>12</v>
      </c>
      <c r="V2548" s="26">
        <v>1</v>
      </c>
      <c r="W2548" s="26"/>
    </row>
    <row r="2549" spans="1:23" x14ac:dyDescent="0.25">
      <c r="A2549" s="26" t="str">
        <f t="shared" si="422"/>
        <v>PRIMARIA</v>
      </c>
      <c r="B2549" s="26" t="str">
        <f>"09PPR0926S"</f>
        <v>09PPR0926S</v>
      </c>
      <c r="C2549" s="26" t="str">
        <f>"COLEGIO UNIVERSO                                                                                    "</f>
        <v xml:space="preserve">COLEGIO UNIVERSO                                                                                    </v>
      </c>
      <c r="D2549" s="26" t="str">
        <f t="shared" si="427"/>
        <v>MATUTINO</v>
      </c>
      <c r="E2549" s="26" t="str">
        <f>"FUNDIDORES 131                                                                  "</f>
        <v xml:space="preserve">FUNDIDORES 131                                                                  </v>
      </c>
      <c r="F2549" s="26" t="str">
        <f>"TRABAJADORES DEL HIERRO                                                                                                                     "</f>
        <v xml:space="preserve">TRABAJADORES DEL HIERRO                                                                                                                     </v>
      </c>
      <c r="G2549" s="26" t="str">
        <f>"AZCAPOTZALCO                                                                    "</f>
        <v xml:space="preserve">AZCAPOTZALCO                                                                    </v>
      </c>
      <c r="H2549" s="26" t="str">
        <f>"000"</f>
        <v>000</v>
      </c>
      <c r="I2549" s="26" t="str">
        <f t="shared" si="423"/>
        <v>00</v>
      </c>
      <c r="J2549" s="26" t="str">
        <f>"42 "</f>
        <v xml:space="preserve">42 </v>
      </c>
      <c r="K2549" s="26" t="str">
        <f t="shared" si="430"/>
        <v>PR</v>
      </c>
      <c r="L2549" s="26" t="str">
        <f t="shared" si="431"/>
        <v>DGOSE</v>
      </c>
      <c r="M2549" s="26" t="str">
        <f t="shared" si="426"/>
        <v>PARTICULAR</v>
      </c>
      <c r="N2549" s="26">
        <v>115</v>
      </c>
      <c r="O2549" s="26">
        <v>56</v>
      </c>
      <c r="P2549" s="26">
        <v>59</v>
      </c>
      <c r="Q2549" s="26">
        <v>6</v>
      </c>
      <c r="R2549" s="26">
        <v>1</v>
      </c>
      <c r="S2549" s="26">
        <v>6</v>
      </c>
      <c r="T2549" s="26">
        <v>10</v>
      </c>
      <c r="U2549" s="26">
        <v>17</v>
      </c>
      <c r="V2549" s="26">
        <v>1</v>
      </c>
      <c r="W2549" s="26"/>
    </row>
    <row r="2550" spans="1:23" x14ac:dyDescent="0.25">
      <c r="A2550" s="26" t="str">
        <f t="shared" si="422"/>
        <v>PRIMARIA</v>
      </c>
      <c r="B2550" s="26" t="str">
        <f>"09PPR0927R"</f>
        <v>09PPR0927R</v>
      </c>
      <c r="C2550" s="26" t="str">
        <f>"INSTITUTO MARIA CANALES                                                                             "</f>
        <v xml:space="preserve">INSTITUTO MARIA CANALES                                                                             </v>
      </c>
      <c r="D2550" s="26" t="str">
        <f t="shared" si="427"/>
        <v>MATUTINO</v>
      </c>
      <c r="E2550" s="26" t="str">
        <f>"SABINO 110                                                                      "</f>
        <v xml:space="preserve">SABINO 110                                                                      </v>
      </c>
      <c r="F2550" s="26" t="str">
        <f>"SANTA MARIA LA RIBERA                                                                                                                       "</f>
        <v xml:space="preserve">SANTA MARIA LA RIBERA                                                                                                                       </v>
      </c>
      <c r="G2550" s="26" t="str">
        <f>"CUAUHTEMOC                                                                      "</f>
        <v xml:space="preserve">CUAUHTEMOC                                                                      </v>
      </c>
      <c r="H2550" s="26" t="str">
        <f>"219"</f>
        <v>219</v>
      </c>
      <c r="I2550" s="26" t="str">
        <f t="shared" si="423"/>
        <v>00</v>
      </c>
      <c r="J2550" s="26" t="str">
        <f>"42 "</f>
        <v xml:space="preserve">42 </v>
      </c>
      <c r="K2550" s="26" t="str">
        <f t="shared" si="430"/>
        <v>PR</v>
      </c>
      <c r="L2550" s="26" t="str">
        <f t="shared" si="431"/>
        <v>DGOSE</v>
      </c>
      <c r="M2550" s="26" t="str">
        <f t="shared" si="426"/>
        <v>PARTICULAR</v>
      </c>
      <c r="N2550" s="26">
        <v>364</v>
      </c>
      <c r="O2550" s="26">
        <v>181</v>
      </c>
      <c r="P2550" s="26">
        <v>183</v>
      </c>
      <c r="Q2550" s="26">
        <v>14</v>
      </c>
      <c r="R2550" s="26">
        <v>1</v>
      </c>
      <c r="S2550" s="26">
        <v>7</v>
      </c>
      <c r="T2550" s="26">
        <v>14</v>
      </c>
      <c r="U2550" s="26">
        <v>22</v>
      </c>
      <c r="V2550" s="26">
        <v>1</v>
      </c>
      <c r="W2550" s="26"/>
    </row>
    <row r="2551" spans="1:23" x14ac:dyDescent="0.25">
      <c r="A2551" s="26" t="str">
        <f t="shared" si="422"/>
        <v>PRIMARIA</v>
      </c>
      <c r="B2551" s="26" t="str">
        <f>"09PPR0928Q"</f>
        <v>09PPR0928Q</v>
      </c>
      <c r="C2551" s="26" t="str">
        <f>"CUICATL                                                                                             "</f>
        <v xml:space="preserve">CUICATL                                                                                             </v>
      </c>
      <c r="D2551" s="26" t="str">
        <f t="shared" si="427"/>
        <v>MATUTINO</v>
      </c>
      <c r="E2551" s="26" t="str">
        <f>"AV CENTENARIO NUM 2057                                                          "</f>
        <v xml:space="preserve">AV CENTENARIO NUM 2057                                                          </v>
      </c>
      <c r="F2551" s="26" t="str">
        <f>"VILLA OBREGON                                                                                                                               "</f>
        <v xml:space="preserve">VILLA OBREGON                                                                                                                               </v>
      </c>
      <c r="G2551" s="26" t="str">
        <f>"ALVARO OBREGON                                                                  "</f>
        <v xml:space="preserve">ALVARO OBREGON                                                                  </v>
      </c>
      <c r="H2551" s="26" t="str">
        <f>"324"</f>
        <v>324</v>
      </c>
      <c r="I2551" s="26" t="str">
        <f t="shared" si="423"/>
        <v>00</v>
      </c>
      <c r="J2551" s="26" t="str">
        <f>"43 "</f>
        <v xml:space="preserve">43 </v>
      </c>
      <c r="K2551" s="26" t="str">
        <f t="shared" si="430"/>
        <v>PR</v>
      </c>
      <c r="L2551" s="26" t="str">
        <f t="shared" si="431"/>
        <v>DGOSE</v>
      </c>
      <c r="M2551" s="26" t="str">
        <f t="shared" si="426"/>
        <v>PARTICULAR</v>
      </c>
      <c r="N2551" s="26">
        <v>89</v>
      </c>
      <c r="O2551" s="26">
        <v>44</v>
      </c>
      <c r="P2551" s="26">
        <v>45</v>
      </c>
      <c r="Q2551" s="26">
        <v>6</v>
      </c>
      <c r="R2551" s="26">
        <v>1</v>
      </c>
      <c r="S2551" s="26">
        <v>6</v>
      </c>
      <c r="T2551" s="26">
        <v>8</v>
      </c>
      <c r="U2551" s="26">
        <v>15</v>
      </c>
      <c r="V2551" s="26">
        <v>1</v>
      </c>
      <c r="W2551" s="26"/>
    </row>
    <row r="2552" spans="1:23" x14ac:dyDescent="0.25">
      <c r="A2552" s="26" t="str">
        <f t="shared" si="422"/>
        <v>PRIMARIA</v>
      </c>
      <c r="B2552" s="26" t="str">
        <f>"09PPR0932C"</f>
        <v>09PPR0932C</v>
      </c>
      <c r="C2552" s="26" t="str">
        <f>"COLEGIO LATINOAMERICA                                                                               "</f>
        <v xml:space="preserve">COLEGIO LATINOAMERICA                                                                               </v>
      </c>
      <c r="D2552" s="26" t="str">
        <f t="shared" si="427"/>
        <v>MATUTINO</v>
      </c>
      <c r="E2552" s="26" t="str">
        <f>"FIDELIO NO 83                                                                   "</f>
        <v xml:space="preserve">FIDELIO NO 83                                                                   </v>
      </c>
      <c r="F2552" s="26" t="str">
        <f>"MIGUEL HIDALGO                                                                                                                              "</f>
        <v xml:space="preserve">MIGUEL HIDALGO                                                                                                                              </v>
      </c>
      <c r="G2552" s="26" t="str">
        <f>"TLAHUAC                                                                         "</f>
        <v xml:space="preserve">TLAHUAC                                                                         </v>
      </c>
      <c r="H2552" s="26" t="str">
        <f>"551"</f>
        <v>551</v>
      </c>
      <c r="I2552" s="26" t="str">
        <f t="shared" si="423"/>
        <v>00</v>
      </c>
      <c r="J2552" s="26" t="str">
        <f>"45 "</f>
        <v xml:space="preserve">45 </v>
      </c>
      <c r="K2552" s="26" t="str">
        <f t="shared" si="430"/>
        <v>PR</v>
      </c>
      <c r="L2552" s="26" t="str">
        <f t="shared" si="431"/>
        <v>DGOSE</v>
      </c>
      <c r="M2552" s="26" t="str">
        <f t="shared" si="426"/>
        <v>PARTICULAR</v>
      </c>
      <c r="N2552" s="26">
        <v>72</v>
      </c>
      <c r="O2552" s="26">
        <v>33</v>
      </c>
      <c r="P2552" s="26">
        <v>39</v>
      </c>
      <c r="Q2552" s="26">
        <v>6</v>
      </c>
      <c r="R2552" s="26">
        <v>1</v>
      </c>
      <c r="S2552" s="26">
        <v>6</v>
      </c>
      <c r="T2552" s="26">
        <v>6</v>
      </c>
      <c r="U2552" s="26">
        <v>13</v>
      </c>
      <c r="V2552" s="26">
        <v>1</v>
      </c>
      <c r="W2552" s="26"/>
    </row>
    <row r="2553" spans="1:23" x14ac:dyDescent="0.25">
      <c r="A2553" s="26" t="str">
        <f t="shared" si="422"/>
        <v>PRIMARIA</v>
      </c>
      <c r="B2553" s="26" t="str">
        <f>"09PPR0934A"</f>
        <v>09PPR0934A</v>
      </c>
      <c r="C2553" s="26" t="str">
        <f>"AGUSTIN ANFOSSI                                                                                     "</f>
        <v xml:space="preserve">AGUSTIN ANFOSSI                                                                                     </v>
      </c>
      <c r="D2553" s="26" t="str">
        <f t="shared" si="427"/>
        <v>MATUTINO</v>
      </c>
      <c r="E2553" s="26" t="str">
        <f>"CALLE NO. 8 S/N                                                                 "</f>
        <v xml:space="preserve">CALLE NO. 8 S/N                                                                 </v>
      </c>
      <c r="F2553" s="26" t="str">
        <f>"SANTIAGO ACAHUALTEPEC AMPLIACION                                                                                                            "</f>
        <v xml:space="preserve">SANTIAGO ACAHUALTEPEC AMPLIACION                                                                                                            </v>
      </c>
      <c r="G2553" s="26" t="str">
        <f>"IZTAPALAPA                                                                      "</f>
        <v xml:space="preserve">IZTAPALAPA                                                                      </v>
      </c>
      <c r="H2553" s="26" t="str">
        <f>"000"</f>
        <v>000</v>
      </c>
      <c r="I2553" s="26" t="str">
        <f t="shared" si="423"/>
        <v>00</v>
      </c>
      <c r="J2553" s="26" t="str">
        <f>"64 "</f>
        <v xml:space="preserve">64 </v>
      </c>
      <c r="K2553" s="26" t="str">
        <f>"IZ"</f>
        <v>IZ</v>
      </c>
      <c r="L2553" s="26" t="str">
        <f>"DGSEI"</f>
        <v>DGSEI</v>
      </c>
      <c r="M2553" s="26" t="str">
        <f t="shared" si="426"/>
        <v>PARTICULAR</v>
      </c>
      <c r="N2553" s="26">
        <v>129</v>
      </c>
      <c r="O2553" s="26">
        <v>77</v>
      </c>
      <c r="P2553" s="26">
        <v>52</v>
      </c>
      <c r="Q2553" s="26">
        <v>6</v>
      </c>
      <c r="R2553" s="26">
        <v>1</v>
      </c>
      <c r="S2553" s="26">
        <v>6</v>
      </c>
      <c r="T2553" s="26">
        <v>11</v>
      </c>
      <c r="U2553" s="26">
        <v>18</v>
      </c>
      <c r="V2553" s="26">
        <v>1</v>
      </c>
      <c r="W2553" s="26"/>
    </row>
    <row r="2554" spans="1:23" x14ac:dyDescent="0.25">
      <c r="A2554" s="26" t="str">
        <f t="shared" si="422"/>
        <v>PRIMARIA</v>
      </c>
      <c r="B2554" s="26" t="str">
        <f>"09PPR0935Z"</f>
        <v>09PPR0935Z</v>
      </c>
      <c r="C2554" s="26" t="str">
        <f>"COLEGIO INLAKESH                                                                                    "</f>
        <v xml:space="preserve">COLEGIO INLAKESH                                                                                    </v>
      </c>
      <c r="D2554" s="26" t="str">
        <f t="shared" si="427"/>
        <v>MATUTINO</v>
      </c>
      <c r="E2554" s="26" t="str">
        <f>"PUEBLA NO.84                                                                    "</f>
        <v xml:space="preserve">PUEBLA NO.84                                                                    </v>
      </c>
      <c r="F2554" s="26" t="str">
        <f>"CUAJIMALPA                                                                                                                                  "</f>
        <v xml:space="preserve">CUAJIMALPA                                                                                                                                  </v>
      </c>
      <c r="G2554" s="26" t="str">
        <f>"CUAJIMALPA DE MORELOS                                                           "</f>
        <v xml:space="preserve">CUAJIMALPA DE MORELOS                                                           </v>
      </c>
      <c r="H2554" s="26" t="str">
        <f>"304"</f>
        <v>304</v>
      </c>
      <c r="I2554" s="26" t="str">
        <f t="shared" si="423"/>
        <v>00</v>
      </c>
      <c r="J2554" s="26" t="str">
        <f>"43 "</f>
        <v xml:space="preserve">43 </v>
      </c>
      <c r="K2554" s="26" t="str">
        <f>"PR"</f>
        <v>PR</v>
      </c>
      <c r="L2554" s="26" t="str">
        <f>"DGOSE"</f>
        <v>DGOSE</v>
      </c>
      <c r="M2554" s="26" t="str">
        <f t="shared" si="426"/>
        <v>PARTICULAR</v>
      </c>
      <c r="N2554" s="26">
        <v>33</v>
      </c>
      <c r="O2554" s="26">
        <v>15</v>
      </c>
      <c r="P2554" s="26">
        <v>18</v>
      </c>
      <c r="Q2554" s="26">
        <v>4</v>
      </c>
      <c r="R2554" s="26">
        <v>1</v>
      </c>
      <c r="S2554" s="26">
        <v>4</v>
      </c>
      <c r="T2554" s="26">
        <v>1</v>
      </c>
      <c r="U2554" s="26">
        <v>6</v>
      </c>
      <c r="V2554" s="26">
        <v>1</v>
      </c>
      <c r="W2554" s="26"/>
    </row>
    <row r="2555" spans="1:23" x14ac:dyDescent="0.25">
      <c r="A2555" s="26" t="str">
        <f t="shared" si="422"/>
        <v>PRIMARIA</v>
      </c>
      <c r="B2555" s="26" t="str">
        <f>"09PPR0936Z"</f>
        <v>09PPR0936Z</v>
      </c>
      <c r="C2555" s="26" t="str">
        <f>"ANTOINE DE SAINT EXUPERY                                                                            "</f>
        <v xml:space="preserve">ANTOINE DE SAINT EXUPERY                                                                            </v>
      </c>
      <c r="D2555" s="26" t="str">
        <f t="shared" si="427"/>
        <v>MATUTINO</v>
      </c>
      <c r="E2555" s="26" t="str">
        <f>"BALBANERA NO. 29                                                                "</f>
        <v xml:space="preserve">BALBANERA NO. 29                                                                </v>
      </c>
      <c r="F2555" s="26" t="str">
        <f>"SAN LORENZO XICOTENCATL                                                                                                                     "</f>
        <v xml:space="preserve">SAN LORENZO XICOTENCATL                                                                                                                     </v>
      </c>
      <c r="G2555" s="26" t="str">
        <f>"IZTAPALAPA                                                                      "</f>
        <v xml:space="preserve">IZTAPALAPA                                                                      </v>
      </c>
      <c r="H2555" s="26" t="str">
        <f>"000"</f>
        <v>000</v>
      </c>
      <c r="I2555" s="26" t="str">
        <f t="shared" si="423"/>
        <v>00</v>
      </c>
      <c r="J2555" s="26" t="str">
        <f>"62 "</f>
        <v xml:space="preserve">62 </v>
      </c>
      <c r="K2555" s="26" t="str">
        <f>"IZ"</f>
        <v>IZ</v>
      </c>
      <c r="L2555" s="26" t="str">
        <f>"DGSEI"</f>
        <v>DGSEI</v>
      </c>
      <c r="M2555" s="26" t="str">
        <f t="shared" si="426"/>
        <v>PARTICULAR</v>
      </c>
      <c r="N2555" s="26">
        <v>35</v>
      </c>
      <c r="O2555" s="26">
        <v>14</v>
      </c>
      <c r="P2555" s="26">
        <v>21</v>
      </c>
      <c r="Q2555" s="26">
        <v>6</v>
      </c>
      <c r="R2555" s="26">
        <v>1</v>
      </c>
      <c r="S2555" s="26">
        <v>3</v>
      </c>
      <c r="T2555" s="26">
        <v>6</v>
      </c>
      <c r="U2555" s="26">
        <v>10</v>
      </c>
      <c r="V2555" s="26">
        <v>1</v>
      </c>
      <c r="W2555" s="26"/>
    </row>
    <row r="2556" spans="1:23" x14ac:dyDescent="0.25">
      <c r="A2556" s="26" t="str">
        <f t="shared" si="422"/>
        <v>PRIMARIA</v>
      </c>
      <c r="B2556" s="26" t="str">
        <f>"09PPR0937Y"</f>
        <v>09PPR0937Y</v>
      </c>
      <c r="C2556" s="26" t="str">
        <f>"V CENTENARIO DE AMERICA                                                                             "</f>
        <v xml:space="preserve">V CENTENARIO DE AMERICA                                                                             </v>
      </c>
      <c r="D2556" s="26" t="str">
        <f t="shared" si="427"/>
        <v>MATUTINO</v>
      </c>
      <c r="E2556" s="26" t="str">
        <f>"CALLE 653 S/N Y AV 606                                                          "</f>
        <v xml:space="preserve">CALLE 653 S/N Y AV 606                                                          </v>
      </c>
      <c r="F2556" s="26" t="str">
        <f>"SAN JUAN DE ARAGON                                                                                                                          "</f>
        <v xml:space="preserve">SAN JUAN DE ARAGON                                                                                                                          </v>
      </c>
      <c r="G2556" s="26" t="str">
        <f>"GUSTAVO A. MADERO                                                               "</f>
        <v xml:space="preserve">GUSTAVO A. MADERO                                                               </v>
      </c>
      <c r="H2556" s="26" t="str">
        <f>"271"</f>
        <v>271</v>
      </c>
      <c r="I2556" s="26" t="str">
        <f t="shared" si="423"/>
        <v>00</v>
      </c>
      <c r="J2556" s="26" t="str">
        <f>"42 "</f>
        <v xml:space="preserve">42 </v>
      </c>
      <c r="K2556" s="26" t="str">
        <f t="shared" ref="K2556:K2562" si="432">"PR"</f>
        <v>PR</v>
      </c>
      <c r="L2556" s="26" t="str">
        <f t="shared" ref="L2556:L2562" si="433">"DGOSE"</f>
        <v>DGOSE</v>
      </c>
      <c r="M2556" s="26" t="str">
        <f t="shared" si="426"/>
        <v>PARTICULAR</v>
      </c>
      <c r="N2556" s="26">
        <v>140</v>
      </c>
      <c r="O2556" s="26">
        <v>71</v>
      </c>
      <c r="P2556" s="26">
        <v>69</v>
      </c>
      <c r="Q2556" s="26">
        <v>6</v>
      </c>
      <c r="R2556" s="26">
        <v>1</v>
      </c>
      <c r="S2556" s="26">
        <v>6</v>
      </c>
      <c r="T2556" s="26">
        <v>6</v>
      </c>
      <c r="U2556" s="26">
        <v>13</v>
      </c>
      <c r="V2556" s="26">
        <v>1</v>
      </c>
      <c r="W2556" s="26"/>
    </row>
    <row r="2557" spans="1:23" x14ac:dyDescent="0.25">
      <c r="A2557" s="26" t="str">
        <f t="shared" si="422"/>
        <v>PRIMARIA</v>
      </c>
      <c r="B2557" s="26" t="str">
        <f>"09PPR0938X"</f>
        <v>09PPR0938X</v>
      </c>
      <c r="C2557" s="26" t="str">
        <f>"COLEGIO MARIANO ESCOBEDO                                                                            "</f>
        <v xml:space="preserve">COLEGIO MARIANO ESCOBEDO                                                                            </v>
      </c>
      <c r="D2557" s="26" t="str">
        <f t="shared" si="427"/>
        <v>MATUTINO</v>
      </c>
      <c r="E2557" s="26" t="str">
        <f>"CHIMALPOPOCA NO 3                                                               "</f>
        <v xml:space="preserve">CHIMALPOPOCA NO 3                                                               </v>
      </c>
      <c r="F2557" s="26" t="str">
        <f>"SANTA ISABEL TOLA                                                                                                                           "</f>
        <v xml:space="preserve">SANTA ISABEL TOLA                                                                                                                           </v>
      </c>
      <c r="G2557" s="26" t="str">
        <f>"GUSTAVO A. MADERO                                                               "</f>
        <v xml:space="preserve">GUSTAVO A. MADERO                                                               </v>
      </c>
      <c r="H2557" s="26" t="str">
        <f>"244"</f>
        <v>244</v>
      </c>
      <c r="I2557" s="26" t="str">
        <f t="shared" si="423"/>
        <v>00</v>
      </c>
      <c r="J2557" s="26" t="str">
        <f>"42 "</f>
        <v xml:space="preserve">42 </v>
      </c>
      <c r="K2557" s="26" t="str">
        <f t="shared" si="432"/>
        <v>PR</v>
      </c>
      <c r="L2557" s="26" t="str">
        <f t="shared" si="433"/>
        <v>DGOSE</v>
      </c>
      <c r="M2557" s="26" t="str">
        <f t="shared" si="426"/>
        <v>PARTICULAR</v>
      </c>
      <c r="N2557" s="26">
        <v>21</v>
      </c>
      <c r="O2557" s="26">
        <v>12</v>
      </c>
      <c r="P2557" s="26">
        <v>9</v>
      </c>
      <c r="Q2557" s="26">
        <v>6</v>
      </c>
      <c r="R2557" s="26">
        <v>1</v>
      </c>
      <c r="S2557" s="26">
        <v>3</v>
      </c>
      <c r="T2557" s="26">
        <v>4</v>
      </c>
      <c r="U2557" s="26">
        <v>8</v>
      </c>
      <c r="V2557" s="26">
        <v>1</v>
      </c>
      <c r="W2557" s="26"/>
    </row>
    <row r="2558" spans="1:23" x14ac:dyDescent="0.25">
      <c r="A2558" s="26" t="str">
        <f t="shared" si="422"/>
        <v>PRIMARIA</v>
      </c>
      <c r="B2558" s="26" t="str">
        <f>"09PPR0939W"</f>
        <v>09PPR0939W</v>
      </c>
      <c r="C2558" s="26" t="str">
        <f>"COLEGIO MALINALLI                                                                                   "</f>
        <v xml:space="preserve">COLEGIO MALINALLI                                                                                   </v>
      </c>
      <c r="D2558" s="26" t="str">
        <f t="shared" si="427"/>
        <v>MATUTINO</v>
      </c>
      <c r="E2558" s="26" t="str">
        <f>"CALLE 515 NO 236                                                                "</f>
        <v xml:space="preserve">CALLE 515 NO 236                                                                </v>
      </c>
      <c r="F2558" s="26" t="str">
        <f>"SAN JUAN DE ARAGON                                                                                                                          "</f>
        <v xml:space="preserve">SAN JUAN DE ARAGON                                                                                                                          </v>
      </c>
      <c r="G2558" s="26" t="str">
        <f>"GUSTAVO A. MADERO                                                               "</f>
        <v xml:space="preserve">GUSTAVO A. MADERO                                                               </v>
      </c>
      <c r="H2558" s="26" t="str">
        <f>"270"</f>
        <v>270</v>
      </c>
      <c r="I2558" s="26" t="str">
        <f t="shared" si="423"/>
        <v>00</v>
      </c>
      <c r="J2558" s="26" t="str">
        <f>"42 "</f>
        <v xml:space="preserve">42 </v>
      </c>
      <c r="K2558" s="26" t="str">
        <f t="shared" si="432"/>
        <v>PR</v>
      </c>
      <c r="L2558" s="26" t="str">
        <f t="shared" si="433"/>
        <v>DGOSE</v>
      </c>
      <c r="M2558" s="26" t="str">
        <f t="shared" si="426"/>
        <v>PARTICULAR</v>
      </c>
      <c r="N2558" s="26">
        <v>93</v>
      </c>
      <c r="O2558" s="26">
        <v>47</v>
      </c>
      <c r="P2558" s="26">
        <v>46</v>
      </c>
      <c r="Q2558" s="26">
        <v>6</v>
      </c>
      <c r="R2558" s="26">
        <v>1</v>
      </c>
      <c r="S2558" s="26">
        <v>6</v>
      </c>
      <c r="T2558" s="26">
        <v>8</v>
      </c>
      <c r="U2558" s="26">
        <v>15</v>
      </c>
      <c r="V2558" s="26">
        <v>1</v>
      </c>
      <c r="W2558" s="26"/>
    </row>
    <row r="2559" spans="1:23" x14ac:dyDescent="0.25">
      <c r="A2559" s="26" t="str">
        <f t="shared" si="422"/>
        <v>PRIMARIA</v>
      </c>
      <c r="B2559" s="26" t="str">
        <f>"09PPR0940L"</f>
        <v>09PPR0940L</v>
      </c>
      <c r="C2559" s="26" t="str">
        <f>"COLEGIO LIBER DE MEXICO                                                                             "</f>
        <v xml:space="preserve">COLEGIO LIBER DE MEXICO                                                                             </v>
      </c>
      <c r="D2559" s="26" t="str">
        <f t="shared" si="427"/>
        <v>MATUTINO</v>
      </c>
      <c r="E2559" s="26" t="str">
        <f>"TOTONACAS NUM 218                                                               "</f>
        <v xml:space="preserve">TOTONACAS NUM 218                                                               </v>
      </c>
      <c r="F2559" s="26" t="str">
        <f>"AJUSCO                                                                                                                                      "</f>
        <v xml:space="preserve">AJUSCO                                                                                                                                      </v>
      </c>
      <c r="G2559" s="26" t="str">
        <f>"COYOACAN                                                                        "</f>
        <v xml:space="preserve">COYOACAN                                                                        </v>
      </c>
      <c r="H2559" s="26" t="str">
        <f>"504"</f>
        <v>504</v>
      </c>
      <c r="I2559" s="26" t="str">
        <f t="shared" si="423"/>
        <v>00</v>
      </c>
      <c r="J2559" s="26" t="str">
        <f>"45 "</f>
        <v xml:space="preserve">45 </v>
      </c>
      <c r="K2559" s="26" t="str">
        <f t="shared" si="432"/>
        <v>PR</v>
      </c>
      <c r="L2559" s="26" t="str">
        <f t="shared" si="433"/>
        <v>DGOSE</v>
      </c>
      <c r="M2559" s="26" t="str">
        <f t="shared" si="426"/>
        <v>PARTICULAR</v>
      </c>
      <c r="N2559" s="26">
        <v>120</v>
      </c>
      <c r="O2559" s="26">
        <v>54</v>
      </c>
      <c r="P2559" s="26">
        <v>66</v>
      </c>
      <c r="Q2559" s="26">
        <v>6</v>
      </c>
      <c r="R2559" s="26">
        <v>1</v>
      </c>
      <c r="S2559" s="26">
        <v>6</v>
      </c>
      <c r="T2559" s="26">
        <v>8</v>
      </c>
      <c r="U2559" s="26">
        <v>15</v>
      </c>
      <c r="V2559" s="26">
        <v>1</v>
      </c>
      <c r="W2559" s="26"/>
    </row>
    <row r="2560" spans="1:23" x14ac:dyDescent="0.25">
      <c r="A2560" s="26" t="str">
        <f t="shared" si="422"/>
        <v>PRIMARIA</v>
      </c>
      <c r="B2560" s="26" t="str">
        <f>"09PPR0941K"</f>
        <v>09PPR0941K</v>
      </c>
      <c r="C2560" s="26" t="str">
        <f>"COLEGIO CARROLL LEWIS                                                                               "</f>
        <v xml:space="preserve">COLEGIO CARROLL LEWIS                                                                               </v>
      </c>
      <c r="D2560" s="26" t="str">
        <f t="shared" si="427"/>
        <v>MATUTINO</v>
      </c>
      <c r="E2560" s="26" t="str">
        <f>"EMILIANO ZAPATA No 29                                                           "</f>
        <v xml:space="preserve">EMILIANO ZAPATA No 29                                                           </v>
      </c>
      <c r="F2560" s="26" t="str">
        <f>"SANTA CATARINA AMPLIACION                                                                                                                   "</f>
        <v xml:space="preserve">SANTA CATARINA AMPLIACION                                                                                                                   </v>
      </c>
      <c r="G2560" s="26" t="str">
        <f>"TLAHUAC                                                                         "</f>
        <v xml:space="preserve">TLAHUAC                                                                         </v>
      </c>
      <c r="H2560" s="26" t="str">
        <f>"556"</f>
        <v>556</v>
      </c>
      <c r="I2560" s="26" t="str">
        <f t="shared" si="423"/>
        <v>00</v>
      </c>
      <c r="J2560" s="26" t="str">
        <f>"45 "</f>
        <v xml:space="preserve">45 </v>
      </c>
      <c r="K2560" s="26" t="str">
        <f t="shared" si="432"/>
        <v>PR</v>
      </c>
      <c r="L2560" s="26" t="str">
        <f t="shared" si="433"/>
        <v>DGOSE</v>
      </c>
      <c r="M2560" s="26" t="str">
        <f t="shared" si="426"/>
        <v>PARTICULAR</v>
      </c>
      <c r="N2560" s="26">
        <v>117</v>
      </c>
      <c r="O2560" s="26">
        <v>71</v>
      </c>
      <c r="P2560" s="26">
        <v>46</v>
      </c>
      <c r="Q2560" s="26">
        <v>6</v>
      </c>
      <c r="R2560" s="26">
        <v>1</v>
      </c>
      <c r="S2560" s="26">
        <v>6</v>
      </c>
      <c r="T2560" s="26">
        <v>2</v>
      </c>
      <c r="U2560" s="26">
        <v>9</v>
      </c>
      <c r="V2560" s="26">
        <v>1</v>
      </c>
      <c r="W2560" s="26"/>
    </row>
    <row r="2561" spans="1:23" x14ac:dyDescent="0.25">
      <c r="A2561" s="26" t="str">
        <f t="shared" si="422"/>
        <v>PRIMARIA</v>
      </c>
      <c r="B2561" s="26" t="str">
        <f>"09PPR0942J"</f>
        <v>09PPR0942J</v>
      </c>
      <c r="C2561" s="26" t="str">
        <f>"ALBINO MIRELES                                                                                      "</f>
        <v xml:space="preserve">ALBINO MIRELES                                                                                      </v>
      </c>
      <c r="D2561" s="26" t="str">
        <f t="shared" si="427"/>
        <v>MATUTINO</v>
      </c>
      <c r="E2561" s="26" t="str">
        <f>"ATOTONILCO NO. 1597                                                             "</f>
        <v xml:space="preserve">ATOTONILCO NO. 1597                                                             </v>
      </c>
      <c r="F2561" s="26" t="str">
        <f>"SAN FELIPE DE JESUS                                                                                                                         "</f>
        <v xml:space="preserve">SAN FELIPE DE JESUS                                                                                                                         </v>
      </c>
      <c r="G2561" s="26" t="str">
        <f>"GUSTAVO A. MADERO                                                               "</f>
        <v xml:space="preserve">GUSTAVO A. MADERO                                                               </v>
      </c>
      <c r="H2561" s="26" t="str">
        <f>"261"</f>
        <v>261</v>
      </c>
      <c r="I2561" s="26" t="str">
        <f t="shared" si="423"/>
        <v>00</v>
      </c>
      <c r="J2561" s="26" t="str">
        <f>"42 "</f>
        <v xml:space="preserve">42 </v>
      </c>
      <c r="K2561" s="26" t="str">
        <f t="shared" si="432"/>
        <v>PR</v>
      </c>
      <c r="L2561" s="26" t="str">
        <f t="shared" si="433"/>
        <v>DGOSE</v>
      </c>
      <c r="M2561" s="26" t="str">
        <f t="shared" si="426"/>
        <v>PARTICULAR</v>
      </c>
      <c r="N2561" s="26">
        <v>96</v>
      </c>
      <c r="O2561" s="26">
        <v>43</v>
      </c>
      <c r="P2561" s="26">
        <v>53</v>
      </c>
      <c r="Q2561" s="26">
        <v>6</v>
      </c>
      <c r="R2561" s="26">
        <v>1</v>
      </c>
      <c r="S2561" s="26">
        <v>6</v>
      </c>
      <c r="T2561" s="26">
        <v>6</v>
      </c>
      <c r="U2561" s="26">
        <v>13</v>
      </c>
      <c r="V2561" s="26">
        <v>1</v>
      </c>
      <c r="W2561" s="26"/>
    </row>
    <row r="2562" spans="1:23" x14ac:dyDescent="0.25">
      <c r="A2562" s="26" t="str">
        <f t="shared" ref="A2562:A2625" si="434">"PRIMARIA"</f>
        <v>PRIMARIA</v>
      </c>
      <c r="B2562" s="26" t="str">
        <f>"09PPR0945G"</f>
        <v>09PPR0945G</v>
      </c>
      <c r="C2562" s="26" t="str">
        <f>"CARLOS PELLICER CAMARA                                                                              "</f>
        <v xml:space="preserve">CARLOS PELLICER CAMARA                                                                              </v>
      </c>
      <c r="D2562" s="26" t="str">
        <f t="shared" si="427"/>
        <v>MATUTINO</v>
      </c>
      <c r="E2562" s="26" t="str">
        <f>"EZEQUIEL MONTES 26                                                              "</f>
        <v xml:space="preserve">EZEQUIEL MONTES 26                                                              </v>
      </c>
      <c r="F2562" s="26" t="str">
        <f>"TABACALERA                                                                                                                                  "</f>
        <v xml:space="preserve">TABACALERA                                                                                                                                  </v>
      </c>
      <c r="G2562" s="26" t="str">
        <f>"CUAUHTEMOC                                                                      "</f>
        <v xml:space="preserve">CUAUHTEMOC                                                                      </v>
      </c>
      <c r="H2562" s="26" t="str">
        <f>"220"</f>
        <v>220</v>
      </c>
      <c r="I2562" s="26" t="str">
        <f t="shared" ref="I2562:I2625" si="435">"00"</f>
        <v>00</v>
      </c>
      <c r="J2562" s="26" t="str">
        <f>"42 "</f>
        <v xml:space="preserve">42 </v>
      </c>
      <c r="K2562" s="26" t="str">
        <f t="shared" si="432"/>
        <v>PR</v>
      </c>
      <c r="L2562" s="26" t="str">
        <f t="shared" si="433"/>
        <v>DGOSE</v>
      </c>
      <c r="M2562" s="26" t="str">
        <f t="shared" si="426"/>
        <v>PARTICULAR</v>
      </c>
      <c r="N2562" s="26">
        <v>38</v>
      </c>
      <c r="O2562" s="26">
        <v>23</v>
      </c>
      <c r="P2562" s="26">
        <v>15</v>
      </c>
      <c r="Q2562" s="26">
        <v>6</v>
      </c>
      <c r="R2562" s="26">
        <v>1</v>
      </c>
      <c r="S2562" s="26">
        <v>3</v>
      </c>
      <c r="T2562" s="26">
        <v>5</v>
      </c>
      <c r="U2562" s="26">
        <v>9</v>
      </c>
      <c r="V2562" s="26">
        <v>1</v>
      </c>
      <c r="W2562" s="26"/>
    </row>
    <row r="2563" spans="1:23" x14ac:dyDescent="0.25">
      <c r="A2563" s="26" t="str">
        <f t="shared" si="434"/>
        <v>PRIMARIA</v>
      </c>
      <c r="B2563" s="26" t="str">
        <f>"09PPR0946F"</f>
        <v>09PPR0946F</v>
      </c>
      <c r="C2563" s="26" t="str">
        <f>"MIRAVALLES                                                                                          "</f>
        <v xml:space="preserve">MIRAVALLES                                                                                          </v>
      </c>
      <c r="D2563" s="26" t="str">
        <f t="shared" si="427"/>
        <v>MATUTINO</v>
      </c>
      <c r="E2563" s="26" t="str">
        <f>"DURAZNO MZ. 479 LT. 13                                                          "</f>
        <v xml:space="preserve">DURAZNO MZ. 479 LT. 13                                                          </v>
      </c>
      <c r="F2563" s="26" t="str">
        <f>"MIRAVALLE                                                                                                                                   "</f>
        <v xml:space="preserve">MIRAVALLE                                                                                                                                   </v>
      </c>
      <c r="G2563" s="26" t="str">
        <f>"IZTAPALAPA                                                                      "</f>
        <v xml:space="preserve">IZTAPALAPA                                                                      </v>
      </c>
      <c r="H2563" s="26" t="str">
        <f>"000"</f>
        <v>000</v>
      </c>
      <c r="I2563" s="26" t="str">
        <f t="shared" si="435"/>
        <v>00</v>
      </c>
      <c r="J2563" s="26" t="str">
        <f>"64 "</f>
        <v xml:space="preserve">64 </v>
      </c>
      <c r="K2563" s="26" t="str">
        <f>"IZ"</f>
        <v>IZ</v>
      </c>
      <c r="L2563" s="26" t="str">
        <f>"DGSEI"</f>
        <v>DGSEI</v>
      </c>
      <c r="M2563" s="26" t="str">
        <f t="shared" si="426"/>
        <v>PARTICULAR</v>
      </c>
      <c r="N2563" s="26">
        <v>399</v>
      </c>
      <c r="O2563" s="26">
        <v>224</v>
      </c>
      <c r="P2563" s="26">
        <v>175</v>
      </c>
      <c r="Q2563" s="26">
        <v>12</v>
      </c>
      <c r="R2563" s="26">
        <v>1</v>
      </c>
      <c r="S2563" s="26">
        <v>12</v>
      </c>
      <c r="T2563" s="26">
        <v>14</v>
      </c>
      <c r="U2563" s="26">
        <v>27</v>
      </c>
      <c r="V2563" s="26">
        <v>1</v>
      </c>
      <c r="W2563" s="26"/>
    </row>
    <row r="2564" spans="1:23" x14ac:dyDescent="0.25">
      <c r="A2564" s="26" t="str">
        <f t="shared" si="434"/>
        <v>PRIMARIA</v>
      </c>
      <c r="B2564" s="26" t="str">
        <f>"09PPR0948D"</f>
        <v>09PPR0948D</v>
      </c>
      <c r="C2564" s="26" t="str">
        <f>"JUAN DE JAUREGUI                                                                                    "</f>
        <v xml:space="preserve">JUAN DE JAUREGUI                                                                                    </v>
      </c>
      <c r="D2564" s="26" t="str">
        <f t="shared" si="427"/>
        <v>MATUTINO</v>
      </c>
      <c r="E2564" s="26" t="str">
        <f>"EMILIANO ZAPATA NO 11                                                           "</f>
        <v xml:space="preserve">EMILIANO ZAPATA NO 11                                                           </v>
      </c>
      <c r="F2564" s="26" t="str">
        <f>"LOMAS QUEBRADAS                                                                                                                             "</f>
        <v xml:space="preserve">LOMAS QUEBRADAS                                                                                                                             </v>
      </c>
      <c r="G2564" s="26" t="str">
        <f>"LA MAGDALENA CONTRERAS                                                          "</f>
        <v xml:space="preserve">LA MAGDALENA CONTRERAS                                                          </v>
      </c>
      <c r="H2564" s="26" t="str">
        <f>"332"</f>
        <v>332</v>
      </c>
      <c r="I2564" s="26" t="str">
        <f t="shared" si="435"/>
        <v>00</v>
      </c>
      <c r="J2564" s="26" t="str">
        <f>"43 "</f>
        <v xml:space="preserve">43 </v>
      </c>
      <c r="K2564" s="26" t="str">
        <f>"PR"</f>
        <v>PR</v>
      </c>
      <c r="L2564" s="26" t="str">
        <f>"DGOSE"</f>
        <v>DGOSE</v>
      </c>
      <c r="M2564" s="26" t="str">
        <f t="shared" si="426"/>
        <v>PARTICULAR</v>
      </c>
      <c r="N2564" s="26">
        <v>49</v>
      </c>
      <c r="O2564" s="26">
        <v>28</v>
      </c>
      <c r="P2564" s="26">
        <v>21</v>
      </c>
      <c r="Q2564" s="26">
        <v>6</v>
      </c>
      <c r="R2564" s="26">
        <v>1</v>
      </c>
      <c r="S2564" s="26">
        <v>6</v>
      </c>
      <c r="T2564" s="26">
        <v>7</v>
      </c>
      <c r="U2564" s="26">
        <v>14</v>
      </c>
      <c r="V2564" s="26">
        <v>1</v>
      </c>
      <c r="W2564" s="26"/>
    </row>
    <row r="2565" spans="1:23" x14ac:dyDescent="0.25">
      <c r="A2565" s="26" t="str">
        <f t="shared" si="434"/>
        <v>PRIMARIA</v>
      </c>
      <c r="B2565" s="26" t="str">
        <f>"09PPR0949C"</f>
        <v>09PPR0949C</v>
      </c>
      <c r="C2565" s="26" t="str">
        <f>"MOHANDAS KARAMCHAND GANDHI                                                                          "</f>
        <v xml:space="preserve">MOHANDAS KARAMCHAND GANDHI                                                                          </v>
      </c>
      <c r="D2565" s="26" t="str">
        <f t="shared" si="427"/>
        <v>MATUTINO</v>
      </c>
      <c r="E2565" s="26" t="str">
        <f>"TUNAL MZ. 48-B LT. 4                                                            "</f>
        <v xml:space="preserve">TUNAL MZ. 48-B LT. 4                                                            </v>
      </c>
      <c r="F2565" s="26" t="str">
        <f>"BUENAVISTA                                                                                                                                  "</f>
        <v xml:space="preserve">BUENAVISTA                                                                                                                                  </v>
      </c>
      <c r="G2565" s="26" t="str">
        <f>"IZTAPALAPA                                                                      "</f>
        <v xml:space="preserve">IZTAPALAPA                                                                      </v>
      </c>
      <c r="H2565" s="26" t="str">
        <f>"000"</f>
        <v>000</v>
      </c>
      <c r="I2565" s="26" t="str">
        <f t="shared" si="435"/>
        <v>00</v>
      </c>
      <c r="J2565" s="26" t="str">
        <f>"64 "</f>
        <v xml:space="preserve">64 </v>
      </c>
      <c r="K2565" s="26" t="str">
        <f>"IZ"</f>
        <v>IZ</v>
      </c>
      <c r="L2565" s="26" t="str">
        <f>"DGSEI"</f>
        <v>DGSEI</v>
      </c>
      <c r="M2565" s="26" t="str">
        <f t="shared" si="426"/>
        <v>PARTICULAR</v>
      </c>
      <c r="N2565" s="26">
        <v>140</v>
      </c>
      <c r="O2565" s="26">
        <v>76</v>
      </c>
      <c r="P2565" s="26">
        <v>64</v>
      </c>
      <c r="Q2565" s="26">
        <v>6</v>
      </c>
      <c r="R2565" s="26">
        <v>1</v>
      </c>
      <c r="S2565" s="26">
        <v>5</v>
      </c>
      <c r="T2565" s="26">
        <v>1</v>
      </c>
      <c r="U2565" s="26">
        <v>7</v>
      </c>
      <c r="V2565" s="26">
        <v>1</v>
      </c>
      <c r="W2565" s="26"/>
    </row>
    <row r="2566" spans="1:23" x14ac:dyDescent="0.25">
      <c r="A2566" s="26" t="str">
        <f t="shared" si="434"/>
        <v>PRIMARIA</v>
      </c>
      <c r="B2566" s="26" t="str">
        <f>"09PPR0954O"</f>
        <v>09PPR0954O</v>
      </c>
      <c r="C2566" s="26" t="str">
        <f>"""INSTITUTO ANTOINE HENRI BECQUEREL""                                                                 "</f>
        <v xml:space="preserve">"INSTITUTO ANTOINE HENRI BECQUEREL"                                                                 </v>
      </c>
      <c r="D2566" s="26" t="str">
        <f t="shared" si="427"/>
        <v>MATUTINO</v>
      </c>
      <c r="E2566" s="26" t="str">
        <f>"JUAN ANDREW ALMAZAN MZ.12 LT.5                                                  "</f>
        <v xml:space="preserve">JUAN ANDREW ALMAZAN MZ.12 LT.5                                                  </v>
      </c>
      <c r="F2566" s="26" t="str">
        <f>"SAN FRANCISCO TLALTENCO                                                                                                                     "</f>
        <v xml:space="preserve">SAN FRANCISCO TLALTENCO                                                                                                                     </v>
      </c>
      <c r="G2566" s="26" t="str">
        <f>"TLAHUAC                                                                         "</f>
        <v xml:space="preserve">TLAHUAC                                                                         </v>
      </c>
      <c r="H2566" s="26" t="str">
        <f>"555"</f>
        <v>555</v>
      </c>
      <c r="I2566" s="26" t="str">
        <f t="shared" si="435"/>
        <v>00</v>
      </c>
      <c r="J2566" s="26" t="str">
        <f>"45 "</f>
        <v xml:space="preserve">45 </v>
      </c>
      <c r="K2566" s="26" t="str">
        <f t="shared" ref="K2566:K2572" si="436">"PR"</f>
        <v>PR</v>
      </c>
      <c r="L2566" s="26" t="str">
        <f t="shared" ref="L2566:L2572" si="437">"DGOSE"</f>
        <v>DGOSE</v>
      </c>
      <c r="M2566" s="26" t="str">
        <f t="shared" si="426"/>
        <v>PARTICULAR</v>
      </c>
      <c r="N2566" s="26">
        <v>142</v>
      </c>
      <c r="O2566" s="26">
        <v>71</v>
      </c>
      <c r="P2566" s="26">
        <v>71</v>
      </c>
      <c r="Q2566" s="26">
        <v>6</v>
      </c>
      <c r="R2566" s="26">
        <v>1</v>
      </c>
      <c r="S2566" s="26">
        <v>4</v>
      </c>
      <c r="T2566" s="26">
        <v>9</v>
      </c>
      <c r="U2566" s="26">
        <v>14</v>
      </c>
      <c r="V2566" s="26">
        <v>1</v>
      </c>
      <c r="W2566" s="26"/>
    </row>
    <row r="2567" spans="1:23" x14ac:dyDescent="0.25">
      <c r="A2567" s="26" t="str">
        <f t="shared" si="434"/>
        <v>PRIMARIA</v>
      </c>
      <c r="B2567" s="26" t="str">
        <f>"09PPR0955N"</f>
        <v>09PPR0955N</v>
      </c>
      <c r="C2567" s="26" t="str">
        <f>"INSTITUTO CANADIENSE CLARAC                                                                         "</f>
        <v xml:space="preserve">INSTITUTO CANADIENSE CLARAC                                                                         </v>
      </c>
      <c r="D2567" s="26" t="str">
        <f t="shared" si="427"/>
        <v>MATUTINO</v>
      </c>
      <c r="E2567" s="26" t="str">
        <f>"CARRETERA A SAN PABLO NO 374                                                    "</f>
        <v xml:space="preserve">CARRETERA A SAN PABLO NO 374                                                    </v>
      </c>
      <c r="F2567" s="26" t="str">
        <f>"SANTIAGO TEPALCATLAPAN                                                                                                                      "</f>
        <v xml:space="preserve">SANTIAGO TEPALCATLAPAN                                                                                                                      </v>
      </c>
      <c r="G2567" s="26" t="str">
        <f>"XOCHIMILCO                                                                      "</f>
        <v xml:space="preserve">XOCHIMILCO                                                                      </v>
      </c>
      <c r="H2567" s="26" t="str">
        <f>"533"</f>
        <v>533</v>
      </c>
      <c r="I2567" s="26" t="str">
        <f t="shared" si="435"/>
        <v>00</v>
      </c>
      <c r="J2567" s="26" t="str">
        <f>"45 "</f>
        <v xml:space="preserve">45 </v>
      </c>
      <c r="K2567" s="26" t="str">
        <f t="shared" si="436"/>
        <v>PR</v>
      </c>
      <c r="L2567" s="26" t="str">
        <f t="shared" si="437"/>
        <v>DGOSE</v>
      </c>
      <c r="M2567" s="26" t="str">
        <f t="shared" si="426"/>
        <v>PARTICULAR</v>
      </c>
      <c r="N2567" s="26">
        <v>458</v>
      </c>
      <c r="O2567" s="26">
        <v>226</v>
      </c>
      <c r="P2567" s="26">
        <v>232</v>
      </c>
      <c r="Q2567" s="26">
        <v>17</v>
      </c>
      <c r="R2567" s="26">
        <v>1</v>
      </c>
      <c r="S2567" s="26">
        <v>17</v>
      </c>
      <c r="T2567" s="26">
        <v>22</v>
      </c>
      <c r="U2567" s="26">
        <v>40</v>
      </c>
      <c r="V2567" s="26">
        <v>1</v>
      </c>
      <c r="W2567" s="26"/>
    </row>
    <row r="2568" spans="1:23" x14ac:dyDescent="0.25">
      <c r="A2568" s="26" t="str">
        <f t="shared" si="434"/>
        <v>PRIMARIA</v>
      </c>
      <c r="B2568" s="26" t="str">
        <f>"09PPR0956M"</f>
        <v>09PPR0956M</v>
      </c>
      <c r="C2568" s="26" t="str">
        <f>"""HELLEN KAY""                                                                                        "</f>
        <v xml:space="preserve">"HELLEN KAY"                                                                                        </v>
      </c>
      <c r="D2568" s="26" t="str">
        <f t="shared" si="427"/>
        <v>MATUTINO</v>
      </c>
      <c r="E2568" s="26" t="str">
        <f>"CALLE 313 NUM 417                                                               "</f>
        <v xml:space="preserve">CALLE 313 NUM 417                                                               </v>
      </c>
      <c r="F2568" s="26" t="str">
        <f>"NUEVA ATZACOALCO                                                                                                                            "</f>
        <v xml:space="preserve">NUEVA ATZACOALCO                                                                                                                            </v>
      </c>
      <c r="G2568" s="26" t="str">
        <f>"GUSTAVO A. MADERO                                                               "</f>
        <v xml:space="preserve">GUSTAVO A. MADERO                                                               </v>
      </c>
      <c r="H2568" s="26" t="str">
        <f>"257"</f>
        <v>257</v>
      </c>
      <c r="I2568" s="26" t="str">
        <f t="shared" si="435"/>
        <v>00</v>
      </c>
      <c r="J2568" s="26" t="str">
        <f>"42 "</f>
        <v xml:space="preserve">42 </v>
      </c>
      <c r="K2568" s="26" t="str">
        <f t="shared" si="436"/>
        <v>PR</v>
      </c>
      <c r="L2568" s="26" t="str">
        <f t="shared" si="437"/>
        <v>DGOSE</v>
      </c>
      <c r="M2568" s="26" t="str">
        <f t="shared" si="426"/>
        <v>PARTICULAR</v>
      </c>
      <c r="N2568" s="26">
        <v>58</v>
      </c>
      <c r="O2568" s="26">
        <v>30</v>
      </c>
      <c r="P2568" s="26">
        <v>28</v>
      </c>
      <c r="Q2568" s="26">
        <v>6</v>
      </c>
      <c r="R2568" s="26">
        <v>1</v>
      </c>
      <c r="S2568" s="26">
        <v>2</v>
      </c>
      <c r="T2568" s="26">
        <v>7</v>
      </c>
      <c r="U2568" s="26">
        <v>10</v>
      </c>
      <c r="V2568" s="26">
        <v>1</v>
      </c>
      <c r="W2568" s="26"/>
    </row>
    <row r="2569" spans="1:23" x14ac:dyDescent="0.25">
      <c r="A2569" s="26" t="str">
        <f t="shared" si="434"/>
        <v>PRIMARIA</v>
      </c>
      <c r="B2569" s="26" t="str">
        <f>"09PPR0957L"</f>
        <v>09PPR0957L</v>
      </c>
      <c r="C2569" s="26" t="str">
        <f>"COLEGIO SERAPIO RENDÓN                                                                              "</f>
        <v xml:space="preserve">COLEGIO SERAPIO RENDÓN                                                                              </v>
      </c>
      <c r="D2569" s="26" t="str">
        <f t="shared" si="427"/>
        <v>MATUTINO</v>
      </c>
      <c r="E2569" s="26" t="str">
        <f>"GUINEA NO 41                                                                    "</f>
        <v xml:space="preserve">GUINEA NO 41                                                                    </v>
      </c>
      <c r="F2569" s="26" t="str">
        <f>"ROMERO RUBIO                                                                                                                                "</f>
        <v xml:space="preserve">ROMERO RUBIO                                                                                                                                </v>
      </c>
      <c r="G2569" s="26" t="str">
        <f>"VENUSTIANO CARRANZA                                                             "</f>
        <v xml:space="preserve">VENUSTIANO CARRANZA                                                             </v>
      </c>
      <c r="H2569" s="26" t="str">
        <f>"345"</f>
        <v>345</v>
      </c>
      <c r="I2569" s="26" t="str">
        <f t="shared" si="435"/>
        <v>00</v>
      </c>
      <c r="J2569" s="26" t="str">
        <f>"43 "</f>
        <v xml:space="preserve">43 </v>
      </c>
      <c r="K2569" s="26" t="str">
        <f t="shared" si="436"/>
        <v>PR</v>
      </c>
      <c r="L2569" s="26" t="str">
        <f t="shared" si="437"/>
        <v>DGOSE</v>
      </c>
      <c r="M2569" s="26" t="str">
        <f t="shared" si="426"/>
        <v>PARTICULAR</v>
      </c>
      <c r="N2569" s="26">
        <v>88</v>
      </c>
      <c r="O2569" s="26">
        <v>49</v>
      </c>
      <c r="P2569" s="26">
        <v>39</v>
      </c>
      <c r="Q2569" s="26">
        <v>6</v>
      </c>
      <c r="R2569" s="26">
        <v>1</v>
      </c>
      <c r="S2569" s="26">
        <v>5</v>
      </c>
      <c r="T2569" s="26">
        <v>9</v>
      </c>
      <c r="U2569" s="26">
        <v>15</v>
      </c>
      <c r="V2569" s="26">
        <v>1</v>
      </c>
      <c r="W2569" s="26"/>
    </row>
    <row r="2570" spans="1:23" x14ac:dyDescent="0.25">
      <c r="A2570" s="26" t="str">
        <f t="shared" si="434"/>
        <v>PRIMARIA</v>
      </c>
      <c r="B2570" s="26" t="str">
        <f>"09PPR0958K"</f>
        <v>09PPR0958K</v>
      </c>
      <c r="C2570" s="26" t="str">
        <f>"HORACIO MANN                                                                                        "</f>
        <v xml:space="preserve">HORACIO MANN                                                                                        </v>
      </c>
      <c r="D2570" s="26" t="str">
        <f t="shared" si="427"/>
        <v>MATUTINO</v>
      </c>
      <c r="E2570" s="26" t="str">
        <f>"AV OCHO No 232                                                                  "</f>
        <v xml:space="preserve">AV OCHO No 232                                                                  </v>
      </c>
      <c r="F2570" s="26" t="str">
        <f>"ZARAGOZA                                                                                                                                    "</f>
        <v xml:space="preserve">ZARAGOZA                                                                                                                                    </v>
      </c>
      <c r="G2570" s="26" t="str">
        <f>"VENUSTIANO CARRANZA                                                             "</f>
        <v xml:space="preserve">VENUSTIANO CARRANZA                                                             </v>
      </c>
      <c r="H2570" s="26" t="str">
        <f>"350"</f>
        <v>350</v>
      </c>
      <c r="I2570" s="26" t="str">
        <f t="shared" si="435"/>
        <v>00</v>
      </c>
      <c r="J2570" s="26" t="str">
        <f>"43 "</f>
        <v xml:space="preserve">43 </v>
      </c>
      <c r="K2570" s="26" t="str">
        <f t="shared" si="436"/>
        <v>PR</v>
      </c>
      <c r="L2570" s="26" t="str">
        <f t="shared" si="437"/>
        <v>DGOSE</v>
      </c>
      <c r="M2570" s="26" t="str">
        <f t="shared" si="426"/>
        <v>PARTICULAR</v>
      </c>
      <c r="N2570" s="26">
        <v>335</v>
      </c>
      <c r="O2570" s="26">
        <v>164</v>
      </c>
      <c r="P2570" s="26">
        <v>171</v>
      </c>
      <c r="Q2570" s="26">
        <v>16</v>
      </c>
      <c r="R2570" s="26">
        <v>1</v>
      </c>
      <c r="S2570" s="26">
        <v>16</v>
      </c>
      <c r="T2570" s="26">
        <v>16</v>
      </c>
      <c r="U2570" s="26">
        <v>33</v>
      </c>
      <c r="V2570" s="26">
        <v>1</v>
      </c>
      <c r="W2570" s="26"/>
    </row>
    <row r="2571" spans="1:23" x14ac:dyDescent="0.25">
      <c r="A2571" s="26" t="str">
        <f t="shared" si="434"/>
        <v>PRIMARIA</v>
      </c>
      <c r="B2571" s="26" t="str">
        <f>"09PPR0959J"</f>
        <v>09PPR0959J</v>
      </c>
      <c r="C2571" s="26" t="str">
        <f>"JULIO VERNE                                                                                         "</f>
        <v xml:space="preserve">JULIO VERNE                                                                                         </v>
      </c>
      <c r="D2571" s="26" t="str">
        <f t="shared" si="427"/>
        <v>MATUTINO</v>
      </c>
      <c r="E2571" s="26" t="str">
        <f>"PROLONGACION 16 DE SEPTIEMBRE NUM. 70                                           "</f>
        <v xml:space="preserve">PROLONGACION 16 DE SEPTIEMBRE NUM. 70                                           </v>
      </c>
      <c r="F2571" s="26" t="str">
        <f>"XALTOCAN                                                                                                                                    "</f>
        <v xml:space="preserve">XALTOCAN                                                                                                                                    </v>
      </c>
      <c r="G2571" s="26" t="str">
        <f>"XOCHIMILCO                                                                      "</f>
        <v xml:space="preserve">XOCHIMILCO                                                                      </v>
      </c>
      <c r="H2571" s="26" t="str">
        <f>"539"</f>
        <v>539</v>
      </c>
      <c r="I2571" s="26" t="str">
        <f t="shared" si="435"/>
        <v>00</v>
      </c>
      <c r="J2571" s="26" t="str">
        <f>"45 "</f>
        <v xml:space="preserve">45 </v>
      </c>
      <c r="K2571" s="26" t="str">
        <f t="shared" si="436"/>
        <v>PR</v>
      </c>
      <c r="L2571" s="26" t="str">
        <f t="shared" si="437"/>
        <v>DGOSE</v>
      </c>
      <c r="M2571" s="26" t="str">
        <f t="shared" si="426"/>
        <v>PARTICULAR</v>
      </c>
      <c r="N2571" s="26">
        <v>63</v>
      </c>
      <c r="O2571" s="26">
        <v>40</v>
      </c>
      <c r="P2571" s="26">
        <v>23</v>
      </c>
      <c r="Q2571" s="26">
        <v>6</v>
      </c>
      <c r="R2571" s="26">
        <v>1</v>
      </c>
      <c r="S2571" s="26">
        <v>3</v>
      </c>
      <c r="T2571" s="26">
        <v>8</v>
      </c>
      <c r="U2571" s="26">
        <v>12</v>
      </c>
      <c r="V2571" s="26">
        <v>1</v>
      </c>
      <c r="W2571" s="26"/>
    </row>
    <row r="2572" spans="1:23" x14ac:dyDescent="0.25">
      <c r="A2572" s="26" t="str">
        <f t="shared" si="434"/>
        <v>PRIMARIA</v>
      </c>
      <c r="B2572" s="26" t="str">
        <f>"09PPR0962X"</f>
        <v>09PPR0962X</v>
      </c>
      <c r="C2572" s="26" t="str">
        <f>"ROGER COUSINET                                                                                      "</f>
        <v xml:space="preserve">ROGER COUSINET                                                                                      </v>
      </c>
      <c r="D2572" s="26" t="str">
        <f t="shared" si="427"/>
        <v>MATUTINO</v>
      </c>
      <c r="E2572" s="26" t="str">
        <f>"DR. VERTIZ NUM. 695                                                             "</f>
        <v xml:space="preserve">DR. VERTIZ NUM. 695                                                             </v>
      </c>
      <c r="F2572" s="26" t="str">
        <f>"NARVARTE                                                                                                                                    "</f>
        <v xml:space="preserve">NARVARTE                                                                                                                                    </v>
      </c>
      <c r="G2572" s="26" t="str">
        <f>"BENITO JUAREZ                                                                   "</f>
        <v xml:space="preserve">BENITO JUAREZ                                                                   </v>
      </c>
      <c r="H2572" s="26" t="str">
        <f>"000"</f>
        <v>000</v>
      </c>
      <c r="I2572" s="26" t="str">
        <f t="shared" si="435"/>
        <v>00</v>
      </c>
      <c r="J2572" s="26" t="str">
        <f>"43 "</f>
        <v xml:space="preserve">43 </v>
      </c>
      <c r="K2572" s="26" t="str">
        <f t="shared" si="436"/>
        <v>PR</v>
      </c>
      <c r="L2572" s="26" t="str">
        <f t="shared" si="437"/>
        <v>DGOSE</v>
      </c>
      <c r="M2572" s="26" t="str">
        <f t="shared" si="426"/>
        <v>PARTICULAR</v>
      </c>
      <c r="N2572" s="26">
        <v>92</v>
      </c>
      <c r="O2572" s="26">
        <v>48</v>
      </c>
      <c r="P2572" s="26">
        <v>44</v>
      </c>
      <c r="Q2572" s="26">
        <v>6</v>
      </c>
      <c r="R2572" s="26">
        <v>1</v>
      </c>
      <c r="S2572" s="26">
        <v>3</v>
      </c>
      <c r="T2572" s="26">
        <v>8</v>
      </c>
      <c r="U2572" s="26">
        <v>12</v>
      </c>
      <c r="V2572" s="26">
        <v>1</v>
      </c>
      <c r="W2572" s="26"/>
    </row>
    <row r="2573" spans="1:23" x14ac:dyDescent="0.25">
      <c r="A2573" s="26" t="str">
        <f t="shared" si="434"/>
        <v>PRIMARIA</v>
      </c>
      <c r="B2573" s="26" t="str">
        <f>"09PPR0963W"</f>
        <v>09PPR0963W</v>
      </c>
      <c r="C2573" s="26" t="str">
        <f>"COLEGIO PEDAGOGICO LATINOAMERICANO                                                                  "</f>
        <v xml:space="preserve">COLEGIO PEDAGOGICO LATINOAMERICANO                                                                  </v>
      </c>
      <c r="D2573" s="26" t="str">
        <f t="shared" si="427"/>
        <v>MATUTINO</v>
      </c>
      <c r="E2573" s="26" t="str">
        <f>"CORONADO NO. 79                                                                 "</f>
        <v xml:space="preserve">CORONADO NO. 79                                                                 </v>
      </c>
      <c r="F2573" s="26" t="str">
        <f>"PARAISO                                                                                                                                     "</f>
        <v xml:space="preserve">PARAISO                                                                                                                                     </v>
      </c>
      <c r="G2573" s="26" t="str">
        <f>"IZTAPALAPA                                                                      "</f>
        <v xml:space="preserve">IZTAPALAPA                                                                      </v>
      </c>
      <c r="H2573" s="26" t="str">
        <f>"000"</f>
        <v>000</v>
      </c>
      <c r="I2573" s="26" t="str">
        <f t="shared" si="435"/>
        <v>00</v>
      </c>
      <c r="J2573" s="26" t="str">
        <f>"62 "</f>
        <v xml:space="preserve">62 </v>
      </c>
      <c r="K2573" s="26" t="str">
        <f>"IZ"</f>
        <v>IZ</v>
      </c>
      <c r="L2573" s="26" t="str">
        <f>"DGSEI"</f>
        <v>DGSEI</v>
      </c>
      <c r="M2573" s="26" t="str">
        <f t="shared" si="426"/>
        <v>PARTICULAR</v>
      </c>
      <c r="N2573" s="26">
        <v>129</v>
      </c>
      <c r="O2573" s="26">
        <v>72</v>
      </c>
      <c r="P2573" s="26">
        <v>57</v>
      </c>
      <c r="Q2573" s="26">
        <v>6</v>
      </c>
      <c r="R2573" s="26">
        <v>1</v>
      </c>
      <c r="S2573" s="26">
        <v>6</v>
      </c>
      <c r="T2573" s="26">
        <v>6</v>
      </c>
      <c r="U2573" s="26">
        <v>13</v>
      </c>
      <c r="V2573" s="26">
        <v>1</v>
      </c>
      <c r="W2573" s="26"/>
    </row>
    <row r="2574" spans="1:23" x14ac:dyDescent="0.25">
      <c r="A2574" s="26" t="str">
        <f t="shared" si="434"/>
        <v>PRIMARIA</v>
      </c>
      <c r="B2574" s="26" t="str">
        <f>"09PPR0964V"</f>
        <v>09PPR0964V</v>
      </c>
      <c r="C2574" s="26" t="str">
        <f>"COLEGIO NASHVILLE                                                                                   "</f>
        <v xml:space="preserve">COLEGIO NASHVILLE                                                                                   </v>
      </c>
      <c r="D2574" s="26" t="str">
        <f t="shared" si="427"/>
        <v>MATUTINO</v>
      </c>
      <c r="E2574" s="26" t="str">
        <f>"CALLE 667 NOs 6 Y 8                                                             "</f>
        <v xml:space="preserve">CALLE 667 NOs 6 Y 8                                                             </v>
      </c>
      <c r="F2574" s="26" t="str">
        <f>"SAN JUAN DE ARAGON                                                                                                                          "</f>
        <v xml:space="preserve">SAN JUAN DE ARAGON                                                                                                                          </v>
      </c>
      <c r="G2574" s="26" t="str">
        <f>"GUSTAVO A. MADERO                                                               "</f>
        <v xml:space="preserve">GUSTAVO A. MADERO                                                               </v>
      </c>
      <c r="H2574" s="26" t="str">
        <f>"271"</f>
        <v>271</v>
      </c>
      <c r="I2574" s="26" t="str">
        <f t="shared" si="435"/>
        <v>00</v>
      </c>
      <c r="J2574" s="26" t="str">
        <f>"42 "</f>
        <v xml:space="preserve">42 </v>
      </c>
      <c r="K2574" s="26" t="str">
        <f t="shared" ref="K2574:K2579" si="438">"PR"</f>
        <v>PR</v>
      </c>
      <c r="L2574" s="26" t="str">
        <f t="shared" ref="L2574:L2579" si="439">"DGOSE"</f>
        <v>DGOSE</v>
      </c>
      <c r="M2574" s="26" t="str">
        <f t="shared" si="426"/>
        <v>PARTICULAR</v>
      </c>
      <c r="N2574" s="26">
        <v>230</v>
      </c>
      <c r="O2574" s="26">
        <v>123</v>
      </c>
      <c r="P2574" s="26">
        <v>107</v>
      </c>
      <c r="Q2574" s="26">
        <v>12</v>
      </c>
      <c r="R2574" s="26">
        <v>1</v>
      </c>
      <c r="S2574" s="26">
        <v>6</v>
      </c>
      <c r="T2574" s="26">
        <v>7</v>
      </c>
      <c r="U2574" s="26">
        <v>14</v>
      </c>
      <c r="V2574" s="26">
        <v>1</v>
      </c>
      <c r="W2574" s="26"/>
    </row>
    <row r="2575" spans="1:23" x14ac:dyDescent="0.25">
      <c r="A2575" s="26" t="str">
        <f t="shared" si="434"/>
        <v>PRIMARIA</v>
      </c>
      <c r="B2575" s="26" t="str">
        <f>"09PPR0965U"</f>
        <v>09PPR0965U</v>
      </c>
      <c r="C2575" s="26" t="str">
        <f>"MALINALI                                                                                            "</f>
        <v xml:space="preserve">MALINALI                                                                                            </v>
      </c>
      <c r="D2575" s="26" t="str">
        <f t="shared" si="427"/>
        <v>MATUTINO</v>
      </c>
      <c r="E2575" s="26" t="str">
        <f>"MARIANO ESCOBEDO NO 8                                                           "</f>
        <v xml:space="preserve">MARIANO ESCOBEDO NO 8                                                           </v>
      </c>
      <c r="F2575" s="26" t="str">
        <f>"SAN MIGUEL AJUSCO                                                                                                                           "</f>
        <v xml:space="preserve">SAN MIGUEL AJUSCO                                                                                                                           </v>
      </c>
      <c r="G2575" s="26" t="str">
        <f>"TLALPAN                                                                         "</f>
        <v xml:space="preserve">TLALPAN                                                                         </v>
      </c>
      <c r="H2575" s="26" t="str">
        <f>"530"</f>
        <v>530</v>
      </c>
      <c r="I2575" s="26" t="str">
        <f t="shared" si="435"/>
        <v>00</v>
      </c>
      <c r="J2575" s="26" t="str">
        <f>"45 "</f>
        <v xml:space="preserve">45 </v>
      </c>
      <c r="K2575" s="26" t="str">
        <f t="shared" si="438"/>
        <v>PR</v>
      </c>
      <c r="L2575" s="26" t="str">
        <f t="shared" si="439"/>
        <v>DGOSE</v>
      </c>
      <c r="M2575" s="26" t="str">
        <f t="shared" si="426"/>
        <v>PARTICULAR</v>
      </c>
      <c r="N2575" s="26">
        <v>103</v>
      </c>
      <c r="O2575" s="26">
        <v>54</v>
      </c>
      <c r="P2575" s="26">
        <v>49</v>
      </c>
      <c r="Q2575" s="26">
        <v>6</v>
      </c>
      <c r="R2575" s="26">
        <v>1</v>
      </c>
      <c r="S2575" s="26">
        <v>3</v>
      </c>
      <c r="T2575" s="26">
        <v>8</v>
      </c>
      <c r="U2575" s="26">
        <v>12</v>
      </c>
      <c r="V2575" s="26">
        <v>1</v>
      </c>
      <c r="W2575" s="26"/>
    </row>
    <row r="2576" spans="1:23" x14ac:dyDescent="0.25">
      <c r="A2576" s="26" t="str">
        <f t="shared" si="434"/>
        <v>PRIMARIA</v>
      </c>
      <c r="B2576" s="26" t="str">
        <f>"09PPR0967S"</f>
        <v>09PPR0967S</v>
      </c>
      <c r="C2576" s="26" t="str">
        <f>"ATOCPAN                                                                                             "</f>
        <v xml:space="preserve">ATOCPAN                                                                                             </v>
      </c>
      <c r="D2576" s="26" t="str">
        <f t="shared" si="427"/>
        <v>MATUTINO</v>
      </c>
      <c r="E2576" s="26" t="str">
        <f>"ATZAYACATL NUM 99                                                               "</f>
        <v xml:space="preserve">ATZAYACATL NUM 99                                                               </v>
      </c>
      <c r="F2576" s="26" t="str">
        <f>"SAN PEDRO ATOCPAN                                                                                                                           "</f>
        <v xml:space="preserve">SAN PEDRO ATOCPAN                                                                                                                           </v>
      </c>
      <c r="G2576" s="26" t="str">
        <f>"MILPA ALTA                                                                      "</f>
        <v xml:space="preserve">MILPA ALTA                                                                      </v>
      </c>
      <c r="H2576" s="26" t="str">
        <f>"564"</f>
        <v>564</v>
      </c>
      <c r="I2576" s="26" t="str">
        <f t="shared" si="435"/>
        <v>00</v>
      </c>
      <c r="J2576" s="26" t="str">
        <f>"45 "</f>
        <v xml:space="preserve">45 </v>
      </c>
      <c r="K2576" s="26" t="str">
        <f t="shared" si="438"/>
        <v>PR</v>
      </c>
      <c r="L2576" s="26" t="str">
        <f t="shared" si="439"/>
        <v>DGOSE</v>
      </c>
      <c r="M2576" s="26" t="str">
        <f t="shared" si="426"/>
        <v>PARTICULAR</v>
      </c>
      <c r="N2576" s="26">
        <v>67</v>
      </c>
      <c r="O2576" s="26">
        <v>30</v>
      </c>
      <c r="P2576" s="26">
        <v>37</v>
      </c>
      <c r="Q2576" s="26">
        <v>6</v>
      </c>
      <c r="R2576" s="26">
        <v>1</v>
      </c>
      <c r="S2576" s="26">
        <v>3</v>
      </c>
      <c r="T2576" s="26">
        <v>6</v>
      </c>
      <c r="U2576" s="26">
        <v>10</v>
      </c>
      <c r="V2576" s="26">
        <v>1</v>
      </c>
      <c r="W2576" s="26"/>
    </row>
    <row r="2577" spans="1:23" x14ac:dyDescent="0.25">
      <c r="A2577" s="26" t="str">
        <f t="shared" si="434"/>
        <v>PRIMARIA</v>
      </c>
      <c r="B2577" s="26" t="str">
        <f>"09PPR0968R"</f>
        <v>09PPR0968R</v>
      </c>
      <c r="C2577" s="26" t="str">
        <f>"INDEPENDENCIA Y SOLIDARIDAD                                                                         "</f>
        <v xml:space="preserve">INDEPENDENCIA Y SOLIDARIDAD                                                                         </v>
      </c>
      <c r="D2577" s="26" t="str">
        <f t="shared" si="427"/>
        <v>MATUTINO</v>
      </c>
      <c r="E2577" s="26" t="str">
        <f>"ITURBIDE PONIENTE NUM 127                                                       "</f>
        <v xml:space="preserve">ITURBIDE PONIENTE NUM 127                                                       </v>
      </c>
      <c r="F2577" s="26" t="str">
        <f>"SAN ANTONIO TECOMITL                                                                                                                        "</f>
        <v xml:space="preserve">SAN ANTONIO TECOMITL                                                                                                                        </v>
      </c>
      <c r="G2577" s="26" t="str">
        <f>"MILPA ALTA                                                                      "</f>
        <v xml:space="preserve">MILPA ALTA                                                                      </v>
      </c>
      <c r="H2577" s="26" t="str">
        <f>"561"</f>
        <v>561</v>
      </c>
      <c r="I2577" s="26" t="str">
        <f t="shared" si="435"/>
        <v>00</v>
      </c>
      <c r="J2577" s="26" t="str">
        <f>"45 "</f>
        <v xml:space="preserve">45 </v>
      </c>
      <c r="K2577" s="26" t="str">
        <f t="shared" si="438"/>
        <v>PR</v>
      </c>
      <c r="L2577" s="26" t="str">
        <f t="shared" si="439"/>
        <v>DGOSE</v>
      </c>
      <c r="M2577" s="26" t="str">
        <f t="shared" si="426"/>
        <v>PARTICULAR</v>
      </c>
      <c r="N2577" s="26">
        <v>65</v>
      </c>
      <c r="O2577" s="26">
        <v>38</v>
      </c>
      <c r="P2577" s="26">
        <v>27</v>
      </c>
      <c r="Q2577" s="26">
        <v>6</v>
      </c>
      <c r="R2577" s="26">
        <v>1</v>
      </c>
      <c r="S2577" s="26">
        <v>6</v>
      </c>
      <c r="T2577" s="26">
        <v>8</v>
      </c>
      <c r="U2577" s="26">
        <v>15</v>
      </c>
      <c r="V2577" s="26">
        <v>1</v>
      </c>
      <c r="W2577" s="26"/>
    </row>
    <row r="2578" spans="1:23" x14ac:dyDescent="0.25">
      <c r="A2578" s="26" t="str">
        <f t="shared" si="434"/>
        <v>PRIMARIA</v>
      </c>
      <c r="B2578" s="26" t="str">
        <f>"09PPR0970F"</f>
        <v>09PPR0970F</v>
      </c>
      <c r="C2578" s="26" t="str">
        <f>"DONATO BRAMANTE                                                                                     "</f>
        <v xml:space="preserve">DONATO BRAMANTE                                                                                     </v>
      </c>
      <c r="D2578" s="26" t="str">
        <f t="shared" si="427"/>
        <v>MATUTINO</v>
      </c>
      <c r="E2578" s="26" t="str">
        <f>"CALLE 25 NO 330                                                                 "</f>
        <v xml:space="preserve">CALLE 25 NO 330                                                                 </v>
      </c>
      <c r="F2578" s="26" t="str">
        <f>"PRO  HOGAR                                                                                                                                  "</f>
        <v xml:space="preserve">PRO  HOGAR                                                                                                                                  </v>
      </c>
      <c r="G2578" s="26" t="str">
        <f>"AZCAPOTZALCO                                                                    "</f>
        <v xml:space="preserve">AZCAPOTZALCO                                                                    </v>
      </c>
      <c r="H2578" s="26" t="str">
        <f>"000"</f>
        <v>000</v>
      </c>
      <c r="I2578" s="26" t="str">
        <f t="shared" si="435"/>
        <v>00</v>
      </c>
      <c r="J2578" s="26" t="str">
        <f>"42 "</f>
        <v xml:space="preserve">42 </v>
      </c>
      <c r="K2578" s="26" t="str">
        <f t="shared" si="438"/>
        <v>PR</v>
      </c>
      <c r="L2578" s="26" t="str">
        <f t="shared" si="439"/>
        <v>DGOSE</v>
      </c>
      <c r="M2578" s="26" t="str">
        <f t="shared" ref="M2578:M2641" si="440">"PARTICULAR"</f>
        <v>PARTICULAR</v>
      </c>
      <c r="N2578" s="26">
        <v>121</v>
      </c>
      <c r="O2578" s="26">
        <v>54</v>
      </c>
      <c r="P2578" s="26">
        <v>67</v>
      </c>
      <c r="Q2578" s="26">
        <v>6</v>
      </c>
      <c r="R2578" s="26">
        <v>1</v>
      </c>
      <c r="S2578" s="26">
        <v>6</v>
      </c>
      <c r="T2578" s="26">
        <v>5</v>
      </c>
      <c r="U2578" s="26">
        <v>12</v>
      </c>
      <c r="V2578" s="26">
        <v>1</v>
      </c>
      <c r="W2578" s="26"/>
    </row>
    <row r="2579" spans="1:23" x14ac:dyDescent="0.25">
      <c r="A2579" s="26" t="str">
        <f t="shared" si="434"/>
        <v>PRIMARIA</v>
      </c>
      <c r="B2579" s="26" t="str">
        <f>"09PPR0972D"</f>
        <v>09PPR0972D</v>
      </c>
      <c r="C2579" s="26" t="str">
        <f>"ROSAS MORENO                                                                                        "</f>
        <v xml:space="preserve">ROSAS MORENO                                                                                        </v>
      </c>
      <c r="D2579" s="26" t="str">
        <f t="shared" si="427"/>
        <v>MATUTINO</v>
      </c>
      <c r="E2579" s="26" t="str">
        <f>"VILLA QUETZALCOATL 13467                                                        "</f>
        <v xml:space="preserve">VILLA QUETZALCOATL 13467                                                        </v>
      </c>
      <c r="F2579" s="26" t="str">
        <f>"VILLA DE ARAGON                                                                                                                             "</f>
        <v xml:space="preserve">VILLA DE ARAGON                                                                                                                             </v>
      </c>
      <c r="G2579" s="26" t="str">
        <f>"GUSTAVO A. MADERO                                                               "</f>
        <v xml:space="preserve">GUSTAVO A. MADERO                                                               </v>
      </c>
      <c r="H2579" s="26" t="str">
        <f>"268"</f>
        <v>268</v>
      </c>
      <c r="I2579" s="26" t="str">
        <f t="shared" si="435"/>
        <v>00</v>
      </c>
      <c r="J2579" s="26" t="str">
        <f>"42 "</f>
        <v xml:space="preserve">42 </v>
      </c>
      <c r="K2579" s="26" t="str">
        <f t="shared" si="438"/>
        <v>PR</v>
      </c>
      <c r="L2579" s="26" t="str">
        <f t="shared" si="439"/>
        <v>DGOSE</v>
      </c>
      <c r="M2579" s="26" t="str">
        <f t="shared" si="440"/>
        <v>PARTICULAR</v>
      </c>
      <c r="N2579" s="26">
        <v>12</v>
      </c>
      <c r="O2579" s="26">
        <v>0</v>
      </c>
      <c r="P2579" s="26">
        <v>12</v>
      </c>
      <c r="Q2579" s="26">
        <v>5</v>
      </c>
      <c r="R2579" s="26">
        <v>1</v>
      </c>
      <c r="S2579" s="26">
        <v>3</v>
      </c>
      <c r="T2579" s="26">
        <v>6</v>
      </c>
      <c r="U2579" s="26">
        <v>10</v>
      </c>
      <c r="V2579" s="26">
        <v>1</v>
      </c>
      <c r="W2579" s="26"/>
    </row>
    <row r="2580" spans="1:23" x14ac:dyDescent="0.25">
      <c r="A2580" s="26" t="str">
        <f t="shared" si="434"/>
        <v>PRIMARIA</v>
      </c>
      <c r="B2580" s="26" t="str">
        <f>"09PPR0973C"</f>
        <v>09PPR0973C</v>
      </c>
      <c r="C2580" s="26" t="str">
        <f>"JOSE MARIA LAFRAGUA                                                                                 "</f>
        <v xml:space="preserve">JOSE MARIA LAFRAGUA                                                                                 </v>
      </c>
      <c r="D2580" s="26" t="str">
        <f t="shared" si="427"/>
        <v>MATUTINO</v>
      </c>
      <c r="E2580" s="26" t="str">
        <f>"MELCHOR OCAMPO NO. 10                                                           "</f>
        <v xml:space="preserve">MELCHOR OCAMPO NO. 10                                                           </v>
      </c>
      <c r="F2580" s="26" t="str">
        <f>"JACARANDAS                                                                                                                                  "</f>
        <v xml:space="preserve">JACARANDAS                                                                                                                                  </v>
      </c>
      <c r="G2580" s="26" t="str">
        <f>"IZTAPALAPA                                                                      "</f>
        <v xml:space="preserve">IZTAPALAPA                                                                      </v>
      </c>
      <c r="H2580" s="26" t="str">
        <f>"000"</f>
        <v>000</v>
      </c>
      <c r="I2580" s="26" t="str">
        <f t="shared" si="435"/>
        <v>00</v>
      </c>
      <c r="J2580" s="26" t="str">
        <f>"64 "</f>
        <v xml:space="preserve">64 </v>
      </c>
      <c r="K2580" s="26" t="str">
        <f>"IZ"</f>
        <v>IZ</v>
      </c>
      <c r="L2580" s="26" t="str">
        <f>"DGSEI"</f>
        <v>DGSEI</v>
      </c>
      <c r="M2580" s="26" t="str">
        <f t="shared" si="440"/>
        <v>PARTICULAR</v>
      </c>
      <c r="N2580" s="26">
        <v>249</v>
      </c>
      <c r="O2580" s="26">
        <v>144</v>
      </c>
      <c r="P2580" s="26">
        <v>105</v>
      </c>
      <c r="Q2580" s="26">
        <v>12</v>
      </c>
      <c r="R2580" s="26">
        <v>1</v>
      </c>
      <c r="S2580" s="26">
        <v>12</v>
      </c>
      <c r="T2580" s="26">
        <v>18</v>
      </c>
      <c r="U2580" s="26">
        <v>31</v>
      </c>
      <c r="V2580" s="26">
        <v>1</v>
      </c>
      <c r="W2580" s="26"/>
    </row>
    <row r="2581" spans="1:23" x14ac:dyDescent="0.25">
      <c r="A2581" s="26" t="str">
        <f t="shared" si="434"/>
        <v>PRIMARIA</v>
      </c>
      <c r="B2581" s="26" t="str">
        <f>"09PPR0976Z"</f>
        <v>09PPR0976Z</v>
      </c>
      <c r="C2581" s="26" t="str">
        <f>"COLEGIO OLIVERIO CROMWELL                                                                           "</f>
        <v xml:space="preserve">COLEGIO OLIVERIO CROMWELL                                                                           </v>
      </c>
      <c r="D2581" s="26" t="str">
        <f t="shared" ref="D2581:D2644" si="441">"MATUTINO"</f>
        <v>MATUTINO</v>
      </c>
      <c r="E2581" s="26" t="str">
        <f>"TZINAL NO 119                                                                   "</f>
        <v xml:space="preserve">TZINAL NO 119                                                                   </v>
      </c>
      <c r="F2581" s="26" t="str">
        <f>"ZONA EJIDOS DE PADIERNA                                                                                                                     "</f>
        <v xml:space="preserve">ZONA EJIDOS DE PADIERNA                                                                                                                     </v>
      </c>
      <c r="G2581" s="26" t="str">
        <f>"TLALPAN                                                                         "</f>
        <v xml:space="preserve">TLALPAN                                                                         </v>
      </c>
      <c r="H2581" s="26" t="str">
        <f>"511"</f>
        <v>511</v>
      </c>
      <c r="I2581" s="26" t="str">
        <f t="shared" si="435"/>
        <v>00</v>
      </c>
      <c r="J2581" s="26" t="str">
        <f>"45 "</f>
        <v xml:space="preserve">45 </v>
      </c>
      <c r="K2581" s="26" t="str">
        <f t="shared" ref="K2581:K2593" si="442">"PR"</f>
        <v>PR</v>
      </c>
      <c r="L2581" s="26" t="str">
        <f t="shared" ref="L2581:L2593" si="443">"DGOSE"</f>
        <v>DGOSE</v>
      </c>
      <c r="M2581" s="26" t="str">
        <f t="shared" si="440"/>
        <v>PARTICULAR</v>
      </c>
      <c r="N2581" s="26">
        <v>229</v>
      </c>
      <c r="O2581" s="26">
        <v>108</v>
      </c>
      <c r="P2581" s="26">
        <v>121</v>
      </c>
      <c r="Q2581" s="26">
        <v>12</v>
      </c>
      <c r="R2581" s="26">
        <v>1</v>
      </c>
      <c r="S2581" s="26">
        <v>6</v>
      </c>
      <c r="T2581" s="26">
        <v>16</v>
      </c>
      <c r="U2581" s="26">
        <v>23</v>
      </c>
      <c r="V2581" s="26">
        <v>1</v>
      </c>
      <c r="W2581" s="26"/>
    </row>
    <row r="2582" spans="1:23" x14ac:dyDescent="0.25">
      <c r="A2582" s="26" t="str">
        <f t="shared" si="434"/>
        <v>PRIMARIA</v>
      </c>
      <c r="B2582" s="26" t="str">
        <f>"09PPR0977Z"</f>
        <v>09PPR0977Z</v>
      </c>
      <c r="C2582" s="26" t="str">
        <f>"""CALENDARIO AZTECA""                                                                                 "</f>
        <v xml:space="preserve">"CALENDARIO AZTECA"                                                                                 </v>
      </c>
      <c r="D2582" s="26" t="str">
        <f t="shared" si="441"/>
        <v>MATUTINO</v>
      </c>
      <c r="E2582" s="26" t="str">
        <f>"JESUS LECUONA NUMERO 105                                                        "</f>
        <v xml:space="preserve">JESUS LECUONA NUMERO 105                                                        </v>
      </c>
      <c r="F2582" s="26" t="str">
        <f>"MIGUEL HIDALGO AMPLIACION                                                                                                                   "</f>
        <v xml:space="preserve">MIGUEL HIDALGO AMPLIACION                                                                                                                   </v>
      </c>
      <c r="G2582" s="26" t="str">
        <f>"TLALPAN                                                                         "</f>
        <v xml:space="preserve">TLALPAN                                                                         </v>
      </c>
      <c r="H2582" s="26" t="str">
        <f>"517"</f>
        <v>517</v>
      </c>
      <c r="I2582" s="26" t="str">
        <f t="shared" si="435"/>
        <v>00</v>
      </c>
      <c r="J2582" s="26" t="str">
        <f>"45 "</f>
        <v xml:space="preserve">45 </v>
      </c>
      <c r="K2582" s="26" t="str">
        <f t="shared" si="442"/>
        <v>PR</v>
      </c>
      <c r="L2582" s="26" t="str">
        <f t="shared" si="443"/>
        <v>DGOSE</v>
      </c>
      <c r="M2582" s="26" t="str">
        <f t="shared" si="440"/>
        <v>PARTICULAR</v>
      </c>
      <c r="N2582" s="26">
        <v>117</v>
      </c>
      <c r="O2582" s="26">
        <v>58</v>
      </c>
      <c r="P2582" s="26">
        <v>59</v>
      </c>
      <c r="Q2582" s="26">
        <v>6</v>
      </c>
      <c r="R2582" s="26">
        <v>1</v>
      </c>
      <c r="S2582" s="26">
        <v>3</v>
      </c>
      <c r="T2582" s="26">
        <v>8</v>
      </c>
      <c r="U2582" s="26">
        <v>12</v>
      </c>
      <c r="V2582" s="26">
        <v>1</v>
      </c>
      <c r="W2582" s="26"/>
    </row>
    <row r="2583" spans="1:23" x14ac:dyDescent="0.25">
      <c r="A2583" s="26" t="str">
        <f t="shared" si="434"/>
        <v>PRIMARIA</v>
      </c>
      <c r="B2583" s="26" t="str">
        <f>"09PPR0978Y"</f>
        <v>09PPR0978Y</v>
      </c>
      <c r="C2583" s="26" t="str">
        <f>"COLEGIO GRECO LATINO                                                                                "</f>
        <v xml:space="preserve">COLEGIO GRECO LATINO                                                                                </v>
      </c>
      <c r="D2583" s="26" t="str">
        <f t="shared" si="441"/>
        <v>MATUTINO</v>
      </c>
      <c r="E2583" s="26" t="str">
        <f>"FRANCISCO JAVIER MINA NO 11                                                     "</f>
        <v xml:space="preserve">FRANCISCO JAVIER MINA NO 11                                                     </v>
      </c>
      <c r="F2583" s="26" t="str">
        <f>"LA ASUNCION                                                                                                                                 "</f>
        <v xml:space="preserve">LA ASUNCION                                                                                                                                 </v>
      </c>
      <c r="G2583" s="26" t="str">
        <f>"TLAHUAC                                                                         "</f>
        <v xml:space="preserve">TLAHUAC                                                                         </v>
      </c>
      <c r="H2583" s="26" t="str">
        <f>"557"</f>
        <v>557</v>
      </c>
      <c r="I2583" s="26" t="str">
        <f t="shared" si="435"/>
        <v>00</v>
      </c>
      <c r="J2583" s="26" t="str">
        <f>"45 "</f>
        <v xml:space="preserve">45 </v>
      </c>
      <c r="K2583" s="26" t="str">
        <f t="shared" si="442"/>
        <v>PR</v>
      </c>
      <c r="L2583" s="26" t="str">
        <f t="shared" si="443"/>
        <v>DGOSE</v>
      </c>
      <c r="M2583" s="26" t="str">
        <f t="shared" si="440"/>
        <v>PARTICULAR</v>
      </c>
      <c r="N2583" s="26">
        <v>77</v>
      </c>
      <c r="O2583" s="26">
        <v>37</v>
      </c>
      <c r="P2583" s="26">
        <v>40</v>
      </c>
      <c r="Q2583" s="26">
        <v>6</v>
      </c>
      <c r="R2583" s="26">
        <v>1</v>
      </c>
      <c r="S2583" s="26">
        <v>6</v>
      </c>
      <c r="T2583" s="26">
        <v>9</v>
      </c>
      <c r="U2583" s="26">
        <v>16</v>
      </c>
      <c r="V2583" s="26">
        <v>1</v>
      </c>
      <c r="W2583" s="26"/>
    </row>
    <row r="2584" spans="1:23" x14ac:dyDescent="0.25">
      <c r="A2584" s="26" t="str">
        <f t="shared" si="434"/>
        <v>PRIMARIA</v>
      </c>
      <c r="B2584" s="26" t="str">
        <f>"09PPR0979X"</f>
        <v>09PPR0979X</v>
      </c>
      <c r="C2584" s="26" t="str">
        <f>"ENRIQUE DUNANT                                                                                      "</f>
        <v xml:space="preserve">ENRIQUE DUNANT                                                                                      </v>
      </c>
      <c r="D2584" s="26" t="str">
        <f t="shared" si="441"/>
        <v>MATUTINO</v>
      </c>
      <c r="E2584" s="26" t="str">
        <f>"BLVD. DEL TEMOLUCO 108                                                          "</f>
        <v xml:space="preserve">BLVD. DEL TEMOLUCO 108                                                          </v>
      </c>
      <c r="F2584" s="26" t="str">
        <f>"ACUEDUCTO DE GUADALUPE                                                                                                                      "</f>
        <v xml:space="preserve">ACUEDUCTO DE GUADALUPE                                                                                                                      </v>
      </c>
      <c r="G2584" s="26" t="str">
        <f>"GUSTAVO A. MADERO                                                               "</f>
        <v xml:space="preserve">GUSTAVO A. MADERO                                                               </v>
      </c>
      <c r="H2584" s="26" t="str">
        <f>"235"</f>
        <v>235</v>
      </c>
      <c r="I2584" s="26" t="str">
        <f t="shared" si="435"/>
        <v>00</v>
      </c>
      <c r="J2584" s="26" t="str">
        <f>"42 "</f>
        <v xml:space="preserve">42 </v>
      </c>
      <c r="K2584" s="26" t="str">
        <f t="shared" si="442"/>
        <v>PR</v>
      </c>
      <c r="L2584" s="26" t="str">
        <f t="shared" si="443"/>
        <v>DGOSE</v>
      </c>
      <c r="M2584" s="26" t="str">
        <f t="shared" si="440"/>
        <v>PARTICULAR</v>
      </c>
      <c r="N2584" s="26">
        <v>181</v>
      </c>
      <c r="O2584" s="26">
        <v>89</v>
      </c>
      <c r="P2584" s="26">
        <v>92</v>
      </c>
      <c r="Q2584" s="26">
        <v>7</v>
      </c>
      <c r="R2584" s="26">
        <v>1</v>
      </c>
      <c r="S2584" s="26">
        <v>7</v>
      </c>
      <c r="T2584" s="26">
        <v>8</v>
      </c>
      <c r="U2584" s="26">
        <v>16</v>
      </c>
      <c r="V2584" s="26">
        <v>1</v>
      </c>
      <c r="W2584" s="26"/>
    </row>
    <row r="2585" spans="1:23" x14ac:dyDescent="0.25">
      <c r="A2585" s="26" t="str">
        <f t="shared" si="434"/>
        <v>PRIMARIA</v>
      </c>
      <c r="B2585" s="26" t="str">
        <f>"09PPR0981L"</f>
        <v>09PPR0981L</v>
      </c>
      <c r="C2585" s="26" t="str">
        <f>"RAFAEL ALBERTI                                                                                      "</f>
        <v xml:space="preserve">RAFAEL ALBERTI                                                                                      </v>
      </c>
      <c r="D2585" s="26" t="str">
        <f t="shared" si="441"/>
        <v>MATUTINO</v>
      </c>
      <c r="E2585" s="26" t="str">
        <f>"CEDROS 144                                                                      "</f>
        <v xml:space="preserve">CEDROS 144                                                                      </v>
      </c>
      <c r="F2585" s="26" t="str">
        <f>"SAN ANDRES                                                                                                                                  "</f>
        <v xml:space="preserve">SAN ANDRES                                                                                                                                  </v>
      </c>
      <c r="G2585" s="26" t="str">
        <f>"AZCAPOTZALCO                                                                    "</f>
        <v xml:space="preserve">AZCAPOTZALCO                                                                    </v>
      </c>
      <c r="H2585" s="26" t="str">
        <f>"202"</f>
        <v>202</v>
      </c>
      <c r="I2585" s="26" t="str">
        <f t="shared" si="435"/>
        <v>00</v>
      </c>
      <c r="J2585" s="26" t="str">
        <f>"42 "</f>
        <v xml:space="preserve">42 </v>
      </c>
      <c r="K2585" s="26" t="str">
        <f t="shared" si="442"/>
        <v>PR</v>
      </c>
      <c r="L2585" s="26" t="str">
        <f t="shared" si="443"/>
        <v>DGOSE</v>
      </c>
      <c r="M2585" s="26" t="str">
        <f t="shared" si="440"/>
        <v>PARTICULAR</v>
      </c>
      <c r="N2585" s="26">
        <v>92</v>
      </c>
      <c r="O2585" s="26">
        <v>43</v>
      </c>
      <c r="P2585" s="26">
        <v>49</v>
      </c>
      <c r="Q2585" s="26">
        <v>6</v>
      </c>
      <c r="R2585" s="26">
        <v>1</v>
      </c>
      <c r="S2585" s="26">
        <v>3</v>
      </c>
      <c r="T2585" s="26">
        <v>6</v>
      </c>
      <c r="U2585" s="26">
        <v>10</v>
      </c>
      <c r="V2585" s="26">
        <v>1</v>
      </c>
      <c r="W2585" s="26"/>
    </row>
    <row r="2586" spans="1:23" x14ac:dyDescent="0.25">
      <c r="A2586" s="26" t="str">
        <f t="shared" si="434"/>
        <v>PRIMARIA</v>
      </c>
      <c r="B2586" s="26" t="str">
        <f>"09PPR0982K"</f>
        <v>09PPR0982K</v>
      </c>
      <c r="C2586" s="26" t="str">
        <f>"PEDRO DE ALBA                                                                                       "</f>
        <v xml:space="preserve">PEDRO DE ALBA                                                                                       </v>
      </c>
      <c r="D2586" s="26" t="str">
        <f t="shared" si="441"/>
        <v>MATUTINO</v>
      </c>
      <c r="E2586" s="26" t="str">
        <f>"ROSA MARIA SIQUEIROS NO 231                                                     "</f>
        <v xml:space="preserve">ROSA MARIA SIQUEIROS NO 231                                                     </v>
      </c>
      <c r="F2586" s="26" t="str">
        <f>"SAN FRANCISCO CULHUACAN                                                                                                                     "</f>
        <v xml:space="preserve">SAN FRANCISCO CULHUACAN                                                                                                                     </v>
      </c>
      <c r="G2586" s="26" t="str">
        <f>"COYOACAN                                                                        "</f>
        <v xml:space="preserve">COYOACAN                                                                        </v>
      </c>
      <c r="H2586" s="26" t="str">
        <f>"566"</f>
        <v>566</v>
      </c>
      <c r="I2586" s="26" t="str">
        <f t="shared" si="435"/>
        <v>00</v>
      </c>
      <c r="J2586" s="26" t="str">
        <f>"45 "</f>
        <v xml:space="preserve">45 </v>
      </c>
      <c r="K2586" s="26" t="str">
        <f t="shared" si="442"/>
        <v>PR</v>
      </c>
      <c r="L2586" s="26" t="str">
        <f t="shared" si="443"/>
        <v>DGOSE</v>
      </c>
      <c r="M2586" s="26" t="str">
        <f t="shared" si="440"/>
        <v>PARTICULAR</v>
      </c>
      <c r="N2586" s="26">
        <v>198</v>
      </c>
      <c r="O2586" s="26">
        <v>93</v>
      </c>
      <c r="P2586" s="26">
        <v>105</v>
      </c>
      <c r="Q2586" s="26">
        <v>10</v>
      </c>
      <c r="R2586" s="26">
        <v>1</v>
      </c>
      <c r="S2586" s="26">
        <v>5</v>
      </c>
      <c r="T2586" s="26">
        <v>13</v>
      </c>
      <c r="U2586" s="26">
        <v>19</v>
      </c>
      <c r="V2586" s="26">
        <v>1</v>
      </c>
      <c r="W2586" s="26"/>
    </row>
    <row r="2587" spans="1:23" x14ac:dyDescent="0.25">
      <c r="A2587" s="26" t="str">
        <f t="shared" si="434"/>
        <v>PRIMARIA</v>
      </c>
      <c r="B2587" s="26" t="str">
        <f>"09PPR0984I"</f>
        <v>09PPR0984I</v>
      </c>
      <c r="C2587" s="26" t="str">
        <f>"PREMIO NOBEL DE LA PAZ                                                                              "</f>
        <v xml:space="preserve">PREMIO NOBEL DE LA PAZ                                                                              </v>
      </c>
      <c r="D2587" s="26" t="str">
        <f t="shared" si="441"/>
        <v>MATUTINO</v>
      </c>
      <c r="E2587" s="26" t="str">
        <f>"NOE NUM 42                                                                      "</f>
        <v xml:space="preserve">NOE NUM 42                                                                      </v>
      </c>
      <c r="F2587" s="26" t="str">
        <f>"GUADALUPE TEPEYAC                                                                                                                           "</f>
        <v xml:space="preserve">GUADALUPE TEPEYAC                                                                                                                           </v>
      </c>
      <c r="G2587" s="26" t="str">
        <f>"GUSTAVO A. MADERO                                                               "</f>
        <v xml:space="preserve">GUSTAVO A. MADERO                                                               </v>
      </c>
      <c r="H2587" s="26" t="str">
        <f>"247"</f>
        <v>247</v>
      </c>
      <c r="I2587" s="26" t="str">
        <f t="shared" si="435"/>
        <v>00</v>
      </c>
      <c r="J2587" s="26" t="str">
        <f>"42 "</f>
        <v xml:space="preserve">42 </v>
      </c>
      <c r="K2587" s="26" t="str">
        <f t="shared" si="442"/>
        <v>PR</v>
      </c>
      <c r="L2587" s="26" t="str">
        <f t="shared" si="443"/>
        <v>DGOSE</v>
      </c>
      <c r="M2587" s="26" t="str">
        <f t="shared" si="440"/>
        <v>PARTICULAR</v>
      </c>
      <c r="N2587" s="26">
        <v>311</v>
      </c>
      <c r="O2587" s="26">
        <v>180</v>
      </c>
      <c r="P2587" s="26">
        <v>131</v>
      </c>
      <c r="Q2587" s="26">
        <v>12</v>
      </c>
      <c r="R2587" s="26">
        <v>1</v>
      </c>
      <c r="S2587" s="26">
        <v>12</v>
      </c>
      <c r="T2587" s="26">
        <v>10</v>
      </c>
      <c r="U2587" s="26">
        <v>23</v>
      </c>
      <c r="V2587" s="26">
        <v>1</v>
      </c>
      <c r="W2587" s="26"/>
    </row>
    <row r="2588" spans="1:23" x14ac:dyDescent="0.25">
      <c r="A2588" s="26" t="str">
        <f t="shared" si="434"/>
        <v>PRIMARIA</v>
      </c>
      <c r="B2588" s="26" t="str">
        <f>"09PPR0985H"</f>
        <v>09PPR0985H</v>
      </c>
      <c r="C2588" s="26" t="str">
        <f>"CENTRO PEDAGOGICO LINDAVISTA                                                                        "</f>
        <v xml:space="preserve">CENTRO PEDAGOGICO LINDAVISTA                                                                        </v>
      </c>
      <c r="D2588" s="26" t="str">
        <f t="shared" si="441"/>
        <v>MATUTINO</v>
      </c>
      <c r="E2588" s="26" t="str">
        <f>"MATAGALPA NO 1008                                                               "</f>
        <v xml:space="preserve">MATAGALPA NO 1008                                                               </v>
      </c>
      <c r="F2588" s="26" t="str">
        <f>"RESIDENCIAL ZACATENCO                                                                                                                       "</f>
        <v xml:space="preserve">RESIDENCIAL ZACATENCO                                                                                                                       </v>
      </c>
      <c r="G2588" s="26" t="str">
        <f>"GUSTAVO A. MADERO                                                               "</f>
        <v xml:space="preserve">GUSTAVO A. MADERO                                                               </v>
      </c>
      <c r="H2588" s="26" t="str">
        <f>"242"</f>
        <v>242</v>
      </c>
      <c r="I2588" s="26" t="str">
        <f t="shared" si="435"/>
        <v>00</v>
      </c>
      <c r="J2588" s="26" t="str">
        <f>"42 "</f>
        <v xml:space="preserve">42 </v>
      </c>
      <c r="K2588" s="26" t="str">
        <f t="shared" si="442"/>
        <v>PR</v>
      </c>
      <c r="L2588" s="26" t="str">
        <f t="shared" si="443"/>
        <v>DGOSE</v>
      </c>
      <c r="M2588" s="26" t="str">
        <f t="shared" si="440"/>
        <v>PARTICULAR</v>
      </c>
      <c r="N2588" s="26">
        <v>86</v>
      </c>
      <c r="O2588" s="26">
        <v>56</v>
      </c>
      <c r="P2588" s="26">
        <v>30</v>
      </c>
      <c r="Q2588" s="26">
        <v>6</v>
      </c>
      <c r="R2588" s="26">
        <v>1</v>
      </c>
      <c r="S2588" s="26">
        <v>6</v>
      </c>
      <c r="T2588" s="26">
        <v>10</v>
      </c>
      <c r="U2588" s="26">
        <v>17</v>
      </c>
      <c r="V2588" s="26">
        <v>1</v>
      </c>
      <c r="W2588" s="26"/>
    </row>
    <row r="2589" spans="1:23" x14ac:dyDescent="0.25">
      <c r="A2589" s="26" t="str">
        <f t="shared" si="434"/>
        <v>PRIMARIA</v>
      </c>
      <c r="B2589" s="26" t="str">
        <f>"09PPR0986G"</f>
        <v>09PPR0986G</v>
      </c>
      <c r="C2589" s="26" t="str">
        <f>"ALFONSO REYES                                                                                       "</f>
        <v xml:space="preserve">ALFONSO REYES                                                                                       </v>
      </c>
      <c r="D2589" s="26" t="str">
        <f t="shared" si="441"/>
        <v>MATUTINO</v>
      </c>
      <c r="E2589" s="26" t="str">
        <f>"LA CIMA NO 9                                                                    "</f>
        <v xml:space="preserve">LA CIMA NO 9                                                                    </v>
      </c>
      <c r="F2589" s="26" t="str">
        <f>"ACUEDUCTO DE GUADALUPE                                                                                                                      "</f>
        <v xml:space="preserve">ACUEDUCTO DE GUADALUPE                                                                                                                      </v>
      </c>
      <c r="G2589" s="26" t="str">
        <f>"GUSTAVO A. MADERO                                                               "</f>
        <v xml:space="preserve">GUSTAVO A. MADERO                                                               </v>
      </c>
      <c r="H2589" s="26" t="str">
        <f>"236"</f>
        <v>236</v>
      </c>
      <c r="I2589" s="26" t="str">
        <f t="shared" si="435"/>
        <v>00</v>
      </c>
      <c r="J2589" s="26" t="str">
        <f>"42 "</f>
        <v xml:space="preserve">42 </v>
      </c>
      <c r="K2589" s="26" t="str">
        <f t="shared" si="442"/>
        <v>PR</v>
      </c>
      <c r="L2589" s="26" t="str">
        <f t="shared" si="443"/>
        <v>DGOSE</v>
      </c>
      <c r="M2589" s="26" t="str">
        <f t="shared" si="440"/>
        <v>PARTICULAR</v>
      </c>
      <c r="N2589" s="26">
        <v>45</v>
      </c>
      <c r="O2589" s="26">
        <v>27</v>
      </c>
      <c r="P2589" s="26">
        <v>18</v>
      </c>
      <c r="Q2589" s="26">
        <v>6</v>
      </c>
      <c r="R2589" s="26">
        <v>1</v>
      </c>
      <c r="S2589" s="26">
        <v>3</v>
      </c>
      <c r="T2589" s="26">
        <v>9</v>
      </c>
      <c r="U2589" s="26">
        <v>13</v>
      </c>
      <c r="V2589" s="26">
        <v>1</v>
      </c>
      <c r="W2589" s="26"/>
    </row>
    <row r="2590" spans="1:23" x14ac:dyDescent="0.25">
      <c r="A2590" s="26" t="str">
        <f t="shared" si="434"/>
        <v>PRIMARIA</v>
      </c>
      <c r="B2590" s="26" t="str">
        <f>"09PPR0987F"</f>
        <v>09PPR0987F</v>
      </c>
      <c r="C2590" s="26" t="str">
        <f>"WESTHILL INSTITUTE                                                                                  "</f>
        <v xml:space="preserve">WESTHILL INSTITUTE                                                                                  </v>
      </c>
      <c r="D2590" s="26" t="str">
        <f t="shared" si="441"/>
        <v>MATUTINO</v>
      </c>
      <c r="E2590" s="26" t="str">
        <f>"MONTE CARPATOS 940                                                              "</f>
        <v xml:space="preserve">MONTE CARPATOS 940                                                              </v>
      </c>
      <c r="F2590" s="26" t="str">
        <f>"LOMAS DE CHAPULTEPEC V                                                                                                                      "</f>
        <v xml:space="preserve">LOMAS DE CHAPULTEPEC V                                                                                                                      </v>
      </c>
      <c r="G2590" s="26" t="str">
        <f>"MIGUEL HIDALGO                                                                  "</f>
        <v xml:space="preserve">MIGUEL HIDALGO                                                                  </v>
      </c>
      <c r="H2590" s="26" t="str">
        <f>"209"</f>
        <v>209</v>
      </c>
      <c r="I2590" s="26" t="str">
        <f t="shared" si="435"/>
        <v>00</v>
      </c>
      <c r="J2590" s="26" t="str">
        <f>"42 "</f>
        <v xml:space="preserve">42 </v>
      </c>
      <c r="K2590" s="26" t="str">
        <f t="shared" si="442"/>
        <v>PR</v>
      </c>
      <c r="L2590" s="26" t="str">
        <f t="shared" si="443"/>
        <v>DGOSE</v>
      </c>
      <c r="M2590" s="26" t="str">
        <f t="shared" si="440"/>
        <v>PARTICULAR</v>
      </c>
      <c r="N2590" s="26">
        <v>121</v>
      </c>
      <c r="O2590" s="26">
        <v>64</v>
      </c>
      <c r="P2590" s="26">
        <v>57</v>
      </c>
      <c r="Q2590" s="26">
        <v>10</v>
      </c>
      <c r="R2590" s="26">
        <v>1</v>
      </c>
      <c r="S2590" s="26">
        <v>6</v>
      </c>
      <c r="T2590" s="26">
        <v>7</v>
      </c>
      <c r="U2590" s="26">
        <v>14</v>
      </c>
      <c r="V2590" s="26">
        <v>1</v>
      </c>
      <c r="W2590" s="26"/>
    </row>
    <row r="2591" spans="1:23" x14ac:dyDescent="0.25">
      <c r="A2591" s="26" t="str">
        <f t="shared" si="434"/>
        <v>PRIMARIA</v>
      </c>
      <c r="B2591" s="26" t="str">
        <f>"09PPR0988E"</f>
        <v>09PPR0988E</v>
      </c>
      <c r="C2591" s="26" t="str">
        <f>"GREGORIO TORRES QUINTERO                                                                            "</f>
        <v xml:space="preserve">GREGORIO TORRES QUINTERO                                                                            </v>
      </c>
      <c r="D2591" s="26" t="str">
        <f t="shared" si="441"/>
        <v>MATUTINO</v>
      </c>
      <c r="E2591" s="26" t="str">
        <f>"NORTE 23 A NO. 14                                                               "</f>
        <v xml:space="preserve">NORTE 23 A NO. 14                                                               </v>
      </c>
      <c r="F2591" s="26" t="str">
        <f>"LINDAVISTA VALLEJO                                                                                                                          "</f>
        <v xml:space="preserve">LINDAVISTA VALLEJO                                                                                                                          </v>
      </c>
      <c r="G2591" s="26" t="str">
        <f>"GUSTAVO A. MADERO                                                               "</f>
        <v xml:space="preserve">GUSTAVO A. MADERO                                                               </v>
      </c>
      <c r="H2591" s="26" t="str">
        <f>"241"</f>
        <v>241</v>
      </c>
      <c r="I2591" s="26" t="str">
        <f t="shared" si="435"/>
        <v>00</v>
      </c>
      <c r="J2591" s="26" t="str">
        <f>"42 "</f>
        <v xml:space="preserve">42 </v>
      </c>
      <c r="K2591" s="26" t="str">
        <f t="shared" si="442"/>
        <v>PR</v>
      </c>
      <c r="L2591" s="26" t="str">
        <f t="shared" si="443"/>
        <v>DGOSE</v>
      </c>
      <c r="M2591" s="26" t="str">
        <f t="shared" si="440"/>
        <v>PARTICULAR</v>
      </c>
      <c r="N2591" s="26">
        <v>60</v>
      </c>
      <c r="O2591" s="26">
        <v>37</v>
      </c>
      <c r="P2591" s="26">
        <v>23</v>
      </c>
      <c r="Q2591" s="26">
        <v>6</v>
      </c>
      <c r="R2591" s="26">
        <v>1</v>
      </c>
      <c r="S2591" s="26">
        <v>6</v>
      </c>
      <c r="T2591" s="26">
        <v>5</v>
      </c>
      <c r="U2591" s="26">
        <v>12</v>
      </c>
      <c r="V2591" s="26">
        <v>1</v>
      </c>
      <c r="W2591" s="26"/>
    </row>
    <row r="2592" spans="1:23" x14ac:dyDescent="0.25">
      <c r="A2592" s="26" t="str">
        <f t="shared" si="434"/>
        <v>PRIMARIA</v>
      </c>
      <c r="B2592" s="26" t="str">
        <f>"09PPR0990T"</f>
        <v>09PPR0990T</v>
      </c>
      <c r="C2592" s="26" t="str">
        <f>"CUICACALLI                                                                                          "</f>
        <v xml:space="preserve">CUICACALLI                                                                                          </v>
      </c>
      <c r="D2592" s="26" t="str">
        <f t="shared" si="441"/>
        <v>MATUTINO</v>
      </c>
      <c r="E2592" s="26" t="str">
        <f>"PINO SUAREZ NUM 56                                                              "</f>
        <v xml:space="preserve">PINO SUAREZ NUM 56                                                              </v>
      </c>
      <c r="F2592" s="26" t="str">
        <f>"SANTIAGO TULYEHUALCO                                                                                                                        "</f>
        <v xml:space="preserve">SANTIAGO TULYEHUALCO                                                                                                                        </v>
      </c>
      <c r="G2592" s="26" t="str">
        <f>"XOCHIMILCO                                                                      "</f>
        <v xml:space="preserve">XOCHIMILCO                                                                      </v>
      </c>
      <c r="H2592" s="26" t="str">
        <f>"544"</f>
        <v>544</v>
      </c>
      <c r="I2592" s="26" t="str">
        <f t="shared" si="435"/>
        <v>00</v>
      </c>
      <c r="J2592" s="26" t="str">
        <f>"45 "</f>
        <v xml:space="preserve">45 </v>
      </c>
      <c r="K2592" s="26" t="str">
        <f t="shared" si="442"/>
        <v>PR</v>
      </c>
      <c r="L2592" s="26" t="str">
        <f t="shared" si="443"/>
        <v>DGOSE</v>
      </c>
      <c r="M2592" s="26" t="str">
        <f t="shared" si="440"/>
        <v>PARTICULAR</v>
      </c>
      <c r="N2592" s="26">
        <v>84</v>
      </c>
      <c r="O2592" s="26">
        <v>43</v>
      </c>
      <c r="P2592" s="26">
        <v>41</v>
      </c>
      <c r="Q2592" s="26">
        <v>6</v>
      </c>
      <c r="R2592" s="26">
        <v>1</v>
      </c>
      <c r="S2592" s="26">
        <v>6</v>
      </c>
      <c r="T2592" s="26">
        <v>7</v>
      </c>
      <c r="U2592" s="26">
        <v>14</v>
      </c>
      <c r="V2592" s="26">
        <v>1</v>
      </c>
      <c r="W2592" s="26"/>
    </row>
    <row r="2593" spans="1:23" x14ac:dyDescent="0.25">
      <c r="A2593" s="26" t="str">
        <f t="shared" si="434"/>
        <v>PRIMARIA</v>
      </c>
      <c r="B2593" s="26" t="str">
        <f>"09PPR0991S"</f>
        <v>09PPR0991S</v>
      </c>
      <c r="C2593" s="26" t="str">
        <f>"COLEGIO MONTE HOREB                                                                                 "</f>
        <v xml:space="preserve">COLEGIO MONTE HOREB                                                                                 </v>
      </c>
      <c r="D2593" s="26" t="str">
        <f t="shared" si="441"/>
        <v>MATUTINO</v>
      </c>
      <c r="E2593" s="26" t="str">
        <f>"CUICATLAN NO 6                                                                  "</f>
        <v xml:space="preserve">CUICATLAN NO 6                                                                  </v>
      </c>
      <c r="F2593" s="26" t="str">
        <f>"RESIDENCIAL CAFETALES                                                                                                                       "</f>
        <v xml:space="preserve">RESIDENCIAL CAFETALES                                                                                                                       </v>
      </c>
      <c r="G2593" s="26" t="str">
        <f>"COYOACAN                                                                        "</f>
        <v xml:space="preserve">COYOACAN                                                                        </v>
      </c>
      <c r="H2593" s="26" t="str">
        <f>"510"</f>
        <v>510</v>
      </c>
      <c r="I2593" s="26" t="str">
        <f t="shared" si="435"/>
        <v>00</v>
      </c>
      <c r="J2593" s="26" t="str">
        <f>"45 "</f>
        <v xml:space="preserve">45 </v>
      </c>
      <c r="K2593" s="26" t="str">
        <f t="shared" si="442"/>
        <v>PR</v>
      </c>
      <c r="L2593" s="26" t="str">
        <f t="shared" si="443"/>
        <v>DGOSE</v>
      </c>
      <c r="M2593" s="26" t="str">
        <f t="shared" si="440"/>
        <v>PARTICULAR</v>
      </c>
      <c r="N2593" s="26">
        <v>110</v>
      </c>
      <c r="O2593" s="26">
        <v>60</v>
      </c>
      <c r="P2593" s="26">
        <v>50</v>
      </c>
      <c r="Q2593" s="26">
        <v>6</v>
      </c>
      <c r="R2593" s="26">
        <v>1</v>
      </c>
      <c r="S2593" s="26">
        <v>6</v>
      </c>
      <c r="T2593" s="26">
        <v>6</v>
      </c>
      <c r="U2593" s="26">
        <v>13</v>
      </c>
      <c r="V2593" s="26">
        <v>1</v>
      </c>
      <c r="W2593" s="26"/>
    </row>
    <row r="2594" spans="1:23" x14ac:dyDescent="0.25">
      <c r="A2594" s="26" t="str">
        <f t="shared" si="434"/>
        <v>PRIMARIA</v>
      </c>
      <c r="B2594" s="26" t="str">
        <f>"09PPR0993Q"</f>
        <v>09PPR0993Q</v>
      </c>
      <c r="C2594" s="26" t="str">
        <f>"CENTRO EDUCATIVO DIDASCALOS                                                                         "</f>
        <v xml:space="preserve">CENTRO EDUCATIVO DIDASCALOS                                                                         </v>
      </c>
      <c r="D2594" s="26" t="str">
        <f t="shared" si="441"/>
        <v>MATUTINO</v>
      </c>
      <c r="E2594" s="26" t="str">
        <f>"BILBAO NO. 853                                                                  "</f>
        <v xml:space="preserve">BILBAO NO. 853                                                                  </v>
      </c>
      <c r="F2594" s="26" t="str">
        <f>"SAN NICOLAS TOLENTINO                                                                                                                       "</f>
        <v xml:space="preserve">SAN NICOLAS TOLENTINO                                                                                                                       </v>
      </c>
      <c r="G2594" s="26" t="str">
        <f>"IZTAPALAPA                                                                      "</f>
        <v xml:space="preserve">IZTAPALAPA                                                                      </v>
      </c>
      <c r="H2594" s="26" t="str">
        <f>"000"</f>
        <v>000</v>
      </c>
      <c r="I2594" s="26" t="str">
        <f t="shared" si="435"/>
        <v>00</v>
      </c>
      <c r="J2594" s="26" t="str">
        <f>"63 "</f>
        <v xml:space="preserve">63 </v>
      </c>
      <c r="K2594" s="26" t="str">
        <f>"IZ"</f>
        <v>IZ</v>
      </c>
      <c r="L2594" s="26" t="str">
        <f>"DGSEI"</f>
        <v>DGSEI</v>
      </c>
      <c r="M2594" s="26" t="str">
        <f t="shared" si="440"/>
        <v>PARTICULAR</v>
      </c>
      <c r="N2594" s="26">
        <v>143</v>
      </c>
      <c r="O2594" s="26">
        <v>76</v>
      </c>
      <c r="P2594" s="26">
        <v>67</v>
      </c>
      <c r="Q2594" s="26">
        <v>7</v>
      </c>
      <c r="R2594" s="26">
        <v>1</v>
      </c>
      <c r="S2594" s="26">
        <v>7</v>
      </c>
      <c r="T2594" s="26">
        <v>7</v>
      </c>
      <c r="U2594" s="26">
        <v>15</v>
      </c>
      <c r="V2594" s="26">
        <v>1</v>
      </c>
      <c r="W2594" s="26"/>
    </row>
    <row r="2595" spans="1:23" x14ac:dyDescent="0.25">
      <c r="A2595" s="26" t="str">
        <f t="shared" si="434"/>
        <v>PRIMARIA</v>
      </c>
      <c r="B2595" s="26" t="str">
        <f>"09PPR0994P"</f>
        <v>09PPR0994P</v>
      </c>
      <c r="C2595" s="26" t="str">
        <f>"COLEGIO LA FAYETTE                                                                                  "</f>
        <v xml:space="preserve">COLEGIO LA FAYETTE                                                                                  </v>
      </c>
      <c r="D2595" s="26" t="str">
        <f t="shared" si="441"/>
        <v>MATUTINO</v>
      </c>
      <c r="E2595" s="26" t="str">
        <f>"TRUCHA NO 47                                                                    "</f>
        <v xml:space="preserve">TRUCHA NO 47                                                                    </v>
      </c>
      <c r="F2595" s="26" t="str">
        <f>"CARACOL                                                                                                                                     "</f>
        <v xml:space="preserve">CARACOL                                                                                                                                     </v>
      </c>
      <c r="G2595" s="26" t="str">
        <f>"VENUSTIANO CARRANZA                                                             "</f>
        <v xml:space="preserve">VENUSTIANO CARRANZA                                                             </v>
      </c>
      <c r="H2595" s="26" t="str">
        <f>"352"</f>
        <v>352</v>
      </c>
      <c r="I2595" s="26" t="str">
        <f t="shared" si="435"/>
        <v>00</v>
      </c>
      <c r="J2595" s="26" t="str">
        <f>"43 "</f>
        <v xml:space="preserve">43 </v>
      </c>
      <c r="K2595" s="26" t="str">
        <f t="shared" ref="K2595:K2615" si="444">"PR"</f>
        <v>PR</v>
      </c>
      <c r="L2595" s="26" t="str">
        <f t="shared" ref="L2595:L2615" si="445">"DGOSE"</f>
        <v>DGOSE</v>
      </c>
      <c r="M2595" s="26" t="str">
        <f t="shared" si="440"/>
        <v>PARTICULAR</v>
      </c>
      <c r="N2595" s="26">
        <v>102</v>
      </c>
      <c r="O2595" s="26">
        <v>42</v>
      </c>
      <c r="P2595" s="26">
        <v>60</v>
      </c>
      <c r="Q2595" s="26">
        <v>6</v>
      </c>
      <c r="R2595" s="26">
        <v>1</v>
      </c>
      <c r="S2595" s="26">
        <v>6</v>
      </c>
      <c r="T2595" s="26">
        <v>8</v>
      </c>
      <c r="U2595" s="26">
        <v>15</v>
      </c>
      <c r="V2595" s="26">
        <v>1</v>
      </c>
      <c r="W2595" s="26"/>
    </row>
    <row r="2596" spans="1:23" x14ac:dyDescent="0.25">
      <c r="A2596" s="26" t="str">
        <f t="shared" si="434"/>
        <v>PRIMARIA</v>
      </c>
      <c r="B2596" s="26" t="str">
        <f>"09PPR0995O"</f>
        <v>09PPR0995O</v>
      </c>
      <c r="C2596" s="26" t="str">
        <f>"""GALILEO GALILEI""                                                                                   "</f>
        <v xml:space="preserve">"GALILEO GALILEI"                                                                                   </v>
      </c>
      <c r="D2596" s="26" t="str">
        <f t="shared" si="441"/>
        <v>MATUTINO</v>
      </c>
      <c r="E2596" s="26" t="str">
        <f>"DELTAS NO 64                                                                    "</f>
        <v xml:space="preserve">DELTAS NO 64                                                                    </v>
      </c>
      <c r="F2596" s="26" t="str">
        <f>"ACUEDUCTO DE GUADALUPE                                                                                                                      "</f>
        <v xml:space="preserve">ACUEDUCTO DE GUADALUPE                                                                                                                      </v>
      </c>
      <c r="G2596" s="26" t="str">
        <f>"GUSTAVO A. MADERO                                                               "</f>
        <v xml:space="preserve">GUSTAVO A. MADERO                                                               </v>
      </c>
      <c r="H2596" s="26" t="str">
        <f>"236"</f>
        <v>236</v>
      </c>
      <c r="I2596" s="26" t="str">
        <f t="shared" si="435"/>
        <v>00</v>
      </c>
      <c r="J2596" s="26" t="str">
        <f>"42 "</f>
        <v xml:space="preserve">42 </v>
      </c>
      <c r="K2596" s="26" t="str">
        <f t="shared" si="444"/>
        <v>PR</v>
      </c>
      <c r="L2596" s="26" t="str">
        <f t="shared" si="445"/>
        <v>DGOSE</v>
      </c>
      <c r="M2596" s="26" t="str">
        <f t="shared" si="440"/>
        <v>PARTICULAR</v>
      </c>
      <c r="N2596" s="26">
        <v>101</v>
      </c>
      <c r="O2596" s="26">
        <v>53</v>
      </c>
      <c r="P2596" s="26">
        <v>48</v>
      </c>
      <c r="Q2596" s="26">
        <v>6</v>
      </c>
      <c r="R2596" s="26">
        <v>1</v>
      </c>
      <c r="S2596" s="26">
        <v>3</v>
      </c>
      <c r="T2596" s="26">
        <v>8</v>
      </c>
      <c r="U2596" s="26">
        <v>12</v>
      </c>
      <c r="V2596" s="26">
        <v>1</v>
      </c>
      <c r="W2596" s="26"/>
    </row>
    <row r="2597" spans="1:23" x14ac:dyDescent="0.25">
      <c r="A2597" s="26" t="str">
        <f t="shared" si="434"/>
        <v>PRIMARIA</v>
      </c>
      <c r="B2597" s="26" t="str">
        <f>"09PPR0996N"</f>
        <v>09PPR0996N</v>
      </c>
      <c r="C2597" s="26" t="str">
        <f>"MIGUEL DE CERVANTES SAAVEDRA                                                                        "</f>
        <v xml:space="preserve">MIGUEL DE CERVANTES SAAVEDRA                                                                        </v>
      </c>
      <c r="D2597" s="26" t="str">
        <f t="shared" si="441"/>
        <v>MATUTINO</v>
      </c>
      <c r="E2597" s="26" t="str">
        <f>"CAMINO DE LA ENSEÑANZA NO 50 Y 52                                               "</f>
        <v xml:space="preserve">CAMINO DE LA ENSEÑANZA NO 50 Y 52                                               </v>
      </c>
      <c r="F2597" s="26" t="str">
        <f>"CAMPESTRE ARAGON                                                                                                                            "</f>
        <v xml:space="preserve">CAMPESTRE ARAGON                                                                                                                            </v>
      </c>
      <c r="G2597" s="26" t="str">
        <f>"GUSTAVO A. MADERO                                                               "</f>
        <v xml:space="preserve">GUSTAVO A. MADERO                                                               </v>
      </c>
      <c r="H2597" s="26" t="str">
        <f>"263"</f>
        <v>263</v>
      </c>
      <c r="I2597" s="26" t="str">
        <f t="shared" si="435"/>
        <v>00</v>
      </c>
      <c r="J2597" s="26" t="str">
        <f>"42 "</f>
        <v xml:space="preserve">42 </v>
      </c>
      <c r="K2597" s="26" t="str">
        <f t="shared" si="444"/>
        <v>PR</v>
      </c>
      <c r="L2597" s="26" t="str">
        <f t="shared" si="445"/>
        <v>DGOSE</v>
      </c>
      <c r="M2597" s="26" t="str">
        <f t="shared" si="440"/>
        <v>PARTICULAR</v>
      </c>
      <c r="N2597" s="26">
        <v>112</v>
      </c>
      <c r="O2597" s="26">
        <v>59</v>
      </c>
      <c r="P2597" s="26">
        <v>53</v>
      </c>
      <c r="Q2597" s="26">
        <v>6</v>
      </c>
      <c r="R2597" s="26">
        <v>1</v>
      </c>
      <c r="S2597" s="26">
        <v>6</v>
      </c>
      <c r="T2597" s="26">
        <v>9</v>
      </c>
      <c r="U2597" s="26">
        <v>16</v>
      </c>
      <c r="V2597" s="26">
        <v>1</v>
      </c>
      <c r="W2597" s="26"/>
    </row>
    <row r="2598" spans="1:23" x14ac:dyDescent="0.25">
      <c r="A2598" s="26" t="str">
        <f t="shared" si="434"/>
        <v>PRIMARIA</v>
      </c>
      <c r="B2598" s="26" t="str">
        <f>"09PPR0998L"</f>
        <v>09PPR0998L</v>
      </c>
      <c r="C2598" s="26" t="str">
        <f>"IZTACALCO                                                                                           "</f>
        <v xml:space="preserve">IZTACALCO                                                                                           </v>
      </c>
      <c r="D2598" s="26" t="str">
        <f t="shared" si="441"/>
        <v>MATUTINO</v>
      </c>
      <c r="E2598" s="26" t="str">
        <f>"AVENIDA FRANCISCO I MADERO No 89                                                "</f>
        <v xml:space="preserve">AVENIDA FRANCISCO I MADERO No 89                                                </v>
      </c>
      <c r="F2598" s="26" t="str">
        <f>"SAN MIGUEL BARRIO                                                                                                                           "</f>
        <v xml:space="preserve">SAN MIGUEL BARRIO                                                                                                                           </v>
      </c>
      <c r="G2598" s="26" t="str">
        <f>"IZTACALCO                                                                       "</f>
        <v xml:space="preserve">IZTACALCO                                                                       </v>
      </c>
      <c r="H2598" s="26" t="str">
        <f>"362"</f>
        <v>362</v>
      </c>
      <c r="I2598" s="26" t="str">
        <f t="shared" si="435"/>
        <v>00</v>
      </c>
      <c r="J2598" s="26" t="str">
        <f>"43 "</f>
        <v xml:space="preserve">43 </v>
      </c>
      <c r="K2598" s="26" t="str">
        <f t="shared" si="444"/>
        <v>PR</v>
      </c>
      <c r="L2598" s="26" t="str">
        <f t="shared" si="445"/>
        <v>DGOSE</v>
      </c>
      <c r="M2598" s="26" t="str">
        <f t="shared" si="440"/>
        <v>PARTICULAR</v>
      </c>
      <c r="N2598" s="26">
        <v>90</v>
      </c>
      <c r="O2598" s="26">
        <v>52</v>
      </c>
      <c r="P2598" s="26">
        <v>38</v>
      </c>
      <c r="Q2598" s="26">
        <v>6</v>
      </c>
      <c r="R2598" s="26">
        <v>1</v>
      </c>
      <c r="S2598" s="26">
        <v>4</v>
      </c>
      <c r="T2598" s="26">
        <v>8</v>
      </c>
      <c r="U2598" s="26">
        <v>13</v>
      </c>
      <c r="V2598" s="26">
        <v>1</v>
      </c>
      <c r="W2598" s="26"/>
    </row>
    <row r="2599" spans="1:23" x14ac:dyDescent="0.25">
      <c r="A2599" s="26" t="str">
        <f t="shared" si="434"/>
        <v>PRIMARIA</v>
      </c>
      <c r="B2599" s="26" t="str">
        <f>"09PPR0999K"</f>
        <v>09PPR0999K</v>
      </c>
      <c r="C2599" s="26" t="str">
        <f>"COLEGIO MONTESSORI SHANTI                                                                           "</f>
        <v xml:space="preserve">COLEGIO MONTESSORI SHANTI                                                                           </v>
      </c>
      <c r="D2599" s="26" t="str">
        <f t="shared" si="441"/>
        <v>MATUTINO</v>
      </c>
      <c r="E2599" s="26" t="str">
        <f>"PUENTE METLAC NO. 176                                                           "</f>
        <v xml:space="preserve">PUENTE METLAC NO. 176                                                           </v>
      </c>
      <c r="F2599" s="26" t="str">
        <f>"PUENTE COLORADO                                                                                                                             "</f>
        <v xml:space="preserve">PUENTE COLORADO                                                                                                                             </v>
      </c>
      <c r="G2599" s="26" t="str">
        <f>"ALVARO OBREGON                                                                  "</f>
        <v xml:space="preserve">ALVARO OBREGON                                                                  </v>
      </c>
      <c r="H2599" s="26" t="str">
        <f>"322"</f>
        <v>322</v>
      </c>
      <c r="I2599" s="26" t="str">
        <f t="shared" si="435"/>
        <v>00</v>
      </c>
      <c r="J2599" s="26" t="str">
        <f>"43 "</f>
        <v xml:space="preserve">43 </v>
      </c>
      <c r="K2599" s="26" t="str">
        <f t="shared" si="444"/>
        <v>PR</v>
      </c>
      <c r="L2599" s="26" t="str">
        <f t="shared" si="445"/>
        <v>DGOSE</v>
      </c>
      <c r="M2599" s="26" t="str">
        <f t="shared" si="440"/>
        <v>PARTICULAR</v>
      </c>
      <c r="N2599" s="26">
        <v>57</v>
      </c>
      <c r="O2599" s="26">
        <v>30</v>
      </c>
      <c r="P2599" s="26">
        <v>27</v>
      </c>
      <c r="Q2599" s="26">
        <v>6</v>
      </c>
      <c r="R2599" s="26">
        <v>1</v>
      </c>
      <c r="S2599" s="26">
        <v>3</v>
      </c>
      <c r="T2599" s="26">
        <v>7</v>
      </c>
      <c r="U2599" s="26">
        <v>11</v>
      </c>
      <c r="V2599" s="26">
        <v>1</v>
      </c>
      <c r="W2599" s="26"/>
    </row>
    <row r="2600" spans="1:23" x14ac:dyDescent="0.25">
      <c r="A2600" s="26" t="str">
        <f t="shared" si="434"/>
        <v>PRIMARIA</v>
      </c>
      <c r="B2600" s="26" t="str">
        <f>"09PPR1000Z"</f>
        <v>09PPR1000Z</v>
      </c>
      <c r="C2600" s="26" t="str">
        <f>"COAHUILA                                                                                            "</f>
        <v xml:space="preserve">COAHUILA                                                                                            </v>
      </c>
      <c r="D2600" s="26" t="str">
        <f t="shared" si="441"/>
        <v>MATUTINO</v>
      </c>
      <c r="E2600" s="26" t="str">
        <f>"AV COAHUILA NO 75                                                               "</f>
        <v xml:space="preserve">AV COAHUILA NO 75                                                               </v>
      </c>
      <c r="F2600" s="26" t="str">
        <f>"CUAJIMALPA                                                                                                                                  "</f>
        <v xml:space="preserve">CUAJIMALPA                                                                                                                                  </v>
      </c>
      <c r="G2600" s="26" t="str">
        <f>"CUAJIMALPA DE MORELOS                                                           "</f>
        <v xml:space="preserve">CUAJIMALPA DE MORELOS                                                           </v>
      </c>
      <c r="H2600" s="26" t="str">
        <f>"305"</f>
        <v>305</v>
      </c>
      <c r="I2600" s="26" t="str">
        <f t="shared" si="435"/>
        <v>00</v>
      </c>
      <c r="J2600" s="26" t="str">
        <f>"43 "</f>
        <v xml:space="preserve">43 </v>
      </c>
      <c r="K2600" s="26" t="str">
        <f t="shared" si="444"/>
        <v>PR</v>
      </c>
      <c r="L2600" s="26" t="str">
        <f t="shared" si="445"/>
        <v>DGOSE</v>
      </c>
      <c r="M2600" s="26" t="str">
        <f t="shared" si="440"/>
        <v>PARTICULAR</v>
      </c>
      <c r="N2600" s="26">
        <v>100</v>
      </c>
      <c r="O2600" s="26">
        <v>58</v>
      </c>
      <c r="P2600" s="26">
        <v>42</v>
      </c>
      <c r="Q2600" s="26">
        <v>7</v>
      </c>
      <c r="R2600" s="26">
        <v>0</v>
      </c>
      <c r="S2600" s="26">
        <v>7</v>
      </c>
      <c r="T2600" s="26">
        <v>4</v>
      </c>
      <c r="U2600" s="26">
        <v>11</v>
      </c>
      <c r="V2600" s="26">
        <v>1</v>
      </c>
      <c r="W2600" s="26"/>
    </row>
    <row r="2601" spans="1:23" x14ac:dyDescent="0.25">
      <c r="A2601" s="26" t="str">
        <f t="shared" si="434"/>
        <v>PRIMARIA</v>
      </c>
      <c r="B2601" s="26" t="str">
        <f>"09PPR1001Z"</f>
        <v>09PPR1001Z</v>
      </c>
      <c r="C2601" s="26" t="str">
        <f>"FREINET                                                                                             "</f>
        <v xml:space="preserve">FREINET                                                                                             </v>
      </c>
      <c r="D2601" s="26" t="str">
        <f t="shared" si="441"/>
        <v>MATUTINO</v>
      </c>
      <c r="E2601" s="26" t="str">
        <f>"GABRIEL HERNANDEZ # 14                                                          "</f>
        <v xml:space="preserve">GABRIEL HERNANDEZ # 14                                                          </v>
      </c>
      <c r="F2601" s="26" t="str">
        <f>"TLAHUAC                                                                                                                                     "</f>
        <v xml:space="preserve">TLAHUAC                                                                                                                                     </v>
      </c>
      <c r="G2601" s="26" t="str">
        <f>"TLAHUAC                                                                         "</f>
        <v xml:space="preserve">TLAHUAC                                                                         </v>
      </c>
      <c r="H2601" s="26" t="str">
        <f>"558"</f>
        <v>558</v>
      </c>
      <c r="I2601" s="26" t="str">
        <f t="shared" si="435"/>
        <v>00</v>
      </c>
      <c r="J2601" s="26" t="str">
        <f>"45 "</f>
        <v xml:space="preserve">45 </v>
      </c>
      <c r="K2601" s="26" t="str">
        <f t="shared" si="444"/>
        <v>PR</v>
      </c>
      <c r="L2601" s="26" t="str">
        <f t="shared" si="445"/>
        <v>DGOSE</v>
      </c>
      <c r="M2601" s="26" t="str">
        <f t="shared" si="440"/>
        <v>PARTICULAR</v>
      </c>
      <c r="N2601" s="26">
        <v>131</v>
      </c>
      <c r="O2601" s="26">
        <v>70</v>
      </c>
      <c r="P2601" s="26">
        <v>61</v>
      </c>
      <c r="Q2601" s="26">
        <v>6</v>
      </c>
      <c r="R2601" s="26">
        <v>1</v>
      </c>
      <c r="S2601" s="26">
        <v>6</v>
      </c>
      <c r="T2601" s="26">
        <v>8</v>
      </c>
      <c r="U2601" s="26">
        <v>15</v>
      </c>
      <c r="V2601" s="26">
        <v>1</v>
      </c>
      <c r="W2601" s="26"/>
    </row>
    <row r="2602" spans="1:23" x14ac:dyDescent="0.25">
      <c r="A2602" s="26" t="str">
        <f t="shared" si="434"/>
        <v>PRIMARIA</v>
      </c>
      <c r="B2602" s="26" t="str">
        <f>"09PPR1002Y"</f>
        <v>09PPR1002Y</v>
      </c>
      <c r="C2602" s="26" t="str">
        <f>"DE RUAN                                                                                             "</f>
        <v xml:space="preserve">DE RUAN                                                                                             </v>
      </c>
      <c r="D2602" s="26" t="str">
        <f t="shared" si="441"/>
        <v>MATUTINO</v>
      </c>
      <c r="E2602" s="26" t="str">
        <f>"16 DE SEPTIEMBRE # 133                                                          "</f>
        <v xml:space="preserve">16 DE SEPTIEMBRE # 133                                                          </v>
      </c>
      <c r="F2602" s="26" t="str">
        <f>"SAN ANDRES TOTOLTEPEC                                                                                                                       "</f>
        <v xml:space="preserve">SAN ANDRES TOTOLTEPEC                                                                                                                       </v>
      </c>
      <c r="G2602" s="26" t="str">
        <f>"TLALPAN                                                                         "</f>
        <v xml:space="preserve">TLALPAN                                                                         </v>
      </c>
      <c r="H2602" s="26" t="str">
        <f>"529"</f>
        <v>529</v>
      </c>
      <c r="I2602" s="26" t="str">
        <f t="shared" si="435"/>
        <v>00</v>
      </c>
      <c r="J2602" s="26" t="str">
        <f>"45 "</f>
        <v xml:space="preserve">45 </v>
      </c>
      <c r="K2602" s="26" t="str">
        <f t="shared" si="444"/>
        <v>PR</v>
      </c>
      <c r="L2602" s="26" t="str">
        <f t="shared" si="445"/>
        <v>DGOSE</v>
      </c>
      <c r="M2602" s="26" t="str">
        <f t="shared" si="440"/>
        <v>PARTICULAR</v>
      </c>
      <c r="N2602" s="26">
        <v>107</v>
      </c>
      <c r="O2602" s="26">
        <v>59</v>
      </c>
      <c r="P2602" s="26">
        <v>48</v>
      </c>
      <c r="Q2602" s="26">
        <v>6</v>
      </c>
      <c r="R2602" s="26">
        <v>1</v>
      </c>
      <c r="S2602" s="26">
        <v>6</v>
      </c>
      <c r="T2602" s="26">
        <v>3</v>
      </c>
      <c r="U2602" s="26">
        <v>10</v>
      </c>
      <c r="V2602" s="26">
        <v>1</v>
      </c>
      <c r="W2602" s="26"/>
    </row>
    <row r="2603" spans="1:23" x14ac:dyDescent="0.25">
      <c r="A2603" s="26" t="str">
        <f t="shared" si="434"/>
        <v>PRIMARIA</v>
      </c>
      <c r="B2603" s="26" t="str">
        <f>"09PPR1003X"</f>
        <v>09PPR1003X</v>
      </c>
      <c r="C2603" s="26" t="str">
        <f>"COLEGIO CHIARAVALLE                                                                                 "</f>
        <v xml:space="preserve">COLEGIO CHIARAVALLE                                                                                 </v>
      </c>
      <c r="D2603" s="26" t="str">
        <f t="shared" si="441"/>
        <v>MATUTINO</v>
      </c>
      <c r="E2603" s="26" t="str">
        <f>"CERRO SAN FRANCISCO NO 295                                                      "</f>
        <v xml:space="preserve">CERRO SAN FRANCISCO NO 295                                                      </v>
      </c>
      <c r="F2603" s="26" t="str">
        <f>"CAMPESTRE CHURUBUSCO                                                                                                                        "</f>
        <v xml:space="preserve">CAMPESTRE CHURUBUSCO                                                                                                                        </v>
      </c>
      <c r="G2603" s="26" t="str">
        <f>"COYOACAN                                                                        "</f>
        <v xml:space="preserve">COYOACAN                                                                        </v>
      </c>
      <c r="H2603" s="26" t="str">
        <f>"509"</f>
        <v>509</v>
      </c>
      <c r="I2603" s="26" t="str">
        <f t="shared" si="435"/>
        <v>00</v>
      </c>
      <c r="J2603" s="26" t="str">
        <f>"45 "</f>
        <v xml:space="preserve">45 </v>
      </c>
      <c r="K2603" s="26" t="str">
        <f t="shared" si="444"/>
        <v>PR</v>
      </c>
      <c r="L2603" s="26" t="str">
        <f t="shared" si="445"/>
        <v>DGOSE</v>
      </c>
      <c r="M2603" s="26" t="str">
        <f t="shared" si="440"/>
        <v>PARTICULAR</v>
      </c>
      <c r="N2603" s="26">
        <v>27</v>
      </c>
      <c r="O2603" s="26">
        <v>8</v>
      </c>
      <c r="P2603" s="26">
        <v>19</v>
      </c>
      <c r="Q2603" s="26">
        <v>6</v>
      </c>
      <c r="R2603" s="26">
        <v>1</v>
      </c>
      <c r="S2603" s="26">
        <v>3</v>
      </c>
      <c r="T2603" s="26">
        <v>7</v>
      </c>
      <c r="U2603" s="26">
        <v>11</v>
      </c>
      <c r="V2603" s="26">
        <v>1</v>
      </c>
      <c r="W2603" s="26"/>
    </row>
    <row r="2604" spans="1:23" x14ac:dyDescent="0.25">
      <c r="A2604" s="26" t="str">
        <f t="shared" si="434"/>
        <v>PRIMARIA</v>
      </c>
      <c r="B2604" s="26" t="str">
        <f>"09PPR1004W"</f>
        <v>09PPR1004W</v>
      </c>
      <c r="C2604" s="26" t="str">
        <f>"COLEGIO ANGLO AMERICANO DE COYOACAN                                                                 "</f>
        <v xml:space="preserve">COLEGIO ANGLO AMERICANO DE COYOACAN                                                                 </v>
      </c>
      <c r="D2604" s="26" t="str">
        <f t="shared" si="441"/>
        <v>MATUTINO</v>
      </c>
      <c r="E2604" s="26" t="str">
        <f>"AV RIO CHURUBUSCO NO 409                                                        "</f>
        <v xml:space="preserve">AV RIO CHURUBUSCO NO 409                                                        </v>
      </c>
      <c r="F2604" s="26" t="str">
        <f>"PASEOS DE TAXQUEÑA                                                                                                                          "</f>
        <v xml:space="preserve">PASEOS DE TAXQUEÑA                                                                                                                          </v>
      </c>
      <c r="G2604" s="26" t="str">
        <f>"COYOACAN                                                                        "</f>
        <v xml:space="preserve">COYOACAN                                                                        </v>
      </c>
      <c r="H2604" s="26" t="str">
        <f>"509"</f>
        <v>509</v>
      </c>
      <c r="I2604" s="26" t="str">
        <f t="shared" si="435"/>
        <v>00</v>
      </c>
      <c r="J2604" s="26" t="str">
        <f>"45 "</f>
        <v xml:space="preserve">45 </v>
      </c>
      <c r="K2604" s="26" t="str">
        <f t="shared" si="444"/>
        <v>PR</v>
      </c>
      <c r="L2604" s="26" t="str">
        <f t="shared" si="445"/>
        <v>DGOSE</v>
      </c>
      <c r="M2604" s="26" t="str">
        <f t="shared" si="440"/>
        <v>PARTICULAR</v>
      </c>
      <c r="N2604" s="26">
        <v>338</v>
      </c>
      <c r="O2604" s="26">
        <v>165</v>
      </c>
      <c r="P2604" s="26">
        <v>173</v>
      </c>
      <c r="Q2604" s="26">
        <v>14</v>
      </c>
      <c r="R2604" s="26">
        <v>1</v>
      </c>
      <c r="S2604" s="26">
        <v>8</v>
      </c>
      <c r="T2604" s="26">
        <v>13</v>
      </c>
      <c r="U2604" s="26">
        <v>22</v>
      </c>
      <c r="V2604" s="26">
        <v>1</v>
      </c>
      <c r="W2604" s="26"/>
    </row>
    <row r="2605" spans="1:23" x14ac:dyDescent="0.25">
      <c r="A2605" s="26" t="str">
        <f t="shared" si="434"/>
        <v>PRIMARIA</v>
      </c>
      <c r="B2605" s="26" t="str">
        <f>"09PPR1005V"</f>
        <v>09PPR1005V</v>
      </c>
      <c r="C2605" s="26" t="str">
        <f>"COLEGIO RENACIMIENTO DEL SUR                                                                        "</f>
        <v xml:space="preserve">COLEGIO RENACIMIENTO DEL SUR                                                                        </v>
      </c>
      <c r="D2605" s="26" t="str">
        <f t="shared" si="441"/>
        <v>MATUTINO</v>
      </c>
      <c r="E2605" s="26" t="str">
        <f>"CARR XOCHIMILCO TULYEHUALCO 694                                                 "</f>
        <v xml:space="preserve">CARR XOCHIMILCO TULYEHUALCO 694                                                 </v>
      </c>
      <c r="F2605" s="26" t="str">
        <f>"SANTA MARIA NATIVITAS                                                                                                                       "</f>
        <v xml:space="preserve">SANTA MARIA NATIVITAS                                                                                                                       </v>
      </c>
      <c r="G2605" s="26" t="str">
        <f>"XOCHIMILCO                                                                      "</f>
        <v xml:space="preserve">XOCHIMILCO                                                                      </v>
      </c>
      <c r="H2605" s="26" t="str">
        <f>"540"</f>
        <v>540</v>
      </c>
      <c r="I2605" s="26" t="str">
        <f t="shared" si="435"/>
        <v>00</v>
      </c>
      <c r="J2605" s="26" t="str">
        <f>"45 "</f>
        <v xml:space="preserve">45 </v>
      </c>
      <c r="K2605" s="26" t="str">
        <f t="shared" si="444"/>
        <v>PR</v>
      </c>
      <c r="L2605" s="26" t="str">
        <f t="shared" si="445"/>
        <v>DGOSE</v>
      </c>
      <c r="M2605" s="26" t="str">
        <f t="shared" si="440"/>
        <v>PARTICULAR</v>
      </c>
      <c r="N2605" s="26">
        <v>100</v>
      </c>
      <c r="O2605" s="26">
        <v>56</v>
      </c>
      <c r="P2605" s="26">
        <v>44</v>
      </c>
      <c r="Q2605" s="26">
        <v>6</v>
      </c>
      <c r="R2605" s="26">
        <v>1</v>
      </c>
      <c r="S2605" s="26">
        <v>3</v>
      </c>
      <c r="T2605" s="26">
        <v>8</v>
      </c>
      <c r="U2605" s="26">
        <v>12</v>
      </c>
      <c r="V2605" s="26">
        <v>1</v>
      </c>
      <c r="W2605" s="26"/>
    </row>
    <row r="2606" spans="1:23" x14ac:dyDescent="0.25">
      <c r="A2606" s="26" t="str">
        <f t="shared" si="434"/>
        <v>PRIMARIA</v>
      </c>
      <c r="B2606" s="26" t="str">
        <f>"09PPR1006U"</f>
        <v>09PPR1006U</v>
      </c>
      <c r="C2606" s="26" t="str">
        <f>"EL TESORO DEL SABER                                                                                 "</f>
        <v xml:space="preserve">EL TESORO DEL SABER                                                                                 </v>
      </c>
      <c r="D2606" s="26" t="str">
        <f t="shared" si="441"/>
        <v>MATUTINO</v>
      </c>
      <c r="E2606" s="26" t="str">
        <f>"NORTE 82 NO. 4229                                                               "</f>
        <v xml:space="preserve">NORTE 82 NO. 4229                                                               </v>
      </c>
      <c r="F2606" s="26" t="str">
        <f>"MALINCHE                                                                                                                                    "</f>
        <v xml:space="preserve">MALINCHE                                                                                                                                    </v>
      </c>
      <c r="G2606" s="26" t="str">
        <f>"GUSTAVO A. MADERO                                                               "</f>
        <v xml:space="preserve">GUSTAVO A. MADERO                                                               </v>
      </c>
      <c r="H2606" s="26" t="str">
        <f>"254"</f>
        <v>254</v>
      </c>
      <c r="I2606" s="26" t="str">
        <f t="shared" si="435"/>
        <v>00</v>
      </c>
      <c r="J2606" s="26" t="str">
        <f>"42 "</f>
        <v xml:space="preserve">42 </v>
      </c>
      <c r="K2606" s="26" t="str">
        <f t="shared" si="444"/>
        <v>PR</v>
      </c>
      <c r="L2606" s="26" t="str">
        <f t="shared" si="445"/>
        <v>DGOSE</v>
      </c>
      <c r="M2606" s="26" t="str">
        <f t="shared" si="440"/>
        <v>PARTICULAR</v>
      </c>
      <c r="N2606" s="26">
        <v>222</v>
      </c>
      <c r="O2606" s="26">
        <v>107</v>
      </c>
      <c r="P2606" s="26">
        <v>115</v>
      </c>
      <c r="Q2606" s="26">
        <v>7</v>
      </c>
      <c r="R2606" s="26">
        <v>1</v>
      </c>
      <c r="S2606" s="26">
        <v>2</v>
      </c>
      <c r="T2606" s="26">
        <v>9</v>
      </c>
      <c r="U2606" s="26">
        <v>12</v>
      </c>
      <c r="V2606" s="26">
        <v>1</v>
      </c>
      <c r="W2606" s="26"/>
    </row>
    <row r="2607" spans="1:23" x14ac:dyDescent="0.25">
      <c r="A2607" s="26" t="str">
        <f t="shared" si="434"/>
        <v>PRIMARIA</v>
      </c>
      <c r="B2607" s="26" t="str">
        <f>"09PPR1008S"</f>
        <v>09PPR1008S</v>
      </c>
      <c r="C2607" s="26" t="str">
        <f>"RAFAEL SOLANA                                                                                       "</f>
        <v xml:space="preserve">RAFAEL SOLANA                                                                                       </v>
      </c>
      <c r="D2607" s="26" t="str">
        <f t="shared" si="441"/>
        <v>MATUTINO</v>
      </c>
      <c r="E2607" s="26" t="str">
        <f>"PROYECTOS DE EXPLOTACION M9 L9 Y 10                                             "</f>
        <v xml:space="preserve">PROYECTOS DE EXPLOTACION M9 L9 Y 10                                             </v>
      </c>
      <c r="F2607" s="26" t="str">
        <f>"SOLIDARIDAD NACIONAL                                                                                                                        "</f>
        <v xml:space="preserve">SOLIDARIDAD NACIONAL                                                                                                                        </v>
      </c>
      <c r="G2607" s="26" t="str">
        <f>"GUSTAVO A. MADERO                                                               "</f>
        <v xml:space="preserve">GUSTAVO A. MADERO                                                               </v>
      </c>
      <c r="H2607" s="26" t="str">
        <f>"234"</f>
        <v>234</v>
      </c>
      <c r="I2607" s="26" t="str">
        <f t="shared" si="435"/>
        <v>00</v>
      </c>
      <c r="J2607" s="26" t="str">
        <f>"42 "</f>
        <v xml:space="preserve">42 </v>
      </c>
      <c r="K2607" s="26" t="str">
        <f t="shared" si="444"/>
        <v>PR</v>
      </c>
      <c r="L2607" s="26" t="str">
        <f t="shared" si="445"/>
        <v>DGOSE</v>
      </c>
      <c r="M2607" s="26" t="str">
        <f t="shared" si="440"/>
        <v>PARTICULAR</v>
      </c>
      <c r="N2607" s="26">
        <v>138</v>
      </c>
      <c r="O2607" s="26">
        <v>61</v>
      </c>
      <c r="P2607" s="26">
        <v>77</v>
      </c>
      <c r="Q2607" s="26">
        <v>6</v>
      </c>
      <c r="R2607" s="26">
        <v>1</v>
      </c>
      <c r="S2607" s="26">
        <v>6</v>
      </c>
      <c r="T2607" s="26">
        <v>9</v>
      </c>
      <c r="U2607" s="26">
        <v>16</v>
      </c>
      <c r="V2607" s="26">
        <v>1</v>
      </c>
      <c r="W2607" s="26"/>
    </row>
    <row r="2608" spans="1:23" x14ac:dyDescent="0.25">
      <c r="A2608" s="26" t="str">
        <f t="shared" si="434"/>
        <v>PRIMARIA</v>
      </c>
      <c r="B2608" s="26" t="str">
        <f>"09PPR1009R"</f>
        <v>09PPR1009R</v>
      </c>
      <c r="C2608" s="26" t="str">
        <f>"INSTITUTO ALMERIA                                                                                   "</f>
        <v xml:space="preserve">INSTITUTO ALMERIA                                                                                   </v>
      </c>
      <c r="D2608" s="26" t="str">
        <f t="shared" si="441"/>
        <v>MATUTINO</v>
      </c>
      <c r="E2608" s="26" t="str">
        <f>"AV 551 NO 206                                                                   "</f>
        <v xml:space="preserve">AV 551 NO 206                                                                   </v>
      </c>
      <c r="F2608" s="26" t="str">
        <f>"SAN JUAN DE ARAGON                                                                                                                          "</f>
        <v xml:space="preserve">SAN JUAN DE ARAGON                                                                                                                          </v>
      </c>
      <c r="G2608" s="26" t="str">
        <f>"GUSTAVO A. MADERO                                                               "</f>
        <v xml:space="preserve">GUSTAVO A. MADERO                                                               </v>
      </c>
      <c r="H2608" s="26" t="str">
        <f>"269"</f>
        <v>269</v>
      </c>
      <c r="I2608" s="26" t="str">
        <f t="shared" si="435"/>
        <v>00</v>
      </c>
      <c r="J2608" s="26" t="str">
        <f>"42 "</f>
        <v xml:space="preserve">42 </v>
      </c>
      <c r="K2608" s="26" t="str">
        <f t="shared" si="444"/>
        <v>PR</v>
      </c>
      <c r="L2608" s="26" t="str">
        <f t="shared" si="445"/>
        <v>DGOSE</v>
      </c>
      <c r="M2608" s="26" t="str">
        <f t="shared" si="440"/>
        <v>PARTICULAR</v>
      </c>
      <c r="N2608" s="26">
        <v>113</v>
      </c>
      <c r="O2608" s="26">
        <v>63</v>
      </c>
      <c r="P2608" s="26">
        <v>50</v>
      </c>
      <c r="Q2608" s="26">
        <v>6</v>
      </c>
      <c r="R2608" s="26">
        <v>1</v>
      </c>
      <c r="S2608" s="26">
        <v>3</v>
      </c>
      <c r="T2608" s="26">
        <v>5</v>
      </c>
      <c r="U2608" s="26">
        <v>9</v>
      </c>
      <c r="V2608" s="26">
        <v>1</v>
      </c>
      <c r="W2608" s="26"/>
    </row>
    <row r="2609" spans="1:23" x14ac:dyDescent="0.25">
      <c r="A2609" s="26" t="str">
        <f t="shared" si="434"/>
        <v>PRIMARIA</v>
      </c>
      <c r="B2609" s="26" t="str">
        <f>"09PPR1011F"</f>
        <v>09PPR1011F</v>
      </c>
      <c r="C2609" s="26" t="str">
        <f>"DIEGO RIVERA                                                                                        "</f>
        <v xml:space="preserve">DIEGO RIVERA                                                                                        </v>
      </c>
      <c r="D2609" s="26" t="str">
        <f t="shared" si="441"/>
        <v>MATUTINO</v>
      </c>
      <c r="E2609" s="26" t="str">
        <f>"AV TAMAULIPAS NUM 1290                                                          "</f>
        <v xml:space="preserve">AV TAMAULIPAS NUM 1290                                                          </v>
      </c>
      <c r="F2609" s="26" t="str">
        <f>"CORPUS CHRISTI                                                                                                                              "</f>
        <v xml:space="preserve">CORPUS CHRISTI                                                                                                                              </v>
      </c>
      <c r="G2609" s="26" t="str">
        <f>"ALVARO OBREGON                                                                  "</f>
        <v xml:space="preserve">ALVARO OBREGON                                                                  </v>
      </c>
      <c r="H2609" s="26" t="str">
        <f>"318"</f>
        <v>318</v>
      </c>
      <c r="I2609" s="26" t="str">
        <f t="shared" si="435"/>
        <v>00</v>
      </c>
      <c r="J2609" s="26" t="str">
        <f>"43 "</f>
        <v xml:space="preserve">43 </v>
      </c>
      <c r="K2609" s="26" t="str">
        <f t="shared" si="444"/>
        <v>PR</v>
      </c>
      <c r="L2609" s="26" t="str">
        <f t="shared" si="445"/>
        <v>DGOSE</v>
      </c>
      <c r="M2609" s="26" t="str">
        <f t="shared" si="440"/>
        <v>PARTICULAR</v>
      </c>
      <c r="N2609" s="26">
        <v>69</v>
      </c>
      <c r="O2609" s="26">
        <v>31</v>
      </c>
      <c r="P2609" s="26">
        <v>38</v>
      </c>
      <c r="Q2609" s="26">
        <v>6</v>
      </c>
      <c r="R2609" s="26">
        <v>1</v>
      </c>
      <c r="S2609" s="26">
        <v>4</v>
      </c>
      <c r="T2609" s="26">
        <v>5</v>
      </c>
      <c r="U2609" s="26">
        <v>10</v>
      </c>
      <c r="V2609" s="26">
        <v>1</v>
      </c>
      <c r="W2609" s="26"/>
    </row>
    <row r="2610" spans="1:23" x14ac:dyDescent="0.25">
      <c r="A2610" s="26" t="str">
        <f t="shared" si="434"/>
        <v>PRIMARIA</v>
      </c>
      <c r="B2610" s="26" t="str">
        <f>"09PPR1012E"</f>
        <v>09PPR1012E</v>
      </c>
      <c r="C2610" s="26" t="str">
        <f>"SOL-TONATIUH                                                                                        "</f>
        <v xml:space="preserve">SOL-TONATIUH                                                                                        </v>
      </c>
      <c r="D2610" s="26" t="str">
        <f t="shared" si="441"/>
        <v>MATUTINO</v>
      </c>
      <c r="E2610" s="26" t="str">
        <f>"CAMINO DEL TRIUNFO NUM 209                                                      "</f>
        <v xml:space="preserve">CAMINO DEL TRIUNFO NUM 209                                                      </v>
      </c>
      <c r="F2610" s="26" t="str">
        <f>"CAMPESTRE ARAGON                                                                                                                            "</f>
        <v xml:space="preserve">CAMPESTRE ARAGON                                                                                                                            </v>
      </c>
      <c r="G2610" s="26" t="str">
        <f>"GUSTAVO A. MADERO                                                               "</f>
        <v xml:space="preserve">GUSTAVO A. MADERO                                                               </v>
      </c>
      <c r="H2610" s="26" t="str">
        <f>"264"</f>
        <v>264</v>
      </c>
      <c r="I2610" s="26" t="str">
        <f t="shared" si="435"/>
        <v>00</v>
      </c>
      <c r="J2610" s="26" t="str">
        <f>"42 "</f>
        <v xml:space="preserve">42 </v>
      </c>
      <c r="K2610" s="26" t="str">
        <f t="shared" si="444"/>
        <v>PR</v>
      </c>
      <c r="L2610" s="26" t="str">
        <f t="shared" si="445"/>
        <v>DGOSE</v>
      </c>
      <c r="M2610" s="26" t="str">
        <f t="shared" si="440"/>
        <v>PARTICULAR</v>
      </c>
      <c r="N2610" s="26">
        <v>61</v>
      </c>
      <c r="O2610" s="26">
        <v>34</v>
      </c>
      <c r="P2610" s="26">
        <v>27</v>
      </c>
      <c r="Q2610" s="26">
        <v>6</v>
      </c>
      <c r="R2610" s="26">
        <v>1</v>
      </c>
      <c r="S2610" s="26">
        <v>6</v>
      </c>
      <c r="T2610" s="26">
        <v>7</v>
      </c>
      <c r="U2610" s="26">
        <v>14</v>
      </c>
      <c r="V2610" s="26">
        <v>1</v>
      </c>
      <c r="W2610" s="26"/>
    </row>
    <row r="2611" spans="1:23" x14ac:dyDescent="0.25">
      <c r="A2611" s="26" t="str">
        <f t="shared" si="434"/>
        <v>PRIMARIA</v>
      </c>
      <c r="B2611" s="26" t="str">
        <f>"09PPR1013D"</f>
        <v>09PPR1013D</v>
      </c>
      <c r="C2611" s="26" t="str">
        <f>"TRES CULTURAS                                                                                       "</f>
        <v xml:space="preserve">TRES CULTURAS                                                                                       </v>
      </c>
      <c r="D2611" s="26" t="str">
        <f t="shared" si="441"/>
        <v>MATUTINO</v>
      </c>
      <c r="E2611" s="26" t="str">
        <f>"INGLATERRA NO 32                                                                "</f>
        <v xml:space="preserve">INGLATERRA NO 32                                                                </v>
      </c>
      <c r="F2611" s="26" t="str">
        <f>"SAN SIMON TOLNAHUAC                                                                                                                         "</f>
        <v xml:space="preserve">SAN SIMON TOLNAHUAC                                                                                                                         </v>
      </c>
      <c r="G2611" s="26" t="str">
        <f>"CUAUHTEMOC                                                                      "</f>
        <v xml:space="preserve">CUAUHTEMOC                                                                      </v>
      </c>
      <c r="H2611" s="26" t="str">
        <f>"000"</f>
        <v>000</v>
      </c>
      <c r="I2611" s="26" t="str">
        <f t="shared" si="435"/>
        <v>00</v>
      </c>
      <c r="J2611" s="26" t="str">
        <f>"42 "</f>
        <v xml:space="preserve">42 </v>
      </c>
      <c r="K2611" s="26" t="str">
        <f t="shared" si="444"/>
        <v>PR</v>
      </c>
      <c r="L2611" s="26" t="str">
        <f t="shared" si="445"/>
        <v>DGOSE</v>
      </c>
      <c r="M2611" s="26" t="str">
        <f t="shared" si="440"/>
        <v>PARTICULAR</v>
      </c>
      <c r="N2611" s="26">
        <v>11</v>
      </c>
      <c r="O2611" s="26">
        <v>3</v>
      </c>
      <c r="P2611" s="26">
        <v>8</v>
      </c>
      <c r="Q2611" s="26">
        <v>3</v>
      </c>
      <c r="R2611" s="26">
        <v>1</v>
      </c>
      <c r="S2611" s="26">
        <v>3</v>
      </c>
      <c r="T2611" s="26">
        <v>1</v>
      </c>
      <c r="U2611" s="26">
        <v>5</v>
      </c>
      <c r="V2611" s="26">
        <v>1</v>
      </c>
      <c r="W2611" s="26"/>
    </row>
    <row r="2612" spans="1:23" x14ac:dyDescent="0.25">
      <c r="A2612" s="26" t="str">
        <f t="shared" si="434"/>
        <v>PRIMARIA</v>
      </c>
      <c r="B2612" s="26" t="str">
        <f>"09PPR1014C"</f>
        <v>09PPR1014C</v>
      </c>
      <c r="C2612" s="26" t="str">
        <f>"COLEGIO ASTURIAS                                                                                    "</f>
        <v xml:space="preserve">COLEGIO ASTURIAS                                                                                    </v>
      </c>
      <c r="D2612" s="26" t="str">
        <f t="shared" si="441"/>
        <v>MATUTINO</v>
      </c>
      <c r="E2612" s="26" t="str">
        <f>"ORIENTE 67 NUM 2828                                                             "</f>
        <v xml:space="preserve">ORIENTE 67 NUM 2828                                                             </v>
      </c>
      <c r="F2612" s="26" t="str">
        <f>"ASTURIAS AMPLIACION                                                                                                                         "</f>
        <v xml:space="preserve">ASTURIAS AMPLIACION                                                                                                                         </v>
      </c>
      <c r="G2612" s="26" t="str">
        <f>"CUAUHTEMOC                                                                      "</f>
        <v xml:space="preserve">CUAUHTEMOC                                                                      </v>
      </c>
      <c r="H2612" s="26" t="str">
        <f>"225"</f>
        <v>225</v>
      </c>
      <c r="I2612" s="26" t="str">
        <f t="shared" si="435"/>
        <v>00</v>
      </c>
      <c r="J2612" s="26" t="str">
        <f>"42 "</f>
        <v xml:space="preserve">42 </v>
      </c>
      <c r="K2612" s="26" t="str">
        <f t="shared" si="444"/>
        <v>PR</v>
      </c>
      <c r="L2612" s="26" t="str">
        <f t="shared" si="445"/>
        <v>DGOSE</v>
      </c>
      <c r="M2612" s="26" t="str">
        <f t="shared" si="440"/>
        <v>PARTICULAR</v>
      </c>
      <c r="N2612" s="26">
        <v>105</v>
      </c>
      <c r="O2612" s="26">
        <v>43</v>
      </c>
      <c r="P2612" s="26">
        <v>62</v>
      </c>
      <c r="Q2612" s="26">
        <v>3</v>
      </c>
      <c r="R2612" s="26">
        <v>1</v>
      </c>
      <c r="S2612" s="26">
        <v>3</v>
      </c>
      <c r="T2612" s="26">
        <v>7</v>
      </c>
      <c r="U2612" s="26">
        <v>11</v>
      </c>
      <c r="V2612" s="26">
        <v>1</v>
      </c>
      <c r="W2612" s="26"/>
    </row>
    <row r="2613" spans="1:23" x14ac:dyDescent="0.25">
      <c r="A2613" s="26" t="str">
        <f t="shared" si="434"/>
        <v>PRIMARIA</v>
      </c>
      <c r="B2613" s="26" t="str">
        <f>"09PPR1015B"</f>
        <v>09PPR1015B</v>
      </c>
      <c r="C2613" s="26" t="str">
        <f>"LUXOR                                                                                               "</f>
        <v xml:space="preserve">LUXOR                                                                                               </v>
      </c>
      <c r="D2613" s="26" t="str">
        <f t="shared" si="441"/>
        <v>MATUTINO</v>
      </c>
      <c r="E2613" s="26" t="str">
        <f>"AV 5 DE MAYO NO 668                                                             "</f>
        <v xml:space="preserve">AV 5 DE MAYO NO 668                                                             </v>
      </c>
      <c r="F2613" s="26" t="str">
        <f>"SAN LUIS TLAXIALTEMALCO                                                                                                                     "</f>
        <v xml:space="preserve">SAN LUIS TLAXIALTEMALCO                                                                                                                     </v>
      </c>
      <c r="G2613" s="26" t="str">
        <f>"XOCHIMILCO                                                                      "</f>
        <v xml:space="preserve">XOCHIMILCO                                                                      </v>
      </c>
      <c r="H2613" s="26" t="str">
        <f>"543"</f>
        <v>543</v>
      </c>
      <c r="I2613" s="26" t="str">
        <f t="shared" si="435"/>
        <v>00</v>
      </c>
      <c r="J2613" s="26" t="str">
        <f>"45 "</f>
        <v xml:space="preserve">45 </v>
      </c>
      <c r="K2613" s="26" t="str">
        <f t="shared" si="444"/>
        <v>PR</v>
      </c>
      <c r="L2613" s="26" t="str">
        <f t="shared" si="445"/>
        <v>DGOSE</v>
      </c>
      <c r="M2613" s="26" t="str">
        <f t="shared" si="440"/>
        <v>PARTICULAR</v>
      </c>
      <c r="N2613" s="26">
        <v>33</v>
      </c>
      <c r="O2613" s="26">
        <v>19</v>
      </c>
      <c r="P2613" s="26">
        <v>14</v>
      </c>
      <c r="Q2613" s="26">
        <v>6</v>
      </c>
      <c r="R2613" s="26">
        <v>1</v>
      </c>
      <c r="S2613" s="26">
        <v>6</v>
      </c>
      <c r="T2613" s="26">
        <v>4</v>
      </c>
      <c r="U2613" s="26">
        <v>11</v>
      </c>
      <c r="V2613" s="26">
        <v>1</v>
      </c>
      <c r="W2613" s="26"/>
    </row>
    <row r="2614" spans="1:23" x14ac:dyDescent="0.25">
      <c r="A2614" s="26" t="str">
        <f t="shared" si="434"/>
        <v>PRIMARIA</v>
      </c>
      <c r="B2614" s="26" t="str">
        <f>"09PPR1016A"</f>
        <v>09PPR1016A</v>
      </c>
      <c r="C2614" s="26" t="str">
        <f>"CAMINO REAL                                                                                         "</f>
        <v xml:space="preserve">CAMINO REAL                                                                                         </v>
      </c>
      <c r="D2614" s="26" t="str">
        <f t="shared" si="441"/>
        <v>MATUTINO</v>
      </c>
      <c r="E2614" s="26" t="str">
        <f>"JAZMIN NUM 14                                                                   "</f>
        <v xml:space="preserve">JAZMIN NUM 14                                                                   </v>
      </c>
      <c r="F2614" s="26" t="str">
        <f>"TETELPAN                                                                                                                                    "</f>
        <v xml:space="preserve">TETELPAN                                                                                                                                    </v>
      </c>
      <c r="G2614" s="26" t="str">
        <f>"ALVARO OBREGON                                                                  "</f>
        <v xml:space="preserve">ALVARO OBREGON                                                                  </v>
      </c>
      <c r="H2614" s="26" t="str">
        <f>"328"</f>
        <v>328</v>
      </c>
      <c r="I2614" s="26" t="str">
        <f t="shared" si="435"/>
        <v>00</v>
      </c>
      <c r="J2614" s="26" t="str">
        <f>"43 "</f>
        <v xml:space="preserve">43 </v>
      </c>
      <c r="K2614" s="26" t="str">
        <f t="shared" si="444"/>
        <v>PR</v>
      </c>
      <c r="L2614" s="26" t="str">
        <f t="shared" si="445"/>
        <v>DGOSE</v>
      </c>
      <c r="M2614" s="26" t="str">
        <f t="shared" si="440"/>
        <v>PARTICULAR</v>
      </c>
      <c r="N2614" s="26">
        <v>57</v>
      </c>
      <c r="O2614" s="26">
        <v>36</v>
      </c>
      <c r="P2614" s="26">
        <v>21</v>
      </c>
      <c r="Q2614" s="26">
        <v>6</v>
      </c>
      <c r="R2614" s="26">
        <v>0</v>
      </c>
      <c r="S2614" s="26">
        <v>4</v>
      </c>
      <c r="T2614" s="26">
        <v>16</v>
      </c>
      <c r="U2614" s="26">
        <v>20</v>
      </c>
      <c r="V2614" s="26">
        <v>1</v>
      </c>
      <c r="W2614" s="26"/>
    </row>
    <row r="2615" spans="1:23" x14ac:dyDescent="0.25">
      <c r="A2615" s="26" t="str">
        <f t="shared" si="434"/>
        <v>PRIMARIA</v>
      </c>
      <c r="B2615" s="26" t="str">
        <f>"09PPR1017Z"</f>
        <v>09PPR1017Z</v>
      </c>
      <c r="C2615" s="26" t="str">
        <f>"DONALD WOODS WINNICOTT                                                                              "</f>
        <v xml:space="preserve">DONALD WOODS WINNICOTT                                                                              </v>
      </c>
      <c r="D2615" s="26" t="str">
        <f t="shared" si="441"/>
        <v>MATUTINO</v>
      </c>
      <c r="E2615" s="26" t="str">
        <f>"PLAYA CALETA NUM 327                                                            "</f>
        <v xml:space="preserve">PLAYA CALETA NUM 327                                                            </v>
      </c>
      <c r="F2615" s="26" t="str">
        <f>"REFORMA IZTACCIHUATL                                                                                                                        "</f>
        <v xml:space="preserve">REFORMA IZTACCIHUATL                                                                                                                        </v>
      </c>
      <c r="G2615" s="26" t="str">
        <f>"IZTACALCO                                                                       "</f>
        <v xml:space="preserve">IZTACALCO                                                                       </v>
      </c>
      <c r="H2615" s="26" t="str">
        <f>"363"</f>
        <v>363</v>
      </c>
      <c r="I2615" s="26" t="str">
        <f t="shared" si="435"/>
        <v>00</v>
      </c>
      <c r="J2615" s="26" t="str">
        <f>"43 "</f>
        <v xml:space="preserve">43 </v>
      </c>
      <c r="K2615" s="26" t="str">
        <f t="shared" si="444"/>
        <v>PR</v>
      </c>
      <c r="L2615" s="26" t="str">
        <f t="shared" si="445"/>
        <v>DGOSE</v>
      </c>
      <c r="M2615" s="26" t="str">
        <f t="shared" si="440"/>
        <v>PARTICULAR</v>
      </c>
      <c r="N2615" s="26">
        <v>123</v>
      </c>
      <c r="O2615" s="26">
        <v>54</v>
      </c>
      <c r="P2615" s="26">
        <v>69</v>
      </c>
      <c r="Q2615" s="26">
        <v>6</v>
      </c>
      <c r="R2615" s="26">
        <v>1</v>
      </c>
      <c r="S2615" s="26">
        <v>6</v>
      </c>
      <c r="T2615" s="26">
        <v>10</v>
      </c>
      <c r="U2615" s="26">
        <v>17</v>
      </c>
      <c r="V2615" s="26">
        <v>1</v>
      </c>
      <c r="W2615" s="26"/>
    </row>
    <row r="2616" spans="1:23" x14ac:dyDescent="0.25">
      <c r="A2616" s="26" t="str">
        <f t="shared" si="434"/>
        <v>PRIMARIA</v>
      </c>
      <c r="B2616" s="26" t="str">
        <f>"09PPR1018Z"</f>
        <v>09PPR1018Z</v>
      </c>
      <c r="C2616" s="26" t="str">
        <f>"ANGEL DE CAMPO                                                                                      "</f>
        <v xml:space="preserve">ANGEL DE CAMPO                                                                                      </v>
      </c>
      <c r="D2616" s="26" t="str">
        <f t="shared" si="441"/>
        <v>MATUTINO</v>
      </c>
      <c r="E2616" s="26" t="str">
        <f>"CHIHUAHUA NO.44                                                                 "</f>
        <v xml:space="preserve">CHIHUAHUA NO.44                                                                 </v>
      </c>
      <c r="F2616" s="26" t="str">
        <f>"SAN SEBASTIAN TECOLOXTITLAN                                                                                                                 "</f>
        <v xml:space="preserve">SAN SEBASTIAN TECOLOXTITLAN                                                                                                                 </v>
      </c>
      <c r="G2616" s="26" t="str">
        <f>"IZTAPALAPA                                                                      "</f>
        <v xml:space="preserve">IZTAPALAPA                                                                      </v>
      </c>
      <c r="H2616" s="26" t="str">
        <f>"000"</f>
        <v>000</v>
      </c>
      <c r="I2616" s="26" t="str">
        <f t="shared" si="435"/>
        <v>00</v>
      </c>
      <c r="J2616" s="26" t="str">
        <f>"62 "</f>
        <v xml:space="preserve">62 </v>
      </c>
      <c r="K2616" s="26" t="str">
        <f>"IZ"</f>
        <v>IZ</v>
      </c>
      <c r="L2616" s="26" t="str">
        <f>"DGSEI"</f>
        <v>DGSEI</v>
      </c>
      <c r="M2616" s="26" t="str">
        <f t="shared" si="440"/>
        <v>PARTICULAR</v>
      </c>
      <c r="N2616" s="26">
        <v>73</v>
      </c>
      <c r="O2616" s="26">
        <v>43</v>
      </c>
      <c r="P2616" s="26">
        <v>30</v>
      </c>
      <c r="Q2616" s="26">
        <v>6</v>
      </c>
      <c r="R2616" s="26">
        <v>1</v>
      </c>
      <c r="S2616" s="26">
        <v>6</v>
      </c>
      <c r="T2616" s="26">
        <v>6</v>
      </c>
      <c r="U2616" s="26">
        <v>13</v>
      </c>
      <c r="V2616" s="26">
        <v>1</v>
      </c>
      <c r="W2616" s="26"/>
    </row>
    <row r="2617" spans="1:23" x14ac:dyDescent="0.25">
      <c r="A2617" s="26" t="str">
        <f t="shared" si="434"/>
        <v>PRIMARIA</v>
      </c>
      <c r="B2617" s="26" t="str">
        <f>"09PPR1019Y"</f>
        <v>09PPR1019Y</v>
      </c>
      <c r="C2617" s="26" t="str">
        <f>"LICEO HERBART S.C.                                                                                  "</f>
        <v xml:space="preserve">LICEO HERBART S.C.                                                                                  </v>
      </c>
      <c r="D2617" s="26" t="str">
        <f t="shared" si="441"/>
        <v>MATUTINO</v>
      </c>
      <c r="E2617" s="26" t="str">
        <f>"INSURGENTES NO 165                                                              "</f>
        <v xml:space="preserve">INSURGENTES NO 165                                                              </v>
      </c>
      <c r="F2617" s="26" t="str">
        <f>"LAS PEÑAS AMPLIACION                                                                                                                        "</f>
        <v xml:space="preserve">LAS PEÑAS AMPLIACION                                                                                                                        </v>
      </c>
      <c r="G2617" s="26" t="str">
        <f>"IZTAPALAPA                                                                      "</f>
        <v xml:space="preserve">IZTAPALAPA                                                                      </v>
      </c>
      <c r="H2617" s="26" t="str">
        <f>"000"</f>
        <v>000</v>
      </c>
      <c r="I2617" s="26" t="str">
        <f t="shared" si="435"/>
        <v>00</v>
      </c>
      <c r="J2617" s="26" t="str">
        <f>"63 "</f>
        <v xml:space="preserve">63 </v>
      </c>
      <c r="K2617" s="26" t="str">
        <f>"IZ"</f>
        <v>IZ</v>
      </c>
      <c r="L2617" s="26" t="str">
        <f>"DGSEI"</f>
        <v>DGSEI</v>
      </c>
      <c r="M2617" s="26" t="str">
        <f t="shared" si="440"/>
        <v>PARTICULAR</v>
      </c>
      <c r="N2617" s="26">
        <v>256</v>
      </c>
      <c r="O2617" s="26">
        <v>130</v>
      </c>
      <c r="P2617" s="26">
        <v>126</v>
      </c>
      <c r="Q2617" s="26">
        <v>12</v>
      </c>
      <c r="R2617" s="26">
        <v>1</v>
      </c>
      <c r="S2617" s="26">
        <v>12</v>
      </c>
      <c r="T2617" s="26">
        <v>8</v>
      </c>
      <c r="U2617" s="26">
        <v>21</v>
      </c>
      <c r="V2617" s="26">
        <v>1</v>
      </c>
      <c r="W2617" s="26"/>
    </row>
    <row r="2618" spans="1:23" x14ac:dyDescent="0.25">
      <c r="A2618" s="26" t="str">
        <f t="shared" si="434"/>
        <v>PRIMARIA</v>
      </c>
      <c r="B2618" s="26" t="str">
        <f>"09PPR1022L"</f>
        <v>09PPR1022L</v>
      </c>
      <c r="C2618" s="26" t="str">
        <f>"TEMACHTIANI                                                                                         "</f>
        <v xml:space="preserve">TEMACHTIANI                                                                                         </v>
      </c>
      <c r="D2618" s="26" t="str">
        <f t="shared" si="441"/>
        <v>MATUTINO</v>
      </c>
      <c r="E2618" s="26" t="str">
        <f>"COMONFORT NO.80                                                                 "</f>
        <v xml:space="preserve">COMONFORT NO.80                                                                 </v>
      </c>
      <c r="F2618" s="26" t="str">
        <f>"SAN LUCAS                                                                                                                                   "</f>
        <v xml:space="preserve">SAN LUCAS                                                                                                                                   </v>
      </c>
      <c r="G2618" s="26" t="str">
        <f>"IZTAPALAPA                                                                      "</f>
        <v xml:space="preserve">IZTAPALAPA                                                                      </v>
      </c>
      <c r="H2618" s="26" t="str">
        <f>"000"</f>
        <v>000</v>
      </c>
      <c r="I2618" s="26" t="str">
        <f t="shared" si="435"/>
        <v>00</v>
      </c>
      <c r="J2618" s="26" t="str">
        <f>"61 "</f>
        <v xml:space="preserve">61 </v>
      </c>
      <c r="K2618" s="26" t="str">
        <f>"IZ"</f>
        <v>IZ</v>
      </c>
      <c r="L2618" s="26" t="str">
        <f>"DGSEI"</f>
        <v>DGSEI</v>
      </c>
      <c r="M2618" s="26" t="str">
        <f t="shared" si="440"/>
        <v>PARTICULAR</v>
      </c>
      <c r="N2618" s="26">
        <v>65</v>
      </c>
      <c r="O2618" s="26">
        <v>32</v>
      </c>
      <c r="P2618" s="26">
        <v>33</v>
      </c>
      <c r="Q2618" s="26">
        <v>6</v>
      </c>
      <c r="R2618" s="26">
        <v>1</v>
      </c>
      <c r="S2618" s="26">
        <v>4</v>
      </c>
      <c r="T2618" s="26">
        <v>9</v>
      </c>
      <c r="U2618" s="26">
        <v>14</v>
      </c>
      <c r="V2618" s="26">
        <v>1</v>
      </c>
      <c r="W2618" s="26"/>
    </row>
    <row r="2619" spans="1:23" x14ac:dyDescent="0.25">
      <c r="A2619" s="26" t="str">
        <f t="shared" si="434"/>
        <v>PRIMARIA</v>
      </c>
      <c r="B2619" s="26" t="str">
        <f>"09PPR1023K"</f>
        <v>09PPR1023K</v>
      </c>
      <c r="C2619" s="26" t="str">
        <f>"GRAL. GRACILIANO ALPUCHE PINZON                                                                     "</f>
        <v xml:space="preserve">GRAL. GRACILIANO ALPUCHE PINZON                                                                     </v>
      </c>
      <c r="D2619" s="26" t="str">
        <f t="shared" si="441"/>
        <v>MATUTINO</v>
      </c>
      <c r="E2619" s="26" t="str">
        <f>"CALLE 6 NO. 178                                                                 "</f>
        <v xml:space="preserve">CALLE 6 NO. 178                                                                 </v>
      </c>
      <c r="F2619" s="26" t="str">
        <f>"GRANJAS SAN ANTONIO                                                                                                                         "</f>
        <v xml:space="preserve">GRANJAS SAN ANTONIO                                                                                                                         </v>
      </c>
      <c r="G2619" s="26" t="str">
        <f>"IZTAPALAPA                                                                      "</f>
        <v xml:space="preserve">IZTAPALAPA                                                                      </v>
      </c>
      <c r="H2619" s="26" t="str">
        <f>"000"</f>
        <v>000</v>
      </c>
      <c r="I2619" s="26" t="str">
        <f t="shared" si="435"/>
        <v>00</v>
      </c>
      <c r="J2619" s="26" t="str">
        <f>"61 "</f>
        <v xml:space="preserve">61 </v>
      </c>
      <c r="K2619" s="26" t="str">
        <f>"IZ"</f>
        <v>IZ</v>
      </c>
      <c r="L2619" s="26" t="str">
        <f>"DGSEI"</f>
        <v>DGSEI</v>
      </c>
      <c r="M2619" s="26" t="str">
        <f t="shared" si="440"/>
        <v>PARTICULAR</v>
      </c>
      <c r="N2619" s="26">
        <v>144</v>
      </c>
      <c r="O2619" s="26">
        <v>66</v>
      </c>
      <c r="P2619" s="26">
        <v>78</v>
      </c>
      <c r="Q2619" s="26">
        <v>6</v>
      </c>
      <c r="R2619" s="26">
        <v>1</v>
      </c>
      <c r="S2619" s="26">
        <v>3</v>
      </c>
      <c r="T2619" s="26">
        <v>10</v>
      </c>
      <c r="U2619" s="26">
        <v>14</v>
      </c>
      <c r="V2619" s="26">
        <v>1</v>
      </c>
      <c r="W2619" s="26"/>
    </row>
    <row r="2620" spans="1:23" x14ac:dyDescent="0.25">
      <c r="A2620" s="26" t="str">
        <f t="shared" si="434"/>
        <v>PRIMARIA</v>
      </c>
      <c r="B2620" s="26" t="str">
        <f>"09PPR1024J"</f>
        <v>09PPR1024J</v>
      </c>
      <c r="C2620" s="26" t="str">
        <f>"ANIBAL PONCE                                                                                        "</f>
        <v xml:space="preserve">ANIBAL PONCE                                                                                        </v>
      </c>
      <c r="D2620" s="26" t="str">
        <f t="shared" si="441"/>
        <v>MATUTINO</v>
      </c>
      <c r="E2620" s="26" t="str">
        <f>"3 DE MAYO NO.44                                                                 "</f>
        <v xml:space="preserve">3 DE MAYO NO.44                                                                 </v>
      </c>
      <c r="F2620" s="26" t="str">
        <f>"SAN JUAN XALPA                                                                                                                              "</f>
        <v xml:space="preserve">SAN JUAN XALPA                                                                                                                              </v>
      </c>
      <c r="G2620" s="26" t="str">
        <f>"IZTAPALAPA                                                                      "</f>
        <v xml:space="preserve">IZTAPALAPA                                                                      </v>
      </c>
      <c r="H2620" s="26" t="str">
        <f>"000"</f>
        <v>000</v>
      </c>
      <c r="I2620" s="26" t="str">
        <f t="shared" si="435"/>
        <v>00</v>
      </c>
      <c r="J2620" s="26" t="str">
        <f>"63 "</f>
        <v xml:space="preserve">63 </v>
      </c>
      <c r="K2620" s="26" t="str">
        <f>"IZ"</f>
        <v>IZ</v>
      </c>
      <c r="L2620" s="26" t="str">
        <f>"DGSEI"</f>
        <v>DGSEI</v>
      </c>
      <c r="M2620" s="26" t="str">
        <f t="shared" si="440"/>
        <v>PARTICULAR</v>
      </c>
      <c r="N2620" s="26">
        <v>105</v>
      </c>
      <c r="O2620" s="26">
        <v>60</v>
      </c>
      <c r="P2620" s="26">
        <v>45</v>
      </c>
      <c r="Q2620" s="26">
        <v>6</v>
      </c>
      <c r="R2620" s="26">
        <v>1</v>
      </c>
      <c r="S2620" s="26">
        <v>2</v>
      </c>
      <c r="T2620" s="26">
        <v>10</v>
      </c>
      <c r="U2620" s="26">
        <v>13</v>
      </c>
      <c r="V2620" s="26">
        <v>1</v>
      </c>
      <c r="W2620" s="26"/>
    </row>
    <row r="2621" spans="1:23" x14ac:dyDescent="0.25">
      <c r="A2621" s="26" t="str">
        <f t="shared" si="434"/>
        <v>PRIMARIA</v>
      </c>
      <c r="B2621" s="26" t="str">
        <f>"09PPR1027G"</f>
        <v>09PPR1027G</v>
      </c>
      <c r="C2621" s="26" t="str">
        <f>"TEPETITLA                                                                                           "</f>
        <v xml:space="preserve">TEPETITLA                                                                                           </v>
      </c>
      <c r="D2621" s="26" t="str">
        <f t="shared" si="441"/>
        <v>MATUTINO</v>
      </c>
      <c r="E2621" s="26" t="str">
        <f>"AV CINCO DE MAYO NUM 117                                                        "</f>
        <v xml:space="preserve">AV CINCO DE MAYO NUM 117                                                        </v>
      </c>
      <c r="F2621" s="26" t="str">
        <f>"SAN PEDRO MARTIR                                                                                                                            "</f>
        <v xml:space="preserve">SAN PEDRO MARTIR                                                                                                                            </v>
      </c>
      <c r="G2621" s="26" t="str">
        <f>"TLALPAN                                                                         "</f>
        <v xml:space="preserve">TLALPAN                                                                         </v>
      </c>
      <c r="H2621" s="26" t="str">
        <f>"527"</f>
        <v>527</v>
      </c>
      <c r="I2621" s="26" t="str">
        <f t="shared" si="435"/>
        <v>00</v>
      </c>
      <c r="J2621" s="26" t="str">
        <f t="shared" ref="J2621:J2626" si="446">"45 "</f>
        <v xml:space="preserve">45 </v>
      </c>
      <c r="K2621" s="26" t="str">
        <f t="shared" ref="K2621:K2629" si="447">"PR"</f>
        <v>PR</v>
      </c>
      <c r="L2621" s="26" t="str">
        <f t="shared" ref="L2621:L2629" si="448">"DGOSE"</f>
        <v>DGOSE</v>
      </c>
      <c r="M2621" s="26" t="str">
        <f t="shared" si="440"/>
        <v>PARTICULAR</v>
      </c>
      <c r="N2621" s="26">
        <v>104</v>
      </c>
      <c r="O2621" s="26">
        <v>59</v>
      </c>
      <c r="P2621" s="26">
        <v>45</v>
      </c>
      <c r="Q2621" s="26">
        <v>6</v>
      </c>
      <c r="R2621" s="26">
        <v>1</v>
      </c>
      <c r="S2621" s="26">
        <v>3</v>
      </c>
      <c r="T2621" s="26">
        <v>8</v>
      </c>
      <c r="U2621" s="26">
        <v>12</v>
      </c>
      <c r="V2621" s="26">
        <v>1</v>
      </c>
      <c r="W2621" s="26"/>
    </row>
    <row r="2622" spans="1:23" x14ac:dyDescent="0.25">
      <c r="A2622" s="26" t="str">
        <f t="shared" si="434"/>
        <v>PRIMARIA</v>
      </c>
      <c r="B2622" s="26" t="str">
        <f>"09PPR1028F"</f>
        <v>09PPR1028F</v>
      </c>
      <c r="C2622" s="26" t="str">
        <f>"SOCRATES                                                                                            "</f>
        <v xml:space="preserve">SOCRATES                                                                                            </v>
      </c>
      <c r="D2622" s="26" t="str">
        <f t="shared" si="441"/>
        <v>MATUTINO</v>
      </c>
      <c r="E2622" s="26" t="str">
        <f>"XICOTENCATL NUM 294                                                             "</f>
        <v xml:space="preserve">XICOTENCATL NUM 294                                                             </v>
      </c>
      <c r="F2622" s="26" t="str">
        <f>"DEL CARMEN                                                                                                                                  "</f>
        <v xml:space="preserve">DEL CARMEN                                                                                                                                  </v>
      </c>
      <c r="G2622" s="26" t="str">
        <f>"COYOACAN                                                                        "</f>
        <v xml:space="preserve">COYOACAN                                                                        </v>
      </c>
      <c r="H2622" s="26" t="str">
        <f>"500"</f>
        <v>500</v>
      </c>
      <c r="I2622" s="26" t="str">
        <f t="shared" si="435"/>
        <v>00</v>
      </c>
      <c r="J2622" s="26" t="str">
        <f t="shared" si="446"/>
        <v xml:space="preserve">45 </v>
      </c>
      <c r="K2622" s="26" t="str">
        <f t="shared" si="447"/>
        <v>PR</v>
      </c>
      <c r="L2622" s="26" t="str">
        <f t="shared" si="448"/>
        <v>DGOSE</v>
      </c>
      <c r="M2622" s="26" t="str">
        <f t="shared" si="440"/>
        <v>PARTICULAR</v>
      </c>
      <c r="N2622" s="26">
        <v>77</v>
      </c>
      <c r="O2622" s="26">
        <v>52</v>
      </c>
      <c r="P2622" s="26">
        <v>25</v>
      </c>
      <c r="Q2622" s="26">
        <v>6</v>
      </c>
      <c r="R2622" s="26">
        <v>1</v>
      </c>
      <c r="S2622" s="26">
        <v>6</v>
      </c>
      <c r="T2622" s="26">
        <v>6</v>
      </c>
      <c r="U2622" s="26">
        <v>13</v>
      </c>
      <c r="V2622" s="26">
        <v>1</v>
      </c>
      <c r="W2622" s="26"/>
    </row>
    <row r="2623" spans="1:23" x14ac:dyDescent="0.25">
      <c r="A2623" s="26" t="str">
        <f t="shared" si="434"/>
        <v>PRIMARIA</v>
      </c>
      <c r="B2623" s="26" t="str">
        <f>"09PPR1029E"</f>
        <v>09PPR1029E</v>
      </c>
      <c r="C2623" s="26" t="str">
        <f>"INSTITUTO CULTURAL AMERICANO MEXICANO                                                               "</f>
        <v xml:space="preserve">INSTITUTO CULTURAL AMERICANO MEXICANO                                                               </v>
      </c>
      <c r="D2623" s="26" t="str">
        <f t="shared" si="441"/>
        <v>MATUTINO</v>
      </c>
      <c r="E2623" s="26" t="str">
        <f>"ANAHUAC NO 180                                                                  "</f>
        <v xml:space="preserve">ANAHUAC NO 180                                                                  </v>
      </c>
      <c r="F2623" s="26" t="str">
        <f>"EL  MIRADOR                                                                                                                                 "</f>
        <v xml:space="preserve">EL  MIRADOR                                                                                                                                 </v>
      </c>
      <c r="G2623" s="26" t="str">
        <f>"COYOACAN                                                                        "</f>
        <v xml:space="preserve">COYOACAN                                                                        </v>
      </c>
      <c r="H2623" s="26" t="str">
        <f>"510"</f>
        <v>510</v>
      </c>
      <c r="I2623" s="26" t="str">
        <f t="shared" si="435"/>
        <v>00</v>
      </c>
      <c r="J2623" s="26" t="str">
        <f t="shared" si="446"/>
        <v xml:space="preserve">45 </v>
      </c>
      <c r="K2623" s="26" t="str">
        <f t="shared" si="447"/>
        <v>PR</v>
      </c>
      <c r="L2623" s="26" t="str">
        <f t="shared" si="448"/>
        <v>DGOSE</v>
      </c>
      <c r="M2623" s="26" t="str">
        <f t="shared" si="440"/>
        <v>PARTICULAR</v>
      </c>
      <c r="N2623" s="26">
        <v>293</v>
      </c>
      <c r="O2623" s="26">
        <v>142</v>
      </c>
      <c r="P2623" s="26">
        <v>151</v>
      </c>
      <c r="Q2623" s="26">
        <v>12</v>
      </c>
      <c r="R2623" s="26">
        <v>1</v>
      </c>
      <c r="S2623" s="26">
        <v>7</v>
      </c>
      <c r="T2623" s="26">
        <v>13</v>
      </c>
      <c r="U2623" s="26">
        <v>21</v>
      </c>
      <c r="V2623" s="26">
        <v>1</v>
      </c>
      <c r="W2623" s="26"/>
    </row>
    <row r="2624" spans="1:23" x14ac:dyDescent="0.25">
      <c r="A2624" s="26" t="str">
        <f t="shared" si="434"/>
        <v>PRIMARIA</v>
      </c>
      <c r="B2624" s="26" t="str">
        <f>"09PPR1030U"</f>
        <v>09PPR1030U</v>
      </c>
      <c r="C2624" s="26" t="str">
        <f>"OLIVER SHELDO                                                                                       "</f>
        <v xml:space="preserve">OLIVER SHELDO                                                                                       </v>
      </c>
      <c r="D2624" s="26" t="str">
        <f t="shared" si="441"/>
        <v>MATUTINO</v>
      </c>
      <c r="E2624" s="26" t="str">
        <f>"ANACAHUITA NO 225                                                               "</f>
        <v xml:space="preserve">ANACAHUITA NO 225                                                               </v>
      </c>
      <c r="F2624" s="26" t="str">
        <f>"PEDREGAL DE SANTO DOMINGO                                                                                                                   "</f>
        <v xml:space="preserve">PEDREGAL DE SANTO DOMINGO                                                                                                                   </v>
      </c>
      <c r="G2624" s="26" t="str">
        <f>"COYOACAN                                                                        "</f>
        <v xml:space="preserve">COYOACAN                                                                        </v>
      </c>
      <c r="H2624" s="26" t="str">
        <f>"501"</f>
        <v>501</v>
      </c>
      <c r="I2624" s="26" t="str">
        <f t="shared" si="435"/>
        <v>00</v>
      </c>
      <c r="J2624" s="26" t="str">
        <f t="shared" si="446"/>
        <v xml:space="preserve">45 </v>
      </c>
      <c r="K2624" s="26" t="str">
        <f t="shared" si="447"/>
        <v>PR</v>
      </c>
      <c r="L2624" s="26" t="str">
        <f t="shared" si="448"/>
        <v>DGOSE</v>
      </c>
      <c r="M2624" s="26" t="str">
        <f t="shared" si="440"/>
        <v>PARTICULAR</v>
      </c>
      <c r="N2624" s="26">
        <v>126</v>
      </c>
      <c r="O2624" s="26">
        <v>63</v>
      </c>
      <c r="P2624" s="26">
        <v>63</v>
      </c>
      <c r="Q2624" s="26">
        <v>7</v>
      </c>
      <c r="R2624" s="26">
        <v>1</v>
      </c>
      <c r="S2624" s="26">
        <v>7</v>
      </c>
      <c r="T2624" s="26">
        <v>6</v>
      </c>
      <c r="U2624" s="26">
        <v>14</v>
      </c>
      <c r="V2624" s="26">
        <v>1</v>
      </c>
      <c r="W2624" s="26"/>
    </row>
    <row r="2625" spans="1:23" x14ac:dyDescent="0.25">
      <c r="A2625" s="26" t="str">
        <f t="shared" si="434"/>
        <v>PRIMARIA</v>
      </c>
      <c r="B2625" s="26" t="str">
        <f>"09PPR1031T"</f>
        <v>09PPR1031T</v>
      </c>
      <c r="C2625" s="26" t="str">
        <f>"LICEO ANGLO PEDAGOGICO SAN FRANCISCO                                                                "</f>
        <v xml:space="preserve">LICEO ANGLO PEDAGOGICO SAN FRANCISCO                                                                </v>
      </c>
      <c r="D2625" s="26" t="str">
        <f t="shared" si="441"/>
        <v>MATUTINO</v>
      </c>
      <c r="E2625" s="26" t="str">
        <f>"MAR DE LOS NUBLADOS NO 21                                                       "</f>
        <v xml:space="preserve">MAR DE LOS NUBLADOS NO 21                                                       </v>
      </c>
      <c r="F2625" s="26" t="str">
        <f>"SELENE                                                                                                                                      "</f>
        <v xml:space="preserve">SELENE                                                                                                                                      </v>
      </c>
      <c r="G2625" s="26" t="str">
        <f>"TLAHUAC                                                                         "</f>
        <v xml:space="preserve">TLAHUAC                                                                         </v>
      </c>
      <c r="H2625" s="26" t="str">
        <f>"555"</f>
        <v>555</v>
      </c>
      <c r="I2625" s="26" t="str">
        <f t="shared" si="435"/>
        <v>00</v>
      </c>
      <c r="J2625" s="26" t="str">
        <f t="shared" si="446"/>
        <v xml:space="preserve">45 </v>
      </c>
      <c r="K2625" s="26" t="str">
        <f t="shared" si="447"/>
        <v>PR</v>
      </c>
      <c r="L2625" s="26" t="str">
        <f t="shared" si="448"/>
        <v>DGOSE</v>
      </c>
      <c r="M2625" s="26" t="str">
        <f t="shared" si="440"/>
        <v>PARTICULAR</v>
      </c>
      <c r="N2625" s="26">
        <v>157</v>
      </c>
      <c r="O2625" s="26">
        <v>80</v>
      </c>
      <c r="P2625" s="26">
        <v>77</v>
      </c>
      <c r="Q2625" s="26">
        <v>6</v>
      </c>
      <c r="R2625" s="26">
        <v>1</v>
      </c>
      <c r="S2625" s="26">
        <v>6</v>
      </c>
      <c r="T2625" s="26">
        <v>9</v>
      </c>
      <c r="U2625" s="26">
        <v>16</v>
      </c>
      <c r="V2625" s="26">
        <v>1</v>
      </c>
      <c r="W2625" s="26"/>
    </row>
    <row r="2626" spans="1:23" x14ac:dyDescent="0.25">
      <c r="A2626" s="26" t="str">
        <f t="shared" ref="A2626:A2689" si="449">"PRIMARIA"</f>
        <v>PRIMARIA</v>
      </c>
      <c r="B2626" s="26" t="str">
        <f>"09PPR1032S"</f>
        <v>09PPR1032S</v>
      </c>
      <c r="C2626" s="26" t="str">
        <f>"CENTRO CULTURAL BRISTOL                                                                             "</f>
        <v xml:space="preserve">CENTRO CULTURAL BRISTOL                                                                             </v>
      </c>
      <c r="D2626" s="26" t="str">
        <f t="shared" si="441"/>
        <v>MATUTINO</v>
      </c>
      <c r="E2626" s="26" t="str">
        <f>"FRANCISCO LANDINO NUM. 19                                                       "</f>
        <v xml:space="preserve">FRANCISCO LANDINO NUM. 19                                                       </v>
      </c>
      <c r="F2626" s="26" t="str">
        <f>"MIGUEL HIDALGO                                                                                                                              "</f>
        <v xml:space="preserve">MIGUEL HIDALGO                                                                                                                              </v>
      </c>
      <c r="G2626" s="26" t="str">
        <f>"TLAHUAC                                                                         "</f>
        <v xml:space="preserve">TLAHUAC                                                                         </v>
      </c>
      <c r="H2626" s="26" t="str">
        <f>"552"</f>
        <v>552</v>
      </c>
      <c r="I2626" s="26" t="str">
        <f t="shared" ref="I2626:I2689" si="450">"00"</f>
        <v>00</v>
      </c>
      <c r="J2626" s="26" t="str">
        <f t="shared" si="446"/>
        <v xml:space="preserve">45 </v>
      </c>
      <c r="K2626" s="26" t="str">
        <f t="shared" si="447"/>
        <v>PR</v>
      </c>
      <c r="L2626" s="26" t="str">
        <f t="shared" si="448"/>
        <v>DGOSE</v>
      </c>
      <c r="M2626" s="26" t="str">
        <f t="shared" si="440"/>
        <v>PARTICULAR</v>
      </c>
      <c r="N2626" s="26">
        <v>141</v>
      </c>
      <c r="O2626" s="26">
        <v>69</v>
      </c>
      <c r="P2626" s="26">
        <v>72</v>
      </c>
      <c r="Q2626" s="26">
        <v>7</v>
      </c>
      <c r="R2626" s="26">
        <v>1</v>
      </c>
      <c r="S2626" s="26">
        <v>7</v>
      </c>
      <c r="T2626" s="26">
        <v>9</v>
      </c>
      <c r="U2626" s="26">
        <v>17</v>
      </c>
      <c r="V2626" s="26">
        <v>1</v>
      </c>
      <c r="W2626" s="26"/>
    </row>
    <row r="2627" spans="1:23" x14ac:dyDescent="0.25">
      <c r="A2627" s="26" t="str">
        <f t="shared" si="449"/>
        <v>PRIMARIA</v>
      </c>
      <c r="B2627" s="26" t="str">
        <f>"09PPR1033R"</f>
        <v>09PPR1033R</v>
      </c>
      <c r="C2627" s="26" t="str">
        <f>"CENTRO EDUCATIVO ASCOT                                                                              "</f>
        <v xml:space="preserve">CENTRO EDUCATIVO ASCOT                                                                              </v>
      </c>
      <c r="D2627" s="26" t="str">
        <f t="shared" si="441"/>
        <v>MATUTINO</v>
      </c>
      <c r="E2627" s="26" t="str">
        <f>"GABRIEL MANCERA NO. 852                                                         "</f>
        <v xml:space="preserve">GABRIEL MANCERA NO. 852                                                         </v>
      </c>
      <c r="F2627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2627" s="26" t="str">
        <f>"BENITO JUAREZ                                                                   "</f>
        <v xml:space="preserve">BENITO JUAREZ                                                                   </v>
      </c>
      <c r="H2627" s="26" t="str">
        <f>"000"</f>
        <v>000</v>
      </c>
      <c r="I2627" s="26" t="str">
        <f t="shared" si="450"/>
        <v>00</v>
      </c>
      <c r="J2627" s="26" t="str">
        <f>"43 "</f>
        <v xml:space="preserve">43 </v>
      </c>
      <c r="K2627" s="26" t="str">
        <f t="shared" si="447"/>
        <v>PR</v>
      </c>
      <c r="L2627" s="26" t="str">
        <f t="shared" si="448"/>
        <v>DGOSE</v>
      </c>
      <c r="M2627" s="26" t="str">
        <f t="shared" si="440"/>
        <v>PARTICULAR</v>
      </c>
      <c r="N2627" s="26">
        <v>45</v>
      </c>
      <c r="O2627" s="26">
        <v>25</v>
      </c>
      <c r="P2627" s="26">
        <v>20</v>
      </c>
      <c r="Q2627" s="26">
        <v>6</v>
      </c>
      <c r="R2627" s="26">
        <v>1</v>
      </c>
      <c r="S2627" s="26">
        <v>3</v>
      </c>
      <c r="T2627" s="26">
        <v>12</v>
      </c>
      <c r="U2627" s="26">
        <v>16</v>
      </c>
      <c r="V2627" s="26">
        <v>1</v>
      </c>
      <c r="W2627" s="26"/>
    </row>
    <row r="2628" spans="1:23" x14ac:dyDescent="0.25">
      <c r="A2628" s="26" t="str">
        <f t="shared" si="449"/>
        <v>PRIMARIA</v>
      </c>
      <c r="B2628" s="26" t="str">
        <f>"09PPR1035P"</f>
        <v>09PPR1035P</v>
      </c>
      <c r="C2628" s="26" t="str">
        <f>"INSTITUTO OXFORD                                                                                    "</f>
        <v xml:space="preserve">INSTITUTO OXFORD                                                                                    </v>
      </c>
      <c r="D2628" s="26" t="str">
        <f t="shared" si="441"/>
        <v>MATUTINO</v>
      </c>
      <c r="E2628" s="26" t="str">
        <f>"AVENIDA DE LAS TORRES NUM 131                                                   "</f>
        <v xml:space="preserve">AVENIDA DE LAS TORRES NUM 131                                                   </v>
      </c>
      <c r="F2628" s="26" t="str">
        <f>"OLIVAR DE LOS PADRES                                                                                                                        "</f>
        <v xml:space="preserve">OLIVAR DE LOS PADRES                                                                                                                        </v>
      </c>
      <c r="G2628" s="26" t="str">
        <f>"ALVARO OBREGON                                                                  "</f>
        <v xml:space="preserve">ALVARO OBREGON                                                                  </v>
      </c>
      <c r="H2628" s="26" t="str">
        <f>"328"</f>
        <v>328</v>
      </c>
      <c r="I2628" s="26" t="str">
        <f t="shared" si="450"/>
        <v>00</v>
      </c>
      <c r="J2628" s="26" t="str">
        <f>"43 "</f>
        <v xml:space="preserve">43 </v>
      </c>
      <c r="K2628" s="26" t="str">
        <f t="shared" si="447"/>
        <v>PR</v>
      </c>
      <c r="L2628" s="26" t="str">
        <f t="shared" si="448"/>
        <v>DGOSE</v>
      </c>
      <c r="M2628" s="26" t="str">
        <f t="shared" si="440"/>
        <v>PARTICULAR</v>
      </c>
      <c r="N2628" s="26">
        <v>209</v>
      </c>
      <c r="O2628" s="26">
        <v>209</v>
      </c>
      <c r="P2628" s="26">
        <v>0</v>
      </c>
      <c r="Q2628" s="26">
        <v>12</v>
      </c>
      <c r="R2628" s="26">
        <v>1</v>
      </c>
      <c r="S2628" s="26">
        <v>6</v>
      </c>
      <c r="T2628" s="26">
        <v>13</v>
      </c>
      <c r="U2628" s="26">
        <v>20</v>
      </c>
      <c r="V2628" s="26">
        <v>1</v>
      </c>
      <c r="W2628" s="26"/>
    </row>
    <row r="2629" spans="1:23" x14ac:dyDescent="0.25">
      <c r="A2629" s="26" t="str">
        <f t="shared" si="449"/>
        <v>PRIMARIA</v>
      </c>
      <c r="B2629" s="26" t="str">
        <f>"09PPR1036O"</f>
        <v>09PPR1036O</v>
      </c>
      <c r="C2629" s="26" t="str">
        <f>"MONTESSORI DE SAN JOSE INSURGENTES                                                                  "</f>
        <v xml:space="preserve">MONTESSORI DE SAN JOSE INSURGENTES                                                                  </v>
      </c>
      <c r="D2629" s="26" t="str">
        <f t="shared" si="441"/>
        <v>MATUTINO</v>
      </c>
      <c r="E2629" s="26" t="str">
        <f>"FLAMENCOS NUM. 14                                                               "</f>
        <v xml:space="preserve">FLAMENCOS NUM. 14                                                               </v>
      </c>
      <c r="F2629" s="26" t="str">
        <f>"SAN JOSE INSURGENTES                                                                                                                        "</f>
        <v xml:space="preserve">SAN JOSE INSURGENTES                                                                                                                        </v>
      </c>
      <c r="G2629" s="26" t="str">
        <f>"BENITO JUAREZ                                                                   "</f>
        <v xml:space="preserve">BENITO JUAREZ                                                                   </v>
      </c>
      <c r="H2629" s="26" t="str">
        <f>"000"</f>
        <v>000</v>
      </c>
      <c r="I2629" s="26" t="str">
        <f t="shared" si="450"/>
        <v>00</v>
      </c>
      <c r="J2629" s="26" t="str">
        <f>"43 "</f>
        <v xml:space="preserve">43 </v>
      </c>
      <c r="K2629" s="26" t="str">
        <f t="shared" si="447"/>
        <v>PR</v>
      </c>
      <c r="L2629" s="26" t="str">
        <f t="shared" si="448"/>
        <v>DGOSE</v>
      </c>
      <c r="M2629" s="26" t="str">
        <f t="shared" si="440"/>
        <v>PARTICULAR</v>
      </c>
      <c r="N2629" s="26">
        <v>82</v>
      </c>
      <c r="O2629" s="26">
        <v>37</v>
      </c>
      <c r="P2629" s="26">
        <v>45</v>
      </c>
      <c r="Q2629" s="26">
        <v>6</v>
      </c>
      <c r="R2629" s="26">
        <v>1</v>
      </c>
      <c r="S2629" s="26">
        <v>3</v>
      </c>
      <c r="T2629" s="26">
        <v>14</v>
      </c>
      <c r="U2629" s="26">
        <v>18</v>
      </c>
      <c r="V2629" s="26">
        <v>1</v>
      </c>
      <c r="W2629" s="26"/>
    </row>
    <row r="2630" spans="1:23" x14ac:dyDescent="0.25">
      <c r="A2630" s="26" t="str">
        <f t="shared" si="449"/>
        <v>PRIMARIA</v>
      </c>
      <c r="B2630" s="26" t="str">
        <f>"09PPR1037N"</f>
        <v>09PPR1037N</v>
      </c>
      <c r="C2630" s="26" t="str">
        <f>"ERNESTO RUTHERFORD                                                                                  "</f>
        <v xml:space="preserve">ERNESTO RUTHERFORD                                                                                  </v>
      </c>
      <c r="D2630" s="26" t="str">
        <f t="shared" si="441"/>
        <v>MATUTINO</v>
      </c>
      <c r="E2630" s="26" t="str">
        <f>"JUSTINA NO. 89                                                                  "</f>
        <v xml:space="preserve">JUSTINA NO. 89                                                                  </v>
      </c>
      <c r="F2630" s="26" t="str">
        <f>"SAN LORENZO XICOTENCATL                                                                                                                     "</f>
        <v xml:space="preserve">SAN LORENZO XICOTENCATL                                                                                                                     </v>
      </c>
      <c r="G2630" s="26" t="str">
        <f>"IZTAPALAPA                                                                      "</f>
        <v xml:space="preserve">IZTAPALAPA                                                                      </v>
      </c>
      <c r="H2630" s="26" t="str">
        <f>"000"</f>
        <v>000</v>
      </c>
      <c r="I2630" s="26" t="str">
        <f t="shared" si="450"/>
        <v>00</v>
      </c>
      <c r="J2630" s="26" t="str">
        <f>"62 "</f>
        <v xml:space="preserve">62 </v>
      </c>
      <c r="K2630" s="26" t="str">
        <f>"IZ"</f>
        <v>IZ</v>
      </c>
      <c r="L2630" s="26" t="str">
        <f>"DGSEI"</f>
        <v>DGSEI</v>
      </c>
      <c r="M2630" s="26" t="str">
        <f t="shared" si="440"/>
        <v>PARTICULAR</v>
      </c>
      <c r="N2630" s="26">
        <v>97</v>
      </c>
      <c r="O2630" s="26">
        <v>55</v>
      </c>
      <c r="P2630" s="26">
        <v>42</v>
      </c>
      <c r="Q2630" s="26">
        <v>6</v>
      </c>
      <c r="R2630" s="26">
        <v>1</v>
      </c>
      <c r="S2630" s="26">
        <v>4</v>
      </c>
      <c r="T2630" s="26">
        <v>7</v>
      </c>
      <c r="U2630" s="26">
        <v>12</v>
      </c>
      <c r="V2630" s="26">
        <v>1</v>
      </c>
      <c r="W2630" s="26"/>
    </row>
    <row r="2631" spans="1:23" x14ac:dyDescent="0.25">
      <c r="A2631" s="26" t="str">
        <f t="shared" si="449"/>
        <v>PRIMARIA</v>
      </c>
      <c r="B2631" s="26" t="str">
        <f>"09PPR1038M"</f>
        <v>09PPR1038M</v>
      </c>
      <c r="C2631" s="26" t="str">
        <f>"COLEGIO SPRINGFIELD                                                                                 "</f>
        <v xml:space="preserve">COLEGIO SPRINGFIELD                                                                                 </v>
      </c>
      <c r="D2631" s="26" t="str">
        <f t="shared" si="441"/>
        <v>MATUTINO</v>
      </c>
      <c r="E2631" s="26" t="str">
        <f>"AV PROLONG DIV DEL NORTE 4284                                                   "</f>
        <v xml:space="preserve">AV PROLONG DIV DEL NORTE 4284                                                   </v>
      </c>
      <c r="F2631" s="26" t="str">
        <f>"SANTA MARIA COAPA                                                                                                                           "</f>
        <v xml:space="preserve">SANTA MARIA COAPA                                                                                                                           </v>
      </c>
      <c r="G2631" s="26" t="str">
        <f>"TLALPAN                                                                         "</f>
        <v xml:space="preserve">TLALPAN                                                                         </v>
      </c>
      <c r="H2631" s="26" t="str">
        <f>"525"</f>
        <v>525</v>
      </c>
      <c r="I2631" s="26" t="str">
        <f t="shared" si="450"/>
        <v>00</v>
      </c>
      <c r="J2631" s="26" t="str">
        <f>"45 "</f>
        <v xml:space="preserve">45 </v>
      </c>
      <c r="K2631" s="26" t="str">
        <f>"PR"</f>
        <v>PR</v>
      </c>
      <c r="L2631" s="26" t="str">
        <f>"DGOSE"</f>
        <v>DGOSE</v>
      </c>
      <c r="M2631" s="26" t="str">
        <f t="shared" si="440"/>
        <v>PARTICULAR</v>
      </c>
      <c r="N2631" s="26">
        <v>200</v>
      </c>
      <c r="O2631" s="26">
        <v>90</v>
      </c>
      <c r="P2631" s="26">
        <v>110</v>
      </c>
      <c r="Q2631" s="26">
        <v>12</v>
      </c>
      <c r="R2631" s="26">
        <v>1</v>
      </c>
      <c r="S2631" s="26">
        <v>6</v>
      </c>
      <c r="T2631" s="26">
        <v>9</v>
      </c>
      <c r="U2631" s="26">
        <v>16</v>
      </c>
      <c r="V2631" s="26">
        <v>1</v>
      </c>
      <c r="W2631" s="26"/>
    </row>
    <row r="2632" spans="1:23" x14ac:dyDescent="0.25">
      <c r="A2632" s="26" t="str">
        <f t="shared" si="449"/>
        <v>PRIMARIA</v>
      </c>
      <c r="B2632" s="26" t="str">
        <f>"09PPR1039L"</f>
        <v>09PPR1039L</v>
      </c>
      <c r="C2632" s="26" t="str">
        <f>"COLEGIO ARNOLD GESELL                                                                               "</f>
        <v xml:space="preserve">COLEGIO ARNOLD GESELL                                                                               </v>
      </c>
      <c r="D2632" s="26" t="str">
        <f t="shared" si="441"/>
        <v>MATUTINO</v>
      </c>
      <c r="E2632" s="26" t="str">
        <f>"CALLE 5 MZ. 4 LT. 18                                                            "</f>
        <v xml:space="preserve">CALLE 5 MZ. 4 LT. 18                                                            </v>
      </c>
      <c r="F2632" s="26" t="str">
        <f>"JOSE LOPEZ PORTILLO                                                                                                                         "</f>
        <v xml:space="preserve">JOSE LOPEZ PORTILLO                                                                                                                         </v>
      </c>
      <c r="G2632" s="26" t="str">
        <f>"IZTAPALAPA                                                                      "</f>
        <v xml:space="preserve">IZTAPALAPA                                                                      </v>
      </c>
      <c r="H2632" s="26" t="str">
        <f>"000"</f>
        <v>000</v>
      </c>
      <c r="I2632" s="26" t="str">
        <f t="shared" si="450"/>
        <v>00</v>
      </c>
      <c r="J2632" s="26" t="str">
        <f>"63 "</f>
        <v xml:space="preserve">63 </v>
      </c>
      <c r="K2632" s="26" t="str">
        <f>"IZ"</f>
        <v>IZ</v>
      </c>
      <c r="L2632" s="26" t="str">
        <f>"DGSEI"</f>
        <v>DGSEI</v>
      </c>
      <c r="M2632" s="26" t="str">
        <f t="shared" si="440"/>
        <v>PARTICULAR</v>
      </c>
      <c r="N2632" s="26">
        <v>112</v>
      </c>
      <c r="O2632" s="26">
        <v>49</v>
      </c>
      <c r="P2632" s="26">
        <v>63</v>
      </c>
      <c r="Q2632" s="26">
        <v>6</v>
      </c>
      <c r="R2632" s="26">
        <v>1</v>
      </c>
      <c r="S2632" s="26">
        <v>6</v>
      </c>
      <c r="T2632" s="26">
        <v>9</v>
      </c>
      <c r="U2632" s="26">
        <v>16</v>
      </c>
      <c r="V2632" s="26">
        <v>1</v>
      </c>
      <c r="W2632" s="26"/>
    </row>
    <row r="2633" spans="1:23" x14ac:dyDescent="0.25">
      <c r="A2633" s="26" t="str">
        <f t="shared" si="449"/>
        <v>PRIMARIA</v>
      </c>
      <c r="B2633" s="26" t="str">
        <f>"09PPR1042Z"</f>
        <v>09PPR1042Z</v>
      </c>
      <c r="C2633" s="26" t="str">
        <f>"COLEGIO VICTORIA                                                                                    "</f>
        <v xml:space="preserve">COLEGIO VICTORIA                                                                                    </v>
      </c>
      <c r="D2633" s="26" t="str">
        <f t="shared" si="441"/>
        <v>MATUTINO</v>
      </c>
      <c r="E2633" s="26" t="str">
        <f>"20 DE NOVIEMBRE MZ. 68 LT. 2                                                    "</f>
        <v xml:space="preserve">20 DE NOVIEMBRE MZ. 68 LT. 2                                                    </v>
      </c>
      <c r="F2633" s="26" t="str">
        <f>"SANTA MARIA AZTAHUACAN                                                                                                                      "</f>
        <v xml:space="preserve">SANTA MARIA AZTAHUACAN                                                                                                                      </v>
      </c>
      <c r="G2633" s="26" t="str">
        <f>"IZTAPALAPA                                                                      "</f>
        <v xml:space="preserve">IZTAPALAPA                                                                      </v>
      </c>
      <c r="H2633" s="26" t="str">
        <f>"000"</f>
        <v>000</v>
      </c>
      <c r="I2633" s="26" t="str">
        <f t="shared" si="450"/>
        <v>00</v>
      </c>
      <c r="J2633" s="26" t="str">
        <f>"64 "</f>
        <v xml:space="preserve">64 </v>
      </c>
      <c r="K2633" s="26" t="str">
        <f>"IZ"</f>
        <v>IZ</v>
      </c>
      <c r="L2633" s="26" t="str">
        <f>"DGSEI"</f>
        <v>DGSEI</v>
      </c>
      <c r="M2633" s="26" t="str">
        <f t="shared" si="440"/>
        <v>PARTICULAR</v>
      </c>
      <c r="N2633" s="26">
        <v>249</v>
      </c>
      <c r="O2633" s="26">
        <v>133</v>
      </c>
      <c r="P2633" s="26">
        <v>116</v>
      </c>
      <c r="Q2633" s="26">
        <v>10</v>
      </c>
      <c r="R2633" s="26">
        <v>1</v>
      </c>
      <c r="S2633" s="26">
        <v>8</v>
      </c>
      <c r="T2633" s="26">
        <v>4</v>
      </c>
      <c r="U2633" s="26">
        <v>13</v>
      </c>
      <c r="V2633" s="26">
        <v>1</v>
      </c>
      <c r="W2633" s="26"/>
    </row>
    <row r="2634" spans="1:23" x14ac:dyDescent="0.25">
      <c r="A2634" s="26" t="str">
        <f t="shared" si="449"/>
        <v>PRIMARIA</v>
      </c>
      <c r="B2634" s="26" t="str">
        <f>"09PPR1043Y"</f>
        <v>09PPR1043Y</v>
      </c>
      <c r="C2634" s="26" t="str">
        <f>"MARTIN LUIS GUZMAN                                                                                  "</f>
        <v xml:space="preserve">MARTIN LUIS GUZMAN                                                                                  </v>
      </c>
      <c r="D2634" s="26" t="str">
        <f t="shared" si="441"/>
        <v>MATUTINO</v>
      </c>
      <c r="E2634" s="26" t="str">
        <f>"NORTE 84-A NUM 4705                                                             "</f>
        <v xml:space="preserve">NORTE 84-A NUM 4705                                                             </v>
      </c>
      <c r="F2634" s="26" t="str">
        <f>"MALINCHE                                                                                                                                    "</f>
        <v xml:space="preserve">MALINCHE                                                                                                                                    </v>
      </c>
      <c r="G2634" s="26" t="str">
        <f>"GUSTAVO A. MADERO                                                               "</f>
        <v xml:space="preserve">GUSTAVO A. MADERO                                                               </v>
      </c>
      <c r="H2634" s="26" t="str">
        <f>"254"</f>
        <v>254</v>
      </c>
      <c r="I2634" s="26" t="str">
        <f t="shared" si="450"/>
        <v>00</v>
      </c>
      <c r="J2634" s="26" t="str">
        <f>"42 "</f>
        <v xml:space="preserve">42 </v>
      </c>
      <c r="K2634" s="26" t="str">
        <f>"PR"</f>
        <v>PR</v>
      </c>
      <c r="L2634" s="26" t="str">
        <f>"DGOSE"</f>
        <v>DGOSE</v>
      </c>
      <c r="M2634" s="26" t="str">
        <f t="shared" si="440"/>
        <v>PARTICULAR</v>
      </c>
      <c r="N2634" s="26">
        <v>114</v>
      </c>
      <c r="O2634" s="26">
        <v>62</v>
      </c>
      <c r="P2634" s="26">
        <v>52</v>
      </c>
      <c r="Q2634" s="26">
        <v>6</v>
      </c>
      <c r="R2634" s="26">
        <v>1</v>
      </c>
      <c r="S2634" s="26">
        <v>3</v>
      </c>
      <c r="T2634" s="26">
        <v>11</v>
      </c>
      <c r="U2634" s="26">
        <v>15</v>
      </c>
      <c r="V2634" s="26">
        <v>1</v>
      </c>
      <c r="W2634" s="26"/>
    </row>
    <row r="2635" spans="1:23" x14ac:dyDescent="0.25">
      <c r="A2635" s="26" t="str">
        <f t="shared" si="449"/>
        <v>PRIMARIA</v>
      </c>
      <c r="B2635" s="26" t="str">
        <f>"09PPR1047U"</f>
        <v>09PPR1047U</v>
      </c>
      <c r="C2635" s="26" t="str">
        <f>"INSTITUTO GRAN BRETAÑA                                                                              "</f>
        <v xml:space="preserve">INSTITUTO GRAN BRETAÑA                                                                              </v>
      </c>
      <c r="D2635" s="26" t="str">
        <f t="shared" si="441"/>
        <v>MATUTINO</v>
      </c>
      <c r="E2635" s="26" t="str">
        <f>"LUIS MANUEL ROJAS NO.41                                                         "</f>
        <v xml:space="preserve">LUIS MANUEL ROJAS NO.41                                                         </v>
      </c>
      <c r="F2635" s="26" t="str">
        <f>"CONSTITUCION 1917                                                                                                                           "</f>
        <v xml:space="preserve">CONSTITUCION 1917                                                                                                                           </v>
      </c>
      <c r="G2635" s="26" t="str">
        <f>"IZTAPALAPA                                                                      "</f>
        <v xml:space="preserve">IZTAPALAPA                                                                      </v>
      </c>
      <c r="H2635" s="26" t="str">
        <f>"000"</f>
        <v>000</v>
      </c>
      <c r="I2635" s="26" t="str">
        <f t="shared" si="450"/>
        <v>00</v>
      </c>
      <c r="J2635" s="26" t="str">
        <f>"62 "</f>
        <v xml:space="preserve">62 </v>
      </c>
      <c r="K2635" s="26" t="str">
        <f>"IZ"</f>
        <v>IZ</v>
      </c>
      <c r="L2635" s="26" t="str">
        <f>"DGSEI"</f>
        <v>DGSEI</v>
      </c>
      <c r="M2635" s="26" t="str">
        <f t="shared" si="440"/>
        <v>PARTICULAR</v>
      </c>
      <c r="N2635" s="26">
        <v>91</v>
      </c>
      <c r="O2635" s="26">
        <v>41</v>
      </c>
      <c r="P2635" s="26">
        <v>50</v>
      </c>
      <c r="Q2635" s="26">
        <v>6</v>
      </c>
      <c r="R2635" s="26">
        <v>1</v>
      </c>
      <c r="S2635" s="26">
        <v>4</v>
      </c>
      <c r="T2635" s="26">
        <v>6</v>
      </c>
      <c r="U2635" s="26">
        <v>11</v>
      </c>
      <c r="V2635" s="26">
        <v>1</v>
      </c>
      <c r="W2635" s="26"/>
    </row>
    <row r="2636" spans="1:23" x14ac:dyDescent="0.25">
      <c r="A2636" s="26" t="str">
        <f t="shared" si="449"/>
        <v>PRIMARIA</v>
      </c>
      <c r="B2636" s="26" t="str">
        <f>"09PPR1048T"</f>
        <v>09PPR1048T</v>
      </c>
      <c r="C2636" s="26" t="str">
        <f>"CENTRO EDUCATIVO ITZA                                                                               "</f>
        <v xml:space="preserve">CENTRO EDUCATIVO ITZA                                                                               </v>
      </c>
      <c r="D2636" s="26" t="str">
        <f t="shared" si="441"/>
        <v>MATUTINO</v>
      </c>
      <c r="E2636" s="26" t="str">
        <f>"CAMINO A STA. CRUZ NO. 28                                                       "</f>
        <v xml:space="preserve">CAMINO A STA. CRUZ NO. 28                                                       </v>
      </c>
      <c r="F2636" s="26" t="str">
        <f>"LOMAS SAN LORENZO                                                                                                                           "</f>
        <v xml:space="preserve">LOMAS SAN LORENZO                                                                                                                           </v>
      </c>
      <c r="G2636" s="26" t="str">
        <f>"IZTAPALAPA                                                                      "</f>
        <v xml:space="preserve">IZTAPALAPA                                                                      </v>
      </c>
      <c r="H2636" s="26" t="str">
        <f>"000"</f>
        <v>000</v>
      </c>
      <c r="I2636" s="26" t="str">
        <f t="shared" si="450"/>
        <v>00</v>
      </c>
      <c r="J2636" s="26" t="str">
        <f>"63 "</f>
        <v xml:space="preserve">63 </v>
      </c>
      <c r="K2636" s="26" t="str">
        <f>"IZ"</f>
        <v>IZ</v>
      </c>
      <c r="L2636" s="26" t="str">
        <f>"DGSEI"</f>
        <v>DGSEI</v>
      </c>
      <c r="M2636" s="26" t="str">
        <f t="shared" si="440"/>
        <v>PARTICULAR</v>
      </c>
      <c r="N2636" s="26">
        <v>85</v>
      </c>
      <c r="O2636" s="26">
        <v>46</v>
      </c>
      <c r="P2636" s="26">
        <v>39</v>
      </c>
      <c r="Q2636" s="26">
        <v>6</v>
      </c>
      <c r="R2636" s="26">
        <v>1</v>
      </c>
      <c r="S2636" s="26">
        <v>6</v>
      </c>
      <c r="T2636" s="26">
        <v>6</v>
      </c>
      <c r="U2636" s="26">
        <v>13</v>
      </c>
      <c r="V2636" s="26">
        <v>1</v>
      </c>
      <c r="W2636" s="26"/>
    </row>
    <row r="2637" spans="1:23" x14ac:dyDescent="0.25">
      <c r="A2637" s="26" t="str">
        <f t="shared" si="449"/>
        <v>PRIMARIA</v>
      </c>
      <c r="B2637" s="26" t="str">
        <f>"09PPR1049S"</f>
        <v>09PPR1049S</v>
      </c>
      <c r="C2637" s="26" t="str">
        <f>"HEROES DE CHAPULTEPEC                                                                               "</f>
        <v xml:space="preserve">HEROES DE CHAPULTEPEC                                                                               </v>
      </c>
      <c r="D2637" s="26" t="str">
        <f t="shared" si="441"/>
        <v>MATUTINO</v>
      </c>
      <c r="E2637" s="26" t="str">
        <f>"JESUS ALMANZA MZ. 630 LT. 79B                                                   "</f>
        <v xml:space="preserve">JESUS ALMANZA MZ. 630 LT. 79B                                                   </v>
      </c>
      <c r="F2637" s="26" t="str">
        <f>"TEPALCATES                                                                                                                                  "</f>
        <v xml:space="preserve">TEPALCATES                                                                                                                                  </v>
      </c>
      <c r="G2637" s="26" t="str">
        <f>"IZTAPALAPA                                                                      "</f>
        <v xml:space="preserve">IZTAPALAPA                                                                      </v>
      </c>
      <c r="H2637" s="26" t="str">
        <f>"000"</f>
        <v>000</v>
      </c>
      <c r="I2637" s="26" t="str">
        <f t="shared" si="450"/>
        <v>00</v>
      </c>
      <c r="J2637" s="26" t="str">
        <f>"62 "</f>
        <v xml:space="preserve">62 </v>
      </c>
      <c r="K2637" s="26" t="str">
        <f>"IZ"</f>
        <v>IZ</v>
      </c>
      <c r="L2637" s="26" t="str">
        <f>"DGSEI"</f>
        <v>DGSEI</v>
      </c>
      <c r="M2637" s="26" t="str">
        <f t="shared" si="440"/>
        <v>PARTICULAR</v>
      </c>
      <c r="N2637" s="26">
        <v>45</v>
      </c>
      <c r="O2637" s="26">
        <v>19</v>
      </c>
      <c r="P2637" s="26">
        <v>26</v>
      </c>
      <c r="Q2637" s="26">
        <v>6</v>
      </c>
      <c r="R2637" s="26">
        <v>1</v>
      </c>
      <c r="S2637" s="26">
        <v>5</v>
      </c>
      <c r="T2637" s="26">
        <v>5</v>
      </c>
      <c r="U2637" s="26">
        <v>11</v>
      </c>
      <c r="V2637" s="26">
        <v>1</v>
      </c>
      <c r="W2637" s="26"/>
    </row>
    <row r="2638" spans="1:23" x14ac:dyDescent="0.25">
      <c r="A2638" s="26" t="str">
        <f t="shared" si="449"/>
        <v>PRIMARIA</v>
      </c>
      <c r="B2638" s="26" t="str">
        <f>"09PPR1050H"</f>
        <v>09PPR1050H</v>
      </c>
      <c r="C2638" s="26" t="str">
        <f>"CHARLES CHAPLIN                                                                                     "</f>
        <v xml:space="preserve">CHARLES CHAPLIN                                                                                     </v>
      </c>
      <c r="D2638" s="26" t="str">
        <f t="shared" si="441"/>
        <v>MATUTINO</v>
      </c>
      <c r="E2638" s="26" t="str">
        <f>"PACIFICO 266                                                                    "</f>
        <v xml:space="preserve">PACIFICO 266                                                                    </v>
      </c>
      <c r="F2638" s="26" t="str">
        <f>"EL ROSEDAL                                                                                                                                  "</f>
        <v xml:space="preserve">EL ROSEDAL                                                                                                                                  </v>
      </c>
      <c r="G2638" s="26" t="str">
        <f>"COYOACAN                                                                        "</f>
        <v xml:space="preserve">COYOACAN                                                                        </v>
      </c>
      <c r="H2638" s="26" t="str">
        <f>"503"</f>
        <v>503</v>
      </c>
      <c r="I2638" s="26" t="str">
        <f t="shared" si="450"/>
        <v>00</v>
      </c>
      <c r="J2638" s="26" t="str">
        <f>"45 "</f>
        <v xml:space="preserve">45 </v>
      </c>
      <c r="K2638" s="26" t="str">
        <f>"PR"</f>
        <v>PR</v>
      </c>
      <c r="L2638" s="26" t="str">
        <f>"DGOSE"</f>
        <v>DGOSE</v>
      </c>
      <c r="M2638" s="26" t="str">
        <f t="shared" si="440"/>
        <v>PARTICULAR</v>
      </c>
      <c r="N2638" s="26">
        <v>121</v>
      </c>
      <c r="O2638" s="26">
        <v>66</v>
      </c>
      <c r="P2638" s="26">
        <v>55</v>
      </c>
      <c r="Q2638" s="26">
        <v>6</v>
      </c>
      <c r="R2638" s="26">
        <v>1</v>
      </c>
      <c r="S2638" s="26">
        <v>3</v>
      </c>
      <c r="T2638" s="26">
        <v>13</v>
      </c>
      <c r="U2638" s="26">
        <v>17</v>
      </c>
      <c r="V2638" s="26">
        <v>1</v>
      </c>
      <c r="W2638" s="26"/>
    </row>
    <row r="2639" spans="1:23" x14ac:dyDescent="0.25">
      <c r="A2639" s="26" t="str">
        <f t="shared" si="449"/>
        <v>PRIMARIA</v>
      </c>
      <c r="B2639" s="26" t="str">
        <f>"09PPR1051G"</f>
        <v>09PPR1051G</v>
      </c>
      <c r="C2639" s="26" t="str">
        <f>"KANIC                                                                                               "</f>
        <v xml:space="preserve">KANIC                                                                                               </v>
      </c>
      <c r="D2639" s="26" t="str">
        <f t="shared" si="441"/>
        <v>MATUTINO</v>
      </c>
      <c r="E2639" s="26" t="str">
        <f>"AV. TLAHUAC NO. 4420                                                            "</f>
        <v xml:space="preserve">AV. TLAHUAC NO. 4420                                                            </v>
      </c>
      <c r="F2639" s="26" t="str">
        <f>"GRANJAS ESTRELLA                                                                                                                            "</f>
        <v xml:space="preserve">GRANJAS ESTRELLA                                                                                                                            </v>
      </c>
      <c r="G2639" s="26" t="str">
        <f>"IZTAPALAPA                                                                      "</f>
        <v xml:space="preserve">IZTAPALAPA                                                                      </v>
      </c>
      <c r="H2639" s="26" t="str">
        <f>"000"</f>
        <v>000</v>
      </c>
      <c r="I2639" s="26" t="str">
        <f t="shared" si="450"/>
        <v>00</v>
      </c>
      <c r="J2639" s="26" t="str">
        <f>"63 "</f>
        <v xml:space="preserve">63 </v>
      </c>
      <c r="K2639" s="26" t="str">
        <f>"IZ"</f>
        <v>IZ</v>
      </c>
      <c r="L2639" s="26" t="str">
        <f>"DGSEI"</f>
        <v>DGSEI</v>
      </c>
      <c r="M2639" s="26" t="str">
        <f t="shared" si="440"/>
        <v>PARTICULAR</v>
      </c>
      <c r="N2639" s="26">
        <v>95</v>
      </c>
      <c r="O2639" s="26">
        <v>49</v>
      </c>
      <c r="P2639" s="26">
        <v>46</v>
      </c>
      <c r="Q2639" s="26">
        <v>6</v>
      </c>
      <c r="R2639" s="26">
        <v>1</v>
      </c>
      <c r="S2639" s="26">
        <v>6</v>
      </c>
      <c r="T2639" s="26">
        <v>3</v>
      </c>
      <c r="U2639" s="26">
        <v>10</v>
      </c>
      <c r="V2639" s="26">
        <v>1</v>
      </c>
      <c r="W2639" s="26"/>
    </row>
    <row r="2640" spans="1:23" x14ac:dyDescent="0.25">
      <c r="A2640" s="26" t="str">
        <f t="shared" si="449"/>
        <v>PRIMARIA</v>
      </c>
      <c r="B2640" s="26" t="str">
        <f>"09PPR1052F"</f>
        <v>09PPR1052F</v>
      </c>
      <c r="C2640" s="26" t="str">
        <f>"AXUSCO                                                                                              "</f>
        <v xml:space="preserve">AXUSCO                                                                                              </v>
      </c>
      <c r="D2640" s="26" t="str">
        <f t="shared" si="441"/>
        <v>MATUTINO</v>
      </c>
      <c r="E2640" s="26" t="str">
        <f>"FRANCISCO PEÑUÑURI NO 5                                                         "</f>
        <v xml:space="preserve">FRANCISCO PEÑUÑURI NO 5                                                         </v>
      </c>
      <c r="F2640" s="26" t="str">
        <f>"SAN MIGUEL AJUSCO                                                                                                                           "</f>
        <v xml:space="preserve">SAN MIGUEL AJUSCO                                                                                                                           </v>
      </c>
      <c r="G2640" s="26" t="str">
        <f>"TLALPAN                                                                         "</f>
        <v xml:space="preserve">TLALPAN                                                                         </v>
      </c>
      <c r="H2640" s="26" t="str">
        <f>"530"</f>
        <v>530</v>
      </c>
      <c r="I2640" s="26" t="str">
        <f t="shared" si="450"/>
        <v>00</v>
      </c>
      <c r="J2640" s="26" t="str">
        <f>"45 "</f>
        <v xml:space="preserve">45 </v>
      </c>
      <c r="K2640" s="26" t="str">
        <f>"PR"</f>
        <v>PR</v>
      </c>
      <c r="L2640" s="26" t="str">
        <f>"DGOSE"</f>
        <v>DGOSE</v>
      </c>
      <c r="M2640" s="26" t="str">
        <f t="shared" si="440"/>
        <v>PARTICULAR</v>
      </c>
      <c r="N2640" s="26">
        <v>95</v>
      </c>
      <c r="O2640" s="26">
        <v>48</v>
      </c>
      <c r="P2640" s="26">
        <v>47</v>
      </c>
      <c r="Q2640" s="26">
        <v>6</v>
      </c>
      <c r="R2640" s="26">
        <v>1</v>
      </c>
      <c r="S2640" s="26">
        <v>3</v>
      </c>
      <c r="T2640" s="26">
        <v>9</v>
      </c>
      <c r="U2640" s="26">
        <v>13</v>
      </c>
      <c r="V2640" s="26">
        <v>1</v>
      </c>
      <c r="W2640" s="26"/>
    </row>
    <row r="2641" spans="1:23" x14ac:dyDescent="0.25">
      <c r="A2641" s="26" t="str">
        <f t="shared" si="449"/>
        <v>PRIMARIA</v>
      </c>
      <c r="B2641" s="26" t="str">
        <f>"09PPR1055C"</f>
        <v>09PPR1055C</v>
      </c>
      <c r="C2641" s="26" t="str">
        <f>"TEPOCHCALLI                                                                                         "</f>
        <v xml:space="preserve">TEPOCHCALLI                                                                                         </v>
      </c>
      <c r="D2641" s="26" t="str">
        <f t="shared" si="441"/>
        <v>MATUTINO</v>
      </c>
      <c r="E2641" s="26" t="str">
        <f>"FRESNO NO. 31                                                                   "</f>
        <v xml:space="preserve">FRESNO NO. 31                                                                   </v>
      </c>
      <c r="F2641" s="26" t="str">
        <f>"CONSEJO AGRARISTA MEXICANO                                                                                                                  "</f>
        <v xml:space="preserve">CONSEJO AGRARISTA MEXICANO                                                                                                                  </v>
      </c>
      <c r="G2641" s="26" t="str">
        <f>"IZTAPALAPA                                                                      "</f>
        <v xml:space="preserve">IZTAPALAPA                                                                      </v>
      </c>
      <c r="H2641" s="26" t="str">
        <f>"000"</f>
        <v>000</v>
      </c>
      <c r="I2641" s="26" t="str">
        <f t="shared" si="450"/>
        <v>00</v>
      </c>
      <c r="J2641" s="26" t="str">
        <f>"63 "</f>
        <v xml:space="preserve">63 </v>
      </c>
      <c r="K2641" s="26" t="str">
        <f>"IZ"</f>
        <v>IZ</v>
      </c>
      <c r="L2641" s="26" t="str">
        <f>"DGSEI"</f>
        <v>DGSEI</v>
      </c>
      <c r="M2641" s="26" t="str">
        <f t="shared" si="440"/>
        <v>PARTICULAR</v>
      </c>
      <c r="N2641" s="26">
        <v>29</v>
      </c>
      <c r="O2641" s="26">
        <v>18</v>
      </c>
      <c r="P2641" s="26">
        <v>11</v>
      </c>
      <c r="Q2641" s="26">
        <v>6</v>
      </c>
      <c r="R2641" s="26">
        <v>1</v>
      </c>
      <c r="S2641" s="26">
        <v>6</v>
      </c>
      <c r="T2641" s="26">
        <v>4</v>
      </c>
      <c r="U2641" s="26">
        <v>11</v>
      </c>
      <c r="V2641" s="26">
        <v>1</v>
      </c>
      <c r="W2641" s="26"/>
    </row>
    <row r="2642" spans="1:23" x14ac:dyDescent="0.25">
      <c r="A2642" s="26" t="str">
        <f t="shared" si="449"/>
        <v>PRIMARIA</v>
      </c>
      <c r="B2642" s="26" t="str">
        <f>"09PPR1056B"</f>
        <v>09PPR1056B</v>
      </c>
      <c r="C2642" s="26" t="str">
        <f>"HUITZILAN                                                                                           "</f>
        <v xml:space="preserve">HUITZILAN                                                                                           </v>
      </c>
      <c r="D2642" s="26" t="str">
        <f t="shared" si="441"/>
        <v>MATUTINO</v>
      </c>
      <c r="E2642" s="26" t="str">
        <f>"SALAVERRY NO. 1155                                                              "</f>
        <v xml:space="preserve">SALAVERRY NO. 1155                                                              </v>
      </c>
      <c r="F2642" s="26" t="str">
        <f>"SAN PEDRO ZACATENCO                                                                                                                         "</f>
        <v xml:space="preserve">SAN PEDRO ZACATENCO                                                                                                                         </v>
      </c>
      <c r="G2642" s="26" t="str">
        <f>"GUSTAVO A. MADERO                                                               "</f>
        <v xml:space="preserve">GUSTAVO A. MADERO                                                               </v>
      </c>
      <c r="H2642" s="26" t="str">
        <f>"239"</f>
        <v>239</v>
      </c>
      <c r="I2642" s="26" t="str">
        <f t="shared" si="450"/>
        <v>00</v>
      </c>
      <c r="J2642" s="26" t="str">
        <f>"42 "</f>
        <v xml:space="preserve">42 </v>
      </c>
      <c r="K2642" s="26" t="str">
        <f>"PR"</f>
        <v>PR</v>
      </c>
      <c r="L2642" s="26" t="str">
        <f>"DGOSE"</f>
        <v>DGOSE</v>
      </c>
      <c r="M2642" s="26" t="str">
        <f t="shared" ref="M2642:M2705" si="451">"PARTICULAR"</f>
        <v>PARTICULAR</v>
      </c>
      <c r="N2642" s="26">
        <v>125</v>
      </c>
      <c r="O2642" s="26">
        <v>65</v>
      </c>
      <c r="P2642" s="26">
        <v>60</v>
      </c>
      <c r="Q2642" s="26">
        <v>6</v>
      </c>
      <c r="R2642" s="26">
        <v>1</v>
      </c>
      <c r="S2642" s="26">
        <v>6</v>
      </c>
      <c r="T2642" s="26">
        <v>5</v>
      </c>
      <c r="U2642" s="26">
        <v>12</v>
      </c>
      <c r="V2642" s="26">
        <v>1</v>
      </c>
      <c r="W2642" s="26"/>
    </row>
    <row r="2643" spans="1:23" x14ac:dyDescent="0.25">
      <c r="A2643" s="26" t="str">
        <f t="shared" si="449"/>
        <v>PRIMARIA</v>
      </c>
      <c r="B2643" s="26" t="str">
        <f>"09PPR1058Z"</f>
        <v>09PPR1058Z</v>
      </c>
      <c r="C2643" s="26" t="str">
        <f>"COLEGIO BEAUMONT                                                                                    "</f>
        <v xml:space="preserve">COLEGIO BEAUMONT                                                                                    </v>
      </c>
      <c r="D2643" s="26" t="str">
        <f t="shared" si="441"/>
        <v>MATUTINO</v>
      </c>
      <c r="E2643" s="26" t="str">
        <f>"ORIENTE 253 NUM 169                                                             "</f>
        <v xml:space="preserve">ORIENTE 253 NUM 169                                                             </v>
      </c>
      <c r="F2643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2643" s="26" t="str">
        <f>"IZTACALCO                                                                       "</f>
        <v xml:space="preserve">IZTACALCO                                                                       </v>
      </c>
      <c r="H2643" s="26" t="str">
        <f>"356"</f>
        <v>356</v>
      </c>
      <c r="I2643" s="26" t="str">
        <f t="shared" si="450"/>
        <v>00</v>
      </c>
      <c r="J2643" s="26" t="str">
        <f>"43 "</f>
        <v xml:space="preserve">43 </v>
      </c>
      <c r="K2643" s="26" t="str">
        <f>"PR"</f>
        <v>PR</v>
      </c>
      <c r="L2643" s="26" t="str">
        <f>"DGOSE"</f>
        <v>DGOSE</v>
      </c>
      <c r="M2643" s="26" t="str">
        <f t="shared" si="451"/>
        <v>PARTICULAR</v>
      </c>
      <c r="N2643" s="26">
        <v>319</v>
      </c>
      <c r="O2643" s="26">
        <v>150</v>
      </c>
      <c r="P2643" s="26">
        <v>169</v>
      </c>
      <c r="Q2643" s="26">
        <v>12</v>
      </c>
      <c r="R2643" s="26">
        <v>1</v>
      </c>
      <c r="S2643" s="26">
        <v>12</v>
      </c>
      <c r="T2643" s="26">
        <v>21</v>
      </c>
      <c r="U2643" s="26">
        <v>34</v>
      </c>
      <c r="V2643" s="26">
        <v>1</v>
      </c>
      <c r="W2643" s="26"/>
    </row>
    <row r="2644" spans="1:23" x14ac:dyDescent="0.25">
      <c r="A2644" s="26" t="str">
        <f t="shared" si="449"/>
        <v>PRIMARIA</v>
      </c>
      <c r="B2644" s="26" t="str">
        <f>"09PPR1060O"</f>
        <v>09PPR1060O</v>
      </c>
      <c r="C2644" s="26" t="str">
        <f>"JOSE MARIA LICEAGA                                                                                  "</f>
        <v xml:space="preserve">JOSE MARIA LICEAGA                                                                                  </v>
      </c>
      <c r="D2644" s="26" t="str">
        <f t="shared" si="441"/>
        <v>MATUTINO</v>
      </c>
      <c r="E2644" s="26" t="str">
        <f>"AV. SAN ANTONIO ABAD NO. 220 - B                                                "</f>
        <v xml:space="preserve">AV. SAN ANTONIO ABAD NO. 220 - B                                                </v>
      </c>
      <c r="F2644" s="26" t="str">
        <f>"VISTA ALEGRE                                                                                                                                "</f>
        <v xml:space="preserve">VISTA ALEGRE                                                                                                                                </v>
      </c>
      <c r="G2644" s="26" t="str">
        <f>"CUAUHTEMOC                                                                      "</f>
        <v xml:space="preserve">CUAUHTEMOC                                                                      </v>
      </c>
      <c r="H2644" s="26" t="str">
        <f>"225"</f>
        <v>225</v>
      </c>
      <c r="I2644" s="26" t="str">
        <f t="shared" si="450"/>
        <v>00</v>
      </c>
      <c r="J2644" s="26" t="str">
        <f>"42 "</f>
        <v xml:space="preserve">42 </v>
      </c>
      <c r="K2644" s="26" t="str">
        <f>"PR"</f>
        <v>PR</v>
      </c>
      <c r="L2644" s="26" t="str">
        <f>"DGOSE"</f>
        <v>DGOSE</v>
      </c>
      <c r="M2644" s="26" t="str">
        <f t="shared" si="451"/>
        <v>PARTICULAR</v>
      </c>
      <c r="N2644" s="26">
        <v>218</v>
      </c>
      <c r="O2644" s="26">
        <v>125</v>
      </c>
      <c r="P2644" s="26">
        <v>93</v>
      </c>
      <c r="Q2644" s="26">
        <v>10</v>
      </c>
      <c r="R2644" s="26">
        <v>1</v>
      </c>
      <c r="S2644" s="26">
        <v>10</v>
      </c>
      <c r="T2644" s="26">
        <v>6</v>
      </c>
      <c r="U2644" s="26">
        <v>17</v>
      </c>
      <c r="V2644" s="26">
        <v>1</v>
      </c>
      <c r="W2644" s="26"/>
    </row>
    <row r="2645" spans="1:23" x14ac:dyDescent="0.25">
      <c r="A2645" s="26" t="str">
        <f t="shared" si="449"/>
        <v>PRIMARIA</v>
      </c>
      <c r="B2645" s="26" t="str">
        <f>"09PPR1062M"</f>
        <v>09PPR1062M</v>
      </c>
      <c r="C2645" s="26" t="str">
        <f>"JULIO TORRI                                                                                         "</f>
        <v xml:space="preserve">JULIO TORRI                                                                                         </v>
      </c>
      <c r="D2645" s="26" t="str">
        <f t="shared" ref="D2645:D2708" si="452">"MATUTINO"</f>
        <v>MATUTINO</v>
      </c>
      <c r="E2645" s="26" t="str">
        <f>"QUETZAL NO. 28                                                                  "</f>
        <v xml:space="preserve">QUETZAL NO. 28                                                                  </v>
      </c>
      <c r="F2645" s="26" t="str">
        <f>"PARAISO                                                                                                                                     "</f>
        <v xml:space="preserve">PARAISO                                                                                                                                     </v>
      </c>
      <c r="G2645" s="26" t="str">
        <f>"IZTAPALAPA                                                                      "</f>
        <v xml:space="preserve">IZTAPALAPA                                                                      </v>
      </c>
      <c r="H2645" s="26" t="str">
        <f>"000"</f>
        <v>000</v>
      </c>
      <c r="I2645" s="26" t="str">
        <f t="shared" si="450"/>
        <v>00</v>
      </c>
      <c r="J2645" s="26" t="str">
        <f>"62 "</f>
        <v xml:space="preserve">62 </v>
      </c>
      <c r="K2645" s="26" t="str">
        <f>"IZ"</f>
        <v>IZ</v>
      </c>
      <c r="L2645" s="26" t="str">
        <f>"DGSEI"</f>
        <v>DGSEI</v>
      </c>
      <c r="M2645" s="26" t="str">
        <f t="shared" si="451"/>
        <v>PARTICULAR</v>
      </c>
      <c r="N2645" s="26">
        <v>114</v>
      </c>
      <c r="O2645" s="26">
        <v>59</v>
      </c>
      <c r="P2645" s="26">
        <v>55</v>
      </c>
      <c r="Q2645" s="26">
        <v>6</v>
      </c>
      <c r="R2645" s="26">
        <v>1</v>
      </c>
      <c r="S2645" s="26">
        <v>6</v>
      </c>
      <c r="T2645" s="26">
        <v>6</v>
      </c>
      <c r="U2645" s="26">
        <v>13</v>
      </c>
      <c r="V2645" s="26">
        <v>1</v>
      </c>
      <c r="W2645" s="26"/>
    </row>
    <row r="2646" spans="1:23" x14ac:dyDescent="0.25">
      <c r="A2646" s="26" t="str">
        <f t="shared" si="449"/>
        <v>PRIMARIA</v>
      </c>
      <c r="B2646" s="26" t="str">
        <f>"09PPR1063L"</f>
        <v>09PPR1063L</v>
      </c>
      <c r="C2646" s="26" t="str">
        <f>"COMUNIDAD ACUEDUCTO MONTESSORI                                                                      "</f>
        <v xml:space="preserve">COMUNIDAD ACUEDUCTO MONTESSORI                                                                      </v>
      </c>
      <c r="D2646" s="26" t="str">
        <f t="shared" si="452"/>
        <v>MATUTINO</v>
      </c>
      <c r="E2646" s="26" t="str">
        <f>"BORRASCA NO 57                                                                  "</f>
        <v xml:space="preserve">BORRASCA NO 57                                                                  </v>
      </c>
      <c r="F2646" s="26" t="str">
        <f>"ACUEDUCTO DE GUADALUPE                                                                                                                      "</f>
        <v xml:space="preserve">ACUEDUCTO DE GUADALUPE                                                                                                                      </v>
      </c>
      <c r="G2646" s="26" t="str">
        <f>"GUSTAVO A. MADERO                                                               "</f>
        <v xml:space="preserve">GUSTAVO A. MADERO                                                               </v>
      </c>
      <c r="H2646" s="26" t="str">
        <f>"235"</f>
        <v>235</v>
      </c>
      <c r="I2646" s="26" t="str">
        <f t="shared" si="450"/>
        <v>00</v>
      </c>
      <c r="J2646" s="26" t="str">
        <f>"42 "</f>
        <v xml:space="preserve">42 </v>
      </c>
      <c r="K2646" s="26" t="str">
        <f t="shared" ref="K2646:K2655" si="453">"PR"</f>
        <v>PR</v>
      </c>
      <c r="L2646" s="26" t="str">
        <f t="shared" ref="L2646:L2655" si="454">"DGOSE"</f>
        <v>DGOSE</v>
      </c>
      <c r="M2646" s="26" t="str">
        <f t="shared" si="451"/>
        <v>PARTICULAR</v>
      </c>
      <c r="N2646" s="26">
        <v>23</v>
      </c>
      <c r="O2646" s="26">
        <v>13</v>
      </c>
      <c r="P2646" s="26">
        <v>10</v>
      </c>
      <c r="Q2646" s="26">
        <v>6</v>
      </c>
      <c r="R2646" s="26">
        <v>1</v>
      </c>
      <c r="S2646" s="26">
        <v>3</v>
      </c>
      <c r="T2646" s="26">
        <v>7</v>
      </c>
      <c r="U2646" s="26">
        <v>11</v>
      </c>
      <c r="V2646" s="26">
        <v>1</v>
      </c>
      <c r="W2646" s="26"/>
    </row>
    <row r="2647" spans="1:23" x14ac:dyDescent="0.25">
      <c r="A2647" s="26" t="str">
        <f t="shared" si="449"/>
        <v>PRIMARIA</v>
      </c>
      <c r="B2647" s="26" t="str">
        <f>"09PPR1064K"</f>
        <v>09PPR1064K</v>
      </c>
      <c r="C2647" s="26" t="str">
        <f>"MARIANO RIVA PALACIO                                                                                "</f>
        <v xml:space="preserve">MARIANO RIVA PALACIO                                                                                </v>
      </c>
      <c r="D2647" s="26" t="str">
        <f t="shared" si="452"/>
        <v>MATUTINO</v>
      </c>
      <c r="E2647" s="26" t="str">
        <f>"CALLE 319 NUM 610                                                               "</f>
        <v xml:space="preserve">CALLE 319 NUM 610                                                               </v>
      </c>
      <c r="F2647" s="26" t="str">
        <f>"NUEVA ATZACOALCO                                                                                                                            "</f>
        <v xml:space="preserve">NUEVA ATZACOALCO                                                                                                                            </v>
      </c>
      <c r="G2647" s="26" t="str">
        <f>"GUSTAVO A. MADERO                                                               "</f>
        <v xml:space="preserve">GUSTAVO A. MADERO                                                               </v>
      </c>
      <c r="H2647" s="26" t="str">
        <f>"257"</f>
        <v>257</v>
      </c>
      <c r="I2647" s="26" t="str">
        <f t="shared" si="450"/>
        <v>00</v>
      </c>
      <c r="J2647" s="26" t="str">
        <f>"42 "</f>
        <v xml:space="preserve">42 </v>
      </c>
      <c r="K2647" s="26" t="str">
        <f t="shared" si="453"/>
        <v>PR</v>
      </c>
      <c r="L2647" s="26" t="str">
        <f t="shared" si="454"/>
        <v>DGOSE</v>
      </c>
      <c r="M2647" s="26" t="str">
        <f t="shared" si="451"/>
        <v>PARTICULAR</v>
      </c>
      <c r="N2647" s="26">
        <v>222</v>
      </c>
      <c r="O2647" s="26">
        <v>115</v>
      </c>
      <c r="P2647" s="26">
        <v>107</v>
      </c>
      <c r="Q2647" s="26">
        <v>10</v>
      </c>
      <c r="R2647" s="26">
        <v>1</v>
      </c>
      <c r="S2647" s="26">
        <v>5</v>
      </c>
      <c r="T2647" s="26">
        <v>11</v>
      </c>
      <c r="U2647" s="26">
        <v>17</v>
      </c>
      <c r="V2647" s="26">
        <v>1</v>
      </c>
      <c r="W2647" s="26"/>
    </row>
    <row r="2648" spans="1:23" x14ac:dyDescent="0.25">
      <c r="A2648" s="26" t="str">
        <f t="shared" si="449"/>
        <v>PRIMARIA</v>
      </c>
      <c r="B2648" s="26" t="str">
        <f>"09PPR1065J"</f>
        <v>09PPR1065J</v>
      </c>
      <c r="C2648" s="26" t="str">
        <f>"INSTITUTO SALVADOR DIAZ MIRON                                                                       "</f>
        <v xml:space="preserve">INSTITUTO SALVADOR DIAZ MIRON                                                                       </v>
      </c>
      <c r="D2648" s="26" t="str">
        <f t="shared" si="452"/>
        <v>MATUTINO</v>
      </c>
      <c r="E2648" s="26" t="str">
        <f>"ORIENTE 153 NO 3723                                                             "</f>
        <v xml:space="preserve">ORIENTE 153 NO 3723                                                             </v>
      </c>
      <c r="F2648" s="26" t="str">
        <f>"SALVADOR DIAZ MIRON                                                                                                                         "</f>
        <v xml:space="preserve">SALVADOR DIAZ MIRON                                                                                                                         </v>
      </c>
      <c r="G2648" s="26" t="str">
        <f>"GUSTAVO A. MADERO                                                               "</f>
        <v xml:space="preserve">GUSTAVO A. MADERO                                                               </v>
      </c>
      <c r="H2648" s="26" t="str">
        <f>"257"</f>
        <v>257</v>
      </c>
      <c r="I2648" s="26" t="str">
        <f t="shared" si="450"/>
        <v>00</v>
      </c>
      <c r="J2648" s="26" t="str">
        <f>"42 "</f>
        <v xml:space="preserve">42 </v>
      </c>
      <c r="K2648" s="26" t="str">
        <f t="shared" si="453"/>
        <v>PR</v>
      </c>
      <c r="L2648" s="26" t="str">
        <f t="shared" si="454"/>
        <v>DGOSE</v>
      </c>
      <c r="M2648" s="26" t="str">
        <f t="shared" si="451"/>
        <v>PARTICULAR</v>
      </c>
      <c r="N2648" s="26">
        <v>133</v>
      </c>
      <c r="O2648" s="26">
        <v>64</v>
      </c>
      <c r="P2648" s="26">
        <v>69</v>
      </c>
      <c r="Q2648" s="26">
        <v>6</v>
      </c>
      <c r="R2648" s="26">
        <v>1</v>
      </c>
      <c r="S2648" s="26">
        <v>6</v>
      </c>
      <c r="T2648" s="26">
        <v>3</v>
      </c>
      <c r="U2648" s="26">
        <v>10</v>
      </c>
      <c r="V2648" s="26">
        <v>1</v>
      </c>
      <c r="W2648" s="26"/>
    </row>
    <row r="2649" spans="1:23" x14ac:dyDescent="0.25">
      <c r="A2649" s="26" t="str">
        <f t="shared" si="449"/>
        <v>PRIMARIA</v>
      </c>
      <c r="B2649" s="26" t="str">
        <f>"09PPR1072T"</f>
        <v>09PPR1072T</v>
      </c>
      <c r="C2649" s="26" t="str">
        <f>"CENTRO EDUCATIVO BRITANICO                                                                          "</f>
        <v xml:space="preserve">CENTRO EDUCATIVO BRITANICO                                                                          </v>
      </c>
      <c r="D2649" s="26" t="str">
        <f t="shared" si="452"/>
        <v>MATUTINO</v>
      </c>
      <c r="E2649" s="26" t="str">
        <f>"18 DE NOVIEMBRE DE 1917 NO 46                                                   "</f>
        <v xml:space="preserve">18 DE NOVIEMBRE DE 1917 NO 46                                                   </v>
      </c>
      <c r="F2649" s="26" t="str">
        <f>"LA LAGUNA TICOMAN                                                                                                                           "</f>
        <v xml:space="preserve">LA LAGUNA TICOMAN                                                                                                                           </v>
      </c>
      <c r="G2649" s="26" t="str">
        <f>"GUSTAVO A. MADERO                                                               "</f>
        <v xml:space="preserve">GUSTAVO A. MADERO                                                               </v>
      </c>
      <c r="H2649" s="26" t="str">
        <f>"237"</f>
        <v>237</v>
      </c>
      <c r="I2649" s="26" t="str">
        <f t="shared" si="450"/>
        <v>00</v>
      </c>
      <c r="J2649" s="26" t="str">
        <f>"42 "</f>
        <v xml:space="preserve">42 </v>
      </c>
      <c r="K2649" s="26" t="str">
        <f t="shared" si="453"/>
        <v>PR</v>
      </c>
      <c r="L2649" s="26" t="str">
        <f t="shared" si="454"/>
        <v>DGOSE</v>
      </c>
      <c r="M2649" s="26" t="str">
        <f t="shared" si="451"/>
        <v>PARTICULAR</v>
      </c>
      <c r="N2649" s="26">
        <v>118</v>
      </c>
      <c r="O2649" s="26">
        <v>56</v>
      </c>
      <c r="P2649" s="26">
        <v>62</v>
      </c>
      <c r="Q2649" s="26">
        <v>6</v>
      </c>
      <c r="R2649" s="26">
        <v>1</v>
      </c>
      <c r="S2649" s="26">
        <v>3</v>
      </c>
      <c r="T2649" s="26">
        <v>9</v>
      </c>
      <c r="U2649" s="26">
        <v>13</v>
      </c>
      <c r="V2649" s="26">
        <v>1</v>
      </c>
      <c r="W2649" s="26"/>
    </row>
    <row r="2650" spans="1:23" x14ac:dyDescent="0.25">
      <c r="A2650" s="26" t="str">
        <f t="shared" si="449"/>
        <v>PRIMARIA</v>
      </c>
      <c r="B2650" s="26" t="str">
        <f>"09PPR1073S"</f>
        <v>09PPR1073S</v>
      </c>
      <c r="C2650" s="26" t="str">
        <f>"COLEGIO ADA LOVELACE DE MEXICO                                                                      "</f>
        <v xml:space="preserve">COLEGIO ADA LOVELACE DE MEXICO                                                                      </v>
      </c>
      <c r="D2650" s="26" t="str">
        <f t="shared" si="452"/>
        <v>MATUTINO</v>
      </c>
      <c r="E2650" s="26" t="str">
        <f>"CALLE SIETE NUM 105                                                             "</f>
        <v xml:space="preserve">CALLE SIETE NUM 105                                                             </v>
      </c>
      <c r="F2650" s="26" t="str">
        <f>"ESPARTACO                                                                                                                                   "</f>
        <v xml:space="preserve">ESPARTACO                                                                                                                                   </v>
      </c>
      <c r="G2650" s="26" t="str">
        <f>"COYOACAN                                                                        "</f>
        <v xml:space="preserve">COYOACAN                                                                        </v>
      </c>
      <c r="H2650" s="26" t="str">
        <f>"566"</f>
        <v>566</v>
      </c>
      <c r="I2650" s="26" t="str">
        <f t="shared" si="450"/>
        <v>00</v>
      </c>
      <c r="J2650" s="26" t="str">
        <f>"45 "</f>
        <v xml:space="preserve">45 </v>
      </c>
      <c r="K2650" s="26" t="str">
        <f t="shared" si="453"/>
        <v>PR</v>
      </c>
      <c r="L2650" s="26" t="str">
        <f t="shared" si="454"/>
        <v>DGOSE</v>
      </c>
      <c r="M2650" s="26" t="str">
        <f t="shared" si="451"/>
        <v>PARTICULAR</v>
      </c>
      <c r="N2650" s="26">
        <v>18</v>
      </c>
      <c r="O2650" s="26">
        <v>11</v>
      </c>
      <c r="P2650" s="26">
        <v>7</v>
      </c>
      <c r="Q2650" s="26">
        <v>6</v>
      </c>
      <c r="R2650" s="26">
        <v>1</v>
      </c>
      <c r="S2650" s="26">
        <v>3</v>
      </c>
      <c r="T2650" s="26">
        <v>6</v>
      </c>
      <c r="U2650" s="26">
        <v>10</v>
      </c>
      <c r="V2650" s="26">
        <v>1</v>
      </c>
      <c r="W2650" s="26"/>
    </row>
    <row r="2651" spans="1:23" x14ac:dyDescent="0.25">
      <c r="A2651" s="26" t="str">
        <f t="shared" si="449"/>
        <v>PRIMARIA</v>
      </c>
      <c r="B2651" s="26" t="str">
        <f>"09PPR1075Q"</f>
        <v>09PPR1075Q</v>
      </c>
      <c r="C2651" s="26" t="str">
        <f>"COLEGIO CAROLINGIO                                                                                  "</f>
        <v xml:space="preserve">COLEGIO CAROLINGIO                                                                                  </v>
      </c>
      <c r="D2651" s="26" t="str">
        <f t="shared" si="452"/>
        <v>MATUTINO</v>
      </c>
      <c r="E2651" s="26" t="str">
        <f>"ENRICO CARUSO 115                                                               "</f>
        <v xml:space="preserve">ENRICO CARUSO 115                                                               </v>
      </c>
      <c r="F2651" s="26" t="str">
        <f>"PERALVILLO                                                                                                                                  "</f>
        <v xml:space="preserve">PERALVILLO                                                                                                                                  </v>
      </c>
      <c r="G2651" s="26" t="str">
        <f>"CUAUHTEMOC                                                                      "</f>
        <v xml:space="preserve">CUAUHTEMOC                                                                      </v>
      </c>
      <c r="H2651" s="26" t="str">
        <f>"000"</f>
        <v>000</v>
      </c>
      <c r="I2651" s="26" t="str">
        <f t="shared" si="450"/>
        <v>00</v>
      </c>
      <c r="J2651" s="26" t="str">
        <f>"42 "</f>
        <v xml:space="preserve">42 </v>
      </c>
      <c r="K2651" s="26" t="str">
        <f t="shared" si="453"/>
        <v>PR</v>
      </c>
      <c r="L2651" s="26" t="str">
        <f t="shared" si="454"/>
        <v>DGOSE</v>
      </c>
      <c r="M2651" s="26" t="str">
        <f t="shared" si="451"/>
        <v>PARTICULAR</v>
      </c>
      <c r="N2651" s="26">
        <v>101</v>
      </c>
      <c r="O2651" s="26">
        <v>52</v>
      </c>
      <c r="P2651" s="26">
        <v>49</v>
      </c>
      <c r="Q2651" s="26">
        <v>6</v>
      </c>
      <c r="R2651" s="26">
        <v>1</v>
      </c>
      <c r="S2651" s="26">
        <v>6</v>
      </c>
      <c r="T2651" s="26">
        <v>7</v>
      </c>
      <c r="U2651" s="26">
        <v>14</v>
      </c>
      <c r="V2651" s="26">
        <v>1</v>
      </c>
      <c r="W2651" s="26"/>
    </row>
    <row r="2652" spans="1:23" x14ac:dyDescent="0.25">
      <c r="A2652" s="26" t="str">
        <f t="shared" si="449"/>
        <v>PRIMARIA</v>
      </c>
      <c r="B2652" s="26" t="str">
        <f>"09PPR1077O"</f>
        <v>09PPR1077O</v>
      </c>
      <c r="C2652" s="26" t="str">
        <f>"INSTITUTO ROSEDAL VISTA HERMOSA                                                                     "</f>
        <v xml:space="preserve">INSTITUTO ROSEDAL VISTA HERMOSA                                                                     </v>
      </c>
      <c r="D2652" s="26" t="str">
        <f t="shared" si="452"/>
        <v>MATUTINO</v>
      </c>
      <c r="E2652" s="26" t="str">
        <f>"LOMA DEL RECUERDO 50                                                            "</f>
        <v xml:space="preserve">LOMA DEL RECUERDO 50                                                            </v>
      </c>
      <c r="F2652" s="26" t="str">
        <f>"LOMAS DE VISTA HERMOSA                                                                                                                      "</f>
        <v xml:space="preserve">LOMAS DE VISTA HERMOSA                                                                                                                      </v>
      </c>
      <c r="G2652" s="26" t="str">
        <f>"CUAJIMALPA DE MORELOS                                                           "</f>
        <v xml:space="preserve">CUAJIMALPA DE MORELOS                                                           </v>
      </c>
      <c r="H2652" s="26" t="str">
        <f>"300"</f>
        <v>300</v>
      </c>
      <c r="I2652" s="26" t="str">
        <f t="shared" si="450"/>
        <v>00</v>
      </c>
      <c r="J2652" s="26" t="str">
        <f>"43 "</f>
        <v xml:space="preserve">43 </v>
      </c>
      <c r="K2652" s="26" t="str">
        <f t="shared" si="453"/>
        <v>PR</v>
      </c>
      <c r="L2652" s="26" t="str">
        <f t="shared" si="454"/>
        <v>DGOSE</v>
      </c>
      <c r="M2652" s="26" t="str">
        <f t="shared" si="451"/>
        <v>PARTICULAR</v>
      </c>
      <c r="N2652" s="26">
        <v>223</v>
      </c>
      <c r="O2652" s="26">
        <v>0</v>
      </c>
      <c r="P2652" s="26">
        <v>223</v>
      </c>
      <c r="Q2652" s="26">
        <v>11</v>
      </c>
      <c r="R2652" s="26">
        <v>1</v>
      </c>
      <c r="S2652" s="26">
        <v>6</v>
      </c>
      <c r="T2652" s="26">
        <v>10</v>
      </c>
      <c r="U2652" s="26">
        <v>17</v>
      </c>
      <c r="V2652" s="26">
        <v>1</v>
      </c>
      <c r="W2652" s="26"/>
    </row>
    <row r="2653" spans="1:23" x14ac:dyDescent="0.25">
      <c r="A2653" s="26" t="str">
        <f t="shared" si="449"/>
        <v>PRIMARIA</v>
      </c>
      <c r="B2653" s="26" t="str">
        <f>"09PPR1079M"</f>
        <v>09PPR1079M</v>
      </c>
      <c r="C2653" s="26" t="str">
        <f>"ESCUELA MAIJAÑUI                                                                                    "</f>
        <v xml:space="preserve">ESCUELA MAIJAÑUI                                                                                    </v>
      </c>
      <c r="D2653" s="26" t="str">
        <f t="shared" si="452"/>
        <v>MATUTINO</v>
      </c>
      <c r="E2653" s="26" t="str">
        <f>"EJERCITO NACIONAL 1137                                                          "</f>
        <v xml:space="preserve">EJERCITO NACIONAL 1137                                                          </v>
      </c>
      <c r="F2653" s="26" t="str">
        <f>"IRRIGACION                                                                                                                                  "</f>
        <v xml:space="preserve">IRRIGACION                                                                                                                                  </v>
      </c>
      <c r="G2653" s="26" t="str">
        <f>"MIGUEL HIDALGO                                                                  "</f>
        <v xml:space="preserve">MIGUEL HIDALGO                                                                  </v>
      </c>
      <c r="H2653" s="26" t="str">
        <f>"208"</f>
        <v>208</v>
      </c>
      <c r="I2653" s="26" t="str">
        <f t="shared" si="450"/>
        <v>00</v>
      </c>
      <c r="J2653" s="26" t="str">
        <f>"42 "</f>
        <v xml:space="preserve">42 </v>
      </c>
      <c r="K2653" s="26" t="str">
        <f t="shared" si="453"/>
        <v>PR</v>
      </c>
      <c r="L2653" s="26" t="str">
        <f t="shared" si="454"/>
        <v>DGOSE</v>
      </c>
      <c r="M2653" s="26" t="str">
        <f t="shared" si="451"/>
        <v>PARTICULAR</v>
      </c>
      <c r="N2653" s="26">
        <v>32</v>
      </c>
      <c r="O2653" s="26">
        <v>13</v>
      </c>
      <c r="P2653" s="26">
        <v>19</v>
      </c>
      <c r="Q2653" s="26">
        <v>6</v>
      </c>
      <c r="R2653" s="26">
        <v>1</v>
      </c>
      <c r="S2653" s="26">
        <v>2</v>
      </c>
      <c r="T2653" s="26">
        <v>4</v>
      </c>
      <c r="U2653" s="26">
        <v>7</v>
      </c>
      <c r="V2653" s="26">
        <v>1</v>
      </c>
      <c r="W2653" s="26"/>
    </row>
    <row r="2654" spans="1:23" x14ac:dyDescent="0.25">
      <c r="A2654" s="26" t="str">
        <f t="shared" si="449"/>
        <v>PRIMARIA</v>
      </c>
      <c r="B2654" s="26" t="str">
        <f>"09PPR1080B"</f>
        <v>09PPR1080B</v>
      </c>
      <c r="C2654" s="26" t="str">
        <f>"STANFORD                                                                                            "</f>
        <v xml:space="preserve">STANFORD                                                                                            </v>
      </c>
      <c r="D2654" s="26" t="str">
        <f t="shared" si="452"/>
        <v>MATUTINO</v>
      </c>
      <c r="E2654" s="26" t="str">
        <f>"RETORNO 35 NO 23                                                                "</f>
        <v xml:space="preserve">RETORNO 35 NO 23                                                                </v>
      </c>
      <c r="F2654" s="26" t="str">
        <f>"AVANTE                                                                                                                                      "</f>
        <v xml:space="preserve">AVANTE                                                                                                                                      </v>
      </c>
      <c r="G2654" s="26" t="str">
        <f>"COYOACAN                                                                        "</f>
        <v xml:space="preserve">COYOACAN                                                                        </v>
      </c>
      <c r="H2654" s="26" t="str">
        <f>"566"</f>
        <v>566</v>
      </c>
      <c r="I2654" s="26" t="str">
        <f t="shared" si="450"/>
        <v>00</v>
      </c>
      <c r="J2654" s="26" t="str">
        <f>"45 "</f>
        <v xml:space="preserve">45 </v>
      </c>
      <c r="K2654" s="26" t="str">
        <f t="shared" si="453"/>
        <v>PR</v>
      </c>
      <c r="L2654" s="26" t="str">
        <f t="shared" si="454"/>
        <v>DGOSE</v>
      </c>
      <c r="M2654" s="26" t="str">
        <f t="shared" si="451"/>
        <v>PARTICULAR</v>
      </c>
      <c r="N2654" s="26">
        <v>42</v>
      </c>
      <c r="O2654" s="26">
        <v>20</v>
      </c>
      <c r="P2654" s="26">
        <v>22</v>
      </c>
      <c r="Q2654" s="26">
        <v>6</v>
      </c>
      <c r="R2654" s="26">
        <v>1</v>
      </c>
      <c r="S2654" s="26">
        <v>3</v>
      </c>
      <c r="T2654" s="26">
        <v>6</v>
      </c>
      <c r="U2654" s="26">
        <v>10</v>
      </c>
      <c r="V2654" s="26">
        <v>1</v>
      </c>
      <c r="W2654" s="26"/>
    </row>
    <row r="2655" spans="1:23" x14ac:dyDescent="0.25">
      <c r="A2655" s="26" t="str">
        <f t="shared" si="449"/>
        <v>PRIMARIA</v>
      </c>
      <c r="B2655" s="26" t="str">
        <f>"09PPR1082Z"</f>
        <v>09PPR1082Z</v>
      </c>
      <c r="C2655" s="26" t="str">
        <f>"COLEGIO FRANCISCO BACON                                                                             "</f>
        <v xml:space="preserve">COLEGIO FRANCISCO BACON                                                                             </v>
      </c>
      <c r="D2655" s="26" t="str">
        <f t="shared" si="452"/>
        <v>MATUTINO</v>
      </c>
      <c r="E2655" s="26" t="str">
        <f>"AV TLAHUAC NO 7096                                                              "</f>
        <v xml:space="preserve">AV TLAHUAC NO 7096                                                              </v>
      </c>
      <c r="F2655" s="26" t="str">
        <f>"OJO DE AGUA                                                                                                                                 "</f>
        <v xml:space="preserve">OJO DE AGUA                                                                                                                                 </v>
      </c>
      <c r="G2655" s="26" t="str">
        <f>"TLAHUAC                                                                         "</f>
        <v xml:space="preserve">TLAHUAC                                                                         </v>
      </c>
      <c r="H2655" s="26" t="str">
        <f>"554"</f>
        <v>554</v>
      </c>
      <c r="I2655" s="26" t="str">
        <f t="shared" si="450"/>
        <v>00</v>
      </c>
      <c r="J2655" s="26" t="str">
        <f>"45 "</f>
        <v xml:space="preserve">45 </v>
      </c>
      <c r="K2655" s="26" t="str">
        <f t="shared" si="453"/>
        <v>PR</v>
      </c>
      <c r="L2655" s="26" t="str">
        <f t="shared" si="454"/>
        <v>DGOSE</v>
      </c>
      <c r="M2655" s="26" t="str">
        <f t="shared" si="451"/>
        <v>PARTICULAR</v>
      </c>
      <c r="N2655" s="26">
        <v>60</v>
      </c>
      <c r="O2655" s="26">
        <v>28</v>
      </c>
      <c r="P2655" s="26">
        <v>32</v>
      </c>
      <c r="Q2655" s="26">
        <v>6</v>
      </c>
      <c r="R2655" s="26">
        <v>1</v>
      </c>
      <c r="S2655" s="26">
        <v>6</v>
      </c>
      <c r="T2655" s="26">
        <v>5</v>
      </c>
      <c r="U2655" s="26">
        <v>12</v>
      </c>
      <c r="V2655" s="26">
        <v>1</v>
      </c>
      <c r="W2655" s="26"/>
    </row>
    <row r="2656" spans="1:23" x14ac:dyDescent="0.25">
      <c r="A2656" s="26" t="str">
        <f t="shared" si="449"/>
        <v>PRIMARIA</v>
      </c>
      <c r="B2656" s="26" t="str">
        <f>"09PPR1083Z"</f>
        <v>09PPR1083Z</v>
      </c>
      <c r="C2656" s="26" t="str">
        <f>"INSTITUTO KIEL                                                                                      "</f>
        <v xml:space="preserve">INSTITUTO KIEL                                                                                      </v>
      </c>
      <c r="D2656" s="26" t="str">
        <f t="shared" si="452"/>
        <v>MATUTINO</v>
      </c>
      <c r="E2656" s="26" t="str">
        <f>"MELON NO. 12                                                                    "</f>
        <v xml:space="preserve">MELON NO. 12                                                                    </v>
      </c>
      <c r="F2656" s="26" t="str">
        <f>"SAN JUAN XALPA                                                                                                                              "</f>
        <v xml:space="preserve">SAN JUAN XALPA                                                                                                                              </v>
      </c>
      <c r="G2656" s="26" t="str">
        <f>"IZTAPALAPA                                                                      "</f>
        <v xml:space="preserve">IZTAPALAPA                                                                      </v>
      </c>
      <c r="H2656" s="26" t="str">
        <f>"000"</f>
        <v>000</v>
      </c>
      <c r="I2656" s="26" t="str">
        <f t="shared" si="450"/>
        <v>00</v>
      </c>
      <c r="J2656" s="26" t="str">
        <f>"63 "</f>
        <v xml:space="preserve">63 </v>
      </c>
      <c r="K2656" s="26" t="str">
        <f>"IZ"</f>
        <v>IZ</v>
      </c>
      <c r="L2656" s="26" t="str">
        <f>"DGSEI"</f>
        <v>DGSEI</v>
      </c>
      <c r="M2656" s="26" t="str">
        <f t="shared" si="451"/>
        <v>PARTICULAR</v>
      </c>
      <c r="N2656" s="26">
        <v>151</v>
      </c>
      <c r="O2656" s="26">
        <v>74</v>
      </c>
      <c r="P2656" s="26">
        <v>77</v>
      </c>
      <c r="Q2656" s="26">
        <v>8</v>
      </c>
      <c r="R2656" s="26">
        <v>2</v>
      </c>
      <c r="S2656" s="26">
        <v>8</v>
      </c>
      <c r="T2656" s="26">
        <v>5</v>
      </c>
      <c r="U2656" s="26">
        <v>15</v>
      </c>
      <c r="V2656" s="26">
        <v>1</v>
      </c>
      <c r="W2656" s="26"/>
    </row>
    <row r="2657" spans="1:23" x14ac:dyDescent="0.25">
      <c r="A2657" s="26" t="str">
        <f t="shared" si="449"/>
        <v>PRIMARIA</v>
      </c>
      <c r="B2657" s="26" t="str">
        <f>"09PPR1086W"</f>
        <v>09PPR1086W</v>
      </c>
      <c r="C2657" s="26" t="str">
        <f>"CAPUTZIHIL                                                                                          "</f>
        <v xml:space="preserve">CAPUTZIHIL                                                                                          </v>
      </c>
      <c r="D2657" s="26" t="str">
        <f t="shared" si="452"/>
        <v>MATUTINO</v>
      </c>
      <c r="E2657" s="26" t="str">
        <f>"SUR 26B No.19                                                                   "</f>
        <v xml:space="preserve">SUR 26B No.19                                                                   </v>
      </c>
      <c r="F2657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2657" s="26" t="str">
        <f>"IZTACALCO                                                                       "</f>
        <v xml:space="preserve">IZTACALCO                                                                       </v>
      </c>
      <c r="H2657" s="26" t="str">
        <f>"358"</f>
        <v>358</v>
      </c>
      <c r="I2657" s="26" t="str">
        <f t="shared" si="450"/>
        <v>00</v>
      </c>
      <c r="J2657" s="26" t="str">
        <f>"43 "</f>
        <v xml:space="preserve">43 </v>
      </c>
      <c r="K2657" s="26" t="str">
        <f>"PR"</f>
        <v>PR</v>
      </c>
      <c r="L2657" s="26" t="str">
        <f>"DGOSE"</f>
        <v>DGOSE</v>
      </c>
      <c r="M2657" s="26" t="str">
        <f t="shared" si="451"/>
        <v>PARTICULAR</v>
      </c>
      <c r="N2657" s="26">
        <v>69</v>
      </c>
      <c r="O2657" s="26">
        <v>45</v>
      </c>
      <c r="P2657" s="26">
        <v>24</v>
      </c>
      <c r="Q2657" s="26">
        <v>6</v>
      </c>
      <c r="R2657" s="26">
        <v>1</v>
      </c>
      <c r="S2657" s="26">
        <v>3</v>
      </c>
      <c r="T2657" s="26">
        <v>5</v>
      </c>
      <c r="U2657" s="26">
        <v>9</v>
      </c>
      <c r="V2657" s="26">
        <v>1</v>
      </c>
      <c r="W2657" s="26"/>
    </row>
    <row r="2658" spans="1:23" x14ac:dyDescent="0.25">
      <c r="A2658" s="26" t="str">
        <f t="shared" si="449"/>
        <v>PRIMARIA</v>
      </c>
      <c r="B2658" s="26" t="str">
        <f>"09PPR1087V"</f>
        <v>09PPR1087V</v>
      </c>
      <c r="C2658" s="26" t="str">
        <f>"JESUS SOTELO INCLAN                                                                                 "</f>
        <v xml:space="preserve">JESUS SOTELO INCLAN                                                                                 </v>
      </c>
      <c r="D2658" s="26" t="str">
        <f t="shared" si="452"/>
        <v>MATUTINO</v>
      </c>
      <c r="E2658" s="26" t="str">
        <f>"CARRETERA SAN PABLO NUM 920                                                     "</f>
        <v xml:space="preserve">CARRETERA SAN PABLO NUM 920                                                     </v>
      </c>
      <c r="F2658" s="26" t="str">
        <f>"SAN ANDRES AHUAYUCAN                                                                                                                        "</f>
        <v xml:space="preserve">SAN ANDRES AHUAYUCAN                                                                                                                        </v>
      </c>
      <c r="G2658" s="26" t="str">
        <f>"XOCHIMILCO                                                                      "</f>
        <v xml:space="preserve">XOCHIMILCO                                                                      </v>
      </c>
      <c r="H2658" s="26" t="str">
        <f>"541"</f>
        <v>541</v>
      </c>
      <c r="I2658" s="26" t="str">
        <f t="shared" si="450"/>
        <v>00</v>
      </c>
      <c r="J2658" s="26" t="str">
        <f>"45 "</f>
        <v xml:space="preserve">45 </v>
      </c>
      <c r="K2658" s="26" t="str">
        <f>"PR"</f>
        <v>PR</v>
      </c>
      <c r="L2658" s="26" t="str">
        <f>"DGOSE"</f>
        <v>DGOSE</v>
      </c>
      <c r="M2658" s="26" t="str">
        <f t="shared" si="451"/>
        <v>PARTICULAR</v>
      </c>
      <c r="N2658" s="26">
        <v>84</v>
      </c>
      <c r="O2658" s="26">
        <v>53</v>
      </c>
      <c r="P2658" s="26">
        <v>31</v>
      </c>
      <c r="Q2658" s="26">
        <v>6</v>
      </c>
      <c r="R2658" s="26">
        <v>2</v>
      </c>
      <c r="S2658" s="26">
        <v>6</v>
      </c>
      <c r="T2658" s="26">
        <v>9</v>
      </c>
      <c r="U2658" s="26">
        <v>17</v>
      </c>
      <c r="V2658" s="26">
        <v>1</v>
      </c>
      <c r="W2658" s="26"/>
    </row>
    <row r="2659" spans="1:23" x14ac:dyDescent="0.25">
      <c r="A2659" s="26" t="str">
        <f t="shared" si="449"/>
        <v>PRIMARIA</v>
      </c>
      <c r="B2659" s="26" t="str">
        <f>"09PPR1088U"</f>
        <v>09PPR1088U</v>
      </c>
      <c r="C2659" s="26" t="str">
        <f>"JAMES COOK                                                                                          "</f>
        <v xml:space="preserve">JAMES COOK                                                                                          </v>
      </c>
      <c r="D2659" s="26" t="str">
        <f t="shared" si="452"/>
        <v>MATUTINO</v>
      </c>
      <c r="E2659" s="26" t="str">
        <f>"BOLIVAR NUM 747                                                                 "</f>
        <v xml:space="preserve">BOLIVAR NUM 747                                                                 </v>
      </c>
      <c r="F2659" s="26" t="str">
        <f>"ALAMOS                                                                                                                                      "</f>
        <v xml:space="preserve">ALAMOS                                                                                                                                      </v>
      </c>
      <c r="G2659" s="26" t="str">
        <f>"BENITO JUAREZ                                                                   "</f>
        <v xml:space="preserve">BENITO JUAREZ                                                                   </v>
      </c>
      <c r="H2659" s="26" t="str">
        <f>"000"</f>
        <v>000</v>
      </c>
      <c r="I2659" s="26" t="str">
        <f t="shared" si="450"/>
        <v>00</v>
      </c>
      <c r="J2659" s="26" t="str">
        <f>"43 "</f>
        <v xml:space="preserve">43 </v>
      </c>
      <c r="K2659" s="26" t="str">
        <f>"PR"</f>
        <v>PR</v>
      </c>
      <c r="L2659" s="26" t="str">
        <f>"DGOSE"</f>
        <v>DGOSE</v>
      </c>
      <c r="M2659" s="26" t="str">
        <f t="shared" si="451"/>
        <v>PARTICULAR</v>
      </c>
      <c r="N2659" s="26">
        <v>70</v>
      </c>
      <c r="O2659" s="26">
        <v>35</v>
      </c>
      <c r="P2659" s="26">
        <v>35</v>
      </c>
      <c r="Q2659" s="26">
        <v>6</v>
      </c>
      <c r="R2659" s="26">
        <v>1</v>
      </c>
      <c r="S2659" s="26">
        <v>2</v>
      </c>
      <c r="T2659" s="26">
        <v>8</v>
      </c>
      <c r="U2659" s="26">
        <v>11</v>
      </c>
      <c r="V2659" s="26">
        <v>1</v>
      </c>
      <c r="W2659" s="26"/>
    </row>
    <row r="2660" spans="1:23" x14ac:dyDescent="0.25">
      <c r="A2660" s="26" t="str">
        <f t="shared" si="449"/>
        <v>PRIMARIA</v>
      </c>
      <c r="B2660" s="26" t="str">
        <f>"09PPR1089T"</f>
        <v>09PPR1089T</v>
      </c>
      <c r="C2660" s="26" t="str">
        <f>"COLEGIO HEBREO MONTE SINAI                                                                          "</f>
        <v xml:space="preserve">COLEGIO HEBREO MONTE SINAI                                                                          </v>
      </c>
      <c r="D2660" s="26" t="str">
        <f t="shared" si="452"/>
        <v>MATUTINO</v>
      </c>
      <c r="E2660" s="26" t="str">
        <f>"AV LOMAS DE LA PALMA NUM 133                                                    "</f>
        <v xml:space="preserve">AV LOMAS DE LA PALMA NUM 133                                                    </v>
      </c>
      <c r="F2660" s="26" t="str">
        <f>"LOMAS DE VISTA HERMOSA                                                                                                                      "</f>
        <v xml:space="preserve">LOMAS DE VISTA HERMOSA                                                                                                                      </v>
      </c>
      <c r="G2660" s="26" t="str">
        <f>"CUAJIMALPA DE MORELOS                                                           "</f>
        <v xml:space="preserve">CUAJIMALPA DE MORELOS                                                           </v>
      </c>
      <c r="H2660" s="26" t="str">
        <f>"301"</f>
        <v>301</v>
      </c>
      <c r="I2660" s="26" t="str">
        <f t="shared" si="450"/>
        <v>00</v>
      </c>
      <c r="J2660" s="26" t="str">
        <f>"43 "</f>
        <v xml:space="preserve">43 </v>
      </c>
      <c r="K2660" s="26" t="str">
        <f>"PR"</f>
        <v>PR</v>
      </c>
      <c r="L2660" s="26" t="str">
        <f>"DGOSE"</f>
        <v>DGOSE</v>
      </c>
      <c r="M2660" s="26" t="str">
        <f t="shared" si="451"/>
        <v>PARTICULAR</v>
      </c>
      <c r="N2660" s="26">
        <v>284</v>
      </c>
      <c r="O2660" s="26">
        <v>134</v>
      </c>
      <c r="P2660" s="26">
        <v>150</v>
      </c>
      <c r="Q2660" s="26">
        <v>16</v>
      </c>
      <c r="R2660" s="26">
        <v>1</v>
      </c>
      <c r="S2660" s="26">
        <v>16</v>
      </c>
      <c r="T2660" s="26">
        <v>7</v>
      </c>
      <c r="U2660" s="26">
        <v>24</v>
      </c>
      <c r="V2660" s="26">
        <v>1</v>
      </c>
      <c r="W2660" s="26"/>
    </row>
    <row r="2661" spans="1:23" x14ac:dyDescent="0.25">
      <c r="A2661" s="26" t="str">
        <f t="shared" si="449"/>
        <v>PRIMARIA</v>
      </c>
      <c r="B2661" s="26" t="str">
        <f>"09PPR1090I"</f>
        <v>09PPR1090I</v>
      </c>
      <c r="C2661" s="26" t="str">
        <f>"ESTUDIOS BASICOS GABRIELA MISTRAL                                                                   "</f>
        <v xml:space="preserve">ESTUDIOS BASICOS GABRIELA MISTRAL                                                                   </v>
      </c>
      <c r="D2661" s="26" t="str">
        <f t="shared" si="452"/>
        <v>MATUTINO</v>
      </c>
      <c r="E2661" s="26" t="str">
        <f>"FRANCISCO CANO NO. 349 MZ. 42 LT. 1                                             "</f>
        <v xml:space="preserve">FRANCISCO CANO NO. 349 MZ. 42 LT. 1                                             </v>
      </c>
      <c r="F2661" s="26" t="str">
        <f>"SANTA MARTHA ACATITLA                                                                                                                       "</f>
        <v xml:space="preserve">SANTA MARTHA ACATITLA                                                                                                                       </v>
      </c>
      <c r="G2661" s="26" t="str">
        <f>"IZTAPALAPA                                                                      "</f>
        <v xml:space="preserve">IZTAPALAPA                                                                      </v>
      </c>
      <c r="H2661" s="26" t="str">
        <f>"000"</f>
        <v>000</v>
      </c>
      <c r="I2661" s="26" t="str">
        <f t="shared" si="450"/>
        <v>00</v>
      </c>
      <c r="J2661" s="26" t="str">
        <f>"62 "</f>
        <v xml:space="preserve">62 </v>
      </c>
      <c r="K2661" s="26" t="str">
        <f>"IZ"</f>
        <v>IZ</v>
      </c>
      <c r="L2661" s="26" t="str">
        <f>"DGSEI"</f>
        <v>DGSEI</v>
      </c>
      <c r="M2661" s="26" t="str">
        <f t="shared" si="451"/>
        <v>PARTICULAR</v>
      </c>
      <c r="N2661" s="26">
        <v>87</v>
      </c>
      <c r="O2661" s="26">
        <v>44</v>
      </c>
      <c r="P2661" s="26">
        <v>43</v>
      </c>
      <c r="Q2661" s="26">
        <v>6</v>
      </c>
      <c r="R2661" s="26">
        <v>1</v>
      </c>
      <c r="S2661" s="26">
        <v>6</v>
      </c>
      <c r="T2661" s="26">
        <v>5</v>
      </c>
      <c r="U2661" s="26">
        <v>12</v>
      </c>
      <c r="V2661" s="26">
        <v>1</v>
      </c>
      <c r="W2661" s="26"/>
    </row>
    <row r="2662" spans="1:23" x14ac:dyDescent="0.25">
      <c r="A2662" s="26" t="str">
        <f t="shared" si="449"/>
        <v>PRIMARIA</v>
      </c>
      <c r="B2662" s="26" t="str">
        <f>"09PPR1091H"</f>
        <v>09PPR1091H</v>
      </c>
      <c r="C2662" s="26" t="str">
        <f>"COLEGIO WATSON Y CRICK                                                                              "</f>
        <v xml:space="preserve">COLEGIO WATSON Y CRICK                                                                              </v>
      </c>
      <c r="D2662" s="26" t="str">
        <f t="shared" si="452"/>
        <v>MATUTINO</v>
      </c>
      <c r="E2662" s="26" t="str">
        <f>"SUR 25 MZ. 53 LT. 551                                                           "</f>
        <v xml:space="preserve">SUR 25 MZ. 53 LT. 551                                                           </v>
      </c>
      <c r="F2662" s="26" t="str">
        <f>"LEYES DE REFORMA                                                                                                                            "</f>
        <v xml:space="preserve">LEYES DE REFORMA                                                                                                                            </v>
      </c>
      <c r="G2662" s="26" t="str">
        <f>"IZTAPALAPA                                                                      "</f>
        <v xml:space="preserve">IZTAPALAPA                                                                      </v>
      </c>
      <c r="H2662" s="26" t="str">
        <f>"000"</f>
        <v>000</v>
      </c>
      <c r="I2662" s="26" t="str">
        <f t="shared" si="450"/>
        <v>00</v>
      </c>
      <c r="J2662" s="26" t="str">
        <f>"61 "</f>
        <v xml:space="preserve">61 </v>
      </c>
      <c r="K2662" s="26" t="str">
        <f>"IZ"</f>
        <v>IZ</v>
      </c>
      <c r="L2662" s="26" t="str">
        <f>"DGSEI"</f>
        <v>DGSEI</v>
      </c>
      <c r="M2662" s="26" t="str">
        <f t="shared" si="451"/>
        <v>PARTICULAR</v>
      </c>
      <c r="N2662" s="26">
        <v>382</v>
      </c>
      <c r="O2662" s="26">
        <v>198</v>
      </c>
      <c r="P2662" s="26">
        <v>184</v>
      </c>
      <c r="Q2662" s="26">
        <v>17</v>
      </c>
      <c r="R2662" s="26">
        <v>1</v>
      </c>
      <c r="S2662" s="26">
        <v>17</v>
      </c>
      <c r="T2662" s="26">
        <v>2</v>
      </c>
      <c r="U2662" s="26">
        <v>20</v>
      </c>
      <c r="V2662" s="26">
        <v>1</v>
      </c>
      <c r="W2662" s="26"/>
    </row>
    <row r="2663" spans="1:23" x14ac:dyDescent="0.25">
      <c r="A2663" s="26" t="str">
        <f t="shared" si="449"/>
        <v>PRIMARIA</v>
      </c>
      <c r="B2663" s="26" t="str">
        <f>"09PPR1092G"</f>
        <v>09PPR1092G</v>
      </c>
      <c r="C2663" s="26" t="str">
        <f>"LIBERTADES INDIVIDUALES                                                                             "</f>
        <v xml:space="preserve">LIBERTADES INDIVIDUALES                                                                             </v>
      </c>
      <c r="D2663" s="26" t="str">
        <f t="shared" si="452"/>
        <v>MATUTINO</v>
      </c>
      <c r="E2663" s="26" t="str">
        <f>"BENITO JUAREZ NO. 19 Y LT. 6                                                    "</f>
        <v xml:space="preserve">BENITO JUAREZ NO. 19 Y LT. 6                                                    </v>
      </c>
      <c r="F2663" s="26" t="str">
        <f>"DESARROLLO URBANO QUETZALCOATL                                                                                                              "</f>
        <v xml:space="preserve">DESARROLLO URBANO QUETZALCOATL                                                                                                              </v>
      </c>
      <c r="G2663" s="26" t="str">
        <f>"IZTAPALAPA                                                                      "</f>
        <v xml:space="preserve">IZTAPALAPA                                                                      </v>
      </c>
      <c r="H2663" s="26" t="str">
        <f>"000"</f>
        <v>000</v>
      </c>
      <c r="I2663" s="26" t="str">
        <f t="shared" si="450"/>
        <v>00</v>
      </c>
      <c r="J2663" s="26" t="str">
        <f>"64 "</f>
        <v xml:space="preserve">64 </v>
      </c>
      <c r="K2663" s="26" t="str">
        <f>"IZ"</f>
        <v>IZ</v>
      </c>
      <c r="L2663" s="26" t="str">
        <f>"DGSEI"</f>
        <v>DGSEI</v>
      </c>
      <c r="M2663" s="26" t="str">
        <f t="shared" si="451"/>
        <v>PARTICULAR</v>
      </c>
      <c r="N2663" s="26">
        <v>65</v>
      </c>
      <c r="O2663" s="26">
        <v>33</v>
      </c>
      <c r="P2663" s="26">
        <v>32</v>
      </c>
      <c r="Q2663" s="26">
        <v>6</v>
      </c>
      <c r="R2663" s="26">
        <v>1</v>
      </c>
      <c r="S2663" s="26">
        <v>6</v>
      </c>
      <c r="T2663" s="26">
        <v>3</v>
      </c>
      <c r="U2663" s="26">
        <v>10</v>
      </c>
      <c r="V2663" s="26">
        <v>1</v>
      </c>
      <c r="W2663" s="26"/>
    </row>
    <row r="2664" spans="1:23" x14ac:dyDescent="0.25">
      <c r="A2664" s="26" t="str">
        <f t="shared" si="449"/>
        <v>PRIMARIA</v>
      </c>
      <c r="B2664" s="26" t="str">
        <f>"09PPR1093F"</f>
        <v>09PPR1093F</v>
      </c>
      <c r="C2664" s="26" t="str">
        <f>"ALEXANDER SUTHERLAND NEILL                                                                          "</f>
        <v xml:space="preserve">ALEXANDER SUTHERLAND NEILL                                                                          </v>
      </c>
      <c r="D2664" s="26" t="str">
        <f t="shared" si="452"/>
        <v>MATUTINO</v>
      </c>
      <c r="E2664" s="26" t="str">
        <f>"FRAY TORIBIO DE BENAVANTE 134                                                   "</f>
        <v xml:space="preserve">FRAY TORIBIO DE BENAVANTE 134                                                   </v>
      </c>
      <c r="F2664" s="26" t="str">
        <f>"VASCO DE QUIROGA                                                                                                                            "</f>
        <v xml:space="preserve">VASCO DE QUIROGA                                                                                                                            </v>
      </c>
      <c r="G2664" s="26" t="str">
        <f>"GUSTAVO A. MADERO                                                               "</f>
        <v xml:space="preserve">GUSTAVO A. MADERO                                                               </v>
      </c>
      <c r="H2664" s="26" t="str">
        <f>"260"</f>
        <v>260</v>
      </c>
      <c r="I2664" s="26" t="str">
        <f t="shared" si="450"/>
        <v>00</v>
      </c>
      <c r="J2664" s="26" t="str">
        <f>"42 "</f>
        <v xml:space="preserve">42 </v>
      </c>
      <c r="K2664" s="26" t="str">
        <f>"PR"</f>
        <v>PR</v>
      </c>
      <c r="L2664" s="26" t="str">
        <f>"DGOSE"</f>
        <v>DGOSE</v>
      </c>
      <c r="M2664" s="26" t="str">
        <f t="shared" si="451"/>
        <v>PARTICULAR</v>
      </c>
      <c r="N2664" s="26">
        <v>38</v>
      </c>
      <c r="O2664" s="26">
        <v>24</v>
      </c>
      <c r="P2664" s="26">
        <v>14</v>
      </c>
      <c r="Q2664" s="26">
        <v>6</v>
      </c>
      <c r="R2664" s="26">
        <v>1</v>
      </c>
      <c r="S2664" s="26">
        <v>3</v>
      </c>
      <c r="T2664" s="26">
        <v>3</v>
      </c>
      <c r="U2664" s="26">
        <v>7</v>
      </c>
      <c r="V2664" s="26">
        <v>1</v>
      </c>
      <c r="W2664" s="26"/>
    </row>
    <row r="2665" spans="1:23" x14ac:dyDescent="0.25">
      <c r="A2665" s="26" t="str">
        <f t="shared" si="449"/>
        <v>PRIMARIA</v>
      </c>
      <c r="B2665" s="26" t="str">
        <f>"09PPR1094E"</f>
        <v>09PPR1094E</v>
      </c>
      <c r="C2665" s="26" t="str">
        <f>"COLEGIO PEDAGOGICO CELESTIN FREINET                                                                 "</f>
        <v xml:space="preserve">COLEGIO PEDAGOGICO CELESTIN FREINET                                                                 </v>
      </c>
      <c r="D2665" s="26" t="str">
        <f t="shared" si="452"/>
        <v>MATUTINO</v>
      </c>
      <c r="E2665" s="26" t="str">
        <f>"SUPREMA CORTE DE JUSTICIA NO 251                                                "</f>
        <v xml:space="preserve">SUPREMA CORTE DE JUSTICIA NO 251                                                </v>
      </c>
      <c r="F2665" s="26" t="str">
        <f>"FEDERAL                                                                                                                                     "</f>
        <v xml:space="preserve">FEDERAL                                                                                                                                     </v>
      </c>
      <c r="G2665" s="26" t="str">
        <f>"VENUSTIANO CARRANZA                                                             "</f>
        <v xml:space="preserve">VENUSTIANO CARRANZA                                                             </v>
      </c>
      <c r="H2665" s="26" t="str">
        <f>"350"</f>
        <v>350</v>
      </c>
      <c r="I2665" s="26" t="str">
        <f t="shared" si="450"/>
        <v>00</v>
      </c>
      <c r="J2665" s="26" t="str">
        <f>"43 "</f>
        <v xml:space="preserve">43 </v>
      </c>
      <c r="K2665" s="26" t="str">
        <f>"PR"</f>
        <v>PR</v>
      </c>
      <c r="L2665" s="26" t="str">
        <f>"DGOSE"</f>
        <v>DGOSE</v>
      </c>
      <c r="M2665" s="26" t="str">
        <f t="shared" si="451"/>
        <v>PARTICULAR</v>
      </c>
      <c r="N2665" s="26">
        <v>129</v>
      </c>
      <c r="O2665" s="26">
        <v>57</v>
      </c>
      <c r="P2665" s="26">
        <v>72</v>
      </c>
      <c r="Q2665" s="26">
        <v>6</v>
      </c>
      <c r="R2665" s="26">
        <v>1</v>
      </c>
      <c r="S2665" s="26">
        <v>6</v>
      </c>
      <c r="T2665" s="26">
        <v>7</v>
      </c>
      <c r="U2665" s="26">
        <v>14</v>
      </c>
      <c r="V2665" s="26">
        <v>1</v>
      </c>
      <c r="W2665" s="26"/>
    </row>
    <row r="2666" spans="1:23" x14ac:dyDescent="0.25">
      <c r="A2666" s="26" t="str">
        <f t="shared" si="449"/>
        <v>PRIMARIA</v>
      </c>
      <c r="B2666" s="26" t="str">
        <f>"09PPR1097B"</f>
        <v>09PPR1097B</v>
      </c>
      <c r="C2666" s="26" t="str">
        <f>"CENTRO DE EDUCACION VILLA                                                                           "</f>
        <v xml:space="preserve">CENTRO DE EDUCACION VILLA                                                                           </v>
      </c>
      <c r="D2666" s="26" t="str">
        <f t="shared" si="452"/>
        <v>MATUTINO</v>
      </c>
      <c r="E2666" s="26" t="str">
        <f>"UNION NO 281                                                                    "</f>
        <v xml:space="preserve">UNION NO 281                                                                    </v>
      </c>
      <c r="F2666" s="26" t="str">
        <f>"TEPEYAC INSURGENTES                                                                                                                         "</f>
        <v xml:space="preserve">TEPEYAC INSURGENTES                                                                                                                         </v>
      </c>
      <c r="G2666" s="26" t="str">
        <f>"GUSTAVO A. MADERO                                                               "</f>
        <v xml:space="preserve">GUSTAVO A. MADERO                                                               </v>
      </c>
      <c r="H2666" s="26" t="str">
        <f>"245"</f>
        <v>245</v>
      </c>
      <c r="I2666" s="26" t="str">
        <f t="shared" si="450"/>
        <v>00</v>
      </c>
      <c r="J2666" s="26" t="str">
        <f>"42 "</f>
        <v xml:space="preserve">42 </v>
      </c>
      <c r="K2666" s="26" t="str">
        <f>"PR"</f>
        <v>PR</v>
      </c>
      <c r="L2666" s="26" t="str">
        <f>"DGOSE"</f>
        <v>DGOSE</v>
      </c>
      <c r="M2666" s="26" t="str">
        <f t="shared" si="451"/>
        <v>PARTICULAR</v>
      </c>
      <c r="N2666" s="26">
        <v>53</v>
      </c>
      <c r="O2666" s="26">
        <v>31</v>
      </c>
      <c r="P2666" s="26">
        <v>22</v>
      </c>
      <c r="Q2666" s="26">
        <v>6</v>
      </c>
      <c r="R2666" s="26">
        <v>1</v>
      </c>
      <c r="S2666" s="26">
        <v>3</v>
      </c>
      <c r="T2666" s="26">
        <v>7</v>
      </c>
      <c r="U2666" s="26">
        <v>11</v>
      </c>
      <c r="V2666" s="26">
        <v>1</v>
      </c>
      <c r="W2666" s="26"/>
    </row>
    <row r="2667" spans="1:23" x14ac:dyDescent="0.25">
      <c r="A2667" s="26" t="str">
        <f t="shared" si="449"/>
        <v>PRIMARIA</v>
      </c>
      <c r="B2667" s="26" t="str">
        <f>"09PPR1098A"</f>
        <v>09PPR1098A</v>
      </c>
      <c r="C2667" s="26" t="str">
        <f>"CENTRO MONTESSORI TONALI                                                                            "</f>
        <v xml:space="preserve">CENTRO MONTESSORI TONALI                                                                            </v>
      </c>
      <c r="D2667" s="26" t="str">
        <f t="shared" si="452"/>
        <v>MATUTINO</v>
      </c>
      <c r="E2667" s="26" t="str">
        <f>"LABORATORISTAS NO. 9                                                            "</f>
        <v xml:space="preserve">LABORATORISTAS NO. 9                                                            </v>
      </c>
      <c r="F2667" s="26" t="str">
        <f>"SIFON AMPLIACION                                                                                                                            "</f>
        <v xml:space="preserve">SIFON AMPLIACION                                                                                                                            </v>
      </c>
      <c r="G2667" s="26" t="str">
        <f>"IZTAPALAPA                                                                      "</f>
        <v xml:space="preserve">IZTAPALAPA                                                                      </v>
      </c>
      <c r="H2667" s="26" t="str">
        <f>"000"</f>
        <v>000</v>
      </c>
      <c r="I2667" s="26" t="str">
        <f t="shared" si="450"/>
        <v>00</v>
      </c>
      <c r="J2667" s="26" t="str">
        <f>"61 "</f>
        <v xml:space="preserve">61 </v>
      </c>
      <c r="K2667" s="26" t="str">
        <f>"IZ"</f>
        <v>IZ</v>
      </c>
      <c r="L2667" s="26" t="str">
        <f>"DGSEI"</f>
        <v>DGSEI</v>
      </c>
      <c r="M2667" s="26" t="str">
        <f t="shared" si="451"/>
        <v>PARTICULAR</v>
      </c>
      <c r="N2667" s="26">
        <v>53</v>
      </c>
      <c r="O2667" s="26">
        <v>33</v>
      </c>
      <c r="P2667" s="26">
        <v>20</v>
      </c>
      <c r="Q2667" s="26">
        <v>6</v>
      </c>
      <c r="R2667" s="26">
        <v>1</v>
      </c>
      <c r="S2667" s="26">
        <v>3</v>
      </c>
      <c r="T2667" s="26">
        <v>7</v>
      </c>
      <c r="U2667" s="26">
        <v>11</v>
      </c>
      <c r="V2667" s="26">
        <v>1</v>
      </c>
      <c r="W2667" s="26"/>
    </row>
    <row r="2668" spans="1:23" x14ac:dyDescent="0.25">
      <c r="A2668" s="26" t="str">
        <f t="shared" si="449"/>
        <v>PRIMARIA</v>
      </c>
      <c r="B2668" s="26" t="str">
        <f>"09PPR1099Z"</f>
        <v>09PPR1099Z</v>
      </c>
      <c r="C2668" s="26" t="str">
        <f>"COLEGIO VINCENT W. VAN GOGH                                                                         "</f>
        <v xml:space="preserve">COLEGIO VINCENT W. VAN GOGH                                                                         </v>
      </c>
      <c r="D2668" s="26" t="str">
        <f t="shared" si="452"/>
        <v>MATUTINO</v>
      </c>
      <c r="E2668" s="26" t="str">
        <f>"GOBERNADOR ZULUAGA NO. 25""B""                                                    "</f>
        <v xml:space="preserve">GOBERNADOR ZULUAGA NO. 25"B"                                                    </v>
      </c>
      <c r="F2668" s="26" t="str">
        <f>"SAN MIGUEL DE LAS SALERAS                                                                                                                   "</f>
        <v xml:space="preserve">SAN MIGUEL DE LAS SALERAS                                                                                                                   </v>
      </c>
      <c r="G2668" s="26" t="str">
        <f>"IZTAPALAPA                                                                      "</f>
        <v xml:space="preserve">IZTAPALAPA                                                                      </v>
      </c>
      <c r="H2668" s="26" t="str">
        <f>"000"</f>
        <v>000</v>
      </c>
      <c r="I2668" s="26" t="str">
        <f t="shared" si="450"/>
        <v>00</v>
      </c>
      <c r="J2668" s="26" t="str">
        <f>"61 "</f>
        <v xml:space="preserve">61 </v>
      </c>
      <c r="K2668" s="26" t="str">
        <f>"IZ"</f>
        <v>IZ</v>
      </c>
      <c r="L2668" s="26" t="str">
        <f>"DGSEI"</f>
        <v>DGSEI</v>
      </c>
      <c r="M2668" s="26" t="str">
        <f t="shared" si="451"/>
        <v>PARTICULAR</v>
      </c>
      <c r="N2668" s="26">
        <v>102</v>
      </c>
      <c r="O2668" s="26">
        <v>50</v>
      </c>
      <c r="P2668" s="26">
        <v>52</v>
      </c>
      <c r="Q2668" s="26">
        <v>6</v>
      </c>
      <c r="R2668" s="26">
        <v>1</v>
      </c>
      <c r="S2668" s="26">
        <v>6</v>
      </c>
      <c r="T2668" s="26">
        <v>5</v>
      </c>
      <c r="U2668" s="26">
        <v>12</v>
      </c>
      <c r="V2668" s="26">
        <v>1</v>
      </c>
      <c r="W2668" s="26"/>
    </row>
    <row r="2669" spans="1:23" x14ac:dyDescent="0.25">
      <c r="A2669" s="26" t="str">
        <f t="shared" si="449"/>
        <v>PRIMARIA</v>
      </c>
      <c r="B2669" s="26" t="str">
        <f>"09PPR1100Z"</f>
        <v>09PPR1100Z</v>
      </c>
      <c r="C2669" s="26" t="str">
        <f>"COLEGIO AMERICAS UNIDAS                                                                             "</f>
        <v xml:space="preserve">COLEGIO AMERICAS UNIDAS                                                                             </v>
      </c>
      <c r="D2669" s="26" t="str">
        <f t="shared" si="452"/>
        <v>MATUTINO</v>
      </c>
      <c r="E2669" s="26" t="str">
        <f>"IGNACIO RAMIREZ NO. 10                                                          "</f>
        <v xml:space="preserve">IGNACIO RAMIREZ NO. 10                                                          </v>
      </c>
      <c r="F2669" s="26" t="str">
        <f>"SANTA CRUZ MEYEHUALCO                                                                                                                       "</f>
        <v xml:space="preserve">SANTA CRUZ MEYEHUALCO                                                                                                                       </v>
      </c>
      <c r="G2669" s="26" t="str">
        <f>"IZTAPALAPA                                                                      "</f>
        <v xml:space="preserve">IZTAPALAPA                                                                      </v>
      </c>
      <c r="H2669" s="26" t="str">
        <f>"000"</f>
        <v>000</v>
      </c>
      <c r="I2669" s="26" t="str">
        <f t="shared" si="450"/>
        <v>00</v>
      </c>
      <c r="J2669" s="26" t="str">
        <f>"64 "</f>
        <v xml:space="preserve">64 </v>
      </c>
      <c r="K2669" s="26" t="str">
        <f>"IZ"</f>
        <v>IZ</v>
      </c>
      <c r="L2669" s="26" t="str">
        <f>"DGSEI"</f>
        <v>DGSEI</v>
      </c>
      <c r="M2669" s="26" t="str">
        <f t="shared" si="451"/>
        <v>PARTICULAR</v>
      </c>
      <c r="N2669" s="26">
        <v>178</v>
      </c>
      <c r="O2669" s="26">
        <v>90</v>
      </c>
      <c r="P2669" s="26">
        <v>88</v>
      </c>
      <c r="Q2669" s="26">
        <v>9</v>
      </c>
      <c r="R2669" s="26">
        <v>1</v>
      </c>
      <c r="S2669" s="26">
        <v>9</v>
      </c>
      <c r="T2669" s="26">
        <v>3</v>
      </c>
      <c r="U2669" s="26">
        <v>13</v>
      </c>
      <c r="V2669" s="26">
        <v>1</v>
      </c>
      <c r="W2669" s="26"/>
    </row>
    <row r="2670" spans="1:23" x14ac:dyDescent="0.25">
      <c r="A2670" s="26" t="str">
        <f t="shared" si="449"/>
        <v>PRIMARIA</v>
      </c>
      <c r="B2670" s="26" t="str">
        <f>"09PPR1101Y"</f>
        <v>09PPR1101Y</v>
      </c>
      <c r="C2670" s="26" t="str">
        <f>"LICEO CULTURAL MODERNO                                                                              "</f>
        <v xml:space="preserve">LICEO CULTURAL MODERNO                                                                              </v>
      </c>
      <c r="D2670" s="26" t="str">
        <f t="shared" si="452"/>
        <v>MATUTINO</v>
      </c>
      <c r="E2670" s="26" t="str">
        <f>"PALACIO NO 71                                                                   "</f>
        <v xml:space="preserve">PALACIO NO 71                                                                   </v>
      </c>
      <c r="F2670" s="26" t="str">
        <f>"LA ASUNCION                                                                                                                                 "</f>
        <v xml:space="preserve">LA ASUNCION                                                                                                                                 </v>
      </c>
      <c r="G2670" s="26" t="str">
        <f>"IZTAPALAPA                                                                      "</f>
        <v xml:space="preserve">IZTAPALAPA                                                                      </v>
      </c>
      <c r="H2670" s="26" t="str">
        <f>"000"</f>
        <v>000</v>
      </c>
      <c r="I2670" s="26" t="str">
        <f t="shared" si="450"/>
        <v>00</v>
      </c>
      <c r="J2670" s="26" t="str">
        <f>"61 "</f>
        <v xml:space="preserve">61 </v>
      </c>
      <c r="K2670" s="26" t="str">
        <f>"IZ"</f>
        <v>IZ</v>
      </c>
      <c r="L2670" s="26" t="str">
        <f>"DGSEI"</f>
        <v>DGSEI</v>
      </c>
      <c r="M2670" s="26" t="str">
        <f t="shared" si="451"/>
        <v>PARTICULAR</v>
      </c>
      <c r="N2670" s="26">
        <v>108</v>
      </c>
      <c r="O2670" s="26">
        <v>64</v>
      </c>
      <c r="P2670" s="26">
        <v>44</v>
      </c>
      <c r="Q2670" s="26">
        <v>6</v>
      </c>
      <c r="R2670" s="26">
        <v>1</v>
      </c>
      <c r="S2670" s="26">
        <v>6</v>
      </c>
      <c r="T2670" s="26">
        <v>2</v>
      </c>
      <c r="U2670" s="26">
        <v>9</v>
      </c>
      <c r="V2670" s="26">
        <v>1</v>
      </c>
      <c r="W2670" s="26"/>
    </row>
    <row r="2671" spans="1:23" x14ac:dyDescent="0.25">
      <c r="A2671" s="26" t="str">
        <f t="shared" si="449"/>
        <v>PRIMARIA</v>
      </c>
      <c r="B2671" s="26" t="str">
        <f>"09PPR1103W"</f>
        <v>09PPR1103W</v>
      </c>
      <c r="C2671" s="26" t="str">
        <f>"MICHAEL FARADAY                                                                                     "</f>
        <v xml:space="preserve">MICHAEL FARADAY                                                                                     </v>
      </c>
      <c r="D2671" s="26" t="str">
        <f t="shared" si="452"/>
        <v>MATUTINO</v>
      </c>
      <c r="E2671" s="26" t="str">
        <f>"MICHOACAN 206                                                                   "</f>
        <v xml:space="preserve">MICHOACAN 206                                                                   </v>
      </c>
      <c r="F2671" s="26" t="str">
        <f>"CHALMA DE GUADALUPE                                                                                                                         "</f>
        <v xml:space="preserve">CHALMA DE GUADALUPE                                                                                                                         </v>
      </c>
      <c r="G2671" s="26" t="str">
        <f>"GUSTAVO A. MADERO                                                               "</f>
        <v xml:space="preserve">GUSTAVO A. MADERO                                                               </v>
      </c>
      <c r="H2671" s="26" t="str">
        <f>"232"</f>
        <v>232</v>
      </c>
      <c r="I2671" s="26" t="str">
        <f t="shared" si="450"/>
        <v>00</v>
      </c>
      <c r="J2671" s="26" t="str">
        <f>"42 "</f>
        <v xml:space="preserve">42 </v>
      </c>
      <c r="K2671" s="26" t="str">
        <f>"PR"</f>
        <v>PR</v>
      </c>
      <c r="L2671" s="26" t="str">
        <f>"DGOSE"</f>
        <v>DGOSE</v>
      </c>
      <c r="M2671" s="26" t="str">
        <f t="shared" si="451"/>
        <v>PARTICULAR</v>
      </c>
      <c r="N2671" s="26">
        <v>102</v>
      </c>
      <c r="O2671" s="26">
        <v>54</v>
      </c>
      <c r="P2671" s="26">
        <v>48</v>
      </c>
      <c r="Q2671" s="26">
        <v>6</v>
      </c>
      <c r="R2671" s="26">
        <v>1</v>
      </c>
      <c r="S2671" s="26">
        <v>3</v>
      </c>
      <c r="T2671" s="26">
        <v>6</v>
      </c>
      <c r="U2671" s="26">
        <v>10</v>
      </c>
      <c r="V2671" s="26">
        <v>1</v>
      </c>
      <c r="W2671" s="26"/>
    </row>
    <row r="2672" spans="1:23" x14ac:dyDescent="0.25">
      <c r="A2672" s="26" t="str">
        <f t="shared" si="449"/>
        <v>PRIMARIA</v>
      </c>
      <c r="B2672" s="26" t="str">
        <f>"09PPR1105U"</f>
        <v>09PPR1105U</v>
      </c>
      <c r="C2672" s="26" t="str">
        <f>"VILLA EDUCATIVA MEXICO                                                                              "</f>
        <v xml:space="preserve">VILLA EDUCATIVA MEXICO                                                                              </v>
      </c>
      <c r="D2672" s="26" t="str">
        <f t="shared" si="452"/>
        <v>MATUTINO</v>
      </c>
      <c r="E2672" s="26" t="str">
        <f>"ATEPOXCO 40                                                                     "</f>
        <v xml:space="preserve">ATEPOXCO 40                                                                     </v>
      </c>
      <c r="F2672" s="26" t="str">
        <f>"TEPEYAC INSURGENTES                                                                                                                         "</f>
        <v xml:space="preserve">TEPEYAC INSURGENTES                                                                                                                         </v>
      </c>
      <c r="G2672" s="26" t="str">
        <f>"GUSTAVO A. MADERO                                                               "</f>
        <v xml:space="preserve">GUSTAVO A. MADERO                                                               </v>
      </c>
      <c r="H2672" s="26" t="str">
        <f>"245"</f>
        <v>245</v>
      </c>
      <c r="I2672" s="26" t="str">
        <f t="shared" si="450"/>
        <v>00</v>
      </c>
      <c r="J2672" s="26" t="str">
        <f>"42 "</f>
        <v xml:space="preserve">42 </v>
      </c>
      <c r="K2672" s="26" t="str">
        <f>"PR"</f>
        <v>PR</v>
      </c>
      <c r="L2672" s="26" t="str">
        <f>"DGOSE"</f>
        <v>DGOSE</v>
      </c>
      <c r="M2672" s="26" t="str">
        <f t="shared" si="451"/>
        <v>PARTICULAR</v>
      </c>
      <c r="N2672" s="26">
        <v>517</v>
      </c>
      <c r="O2672" s="26">
        <v>255</v>
      </c>
      <c r="P2672" s="26">
        <v>262</v>
      </c>
      <c r="Q2672" s="26">
        <v>20</v>
      </c>
      <c r="R2672" s="26">
        <v>1</v>
      </c>
      <c r="S2672" s="26">
        <v>10</v>
      </c>
      <c r="T2672" s="26">
        <v>15</v>
      </c>
      <c r="U2672" s="26">
        <v>26</v>
      </c>
      <c r="V2672" s="26">
        <v>1</v>
      </c>
      <c r="W2672" s="26"/>
    </row>
    <row r="2673" spans="1:23" x14ac:dyDescent="0.25">
      <c r="A2673" s="26" t="str">
        <f t="shared" si="449"/>
        <v>PRIMARIA</v>
      </c>
      <c r="B2673" s="26" t="str">
        <f>"09PPR1107S"</f>
        <v>09PPR1107S</v>
      </c>
      <c r="C2673" s="26" t="str">
        <f>"CENTRO PEDAGOGICO MONTE ALBAN                                                                       "</f>
        <v xml:space="preserve">CENTRO PEDAGOGICO MONTE ALBAN                                                                       </v>
      </c>
      <c r="D2673" s="26" t="str">
        <f t="shared" si="452"/>
        <v>MATUTINO</v>
      </c>
      <c r="E2673" s="26" t="str">
        <f>"TIXTLA MANZANA 176 LOTE 2512                                                    "</f>
        <v xml:space="preserve">TIXTLA MANZANA 176 LOTE 2512                                                    </v>
      </c>
      <c r="F2673" s="26" t="str">
        <f>"SAN FELIPE DE JESUS                                                                                                                         "</f>
        <v xml:space="preserve">SAN FELIPE DE JESUS                                                                                                                         </v>
      </c>
      <c r="G2673" s="26" t="str">
        <f>"GUSTAVO A. MADERO                                                               "</f>
        <v xml:space="preserve">GUSTAVO A. MADERO                                                               </v>
      </c>
      <c r="H2673" s="26" t="str">
        <f>"262"</f>
        <v>262</v>
      </c>
      <c r="I2673" s="26" t="str">
        <f t="shared" si="450"/>
        <v>00</v>
      </c>
      <c r="J2673" s="26" t="str">
        <f>"42 "</f>
        <v xml:space="preserve">42 </v>
      </c>
      <c r="K2673" s="26" t="str">
        <f>"PR"</f>
        <v>PR</v>
      </c>
      <c r="L2673" s="26" t="str">
        <f>"DGOSE"</f>
        <v>DGOSE</v>
      </c>
      <c r="M2673" s="26" t="str">
        <f t="shared" si="451"/>
        <v>PARTICULAR</v>
      </c>
      <c r="N2673" s="26">
        <v>138</v>
      </c>
      <c r="O2673" s="26">
        <v>65</v>
      </c>
      <c r="P2673" s="26">
        <v>73</v>
      </c>
      <c r="Q2673" s="26">
        <v>7</v>
      </c>
      <c r="R2673" s="26">
        <v>1</v>
      </c>
      <c r="S2673" s="26">
        <v>7</v>
      </c>
      <c r="T2673" s="26">
        <v>10</v>
      </c>
      <c r="U2673" s="26">
        <v>18</v>
      </c>
      <c r="V2673" s="26">
        <v>1</v>
      </c>
      <c r="W2673" s="26"/>
    </row>
    <row r="2674" spans="1:23" x14ac:dyDescent="0.25">
      <c r="A2674" s="26" t="str">
        <f t="shared" si="449"/>
        <v>PRIMARIA</v>
      </c>
      <c r="B2674" s="26" t="str">
        <f>"09PPR1111E"</f>
        <v>09PPR1111E</v>
      </c>
      <c r="C2674" s="26" t="str">
        <f>"CENTRO DE FORMACION ESCOLAR BANTING                                                                 "</f>
        <v xml:space="preserve">CENTRO DE FORMACION ESCOLAR BANTING                                                                 </v>
      </c>
      <c r="D2674" s="26" t="str">
        <f t="shared" si="452"/>
        <v>MATUTINO</v>
      </c>
      <c r="E2674" s="26" t="str">
        <f>"CHICHIMECAS 201                                                                 "</f>
        <v xml:space="preserve">CHICHIMECAS 201                                                                 </v>
      </c>
      <c r="F2674" s="26" t="str">
        <f>"AJUSCO                                                                                                                                      "</f>
        <v xml:space="preserve">AJUSCO                                                                                                                                      </v>
      </c>
      <c r="G2674" s="26" t="str">
        <f>"COYOACAN                                                                        "</f>
        <v xml:space="preserve">COYOACAN                                                                        </v>
      </c>
      <c r="H2674" s="26" t="str">
        <f>"504"</f>
        <v>504</v>
      </c>
      <c r="I2674" s="26" t="str">
        <f t="shared" si="450"/>
        <v>00</v>
      </c>
      <c r="J2674" s="26" t="str">
        <f>"45 "</f>
        <v xml:space="preserve">45 </v>
      </c>
      <c r="K2674" s="26" t="str">
        <f>"PR"</f>
        <v>PR</v>
      </c>
      <c r="L2674" s="26" t="str">
        <f>"DGOSE"</f>
        <v>DGOSE</v>
      </c>
      <c r="M2674" s="26" t="str">
        <f t="shared" si="451"/>
        <v>PARTICULAR</v>
      </c>
      <c r="N2674" s="26">
        <v>307</v>
      </c>
      <c r="O2674" s="26">
        <v>152</v>
      </c>
      <c r="P2674" s="26">
        <v>155</v>
      </c>
      <c r="Q2674" s="26">
        <v>12</v>
      </c>
      <c r="R2674" s="26">
        <v>1</v>
      </c>
      <c r="S2674" s="26">
        <v>12</v>
      </c>
      <c r="T2674" s="26">
        <v>9</v>
      </c>
      <c r="U2674" s="26">
        <v>22</v>
      </c>
      <c r="V2674" s="26">
        <v>1</v>
      </c>
      <c r="W2674" s="26"/>
    </row>
    <row r="2675" spans="1:23" x14ac:dyDescent="0.25">
      <c r="A2675" s="26" t="str">
        <f t="shared" si="449"/>
        <v>PRIMARIA</v>
      </c>
      <c r="B2675" s="26" t="str">
        <f>"09PPR1112D"</f>
        <v>09PPR1112D</v>
      </c>
      <c r="C2675" s="26" t="str">
        <f>"SHARON CHRISTA MC AULIFFE                                                                           "</f>
        <v xml:space="preserve">SHARON CHRISTA MC AULIFFE                                                                           </v>
      </c>
      <c r="D2675" s="26" t="str">
        <f t="shared" si="452"/>
        <v>MATUTINO</v>
      </c>
      <c r="E2675" s="26" t="str">
        <f>"CERRO NEGRO MANZANA 17 LOTE 17                                                  "</f>
        <v xml:space="preserve">CERRO NEGRO MANZANA 17 LOTE 17                                                  </v>
      </c>
      <c r="F2675" s="26" t="str">
        <f>"CRUZ DEL FAROL                                                                                                                              "</f>
        <v xml:space="preserve">CRUZ DEL FAROL                                                                                                                              </v>
      </c>
      <c r="G2675" s="26" t="str">
        <f>"TLALPAN                                                                         "</f>
        <v xml:space="preserve">TLALPAN                                                                         </v>
      </c>
      <c r="H2675" s="26" t="str">
        <f>"515"</f>
        <v>515</v>
      </c>
      <c r="I2675" s="26" t="str">
        <f t="shared" si="450"/>
        <v>00</v>
      </c>
      <c r="J2675" s="26" t="str">
        <f>"45 "</f>
        <v xml:space="preserve">45 </v>
      </c>
      <c r="K2675" s="26" t="str">
        <f>"PR"</f>
        <v>PR</v>
      </c>
      <c r="L2675" s="26" t="str">
        <f>"DGOSE"</f>
        <v>DGOSE</v>
      </c>
      <c r="M2675" s="26" t="str">
        <f t="shared" si="451"/>
        <v>PARTICULAR</v>
      </c>
      <c r="N2675" s="26">
        <v>88</v>
      </c>
      <c r="O2675" s="26">
        <v>44</v>
      </c>
      <c r="P2675" s="26">
        <v>44</v>
      </c>
      <c r="Q2675" s="26">
        <v>6</v>
      </c>
      <c r="R2675" s="26">
        <v>1</v>
      </c>
      <c r="S2675" s="26">
        <v>3</v>
      </c>
      <c r="T2675" s="26">
        <v>15</v>
      </c>
      <c r="U2675" s="26">
        <v>19</v>
      </c>
      <c r="V2675" s="26">
        <v>1</v>
      </c>
      <c r="W2675" s="26"/>
    </row>
    <row r="2676" spans="1:23" x14ac:dyDescent="0.25">
      <c r="A2676" s="26" t="str">
        <f t="shared" si="449"/>
        <v>PRIMARIA</v>
      </c>
      <c r="B2676" s="26" t="str">
        <f>"09PPR1113C"</f>
        <v>09PPR1113C</v>
      </c>
      <c r="C2676" s="26" t="str">
        <f>"INSTITUTO HERMANOS GALEANA                                                                          "</f>
        <v xml:space="preserve">INSTITUTO HERMANOS GALEANA                                                                          </v>
      </c>
      <c r="D2676" s="26" t="str">
        <f t="shared" si="452"/>
        <v>MATUTINO</v>
      </c>
      <c r="E2676" s="26" t="str">
        <f>"VILLA CASTIN MZ. 10-A LT. 1 SECCION C                                           "</f>
        <v xml:space="preserve">VILLA CASTIN MZ. 10-A LT. 1 SECCION C                                           </v>
      </c>
      <c r="F2676" s="26" t="str">
        <f>"DESARROLLO URBANO QUETZALCOATL                                                                                                              "</f>
        <v xml:space="preserve">DESARROLLO URBANO QUETZALCOATL                                                                                                              </v>
      </c>
      <c r="G2676" s="26" t="str">
        <f>"IZTAPALAPA                                                                      "</f>
        <v xml:space="preserve">IZTAPALAPA                                                                      </v>
      </c>
      <c r="H2676" s="26" t="str">
        <f>"000"</f>
        <v>000</v>
      </c>
      <c r="I2676" s="26" t="str">
        <f t="shared" si="450"/>
        <v>00</v>
      </c>
      <c r="J2676" s="26" t="str">
        <f>"63 "</f>
        <v xml:space="preserve">63 </v>
      </c>
      <c r="K2676" s="26" t="str">
        <f>"IZ"</f>
        <v>IZ</v>
      </c>
      <c r="L2676" s="26" t="str">
        <f>"DGSEI"</f>
        <v>DGSEI</v>
      </c>
      <c r="M2676" s="26" t="str">
        <f t="shared" si="451"/>
        <v>PARTICULAR</v>
      </c>
      <c r="N2676" s="26">
        <v>196</v>
      </c>
      <c r="O2676" s="26">
        <v>109</v>
      </c>
      <c r="P2676" s="26">
        <v>87</v>
      </c>
      <c r="Q2676" s="26">
        <v>6</v>
      </c>
      <c r="R2676" s="26">
        <v>1</v>
      </c>
      <c r="S2676" s="26">
        <v>6</v>
      </c>
      <c r="T2676" s="26">
        <v>5</v>
      </c>
      <c r="U2676" s="26">
        <v>12</v>
      </c>
      <c r="V2676" s="26">
        <v>1</v>
      </c>
      <c r="W2676" s="26"/>
    </row>
    <row r="2677" spans="1:23" x14ac:dyDescent="0.25">
      <c r="A2677" s="26" t="str">
        <f t="shared" si="449"/>
        <v>PRIMARIA</v>
      </c>
      <c r="B2677" s="26" t="str">
        <f>"09PPR1114B"</f>
        <v>09PPR1114B</v>
      </c>
      <c r="C2677" s="26" t="str">
        <f>"INSTITUTO VALLE                                                                                     "</f>
        <v xml:space="preserve">INSTITUTO VALLE                                                                                     </v>
      </c>
      <c r="D2677" s="26" t="str">
        <f t="shared" si="452"/>
        <v>MATUTINO</v>
      </c>
      <c r="E2677" s="26" t="str">
        <f>"CALLE 16 NO. 8                                                                  "</f>
        <v xml:space="preserve">CALLE 16 NO. 8                                                                  </v>
      </c>
      <c r="F2677" s="26" t="str">
        <f>"LEYES DE REFORMA                                                                                                                            "</f>
        <v xml:space="preserve">LEYES DE REFORMA                                                                                                                            </v>
      </c>
      <c r="G2677" s="26" t="str">
        <f>"IZTAPALAPA                                                                      "</f>
        <v xml:space="preserve">IZTAPALAPA                                                                      </v>
      </c>
      <c r="H2677" s="26" t="str">
        <f>"000"</f>
        <v>000</v>
      </c>
      <c r="I2677" s="26" t="str">
        <f t="shared" si="450"/>
        <v>00</v>
      </c>
      <c r="J2677" s="26" t="str">
        <f>"61 "</f>
        <v xml:space="preserve">61 </v>
      </c>
      <c r="K2677" s="26" t="str">
        <f>"IZ"</f>
        <v>IZ</v>
      </c>
      <c r="L2677" s="26" t="str">
        <f>"DGSEI"</f>
        <v>DGSEI</v>
      </c>
      <c r="M2677" s="26" t="str">
        <f t="shared" si="451"/>
        <v>PARTICULAR</v>
      </c>
      <c r="N2677" s="26">
        <v>66</v>
      </c>
      <c r="O2677" s="26">
        <v>34</v>
      </c>
      <c r="P2677" s="26">
        <v>32</v>
      </c>
      <c r="Q2677" s="26">
        <v>6</v>
      </c>
      <c r="R2677" s="26">
        <v>1</v>
      </c>
      <c r="S2677" s="26">
        <v>5</v>
      </c>
      <c r="T2677" s="26">
        <v>6</v>
      </c>
      <c r="U2677" s="26">
        <v>12</v>
      </c>
      <c r="V2677" s="26">
        <v>1</v>
      </c>
      <c r="W2677" s="26"/>
    </row>
    <row r="2678" spans="1:23" x14ac:dyDescent="0.25">
      <c r="A2678" s="26" t="str">
        <f t="shared" si="449"/>
        <v>PRIMARIA</v>
      </c>
      <c r="B2678" s="26" t="str">
        <f>"09PPR1115A"</f>
        <v>09PPR1115A</v>
      </c>
      <c r="C2678" s="26" t="str">
        <f>"ALFONSO CRAVIOTO                                                                                    "</f>
        <v xml:space="preserve">ALFONSO CRAVIOTO                                                                                    </v>
      </c>
      <c r="D2678" s="26" t="str">
        <f t="shared" si="452"/>
        <v>MATUTINO</v>
      </c>
      <c r="E2678" s="26" t="str">
        <f>"ALFONSO CRAVIOTO NO. 4                                                          "</f>
        <v xml:space="preserve">ALFONSO CRAVIOTO NO. 4                                                          </v>
      </c>
      <c r="F2678" s="26" t="str">
        <f>"CONSTITUCION 1917                                                                                                                           "</f>
        <v xml:space="preserve">CONSTITUCION 1917                                                                                                                           </v>
      </c>
      <c r="G2678" s="26" t="str">
        <f>"IZTAPALAPA                                                                      "</f>
        <v xml:space="preserve">IZTAPALAPA                                                                      </v>
      </c>
      <c r="H2678" s="26" t="str">
        <f>"000"</f>
        <v>000</v>
      </c>
      <c r="I2678" s="26" t="str">
        <f t="shared" si="450"/>
        <v>00</v>
      </c>
      <c r="J2678" s="26" t="str">
        <f>"64 "</f>
        <v xml:space="preserve">64 </v>
      </c>
      <c r="K2678" s="26" t="str">
        <f>"IZ"</f>
        <v>IZ</v>
      </c>
      <c r="L2678" s="26" t="str">
        <f>"DGSEI"</f>
        <v>DGSEI</v>
      </c>
      <c r="M2678" s="26" t="str">
        <f t="shared" si="451"/>
        <v>PARTICULAR</v>
      </c>
      <c r="N2678" s="26">
        <v>181</v>
      </c>
      <c r="O2678" s="26">
        <v>85</v>
      </c>
      <c r="P2678" s="26">
        <v>96</v>
      </c>
      <c r="Q2678" s="26">
        <v>6</v>
      </c>
      <c r="R2678" s="26">
        <v>1</v>
      </c>
      <c r="S2678" s="26">
        <v>6</v>
      </c>
      <c r="T2678" s="26">
        <v>6</v>
      </c>
      <c r="U2678" s="26">
        <v>13</v>
      </c>
      <c r="V2678" s="26">
        <v>1</v>
      </c>
      <c r="W2678" s="26"/>
    </row>
    <row r="2679" spans="1:23" x14ac:dyDescent="0.25">
      <c r="A2679" s="26" t="str">
        <f t="shared" si="449"/>
        <v>PRIMARIA</v>
      </c>
      <c r="B2679" s="26" t="str">
        <f>"09PPR1116Z"</f>
        <v>09PPR1116Z</v>
      </c>
      <c r="C2679" s="26" t="str">
        <f>"INSTITUTO PEDAGOGICO NAZCA                                                                          "</f>
        <v xml:space="preserve">INSTITUTO PEDAGOGICO NAZCA                                                                          </v>
      </c>
      <c r="D2679" s="26" t="str">
        <f t="shared" si="452"/>
        <v>MATUTINO</v>
      </c>
      <c r="E2679" s="26" t="str">
        <f>"PLAYA ROQUETA NUM 214                                                           "</f>
        <v xml:space="preserve">PLAYA ROQUETA NUM 214                                                           </v>
      </c>
      <c r="F2679" s="26" t="str">
        <f>"REFORMA IZTACCIHUATL NORTE                                                                                                                  "</f>
        <v xml:space="preserve">REFORMA IZTACCIHUATL NORTE                                                                                                                  </v>
      </c>
      <c r="G2679" s="26" t="str">
        <f>"IZTACALCO                                                                       "</f>
        <v xml:space="preserve">IZTACALCO                                                                       </v>
      </c>
      <c r="H2679" s="26" t="str">
        <f>"363"</f>
        <v>363</v>
      </c>
      <c r="I2679" s="26" t="str">
        <f t="shared" si="450"/>
        <v>00</v>
      </c>
      <c r="J2679" s="26" t="str">
        <f>"43 "</f>
        <v xml:space="preserve">43 </v>
      </c>
      <c r="K2679" s="26" t="str">
        <f>"PR"</f>
        <v>PR</v>
      </c>
      <c r="L2679" s="26" t="str">
        <f>"DGOSE"</f>
        <v>DGOSE</v>
      </c>
      <c r="M2679" s="26" t="str">
        <f t="shared" si="451"/>
        <v>PARTICULAR</v>
      </c>
      <c r="N2679" s="26">
        <v>140</v>
      </c>
      <c r="O2679" s="26">
        <v>69</v>
      </c>
      <c r="P2679" s="26">
        <v>71</v>
      </c>
      <c r="Q2679" s="26">
        <v>6</v>
      </c>
      <c r="R2679" s="26">
        <v>1</v>
      </c>
      <c r="S2679" s="26">
        <v>6</v>
      </c>
      <c r="T2679" s="26">
        <v>13</v>
      </c>
      <c r="U2679" s="26">
        <v>20</v>
      </c>
      <c r="V2679" s="26">
        <v>1</v>
      </c>
      <c r="W2679" s="26"/>
    </row>
    <row r="2680" spans="1:23" x14ac:dyDescent="0.25">
      <c r="A2680" s="26" t="str">
        <f t="shared" si="449"/>
        <v>PRIMARIA</v>
      </c>
      <c r="B2680" s="26" t="str">
        <f>"09PPR1119X"</f>
        <v>09PPR1119X</v>
      </c>
      <c r="C2680" s="26" t="str">
        <f>"LA RAZA                                                                                             "</f>
        <v xml:space="preserve">LA RAZA                                                                                             </v>
      </c>
      <c r="D2680" s="26" t="str">
        <f t="shared" si="452"/>
        <v>MATUTINO</v>
      </c>
      <c r="E2680" s="26" t="str">
        <f>"QUICHES 24                                                                      "</f>
        <v xml:space="preserve">QUICHES 24                                                                      </v>
      </c>
      <c r="F2680" s="26" t="str">
        <f>"LA RAZA                                                                                                                                     "</f>
        <v xml:space="preserve">LA RAZA                                                                                                                                     </v>
      </c>
      <c r="G2680" s="26" t="str">
        <f>"AZCAPOTZALCO                                                                    "</f>
        <v xml:space="preserve">AZCAPOTZALCO                                                                    </v>
      </c>
      <c r="H2680" s="26" t="str">
        <f>"000"</f>
        <v>000</v>
      </c>
      <c r="I2680" s="26" t="str">
        <f t="shared" si="450"/>
        <v>00</v>
      </c>
      <c r="J2680" s="26" t="str">
        <f>"42 "</f>
        <v xml:space="preserve">42 </v>
      </c>
      <c r="K2680" s="26" t="str">
        <f>"PR"</f>
        <v>PR</v>
      </c>
      <c r="L2680" s="26" t="str">
        <f>"DGOSE"</f>
        <v>DGOSE</v>
      </c>
      <c r="M2680" s="26" t="str">
        <f t="shared" si="451"/>
        <v>PARTICULAR</v>
      </c>
      <c r="N2680" s="26">
        <v>168</v>
      </c>
      <c r="O2680" s="26">
        <v>81</v>
      </c>
      <c r="P2680" s="26">
        <v>87</v>
      </c>
      <c r="Q2680" s="26">
        <v>8</v>
      </c>
      <c r="R2680" s="26">
        <v>1</v>
      </c>
      <c r="S2680" s="26">
        <v>8</v>
      </c>
      <c r="T2680" s="26">
        <v>11</v>
      </c>
      <c r="U2680" s="26">
        <v>20</v>
      </c>
      <c r="V2680" s="26">
        <v>1</v>
      </c>
      <c r="W2680" s="26"/>
    </row>
    <row r="2681" spans="1:23" x14ac:dyDescent="0.25">
      <c r="A2681" s="26" t="str">
        <f t="shared" si="449"/>
        <v>PRIMARIA</v>
      </c>
      <c r="B2681" s="26" t="str">
        <f>"09PPR1121L"</f>
        <v>09PPR1121L</v>
      </c>
      <c r="C2681" s="26" t="str">
        <f>"COLEGIO GAMA                                                                                        "</f>
        <v xml:space="preserve">COLEGIO GAMA                                                                                        </v>
      </c>
      <c r="D2681" s="26" t="str">
        <f t="shared" si="452"/>
        <v>MATUTINO</v>
      </c>
      <c r="E2681" s="26" t="str">
        <f>"CORRESPONDENCIA NUM 54                                                          "</f>
        <v xml:space="preserve">CORRESPONDENCIA NUM 54                                                          </v>
      </c>
      <c r="F2681" s="26" t="str">
        <f>"POSTAL                                                                                                                                      "</f>
        <v xml:space="preserve">POSTAL                                                                                                                                      </v>
      </c>
      <c r="G2681" s="26" t="str">
        <f>"BENITO JUAREZ                                                                   "</f>
        <v xml:space="preserve">BENITO JUAREZ                                                                   </v>
      </c>
      <c r="H2681" s="26" t="str">
        <f>"000"</f>
        <v>000</v>
      </c>
      <c r="I2681" s="26" t="str">
        <f t="shared" si="450"/>
        <v>00</v>
      </c>
      <c r="J2681" s="26" t="str">
        <f>"43 "</f>
        <v xml:space="preserve">43 </v>
      </c>
      <c r="K2681" s="26" t="str">
        <f>"PR"</f>
        <v>PR</v>
      </c>
      <c r="L2681" s="26" t="str">
        <f>"DGOSE"</f>
        <v>DGOSE</v>
      </c>
      <c r="M2681" s="26" t="str">
        <f t="shared" si="451"/>
        <v>PARTICULAR</v>
      </c>
      <c r="N2681" s="26">
        <v>136</v>
      </c>
      <c r="O2681" s="26">
        <v>61</v>
      </c>
      <c r="P2681" s="26">
        <v>75</v>
      </c>
      <c r="Q2681" s="26">
        <v>6</v>
      </c>
      <c r="R2681" s="26">
        <v>1</v>
      </c>
      <c r="S2681" s="26">
        <v>6</v>
      </c>
      <c r="T2681" s="26">
        <v>8</v>
      </c>
      <c r="U2681" s="26">
        <v>15</v>
      </c>
      <c r="V2681" s="26">
        <v>1</v>
      </c>
      <c r="W2681" s="26"/>
    </row>
    <row r="2682" spans="1:23" x14ac:dyDescent="0.25">
      <c r="A2682" s="26" t="str">
        <f t="shared" si="449"/>
        <v>PRIMARIA</v>
      </c>
      <c r="B2682" s="26" t="str">
        <f>"09PPR1122K"</f>
        <v>09PPR1122K</v>
      </c>
      <c r="C2682" s="26" t="str">
        <f>"COLEGIO EVER-BEST                                                                                   "</f>
        <v xml:space="preserve">COLEGIO EVER-BEST                                                                                   </v>
      </c>
      <c r="D2682" s="26" t="str">
        <f t="shared" si="452"/>
        <v>MATUTINO</v>
      </c>
      <c r="E2682" s="26" t="str">
        <f>"CALLE 27 NO 91                                                                  "</f>
        <v xml:space="preserve">CALLE 27 NO 91                                                                  </v>
      </c>
      <c r="F2682" s="26" t="str">
        <f>"SAN PEDRO DE LOS PINOS                                                                                                                      "</f>
        <v xml:space="preserve">SAN PEDRO DE LOS PINOS                                                                                                                      </v>
      </c>
      <c r="G2682" s="26" t="str">
        <f>"BENITO JUAREZ                                                                   "</f>
        <v xml:space="preserve">BENITO JUAREZ                                                                   </v>
      </c>
      <c r="H2682" s="26" t="str">
        <f>"340"</f>
        <v>340</v>
      </c>
      <c r="I2682" s="26" t="str">
        <f t="shared" si="450"/>
        <v>00</v>
      </c>
      <c r="J2682" s="26" t="str">
        <f>"43 "</f>
        <v xml:space="preserve">43 </v>
      </c>
      <c r="K2682" s="26" t="str">
        <f>"PR"</f>
        <v>PR</v>
      </c>
      <c r="L2682" s="26" t="str">
        <f>"DGOSE"</f>
        <v>DGOSE</v>
      </c>
      <c r="M2682" s="26" t="str">
        <f t="shared" si="451"/>
        <v>PARTICULAR</v>
      </c>
      <c r="N2682" s="26">
        <v>129</v>
      </c>
      <c r="O2682" s="26">
        <v>68</v>
      </c>
      <c r="P2682" s="26">
        <v>61</v>
      </c>
      <c r="Q2682" s="26">
        <v>6</v>
      </c>
      <c r="R2682" s="26">
        <v>1</v>
      </c>
      <c r="S2682" s="26">
        <v>3</v>
      </c>
      <c r="T2682" s="26">
        <v>5</v>
      </c>
      <c r="U2682" s="26">
        <v>9</v>
      </c>
      <c r="V2682" s="26">
        <v>1</v>
      </c>
      <c r="W2682" s="26"/>
    </row>
    <row r="2683" spans="1:23" x14ac:dyDescent="0.25">
      <c r="A2683" s="26" t="str">
        <f t="shared" si="449"/>
        <v>PRIMARIA</v>
      </c>
      <c r="B2683" s="26" t="str">
        <f>"09PPR1125H"</f>
        <v>09PPR1125H</v>
      </c>
      <c r="C2683" s="26" t="str">
        <f>"COLEGIO AMAUTA                                                                                      "</f>
        <v xml:space="preserve">COLEGIO AMAUTA                                                                                      </v>
      </c>
      <c r="D2683" s="26" t="str">
        <f t="shared" si="452"/>
        <v>MATUTINO</v>
      </c>
      <c r="E2683" s="26" t="str">
        <f>"MONTEVIDEO NO 73                                                                "</f>
        <v xml:space="preserve">MONTEVIDEO NO 73                                                                </v>
      </c>
      <c r="F2683" s="26" t="str">
        <f>"TEPEYAC INSURGENTES                                                                                                                         "</f>
        <v xml:space="preserve">TEPEYAC INSURGENTES                                                                                                                         </v>
      </c>
      <c r="G2683" s="26" t="str">
        <f>"GUSTAVO A. MADERO                                                               "</f>
        <v xml:space="preserve">GUSTAVO A. MADERO                                                               </v>
      </c>
      <c r="H2683" s="26" t="str">
        <f>"245"</f>
        <v>245</v>
      </c>
      <c r="I2683" s="26" t="str">
        <f t="shared" si="450"/>
        <v>00</v>
      </c>
      <c r="J2683" s="26" t="str">
        <f>"42 "</f>
        <v xml:space="preserve">42 </v>
      </c>
      <c r="K2683" s="26" t="str">
        <f>"PR"</f>
        <v>PR</v>
      </c>
      <c r="L2683" s="26" t="str">
        <f>"DGOSE"</f>
        <v>DGOSE</v>
      </c>
      <c r="M2683" s="26" t="str">
        <f t="shared" si="451"/>
        <v>PARTICULAR</v>
      </c>
      <c r="N2683" s="26">
        <v>158</v>
      </c>
      <c r="O2683" s="26">
        <v>72</v>
      </c>
      <c r="P2683" s="26">
        <v>86</v>
      </c>
      <c r="Q2683" s="26">
        <v>6</v>
      </c>
      <c r="R2683" s="26">
        <v>1</v>
      </c>
      <c r="S2683" s="26">
        <v>6</v>
      </c>
      <c r="T2683" s="26">
        <v>5</v>
      </c>
      <c r="U2683" s="26">
        <v>12</v>
      </c>
      <c r="V2683" s="26">
        <v>1</v>
      </c>
      <c r="W2683" s="26"/>
    </row>
    <row r="2684" spans="1:23" x14ac:dyDescent="0.25">
      <c r="A2684" s="26" t="str">
        <f t="shared" si="449"/>
        <v>PRIMARIA</v>
      </c>
      <c r="B2684" s="26" t="str">
        <f>"09PPR1128E"</f>
        <v>09PPR1128E</v>
      </c>
      <c r="C2684" s="26" t="str">
        <f>"COLEGIO ANGLO HISPANO                                                                               "</f>
        <v xml:space="preserve">COLEGIO ANGLO HISPANO                                                                               </v>
      </c>
      <c r="D2684" s="26" t="str">
        <f t="shared" si="452"/>
        <v>MATUTINO</v>
      </c>
      <c r="E2684" s="26" t="str">
        <f>"ZACANY NO. 94                                                                   "</f>
        <v xml:space="preserve">ZACANY NO. 94                                                                   </v>
      </c>
      <c r="F2684" s="26" t="str">
        <f>"SAN LORENZO XICOTENCATL                                                                                                                     "</f>
        <v xml:space="preserve">SAN LORENZO XICOTENCATL                                                                                                                     </v>
      </c>
      <c r="G2684" s="26" t="str">
        <f>"IZTAPALAPA                                                                      "</f>
        <v xml:space="preserve">IZTAPALAPA                                                                      </v>
      </c>
      <c r="H2684" s="26" t="str">
        <f>"000"</f>
        <v>000</v>
      </c>
      <c r="I2684" s="26" t="str">
        <f t="shared" si="450"/>
        <v>00</v>
      </c>
      <c r="J2684" s="26" t="str">
        <f>"62 "</f>
        <v xml:space="preserve">62 </v>
      </c>
      <c r="K2684" s="26" t="str">
        <f>"IZ"</f>
        <v>IZ</v>
      </c>
      <c r="L2684" s="26" t="str">
        <f>"DGSEI"</f>
        <v>DGSEI</v>
      </c>
      <c r="M2684" s="26" t="str">
        <f t="shared" si="451"/>
        <v>PARTICULAR</v>
      </c>
      <c r="N2684" s="26">
        <v>6</v>
      </c>
      <c r="O2684" s="26">
        <v>4</v>
      </c>
      <c r="P2684" s="26">
        <v>2</v>
      </c>
      <c r="Q2684" s="26">
        <v>5</v>
      </c>
      <c r="R2684" s="26">
        <v>1</v>
      </c>
      <c r="S2684" s="26">
        <v>2</v>
      </c>
      <c r="T2684" s="26">
        <v>3</v>
      </c>
      <c r="U2684" s="26">
        <v>6</v>
      </c>
      <c r="V2684" s="26">
        <v>1</v>
      </c>
      <c r="W2684" s="26"/>
    </row>
    <row r="2685" spans="1:23" x14ac:dyDescent="0.25">
      <c r="A2685" s="26" t="str">
        <f t="shared" si="449"/>
        <v>PRIMARIA</v>
      </c>
      <c r="B2685" s="26" t="str">
        <f>"09PPR1129D"</f>
        <v>09PPR1129D</v>
      </c>
      <c r="C2685" s="26" t="str">
        <f>"INSTITUTO ERNEST HEMINGWAY                                                                          "</f>
        <v xml:space="preserve">INSTITUTO ERNEST HEMINGWAY                                                                          </v>
      </c>
      <c r="D2685" s="26" t="str">
        <f t="shared" si="452"/>
        <v>MATUTINO</v>
      </c>
      <c r="E2685" s="26" t="str">
        <f>"GOBERNADOR ZULOAGA NO. 5                                                        "</f>
        <v xml:space="preserve">GOBERNADOR ZULOAGA NO. 5                                                        </v>
      </c>
      <c r="F2685" s="26" t="str">
        <f>"SAN MIGUEL DE LAS SALERAS                                                                                                                   "</f>
        <v xml:space="preserve">SAN MIGUEL DE LAS SALERAS                                                                                                                   </v>
      </c>
      <c r="G2685" s="26" t="str">
        <f>"IZTAPALAPA                                                                      "</f>
        <v xml:space="preserve">IZTAPALAPA                                                                      </v>
      </c>
      <c r="H2685" s="26" t="str">
        <f>"000"</f>
        <v>000</v>
      </c>
      <c r="I2685" s="26" t="str">
        <f t="shared" si="450"/>
        <v>00</v>
      </c>
      <c r="J2685" s="26" t="str">
        <f>"61 "</f>
        <v xml:space="preserve">61 </v>
      </c>
      <c r="K2685" s="26" t="str">
        <f>"IZ"</f>
        <v>IZ</v>
      </c>
      <c r="L2685" s="26" t="str">
        <f>"DGSEI"</f>
        <v>DGSEI</v>
      </c>
      <c r="M2685" s="26" t="str">
        <f t="shared" si="451"/>
        <v>PARTICULAR</v>
      </c>
      <c r="N2685" s="26">
        <v>147</v>
      </c>
      <c r="O2685" s="26">
        <v>67</v>
      </c>
      <c r="P2685" s="26">
        <v>80</v>
      </c>
      <c r="Q2685" s="26">
        <v>6</v>
      </c>
      <c r="R2685" s="26">
        <v>0</v>
      </c>
      <c r="S2685" s="26">
        <v>6</v>
      </c>
      <c r="T2685" s="26">
        <v>5</v>
      </c>
      <c r="U2685" s="26">
        <v>11</v>
      </c>
      <c r="V2685" s="26">
        <v>1</v>
      </c>
      <c r="W2685" s="26"/>
    </row>
    <row r="2686" spans="1:23" x14ac:dyDescent="0.25">
      <c r="A2686" s="26" t="str">
        <f t="shared" si="449"/>
        <v>PRIMARIA</v>
      </c>
      <c r="B2686" s="26" t="str">
        <f>"09PPR1130T"</f>
        <v>09PPR1130T</v>
      </c>
      <c r="C2686" s="26" t="str">
        <f>"LICEO ALEXANDER DUL S C                                                                             "</f>
        <v xml:space="preserve">LICEO ALEXANDER DUL S C                                                                             </v>
      </c>
      <c r="D2686" s="26" t="str">
        <f t="shared" si="452"/>
        <v>MATUTINO</v>
      </c>
      <c r="E2686" s="26" t="str">
        <f>"AZCAPOTZALCO NO 11                                                              "</f>
        <v xml:space="preserve">AZCAPOTZALCO NO 11                                                              </v>
      </c>
      <c r="F2686" s="26" t="str">
        <f>"MERCED GOMEZ                                                                                                                                "</f>
        <v xml:space="preserve">MERCED GOMEZ                                                                                                                                </v>
      </c>
      <c r="G2686" s="26" t="str">
        <f>"ALVARO OBREGON                                                                  "</f>
        <v xml:space="preserve">ALVARO OBREGON                                                                  </v>
      </c>
      <c r="H2686" s="26" t="str">
        <f>"319"</f>
        <v>319</v>
      </c>
      <c r="I2686" s="26" t="str">
        <f t="shared" si="450"/>
        <v>00</v>
      </c>
      <c r="J2686" s="26" t="str">
        <f>"43 "</f>
        <v xml:space="preserve">43 </v>
      </c>
      <c r="K2686" s="26" t="str">
        <f>"PR"</f>
        <v>PR</v>
      </c>
      <c r="L2686" s="26" t="str">
        <f>"DGOSE"</f>
        <v>DGOSE</v>
      </c>
      <c r="M2686" s="26" t="str">
        <f t="shared" si="451"/>
        <v>PARTICULAR</v>
      </c>
      <c r="N2686" s="26">
        <v>249</v>
      </c>
      <c r="O2686" s="26">
        <v>135</v>
      </c>
      <c r="P2686" s="26">
        <v>114</v>
      </c>
      <c r="Q2686" s="26">
        <v>12</v>
      </c>
      <c r="R2686" s="26">
        <v>1</v>
      </c>
      <c r="S2686" s="26">
        <v>5</v>
      </c>
      <c r="T2686" s="26">
        <v>19</v>
      </c>
      <c r="U2686" s="26">
        <v>25</v>
      </c>
      <c r="V2686" s="26">
        <v>1</v>
      </c>
      <c r="W2686" s="26"/>
    </row>
    <row r="2687" spans="1:23" x14ac:dyDescent="0.25">
      <c r="A2687" s="26" t="str">
        <f t="shared" si="449"/>
        <v>PRIMARIA</v>
      </c>
      <c r="B2687" s="26" t="str">
        <f>"09PPR1131S"</f>
        <v>09PPR1131S</v>
      </c>
      <c r="C2687" s="26" t="str">
        <f>"ESCUELA PRIMARIA ""LIBERTADORES DE MEXICO""                                                           "</f>
        <v xml:space="preserve">ESCUELA PRIMARIA "LIBERTADORES DE MEXICO"                                                           </v>
      </c>
      <c r="D2687" s="26" t="str">
        <f t="shared" si="452"/>
        <v>MATUTINO</v>
      </c>
      <c r="E2687" s="26" t="str">
        <f>"GAVIOTAS NO 60                                                                  "</f>
        <v xml:space="preserve">GAVIOTAS NO 60                                                                  </v>
      </c>
      <c r="F2687" s="26" t="str">
        <f>"GRANJAS MODERNAS                                                                                                                            "</f>
        <v xml:space="preserve">GRANJAS MODERNAS                                                                                                                            </v>
      </c>
      <c r="G2687" s="26" t="str">
        <f>"GUSTAVO A. MADERO                                                               "</f>
        <v xml:space="preserve">GUSTAVO A. MADERO                                                               </v>
      </c>
      <c r="H2687" s="26" t="str">
        <f>"249"</f>
        <v>249</v>
      </c>
      <c r="I2687" s="26" t="str">
        <f t="shared" si="450"/>
        <v>00</v>
      </c>
      <c r="J2687" s="26" t="str">
        <f>"42 "</f>
        <v xml:space="preserve">42 </v>
      </c>
      <c r="K2687" s="26" t="str">
        <f>"PR"</f>
        <v>PR</v>
      </c>
      <c r="L2687" s="26" t="str">
        <f>"DGOSE"</f>
        <v>DGOSE</v>
      </c>
      <c r="M2687" s="26" t="str">
        <f t="shared" si="451"/>
        <v>PARTICULAR</v>
      </c>
      <c r="N2687" s="26">
        <v>10</v>
      </c>
      <c r="O2687" s="26">
        <v>5</v>
      </c>
      <c r="P2687" s="26">
        <v>5</v>
      </c>
      <c r="Q2687" s="26">
        <v>4</v>
      </c>
      <c r="R2687" s="26">
        <v>1</v>
      </c>
      <c r="S2687" s="26">
        <v>4</v>
      </c>
      <c r="T2687" s="26">
        <v>3</v>
      </c>
      <c r="U2687" s="26">
        <v>8</v>
      </c>
      <c r="V2687" s="26">
        <v>1</v>
      </c>
      <c r="W2687" s="26"/>
    </row>
    <row r="2688" spans="1:23" x14ac:dyDescent="0.25">
      <c r="A2688" s="26" t="str">
        <f t="shared" si="449"/>
        <v>PRIMARIA</v>
      </c>
      <c r="B2688" s="26" t="str">
        <f>"09PPR1132R"</f>
        <v>09PPR1132R</v>
      </c>
      <c r="C2688" s="26" t="str">
        <f>"INSTITUTO DE DESARROLLO INFANTIL ATENEA                                                             "</f>
        <v xml:space="preserve">INSTITUTO DE DESARROLLO INFANTIL ATENEA                                                             </v>
      </c>
      <c r="D2688" s="26" t="str">
        <f t="shared" si="452"/>
        <v>MATUTINO</v>
      </c>
      <c r="E2688" s="26" t="str">
        <f>"POCITO 27                                                                       "</f>
        <v xml:space="preserve">POCITO 27                                                                       </v>
      </c>
      <c r="F2688" s="26" t="str">
        <f>"POPOTLA                                                                                                                                     "</f>
        <v xml:space="preserve">POPOTLA                                                                                                                                     </v>
      </c>
      <c r="G2688" s="26" t="str">
        <f>"MIGUEL HIDALGO                                                                  "</f>
        <v xml:space="preserve">MIGUEL HIDALGO                                                                  </v>
      </c>
      <c r="H2688" s="26" t="str">
        <f>"213"</f>
        <v>213</v>
      </c>
      <c r="I2688" s="26" t="str">
        <f t="shared" si="450"/>
        <v>00</v>
      </c>
      <c r="J2688" s="26" t="str">
        <f>"42 "</f>
        <v xml:space="preserve">42 </v>
      </c>
      <c r="K2688" s="26" t="str">
        <f>"PR"</f>
        <v>PR</v>
      </c>
      <c r="L2688" s="26" t="str">
        <f>"DGOSE"</f>
        <v>DGOSE</v>
      </c>
      <c r="M2688" s="26" t="str">
        <f t="shared" si="451"/>
        <v>PARTICULAR</v>
      </c>
      <c r="N2688" s="26">
        <v>78</v>
      </c>
      <c r="O2688" s="26">
        <v>40</v>
      </c>
      <c r="P2688" s="26">
        <v>38</v>
      </c>
      <c r="Q2688" s="26">
        <v>6</v>
      </c>
      <c r="R2688" s="26">
        <v>1</v>
      </c>
      <c r="S2688" s="26">
        <v>4</v>
      </c>
      <c r="T2688" s="26">
        <v>8</v>
      </c>
      <c r="U2688" s="26">
        <v>13</v>
      </c>
      <c r="V2688" s="26">
        <v>1</v>
      </c>
      <c r="W2688" s="26"/>
    </row>
    <row r="2689" spans="1:23" x14ac:dyDescent="0.25">
      <c r="A2689" s="26" t="str">
        <f t="shared" si="449"/>
        <v>PRIMARIA</v>
      </c>
      <c r="B2689" s="26" t="str">
        <f>"09PPR1135O"</f>
        <v>09PPR1135O</v>
      </c>
      <c r="C2689" s="26" t="str">
        <f>"MODERNO CULTURAL HISPANO AMERICANO                                                                  "</f>
        <v xml:space="preserve">MODERNO CULTURAL HISPANO AMERICANO                                                                  </v>
      </c>
      <c r="D2689" s="26" t="str">
        <f t="shared" si="452"/>
        <v>MATUTINO</v>
      </c>
      <c r="E2689" s="26" t="str">
        <f>"AVENIDA ACOXPA NO.940                                                           "</f>
        <v xml:space="preserve">AVENIDA ACOXPA NO.940                                                           </v>
      </c>
      <c r="F2689" s="26" t="str">
        <f>"RESIDENCIAL VILLA COAPA                                                                                                                     "</f>
        <v xml:space="preserve">RESIDENCIAL VILLA COAPA                                                                                                                     </v>
      </c>
      <c r="G2689" s="26" t="str">
        <f>"TLALPAN                                                                         "</f>
        <v xml:space="preserve">TLALPAN                                                                         </v>
      </c>
      <c r="H2689" s="26" t="str">
        <f>"524"</f>
        <v>524</v>
      </c>
      <c r="I2689" s="26" t="str">
        <f t="shared" si="450"/>
        <v>00</v>
      </c>
      <c r="J2689" s="26" t="str">
        <f>"45 "</f>
        <v xml:space="preserve">45 </v>
      </c>
      <c r="K2689" s="26" t="str">
        <f>"PR"</f>
        <v>PR</v>
      </c>
      <c r="L2689" s="26" t="str">
        <f>"DGOSE"</f>
        <v>DGOSE</v>
      </c>
      <c r="M2689" s="26" t="str">
        <f t="shared" si="451"/>
        <v>PARTICULAR</v>
      </c>
      <c r="N2689" s="26">
        <v>84</v>
      </c>
      <c r="O2689" s="26">
        <v>47</v>
      </c>
      <c r="P2689" s="26">
        <v>37</v>
      </c>
      <c r="Q2689" s="26">
        <v>5</v>
      </c>
      <c r="R2689" s="26">
        <v>1</v>
      </c>
      <c r="S2689" s="26">
        <v>4</v>
      </c>
      <c r="T2689" s="26">
        <v>15</v>
      </c>
      <c r="U2689" s="26">
        <v>20</v>
      </c>
      <c r="V2689" s="26">
        <v>1</v>
      </c>
      <c r="W2689" s="26"/>
    </row>
    <row r="2690" spans="1:23" x14ac:dyDescent="0.25">
      <c r="A2690" s="26" t="str">
        <f t="shared" ref="A2690:A2753" si="455">"PRIMARIA"</f>
        <v>PRIMARIA</v>
      </c>
      <c r="B2690" s="26" t="str">
        <f>"09PPR1136N"</f>
        <v>09PPR1136N</v>
      </c>
      <c r="C2690" s="26" t="str">
        <f>"FRIDA KHALO                                                                                         "</f>
        <v xml:space="preserve">FRIDA KHALO                                                                                         </v>
      </c>
      <c r="D2690" s="26" t="str">
        <f t="shared" si="452"/>
        <v>MATUTINO</v>
      </c>
      <c r="E2690" s="26" t="str">
        <f>"MORELOS NO. 29                                                                  "</f>
        <v xml:space="preserve">MORELOS NO. 29                                                                  </v>
      </c>
      <c r="F2690" s="26" t="str">
        <f>"SAN ANTONIO CULHUACAN                                                                                                                       "</f>
        <v xml:space="preserve">SAN ANTONIO CULHUACAN                                                                                                                       </v>
      </c>
      <c r="G2690" s="26" t="str">
        <f>"IZTAPALAPA                                                                      "</f>
        <v xml:space="preserve">IZTAPALAPA                                                                      </v>
      </c>
      <c r="H2690" s="26" t="str">
        <f>"000"</f>
        <v>000</v>
      </c>
      <c r="I2690" s="26" t="str">
        <f t="shared" ref="I2690:I2753" si="456">"00"</f>
        <v>00</v>
      </c>
      <c r="J2690" s="26" t="str">
        <f>"61 "</f>
        <v xml:space="preserve">61 </v>
      </c>
      <c r="K2690" s="26" t="str">
        <f>"IZ"</f>
        <v>IZ</v>
      </c>
      <c r="L2690" s="26" t="str">
        <f>"DGSEI"</f>
        <v>DGSEI</v>
      </c>
      <c r="M2690" s="26" t="str">
        <f t="shared" si="451"/>
        <v>PARTICULAR</v>
      </c>
      <c r="N2690" s="26">
        <v>127</v>
      </c>
      <c r="O2690" s="26">
        <v>66</v>
      </c>
      <c r="P2690" s="26">
        <v>61</v>
      </c>
      <c r="Q2690" s="26">
        <v>6</v>
      </c>
      <c r="R2690" s="26">
        <v>1</v>
      </c>
      <c r="S2690" s="26">
        <v>6</v>
      </c>
      <c r="T2690" s="26">
        <v>7</v>
      </c>
      <c r="U2690" s="26">
        <v>14</v>
      </c>
      <c r="V2690" s="26">
        <v>1</v>
      </c>
      <c r="W2690" s="26"/>
    </row>
    <row r="2691" spans="1:23" x14ac:dyDescent="0.25">
      <c r="A2691" s="26" t="str">
        <f t="shared" si="455"/>
        <v>PRIMARIA</v>
      </c>
      <c r="B2691" s="26" t="str">
        <f>"09PPR1137M"</f>
        <v>09PPR1137M</v>
      </c>
      <c r="C2691" s="26" t="str">
        <f>"COLEGIO TEOTIHUACAN                                                                                 "</f>
        <v xml:space="preserve">COLEGIO TEOTIHUACAN                                                                                 </v>
      </c>
      <c r="D2691" s="26" t="str">
        <f t="shared" si="452"/>
        <v>MATUTINO</v>
      </c>
      <c r="E2691" s="26" t="str">
        <f>"ORIENTE 251-B NO 223                                                            "</f>
        <v xml:space="preserve">ORIENTE 251-B NO 223                                                            </v>
      </c>
      <c r="F2691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2691" s="26" t="str">
        <f>"IZTACALCO                                                                       "</f>
        <v xml:space="preserve">IZTACALCO                                                                       </v>
      </c>
      <c r="H2691" s="26" t="str">
        <f>"356"</f>
        <v>356</v>
      </c>
      <c r="I2691" s="26" t="str">
        <f t="shared" si="456"/>
        <v>00</v>
      </c>
      <c r="J2691" s="26" t="str">
        <f>"43 "</f>
        <v xml:space="preserve">43 </v>
      </c>
      <c r="K2691" s="26" t="str">
        <f>"PR"</f>
        <v>PR</v>
      </c>
      <c r="L2691" s="26" t="str">
        <f>"DGOSE"</f>
        <v>DGOSE</v>
      </c>
      <c r="M2691" s="26" t="str">
        <f t="shared" si="451"/>
        <v>PARTICULAR</v>
      </c>
      <c r="N2691" s="26">
        <v>23</v>
      </c>
      <c r="O2691" s="26">
        <v>16</v>
      </c>
      <c r="P2691" s="26">
        <v>7</v>
      </c>
      <c r="Q2691" s="26">
        <v>6</v>
      </c>
      <c r="R2691" s="26">
        <v>1</v>
      </c>
      <c r="S2691" s="26">
        <v>3</v>
      </c>
      <c r="T2691" s="26">
        <v>8</v>
      </c>
      <c r="U2691" s="26">
        <v>12</v>
      </c>
      <c r="V2691" s="26">
        <v>1</v>
      </c>
      <c r="W2691" s="26"/>
    </row>
    <row r="2692" spans="1:23" x14ac:dyDescent="0.25">
      <c r="A2692" s="26" t="str">
        <f t="shared" si="455"/>
        <v>PRIMARIA</v>
      </c>
      <c r="B2692" s="26" t="str">
        <f>"09PPR1138L"</f>
        <v>09PPR1138L</v>
      </c>
      <c r="C2692" s="26" t="str">
        <f>"INSTITUTO INTERNACIONAL BRITANIA LIGTHART S.C.                                                      "</f>
        <v xml:space="preserve">INSTITUTO INTERNACIONAL BRITANIA LIGTHART S.C.                                                      </v>
      </c>
      <c r="D2692" s="26" t="str">
        <f t="shared" si="452"/>
        <v>MATUTINO</v>
      </c>
      <c r="E2692" s="26" t="str">
        <f>"20 DE NOVIEMBRE S/N Z.01 MZ. 78 LT. 08                                          "</f>
        <v xml:space="preserve">20 DE NOVIEMBRE S/N Z.01 MZ. 78 LT. 08                                          </v>
      </c>
      <c r="F2692" s="26" t="str">
        <f>"SANTA MARIA AZTAHUACAN                                                                                                                      "</f>
        <v xml:space="preserve">SANTA MARIA AZTAHUACAN                                                                                                                      </v>
      </c>
      <c r="G2692" s="26" t="str">
        <f>"IZTAPALAPA                                                                      "</f>
        <v xml:space="preserve">IZTAPALAPA                                                                      </v>
      </c>
      <c r="H2692" s="26" t="str">
        <f>"000"</f>
        <v>000</v>
      </c>
      <c r="I2692" s="26" t="str">
        <f t="shared" si="456"/>
        <v>00</v>
      </c>
      <c r="J2692" s="26" t="str">
        <f>"64 "</f>
        <v xml:space="preserve">64 </v>
      </c>
      <c r="K2692" s="26" t="str">
        <f>"IZ"</f>
        <v>IZ</v>
      </c>
      <c r="L2692" s="26" t="str">
        <f>"DGSEI"</f>
        <v>DGSEI</v>
      </c>
      <c r="M2692" s="26" t="str">
        <f t="shared" si="451"/>
        <v>PARTICULAR</v>
      </c>
      <c r="N2692" s="26">
        <v>129</v>
      </c>
      <c r="O2692" s="26">
        <v>69</v>
      </c>
      <c r="P2692" s="26">
        <v>60</v>
      </c>
      <c r="Q2692" s="26">
        <v>6</v>
      </c>
      <c r="R2692" s="26">
        <v>1</v>
      </c>
      <c r="S2692" s="26">
        <v>6</v>
      </c>
      <c r="T2692" s="26">
        <v>0</v>
      </c>
      <c r="U2692" s="26">
        <v>7</v>
      </c>
      <c r="V2692" s="26">
        <v>1</v>
      </c>
      <c r="W2692" s="26"/>
    </row>
    <row r="2693" spans="1:23" x14ac:dyDescent="0.25">
      <c r="A2693" s="26" t="str">
        <f t="shared" si="455"/>
        <v>PRIMARIA</v>
      </c>
      <c r="B2693" s="26" t="str">
        <f>"09PPR1139K"</f>
        <v>09PPR1139K</v>
      </c>
      <c r="C2693" s="26" t="str">
        <f>"COLEGIO MARK TWAIN                                                                                  "</f>
        <v xml:space="preserve">COLEGIO MARK TWAIN                                                                                  </v>
      </c>
      <c r="D2693" s="26" t="str">
        <f t="shared" si="452"/>
        <v>MATUTINO</v>
      </c>
      <c r="E2693" s="26" t="str">
        <f>"RELAMPAGO NO. 5 MZ.8 LT. 3                                                      "</f>
        <v xml:space="preserve">RELAMPAGO NO. 5 MZ.8 LT. 3                                                      </v>
      </c>
      <c r="F2693" s="26" t="str">
        <f>"VALLE DE LUCES                                                                                                                              "</f>
        <v xml:space="preserve">VALLE DE LUCES                                                                                                                              </v>
      </c>
      <c r="G2693" s="26" t="str">
        <f>"IZTAPALAPA                                                                      "</f>
        <v xml:space="preserve">IZTAPALAPA                                                                      </v>
      </c>
      <c r="H2693" s="26" t="str">
        <f>"000"</f>
        <v>000</v>
      </c>
      <c r="I2693" s="26" t="str">
        <f t="shared" si="456"/>
        <v>00</v>
      </c>
      <c r="J2693" s="26" t="str">
        <f>"61 "</f>
        <v xml:space="preserve">61 </v>
      </c>
      <c r="K2693" s="26" t="str">
        <f>"IZ"</f>
        <v>IZ</v>
      </c>
      <c r="L2693" s="26" t="str">
        <f>"DGSEI"</f>
        <v>DGSEI</v>
      </c>
      <c r="M2693" s="26" t="str">
        <f t="shared" si="451"/>
        <v>PARTICULAR</v>
      </c>
      <c r="N2693" s="26">
        <v>116</v>
      </c>
      <c r="O2693" s="26">
        <v>71</v>
      </c>
      <c r="P2693" s="26">
        <v>45</v>
      </c>
      <c r="Q2693" s="26">
        <v>6</v>
      </c>
      <c r="R2693" s="26">
        <v>1</v>
      </c>
      <c r="S2693" s="26">
        <v>6</v>
      </c>
      <c r="T2693" s="26">
        <v>10</v>
      </c>
      <c r="U2693" s="26">
        <v>17</v>
      </c>
      <c r="V2693" s="26">
        <v>1</v>
      </c>
      <c r="W2693" s="26"/>
    </row>
    <row r="2694" spans="1:23" x14ac:dyDescent="0.25">
      <c r="A2694" s="26" t="str">
        <f t="shared" si="455"/>
        <v>PRIMARIA</v>
      </c>
      <c r="B2694" s="26" t="str">
        <f>"09PPR1140Z"</f>
        <v>09PPR1140Z</v>
      </c>
      <c r="C2694" s="26" t="str">
        <f>"INSTITUTO MESOAMERICA                                                                               "</f>
        <v xml:space="preserve">INSTITUTO MESOAMERICA                                                                               </v>
      </c>
      <c r="D2694" s="26" t="str">
        <f t="shared" si="452"/>
        <v>MATUTINO</v>
      </c>
      <c r="E2694" s="26" t="str">
        <f>"2 DE ABRIL NO 367                                                               "</f>
        <v xml:space="preserve">2 DE ABRIL NO 367                                                               </v>
      </c>
      <c r="F2694" s="26" t="str">
        <f>"SANTA CRUZ ACALPIXCA                                                                                                                        "</f>
        <v xml:space="preserve">SANTA CRUZ ACALPIXCA                                                                                                                        </v>
      </c>
      <c r="G2694" s="26" t="str">
        <f>"XOCHIMILCO                                                                      "</f>
        <v xml:space="preserve">XOCHIMILCO                                                                      </v>
      </c>
      <c r="H2694" s="26" t="str">
        <f>"542"</f>
        <v>542</v>
      </c>
      <c r="I2694" s="26" t="str">
        <f t="shared" si="456"/>
        <v>00</v>
      </c>
      <c r="J2694" s="26" t="str">
        <f>"45 "</f>
        <v xml:space="preserve">45 </v>
      </c>
      <c r="K2694" s="26" t="str">
        <f>"PR"</f>
        <v>PR</v>
      </c>
      <c r="L2694" s="26" t="str">
        <f>"DGOSE"</f>
        <v>DGOSE</v>
      </c>
      <c r="M2694" s="26" t="str">
        <f t="shared" si="451"/>
        <v>PARTICULAR</v>
      </c>
      <c r="N2694" s="26">
        <v>60</v>
      </c>
      <c r="O2694" s="26">
        <v>31</v>
      </c>
      <c r="P2694" s="26">
        <v>29</v>
      </c>
      <c r="Q2694" s="26">
        <v>6</v>
      </c>
      <c r="R2694" s="26">
        <v>1</v>
      </c>
      <c r="S2694" s="26">
        <v>6</v>
      </c>
      <c r="T2694" s="26">
        <v>11</v>
      </c>
      <c r="U2694" s="26">
        <v>18</v>
      </c>
      <c r="V2694" s="26">
        <v>1</v>
      </c>
      <c r="W2694" s="26"/>
    </row>
    <row r="2695" spans="1:23" x14ac:dyDescent="0.25">
      <c r="A2695" s="26" t="str">
        <f t="shared" si="455"/>
        <v>PRIMARIA</v>
      </c>
      <c r="B2695" s="26" t="str">
        <f>"09PPR1141Z"</f>
        <v>09PPR1141Z</v>
      </c>
      <c r="C2695" s="26" t="str">
        <f>"COLEGIO HARVEY                                                                                      "</f>
        <v xml:space="preserve">COLEGIO HARVEY                                                                                      </v>
      </c>
      <c r="D2695" s="26" t="str">
        <f t="shared" si="452"/>
        <v>MATUTINO</v>
      </c>
      <c r="E2695" s="26" t="str">
        <f>"TULIPAN NUM 14                                                                  "</f>
        <v xml:space="preserve">TULIPAN NUM 14                                                                  </v>
      </c>
      <c r="F2695" s="26" t="str">
        <f>"LOS REYES                                                                                                                                   "</f>
        <v xml:space="preserve">LOS REYES                                                                                                                                   </v>
      </c>
      <c r="G2695" s="26" t="str">
        <f>"TLAHUAC                                                                         "</f>
        <v xml:space="preserve">TLAHUAC                                                                         </v>
      </c>
      <c r="H2695" s="26" t="str">
        <f>"558"</f>
        <v>558</v>
      </c>
      <c r="I2695" s="26" t="str">
        <f t="shared" si="456"/>
        <v>00</v>
      </c>
      <c r="J2695" s="26" t="str">
        <f>"45 "</f>
        <v xml:space="preserve">45 </v>
      </c>
      <c r="K2695" s="26" t="str">
        <f>"PR"</f>
        <v>PR</v>
      </c>
      <c r="L2695" s="26" t="str">
        <f>"DGOSE"</f>
        <v>DGOSE</v>
      </c>
      <c r="M2695" s="26" t="str">
        <f t="shared" si="451"/>
        <v>PARTICULAR</v>
      </c>
      <c r="N2695" s="26">
        <v>59</v>
      </c>
      <c r="O2695" s="26">
        <v>37</v>
      </c>
      <c r="P2695" s="26">
        <v>22</v>
      </c>
      <c r="Q2695" s="26">
        <v>6</v>
      </c>
      <c r="R2695" s="26">
        <v>1</v>
      </c>
      <c r="S2695" s="26">
        <v>6</v>
      </c>
      <c r="T2695" s="26">
        <v>5</v>
      </c>
      <c r="U2695" s="26">
        <v>12</v>
      </c>
      <c r="V2695" s="26">
        <v>1</v>
      </c>
      <c r="W2695" s="26"/>
    </row>
    <row r="2696" spans="1:23" x14ac:dyDescent="0.25">
      <c r="A2696" s="26" t="str">
        <f t="shared" si="455"/>
        <v>PRIMARIA</v>
      </c>
      <c r="B2696" s="26" t="str">
        <f>"09PPR1142Y"</f>
        <v>09PPR1142Y</v>
      </c>
      <c r="C2696" s="26" t="str">
        <f>"FRANCISCO LARROYO                                                                                   "</f>
        <v xml:space="preserve">FRANCISCO LARROYO                                                                                   </v>
      </c>
      <c r="D2696" s="26" t="str">
        <f t="shared" si="452"/>
        <v>MATUTINO</v>
      </c>
      <c r="E2696" s="26" t="str">
        <f>"PLAYA LORENA NO 115                                                             "</f>
        <v xml:space="preserve">PLAYA LORENA NO 115                                                             </v>
      </c>
      <c r="F2696" s="26" t="str">
        <f>"SAN ANDRES TETEPILCO                                                                                                                        "</f>
        <v xml:space="preserve">SAN ANDRES TETEPILCO                                                                                                                        </v>
      </c>
      <c r="G2696" s="26" t="str">
        <f>"IZTAPALAPA                                                                      "</f>
        <v xml:space="preserve">IZTAPALAPA                                                                      </v>
      </c>
      <c r="H2696" s="26" t="str">
        <f>"000"</f>
        <v>000</v>
      </c>
      <c r="I2696" s="26" t="str">
        <f t="shared" si="456"/>
        <v>00</v>
      </c>
      <c r="J2696" s="26" t="str">
        <f>"61 "</f>
        <v xml:space="preserve">61 </v>
      </c>
      <c r="K2696" s="26" t="str">
        <f>"IZ"</f>
        <v>IZ</v>
      </c>
      <c r="L2696" s="26" t="str">
        <f>"DGSEI"</f>
        <v>DGSEI</v>
      </c>
      <c r="M2696" s="26" t="str">
        <f t="shared" si="451"/>
        <v>PARTICULAR</v>
      </c>
      <c r="N2696" s="26">
        <v>11</v>
      </c>
      <c r="O2696" s="26">
        <v>8</v>
      </c>
      <c r="P2696" s="26">
        <v>3</v>
      </c>
      <c r="Q2696" s="26">
        <v>5</v>
      </c>
      <c r="R2696" s="26">
        <v>1</v>
      </c>
      <c r="S2696" s="26">
        <v>5</v>
      </c>
      <c r="T2696" s="26">
        <v>3</v>
      </c>
      <c r="U2696" s="26">
        <v>9</v>
      </c>
      <c r="V2696" s="26">
        <v>1</v>
      </c>
      <c r="W2696" s="26"/>
    </row>
    <row r="2697" spans="1:23" x14ac:dyDescent="0.25">
      <c r="A2697" s="26" t="str">
        <f t="shared" si="455"/>
        <v>PRIMARIA</v>
      </c>
      <c r="B2697" s="26" t="str">
        <f>"09PPR1143X"</f>
        <v>09PPR1143X</v>
      </c>
      <c r="C2697" s="26" t="str">
        <f>"CENTRO CULTURAL HAIM WEIZMANN                                                                       "</f>
        <v xml:space="preserve">CENTRO CULTURAL HAIM WEIZMANN                                                                       </v>
      </c>
      <c r="D2697" s="26" t="str">
        <f t="shared" si="452"/>
        <v>MATUTINO</v>
      </c>
      <c r="E2697" s="26" t="str">
        <f>"ANTILLAS NO 1119                                                                "</f>
        <v xml:space="preserve">ANTILLAS NO 1119                                                                </v>
      </c>
      <c r="F2697" s="26" t="str">
        <f>"PORTALES                                                                                                                                    "</f>
        <v xml:space="preserve">PORTALES                                                                                                                                    </v>
      </c>
      <c r="G2697" s="26" t="str">
        <f>"BENITO JUAREZ                                                                   "</f>
        <v xml:space="preserve">BENITO JUAREZ                                                                   </v>
      </c>
      <c r="H2697" s="26" t="str">
        <f>"000"</f>
        <v>000</v>
      </c>
      <c r="I2697" s="26" t="str">
        <f t="shared" si="456"/>
        <v>00</v>
      </c>
      <c r="J2697" s="26" t="str">
        <f>"43 "</f>
        <v xml:space="preserve">43 </v>
      </c>
      <c r="K2697" s="26" t="str">
        <f>"PR"</f>
        <v>PR</v>
      </c>
      <c r="L2697" s="26" t="str">
        <f>"DGOSE"</f>
        <v>DGOSE</v>
      </c>
      <c r="M2697" s="26" t="str">
        <f t="shared" si="451"/>
        <v>PARTICULAR</v>
      </c>
      <c r="N2697" s="26">
        <v>66</v>
      </c>
      <c r="O2697" s="26">
        <v>41</v>
      </c>
      <c r="P2697" s="26">
        <v>25</v>
      </c>
      <c r="Q2697" s="26">
        <v>6</v>
      </c>
      <c r="R2697" s="26">
        <v>1</v>
      </c>
      <c r="S2697" s="26">
        <v>3</v>
      </c>
      <c r="T2697" s="26">
        <v>8</v>
      </c>
      <c r="U2697" s="26">
        <v>12</v>
      </c>
      <c r="V2697" s="26">
        <v>1</v>
      </c>
      <c r="W2697" s="26"/>
    </row>
    <row r="2698" spans="1:23" x14ac:dyDescent="0.25">
      <c r="A2698" s="26" t="str">
        <f t="shared" si="455"/>
        <v>PRIMARIA</v>
      </c>
      <c r="B2698" s="26" t="str">
        <f>"09PPR1144W"</f>
        <v>09PPR1144W</v>
      </c>
      <c r="C2698" s="26" t="str">
        <f>"CENTRO EDUCATIVO TENOCHTITLAN                                                                       "</f>
        <v xml:space="preserve">CENTRO EDUCATIVO TENOCHTITLAN                                                                       </v>
      </c>
      <c r="D2698" s="26" t="str">
        <f t="shared" si="452"/>
        <v>MATUTINO</v>
      </c>
      <c r="E2698" s="26" t="str">
        <f>"ZAZAPOTLA # 69                                                                  "</f>
        <v xml:space="preserve">ZAZAPOTLA # 69                                                                  </v>
      </c>
      <c r="F2698" s="26" t="str">
        <f>"SAN ANTONIO TECOMITL                                                                                                                        "</f>
        <v xml:space="preserve">SAN ANTONIO TECOMITL                                                                                                                        </v>
      </c>
      <c r="G2698" s="26" t="str">
        <f>"MILPA ALTA                                                                      "</f>
        <v xml:space="preserve">MILPA ALTA                                                                      </v>
      </c>
      <c r="H2698" s="26" t="str">
        <f>"561"</f>
        <v>561</v>
      </c>
      <c r="I2698" s="26" t="str">
        <f t="shared" si="456"/>
        <v>00</v>
      </c>
      <c r="J2698" s="26" t="str">
        <f>"45 "</f>
        <v xml:space="preserve">45 </v>
      </c>
      <c r="K2698" s="26" t="str">
        <f>"PR"</f>
        <v>PR</v>
      </c>
      <c r="L2698" s="26" t="str">
        <f>"DGOSE"</f>
        <v>DGOSE</v>
      </c>
      <c r="M2698" s="26" t="str">
        <f t="shared" si="451"/>
        <v>PARTICULAR</v>
      </c>
      <c r="N2698" s="26">
        <v>52</v>
      </c>
      <c r="O2698" s="26">
        <v>31</v>
      </c>
      <c r="P2698" s="26">
        <v>21</v>
      </c>
      <c r="Q2698" s="26">
        <v>6</v>
      </c>
      <c r="R2698" s="26">
        <v>1</v>
      </c>
      <c r="S2698" s="26">
        <v>3</v>
      </c>
      <c r="T2698" s="26">
        <v>8</v>
      </c>
      <c r="U2698" s="26">
        <v>12</v>
      </c>
      <c r="V2698" s="26">
        <v>1</v>
      </c>
      <c r="W2698" s="26"/>
    </row>
    <row r="2699" spans="1:23" x14ac:dyDescent="0.25">
      <c r="A2699" s="26" t="str">
        <f t="shared" si="455"/>
        <v>PRIMARIA</v>
      </c>
      <c r="B2699" s="26" t="str">
        <f>"09PPR1145V"</f>
        <v>09PPR1145V</v>
      </c>
      <c r="C2699" s="26" t="str">
        <f>"COLEGIO IMCA                                                                                        "</f>
        <v xml:space="preserve">COLEGIO IMCA                                                                                        </v>
      </c>
      <c r="D2699" s="26" t="str">
        <f t="shared" si="452"/>
        <v>MATUTINO</v>
      </c>
      <c r="E2699" s="26" t="str">
        <f>"AZTECAS NO.16                                                                   "</f>
        <v xml:space="preserve">AZTECAS NO.16                                                                   </v>
      </c>
      <c r="F2699" s="26" t="str">
        <f>"LA ASUNCION                                                                                                                                 "</f>
        <v xml:space="preserve">LA ASUNCION                                                                                                                                 </v>
      </c>
      <c r="G2699" s="26" t="str">
        <f>"IZTAPALAPA                                                                      "</f>
        <v xml:space="preserve">IZTAPALAPA                                                                      </v>
      </c>
      <c r="H2699" s="26" t="str">
        <f>"000"</f>
        <v>000</v>
      </c>
      <c r="I2699" s="26" t="str">
        <f t="shared" si="456"/>
        <v>00</v>
      </c>
      <c r="J2699" s="26" t="str">
        <f>"61 "</f>
        <v xml:space="preserve">61 </v>
      </c>
      <c r="K2699" s="26" t="str">
        <f>"IZ"</f>
        <v>IZ</v>
      </c>
      <c r="L2699" s="26" t="str">
        <f>"DGSEI"</f>
        <v>DGSEI</v>
      </c>
      <c r="M2699" s="26" t="str">
        <f t="shared" si="451"/>
        <v>PARTICULAR</v>
      </c>
      <c r="N2699" s="26">
        <v>96</v>
      </c>
      <c r="O2699" s="26">
        <v>46</v>
      </c>
      <c r="P2699" s="26">
        <v>50</v>
      </c>
      <c r="Q2699" s="26">
        <v>6</v>
      </c>
      <c r="R2699" s="26">
        <v>1</v>
      </c>
      <c r="S2699" s="26">
        <v>4</v>
      </c>
      <c r="T2699" s="26">
        <v>4</v>
      </c>
      <c r="U2699" s="26">
        <v>9</v>
      </c>
      <c r="V2699" s="26">
        <v>1</v>
      </c>
      <c r="W2699" s="26"/>
    </row>
    <row r="2700" spans="1:23" x14ac:dyDescent="0.25">
      <c r="A2700" s="26" t="str">
        <f t="shared" si="455"/>
        <v>PRIMARIA</v>
      </c>
      <c r="B2700" s="26" t="str">
        <f>"09PPR1147T"</f>
        <v>09PPR1147T</v>
      </c>
      <c r="C2700" s="26" t="str">
        <f>"COLEGIO CELESTIN FREINET                                                                            "</f>
        <v xml:space="preserve">COLEGIO CELESTIN FREINET                                                                            </v>
      </c>
      <c r="D2700" s="26" t="str">
        <f t="shared" si="452"/>
        <v>MATUTINO</v>
      </c>
      <c r="E2700" s="26" t="str">
        <f>"PROL. ANILLO PERIFERICO NO. 39                                                  "</f>
        <v xml:space="preserve">PROL. ANILLO PERIFERICO NO. 39                                                  </v>
      </c>
      <c r="F2700" s="26" t="str">
        <f>"CONSTITUCION 1917                                                                                                                           "</f>
        <v xml:space="preserve">CONSTITUCION 1917                                                                                                                           </v>
      </c>
      <c r="G2700" s="26" t="str">
        <f>"IZTAPALAPA                                                                      "</f>
        <v xml:space="preserve">IZTAPALAPA                                                                      </v>
      </c>
      <c r="H2700" s="26" t="str">
        <f>"000"</f>
        <v>000</v>
      </c>
      <c r="I2700" s="26" t="str">
        <f t="shared" si="456"/>
        <v>00</v>
      </c>
      <c r="J2700" s="26" t="str">
        <f>"64 "</f>
        <v xml:space="preserve">64 </v>
      </c>
      <c r="K2700" s="26" t="str">
        <f>"IZ"</f>
        <v>IZ</v>
      </c>
      <c r="L2700" s="26" t="str">
        <f>"DGSEI"</f>
        <v>DGSEI</v>
      </c>
      <c r="M2700" s="26" t="str">
        <f t="shared" si="451"/>
        <v>PARTICULAR</v>
      </c>
      <c r="N2700" s="26">
        <v>256</v>
      </c>
      <c r="O2700" s="26">
        <v>132</v>
      </c>
      <c r="P2700" s="26">
        <v>124</v>
      </c>
      <c r="Q2700" s="26">
        <v>11</v>
      </c>
      <c r="R2700" s="26">
        <v>1</v>
      </c>
      <c r="S2700" s="26">
        <v>11</v>
      </c>
      <c r="T2700" s="26">
        <v>9</v>
      </c>
      <c r="U2700" s="26">
        <v>21</v>
      </c>
      <c r="V2700" s="26">
        <v>1</v>
      </c>
      <c r="W2700" s="26"/>
    </row>
    <row r="2701" spans="1:23" x14ac:dyDescent="0.25">
      <c r="A2701" s="26" t="str">
        <f t="shared" si="455"/>
        <v>PRIMARIA</v>
      </c>
      <c r="B2701" s="26" t="str">
        <f>"09PPR1148S"</f>
        <v>09PPR1148S</v>
      </c>
      <c r="C2701" s="26" t="str">
        <f>"INSTITUTO PORTACELLI                                                                                "</f>
        <v xml:space="preserve">INSTITUTO PORTACELLI                                                                                </v>
      </c>
      <c r="D2701" s="26" t="str">
        <f t="shared" si="452"/>
        <v>MATUTINO</v>
      </c>
      <c r="E2701" s="26" t="str">
        <f>"PLAYA REVOLCADERO NUM 233                                                       "</f>
        <v xml:space="preserve">PLAYA REVOLCADERO NUM 233                                                       </v>
      </c>
      <c r="F2701" s="26" t="str">
        <f>"REFORMA IZTACCIHUATL                                                                                                                        "</f>
        <v xml:space="preserve">REFORMA IZTACCIHUATL                                                                                                                        </v>
      </c>
      <c r="G2701" s="26" t="str">
        <f>"IZTACALCO                                                                       "</f>
        <v xml:space="preserve">IZTACALCO                                                                       </v>
      </c>
      <c r="H2701" s="26" t="str">
        <f>"363"</f>
        <v>363</v>
      </c>
      <c r="I2701" s="26" t="str">
        <f t="shared" si="456"/>
        <v>00</v>
      </c>
      <c r="J2701" s="26" t="str">
        <f>"43 "</f>
        <v xml:space="preserve">43 </v>
      </c>
      <c r="K2701" s="26" t="str">
        <f t="shared" ref="K2701:K2712" si="457">"PR"</f>
        <v>PR</v>
      </c>
      <c r="L2701" s="26" t="str">
        <f t="shared" ref="L2701:L2712" si="458">"DGOSE"</f>
        <v>DGOSE</v>
      </c>
      <c r="M2701" s="26" t="str">
        <f t="shared" si="451"/>
        <v>PARTICULAR</v>
      </c>
      <c r="N2701" s="26">
        <v>52</v>
      </c>
      <c r="O2701" s="26">
        <v>28</v>
      </c>
      <c r="P2701" s="26">
        <v>24</v>
      </c>
      <c r="Q2701" s="26">
        <v>6</v>
      </c>
      <c r="R2701" s="26">
        <v>1</v>
      </c>
      <c r="S2701" s="26">
        <v>4</v>
      </c>
      <c r="T2701" s="26">
        <v>7</v>
      </c>
      <c r="U2701" s="26">
        <v>12</v>
      </c>
      <c r="V2701" s="26">
        <v>1</v>
      </c>
      <c r="W2701" s="26"/>
    </row>
    <row r="2702" spans="1:23" x14ac:dyDescent="0.25">
      <c r="A2702" s="26" t="str">
        <f t="shared" si="455"/>
        <v>PRIMARIA</v>
      </c>
      <c r="B2702" s="26" t="str">
        <f>"09PPR1149R"</f>
        <v>09PPR1149R</v>
      </c>
      <c r="C2702" s="26" t="str">
        <f>"COLEGIO LUIS ENRIQUE ERRO Y SOLER                                                                   "</f>
        <v xml:space="preserve">COLEGIO LUIS ENRIQUE ERRO Y SOLER                                                                   </v>
      </c>
      <c r="D2702" s="26" t="str">
        <f t="shared" si="452"/>
        <v>MATUTINO</v>
      </c>
      <c r="E2702" s="26" t="str">
        <f>"CAMINO A NATIVITAS 346                                                          "</f>
        <v xml:space="preserve">CAMINO A NATIVITAS 346                                                          </v>
      </c>
      <c r="F2702" s="26" t="str">
        <f>"XALTOCAN                                                                                                                                    "</f>
        <v xml:space="preserve">XALTOCAN                                                                                                                                    </v>
      </c>
      <c r="G2702" s="26" t="str">
        <f>"XOCHIMILCO                                                                      "</f>
        <v xml:space="preserve">XOCHIMILCO                                                                      </v>
      </c>
      <c r="H2702" s="26" t="str">
        <f>"538"</f>
        <v>538</v>
      </c>
      <c r="I2702" s="26" t="str">
        <f t="shared" si="456"/>
        <v>00</v>
      </c>
      <c r="J2702" s="26" t="str">
        <f>"45 "</f>
        <v xml:space="preserve">45 </v>
      </c>
      <c r="K2702" s="26" t="str">
        <f t="shared" si="457"/>
        <v>PR</v>
      </c>
      <c r="L2702" s="26" t="str">
        <f t="shared" si="458"/>
        <v>DGOSE</v>
      </c>
      <c r="M2702" s="26" t="str">
        <f t="shared" si="451"/>
        <v>PARTICULAR</v>
      </c>
      <c r="N2702" s="26">
        <v>277</v>
      </c>
      <c r="O2702" s="26">
        <v>126</v>
      </c>
      <c r="P2702" s="26">
        <v>151</v>
      </c>
      <c r="Q2702" s="26">
        <v>12</v>
      </c>
      <c r="R2702" s="26">
        <v>1</v>
      </c>
      <c r="S2702" s="26">
        <v>6</v>
      </c>
      <c r="T2702" s="26">
        <v>17</v>
      </c>
      <c r="U2702" s="26">
        <v>24</v>
      </c>
      <c r="V2702" s="26">
        <v>1</v>
      </c>
      <c r="W2702" s="26"/>
    </row>
    <row r="2703" spans="1:23" x14ac:dyDescent="0.25">
      <c r="A2703" s="26" t="str">
        <f t="shared" si="455"/>
        <v>PRIMARIA</v>
      </c>
      <c r="B2703" s="26" t="str">
        <f>"09PPR1151F"</f>
        <v>09PPR1151F</v>
      </c>
      <c r="C2703" s="26" t="str">
        <f>"RUFINO TAMAYO                                                                                       "</f>
        <v xml:space="preserve">RUFINO TAMAYO                                                                                       </v>
      </c>
      <c r="D2703" s="26" t="str">
        <f t="shared" si="452"/>
        <v>MATUTINO</v>
      </c>
      <c r="E2703" s="26" t="str">
        <f>"HERMENEGILDO GALEANA No 52                                                      "</f>
        <v xml:space="preserve">HERMENEGILDO GALEANA No 52                                                      </v>
      </c>
      <c r="F2703" s="26" t="str">
        <f>"SANTIAGO TULYEHUALCO                                                                                                                        "</f>
        <v xml:space="preserve">SANTIAGO TULYEHUALCO                                                                                                                        </v>
      </c>
      <c r="G2703" s="26" t="str">
        <f>"XOCHIMILCO                                                                      "</f>
        <v xml:space="preserve">XOCHIMILCO                                                                      </v>
      </c>
      <c r="H2703" s="26" t="str">
        <f>"545"</f>
        <v>545</v>
      </c>
      <c r="I2703" s="26" t="str">
        <f t="shared" si="456"/>
        <v>00</v>
      </c>
      <c r="J2703" s="26" t="str">
        <f>"45 "</f>
        <v xml:space="preserve">45 </v>
      </c>
      <c r="K2703" s="26" t="str">
        <f t="shared" si="457"/>
        <v>PR</v>
      </c>
      <c r="L2703" s="26" t="str">
        <f t="shared" si="458"/>
        <v>DGOSE</v>
      </c>
      <c r="M2703" s="26" t="str">
        <f t="shared" si="451"/>
        <v>PARTICULAR</v>
      </c>
      <c r="N2703" s="26">
        <v>54</v>
      </c>
      <c r="O2703" s="26">
        <v>27</v>
      </c>
      <c r="P2703" s="26">
        <v>27</v>
      </c>
      <c r="Q2703" s="26">
        <v>6</v>
      </c>
      <c r="R2703" s="26">
        <v>1</v>
      </c>
      <c r="S2703" s="26">
        <v>3</v>
      </c>
      <c r="T2703" s="26">
        <v>8</v>
      </c>
      <c r="U2703" s="26">
        <v>12</v>
      </c>
      <c r="V2703" s="26">
        <v>1</v>
      </c>
      <c r="W2703" s="26"/>
    </row>
    <row r="2704" spans="1:23" x14ac:dyDescent="0.25">
      <c r="A2704" s="26" t="str">
        <f t="shared" si="455"/>
        <v>PRIMARIA</v>
      </c>
      <c r="B2704" s="26" t="str">
        <f>"09PPR1152E"</f>
        <v>09PPR1152E</v>
      </c>
      <c r="C2704" s="26" t="str">
        <f>"DIANA LAURA RIOJAS DE COLOSIO                                                                       "</f>
        <v xml:space="preserve">DIANA LAURA RIOJAS DE COLOSIO                                                                       </v>
      </c>
      <c r="D2704" s="26" t="str">
        <f t="shared" si="452"/>
        <v>MATUTINO</v>
      </c>
      <c r="E2704" s="26" t="str">
        <f>"ESTADO DE NUEVO LEON NO 68                                                      "</f>
        <v xml:space="preserve">ESTADO DE NUEVO LEON NO 68                                                      </v>
      </c>
      <c r="F2704" s="26" t="str">
        <f>"LA PROVIDENCIA                                                                                                                              "</f>
        <v xml:space="preserve">LA PROVIDENCIA                                                                                                                              </v>
      </c>
      <c r="G2704" s="26" t="str">
        <f>"GUSTAVO A. MADERO                                                               "</f>
        <v xml:space="preserve">GUSTAVO A. MADERO                                                               </v>
      </c>
      <c r="H2704" s="26" t="str">
        <f>"265"</f>
        <v>265</v>
      </c>
      <c r="I2704" s="26" t="str">
        <f t="shared" si="456"/>
        <v>00</v>
      </c>
      <c r="J2704" s="26" t="str">
        <f>"42 "</f>
        <v xml:space="preserve">42 </v>
      </c>
      <c r="K2704" s="26" t="str">
        <f t="shared" si="457"/>
        <v>PR</v>
      </c>
      <c r="L2704" s="26" t="str">
        <f t="shared" si="458"/>
        <v>DGOSE</v>
      </c>
      <c r="M2704" s="26" t="str">
        <f t="shared" si="451"/>
        <v>PARTICULAR</v>
      </c>
      <c r="N2704" s="26">
        <v>68</v>
      </c>
      <c r="O2704" s="26">
        <v>37</v>
      </c>
      <c r="P2704" s="26">
        <v>31</v>
      </c>
      <c r="Q2704" s="26">
        <v>6</v>
      </c>
      <c r="R2704" s="26">
        <v>1</v>
      </c>
      <c r="S2704" s="26">
        <v>6</v>
      </c>
      <c r="T2704" s="26">
        <v>9</v>
      </c>
      <c r="U2704" s="26">
        <v>16</v>
      </c>
      <c r="V2704" s="26">
        <v>1</v>
      </c>
      <c r="W2704" s="26"/>
    </row>
    <row r="2705" spans="1:23" x14ac:dyDescent="0.25">
      <c r="A2705" s="26" t="str">
        <f t="shared" si="455"/>
        <v>PRIMARIA</v>
      </c>
      <c r="B2705" s="26" t="str">
        <f>"09PPR1153D"</f>
        <v>09PPR1153D</v>
      </c>
      <c r="C2705" s="26" t="str">
        <f>"LA CASA DEL NIÑO DEL PEDREGAL                                                                       "</f>
        <v xml:space="preserve">LA CASA DEL NIÑO DEL PEDREGAL                                                                       </v>
      </c>
      <c r="D2705" s="26" t="str">
        <f t="shared" si="452"/>
        <v>MATUTINO</v>
      </c>
      <c r="E2705" s="26" t="str">
        <f>"COLEGIO NUMERO 300                                                              "</f>
        <v xml:space="preserve">COLEGIO NUMERO 300                                                              </v>
      </c>
      <c r="F2705" s="26" t="str">
        <f>"JARDINES DEL PEDREGAL                                                                                                                       "</f>
        <v xml:space="preserve">JARDINES DEL PEDREGAL                                                                                                                       </v>
      </c>
      <c r="G2705" s="26" t="str">
        <f>"ALVARO OBREGON                                                                  "</f>
        <v xml:space="preserve">ALVARO OBREGON                                                                  </v>
      </c>
      <c r="H2705" s="26" t="str">
        <f>"327"</f>
        <v>327</v>
      </c>
      <c r="I2705" s="26" t="str">
        <f t="shared" si="456"/>
        <v>00</v>
      </c>
      <c r="J2705" s="26" t="str">
        <f>"43 "</f>
        <v xml:space="preserve">43 </v>
      </c>
      <c r="K2705" s="26" t="str">
        <f t="shared" si="457"/>
        <v>PR</v>
      </c>
      <c r="L2705" s="26" t="str">
        <f t="shared" si="458"/>
        <v>DGOSE</v>
      </c>
      <c r="M2705" s="26" t="str">
        <f t="shared" si="451"/>
        <v>PARTICULAR</v>
      </c>
      <c r="N2705" s="26">
        <v>126</v>
      </c>
      <c r="O2705" s="26">
        <v>77</v>
      </c>
      <c r="P2705" s="26">
        <v>49</v>
      </c>
      <c r="Q2705" s="26">
        <v>6</v>
      </c>
      <c r="R2705" s="26">
        <v>1</v>
      </c>
      <c r="S2705" s="26">
        <v>4</v>
      </c>
      <c r="T2705" s="26">
        <v>8</v>
      </c>
      <c r="U2705" s="26">
        <v>13</v>
      </c>
      <c r="V2705" s="26">
        <v>1</v>
      </c>
      <c r="W2705" s="26"/>
    </row>
    <row r="2706" spans="1:23" x14ac:dyDescent="0.25">
      <c r="A2706" s="26" t="str">
        <f t="shared" si="455"/>
        <v>PRIMARIA</v>
      </c>
      <c r="B2706" s="26" t="str">
        <f>"09PPR1154C"</f>
        <v>09PPR1154C</v>
      </c>
      <c r="C2706" s="26" t="str">
        <f>"COLEGIO D' ALEMBERT                                                                                 "</f>
        <v xml:space="preserve">COLEGIO D' ALEMBERT                                                                                 </v>
      </c>
      <c r="D2706" s="26" t="str">
        <f t="shared" si="452"/>
        <v>MATUTINO</v>
      </c>
      <c r="E2706" s="26" t="str">
        <f>"PIRINEOS NUM 103                                                                "</f>
        <v xml:space="preserve">PIRINEOS NUM 103                                                                </v>
      </c>
      <c r="F2706" s="26" t="str">
        <f>"PORTALES                                                                                                                                    "</f>
        <v xml:space="preserve">PORTALES                                                                                                                                    </v>
      </c>
      <c r="G2706" s="26" t="str">
        <f>"BENITO JUAREZ                                                                   "</f>
        <v xml:space="preserve">BENITO JUAREZ                                                                   </v>
      </c>
      <c r="H2706" s="26" t="str">
        <f>"000"</f>
        <v>000</v>
      </c>
      <c r="I2706" s="26" t="str">
        <f t="shared" si="456"/>
        <v>00</v>
      </c>
      <c r="J2706" s="26" t="str">
        <f>"43 "</f>
        <v xml:space="preserve">43 </v>
      </c>
      <c r="K2706" s="26" t="str">
        <f t="shared" si="457"/>
        <v>PR</v>
      </c>
      <c r="L2706" s="26" t="str">
        <f t="shared" si="458"/>
        <v>DGOSE</v>
      </c>
      <c r="M2706" s="26" t="str">
        <f t="shared" ref="M2706:M2769" si="459">"PARTICULAR"</f>
        <v>PARTICULAR</v>
      </c>
      <c r="N2706" s="26">
        <v>68</v>
      </c>
      <c r="O2706" s="26">
        <v>36</v>
      </c>
      <c r="P2706" s="26">
        <v>32</v>
      </c>
      <c r="Q2706" s="26">
        <v>6</v>
      </c>
      <c r="R2706" s="26">
        <v>1</v>
      </c>
      <c r="S2706" s="26">
        <v>3</v>
      </c>
      <c r="T2706" s="26">
        <v>6</v>
      </c>
      <c r="U2706" s="26">
        <v>10</v>
      </c>
      <c r="V2706" s="26">
        <v>1</v>
      </c>
      <c r="W2706" s="26"/>
    </row>
    <row r="2707" spans="1:23" x14ac:dyDescent="0.25">
      <c r="A2707" s="26" t="str">
        <f t="shared" si="455"/>
        <v>PRIMARIA</v>
      </c>
      <c r="B2707" s="26" t="str">
        <f>"09PPR1155B"</f>
        <v>09PPR1155B</v>
      </c>
      <c r="C2707" s="26" t="str">
        <f>"INSTITUTO AMERICANO BILINGÜE JOHN F. KENNEDY                                                        "</f>
        <v xml:space="preserve">INSTITUTO AMERICANO BILINGÜE JOHN F. KENNEDY                                                        </v>
      </c>
      <c r="D2707" s="26" t="str">
        <f t="shared" si="452"/>
        <v>MATUTINO</v>
      </c>
      <c r="E2707" s="26" t="str">
        <f>"DR. ENRIQUE GONZALEZ MARTINEZ # 51                                              "</f>
        <v xml:space="preserve">DR. ENRIQUE GONZALEZ MARTINEZ # 51                                              </v>
      </c>
      <c r="F2707" s="26" t="str">
        <f>"SANTA MARIA LA RIBERA                                                                                                                       "</f>
        <v xml:space="preserve">SANTA MARIA LA RIBERA                                                                                                                       </v>
      </c>
      <c r="G2707" s="26" t="str">
        <f>"CUAUHTEMOC                                                                      "</f>
        <v xml:space="preserve">CUAUHTEMOC                                                                      </v>
      </c>
      <c r="H2707" s="26" t="str">
        <f>"219"</f>
        <v>219</v>
      </c>
      <c r="I2707" s="26" t="str">
        <f t="shared" si="456"/>
        <v>00</v>
      </c>
      <c r="J2707" s="26" t="str">
        <f t="shared" ref="J2707:J2712" si="460">"42 "</f>
        <v xml:space="preserve">42 </v>
      </c>
      <c r="K2707" s="26" t="str">
        <f t="shared" si="457"/>
        <v>PR</v>
      </c>
      <c r="L2707" s="26" t="str">
        <f t="shared" si="458"/>
        <v>DGOSE</v>
      </c>
      <c r="M2707" s="26" t="str">
        <f t="shared" si="459"/>
        <v>PARTICULAR</v>
      </c>
      <c r="N2707" s="26">
        <v>144</v>
      </c>
      <c r="O2707" s="26">
        <v>75</v>
      </c>
      <c r="P2707" s="26">
        <v>69</v>
      </c>
      <c r="Q2707" s="26">
        <v>6</v>
      </c>
      <c r="R2707" s="26">
        <v>1</v>
      </c>
      <c r="S2707" s="26">
        <v>6</v>
      </c>
      <c r="T2707" s="26">
        <v>10</v>
      </c>
      <c r="U2707" s="26">
        <v>17</v>
      </c>
      <c r="V2707" s="26">
        <v>1</v>
      </c>
      <c r="W2707" s="26"/>
    </row>
    <row r="2708" spans="1:23" x14ac:dyDescent="0.25">
      <c r="A2708" s="26" t="str">
        <f t="shared" si="455"/>
        <v>PRIMARIA</v>
      </c>
      <c r="B2708" s="26" t="str">
        <f>"09PPR1156A"</f>
        <v>09PPR1156A</v>
      </c>
      <c r="C2708" s="26" t="str">
        <f>"CENTRO EDUCATIVO NUEVA ESCOCIA                                                                      "</f>
        <v xml:space="preserve">CENTRO EDUCATIVO NUEVA ESCOCIA                                                                      </v>
      </c>
      <c r="D2708" s="26" t="str">
        <f t="shared" si="452"/>
        <v>MATUTINO</v>
      </c>
      <c r="E2708" s="26" t="str">
        <f>"TEXCOCO #229                                                                    "</f>
        <v xml:space="preserve">TEXCOCO #229                                                                    </v>
      </c>
      <c r="F2708" s="26" t="str">
        <f>"CLAVERIA                                                                                                                                    "</f>
        <v xml:space="preserve">CLAVERIA                                                                                                                                    </v>
      </c>
      <c r="G2708" s="26" t="str">
        <f>"AZCAPOTZALCO                                                                    "</f>
        <v xml:space="preserve">AZCAPOTZALCO                                                                    </v>
      </c>
      <c r="H2708" s="26" t="str">
        <f>"000"</f>
        <v>000</v>
      </c>
      <c r="I2708" s="26" t="str">
        <f t="shared" si="456"/>
        <v>00</v>
      </c>
      <c r="J2708" s="26" t="str">
        <f t="shared" si="460"/>
        <v xml:space="preserve">42 </v>
      </c>
      <c r="K2708" s="26" t="str">
        <f t="shared" si="457"/>
        <v>PR</v>
      </c>
      <c r="L2708" s="26" t="str">
        <f t="shared" si="458"/>
        <v>DGOSE</v>
      </c>
      <c r="M2708" s="26" t="str">
        <f t="shared" si="459"/>
        <v>PARTICULAR</v>
      </c>
      <c r="N2708" s="26">
        <v>114</v>
      </c>
      <c r="O2708" s="26">
        <v>50</v>
      </c>
      <c r="P2708" s="26">
        <v>64</v>
      </c>
      <c r="Q2708" s="26">
        <v>6</v>
      </c>
      <c r="R2708" s="26">
        <v>1</v>
      </c>
      <c r="S2708" s="26">
        <v>5</v>
      </c>
      <c r="T2708" s="26">
        <v>6</v>
      </c>
      <c r="U2708" s="26">
        <v>12</v>
      </c>
      <c r="V2708" s="26">
        <v>1</v>
      </c>
      <c r="W2708" s="26"/>
    </row>
    <row r="2709" spans="1:23" x14ac:dyDescent="0.25">
      <c r="A2709" s="26" t="str">
        <f t="shared" si="455"/>
        <v>PRIMARIA</v>
      </c>
      <c r="B2709" s="26" t="str">
        <f>"09PPR1157Z"</f>
        <v>09PPR1157Z</v>
      </c>
      <c r="C2709" s="26" t="str">
        <f>"COLEGIO BILINGÜE ELLEN KEY                                                                          "</f>
        <v xml:space="preserve">COLEGIO BILINGÜE ELLEN KEY                                                                          </v>
      </c>
      <c r="D2709" s="26" t="str">
        <f t="shared" ref="D2709:D2772" si="461">"MATUTINO"</f>
        <v>MATUTINO</v>
      </c>
      <c r="E2709" s="26" t="str">
        <f>"INGNACIO ESTEVA #24                                                             "</f>
        <v xml:space="preserve">INGNACIO ESTEVA #24                                                             </v>
      </c>
      <c r="F2709" s="26" t="str">
        <f>"SAN MIGUEL CHAPULTEPEC SECCION I                                                                                                            "</f>
        <v xml:space="preserve">SAN MIGUEL CHAPULTEPEC SECCION I                                                                                                            </v>
      </c>
      <c r="G2709" s="26" t="str">
        <f>"MIGUEL HIDALGO                                                                  "</f>
        <v xml:space="preserve">MIGUEL HIDALGO                                                                  </v>
      </c>
      <c r="H2709" s="26" t="str">
        <f>"210"</f>
        <v>210</v>
      </c>
      <c r="I2709" s="26" t="str">
        <f t="shared" si="456"/>
        <v>00</v>
      </c>
      <c r="J2709" s="26" t="str">
        <f t="shared" si="460"/>
        <v xml:space="preserve">42 </v>
      </c>
      <c r="K2709" s="26" t="str">
        <f t="shared" si="457"/>
        <v>PR</v>
      </c>
      <c r="L2709" s="26" t="str">
        <f t="shared" si="458"/>
        <v>DGOSE</v>
      </c>
      <c r="M2709" s="26" t="str">
        <f t="shared" si="459"/>
        <v>PARTICULAR</v>
      </c>
      <c r="N2709" s="26">
        <v>65</v>
      </c>
      <c r="O2709" s="26">
        <v>29</v>
      </c>
      <c r="P2709" s="26">
        <v>36</v>
      </c>
      <c r="Q2709" s="26">
        <v>6</v>
      </c>
      <c r="R2709" s="26">
        <v>1</v>
      </c>
      <c r="S2709" s="26">
        <v>1</v>
      </c>
      <c r="T2709" s="26">
        <v>4</v>
      </c>
      <c r="U2709" s="26">
        <v>6</v>
      </c>
      <c r="V2709" s="26">
        <v>1</v>
      </c>
      <c r="W2709" s="26"/>
    </row>
    <row r="2710" spans="1:23" x14ac:dyDescent="0.25">
      <c r="A2710" s="26" t="str">
        <f t="shared" si="455"/>
        <v>PRIMARIA</v>
      </c>
      <c r="B2710" s="26" t="str">
        <f>"09PPR1159Y"</f>
        <v>09PPR1159Y</v>
      </c>
      <c r="C2710" s="26" t="str">
        <f>"COLEGIO JUAN BOSCO                                                                                  "</f>
        <v xml:space="preserve">COLEGIO JUAN BOSCO                                                                                  </v>
      </c>
      <c r="D2710" s="26" t="str">
        <f t="shared" si="461"/>
        <v>MATUTINO</v>
      </c>
      <c r="E2710" s="26" t="str">
        <f>"CAMPO COBO NUM. 27                                                              "</f>
        <v xml:space="preserve">CAMPO COBO NUM. 27                                                              </v>
      </c>
      <c r="F2710" s="26" t="str">
        <f>"SAN ANTONIO                                                                                                                                 "</f>
        <v xml:space="preserve">SAN ANTONIO                                                                                                                                 </v>
      </c>
      <c r="G2710" s="26" t="str">
        <f>"AZCAPOTZALCO                                                                    "</f>
        <v xml:space="preserve">AZCAPOTZALCO                                                                    </v>
      </c>
      <c r="H2710" s="26" t="str">
        <f>"201"</f>
        <v>201</v>
      </c>
      <c r="I2710" s="26" t="str">
        <f t="shared" si="456"/>
        <v>00</v>
      </c>
      <c r="J2710" s="26" t="str">
        <f t="shared" si="460"/>
        <v xml:space="preserve">42 </v>
      </c>
      <c r="K2710" s="26" t="str">
        <f t="shared" si="457"/>
        <v>PR</v>
      </c>
      <c r="L2710" s="26" t="str">
        <f t="shared" si="458"/>
        <v>DGOSE</v>
      </c>
      <c r="M2710" s="26" t="str">
        <f t="shared" si="459"/>
        <v>PARTICULAR</v>
      </c>
      <c r="N2710" s="26">
        <v>121</v>
      </c>
      <c r="O2710" s="26">
        <v>68</v>
      </c>
      <c r="P2710" s="26">
        <v>53</v>
      </c>
      <c r="Q2710" s="26">
        <v>6</v>
      </c>
      <c r="R2710" s="26">
        <v>1</v>
      </c>
      <c r="S2710" s="26">
        <v>6</v>
      </c>
      <c r="T2710" s="26">
        <v>8</v>
      </c>
      <c r="U2710" s="26">
        <v>15</v>
      </c>
      <c r="V2710" s="26">
        <v>1</v>
      </c>
      <c r="W2710" s="26"/>
    </row>
    <row r="2711" spans="1:23" x14ac:dyDescent="0.25">
      <c r="A2711" s="26" t="str">
        <f t="shared" si="455"/>
        <v>PRIMARIA</v>
      </c>
      <c r="B2711" s="26" t="str">
        <f>"09PPR1160N"</f>
        <v>09PPR1160N</v>
      </c>
      <c r="C2711" s="26" t="str">
        <f>"INSTITUTO MARIA GORETTI                                                                             "</f>
        <v xml:space="preserve">INSTITUTO MARIA GORETTI                                                                             </v>
      </c>
      <c r="D2711" s="26" t="str">
        <f t="shared" si="461"/>
        <v>MATUTINO</v>
      </c>
      <c r="E2711" s="26" t="str">
        <f>"LAGO SAN MARTIN 10                                                              "</f>
        <v xml:space="preserve">LAGO SAN MARTIN 10                                                              </v>
      </c>
      <c r="F2711" s="26" t="str">
        <f>"ARGENTINA ANTIGUA                                                                                                                           "</f>
        <v xml:space="preserve">ARGENTINA ANTIGUA                                                                                                                           </v>
      </c>
      <c r="G2711" s="26" t="str">
        <f>"MIGUEL HIDALGO                                                                  "</f>
        <v xml:space="preserve">MIGUEL HIDALGO                                                                  </v>
      </c>
      <c r="H2711" s="26" t="str">
        <f>"212"</f>
        <v>212</v>
      </c>
      <c r="I2711" s="26" t="str">
        <f t="shared" si="456"/>
        <v>00</v>
      </c>
      <c r="J2711" s="26" t="str">
        <f t="shared" si="460"/>
        <v xml:space="preserve">42 </v>
      </c>
      <c r="K2711" s="26" t="str">
        <f t="shared" si="457"/>
        <v>PR</v>
      </c>
      <c r="L2711" s="26" t="str">
        <f t="shared" si="458"/>
        <v>DGOSE</v>
      </c>
      <c r="M2711" s="26" t="str">
        <f t="shared" si="459"/>
        <v>PARTICULAR</v>
      </c>
      <c r="N2711" s="26">
        <v>86</v>
      </c>
      <c r="O2711" s="26">
        <v>40</v>
      </c>
      <c r="P2711" s="26">
        <v>46</v>
      </c>
      <c r="Q2711" s="26">
        <v>6</v>
      </c>
      <c r="R2711" s="26">
        <v>1</v>
      </c>
      <c r="S2711" s="26">
        <v>6</v>
      </c>
      <c r="T2711" s="26">
        <v>2</v>
      </c>
      <c r="U2711" s="26">
        <v>9</v>
      </c>
      <c r="V2711" s="26">
        <v>1</v>
      </c>
      <c r="W2711" s="26"/>
    </row>
    <row r="2712" spans="1:23" x14ac:dyDescent="0.25">
      <c r="A2712" s="26" t="str">
        <f t="shared" si="455"/>
        <v>PRIMARIA</v>
      </c>
      <c r="B2712" s="26" t="str">
        <f>"09PPR1161M"</f>
        <v>09PPR1161M</v>
      </c>
      <c r="C2712" s="26" t="str">
        <f>"COLEGIO INGLES DURKHEIM                                                                             "</f>
        <v xml:space="preserve">COLEGIO INGLES DURKHEIM                                                                             </v>
      </c>
      <c r="D2712" s="26" t="str">
        <f t="shared" si="461"/>
        <v>MATUTINO</v>
      </c>
      <c r="E2712" s="26" t="str">
        <f>"INGENIEROS MILITARES NO 91                                                      "</f>
        <v xml:space="preserve">INGENIEROS MILITARES NO 91                                                      </v>
      </c>
      <c r="F2712" s="26" t="str">
        <f>"LOMAS DE SOTELO                                                                                                                             "</f>
        <v xml:space="preserve">LOMAS DE SOTELO                                                                                                                             </v>
      </c>
      <c r="G2712" s="26" t="str">
        <f>"MIGUEL HIDALGO                                                                  "</f>
        <v xml:space="preserve">MIGUEL HIDALGO                                                                  </v>
      </c>
      <c r="H2712" s="26" t="str">
        <f>"208"</f>
        <v>208</v>
      </c>
      <c r="I2712" s="26" t="str">
        <f t="shared" si="456"/>
        <v>00</v>
      </c>
      <c r="J2712" s="26" t="str">
        <f t="shared" si="460"/>
        <v xml:space="preserve">42 </v>
      </c>
      <c r="K2712" s="26" t="str">
        <f t="shared" si="457"/>
        <v>PR</v>
      </c>
      <c r="L2712" s="26" t="str">
        <f t="shared" si="458"/>
        <v>DGOSE</v>
      </c>
      <c r="M2712" s="26" t="str">
        <f t="shared" si="459"/>
        <v>PARTICULAR</v>
      </c>
      <c r="N2712" s="26">
        <v>237</v>
      </c>
      <c r="O2712" s="26">
        <v>132</v>
      </c>
      <c r="P2712" s="26">
        <v>105</v>
      </c>
      <c r="Q2712" s="26">
        <v>12</v>
      </c>
      <c r="R2712" s="26">
        <v>1</v>
      </c>
      <c r="S2712" s="26">
        <v>6</v>
      </c>
      <c r="T2712" s="26">
        <v>12</v>
      </c>
      <c r="U2712" s="26">
        <v>19</v>
      </c>
      <c r="V2712" s="26">
        <v>1</v>
      </c>
      <c r="W2712" s="26"/>
    </row>
    <row r="2713" spans="1:23" x14ac:dyDescent="0.25">
      <c r="A2713" s="26" t="str">
        <f t="shared" si="455"/>
        <v>PRIMARIA</v>
      </c>
      <c r="B2713" s="26" t="str">
        <f>"09PPR1163K"</f>
        <v>09PPR1163K</v>
      </c>
      <c r="C2713" s="26" t="str">
        <f>"INSTITUTO EDUCATIVO LIBERTAD                                                                        "</f>
        <v xml:space="preserve">INSTITUTO EDUCATIVO LIBERTAD                                                                        </v>
      </c>
      <c r="D2713" s="26" t="str">
        <f t="shared" si="461"/>
        <v>MATUTINO</v>
      </c>
      <c r="E2713" s="26" t="str">
        <f>"FRANCISCO JAVIER MINA NO. 66                                                    "</f>
        <v xml:space="preserve">FRANCISCO JAVIER MINA NO. 66                                                    </v>
      </c>
      <c r="F2713" s="26" t="str">
        <f>"SANTA CRUZ MEYEHUALCO                                                                                                                       "</f>
        <v xml:space="preserve">SANTA CRUZ MEYEHUALCO                                                                                                                       </v>
      </c>
      <c r="G2713" s="26" t="str">
        <f>"IZTAPALAPA                                                                      "</f>
        <v xml:space="preserve">IZTAPALAPA                                                                      </v>
      </c>
      <c r="H2713" s="26" t="str">
        <f>"000"</f>
        <v>000</v>
      </c>
      <c r="I2713" s="26" t="str">
        <f t="shared" si="456"/>
        <v>00</v>
      </c>
      <c r="J2713" s="26" t="str">
        <f>"64 "</f>
        <v xml:space="preserve">64 </v>
      </c>
      <c r="K2713" s="26" t="str">
        <f>"IZ"</f>
        <v>IZ</v>
      </c>
      <c r="L2713" s="26" t="str">
        <f>"DGSEI"</f>
        <v>DGSEI</v>
      </c>
      <c r="M2713" s="26" t="str">
        <f t="shared" si="459"/>
        <v>PARTICULAR</v>
      </c>
      <c r="N2713" s="26">
        <v>60</v>
      </c>
      <c r="O2713" s="26">
        <v>32</v>
      </c>
      <c r="P2713" s="26">
        <v>28</v>
      </c>
      <c r="Q2713" s="26">
        <v>6</v>
      </c>
      <c r="R2713" s="26">
        <v>1</v>
      </c>
      <c r="S2713" s="26">
        <v>6</v>
      </c>
      <c r="T2713" s="26">
        <v>5</v>
      </c>
      <c r="U2713" s="26">
        <v>12</v>
      </c>
      <c r="V2713" s="26">
        <v>1</v>
      </c>
      <c r="W2713" s="26"/>
    </row>
    <row r="2714" spans="1:23" x14ac:dyDescent="0.25">
      <c r="A2714" s="26" t="str">
        <f t="shared" si="455"/>
        <v>PRIMARIA</v>
      </c>
      <c r="B2714" s="26" t="str">
        <f>"09PPR1164J"</f>
        <v>09PPR1164J</v>
      </c>
      <c r="C2714" s="26" t="str">
        <f>"COLEGIO LUIS PASTEUR                                                                                "</f>
        <v xml:space="preserve">COLEGIO LUIS PASTEUR                                                                                </v>
      </c>
      <c r="D2714" s="26" t="str">
        <f t="shared" si="461"/>
        <v>MATUTINO</v>
      </c>
      <c r="E2714" s="26" t="str">
        <f>"RIO MEZCALAPA NO 1                                                              "</f>
        <v xml:space="preserve">RIO MEZCALAPA NO 1                                                              </v>
      </c>
      <c r="F2714" s="26" t="str">
        <f>"PASEOS DE CHURUBUSCO                                                                                                                        "</f>
        <v xml:space="preserve">PASEOS DE CHURUBUSCO                                                                                                                        </v>
      </c>
      <c r="G2714" s="26" t="str">
        <f>"IZTAPALAPA                                                                      "</f>
        <v xml:space="preserve">IZTAPALAPA                                                                      </v>
      </c>
      <c r="H2714" s="26" t="str">
        <f>"000"</f>
        <v>000</v>
      </c>
      <c r="I2714" s="26" t="str">
        <f t="shared" si="456"/>
        <v>00</v>
      </c>
      <c r="J2714" s="26" t="str">
        <f>"61 "</f>
        <v xml:space="preserve">61 </v>
      </c>
      <c r="K2714" s="26" t="str">
        <f>"IZ"</f>
        <v>IZ</v>
      </c>
      <c r="L2714" s="26" t="str">
        <f>"DGSEI"</f>
        <v>DGSEI</v>
      </c>
      <c r="M2714" s="26" t="str">
        <f t="shared" si="459"/>
        <v>PARTICULAR</v>
      </c>
      <c r="N2714" s="26">
        <v>191</v>
      </c>
      <c r="O2714" s="26">
        <v>98</v>
      </c>
      <c r="P2714" s="26">
        <v>93</v>
      </c>
      <c r="Q2714" s="26">
        <v>12</v>
      </c>
      <c r="R2714" s="26">
        <v>1</v>
      </c>
      <c r="S2714" s="26">
        <v>11</v>
      </c>
      <c r="T2714" s="26">
        <v>4</v>
      </c>
      <c r="U2714" s="26">
        <v>16</v>
      </c>
      <c r="V2714" s="26">
        <v>1</v>
      </c>
      <c r="W2714" s="26"/>
    </row>
    <row r="2715" spans="1:23" x14ac:dyDescent="0.25">
      <c r="A2715" s="26" t="str">
        <f t="shared" si="455"/>
        <v>PRIMARIA</v>
      </c>
      <c r="B2715" s="26" t="str">
        <f>"09PPR1165I"</f>
        <v>09PPR1165I</v>
      </c>
      <c r="C2715" s="26" t="str">
        <f>"INSTITUTO VALLADOLID                                                                                "</f>
        <v xml:space="preserve">INSTITUTO VALLADOLID                                                                                </v>
      </c>
      <c r="D2715" s="26" t="str">
        <f t="shared" si="461"/>
        <v>MATUTINO</v>
      </c>
      <c r="E2715" s="26" t="str">
        <f>"5 DE MAYO NO. 3                                                                 "</f>
        <v xml:space="preserve">5 DE MAYO NO. 3                                                                 </v>
      </c>
      <c r="F2715" s="26" t="str">
        <f>"LOS REYES                                                                                                                                   "</f>
        <v xml:space="preserve">LOS REYES                                                                                                                                   </v>
      </c>
      <c r="G2715" s="26" t="str">
        <f>"IZTAPALAPA                                                                      "</f>
        <v xml:space="preserve">IZTAPALAPA                                                                      </v>
      </c>
      <c r="H2715" s="26" t="str">
        <f>"000"</f>
        <v>000</v>
      </c>
      <c r="I2715" s="26" t="str">
        <f t="shared" si="456"/>
        <v>00</v>
      </c>
      <c r="J2715" s="26" t="str">
        <f>"61 "</f>
        <v xml:space="preserve">61 </v>
      </c>
      <c r="K2715" s="26" t="str">
        <f>"IZ"</f>
        <v>IZ</v>
      </c>
      <c r="L2715" s="26" t="str">
        <f>"DGSEI"</f>
        <v>DGSEI</v>
      </c>
      <c r="M2715" s="26" t="str">
        <f t="shared" si="459"/>
        <v>PARTICULAR</v>
      </c>
      <c r="N2715" s="26">
        <v>250</v>
      </c>
      <c r="O2715" s="26">
        <v>124</v>
      </c>
      <c r="P2715" s="26">
        <v>126</v>
      </c>
      <c r="Q2715" s="26">
        <v>13</v>
      </c>
      <c r="R2715" s="26">
        <v>1</v>
      </c>
      <c r="S2715" s="26">
        <v>13</v>
      </c>
      <c r="T2715" s="26">
        <v>24</v>
      </c>
      <c r="U2715" s="26">
        <v>38</v>
      </c>
      <c r="V2715" s="26">
        <v>1</v>
      </c>
      <c r="W2715" s="26"/>
    </row>
    <row r="2716" spans="1:23" x14ac:dyDescent="0.25">
      <c r="A2716" s="26" t="str">
        <f t="shared" si="455"/>
        <v>PRIMARIA</v>
      </c>
      <c r="B2716" s="26" t="str">
        <f>"09PPR1166H"</f>
        <v>09PPR1166H</v>
      </c>
      <c r="C2716" s="26" t="str">
        <f>"INSTITUTO GREGORIO DE GANTE                                                                         "</f>
        <v xml:space="preserve">INSTITUTO GREGORIO DE GANTE                                                                         </v>
      </c>
      <c r="D2716" s="26" t="str">
        <f t="shared" si="461"/>
        <v>MATUTINO</v>
      </c>
      <c r="E2716" s="26" t="str">
        <f>"SUR 113 A NO. 2159                                                              "</f>
        <v xml:space="preserve">SUR 113 A NO. 2159                                                              </v>
      </c>
      <c r="F2716" s="26" t="str">
        <f>"JUVENTINO ROSAS                                                                                                                             "</f>
        <v xml:space="preserve">JUVENTINO ROSAS                                                                                                                             </v>
      </c>
      <c r="G2716" s="26" t="str">
        <f>"IZTACALCO                                                                       "</f>
        <v xml:space="preserve">IZTACALCO                                                                       </v>
      </c>
      <c r="H2716" s="26" t="str">
        <f>"359"</f>
        <v>359</v>
      </c>
      <c r="I2716" s="26" t="str">
        <f t="shared" si="456"/>
        <v>00</v>
      </c>
      <c r="J2716" s="26" t="str">
        <f>"43 "</f>
        <v xml:space="preserve">43 </v>
      </c>
      <c r="K2716" s="26" t="str">
        <f t="shared" ref="K2716:K2721" si="462">"PR"</f>
        <v>PR</v>
      </c>
      <c r="L2716" s="26" t="str">
        <f t="shared" ref="L2716:L2721" si="463">"DGOSE"</f>
        <v>DGOSE</v>
      </c>
      <c r="M2716" s="26" t="str">
        <f t="shared" si="459"/>
        <v>PARTICULAR</v>
      </c>
      <c r="N2716" s="26">
        <v>67</v>
      </c>
      <c r="O2716" s="26">
        <v>35</v>
      </c>
      <c r="P2716" s="26">
        <v>32</v>
      </c>
      <c r="Q2716" s="26">
        <v>6</v>
      </c>
      <c r="R2716" s="26">
        <v>1</v>
      </c>
      <c r="S2716" s="26">
        <v>3</v>
      </c>
      <c r="T2716" s="26">
        <v>8</v>
      </c>
      <c r="U2716" s="26">
        <v>12</v>
      </c>
      <c r="V2716" s="26">
        <v>1</v>
      </c>
      <c r="W2716" s="26"/>
    </row>
    <row r="2717" spans="1:23" x14ac:dyDescent="0.25">
      <c r="A2717" s="26" t="str">
        <f t="shared" si="455"/>
        <v>PRIMARIA</v>
      </c>
      <c r="B2717" s="26" t="str">
        <f>"09PPR1167G"</f>
        <v>09PPR1167G</v>
      </c>
      <c r="C2717" s="26" t="str">
        <f>"INSTITUTO GAMUNDI                                                                                   "</f>
        <v xml:space="preserve">INSTITUTO GAMUNDI                                                                                   </v>
      </c>
      <c r="D2717" s="26" t="str">
        <f t="shared" si="461"/>
        <v>MATUTINO</v>
      </c>
      <c r="E2717" s="26" t="str">
        <f>"AV JOYAS NO 3121                                                                "</f>
        <v xml:space="preserve">AV JOYAS NO 3121                                                                </v>
      </c>
      <c r="F2717" s="26" t="str">
        <f>"TRES ESTRELLAS                                                                                                                              "</f>
        <v xml:space="preserve">TRES ESTRELLAS                                                                                                                              </v>
      </c>
      <c r="G2717" s="26" t="str">
        <f>"GUSTAVO A. MADERO                                                               "</f>
        <v xml:space="preserve">GUSTAVO A. MADERO                                                               </v>
      </c>
      <c r="H2717" s="26" t="str">
        <f>"252"</f>
        <v>252</v>
      </c>
      <c r="I2717" s="26" t="str">
        <f t="shared" si="456"/>
        <v>00</v>
      </c>
      <c r="J2717" s="26" t="str">
        <f>"42 "</f>
        <v xml:space="preserve">42 </v>
      </c>
      <c r="K2717" s="26" t="str">
        <f t="shared" si="462"/>
        <v>PR</v>
      </c>
      <c r="L2717" s="26" t="str">
        <f t="shared" si="463"/>
        <v>DGOSE</v>
      </c>
      <c r="M2717" s="26" t="str">
        <f t="shared" si="459"/>
        <v>PARTICULAR</v>
      </c>
      <c r="N2717" s="26">
        <v>67</v>
      </c>
      <c r="O2717" s="26">
        <v>38</v>
      </c>
      <c r="P2717" s="26">
        <v>29</v>
      </c>
      <c r="Q2717" s="26">
        <v>6</v>
      </c>
      <c r="R2717" s="26">
        <v>1</v>
      </c>
      <c r="S2717" s="26">
        <v>3</v>
      </c>
      <c r="T2717" s="26">
        <v>8</v>
      </c>
      <c r="U2717" s="26">
        <v>12</v>
      </c>
      <c r="V2717" s="26">
        <v>1</v>
      </c>
      <c r="W2717" s="26"/>
    </row>
    <row r="2718" spans="1:23" x14ac:dyDescent="0.25">
      <c r="A2718" s="26" t="str">
        <f t="shared" si="455"/>
        <v>PRIMARIA</v>
      </c>
      <c r="B2718" s="26" t="str">
        <f>"09PPR1168F"</f>
        <v>09PPR1168F</v>
      </c>
      <c r="C2718" s="26" t="str">
        <f>"WILFRIDO MASSIEU                                                                                    "</f>
        <v xml:space="preserve">WILFRIDO MASSIEU                                                                                    </v>
      </c>
      <c r="D2718" s="26" t="str">
        <f t="shared" si="461"/>
        <v>MATUTINO</v>
      </c>
      <c r="E2718" s="26" t="str">
        <f>"AV. WILFRIDO MASSIEU 358                                                        "</f>
        <v xml:space="preserve">AV. WILFRIDO MASSIEU 358                                                        </v>
      </c>
      <c r="F2718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2718" s="26" t="str">
        <f>"GUSTAVO A. MADERO                                                               "</f>
        <v xml:space="preserve">GUSTAVO A. MADERO                                                               </v>
      </c>
      <c r="H2718" s="26" t="str">
        <f>"240"</f>
        <v>240</v>
      </c>
      <c r="I2718" s="26" t="str">
        <f t="shared" si="456"/>
        <v>00</v>
      </c>
      <c r="J2718" s="26" t="str">
        <f>"42 "</f>
        <v xml:space="preserve">42 </v>
      </c>
      <c r="K2718" s="26" t="str">
        <f t="shared" si="462"/>
        <v>PR</v>
      </c>
      <c r="L2718" s="26" t="str">
        <f t="shared" si="463"/>
        <v>DGOSE</v>
      </c>
      <c r="M2718" s="26" t="str">
        <f t="shared" si="459"/>
        <v>PARTICULAR</v>
      </c>
      <c r="N2718" s="26">
        <v>88</v>
      </c>
      <c r="O2718" s="26">
        <v>48</v>
      </c>
      <c r="P2718" s="26">
        <v>40</v>
      </c>
      <c r="Q2718" s="26">
        <v>6</v>
      </c>
      <c r="R2718" s="26">
        <v>1</v>
      </c>
      <c r="S2718" s="26">
        <v>4</v>
      </c>
      <c r="T2718" s="26">
        <v>9</v>
      </c>
      <c r="U2718" s="26">
        <v>14</v>
      </c>
      <c r="V2718" s="26">
        <v>1</v>
      </c>
      <c r="W2718" s="26"/>
    </row>
    <row r="2719" spans="1:23" x14ac:dyDescent="0.25">
      <c r="A2719" s="26" t="str">
        <f t="shared" si="455"/>
        <v>PRIMARIA</v>
      </c>
      <c r="B2719" s="26" t="str">
        <f>"09PPR1171T"</f>
        <v>09PPR1171T</v>
      </c>
      <c r="C2719" s="26" t="str">
        <f>"INSTITUTO ANGEL M CORZO                                                                             "</f>
        <v xml:space="preserve">INSTITUTO ANGEL M CORZO                                                                             </v>
      </c>
      <c r="D2719" s="26" t="str">
        <f t="shared" si="461"/>
        <v>MATUTINO</v>
      </c>
      <c r="E2719" s="26" t="str">
        <f>"QUECHOLOC NUM.1                                                                 "</f>
        <v xml:space="preserve">QUECHOLOC NUM.1                                                                 </v>
      </c>
      <c r="F2719" s="26" t="str">
        <f>"CANTERA PUENTE DE PIEDRA                                                                                                                    "</f>
        <v xml:space="preserve">CANTERA PUENTE DE PIEDRA                                                                                                                    </v>
      </c>
      <c r="G2719" s="26" t="str">
        <f>"TLALPAN                                                                         "</f>
        <v xml:space="preserve">TLALPAN                                                                         </v>
      </c>
      <c r="H2719" s="26" t="str">
        <f>"519"</f>
        <v>519</v>
      </c>
      <c r="I2719" s="26" t="str">
        <f t="shared" si="456"/>
        <v>00</v>
      </c>
      <c r="J2719" s="26" t="str">
        <f>"45 "</f>
        <v xml:space="preserve">45 </v>
      </c>
      <c r="K2719" s="26" t="str">
        <f t="shared" si="462"/>
        <v>PR</v>
      </c>
      <c r="L2719" s="26" t="str">
        <f t="shared" si="463"/>
        <v>DGOSE</v>
      </c>
      <c r="M2719" s="26" t="str">
        <f t="shared" si="459"/>
        <v>PARTICULAR</v>
      </c>
      <c r="N2719" s="26">
        <v>108</v>
      </c>
      <c r="O2719" s="26">
        <v>56</v>
      </c>
      <c r="P2719" s="26">
        <v>52</v>
      </c>
      <c r="Q2719" s="26">
        <v>6</v>
      </c>
      <c r="R2719" s="26">
        <v>1</v>
      </c>
      <c r="S2719" s="26">
        <v>6</v>
      </c>
      <c r="T2719" s="26">
        <v>6</v>
      </c>
      <c r="U2719" s="26">
        <v>13</v>
      </c>
      <c r="V2719" s="26">
        <v>1</v>
      </c>
      <c r="W2719" s="26"/>
    </row>
    <row r="2720" spans="1:23" x14ac:dyDescent="0.25">
      <c r="A2720" s="26" t="str">
        <f t="shared" si="455"/>
        <v>PRIMARIA</v>
      </c>
      <c r="B2720" s="26" t="str">
        <f>"09PPR1172S"</f>
        <v>09PPR1172S</v>
      </c>
      <c r="C2720" s="26" t="str">
        <f>"INSTITUTO MEXICO CONTEMPORANEO                                                                      "</f>
        <v xml:space="preserve">INSTITUTO MEXICO CONTEMPORANEO                                                                      </v>
      </c>
      <c r="D2720" s="26" t="str">
        <f t="shared" si="461"/>
        <v>MATUTINO</v>
      </c>
      <c r="E2720" s="26" t="str">
        <f>"JOSE MARIA AGREDA Y SANCHEZ 298                                                 "</f>
        <v xml:space="preserve">JOSE MARIA AGREDA Y SANCHEZ 298                                                 </v>
      </c>
      <c r="F2720" s="26" t="str">
        <f>"TRANSITO                                                                                                                                    "</f>
        <v xml:space="preserve">TRANSITO                                                                                                                                    </v>
      </c>
      <c r="G2720" s="26" t="str">
        <f>"CUAUHTEMOC                                                                      "</f>
        <v xml:space="preserve">CUAUHTEMOC                                                                      </v>
      </c>
      <c r="H2720" s="26" t="str">
        <f>"223"</f>
        <v>223</v>
      </c>
      <c r="I2720" s="26" t="str">
        <f t="shared" si="456"/>
        <v>00</v>
      </c>
      <c r="J2720" s="26" t="str">
        <f>"42 "</f>
        <v xml:space="preserve">42 </v>
      </c>
      <c r="K2720" s="26" t="str">
        <f t="shared" si="462"/>
        <v>PR</v>
      </c>
      <c r="L2720" s="26" t="str">
        <f t="shared" si="463"/>
        <v>DGOSE</v>
      </c>
      <c r="M2720" s="26" t="str">
        <f t="shared" si="459"/>
        <v>PARTICULAR</v>
      </c>
      <c r="N2720" s="26">
        <v>58</v>
      </c>
      <c r="O2720" s="26">
        <v>26</v>
      </c>
      <c r="P2720" s="26">
        <v>32</v>
      </c>
      <c r="Q2720" s="26">
        <v>6</v>
      </c>
      <c r="R2720" s="26">
        <v>1</v>
      </c>
      <c r="S2720" s="26">
        <v>3</v>
      </c>
      <c r="T2720" s="26">
        <v>8</v>
      </c>
      <c r="U2720" s="26">
        <v>12</v>
      </c>
      <c r="V2720" s="26">
        <v>1</v>
      </c>
      <c r="W2720" s="26"/>
    </row>
    <row r="2721" spans="1:23" x14ac:dyDescent="0.25">
      <c r="A2721" s="26" t="str">
        <f t="shared" si="455"/>
        <v>PRIMARIA</v>
      </c>
      <c r="B2721" s="26" t="str">
        <f>"09PPR1174Q"</f>
        <v>09PPR1174Q</v>
      </c>
      <c r="C2721" s="26" t="str">
        <f>"MARGARITA MAZA DE JUAREZ                                                                            "</f>
        <v xml:space="preserve">MARGARITA MAZA DE JUAREZ                                                                            </v>
      </c>
      <c r="D2721" s="26" t="str">
        <f t="shared" si="461"/>
        <v>MATUTINO</v>
      </c>
      <c r="E2721" s="26" t="str">
        <f>"NORTE 3A NO 4621                                                                "</f>
        <v xml:space="preserve">NORTE 3A NO 4621                                                                </v>
      </c>
      <c r="F2721" s="26" t="str">
        <f>"DEFENSORES DE LA REPUBLICA                                                                                                                  "</f>
        <v xml:space="preserve">DEFENSORES DE LA REPUBLICA                                                                                                                  </v>
      </c>
      <c r="G2721" s="26" t="str">
        <f>"GUSTAVO A. MADERO                                                               "</f>
        <v xml:space="preserve">GUSTAVO A. MADERO                                                               </v>
      </c>
      <c r="H2721" s="26" t="str">
        <f>"240"</f>
        <v>240</v>
      </c>
      <c r="I2721" s="26" t="str">
        <f t="shared" si="456"/>
        <v>00</v>
      </c>
      <c r="J2721" s="26" t="str">
        <f>"42 "</f>
        <v xml:space="preserve">42 </v>
      </c>
      <c r="K2721" s="26" t="str">
        <f t="shared" si="462"/>
        <v>PR</v>
      </c>
      <c r="L2721" s="26" t="str">
        <f t="shared" si="463"/>
        <v>DGOSE</v>
      </c>
      <c r="M2721" s="26" t="str">
        <f t="shared" si="459"/>
        <v>PARTICULAR</v>
      </c>
      <c r="N2721" s="26">
        <v>85</v>
      </c>
      <c r="O2721" s="26">
        <v>41</v>
      </c>
      <c r="P2721" s="26">
        <v>44</v>
      </c>
      <c r="Q2721" s="26">
        <v>6</v>
      </c>
      <c r="R2721" s="26">
        <v>1</v>
      </c>
      <c r="S2721" s="26">
        <v>4</v>
      </c>
      <c r="T2721" s="26">
        <v>5</v>
      </c>
      <c r="U2721" s="26">
        <v>10</v>
      </c>
      <c r="V2721" s="26">
        <v>1</v>
      </c>
      <c r="W2721" s="26"/>
    </row>
    <row r="2722" spans="1:23" x14ac:dyDescent="0.25">
      <c r="A2722" s="26" t="str">
        <f t="shared" si="455"/>
        <v>PRIMARIA</v>
      </c>
      <c r="B2722" s="26" t="str">
        <f>"09PPR1177N"</f>
        <v>09PPR1177N</v>
      </c>
      <c r="C2722" s="26" t="str">
        <f>"INSTITUTO PEDAGOGICO JUAREZ                                                                         "</f>
        <v xml:space="preserve">INSTITUTO PEDAGOGICO JUAREZ                                                                         </v>
      </c>
      <c r="D2722" s="26" t="str">
        <f t="shared" si="461"/>
        <v>MATUTINO</v>
      </c>
      <c r="E2722" s="26" t="str">
        <f>"MORELOS NO. 21                                                                  "</f>
        <v xml:space="preserve">MORELOS NO. 21                                                                  </v>
      </c>
      <c r="F2722" s="26" t="str">
        <f>"SAN PABLO                                                                                                                                   "</f>
        <v xml:space="preserve">SAN PABLO                                                                                                                                   </v>
      </c>
      <c r="G2722" s="26" t="str">
        <f>"IZTAPALAPA                                                                      "</f>
        <v xml:space="preserve">IZTAPALAPA                                                                      </v>
      </c>
      <c r="H2722" s="26" t="str">
        <f>"000"</f>
        <v>000</v>
      </c>
      <c r="I2722" s="26" t="str">
        <f t="shared" si="456"/>
        <v>00</v>
      </c>
      <c r="J2722" s="26" t="str">
        <f>"61 "</f>
        <v xml:space="preserve">61 </v>
      </c>
      <c r="K2722" s="26" t="str">
        <f>"IZ"</f>
        <v>IZ</v>
      </c>
      <c r="L2722" s="26" t="str">
        <f>"DGSEI"</f>
        <v>DGSEI</v>
      </c>
      <c r="M2722" s="26" t="str">
        <f t="shared" si="459"/>
        <v>PARTICULAR</v>
      </c>
      <c r="N2722" s="26">
        <v>35</v>
      </c>
      <c r="O2722" s="26">
        <v>18</v>
      </c>
      <c r="P2722" s="26">
        <v>17</v>
      </c>
      <c r="Q2722" s="26">
        <v>6</v>
      </c>
      <c r="R2722" s="26">
        <v>1</v>
      </c>
      <c r="S2722" s="26">
        <v>6</v>
      </c>
      <c r="T2722" s="26">
        <v>5</v>
      </c>
      <c r="U2722" s="26">
        <v>12</v>
      </c>
      <c r="V2722" s="26">
        <v>1</v>
      </c>
      <c r="W2722" s="26"/>
    </row>
    <row r="2723" spans="1:23" x14ac:dyDescent="0.25">
      <c r="A2723" s="26" t="str">
        <f t="shared" si="455"/>
        <v>PRIMARIA</v>
      </c>
      <c r="B2723" s="26" t="str">
        <f>"09PPR1178M"</f>
        <v>09PPR1178M</v>
      </c>
      <c r="C2723" s="26" t="str">
        <f>"ESCUELA MEXICANA DIANA LAURA RIOJAS                                                                 "</f>
        <v xml:space="preserve">ESCUELA MEXICANA DIANA LAURA RIOJAS                                                                 </v>
      </c>
      <c r="D2723" s="26" t="str">
        <f t="shared" si="461"/>
        <v>MATUTINO</v>
      </c>
      <c r="E2723" s="26" t="str">
        <f>"CERRADA UNION NUM 26                                                            "</f>
        <v xml:space="preserve">CERRADA UNION NUM 26                                                            </v>
      </c>
      <c r="F2723" s="26" t="str">
        <f>"LA CRUZ                                                                                                                                     "</f>
        <v xml:space="preserve">LA CRUZ                                                                                                                                     </v>
      </c>
      <c r="G2723" s="26" t="str">
        <f>"IZTACALCO                                                                       "</f>
        <v xml:space="preserve">IZTACALCO                                                                       </v>
      </c>
      <c r="H2723" s="26" t="str">
        <f>"362"</f>
        <v>362</v>
      </c>
      <c r="I2723" s="26" t="str">
        <f t="shared" si="456"/>
        <v>00</v>
      </c>
      <c r="J2723" s="26" t="str">
        <f>"43 "</f>
        <v xml:space="preserve">43 </v>
      </c>
      <c r="K2723" s="26" t="str">
        <f t="shared" ref="K2723:K2743" si="464">"PR"</f>
        <v>PR</v>
      </c>
      <c r="L2723" s="26" t="str">
        <f t="shared" ref="L2723:L2743" si="465">"DGOSE"</f>
        <v>DGOSE</v>
      </c>
      <c r="M2723" s="26" t="str">
        <f t="shared" si="459"/>
        <v>PARTICULAR</v>
      </c>
      <c r="N2723" s="26">
        <v>52</v>
      </c>
      <c r="O2723" s="26">
        <v>29</v>
      </c>
      <c r="P2723" s="26">
        <v>23</v>
      </c>
      <c r="Q2723" s="26">
        <v>6</v>
      </c>
      <c r="R2723" s="26">
        <v>1</v>
      </c>
      <c r="S2723" s="26">
        <v>4</v>
      </c>
      <c r="T2723" s="26">
        <v>5</v>
      </c>
      <c r="U2723" s="26">
        <v>10</v>
      </c>
      <c r="V2723" s="26">
        <v>1</v>
      </c>
      <c r="W2723" s="26"/>
    </row>
    <row r="2724" spans="1:23" x14ac:dyDescent="0.25">
      <c r="A2724" s="26" t="str">
        <f t="shared" si="455"/>
        <v>PRIMARIA</v>
      </c>
      <c r="B2724" s="26" t="str">
        <f>"09PPR1179L"</f>
        <v>09PPR1179L</v>
      </c>
      <c r="C2724" s="26" t="str">
        <f>"INSTITUTO MARIA P. DE ALVARADO                                                                      "</f>
        <v xml:space="preserve">INSTITUTO MARIA P. DE ALVARADO                                                                      </v>
      </c>
      <c r="D2724" s="26" t="str">
        <f t="shared" si="461"/>
        <v>MATUTINO</v>
      </c>
      <c r="E2724" s="26" t="str">
        <f>"SUR 20 NUM 325                                                                  "</f>
        <v xml:space="preserve">SUR 20 NUM 325                                                                  </v>
      </c>
      <c r="F2724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2724" s="26" t="str">
        <f>"IZTACALCO                                                                       "</f>
        <v xml:space="preserve">IZTACALCO                                                                       </v>
      </c>
      <c r="H2724" s="26" t="str">
        <f>"355"</f>
        <v>355</v>
      </c>
      <c r="I2724" s="26" t="str">
        <f t="shared" si="456"/>
        <v>00</v>
      </c>
      <c r="J2724" s="26" t="str">
        <f>"43 "</f>
        <v xml:space="preserve">43 </v>
      </c>
      <c r="K2724" s="26" t="str">
        <f t="shared" si="464"/>
        <v>PR</v>
      </c>
      <c r="L2724" s="26" t="str">
        <f t="shared" si="465"/>
        <v>DGOSE</v>
      </c>
      <c r="M2724" s="26" t="str">
        <f t="shared" si="459"/>
        <v>PARTICULAR</v>
      </c>
      <c r="N2724" s="26">
        <v>210</v>
      </c>
      <c r="O2724" s="26">
        <v>110</v>
      </c>
      <c r="P2724" s="26">
        <v>100</v>
      </c>
      <c r="Q2724" s="26">
        <v>12</v>
      </c>
      <c r="R2724" s="26">
        <v>1</v>
      </c>
      <c r="S2724" s="26">
        <v>6</v>
      </c>
      <c r="T2724" s="26">
        <v>14</v>
      </c>
      <c r="U2724" s="26">
        <v>21</v>
      </c>
      <c r="V2724" s="26">
        <v>1</v>
      </c>
      <c r="W2724" s="26"/>
    </row>
    <row r="2725" spans="1:23" x14ac:dyDescent="0.25">
      <c r="A2725" s="26" t="str">
        <f t="shared" si="455"/>
        <v>PRIMARIA</v>
      </c>
      <c r="B2725" s="26" t="str">
        <f>"09PPR1180A"</f>
        <v>09PPR1180A</v>
      </c>
      <c r="C2725" s="26" t="str">
        <f>"COLEGIO JOSE VASCONCELOS                                                                            "</f>
        <v xml:space="preserve">COLEGIO JOSE VASCONCELOS                                                                            </v>
      </c>
      <c r="D2725" s="26" t="str">
        <f t="shared" si="461"/>
        <v>MATUTINO</v>
      </c>
      <c r="E2725" s="26" t="str">
        <f>"PUERTO VERACRUZ NUM 11                                                          "</f>
        <v xml:space="preserve">PUERTO VERACRUZ NUM 11                                                          </v>
      </c>
      <c r="F2725" s="26" t="str">
        <f>"PILOTO ADOLFO LOPEZ MATEOS                                                                                                                  "</f>
        <v xml:space="preserve">PILOTO ADOLFO LOPEZ MATEOS                                                                                                                  </v>
      </c>
      <c r="G2725" s="26" t="str">
        <f>"ALVARO OBREGON                                                                  "</f>
        <v xml:space="preserve">ALVARO OBREGON                                                                  </v>
      </c>
      <c r="H2725" s="26" t="str">
        <f>"315"</f>
        <v>315</v>
      </c>
      <c r="I2725" s="26" t="str">
        <f t="shared" si="456"/>
        <v>00</v>
      </c>
      <c r="J2725" s="26" t="str">
        <f>"43 "</f>
        <v xml:space="preserve">43 </v>
      </c>
      <c r="K2725" s="26" t="str">
        <f t="shared" si="464"/>
        <v>PR</v>
      </c>
      <c r="L2725" s="26" t="str">
        <f t="shared" si="465"/>
        <v>DGOSE</v>
      </c>
      <c r="M2725" s="26" t="str">
        <f t="shared" si="459"/>
        <v>PARTICULAR</v>
      </c>
      <c r="N2725" s="26">
        <v>86</v>
      </c>
      <c r="O2725" s="26">
        <v>46</v>
      </c>
      <c r="P2725" s="26">
        <v>40</v>
      </c>
      <c r="Q2725" s="26">
        <v>6</v>
      </c>
      <c r="R2725" s="26">
        <v>1</v>
      </c>
      <c r="S2725" s="26">
        <v>3</v>
      </c>
      <c r="T2725" s="26">
        <v>10</v>
      </c>
      <c r="U2725" s="26">
        <v>14</v>
      </c>
      <c r="V2725" s="26">
        <v>1</v>
      </c>
      <c r="W2725" s="26"/>
    </row>
    <row r="2726" spans="1:23" x14ac:dyDescent="0.25">
      <c r="A2726" s="26" t="str">
        <f t="shared" si="455"/>
        <v>PRIMARIA</v>
      </c>
      <c r="B2726" s="26" t="str">
        <f>"09PPR1181Z"</f>
        <v>09PPR1181Z</v>
      </c>
      <c r="C2726" s="26" t="str">
        <f>"HERMILO ZAVALZA DEL VALLE                                                                           "</f>
        <v xml:space="preserve">HERMILO ZAVALZA DEL VALLE                                                                           </v>
      </c>
      <c r="D2726" s="26" t="str">
        <f t="shared" si="461"/>
        <v>MATUTINO</v>
      </c>
      <c r="E2726" s="26" t="str">
        <f>"LA PALMA NUMERO 72                                                              "</f>
        <v xml:space="preserve">LA PALMA NUMERO 72                                                              </v>
      </c>
      <c r="F2726" s="26" t="str">
        <f>"TIERRA NUEVA                                                                                                                                "</f>
        <v xml:space="preserve">TIERRA NUEVA                                                                                                                                </v>
      </c>
      <c r="G2726" s="26" t="str">
        <f>"XOCHIMILCO                                                                      "</f>
        <v xml:space="preserve">XOCHIMILCO                                                                      </v>
      </c>
      <c r="H2726" s="26" t="str">
        <f>"534"</f>
        <v>534</v>
      </c>
      <c r="I2726" s="26" t="str">
        <f t="shared" si="456"/>
        <v>00</v>
      </c>
      <c r="J2726" s="26" t="str">
        <f>"45 "</f>
        <v xml:space="preserve">45 </v>
      </c>
      <c r="K2726" s="26" t="str">
        <f t="shared" si="464"/>
        <v>PR</v>
      </c>
      <c r="L2726" s="26" t="str">
        <f t="shared" si="465"/>
        <v>DGOSE</v>
      </c>
      <c r="M2726" s="26" t="str">
        <f t="shared" si="459"/>
        <v>PARTICULAR</v>
      </c>
      <c r="N2726" s="26">
        <v>123</v>
      </c>
      <c r="O2726" s="26">
        <v>62</v>
      </c>
      <c r="P2726" s="26">
        <v>61</v>
      </c>
      <c r="Q2726" s="26">
        <v>6</v>
      </c>
      <c r="R2726" s="26">
        <v>1</v>
      </c>
      <c r="S2726" s="26">
        <v>6</v>
      </c>
      <c r="T2726" s="26">
        <v>7</v>
      </c>
      <c r="U2726" s="26">
        <v>14</v>
      </c>
      <c r="V2726" s="26">
        <v>1</v>
      </c>
      <c r="W2726" s="26"/>
    </row>
    <row r="2727" spans="1:23" x14ac:dyDescent="0.25">
      <c r="A2727" s="26" t="str">
        <f t="shared" si="455"/>
        <v>PRIMARIA</v>
      </c>
      <c r="B2727" s="26" t="str">
        <f>"09PPR1184X"</f>
        <v>09PPR1184X</v>
      </c>
      <c r="C2727" s="26" t="str">
        <f>"ESCUELA PRIMARIA SUMMERHILL                                                                         "</f>
        <v xml:space="preserve">ESCUELA PRIMARIA SUMMERHILL                                                                         </v>
      </c>
      <c r="D2727" s="26" t="str">
        <f t="shared" si="461"/>
        <v>MATUTINO</v>
      </c>
      <c r="E2727" s="26" t="str">
        <f>"NORTE 79A # 386B                                                                "</f>
        <v xml:space="preserve">NORTE 79A # 386B                                                                </v>
      </c>
      <c r="F2727" s="26" t="str">
        <f>"UN HOGAR PARA CADA TRABAJADOR                                                                                                               "</f>
        <v xml:space="preserve">UN HOGAR PARA CADA TRABAJADOR                                                                                                               </v>
      </c>
      <c r="G2727" s="26" t="str">
        <f>"AZCAPOTZALCO                                                                    "</f>
        <v xml:space="preserve">AZCAPOTZALCO                                                                    </v>
      </c>
      <c r="H2727" s="26" t="str">
        <f>"206"</f>
        <v>206</v>
      </c>
      <c r="I2727" s="26" t="str">
        <f t="shared" si="456"/>
        <v>00</v>
      </c>
      <c r="J2727" s="26" t="str">
        <f>"42 "</f>
        <v xml:space="preserve">42 </v>
      </c>
      <c r="K2727" s="26" t="str">
        <f t="shared" si="464"/>
        <v>PR</v>
      </c>
      <c r="L2727" s="26" t="str">
        <f t="shared" si="465"/>
        <v>DGOSE</v>
      </c>
      <c r="M2727" s="26" t="str">
        <f t="shared" si="459"/>
        <v>PARTICULAR</v>
      </c>
      <c r="N2727" s="26">
        <v>73</v>
      </c>
      <c r="O2727" s="26">
        <v>49</v>
      </c>
      <c r="P2727" s="26">
        <v>24</v>
      </c>
      <c r="Q2727" s="26">
        <v>6</v>
      </c>
      <c r="R2727" s="26">
        <v>1</v>
      </c>
      <c r="S2727" s="26">
        <v>3</v>
      </c>
      <c r="T2727" s="26">
        <v>3</v>
      </c>
      <c r="U2727" s="26">
        <v>7</v>
      </c>
      <c r="V2727" s="26">
        <v>1</v>
      </c>
      <c r="W2727" s="26"/>
    </row>
    <row r="2728" spans="1:23" x14ac:dyDescent="0.25">
      <c r="A2728" s="26" t="str">
        <f t="shared" si="455"/>
        <v>PRIMARIA</v>
      </c>
      <c r="B2728" s="26" t="str">
        <f>"09PPR1186V"</f>
        <v>09PPR1186V</v>
      </c>
      <c r="C2728" s="26" t="str">
        <f>"COLEGIO VERDI                                                                                       "</f>
        <v xml:space="preserve">COLEGIO VERDI                                                                                       </v>
      </c>
      <c r="D2728" s="26" t="str">
        <f t="shared" si="461"/>
        <v>MATUTINO</v>
      </c>
      <c r="E2728" s="26" t="str">
        <f>"NORTE 13 NO 291                                                                 "</f>
        <v xml:space="preserve">NORTE 13 NO 291                                                                 </v>
      </c>
      <c r="F2728" s="26" t="str">
        <f>"MOCTEZUMA 2A SECCION                                                                                                                        "</f>
        <v xml:space="preserve">MOCTEZUMA 2A SECCION                                                                                                                        </v>
      </c>
      <c r="G2728" s="26" t="str">
        <f>"VENUSTIANO CARRANZA                                                             "</f>
        <v xml:space="preserve">VENUSTIANO CARRANZA                                                             </v>
      </c>
      <c r="H2728" s="26" t="str">
        <f>"346"</f>
        <v>346</v>
      </c>
      <c r="I2728" s="26" t="str">
        <f t="shared" si="456"/>
        <v>00</v>
      </c>
      <c r="J2728" s="26" t="str">
        <f>"43 "</f>
        <v xml:space="preserve">43 </v>
      </c>
      <c r="K2728" s="26" t="str">
        <f t="shared" si="464"/>
        <v>PR</v>
      </c>
      <c r="L2728" s="26" t="str">
        <f t="shared" si="465"/>
        <v>DGOSE</v>
      </c>
      <c r="M2728" s="26" t="str">
        <f t="shared" si="459"/>
        <v>PARTICULAR</v>
      </c>
      <c r="N2728" s="26">
        <v>98</v>
      </c>
      <c r="O2728" s="26">
        <v>44</v>
      </c>
      <c r="P2728" s="26">
        <v>54</v>
      </c>
      <c r="Q2728" s="26">
        <v>6</v>
      </c>
      <c r="R2728" s="26">
        <v>1</v>
      </c>
      <c r="S2728" s="26">
        <v>3</v>
      </c>
      <c r="T2728" s="26">
        <v>8</v>
      </c>
      <c r="U2728" s="26">
        <v>12</v>
      </c>
      <c r="V2728" s="26">
        <v>1</v>
      </c>
      <c r="W2728" s="26"/>
    </row>
    <row r="2729" spans="1:23" x14ac:dyDescent="0.25">
      <c r="A2729" s="26" t="str">
        <f t="shared" si="455"/>
        <v>PRIMARIA</v>
      </c>
      <c r="B2729" s="26" t="str">
        <f>"09PPR1187U"</f>
        <v>09PPR1187U</v>
      </c>
      <c r="C2729" s="26" t="str">
        <f>"CENTRO DE DESARROLLO JUAN JACOBO ROUSSEAU                                                           "</f>
        <v xml:space="preserve">CENTRO DE DESARROLLO JUAN JACOBO ROUSSEAU                                                           </v>
      </c>
      <c r="D2729" s="26" t="str">
        <f t="shared" si="461"/>
        <v>MATUTINO</v>
      </c>
      <c r="E2729" s="26" t="str">
        <f>"VILLA DE ARAGON NUM 58                                                          "</f>
        <v xml:space="preserve">VILLA DE ARAGON NUM 58                                                          </v>
      </c>
      <c r="F2729" s="26" t="str">
        <f>"VILLA DE ARAGON                                                                                                                             "</f>
        <v xml:space="preserve">VILLA DE ARAGON                                                                                                                             </v>
      </c>
      <c r="G2729" s="26" t="str">
        <f>"GUSTAVO A. MADERO                                                               "</f>
        <v xml:space="preserve">GUSTAVO A. MADERO                                                               </v>
      </c>
      <c r="H2729" s="26" t="str">
        <f>"268"</f>
        <v>268</v>
      </c>
      <c r="I2729" s="26" t="str">
        <f t="shared" si="456"/>
        <v>00</v>
      </c>
      <c r="J2729" s="26" t="str">
        <f>"42 "</f>
        <v xml:space="preserve">42 </v>
      </c>
      <c r="K2729" s="26" t="str">
        <f t="shared" si="464"/>
        <v>PR</v>
      </c>
      <c r="L2729" s="26" t="str">
        <f t="shared" si="465"/>
        <v>DGOSE</v>
      </c>
      <c r="M2729" s="26" t="str">
        <f t="shared" si="459"/>
        <v>PARTICULAR</v>
      </c>
      <c r="N2729" s="26">
        <v>65</v>
      </c>
      <c r="O2729" s="26">
        <v>35</v>
      </c>
      <c r="P2729" s="26">
        <v>30</v>
      </c>
      <c r="Q2729" s="26">
        <v>6</v>
      </c>
      <c r="R2729" s="26">
        <v>1</v>
      </c>
      <c r="S2729" s="26">
        <v>6</v>
      </c>
      <c r="T2729" s="26">
        <v>5</v>
      </c>
      <c r="U2729" s="26">
        <v>12</v>
      </c>
      <c r="V2729" s="26">
        <v>1</v>
      </c>
      <c r="W2729" s="26"/>
    </row>
    <row r="2730" spans="1:23" x14ac:dyDescent="0.25">
      <c r="A2730" s="26" t="str">
        <f t="shared" si="455"/>
        <v>PRIMARIA</v>
      </c>
      <c r="B2730" s="26" t="str">
        <f>"09PPR1189S"</f>
        <v>09PPR1189S</v>
      </c>
      <c r="C2730" s="26" t="str">
        <f>"COLEGIO ALFREDO NOBEL                                                                               "</f>
        <v xml:space="preserve">COLEGIO ALFREDO NOBEL                                                                               </v>
      </c>
      <c r="D2730" s="26" t="str">
        <f t="shared" si="461"/>
        <v>MATUTINO</v>
      </c>
      <c r="E2730" s="26" t="str">
        <f>"PROL. 16 DE SEPTIEMBRE NO. 292                                                  "</f>
        <v xml:space="preserve">PROL. 16 DE SEPTIEMBRE NO. 292                                                  </v>
      </c>
      <c r="F2730" s="26" t="str">
        <f>"XALTOCAN                                                                                                                                    "</f>
        <v xml:space="preserve">XALTOCAN                                                                                                                                    </v>
      </c>
      <c r="G2730" s="26" t="str">
        <f>"XOCHIMILCO                                                                      "</f>
        <v xml:space="preserve">XOCHIMILCO                                                                      </v>
      </c>
      <c r="H2730" s="26" t="str">
        <f>"538"</f>
        <v>538</v>
      </c>
      <c r="I2730" s="26" t="str">
        <f t="shared" si="456"/>
        <v>00</v>
      </c>
      <c r="J2730" s="26" t="str">
        <f>"45 "</f>
        <v xml:space="preserve">45 </v>
      </c>
      <c r="K2730" s="26" t="str">
        <f t="shared" si="464"/>
        <v>PR</v>
      </c>
      <c r="L2730" s="26" t="str">
        <f t="shared" si="465"/>
        <v>DGOSE</v>
      </c>
      <c r="M2730" s="26" t="str">
        <f t="shared" si="459"/>
        <v>PARTICULAR</v>
      </c>
      <c r="N2730" s="26">
        <v>391</v>
      </c>
      <c r="O2730" s="26">
        <v>218</v>
      </c>
      <c r="P2730" s="26">
        <v>173</v>
      </c>
      <c r="Q2730" s="26">
        <v>18</v>
      </c>
      <c r="R2730" s="26">
        <v>1</v>
      </c>
      <c r="S2730" s="26">
        <v>18</v>
      </c>
      <c r="T2730" s="26">
        <v>16</v>
      </c>
      <c r="U2730" s="26">
        <v>35</v>
      </c>
      <c r="V2730" s="26">
        <v>1</v>
      </c>
      <c r="W2730" s="26"/>
    </row>
    <row r="2731" spans="1:23" x14ac:dyDescent="0.25">
      <c r="A2731" s="26" t="str">
        <f t="shared" si="455"/>
        <v>PRIMARIA</v>
      </c>
      <c r="B2731" s="26" t="str">
        <f>"09PPR1190H"</f>
        <v>09PPR1190H</v>
      </c>
      <c r="C2731" s="26" t="str">
        <f>"COLEGIO RENACIMIENTO DANTE ALIGHIERI                                                                "</f>
        <v xml:space="preserve">COLEGIO RENACIMIENTO DANTE ALIGHIERI                                                                </v>
      </c>
      <c r="D2731" s="26" t="str">
        <f t="shared" si="461"/>
        <v>MATUTINO</v>
      </c>
      <c r="E2731" s="26" t="str">
        <f>"GENARO GARCIA NO 195                                                            "</f>
        <v xml:space="preserve">GENARO GARCIA NO 195                                                            </v>
      </c>
      <c r="F2731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2731" s="26" t="str">
        <f>"VENUSTIANO CARRANZA                                                             "</f>
        <v xml:space="preserve">VENUSTIANO CARRANZA                                                             </v>
      </c>
      <c r="H2731" s="26" t="str">
        <f>"348"</f>
        <v>348</v>
      </c>
      <c r="I2731" s="26" t="str">
        <f t="shared" si="456"/>
        <v>00</v>
      </c>
      <c r="J2731" s="26" t="str">
        <f>"43 "</f>
        <v xml:space="preserve">43 </v>
      </c>
      <c r="K2731" s="26" t="str">
        <f t="shared" si="464"/>
        <v>PR</v>
      </c>
      <c r="L2731" s="26" t="str">
        <f t="shared" si="465"/>
        <v>DGOSE</v>
      </c>
      <c r="M2731" s="26" t="str">
        <f t="shared" si="459"/>
        <v>PARTICULAR</v>
      </c>
      <c r="N2731" s="26">
        <v>66</v>
      </c>
      <c r="O2731" s="26">
        <v>37</v>
      </c>
      <c r="P2731" s="26">
        <v>29</v>
      </c>
      <c r="Q2731" s="26">
        <v>6</v>
      </c>
      <c r="R2731" s="26">
        <v>1</v>
      </c>
      <c r="S2731" s="26">
        <v>3</v>
      </c>
      <c r="T2731" s="26">
        <v>6</v>
      </c>
      <c r="U2731" s="26">
        <v>10</v>
      </c>
      <c r="V2731" s="26">
        <v>1</v>
      </c>
      <c r="W2731" s="26"/>
    </row>
    <row r="2732" spans="1:23" x14ac:dyDescent="0.25">
      <c r="A2732" s="26" t="str">
        <f t="shared" si="455"/>
        <v>PRIMARIA</v>
      </c>
      <c r="B2732" s="26" t="str">
        <f>"09PPR1192F"</f>
        <v>09PPR1192F</v>
      </c>
      <c r="C2732" s="26" t="str">
        <f>"COLEGIO LAS AMERICAS                                                                                "</f>
        <v xml:space="preserve">COLEGIO LAS AMERICAS                                                                                </v>
      </c>
      <c r="D2732" s="26" t="str">
        <f t="shared" si="461"/>
        <v>MATUTINO</v>
      </c>
      <c r="E2732" s="26" t="str">
        <f>"NORTE 86 A NO 6003 BIS                                                          "</f>
        <v xml:space="preserve">NORTE 86 A NO 6003 BIS                                                          </v>
      </c>
      <c r="F2732" s="26" t="str">
        <f>"GERTRUDIS SANCHEZ 1A SECCION                                                                                                                "</f>
        <v xml:space="preserve">GERTRUDIS SANCHEZ 1A SECCION                                                                                                                </v>
      </c>
      <c r="G2732" s="26" t="str">
        <f>"GUSTAVO A. MADERO                                                               "</f>
        <v xml:space="preserve">GUSTAVO A. MADERO                                                               </v>
      </c>
      <c r="H2732" s="26" t="str">
        <f>"253"</f>
        <v>253</v>
      </c>
      <c r="I2732" s="26" t="str">
        <f t="shared" si="456"/>
        <v>00</v>
      </c>
      <c r="J2732" s="26" t="str">
        <f>"42 "</f>
        <v xml:space="preserve">42 </v>
      </c>
      <c r="K2732" s="26" t="str">
        <f t="shared" si="464"/>
        <v>PR</v>
      </c>
      <c r="L2732" s="26" t="str">
        <f t="shared" si="465"/>
        <v>DGOSE</v>
      </c>
      <c r="M2732" s="26" t="str">
        <f t="shared" si="459"/>
        <v>PARTICULAR</v>
      </c>
      <c r="N2732" s="26">
        <v>186</v>
      </c>
      <c r="O2732" s="26">
        <v>99</v>
      </c>
      <c r="P2732" s="26">
        <v>87</v>
      </c>
      <c r="Q2732" s="26">
        <v>8</v>
      </c>
      <c r="R2732" s="26">
        <v>1</v>
      </c>
      <c r="S2732" s="26">
        <v>8</v>
      </c>
      <c r="T2732" s="26">
        <v>6</v>
      </c>
      <c r="U2732" s="26">
        <v>15</v>
      </c>
      <c r="V2732" s="26">
        <v>1</v>
      </c>
      <c r="W2732" s="26"/>
    </row>
    <row r="2733" spans="1:23" x14ac:dyDescent="0.25">
      <c r="A2733" s="26" t="str">
        <f t="shared" si="455"/>
        <v>PRIMARIA</v>
      </c>
      <c r="B2733" s="26" t="str">
        <f>"09PPR1193E"</f>
        <v>09PPR1193E</v>
      </c>
      <c r="C2733" s="26" t="str">
        <f>"COLEGIO DEL BOSQUE                                                                                  "</f>
        <v xml:space="preserve">COLEGIO DEL BOSQUE                                                                                  </v>
      </c>
      <c r="D2733" s="26" t="str">
        <f t="shared" si="461"/>
        <v>MATUTINO</v>
      </c>
      <c r="E2733" s="26" t="str">
        <f>"PINO SUAREZ NUM 115                                                             "</f>
        <v xml:space="preserve">PINO SUAREZ NUM 115                                                             </v>
      </c>
      <c r="F2733" s="26" t="str">
        <f>"MIGUEL HIDALGO AMPLIACION                                                                                                                   "</f>
        <v xml:space="preserve">MIGUEL HIDALGO AMPLIACION                                                                                                                   </v>
      </c>
      <c r="G2733" s="26" t="str">
        <f>"TLALPAN                                                                         "</f>
        <v xml:space="preserve">TLALPAN                                                                         </v>
      </c>
      <c r="H2733" s="26" t="str">
        <f>"517"</f>
        <v>517</v>
      </c>
      <c r="I2733" s="26" t="str">
        <f t="shared" si="456"/>
        <v>00</v>
      </c>
      <c r="J2733" s="26" t="str">
        <f>"45 "</f>
        <v xml:space="preserve">45 </v>
      </c>
      <c r="K2733" s="26" t="str">
        <f t="shared" si="464"/>
        <v>PR</v>
      </c>
      <c r="L2733" s="26" t="str">
        <f t="shared" si="465"/>
        <v>DGOSE</v>
      </c>
      <c r="M2733" s="26" t="str">
        <f t="shared" si="459"/>
        <v>PARTICULAR</v>
      </c>
      <c r="N2733" s="26">
        <v>156</v>
      </c>
      <c r="O2733" s="26">
        <v>72</v>
      </c>
      <c r="P2733" s="26">
        <v>84</v>
      </c>
      <c r="Q2733" s="26">
        <v>10</v>
      </c>
      <c r="R2733" s="26">
        <v>1</v>
      </c>
      <c r="S2733" s="26">
        <v>5</v>
      </c>
      <c r="T2733" s="26">
        <v>14</v>
      </c>
      <c r="U2733" s="26">
        <v>20</v>
      </c>
      <c r="V2733" s="26">
        <v>1</v>
      </c>
      <c r="W2733" s="26"/>
    </row>
    <row r="2734" spans="1:23" x14ac:dyDescent="0.25">
      <c r="A2734" s="26" t="str">
        <f t="shared" si="455"/>
        <v>PRIMARIA</v>
      </c>
      <c r="B2734" s="26" t="str">
        <f>"09PPR1194D"</f>
        <v>09PPR1194D</v>
      </c>
      <c r="C2734" s="26" t="str">
        <f>"COLEGIO KAY-BUM                                                                                     "</f>
        <v xml:space="preserve">COLEGIO KAY-BUM                                                                                     </v>
      </c>
      <c r="D2734" s="26" t="str">
        <f t="shared" si="461"/>
        <v>MATUTINO</v>
      </c>
      <c r="E2734" s="26" t="str">
        <f>"AV TEPETLAPA NUM 1145                                                           "</f>
        <v xml:space="preserve">AV TEPETLAPA NUM 1145                                                           </v>
      </c>
      <c r="F2734" s="26" t="str">
        <f>"LOS CEDROS                                                                                                                                  "</f>
        <v xml:space="preserve">LOS CEDROS                                                                                                                                  </v>
      </c>
      <c r="G2734" s="26" t="str">
        <f>"COYOACAN                                                                        "</f>
        <v xml:space="preserve">COYOACAN                                                                        </v>
      </c>
      <c r="H2734" s="26" t="str">
        <f>"510"</f>
        <v>510</v>
      </c>
      <c r="I2734" s="26" t="str">
        <f t="shared" si="456"/>
        <v>00</v>
      </c>
      <c r="J2734" s="26" t="str">
        <f>"45 "</f>
        <v xml:space="preserve">45 </v>
      </c>
      <c r="K2734" s="26" t="str">
        <f t="shared" si="464"/>
        <v>PR</v>
      </c>
      <c r="L2734" s="26" t="str">
        <f t="shared" si="465"/>
        <v>DGOSE</v>
      </c>
      <c r="M2734" s="26" t="str">
        <f t="shared" si="459"/>
        <v>PARTICULAR</v>
      </c>
      <c r="N2734" s="26">
        <v>80</v>
      </c>
      <c r="O2734" s="26">
        <v>42</v>
      </c>
      <c r="P2734" s="26">
        <v>38</v>
      </c>
      <c r="Q2734" s="26">
        <v>6</v>
      </c>
      <c r="R2734" s="26">
        <v>1</v>
      </c>
      <c r="S2734" s="26">
        <v>2</v>
      </c>
      <c r="T2734" s="26">
        <v>6</v>
      </c>
      <c r="U2734" s="26">
        <v>9</v>
      </c>
      <c r="V2734" s="26">
        <v>1</v>
      </c>
      <c r="W2734" s="26"/>
    </row>
    <row r="2735" spans="1:23" x14ac:dyDescent="0.25">
      <c r="A2735" s="26" t="str">
        <f t="shared" si="455"/>
        <v>PRIMARIA</v>
      </c>
      <c r="B2735" s="26" t="str">
        <f>"09PPR1195C"</f>
        <v>09PPR1195C</v>
      </c>
      <c r="C2735" s="26" t="str">
        <f>"PATRIA Y PROGRESO                                                                                   "</f>
        <v xml:space="preserve">PATRIA Y PROGRESO                                                                                   </v>
      </c>
      <c r="D2735" s="26" t="str">
        <f t="shared" si="461"/>
        <v>MATUTINO</v>
      </c>
      <c r="E2735" s="26" t="str">
        <f>"SANTA CRUZ MANZANA 76 LOTE 39                                                   "</f>
        <v xml:space="preserve">SANTA CRUZ MANZANA 76 LOTE 39                                                   </v>
      </c>
      <c r="F2735" s="26" t="str">
        <f>"BARRIO SANTA ANA ZAPOTITLAN                                                                                                                 "</f>
        <v xml:space="preserve">BARRIO SANTA ANA ZAPOTITLAN                                                                                                                 </v>
      </c>
      <c r="G2735" s="26" t="str">
        <f>"TLAHUAC                                                                         "</f>
        <v xml:space="preserve">TLAHUAC                                                                         </v>
      </c>
      <c r="H2735" s="26" t="str">
        <f>"546"</f>
        <v>546</v>
      </c>
      <c r="I2735" s="26" t="str">
        <f t="shared" si="456"/>
        <v>00</v>
      </c>
      <c r="J2735" s="26" t="str">
        <f>"45 "</f>
        <v xml:space="preserve">45 </v>
      </c>
      <c r="K2735" s="26" t="str">
        <f t="shared" si="464"/>
        <v>PR</v>
      </c>
      <c r="L2735" s="26" t="str">
        <f t="shared" si="465"/>
        <v>DGOSE</v>
      </c>
      <c r="M2735" s="26" t="str">
        <f t="shared" si="459"/>
        <v>PARTICULAR</v>
      </c>
      <c r="N2735" s="26">
        <v>87</v>
      </c>
      <c r="O2735" s="26">
        <v>44</v>
      </c>
      <c r="P2735" s="26">
        <v>43</v>
      </c>
      <c r="Q2735" s="26">
        <v>6</v>
      </c>
      <c r="R2735" s="26">
        <v>1</v>
      </c>
      <c r="S2735" s="26">
        <v>6</v>
      </c>
      <c r="T2735" s="26">
        <v>5</v>
      </c>
      <c r="U2735" s="26">
        <v>12</v>
      </c>
      <c r="V2735" s="26">
        <v>1</v>
      </c>
      <c r="W2735" s="26"/>
    </row>
    <row r="2736" spans="1:23" x14ac:dyDescent="0.25">
      <c r="A2736" s="26" t="str">
        <f t="shared" si="455"/>
        <v>PRIMARIA</v>
      </c>
      <c r="B2736" s="26" t="str">
        <f>"09PPR1196B"</f>
        <v>09PPR1196B</v>
      </c>
      <c r="C2736" s="26" t="str">
        <f>"COMUNIDAD EDUCATIVA ECOLOGICA ANTONIO GAUDI                                                         "</f>
        <v xml:space="preserve">COMUNIDAD EDUCATIVA ECOLOGICA ANTONIO GAUDI                                                         </v>
      </c>
      <c r="D2736" s="26" t="str">
        <f t="shared" si="461"/>
        <v>MATUTINO</v>
      </c>
      <c r="E2736" s="26" t="str">
        <f>"CALLEJON LOS MENDOZA NO. 16                                                     "</f>
        <v xml:space="preserve">CALLEJON LOS MENDOZA NO. 16                                                     </v>
      </c>
      <c r="F2736" s="26" t="str">
        <f>"SAN LORENZO HUIPULCO                                                                                                                        "</f>
        <v xml:space="preserve">SAN LORENZO HUIPULCO                                                                                                                        </v>
      </c>
      <c r="G2736" s="26" t="str">
        <f>"TLALPAN                                                                         "</f>
        <v xml:space="preserve">TLALPAN                                                                         </v>
      </c>
      <c r="H2736" s="26" t="str">
        <f>"524"</f>
        <v>524</v>
      </c>
      <c r="I2736" s="26" t="str">
        <f t="shared" si="456"/>
        <v>00</v>
      </c>
      <c r="J2736" s="26" t="str">
        <f>"45 "</f>
        <v xml:space="preserve">45 </v>
      </c>
      <c r="K2736" s="26" t="str">
        <f t="shared" si="464"/>
        <v>PR</v>
      </c>
      <c r="L2736" s="26" t="str">
        <f t="shared" si="465"/>
        <v>DGOSE</v>
      </c>
      <c r="M2736" s="26" t="str">
        <f t="shared" si="459"/>
        <v>PARTICULAR</v>
      </c>
      <c r="N2736" s="26">
        <v>4</v>
      </c>
      <c r="O2736" s="26">
        <v>2</v>
      </c>
      <c r="P2736" s="26">
        <v>2</v>
      </c>
      <c r="Q2736" s="26">
        <v>3</v>
      </c>
      <c r="R2736" s="26">
        <v>1</v>
      </c>
      <c r="S2736" s="26">
        <v>3</v>
      </c>
      <c r="T2736" s="26">
        <v>11</v>
      </c>
      <c r="U2736" s="26">
        <v>15</v>
      </c>
      <c r="V2736" s="26">
        <v>1</v>
      </c>
      <c r="W2736" s="26"/>
    </row>
    <row r="2737" spans="1:23" x14ac:dyDescent="0.25">
      <c r="A2737" s="26" t="str">
        <f t="shared" si="455"/>
        <v>PRIMARIA</v>
      </c>
      <c r="B2737" s="26" t="str">
        <f>"09PPR1197A"</f>
        <v>09PPR1197A</v>
      </c>
      <c r="C2737" s="26" t="str">
        <f>"COLEGIO ""TRILINGÜE PEDRO MARIA ANAYA""                                                               "</f>
        <v xml:space="preserve">COLEGIO "TRILINGÜE PEDRO MARIA ANAYA"                                                               </v>
      </c>
      <c r="D2737" s="26" t="str">
        <f t="shared" si="461"/>
        <v>MATUTINO</v>
      </c>
      <c r="E2737" s="26" t="str">
        <f>"PLATANALES #178                                                                 "</f>
        <v xml:space="preserve">PLATANALES #178                                                                 </v>
      </c>
      <c r="F2737" s="26" t="str">
        <f>"NUEVA SANTA MARIA                                                                                                                           "</f>
        <v xml:space="preserve">NUEVA SANTA MARIA                                                                                                                           </v>
      </c>
      <c r="G2737" s="26" t="str">
        <f>"AZCAPOTZALCO                                                                    "</f>
        <v xml:space="preserve">AZCAPOTZALCO                                                                    </v>
      </c>
      <c r="H2737" s="26" t="str">
        <f>"206"</f>
        <v>206</v>
      </c>
      <c r="I2737" s="26" t="str">
        <f t="shared" si="456"/>
        <v>00</v>
      </c>
      <c r="J2737" s="26" t="str">
        <f>"42 "</f>
        <v xml:space="preserve">42 </v>
      </c>
      <c r="K2737" s="26" t="str">
        <f t="shared" si="464"/>
        <v>PR</v>
      </c>
      <c r="L2737" s="26" t="str">
        <f t="shared" si="465"/>
        <v>DGOSE</v>
      </c>
      <c r="M2737" s="26" t="str">
        <f t="shared" si="459"/>
        <v>PARTICULAR</v>
      </c>
      <c r="N2737" s="26">
        <v>68</v>
      </c>
      <c r="O2737" s="26">
        <v>32</v>
      </c>
      <c r="P2737" s="26">
        <v>36</v>
      </c>
      <c r="Q2737" s="26">
        <v>6</v>
      </c>
      <c r="R2737" s="26">
        <v>1</v>
      </c>
      <c r="S2737" s="26">
        <v>3</v>
      </c>
      <c r="T2737" s="26">
        <v>12</v>
      </c>
      <c r="U2737" s="26">
        <v>16</v>
      </c>
      <c r="V2737" s="26">
        <v>1</v>
      </c>
      <c r="W2737" s="26"/>
    </row>
    <row r="2738" spans="1:23" x14ac:dyDescent="0.25">
      <c r="A2738" s="26" t="str">
        <f t="shared" si="455"/>
        <v>PRIMARIA</v>
      </c>
      <c r="B2738" s="26" t="str">
        <f>"09PPR1198Z"</f>
        <v>09PPR1198Z</v>
      </c>
      <c r="C2738" s="26" t="str">
        <f>"AMERICAS UNIDAS                                                                                     "</f>
        <v xml:space="preserve">AMERICAS UNIDAS                                                                                     </v>
      </c>
      <c r="D2738" s="26" t="str">
        <f t="shared" si="461"/>
        <v>MATUTINO</v>
      </c>
      <c r="E2738" s="26" t="str">
        <f>"CHIHUAHUA # 23                                                                  "</f>
        <v xml:space="preserve">CHIHUAHUA # 23                                                                  </v>
      </c>
      <c r="F2738" s="26" t="str">
        <f>"ROMA NORTE                                                                                                                                  "</f>
        <v xml:space="preserve">ROMA NORTE                                                                                                                                  </v>
      </c>
      <c r="G2738" s="26" t="str">
        <f>"CUAUHTEMOC                                                                      "</f>
        <v xml:space="preserve">CUAUHTEMOC                                                                      </v>
      </c>
      <c r="H2738" s="26" t="str">
        <f>"000"</f>
        <v>000</v>
      </c>
      <c r="I2738" s="26" t="str">
        <f t="shared" si="456"/>
        <v>00</v>
      </c>
      <c r="J2738" s="26" t="str">
        <f>"42 "</f>
        <v xml:space="preserve">42 </v>
      </c>
      <c r="K2738" s="26" t="str">
        <f t="shared" si="464"/>
        <v>PR</v>
      </c>
      <c r="L2738" s="26" t="str">
        <f t="shared" si="465"/>
        <v>DGOSE</v>
      </c>
      <c r="M2738" s="26" t="str">
        <f t="shared" si="459"/>
        <v>PARTICULAR</v>
      </c>
      <c r="N2738" s="26">
        <v>105</v>
      </c>
      <c r="O2738" s="26">
        <v>64</v>
      </c>
      <c r="P2738" s="26">
        <v>41</v>
      </c>
      <c r="Q2738" s="26">
        <v>6</v>
      </c>
      <c r="R2738" s="26">
        <v>1</v>
      </c>
      <c r="S2738" s="26">
        <v>6</v>
      </c>
      <c r="T2738" s="26">
        <v>5</v>
      </c>
      <c r="U2738" s="26">
        <v>12</v>
      </c>
      <c r="V2738" s="26">
        <v>1</v>
      </c>
      <c r="W2738" s="26"/>
    </row>
    <row r="2739" spans="1:23" x14ac:dyDescent="0.25">
      <c r="A2739" s="26" t="str">
        <f t="shared" si="455"/>
        <v>PRIMARIA</v>
      </c>
      <c r="B2739" s="26" t="str">
        <f>"09PPR1199Z"</f>
        <v>09PPR1199Z</v>
      </c>
      <c r="C2739" s="26" t="str">
        <f>"VINCENT VAN GOGH                                                                                    "</f>
        <v xml:space="preserve">VINCENT VAN GOGH                                                                                    </v>
      </c>
      <c r="D2739" s="26" t="str">
        <f t="shared" si="461"/>
        <v>MATUTINO</v>
      </c>
      <c r="E2739" s="26" t="str">
        <f>"ZOTITLA 58                                                                      "</f>
        <v xml:space="preserve">ZOTITLA 58                                                                      </v>
      </c>
      <c r="F2739" s="26" t="str">
        <f>"ABDIAS GARCIA SOTO                                                                                                                          "</f>
        <v xml:space="preserve">ABDIAS GARCIA SOTO                                                                                                                          </v>
      </c>
      <c r="G2739" s="26" t="str">
        <f>"CUAJIMALPA DE MORELOS                                                           "</f>
        <v xml:space="preserve">CUAJIMALPA DE MORELOS                                                           </v>
      </c>
      <c r="H2739" s="26" t="str">
        <f>"304"</f>
        <v>304</v>
      </c>
      <c r="I2739" s="26" t="str">
        <f t="shared" si="456"/>
        <v>00</v>
      </c>
      <c r="J2739" s="26" t="str">
        <f>"43 "</f>
        <v xml:space="preserve">43 </v>
      </c>
      <c r="K2739" s="26" t="str">
        <f t="shared" si="464"/>
        <v>PR</v>
      </c>
      <c r="L2739" s="26" t="str">
        <f t="shared" si="465"/>
        <v>DGOSE</v>
      </c>
      <c r="M2739" s="26" t="str">
        <f t="shared" si="459"/>
        <v>PARTICULAR</v>
      </c>
      <c r="N2739" s="26">
        <v>99</v>
      </c>
      <c r="O2739" s="26">
        <v>53</v>
      </c>
      <c r="P2739" s="26">
        <v>46</v>
      </c>
      <c r="Q2739" s="26">
        <v>7</v>
      </c>
      <c r="R2739" s="26">
        <v>1</v>
      </c>
      <c r="S2739" s="26">
        <v>7</v>
      </c>
      <c r="T2739" s="26">
        <v>8</v>
      </c>
      <c r="U2739" s="26">
        <v>16</v>
      </c>
      <c r="V2739" s="26">
        <v>1</v>
      </c>
      <c r="W2739" s="26"/>
    </row>
    <row r="2740" spans="1:23" x14ac:dyDescent="0.25">
      <c r="A2740" s="26" t="str">
        <f t="shared" si="455"/>
        <v>PRIMARIA</v>
      </c>
      <c r="B2740" s="26" t="str">
        <f>"09PPR1201X"</f>
        <v>09PPR1201X</v>
      </c>
      <c r="C2740" s="26" t="str">
        <f>"COLEGIO EUGENIO DE MAZENOD                                                                          "</f>
        <v xml:space="preserve">COLEGIO EUGENIO DE MAZENOD                                                                          </v>
      </c>
      <c r="D2740" s="26" t="str">
        <f t="shared" si="461"/>
        <v>MATUTINO</v>
      </c>
      <c r="E2740" s="26" t="str">
        <f>"AV. TAMAULIPAS  NO. 240                                                         "</f>
        <v xml:space="preserve">AV. TAMAULIPAS  NO. 240                                                         </v>
      </c>
      <c r="F2740" s="26" t="str">
        <f>"CLUB DE GOLF PRADOS DE LA MONTAÑA                                                                                                           "</f>
        <v xml:space="preserve">CLUB DE GOLF PRADOS DE LA MONTAÑA                                                                                                           </v>
      </c>
      <c r="G2740" s="26" t="str">
        <f>"CUAJIMALPA DE MORELOS                                                           "</f>
        <v xml:space="preserve">CUAJIMALPA DE MORELOS                                                           </v>
      </c>
      <c r="H2740" s="26" t="str">
        <f>"303"</f>
        <v>303</v>
      </c>
      <c r="I2740" s="26" t="str">
        <f t="shared" si="456"/>
        <v>00</v>
      </c>
      <c r="J2740" s="26" t="str">
        <f>"43 "</f>
        <v xml:space="preserve">43 </v>
      </c>
      <c r="K2740" s="26" t="str">
        <f t="shared" si="464"/>
        <v>PR</v>
      </c>
      <c r="L2740" s="26" t="str">
        <f t="shared" si="465"/>
        <v>DGOSE</v>
      </c>
      <c r="M2740" s="26" t="str">
        <f t="shared" si="459"/>
        <v>PARTICULAR</v>
      </c>
      <c r="N2740" s="26">
        <v>265</v>
      </c>
      <c r="O2740" s="26">
        <v>146</v>
      </c>
      <c r="P2740" s="26">
        <v>119</v>
      </c>
      <c r="Q2740" s="26">
        <v>12</v>
      </c>
      <c r="R2740" s="26">
        <v>1</v>
      </c>
      <c r="S2740" s="26">
        <v>6</v>
      </c>
      <c r="T2740" s="26">
        <v>17</v>
      </c>
      <c r="U2740" s="26">
        <v>24</v>
      </c>
      <c r="V2740" s="26">
        <v>1</v>
      </c>
      <c r="W2740" s="26"/>
    </row>
    <row r="2741" spans="1:23" x14ac:dyDescent="0.25">
      <c r="A2741" s="26" t="str">
        <f t="shared" si="455"/>
        <v>PRIMARIA</v>
      </c>
      <c r="B2741" s="26" t="str">
        <f>"09PPR1202W"</f>
        <v>09PPR1202W</v>
      </c>
      <c r="C2741" s="26" t="str">
        <f>"COLEGIO MICHOACAN                                                                                   "</f>
        <v xml:space="preserve">COLEGIO MICHOACAN                                                                                   </v>
      </c>
      <c r="D2741" s="26" t="str">
        <f t="shared" si="461"/>
        <v>MATUTINO</v>
      </c>
      <c r="E2741" s="26" t="str">
        <f>"ORIENTE 162 NUM. 294                                                            "</f>
        <v xml:space="preserve">ORIENTE 162 NUM. 294                                                            </v>
      </c>
      <c r="F2741" s="26" t="str">
        <f>"MOCTEZUMA 2A SECCION                                                                                                                        "</f>
        <v xml:space="preserve">MOCTEZUMA 2A SECCION                                                                                                                        </v>
      </c>
      <c r="G2741" s="26" t="str">
        <f>"VENUSTIANO CARRANZA                                                             "</f>
        <v xml:space="preserve">VENUSTIANO CARRANZA                                                             </v>
      </c>
      <c r="H2741" s="26" t="str">
        <f>"346"</f>
        <v>346</v>
      </c>
      <c r="I2741" s="26" t="str">
        <f t="shared" si="456"/>
        <v>00</v>
      </c>
      <c r="J2741" s="26" t="str">
        <f>"43 "</f>
        <v xml:space="preserve">43 </v>
      </c>
      <c r="K2741" s="26" t="str">
        <f t="shared" si="464"/>
        <v>PR</v>
      </c>
      <c r="L2741" s="26" t="str">
        <f t="shared" si="465"/>
        <v>DGOSE</v>
      </c>
      <c r="M2741" s="26" t="str">
        <f t="shared" si="459"/>
        <v>PARTICULAR</v>
      </c>
      <c r="N2741" s="26">
        <v>58</v>
      </c>
      <c r="O2741" s="26">
        <v>32</v>
      </c>
      <c r="P2741" s="26">
        <v>26</v>
      </c>
      <c r="Q2741" s="26">
        <v>6</v>
      </c>
      <c r="R2741" s="26">
        <v>1</v>
      </c>
      <c r="S2741" s="26">
        <v>6</v>
      </c>
      <c r="T2741" s="26">
        <v>7</v>
      </c>
      <c r="U2741" s="26">
        <v>14</v>
      </c>
      <c r="V2741" s="26">
        <v>1</v>
      </c>
      <c r="W2741" s="26"/>
    </row>
    <row r="2742" spans="1:23" x14ac:dyDescent="0.25">
      <c r="A2742" s="26" t="str">
        <f t="shared" si="455"/>
        <v>PRIMARIA</v>
      </c>
      <c r="B2742" s="26" t="str">
        <f>"09PPR1204U"</f>
        <v>09PPR1204U</v>
      </c>
      <c r="C2742" s="26" t="str">
        <f>"COLEGIO BILINGUE WINDSOR                                                                            "</f>
        <v xml:space="preserve">COLEGIO BILINGUE WINDSOR                                                                            </v>
      </c>
      <c r="D2742" s="26" t="str">
        <f t="shared" si="461"/>
        <v>MATUTINO</v>
      </c>
      <c r="E2742" s="26" t="str">
        <f>"AV. SANTA ANA 368                                                               "</f>
        <v xml:space="preserve">AV. SANTA ANA 368                                                               </v>
      </c>
      <c r="F2742" s="26" t="str">
        <f>"SAN FRANCISCO CULHUACAN                                                                                                                     "</f>
        <v xml:space="preserve">SAN FRANCISCO CULHUACAN                                                                                                                     </v>
      </c>
      <c r="G2742" s="26" t="str">
        <f>"COYOACAN                                                                        "</f>
        <v xml:space="preserve">COYOACAN                                                                        </v>
      </c>
      <c r="H2742" s="26" t="str">
        <f>"566"</f>
        <v>566</v>
      </c>
      <c r="I2742" s="26" t="str">
        <f t="shared" si="456"/>
        <v>00</v>
      </c>
      <c r="J2742" s="26" t="str">
        <f>"45 "</f>
        <v xml:space="preserve">45 </v>
      </c>
      <c r="K2742" s="26" t="str">
        <f t="shared" si="464"/>
        <v>PR</v>
      </c>
      <c r="L2742" s="26" t="str">
        <f t="shared" si="465"/>
        <v>DGOSE</v>
      </c>
      <c r="M2742" s="26" t="str">
        <f t="shared" si="459"/>
        <v>PARTICULAR</v>
      </c>
      <c r="N2742" s="26">
        <v>122</v>
      </c>
      <c r="O2742" s="26">
        <v>61</v>
      </c>
      <c r="P2742" s="26">
        <v>61</v>
      </c>
      <c r="Q2742" s="26">
        <v>6</v>
      </c>
      <c r="R2742" s="26">
        <v>1</v>
      </c>
      <c r="S2742" s="26">
        <v>6</v>
      </c>
      <c r="T2742" s="26">
        <v>8</v>
      </c>
      <c r="U2742" s="26">
        <v>15</v>
      </c>
      <c r="V2742" s="26">
        <v>1</v>
      </c>
      <c r="W2742" s="26"/>
    </row>
    <row r="2743" spans="1:23" x14ac:dyDescent="0.25">
      <c r="A2743" s="26" t="str">
        <f t="shared" si="455"/>
        <v>PRIMARIA</v>
      </c>
      <c r="B2743" s="26" t="str">
        <f>"09PPR1205T"</f>
        <v>09PPR1205T</v>
      </c>
      <c r="C2743" s="26" t="str">
        <f>"INSTITUTO LATINOAMERICANO                                                                           "</f>
        <v xml:space="preserve">INSTITUTO LATINOAMERICANO                                                                           </v>
      </c>
      <c r="D2743" s="26" t="str">
        <f t="shared" si="461"/>
        <v>MATUTINO</v>
      </c>
      <c r="E2743" s="26" t="str">
        <f>"GENERAL PEDRO ANAYA NO 203                                                      "</f>
        <v xml:space="preserve">GENERAL PEDRO ANAYA NO 203                                                      </v>
      </c>
      <c r="F2743" s="26" t="str">
        <f>"MARTIN CARRERA                                                                                                                              "</f>
        <v xml:space="preserve">MARTIN CARRERA                                                                                                                              </v>
      </c>
      <c r="G2743" s="26" t="str">
        <f>"GUSTAVO A. MADERO                                                               "</f>
        <v xml:space="preserve">GUSTAVO A. MADERO                                                               </v>
      </c>
      <c r="H2743" s="26" t="str">
        <f>"249"</f>
        <v>249</v>
      </c>
      <c r="I2743" s="26" t="str">
        <f t="shared" si="456"/>
        <v>00</v>
      </c>
      <c r="J2743" s="26" t="str">
        <f>"42 "</f>
        <v xml:space="preserve">42 </v>
      </c>
      <c r="K2743" s="26" t="str">
        <f t="shared" si="464"/>
        <v>PR</v>
      </c>
      <c r="L2743" s="26" t="str">
        <f t="shared" si="465"/>
        <v>DGOSE</v>
      </c>
      <c r="M2743" s="26" t="str">
        <f t="shared" si="459"/>
        <v>PARTICULAR</v>
      </c>
      <c r="N2743" s="26">
        <v>130</v>
      </c>
      <c r="O2743" s="26">
        <v>60</v>
      </c>
      <c r="P2743" s="26">
        <v>70</v>
      </c>
      <c r="Q2743" s="26">
        <v>6</v>
      </c>
      <c r="R2743" s="26">
        <v>1</v>
      </c>
      <c r="S2743" s="26">
        <v>4</v>
      </c>
      <c r="T2743" s="26">
        <v>4</v>
      </c>
      <c r="U2743" s="26">
        <v>9</v>
      </c>
      <c r="V2743" s="26">
        <v>1</v>
      </c>
      <c r="W2743" s="26"/>
    </row>
    <row r="2744" spans="1:23" x14ac:dyDescent="0.25">
      <c r="A2744" s="26" t="str">
        <f t="shared" si="455"/>
        <v>PRIMARIA</v>
      </c>
      <c r="B2744" s="26" t="str">
        <f>"09PPR1206S"</f>
        <v>09PPR1206S</v>
      </c>
      <c r="C2744" s="26" t="str">
        <f>"INSTITUTO HISPANOAMERICANO                                                                          "</f>
        <v xml:space="preserve">INSTITUTO HISPANOAMERICANO                                                                          </v>
      </c>
      <c r="D2744" s="26" t="str">
        <f t="shared" si="461"/>
        <v>MATUTINO</v>
      </c>
      <c r="E2744" s="26" t="str">
        <f>"LA ROSA MZ. 95 LT. 9                                                            "</f>
        <v xml:space="preserve">LA ROSA MZ. 95 LT. 9                                                            </v>
      </c>
      <c r="F2744" s="26" t="str">
        <f>"SAN MIGUEL TEOTONGO                                                                                                                         "</f>
        <v xml:space="preserve">SAN MIGUEL TEOTONGO                                                                                                                         </v>
      </c>
      <c r="G2744" s="26" t="str">
        <f>"IZTAPALAPA                                                                      "</f>
        <v xml:space="preserve">IZTAPALAPA                                                                      </v>
      </c>
      <c r="H2744" s="26" t="str">
        <f>"000"</f>
        <v>000</v>
      </c>
      <c r="I2744" s="26" t="str">
        <f t="shared" si="456"/>
        <v>00</v>
      </c>
      <c r="J2744" s="26" t="str">
        <f>"64 "</f>
        <v xml:space="preserve">64 </v>
      </c>
      <c r="K2744" s="26" t="str">
        <f>"IZ"</f>
        <v>IZ</v>
      </c>
      <c r="L2744" s="26" t="str">
        <f>"DGSEI"</f>
        <v>DGSEI</v>
      </c>
      <c r="M2744" s="26" t="str">
        <f t="shared" si="459"/>
        <v>PARTICULAR</v>
      </c>
      <c r="N2744" s="26">
        <v>73</v>
      </c>
      <c r="O2744" s="26">
        <v>41</v>
      </c>
      <c r="P2744" s="26">
        <v>32</v>
      </c>
      <c r="Q2744" s="26">
        <v>6</v>
      </c>
      <c r="R2744" s="26">
        <v>1</v>
      </c>
      <c r="S2744" s="26">
        <v>6</v>
      </c>
      <c r="T2744" s="26">
        <v>0</v>
      </c>
      <c r="U2744" s="26">
        <v>7</v>
      </c>
      <c r="V2744" s="26">
        <v>1</v>
      </c>
      <c r="W2744" s="26"/>
    </row>
    <row r="2745" spans="1:23" x14ac:dyDescent="0.25">
      <c r="A2745" s="26" t="str">
        <f t="shared" si="455"/>
        <v>PRIMARIA</v>
      </c>
      <c r="B2745" s="26" t="str">
        <f>"09PPR1207R"</f>
        <v>09PPR1207R</v>
      </c>
      <c r="C2745" s="26" t="str">
        <f>"COLEGIO LA LUZ                                                                                      "</f>
        <v xml:space="preserve">COLEGIO LA LUZ                                                                                      </v>
      </c>
      <c r="D2745" s="26" t="str">
        <f t="shared" si="461"/>
        <v>MATUTINO</v>
      </c>
      <c r="E2745" s="26" t="str">
        <f>"PASEO DE LAS GALIAS NO. 287                                                     "</f>
        <v xml:space="preserve">PASEO DE LAS GALIAS NO. 287                                                     </v>
      </c>
      <c r="F2745" s="26" t="str">
        <f>"LOMAS ESTRELLA 2A SECCION                                                                                                                   "</f>
        <v xml:space="preserve">LOMAS ESTRELLA 2A SECCION                                                                                                                   </v>
      </c>
      <c r="G2745" s="26" t="str">
        <f>"IZTAPALAPA                                                                      "</f>
        <v xml:space="preserve">IZTAPALAPA                                                                      </v>
      </c>
      <c r="H2745" s="26" t="str">
        <f>"000"</f>
        <v>000</v>
      </c>
      <c r="I2745" s="26" t="str">
        <f t="shared" si="456"/>
        <v>00</v>
      </c>
      <c r="J2745" s="26" t="str">
        <f>"63 "</f>
        <v xml:space="preserve">63 </v>
      </c>
      <c r="K2745" s="26" t="str">
        <f>"IZ"</f>
        <v>IZ</v>
      </c>
      <c r="L2745" s="26" t="str">
        <f>"DGSEI"</f>
        <v>DGSEI</v>
      </c>
      <c r="M2745" s="26" t="str">
        <f t="shared" si="459"/>
        <v>PARTICULAR</v>
      </c>
      <c r="N2745" s="26">
        <v>148</v>
      </c>
      <c r="O2745" s="26">
        <v>70</v>
      </c>
      <c r="P2745" s="26">
        <v>78</v>
      </c>
      <c r="Q2745" s="26">
        <v>6</v>
      </c>
      <c r="R2745" s="26">
        <v>1</v>
      </c>
      <c r="S2745" s="26">
        <v>6</v>
      </c>
      <c r="T2745" s="26">
        <v>7</v>
      </c>
      <c r="U2745" s="26">
        <v>14</v>
      </c>
      <c r="V2745" s="26">
        <v>1</v>
      </c>
      <c r="W2745" s="26"/>
    </row>
    <row r="2746" spans="1:23" x14ac:dyDescent="0.25">
      <c r="A2746" s="26" t="str">
        <f t="shared" si="455"/>
        <v>PRIMARIA</v>
      </c>
      <c r="B2746" s="26" t="str">
        <f>"09PPR1209P"</f>
        <v>09PPR1209P</v>
      </c>
      <c r="C2746" s="26" t="str">
        <f>"INSTITUTO PASCUAL BORGIA                                                                            "</f>
        <v xml:space="preserve">INSTITUTO PASCUAL BORGIA                                                                            </v>
      </c>
      <c r="D2746" s="26" t="str">
        <f t="shared" si="461"/>
        <v>MATUTINO</v>
      </c>
      <c r="E2746" s="26" t="str">
        <f>"LAGO ARGENTINA NO. 17                                                           "</f>
        <v xml:space="preserve">LAGO ARGENTINA NO. 17                                                           </v>
      </c>
      <c r="F2746" s="26" t="str">
        <f>"ARGENTINA ANTIGUA                                                                                                                           "</f>
        <v xml:space="preserve">ARGENTINA ANTIGUA                                                                                                                           </v>
      </c>
      <c r="G2746" s="26" t="str">
        <f>"MIGUEL HIDALGO                                                                  "</f>
        <v xml:space="preserve">MIGUEL HIDALGO                                                                  </v>
      </c>
      <c r="H2746" s="26" t="str">
        <f>"212"</f>
        <v>212</v>
      </c>
      <c r="I2746" s="26" t="str">
        <f t="shared" si="456"/>
        <v>00</v>
      </c>
      <c r="J2746" s="26" t="str">
        <f>"42 "</f>
        <v xml:space="preserve">42 </v>
      </c>
      <c r="K2746" s="26" t="str">
        <f>"PR"</f>
        <v>PR</v>
      </c>
      <c r="L2746" s="26" t="str">
        <f>"DGOSE"</f>
        <v>DGOSE</v>
      </c>
      <c r="M2746" s="26" t="str">
        <f t="shared" si="459"/>
        <v>PARTICULAR</v>
      </c>
      <c r="N2746" s="26">
        <v>151</v>
      </c>
      <c r="O2746" s="26">
        <v>79</v>
      </c>
      <c r="P2746" s="26">
        <v>72</v>
      </c>
      <c r="Q2746" s="26">
        <v>6</v>
      </c>
      <c r="R2746" s="26">
        <v>1</v>
      </c>
      <c r="S2746" s="26">
        <v>6</v>
      </c>
      <c r="T2746" s="26">
        <v>4</v>
      </c>
      <c r="U2746" s="26">
        <v>11</v>
      </c>
      <c r="V2746" s="26">
        <v>1</v>
      </c>
      <c r="W2746" s="26"/>
    </row>
    <row r="2747" spans="1:23" x14ac:dyDescent="0.25">
      <c r="A2747" s="26" t="str">
        <f t="shared" si="455"/>
        <v>PRIMARIA</v>
      </c>
      <c r="B2747" s="26" t="str">
        <f>"09PPR1210E"</f>
        <v>09PPR1210E</v>
      </c>
      <c r="C2747" s="26" t="str">
        <f>"INSTITUTO CULTURA Y VALORES                                                                         "</f>
        <v xml:space="preserve">INSTITUTO CULTURA Y VALORES                                                                         </v>
      </c>
      <c r="D2747" s="26" t="str">
        <f t="shared" si="461"/>
        <v>MATUTINO</v>
      </c>
      <c r="E2747" s="26" t="str">
        <f>"AV JOYAS NO 170                                                                 "</f>
        <v xml:space="preserve">AV JOYAS NO 170                                                                 </v>
      </c>
      <c r="F2747" s="26" t="str">
        <f>"ESTRELLA                                                                                                                                    "</f>
        <v xml:space="preserve">ESTRELLA                                                                                                                                    </v>
      </c>
      <c r="G2747" s="26" t="str">
        <f>"GUSTAVO A. MADERO                                                               "</f>
        <v xml:space="preserve">GUSTAVO A. MADERO                                                               </v>
      </c>
      <c r="H2747" s="26" t="str">
        <f>"250"</f>
        <v>250</v>
      </c>
      <c r="I2747" s="26" t="str">
        <f t="shared" si="456"/>
        <v>00</v>
      </c>
      <c r="J2747" s="26" t="str">
        <f>"42 "</f>
        <v xml:space="preserve">42 </v>
      </c>
      <c r="K2747" s="26" t="str">
        <f>"PR"</f>
        <v>PR</v>
      </c>
      <c r="L2747" s="26" t="str">
        <f>"DGOSE"</f>
        <v>DGOSE</v>
      </c>
      <c r="M2747" s="26" t="str">
        <f t="shared" si="459"/>
        <v>PARTICULAR</v>
      </c>
      <c r="N2747" s="26">
        <v>131</v>
      </c>
      <c r="O2747" s="26">
        <v>70</v>
      </c>
      <c r="P2747" s="26">
        <v>61</v>
      </c>
      <c r="Q2747" s="26">
        <v>6</v>
      </c>
      <c r="R2747" s="26">
        <v>1</v>
      </c>
      <c r="S2747" s="26">
        <v>3</v>
      </c>
      <c r="T2747" s="26">
        <v>13</v>
      </c>
      <c r="U2747" s="26">
        <v>17</v>
      </c>
      <c r="V2747" s="26">
        <v>1</v>
      </c>
      <c r="W2747" s="26"/>
    </row>
    <row r="2748" spans="1:23" x14ac:dyDescent="0.25">
      <c r="A2748" s="26" t="str">
        <f t="shared" si="455"/>
        <v>PRIMARIA</v>
      </c>
      <c r="B2748" s="26" t="str">
        <f>"09PPR1212C"</f>
        <v>09PPR1212C</v>
      </c>
      <c r="C2748" s="26" t="str">
        <f>"COLEGIO ANDERSEN                                                                                    "</f>
        <v xml:space="preserve">COLEGIO ANDERSEN                                                                                    </v>
      </c>
      <c r="D2748" s="26" t="str">
        <f t="shared" si="461"/>
        <v>MATUTINO</v>
      </c>
      <c r="E2748" s="26" t="str">
        <f>"MONTIEL NO 205                                                                  "</f>
        <v xml:space="preserve">MONTIEL NO 205                                                                  </v>
      </c>
      <c r="F2748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2748" s="26" t="str">
        <f>"GUSTAVO A. MADERO                                                               "</f>
        <v xml:space="preserve">GUSTAVO A. MADERO                                                               </v>
      </c>
      <c r="H2748" s="26" t="str">
        <f>"243"</f>
        <v>243</v>
      </c>
      <c r="I2748" s="26" t="str">
        <f t="shared" si="456"/>
        <v>00</v>
      </c>
      <c r="J2748" s="26" t="str">
        <f>"42 "</f>
        <v xml:space="preserve">42 </v>
      </c>
      <c r="K2748" s="26" t="str">
        <f>"PR"</f>
        <v>PR</v>
      </c>
      <c r="L2748" s="26" t="str">
        <f>"DGOSE"</f>
        <v>DGOSE</v>
      </c>
      <c r="M2748" s="26" t="str">
        <f t="shared" si="459"/>
        <v>PARTICULAR</v>
      </c>
      <c r="N2748" s="26">
        <v>157</v>
      </c>
      <c r="O2748" s="26">
        <v>91</v>
      </c>
      <c r="P2748" s="26">
        <v>66</v>
      </c>
      <c r="Q2748" s="26">
        <v>6</v>
      </c>
      <c r="R2748" s="26">
        <v>1</v>
      </c>
      <c r="S2748" s="26">
        <v>6</v>
      </c>
      <c r="T2748" s="26">
        <v>11</v>
      </c>
      <c r="U2748" s="26">
        <v>18</v>
      </c>
      <c r="V2748" s="26">
        <v>1</v>
      </c>
      <c r="W2748" s="26"/>
    </row>
    <row r="2749" spans="1:23" x14ac:dyDescent="0.25">
      <c r="A2749" s="26" t="str">
        <f t="shared" si="455"/>
        <v>PRIMARIA</v>
      </c>
      <c r="B2749" s="26" t="str">
        <f>"09PPR1213B"</f>
        <v>09PPR1213B</v>
      </c>
      <c r="C2749" s="26" t="str">
        <f>"COLEGIO HIDALGO AMERICANO                                                                           "</f>
        <v xml:space="preserve">COLEGIO HIDALGO AMERICANO                                                                           </v>
      </c>
      <c r="D2749" s="26" t="str">
        <f t="shared" si="461"/>
        <v>MATUTINO</v>
      </c>
      <c r="E2749" s="26" t="str">
        <f>"AV CENTENARIO NO 2011                                                           "</f>
        <v xml:space="preserve">AV CENTENARIO NO 2011                                                           </v>
      </c>
      <c r="F2749" s="26" t="str">
        <f>"SANTIAGO ATZACOALCO                                                                                                                         "</f>
        <v xml:space="preserve">SANTIAGO ATZACOALCO                                                                                                                         </v>
      </c>
      <c r="G2749" s="26" t="str">
        <f>"GUSTAVO A. MADERO                                                               "</f>
        <v xml:space="preserve">GUSTAVO A. MADERO                                                               </v>
      </c>
      <c r="H2749" s="26" t="str">
        <f>"260"</f>
        <v>260</v>
      </c>
      <c r="I2749" s="26" t="str">
        <f t="shared" si="456"/>
        <v>00</v>
      </c>
      <c r="J2749" s="26" t="str">
        <f>"42 "</f>
        <v xml:space="preserve">42 </v>
      </c>
      <c r="K2749" s="26" t="str">
        <f>"PR"</f>
        <v>PR</v>
      </c>
      <c r="L2749" s="26" t="str">
        <f>"DGOSE"</f>
        <v>DGOSE</v>
      </c>
      <c r="M2749" s="26" t="str">
        <f t="shared" si="459"/>
        <v>PARTICULAR</v>
      </c>
      <c r="N2749" s="26">
        <v>82</v>
      </c>
      <c r="O2749" s="26">
        <v>43</v>
      </c>
      <c r="P2749" s="26">
        <v>39</v>
      </c>
      <c r="Q2749" s="26">
        <v>6</v>
      </c>
      <c r="R2749" s="26">
        <v>1</v>
      </c>
      <c r="S2749" s="26">
        <v>6</v>
      </c>
      <c r="T2749" s="26">
        <v>7</v>
      </c>
      <c r="U2749" s="26">
        <v>14</v>
      </c>
      <c r="V2749" s="26">
        <v>1</v>
      </c>
      <c r="W2749" s="26"/>
    </row>
    <row r="2750" spans="1:23" x14ac:dyDescent="0.25">
      <c r="A2750" s="26" t="str">
        <f t="shared" si="455"/>
        <v>PRIMARIA</v>
      </c>
      <c r="B2750" s="26" t="str">
        <f>"09PPR1215Z"</f>
        <v>09PPR1215Z</v>
      </c>
      <c r="C2750" s="26" t="str">
        <f>"ALFRED NOBEL                                                                                        "</f>
        <v xml:space="preserve">ALFRED NOBEL                                                                                        </v>
      </c>
      <c r="D2750" s="26" t="str">
        <f t="shared" si="461"/>
        <v>MATUTINO</v>
      </c>
      <c r="E2750" s="26" t="str">
        <f>"DZEMUL 192                                                                      "</f>
        <v xml:space="preserve">DZEMUL 192                                                                      </v>
      </c>
      <c r="F2750" s="26" t="str">
        <f>"PEDREGAL DE SAN NICOLAS                                                                                                                     "</f>
        <v xml:space="preserve">PEDREGAL DE SAN NICOLAS                                                                                                                     </v>
      </c>
      <c r="G2750" s="26" t="str">
        <f>"TLALPAN                                                                         "</f>
        <v xml:space="preserve">TLALPAN                                                                         </v>
      </c>
      <c r="H2750" s="26" t="str">
        <f>"514"</f>
        <v>514</v>
      </c>
      <c r="I2750" s="26" t="str">
        <f t="shared" si="456"/>
        <v>00</v>
      </c>
      <c r="J2750" s="26" t="str">
        <f>"45 "</f>
        <v xml:space="preserve">45 </v>
      </c>
      <c r="K2750" s="26" t="str">
        <f>"PR"</f>
        <v>PR</v>
      </c>
      <c r="L2750" s="26" t="str">
        <f>"DGOSE"</f>
        <v>DGOSE</v>
      </c>
      <c r="M2750" s="26" t="str">
        <f t="shared" si="459"/>
        <v>PARTICULAR</v>
      </c>
      <c r="N2750" s="26">
        <v>45</v>
      </c>
      <c r="O2750" s="26">
        <v>20</v>
      </c>
      <c r="P2750" s="26">
        <v>25</v>
      </c>
      <c r="Q2750" s="26">
        <v>6</v>
      </c>
      <c r="R2750" s="26">
        <v>1</v>
      </c>
      <c r="S2750" s="26">
        <v>3</v>
      </c>
      <c r="T2750" s="26">
        <v>2</v>
      </c>
      <c r="U2750" s="26">
        <v>6</v>
      </c>
      <c r="V2750" s="26">
        <v>1</v>
      </c>
      <c r="W2750" s="26"/>
    </row>
    <row r="2751" spans="1:23" x14ac:dyDescent="0.25">
      <c r="A2751" s="26" t="str">
        <f t="shared" si="455"/>
        <v>PRIMARIA</v>
      </c>
      <c r="B2751" s="26" t="str">
        <f>"09PPR1216Z"</f>
        <v>09PPR1216Z</v>
      </c>
      <c r="C2751" s="26" t="str">
        <f>"COLEGIO JOHN F. KENNEDY                                                                             "</f>
        <v xml:space="preserve">COLEGIO JOHN F. KENNEDY                                                                             </v>
      </c>
      <c r="D2751" s="26" t="str">
        <f t="shared" si="461"/>
        <v>MATUTINO</v>
      </c>
      <c r="E2751" s="26" t="str">
        <f>"RIO MISSISSIPI NO. 540 LT. 13                                                   "</f>
        <v xml:space="preserve">RIO MISSISSIPI NO. 540 LT. 13                                                   </v>
      </c>
      <c r="F2751" s="26" t="str">
        <f>"PUENTE BLANCO                                                                                                                               "</f>
        <v xml:space="preserve">PUENTE BLANCO                                                                                                                               </v>
      </c>
      <c r="G2751" s="26" t="str">
        <f>"IZTAPALAPA                                                                      "</f>
        <v xml:space="preserve">IZTAPALAPA                                                                      </v>
      </c>
      <c r="H2751" s="26" t="str">
        <f>"000"</f>
        <v>000</v>
      </c>
      <c r="I2751" s="26" t="str">
        <f t="shared" si="456"/>
        <v>00</v>
      </c>
      <c r="J2751" s="26" t="str">
        <f>"63 "</f>
        <v xml:space="preserve">63 </v>
      </c>
      <c r="K2751" s="26" t="str">
        <f>"IZ"</f>
        <v>IZ</v>
      </c>
      <c r="L2751" s="26" t="str">
        <f>"DGSEI"</f>
        <v>DGSEI</v>
      </c>
      <c r="M2751" s="26" t="str">
        <f t="shared" si="459"/>
        <v>PARTICULAR</v>
      </c>
      <c r="N2751" s="26">
        <v>117</v>
      </c>
      <c r="O2751" s="26">
        <v>63</v>
      </c>
      <c r="P2751" s="26">
        <v>54</v>
      </c>
      <c r="Q2751" s="26">
        <v>6</v>
      </c>
      <c r="R2751" s="26">
        <v>1</v>
      </c>
      <c r="S2751" s="26">
        <v>6</v>
      </c>
      <c r="T2751" s="26">
        <v>5</v>
      </c>
      <c r="U2751" s="26">
        <v>12</v>
      </c>
      <c r="V2751" s="26">
        <v>1</v>
      </c>
      <c r="W2751" s="26"/>
    </row>
    <row r="2752" spans="1:23" x14ac:dyDescent="0.25">
      <c r="A2752" s="26" t="str">
        <f t="shared" si="455"/>
        <v>PRIMARIA</v>
      </c>
      <c r="B2752" s="26" t="str">
        <f>"09PPR1217Y"</f>
        <v>09PPR1217Y</v>
      </c>
      <c r="C2752" s="26" t="str">
        <f>"SENDA                                                                                               "</f>
        <v xml:space="preserve">SENDA                                                                                               </v>
      </c>
      <c r="D2752" s="26" t="str">
        <f t="shared" si="461"/>
        <v>MATUTINO</v>
      </c>
      <c r="E2752" s="26" t="str">
        <f>"AVENIDA TOLUCA 541                                                              "</f>
        <v xml:space="preserve">AVENIDA TOLUCA 541                                                              </v>
      </c>
      <c r="F2752" s="26" t="str">
        <f>"OLIVAR DE LOS PADRES                                                                                                                        "</f>
        <v xml:space="preserve">OLIVAR DE LOS PADRES                                                                                                                        </v>
      </c>
      <c r="G2752" s="26" t="str">
        <f>"ALVARO OBREGON                                                                  "</f>
        <v xml:space="preserve">ALVARO OBREGON                                                                  </v>
      </c>
      <c r="H2752" s="26" t="str">
        <f>"328"</f>
        <v>328</v>
      </c>
      <c r="I2752" s="26" t="str">
        <f t="shared" si="456"/>
        <v>00</v>
      </c>
      <c r="J2752" s="26" t="str">
        <f>"43 "</f>
        <v xml:space="preserve">43 </v>
      </c>
      <c r="K2752" s="26" t="str">
        <f>"PR"</f>
        <v>PR</v>
      </c>
      <c r="L2752" s="26" t="str">
        <f>"DGOSE"</f>
        <v>DGOSE</v>
      </c>
      <c r="M2752" s="26" t="str">
        <f t="shared" si="459"/>
        <v>PARTICULAR</v>
      </c>
      <c r="N2752" s="26">
        <v>86</v>
      </c>
      <c r="O2752" s="26">
        <v>52</v>
      </c>
      <c r="P2752" s="26">
        <v>34</v>
      </c>
      <c r="Q2752" s="26">
        <v>6</v>
      </c>
      <c r="R2752" s="26">
        <v>1</v>
      </c>
      <c r="S2752" s="26">
        <v>3</v>
      </c>
      <c r="T2752" s="26">
        <v>10</v>
      </c>
      <c r="U2752" s="26">
        <v>14</v>
      </c>
      <c r="V2752" s="26">
        <v>1</v>
      </c>
      <c r="W2752" s="26"/>
    </row>
    <row r="2753" spans="1:23" x14ac:dyDescent="0.25">
      <c r="A2753" s="26" t="str">
        <f t="shared" si="455"/>
        <v>PRIMARIA</v>
      </c>
      <c r="B2753" s="26" t="str">
        <f>"09PPR1218X"</f>
        <v>09PPR1218X</v>
      </c>
      <c r="C2753" s="26" t="str">
        <f>"ROBERTO OWEN                                                                                        "</f>
        <v xml:space="preserve">ROBERTO OWEN                                                                                        </v>
      </c>
      <c r="D2753" s="26" t="str">
        <f t="shared" si="461"/>
        <v>MATUTINO</v>
      </c>
      <c r="E2753" s="26" t="str">
        <f>"PLAN DE AYALA NO. 388                                                           "</f>
        <v xml:space="preserve">PLAN DE AYALA NO. 388                                                           </v>
      </c>
      <c r="F2753" s="26" t="str">
        <f>"SANTA MARIA AZTAHUACAN                                                                                                                      "</f>
        <v xml:space="preserve">SANTA MARIA AZTAHUACAN                                                                                                                      </v>
      </c>
      <c r="G2753" s="26" t="str">
        <f>"IZTAPALAPA                                                                      "</f>
        <v xml:space="preserve">IZTAPALAPA                                                                      </v>
      </c>
      <c r="H2753" s="26" t="str">
        <f>"000"</f>
        <v>000</v>
      </c>
      <c r="I2753" s="26" t="str">
        <f t="shared" si="456"/>
        <v>00</v>
      </c>
      <c r="J2753" s="26" t="str">
        <f>"64 "</f>
        <v xml:space="preserve">64 </v>
      </c>
      <c r="K2753" s="26" t="str">
        <f>"IZ"</f>
        <v>IZ</v>
      </c>
      <c r="L2753" s="26" t="str">
        <f>"DGSEI"</f>
        <v>DGSEI</v>
      </c>
      <c r="M2753" s="26" t="str">
        <f t="shared" si="459"/>
        <v>PARTICULAR</v>
      </c>
      <c r="N2753" s="26">
        <v>106</v>
      </c>
      <c r="O2753" s="26">
        <v>64</v>
      </c>
      <c r="P2753" s="26">
        <v>42</v>
      </c>
      <c r="Q2753" s="26">
        <v>6</v>
      </c>
      <c r="R2753" s="26">
        <v>1</v>
      </c>
      <c r="S2753" s="26">
        <v>3</v>
      </c>
      <c r="T2753" s="26">
        <v>8</v>
      </c>
      <c r="U2753" s="26">
        <v>12</v>
      </c>
      <c r="V2753" s="26">
        <v>1</v>
      </c>
      <c r="W2753" s="26"/>
    </row>
    <row r="2754" spans="1:23" x14ac:dyDescent="0.25">
      <c r="A2754" s="26" t="str">
        <f t="shared" ref="A2754:A2817" si="466">"PRIMARIA"</f>
        <v>PRIMARIA</v>
      </c>
      <c r="B2754" s="26" t="str">
        <f>"09PPR1219W"</f>
        <v>09PPR1219W</v>
      </c>
      <c r="C2754" s="26" t="str">
        <f>"COLEGIO MODERNO DE ORIENTE JEAN PIAGET                                                              "</f>
        <v xml:space="preserve">COLEGIO MODERNO DE ORIENTE JEAN PIAGET                                                              </v>
      </c>
      <c r="D2754" s="26" t="str">
        <f t="shared" si="461"/>
        <v>MATUTINO</v>
      </c>
      <c r="E2754" s="26" t="str">
        <f>"SUR 22 NUM 38                                                                   "</f>
        <v xml:space="preserve">SUR 22 NUM 38                                                                   </v>
      </c>
      <c r="F2754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2754" s="26" t="str">
        <f>"IZTACALCO                                                                       "</f>
        <v xml:space="preserve">IZTACALCO                                                                       </v>
      </c>
      <c r="H2754" s="26" t="str">
        <f>"355"</f>
        <v>355</v>
      </c>
      <c r="I2754" s="26" t="str">
        <f t="shared" ref="I2754:I2817" si="467">"00"</f>
        <v>00</v>
      </c>
      <c r="J2754" s="26" t="str">
        <f>"43 "</f>
        <v xml:space="preserve">43 </v>
      </c>
      <c r="K2754" s="26" t="str">
        <f t="shared" ref="K2754:K2762" si="468">"PR"</f>
        <v>PR</v>
      </c>
      <c r="L2754" s="26" t="str">
        <f t="shared" ref="L2754:L2762" si="469">"DGOSE"</f>
        <v>DGOSE</v>
      </c>
      <c r="M2754" s="26" t="str">
        <f t="shared" si="459"/>
        <v>PARTICULAR</v>
      </c>
      <c r="N2754" s="26">
        <v>73</v>
      </c>
      <c r="O2754" s="26">
        <v>43</v>
      </c>
      <c r="P2754" s="26">
        <v>30</v>
      </c>
      <c r="Q2754" s="26">
        <v>6</v>
      </c>
      <c r="R2754" s="26">
        <v>1</v>
      </c>
      <c r="S2754" s="26">
        <v>6</v>
      </c>
      <c r="T2754" s="26">
        <v>4</v>
      </c>
      <c r="U2754" s="26">
        <v>11</v>
      </c>
      <c r="V2754" s="26">
        <v>1</v>
      </c>
      <c r="W2754" s="26"/>
    </row>
    <row r="2755" spans="1:23" x14ac:dyDescent="0.25">
      <c r="A2755" s="26" t="str">
        <f t="shared" si="466"/>
        <v>PRIMARIA</v>
      </c>
      <c r="B2755" s="26" t="str">
        <f>"09PPR1220L"</f>
        <v>09PPR1220L</v>
      </c>
      <c r="C2755" s="26" t="str">
        <f>"COLEGIO KEPPLER                                                                                     "</f>
        <v xml:space="preserve">COLEGIO KEPPLER                                                                                     </v>
      </c>
      <c r="D2755" s="26" t="str">
        <f t="shared" si="461"/>
        <v>MATUTINO</v>
      </c>
      <c r="E2755" s="26" t="str">
        <f>"CALIFORNIA NO 39                                                                "</f>
        <v xml:space="preserve">CALIFORNIA NO 39                                                                </v>
      </c>
      <c r="F2755" s="26" t="str">
        <f>"PARQUE SAN ANDRES                                                                                                                           "</f>
        <v xml:space="preserve">PARQUE SAN ANDRES                                                                                                                           </v>
      </c>
      <c r="G2755" s="26" t="str">
        <f>"COYOACAN                                                                        "</f>
        <v xml:space="preserve">COYOACAN                                                                        </v>
      </c>
      <c r="H2755" s="26" t="str">
        <f>"502"</f>
        <v>502</v>
      </c>
      <c r="I2755" s="26" t="str">
        <f t="shared" si="467"/>
        <v>00</v>
      </c>
      <c r="J2755" s="26" t="str">
        <f>"45 "</f>
        <v xml:space="preserve">45 </v>
      </c>
      <c r="K2755" s="26" t="str">
        <f t="shared" si="468"/>
        <v>PR</v>
      </c>
      <c r="L2755" s="26" t="str">
        <f t="shared" si="469"/>
        <v>DGOSE</v>
      </c>
      <c r="M2755" s="26" t="str">
        <f t="shared" si="459"/>
        <v>PARTICULAR</v>
      </c>
      <c r="N2755" s="26">
        <v>94</v>
      </c>
      <c r="O2755" s="26">
        <v>52</v>
      </c>
      <c r="P2755" s="26">
        <v>42</v>
      </c>
      <c r="Q2755" s="26">
        <v>6</v>
      </c>
      <c r="R2755" s="26">
        <v>1</v>
      </c>
      <c r="S2755" s="26">
        <v>3</v>
      </c>
      <c r="T2755" s="26">
        <v>9</v>
      </c>
      <c r="U2755" s="26">
        <v>13</v>
      </c>
      <c r="V2755" s="26">
        <v>1</v>
      </c>
      <c r="W2755" s="26"/>
    </row>
    <row r="2756" spans="1:23" x14ac:dyDescent="0.25">
      <c r="A2756" s="26" t="str">
        <f t="shared" si="466"/>
        <v>PRIMARIA</v>
      </c>
      <c r="B2756" s="26" t="str">
        <f>"09PPR1221K"</f>
        <v>09PPR1221K</v>
      </c>
      <c r="C2756" s="26" t="str">
        <f>"LICEO INFANTIL DE MEXICO                                                                            "</f>
        <v xml:space="preserve">LICEO INFANTIL DE MEXICO                                                                            </v>
      </c>
      <c r="D2756" s="26" t="str">
        <f t="shared" si="461"/>
        <v>MATUTINO</v>
      </c>
      <c r="E2756" s="26" t="str">
        <f>"AVENIDA LORENZO BOTURINI No644                                                  "</f>
        <v xml:space="preserve">AVENIDA LORENZO BOTURINI No644                                                  </v>
      </c>
      <c r="F2756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2756" s="26" t="str">
        <f>"VENUSTIANO CARRANZA                                                             "</f>
        <v xml:space="preserve">VENUSTIANO CARRANZA                                                             </v>
      </c>
      <c r="H2756" s="26" t="str">
        <f>"347"</f>
        <v>347</v>
      </c>
      <c r="I2756" s="26" t="str">
        <f t="shared" si="467"/>
        <v>00</v>
      </c>
      <c r="J2756" s="26" t="str">
        <f>"43 "</f>
        <v xml:space="preserve">43 </v>
      </c>
      <c r="K2756" s="26" t="str">
        <f t="shared" si="468"/>
        <v>PR</v>
      </c>
      <c r="L2756" s="26" t="str">
        <f t="shared" si="469"/>
        <v>DGOSE</v>
      </c>
      <c r="M2756" s="26" t="str">
        <f t="shared" si="459"/>
        <v>PARTICULAR</v>
      </c>
      <c r="N2756" s="26">
        <v>20</v>
      </c>
      <c r="O2756" s="26">
        <v>13</v>
      </c>
      <c r="P2756" s="26">
        <v>7</v>
      </c>
      <c r="Q2756" s="26">
        <v>5</v>
      </c>
      <c r="R2756" s="26">
        <v>0</v>
      </c>
      <c r="S2756" s="26">
        <v>3</v>
      </c>
      <c r="T2756" s="26">
        <v>8</v>
      </c>
      <c r="U2756" s="26">
        <v>11</v>
      </c>
      <c r="V2756" s="26">
        <v>1</v>
      </c>
      <c r="W2756" s="26"/>
    </row>
    <row r="2757" spans="1:23" x14ac:dyDescent="0.25">
      <c r="A2757" s="26" t="str">
        <f t="shared" si="466"/>
        <v>PRIMARIA</v>
      </c>
      <c r="B2757" s="26" t="str">
        <f>"09PPR1222J"</f>
        <v>09PPR1222J</v>
      </c>
      <c r="C2757" s="26" t="str">
        <f>"COLEGIO LIBERTAD                                                                                    "</f>
        <v xml:space="preserve">COLEGIO LIBERTAD                                                                                    </v>
      </c>
      <c r="D2757" s="26" t="str">
        <f t="shared" si="461"/>
        <v>MATUTINO</v>
      </c>
      <c r="E2757" s="26" t="str">
        <f>"SUR 113 A NUM 2415                                                              "</f>
        <v xml:space="preserve">SUR 113 A NUM 2415                                                              </v>
      </c>
      <c r="F2757" s="26" t="str">
        <f>"GABRIEL RAMOS MILLAN                                                                                                                        "</f>
        <v xml:space="preserve">GABRIEL RAMOS MILLAN                                                                                                                        </v>
      </c>
      <c r="G2757" s="26" t="str">
        <f>"IZTACALCO                                                                       "</f>
        <v xml:space="preserve">IZTACALCO                                                                       </v>
      </c>
      <c r="H2757" s="26" t="str">
        <f>"359"</f>
        <v>359</v>
      </c>
      <c r="I2757" s="26" t="str">
        <f t="shared" si="467"/>
        <v>00</v>
      </c>
      <c r="J2757" s="26" t="str">
        <f>"43 "</f>
        <v xml:space="preserve">43 </v>
      </c>
      <c r="K2757" s="26" t="str">
        <f t="shared" si="468"/>
        <v>PR</v>
      </c>
      <c r="L2757" s="26" t="str">
        <f t="shared" si="469"/>
        <v>DGOSE</v>
      </c>
      <c r="M2757" s="26" t="str">
        <f t="shared" si="459"/>
        <v>PARTICULAR</v>
      </c>
      <c r="N2757" s="26">
        <v>43</v>
      </c>
      <c r="O2757" s="26">
        <v>27</v>
      </c>
      <c r="P2757" s="26">
        <v>16</v>
      </c>
      <c r="Q2757" s="26">
        <v>6</v>
      </c>
      <c r="R2757" s="26">
        <v>1</v>
      </c>
      <c r="S2757" s="26">
        <v>5</v>
      </c>
      <c r="T2757" s="26">
        <v>4</v>
      </c>
      <c r="U2757" s="26">
        <v>10</v>
      </c>
      <c r="V2757" s="26">
        <v>1</v>
      </c>
      <c r="W2757" s="26"/>
    </row>
    <row r="2758" spans="1:23" x14ac:dyDescent="0.25">
      <c r="A2758" s="26" t="str">
        <f t="shared" si="466"/>
        <v>PRIMARIA</v>
      </c>
      <c r="B2758" s="26" t="str">
        <f>"09PPR1223I"</f>
        <v>09PPR1223I</v>
      </c>
      <c r="C2758" s="26" t="str">
        <f>"COLEGIO VASCONCELOS                                                                                 "</f>
        <v xml:space="preserve">COLEGIO VASCONCELOS                                                                                 </v>
      </c>
      <c r="D2758" s="26" t="str">
        <f t="shared" si="461"/>
        <v>MATUTINO</v>
      </c>
      <c r="E2758" s="26" t="str">
        <f>"GENERAL MIGUEL QUINTANA 3                                                       "</f>
        <v xml:space="preserve">GENERAL MIGUEL QUINTANA 3                                                       </v>
      </c>
      <c r="F2758" s="26" t="str">
        <f>"DANIEL GARZA AMPLIACION                                                                                                                     "</f>
        <v xml:space="preserve">DANIEL GARZA AMPLIACION                                                                                                                     </v>
      </c>
      <c r="G2758" s="26" t="str">
        <f>"MIGUEL HIDALGO                                                                  "</f>
        <v xml:space="preserve">MIGUEL HIDALGO                                                                  </v>
      </c>
      <c r="H2758" s="26" t="str">
        <f>"210"</f>
        <v>210</v>
      </c>
      <c r="I2758" s="26" t="str">
        <f t="shared" si="467"/>
        <v>00</v>
      </c>
      <c r="J2758" s="26" t="str">
        <f>"42 "</f>
        <v xml:space="preserve">42 </v>
      </c>
      <c r="K2758" s="26" t="str">
        <f t="shared" si="468"/>
        <v>PR</v>
      </c>
      <c r="L2758" s="26" t="str">
        <f t="shared" si="469"/>
        <v>DGOSE</v>
      </c>
      <c r="M2758" s="26" t="str">
        <f t="shared" si="459"/>
        <v>PARTICULAR</v>
      </c>
      <c r="N2758" s="26">
        <v>216</v>
      </c>
      <c r="O2758" s="26">
        <v>108</v>
      </c>
      <c r="P2758" s="26">
        <v>108</v>
      </c>
      <c r="Q2758" s="26">
        <v>11</v>
      </c>
      <c r="R2758" s="26">
        <v>1</v>
      </c>
      <c r="S2758" s="26">
        <v>10</v>
      </c>
      <c r="T2758" s="26">
        <v>11</v>
      </c>
      <c r="U2758" s="26">
        <v>22</v>
      </c>
      <c r="V2758" s="26">
        <v>1</v>
      </c>
      <c r="W2758" s="26"/>
    </row>
    <row r="2759" spans="1:23" x14ac:dyDescent="0.25">
      <c r="A2759" s="26" t="str">
        <f t="shared" si="466"/>
        <v>PRIMARIA</v>
      </c>
      <c r="B2759" s="26" t="str">
        <f>"09PPR1224H"</f>
        <v>09PPR1224H</v>
      </c>
      <c r="C2759" s="26" t="str">
        <f>"COLEGIO ASPEN                                                                                       "</f>
        <v xml:space="preserve">COLEGIO ASPEN                                                                                       </v>
      </c>
      <c r="D2759" s="26" t="str">
        <f t="shared" si="461"/>
        <v>MATUTINO</v>
      </c>
      <c r="E2759" s="26" t="str">
        <f>"IRAPUATO 63                                                                     "</f>
        <v xml:space="preserve">IRAPUATO 63                                                                     </v>
      </c>
      <c r="F2759" s="26" t="str">
        <f>"CLAVERIA                                                                                                                                    "</f>
        <v xml:space="preserve">CLAVERIA                                                                                                                                    </v>
      </c>
      <c r="G2759" s="26" t="str">
        <f>"AZCAPOTZALCO                                                                    "</f>
        <v xml:space="preserve">AZCAPOTZALCO                                                                    </v>
      </c>
      <c r="H2759" s="26" t="str">
        <f>"000"</f>
        <v>000</v>
      </c>
      <c r="I2759" s="26" t="str">
        <f t="shared" si="467"/>
        <v>00</v>
      </c>
      <c r="J2759" s="26" t="str">
        <f>"42 "</f>
        <v xml:space="preserve">42 </v>
      </c>
      <c r="K2759" s="26" t="str">
        <f t="shared" si="468"/>
        <v>PR</v>
      </c>
      <c r="L2759" s="26" t="str">
        <f t="shared" si="469"/>
        <v>DGOSE</v>
      </c>
      <c r="M2759" s="26" t="str">
        <f t="shared" si="459"/>
        <v>PARTICULAR</v>
      </c>
      <c r="N2759" s="26">
        <v>123</v>
      </c>
      <c r="O2759" s="26">
        <v>54</v>
      </c>
      <c r="P2759" s="26">
        <v>69</v>
      </c>
      <c r="Q2759" s="26">
        <v>6</v>
      </c>
      <c r="R2759" s="26">
        <v>1</v>
      </c>
      <c r="S2759" s="26">
        <v>6</v>
      </c>
      <c r="T2759" s="26">
        <v>8</v>
      </c>
      <c r="U2759" s="26">
        <v>15</v>
      </c>
      <c r="V2759" s="26">
        <v>1</v>
      </c>
      <c r="W2759" s="26"/>
    </row>
    <row r="2760" spans="1:23" x14ac:dyDescent="0.25">
      <c r="A2760" s="26" t="str">
        <f t="shared" si="466"/>
        <v>PRIMARIA</v>
      </c>
      <c r="B2760" s="26" t="str">
        <f>"09PPR1225G"</f>
        <v>09PPR1225G</v>
      </c>
      <c r="C2760" s="26" t="str">
        <f>"MARIANNE FROSTING                                                                                   "</f>
        <v xml:space="preserve">MARIANNE FROSTING                                                                                   </v>
      </c>
      <c r="D2760" s="26" t="str">
        <f t="shared" si="461"/>
        <v>MATUTINO</v>
      </c>
      <c r="E2760" s="26" t="str">
        <f>"SUR 26 No.19                                                                    "</f>
        <v xml:space="preserve">SUR 26 No.19                                                                    </v>
      </c>
      <c r="F2760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2760" s="26" t="str">
        <f>"IZTACALCO                                                                       "</f>
        <v xml:space="preserve">IZTACALCO                                                                       </v>
      </c>
      <c r="H2760" s="26" t="str">
        <f>"357"</f>
        <v>357</v>
      </c>
      <c r="I2760" s="26" t="str">
        <f t="shared" si="467"/>
        <v>00</v>
      </c>
      <c r="J2760" s="26" t="str">
        <f>"43 "</f>
        <v xml:space="preserve">43 </v>
      </c>
      <c r="K2760" s="26" t="str">
        <f t="shared" si="468"/>
        <v>PR</v>
      </c>
      <c r="L2760" s="26" t="str">
        <f t="shared" si="469"/>
        <v>DGOSE</v>
      </c>
      <c r="M2760" s="26" t="str">
        <f t="shared" si="459"/>
        <v>PARTICULAR</v>
      </c>
      <c r="N2760" s="26">
        <v>89</v>
      </c>
      <c r="O2760" s="26">
        <v>44</v>
      </c>
      <c r="P2760" s="26">
        <v>45</v>
      </c>
      <c r="Q2760" s="26">
        <v>6</v>
      </c>
      <c r="R2760" s="26">
        <v>1</v>
      </c>
      <c r="S2760" s="26">
        <v>3</v>
      </c>
      <c r="T2760" s="26">
        <v>8</v>
      </c>
      <c r="U2760" s="26">
        <v>12</v>
      </c>
      <c r="V2760" s="26">
        <v>1</v>
      </c>
      <c r="W2760" s="26"/>
    </row>
    <row r="2761" spans="1:23" x14ac:dyDescent="0.25">
      <c r="A2761" s="26" t="str">
        <f t="shared" si="466"/>
        <v>PRIMARIA</v>
      </c>
      <c r="B2761" s="26" t="str">
        <f>"09PPR1226F"</f>
        <v>09PPR1226F</v>
      </c>
      <c r="C2761" s="26" t="str">
        <f>"WILLIAM SHAKESPEARE                                                                                 "</f>
        <v xml:space="preserve">WILLIAM SHAKESPEARE                                                                                 </v>
      </c>
      <c r="D2761" s="26" t="str">
        <f t="shared" si="461"/>
        <v>MATUTINO</v>
      </c>
      <c r="E2761" s="26" t="str">
        <f>"CARR XOCHIMILCO TULYEHUALCO 732                                                 "</f>
        <v xml:space="preserve">CARR XOCHIMILCO TULYEHUALCO 732                                                 </v>
      </c>
      <c r="F2761" s="26" t="str">
        <f>"SANTA MARIA NATIVITAS                                                                                                                       "</f>
        <v xml:space="preserve">SANTA MARIA NATIVITAS                                                                                                                       </v>
      </c>
      <c r="G2761" s="26" t="str">
        <f>"XOCHIMILCO                                                                      "</f>
        <v xml:space="preserve">XOCHIMILCO                                                                      </v>
      </c>
      <c r="H2761" s="26" t="str">
        <f>"540"</f>
        <v>540</v>
      </c>
      <c r="I2761" s="26" t="str">
        <f t="shared" si="467"/>
        <v>00</v>
      </c>
      <c r="J2761" s="26" t="str">
        <f>"45 "</f>
        <v xml:space="preserve">45 </v>
      </c>
      <c r="K2761" s="26" t="str">
        <f t="shared" si="468"/>
        <v>PR</v>
      </c>
      <c r="L2761" s="26" t="str">
        <f t="shared" si="469"/>
        <v>DGOSE</v>
      </c>
      <c r="M2761" s="26" t="str">
        <f t="shared" si="459"/>
        <v>PARTICULAR</v>
      </c>
      <c r="N2761" s="26">
        <v>68</v>
      </c>
      <c r="O2761" s="26">
        <v>33</v>
      </c>
      <c r="P2761" s="26">
        <v>35</v>
      </c>
      <c r="Q2761" s="26">
        <v>6</v>
      </c>
      <c r="R2761" s="26">
        <v>1</v>
      </c>
      <c r="S2761" s="26">
        <v>6</v>
      </c>
      <c r="T2761" s="26">
        <v>9</v>
      </c>
      <c r="U2761" s="26">
        <v>16</v>
      </c>
      <c r="V2761" s="26">
        <v>1</v>
      </c>
      <c r="W2761" s="26"/>
    </row>
    <row r="2762" spans="1:23" x14ac:dyDescent="0.25">
      <c r="A2762" s="26" t="str">
        <f t="shared" si="466"/>
        <v>PRIMARIA</v>
      </c>
      <c r="B2762" s="26" t="str">
        <f>"09PPR1227E"</f>
        <v>09PPR1227E</v>
      </c>
      <c r="C2762" s="26" t="str">
        <f>"CENTRO EDUCATIVO MONTESSORI UNION                                                                   "</f>
        <v xml:space="preserve">CENTRO EDUCATIVO MONTESSORI UNION                                                                   </v>
      </c>
      <c r="D2762" s="26" t="str">
        <f t="shared" si="461"/>
        <v>MATUTINO</v>
      </c>
      <c r="E2762" s="26" t="str">
        <f>"AV INSURGENTES SUR NO 4115                                                      "</f>
        <v xml:space="preserve">AV INSURGENTES SUR NO 4115                                                      </v>
      </c>
      <c r="F2762" s="26" t="str">
        <f>"SANTA URSULA XITLA                                                                                                                          "</f>
        <v xml:space="preserve">SANTA URSULA XITLA                                                                                                                          </v>
      </c>
      <c r="G2762" s="26" t="str">
        <f>"TLALPAN                                                                         "</f>
        <v xml:space="preserve">TLALPAN                                                                         </v>
      </c>
      <c r="H2762" s="26" t="str">
        <f>"521"</f>
        <v>521</v>
      </c>
      <c r="I2762" s="26" t="str">
        <f t="shared" si="467"/>
        <v>00</v>
      </c>
      <c r="J2762" s="26" t="str">
        <f>"45 "</f>
        <v xml:space="preserve">45 </v>
      </c>
      <c r="K2762" s="26" t="str">
        <f t="shared" si="468"/>
        <v>PR</v>
      </c>
      <c r="L2762" s="26" t="str">
        <f t="shared" si="469"/>
        <v>DGOSE</v>
      </c>
      <c r="M2762" s="26" t="str">
        <f t="shared" si="459"/>
        <v>PARTICULAR</v>
      </c>
      <c r="N2762" s="26">
        <v>45</v>
      </c>
      <c r="O2762" s="26">
        <v>28</v>
      </c>
      <c r="P2762" s="26">
        <v>17</v>
      </c>
      <c r="Q2762" s="26">
        <v>6</v>
      </c>
      <c r="R2762" s="26">
        <v>1</v>
      </c>
      <c r="S2762" s="26">
        <v>3</v>
      </c>
      <c r="T2762" s="26">
        <v>3</v>
      </c>
      <c r="U2762" s="26">
        <v>7</v>
      </c>
      <c r="V2762" s="26">
        <v>1</v>
      </c>
      <c r="W2762" s="26"/>
    </row>
    <row r="2763" spans="1:23" x14ac:dyDescent="0.25">
      <c r="A2763" s="26" t="str">
        <f t="shared" si="466"/>
        <v>PRIMARIA</v>
      </c>
      <c r="B2763" s="26" t="str">
        <f>"09PPR1229C"</f>
        <v>09PPR1229C</v>
      </c>
      <c r="C2763" s="26" t="str">
        <f>"COLEGIO CANDAS AMERICANO                                                                            "</f>
        <v xml:space="preserve">COLEGIO CANDAS AMERICANO                                                                            </v>
      </c>
      <c r="D2763" s="26" t="str">
        <f t="shared" si="461"/>
        <v>MATUTINO</v>
      </c>
      <c r="E2763" s="26" t="str">
        <f>"JOSAFAT F. MARQUEZ NO. 116                                                      "</f>
        <v xml:space="preserve">JOSAFAT F. MARQUEZ NO. 116                                                      </v>
      </c>
      <c r="F2763" s="26" t="str">
        <f>"COLONIAL IZTAPALAPA                                                                                                                         "</f>
        <v xml:space="preserve">COLONIAL IZTAPALAPA                                                                                                                         </v>
      </c>
      <c r="G2763" s="26" t="str">
        <f>"IZTAPALAPA                                                                      "</f>
        <v xml:space="preserve">IZTAPALAPA                                                                      </v>
      </c>
      <c r="H2763" s="26" t="str">
        <f>"000"</f>
        <v>000</v>
      </c>
      <c r="I2763" s="26" t="str">
        <f t="shared" si="467"/>
        <v>00</v>
      </c>
      <c r="J2763" s="26" t="str">
        <f>"64 "</f>
        <v xml:space="preserve">64 </v>
      </c>
      <c r="K2763" s="26" t="str">
        <f>"IZ"</f>
        <v>IZ</v>
      </c>
      <c r="L2763" s="26" t="str">
        <f>"DGSEI"</f>
        <v>DGSEI</v>
      </c>
      <c r="M2763" s="26" t="str">
        <f t="shared" si="459"/>
        <v>PARTICULAR</v>
      </c>
      <c r="N2763" s="26">
        <v>44</v>
      </c>
      <c r="O2763" s="26">
        <v>26</v>
      </c>
      <c r="P2763" s="26">
        <v>18</v>
      </c>
      <c r="Q2763" s="26">
        <v>6</v>
      </c>
      <c r="R2763" s="26">
        <v>1</v>
      </c>
      <c r="S2763" s="26">
        <v>3</v>
      </c>
      <c r="T2763" s="26">
        <v>7</v>
      </c>
      <c r="U2763" s="26">
        <v>11</v>
      </c>
      <c r="V2763" s="26">
        <v>1</v>
      </c>
      <c r="W2763" s="26"/>
    </row>
    <row r="2764" spans="1:23" x14ac:dyDescent="0.25">
      <c r="A2764" s="26" t="str">
        <f t="shared" si="466"/>
        <v>PRIMARIA</v>
      </c>
      <c r="B2764" s="26" t="str">
        <f>"09PPR1231R"</f>
        <v>09PPR1231R</v>
      </c>
      <c r="C2764" s="26" t="str">
        <f>"COLEGIO TLAMATINI                                                                                   "</f>
        <v xml:space="preserve">COLEGIO TLAMATINI                                                                                   </v>
      </c>
      <c r="D2764" s="26" t="str">
        <f t="shared" si="461"/>
        <v>MATUTINO</v>
      </c>
      <c r="E2764" s="26" t="str">
        <f>"CORREGIDORA NO 175                                                              "</f>
        <v xml:space="preserve">CORREGIDORA NO 175                                                              </v>
      </c>
      <c r="F2764" s="26" t="str">
        <f>"MIGUEL HIDALGO                                                                                                                              "</f>
        <v xml:space="preserve">MIGUEL HIDALGO                                                                                                                              </v>
      </c>
      <c r="G2764" s="26" t="str">
        <f>"TLALPAN                                                                         "</f>
        <v xml:space="preserve">TLALPAN                                                                         </v>
      </c>
      <c r="H2764" s="26" t="str">
        <f>"518"</f>
        <v>518</v>
      </c>
      <c r="I2764" s="26" t="str">
        <f t="shared" si="467"/>
        <v>00</v>
      </c>
      <c r="J2764" s="26" t="str">
        <f>"45 "</f>
        <v xml:space="preserve">45 </v>
      </c>
      <c r="K2764" s="26" t="str">
        <f t="shared" ref="K2764:K2774" si="470">"PR"</f>
        <v>PR</v>
      </c>
      <c r="L2764" s="26" t="str">
        <f t="shared" ref="L2764:L2774" si="471">"DGOSE"</f>
        <v>DGOSE</v>
      </c>
      <c r="M2764" s="26" t="str">
        <f t="shared" si="459"/>
        <v>PARTICULAR</v>
      </c>
      <c r="N2764" s="26">
        <v>44</v>
      </c>
      <c r="O2764" s="26">
        <v>25</v>
      </c>
      <c r="P2764" s="26">
        <v>19</v>
      </c>
      <c r="Q2764" s="26">
        <v>6</v>
      </c>
      <c r="R2764" s="26">
        <v>1</v>
      </c>
      <c r="S2764" s="26">
        <v>3</v>
      </c>
      <c r="T2764" s="26">
        <v>7</v>
      </c>
      <c r="U2764" s="26">
        <v>11</v>
      </c>
      <c r="V2764" s="26">
        <v>1</v>
      </c>
      <c r="W2764" s="26"/>
    </row>
    <row r="2765" spans="1:23" x14ac:dyDescent="0.25">
      <c r="A2765" s="26" t="str">
        <f t="shared" si="466"/>
        <v>PRIMARIA</v>
      </c>
      <c r="B2765" s="26" t="str">
        <f>"09PPR1233P"</f>
        <v>09PPR1233P</v>
      </c>
      <c r="C2765" s="26" t="str">
        <f>"NUEVA ACADEMIA DE FORMACION INTEGRAL                                                                "</f>
        <v xml:space="preserve">NUEVA ACADEMIA DE FORMACION INTEGRAL                                                                </v>
      </c>
      <c r="D2765" s="26" t="str">
        <f t="shared" si="461"/>
        <v>MATUTINO</v>
      </c>
      <c r="E2765" s="26" t="str">
        <f>"PONIENTE 152 NO 317                                                             "</f>
        <v xml:space="preserve">PONIENTE 152 NO 317                                                             </v>
      </c>
      <c r="F2765" s="26" t="str">
        <f>"NUEVA INDUSTRIAL VALLEJO                                                                                                                    "</f>
        <v xml:space="preserve">NUEVA INDUSTRIAL VALLEJO                                                                                                                    </v>
      </c>
      <c r="G2765" s="26" t="str">
        <f>"GUSTAVO A. MADERO                                                               "</f>
        <v xml:space="preserve">GUSTAVO A. MADERO                                                               </v>
      </c>
      <c r="H2765" s="26" t="str">
        <f>"241"</f>
        <v>241</v>
      </c>
      <c r="I2765" s="26" t="str">
        <f t="shared" si="467"/>
        <v>00</v>
      </c>
      <c r="J2765" s="26" t="str">
        <f>"42 "</f>
        <v xml:space="preserve">42 </v>
      </c>
      <c r="K2765" s="26" t="str">
        <f t="shared" si="470"/>
        <v>PR</v>
      </c>
      <c r="L2765" s="26" t="str">
        <f t="shared" si="471"/>
        <v>DGOSE</v>
      </c>
      <c r="M2765" s="26" t="str">
        <f t="shared" si="459"/>
        <v>PARTICULAR</v>
      </c>
      <c r="N2765" s="26">
        <v>75</v>
      </c>
      <c r="O2765" s="26">
        <v>49</v>
      </c>
      <c r="P2765" s="26">
        <v>26</v>
      </c>
      <c r="Q2765" s="26">
        <v>6</v>
      </c>
      <c r="R2765" s="26">
        <v>1</v>
      </c>
      <c r="S2765" s="26">
        <v>3</v>
      </c>
      <c r="T2765" s="26">
        <v>8</v>
      </c>
      <c r="U2765" s="26">
        <v>12</v>
      </c>
      <c r="V2765" s="26">
        <v>1</v>
      </c>
      <c r="W2765" s="26"/>
    </row>
    <row r="2766" spans="1:23" x14ac:dyDescent="0.25">
      <c r="A2766" s="26" t="str">
        <f t="shared" si="466"/>
        <v>PRIMARIA</v>
      </c>
      <c r="B2766" s="26" t="str">
        <f>"09PPR1235N"</f>
        <v>09PPR1235N</v>
      </c>
      <c r="C2766" s="26" t="str">
        <f>"CENTRO PEDAGOGICO FROEBEL                                                                           "</f>
        <v xml:space="preserve">CENTRO PEDAGOGICO FROEBEL                                                                           </v>
      </c>
      <c r="D2766" s="26" t="str">
        <f t="shared" si="461"/>
        <v>MATUTINO</v>
      </c>
      <c r="E2766" s="26" t="str">
        <f>"WASHINGTON NUM 162                                                              "</f>
        <v xml:space="preserve">WASHINGTON NUM 162                                                              </v>
      </c>
      <c r="F2766" s="26" t="str">
        <f>"MODERNA                                                                                                                                     "</f>
        <v xml:space="preserve">MODERNA                                                                                                                                     </v>
      </c>
      <c r="G2766" s="26" t="str">
        <f>"BENITO JUAREZ                                                                   "</f>
        <v xml:space="preserve">BENITO JUAREZ                                                                   </v>
      </c>
      <c r="H2766" s="26" t="str">
        <f>"000"</f>
        <v>000</v>
      </c>
      <c r="I2766" s="26" t="str">
        <f t="shared" si="467"/>
        <v>00</v>
      </c>
      <c r="J2766" s="26" t="str">
        <f>"43 "</f>
        <v xml:space="preserve">43 </v>
      </c>
      <c r="K2766" s="26" t="str">
        <f t="shared" si="470"/>
        <v>PR</v>
      </c>
      <c r="L2766" s="26" t="str">
        <f t="shared" si="471"/>
        <v>DGOSE</v>
      </c>
      <c r="M2766" s="26" t="str">
        <f t="shared" si="459"/>
        <v>PARTICULAR</v>
      </c>
      <c r="N2766" s="26">
        <v>136</v>
      </c>
      <c r="O2766" s="26">
        <v>72</v>
      </c>
      <c r="P2766" s="26">
        <v>64</v>
      </c>
      <c r="Q2766" s="26">
        <v>10</v>
      </c>
      <c r="R2766" s="26">
        <v>1</v>
      </c>
      <c r="S2766" s="26">
        <v>5</v>
      </c>
      <c r="T2766" s="26">
        <v>17</v>
      </c>
      <c r="U2766" s="26">
        <v>23</v>
      </c>
      <c r="V2766" s="26">
        <v>1</v>
      </c>
      <c r="W2766" s="26"/>
    </row>
    <row r="2767" spans="1:23" x14ac:dyDescent="0.25">
      <c r="A2767" s="26" t="str">
        <f t="shared" si="466"/>
        <v>PRIMARIA</v>
      </c>
      <c r="B2767" s="26" t="str">
        <f>"09PPR1236M"</f>
        <v>09PPR1236M</v>
      </c>
      <c r="C2767" s="26" t="str">
        <f>"INSTITUTO HIGHLANDS                                                                                 "</f>
        <v xml:space="preserve">INSTITUTO HIGHLANDS                                                                                 </v>
      </c>
      <c r="D2767" s="26" t="str">
        <f t="shared" si="461"/>
        <v>MATUTINO</v>
      </c>
      <c r="E2767" s="26" t="str">
        <f>"RINCONADA DE URANIO 41 M11 L 4-5                                                "</f>
        <v xml:space="preserve">RINCONADA DE URANIO 41 M11 L 4-5                                                </v>
      </c>
      <c r="F2767" s="26" t="str">
        <f>"TLALPAN                                                                                                                                     "</f>
        <v xml:space="preserve">TLALPAN                                                                                                                                     </v>
      </c>
      <c r="G2767" s="26" t="str">
        <f>"TLALPAN                                                                         "</f>
        <v xml:space="preserve">TLALPAN                                                                         </v>
      </c>
      <c r="H2767" s="26" t="str">
        <f>"512"</f>
        <v>512</v>
      </c>
      <c r="I2767" s="26" t="str">
        <f t="shared" si="467"/>
        <v>00</v>
      </c>
      <c r="J2767" s="26" t="str">
        <f>"45 "</f>
        <v xml:space="preserve">45 </v>
      </c>
      <c r="K2767" s="26" t="str">
        <f t="shared" si="470"/>
        <v>PR</v>
      </c>
      <c r="L2767" s="26" t="str">
        <f t="shared" si="471"/>
        <v>DGOSE</v>
      </c>
      <c r="M2767" s="26" t="str">
        <f t="shared" si="459"/>
        <v>PARTICULAR</v>
      </c>
      <c r="N2767" s="26">
        <v>279</v>
      </c>
      <c r="O2767" s="26">
        <v>116</v>
      </c>
      <c r="P2767" s="26">
        <v>163</v>
      </c>
      <c r="Q2767" s="26">
        <v>18</v>
      </c>
      <c r="R2767" s="26">
        <v>1</v>
      </c>
      <c r="S2767" s="26">
        <v>10</v>
      </c>
      <c r="T2767" s="26">
        <v>14</v>
      </c>
      <c r="U2767" s="26">
        <v>25</v>
      </c>
      <c r="V2767" s="26">
        <v>1</v>
      </c>
      <c r="W2767" s="26"/>
    </row>
    <row r="2768" spans="1:23" x14ac:dyDescent="0.25">
      <c r="A2768" s="26" t="str">
        <f t="shared" si="466"/>
        <v>PRIMARIA</v>
      </c>
      <c r="B2768" s="26" t="str">
        <f>"09PPR1237L"</f>
        <v>09PPR1237L</v>
      </c>
      <c r="C2768" s="26" t="str">
        <f>"""ESCUELA WALDORF DE LA CIUDAD DE MEXICO""                                                            "</f>
        <v xml:space="preserve">"ESCUELA WALDORF DE LA CIUDAD DE MEXICO"                                                            </v>
      </c>
      <c r="D2768" s="26" t="str">
        <f t="shared" si="461"/>
        <v>MATUTINO</v>
      </c>
      <c r="E2768" s="26" t="str">
        <f>"HUITZITZILIN NUM 31                                                             "</f>
        <v xml:space="preserve">HUITZITZILIN NUM 31                                                             </v>
      </c>
      <c r="F2768" s="26" t="str">
        <f>"LOS REYES                                                                                                                                   "</f>
        <v xml:space="preserve">LOS REYES                                                                                                                                   </v>
      </c>
      <c r="G2768" s="26" t="str">
        <f>"COYOACAN                                                                        "</f>
        <v xml:space="preserve">COYOACAN                                                                        </v>
      </c>
      <c r="H2768" s="26" t="str">
        <f>"501"</f>
        <v>501</v>
      </c>
      <c r="I2768" s="26" t="str">
        <f t="shared" si="467"/>
        <v>00</v>
      </c>
      <c r="J2768" s="26" t="str">
        <f>"45 "</f>
        <v xml:space="preserve">45 </v>
      </c>
      <c r="K2768" s="26" t="str">
        <f t="shared" si="470"/>
        <v>PR</v>
      </c>
      <c r="L2768" s="26" t="str">
        <f t="shared" si="471"/>
        <v>DGOSE</v>
      </c>
      <c r="M2768" s="26" t="str">
        <f t="shared" si="459"/>
        <v>PARTICULAR</v>
      </c>
      <c r="N2768" s="26">
        <v>94</v>
      </c>
      <c r="O2768" s="26">
        <v>46</v>
      </c>
      <c r="P2768" s="26">
        <v>48</v>
      </c>
      <c r="Q2768" s="26">
        <v>6</v>
      </c>
      <c r="R2768" s="26">
        <v>1</v>
      </c>
      <c r="S2768" s="26">
        <v>6</v>
      </c>
      <c r="T2768" s="26">
        <v>12</v>
      </c>
      <c r="U2768" s="26">
        <v>19</v>
      </c>
      <c r="V2768" s="26">
        <v>1</v>
      </c>
      <c r="W2768" s="26"/>
    </row>
    <row r="2769" spans="1:23" x14ac:dyDescent="0.25">
      <c r="A2769" s="26" t="str">
        <f t="shared" si="466"/>
        <v>PRIMARIA</v>
      </c>
      <c r="B2769" s="26" t="str">
        <f>"09PPR1238K"</f>
        <v>09PPR1238K</v>
      </c>
      <c r="C2769" s="26" t="str">
        <f>"COMUNIDAD ESTUDIANTIL ANDERSON                                                                      "</f>
        <v xml:space="preserve">COMUNIDAD ESTUDIANTIL ANDERSON                                                                      </v>
      </c>
      <c r="D2769" s="26" t="str">
        <f t="shared" si="461"/>
        <v>MATUTINO</v>
      </c>
      <c r="E2769" s="26" t="str">
        <f>"CACAHUATALES NO 42                                                              "</f>
        <v xml:space="preserve">CACAHUATALES NO 42                                                              </v>
      </c>
      <c r="F2769" s="26" t="str">
        <f>"GRANJAS COAPA                                                                                                                               "</f>
        <v xml:space="preserve">GRANJAS COAPA                                                                                                                               </v>
      </c>
      <c r="G2769" s="26" t="str">
        <f>"TLALPAN                                                                         "</f>
        <v xml:space="preserve">TLALPAN                                                                         </v>
      </c>
      <c r="H2769" s="26" t="str">
        <f>"526"</f>
        <v>526</v>
      </c>
      <c r="I2769" s="26" t="str">
        <f t="shared" si="467"/>
        <v>00</v>
      </c>
      <c r="J2769" s="26" t="str">
        <f>"45 "</f>
        <v xml:space="preserve">45 </v>
      </c>
      <c r="K2769" s="26" t="str">
        <f t="shared" si="470"/>
        <v>PR</v>
      </c>
      <c r="L2769" s="26" t="str">
        <f t="shared" si="471"/>
        <v>DGOSE</v>
      </c>
      <c r="M2769" s="26" t="str">
        <f t="shared" si="459"/>
        <v>PARTICULAR</v>
      </c>
      <c r="N2769" s="26">
        <v>98</v>
      </c>
      <c r="O2769" s="26">
        <v>54</v>
      </c>
      <c r="P2769" s="26">
        <v>44</v>
      </c>
      <c r="Q2769" s="26">
        <v>6</v>
      </c>
      <c r="R2769" s="26">
        <v>1</v>
      </c>
      <c r="S2769" s="26">
        <v>6</v>
      </c>
      <c r="T2769" s="26">
        <v>8</v>
      </c>
      <c r="U2769" s="26">
        <v>15</v>
      </c>
      <c r="V2769" s="26">
        <v>1</v>
      </c>
      <c r="W2769" s="26"/>
    </row>
    <row r="2770" spans="1:23" x14ac:dyDescent="0.25">
      <c r="A2770" s="26" t="str">
        <f t="shared" si="466"/>
        <v>PRIMARIA</v>
      </c>
      <c r="B2770" s="26" t="str">
        <f>"09PPR1239J"</f>
        <v>09PPR1239J</v>
      </c>
      <c r="C2770" s="26" t="str">
        <f>"COLEGIO SANTO DOMINGO                                                                               "</f>
        <v xml:space="preserve">COLEGIO SANTO DOMINGO                                                                               </v>
      </c>
      <c r="D2770" s="26" t="str">
        <f t="shared" si="461"/>
        <v>MATUTINO</v>
      </c>
      <c r="E2770" s="26" t="str">
        <f>"OCOXAL No 13                                                                    "</f>
        <v xml:space="preserve">OCOXAL No 13                                                                    </v>
      </c>
      <c r="F2770" s="26" t="str">
        <f>"PEDREGAL DE SANTO DOMINGO                                                                                                                   "</f>
        <v xml:space="preserve">PEDREGAL DE SANTO DOMINGO                                                                                                                   </v>
      </c>
      <c r="G2770" s="26" t="str">
        <f>"COYOACAN                                                                        "</f>
        <v xml:space="preserve">COYOACAN                                                                        </v>
      </c>
      <c r="H2770" s="26" t="str">
        <f>"501"</f>
        <v>501</v>
      </c>
      <c r="I2770" s="26" t="str">
        <f t="shared" si="467"/>
        <v>00</v>
      </c>
      <c r="J2770" s="26" t="str">
        <f>"45 "</f>
        <v xml:space="preserve">45 </v>
      </c>
      <c r="K2770" s="26" t="str">
        <f t="shared" si="470"/>
        <v>PR</v>
      </c>
      <c r="L2770" s="26" t="str">
        <f t="shared" si="471"/>
        <v>DGOSE</v>
      </c>
      <c r="M2770" s="26" t="str">
        <f t="shared" ref="M2770:M2833" si="472">"PARTICULAR"</f>
        <v>PARTICULAR</v>
      </c>
      <c r="N2770" s="26">
        <v>148</v>
      </c>
      <c r="O2770" s="26">
        <v>81</v>
      </c>
      <c r="P2770" s="26">
        <v>67</v>
      </c>
      <c r="Q2770" s="26">
        <v>7</v>
      </c>
      <c r="R2770" s="26">
        <v>1</v>
      </c>
      <c r="S2770" s="26">
        <v>4</v>
      </c>
      <c r="T2770" s="26">
        <v>8</v>
      </c>
      <c r="U2770" s="26">
        <v>13</v>
      </c>
      <c r="V2770" s="26">
        <v>1</v>
      </c>
      <c r="W2770" s="26"/>
    </row>
    <row r="2771" spans="1:23" x14ac:dyDescent="0.25">
      <c r="A2771" s="26" t="str">
        <f t="shared" si="466"/>
        <v>PRIMARIA</v>
      </c>
      <c r="B2771" s="26" t="str">
        <f>"09PPR1240Z"</f>
        <v>09PPR1240Z</v>
      </c>
      <c r="C2771" s="26" t="str">
        <f>"INDIRA GANDHI SHIRIMATI                                                                             "</f>
        <v xml:space="preserve">INDIRA GANDHI SHIRIMATI                                                                             </v>
      </c>
      <c r="D2771" s="26" t="str">
        <f t="shared" si="461"/>
        <v>MATUTINO</v>
      </c>
      <c r="E2771" s="26" t="str">
        <f>"POPOLNA 441                                                                     "</f>
        <v xml:space="preserve">POPOLNA 441                                                                     </v>
      </c>
      <c r="F2771" s="26" t="str">
        <f>"PEDREGAL DE SAN NICOLAS                                                                                                                     "</f>
        <v xml:space="preserve">PEDREGAL DE SAN NICOLAS                                                                                                                     </v>
      </c>
      <c r="G2771" s="26" t="str">
        <f>"TLALPAN                                                                         "</f>
        <v xml:space="preserve">TLALPAN                                                                         </v>
      </c>
      <c r="H2771" s="26" t="str">
        <f>"512"</f>
        <v>512</v>
      </c>
      <c r="I2771" s="26" t="str">
        <f t="shared" si="467"/>
        <v>00</v>
      </c>
      <c r="J2771" s="26" t="str">
        <f>"45 "</f>
        <v xml:space="preserve">45 </v>
      </c>
      <c r="K2771" s="26" t="str">
        <f t="shared" si="470"/>
        <v>PR</v>
      </c>
      <c r="L2771" s="26" t="str">
        <f t="shared" si="471"/>
        <v>DGOSE</v>
      </c>
      <c r="M2771" s="26" t="str">
        <f t="shared" si="472"/>
        <v>PARTICULAR</v>
      </c>
      <c r="N2771" s="26">
        <v>72</v>
      </c>
      <c r="O2771" s="26">
        <v>44</v>
      </c>
      <c r="P2771" s="26">
        <v>28</v>
      </c>
      <c r="Q2771" s="26">
        <v>6</v>
      </c>
      <c r="R2771" s="26">
        <v>1</v>
      </c>
      <c r="S2771" s="26">
        <v>6</v>
      </c>
      <c r="T2771" s="26">
        <v>6</v>
      </c>
      <c r="U2771" s="26">
        <v>13</v>
      </c>
      <c r="V2771" s="26">
        <v>1</v>
      </c>
      <c r="W2771" s="26"/>
    </row>
    <row r="2772" spans="1:23" x14ac:dyDescent="0.25">
      <c r="A2772" s="26" t="str">
        <f t="shared" si="466"/>
        <v>PRIMARIA</v>
      </c>
      <c r="B2772" s="26" t="str">
        <f>"09PPR1242X"</f>
        <v>09PPR1242X</v>
      </c>
      <c r="C2772" s="26" t="str">
        <f>"COLEGIO ALMA DE MEXICO                                                                              "</f>
        <v xml:space="preserve">COLEGIO ALMA DE MEXICO                                                                              </v>
      </c>
      <c r="D2772" s="26" t="str">
        <f t="shared" si="461"/>
        <v>MATUTINO</v>
      </c>
      <c r="E2772" s="26" t="str">
        <f>"RUISEÑOR NUM. 48                                                                "</f>
        <v xml:space="preserve">RUISEÑOR NUM. 48                                                                </v>
      </c>
      <c r="F2772" s="26" t="str">
        <f>"BELLA VISTA                                                                                                                                 "</f>
        <v xml:space="preserve">BELLA VISTA                                                                                                                                 </v>
      </c>
      <c r="G2772" s="26" t="str">
        <f>"ALVARO OBREGON                                                                  "</f>
        <v xml:space="preserve">ALVARO OBREGON                                                                  </v>
      </c>
      <c r="H2772" s="26" t="str">
        <f>"308"</f>
        <v>308</v>
      </c>
      <c r="I2772" s="26" t="str">
        <f t="shared" si="467"/>
        <v>00</v>
      </c>
      <c r="J2772" s="26" t="str">
        <f>"43 "</f>
        <v xml:space="preserve">43 </v>
      </c>
      <c r="K2772" s="26" t="str">
        <f t="shared" si="470"/>
        <v>PR</v>
      </c>
      <c r="L2772" s="26" t="str">
        <f t="shared" si="471"/>
        <v>DGOSE</v>
      </c>
      <c r="M2772" s="26" t="str">
        <f t="shared" si="472"/>
        <v>PARTICULAR</v>
      </c>
      <c r="N2772" s="26">
        <v>208</v>
      </c>
      <c r="O2772" s="26">
        <v>113</v>
      </c>
      <c r="P2772" s="26">
        <v>95</v>
      </c>
      <c r="Q2772" s="26">
        <v>10</v>
      </c>
      <c r="R2772" s="26">
        <v>1</v>
      </c>
      <c r="S2772" s="26">
        <v>10</v>
      </c>
      <c r="T2772" s="26">
        <v>6</v>
      </c>
      <c r="U2772" s="26">
        <v>17</v>
      </c>
      <c r="V2772" s="26">
        <v>1</v>
      </c>
      <c r="W2772" s="26"/>
    </row>
    <row r="2773" spans="1:23" x14ac:dyDescent="0.25">
      <c r="A2773" s="26" t="str">
        <f t="shared" si="466"/>
        <v>PRIMARIA</v>
      </c>
      <c r="B2773" s="26" t="str">
        <f>"09PPR1247S"</f>
        <v>09PPR1247S</v>
      </c>
      <c r="C2773" s="26" t="str">
        <f>"HERBART JOHANN F                                                                                    "</f>
        <v xml:space="preserve">HERBART JOHANN F                                                                                    </v>
      </c>
      <c r="D2773" s="26" t="str">
        <f t="shared" ref="D2773:D2836" si="473">"MATUTINO"</f>
        <v>MATUTINO</v>
      </c>
      <c r="E2773" s="26" t="str">
        <f>"ANDRES MOLINA ENRIQUEZ NUM 27                                                   "</f>
        <v xml:space="preserve">ANDRES MOLINA ENRIQUEZ NUM 27                                                   </v>
      </c>
      <c r="F2773" s="26" t="str">
        <f>"SAN PEDRO                                                                                                                                   "</f>
        <v xml:space="preserve">SAN PEDRO                                                                                                                                   </v>
      </c>
      <c r="G2773" s="26" t="str">
        <f>"IZTACALCO                                                                       "</f>
        <v xml:space="preserve">IZTACALCO                                                                       </v>
      </c>
      <c r="H2773" s="26" t="str">
        <f>"363"</f>
        <v>363</v>
      </c>
      <c r="I2773" s="26" t="str">
        <f t="shared" si="467"/>
        <v>00</v>
      </c>
      <c r="J2773" s="26" t="str">
        <f>"43 "</f>
        <v xml:space="preserve">43 </v>
      </c>
      <c r="K2773" s="26" t="str">
        <f t="shared" si="470"/>
        <v>PR</v>
      </c>
      <c r="L2773" s="26" t="str">
        <f t="shared" si="471"/>
        <v>DGOSE</v>
      </c>
      <c r="M2773" s="26" t="str">
        <f t="shared" si="472"/>
        <v>PARTICULAR</v>
      </c>
      <c r="N2773" s="26">
        <v>14</v>
      </c>
      <c r="O2773" s="26">
        <v>7</v>
      </c>
      <c r="P2773" s="26">
        <v>7</v>
      </c>
      <c r="Q2773" s="26">
        <v>3</v>
      </c>
      <c r="R2773" s="26">
        <v>1</v>
      </c>
      <c r="S2773" s="26">
        <v>2</v>
      </c>
      <c r="T2773" s="26">
        <v>3</v>
      </c>
      <c r="U2773" s="26">
        <v>6</v>
      </c>
      <c r="V2773" s="26">
        <v>1</v>
      </c>
      <c r="W2773" s="26"/>
    </row>
    <row r="2774" spans="1:23" x14ac:dyDescent="0.25">
      <c r="A2774" s="26" t="str">
        <f t="shared" si="466"/>
        <v>PRIMARIA</v>
      </c>
      <c r="B2774" s="26" t="str">
        <f>"09PPR1248R"</f>
        <v>09PPR1248R</v>
      </c>
      <c r="C2774" s="26" t="str">
        <f>"FRANCISCO DE GOYA Y LUCIENTES                                                                       "</f>
        <v xml:space="preserve">FRANCISCO DE GOYA Y LUCIENTES                                                                       </v>
      </c>
      <c r="D2774" s="26" t="str">
        <f t="shared" si="473"/>
        <v>MATUTINO</v>
      </c>
      <c r="E2774" s="26" t="str">
        <f>"LAGO SUPERIOR NO. 87                                                            "</f>
        <v xml:space="preserve">LAGO SUPERIOR NO. 87                                                            </v>
      </c>
      <c r="F2774" s="26" t="str">
        <f>"LEGARIA                                                                                                                                     "</f>
        <v xml:space="preserve">LEGARIA                                                                                                                                     </v>
      </c>
      <c r="G2774" s="26" t="str">
        <f>"MIGUEL HIDALGO                                                                  "</f>
        <v xml:space="preserve">MIGUEL HIDALGO                                                                  </v>
      </c>
      <c r="H2774" s="26" t="str">
        <f>"212"</f>
        <v>212</v>
      </c>
      <c r="I2774" s="26" t="str">
        <f t="shared" si="467"/>
        <v>00</v>
      </c>
      <c r="J2774" s="26" t="str">
        <f>"42 "</f>
        <v xml:space="preserve">42 </v>
      </c>
      <c r="K2774" s="26" t="str">
        <f t="shared" si="470"/>
        <v>PR</v>
      </c>
      <c r="L2774" s="26" t="str">
        <f t="shared" si="471"/>
        <v>DGOSE</v>
      </c>
      <c r="M2774" s="26" t="str">
        <f t="shared" si="472"/>
        <v>PARTICULAR</v>
      </c>
      <c r="N2774" s="26">
        <v>29</v>
      </c>
      <c r="O2774" s="26">
        <v>16</v>
      </c>
      <c r="P2774" s="26">
        <v>13</v>
      </c>
      <c r="Q2774" s="26">
        <v>6</v>
      </c>
      <c r="R2774" s="26">
        <v>1</v>
      </c>
      <c r="S2774" s="26">
        <v>6</v>
      </c>
      <c r="T2774" s="26">
        <v>6</v>
      </c>
      <c r="U2774" s="26">
        <v>13</v>
      </c>
      <c r="V2774" s="26">
        <v>1</v>
      </c>
      <c r="W2774" s="26"/>
    </row>
    <row r="2775" spans="1:23" x14ac:dyDescent="0.25">
      <c r="A2775" s="26" t="str">
        <f t="shared" si="466"/>
        <v>PRIMARIA</v>
      </c>
      <c r="B2775" s="26" t="str">
        <f>"09PPR1252D"</f>
        <v>09PPR1252D</v>
      </c>
      <c r="C2775" s="26" t="str">
        <f>"COLEGIO PEDAGOGICO DE MEXICO                                                                        "</f>
        <v xml:space="preserve">COLEGIO PEDAGOGICO DE MEXICO                                                                        </v>
      </c>
      <c r="D2775" s="26" t="str">
        <f t="shared" si="473"/>
        <v>MATUTINO</v>
      </c>
      <c r="E2775" s="26" t="str">
        <f>"5 DE MAYO MZ. 37 LT. 16                                                         "</f>
        <v xml:space="preserve">5 DE MAYO MZ. 37 LT. 16                                                         </v>
      </c>
      <c r="F2775" s="26" t="str">
        <f>"SANTA MARTHA ACATITLA                                                                                                                       "</f>
        <v xml:space="preserve">SANTA MARTHA ACATITLA                                                                                                                       </v>
      </c>
      <c r="G2775" s="26" t="str">
        <f>"IZTAPALAPA                                                                      "</f>
        <v xml:space="preserve">IZTAPALAPA                                                                      </v>
      </c>
      <c r="H2775" s="26" t="str">
        <f>"000"</f>
        <v>000</v>
      </c>
      <c r="I2775" s="26" t="str">
        <f t="shared" si="467"/>
        <v>00</v>
      </c>
      <c r="J2775" s="26" t="str">
        <f>"62 "</f>
        <v xml:space="preserve">62 </v>
      </c>
      <c r="K2775" s="26" t="str">
        <f>"IZ"</f>
        <v>IZ</v>
      </c>
      <c r="L2775" s="26" t="str">
        <f>"DGSEI"</f>
        <v>DGSEI</v>
      </c>
      <c r="M2775" s="26" t="str">
        <f t="shared" si="472"/>
        <v>PARTICULAR</v>
      </c>
      <c r="N2775" s="26">
        <v>107</v>
      </c>
      <c r="O2775" s="26">
        <v>49</v>
      </c>
      <c r="P2775" s="26">
        <v>58</v>
      </c>
      <c r="Q2775" s="26">
        <v>6</v>
      </c>
      <c r="R2775" s="26">
        <v>1</v>
      </c>
      <c r="S2775" s="26">
        <v>6</v>
      </c>
      <c r="T2775" s="26">
        <v>4</v>
      </c>
      <c r="U2775" s="26">
        <v>11</v>
      </c>
      <c r="V2775" s="26">
        <v>1</v>
      </c>
      <c r="W2775" s="26"/>
    </row>
    <row r="2776" spans="1:23" x14ac:dyDescent="0.25">
      <c r="A2776" s="26" t="str">
        <f t="shared" si="466"/>
        <v>PRIMARIA</v>
      </c>
      <c r="B2776" s="26" t="str">
        <f>"09PPR1253C"</f>
        <v>09PPR1253C</v>
      </c>
      <c r="C2776" s="26" t="str">
        <f>"WILLIAM SHAKESPEARE                                                                                 "</f>
        <v xml:space="preserve">WILLIAM SHAKESPEARE                                                                                 </v>
      </c>
      <c r="D2776" s="26" t="str">
        <f t="shared" si="473"/>
        <v>MATUTINO</v>
      </c>
      <c r="E2776" s="26" t="str">
        <f>"CALLE I NO 30                                                                   "</f>
        <v xml:space="preserve">CALLE I NO 30                                                                   </v>
      </c>
      <c r="F2776" s="26" t="str">
        <f>"AGRICOLA PANTITLAN                                                                                                                          "</f>
        <v xml:space="preserve">AGRICOLA PANTITLAN                                                                                                                          </v>
      </c>
      <c r="G2776" s="26" t="str">
        <f>"IZTACALCO                                                                       "</f>
        <v xml:space="preserve">IZTACALCO                                                                       </v>
      </c>
      <c r="H2776" s="26" t="str">
        <f>"354"</f>
        <v>354</v>
      </c>
      <c r="I2776" s="26" t="str">
        <f t="shared" si="467"/>
        <v>00</v>
      </c>
      <c r="J2776" s="26" t="str">
        <f>"43 "</f>
        <v xml:space="preserve">43 </v>
      </c>
      <c r="K2776" s="26" t="str">
        <f t="shared" ref="K2776:K2787" si="474">"PR"</f>
        <v>PR</v>
      </c>
      <c r="L2776" s="26" t="str">
        <f t="shared" ref="L2776:L2787" si="475">"DGOSE"</f>
        <v>DGOSE</v>
      </c>
      <c r="M2776" s="26" t="str">
        <f t="shared" si="472"/>
        <v>PARTICULAR</v>
      </c>
      <c r="N2776" s="26">
        <v>135</v>
      </c>
      <c r="O2776" s="26">
        <v>56</v>
      </c>
      <c r="P2776" s="26">
        <v>79</v>
      </c>
      <c r="Q2776" s="26">
        <v>7</v>
      </c>
      <c r="R2776" s="26">
        <v>1</v>
      </c>
      <c r="S2776" s="26">
        <v>7</v>
      </c>
      <c r="T2776" s="26">
        <v>7</v>
      </c>
      <c r="U2776" s="26">
        <v>15</v>
      </c>
      <c r="V2776" s="26">
        <v>1</v>
      </c>
      <c r="W2776" s="26"/>
    </row>
    <row r="2777" spans="1:23" x14ac:dyDescent="0.25">
      <c r="A2777" s="26" t="str">
        <f t="shared" si="466"/>
        <v>PRIMARIA</v>
      </c>
      <c r="B2777" s="26" t="str">
        <f>"09PPR1254B"</f>
        <v>09PPR1254B</v>
      </c>
      <c r="C2777" s="26" t="str">
        <f>"""LICEO UNIVERSITARIO JOSE VASCONCELOS""                                                              "</f>
        <v xml:space="preserve">"LICEO UNIVERSITARIO JOSE VASCONCELOS"                                                              </v>
      </c>
      <c r="D2777" s="26" t="str">
        <f t="shared" si="473"/>
        <v>MATUTINO</v>
      </c>
      <c r="E2777" s="26" t="str">
        <f>"CARRETERA SAN JUAN TEPENAHUAC NO 25                                             "</f>
        <v xml:space="preserve">CARRETERA SAN JUAN TEPENAHUAC NO 25                                             </v>
      </c>
      <c r="F2777" s="26" t="str">
        <f>"SANTA ANA TLACOTENCO                                                                                                                        "</f>
        <v xml:space="preserve">SANTA ANA TLACOTENCO                                                                                                                        </v>
      </c>
      <c r="G2777" s="26" t="str">
        <f>"MILPA ALTA                                                                      "</f>
        <v xml:space="preserve">MILPA ALTA                                                                      </v>
      </c>
      <c r="H2777" s="26" t="str">
        <f>"562"</f>
        <v>562</v>
      </c>
      <c r="I2777" s="26" t="str">
        <f t="shared" si="467"/>
        <v>00</v>
      </c>
      <c r="J2777" s="26" t="str">
        <f>"45 "</f>
        <v xml:space="preserve">45 </v>
      </c>
      <c r="K2777" s="26" t="str">
        <f t="shared" si="474"/>
        <v>PR</v>
      </c>
      <c r="L2777" s="26" t="str">
        <f t="shared" si="475"/>
        <v>DGOSE</v>
      </c>
      <c r="M2777" s="26" t="str">
        <f t="shared" si="472"/>
        <v>PARTICULAR</v>
      </c>
      <c r="N2777" s="26">
        <v>139</v>
      </c>
      <c r="O2777" s="26">
        <v>72</v>
      </c>
      <c r="P2777" s="26">
        <v>67</v>
      </c>
      <c r="Q2777" s="26">
        <v>7</v>
      </c>
      <c r="R2777" s="26">
        <v>1</v>
      </c>
      <c r="S2777" s="26">
        <v>7</v>
      </c>
      <c r="T2777" s="26">
        <v>10</v>
      </c>
      <c r="U2777" s="26">
        <v>18</v>
      </c>
      <c r="V2777" s="26">
        <v>1</v>
      </c>
      <c r="W2777" s="26"/>
    </row>
    <row r="2778" spans="1:23" x14ac:dyDescent="0.25">
      <c r="A2778" s="26" t="str">
        <f t="shared" si="466"/>
        <v>PRIMARIA</v>
      </c>
      <c r="B2778" s="26" t="str">
        <f>"09PPR1255A"</f>
        <v>09PPR1255A</v>
      </c>
      <c r="C2778" s="26" t="str">
        <f>"COLEGIO SUN KING                                                                                    "</f>
        <v xml:space="preserve">COLEGIO SUN KING                                                                                    </v>
      </c>
      <c r="D2778" s="26" t="str">
        <f t="shared" si="473"/>
        <v>MATUTINO</v>
      </c>
      <c r="E2778" s="26" t="str">
        <f>"CERRADA DE LA HUERTA NUM 19                                                     "</f>
        <v xml:space="preserve">CERRADA DE LA HUERTA NUM 19                                                     </v>
      </c>
      <c r="F2778" s="26" t="str">
        <f>"RESIDENCIAL VILLA COAPA                                                                                                                     "</f>
        <v xml:space="preserve">RESIDENCIAL VILLA COAPA                                                                                                                     </v>
      </c>
      <c r="G2778" s="26" t="str">
        <f>"TLALPAN                                                                         "</f>
        <v xml:space="preserve">TLALPAN                                                                         </v>
      </c>
      <c r="H2778" s="26" t="str">
        <f>"524"</f>
        <v>524</v>
      </c>
      <c r="I2778" s="26" t="str">
        <f t="shared" si="467"/>
        <v>00</v>
      </c>
      <c r="J2778" s="26" t="str">
        <f>"45 "</f>
        <v xml:space="preserve">45 </v>
      </c>
      <c r="K2778" s="26" t="str">
        <f t="shared" si="474"/>
        <v>PR</v>
      </c>
      <c r="L2778" s="26" t="str">
        <f t="shared" si="475"/>
        <v>DGOSE</v>
      </c>
      <c r="M2778" s="26" t="str">
        <f t="shared" si="472"/>
        <v>PARTICULAR</v>
      </c>
      <c r="N2778" s="26">
        <v>7</v>
      </c>
      <c r="O2778" s="26">
        <v>5</v>
      </c>
      <c r="P2778" s="26">
        <v>2</v>
      </c>
      <c r="Q2778" s="26">
        <v>2</v>
      </c>
      <c r="R2778" s="26">
        <v>1</v>
      </c>
      <c r="S2778" s="26">
        <v>1</v>
      </c>
      <c r="T2778" s="26">
        <v>1</v>
      </c>
      <c r="U2778" s="26">
        <v>3</v>
      </c>
      <c r="V2778" s="26">
        <v>1</v>
      </c>
      <c r="W2778" s="26"/>
    </row>
    <row r="2779" spans="1:23" x14ac:dyDescent="0.25">
      <c r="A2779" s="26" t="str">
        <f t="shared" si="466"/>
        <v>PRIMARIA</v>
      </c>
      <c r="B2779" s="26" t="str">
        <f>"09PPR1256Z"</f>
        <v>09PPR1256Z</v>
      </c>
      <c r="C2779" s="26" t="str">
        <f>"LICEO INFANTIL MODERNO                                                                              "</f>
        <v xml:space="preserve">LICEO INFANTIL MODERNO                                                                              </v>
      </c>
      <c r="D2779" s="26" t="str">
        <f t="shared" si="473"/>
        <v>MATUTINO</v>
      </c>
      <c r="E2779" s="26" t="str">
        <f>"FALSTAFF ANTES INDEPENDENCIA 19                                                 "</f>
        <v xml:space="preserve">FALSTAFF ANTES INDEPENDENCIA 19                                                 </v>
      </c>
      <c r="F2779" s="26" t="str">
        <f>"LA NOPALERA                                                                                                                                 "</f>
        <v xml:space="preserve">LA NOPALERA                                                                                                                                 </v>
      </c>
      <c r="G2779" s="26" t="str">
        <f>"TLAHUAC                                                                         "</f>
        <v xml:space="preserve">TLAHUAC                                                                         </v>
      </c>
      <c r="H2779" s="26" t="str">
        <f>"549"</f>
        <v>549</v>
      </c>
      <c r="I2779" s="26" t="str">
        <f t="shared" si="467"/>
        <v>00</v>
      </c>
      <c r="J2779" s="26" t="str">
        <f>"45 "</f>
        <v xml:space="preserve">45 </v>
      </c>
      <c r="K2779" s="26" t="str">
        <f t="shared" si="474"/>
        <v>PR</v>
      </c>
      <c r="L2779" s="26" t="str">
        <f t="shared" si="475"/>
        <v>DGOSE</v>
      </c>
      <c r="M2779" s="26" t="str">
        <f t="shared" si="472"/>
        <v>PARTICULAR</v>
      </c>
      <c r="N2779" s="26">
        <v>93</v>
      </c>
      <c r="O2779" s="26">
        <v>46</v>
      </c>
      <c r="P2779" s="26">
        <v>47</v>
      </c>
      <c r="Q2779" s="26">
        <v>6</v>
      </c>
      <c r="R2779" s="26">
        <v>1</v>
      </c>
      <c r="S2779" s="26">
        <v>6</v>
      </c>
      <c r="T2779" s="26">
        <v>6</v>
      </c>
      <c r="U2779" s="26">
        <v>13</v>
      </c>
      <c r="V2779" s="26">
        <v>1</v>
      </c>
      <c r="W2779" s="26"/>
    </row>
    <row r="2780" spans="1:23" x14ac:dyDescent="0.25">
      <c r="A2780" s="26" t="str">
        <f t="shared" si="466"/>
        <v>PRIMARIA</v>
      </c>
      <c r="B2780" s="26" t="str">
        <f>"09PPR1257Z"</f>
        <v>09PPR1257Z</v>
      </c>
      <c r="C2780" s="26" t="str">
        <f>"CENTRO EDUCATIVO TOPILEJO                                                                           "</f>
        <v xml:space="preserve">CENTRO EDUCATIVO TOPILEJO                                                                           </v>
      </c>
      <c r="D2780" s="26" t="str">
        <f t="shared" si="473"/>
        <v>MATUTINO</v>
      </c>
      <c r="E2780" s="26" t="str">
        <f>"CAMINO ANTIGUO CUERNAVACA NUM 17                                                "</f>
        <v xml:space="preserve">CAMINO ANTIGUO CUERNAVACA NUM 17                                                </v>
      </c>
      <c r="F2780" s="26" t="str">
        <f>"SAN MIGUEL TOPILEJO                                                                                                                         "</f>
        <v xml:space="preserve">SAN MIGUEL TOPILEJO                                                                                                                         </v>
      </c>
      <c r="G2780" s="26" t="str">
        <f>"TLALPAN                                                                         "</f>
        <v xml:space="preserve">TLALPAN                                                                         </v>
      </c>
      <c r="H2780" s="26" t="str">
        <f>"531"</f>
        <v>531</v>
      </c>
      <c r="I2780" s="26" t="str">
        <f t="shared" si="467"/>
        <v>00</v>
      </c>
      <c r="J2780" s="26" t="str">
        <f>"45 "</f>
        <v xml:space="preserve">45 </v>
      </c>
      <c r="K2780" s="26" t="str">
        <f t="shared" si="474"/>
        <v>PR</v>
      </c>
      <c r="L2780" s="26" t="str">
        <f t="shared" si="475"/>
        <v>DGOSE</v>
      </c>
      <c r="M2780" s="26" t="str">
        <f t="shared" si="472"/>
        <v>PARTICULAR</v>
      </c>
      <c r="N2780" s="26">
        <v>32</v>
      </c>
      <c r="O2780" s="26">
        <v>22</v>
      </c>
      <c r="P2780" s="26">
        <v>10</v>
      </c>
      <c r="Q2780" s="26">
        <v>5</v>
      </c>
      <c r="R2780" s="26">
        <v>1</v>
      </c>
      <c r="S2780" s="26">
        <v>3</v>
      </c>
      <c r="T2780" s="26">
        <v>3</v>
      </c>
      <c r="U2780" s="26">
        <v>7</v>
      </c>
      <c r="V2780" s="26">
        <v>1</v>
      </c>
      <c r="W2780" s="26"/>
    </row>
    <row r="2781" spans="1:23" x14ac:dyDescent="0.25">
      <c r="A2781" s="26" t="str">
        <f t="shared" si="466"/>
        <v>PRIMARIA</v>
      </c>
      <c r="B2781" s="26" t="str">
        <f>"09PPR1259X"</f>
        <v>09PPR1259X</v>
      </c>
      <c r="C2781" s="26" t="str">
        <f>"COLEGIO AJUSCO                                                                                      "</f>
        <v xml:space="preserve">COLEGIO AJUSCO                                                                                      </v>
      </c>
      <c r="D2781" s="26" t="str">
        <f t="shared" si="473"/>
        <v>MATUTINO</v>
      </c>
      <c r="E2781" s="26" t="str">
        <f>"5 DE MAYO 7520                                                                  "</f>
        <v xml:space="preserve">5 DE MAYO 7520                                                                  </v>
      </c>
      <c r="F2781" s="26" t="str">
        <f>"SAN ANDRES TOTOLTEPEC                                                                                                                       "</f>
        <v xml:space="preserve">SAN ANDRES TOTOLTEPEC                                                                                                                       </v>
      </c>
      <c r="G2781" s="26" t="str">
        <f>"TLALPAN                                                                         "</f>
        <v xml:space="preserve">TLALPAN                                                                         </v>
      </c>
      <c r="H2781" s="26" t="str">
        <f>"529"</f>
        <v>529</v>
      </c>
      <c r="I2781" s="26" t="str">
        <f t="shared" si="467"/>
        <v>00</v>
      </c>
      <c r="J2781" s="26" t="str">
        <f>"45 "</f>
        <v xml:space="preserve">45 </v>
      </c>
      <c r="K2781" s="26" t="str">
        <f t="shared" si="474"/>
        <v>PR</v>
      </c>
      <c r="L2781" s="26" t="str">
        <f t="shared" si="475"/>
        <v>DGOSE</v>
      </c>
      <c r="M2781" s="26" t="str">
        <f t="shared" si="472"/>
        <v>PARTICULAR</v>
      </c>
      <c r="N2781" s="26">
        <v>47</v>
      </c>
      <c r="O2781" s="26">
        <v>18</v>
      </c>
      <c r="P2781" s="26">
        <v>29</v>
      </c>
      <c r="Q2781" s="26">
        <v>6</v>
      </c>
      <c r="R2781" s="26">
        <v>1</v>
      </c>
      <c r="S2781" s="26">
        <v>3</v>
      </c>
      <c r="T2781" s="26">
        <v>9</v>
      </c>
      <c r="U2781" s="26">
        <v>13</v>
      </c>
      <c r="V2781" s="26">
        <v>1</v>
      </c>
      <c r="W2781" s="26"/>
    </row>
    <row r="2782" spans="1:23" x14ac:dyDescent="0.25">
      <c r="A2782" s="26" t="str">
        <f t="shared" si="466"/>
        <v>PRIMARIA</v>
      </c>
      <c r="B2782" s="26" t="str">
        <f>"09PPR1260M"</f>
        <v>09PPR1260M</v>
      </c>
      <c r="C2782" s="26" t="s">
        <v>3976</v>
      </c>
      <c r="D2782" s="26" t="str">
        <f t="shared" si="473"/>
        <v>MATUTINO</v>
      </c>
      <c r="E2782" s="26" t="str">
        <f>"AV AMERICAS 165                                                                 "</f>
        <v xml:space="preserve">AV AMERICAS 165                                                                 </v>
      </c>
      <c r="F2782" s="26" t="str">
        <f>"MODERNA                                                                                                                                     "</f>
        <v xml:space="preserve">MODERNA                                                                                                                                     </v>
      </c>
      <c r="G2782" s="26" t="str">
        <f>"BENITO JUAREZ                                                                   "</f>
        <v xml:space="preserve">BENITO JUAREZ                                                                   </v>
      </c>
      <c r="H2782" s="26" t="str">
        <f>"000"</f>
        <v>000</v>
      </c>
      <c r="I2782" s="26" t="str">
        <f t="shared" si="467"/>
        <v>00</v>
      </c>
      <c r="J2782" s="26" t="str">
        <f>"43 "</f>
        <v xml:space="preserve">43 </v>
      </c>
      <c r="K2782" s="26" t="str">
        <f t="shared" si="474"/>
        <v>PR</v>
      </c>
      <c r="L2782" s="26" t="str">
        <f t="shared" si="475"/>
        <v>DGOSE</v>
      </c>
      <c r="M2782" s="26" t="str">
        <f t="shared" si="472"/>
        <v>PARTICULAR</v>
      </c>
      <c r="N2782" s="26">
        <v>121</v>
      </c>
      <c r="O2782" s="26">
        <v>64</v>
      </c>
      <c r="P2782" s="26">
        <v>57</v>
      </c>
      <c r="Q2782" s="26">
        <v>6</v>
      </c>
      <c r="R2782" s="26">
        <v>1</v>
      </c>
      <c r="S2782" s="26">
        <v>3</v>
      </c>
      <c r="T2782" s="26">
        <v>11</v>
      </c>
      <c r="U2782" s="26">
        <v>15</v>
      </c>
      <c r="V2782" s="26">
        <v>1</v>
      </c>
      <c r="W2782" s="26"/>
    </row>
    <row r="2783" spans="1:23" x14ac:dyDescent="0.25">
      <c r="A2783" s="26" t="str">
        <f t="shared" si="466"/>
        <v>PRIMARIA</v>
      </c>
      <c r="B2783" s="26" t="str">
        <f>"09PPR1262K"</f>
        <v>09PPR1262K</v>
      </c>
      <c r="C2783" s="26" t="str">
        <f>"COLEGIO MONTEVERDE                                                                                  "</f>
        <v xml:space="preserve">COLEGIO MONTEVERDE                                                                                  </v>
      </c>
      <c r="D2783" s="26" t="str">
        <f t="shared" si="473"/>
        <v>MATUTINO</v>
      </c>
      <c r="E2783" s="26" t="str">
        <f>"AVENIDA SANTA LUCIA NUM 260                                                     "</f>
        <v xml:space="preserve">AVENIDA SANTA LUCIA NUM 260                                                     </v>
      </c>
      <c r="F2783" s="26" t="str">
        <f>"CLUB DE GOLF PRADOS DE LA MONTAÑA                                                                                                           "</f>
        <v xml:space="preserve">CLUB DE GOLF PRADOS DE LA MONTAÑA                                                                                                           </v>
      </c>
      <c r="G2783" s="26" t="str">
        <f>"CUAJIMALPA DE MORELOS                                                           "</f>
        <v xml:space="preserve">CUAJIMALPA DE MORELOS                                                           </v>
      </c>
      <c r="H2783" s="26" t="str">
        <f>"303"</f>
        <v>303</v>
      </c>
      <c r="I2783" s="26" t="str">
        <f t="shared" si="467"/>
        <v>00</v>
      </c>
      <c r="J2783" s="26" t="str">
        <f>"43 "</f>
        <v xml:space="preserve">43 </v>
      </c>
      <c r="K2783" s="26" t="str">
        <f t="shared" si="474"/>
        <v>PR</v>
      </c>
      <c r="L2783" s="26" t="str">
        <f t="shared" si="475"/>
        <v>DGOSE</v>
      </c>
      <c r="M2783" s="26" t="str">
        <f t="shared" si="472"/>
        <v>PARTICULAR</v>
      </c>
      <c r="N2783" s="26">
        <v>290</v>
      </c>
      <c r="O2783" s="26">
        <v>0</v>
      </c>
      <c r="P2783" s="26">
        <v>290</v>
      </c>
      <c r="Q2783" s="26">
        <v>12</v>
      </c>
      <c r="R2783" s="26">
        <v>1</v>
      </c>
      <c r="S2783" s="26">
        <v>6</v>
      </c>
      <c r="T2783" s="26">
        <v>18</v>
      </c>
      <c r="U2783" s="26">
        <v>25</v>
      </c>
      <c r="V2783" s="26">
        <v>1</v>
      </c>
      <c r="W2783" s="26"/>
    </row>
    <row r="2784" spans="1:23" x14ac:dyDescent="0.25">
      <c r="A2784" s="26" t="str">
        <f t="shared" si="466"/>
        <v>PRIMARIA</v>
      </c>
      <c r="B2784" s="26" t="str">
        <f>"09PPR1263J"</f>
        <v>09PPR1263J</v>
      </c>
      <c r="C2784" s="26" t="s">
        <v>3977</v>
      </c>
      <c r="D2784" s="26" t="str">
        <f t="shared" si="473"/>
        <v>MATUTINO</v>
      </c>
      <c r="E2784" s="26" t="str">
        <f>"SAGREDO 135                                                                     "</f>
        <v xml:space="preserve">SAGREDO 135                                                                     </v>
      </c>
      <c r="F2784" s="26" t="str">
        <f>"SAN JOSE INSURGENTES                                                                                                                        "</f>
        <v xml:space="preserve">SAN JOSE INSURGENTES                                                                                                                        </v>
      </c>
      <c r="G2784" s="26" t="str">
        <f>"BENITO JUAREZ                                                                   "</f>
        <v xml:space="preserve">BENITO JUAREZ                                                                   </v>
      </c>
      <c r="H2784" s="26" t="str">
        <f>"000"</f>
        <v>000</v>
      </c>
      <c r="I2784" s="26" t="str">
        <f t="shared" si="467"/>
        <v>00</v>
      </c>
      <c r="J2784" s="26" t="str">
        <f>"43 "</f>
        <v xml:space="preserve">43 </v>
      </c>
      <c r="K2784" s="26" t="str">
        <f t="shared" si="474"/>
        <v>PR</v>
      </c>
      <c r="L2784" s="26" t="str">
        <f t="shared" si="475"/>
        <v>DGOSE</v>
      </c>
      <c r="M2784" s="26" t="str">
        <f t="shared" si="472"/>
        <v>PARTICULAR</v>
      </c>
      <c r="N2784" s="26">
        <v>64</v>
      </c>
      <c r="O2784" s="26">
        <v>32</v>
      </c>
      <c r="P2784" s="26">
        <v>32</v>
      </c>
      <c r="Q2784" s="26">
        <v>6</v>
      </c>
      <c r="R2784" s="26">
        <v>1</v>
      </c>
      <c r="S2784" s="26">
        <v>3</v>
      </c>
      <c r="T2784" s="26">
        <v>10</v>
      </c>
      <c r="U2784" s="26">
        <v>14</v>
      </c>
      <c r="V2784" s="26">
        <v>1</v>
      </c>
      <c r="W2784" s="26"/>
    </row>
    <row r="2785" spans="1:23" x14ac:dyDescent="0.25">
      <c r="A2785" s="26" t="str">
        <f t="shared" si="466"/>
        <v>PRIMARIA</v>
      </c>
      <c r="B2785" s="26" t="str">
        <f>"09PPR1264I"</f>
        <v>09PPR1264I</v>
      </c>
      <c r="C2785" s="26" t="str">
        <f>"""COLEGIO ANA PAVLOVA""                                                                               "</f>
        <v xml:space="preserve">"COLEGIO ANA PAVLOVA"                                                                               </v>
      </c>
      <c r="D2785" s="26" t="str">
        <f t="shared" si="473"/>
        <v>MATUTINO</v>
      </c>
      <c r="E2785" s="26" t="str">
        <f>"NORTE 5 NO 4710                                                                 "</f>
        <v xml:space="preserve">NORTE 5 NO 4710                                                                 </v>
      </c>
      <c r="F2785" s="26" t="str">
        <f>"PANAMERICANA                                                                                                                                "</f>
        <v xml:space="preserve">PANAMERICANA                                                                                                                                </v>
      </c>
      <c r="G2785" s="26" t="str">
        <f>"GUSTAVO A. MADERO                                                               "</f>
        <v xml:space="preserve">GUSTAVO A. MADERO                                                               </v>
      </c>
      <c r="H2785" s="26" t="str">
        <f>"240"</f>
        <v>240</v>
      </c>
      <c r="I2785" s="26" t="str">
        <f t="shared" si="467"/>
        <v>00</v>
      </c>
      <c r="J2785" s="26" t="str">
        <f>"42 "</f>
        <v xml:space="preserve">42 </v>
      </c>
      <c r="K2785" s="26" t="str">
        <f t="shared" si="474"/>
        <v>PR</v>
      </c>
      <c r="L2785" s="26" t="str">
        <f t="shared" si="475"/>
        <v>DGOSE</v>
      </c>
      <c r="M2785" s="26" t="str">
        <f t="shared" si="472"/>
        <v>PARTICULAR</v>
      </c>
      <c r="N2785" s="26">
        <v>147</v>
      </c>
      <c r="O2785" s="26">
        <v>69</v>
      </c>
      <c r="P2785" s="26">
        <v>78</v>
      </c>
      <c r="Q2785" s="26">
        <v>6</v>
      </c>
      <c r="R2785" s="26">
        <v>1</v>
      </c>
      <c r="S2785" s="26">
        <v>6</v>
      </c>
      <c r="T2785" s="26">
        <v>4</v>
      </c>
      <c r="U2785" s="26">
        <v>11</v>
      </c>
      <c r="V2785" s="26">
        <v>1</v>
      </c>
      <c r="W2785" s="26"/>
    </row>
    <row r="2786" spans="1:23" x14ac:dyDescent="0.25">
      <c r="A2786" s="26" t="str">
        <f t="shared" si="466"/>
        <v>PRIMARIA</v>
      </c>
      <c r="B2786" s="26" t="str">
        <f>"09PPR1265H"</f>
        <v>09PPR1265H</v>
      </c>
      <c r="C2786" s="26" t="str">
        <f>"COLEGIO MAY - TE                                                                                    "</f>
        <v xml:space="preserve">COLEGIO MAY - TE                                                                                    </v>
      </c>
      <c r="D2786" s="26" t="str">
        <f t="shared" si="473"/>
        <v>MATUTINO</v>
      </c>
      <c r="E2786" s="26" t="str">
        <f>"CALLE 16 DE SEPTIEMBRE NUM 100                                                  "</f>
        <v xml:space="preserve">CALLE 16 DE SEPTIEMBRE NUM 100                                                  </v>
      </c>
      <c r="F2786" s="26" t="str">
        <f>"SAN JUAN DE ARAGON AMPLIACION                                                                                                               "</f>
        <v xml:space="preserve">SAN JUAN DE ARAGON AMPLIACION                                                                                                               </v>
      </c>
      <c r="G2786" s="26" t="str">
        <f>"GUSTAVO A. MADERO                                                               "</f>
        <v xml:space="preserve">GUSTAVO A. MADERO                                                               </v>
      </c>
      <c r="H2786" s="26" t="str">
        <f>"263"</f>
        <v>263</v>
      </c>
      <c r="I2786" s="26" t="str">
        <f t="shared" si="467"/>
        <v>00</v>
      </c>
      <c r="J2786" s="26" t="str">
        <f>"42 "</f>
        <v xml:space="preserve">42 </v>
      </c>
      <c r="K2786" s="26" t="str">
        <f t="shared" si="474"/>
        <v>PR</v>
      </c>
      <c r="L2786" s="26" t="str">
        <f t="shared" si="475"/>
        <v>DGOSE</v>
      </c>
      <c r="M2786" s="26" t="str">
        <f t="shared" si="472"/>
        <v>PARTICULAR</v>
      </c>
      <c r="N2786" s="26">
        <v>38</v>
      </c>
      <c r="O2786" s="26">
        <v>24</v>
      </c>
      <c r="P2786" s="26">
        <v>14</v>
      </c>
      <c r="Q2786" s="26">
        <v>6</v>
      </c>
      <c r="R2786" s="26">
        <v>0</v>
      </c>
      <c r="S2786" s="26">
        <v>3</v>
      </c>
      <c r="T2786" s="26">
        <v>8</v>
      </c>
      <c r="U2786" s="26">
        <v>11</v>
      </c>
      <c r="V2786" s="26">
        <v>1</v>
      </c>
      <c r="W2786" s="26"/>
    </row>
    <row r="2787" spans="1:23" x14ac:dyDescent="0.25">
      <c r="A2787" s="26" t="str">
        <f t="shared" si="466"/>
        <v>PRIMARIA</v>
      </c>
      <c r="B2787" s="26" t="str">
        <f>"09PPR1266G"</f>
        <v>09PPR1266G</v>
      </c>
      <c r="C2787" s="26" t="str">
        <f>"CENTRO ESCOLAR DE LAS AMERICAS                                                                      "</f>
        <v xml:space="preserve">CENTRO ESCOLAR DE LAS AMERICAS                                                                      </v>
      </c>
      <c r="D2787" s="26" t="str">
        <f t="shared" si="473"/>
        <v>MATUTINO</v>
      </c>
      <c r="E2787" s="26" t="str">
        <f>"NEZAHUALCOYOTL 123                                                              "</f>
        <v xml:space="preserve">NEZAHUALCOYOTL 123                                                              </v>
      </c>
      <c r="F2787" s="26" t="str">
        <f>"ARAGON                                                                                                                                      "</f>
        <v xml:space="preserve">ARAGON                                                                                                                                      </v>
      </c>
      <c r="G2787" s="26" t="str">
        <f>"GUSTAVO A. MADERO                                                               "</f>
        <v xml:space="preserve">GUSTAVO A. MADERO                                                               </v>
      </c>
      <c r="H2787" s="26" t="str">
        <f>"250"</f>
        <v>250</v>
      </c>
      <c r="I2787" s="26" t="str">
        <f t="shared" si="467"/>
        <v>00</v>
      </c>
      <c r="J2787" s="26" t="str">
        <f>"42 "</f>
        <v xml:space="preserve">42 </v>
      </c>
      <c r="K2787" s="26" t="str">
        <f t="shared" si="474"/>
        <v>PR</v>
      </c>
      <c r="L2787" s="26" t="str">
        <f t="shared" si="475"/>
        <v>DGOSE</v>
      </c>
      <c r="M2787" s="26" t="str">
        <f t="shared" si="472"/>
        <v>PARTICULAR</v>
      </c>
      <c r="N2787" s="26">
        <v>183</v>
      </c>
      <c r="O2787" s="26">
        <v>99</v>
      </c>
      <c r="P2787" s="26">
        <v>84</v>
      </c>
      <c r="Q2787" s="26">
        <v>6</v>
      </c>
      <c r="R2787" s="26">
        <v>1</v>
      </c>
      <c r="S2787" s="26">
        <v>4</v>
      </c>
      <c r="T2787" s="26">
        <v>11</v>
      </c>
      <c r="U2787" s="26">
        <v>16</v>
      </c>
      <c r="V2787" s="26">
        <v>1</v>
      </c>
      <c r="W2787" s="26"/>
    </row>
    <row r="2788" spans="1:23" x14ac:dyDescent="0.25">
      <c r="A2788" s="26" t="str">
        <f t="shared" si="466"/>
        <v>PRIMARIA</v>
      </c>
      <c r="B2788" s="26" t="str">
        <f>"09PPR1267F"</f>
        <v>09PPR1267F</v>
      </c>
      <c r="C2788" s="26" t="str">
        <f>"COLEGIO WILLIAM JONES                                                                               "</f>
        <v xml:space="preserve">COLEGIO WILLIAM JONES                                                                               </v>
      </c>
      <c r="D2788" s="26" t="str">
        <f t="shared" si="473"/>
        <v>MATUTINO</v>
      </c>
      <c r="E2788" s="26" t="str">
        <f>"TACTUANI NO. 95                                                                 "</f>
        <v xml:space="preserve">TACTUANI NO. 95                                                                 </v>
      </c>
      <c r="F2788" s="26" t="str">
        <f>"RICARDO FLORES MAGON                                                                                                                        "</f>
        <v xml:space="preserve">RICARDO FLORES MAGON                                                                                                                        </v>
      </c>
      <c r="G2788" s="26" t="str">
        <f>"IZTAPALAPA                                                                      "</f>
        <v xml:space="preserve">IZTAPALAPA                                                                      </v>
      </c>
      <c r="H2788" s="26" t="str">
        <f>"000"</f>
        <v>000</v>
      </c>
      <c r="I2788" s="26" t="str">
        <f t="shared" si="467"/>
        <v>00</v>
      </c>
      <c r="J2788" s="26" t="str">
        <f>"61 "</f>
        <v xml:space="preserve">61 </v>
      </c>
      <c r="K2788" s="26" t="str">
        <f>"IZ"</f>
        <v>IZ</v>
      </c>
      <c r="L2788" s="26" t="str">
        <f>"DGSEI"</f>
        <v>DGSEI</v>
      </c>
      <c r="M2788" s="26" t="str">
        <f t="shared" si="472"/>
        <v>PARTICULAR</v>
      </c>
      <c r="N2788" s="26">
        <v>119</v>
      </c>
      <c r="O2788" s="26">
        <v>49</v>
      </c>
      <c r="P2788" s="26">
        <v>70</v>
      </c>
      <c r="Q2788" s="26">
        <v>6</v>
      </c>
      <c r="R2788" s="26">
        <v>1</v>
      </c>
      <c r="S2788" s="26">
        <v>6</v>
      </c>
      <c r="T2788" s="26">
        <v>4</v>
      </c>
      <c r="U2788" s="26">
        <v>11</v>
      </c>
      <c r="V2788" s="26">
        <v>1</v>
      </c>
      <c r="W2788" s="26"/>
    </row>
    <row r="2789" spans="1:23" x14ac:dyDescent="0.25">
      <c r="A2789" s="26" t="str">
        <f t="shared" si="466"/>
        <v>PRIMARIA</v>
      </c>
      <c r="B2789" s="26" t="str">
        <f>"09PPR1268E"</f>
        <v>09PPR1268E</v>
      </c>
      <c r="C2789" s="26" t="str">
        <f>"VALLARTA                                                                                            "</f>
        <v xml:space="preserve">VALLARTA                                                                                            </v>
      </c>
      <c r="D2789" s="26" t="str">
        <f t="shared" si="473"/>
        <v>MATUTINO</v>
      </c>
      <c r="E2789" s="26" t="str">
        <f>"ENCINO NO. 3                                                                    "</f>
        <v xml:space="preserve">ENCINO NO. 3                                                                    </v>
      </c>
      <c r="F2789" s="26" t="str">
        <f>"SAN JUAN XALPA                                                                                                                              "</f>
        <v xml:space="preserve">SAN JUAN XALPA                                                                                                                              </v>
      </c>
      <c r="G2789" s="26" t="str">
        <f>"IZTAPALAPA                                                                      "</f>
        <v xml:space="preserve">IZTAPALAPA                                                                      </v>
      </c>
      <c r="H2789" s="26" t="str">
        <f>"000"</f>
        <v>000</v>
      </c>
      <c r="I2789" s="26" t="str">
        <f t="shared" si="467"/>
        <v>00</v>
      </c>
      <c r="J2789" s="26" t="str">
        <f>"63 "</f>
        <v xml:space="preserve">63 </v>
      </c>
      <c r="K2789" s="26" t="str">
        <f>"IZ"</f>
        <v>IZ</v>
      </c>
      <c r="L2789" s="26" t="str">
        <f>"DGSEI"</f>
        <v>DGSEI</v>
      </c>
      <c r="M2789" s="26" t="str">
        <f t="shared" si="472"/>
        <v>PARTICULAR</v>
      </c>
      <c r="N2789" s="26">
        <v>106</v>
      </c>
      <c r="O2789" s="26">
        <v>61</v>
      </c>
      <c r="P2789" s="26">
        <v>45</v>
      </c>
      <c r="Q2789" s="26">
        <v>6</v>
      </c>
      <c r="R2789" s="26">
        <v>1</v>
      </c>
      <c r="S2789" s="26">
        <v>6</v>
      </c>
      <c r="T2789" s="26">
        <v>5</v>
      </c>
      <c r="U2789" s="26">
        <v>12</v>
      </c>
      <c r="V2789" s="26">
        <v>1</v>
      </c>
      <c r="W2789" s="26"/>
    </row>
    <row r="2790" spans="1:23" x14ac:dyDescent="0.25">
      <c r="A2790" s="26" t="str">
        <f t="shared" si="466"/>
        <v>PRIMARIA</v>
      </c>
      <c r="B2790" s="26" t="str">
        <f>"09PPR1269D"</f>
        <v>09PPR1269D</v>
      </c>
      <c r="C2790" s="26" t="str">
        <f>"MONARCA                                                                                             "</f>
        <v xml:space="preserve">MONARCA                                                                                             </v>
      </c>
      <c r="D2790" s="26" t="str">
        <f t="shared" si="473"/>
        <v>MATUTINO</v>
      </c>
      <c r="E2790" s="26" t="str">
        <f>"AV NUEVO LEON NO 240                                                            "</f>
        <v xml:space="preserve">AV NUEVO LEON NO 240                                                            </v>
      </c>
      <c r="F2790" s="26" t="str">
        <f>"SANTA CRUZ BARRIO                                                                                                                           "</f>
        <v xml:space="preserve">SANTA CRUZ BARRIO                                                                                                                           </v>
      </c>
      <c r="G2790" s="26" t="str">
        <f>"MILPA ALTA                                                                      "</f>
        <v xml:space="preserve">MILPA ALTA                                                                      </v>
      </c>
      <c r="H2790" s="26" t="str">
        <f>"563"</f>
        <v>563</v>
      </c>
      <c r="I2790" s="26" t="str">
        <f t="shared" si="467"/>
        <v>00</v>
      </c>
      <c r="J2790" s="26" t="str">
        <f>"45 "</f>
        <v xml:space="preserve">45 </v>
      </c>
      <c r="K2790" s="26" t="str">
        <f t="shared" ref="K2790:K2795" si="476">"PR"</f>
        <v>PR</v>
      </c>
      <c r="L2790" s="26" t="str">
        <f t="shared" ref="L2790:L2795" si="477">"DGOSE"</f>
        <v>DGOSE</v>
      </c>
      <c r="M2790" s="26" t="str">
        <f t="shared" si="472"/>
        <v>PARTICULAR</v>
      </c>
      <c r="N2790" s="26">
        <v>38</v>
      </c>
      <c r="O2790" s="26">
        <v>13</v>
      </c>
      <c r="P2790" s="26">
        <v>25</v>
      </c>
      <c r="Q2790" s="26">
        <v>6</v>
      </c>
      <c r="R2790" s="26">
        <v>1</v>
      </c>
      <c r="S2790" s="26">
        <v>6</v>
      </c>
      <c r="T2790" s="26">
        <v>5</v>
      </c>
      <c r="U2790" s="26">
        <v>12</v>
      </c>
      <c r="V2790" s="26">
        <v>1</v>
      </c>
      <c r="W2790" s="26"/>
    </row>
    <row r="2791" spans="1:23" x14ac:dyDescent="0.25">
      <c r="A2791" s="26" t="str">
        <f t="shared" si="466"/>
        <v>PRIMARIA</v>
      </c>
      <c r="B2791" s="26" t="str">
        <f>"09PPR1271S"</f>
        <v>09PPR1271S</v>
      </c>
      <c r="C2791" s="26" t="str">
        <f>"COLEGIO ALEXANDER BAIN                                                                              "</f>
        <v xml:space="preserve">COLEGIO ALEXANDER BAIN                                                                              </v>
      </c>
      <c r="D2791" s="26" t="str">
        <f t="shared" si="473"/>
        <v>MATUTINO</v>
      </c>
      <c r="E2791" s="26" t="str">
        <f>"BARRANCA DE PILARES NO. 29                                                      "</f>
        <v xml:space="preserve">BARRANCA DE PILARES NO. 29                                                      </v>
      </c>
      <c r="F2791" s="26" t="str">
        <f>"TLACOPAC                                                                                                                                    "</f>
        <v xml:space="preserve">TLACOPAC                                                                                                                                    </v>
      </c>
      <c r="G2791" s="26" t="str">
        <f>"ALVARO OBREGON                                                                  "</f>
        <v xml:space="preserve">ALVARO OBREGON                                                                  </v>
      </c>
      <c r="H2791" s="26" t="str">
        <f>"321"</f>
        <v>321</v>
      </c>
      <c r="I2791" s="26" t="str">
        <f t="shared" si="467"/>
        <v>00</v>
      </c>
      <c r="J2791" s="26" t="str">
        <f>"43 "</f>
        <v xml:space="preserve">43 </v>
      </c>
      <c r="K2791" s="26" t="str">
        <f t="shared" si="476"/>
        <v>PR</v>
      </c>
      <c r="L2791" s="26" t="str">
        <f t="shared" si="477"/>
        <v>DGOSE</v>
      </c>
      <c r="M2791" s="26" t="str">
        <f t="shared" si="472"/>
        <v>PARTICULAR</v>
      </c>
      <c r="N2791" s="26">
        <v>101</v>
      </c>
      <c r="O2791" s="26">
        <v>51</v>
      </c>
      <c r="P2791" s="26">
        <v>50</v>
      </c>
      <c r="Q2791" s="26">
        <v>6</v>
      </c>
      <c r="R2791" s="26">
        <v>1</v>
      </c>
      <c r="S2791" s="26">
        <v>3</v>
      </c>
      <c r="T2791" s="26">
        <v>15</v>
      </c>
      <c r="U2791" s="26">
        <v>19</v>
      </c>
      <c r="V2791" s="26">
        <v>1</v>
      </c>
      <c r="W2791" s="26"/>
    </row>
    <row r="2792" spans="1:23" x14ac:dyDescent="0.25">
      <c r="A2792" s="26" t="str">
        <f t="shared" si="466"/>
        <v>PRIMARIA</v>
      </c>
      <c r="B2792" s="26" t="str">
        <f>"09PPR1272R"</f>
        <v>09PPR1272R</v>
      </c>
      <c r="C2792" s="26" t="str">
        <f>"COLEGIO LUIS ENRIQUE ERRO                                                                           "</f>
        <v xml:space="preserve">COLEGIO LUIS ENRIQUE ERRO                                                                           </v>
      </c>
      <c r="D2792" s="26" t="str">
        <f t="shared" si="473"/>
        <v>MATUTINO</v>
      </c>
      <c r="E2792" s="26" t="str">
        <f>"RECURSOS HIDRAULICOS NO 8                                                       "</f>
        <v xml:space="preserve">RECURSOS HIDRAULICOS NO 8                                                       </v>
      </c>
      <c r="F2792" s="26" t="str">
        <f>"CUATRO ARBOLES                                                                                                                              "</f>
        <v xml:space="preserve">CUATRO ARBOLES                                                                                                                              </v>
      </c>
      <c r="G2792" s="26" t="str">
        <f>"VENUSTIANO CARRANZA                                                             "</f>
        <v xml:space="preserve">VENUSTIANO CARRANZA                                                             </v>
      </c>
      <c r="H2792" s="26" t="str">
        <f>"351"</f>
        <v>351</v>
      </c>
      <c r="I2792" s="26" t="str">
        <f t="shared" si="467"/>
        <v>00</v>
      </c>
      <c r="J2792" s="26" t="str">
        <f>"43 "</f>
        <v xml:space="preserve">43 </v>
      </c>
      <c r="K2792" s="26" t="str">
        <f t="shared" si="476"/>
        <v>PR</v>
      </c>
      <c r="L2792" s="26" t="str">
        <f t="shared" si="477"/>
        <v>DGOSE</v>
      </c>
      <c r="M2792" s="26" t="str">
        <f t="shared" si="472"/>
        <v>PARTICULAR</v>
      </c>
      <c r="N2792" s="26">
        <v>51</v>
      </c>
      <c r="O2792" s="26">
        <v>22</v>
      </c>
      <c r="P2792" s="26">
        <v>29</v>
      </c>
      <c r="Q2792" s="26">
        <v>6</v>
      </c>
      <c r="R2792" s="26">
        <v>1</v>
      </c>
      <c r="S2792" s="26">
        <v>6</v>
      </c>
      <c r="T2792" s="26">
        <v>8</v>
      </c>
      <c r="U2792" s="26">
        <v>15</v>
      </c>
      <c r="V2792" s="26">
        <v>1</v>
      </c>
      <c r="W2792" s="26"/>
    </row>
    <row r="2793" spans="1:23" x14ac:dyDescent="0.25">
      <c r="A2793" s="26" t="str">
        <f t="shared" si="466"/>
        <v>PRIMARIA</v>
      </c>
      <c r="B2793" s="26" t="str">
        <f>"09PPR1273Q"</f>
        <v>09PPR1273Q</v>
      </c>
      <c r="C2793" s="26" t="str">
        <f>"CENTRO EDUCATIVO MONTESSORI SINERGIA                                                                "</f>
        <v xml:space="preserve">CENTRO EDUCATIVO MONTESSORI SINERGIA                                                                </v>
      </c>
      <c r="D2793" s="26" t="str">
        <f t="shared" si="473"/>
        <v>MATUTINO</v>
      </c>
      <c r="E2793" s="26" t="str">
        <f>"AV TICOMAN NO 351                                                               "</f>
        <v xml:space="preserve">AV TICOMAN NO 351                                                               </v>
      </c>
      <c r="F2793" s="26" t="str">
        <f>"RESIDENCIAL ZACATENCO                                                                                                                       "</f>
        <v xml:space="preserve">RESIDENCIAL ZACATENCO                                                                                                                       </v>
      </c>
      <c r="G2793" s="26" t="str">
        <f>"GUSTAVO A. MADERO                                                               "</f>
        <v xml:space="preserve">GUSTAVO A. MADERO                                                               </v>
      </c>
      <c r="H2793" s="26" t="str">
        <f>"242"</f>
        <v>242</v>
      </c>
      <c r="I2793" s="26" t="str">
        <f t="shared" si="467"/>
        <v>00</v>
      </c>
      <c r="J2793" s="26" t="str">
        <f>"42 "</f>
        <v xml:space="preserve">42 </v>
      </c>
      <c r="K2793" s="26" t="str">
        <f t="shared" si="476"/>
        <v>PR</v>
      </c>
      <c r="L2793" s="26" t="str">
        <f t="shared" si="477"/>
        <v>DGOSE</v>
      </c>
      <c r="M2793" s="26" t="str">
        <f t="shared" si="472"/>
        <v>PARTICULAR</v>
      </c>
      <c r="N2793" s="26">
        <v>20</v>
      </c>
      <c r="O2793" s="26">
        <v>14</v>
      </c>
      <c r="P2793" s="26">
        <v>6</v>
      </c>
      <c r="Q2793" s="26">
        <v>6</v>
      </c>
      <c r="R2793" s="26">
        <v>1</v>
      </c>
      <c r="S2793" s="26">
        <v>6</v>
      </c>
      <c r="T2793" s="26">
        <v>1</v>
      </c>
      <c r="U2793" s="26">
        <v>8</v>
      </c>
      <c r="V2793" s="26">
        <v>1</v>
      </c>
      <c r="W2793" s="26"/>
    </row>
    <row r="2794" spans="1:23" x14ac:dyDescent="0.25">
      <c r="A2794" s="26" t="str">
        <f t="shared" si="466"/>
        <v>PRIMARIA</v>
      </c>
      <c r="B2794" s="26" t="str">
        <f>"09PPR1274P"</f>
        <v>09PPR1274P</v>
      </c>
      <c r="C2794" s="26" t="str">
        <f>"INSTITUTO ALMA MATER                                                                                "</f>
        <v xml:space="preserve">INSTITUTO ALMA MATER                                                                                </v>
      </c>
      <c r="D2794" s="26" t="str">
        <f t="shared" si="473"/>
        <v>MATUTINO</v>
      </c>
      <c r="E2794" s="26" t="str">
        <f>"AV 527 NO 5 UNIDAD ARAG0N SECCI0N 1                                             "</f>
        <v xml:space="preserve">AV 527 NO 5 UNIDAD ARAG0N SECCI0N 1                                             </v>
      </c>
      <c r="F2794" s="26" t="str">
        <f>"SAN JUAN DE ARAGON                                                                                                                          "</f>
        <v xml:space="preserve">SAN JUAN DE ARAGON                                                                                                                          </v>
      </c>
      <c r="G2794" s="26" t="str">
        <f>"GUSTAVO A. MADERO                                                               "</f>
        <v xml:space="preserve">GUSTAVO A. MADERO                                                               </v>
      </c>
      <c r="H2794" s="26" t="str">
        <f>"270"</f>
        <v>270</v>
      </c>
      <c r="I2794" s="26" t="str">
        <f t="shared" si="467"/>
        <v>00</v>
      </c>
      <c r="J2794" s="26" t="str">
        <f>"42 "</f>
        <v xml:space="preserve">42 </v>
      </c>
      <c r="K2794" s="26" t="str">
        <f t="shared" si="476"/>
        <v>PR</v>
      </c>
      <c r="L2794" s="26" t="str">
        <f t="shared" si="477"/>
        <v>DGOSE</v>
      </c>
      <c r="M2794" s="26" t="str">
        <f t="shared" si="472"/>
        <v>PARTICULAR</v>
      </c>
      <c r="N2794" s="26">
        <v>88</v>
      </c>
      <c r="O2794" s="26">
        <v>46</v>
      </c>
      <c r="P2794" s="26">
        <v>42</v>
      </c>
      <c r="Q2794" s="26">
        <v>6</v>
      </c>
      <c r="R2794" s="26">
        <v>1</v>
      </c>
      <c r="S2794" s="26">
        <v>3</v>
      </c>
      <c r="T2794" s="26">
        <v>4</v>
      </c>
      <c r="U2794" s="26">
        <v>8</v>
      </c>
      <c r="V2794" s="26">
        <v>1</v>
      </c>
      <c r="W2794" s="26"/>
    </row>
    <row r="2795" spans="1:23" x14ac:dyDescent="0.25">
      <c r="A2795" s="26" t="str">
        <f t="shared" si="466"/>
        <v>PRIMARIA</v>
      </c>
      <c r="B2795" s="26" t="str">
        <f>"09PPR1276N"</f>
        <v>09PPR1276N</v>
      </c>
      <c r="C2795" s="26" t="str">
        <f>"XOCHILHUITL                                                                                         "</f>
        <v xml:space="preserve">XOCHILHUITL                                                                                         </v>
      </c>
      <c r="D2795" s="26" t="str">
        <f t="shared" si="473"/>
        <v>MATUTINO</v>
      </c>
      <c r="E2795" s="26" t="str">
        <f>"PRIVADA 5 DE MAYO NUM 17                                                        "</f>
        <v xml:space="preserve">PRIVADA 5 DE MAYO NUM 17                                                        </v>
      </c>
      <c r="F2795" s="26" t="str">
        <f>"SAN ANTONIO TECOMITL                                                                                                                        "</f>
        <v xml:space="preserve">SAN ANTONIO TECOMITL                                                                                                                        </v>
      </c>
      <c r="G2795" s="26" t="str">
        <f>"MILPA ALTA                                                                      "</f>
        <v xml:space="preserve">MILPA ALTA                                                                      </v>
      </c>
      <c r="H2795" s="26" t="str">
        <f>"561"</f>
        <v>561</v>
      </c>
      <c r="I2795" s="26" t="str">
        <f t="shared" si="467"/>
        <v>00</v>
      </c>
      <c r="J2795" s="26" t="str">
        <f>"45 "</f>
        <v xml:space="preserve">45 </v>
      </c>
      <c r="K2795" s="26" t="str">
        <f t="shared" si="476"/>
        <v>PR</v>
      </c>
      <c r="L2795" s="26" t="str">
        <f t="shared" si="477"/>
        <v>DGOSE</v>
      </c>
      <c r="M2795" s="26" t="str">
        <f t="shared" si="472"/>
        <v>PARTICULAR</v>
      </c>
      <c r="N2795" s="26">
        <v>84</v>
      </c>
      <c r="O2795" s="26">
        <v>31</v>
      </c>
      <c r="P2795" s="26">
        <v>53</v>
      </c>
      <c r="Q2795" s="26">
        <v>6</v>
      </c>
      <c r="R2795" s="26">
        <v>1</v>
      </c>
      <c r="S2795" s="26">
        <v>6</v>
      </c>
      <c r="T2795" s="26">
        <v>6</v>
      </c>
      <c r="U2795" s="26">
        <v>13</v>
      </c>
      <c r="V2795" s="26">
        <v>1</v>
      </c>
      <c r="W2795" s="26"/>
    </row>
    <row r="2796" spans="1:23" x14ac:dyDescent="0.25">
      <c r="A2796" s="26" t="str">
        <f t="shared" si="466"/>
        <v>PRIMARIA</v>
      </c>
      <c r="B2796" s="26" t="str">
        <f>"09PPR1277M"</f>
        <v>09PPR1277M</v>
      </c>
      <c r="C2796" s="26" t="str">
        <f>"COLEGIO MODERNO MEXICANO                                                                            "</f>
        <v xml:space="preserve">COLEGIO MODERNO MEXICANO                                                                            </v>
      </c>
      <c r="D2796" s="26" t="str">
        <f t="shared" si="473"/>
        <v>MATUTINO</v>
      </c>
      <c r="E2796" s="26" t="str">
        <f>"ALOE NO. 1                                                                      "</f>
        <v xml:space="preserve">ALOE NO. 1                                                                      </v>
      </c>
      <c r="F2796" s="26" t="str">
        <f>"EL MANTO                                                                                                                                    "</f>
        <v xml:space="preserve">EL MANTO                                                                                                                                    </v>
      </c>
      <c r="G2796" s="26" t="str">
        <f>"IZTAPALAPA                                                                      "</f>
        <v xml:space="preserve">IZTAPALAPA                                                                      </v>
      </c>
      <c r="H2796" s="26" t="str">
        <f>"000"</f>
        <v>000</v>
      </c>
      <c r="I2796" s="26" t="str">
        <f t="shared" si="467"/>
        <v>00</v>
      </c>
      <c r="J2796" s="26" t="str">
        <f>"61 "</f>
        <v xml:space="preserve">61 </v>
      </c>
      <c r="K2796" s="26" t="str">
        <f>"IZ"</f>
        <v>IZ</v>
      </c>
      <c r="L2796" s="26" t="str">
        <f>"DGSEI"</f>
        <v>DGSEI</v>
      </c>
      <c r="M2796" s="26" t="str">
        <f t="shared" si="472"/>
        <v>PARTICULAR</v>
      </c>
      <c r="N2796" s="26">
        <v>24</v>
      </c>
      <c r="O2796" s="26">
        <v>12</v>
      </c>
      <c r="P2796" s="26">
        <v>12</v>
      </c>
      <c r="Q2796" s="26">
        <v>6</v>
      </c>
      <c r="R2796" s="26">
        <v>1</v>
      </c>
      <c r="S2796" s="26">
        <v>6</v>
      </c>
      <c r="T2796" s="26">
        <v>2</v>
      </c>
      <c r="U2796" s="26">
        <v>9</v>
      </c>
      <c r="V2796" s="26">
        <v>1</v>
      </c>
      <c r="W2796" s="26"/>
    </row>
    <row r="2797" spans="1:23" x14ac:dyDescent="0.25">
      <c r="A2797" s="26" t="str">
        <f t="shared" si="466"/>
        <v>PRIMARIA</v>
      </c>
      <c r="B2797" s="26" t="str">
        <f>"09PPR1278L"</f>
        <v>09PPR1278L</v>
      </c>
      <c r="C2797" s="26" t="str">
        <f>"COLEGIO CITLALI                                                                                     "</f>
        <v xml:space="preserve">COLEGIO CITLALI                                                                                     </v>
      </c>
      <c r="D2797" s="26" t="str">
        <f t="shared" si="473"/>
        <v>MATUTINO</v>
      </c>
      <c r="E2797" s="26" t="str">
        <f>"CUAUHTEMOC NO. 144                                                              "</f>
        <v xml:space="preserve">CUAUHTEMOC NO. 144                                                              </v>
      </c>
      <c r="F2797" s="26" t="str">
        <f>"SAN JOSE                                                                                                                                    "</f>
        <v xml:space="preserve">SAN JOSE                                                                                                                                    </v>
      </c>
      <c r="G2797" s="26" t="str">
        <f>"IZTAPALAPA                                                                      "</f>
        <v xml:space="preserve">IZTAPALAPA                                                                      </v>
      </c>
      <c r="H2797" s="26" t="str">
        <f>"000"</f>
        <v>000</v>
      </c>
      <c r="I2797" s="26" t="str">
        <f t="shared" si="467"/>
        <v>00</v>
      </c>
      <c r="J2797" s="26" t="str">
        <f>"61 "</f>
        <v xml:space="preserve">61 </v>
      </c>
      <c r="K2797" s="26" t="str">
        <f>"IZ"</f>
        <v>IZ</v>
      </c>
      <c r="L2797" s="26" t="str">
        <f>"DGSEI"</f>
        <v>DGSEI</v>
      </c>
      <c r="M2797" s="26" t="str">
        <f t="shared" si="472"/>
        <v>PARTICULAR</v>
      </c>
      <c r="N2797" s="26">
        <v>107</v>
      </c>
      <c r="O2797" s="26">
        <v>56</v>
      </c>
      <c r="P2797" s="26">
        <v>51</v>
      </c>
      <c r="Q2797" s="26">
        <v>7</v>
      </c>
      <c r="R2797" s="26">
        <v>1</v>
      </c>
      <c r="S2797" s="26">
        <v>7</v>
      </c>
      <c r="T2797" s="26">
        <v>5</v>
      </c>
      <c r="U2797" s="26">
        <v>13</v>
      </c>
      <c r="V2797" s="26">
        <v>1</v>
      </c>
      <c r="W2797" s="26"/>
    </row>
    <row r="2798" spans="1:23" x14ac:dyDescent="0.25">
      <c r="A2798" s="26" t="str">
        <f t="shared" si="466"/>
        <v>PRIMARIA</v>
      </c>
      <c r="B2798" s="26" t="str">
        <f>"09PPR1280Z"</f>
        <v>09PPR1280Z</v>
      </c>
      <c r="C2798" s="26" t="str">
        <f>"INSTITUTO BOSCHETTI                                                                                 "</f>
        <v xml:space="preserve">INSTITUTO BOSCHETTI                                                                                 </v>
      </c>
      <c r="D2798" s="26" t="str">
        <f t="shared" si="473"/>
        <v>MATUTINO</v>
      </c>
      <c r="E2798" s="26" t="str">
        <f>"CALZADA ERMITA IZTAPALAPA NO. 2166                                              "</f>
        <v xml:space="preserve">CALZADA ERMITA IZTAPALAPA NO. 2166                                              </v>
      </c>
      <c r="F2798" s="26" t="str">
        <f>"CONSTITUCION 1917                                                                                                                           "</f>
        <v xml:space="preserve">CONSTITUCION 1917                                                                                                                           </v>
      </c>
      <c r="G2798" s="26" t="str">
        <f>"IZTAPALAPA                                                                      "</f>
        <v xml:space="preserve">IZTAPALAPA                                                                      </v>
      </c>
      <c r="H2798" s="26" t="str">
        <f>"000"</f>
        <v>000</v>
      </c>
      <c r="I2798" s="26" t="str">
        <f t="shared" si="467"/>
        <v>00</v>
      </c>
      <c r="J2798" s="26" t="str">
        <f>"62 "</f>
        <v xml:space="preserve">62 </v>
      </c>
      <c r="K2798" s="26" t="str">
        <f>"IZ"</f>
        <v>IZ</v>
      </c>
      <c r="L2798" s="26" t="str">
        <f>"DGSEI"</f>
        <v>DGSEI</v>
      </c>
      <c r="M2798" s="26" t="str">
        <f t="shared" si="472"/>
        <v>PARTICULAR</v>
      </c>
      <c r="N2798" s="26">
        <v>78</v>
      </c>
      <c r="O2798" s="26">
        <v>42</v>
      </c>
      <c r="P2798" s="26">
        <v>36</v>
      </c>
      <c r="Q2798" s="26">
        <v>6</v>
      </c>
      <c r="R2798" s="26">
        <v>1</v>
      </c>
      <c r="S2798" s="26">
        <v>6</v>
      </c>
      <c r="T2798" s="26">
        <v>6</v>
      </c>
      <c r="U2798" s="26">
        <v>13</v>
      </c>
      <c r="V2798" s="26">
        <v>1</v>
      </c>
      <c r="W2798" s="26"/>
    </row>
    <row r="2799" spans="1:23" x14ac:dyDescent="0.25">
      <c r="A2799" s="26" t="str">
        <f t="shared" si="466"/>
        <v>PRIMARIA</v>
      </c>
      <c r="B2799" s="26" t="str">
        <f>"09PPR1281Z"</f>
        <v>09PPR1281Z</v>
      </c>
      <c r="C2799" s="26" t="str">
        <f>"COLEGIO YUME                                                                                        "</f>
        <v xml:space="preserve">COLEGIO YUME                                                                                        </v>
      </c>
      <c r="D2799" s="26" t="str">
        <f t="shared" si="473"/>
        <v>MATUTINO</v>
      </c>
      <c r="E2799" s="26" t="str">
        <f>"ORQUIDEA NO. 220                                                                "</f>
        <v xml:space="preserve">ORQUIDEA NO. 220                                                                </v>
      </c>
      <c r="F2799" s="26" t="str">
        <f>"LOS ANGELES                                                                                                                                 "</f>
        <v xml:space="preserve">LOS ANGELES                                                                                                                                 </v>
      </c>
      <c r="G2799" s="26" t="str">
        <f>"IZTAPALAPA                                                                      "</f>
        <v xml:space="preserve">IZTAPALAPA                                                                      </v>
      </c>
      <c r="H2799" s="26" t="str">
        <f>"000"</f>
        <v>000</v>
      </c>
      <c r="I2799" s="26" t="str">
        <f t="shared" si="467"/>
        <v>00</v>
      </c>
      <c r="J2799" s="26" t="str">
        <f>"63 "</f>
        <v xml:space="preserve">63 </v>
      </c>
      <c r="K2799" s="26" t="str">
        <f>"IZ"</f>
        <v>IZ</v>
      </c>
      <c r="L2799" s="26" t="str">
        <f>"DGSEI"</f>
        <v>DGSEI</v>
      </c>
      <c r="M2799" s="26" t="str">
        <f t="shared" si="472"/>
        <v>PARTICULAR</v>
      </c>
      <c r="N2799" s="26">
        <v>40</v>
      </c>
      <c r="O2799" s="26">
        <v>21</v>
      </c>
      <c r="P2799" s="26">
        <v>19</v>
      </c>
      <c r="Q2799" s="26">
        <v>6</v>
      </c>
      <c r="R2799" s="26">
        <v>1</v>
      </c>
      <c r="S2799" s="26">
        <v>5</v>
      </c>
      <c r="T2799" s="26">
        <v>6</v>
      </c>
      <c r="U2799" s="26">
        <v>12</v>
      </c>
      <c r="V2799" s="26">
        <v>1</v>
      </c>
      <c r="W2799" s="26"/>
    </row>
    <row r="2800" spans="1:23" x14ac:dyDescent="0.25">
      <c r="A2800" s="26" t="str">
        <f t="shared" si="466"/>
        <v>PRIMARIA</v>
      </c>
      <c r="B2800" s="26" t="str">
        <f>"09PPR1282Y"</f>
        <v>09PPR1282Y</v>
      </c>
      <c r="C2800" s="26" t="str">
        <f>"COLEGIO BILINGUE DIANA SPENCER                                                                      "</f>
        <v xml:space="preserve">COLEGIO BILINGUE DIANA SPENCER                                                                      </v>
      </c>
      <c r="D2800" s="26" t="str">
        <f t="shared" si="473"/>
        <v>MATUTINO</v>
      </c>
      <c r="E2800" s="26" t="str">
        <f>"HIDALGO MZ. 23 LT. 13                                                           "</f>
        <v xml:space="preserve">HIDALGO MZ. 23 LT. 13                                                           </v>
      </c>
      <c r="F2800" s="26" t="str">
        <f>"GUADALUPE DEL MORAL                                                                                                                         "</f>
        <v xml:space="preserve">GUADALUPE DEL MORAL                                                                                                                         </v>
      </c>
      <c r="G2800" s="26" t="str">
        <f>"IZTAPALAPA                                                                      "</f>
        <v xml:space="preserve">IZTAPALAPA                                                                      </v>
      </c>
      <c r="H2800" s="26" t="str">
        <f>"000"</f>
        <v>000</v>
      </c>
      <c r="I2800" s="26" t="str">
        <f t="shared" si="467"/>
        <v>00</v>
      </c>
      <c r="J2800" s="26" t="str">
        <f>"61 "</f>
        <v xml:space="preserve">61 </v>
      </c>
      <c r="K2800" s="26" t="str">
        <f>"IZ"</f>
        <v>IZ</v>
      </c>
      <c r="L2800" s="26" t="str">
        <f>"DGSEI"</f>
        <v>DGSEI</v>
      </c>
      <c r="M2800" s="26" t="str">
        <f t="shared" si="472"/>
        <v>PARTICULAR</v>
      </c>
      <c r="N2800" s="26">
        <v>53</v>
      </c>
      <c r="O2800" s="26">
        <v>21</v>
      </c>
      <c r="P2800" s="26">
        <v>32</v>
      </c>
      <c r="Q2800" s="26">
        <v>6</v>
      </c>
      <c r="R2800" s="26">
        <v>1</v>
      </c>
      <c r="S2800" s="26">
        <v>3</v>
      </c>
      <c r="T2800" s="26">
        <v>5</v>
      </c>
      <c r="U2800" s="26">
        <v>9</v>
      </c>
      <c r="V2800" s="26">
        <v>1</v>
      </c>
      <c r="W2800" s="26"/>
    </row>
    <row r="2801" spans="1:23" x14ac:dyDescent="0.25">
      <c r="A2801" s="26" t="str">
        <f t="shared" si="466"/>
        <v>PRIMARIA</v>
      </c>
      <c r="B2801" s="26" t="str">
        <f>"09PPR1285V"</f>
        <v>09PPR1285V</v>
      </c>
      <c r="C2801" s="26" t="str">
        <f>"""COLEGIO BRIGHTON""                                                                                  "</f>
        <v xml:space="preserve">"COLEGIO BRIGHTON"                                                                                  </v>
      </c>
      <c r="D2801" s="26" t="str">
        <f t="shared" si="473"/>
        <v>MATUTINO</v>
      </c>
      <c r="E2801" s="26" t="str">
        <f>"AV CANTERA NO 253                                                               "</f>
        <v xml:space="preserve">AV CANTERA NO 253                                                               </v>
      </c>
      <c r="F2801" s="26" t="str">
        <f>"TLALPAN                                                                                                                                     "</f>
        <v xml:space="preserve">TLALPAN                                                                                                                                     </v>
      </c>
      <c r="G2801" s="26" t="str">
        <f>"TLALPAN                                                                         "</f>
        <v xml:space="preserve">TLALPAN                                                                         </v>
      </c>
      <c r="H2801" s="26" t="str">
        <f>"517"</f>
        <v>517</v>
      </c>
      <c r="I2801" s="26" t="str">
        <f t="shared" si="467"/>
        <v>00</v>
      </c>
      <c r="J2801" s="26" t="str">
        <f>"45 "</f>
        <v xml:space="preserve">45 </v>
      </c>
      <c r="K2801" s="26" t="str">
        <f>"PR"</f>
        <v>PR</v>
      </c>
      <c r="L2801" s="26" t="str">
        <f>"DGOSE"</f>
        <v>DGOSE</v>
      </c>
      <c r="M2801" s="26" t="str">
        <f t="shared" si="472"/>
        <v>PARTICULAR</v>
      </c>
      <c r="N2801" s="26">
        <v>82</v>
      </c>
      <c r="O2801" s="26">
        <v>45</v>
      </c>
      <c r="P2801" s="26">
        <v>37</v>
      </c>
      <c r="Q2801" s="26">
        <v>6</v>
      </c>
      <c r="R2801" s="26">
        <v>1</v>
      </c>
      <c r="S2801" s="26">
        <v>3</v>
      </c>
      <c r="T2801" s="26">
        <v>6</v>
      </c>
      <c r="U2801" s="26">
        <v>10</v>
      </c>
      <c r="V2801" s="26">
        <v>1</v>
      </c>
      <c r="W2801" s="26"/>
    </row>
    <row r="2802" spans="1:23" x14ac:dyDescent="0.25">
      <c r="A2802" s="26" t="str">
        <f t="shared" si="466"/>
        <v>PRIMARIA</v>
      </c>
      <c r="B2802" s="26" t="str">
        <f>"09PPR1286U"</f>
        <v>09PPR1286U</v>
      </c>
      <c r="C2802" s="26" t="str">
        <f>"PRIMARIA PEDAGOGICA DE LAS AMERICAS                                                                 "</f>
        <v xml:space="preserve">PRIMARIA PEDAGOGICA DE LAS AMERICAS                                                                 </v>
      </c>
      <c r="D2802" s="26" t="str">
        <f t="shared" si="473"/>
        <v>MATUTINO</v>
      </c>
      <c r="E2802" s="26" t="str">
        <f>"CDA. SAN JOSE NO. 24                                                            "</f>
        <v xml:space="preserve">CDA. SAN JOSE NO. 24                                                            </v>
      </c>
      <c r="F2802" s="26" t="str">
        <f>"MAGDALENA ATLAZOLPA                                                                                                                         "</f>
        <v xml:space="preserve">MAGDALENA ATLAZOLPA                                                                                                                         </v>
      </c>
      <c r="G2802" s="26" t="str">
        <f>"IZTAPALAPA                                                                      "</f>
        <v xml:space="preserve">IZTAPALAPA                                                                      </v>
      </c>
      <c r="H2802" s="26" t="str">
        <f>"000"</f>
        <v>000</v>
      </c>
      <c r="I2802" s="26" t="str">
        <f t="shared" si="467"/>
        <v>00</v>
      </c>
      <c r="J2802" s="26" t="str">
        <f>"61 "</f>
        <v xml:space="preserve">61 </v>
      </c>
      <c r="K2802" s="26" t="str">
        <f>"IZ"</f>
        <v>IZ</v>
      </c>
      <c r="L2802" s="26" t="str">
        <f>"DGSEI"</f>
        <v>DGSEI</v>
      </c>
      <c r="M2802" s="26" t="str">
        <f t="shared" si="472"/>
        <v>PARTICULAR</v>
      </c>
      <c r="N2802" s="26">
        <v>72</v>
      </c>
      <c r="O2802" s="26">
        <v>45</v>
      </c>
      <c r="P2802" s="26">
        <v>27</v>
      </c>
      <c r="Q2802" s="26">
        <v>6</v>
      </c>
      <c r="R2802" s="26">
        <v>1</v>
      </c>
      <c r="S2802" s="26">
        <v>3</v>
      </c>
      <c r="T2802" s="26">
        <v>4</v>
      </c>
      <c r="U2802" s="26">
        <v>8</v>
      </c>
      <c r="V2802" s="26">
        <v>1</v>
      </c>
      <c r="W2802" s="26"/>
    </row>
    <row r="2803" spans="1:23" x14ac:dyDescent="0.25">
      <c r="A2803" s="26" t="str">
        <f t="shared" si="466"/>
        <v>PRIMARIA</v>
      </c>
      <c r="B2803" s="26" t="str">
        <f>"09PPR1287T"</f>
        <v>09PPR1287T</v>
      </c>
      <c r="C2803" s="26" t="str">
        <f>"BENITO JUAREZ                                                                                       "</f>
        <v xml:space="preserve">BENITO JUAREZ                                                                                       </v>
      </c>
      <c r="D2803" s="26" t="str">
        <f t="shared" si="473"/>
        <v>MATUTINO</v>
      </c>
      <c r="E2803" s="26" t="str">
        <f>"FLOR DE CAMPO NO. 8 MZ. 3                                                       "</f>
        <v xml:space="preserve">FLOR DE CAMPO NO. 8 MZ. 3                                                       </v>
      </c>
      <c r="F2803" s="26" t="str">
        <f>"SANTA MARIA AZTAHUACAN                                                                                                                      "</f>
        <v xml:space="preserve">SANTA MARIA AZTAHUACAN                                                                                                                      </v>
      </c>
      <c r="G2803" s="26" t="str">
        <f>"IZTAPALAPA                                                                      "</f>
        <v xml:space="preserve">IZTAPALAPA                                                                      </v>
      </c>
      <c r="H2803" s="26" t="str">
        <f>"000"</f>
        <v>000</v>
      </c>
      <c r="I2803" s="26" t="str">
        <f t="shared" si="467"/>
        <v>00</v>
      </c>
      <c r="J2803" s="26" t="str">
        <f>"64 "</f>
        <v xml:space="preserve">64 </v>
      </c>
      <c r="K2803" s="26" t="str">
        <f>"IZ"</f>
        <v>IZ</v>
      </c>
      <c r="L2803" s="26" t="str">
        <f>"DGSEI"</f>
        <v>DGSEI</v>
      </c>
      <c r="M2803" s="26" t="str">
        <f t="shared" si="472"/>
        <v>PARTICULAR</v>
      </c>
      <c r="N2803" s="26">
        <v>100</v>
      </c>
      <c r="O2803" s="26">
        <v>49</v>
      </c>
      <c r="P2803" s="26">
        <v>51</v>
      </c>
      <c r="Q2803" s="26">
        <v>6</v>
      </c>
      <c r="R2803" s="26">
        <v>1</v>
      </c>
      <c r="S2803" s="26">
        <v>6</v>
      </c>
      <c r="T2803" s="26">
        <v>7</v>
      </c>
      <c r="U2803" s="26">
        <v>14</v>
      </c>
      <c r="V2803" s="26">
        <v>1</v>
      </c>
      <c r="W2803" s="26"/>
    </row>
    <row r="2804" spans="1:23" x14ac:dyDescent="0.25">
      <c r="A2804" s="26" t="str">
        <f t="shared" si="466"/>
        <v>PRIMARIA</v>
      </c>
      <c r="B2804" s="26" t="str">
        <f>"09PPR1288S"</f>
        <v>09PPR1288S</v>
      </c>
      <c r="C2804" s="26" t="str">
        <f>"""JOSE MARIA MORELOS Y PAVON""                                                                        "</f>
        <v xml:space="preserve">"JOSE MARIA MORELOS Y PAVON"                                                                        </v>
      </c>
      <c r="D2804" s="26" t="str">
        <f t="shared" si="473"/>
        <v>MATUTINO</v>
      </c>
      <c r="E2804" s="26" t="str">
        <f>"AV. 5 DE MAYO NO. 107 BIS                                                       "</f>
        <v xml:space="preserve">AV. 5 DE MAYO NO. 107 BIS                                                       </v>
      </c>
      <c r="F2804" s="26" t="str">
        <f>"XALTOCAN                                                                                                                                    "</f>
        <v xml:space="preserve">XALTOCAN                                                                                                                                    </v>
      </c>
      <c r="G2804" s="26" t="str">
        <f>"XOCHIMILCO                                                                      "</f>
        <v xml:space="preserve">XOCHIMILCO                                                                      </v>
      </c>
      <c r="H2804" s="26" t="str">
        <f>"537"</f>
        <v>537</v>
      </c>
      <c r="I2804" s="26" t="str">
        <f t="shared" si="467"/>
        <v>00</v>
      </c>
      <c r="J2804" s="26" t="str">
        <f>"45 "</f>
        <v xml:space="preserve">45 </v>
      </c>
      <c r="K2804" s="26" t="str">
        <f>"PR"</f>
        <v>PR</v>
      </c>
      <c r="L2804" s="26" t="str">
        <f>"DGOSE"</f>
        <v>DGOSE</v>
      </c>
      <c r="M2804" s="26" t="str">
        <f t="shared" si="472"/>
        <v>PARTICULAR</v>
      </c>
      <c r="N2804" s="26">
        <v>124</v>
      </c>
      <c r="O2804" s="26">
        <v>65</v>
      </c>
      <c r="P2804" s="26">
        <v>59</v>
      </c>
      <c r="Q2804" s="26">
        <v>6</v>
      </c>
      <c r="R2804" s="26">
        <v>1</v>
      </c>
      <c r="S2804" s="26">
        <v>6</v>
      </c>
      <c r="T2804" s="26">
        <v>7</v>
      </c>
      <c r="U2804" s="26">
        <v>14</v>
      </c>
      <c r="V2804" s="26">
        <v>1</v>
      </c>
      <c r="W2804" s="26"/>
    </row>
    <row r="2805" spans="1:23" x14ac:dyDescent="0.25">
      <c r="A2805" s="26" t="str">
        <f t="shared" si="466"/>
        <v>PRIMARIA</v>
      </c>
      <c r="B2805" s="26" t="str">
        <f>"09PPR1289R"</f>
        <v>09PPR1289R</v>
      </c>
      <c r="C2805" s="26" t="str">
        <f>"CENTRO EDUCATIVO DEL PEQUEÑO BUEN HOMBRE                                                            "</f>
        <v xml:space="preserve">CENTRO EDUCATIVO DEL PEQUEÑO BUEN HOMBRE                                                            </v>
      </c>
      <c r="D2805" s="26" t="str">
        <f t="shared" si="473"/>
        <v>MATUTINO</v>
      </c>
      <c r="E2805" s="26" t="str">
        <f>"RETORNO 3 NUM 29                                                                "</f>
        <v xml:space="preserve">RETORNO 3 NUM 29                                                                </v>
      </c>
      <c r="F2805" s="26" t="str">
        <f>"AVANTE                                                                                                                                      "</f>
        <v xml:space="preserve">AVANTE                                                                                                                                      </v>
      </c>
      <c r="G2805" s="26" t="str">
        <f>"COYOACAN                                                                        "</f>
        <v xml:space="preserve">COYOACAN                                                                        </v>
      </c>
      <c r="H2805" s="26" t="str">
        <f>"508"</f>
        <v>508</v>
      </c>
      <c r="I2805" s="26" t="str">
        <f t="shared" si="467"/>
        <v>00</v>
      </c>
      <c r="J2805" s="26" t="str">
        <f>"45 "</f>
        <v xml:space="preserve">45 </v>
      </c>
      <c r="K2805" s="26" t="str">
        <f>"PR"</f>
        <v>PR</v>
      </c>
      <c r="L2805" s="26" t="str">
        <f>"DGOSE"</f>
        <v>DGOSE</v>
      </c>
      <c r="M2805" s="26" t="str">
        <f t="shared" si="472"/>
        <v>PARTICULAR</v>
      </c>
      <c r="N2805" s="26">
        <v>66</v>
      </c>
      <c r="O2805" s="26">
        <v>40</v>
      </c>
      <c r="P2805" s="26">
        <v>26</v>
      </c>
      <c r="Q2805" s="26">
        <v>6</v>
      </c>
      <c r="R2805" s="26">
        <v>1</v>
      </c>
      <c r="S2805" s="26">
        <v>4</v>
      </c>
      <c r="T2805" s="26">
        <v>9</v>
      </c>
      <c r="U2805" s="26">
        <v>14</v>
      </c>
      <c r="V2805" s="26">
        <v>1</v>
      </c>
      <c r="W2805" s="26"/>
    </row>
    <row r="2806" spans="1:23" x14ac:dyDescent="0.25">
      <c r="A2806" s="26" t="str">
        <f t="shared" si="466"/>
        <v>PRIMARIA</v>
      </c>
      <c r="B2806" s="26" t="str">
        <f>"09PPR1290G"</f>
        <v>09PPR1290G</v>
      </c>
      <c r="C2806" s="26" t="str">
        <f>"WOODLAND SCHOOL                                                                                     "</f>
        <v xml:space="preserve">WOODLAND SCHOOL                                                                                     </v>
      </c>
      <c r="D2806" s="26" t="str">
        <f t="shared" si="473"/>
        <v>MATUTINO</v>
      </c>
      <c r="E2806" s="26" t="str">
        <f>"MORENA NUM 414                                                                  "</f>
        <v xml:space="preserve">MORENA NUM 414                                                                  </v>
      </c>
      <c r="F2806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2806" s="26" t="str">
        <f>"BENITO JUAREZ                                                                   "</f>
        <v xml:space="preserve">BENITO JUAREZ                                                                   </v>
      </c>
      <c r="H2806" s="26" t="str">
        <f>"338"</f>
        <v>338</v>
      </c>
      <c r="I2806" s="26" t="str">
        <f t="shared" si="467"/>
        <v>00</v>
      </c>
      <c r="J2806" s="26" t="str">
        <f>"43 "</f>
        <v xml:space="preserve">43 </v>
      </c>
      <c r="K2806" s="26" t="str">
        <f>"PR"</f>
        <v>PR</v>
      </c>
      <c r="L2806" s="26" t="str">
        <f>"DGOSE"</f>
        <v>DGOSE</v>
      </c>
      <c r="M2806" s="26" t="str">
        <f t="shared" si="472"/>
        <v>PARTICULAR</v>
      </c>
      <c r="N2806" s="26">
        <v>421</v>
      </c>
      <c r="O2806" s="26">
        <v>218</v>
      </c>
      <c r="P2806" s="26">
        <v>203</v>
      </c>
      <c r="Q2806" s="26">
        <v>18</v>
      </c>
      <c r="R2806" s="26">
        <v>1</v>
      </c>
      <c r="S2806" s="26">
        <v>10</v>
      </c>
      <c r="T2806" s="26">
        <v>16</v>
      </c>
      <c r="U2806" s="26">
        <v>27</v>
      </c>
      <c r="V2806" s="26">
        <v>1</v>
      </c>
      <c r="W2806" s="26"/>
    </row>
    <row r="2807" spans="1:23" x14ac:dyDescent="0.25">
      <c r="A2807" s="26" t="str">
        <f t="shared" si="466"/>
        <v>PRIMARIA</v>
      </c>
      <c r="B2807" s="26" t="str">
        <f>"09PPR1291F"</f>
        <v>09PPR1291F</v>
      </c>
      <c r="C2807" s="26" t="str">
        <f>"CENTRO PEDAGOGICO FEDERICO FROEBEL                                                                  "</f>
        <v xml:space="preserve">CENTRO PEDAGOGICO FEDERICO FROEBEL                                                                  </v>
      </c>
      <c r="D2807" s="26" t="str">
        <f t="shared" si="473"/>
        <v>MATUTINO</v>
      </c>
      <c r="E2807" s="26" t="str">
        <f>"CALLE 2 NO 224                                                                  "</f>
        <v xml:space="preserve">CALLE 2 NO 224                                                                  </v>
      </c>
      <c r="F2807" s="26" t="str">
        <f>"AGRICOLA PANTITLAN                                                                                                                          "</f>
        <v xml:space="preserve">AGRICOLA PANTITLAN                                                                                                                          </v>
      </c>
      <c r="G2807" s="26" t="str">
        <f>"IZTACALCO                                                                       "</f>
        <v xml:space="preserve">IZTACALCO                                                                       </v>
      </c>
      <c r="H2807" s="26" t="str">
        <f>"355"</f>
        <v>355</v>
      </c>
      <c r="I2807" s="26" t="str">
        <f t="shared" si="467"/>
        <v>00</v>
      </c>
      <c r="J2807" s="26" t="str">
        <f>"43 "</f>
        <v xml:space="preserve">43 </v>
      </c>
      <c r="K2807" s="26" t="str">
        <f>"PR"</f>
        <v>PR</v>
      </c>
      <c r="L2807" s="26" t="str">
        <f>"DGOSE"</f>
        <v>DGOSE</v>
      </c>
      <c r="M2807" s="26" t="str">
        <f t="shared" si="472"/>
        <v>PARTICULAR</v>
      </c>
      <c r="N2807" s="26">
        <v>75</v>
      </c>
      <c r="O2807" s="26">
        <v>42</v>
      </c>
      <c r="P2807" s="26">
        <v>33</v>
      </c>
      <c r="Q2807" s="26">
        <v>6</v>
      </c>
      <c r="R2807" s="26">
        <v>1</v>
      </c>
      <c r="S2807" s="26">
        <v>6</v>
      </c>
      <c r="T2807" s="26">
        <v>7</v>
      </c>
      <c r="U2807" s="26">
        <v>14</v>
      </c>
      <c r="V2807" s="26">
        <v>1</v>
      </c>
      <c r="W2807" s="26"/>
    </row>
    <row r="2808" spans="1:23" x14ac:dyDescent="0.25">
      <c r="A2808" s="26" t="str">
        <f t="shared" si="466"/>
        <v>PRIMARIA</v>
      </c>
      <c r="B2808" s="26" t="str">
        <f>"09PPR1292E"</f>
        <v>09PPR1292E</v>
      </c>
      <c r="C2808" s="26" t="str">
        <f>"GIRASOLES                                                                                           "</f>
        <v xml:space="preserve">GIRASOLES                                                                                           </v>
      </c>
      <c r="D2808" s="26" t="str">
        <f t="shared" si="473"/>
        <v>MATUTINO</v>
      </c>
      <c r="E2808" s="26" t="str">
        <f>"AV. TLAHUAC NO. 3841                                                            "</f>
        <v xml:space="preserve">AV. TLAHUAC NO. 3841                                                            </v>
      </c>
      <c r="F2808" s="26" t="str">
        <f>"SAN ANDRES TOMATLAN                                                                                                                         "</f>
        <v xml:space="preserve">SAN ANDRES TOMATLAN                                                                                                                         </v>
      </c>
      <c r="G2808" s="26" t="str">
        <f>"IZTAPALAPA                                                                      "</f>
        <v xml:space="preserve">IZTAPALAPA                                                                      </v>
      </c>
      <c r="H2808" s="26" t="str">
        <f>"000"</f>
        <v>000</v>
      </c>
      <c r="I2808" s="26" t="str">
        <f t="shared" si="467"/>
        <v>00</v>
      </c>
      <c r="J2808" s="26" t="str">
        <f>"63 "</f>
        <v xml:space="preserve">63 </v>
      </c>
      <c r="K2808" s="26" t="str">
        <f>"IZ"</f>
        <v>IZ</v>
      </c>
      <c r="L2808" s="26" t="str">
        <f>"DGSEI"</f>
        <v>DGSEI</v>
      </c>
      <c r="M2808" s="26" t="str">
        <f t="shared" si="472"/>
        <v>PARTICULAR</v>
      </c>
      <c r="N2808" s="26">
        <v>71</v>
      </c>
      <c r="O2808" s="26">
        <v>39</v>
      </c>
      <c r="P2808" s="26">
        <v>32</v>
      </c>
      <c r="Q2808" s="26">
        <v>6</v>
      </c>
      <c r="R2808" s="26">
        <v>1</v>
      </c>
      <c r="S2808" s="26">
        <v>3</v>
      </c>
      <c r="T2808" s="26">
        <v>7</v>
      </c>
      <c r="U2808" s="26">
        <v>11</v>
      </c>
      <c r="V2808" s="26">
        <v>1</v>
      </c>
      <c r="W2808" s="26"/>
    </row>
    <row r="2809" spans="1:23" x14ac:dyDescent="0.25">
      <c r="A2809" s="26" t="str">
        <f t="shared" si="466"/>
        <v>PRIMARIA</v>
      </c>
      <c r="B2809" s="26" t="str">
        <f>"09PPR1293D"</f>
        <v>09PPR1293D</v>
      </c>
      <c r="C2809" s="26" t="str">
        <f>"COLEGIO CULTURA PREHISPANICA                                                                        "</f>
        <v xml:space="preserve">COLEGIO CULTURA PREHISPANICA                                                                        </v>
      </c>
      <c r="D2809" s="26" t="str">
        <f t="shared" si="473"/>
        <v>MATUTINO</v>
      </c>
      <c r="E2809" s="26" t="str">
        <f>"CULTURA PREHISPANICAS NO. 137                                                   "</f>
        <v xml:space="preserve">CULTURA PREHISPANICAS NO. 137                                                   </v>
      </c>
      <c r="F2809" s="26" t="str">
        <f>"GRANJAS SAN ANTONIO                                                                                                                         "</f>
        <v xml:space="preserve">GRANJAS SAN ANTONIO                                                                                                                         </v>
      </c>
      <c r="G2809" s="26" t="str">
        <f>"IZTAPALAPA                                                                      "</f>
        <v xml:space="preserve">IZTAPALAPA                                                                      </v>
      </c>
      <c r="H2809" s="26" t="str">
        <f>"000"</f>
        <v>000</v>
      </c>
      <c r="I2809" s="26" t="str">
        <f t="shared" si="467"/>
        <v>00</v>
      </c>
      <c r="J2809" s="26" t="str">
        <f>"61 "</f>
        <v xml:space="preserve">61 </v>
      </c>
      <c r="K2809" s="26" t="str">
        <f>"IZ"</f>
        <v>IZ</v>
      </c>
      <c r="L2809" s="26" t="str">
        <f>"DGSEI"</f>
        <v>DGSEI</v>
      </c>
      <c r="M2809" s="26" t="str">
        <f t="shared" si="472"/>
        <v>PARTICULAR</v>
      </c>
      <c r="N2809" s="26">
        <v>88</v>
      </c>
      <c r="O2809" s="26">
        <v>47</v>
      </c>
      <c r="P2809" s="26">
        <v>41</v>
      </c>
      <c r="Q2809" s="26">
        <v>6</v>
      </c>
      <c r="R2809" s="26">
        <v>1</v>
      </c>
      <c r="S2809" s="26">
        <v>3</v>
      </c>
      <c r="T2809" s="26">
        <v>7</v>
      </c>
      <c r="U2809" s="26">
        <v>11</v>
      </c>
      <c r="V2809" s="26">
        <v>1</v>
      </c>
      <c r="W2809" s="26"/>
    </row>
    <row r="2810" spans="1:23" x14ac:dyDescent="0.25">
      <c r="A2810" s="26" t="str">
        <f t="shared" si="466"/>
        <v>PRIMARIA</v>
      </c>
      <c r="B2810" s="26" t="str">
        <f>"09PPR1295B"</f>
        <v>09PPR1295B</v>
      </c>
      <c r="C2810" s="26" t="str">
        <f>"INSTITUTO PEDAGOGICO JUAN RUIZ DE ALARCON                                                           "</f>
        <v xml:space="preserve">INSTITUTO PEDAGOGICO JUAN RUIZ DE ALARCON                                                           </v>
      </c>
      <c r="D2810" s="26" t="str">
        <f t="shared" si="473"/>
        <v>MATUTINO</v>
      </c>
      <c r="E2810" s="26" t="str">
        <f>"JESUS ALMANZA NO. 4                                                             "</f>
        <v xml:space="preserve">JESUS ALMANZA NO. 4                                                             </v>
      </c>
      <c r="F2810" s="26" t="str">
        <f>"TEPALCATES                                                                                                                                  "</f>
        <v xml:space="preserve">TEPALCATES                                                                                                                                  </v>
      </c>
      <c r="G2810" s="26" t="str">
        <f>"IZTAPALAPA                                                                      "</f>
        <v xml:space="preserve">IZTAPALAPA                                                                      </v>
      </c>
      <c r="H2810" s="26" t="str">
        <f>"000"</f>
        <v>000</v>
      </c>
      <c r="I2810" s="26" t="str">
        <f t="shared" si="467"/>
        <v>00</v>
      </c>
      <c r="J2810" s="26" t="str">
        <f>"62 "</f>
        <v xml:space="preserve">62 </v>
      </c>
      <c r="K2810" s="26" t="str">
        <f>"IZ"</f>
        <v>IZ</v>
      </c>
      <c r="L2810" s="26" t="str">
        <f>"DGSEI"</f>
        <v>DGSEI</v>
      </c>
      <c r="M2810" s="26" t="str">
        <f t="shared" si="472"/>
        <v>PARTICULAR</v>
      </c>
      <c r="N2810" s="26">
        <v>110</v>
      </c>
      <c r="O2810" s="26">
        <v>56</v>
      </c>
      <c r="P2810" s="26">
        <v>54</v>
      </c>
      <c r="Q2810" s="26">
        <v>6</v>
      </c>
      <c r="R2810" s="26">
        <v>1</v>
      </c>
      <c r="S2810" s="26">
        <v>3</v>
      </c>
      <c r="T2810" s="26">
        <v>10</v>
      </c>
      <c r="U2810" s="26">
        <v>14</v>
      </c>
      <c r="V2810" s="26">
        <v>1</v>
      </c>
      <c r="W2810" s="26"/>
    </row>
    <row r="2811" spans="1:23" x14ac:dyDescent="0.25">
      <c r="A2811" s="26" t="str">
        <f t="shared" si="466"/>
        <v>PRIMARIA</v>
      </c>
      <c r="B2811" s="26" t="str">
        <f>"09PPR1296A"</f>
        <v>09PPR1296A</v>
      </c>
      <c r="C2811" s="26" t="str">
        <f>"CENTRO ESCOLAR EDUCA                                                                                "</f>
        <v xml:space="preserve">CENTRO ESCOLAR EDUCA                                                                                </v>
      </c>
      <c r="D2811" s="26" t="str">
        <f t="shared" si="473"/>
        <v>MATUTINO</v>
      </c>
      <c r="E2811" s="26" t="str">
        <f>"RIVER PLATE NO. 3                                                               "</f>
        <v xml:space="preserve">RIVER PLATE NO. 3                                                               </v>
      </c>
      <c r="F2811" s="26" t="str">
        <f>"ARBOLEDAS DEL SUR                                                                                                                           "</f>
        <v xml:space="preserve">ARBOLEDAS DEL SUR                                                                                                                           </v>
      </c>
      <c r="G2811" s="26" t="str">
        <f>"TLALPAN                                                                         "</f>
        <v xml:space="preserve">TLALPAN                                                                         </v>
      </c>
      <c r="H2811" s="26" t="str">
        <f>"524"</f>
        <v>524</v>
      </c>
      <c r="I2811" s="26" t="str">
        <f t="shared" si="467"/>
        <v>00</v>
      </c>
      <c r="J2811" s="26" t="str">
        <f>"45 "</f>
        <v xml:space="preserve">45 </v>
      </c>
      <c r="K2811" s="26" t="str">
        <f>"PR"</f>
        <v>PR</v>
      </c>
      <c r="L2811" s="26" t="str">
        <f>"DGOSE"</f>
        <v>DGOSE</v>
      </c>
      <c r="M2811" s="26" t="str">
        <f t="shared" si="472"/>
        <v>PARTICULAR</v>
      </c>
      <c r="N2811" s="26">
        <v>30</v>
      </c>
      <c r="O2811" s="26">
        <v>20</v>
      </c>
      <c r="P2811" s="26">
        <v>10</v>
      </c>
      <c r="Q2811" s="26">
        <v>6</v>
      </c>
      <c r="R2811" s="26">
        <v>1</v>
      </c>
      <c r="S2811" s="26">
        <v>3</v>
      </c>
      <c r="T2811" s="26">
        <v>7</v>
      </c>
      <c r="U2811" s="26">
        <v>11</v>
      </c>
      <c r="V2811" s="26">
        <v>1</v>
      </c>
      <c r="W2811" s="26"/>
    </row>
    <row r="2812" spans="1:23" x14ac:dyDescent="0.25">
      <c r="A2812" s="26" t="str">
        <f t="shared" si="466"/>
        <v>PRIMARIA</v>
      </c>
      <c r="B2812" s="26" t="str">
        <f>"09PPR1297Z"</f>
        <v>09PPR1297Z</v>
      </c>
      <c r="C2812" s="26" t="str">
        <f>"INSTITUTO BILINGÜE AXAYACATL CUITLAHUAC                                                             "</f>
        <v xml:space="preserve">INSTITUTO BILINGÜE AXAYACATL CUITLAHUAC                                                             </v>
      </c>
      <c r="D2812" s="26" t="str">
        <f t="shared" si="473"/>
        <v>MATUTINO</v>
      </c>
      <c r="E2812" s="26" t="str">
        <f>"JOSE MARIA FACHA MZ. 5 LT. 26                                                   "</f>
        <v xml:space="preserve">JOSE MARIA FACHA MZ. 5 LT. 26                                                   </v>
      </c>
      <c r="F2812" s="26" t="str">
        <f>"SANTA MARTHA ACATITLA AMPLIACION                                                                                                            "</f>
        <v xml:space="preserve">SANTA MARTHA ACATITLA AMPLIACION                                                                                                            </v>
      </c>
      <c r="G2812" s="26" t="str">
        <f>"IZTAPALAPA                                                                      "</f>
        <v xml:space="preserve">IZTAPALAPA                                                                      </v>
      </c>
      <c r="H2812" s="26" t="str">
        <f>"000"</f>
        <v>000</v>
      </c>
      <c r="I2812" s="26" t="str">
        <f t="shared" si="467"/>
        <v>00</v>
      </c>
      <c r="J2812" s="26" t="str">
        <f>"62 "</f>
        <v xml:space="preserve">62 </v>
      </c>
      <c r="K2812" s="26" t="str">
        <f>"IZ"</f>
        <v>IZ</v>
      </c>
      <c r="L2812" s="26" t="str">
        <f>"DGSEI"</f>
        <v>DGSEI</v>
      </c>
      <c r="M2812" s="26" t="str">
        <f t="shared" si="472"/>
        <v>PARTICULAR</v>
      </c>
      <c r="N2812" s="26">
        <v>54</v>
      </c>
      <c r="O2812" s="26">
        <v>26</v>
      </c>
      <c r="P2812" s="26">
        <v>28</v>
      </c>
      <c r="Q2812" s="26">
        <v>6</v>
      </c>
      <c r="R2812" s="26">
        <v>1</v>
      </c>
      <c r="S2812" s="26">
        <v>6</v>
      </c>
      <c r="T2812" s="26">
        <v>5</v>
      </c>
      <c r="U2812" s="26">
        <v>12</v>
      </c>
      <c r="V2812" s="26">
        <v>1</v>
      </c>
      <c r="W2812" s="26"/>
    </row>
    <row r="2813" spans="1:23" x14ac:dyDescent="0.25">
      <c r="A2813" s="26" t="str">
        <f t="shared" si="466"/>
        <v>PRIMARIA</v>
      </c>
      <c r="B2813" s="26" t="str">
        <f>"09PPR1298Z"</f>
        <v>09PPR1298Z</v>
      </c>
      <c r="C2813" s="26" t="str">
        <f>"LA PAZ DEL MUNDO                                                                                    "</f>
        <v xml:space="preserve">LA PAZ DEL MUNDO                                                                                    </v>
      </c>
      <c r="D2813" s="26" t="str">
        <f t="shared" si="473"/>
        <v>MATUTINO</v>
      </c>
      <c r="E2813" s="26" t="str">
        <f>"ORIENTE 172 NUM 58                                                              "</f>
        <v xml:space="preserve">ORIENTE 172 NUM 58                                                              </v>
      </c>
      <c r="F2813" s="26" t="str">
        <f>"MOCTEZUMA 2A SECCION                                                                                                                        "</f>
        <v xml:space="preserve">MOCTEZUMA 2A SECCION                                                                                                                        </v>
      </c>
      <c r="G2813" s="26" t="str">
        <f>"VENUSTIANO CARRANZA                                                             "</f>
        <v xml:space="preserve">VENUSTIANO CARRANZA                                                             </v>
      </c>
      <c r="H2813" s="26" t="str">
        <f>"351"</f>
        <v>351</v>
      </c>
      <c r="I2813" s="26" t="str">
        <f t="shared" si="467"/>
        <v>00</v>
      </c>
      <c r="J2813" s="26" t="str">
        <f>"43 "</f>
        <v xml:space="preserve">43 </v>
      </c>
      <c r="K2813" s="26" t="str">
        <f t="shared" ref="K2813:K2828" si="478">"PR"</f>
        <v>PR</v>
      </c>
      <c r="L2813" s="26" t="str">
        <f t="shared" ref="L2813:L2828" si="479">"DGOSE"</f>
        <v>DGOSE</v>
      </c>
      <c r="M2813" s="26" t="str">
        <f t="shared" si="472"/>
        <v>PARTICULAR</v>
      </c>
      <c r="N2813" s="26">
        <v>96</v>
      </c>
      <c r="O2813" s="26">
        <v>64</v>
      </c>
      <c r="P2813" s="26">
        <v>32</v>
      </c>
      <c r="Q2813" s="26">
        <v>6</v>
      </c>
      <c r="R2813" s="26">
        <v>1</v>
      </c>
      <c r="S2813" s="26">
        <v>3</v>
      </c>
      <c r="T2813" s="26">
        <v>8</v>
      </c>
      <c r="U2813" s="26">
        <v>12</v>
      </c>
      <c r="V2813" s="26">
        <v>1</v>
      </c>
      <c r="W2813" s="26"/>
    </row>
    <row r="2814" spans="1:23" x14ac:dyDescent="0.25">
      <c r="A2814" s="26" t="str">
        <f t="shared" si="466"/>
        <v>PRIMARIA</v>
      </c>
      <c r="B2814" s="26" t="str">
        <f>"09PPR1299Y"</f>
        <v>09PPR1299Y</v>
      </c>
      <c r="C2814" s="26" t="str">
        <f>"CENTRO ESCOLAR NACIONES UNIDAS                                                                      "</f>
        <v xml:space="preserve">CENTRO ESCOLAR NACIONES UNIDAS                                                                      </v>
      </c>
      <c r="D2814" s="26" t="str">
        <f t="shared" si="473"/>
        <v>MATUTINO</v>
      </c>
      <c r="E2814" s="26" t="str">
        <f>"ANTONIO ROANOVA VARGAS NUM 4                                                    "</f>
        <v xml:space="preserve">ANTONIO ROANOVA VARGAS NUM 4                                                    </v>
      </c>
      <c r="F2814" s="26" t="str">
        <f>"ZONA ESCOLAR                                                                                                                                "</f>
        <v xml:space="preserve">ZONA ESCOLAR                                                                                                                                </v>
      </c>
      <c r="G2814" s="26" t="str">
        <f>"GUSTAVO A. MADERO                                                               "</f>
        <v xml:space="preserve">GUSTAVO A. MADERO                                                               </v>
      </c>
      <c r="H2814" s="26" t="str">
        <f>"233"</f>
        <v>233</v>
      </c>
      <c r="I2814" s="26" t="str">
        <f t="shared" si="467"/>
        <v>00</v>
      </c>
      <c r="J2814" s="26" t="str">
        <f>"42 "</f>
        <v xml:space="preserve">42 </v>
      </c>
      <c r="K2814" s="26" t="str">
        <f t="shared" si="478"/>
        <v>PR</v>
      </c>
      <c r="L2814" s="26" t="str">
        <f t="shared" si="479"/>
        <v>DGOSE</v>
      </c>
      <c r="M2814" s="26" t="str">
        <f t="shared" si="472"/>
        <v>PARTICULAR</v>
      </c>
      <c r="N2814" s="26">
        <v>113</v>
      </c>
      <c r="O2814" s="26">
        <v>59</v>
      </c>
      <c r="P2814" s="26">
        <v>54</v>
      </c>
      <c r="Q2814" s="26">
        <v>6</v>
      </c>
      <c r="R2814" s="26">
        <v>1</v>
      </c>
      <c r="S2814" s="26">
        <v>5</v>
      </c>
      <c r="T2814" s="26">
        <v>7</v>
      </c>
      <c r="U2814" s="26">
        <v>13</v>
      </c>
      <c r="V2814" s="26">
        <v>1</v>
      </c>
      <c r="W2814" s="26"/>
    </row>
    <row r="2815" spans="1:23" x14ac:dyDescent="0.25">
      <c r="A2815" s="26" t="str">
        <f t="shared" si="466"/>
        <v>PRIMARIA</v>
      </c>
      <c r="B2815" s="26" t="str">
        <f>"09PPR1300X"</f>
        <v>09PPR1300X</v>
      </c>
      <c r="C2815" s="26" t="s">
        <v>3978</v>
      </c>
      <c r="D2815" s="26" t="str">
        <f t="shared" si="473"/>
        <v>MATUTINO</v>
      </c>
      <c r="E2815" s="26" t="str">
        <f>"GUERRERO NUM 37                                                                 "</f>
        <v xml:space="preserve">GUERRERO NUM 37                                                                 </v>
      </c>
      <c r="F2815" s="26" t="str">
        <f>"CUAJIMALPA                                                                                                                                  "</f>
        <v xml:space="preserve">CUAJIMALPA                                                                                                                                  </v>
      </c>
      <c r="G2815" s="26" t="str">
        <f>"CUAJIMALPA DE MORELOS                                                           "</f>
        <v xml:space="preserve">CUAJIMALPA DE MORELOS                                                           </v>
      </c>
      <c r="H2815" s="26" t="str">
        <f>"304"</f>
        <v>304</v>
      </c>
      <c r="I2815" s="26" t="str">
        <f t="shared" si="467"/>
        <v>00</v>
      </c>
      <c r="J2815" s="26" t="str">
        <f>"43 "</f>
        <v xml:space="preserve">43 </v>
      </c>
      <c r="K2815" s="26" t="str">
        <f t="shared" si="478"/>
        <v>PR</v>
      </c>
      <c r="L2815" s="26" t="str">
        <f t="shared" si="479"/>
        <v>DGOSE</v>
      </c>
      <c r="M2815" s="26" t="str">
        <f t="shared" si="472"/>
        <v>PARTICULAR</v>
      </c>
      <c r="N2815" s="26">
        <v>132</v>
      </c>
      <c r="O2815" s="26">
        <v>67</v>
      </c>
      <c r="P2815" s="26">
        <v>65</v>
      </c>
      <c r="Q2815" s="26">
        <v>7</v>
      </c>
      <c r="R2815" s="26">
        <v>1</v>
      </c>
      <c r="S2815" s="26">
        <v>7</v>
      </c>
      <c r="T2815" s="26">
        <v>10</v>
      </c>
      <c r="U2815" s="26">
        <v>18</v>
      </c>
      <c r="V2815" s="26">
        <v>1</v>
      </c>
      <c r="W2815" s="26"/>
    </row>
    <row r="2816" spans="1:23" x14ac:dyDescent="0.25">
      <c r="A2816" s="26" t="str">
        <f t="shared" si="466"/>
        <v>PRIMARIA</v>
      </c>
      <c r="B2816" s="26" t="str">
        <f>"09PPR1303U"</f>
        <v>09PPR1303U</v>
      </c>
      <c r="C2816" s="26" t="str">
        <f>"COLEGIO PAULO FREIRE                                                                                "</f>
        <v xml:space="preserve">COLEGIO PAULO FREIRE                                                                                </v>
      </c>
      <c r="D2816" s="26" t="str">
        <f t="shared" si="473"/>
        <v>MATUTINO</v>
      </c>
      <c r="E2816" s="26" t="str">
        <f>"SEXTA ORIENTE NO 102                                                            "</f>
        <v xml:space="preserve">SEXTA ORIENTE NO 102                                                            </v>
      </c>
      <c r="F2816" s="26" t="str">
        <f>"ISIDRO FABELA                                                                                                                               "</f>
        <v xml:space="preserve">ISIDRO FABELA                                                                                                                               </v>
      </c>
      <c r="G2816" s="26" t="str">
        <f>"TLALPAN                                                                         "</f>
        <v xml:space="preserve">TLALPAN                                                                         </v>
      </c>
      <c r="H2816" s="26" t="str">
        <f>"519"</f>
        <v>519</v>
      </c>
      <c r="I2816" s="26" t="str">
        <f t="shared" si="467"/>
        <v>00</v>
      </c>
      <c r="J2816" s="26" t="str">
        <f>"45 "</f>
        <v xml:space="preserve">45 </v>
      </c>
      <c r="K2816" s="26" t="str">
        <f t="shared" si="478"/>
        <v>PR</v>
      </c>
      <c r="L2816" s="26" t="str">
        <f t="shared" si="479"/>
        <v>DGOSE</v>
      </c>
      <c r="M2816" s="26" t="str">
        <f t="shared" si="472"/>
        <v>PARTICULAR</v>
      </c>
      <c r="N2816" s="26">
        <v>61</v>
      </c>
      <c r="O2816" s="26">
        <v>35</v>
      </c>
      <c r="P2816" s="26">
        <v>26</v>
      </c>
      <c r="Q2816" s="26">
        <v>6</v>
      </c>
      <c r="R2816" s="26">
        <v>1</v>
      </c>
      <c r="S2816" s="26">
        <v>6</v>
      </c>
      <c r="T2816" s="26">
        <v>8</v>
      </c>
      <c r="U2816" s="26">
        <v>15</v>
      </c>
      <c r="V2816" s="26">
        <v>1</v>
      </c>
      <c r="W2816" s="26"/>
    </row>
    <row r="2817" spans="1:23" x14ac:dyDescent="0.25">
      <c r="A2817" s="26" t="str">
        <f t="shared" si="466"/>
        <v>PRIMARIA</v>
      </c>
      <c r="B2817" s="26" t="str">
        <f>"09PPR1305S"</f>
        <v>09PPR1305S</v>
      </c>
      <c r="C2817" s="26" t="str">
        <f>"COLEGIO BENEDICTINO                                                                                 "</f>
        <v xml:space="preserve">COLEGIO BENEDICTINO                                                                                 </v>
      </c>
      <c r="D2817" s="26" t="str">
        <f t="shared" si="473"/>
        <v>MATUTINO</v>
      </c>
      <c r="E2817" s="26" t="str">
        <f>"RIO BAMBA NO 850                                                                "</f>
        <v xml:space="preserve">RIO BAMBA NO 850                                                                </v>
      </c>
      <c r="F2817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2817" s="26" t="str">
        <f>"GUSTAVO A. MADERO                                                               "</f>
        <v xml:space="preserve">GUSTAVO A. MADERO                                                               </v>
      </c>
      <c r="H2817" s="26" t="str">
        <f>"243"</f>
        <v>243</v>
      </c>
      <c r="I2817" s="26" t="str">
        <f t="shared" si="467"/>
        <v>00</v>
      </c>
      <c r="J2817" s="26" t="str">
        <f>"42 "</f>
        <v xml:space="preserve">42 </v>
      </c>
      <c r="K2817" s="26" t="str">
        <f t="shared" si="478"/>
        <v>PR</v>
      </c>
      <c r="L2817" s="26" t="str">
        <f t="shared" si="479"/>
        <v>DGOSE</v>
      </c>
      <c r="M2817" s="26" t="str">
        <f t="shared" si="472"/>
        <v>PARTICULAR</v>
      </c>
      <c r="N2817" s="26">
        <v>228</v>
      </c>
      <c r="O2817" s="26">
        <v>228</v>
      </c>
      <c r="P2817" s="26">
        <v>0</v>
      </c>
      <c r="Q2817" s="26">
        <v>12</v>
      </c>
      <c r="R2817" s="26">
        <v>1</v>
      </c>
      <c r="S2817" s="26">
        <v>7</v>
      </c>
      <c r="T2817" s="26">
        <v>12</v>
      </c>
      <c r="U2817" s="26">
        <v>20</v>
      </c>
      <c r="V2817" s="26">
        <v>1</v>
      </c>
      <c r="W2817" s="26"/>
    </row>
    <row r="2818" spans="1:23" x14ac:dyDescent="0.25">
      <c r="A2818" s="26" t="str">
        <f t="shared" ref="A2818:A2881" si="480">"PRIMARIA"</f>
        <v>PRIMARIA</v>
      </c>
      <c r="B2818" s="26" t="str">
        <f>"09PPR1306R"</f>
        <v>09PPR1306R</v>
      </c>
      <c r="C2818" s="26" t="str">
        <f>"ANTONIETA RIVAS MERCADO                                                                             "</f>
        <v xml:space="preserve">ANTONIETA RIVAS MERCADO                                                                             </v>
      </c>
      <c r="D2818" s="26" t="str">
        <f t="shared" si="473"/>
        <v>MATUTINO</v>
      </c>
      <c r="E2818" s="26" t="str">
        <f>"ORIENTE 172 NO. 208                                                             "</f>
        <v xml:space="preserve">ORIENTE 172 NO. 208                                                             </v>
      </c>
      <c r="F2818" s="26" t="str">
        <f>"MOCTEZUMA 1A SECCION                                                                                                                        "</f>
        <v xml:space="preserve">MOCTEZUMA 1A SECCION                                                                                                                        </v>
      </c>
      <c r="G2818" s="26" t="str">
        <f>"VENUSTIANO CARRANZA                                                             "</f>
        <v xml:space="preserve">VENUSTIANO CARRANZA                                                             </v>
      </c>
      <c r="H2818" s="26" t="str">
        <f>"351"</f>
        <v>351</v>
      </c>
      <c r="I2818" s="26" t="str">
        <f t="shared" ref="I2818:I2881" si="481">"00"</f>
        <v>00</v>
      </c>
      <c r="J2818" s="26" t="str">
        <f>"43 "</f>
        <v xml:space="preserve">43 </v>
      </c>
      <c r="K2818" s="26" t="str">
        <f t="shared" si="478"/>
        <v>PR</v>
      </c>
      <c r="L2818" s="26" t="str">
        <f t="shared" si="479"/>
        <v>DGOSE</v>
      </c>
      <c r="M2818" s="26" t="str">
        <f t="shared" si="472"/>
        <v>PARTICULAR</v>
      </c>
      <c r="N2818" s="26">
        <v>42</v>
      </c>
      <c r="O2818" s="26">
        <v>24</v>
      </c>
      <c r="P2818" s="26">
        <v>18</v>
      </c>
      <c r="Q2818" s="26">
        <v>6</v>
      </c>
      <c r="R2818" s="26">
        <v>1</v>
      </c>
      <c r="S2818" s="26">
        <v>3</v>
      </c>
      <c r="T2818" s="26">
        <v>8</v>
      </c>
      <c r="U2818" s="26">
        <v>12</v>
      </c>
      <c r="V2818" s="26">
        <v>1</v>
      </c>
      <c r="W2818" s="26"/>
    </row>
    <row r="2819" spans="1:23" x14ac:dyDescent="0.25">
      <c r="A2819" s="26" t="str">
        <f t="shared" si="480"/>
        <v>PRIMARIA</v>
      </c>
      <c r="B2819" s="26" t="str">
        <f>"09PPR1309O"</f>
        <v>09PPR1309O</v>
      </c>
      <c r="C2819" s="26" t="str">
        <f>"COLEGIO REINO AMERICANO                                                                             "</f>
        <v xml:space="preserve">COLEGIO REINO AMERICANO                                                                             </v>
      </c>
      <c r="D2819" s="26" t="str">
        <f t="shared" si="473"/>
        <v>MATUTINO</v>
      </c>
      <c r="E2819" s="26" t="str">
        <f>"PRIVADA DE ARRAYAN NO 1                                                         "</f>
        <v xml:space="preserve">PRIVADA DE ARRAYAN NO 1                                                         </v>
      </c>
      <c r="F2819" s="26" t="str">
        <f>"GARCIMARRERO                                                                                                                                "</f>
        <v xml:space="preserve">GARCIMARRERO                                                                                                                                </v>
      </c>
      <c r="G2819" s="26" t="str">
        <f>"ALVARO OBREGON                                                                  "</f>
        <v xml:space="preserve">ALVARO OBREGON                                                                  </v>
      </c>
      <c r="H2819" s="26" t="str">
        <f>"314"</f>
        <v>314</v>
      </c>
      <c r="I2819" s="26" t="str">
        <f t="shared" si="481"/>
        <v>00</v>
      </c>
      <c r="J2819" s="26" t="str">
        <f>"43 "</f>
        <v xml:space="preserve">43 </v>
      </c>
      <c r="K2819" s="26" t="str">
        <f t="shared" si="478"/>
        <v>PR</v>
      </c>
      <c r="L2819" s="26" t="str">
        <f t="shared" si="479"/>
        <v>DGOSE</v>
      </c>
      <c r="M2819" s="26" t="str">
        <f t="shared" si="472"/>
        <v>PARTICULAR</v>
      </c>
      <c r="N2819" s="26">
        <v>31</v>
      </c>
      <c r="O2819" s="26">
        <v>13</v>
      </c>
      <c r="P2819" s="26">
        <v>18</v>
      </c>
      <c r="Q2819" s="26">
        <v>6</v>
      </c>
      <c r="R2819" s="26">
        <v>1</v>
      </c>
      <c r="S2819" s="26">
        <v>3</v>
      </c>
      <c r="T2819" s="26">
        <v>4</v>
      </c>
      <c r="U2819" s="26">
        <v>8</v>
      </c>
      <c r="V2819" s="26">
        <v>1</v>
      </c>
      <c r="W2819" s="26"/>
    </row>
    <row r="2820" spans="1:23" x14ac:dyDescent="0.25">
      <c r="A2820" s="26" t="str">
        <f t="shared" si="480"/>
        <v>PRIMARIA</v>
      </c>
      <c r="B2820" s="26" t="str">
        <f>"09PPR1310D"</f>
        <v>09PPR1310D</v>
      </c>
      <c r="C2820" s="26" t="str">
        <f>"CENTRO EDUCATIVO LUIS DONALDO COLOSIO MURRIETA                                                      "</f>
        <v xml:space="preserve">CENTRO EDUCATIVO LUIS DONALDO COLOSIO MURRIETA                                                      </v>
      </c>
      <c r="D2820" s="26" t="str">
        <f t="shared" si="473"/>
        <v>MATUTINO</v>
      </c>
      <c r="E2820" s="26" t="str">
        <f>"CORREGIDORA NUM. 42 B""""                                                         "</f>
        <v xml:space="preserve">CORREGIDORA NUM. 42 B""                                                         </v>
      </c>
      <c r="F2820" s="26" t="str">
        <f>"SANTA LUCIA                                                                                                                                 "</f>
        <v xml:space="preserve">SANTA LUCIA                                                                                                                                 </v>
      </c>
      <c r="G2820" s="26" t="str">
        <f>"ALVARO OBREGON                                                                  "</f>
        <v xml:space="preserve">ALVARO OBREGON                                                                  </v>
      </c>
      <c r="H2820" s="26" t="str">
        <f>"318"</f>
        <v>318</v>
      </c>
      <c r="I2820" s="26" t="str">
        <f t="shared" si="481"/>
        <v>00</v>
      </c>
      <c r="J2820" s="26" t="str">
        <f>"43 "</f>
        <v xml:space="preserve">43 </v>
      </c>
      <c r="K2820" s="26" t="str">
        <f t="shared" si="478"/>
        <v>PR</v>
      </c>
      <c r="L2820" s="26" t="str">
        <f t="shared" si="479"/>
        <v>DGOSE</v>
      </c>
      <c r="M2820" s="26" t="str">
        <f t="shared" si="472"/>
        <v>PARTICULAR</v>
      </c>
      <c r="N2820" s="26">
        <v>54</v>
      </c>
      <c r="O2820" s="26">
        <v>27</v>
      </c>
      <c r="P2820" s="26">
        <v>27</v>
      </c>
      <c r="Q2820" s="26">
        <v>6</v>
      </c>
      <c r="R2820" s="26">
        <v>1</v>
      </c>
      <c r="S2820" s="26">
        <v>3</v>
      </c>
      <c r="T2820" s="26">
        <v>7</v>
      </c>
      <c r="U2820" s="26">
        <v>11</v>
      </c>
      <c r="V2820" s="26">
        <v>1</v>
      </c>
      <c r="W2820" s="26"/>
    </row>
    <row r="2821" spans="1:23" x14ac:dyDescent="0.25">
      <c r="A2821" s="26" t="str">
        <f t="shared" si="480"/>
        <v>PRIMARIA</v>
      </c>
      <c r="B2821" s="26" t="str">
        <f>"09PPR1311C"</f>
        <v>09PPR1311C</v>
      </c>
      <c r="C2821" s="26" t="str">
        <f>"INSTITUTO CULTURAL JOSE VASCONCELOS                                                                 "</f>
        <v xml:space="preserve">INSTITUTO CULTURAL JOSE VASCONCELOS                                                                 </v>
      </c>
      <c r="D2821" s="26" t="str">
        <f t="shared" si="473"/>
        <v>MATUTINO</v>
      </c>
      <c r="E2821" s="26" t="str">
        <f>"SIRENA 109 LOTE 1 Y 2                                                           "</f>
        <v xml:space="preserve">SIRENA 109 LOTE 1 Y 2                                                           </v>
      </c>
      <c r="F2821" s="26" t="str">
        <f>"DEL MAR                                                                                                                                     "</f>
        <v xml:space="preserve">DEL MAR                                                                                                                                     </v>
      </c>
      <c r="G2821" s="26" t="str">
        <f>"TLAHUAC                                                                         "</f>
        <v xml:space="preserve">TLAHUAC                                                                         </v>
      </c>
      <c r="H2821" s="26" t="str">
        <f>"550"</f>
        <v>550</v>
      </c>
      <c r="I2821" s="26" t="str">
        <f t="shared" si="481"/>
        <v>00</v>
      </c>
      <c r="J2821" s="26" t="str">
        <f>"45 "</f>
        <v xml:space="preserve">45 </v>
      </c>
      <c r="K2821" s="26" t="str">
        <f t="shared" si="478"/>
        <v>PR</v>
      </c>
      <c r="L2821" s="26" t="str">
        <f t="shared" si="479"/>
        <v>DGOSE</v>
      </c>
      <c r="M2821" s="26" t="str">
        <f t="shared" si="472"/>
        <v>PARTICULAR</v>
      </c>
      <c r="N2821" s="26">
        <v>147</v>
      </c>
      <c r="O2821" s="26">
        <v>75</v>
      </c>
      <c r="P2821" s="26">
        <v>72</v>
      </c>
      <c r="Q2821" s="26">
        <v>11</v>
      </c>
      <c r="R2821" s="26">
        <v>1</v>
      </c>
      <c r="S2821" s="26">
        <v>6</v>
      </c>
      <c r="T2821" s="26">
        <v>6</v>
      </c>
      <c r="U2821" s="26">
        <v>13</v>
      </c>
      <c r="V2821" s="26">
        <v>1</v>
      </c>
      <c r="W2821" s="26"/>
    </row>
    <row r="2822" spans="1:23" x14ac:dyDescent="0.25">
      <c r="A2822" s="26" t="str">
        <f t="shared" si="480"/>
        <v>PRIMARIA</v>
      </c>
      <c r="B2822" s="26" t="str">
        <f>"09PPR1313A"</f>
        <v>09PPR1313A</v>
      </c>
      <c r="C2822" s="26" t="str">
        <f>"COLEGIO I CHANTLI                                                                                   "</f>
        <v xml:space="preserve">COLEGIO I CHANTLI                                                                                   </v>
      </c>
      <c r="D2822" s="26" t="str">
        <f t="shared" si="473"/>
        <v>MATUTINO</v>
      </c>
      <c r="E2822" s="26" t="str">
        <f>"AV. SAN FRANCISCO NUM. 604                                                      "</f>
        <v xml:space="preserve">AV. SAN FRANCISCO NUM. 604                                                      </v>
      </c>
      <c r="F2822" s="26" t="str">
        <f>"SAN FRANCISCO BARRIO                                                                                                                        "</f>
        <v xml:space="preserve">SAN FRANCISCO BARRIO                                                                                                                        </v>
      </c>
      <c r="G2822" s="26" t="str">
        <f>"LA MAGDALENA CONTRERAS                                                          "</f>
        <v xml:space="preserve">LA MAGDALENA CONTRERAS                                                          </v>
      </c>
      <c r="H2822" s="26" t="str">
        <f>"332"</f>
        <v>332</v>
      </c>
      <c r="I2822" s="26" t="str">
        <f t="shared" si="481"/>
        <v>00</v>
      </c>
      <c r="J2822" s="26" t="str">
        <f>"43 "</f>
        <v xml:space="preserve">43 </v>
      </c>
      <c r="K2822" s="26" t="str">
        <f t="shared" si="478"/>
        <v>PR</v>
      </c>
      <c r="L2822" s="26" t="str">
        <f t="shared" si="479"/>
        <v>DGOSE</v>
      </c>
      <c r="M2822" s="26" t="str">
        <f t="shared" si="472"/>
        <v>PARTICULAR</v>
      </c>
      <c r="N2822" s="26">
        <v>68</v>
      </c>
      <c r="O2822" s="26">
        <v>33</v>
      </c>
      <c r="P2822" s="26">
        <v>35</v>
      </c>
      <c r="Q2822" s="26">
        <v>6</v>
      </c>
      <c r="R2822" s="26">
        <v>1</v>
      </c>
      <c r="S2822" s="26">
        <v>3</v>
      </c>
      <c r="T2822" s="26">
        <v>8</v>
      </c>
      <c r="U2822" s="26">
        <v>12</v>
      </c>
      <c r="V2822" s="26">
        <v>1</v>
      </c>
      <c r="W2822" s="26"/>
    </row>
    <row r="2823" spans="1:23" x14ac:dyDescent="0.25">
      <c r="A2823" s="26" t="str">
        <f t="shared" si="480"/>
        <v>PRIMARIA</v>
      </c>
      <c r="B2823" s="26" t="str">
        <f>"09PPR1314Z"</f>
        <v>09PPR1314Z</v>
      </c>
      <c r="C2823" s="26" t="str">
        <f>"INSTITUTO PSICOPEDAGOGICO DEL BOSQUE                                                                "</f>
        <v xml:space="preserve">INSTITUTO PSICOPEDAGOGICO DEL BOSQUE                                                                </v>
      </c>
      <c r="D2823" s="26" t="str">
        <f t="shared" si="473"/>
        <v>MATUTINO</v>
      </c>
      <c r="E2823" s="26" t="str">
        <f>"PRIVADA DE VISTA HERMOSA NUM. 12                                                "</f>
        <v xml:space="preserve">PRIVADA DE VISTA HERMOSA NUM. 12                                                </v>
      </c>
      <c r="F2823" s="26" t="str">
        <f>"SANTA ROSA XOCHIAC                                                                                                                          "</f>
        <v xml:space="preserve">SANTA ROSA XOCHIAC                                                                                                                          </v>
      </c>
      <c r="G2823" s="26" t="str">
        <f>"ALVARO OBREGON                                                                  "</f>
        <v xml:space="preserve">ALVARO OBREGON                                                                  </v>
      </c>
      <c r="H2823" s="26" t="str">
        <f>"330"</f>
        <v>330</v>
      </c>
      <c r="I2823" s="26" t="str">
        <f t="shared" si="481"/>
        <v>00</v>
      </c>
      <c r="J2823" s="26" t="str">
        <f>"43 "</f>
        <v xml:space="preserve">43 </v>
      </c>
      <c r="K2823" s="26" t="str">
        <f t="shared" si="478"/>
        <v>PR</v>
      </c>
      <c r="L2823" s="26" t="str">
        <f t="shared" si="479"/>
        <v>DGOSE</v>
      </c>
      <c r="M2823" s="26" t="str">
        <f t="shared" si="472"/>
        <v>PARTICULAR</v>
      </c>
      <c r="N2823" s="26">
        <v>57</v>
      </c>
      <c r="O2823" s="26">
        <v>30</v>
      </c>
      <c r="P2823" s="26">
        <v>27</v>
      </c>
      <c r="Q2823" s="26">
        <v>6</v>
      </c>
      <c r="R2823" s="26">
        <v>1</v>
      </c>
      <c r="S2823" s="26">
        <v>4</v>
      </c>
      <c r="T2823" s="26">
        <v>4</v>
      </c>
      <c r="U2823" s="26">
        <v>9</v>
      </c>
      <c r="V2823" s="26">
        <v>1</v>
      </c>
      <c r="W2823" s="26"/>
    </row>
    <row r="2824" spans="1:23" x14ac:dyDescent="0.25">
      <c r="A2824" s="26" t="str">
        <f t="shared" si="480"/>
        <v>PRIMARIA</v>
      </c>
      <c r="B2824" s="26" t="str">
        <f>"09PPR1315Z"</f>
        <v>09PPR1315Z</v>
      </c>
      <c r="C2824" s="26" t="str">
        <f>"CENTRO EDUCATIVO NUEVA ESCOCIA                                                                      "</f>
        <v xml:space="preserve">CENTRO EDUCATIVO NUEVA ESCOCIA                                                                      </v>
      </c>
      <c r="D2824" s="26" t="str">
        <f t="shared" si="473"/>
        <v>MATUTINO</v>
      </c>
      <c r="E2824" s="26" t="str">
        <f>"MIGUEL OCARAZA NO 121                                                           "</f>
        <v xml:space="preserve">MIGUEL OCARAZA NO 121                                                           </v>
      </c>
      <c r="F2824" s="26" t="str">
        <f>"MERCED GOMEZ                                                                                                                                "</f>
        <v xml:space="preserve">MERCED GOMEZ                                                                                                                                </v>
      </c>
      <c r="G2824" s="26" t="str">
        <f>"ALVARO OBREGON                                                                  "</f>
        <v xml:space="preserve">ALVARO OBREGON                                                                  </v>
      </c>
      <c r="H2824" s="26" t="str">
        <f>"319"</f>
        <v>319</v>
      </c>
      <c r="I2824" s="26" t="str">
        <f t="shared" si="481"/>
        <v>00</v>
      </c>
      <c r="J2824" s="26" t="str">
        <f>"43 "</f>
        <v xml:space="preserve">43 </v>
      </c>
      <c r="K2824" s="26" t="str">
        <f t="shared" si="478"/>
        <v>PR</v>
      </c>
      <c r="L2824" s="26" t="str">
        <f t="shared" si="479"/>
        <v>DGOSE</v>
      </c>
      <c r="M2824" s="26" t="str">
        <f t="shared" si="472"/>
        <v>PARTICULAR</v>
      </c>
      <c r="N2824" s="26">
        <v>75</v>
      </c>
      <c r="O2824" s="26">
        <v>44</v>
      </c>
      <c r="P2824" s="26">
        <v>31</v>
      </c>
      <c r="Q2824" s="26">
        <v>6</v>
      </c>
      <c r="R2824" s="26">
        <v>1</v>
      </c>
      <c r="S2824" s="26">
        <v>2</v>
      </c>
      <c r="T2824" s="26">
        <v>12</v>
      </c>
      <c r="U2824" s="26">
        <v>15</v>
      </c>
      <c r="V2824" s="26">
        <v>1</v>
      </c>
      <c r="W2824" s="26"/>
    </row>
    <row r="2825" spans="1:23" x14ac:dyDescent="0.25">
      <c r="A2825" s="26" t="str">
        <f t="shared" si="480"/>
        <v>PRIMARIA</v>
      </c>
      <c r="B2825" s="26" t="str">
        <f>"09PPR1317X"</f>
        <v>09PPR1317X</v>
      </c>
      <c r="C2825" s="26" t="str">
        <f>"COLEGIO LA MONARCA                                                                                  "</f>
        <v xml:space="preserve">COLEGIO LA MONARCA                                                                                  </v>
      </c>
      <c r="D2825" s="26" t="str">
        <f t="shared" si="473"/>
        <v>MATUTINO</v>
      </c>
      <c r="E2825" s="26" t="str">
        <f>"ROQUE VELASCO CERON NUM. 57                                                     "</f>
        <v xml:space="preserve">ROQUE VELASCO CERON NUM. 57                                                     </v>
      </c>
      <c r="F2825" s="26" t="str">
        <f>"CRISTO REY                                                                                                                                  "</f>
        <v xml:space="preserve">CRISTO REY                                                                                                                                  </v>
      </c>
      <c r="G2825" s="26" t="str">
        <f>"ALVARO OBREGON                                                                  "</f>
        <v xml:space="preserve">ALVARO OBREGON                                                                  </v>
      </c>
      <c r="H2825" s="26" t="str">
        <f>"310"</f>
        <v>310</v>
      </c>
      <c r="I2825" s="26" t="str">
        <f t="shared" si="481"/>
        <v>00</v>
      </c>
      <c r="J2825" s="26" t="str">
        <f>"43 "</f>
        <v xml:space="preserve">43 </v>
      </c>
      <c r="K2825" s="26" t="str">
        <f t="shared" si="478"/>
        <v>PR</v>
      </c>
      <c r="L2825" s="26" t="str">
        <f t="shared" si="479"/>
        <v>DGOSE</v>
      </c>
      <c r="M2825" s="26" t="str">
        <f t="shared" si="472"/>
        <v>PARTICULAR</v>
      </c>
      <c r="N2825" s="26">
        <v>86</v>
      </c>
      <c r="O2825" s="26">
        <v>44</v>
      </c>
      <c r="P2825" s="26">
        <v>42</v>
      </c>
      <c r="Q2825" s="26">
        <v>6</v>
      </c>
      <c r="R2825" s="26">
        <v>1</v>
      </c>
      <c r="S2825" s="26">
        <v>3</v>
      </c>
      <c r="T2825" s="26">
        <v>10</v>
      </c>
      <c r="U2825" s="26">
        <v>14</v>
      </c>
      <c r="V2825" s="26">
        <v>1</v>
      </c>
      <c r="W2825" s="26"/>
    </row>
    <row r="2826" spans="1:23" x14ac:dyDescent="0.25">
      <c r="A2826" s="26" t="str">
        <f t="shared" si="480"/>
        <v>PRIMARIA</v>
      </c>
      <c r="B2826" s="26" t="str">
        <f>"09PPR1319V"</f>
        <v>09PPR1319V</v>
      </c>
      <c r="C2826" s="26" t="str">
        <f>"INSTITUTO CONSTANCIA JIMENEZ NIEVES                                                                 "</f>
        <v xml:space="preserve">INSTITUTO CONSTANCIA JIMENEZ NIEVES                                                                 </v>
      </c>
      <c r="D2826" s="26" t="str">
        <f t="shared" si="473"/>
        <v>MATUTINO</v>
      </c>
      <c r="E2826" s="26" t="str">
        <f>"RUBLOS NO 44                                                                    "</f>
        <v xml:space="preserve">RUBLOS NO 44                                                                    </v>
      </c>
      <c r="F2826" s="26" t="str">
        <f>"CERRO PRIETO                                                                                                                                "</f>
        <v xml:space="preserve">CERRO PRIETO                                                                                                                                </v>
      </c>
      <c r="G2826" s="26" t="str">
        <f>"GUSTAVO A. MADERO                                                               "</f>
        <v xml:space="preserve">GUSTAVO A. MADERO                                                               </v>
      </c>
      <c r="H2826" s="26" t="str">
        <f>"270"</f>
        <v>270</v>
      </c>
      <c r="I2826" s="26" t="str">
        <f t="shared" si="481"/>
        <v>00</v>
      </c>
      <c r="J2826" s="26" t="str">
        <f>"42 "</f>
        <v xml:space="preserve">42 </v>
      </c>
      <c r="K2826" s="26" t="str">
        <f t="shared" si="478"/>
        <v>PR</v>
      </c>
      <c r="L2826" s="26" t="str">
        <f t="shared" si="479"/>
        <v>DGOSE</v>
      </c>
      <c r="M2826" s="26" t="str">
        <f t="shared" si="472"/>
        <v>PARTICULAR</v>
      </c>
      <c r="N2826" s="26">
        <v>16</v>
      </c>
      <c r="O2826" s="26">
        <v>11</v>
      </c>
      <c r="P2826" s="26">
        <v>5</v>
      </c>
      <c r="Q2826" s="26">
        <v>5</v>
      </c>
      <c r="R2826" s="26">
        <v>1</v>
      </c>
      <c r="S2826" s="26">
        <v>3</v>
      </c>
      <c r="T2826" s="26">
        <v>2</v>
      </c>
      <c r="U2826" s="26">
        <v>6</v>
      </c>
      <c r="V2826" s="26">
        <v>1</v>
      </c>
      <c r="W2826" s="26"/>
    </row>
    <row r="2827" spans="1:23" x14ac:dyDescent="0.25">
      <c r="A2827" s="26" t="str">
        <f t="shared" si="480"/>
        <v>PRIMARIA</v>
      </c>
      <c r="B2827" s="26" t="str">
        <f>"09PPR1321J"</f>
        <v>09PPR1321J</v>
      </c>
      <c r="C2827" s="26" t="str">
        <f>"COLEGIO XALLAPAN                                                                                    "</f>
        <v xml:space="preserve">COLEGIO XALLAPAN                                                                                    </v>
      </c>
      <c r="D2827" s="26" t="str">
        <f t="shared" si="473"/>
        <v>MATUTINO</v>
      </c>
      <c r="E2827" s="26" t="str">
        <f>"MIGUEL MIRAMON NO. 50                                                           "</f>
        <v xml:space="preserve">MIGUEL MIRAMON NO. 50                                                           </v>
      </c>
      <c r="F2827" s="26" t="str">
        <f>"MARTIN CARRERA                                                                                                                              "</f>
        <v xml:space="preserve">MARTIN CARRERA                                                                                                                              </v>
      </c>
      <c r="G2827" s="26" t="str">
        <f>"GUSTAVO A. MADERO                                                               "</f>
        <v xml:space="preserve">GUSTAVO A. MADERO                                                               </v>
      </c>
      <c r="H2827" s="26" t="str">
        <f>"248"</f>
        <v>248</v>
      </c>
      <c r="I2827" s="26" t="str">
        <f t="shared" si="481"/>
        <v>00</v>
      </c>
      <c r="J2827" s="26" t="str">
        <f>"42 "</f>
        <v xml:space="preserve">42 </v>
      </c>
      <c r="K2827" s="26" t="str">
        <f t="shared" si="478"/>
        <v>PR</v>
      </c>
      <c r="L2827" s="26" t="str">
        <f t="shared" si="479"/>
        <v>DGOSE</v>
      </c>
      <c r="M2827" s="26" t="str">
        <f t="shared" si="472"/>
        <v>PARTICULAR</v>
      </c>
      <c r="N2827" s="26">
        <v>120</v>
      </c>
      <c r="O2827" s="26">
        <v>58</v>
      </c>
      <c r="P2827" s="26">
        <v>62</v>
      </c>
      <c r="Q2827" s="26">
        <v>6</v>
      </c>
      <c r="R2827" s="26">
        <v>1</v>
      </c>
      <c r="S2827" s="26">
        <v>6</v>
      </c>
      <c r="T2827" s="26">
        <v>4</v>
      </c>
      <c r="U2827" s="26">
        <v>11</v>
      </c>
      <c r="V2827" s="26">
        <v>1</v>
      </c>
      <c r="W2827" s="26"/>
    </row>
    <row r="2828" spans="1:23" x14ac:dyDescent="0.25">
      <c r="A2828" s="26" t="str">
        <f t="shared" si="480"/>
        <v>PRIMARIA</v>
      </c>
      <c r="B2828" s="26" t="str">
        <f>"09PPR1322I"</f>
        <v>09PPR1322I</v>
      </c>
      <c r="C2828" s="26" t="str">
        <f>"VASCO DE QUIROGA                                                                                    "</f>
        <v xml:space="preserve">VASCO DE QUIROGA                                                                                    </v>
      </c>
      <c r="D2828" s="26" t="str">
        <f t="shared" si="473"/>
        <v>MATUTINO</v>
      </c>
      <c r="E2828" s="26" t="str">
        <f>"FRAY PEDRO DE CORDOVA NO 125                                                    "</f>
        <v xml:space="preserve">FRAY PEDRO DE CORDOVA NO 125                                                    </v>
      </c>
      <c r="F2828" s="26" t="str">
        <f>"VASCO DE QUIROGA                                                                                                                            "</f>
        <v xml:space="preserve">VASCO DE QUIROGA                                                                                                                            </v>
      </c>
      <c r="G2828" s="26" t="str">
        <f>"GUSTAVO A. MADERO                                                               "</f>
        <v xml:space="preserve">GUSTAVO A. MADERO                                                               </v>
      </c>
      <c r="H2828" s="26" t="str">
        <f>"260"</f>
        <v>260</v>
      </c>
      <c r="I2828" s="26" t="str">
        <f t="shared" si="481"/>
        <v>00</v>
      </c>
      <c r="J2828" s="26" t="str">
        <f>"42 "</f>
        <v xml:space="preserve">42 </v>
      </c>
      <c r="K2828" s="26" t="str">
        <f t="shared" si="478"/>
        <v>PR</v>
      </c>
      <c r="L2828" s="26" t="str">
        <f t="shared" si="479"/>
        <v>DGOSE</v>
      </c>
      <c r="M2828" s="26" t="str">
        <f t="shared" si="472"/>
        <v>PARTICULAR</v>
      </c>
      <c r="N2828" s="26">
        <v>51</v>
      </c>
      <c r="O2828" s="26">
        <v>20</v>
      </c>
      <c r="P2828" s="26">
        <v>31</v>
      </c>
      <c r="Q2828" s="26">
        <v>6</v>
      </c>
      <c r="R2828" s="26">
        <v>1</v>
      </c>
      <c r="S2828" s="26">
        <v>5</v>
      </c>
      <c r="T2828" s="26">
        <v>4</v>
      </c>
      <c r="U2828" s="26">
        <v>10</v>
      </c>
      <c r="V2828" s="26">
        <v>1</v>
      </c>
      <c r="W2828" s="26"/>
    </row>
    <row r="2829" spans="1:23" x14ac:dyDescent="0.25">
      <c r="A2829" s="26" t="str">
        <f t="shared" si="480"/>
        <v>PRIMARIA</v>
      </c>
      <c r="B2829" s="26" t="str">
        <f>"09PPR1323H"</f>
        <v>09PPR1323H</v>
      </c>
      <c r="C2829" s="26" t="str">
        <f>"COLEGIO NUEVA ERA AMERICANO                                                                         "</f>
        <v xml:space="preserve">COLEGIO NUEVA ERA AMERICANO                                                                         </v>
      </c>
      <c r="D2829" s="26" t="str">
        <f t="shared" si="473"/>
        <v>MATUTINO</v>
      </c>
      <c r="E2829" s="26" t="str">
        <f>"RIO DE LA ANTIGUA NO. 35                                                        "</f>
        <v xml:space="preserve">RIO DE LA ANTIGUA NO. 35                                                        </v>
      </c>
      <c r="F2829" s="26" t="str">
        <f>"PASEOS DE CHURUBUSCO                                                                                                                        "</f>
        <v xml:space="preserve">PASEOS DE CHURUBUSCO                                                                                                                        </v>
      </c>
      <c r="G2829" s="26" t="str">
        <f>"IZTAPALAPA                                                                      "</f>
        <v xml:space="preserve">IZTAPALAPA                                                                      </v>
      </c>
      <c r="H2829" s="26" t="str">
        <f>"000"</f>
        <v>000</v>
      </c>
      <c r="I2829" s="26" t="str">
        <f t="shared" si="481"/>
        <v>00</v>
      </c>
      <c r="J2829" s="26" t="str">
        <f>"61 "</f>
        <v xml:space="preserve">61 </v>
      </c>
      <c r="K2829" s="26" t="str">
        <f>"IZ"</f>
        <v>IZ</v>
      </c>
      <c r="L2829" s="26" t="str">
        <f>"DGSEI"</f>
        <v>DGSEI</v>
      </c>
      <c r="M2829" s="26" t="str">
        <f t="shared" si="472"/>
        <v>PARTICULAR</v>
      </c>
      <c r="N2829" s="26">
        <v>34</v>
      </c>
      <c r="O2829" s="26">
        <v>18</v>
      </c>
      <c r="P2829" s="26">
        <v>16</v>
      </c>
      <c r="Q2829" s="26">
        <v>6</v>
      </c>
      <c r="R2829" s="26">
        <v>1</v>
      </c>
      <c r="S2829" s="26">
        <v>4</v>
      </c>
      <c r="T2829" s="26">
        <v>12</v>
      </c>
      <c r="U2829" s="26">
        <v>17</v>
      </c>
      <c r="V2829" s="26">
        <v>1</v>
      </c>
      <c r="W2829" s="26"/>
    </row>
    <row r="2830" spans="1:23" x14ac:dyDescent="0.25">
      <c r="A2830" s="26" t="str">
        <f t="shared" si="480"/>
        <v>PRIMARIA</v>
      </c>
      <c r="B2830" s="26" t="str">
        <f>"09PPR1324G"</f>
        <v>09PPR1324G</v>
      </c>
      <c r="C2830" s="26" t="str">
        <f>"AMERICAS DEL TEPEYAC                                                                                "</f>
        <v xml:space="preserve">AMERICAS DEL TEPEYAC                                                                                </v>
      </c>
      <c r="D2830" s="26" t="str">
        <f t="shared" si="473"/>
        <v>MATUTINO</v>
      </c>
      <c r="E2830" s="26" t="str">
        <f>"MANTA NO 606                                                                    "</f>
        <v xml:space="preserve">MANTA NO 606                                                                    </v>
      </c>
      <c r="F2830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2830" s="26" t="str">
        <f>"GUSTAVO A. MADERO                                                               "</f>
        <v xml:space="preserve">GUSTAVO A. MADERO                                                               </v>
      </c>
      <c r="H2830" s="26" t="str">
        <f>"240"</f>
        <v>240</v>
      </c>
      <c r="I2830" s="26" t="str">
        <f t="shared" si="481"/>
        <v>00</v>
      </c>
      <c r="J2830" s="26" t="str">
        <f>"42 "</f>
        <v xml:space="preserve">42 </v>
      </c>
      <c r="K2830" s="26" t="str">
        <f>"PR"</f>
        <v>PR</v>
      </c>
      <c r="L2830" s="26" t="str">
        <f>"DGOSE"</f>
        <v>DGOSE</v>
      </c>
      <c r="M2830" s="26" t="str">
        <f t="shared" si="472"/>
        <v>PARTICULAR</v>
      </c>
      <c r="N2830" s="26">
        <v>45</v>
      </c>
      <c r="O2830" s="26">
        <v>21</v>
      </c>
      <c r="P2830" s="26">
        <v>24</v>
      </c>
      <c r="Q2830" s="26">
        <v>6</v>
      </c>
      <c r="R2830" s="26">
        <v>1</v>
      </c>
      <c r="S2830" s="26">
        <v>3</v>
      </c>
      <c r="T2830" s="26">
        <v>6</v>
      </c>
      <c r="U2830" s="26">
        <v>10</v>
      </c>
      <c r="V2830" s="26">
        <v>1</v>
      </c>
      <c r="W2830" s="26"/>
    </row>
    <row r="2831" spans="1:23" x14ac:dyDescent="0.25">
      <c r="A2831" s="26" t="str">
        <f t="shared" si="480"/>
        <v>PRIMARIA</v>
      </c>
      <c r="B2831" s="26" t="str">
        <f>"09PPR1326E"</f>
        <v>09PPR1326E</v>
      </c>
      <c r="C2831" s="26" t="str">
        <f>"COLEGIO HARDEN                                                                                      "</f>
        <v xml:space="preserve">COLEGIO HARDEN                                                                                      </v>
      </c>
      <c r="D2831" s="26" t="str">
        <f t="shared" si="473"/>
        <v>MATUTINO</v>
      </c>
      <c r="E2831" s="26" t="str">
        <f>"JOSE MARIA VERTIZ NO 1075                                                       "</f>
        <v xml:space="preserve">JOSE MARIA VERTIZ NO 1075                                                       </v>
      </c>
      <c r="F2831" s="26" t="str">
        <f>"NARVARTE                                                                                                                                    "</f>
        <v xml:space="preserve">NARVARTE                                                                                                                                    </v>
      </c>
      <c r="G2831" s="26" t="str">
        <f>"BENITO JUAREZ                                                                   "</f>
        <v xml:space="preserve">BENITO JUAREZ                                                                   </v>
      </c>
      <c r="H2831" s="26" t="str">
        <f>"000"</f>
        <v>000</v>
      </c>
      <c r="I2831" s="26" t="str">
        <f t="shared" si="481"/>
        <v>00</v>
      </c>
      <c r="J2831" s="26" t="str">
        <f>"43 "</f>
        <v xml:space="preserve">43 </v>
      </c>
      <c r="K2831" s="26" t="str">
        <f>"PR"</f>
        <v>PR</v>
      </c>
      <c r="L2831" s="26" t="str">
        <f>"DGOSE"</f>
        <v>DGOSE</v>
      </c>
      <c r="M2831" s="26" t="str">
        <f t="shared" si="472"/>
        <v>PARTICULAR</v>
      </c>
      <c r="N2831" s="26">
        <v>142</v>
      </c>
      <c r="O2831" s="26">
        <v>77</v>
      </c>
      <c r="P2831" s="26">
        <v>65</v>
      </c>
      <c r="Q2831" s="26">
        <v>6</v>
      </c>
      <c r="R2831" s="26">
        <v>1</v>
      </c>
      <c r="S2831" s="26">
        <v>3</v>
      </c>
      <c r="T2831" s="26">
        <v>7</v>
      </c>
      <c r="U2831" s="26">
        <v>11</v>
      </c>
      <c r="V2831" s="26">
        <v>1</v>
      </c>
      <c r="W2831" s="26"/>
    </row>
    <row r="2832" spans="1:23" x14ac:dyDescent="0.25">
      <c r="A2832" s="26" t="str">
        <f t="shared" si="480"/>
        <v>PRIMARIA</v>
      </c>
      <c r="B2832" s="26" t="str">
        <f>"09PPR1327D"</f>
        <v>09PPR1327D</v>
      </c>
      <c r="C2832" s="26" t="str">
        <f>"AURELIO DURAN MEJIA                                                                                 "</f>
        <v xml:space="preserve">AURELIO DURAN MEJIA                                                                                 </v>
      </c>
      <c r="D2832" s="26" t="str">
        <f t="shared" si="473"/>
        <v>MATUTINO</v>
      </c>
      <c r="E2832" s="26" t="str">
        <f>"FUENTES BROTANTES NUM 47 BIS                                                    "</f>
        <v xml:space="preserve">FUENTES BROTANTES NUM 47 BIS                                                    </v>
      </c>
      <c r="F2832" s="26" t="str">
        <f>"PORTALES                                                                                                                                    "</f>
        <v xml:space="preserve">PORTALES                                                                                                                                    </v>
      </c>
      <c r="G2832" s="26" t="str">
        <f>"BENITO JUAREZ                                                                   "</f>
        <v xml:space="preserve">BENITO JUAREZ                                                                   </v>
      </c>
      <c r="H2832" s="26" t="str">
        <f>"000"</f>
        <v>000</v>
      </c>
      <c r="I2832" s="26" t="str">
        <f t="shared" si="481"/>
        <v>00</v>
      </c>
      <c r="J2832" s="26" t="str">
        <f>"43 "</f>
        <v xml:space="preserve">43 </v>
      </c>
      <c r="K2832" s="26" t="str">
        <f>"PR"</f>
        <v>PR</v>
      </c>
      <c r="L2832" s="26" t="str">
        <f>"DGOSE"</f>
        <v>DGOSE</v>
      </c>
      <c r="M2832" s="26" t="str">
        <f t="shared" si="472"/>
        <v>PARTICULAR</v>
      </c>
      <c r="N2832" s="26">
        <v>41</v>
      </c>
      <c r="O2832" s="26">
        <v>22</v>
      </c>
      <c r="P2832" s="26">
        <v>19</v>
      </c>
      <c r="Q2832" s="26">
        <v>6</v>
      </c>
      <c r="R2832" s="26">
        <v>1</v>
      </c>
      <c r="S2832" s="26">
        <v>6</v>
      </c>
      <c r="T2832" s="26">
        <v>5</v>
      </c>
      <c r="U2832" s="26">
        <v>12</v>
      </c>
      <c r="V2832" s="26">
        <v>1</v>
      </c>
      <c r="W2832" s="26"/>
    </row>
    <row r="2833" spans="1:23" x14ac:dyDescent="0.25">
      <c r="A2833" s="26" t="str">
        <f t="shared" si="480"/>
        <v>PRIMARIA</v>
      </c>
      <c r="B2833" s="26" t="str">
        <f>"09PPR1329B"</f>
        <v>09PPR1329B</v>
      </c>
      <c r="C2833" s="26" t="str">
        <f>"PIERRE JANET                                                                                        "</f>
        <v xml:space="preserve">PIERRE JANET                                                                                        </v>
      </c>
      <c r="D2833" s="26" t="str">
        <f t="shared" si="473"/>
        <v>MATUTINO</v>
      </c>
      <c r="E2833" s="26" t="str">
        <f>"AGUSTIN MELGAR NO. 37                                                           "</f>
        <v xml:space="preserve">AGUSTIN MELGAR NO. 37                                                           </v>
      </c>
      <c r="F2833" s="26" t="str">
        <f>"GUADALUPE DEL MORAL                                                                                                                         "</f>
        <v xml:space="preserve">GUADALUPE DEL MORAL                                                                                                                         </v>
      </c>
      <c r="G2833" s="26" t="str">
        <f>"IZTAPALAPA                                                                      "</f>
        <v xml:space="preserve">IZTAPALAPA                                                                      </v>
      </c>
      <c r="H2833" s="26" t="str">
        <f>"000"</f>
        <v>000</v>
      </c>
      <c r="I2833" s="26" t="str">
        <f t="shared" si="481"/>
        <v>00</v>
      </c>
      <c r="J2833" s="26" t="str">
        <f>"61 "</f>
        <v xml:space="preserve">61 </v>
      </c>
      <c r="K2833" s="26" t="str">
        <f>"IZ"</f>
        <v>IZ</v>
      </c>
      <c r="L2833" s="26" t="str">
        <f>"DGSEI"</f>
        <v>DGSEI</v>
      </c>
      <c r="M2833" s="26" t="str">
        <f t="shared" si="472"/>
        <v>PARTICULAR</v>
      </c>
      <c r="N2833" s="26">
        <v>101</v>
      </c>
      <c r="O2833" s="26">
        <v>50</v>
      </c>
      <c r="P2833" s="26">
        <v>51</v>
      </c>
      <c r="Q2833" s="26">
        <v>6</v>
      </c>
      <c r="R2833" s="26">
        <v>1</v>
      </c>
      <c r="S2833" s="26">
        <v>6</v>
      </c>
      <c r="T2833" s="26">
        <v>6</v>
      </c>
      <c r="U2833" s="26">
        <v>13</v>
      </c>
      <c r="V2833" s="26">
        <v>1</v>
      </c>
      <c r="W2833" s="26"/>
    </row>
    <row r="2834" spans="1:23" x14ac:dyDescent="0.25">
      <c r="A2834" s="26" t="str">
        <f t="shared" si="480"/>
        <v>PRIMARIA</v>
      </c>
      <c r="B2834" s="26" t="str">
        <f>"09PPR1330R"</f>
        <v>09PPR1330R</v>
      </c>
      <c r="C2834" s="26" t="str">
        <f>"COLEGIO MARIA LAVALLE URBINA                                                                        "</f>
        <v xml:space="preserve">COLEGIO MARIA LAVALLE URBINA                                                                        </v>
      </c>
      <c r="D2834" s="26" t="str">
        <f t="shared" si="473"/>
        <v>MATUTINO</v>
      </c>
      <c r="E2834" s="26" t="str">
        <f>"URSULO GALVAN NO. 90                                                            "</f>
        <v xml:space="preserve">URSULO GALVAN NO. 90                                                            </v>
      </c>
      <c r="F2834" s="26" t="str">
        <f>"SANTA CRUZ MEYEHUALCO                                                                                                                       "</f>
        <v xml:space="preserve">SANTA CRUZ MEYEHUALCO                                                                                                                       </v>
      </c>
      <c r="G2834" s="26" t="str">
        <f>"IZTAPALAPA                                                                      "</f>
        <v xml:space="preserve">IZTAPALAPA                                                                      </v>
      </c>
      <c r="H2834" s="26" t="str">
        <f>"000"</f>
        <v>000</v>
      </c>
      <c r="I2834" s="26" t="str">
        <f t="shared" si="481"/>
        <v>00</v>
      </c>
      <c r="J2834" s="26" t="str">
        <f>"63 "</f>
        <v xml:space="preserve">63 </v>
      </c>
      <c r="K2834" s="26" t="str">
        <f>"IZ"</f>
        <v>IZ</v>
      </c>
      <c r="L2834" s="26" t="str">
        <f>"DGSEI"</f>
        <v>DGSEI</v>
      </c>
      <c r="M2834" s="26" t="str">
        <f t="shared" ref="M2834:M2897" si="482">"PARTICULAR"</f>
        <v>PARTICULAR</v>
      </c>
      <c r="N2834" s="26">
        <v>113</v>
      </c>
      <c r="O2834" s="26">
        <v>65</v>
      </c>
      <c r="P2834" s="26">
        <v>48</v>
      </c>
      <c r="Q2834" s="26">
        <v>6</v>
      </c>
      <c r="R2834" s="26">
        <v>1</v>
      </c>
      <c r="S2834" s="26">
        <v>6</v>
      </c>
      <c r="T2834" s="26">
        <v>8</v>
      </c>
      <c r="U2834" s="26">
        <v>15</v>
      </c>
      <c r="V2834" s="26">
        <v>1</v>
      </c>
      <c r="W2834" s="26"/>
    </row>
    <row r="2835" spans="1:23" x14ac:dyDescent="0.25">
      <c r="A2835" s="26" t="str">
        <f t="shared" si="480"/>
        <v>PRIMARIA</v>
      </c>
      <c r="B2835" s="26" t="str">
        <f>"09PPR1331Q"</f>
        <v>09PPR1331Q</v>
      </c>
      <c r="C2835" s="26" t="str">
        <f>"COLEGIO PEDREGAL DEL SUR                                                                            "</f>
        <v xml:space="preserve">COLEGIO PEDREGAL DEL SUR                                                                            </v>
      </c>
      <c r="D2835" s="26" t="str">
        <f t="shared" si="473"/>
        <v>MATUTINO</v>
      </c>
      <c r="E2835" s="26" t="str">
        <f>"CHICHIMECAS No 434 M43 L13                                                      "</f>
        <v xml:space="preserve">CHICHIMECAS No 434 M43 L13                                                      </v>
      </c>
      <c r="F2835" s="26" t="str">
        <f>"AJUSCO                                                                                                                                      "</f>
        <v xml:space="preserve">AJUSCO                                                                                                                                      </v>
      </c>
      <c r="G2835" s="26" t="str">
        <f>"COYOACAN                                                                        "</f>
        <v xml:space="preserve">COYOACAN                                                                        </v>
      </c>
      <c r="H2835" s="26" t="str">
        <f>"505"</f>
        <v>505</v>
      </c>
      <c r="I2835" s="26" t="str">
        <f t="shared" si="481"/>
        <v>00</v>
      </c>
      <c r="J2835" s="26" t="str">
        <f>"45 "</f>
        <v xml:space="preserve">45 </v>
      </c>
      <c r="K2835" s="26" t="str">
        <f>"PR"</f>
        <v>PR</v>
      </c>
      <c r="L2835" s="26" t="str">
        <f>"DGOSE"</f>
        <v>DGOSE</v>
      </c>
      <c r="M2835" s="26" t="str">
        <f t="shared" si="482"/>
        <v>PARTICULAR</v>
      </c>
      <c r="N2835" s="26">
        <v>76</v>
      </c>
      <c r="O2835" s="26">
        <v>39</v>
      </c>
      <c r="P2835" s="26">
        <v>37</v>
      </c>
      <c r="Q2835" s="26">
        <v>6</v>
      </c>
      <c r="R2835" s="26">
        <v>1</v>
      </c>
      <c r="S2835" s="26">
        <v>6</v>
      </c>
      <c r="T2835" s="26">
        <v>6</v>
      </c>
      <c r="U2835" s="26">
        <v>13</v>
      </c>
      <c r="V2835" s="26">
        <v>1</v>
      </c>
      <c r="W2835" s="26"/>
    </row>
    <row r="2836" spans="1:23" x14ac:dyDescent="0.25">
      <c r="A2836" s="26" t="str">
        <f t="shared" si="480"/>
        <v>PRIMARIA</v>
      </c>
      <c r="B2836" s="26" t="str">
        <f>"09PPR1336L"</f>
        <v>09PPR1336L</v>
      </c>
      <c r="C2836" s="26" t="str">
        <f>"INSTITUTO REFORMA                                                                                   "</f>
        <v xml:space="preserve">INSTITUTO REFORMA                                                                                   </v>
      </c>
      <c r="D2836" s="26" t="str">
        <f t="shared" si="473"/>
        <v>MATUTINO</v>
      </c>
      <c r="E2836" s="26" t="str">
        <f>"10 DE AGOSTO DE 1860 MZ.177 LT. 2045-A                                          "</f>
        <v xml:space="preserve">10 DE AGOSTO DE 1860 MZ.177 LT. 2045-A                                          </v>
      </c>
      <c r="F2836" s="26" t="str">
        <f>"LEYES DE REFORMA                                                                                                                            "</f>
        <v xml:space="preserve">LEYES DE REFORMA                                                                                                                            </v>
      </c>
      <c r="G2836" s="26" t="str">
        <f>"IZTAPALAPA                                                                      "</f>
        <v xml:space="preserve">IZTAPALAPA                                                                      </v>
      </c>
      <c r="H2836" s="26" t="str">
        <f>"000"</f>
        <v>000</v>
      </c>
      <c r="I2836" s="26" t="str">
        <f t="shared" si="481"/>
        <v>00</v>
      </c>
      <c r="J2836" s="26" t="str">
        <f>"61 "</f>
        <v xml:space="preserve">61 </v>
      </c>
      <c r="K2836" s="26" t="str">
        <f>"IZ"</f>
        <v>IZ</v>
      </c>
      <c r="L2836" s="26" t="str">
        <f>"DGSEI"</f>
        <v>DGSEI</v>
      </c>
      <c r="M2836" s="26" t="str">
        <f t="shared" si="482"/>
        <v>PARTICULAR</v>
      </c>
      <c r="N2836" s="26">
        <v>27</v>
      </c>
      <c r="O2836" s="26">
        <v>13</v>
      </c>
      <c r="P2836" s="26">
        <v>14</v>
      </c>
      <c r="Q2836" s="26">
        <v>6</v>
      </c>
      <c r="R2836" s="26">
        <v>1</v>
      </c>
      <c r="S2836" s="26">
        <v>6</v>
      </c>
      <c r="T2836" s="26">
        <v>0</v>
      </c>
      <c r="U2836" s="26">
        <v>7</v>
      </c>
      <c r="V2836" s="26">
        <v>1</v>
      </c>
      <c r="W2836" s="26"/>
    </row>
    <row r="2837" spans="1:23" x14ac:dyDescent="0.25">
      <c r="A2837" s="26" t="str">
        <f t="shared" si="480"/>
        <v>PRIMARIA</v>
      </c>
      <c r="B2837" s="26" t="str">
        <f>"09PPR1337K"</f>
        <v>09PPR1337K</v>
      </c>
      <c r="C2837" s="26" t="str">
        <f>"ANNA SANDERS                                                                                        "</f>
        <v xml:space="preserve">ANNA SANDERS                                                                                        </v>
      </c>
      <c r="D2837" s="26" t="str">
        <f t="shared" ref="D2837:D2846" si="483">"MATUTINO"</f>
        <v>MATUTINO</v>
      </c>
      <c r="E2837" s="26" t="str">
        <f>"CALLE 57 NO. 107                                                                "</f>
        <v xml:space="preserve">CALLE 57 NO. 107                                                                </v>
      </c>
      <c r="F2837" s="26" t="str">
        <f>"UNIDAD SANTA CRUZ MEYEHUALCO                                                                                                                "</f>
        <v xml:space="preserve">UNIDAD SANTA CRUZ MEYEHUALCO                                                                                                                </v>
      </c>
      <c r="G2837" s="26" t="str">
        <f>"IZTAPALAPA                                                                      "</f>
        <v xml:space="preserve">IZTAPALAPA                                                                      </v>
      </c>
      <c r="H2837" s="26" t="str">
        <f>"000"</f>
        <v>000</v>
      </c>
      <c r="I2837" s="26" t="str">
        <f t="shared" si="481"/>
        <v>00</v>
      </c>
      <c r="J2837" s="26" t="str">
        <f>"64 "</f>
        <v xml:space="preserve">64 </v>
      </c>
      <c r="K2837" s="26" t="str">
        <f>"IZ"</f>
        <v>IZ</v>
      </c>
      <c r="L2837" s="26" t="str">
        <f>"DGSEI"</f>
        <v>DGSEI</v>
      </c>
      <c r="M2837" s="26" t="str">
        <f t="shared" si="482"/>
        <v>PARTICULAR</v>
      </c>
      <c r="N2837" s="26">
        <v>160</v>
      </c>
      <c r="O2837" s="26">
        <v>100</v>
      </c>
      <c r="P2837" s="26">
        <v>60</v>
      </c>
      <c r="Q2837" s="26">
        <v>10</v>
      </c>
      <c r="R2837" s="26">
        <v>1</v>
      </c>
      <c r="S2837" s="26">
        <v>10</v>
      </c>
      <c r="T2837" s="26">
        <v>5</v>
      </c>
      <c r="U2837" s="26">
        <v>16</v>
      </c>
      <c r="V2837" s="26">
        <v>1</v>
      </c>
      <c r="W2837" s="26"/>
    </row>
    <row r="2838" spans="1:23" x14ac:dyDescent="0.25">
      <c r="A2838" s="26" t="str">
        <f t="shared" si="480"/>
        <v>PRIMARIA</v>
      </c>
      <c r="B2838" s="26" t="str">
        <f>"09PPR1339I"</f>
        <v>09PPR1339I</v>
      </c>
      <c r="C2838" s="26" t="str">
        <f>"CENTRO ESCOLAR MAESTRO MEXICANO                                                                     "</f>
        <v xml:space="preserve">CENTRO ESCOLAR MAESTRO MEXICANO                                                                     </v>
      </c>
      <c r="D2838" s="26" t="str">
        <f t="shared" si="483"/>
        <v>MATUTINO</v>
      </c>
      <c r="E2838" s="26" t="str">
        <f>"CALLE 3 NUM 296                                                                 "</f>
        <v xml:space="preserve">CALLE 3 NUM 296                                                                 </v>
      </c>
      <c r="F2838" s="26" t="str">
        <f>"AGRICOLA PANTITLAN                                                                                                                          "</f>
        <v xml:space="preserve">AGRICOLA PANTITLAN                                                                                                                          </v>
      </c>
      <c r="G2838" s="26" t="str">
        <f>"IZTACALCO                                                                       "</f>
        <v xml:space="preserve">IZTACALCO                                                                       </v>
      </c>
      <c r="H2838" s="26" t="str">
        <f>"354"</f>
        <v>354</v>
      </c>
      <c r="I2838" s="26" t="str">
        <f t="shared" si="481"/>
        <v>00</v>
      </c>
      <c r="J2838" s="26" t="str">
        <f>"43 "</f>
        <v xml:space="preserve">43 </v>
      </c>
      <c r="K2838" s="26" t="str">
        <f t="shared" ref="K2838:K2845" si="484">"PR"</f>
        <v>PR</v>
      </c>
      <c r="L2838" s="26" t="str">
        <f t="shared" ref="L2838:L2845" si="485">"DGOSE"</f>
        <v>DGOSE</v>
      </c>
      <c r="M2838" s="26" t="str">
        <f t="shared" si="482"/>
        <v>PARTICULAR</v>
      </c>
      <c r="N2838" s="26">
        <v>61</v>
      </c>
      <c r="O2838" s="26">
        <v>26</v>
      </c>
      <c r="P2838" s="26">
        <v>35</v>
      </c>
      <c r="Q2838" s="26">
        <v>6</v>
      </c>
      <c r="R2838" s="26">
        <v>1</v>
      </c>
      <c r="S2838" s="26">
        <v>6</v>
      </c>
      <c r="T2838" s="26">
        <v>8</v>
      </c>
      <c r="U2838" s="26">
        <v>15</v>
      </c>
      <c r="V2838" s="26">
        <v>1</v>
      </c>
      <c r="W2838" s="26"/>
    </row>
    <row r="2839" spans="1:23" x14ac:dyDescent="0.25">
      <c r="A2839" s="26" t="str">
        <f t="shared" si="480"/>
        <v>PRIMARIA</v>
      </c>
      <c r="B2839" s="26" t="str">
        <f>"09PPR1340Y"</f>
        <v>09PPR1340Y</v>
      </c>
      <c r="C2839" s="26" t="str">
        <f>"COLEGIO PORTALES                                                                                    "</f>
        <v xml:space="preserve">COLEGIO PORTALES                                                                                    </v>
      </c>
      <c r="D2839" s="26" t="str">
        <f t="shared" si="483"/>
        <v>MATUTINO</v>
      </c>
      <c r="E2839" s="26" t="str">
        <f>"MARIO ROJAS AVENDAÑO NO 182                                                     "</f>
        <v xml:space="preserve">MARIO ROJAS AVENDAÑO NO 182                                                     </v>
      </c>
      <c r="F2839" s="26" t="str">
        <f>"PORTALES                                                                                                                                    "</f>
        <v xml:space="preserve">PORTALES                                                                                                                                    </v>
      </c>
      <c r="G2839" s="26" t="str">
        <f>"BENITO JUAREZ                                                                   "</f>
        <v xml:space="preserve">BENITO JUAREZ                                                                   </v>
      </c>
      <c r="H2839" s="26" t="str">
        <f>"000"</f>
        <v>000</v>
      </c>
      <c r="I2839" s="26" t="str">
        <f t="shared" si="481"/>
        <v>00</v>
      </c>
      <c r="J2839" s="26" t="str">
        <f>"43 "</f>
        <v xml:space="preserve">43 </v>
      </c>
      <c r="K2839" s="26" t="str">
        <f t="shared" si="484"/>
        <v>PR</v>
      </c>
      <c r="L2839" s="26" t="str">
        <f t="shared" si="485"/>
        <v>DGOSE</v>
      </c>
      <c r="M2839" s="26" t="str">
        <f t="shared" si="482"/>
        <v>PARTICULAR</v>
      </c>
      <c r="N2839" s="26">
        <v>67</v>
      </c>
      <c r="O2839" s="26">
        <v>32</v>
      </c>
      <c r="P2839" s="26">
        <v>35</v>
      </c>
      <c r="Q2839" s="26">
        <v>6</v>
      </c>
      <c r="R2839" s="26">
        <v>1</v>
      </c>
      <c r="S2839" s="26">
        <v>3</v>
      </c>
      <c r="T2839" s="26">
        <v>5</v>
      </c>
      <c r="U2839" s="26">
        <v>9</v>
      </c>
      <c r="V2839" s="26">
        <v>1</v>
      </c>
      <c r="W2839" s="26"/>
    </row>
    <row r="2840" spans="1:23" x14ac:dyDescent="0.25">
      <c r="A2840" s="26" t="str">
        <f t="shared" si="480"/>
        <v>PRIMARIA</v>
      </c>
      <c r="B2840" s="26" t="str">
        <f>"09PPR1341X"</f>
        <v>09PPR1341X</v>
      </c>
      <c r="C2840" s="26" t="str">
        <f>"CENTRO EDUCATIVO FRANCISCO LARROYO                                                                  "</f>
        <v xml:space="preserve">CENTRO EDUCATIVO FRANCISCO LARROYO                                                                  </v>
      </c>
      <c r="D2840" s="26" t="str">
        <f t="shared" si="483"/>
        <v>MATUTINO</v>
      </c>
      <c r="E2840" s="26" t="str">
        <f>"AVENIDA TLAHUAC MZ. 29 LT. 183                                                  "</f>
        <v xml:space="preserve">AVENIDA TLAHUAC MZ. 29 LT. 183                                                  </v>
      </c>
      <c r="F2840" s="26" t="str">
        <f>"SANTA CECILIA                                                                                                                               "</f>
        <v xml:space="preserve">SANTA CECILIA                                                                                                                               </v>
      </c>
      <c r="G2840" s="26" t="str">
        <f>"TLAHUAC                                                                         "</f>
        <v xml:space="preserve">TLAHUAC                                                                         </v>
      </c>
      <c r="H2840" s="26" t="str">
        <f>"557"</f>
        <v>557</v>
      </c>
      <c r="I2840" s="26" t="str">
        <f t="shared" si="481"/>
        <v>00</v>
      </c>
      <c r="J2840" s="26" t="str">
        <f>"45 "</f>
        <v xml:space="preserve">45 </v>
      </c>
      <c r="K2840" s="26" t="str">
        <f t="shared" si="484"/>
        <v>PR</v>
      </c>
      <c r="L2840" s="26" t="str">
        <f t="shared" si="485"/>
        <v>DGOSE</v>
      </c>
      <c r="M2840" s="26" t="str">
        <f t="shared" si="482"/>
        <v>PARTICULAR</v>
      </c>
      <c r="N2840" s="26">
        <v>176</v>
      </c>
      <c r="O2840" s="26">
        <v>90</v>
      </c>
      <c r="P2840" s="26">
        <v>86</v>
      </c>
      <c r="Q2840" s="26">
        <v>10</v>
      </c>
      <c r="R2840" s="26">
        <v>1</v>
      </c>
      <c r="S2840" s="26">
        <v>10</v>
      </c>
      <c r="T2840" s="26">
        <v>12</v>
      </c>
      <c r="U2840" s="26">
        <v>23</v>
      </c>
      <c r="V2840" s="26">
        <v>1</v>
      </c>
      <c r="W2840" s="26"/>
    </row>
    <row r="2841" spans="1:23" x14ac:dyDescent="0.25">
      <c r="A2841" s="26" t="str">
        <f t="shared" si="480"/>
        <v>PRIMARIA</v>
      </c>
      <c r="B2841" s="26" t="str">
        <f>"09PPR1343V"</f>
        <v>09PPR1343V</v>
      </c>
      <c r="C2841" s="26" t="str">
        <f>"ANA MARIA GOMEZ CAMPOS                                                                              "</f>
        <v xml:space="preserve">ANA MARIA GOMEZ CAMPOS                                                                              </v>
      </c>
      <c r="D2841" s="26" t="str">
        <f t="shared" si="483"/>
        <v>MATUTINO</v>
      </c>
      <c r="E2841" s="26" t="str">
        <f>"GRAL. FELIPE ANGELES # 12.                                                      "</f>
        <v xml:space="preserve">GRAL. FELIPE ANGELES # 12.                                                      </v>
      </c>
      <c r="F2841" s="26" t="str">
        <f>"BELLA VISTA                                                                                                                                 "</f>
        <v xml:space="preserve">BELLA VISTA                                                                                                                                 </v>
      </c>
      <c r="G2841" s="26" t="str">
        <f>"ALVARO OBREGON                                                                  "</f>
        <v xml:space="preserve">ALVARO OBREGON                                                                  </v>
      </c>
      <c r="H2841" s="26" t="str">
        <f>"308"</f>
        <v>308</v>
      </c>
      <c r="I2841" s="26" t="str">
        <f t="shared" si="481"/>
        <v>00</v>
      </c>
      <c r="J2841" s="26" t="str">
        <f>"43 "</f>
        <v xml:space="preserve">43 </v>
      </c>
      <c r="K2841" s="26" t="str">
        <f t="shared" si="484"/>
        <v>PR</v>
      </c>
      <c r="L2841" s="26" t="str">
        <f t="shared" si="485"/>
        <v>DGOSE</v>
      </c>
      <c r="M2841" s="26" t="str">
        <f t="shared" si="482"/>
        <v>PARTICULAR</v>
      </c>
      <c r="N2841" s="26">
        <v>142</v>
      </c>
      <c r="O2841" s="26">
        <v>68</v>
      </c>
      <c r="P2841" s="26">
        <v>74</v>
      </c>
      <c r="Q2841" s="26">
        <v>6</v>
      </c>
      <c r="R2841" s="26">
        <v>1</v>
      </c>
      <c r="S2841" s="26">
        <v>6</v>
      </c>
      <c r="T2841" s="26">
        <v>7</v>
      </c>
      <c r="U2841" s="26">
        <v>14</v>
      </c>
      <c r="V2841" s="26">
        <v>1</v>
      </c>
      <c r="W2841" s="26"/>
    </row>
    <row r="2842" spans="1:23" x14ac:dyDescent="0.25">
      <c r="A2842" s="26" t="str">
        <f t="shared" si="480"/>
        <v>PRIMARIA</v>
      </c>
      <c r="B2842" s="26" t="str">
        <f>"09PPR1345T"</f>
        <v>09PPR1345T</v>
      </c>
      <c r="C2842" s="26" t="str">
        <f>"COLEGIO DOS CULTURAS                                                                                "</f>
        <v xml:space="preserve">COLEGIO DOS CULTURAS                                                                                </v>
      </c>
      <c r="D2842" s="26" t="str">
        <f t="shared" si="483"/>
        <v>MATUTINO</v>
      </c>
      <c r="E2842" s="26" t="str">
        <f>"LAGO ONEGA 160                                                                  "</f>
        <v xml:space="preserve">LAGO ONEGA 160                                                                  </v>
      </c>
      <c r="F2842" s="26" t="str">
        <f>"ANAHUAC I                                                                                                                                   "</f>
        <v xml:space="preserve">ANAHUAC I                                                                                                                                   </v>
      </c>
      <c r="G2842" s="26" t="str">
        <f>"MIGUEL HIDALGO                                                                  "</f>
        <v xml:space="preserve">MIGUEL HIDALGO                                                                  </v>
      </c>
      <c r="H2842" s="26" t="str">
        <f>"213"</f>
        <v>213</v>
      </c>
      <c r="I2842" s="26" t="str">
        <f t="shared" si="481"/>
        <v>00</v>
      </c>
      <c r="J2842" s="26" t="str">
        <f>"42 "</f>
        <v xml:space="preserve">42 </v>
      </c>
      <c r="K2842" s="26" t="str">
        <f t="shared" si="484"/>
        <v>PR</v>
      </c>
      <c r="L2842" s="26" t="str">
        <f t="shared" si="485"/>
        <v>DGOSE</v>
      </c>
      <c r="M2842" s="26" t="str">
        <f t="shared" si="482"/>
        <v>PARTICULAR</v>
      </c>
      <c r="N2842" s="26">
        <v>38</v>
      </c>
      <c r="O2842" s="26">
        <v>21</v>
      </c>
      <c r="P2842" s="26">
        <v>17</v>
      </c>
      <c r="Q2842" s="26">
        <v>6</v>
      </c>
      <c r="R2842" s="26">
        <v>1</v>
      </c>
      <c r="S2842" s="26">
        <v>6</v>
      </c>
      <c r="T2842" s="26">
        <v>4</v>
      </c>
      <c r="U2842" s="26">
        <v>11</v>
      </c>
      <c r="V2842" s="26">
        <v>1</v>
      </c>
      <c r="W2842" s="26"/>
    </row>
    <row r="2843" spans="1:23" x14ac:dyDescent="0.25">
      <c r="A2843" s="26" t="str">
        <f t="shared" si="480"/>
        <v>PRIMARIA</v>
      </c>
      <c r="B2843" s="26" t="str">
        <f>"09PPR1346S"</f>
        <v>09PPR1346S</v>
      </c>
      <c r="C2843" s="26" t="str">
        <f>"WINPENNY´S ELEMENTARY SCHOOL                                                                        "</f>
        <v xml:space="preserve">WINPENNY´S ELEMENTARY SCHOOL                                                                        </v>
      </c>
      <c r="D2843" s="26" t="str">
        <f t="shared" si="483"/>
        <v>MATUTINO</v>
      </c>
      <c r="E2843" s="26" t="str">
        <f>"JOSE MARIA CASTORENA NUM 300                                                    "</f>
        <v xml:space="preserve">JOSE MARIA CASTORENA NUM 300                                                    </v>
      </c>
      <c r="F2843" s="26" t="str">
        <f>"CUAJIMALPA                                                                                                                                  "</f>
        <v xml:space="preserve">CUAJIMALPA                                                                                                                                  </v>
      </c>
      <c r="G2843" s="26" t="str">
        <f>"CUAJIMALPA DE MORELOS                                                           "</f>
        <v xml:space="preserve">CUAJIMALPA DE MORELOS                                                           </v>
      </c>
      <c r="H2843" s="26" t="str">
        <f>"302"</f>
        <v>302</v>
      </c>
      <c r="I2843" s="26" t="str">
        <f t="shared" si="481"/>
        <v>00</v>
      </c>
      <c r="J2843" s="26" t="str">
        <f>"43 "</f>
        <v xml:space="preserve">43 </v>
      </c>
      <c r="K2843" s="26" t="str">
        <f t="shared" si="484"/>
        <v>PR</v>
      </c>
      <c r="L2843" s="26" t="str">
        <f t="shared" si="485"/>
        <v>DGOSE</v>
      </c>
      <c r="M2843" s="26" t="str">
        <f t="shared" si="482"/>
        <v>PARTICULAR</v>
      </c>
      <c r="N2843" s="26">
        <v>260</v>
      </c>
      <c r="O2843" s="26">
        <v>133</v>
      </c>
      <c r="P2843" s="26">
        <v>127</v>
      </c>
      <c r="Q2843" s="26">
        <v>12</v>
      </c>
      <c r="R2843" s="26">
        <v>1</v>
      </c>
      <c r="S2843" s="26">
        <v>6</v>
      </c>
      <c r="T2843" s="26">
        <v>11</v>
      </c>
      <c r="U2843" s="26">
        <v>18</v>
      </c>
      <c r="V2843" s="26">
        <v>1</v>
      </c>
      <c r="W2843" s="26"/>
    </row>
    <row r="2844" spans="1:23" x14ac:dyDescent="0.25">
      <c r="A2844" s="26" t="str">
        <f t="shared" si="480"/>
        <v>PRIMARIA</v>
      </c>
      <c r="B2844" s="26" t="str">
        <f>"09PPR1348Q"</f>
        <v>09PPR1348Q</v>
      </c>
      <c r="C2844" s="26" t="str">
        <f>"COLEGIO ROBERTO OWEN                                                                                "</f>
        <v xml:space="preserve">COLEGIO ROBERTO OWEN                                                                                </v>
      </c>
      <c r="D2844" s="26" t="str">
        <f t="shared" si="483"/>
        <v>MATUTINO</v>
      </c>
      <c r="E2844" s="26" t="str">
        <f>"COCOTEROS NO 188                                                                "</f>
        <v xml:space="preserve">COCOTEROS NO 188                                                                </v>
      </c>
      <c r="F2844" s="26" t="str">
        <f>"NUEVA SANTA MARIA                                                                                                                           "</f>
        <v xml:space="preserve">NUEVA SANTA MARIA                                                                                                                           </v>
      </c>
      <c r="G2844" s="26" t="str">
        <f>"AZCAPOTZALCO                                                                    "</f>
        <v xml:space="preserve">AZCAPOTZALCO                                                                    </v>
      </c>
      <c r="H2844" s="26" t="str">
        <f>"206"</f>
        <v>206</v>
      </c>
      <c r="I2844" s="26" t="str">
        <f t="shared" si="481"/>
        <v>00</v>
      </c>
      <c r="J2844" s="26" t="str">
        <f>"42 "</f>
        <v xml:space="preserve">42 </v>
      </c>
      <c r="K2844" s="26" t="str">
        <f t="shared" si="484"/>
        <v>PR</v>
      </c>
      <c r="L2844" s="26" t="str">
        <f t="shared" si="485"/>
        <v>DGOSE</v>
      </c>
      <c r="M2844" s="26" t="str">
        <f t="shared" si="482"/>
        <v>PARTICULAR</v>
      </c>
      <c r="N2844" s="26">
        <v>18</v>
      </c>
      <c r="O2844" s="26">
        <v>12</v>
      </c>
      <c r="P2844" s="26">
        <v>6</v>
      </c>
      <c r="Q2844" s="26">
        <v>4</v>
      </c>
      <c r="R2844" s="26">
        <v>1</v>
      </c>
      <c r="S2844" s="26">
        <v>3</v>
      </c>
      <c r="T2844" s="26">
        <v>5</v>
      </c>
      <c r="U2844" s="26">
        <v>9</v>
      </c>
      <c r="V2844" s="26">
        <v>1</v>
      </c>
      <c r="W2844" s="26"/>
    </row>
    <row r="2845" spans="1:23" x14ac:dyDescent="0.25">
      <c r="A2845" s="26" t="str">
        <f t="shared" si="480"/>
        <v>PRIMARIA</v>
      </c>
      <c r="B2845" s="26" t="str">
        <f>"09PPR1349P"</f>
        <v>09PPR1349P</v>
      </c>
      <c r="C2845" s="26" t="str">
        <f>"""SAINT MARY SCHOOL""                                                                                 "</f>
        <v xml:space="preserve">"SAINT MARY SCHOOL"                                                                                 </v>
      </c>
      <c r="D2845" s="26" t="str">
        <f t="shared" si="483"/>
        <v>MATUTINO</v>
      </c>
      <c r="E2845" s="26" t="str">
        <f>"NARANJO NO. 64                                                                  "</f>
        <v xml:space="preserve">NARANJO NO. 64                                                                  </v>
      </c>
      <c r="F2845" s="26" t="str">
        <f>"SANTA MARIA LA RIBERA                                                                                                                       "</f>
        <v xml:space="preserve">SANTA MARIA LA RIBERA                                                                                                                       </v>
      </c>
      <c r="G2845" s="26" t="str">
        <f>"CUAUHTEMOC                                                                      "</f>
        <v xml:space="preserve">CUAUHTEMOC                                                                      </v>
      </c>
      <c r="H2845" s="26" t="str">
        <f>"219"</f>
        <v>219</v>
      </c>
      <c r="I2845" s="26" t="str">
        <f t="shared" si="481"/>
        <v>00</v>
      </c>
      <c r="J2845" s="26" t="str">
        <f>"42 "</f>
        <v xml:space="preserve">42 </v>
      </c>
      <c r="K2845" s="26" t="str">
        <f t="shared" si="484"/>
        <v>PR</v>
      </c>
      <c r="L2845" s="26" t="str">
        <f t="shared" si="485"/>
        <v>DGOSE</v>
      </c>
      <c r="M2845" s="26" t="str">
        <f t="shared" si="482"/>
        <v>PARTICULAR</v>
      </c>
      <c r="N2845" s="26">
        <v>144</v>
      </c>
      <c r="O2845" s="26">
        <v>72</v>
      </c>
      <c r="P2845" s="26">
        <v>72</v>
      </c>
      <c r="Q2845" s="26">
        <v>9</v>
      </c>
      <c r="R2845" s="26">
        <v>1</v>
      </c>
      <c r="S2845" s="26">
        <v>5</v>
      </c>
      <c r="T2845" s="26">
        <v>10</v>
      </c>
      <c r="U2845" s="26">
        <v>16</v>
      </c>
      <c r="V2845" s="26">
        <v>1</v>
      </c>
      <c r="W2845" s="26"/>
    </row>
    <row r="2846" spans="1:23" x14ac:dyDescent="0.25">
      <c r="A2846" s="26" t="str">
        <f t="shared" si="480"/>
        <v>PRIMARIA</v>
      </c>
      <c r="B2846" s="26" t="str">
        <f>"09PPR1352C"</f>
        <v>09PPR1352C</v>
      </c>
      <c r="C2846" s="26" t="str">
        <f>"COLEGIO VASCO DE QUIROGA                                                                            "</f>
        <v xml:space="preserve">COLEGIO VASCO DE QUIROGA                                                                            </v>
      </c>
      <c r="D2846" s="26" t="str">
        <f t="shared" si="483"/>
        <v>MATUTINO</v>
      </c>
      <c r="E2846" s="26" t="str">
        <f>"MADRID NO. 64                                                                   "</f>
        <v xml:space="preserve">MADRID NO. 64                                                                   </v>
      </c>
      <c r="F2846" s="26" t="str">
        <f>"CERRO DE LA ESTRELLA                                                                                                                        "</f>
        <v xml:space="preserve">CERRO DE LA ESTRELLA                                                                                                                        </v>
      </c>
      <c r="G2846" s="26" t="str">
        <f>"IZTAPALAPA                                                                      "</f>
        <v xml:space="preserve">IZTAPALAPA                                                                      </v>
      </c>
      <c r="H2846" s="26" t="str">
        <f>"000"</f>
        <v>000</v>
      </c>
      <c r="I2846" s="26" t="str">
        <f t="shared" si="481"/>
        <v>00</v>
      </c>
      <c r="J2846" s="26" t="str">
        <f>"63 "</f>
        <v xml:space="preserve">63 </v>
      </c>
      <c r="K2846" s="26" t="str">
        <f>"IZ"</f>
        <v>IZ</v>
      </c>
      <c r="L2846" s="26" t="str">
        <f>"DGSEI"</f>
        <v>DGSEI</v>
      </c>
      <c r="M2846" s="26" t="str">
        <f t="shared" si="482"/>
        <v>PARTICULAR</v>
      </c>
      <c r="N2846" s="26">
        <v>120</v>
      </c>
      <c r="O2846" s="26">
        <v>60</v>
      </c>
      <c r="P2846" s="26">
        <v>60</v>
      </c>
      <c r="Q2846" s="26">
        <v>6</v>
      </c>
      <c r="R2846" s="26">
        <v>1</v>
      </c>
      <c r="S2846" s="26">
        <v>6</v>
      </c>
      <c r="T2846" s="26">
        <v>9</v>
      </c>
      <c r="U2846" s="26">
        <v>16</v>
      </c>
      <c r="V2846" s="26">
        <v>1</v>
      </c>
      <c r="W2846" s="26"/>
    </row>
    <row r="2847" spans="1:23" x14ac:dyDescent="0.25">
      <c r="A2847" s="26" t="str">
        <f t="shared" si="480"/>
        <v>PRIMARIA</v>
      </c>
      <c r="B2847" s="26" t="str">
        <f>"09PPR1353B"</f>
        <v>09PPR1353B</v>
      </c>
      <c r="C2847" s="26" t="str">
        <f>"COLEGIO SANTA FE                                                                                    "</f>
        <v xml:space="preserve">COLEGIO SANTA FE                                                                                    </v>
      </c>
      <c r="D2847" s="26" t="str">
        <f>"VESPERTINO"</f>
        <v>VESPERTINO</v>
      </c>
      <c r="E2847" s="26" t="str">
        <f>"AV SANTA LUCIA NO 260                                                           "</f>
        <v xml:space="preserve">AV SANTA LUCIA NO 260                                                           </v>
      </c>
      <c r="F2847" s="26" t="str">
        <f>"CLUB DE GOLF PRADOS DE LA MONTAÑA                                                                                                           "</f>
        <v xml:space="preserve">CLUB DE GOLF PRADOS DE LA MONTAÑA                                                                                                           </v>
      </c>
      <c r="G2847" s="26" t="str">
        <f>"CUAJIMALPA DE MORELOS                                                           "</f>
        <v xml:space="preserve">CUAJIMALPA DE MORELOS                                                           </v>
      </c>
      <c r="H2847" s="26" t="str">
        <f>"303"</f>
        <v>303</v>
      </c>
      <c r="I2847" s="26" t="str">
        <f t="shared" si="481"/>
        <v>00</v>
      </c>
      <c r="J2847" s="26" t="str">
        <f>"43 "</f>
        <v xml:space="preserve">43 </v>
      </c>
      <c r="K2847" s="26" t="str">
        <f>"PR"</f>
        <v>PR</v>
      </c>
      <c r="L2847" s="26" t="str">
        <f>"DGOSE"</f>
        <v>DGOSE</v>
      </c>
      <c r="M2847" s="26" t="str">
        <f t="shared" si="482"/>
        <v>PARTICULAR</v>
      </c>
      <c r="N2847" s="26">
        <v>170</v>
      </c>
      <c r="O2847" s="26">
        <v>0</v>
      </c>
      <c r="P2847" s="26">
        <v>170</v>
      </c>
      <c r="Q2847" s="26">
        <v>6</v>
      </c>
      <c r="R2847" s="26">
        <v>1</v>
      </c>
      <c r="S2847" s="26">
        <v>6</v>
      </c>
      <c r="T2847" s="26">
        <v>2</v>
      </c>
      <c r="U2847" s="26">
        <v>9</v>
      </c>
      <c r="V2847" s="26">
        <v>1</v>
      </c>
      <c r="W2847" s="26"/>
    </row>
    <row r="2848" spans="1:23" x14ac:dyDescent="0.25">
      <c r="A2848" s="26" t="str">
        <f t="shared" si="480"/>
        <v>PRIMARIA</v>
      </c>
      <c r="B2848" s="26" t="str">
        <f>"09PPR1354A"</f>
        <v>09PPR1354A</v>
      </c>
      <c r="C2848" s="26" t="s">
        <v>3979</v>
      </c>
      <c r="D2848" s="26" t="str">
        <f t="shared" ref="D2848:D2911" si="486">"MATUTINO"</f>
        <v>MATUTINO</v>
      </c>
      <c r="E2848" s="26" t="str">
        <f>"AV SANTA LUCIA NO 220                                                           "</f>
        <v xml:space="preserve">AV SANTA LUCIA NO 220                                                           </v>
      </c>
      <c r="F2848" s="26" t="str">
        <f>"CLUB DE GOLF PRADOS DE LA MONTAÑA                                                                                                           "</f>
        <v xml:space="preserve">CLUB DE GOLF PRADOS DE LA MONTAÑA                                                                                                           </v>
      </c>
      <c r="G2848" s="26" t="str">
        <f>"CUAJIMALPA DE MORELOS                                                           "</f>
        <v xml:space="preserve">CUAJIMALPA DE MORELOS                                                           </v>
      </c>
      <c r="H2848" s="26" t="str">
        <f>"303"</f>
        <v>303</v>
      </c>
      <c r="I2848" s="26" t="str">
        <f t="shared" si="481"/>
        <v>00</v>
      </c>
      <c r="J2848" s="26" t="str">
        <f>"43 "</f>
        <v xml:space="preserve">43 </v>
      </c>
      <c r="K2848" s="26" t="str">
        <f>"PR"</f>
        <v>PR</v>
      </c>
      <c r="L2848" s="26" t="str">
        <f>"DGOSE"</f>
        <v>DGOSE</v>
      </c>
      <c r="M2848" s="26" t="str">
        <f t="shared" si="482"/>
        <v>PARTICULAR</v>
      </c>
      <c r="N2848" s="26">
        <v>638</v>
      </c>
      <c r="O2848" s="26">
        <v>333</v>
      </c>
      <c r="P2848" s="26">
        <v>305</v>
      </c>
      <c r="Q2848" s="26">
        <v>29</v>
      </c>
      <c r="R2848" s="26">
        <v>1</v>
      </c>
      <c r="S2848" s="26">
        <v>15</v>
      </c>
      <c r="T2848" s="26">
        <v>39</v>
      </c>
      <c r="U2848" s="26">
        <v>55</v>
      </c>
      <c r="V2848" s="26">
        <v>1</v>
      </c>
      <c r="W2848" s="26"/>
    </row>
    <row r="2849" spans="1:23" x14ac:dyDescent="0.25">
      <c r="A2849" s="26" t="str">
        <f t="shared" si="480"/>
        <v>PRIMARIA</v>
      </c>
      <c r="B2849" s="26" t="str">
        <f>"09PPR1355Z"</f>
        <v>09PPR1355Z</v>
      </c>
      <c r="C2849" s="26" t="str">
        <f>"OVIDIO DECROLY                                                                                      "</f>
        <v xml:space="preserve">OVIDIO DECROLY                                                                                      </v>
      </c>
      <c r="D2849" s="26" t="str">
        <f t="shared" si="486"/>
        <v>MATUTINO</v>
      </c>
      <c r="E2849" s="26" t="str">
        <f>"GENERAL ANAYA 15                                                                "</f>
        <v xml:space="preserve">GENERAL ANAYA 15                                                                </v>
      </c>
      <c r="F2849" s="26" t="str">
        <f>"LA ESTACION                                                                                                                                 "</f>
        <v xml:space="preserve">LA ESTACION                                                                                                                                 </v>
      </c>
      <c r="G2849" s="26" t="str">
        <f>"TLAHUAC                                                                         "</f>
        <v xml:space="preserve">TLAHUAC                                                                         </v>
      </c>
      <c r="H2849" s="26" t="str">
        <f>"546"</f>
        <v>546</v>
      </c>
      <c r="I2849" s="26" t="str">
        <f t="shared" si="481"/>
        <v>00</v>
      </c>
      <c r="J2849" s="26" t="str">
        <f>"45 "</f>
        <v xml:space="preserve">45 </v>
      </c>
      <c r="K2849" s="26" t="str">
        <f>"PR"</f>
        <v>PR</v>
      </c>
      <c r="L2849" s="26" t="str">
        <f>"DGOSE"</f>
        <v>DGOSE</v>
      </c>
      <c r="M2849" s="26" t="str">
        <f t="shared" si="482"/>
        <v>PARTICULAR</v>
      </c>
      <c r="N2849" s="26">
        <v>171</v>
      </c>
      <c r="O2849" s="26">
        <v>89</v>
      </c>
      <c r="P2849" s="26">
        <v>82</v>
      </c>
      <c r="Q2849" s="26">
        <v>11</v>
      </c>
      <c r="R2849" s="26">
        <v>1</v>
      </c>
      <c r="S2849" s="26">
        <v>11</v>
      </c>
      <c r="T2849" s="26">
        <v>6</v>
      </c>
      <c r="U2849" s="26">
        <v>18</v>
      </c>
      <c r="V2849" s="26">
        <v>1</v>
      </c>
      <c r="W2849" s="26"/>
    </row>
    <row r="2850" spans="1:23" x14ac:dyDescent="0.25">
      <c r="A2850" s="26" t="str">
        <f t="shared" si="480"/>
        <v>PRIMARIA</v>
      </c>
      <c r="B2850" s="26" t="str">
        <f>"09PPR1356Z"</f>
        <v>09PPR1356Z</v>
      </c>
      <c r="C2850" s="26" t="str">
        <f>"COLEGIO DIEGO DEZA                                                                                  "</f>
        <v xml:space="preserve">COLEGIO DIEGO DEZA                                                                                  </v>
      </c>
      <c r="D2850" s="26" t="str">
        <f t="shared" si="486"/>
        <v>MATUTINO</v>
      </c>
      <c r="E2850" s="26" t="str">
        <f>"AV SANTA LUCIA NO 965                                                           "</f>
        <v xml:space="preserve">AV SANTA LUCIA NO 965                                                           </v>
      </c>
      <c r="F2850" s="26" t="str">
        <f>"COLINAS DEL SUR                                                                                                                             "</f>
        <v xml:space="preserve">COLINAS DEL SUR                                                                                                                             </v>
      </c>
      <c r="G2850" s="26" t="str">
        <f>"ALVARO OBREGON                                                                  "</f>
        <v xml:space="preserve">ALVARO OBREGON                                                                  </v>
      </c>
      <c r="H2850" s="26" t="str">
        <f>"317"</f>
        <v>317</v>
      </c>
      <c r="I2850" s="26" t="str">
        <f t="shared" si="481"/>
        <v>00</v>
      </c>
      <c r="J2850" s="26" t="str">
        <f>"43 "</f>
        <v xml:space="preserve">43 </v>
      </c>
      <c r="K2850" s="26" t="str">
        <f>"PR"</f>
        <v>PR</v>
      </c>
      <c r="L2850" s="26" t="str">
        <f>"DGOSE"</f>
        <v>DGOSE</v>
      </c>
      <c r="M2850" s="26" t="str">
        <f t="shared" si="482"/>
        <v>PARTICULAR</v>
      </c>
      <c r="N2850" s="26">
        <v>12</v>
      </c>
      <c r="O2850" s="26">
        <v>5</v>
      </c>
      <c r="P2850" s="26">
        <v>7</v>
      </c>
      <c r="Q2850" s="26">
        <v>5</v>
      </c>
      <c r="R2850" s="26">
        <v>0</v>
      </c>
      <c r="S2850" s="26">
        <v>3</v>
      </c>
      <c r="T2850" s="26">
        <v>4</v>
      </c>
      <c r="U2850" s="26">
        <v>7</v>
      </c>
      <c r="V2850" s="26">
        <v>1</v>
      </c>
      <c r="W2850" s="26"/>
    </row>
    <row r="2851" spans="1:23" x14ac:dyDescent="0.25">
      <c r="A2851" s="26" t="str">
        <f t="shared" si="480"/>
        <v>PRIMARIA</v>
      </c>
      <c r="B2851" s="26" t="str">
        <f>"09PPR1358X"</f>
        <v>09PPR1358X</v>
      </c>
      <c r="C2851" s="26" t="str">
        <f>"COLEGIO MEXICO LIBRE                                                                                "</f>
        <v xml:space="preserve">COLEGIO MEXICO LIBRE                                                                                </v>
      </c>
      <c r="D2851" s="26" t="str">
        <f t="shared" si="486"/>
        <v>MATUTINO</v>
      </c>
      <c r="E2851" s="26" t="str">
        <f>"CIRUJANOS NO 36                                                                 "</f>
        <v xml:space="preserve">CIRUJANOS NO 36                                                                 </v>
      </c>
      <c r="F2851" s="26" t="str">
        <f>"SIFON AMPLIACION                                                                                                                            "</f>
        <v xml:space="preserve">SIFON AMPLIACION                                                                                                                            </v>
      </c>
      <c r="G2851" s="26" t="str">
        <f>"IZTAPALAPA                                                                      "</f>
        <v xml:space="preserve">IZTAPALAPA                                                                      </v>
      </c>
      <c r="H2851" s="26" t="str">
        <f>"000"</f>
        <v>000</v>
      </c>
      <c r="I2851" s="26" t="str">
        <f t="shared" si="481"/>
        <v>00</v>
      </c>
      <c r="J2851" s="26" t="str">
        <f>"61 "</f>
        <v xml:space="preserve">61 </v>
      </c>
      <c r="K2851" s="26" t="str">
        <f>"IZ"</f>
        <v>IZ</v>
      </c>
      <c r="L2851" s="26" t="str">
        <f>"DGSEI"</f>
        <v>DGSEI</v>
      </c>
      <c r="M2851" s="26" t="str">
        <f t="shared" si="482"/>
        <v>PARTICULAR</v>
      </c>
      <c r="N2851" s="26">
        <v>59</v>
      </c>
      <c r="O2851" s="26">
        <v>31</v>
      </c>
      <c r="P2851" s="26">
        <v>28</v>
      </c>
      <c r="Q2851" s="26">
        <v>6</v>
      </c>
      <c r="R2851" s="26">
        <v>1</v>
      </c>
      <c r="S2851" s="26">
        <v>3</v>
      </c>
      <c r="T2851" s="26">
        <v>6</v>
      </c>
      <c r="U2851" s="26">
        <v>10</v>
      </c>
      <c r="V2851" s="26">
        <v>1</v>
      </c>
      <c r="W2851" s="26"/>
    </row>
    <row r="2852" spans="1:23" x14ac:dyDescent="0.25">
      <c r="A2852" s="26" t="str">
        <f t="shared" si="480"/>
        <v>PRIMARIA</v>
      </c>
      <c r="B2852" s="26" t="str">
        <f>"09PPR1360L"</f>
        <v>09PPR1360L</v>
      </c>
      <c r="C2852" s="26" t="str">
        <f>"FRATERNIDAD ARREOLA                                                                                 "</f>
        <v xml:space="preserve">FRATERNIDAD ARREOLA                                                                                 </v>
      </c>
      <c r="D2852" s="26" t="str">
        <f t="shared" si="486"/>
        <v>MATUTINO</v>
      </c>
      <c r="E2852" s="26" t="s">
        <v>3980</v>
      </c>
      <c r="F2852" s="26" t="str">
        <f>"EJERCITO DE AGUA PRIETA                                                                                                                     "</f>
        <v xml:space="preserve">EJERCITO DE AGUA PRIETA                                                                                                                     </v>
      </c>
      <c r="G2852" s="26" t="str">
        <f>"IZTAPALAPA                                                                      "</f>
        <v xml:space="preserve">IZTAPALAPA                                                                      </v>
      </c>
      <c r="H2852" s="26" t="str">
        <f>"000"</f>
        <v>000</v>
      </c>
      <c r="I2852" s="26" t="str">
        <f t="shared" si="481"/>
        <v>00</v>
      </c>
      <c r="J2852" s="26" t="str">
        <f>"62 "</f>
        <v xml:space="preserve">62 </v>
      </c>
      <c r="K2852" s="26" t="str">
        <f>"IZ"</f>
        <v>IZ</v>
      </c>
      <c r="L2852" s="26" t="str">
        <f>"DGSEI"</f>
        <v>DGSEI</v>
      </c>
      <c r="M2852" s="26" t="str">
        <f t="shared" si="482"/>
        <v>PARTICULAR</v>
      </c>
      <c r="N2852" s="26">
        <v>49</v>
      </c>
      <c r="O2852" s="26">
        <v>27</v>
      </c>
      <c r="P2852" s="26">
        <v>22</v>
      </c>
      <c r="Q2852" s="26">
        <v>6</v>
      </c>
      <c r="R2852" s="26">
        <v>1</v>
      </c>
      <c r="S2852" s="26">
        <v>6</v>
      </c>
      <c r="T2852" s="26">
        <v>2</v>
      </c>
      <c r="U2852" s="26">
        <v>9</v>
      </c>
      <c r="V2852" s="26">
        <v>1</v>
      </c>
      <c r="W2852" s="26"/>
    </row>
    <row r="2853" spans="1:23" x14ac:dyDescent="0.25">
      <c r="A2853" s="26" t="str">
        <f t="shared" si="480"/>
        <v>PRIMARIA</v>
      </c>
      <c r="B2853" s="26" t="str">
        <f>"09PPR1361K"</f>
        <v>09PPR1361K</v>
      </c>
      <c r="C2853" s="26" t="str">
        <f>"KINGSTON SCHOOL                                                                                     "</f>
        <v xml:space="preserve">KINGSTON SCHOOL                                                                                     </v>
      </c>
      <c r="D2853" s="26" t="str">
        <f t="shared" si="486"/>
        <v>MATUTINO</v>
      </c>
      <c r="E2853" s="26" t="str">
        <f>"DURANGO NUM 102                                                                 "</f>
        <v xml:space="preserve">DURANGO NUM 102                                                                 </v>
      </c>
      <c r="F2853" s="26" t="str">
        <f>"TIZAPAN                                                                                                                                     "</f>
        <v xml:space="preserve">TIZAPAN                                                                                                                                     </v>
      </c>
      <c r="G2853" s="26" t="str">
        <f>"ALVARO OBREGON                                                                  "</f>
        <v xml:space="preserve">ALVARO OBREGON                                                                  </v>
      </c>
      <c r="H2853" s="26" t="str">
        <f>"325"</f>
        <v>325</v>
      </c>
      <c r="I2853" s="26" t="str">
        <f t="shared" si="481"/>
        <v>00</v>
      </c>
      <c r="J2853" s="26" t="str">
        <f>"43 "</f>
        <v xml:space="preserve">43 </v>
      </c>
      <c r="K2853" s="26" t="str">
        <f t="shared" ref="K2853:K2859" si="487">"PR"</f>
        <v>PR</v>
      </c>
      <c r="L2853" s="26" t="str">
        <f t="shared" ref="L2853:L2859" si="488">"DGOSE"</f>
        <v>DGOSE</v>
      </c>
      <c r="M2853" s="26" t="str">
        <f t="shared" si="482"/>
        <v>PARTICULAR</v>
      </c>
      <c r="N2853" s="26">
        <v>47</v>
      </c>
      <c r="O2853" s="26">
        <v>28</v>
      </c>
      <c r="P2853" s="26">
        <v>19</v>
      </c>
      <c r="Q2853" s="26">
        <v>6</v>
      </c>
      <c r="R2853" s="26">
        <v>1</v>
      </c>
      <c r="S2853" s="26">
        <v>3</v>
      </c>
      <c r="T2853" s="26">
        <v>6</v>
      </c>
      <c r="U2853" s="26">
        <v>10</v>
      </c>
      <c r="V2853" s="26">
        <v>1</v>
      </c>
      <c r="W2853" s="26"/>
    </row>
    <row r="2854" spans="1:23" x14ac:dyDescent="0.25">
      <c r="A2854" s="26" t="str">
        <f t="shared" si="480"/>
        <v>PRIMARIA</v>
      </c>
      <c r="B2854" s="26" t="str">
        <f>"09PPR1362J"</f>
        <v>09PPR1362J</v>
      </c>
      <c r="C2854" s="26" t="str">
        <f>"COLEGIO MOCTEZUMA I                                                                                 "</f>
        <v xml:space="preserve">COLEGIO MOCTEZUMA I                                                                                 </v>
      </c>
      <c r="D2854" s="26" t="str">
        <f t="shared" si="486"/>
        <v>MATUTINO</v>
      </c>
      <c r="E2854" s="26" t="str">
        <f>"CALLE 17 No 159                                                                 "</f>
        <v xml:space="preserve">CALLE 17 No 159                                                                 </v>
      </c>
      <c r="F2854" s="26" t="str">
        <f>"MOCTEZUMA 1A SECCION                                                                                                                        "</f>
        <v xml:space="preserve">MOCTEZUMA 1A SECCION                                                                                                                        </v>
      </c>
      <c r="G2854" s="26" t="str">
        <f>"VENUSTIANO CARRANZA                                                             "</f>
        <v xml:space="preserve">VENUSTIANO CARRANZA                                                             </v>
      </c>
      <c r="H2854" s="26" t="str">
        <f>"349"</f>
        <v>349</v>
      </c>
      <c r="I2854" s="26" t="str">
        <f t="shared" si="481"/>
        <v>00</v>
      </c>
      <c r="J2854" s="26" t="str">
        <f>"43 "</f>
        <v xml:space="preserve">43 </v>
      </c>
      <c r="K2854" s="26" t="str">
        <f t="shared" si="487"/>
        <v>PR</v>
      </c>
      <c r="L2854" s="26" t="str">
        <f t="shared" si="488"/>
        <v>DGOSE</v>
      </c>
      <c r="M2854" s="26" t="str">
        <f t="shared" si="482"/>
        <v>PARTICULAR</v>
      </c>
      <c r="N2854" s="26">
        <v>54</v>
      </c>
      <c r="O2854" s="26">
        <v>30</v>
      </c>
      <c r="P2854" s="26">
        <v>24</v>
      </c>
      <c r="Q2854" s="26">
        <v>6</v>
      </c>
      <c r="R2854" s="26">
        <v>1</v>
      </c>
      <c r="S2854" s="26">
        <v>6</v>
      </c>
      <c r="T2854" s="26">
        <v>0</v>
      </c>
      <c r="U2854" s="26">
        <v>7</v>
      </c>
      <c r="V2854" s="26">
        <v>1</v>
      </c>
      <c r="W2854" s="26"/>
    </row>
    <row r="2855" spans="1:23" x14ac:dyDescent="0.25">
      <c r="A2855" s="26" t="str">
        <f t="shared" si="480"/>
        <v>PRIMARIA</v>
      </c>
      <c r="B2855" s="26" t="str">
        <f>"09PPR1363I"</f>
        <v>09PPR1363I</v>
      </c>
      <c r="C2855" s="26" t="str">
        <f>"CENTRO PEDAGOGICO LUIS DONALDO COLOSIO                                                              "</f>
        <v xml:space="preserve">CENTRO PEDAGOGICO LUIS DONALDO COLOSIO                                                              </v>
      </c>
      <c r="D2855" s="26" t="str">
        <f t="shared" si="486"/>
        <v>MATUTINO</v>
      </c>
      <c r="E2855" s="26" t="str">
        <f>"HIMNO NACIONAL # 295                                                            "</f>
        <v xml:space="preserve">HIMNO NACIONAL # 295                                                            </v>
      </c>
      <c r="F2855" s="26" t="str">
        <f>"LA LAGUNA TICOMAN                                                                                                                           "</f>
        <v xml:space="preserve">LA LAGUNA TICOMAN                                                                                                                           </v>
      </c>
      <c r="G2855" s="26" t="str">
        <f>"GUSTAVO A. MADERO                                                               "</f>
        <v xml:space="preserve">GUSTAVO A. MADERO                                                               </v>
      </c>
      <c r="H2855" s="26" t="str">
        <f>"237"</f>
        <v>237</v>
      </c>
      <c r="I2855" s="26" t="str">
        <f t="shared" si="481"/>
        <v>00</v>
      </c>
      <c r="J2855" s="26" t="str">
        <f>"42 "</f>
        <v xml:space="preserve">42 </v>
      </c>
      <c r="K2855" s="26" t="str">
        <f t="shared" si="487"/>
        <v>PR</v>
      </c>
      <c r="L2855" s="26" t="str">
        <f t="shared" si="488"/>
        <v>DGOSE</v>
      </c>
      <c r="M2855" s="26" t="str">
        <f t="shared" si="482"/>
        <v>PARTICULAR</v>
      </c>
      <c r="N2855" s="26">
        <v>63</v>
      </c>
      <c r="O2855" s="26">
        <v>36</v>
      </c>
      <c r="P2855" s="26">
        <v>27</v>
      </c>
      <c r="Q2855" s="26">
        <v>6</v>
      </c>
      <c r="R2855" s="26">
        <v>1</v>
      </c>
      <c r="S2855" s="26">
        <v>6</v>
      </c>
      <c r="T2855" s="26">
        <v>2</v>
      </c>
      <c r="U2855" s="26">
        <v>9</v>
      </c>
      <c r="V2855" s="26">
        <v>1</v>
      </c>
      <c r="W2855" s="26"/>
    </row>
    <row r="2856" spans="1:23" x14ac:dyDescent="0.25">
      <c r="A2856" s="26" t="str">
        <f t="shared" si="480"/>
        <v>PRIMARIA</v>
      </c>
      <c r="B2856" s="26" t="str">
        <f>"09PPR1364H"</f>
        <v>09PPR1364H</v>
      </c>
      <c r="C2856" s="26" t="str">
        <f>"COLEGIO FRANZ MAYER                                                                                 "</f>
        <v xml:space="preserve">COLEGIO FRANZ MAYER                                                                                 </v>
      </c>
      <c r="D2856" s="26" t="str">
        <f t="shared" si="486"/>
        <v>MATUTINO</v>
      </c>
      <c r="E2856" s="26" t="str">
        <f>"MIGUEL JACINTES NO 21                                                           "</f>
        <v xml:space="preserve">MIGUEL JACINTES NO 21                                                           </v>
      </c>
      <c r="F2856" s="26" t="str">
        <f>"MOCTEZUMA 1A SECCION                                                                                                                        "</f>
        <v xml:space="preserve">MOCTEZUMA 1A SECCION                                                                                                                        </v>
      </c>
      <c r="G2856" s="26" t="str">
        <f>"VENUSTIANO CARRANZA                                                             "</f>
        <v xml:space="preserve">VENUSTIANO CARRANZA                                                             </v>
      </c>
      <c r="H2856" s="26" t="str">
        <f>"349"</f>
        <v>349</v>
      </c>
      <c r="I2856" s="26" t="str">
        <f t="shared" si="481"/>
        <v>00</v>
      </c>
      <c r="J2856" s="26" t="str">
        <f>"43 "</f>
        <v xml:space="preserve">43 </v>
      </c>
      <c r="K2856" s="26" t="str">
        <f t="shared" si="487"/>
        <v>PR</v>
      </c>
      <c r="L2856" s="26" t="str">
        <f t="shared" si="488"/>
        <v>DGOSE</v>
      </c>
      <c r="M2856" s="26" t="str">
        <f t="shared" si="482"/>
        <v>PARTICULAR</v>
      </c>
      <c r="N2856" s="26">
        <v>68</v>
      </c>
      <c r="O2856" s="26">
        <v>38</v>
      </c>
      <c r="P2856" s="26">
        <v>30</v>
      </c>
      <c r="Q2856" s="26">
        <v>6</v>
      </c>
      <c r="R2856" s="26">
        <v>1</v>
      </c>
      <c r="S2856" s="26">
        <v>3</v>
      </c>
      <c r="T2856" s="26">
        <v>9</v>
      </c>
      <c r="U2856" s="26">
        <v>13</v>
      </c>
      <c r="V2856" s="26">
        <v>1</v>
      </c>
      <c r="W2856" s="26"/>
    </row>
    <row r="2857" spans="1:23" x14ac:dyDescent="0.25">
      <c r="A2857" s="26" t="str">
        <f t="shared" si="480"/>
        <v>PRIMARIA</v>
      </c>
      <c r="B2857" s="26" t="str">
        <f>"09PPR1365G"</f>
        <v>09PPR1365G</v>
      </c>
      <c r="C2857" s="26" t="str">
        <f>"LICEO ROBERT OWEN                                                                                   "</f>
        <v xml:space="preserve">LICEO ROBERT OWEN                                                                                   </v>
      </c>
      <c r="D2857" s="26" t="str">
        <f t="shared" si="486"/>
        <v>MATUTINO</v>
      </c>
      <c r="E2857" s="26" t="str">
        <f>"CDA JOSE MARIA DE PINO SUAREZ M-6 L-278                                         "</f>
        <v xml:space="preserve">CDA JOSE MARIA DE PINO SUAREZ M-6 L-278                                         </v>
      </c>
      <c r="F2857" s="26" t="str">
        <f>"LA GUADALUPITA TULYEHUALCO                                                                                                                  "</f>
        <v xml:space="preserve">LA GUADALUPITA TULYEHUALCO                                                                                                                  </v>
      </c>
      <c r="G2857" s="26" t="str">
        <f>"XOCHIMILCO                                                                      "</f>
        <v xml:space="preserve">XOCHIMILCO                                                                      </v>
      </c>
      <c r="H2857" s="26" t="str">
        <f>"544"</f>
        <v>544</v>
      </c>
      <c r="I2857" s="26" t="str">
        <f t="shared" si="481"/>
        <v>00</v>
      </c>
      <c r="J2857" s="26" t="str">
        <f>"45 "</f>
        <v xml:space="preserve">45 </v>
      </c>
      <c r="K2857" s="26" t="str">
        <f t="shared" si="487"/>
        <v>PR</v>
      </c>
      <c r="L2857" s="26" t="str">
        <f t="shared" si="488"/>
        <v>DGOSE</v>
      </c>
      <c r="M2857" s="26" t="str">
        <f t="shared" si="482"/>
        <v>PARTICULAR</v>
      </c>
      <c r="N2857" s="26">
        <v>81</v>
      </c>
      <c r="O2857" s="26">
        <v>42</v>
      </c>
      <c r="P2857" s="26">
        <v>39</v>
      </c>
      <c r="Q2857" s="26">
        <v>6</v>
      </c>
      <c r="R2857" s="26">
        <v>1</v>
      </c>
      <c r="S2857" s="26">
        <v>6</v>
      </c>
      <c r="T2857" s="26">
        <v>8</v>
      </c>
      <c r="U2857" s="26">
        <v>15</v>
      </c>
      <c r="V2857" s="26">
        <v>1</v>
      </c>
      <c r="W2857" s="26"/>
    </row>
    <row r="2858" spans="1:23" x14ac:dyDescent="0.25">
      <c r="A2858" s="26" t="str">
        <f t="shared" si="480"/>
        <v>PRIMARIA</v>
      </c>
      <c r="B2858" s="26" t="str">
        <f>"09PPR1366F"</f>
        <v>09PPR1366F</v>
      </c>
      <c r="C2858" s="26" t="str">
        <f>"CENTRO DE EDUCACION INFANTIL                                                                        "</f>
        <v xml:space="preserve">CENTRO DE EDUCACION INFANTIL                                                                        </v>
      </c>
      <c r="D2858" s="26" t="str">
        <f t="shared" si="486"/>
        <v>MATUTINO</v>
      </c>
      <c r="E2858" s="26" t="str">
        <f>"AVENIDA IMAN 787                                                                "</f>
        <v xml:space="preserve">AVENIDA IMAN 787                                                                </v>
      </c>
      <c r="F2858" s="26" t="str">
        <f>"EL CARACOL                                                                                                                                  "</f>
        <v xml:space="preserve">EL CARACOL                                                                                                                                  </v>
      </c>
      <c r="G2858" s="26" t="str">
        <f>"COYOACAN                                                                        "</f>
        <v xml:space="preserve">COYOACAN                                                                        </v>
      </c>
      <c r="H2858" s="26" t="str">
        <f>"507"</f>
        <v>507</v>
      </c>
      <c r="I2858" s="26" t="str">
        <f t="shared" si="481"/>
        <v>00</v>
      </c>
      <c r="J2858" s="26" t="str">
        <f>"45 "</f>
        <v xml:space="preserve">45 </v>
      </c>
      <c r="K2858" s="26" t="str">
        <f t="shared" si="487"/>
        <v>PR</v>
      </c>
      <c r="L2858" s="26" t="str">
        <f t="shared" si="488"/>
        <v>DGOSE</v>
      </c>
      <c r="M2858" s="26" t="str">
        <f t="shared" si="482"/>
        <v>PARTICULAR</v>
      </c>
      <c r="N2858" s="26">
        <v>57</v>
      </c>
      <c r="O2858" s="26">
        <v>31</v>
      </c>
      <c r="P2858" s="26">
        <v>26</v>
      </c>
      <c r="Q2858" s="26">
        <v>6</v>
      </c>
      <c r="R2858" s="26">
        <v>1</v>
      </c>
      <c r="S2858" s="26">
        <v>3</v>
      </c>
      <c r="T2858" s="26">
        <v>5</v>
      </c>
      <c r="U2858" s="26">
        <v>9</v>
      </c>
      <c r="V2858" s="26">
        <v>1</v>
      </c>
      <c r="W2858" s="26"/>
    </row>
    <row r="2859" spans="1:23" x14ac:dyDescent="0.25">
      <c r="A2859" s="26" t="str">
        <f t="shared" si="480"/>
        <v>PRIMARIA</v>
      </c>
      <c r="B2859" s="26" t="str">
        <f>"09PPR1368D"</f>
        <v>09PPR1368D</v>
      </c>
      <c r="C2859" s="26" t="str">
        <f>"INSTITUTO DEL ROBLE                                                                                 "</f>
        <v xml:space="preserve">INSTITUTO DEL ROBLE                                                                                 </v>
      </c>
      <c r="D2859" s="26" t="str">
        <f t="shared" si="486"/>
        <v>MATUTINO</v>
      </c>
      <c r="E2859" s="26" t="str">
        <f>"RETORNO 24 NO 4                                                                 "</f>
        <v xml:space="preserve">RETORNO 24 NO 4                                                                 </v>
      </c>
      <c r="F2859" s="26" t="str">
        <f>"AVANTE                                                                                                                                      "</f>
        <v xml:space="preserve">AVANTE                                                                                                                                      </v>
      </c>
      <c r="G2859" s="26" t="str">
        <f>"COYOACAN                                                                        "</f>
        <v xml:space="preserve">COYOACAN                                                                        </v>
      </c>
      <c r="H2859" s="26" t="str">
        <f>"508"</f>
        <v>508</v>
      </c>
      <c r="I2859" s="26" t="str">
        <f t="shared" si="481"/>
        <v>00</v>
      </c>
      <c r="J2859" s="26" t="str">
        <f>"45 "</f>
        <v xml:space="preserve">45 </v>
      </c>
      <c r="K2859" s="26" t="str">
        <f t="shared" si="487"/>
        <v>PR</v>
      </c>
      <c r="L2859" s="26" t="str">
        <f t="shared" si="488"/>
        <v>DGOSE</v>
      </c>
      <c r="M2859" s="26" t="str">
        <f t="shared" si="482"/>
        <v>PARTICULAR</v>
      </c>
      <c r="N2859" s="26">
        <v>29</v>
      </c>
      <c r="O2859" s="26">
        <v>15</v>
      </c>
      <c r="P2859" s="26">
        <v>14</v>
      </c>
      <c r="Q2859" s="26">
        <v>6</v>
      </c>
      <c r="R2859" s="26">
        <v>1</v>
      </c>
      <c r="S2859" s="26">
        <v>2</v>
      </c>
      <c r="T2859" s="26">
        <v>7</v>
      </c>
      <c r="U2859" s="26">
        <v>10</v>
      </c>
      <c r="V2859" s="26">
        <v>1</v>
      </c>
      <c r="W2859" s="26"/>
    </row>
    <row r="2860" spans="1:23" x14ac:dyDescent="0.25">
      <c r="A2860" s="26" t="str">
        <f t="shared" si="480"/>
        <v>PRIMARIA</v>
      </c>
      <c r="B2860" s="26" t="str">
        <f>"09PPR1369C"</f>
        <v>09PPR1369C</v>
      </c>
      <c r="C2860" s="26" t="str">
        <f>"COLEGIO ARBOLEDA                                                                                    "</f>
        <v xml:space="preserve">COLEGIO ARBOLEDA                                                                                    </v>
      </c>
      <c r="D2860" s="26" t="str">
        <f t="shared" si="486"/>
        <v>MATUTINO</v>
      </c>
      <c r="E2860" s="26" t="str">
        <f>"AV. TEPALCATES NO. 122                                                          "</f>
        <v xml:space="preserve">AV. TEPALCATES NO. 122                                                          </v>
      </c>
      <c r="F2860" s="26" t="str">
        <f>"TEPALCATES                                                                                                                                  "</f>
        <v xml:space="preserve">TEPALCATES                                                                                                                                  </v>
      </c>
      <c r="G2860" s="26" t="str">
        <f>"IZTAPALAPA                                                                      "</f>
        <v xml:space="preserve">IZTAPALAPA                                                                      </v>
      </c>
      <c r="H2860" s="26" t="str">
        <f>"000"</f>
        <v>000</v>
      </c>
      <c r="I2860" s="26" t="str">
        <f t="shared" si="481"/>
        <v>00</v>
      </c>
      <c r="J2860" s="26" t="str">
        <f>"62 "</f>
        <v xml:space="preserve">62 </v>
      </c>
      <c r="K2860" s="26" t="str">
        <f>"IZ"</f>
        <v>IZ</v>
      </c>
      <c r="L2860" s="26" t="str">
        <f>"DGSEI"</f>
        <v>DGSEI</v>
      </c>
      <c r="M2860" s="26" t="str">
        <f t="shared" si="482"/>
        <v>PARTICULAR</v>
      </c>
      <c r="N2860" s="26">
        <v>122</v>
      </c>
      <c r="O2860" s="26">
        <v>58</v>
      </c>
      <c r="P2860" s="26">
        <v>64</v>
      </c>
      <c r="Q2860" s="26">
        <v>6</v>
      </c>
      <c r="R2860" s="26">
        <v>1</v>
      </c>
      <c r="S2860" s="26">
        <v>6</v>
      </c>
      <c r="T2860" s="26">
        <v>9</v>
      </c>
      <c r="U2860" s="26">
        <v>16</v>
      </c>
      <c r="V2860" s="26">
        <v>1</v>
      </c>
      <c r="W2860" s="26"/>
    </row>
    <row r="2861" spans="1:23" x14ac:dyDescent="0.25">
      <c r="A2861" s="26" t="str">
        <f t="shared" si="480"/>
        <v>PRIMARIA</v>
      </c>
      <c r="B2861" s="26" t="str">
        <f>"09PPR1370S"</f>
        <v>09PPR1370S</v>
      </c>
      <c r="C2861" s="26" t="str">
        <f>"JUAN RUIZ DE ALARCON                                                                                "</f>
        <v xml:space="preserve">JUAN RUIZ DE ALARCON                                                                                </v>
      </c>
      <c r="D2861" s="26" t="str">
        <f t="shared" si="486"/>
        <v>MATUTINO</v>
      </c>
      <c r="E2861" s="26" t="str">
        <f>"HORTENSIA NO. 16                                                                "</f>
        <v xml:space="preserve">HORTENSIA NO. 16                                                                </v>
      </c>
      <c r="F2861" s="26" t="str">
        <f>"LOS ANGELES                                                                                                                                 "</f>
        <v xml:space="preserve">LOS ANGELES                                                                                                                                 </v>
      </c>
      <c r="G2861" s="26" t="str">
        <f>"IZTAPALAPA                                                                      "</f>
        <v xml:space="preserve">IZTAPALAPA                                                                      </v>
      </c>
      <c r="H2861" s="26" t="str">
        <f>"000"</f>
        <v>000</v>
      </c>
      <c r="I2861" s="26" t="str">
        <f t="shared" si="481"/>
        <v>00</v>
      </c>
      <c r="J2861" s="26" t="str">
        <f>"63 "</f>
        <v xml:space="preserve">63 </v>
      </c>
      <c r="K2861" s="26" t="str">
        <f>"IZ"</f>
        <v>IZ</v>
      </c>
      <c r="L2861" s="26" t="str">
        <f>"DGSEI"</f>
        <v>DGSEI</v>
      </c>
      <c r="M2861" s="26" t="str">
        <f t="shared" si="482"/>
        <v>PARTICULAR</v>
      </c>
      <c r="N2861" s="26">
        <v>90</v>
      </c>
      <c r="O2861" s="26">
        <v>42</v>
      </c>
      <c r="P2861" s="26">
        <v>48</v>
      </c>
      <c r="Q2861" s="26">
        <v>6</v>
      </c>
      <c r="R2861" s="26">
        <v>1</v>
      </c>
      <c r="S2861" s="26">
        <v>6</v>
      </c>
      <c r="T2861" s="26">
        <v>4</v>
      </c>
      <c r="U2861" s="26">
        <v>11</v>
      </c>
      <c r="V2861" s="26">
        <v>1</v>
      </c>
      <c r="W2861" s="26"/>
    </row>
    <row r="2862" spans="1:23" x14ac:dyDescent="0.25">
      <c r="A2862" s="26" t="str">
        <f t="shared" si="480"/>
        <v>PRIMARIA</v>
      </c>
      <c r="B2862" s="26" t="str">
        <f>"09PPR1371R"</f>
        <v>09PPR1371R</v>
      </c>
      <c r="C2862" s="26" t="str">
        <f>"CENTRO EDUCATIVO ALAMOS                                                                             "</f>
        <v xml:space="preserve">CENTRO EDUCATIVO ALAMOS                                                                             </v>
      </c>
      <c r="D2862" s="26" t="str">
        <f t="shared" si="486"/>
        <v>MATUTINO</v>
      </c>
      <c r="E2862" s="26" t="str">
        <f>"PONIENTE 152 - WILFRIDO MASSIEU 280                                             "</f>
        <v xml:space="preserve">PONIENTE 152 - WILFRIDO MASSIEU 280                                             </v>
      </c>
      <c r="F2862" s="26" t="str">
        <f>"SAN BARTOLO ATEPEHUACAN                                                                                                                     "</f>
        <v xml:space="preserve">SAN BARTOLO ATEPEHUACAN                                                                                                                     </v>
      </c>
      <c r="G2862" s="26" t="str">
        <f>"GUSTAVO A. MADERO                                                               "</f>
        <v xml:space="preserve">GUSTAVO A. MADERO                                                               </v>
      </c>
      <c r="H2862" s="26" t="str">
        <f>"240"</f>
        <v>240</v>
      </c>
      <c r="I2862" s="26" t="str">
        <f t="shared" si="481"/>
        <v>00</v>
      </c>
      <c r="J2862" s="26" t="str">
        <f>"42 "</f>
        <v xml:space="preserve">42 </v>
      </c>
      <c r="K2862" s="26" t="str">
        <f t="shared" ref="K2862:K2868" si="489">"PR"</f>
        <v>PR</v>
      </c>
      <c r="L2862" s="26" t="str">
        <f t="shared" ref="L2862:L2868" si="490">"DGOSE"</f>
        <v>DGOSE</v>
      </c>
      <c r="M2862" s="26" t="str">
        <f t="shared" si="482"/>
        <v>PARTICULAR</v>
      </c>
      <c r="N2862" s="26">
        <v>104</v>
      </c>
      <c r="O2862" s="26">
        <v>49</v>
      </c>
      <c r="P2862" s="26">
        <v>55</v>
      </c>
      <c r="Q2862" s="26">
        <v>6</v>
      </c>
      <c r="R2862" s="26">
        <v>1</v>
      </c>
      <c r="S2862" s="26">
        <v>5</v>
      </c>
      <c r="T2862" s="26">
        <v>6</v>
      </c>
      <c r="U2862" s="26">
        <v>12</v>
      </c>
      <c r="V2862" s="26">
        <v>1</v>
      </c>
      <c r="W2862" s="26"/>
    </row>
    <row r="2863" spans="1:23" x14ac:dyDescent="0.25">
      <c r="A2863" s="26" t="str">
        <f t="shared" si="480"/>
        <v>PRIMARIA</v>
      </c>
      <c r="B2863" s="26" t="str">
        <f>"09PPR1373P"</f>
        <v>09PPR1373P</v>
      </c>
      <c r="C2863" s="26" t="str">
        <f>"ESCUELA DIDACTICA MAGNA                                                                             "</f>
        <v xml:space="preserve">ESCUELA DIDACTICA MAGNA                                                                             </v>
      </c>
      <c r="D2863" s="26" t="str">
        <f t="shared" si="486"/>
        <v>MATUTINO</v>
      </c>
      <c r="E2863" s="26" t="str">
        <f>"ROBERTO ESQUERRA PEAZA L-13A M-18                                               "</f>
        <v xml:space="preserve">ROBERTO ESQUERRA PEAZA L-13A M-18                                               </v>
      </c>
      <c r="F2863" s="26" t="str">
        <f>"PALMATITLA                                                                                                                                  "</f>
        <v xml:space="preserve">PALMATITLA                                                                                                                                  </v>
      </c>
      <c r="G2863" s="26" t="str">
        <f>"GUSTAVO A. MADERO                                                               "</f>
        <v xml:space="preserve">GUSTAVO A. MADERO                                                               </v>
      </c>
      <c r="H2863" s="26" t="str">
        <f>"229"</f>
        <v>229</v>
      </c>
      <c r="I2863" s="26" t="str">
        <f t="shared" si="481"/>
        <v>00</v>
      </c>
      <c r="J2863" s="26" t="str">
        <f>"42 "</f>
        <v xml:space="preserve">42 </v>
      </c>
      <c r="K2863" s="26" t="str">
        <f t="shared" si="489"/>
        <v>PR</v>
      </c>
      <c r="L2863" s="26" t="str">
        <f t="shared" si="490"/>
        <v>DGOSE</v>
      </c>
      <c r="M2863" s="26" t="str">
        <f t="shared" si="482"/>
        <v>PARTICULAR</v>
      </c>
      <c r="N2863" s="26">
        <v>107</v>
      </c>
      <c r="O2863" s="26">
        <v>57</v>
      </c>
      <c r="P2863" s="26">
        <v>50</v>
      </c>
      <c r="Q2863" s="26">
        <v>6</v>
      </c>
      <c r="R2863" s="26">
        <v>1</v>
      </c>
      <c r="S2863" s="26">
        <v>3</v>
      </c>
      <c r="T2863" s="26">
        <v>6</v>
      </c>
      <c r="U2863" s="26">
        <v>10</v>
      </c>
      <c r="V2863" s="26">
        <v>1</v>
      </c>
      <c r="W2863" s="26"/>
    </row>
    <row r="2864" spans="1:23" x14ac:dyDescent="0.25">
      <c r="A2864" s="26" t="str">
        <f t="shared" si="480"/>
        <v>PRIMARIA</v>
      </c>
      <c r="B2864" s="26" t="str">
        <f>"09PPR1377L"</f>
        <v>09PPR1377L</v>
      </c>
      <c r="C2864" s="26" t="str">
        <f>"COLEGIO ANGLO DE AMERICA                                                                            "</f>
        <v xml:space="preserve">COLEGIO ANGLO DE AMERICA                                                                            </v>
      </c>
      <c r="D2864" s="26" t="str">
        <f t="shared" si="486"/>
        <v>MATUTINO</v>
      </c>
      <c r="E2864" s="26" t="str">
        <f>"CALLE SAN MIGUEL CHALMA MZ 57 LT11                                              "</f>
        <v xml:space="preserve">CALLE SAN MIGUEL CHALMA MZ 57 LT11                                              </v>
      </c>
      <c r="F2864" s="26" t="str">
        <f>"CHALMA DE GUADALUPE                                                                                                                         "</f>
        <v xml:space="preserve">CHALMA DE GUADALUPE                                                                                                                         </v>
      </c>
      <c r="G2864" s="26" t="str">
        <f>"GUSTAVO A. MADERO                                                               "</f>
        <v xml:space="preserve">GUSTAVO A. MADERO                                                               </v>
      </c>
      <c r="H2864" s="26" t="str">
        <f>"232"</f>
        <v>232</v>
      </c>
      <c r="I2864" s="26" t="str">
        <f t="shared" si="481"/>
        <v>00</v>
      </c>
      <c r="J2864" s="26" t="str">
        <f>"42 "</f>
        <v xml:space="preserve">42 </v>
      </c>
      <c r="K2864" s="26" t="str">
        <f t="shared" si="489"/>
        <v>PR</v>
      </c>
      <c r="L2864" s="26" t="str">
        <f t="shared" si="490"/>
        <v>DGOSE</v>
      </c>
      <c r="M2864" s="26" t="str">
        <f t="shared" si="482"/>
        <v>PARTICULAR</v>
      </c>
      <c r="N2864" s="26">
        <v>41</v>
      </c>
      <c r="O2864" s="26">
        <v>22</v>
      </c>
      <c r="P2864" s="26">
        <v>19</v>
      </c>
      <c r="Q2864" s="26">
        <v>6</v>
      </c>
      <c r="R2864" s="26">
        <v>1</v>
      </c>
      <c r="S2864" s="26">
        <v>2</v>
      </c>
      <c r="T2864" s="26">
        <v>7</v>
      </c>
      <c r="U2864" s="26">
        <v>10</v>
      </c>
      <c r="V2864" s="26">
        <v>1</v>
      </c>
      <c r="W2864" s="26"/>
    </row>
    <row r="2865" spans="1:23" x14ac:dyDescent="0.25">
      <c r="A2865" s="26" t="str">
        <f t="shared" si="480"/>
        <v>PRIMARIA</v>
      </c>
      <c r="B2865" s="26" t="str">
        <f>"09PPR1379J"</f>
        <v>09PPR1379J</v>
      </c>
      <c r="C2865" s="26" t="str">
        <f>"COLEGIO ALFRED BERNHARD NOBEL                                                                       "</f>
        <v xml:space="preserve">COLEGIO ALFRED BERNHARD NOBEL                                                                       </v>
      </c>
      <c r="D2865" s="26" t="str">
        <f t="shared" si="486"/>
        <v>MATUTINO</v>
      </c>
      <c r="E2865" s="26" t="str">
        <f>"AV 611 NO 139                                                                   "</f>
        <v xml:space="preserve">AV 611 NO 139                                                                   </v>
      </c>
      <c r="F2865" s="26" t="str">
        <f>"SAN JUAN DE ARAGON                                                                                                                          "</f>
        <v xml:space="preserve">SAN JUAN DE ARAGON                                                                                                                          </v>
      </c>
      <c r="G2865" s="26" t="str">
        <f>"GUSTAVO A. MADERO                                                               "</f>
        <v xml:space="preserve">GUSTAVO A. MADERO                                                               </v>
      </c>
      <c r="H2865" s="26" t="str">
        <f>"271"</f>
        <v>271</v>
      </c>
      <c r="I2865" s="26" t="str">
        <f t="shared" si="481"/>
        <v>00</v>
      </c>
      <c r="J2865" s="26" t="str">
        <f>"42 "</f>
        <v xml:space="preserve">42 </v>
      </c>
      <c r="K2865" s="26" t="str">
        <f t="shared" si="489"/>
        <v>PR</v>
      </c>
      <c r="L2865" s="26" t="str">
        <f t="shared" si="490"/>
        <v>DGOSE</v>
      </c>
      <c r="M2865" s="26" t="str">
        <f t="shared" si="482"/>
        <v>PARTICULAR</v>
      </c>
      <c r="N2865" s="26">
        <v>32</v>
      </c>
      <c r="O2865" s="26">
        <v>16</v>
      </c>
      <c r="P2865" s="26">
        <v>16</v>
      </c>
      <c r="Q2865" s="26">
        <v>6</v>
      </c>
      <c r="R2865" s="26">
        <v>1</v>
      </c>
      <c r="S2865" s="26">
        <v>3</v>
      </c>
      <c r="T2865" s="26">
        <v>6</v>
      </c>
      <c r="U2865" s="26">
        <v>10</v>
      </c>
      <c r="V2865" s="26">
        <v>1</v>
      </c>
      <c r="W2865" s="26"/>
    </row>
    <row r="2866" spans="1:23" x14ac:dyDescent="0.25">
      <c r="A2866" s="26" t="str">
        <f t="shared" si="480"/>
        <v>PRIMARIA</v>
      </c>
      <c r="B2866" s="26" t="str">
        <f>"09PPR1380Z"</f>
        <v>09PPR1380Z</v>
      </c>
      <c r="C2866" s="26" t="str">
        <f>"INSTITUTO MEXICANO PEDAGOGICO ESMERALDA                                                             "</f>
        <v xml:space="preserve">INSTITUTO MEXICANO PEDAGOGICO ESMERALDA                                                             </v>
      </c>
      <c r="D2866" s="26" t="str">
        <f t="shared" si="486"/>
        <v>MATUTINO</v>
      </c>
      <c r="E2866" s="26" t="str">
        <f>"CALLE NORTE 94 NO 8310                                                          "</f>
        <v xml:space="preserve">CALLE NORTE 94 NO 8310                                                          </v>
      </c>
      <c r="F2866" s="26" t="str">
        <f>"ESMERALDA                                                                                                                                   "</f>
        <v xml:space="preserve">ESMERALDA                                                                                                                                   </v>
      </c>
      <c r="G2866" s="26" t="str">
        <f>"GUSTAVO A. MADERO                                                               "</f>
        <v xml:space="preserve">GUSTAVO A. MADERO                                                               </v>
      </c>
      <c r="H2866" s="26" t="str">
        <f>"264"</f>
        <v>264</v>
      </c>
      <c r="I2866" s="26" t="str">
        <f t="shared" si="481"/>
        <v>00</v>
      </c>
      <c r="J2866" s="26" t="str">
        <f>"42 "</f>
        <v xml:space="preserve">42 </v>
      </c>
      <c r="K2866" s="26" t="str">
        <f t="shared" si="489"/>
        <v>PR</v>
      </c>
      <c r="L2866" s="26" t="str">
        <f t="shared" si="490"/>
        <v>DGOSE</v>
      </c>
      <c r="M2866" s="26" t="str">
        <f t="shared" si="482"/>
        <v>PARTICULAR</v>
      </c>
      <c r="N2866" s="26">
        <v>69</v>
      </c>
      <c r="O2866" s="26">
        <v>37</v>
      </c>
      <c r="P2866" s="26">
        <v>32</v>
      </c>
      <c r="Q2866" s="26">
        <v>6</v>
      </c>
      <c r="R2866" s="26">
        <v>1</v>
      </c>
      <c r="S2866" s="26">
        <v>6</v>
      </c>
      <c r="T2866" s="26">
        <v>6</v>
      </c>
      <c r="U2866" s="26">
        <v>13</v>
      </c>
      <c r="V2866" s="26">
        <v>1</v>
      </c>
      <c r="W2866" s="26"/>
    </row>
    <row r="2867" spans="1:23" x14ac:dyDescent="0.25">
      <c r="A2867" s="26" t="str">
        <f t="shared" si="480"/>
        <v>PRIMARIA</v>
      </c>
      <c r="B2867" s="26" t="str">
        <f>"09PPR1381Y"</f>
        <v>09PPR1381Y</v>
      </c>
      <c r="C2867" s="26" t="str">
        <f>"INSTITUTO CONTINENTAL LEXINGTON                                                                     "</f>
        <v xml:space="preserve">INSTITUTO CONTINENTAL LEXINGTON                                                                     </v>
      </c>
      <c r="D2867" s="26" t="str">
        <f t="shared" si="486"/>
        <v>MATUTINO</v>
      </c>
      <c r="E2867" s="26" t="str">
        <f>"HACIENDA SAN NICOLAS TOLENTINO NUM.13                                           "</f>
        <v xml:space="preserve">HACIENDA SAN NICOLAS TOLENTINO NUM.13                                           </v>
      </c>
      <c r="F2867" s="26" t="str">
        <f>"ARBOLEDAS DEL SUR                                                                                                                           "</f>
        <v xml:space="preserve">ARBOLEDAS DEL SUR                                                                                                                           </v>
      </c>
      <c r="G2867" s="26" t="str">
        <f>"TLALPAN                                                                         "</f>
        <v xml:space="preserve">TLALPAN                                                                         </v>
      </c>
      <c r="H2867" s="26" t="str">
        <f>"524"</f>
        <v>524</v>
      </c>
      <c r="I2867" s="26" t="str">
        <f t="shared" si="481"/>
        <v>00</v>
      </c>
      <c r="J2867" s="26" t="str">
        <f>"45 "</f>
        <v xml:space="preserve">45 </v>
      </c>
      <c r="K2867" s="26" t="str">
        <f t="shared" si="489"/>
        <v>PR</v>
      </c>
      <c r="L2867" s="26" t="str">
        <f t="shared" si="490"/>
        <v>DGOSE</v>
      </c>
      <c r="M2867" s="26" t="str">
        <f t="shared" si="482"/>
        <v>PARTICULAR</v>
      </c>
      <c r="N2867" s="26">
        <v>45</v>
      </c>
      <c r="O2867" s="26">
        <v>23</v>
      </c>
      <c r="P2867" s="26">
        <v>22</v>
      </c>
      <c r="Q2867" s="26">
        <v>6</v>
      </c>
      <c r="R2867" s="26">
        <v>1</v>
      </c>
      <c r="S2867" s="26">
        <v>4</v>
      </c>
      <c r="T2867" s="26">
        <v>8</v>
      </c>
      <c r="U2867" s="26">
        <v>13</v>
      </c>
      <c r="V2867" s="26">
        <v>1</v>
      </c>
      <c r="W2867" s="26"/>
    </row>
    <row r="2868" spans="1:23" x14ac:dyDescent="0.25">
      <c r="A2868" s="26" t="str">
        <f t="shared" si="480"/>
        <v>PRIMARIA</v>
      </c>
      <c r="B2868" s="26" t="str">
        <f>"09PPR1382X"</f>
        <v>09PPR1382X</v>
      </c>
      <c r="C2868" s="26" t="str">
        <f>"THE CHURCHILL SCHOOL                                                                                "</f>
        <v xml:space="preserve">THE CHURCHILL SCHOOL                                                                                </v>
      </c>
      <c r="D2868" s="26" t="str">
        <f t="shared" si="486"/>
        <v>MATUTINO</v>
      </c>
      <c r="E2868" s="26" t="str">
        <f>"FELIPE VILLANUEVA NUM 44 Y 52                                                   "</f>
        <v xml:space="preserve">FELIPE VILLANUEVA NUM 44 Y 52                                                   </v>
      </c>
      <c r="F2868" s="26" t="str">
        <f>"GUADALUPE INN                                                                                                                               "</f>
        <v xml:space="preserve">GUADALUPE INN                                                                                                                               </v>
      </c>
      <c r="G2868" s="26" t="str">
        <f>"ALVARO OBREGON                                                                  "</f>
        <v xml:space="preserve">ALVARO OBREGON                                                                  </v>
      </c>
      <c r="H2868" s="26" t="str">
        <f>"320"</f>
        <v>320</v>
      </c>
      <c r="I2868" s="26" t="str">
        <f t="shared" si="481"/>
        <v>00</v>
      </c>
      <c r="J2868" s="26" t="str">
        <f>"43 "</f>
        <v xml:space="preserve">43 </v>
      </c>
      <c r="K2868" s="26" t="str">
        <f t="shared" si="489"/>
        <v>PR</v>
      </c>
      <c r="L2868" s="26" t="str">
        <f t="shared" si="490"/>
        <v>DGOSE</v>
      </c>
      <c r="M2868" s="26" t="str">
        <f t="shared" si="482"/>
        <v>PARTICULAR</v>
      </c>
      <c r="N2868" s="26">
        <v>460</v>
      </c>
      <c r="O2868" s="26">
        <v>226</v>
      </c>
      <c r="P2868" s="26">
        <v>234</v>
      </c>
      <c r="Q2868" s="26">
        <v>18</v>
      </c>
      <c r="R2868" s="26">
        <v>1</v>
      </c>
      <c r="S2868" s="26">
        <v>9</v>
      </c>
      <c r="T2868" s="26">
        <v>27</v>
      </c>
      <c r="U2868" s="26">
        <v>37</v>
      </c>
      <c r="V2868" s="26">
        <v>1</v>
      </c>
      <c r="W2868" s="26"/>
    </row>
    <row r="2869" spans="1:23" x14ac:dyDescent="0.25">
      <c r="A2869" s="26" t="str">
        <f t="shared" si="480"/>
        <v>PRIMARIA</v>
      </c>
      <c r="B2869" s="26" t="str">
        <f>"09PPR1384V"</f>
        <v>09PPR1384V</v>
      </c>
      <c r="C2869" s="26" t="str">
        <f>"COLEGIO DE ORIENTE                                                                                  "</f>
        <v xml:space="preserve">COLEGIO DE ORIENTE                                                                                  </v>
      </c>
      <c r="D2869" s="26" t="str">
        <f t="shared" si="486"/>
        <v>MATUTINO</v>
      </c>
      <c r="E2869" s="26" t="str">
        <f>"11 DE AGOSTO DE 1859 NO 1579                                                    "</f>
        <v xml:space="preserve">11 DE AGOSTO DE 1859 NO 1579                                                    </v>
      </c>
      <c r="F2869" s="26" t="str">
        <f>"LEYES DE REFORMA                                                                                                                            "</f>
        <v xml:space="preserve">LEYES DE REFORMA                                                                                                                            </v>
      </c>
      <c r="G2869" s="26" t="str">
        <f>"IZTAPALAPA                                                                      "</f>
        <v xml:space="preserve">IZTAPALAPA                                                                      </v>
      </c>
      <c r="H2869" s="26" t="str">
        <f>"000"</f>
        <v>000</v>
      </c>
      <c r="I2869" s="26" t="str">
        <f t="shared" si="481"/>
        <v>00</v>
      </c>
      <c r="J2869" s="26" t="str">
        <f>"61 "</f>
        <v xml:space="preserve">61 </v>
      </c>
      <c r="K2869" s="26" t="str">
        <f>"IZ"</f>
        <v>IZ</v>
      </c>
      <c r="L2869" s="26" t="str">
        <f>"DGSEI"</f>
        <v>DGSEI</v>
      </c>
      <c r="M2869" s="26" t="str">
        <f t="shared" si="482"/>
        <v>PARTICULAR</v>
      </c>
      <c r="N2869" s="26">
        <v>234</v>
      </c>
      <c r="O2869" s="26">
        <v>115</v>
      </c>
      <c r="P2869" s="26">
        <v>119</v>
      </c>
      <c r="Q2869" s="26">
        <v>11</v>
      </c>
      <c r="R2869" s="26">
        <v>1</v>
      </c>
      <c r="S2869" s="26">
        <v>11</v>
      </c>
      <c r="T2869" s="26">
        <v>22</v>
      </c>
      <c r="U2869" s="26">
        <v>34</v>
      </c>
      <c r="V2869" s="26">
        <v>1</v>
      </c>
      <c r="W2869" s="26"/>
    </row>
    <row r="2870" spans="1:23" x14ac:dyDescent="0.25">
      <c r="A2870" s="26" t="str">
        <f t="shared" si="480"/>
        <v>PRIMARIA</v>
      </c>
      <c r="B2870" s="26" t="str">
        <f>"09PPR1385U"</f>
        <v>09PPR1385U</v>
      </c>
      <c r="C2870" s="26" t="str">
        <f>"CENTRO EDUCATIVO YACATIA                                                                            "</f>
        <v xml:space="preserve">CENTRO EDUCATIVO YACATIA                                                                            </v>
      </c>
      <c r="D2870" s="26" t="str">
        <f t="shared" si="486"/>
        <v>MATUTINO</v>
      </c>
      <c r="E2870" s="26" t="str">
        <f>"COQUIMBO NO 804                                                                 "</f>
        <v xml:space="preserve">COQUIMBO NO 804                                                                 </v>
      </c>
      <c r="F2870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2870" s="26" t="str">
        <f>"GUSTAVO A. MADERO                                                               "</f>
        <v xml:space="preserve">GUSTAVO A. MADERO                                                               </v>
      </c>
      <c r="H2870" s="26" t="str">
        <f>"243"</f>
        <v>243</v>
      </c>
      <c r="I2870" s="26" t="str">
        <f t="shared" si="481"/>
        <v>00</v>
      </c>
      <c r="J2870" s="26" t="str">
        <f>"42 "</f>
        <v xml:space="preserve">42 </v>
      </c>
      <c r="K2870" s="26" t="str">
        <f t="shared" ref="K2870:K2891" si="491">"PR"</f>
        <v>PR</v>
      </c>
      <c r="L2870" s="26" t="str">
        <f t="shared" ref="L2870:L2891" si="492">"DGOSE"</f>
        <v>DGOSE</v>
      </c>
      <c r="M2870" s="26" t="str">
        <f t="shared" si="482"/>
        <v>PARTICULAR</v>
      </c>
      <c r="N2870" s="26">
        <v>219</v>
      </c>
      <c r="O2870" s="26">
        <v>111</v>
      </c>
      <c r="P2870" s="26">
        <v>108</v>
      </c>
      <c r="Q2870" s="26">
        <v>12</v>
      </c>
      <c r="R2870" s="26">
        <v>1</v>
      </c>
      <c r="S2870" s="26">
        <v>5</v>
      </c>
      <c r="T2870" s="26">
        <v>11</v>
      </c>
      <c r="U2870" s="26">
        <v>17</v>
      </c>
      <c r="V2870" s="26">
        <v>1</v>
      </c>
      <c r="W2870" s="26"/>
    </row>
    <row r="2871" spans="1:23" x14ac:dyDescent="0.25">
      <c r="A2871" s="26" t="str">
        <f t="shared" si="480"/>
        <v>PRIMARIA</v>
      </c>
      <c r="B2871" s="26" t="str">
        <f>"09PPR1390F"</f>
        <v>09PPR1390F</v>
      </c>
      <c r="C2871" s="26" t="str">
        <f>"JUAN DE LA BARRERA                                                                                  "</f>
        <v xml:space="preserve">JUAN DE LA BARRERA                                                                                  </v>
      </c>
      <c r="D2871" s="26" t="str">
        <f t="shared" si="486"/>
        <v>MATUTINO</v>
      </c>
      <c r="E2871" s="26" t="str">
        <f>"LIRAS NO 51                                                                     "</f>
        <v xml:space="preserve">LIRAS NO 51                                                                     </v>
      </c>
      <c r="F2871" s="26" t="str">
        <f>"SIMON BOLIVAR                                                                                                                               "</f>
        <v xml:space="preserve">SIMON BOLIVAR                                                                                                                               </v>
      </c>
      <c r="G2871" s="26" t="str">
        <f>"VENUSTIANO CARRANZA                                                             "</f>
        <v xml:space="preserve">VENUSTIANO CARRANZA                                                             </v>
      </c>
      <c r="H2871" s="26" t="str">
        <f>"345"</f>
        <v>345</v>
      </c>
      <c r="I2871" s="26" t="str">
        <f t="shared" si="481"/>
        <v>00</v>
      </c>
      <c r="J2871" s="26" t="str">
        <f>"43 "</f>
        <v xml:space="preserve">43 </v>
      </c>
      <c r="K2871" s="26" t="str">
        <f t="shared" si="491"/>
        <v>PR</v>
      </c>
      <c r="L2871" s="26" t="str">
        <f t="shared" si="492"/>
        <v>DGOSE</v>
      </c>
      <c r="M2871" s="26" t="str">
        <f t="shared" si="482"/>
        <v>PARTICULAR</v>
      </c>
      <c r="N2871" s="26">
        <v>39</v>
      </c>
      <c r="O2871" s="26">
        <v>21</v>
      </c>
      <c r="P2871" s="26">
        <v>18</v>
      </c>
      <c r="Q2871" s="26">
        <v>6</v>
      </c>
      <c r="R2871" s="26">
        <v>0</v>
      </c>
      <c r="S2871" s="26">
        <v>6</v>
      </c>
      <c r="T2871" s="26">
        <v>5</v>
      </c>
      <c r="U2871" s="26">
        <v>11</v>
      </c>
      <c r="V2871" s="26">
        <v>1</v>
      </c>
      <c r="W2871" s="26"/>
    </row>
    <row r="2872" spans="1:23" x14ac:dyDescent="0.25">
      <c r="A2872" s="26" t="str">
        <f t="shared" si="480"/>
        <v>PRIMARIA</v>
      </c>
      <c r="B2872" s="26" t="str">
        <f>"09PPR1393C"</f>
        <v>09PPR1393C</v>
      </c>
      <c r="C2872" s="26" t="str">
        <f>"INSTITUTO SIGLO XXI                                                                                 "</f>
        <v xml:space="preserve">INSTITUTO SIGLO XXI                                                                                 </v>
      </c>
      <c r="D2872" s="26" t="str">
        <f t="shared" si="486"/>
        <v>MATUTINO</v>
      </c>
      <c r="E2872" s="26" t="str">
        <f>"AVENIDA DEL ROSAL NUM 18                                                        "</f>
        <v xml:space="preserve">AVENIDA DEL ROSAL NUM 18                                                        </v>
      </c>
      <c r="F2872" s="26" t="str">
        <f>"PUEBLO NUEVO BAJO                                                                                                                           "</f>
        <v xml:space="preserve">PUEBLO NUEVO BAJO                                                                                                                           </v>
      </c>
      <c r="G2872" s="26" t="str">
        <f>"LA MAGDALENA CONTRERAS                                                          "</f>
        <v xml:space="preserve">LA MAGDALENA CONTRERAS                                                          </v>
      </c>
      <c r="H2872" s="26" t="str">
        <f>"336"</f>
        <v>336</v>
      </c>
      <c r="I2872" s="26" t="str">
        <f t="shared" si="481"/>
        <v>00</v>
      </c>
      <c r="J2872" s="26" t="str">
        <f>"43 "</f>
        <v xml:space="preserve">43 </v>
      </c>
      <c r="K2872" s="26" t="str">
        <f t="shared" si="491"/>
        <v>PR</v>
      </c>
      <c r="L2872" s="26" t="str">
        <f t="shared" si="492"/>
        <v>DGOSE</v>
      </c>
      <c r="M2872" s="26" t="str">
        <f t="shared" si="482"/>
        <v>PARTICULAR</v>
      </c>
      <c r="N2872" s="26">
        <v>117</v>
      </c>
      <c r="O2872" s="26">
        <v>64</v>
      </c>
      <c r="P2872" s="26">
        <v>53</v>
      </c>
      <c r="Q2872" s="26">
        <v>6</v>
      </c>
      <c r="R2872" s="26">
        <v>1</v>
      </c>
      <c r="S2872" s="26">
        <v>3</v>
      </c>
      <c r="T2872" s="26">
        <v>6</v>
      </c>
      <c r="U2872" s="26">
        <v>10</v>
      </c>
      <c r="V2872" s="26">
        <v>1</v>
      </c>
      <c r="W2872" s="26"/>
    </row>
    <row r="2873" spans="1:23" x14ac:dyDescent="0.25">
      <c r="A2873" s="26" t="str">
        <f t="shared" si="480"/>
        <v>PRIMARIA</v>
      </c>
      <c r="B2873" s="26" t="str">
        <f>"09PPR1394B"</f>
        <v>09PPR1394B</v>
      </c>
      <c r="C2873" s="26" t="str">
        <f>"CENTRO EDUCATIVO PAIDEIA                                                                            "</f>
        <v xml:space="preserve">CENTRO EDUCATIVO PAIDEIA                                                                            </v>
      </c>
      <c r="D2873" s="26" t="str">
        <f t="shared" si="486"/>
        <v>MATUTINO</v>
      </c>
      <c r="E2873" s="26" t="str">
        <f>"ALFONSO NO 148                                                                  "</f>
        <v xml:space="preserve">ALFONSO NO 148                                                                  </v>
      </c>
      <c r="F2873" s="26" t="str">
        <f>"ALAMOS                                                                                                                                      "</f>
        <v xml:space="preserve">ALAMOS                                                                                                                                      </v>
      </c>
      <c r="G2873" s="26" t="str">
        <f>"BENITO JUAREZ                                                                   "</f>
        <v xml:space="preserve">BENITO JUAREZ                                                                   </v>
      </c>
      <c r="H2873" s="26" t="str">
        <f>"000"</f>
        <v>000</v>
      </c>
      <c r="I2873" s="26" t="str">
        <f t="shared" si="481"/>
        <v>00</v>
      </c>
      <c r="J2873" s="26" t="str">
        <f>"43 "</f>
        <v xml:space="preserve">43 </v>
      </c>
      <c r="K2873" s="26" t="str">
        <f t="shared" si="491"/>
        <v>PR</v>
      </c>
      <c r="L2873" s="26" t="str">
        <f t="shared" si="492"/>
        <v>DGOSE</v>
      </c>
      <c r="M2873" s="26" t="str">
        <f t="shared" si="482"/>
        <v>PARTICULAR</v>
      </c>
      <c r="N2873" s="26">
        <v>46</v>
      </c>
      <c r="O2873" s="26">
        <v>28</v>
      </c>
      <c r="P2873" s="26">
        <v>18</v>
      </c>
      <c r="Q2873" s="26">
        <v>6</v>
      </c>
      <c r="R2873" s="26">
        <v>1</v>
      </c>
      <c r="S2873" s="26">
        <v>6</v>
      </c>
      <c r="T2873" s="26">
        <v>3</v>
      </c>
      <c r="U2873" s="26">
        <v>10</v>
      </c>
      <c r="V2873" s="26">
        <v>1</v>
      </c>
      <c r="W2873" s="26"/>
    </row>
    <row r="2874" spans="1:23" x14ac:dyDescent="0.25">
      <c r="A2874" s="26" t="str">
        <f t="shared" si="480"/>
        <v>PRIMARIA</v>
      </c>
      <c r="B2874" s="26" t="str">
        <f>"09PPR1395A"</f>
        <v>09PPR1395A</v>
      </c>
      <c r="C2874" s="26" t="str">
        <f>"TIYOLI                                                                                              "</f>
        <v xml:space="preserve">TIYOLI                                                                                              </v>
      </c>
      <c r="D2874" s="26" t="str">
        <f t="shared" si="486"/>
        <v>MATUTINO</v>
      </c>
      <c r="E2874" s="26" t="str">
        <f>"JOSE MARIA CASTORENA NUM 717                                                    "</f>
        <v xml:space="preserve">JOSE MARIA CASTORENA NUM 717                                                    </v>
      </c>
      <c r="F2874" s="26" t="str">
        <f>"EL MOLINO                                                                                                                                   "</f>
        <v xml:space="preserve">EL MOLINO                                                                                                                                   </v>
      </c>
      <c r="G2874" s="26" t="str">
        <f>"CUAJIMALPA DE MORELOS                                                           "</f>
        <v xml:space="preserve">CUAJIMALPA DE MORELOS                                                           </v>
      </c>
      <c r="H2874" s="26" t="str">
        <f>"301"</f>
        <v>301</v>
      </c>
      <c r="I2874" s="26" t="str">
        <f t="shared" si="481"/>
        <v>00</v>
      </c>
      <c r="J2874" s="26" t="str">
        <f>"43 "</f>
        <v xml:space="preserve">43 </v>
      </c>
      <c r="K2874" s="26" t="str">
        <f t="shared" si="491"/>
        <v>PR</v>
      </c>
      <c r="L2874" s="26" t="str">
        <f t="shared" si="492"/>
        <v>DGOSE</v>
      </c>
      <c r="M2874" s="26" t="str">
        <f t="shared" si="482"/>
        <v>PARTICULAR</v>
      </c>
      <c r="N2874" s="26">
        <v>207</v>
      </c>
      <c r="O2874" s="26">
        <v>98</v>
      </c>
      <c r="P2874" s="26">
        <v>109</v>
      </c>
      <c r="Q2874" s="26">
        <v>10</v>
      </c>
      <c r="R2874" s="26">
        <v>1</v>
      </c>
      <c r="S2874" s="26">
        <v>5</v>
      </c>
      <c r="T2874" s="26">
        <v>12</v>
      </c>
      <c r="U2874" s="26">
        <v>18</v>
      </c>
      <c r="V2874" s="26">
        <v>1</v>
      </c>
      <c r="W2874" s="26"/>
    </row>
    <row r="2875" spans="1:23" x14ac:dyDescent="0.25">
      <c r="A2875" s="26" t="str">
        <f t="shared" si="480"/>
        <v>PRIMARIA</v>
      </c>
      <c r="B2875" s="26" t="str">
        <f>"09PPR1397Z"</f>
        <v>09PPR1397Z</v>
      </c>
      <c r="C2875" s="26" t="str">
        <f>"COLEGIO NIÑOS DEL MUNDO                                                                             "</f>
        <v xml:space="preserve">COLEGIO NIÑOS DEL MUNDO                                                                             </v>
      </c>
      <c r="D2875" s="26" t="str">
        <f t="shared" si="486"/>
        <v>MATUTINO</v>
      </c>
      <c r="E2875" s="26" t="str">
        <f>"SASSO FERRATO NO 24-2                                                           "</f>
        <v xml:space="preserve">SASSO FERRATO NO 24-2                                                           </v>
      </c>
      <c r="F2875" s="26" t="str">
        <f>"ALFONSO XIII                                                                                                                                "</f>
        <v xml:space="preserve">ALFONSO XIII                                                                                                                                </v>
      </c>
      <c r="G2875" s="26" t="str">
        <f>"ALVARO OBREGON                                                                  "</f>
        <v xml:space="preserve">ALVARO OBREGON                                                                  </v>
      </c>
      <c r="H2875" s="26" t="str">
        <f>"313"</f>
        <v>313</v>
      </c>
      <c r="I2875" s="26" t="str">
        <f t="shared" si="481"/>
        <v>00</v>
      </c>
      <c r="J2875" s="26" t="str">
        <f>"43 "</f>
        <v xml:space="preserve">43 </v>
      </c>
      <c r="K2875" s="26" t="str">
        <f t="shared" si="491"/>
        <v>PR</v>
      </c>
      <c r="L2875" s="26" t="str">
        <f t="shared" si="492"/>
        <v>DGOSE</v>
      </c>
      <c r="M2875" s="26" t="str">
        <f t="shared" si="482"/>
        <v>PARTICULAR</v>
      </c>
      <c r="N2875" s="26">
        <v>41</v>
      </c>
      <c r="O2875" s="26">
        <v>23</v>
      </c>
      <c r="P2875" s="26">
        <v>18</v>
      </c>
      <c r="Q2875" s="26">
        <v>6</v>
      </c>
      <c r="R2875" s="26">
        <v>1</v>
      </c>
      <c r="S2875" s="26">
        <v>4</v>
      </c>
      <c r="T2875" s="26">
        <v>9</v>
      </c>
      <c r="U2875" s="26">
        <v>14</v>
      </c>
      <c r="V2875" s="26">
        <v>1</v>
      </c>
      <c r="W2875" s="26"/>
    </row>
    <row r="2876" spans="1:23" x14ac:dyDescent="0.25">
      <c r="A2876" s="26" t="str">
        <f t="shared" si="480"/>
        <v>PRIMARIA</v>
      </c>
      <c r="B2876" s="26" t="str">
        <f>"09PPR1398Y"</f>
        <v>09PPR1398Y</v>
      </c>
      <c r="C2876" s="26" t="str">
        <f>"MONTESSORI DE LA CONDESA                                                                            "</f>
        <v xml:space="preserve">MONTESSORI DE LA CONDESA                                                                            </v>
      </c>
      <c r="D2876" s="26" t="str">
        <f t="shared" si="486"/>
        <v>MATUTINO</v>
      </c>
      <c r="E2876" s="26" t="str">
        <f>"AGUASCALIENTES 190                                                              "</f>
        <v xml:space="preserve">AGUASCALIENTES 190                                                              </v>
      </c>
      <c r="F2876" s="26" t="str">
        <f>"HIPODROMO DE LA CONDESA                                                                                                                     "</f>
        <v xml:space="preserve">HIPODROMO DE LA CONDESA                                                                                                                     </v>
      </c>
      <c r="G2876" s="26" t="str">
        <f>"CUAUHTEMOC                                                                      "</f>
        <v xml:space="preserve">CUAUHTEMOC                                                                      </v>
      </c>
      <c r="H2876" s="26" t="str">
        <f>"221"</f>
        <v>221</v>
      </c>
      <c r="I2876" s="26" t="str">
        <f t="shared" si="481"/>
        <v>00</v>
      </c>
      <c r="J2876" s="26" t="str">
        <f>"42 "</f>
        <v xml:space="preserve">42 </v>
      </c>
      <c r="K2876" s="26" t="str">
        <f t="shared" si="491"/>
        <v>PR</v>
      </c>
      <c r="L2876" s="26" t="str">
        <f t="shared" si="492"/>
        <v>DGOSE</v>
      </c>
      <c r="M2876" s="26" t="str">
        <f t="shared" si="482"/>
        <v>PARTICULAR</v>
      </c>
      <c r="N2876" s="26">
        <v>111</v>
      </c>
      <c r="O2876" s="26">
        <v>52</v>
      </c>
      <c r="P2876" s="26">
        <v>59</v>
      </c>
      <c r="Q2876" s="26">
        <v>6</v>
      </c>
      <c r="R2876" s="26">
        <v>1</v>
      </c>
      <c r="S2876" s="26">
        <v>4</v>
      </c>
      <c r="T2876" s="26">
        <v>11</v>
      </c>
      <c r="U2876" s="26">
        <v>16</v>
      </c>
      <c r="V2876" s="26">
        <v>1</v>
      </c>
      <c r="W2876" s="26"/>
    </row>
    <row r="2877" spans="1:23" x14ac:dyDescent="0.25">
      <c r="A2877" s="26" t="str">
        <f t="shared" si="480"/>
        <v>PRIMARIA</v>
      </c>
      <c r="B2877" s="26" t="str">
        <f>"09PPR1399X"</f>
        <v>09PPR1399X</v>
      </c>
      <c r="C2877" s="26" t="str">
        <f>"COLEGIO MANNING                                                                                     "</f>
        <v xml:space="preserve">COLEGIO MANNING                                                                                     </v>
      </c>
      <c r="D2877" s="26" t="str">
        <f t="shared" si="486"/>
        <v>MATUTINO</v>
      </c>
      <c r="E2877" s="26" t="str">
        <f>"HIDALGO NO 8                                                                    "</f>
        <v xml:space="preserve">HIDALGO NO 8                                                                    </v>
      </c>
      <c r="F2877" s="26" t="str">
        <f>"SANTA URSULA COAPA                                                                                                                          "</f>
        <v xml:space="preserve">SANTA URSULA COAPA                                                                                                                          </v>
      </c>
      <c r="G2877" s="26" t="str">
        <f>"COYOACAN                                                                        "</f>
        <v xml:space="preserve">COYOACAN                                                                        </v>
      </c>
      <c r="H2877" s="26" t="str">
        <f>"507"</f>
        <v>507</v>
      </c>
      <c r="I2877" s="26" t="str">
        <f t="shared" si="481"/>
        <v>00</v>
      </c>
      <c r="J2877" s="26" t="str">
        <f t="shared" ref="J2877:J2885" si="493">"45 "</f>
        <v xml:space="preserve">45 </v>
      </c>
      <c r="K2877" s="26" t="str">
        <f t="shared" si="491"/>
        <v>PR</v>
      </c>
      <c r="L2877" s="26" t="str">
        <f t="shared" si="492"/>
        <v>DGOSE</v>
      </c>
      <c r="M2877" s="26" t="str">
        <f t="shared" si="482"/>
        <v>PARTICULAR</v>
      </c>
      <c r="N2877" s="26">
        <v>42</v>
      </c>
      <c r="O2877" s="26">
        <v>16</v>
      </c>
      <c r="P2877" s="26">
        <v>26</v>
      </c>
      <c r="Q2877" s="26">
        <v>6</v>
      </c>
      <c r="R2877" s="26">
        <v>1</v>
      </c>
      <c r="S2877" s="26">
        <v>6</v>
      </c>
      <c r="T2877" s="26">
        <v>3</v>
      </c>
      <c r="U2877" s="26">
        <v>10</v>
      </c>
      <c r="V2877" s="26">
        <v>1</v>
      </c>
      <c r="W2877" s="26"/>
    </row>
    <row r="2878" spans="1:23" x14ac:dyDescent="0.25">
      <c r="A2878" s="26" t="str">
        <f t="shared" si="480"/>
        <v>PRIMARIA</v>
      </c>
      <c r="B2878" s="26" t="str">
        <f>"09PPR1401V"</f>
        <v>09PPR1401V</v>
      </c>
      <c r="C2878" s="26" t="str">
        <f>"WHARTON                                                                                             "</f>
        <v xml:space="preserve">WHARTON                                                                                             </v>
      </c>
      <c r="D2878" s="26" t="str">
        <f t="shared" si="486"/>
        <v>MATUTINO</v>
      </c>
      <c r="E2878" s="26" t="str">
        <f>"CALZ DEL HUESO NO 930                                                           "</f>
        <v xml:space="preserve">CALZ DEL HUESO NO 930                                                           </v>
      </c>
      <c r="F2878" s="26" t="str">
        <f>"EL  MIRADOR                                                                                                                                 "</f>
        <v xml:space="preserve">EL  MIRADOR                                                                                                                                 </v>
      </c>
      <c r="G2878" s="26" t="str">
        <f>"COYOACAN                                                                        "</f>
        <v xml:space="preserve">COYOACAN                                                                        </v>
      </c>
      <c r="H2878" s="26" t="str">
        <f>"510"</f>
        <v>510</v>
      </c>
      <c r="I2878" s="26" t="str">
        <f t="shared" si="481"/>
        <v>00</v>
      </c>
      <c r="J2878" s="26" t="str">
        <f t="shared" si="493"/>
        <v xml:space="preserve">45 </v>
      </c>
      <c r="K2878" s="26" t="str">
        <f t="shared" si="491"/>
        <v>PR</v>
      </c>
      <c r="L2878" s="26" t="str">
        <f t="shared" si="492"/>
        <v>DGOSE</v>
      </c>
      <c r="M2878" s="26" t="str">
        <f t="shared" si="482"/>
        <v>PARTICULAR</v>
      </c>
      <c r="N2878" s="26">
        <v>55</v>
      </c>
      <c r="O2878" s="26">
        <v>34</v>
      </c>
      <c r="P2878" s="26">
        <v>21</v>
      </c>
      <c r="Q2878" s="26">
        <v>6</v>
      </c>
      <c r="R2878" s="26">
        <v>1</v>
      </c>
      <c r="S2878" s="26">
        <v>3</v>
      </c>
      <c r="T2878" s="26">
        <v>7</v>
      </c>
      <c r="U2878" s="26">
        <v>11</v>
      </c>
      <c r="V2878" s="26">
        <v>1</v>
      </c>
      <c r="W2878" s="26"/>
    </row>
    <row r="2879" spans="1:23" x14ac:dyDescent="0.25">
      <c r="A2879" s="26" t="str">
        <f t="shared" si="480"/>
        <v>PRIMARIA</v>
      </c>
      <c r="B2879" s="26" t="str">
        <f>"09PPR1402U"</f>
        <v>09PPR1402U</v>
      </c>
      <c r="C2879" s="26" t="str">
        <f>"LICEO HIRONDELLE                                                                                    "</f>
        <v xml:space="preserve">LICEO HIRONDELLE                                                                                    </v>
      </c>
      <c r="D2879" s="26" t="str">
        <f t="shared" si="486"/>
        <v>MATUTINO</v>
      </c>
      <c r="E2879" s="26" t="str">
        <f>"AMERICA 95                                                                      "</f>
        <v xml:space="preserve">AMERICA 95                                                                      </v>
      </c>
      <c r="F2879" s="26" t="str">
        <f>"PARQUE SAN ANDRES                                                                                                                           "</f>
        <v xml:space="preserve">PARQUE SAN ANDRES                                                                                                                           </v>
      </c>
      <c r="G2879" s="26" t="str">
        <f>"COYOACAN                                                                        "</f>
        <v xml:space="preserve">COYOACAN                                                                        </v>
      </c>
      <c r="H2879" s="26" t="str">
        <f>"500"</f>
        <v>500</v>
      </c>
      <c r="I2879" s="26" t="str">
        <f t="shared" si="481"/>
        <v>00</v>
      </c>
      <c r="J2879" s="26" t="str">
        <f t="shared" si="493"/>
        <v xml:space="preserve">45 </v>
      </c>
      <c r="K2879" s="26" t="str">
        <f t="shared" si="491"/>
        <v>PR</v>
      </c>
      <c r="L2879" s="26" t="str">
        <f t="shared" si="492"/>
        <v>DGOSE</v>
      </c>
      <c r="M2879" s="26" t="str">
        <f t="shared" si="482"/>
        <v>PARTICULAR</v>
      </c>
      <c r="N2879" s="26">
        <v>94</v>
      </c>
      <c r="O2879" s="26">
        <v>53</v>
      </c>
      <c r="P2879" s="26">
        <v>41</v>
      </c>
      <c r="Q2879" s="26">
        <v>6</v>
      </c>
      <c r="R2879" s="26">
        <v>1</v>
      </c>
      <c r="S2879" s="26">
        <v>3</v>
      </c>
      <c r="T2879" s="26">
        <v>8</v>
      </c>
      <c r="U2879" s="26">
        <v>12</v>
      </c>
      <c r="V2879" s="26">
        <v>1</v>
      </c>
      <c r="W2879" s="26"/>
    </row>
    <row r="2880" spans="1:23" x14ac:dyDescent="0.25">
      <c r="A2880" s="26" t="str">
        <f t="shared" si="480"/>
        <v>PRIMARIA</v>
      </c>
      <c r="B2880" s="26" t="str">
        <f>"09PPR1403T"</f>
        <v>09PPR1403T</v>
      </c>
      <c r="C2880" s="26" t="str">
        <f>"INSTITUT FRANCAIS IMKA IFI                                                                          "</f>
        <v xml:space="preserve">INSTITUT FRANCAIS IMKA IFI                                                                          </v>
      </c>
      <c r="D2880" s="26" t="str">
        <f t="shared" si="486"/>
        <v>MATUTINO</v>
      </c>
      <c r="E2880" s="26" t="str">
        <f>"ANA BOLENA NO 121                                                               "</f>
        <v xml:space="preserve">ANA BOLENA NO 121                                                               </v>
      </c>
      <c r="F2880" s="26" t="str">
        <f>"LA NOPALERA                                                                                                                                 "</f>
        <v xml:space="preserve">LA NOPALERA                                                                                                                                 </v>
      </c>
      <c r="G2880" s="26" t="str">
        <f>"TLAHUAC                                                                         "</f>
        <v xml:space="preserve">TLAHUAC                                                                         </v>
      </c>
      <c r="H2880" s="26" t="str">
        <f>"548"</f>
        <v>548</v>
      </c>
      <c r="I2880" s="26" t="str">
        <f t="shared" si="481"/>
        <v>00</v>
      </c>
      <c r="J2880" s="26" t="str">
        <f t="shared" si="493"/>
        <v xml:space="preserve">45 </v>
      </c>
      <c r="K2880" s="26" t="str">
        <f t="shared" si="491"/>
        <v>PR</v>
      </c>
      <c r="L2880" s="26" t="str">
        <f t="shared" si="492"/>
        <v>DGOSE</v>
      </c>
      <c r="M2880" s="26" t="str">
        <f t="shared" si="482"/>
        <v>PARTICULAR</v>
      </c>
      <c r="N2880" s="26">
        <v>76</v>
      </c>
      <c r="O2880" s="26">
        <v>38</v>
      </c>
      <c r="P2880" s="26">
        <v>38</v>
      </c>
      <c r="Q2880" s="26">
        <v>6</v>
      </c>
      <c r="R2880" s="26">
        <v>1</v>
      </c>
      <c r="S2880" s="26">
        <v>3</v>
      </c>
      <c r="T2880" s="26">
        <v>8</v>
      </c>
      <c r="U2880" s="26">
        <v>12</v>
      </c>
      <c r="V2880" s="26">
        <v>1</v>
      </c>
      <c r="W2880" s="26"/>
    </row>
    <row r="2881" spans="1:23" x14ac:dyDescent="0.25">
      <c r="A2881" s="26" t="str">
        <f t="shared" si="480"/>
        <v>PRIMARIA</v>
      </c>
      <c r="B2881" s="26" t="str">
        <f>"09PPR1404S"</f>
        <v>09PPR1404S</v>
      </c>
      <c r="C2881" s="26" t="str">
        <f>"INSTITUTO BENEMERITO JUAREZ                                                                         "</f>
        <v xml:space="preserve">INSTITUTO BENEMERITO JUAREZ                                                                         </v>
      </c>
      <c r="D2881" s="26" t="str">
        <f t="shared" si="486"/>
        <v>MATUTINO</v>
      </c>
      <c r="E2881" s="26" t="str">
        <f>"PROL NORTE DEL COMERCIO # 24-26                                                 "</f>
        <v xml:space="preserve">PROL NORTE DEL COMERCIO # 24-26                                                 </v>
      </c>
      <c r="F2881" s="26" t="str">
        <f>"SAN JUAN IXTAYOPAN                                                                                                                          "</f>
        <v xml:space="preserve">SAN JUAN IXTAYOPAN                                                                                                                          </v>
      </c>
      <c r="G2881" s="26" t="str">
        <f>"TLAHUAC                                                                         "</f>
        <v xml:space="preserve">TLAHUAC                                                                         </v>
      </c>
      <c r="H2881" s="26" t="str">
        <f>"559"</f>
        <v>559</v>
      </c>
      <c r="I2881" s="26" t="str">
        <f t="shared" si="481"/>
        <v>00</v>
      </c>
      <c r="J2881" s="26" t="str">
        <f t="shared" si="493"/>
        <v xml:space="preserve">45 </v>
      </c>
      <c r="K2881" s="26" t="str">
        <f t="shared" si="491"/>
        <v>PR</v>
      </c>
      <c r="L2881" s="26" t="str">
        <f t="shared" si="492"/>
        <v>DGOSE</v>
      </c>
      <c r="M2881" s="26" t="str">
        <f t="shared" si="482"/>
        <v>PARTICULAR</v>
      </c>
      <c r="N2881" s="26">
        <v>83</v>
      </c>
      <c r="O2881" s="26">
        <v>44</v>
      </c>
      <c r="P2881" s="26">
        <v>39</v>
      </c>
      <c r="Q2881" s="26">
        <v>6</v>
      </c>
      <c r="R2881" s="26">
        <v>1</v>
      </c>
      <c r="S2881" s="26">
        <v>6</v>
      </c>
      <c r="T2881" s="26">
        <v>7</v>
      </c>
      <c r="U2881" s="26">
        <v>14</v>
      </c>
      <c r="V2881" s="26">
        <v>1</v>
      </c>
      <c r="W2881" s="26"/>
    </row>
    <row r="2882" spans="1:23" x14ac:dyDescent="0.25">
      <c r="A2882" s="26" t="str">
        <f t="shared" ref="A2882:A2945" si="494">"PRIMARIA"</f>
        <v>PRIMARIA</v>
      </c>
      <c r="B2882" s="26" t="str">
        <f>"09PPR1406Q"</f>
        <v>09PPR1406Q</v>
      </c>
      <c r="C2882" s="26" t="str">
        <f>"ESCUELA MAESTRO MANUEL ACOSTA                                                                       "</f>
        <v xml:space="preserve">ESCUELA MAESTRO MANUEL ACOSTA                                                                       </v>
      </c>
      <c r="D2882" s="26" t="str">
        <f t="shared" si="486"/>
        <v>MATUTINO</v>
      </c>
      <c r="E2882" s="26" t="str">
        <f>"AV INSURGENTES SUR NO 3687                                                      "</f>
        <v xml:space="preserve">AV INSURGENTES SUR NO 3687                                                      </v>
      </c>
      <c r="F2882" s="26" t="str">
        <f>"MIGUEL HIDALGO                                                                                                                              "</f>
        <v xml:space="preserve">MIGUEL HIDALGO                                                                                                                              </v>
      </c>
      <c r="G2882" s="26" t="str">
        <f>"TLALPAN                                                                         "</f>
        <v xml:space="preserve">TLALPAN                                                                         </v>
      </c>
      <c r="H2882" s="26" t="str">
        <f>"518"</f>
        <v>518</v>
      </c>
      <c r="I2882" s="26" t="str">
        <f t="shared" ref="I2882:I2945" si="495">"00"</f>
        <v>00</v>
      </c>
      <c r="J2882" s="26" t="str">
        <f t="shared" si="493"/>
        <v xml:space="preserve">45 </v>
      </c>
      <c r="K2882" s="26" t="str">
        <f t="shared" si="491"/>
        <v>PR</v>
      </c>
      <c r="L2882" s="26" t="str">
        <f t="shared" si="492"/>
        <v>DGOSE</v>
      </c>
      <c r="M2882" s="26" t="str">
        <f t="shared" si="482"/>
        <v>PARTICULAR</v>
      </c>
      <c r="N2882" s="26">
        <v>153</v>
      </c>
      <c r="O2882" s="26">
        <v>68</v>
      </c>
      <c r="P2882" s="26">
        <v>85</v>
      </c>
      <c r="Q2882" s="26">
        <v>8</v>
      </c>
      <c r="R2882" s="26">
        <v>1</v>
      </c>
      <c r="S2882" s="26">
        <v>4</v>
      </c>
      <c r="T2882" s="26">
        <v>11</v>
      </c>
      <c r="U2882" s="26">
        <v>16</v>
      </c>
      <c r="V2882" s="26">
        <v>1</v>
      </c>
      <c r="W2882" s="26"/>
    </row>
    <row r="2883" spans="1:23" x14ac:dyDescent="0.25">
      <c r="A2883" s="26" t="str">
        <f t="shared" si="494"/>
        <v>PRIMARIA</v>
      </c>
      <c r="B2883" s="26" t="str">
        <f>"09PPR1407P"</f>
        <v>09PPR1407P</v>
      </c>
      <c r="C2883" s="26" t="str">
        <f>"COLEGIO CALLI                                                                                       "</f>
        <v xml:space="preserve">COLEGIO CALLI                                                                                       </v>
      </c>
      <c r="D2883" s="26" t="str">
        <f t="shared" si="486"/>
        <v>MATUTINO</v>
      </c>
      <c r="E2883" s="26" t="str">
        <f>"CRISTOBAL COLON 246                                                             "</f>
        <v xml:space="preserve">CRISTOBAL COLON 246                                                             </v>
      </c>
      <c r="F2883" s="26" t="str">
        <f>"TLALCOLIGIA                                                                                                                                 "</f>
        <v xml:space="preserve">TLALCOLIGIA                                                                                                                                 </v>
      </c>
      <c r="G2883" s="26" t="str">
        <f>"TLALPAN                                                                         "</f>
        <v xml:space="preserve">TLALPAN                                                                         </v>
      </c>
      <c r="H2883" s="26" t="str">
        <f>"522"</f>
        <v>522</v>
      </c>
      <c r="I2883" s="26" t="str">
        <f t="shared" si="495"/>
        <v>00</v>
      </c>
      <c r="J2883" s="26" t="str">
        <f t="shared" si="493"/>
        <v xml:space="preserve">45 </v>
      </c>
      <c r="K2883" s="26" t="str">
        <f t="shared" si="491"/>
        <v>PR</v>
      </c>
      <c r="L2883" s="26" t="str">
        <f t="shared" si="492"/>
        <v>DGOSE</v>
      </c>
      <c r="M2883" s="26" t="str">
        <f t="shared" si="482"/>
        <v>PARTICULAR</v>
      </c>
      <c r="N2883" s="26">
        <v>73</v>
      </c>
      <c r="O2883" s="26">
        <v>34</v>
      </c>
      <c r="P2883" s="26">
        <v>39</v>
      </c>
      <c r="Q2883" s="26">
        <v>6</v>
      </c>
      <c r="R2883" s="26">
        <v>1</v>
      </c>
      <c r="S2883" s="26">
        <v>4</v>
      </c>
      <c r="T2883" s="26">
        <v>10</v>
      </c>
      <c r="U2883" s="26">
        <v>15</v>
      </c>
      <c r="V2883" s="26">
        <v>1</v>
      </c>
      <c r="W2883" s="26"/>
    </row>
    <row r="2884" spans="1:23" x14ac:dyDescent="0.25">
      <c r="A2884" s="26" t="str">
        <f t="shared" si="494"/>
        <v>PRIMARIA</v>
      </c>
      <c r="B2884" s="26" t="str">
        <f>"09PPR1408O"</f>
        <v>09PPR1408O</v>
      </c>
      <c r="C2884" s="26" t="str">
        <f>"COLEGIO ARISTOTELES                                                                                 "</f>
        <v xml:space="preserve">COLEGIO ARISTOTELES                                                                                 </v>
      </c>
      <c r="D2884" s="26" t="str">
        <f t="shared" si="486"/>
        <v>MATUTINO</v>
      </c>
      <c r="E2884" s="26" t="str">
        <f>"MADRESELVA NO 183                                                               "</f>
        <v xml:space="preserve">MADRESELVA NO 183                                                               </v>
      </c>
      <c r="F2884" s="26" t="str">
        <f>"XALTOCAN                                                                                                                                    "</f>
        <v xml:space="preserve">XALTOCAN                                                                                                                                    </v>
      </c>
      <c r="G2884" s="26" t="str">
        <f>"XOCHIMILCO                                                                      "</f>
        <v xml:space="preserve">XOCHIMILCO                                                                      </v>
      </c>
      <c r="H2884" s="26" t="str">
        <f>"540"</f>
        <v>540</v>
      </c>
      <c r="I2884" s="26" t="str">
        <f t="shared" si="495"/>
        <v>00</v>
      </c>
      <c r="J2884" s="26" t="str">
        <f t="shared" si="493"/>
        <v xml:space="preserve">45 </v>
      </c>
      <c r="K2884" s="26" t="str">
        <f t="shared" si="491"/>
        <v>PR</v>
      </c>
      <c r="L2884" s="26" t="str">
        <f t="shared" si="492"/>
        <v>DGOSE</v>
      </c>
      <c r="M2884" s="26" t="str">
        <f t="shared" si="482"/>
        <v>PARTICULAR</v>
      </c>
      <c r="N2884" s="26">
        <v>77</v>
      </c>
      <c r="O2884" s="26">
        <v>40</v>
      </c>
      <c r="P2884" s="26">
        <v>37</v>
      </c>
      <c r="Q2884" s="26">
        <v>6</v>
      </c>
      <c r="R2884" s="26">
        <v>1</v>
      </c>
      <c r="S2884" s="26">
        <v>3</v>
      </c>
      <c r="T2884" s="26">
        <v>6</v>
      </c>
      <c r="U2884" s="26">
        <v>10</v>
      </c>
      <c r="V2884" s="26">
        <v>1</v>
      </c>
      <c r="W2884" s="26"/>
    </row>
    <row r="2885" spans="1:23" x14ac:dyDescent="0.25">
      <c r="A2885" s="26" t="str">
        <f t="shared" si="494"/>
        <v>PRIMARIA</v>
      </c>
      <c r="B2885" s="26" t="str">
        <f>"09PPR1409N"</f>
        <v>09PPR1409N</v>
      </c>
      <c r="C2885" s="26" t="str">
        <f>"SUC-CED                                                                                             "</f>
        <v xml:space="preserve">SUC-CED                                                                                             </v>
      </c>
      <c r="D2885" s="26" t="str">
        <f t="shared" si="486"/>
        <v>MATUTINO</v>
      </c>
      <c r="E2885" s="26" t="str">
        <f>"PLAN SEXENAL NO. 64                                                             "</f>
        <v xml:space="preserve">PLAN SEXENAL NO. 64                                                             </v>
      </c>
      <c r="F2885" s="26" t="str">
        <f>"TIERRA NUEVA                                                                                                                                "</f>
        <v xml:space="preserve">TIERRA NUEVA                                                                                                                                </v>
      </c>
      <c r="G2885" s="26" t="str">
        <f>"XOCHIMILCO                                                                      "</f>
        <v xml:space="preserve">XOCHIMILCO                                                                      </v>
      </c>
      <c r="H2885" s="26" t="str">
        <f>"534"</f>
        <v>534</v>
      </c>
      <c r="I2885" s="26" t="str">
        <f t="shared" si="495"/>
        <v>00</v>
      </c>
      <c r="J2885" s="26" t="str">
        <f t="shared" si="493"/>
        <v xml:space="preserve">45 </v>
      </c>
      <c r="K2885" s="26" t="str">
        <f t="shared" si="491"/>
        <v>PR</v>
      </c>
      <c r="L2885" s="26" t="str">
        <f t="shared" si="492"/>
        <v>DGOSE</v>
      </c>
      <c r="M2885" s="26" t="str">
        <f t="shared" si="482"/>
        <v>PARTICULAR</v>
      </c>
      <c r="N2885" s="26">
        <v>61</v>
      </c>
      <c r="O2885" s="26">
        <v>41</v>
      </c>
      <c r="P2885" s="26">
        <v>20</v>
      </c>
      <c r="Q2885" s="26">
        <v>6</v>
      </c>
      <c r="R2885" s="26">
        <v>1</v>
      </c>
      <c r="S2885" s="26">
        <v>3</v>
      </c>
      <c r="T2885" s="26">
        <v>9</v>
      </c>
      <c r="U2885" s="26">
        <v>13</v>
      </c>
      <c r="V2885" s="26">
        <v>1</v>
      </c>
      <c r="W2885" s="26"/>
    </row>
    <row r="2886" spans="1:23" x14ac:dyDescent="0.25">
      <c r="A2886" s="26" t="str">
        <f t="shared" si="494"/>
        <v>PRIMARIA</v>
      </c>
      <c r="B2886" s="26" t="str">
        <f>"09PPR1410C"</f>
        <v>09PPR1410C</v>
      </c>
      <c r="C2886" s="26" t="str">
        <f>"WAYNE SKINNER                                                                                       "</f>
        <v xml:space="preserve">WAYNE SKINNER                                                                                       </v>
      </c>
      <c r="D2886" s="26" t="str">
        <f t="shared" si="486"/>
        <v>MATUTINO</v>
      </c>
      <c r="E2886" s="26" t="str">
        <f>"ORIENTE 176 N. 203                                                              "</f>
        <v xml:space="preserve">ORIENTE 176 N. 203                                                              </v>
      </c>
      <c r="F2886" s="26" t="str">
        <f>"MOCTEZUMA 2A SECCION                                                                                                                        "</f>
        <v xml:space="preserve">MOCTEZUMA 2A SECCION                                                                                                                        </v>
      </c>
      <c r="G2886" s="26" t="str">
        <f>"VENUSTIANO CARRANZA                                                             "</f>
        <v xml:space="preserve">VENUSTIANO CARRANZA                                                             </v>
      </c>
      <c r="H2886" s="26" t="str">
        <f>"351"</f>
        <v>351</v>
      </c>
      <c r="I2886" s="26" t="str">
        <f t="shared" si="495"/>
        <v>00</v>
      </c>
      <c r="J2886" s="26" t="str">
        <f>"43 "</f>
        <v xml:space="preserve">43 </v>
      </c>
      <c r="K2886" s="26" t="str">
        <f t="shared" si="491"/>
        <v>PR</v>
      </c>
      <c r="L2886" s="26" t="str">
        <f t="shared" si="492"/>
        <v>DGOSE</v>
      </c>
      <c r="M2886" s="26" t="str">
        <f t="shared" si="482"/>
        <v>PARTICULAR</v>
      </c>
      <c r="N2886" s="26">
        <v>53</v>
      </c>
      <c r="O2886" s="26">
        <v>33</v>
      </c>
      <c r="P2886" s="26">
        <v>20</v>
      </c>
      <c r="Q2886" s="26">
        <v>6</v>
      </c>
      <c r="R2886" s="26">
        <v>1</v>
      </c>
      <c r="S2886" s="26">
        <v>3</v>
      </c>
      <c r="T2886" s="26">
        <v>4</v>
      </c>
      <c r="U2886" s="26">
        <v>8</v>
      </c>
      <c r="V2886" s="26">
        <v>1</v>
      </c>
      <c r="W2886" s="26"/>
    </row>
    <row r="2887" spans="1:23" x14ac:dyDescent="0.25">
      <c r="A2887" s="26" t="str">
        <f t="shared" si="494"/>
        <v>PRIMARIA</v>
      </c>
      <c r="B2887" s="26" t="str">
        <f>"09PPR1411B"</f>
        <v>09PPR1411B</v>
      </c>
      <c r="C2887" s="26" t="str">
        <f>"COLEGIO WILLIAM JAMES                                                                               "</f>
        <v xml:space="preserve">COLEGIO WILLIAM JAMES                                                                               </v>
      </c>
      <c r="D2887" s="26" t="str">
        <f t="shared" si="486"/>
        <v>MATUTINO</v>
      </c>
      <c r="E2887" s="26" t="str">
        <f>"AV TAMAULIPAS # 1190                                                            "</f>
        <v xml:space="preserve">AV TAMAULIPAS # 1190                                                            </v>
      </c>
      <c r="F2887" s="26" t="str">
        <f>"CORPUS CHRISTI                                                                                                                              "</f>
        <v xml:space="preserve">CORPUS CHRISTI                                                                                                                              </v>
      </c>
      <c r="G2887" s="26" t="str">
        <f>"ALVARO OBREGON                                                                  "</f>
        <v xml:space="preserve">ALVARO OBREGON                                                                  </v>
      </c>
      <c r="H2887" s="26" t="str">
        <f>"318"</f>
        <v>318</v>
      </c>
      <c r="I2887" s="26" t="str">
        <f t="shared" si="495"/>
        <v>00</v>
      </c>
      <c r="J2887" s="26" t="str">
        <f>"43 "</f>
        <v xml:space="preserve">43 </v>
      </c>
      <c r="K2887" s="26" t="str">
        <f t="shared" si="491"/>
        <v>PR</v>
      </c>
      <c r="L2887" s="26" t="str">
        <f t="shared" si="492"/>
        <v>DGOSE</v>
      </c>
      <c r="M2887" s="26" t="str">
        <f t="shared" si="482"/>
        <v>PARTICULAR</v>
      </c>
      <c r="N2887" s="26">
        <v>307</v>
      </c>
      <c r="O2887" s="26">
        <v>158</v>
      </c>
      <c r="P2887" s="26">
        <v>149</v>
      </c>
      <c r="Q2887" s="26">
        <v>12</v>
      </c>
      <c r="R2887" s="26">
        <v>1</v>
      </c>
      <c r="S2887" s="26">
        <v>6</v>
      </c>
      <c r="T2887" s="26">
        <v>11</v>
      </c>
      <c r="U2887" s="26">
        <v>18</v>
      </c>
      <c r="V2887" s="26">
        <v>1</v>
      </c>
      <c r="W2887" s="26"/>
    </row>
    <row r="2888" spans="1:23" x14ac:dyDescent="0.25">
      <c r="A2888" s="26" t="str">
        <f t="shared" si="494"/>
        <v>PRIMARIA</v>
      </c>
      <c r="B2888" s="26" t="str">
        <f>"09PPR1412A"</f>
        <v>09PPR1412A</v>
      </c>
      <c r="C2888" s="26" t="str">
        <f>"AMERIQUE                                                                                            "</f>
        <v xml:space="preserve">AMERIQUE                                                                                            </v>
      </c>
      <c r="D2888" s="26" t="str">
        <f t="shared" si="486"/>
        <v>MATUTINO</v>
      </c>
      <c r="E2888" s="26" t="str">
        <f>"ESTADO DE NAYARIT # 15                                                          "</f>
        <v xml:space="preserve">ESTADO DE NAYARIT # 15                                                          </v>
      </c>
      <c r="F2888" s="26" t="str">
        <f>"LA PROVIDENCIA                                                                                                                              "</f>
        <v xml:space="preserve">LA PROVIDENCIA                                                                                                                              </v>
      </c>
      <c r="G2888" s="26" t="str">
        <f>"GUSTAVO A. MADERO                                                               "</f>
        <v xml:space="preserve">GUSTAVO A. MADERO                                                               </v>
      </c>
      <c r="H2888" s="26" t="str">
        <f>"265"</f>
        <v>265</v>
      </c>
      <c r="I2888" s="26" t="str">
        <f t="shared" si="495"/>
        <v>00</v>
      </c>
      <c r="J2888" s="26" t="str">
        <f>"42 "</f>
        <v xml:space="preserve">42 </v>
      </c>
      <c r="K2888" s="26" t="str">
        <f t="shared" si="491"/>
        <v>PR</v>
      </c>
      <c r="L2888" s="26" t="str">
        <f t="shared" si="492"/>
        <v>DGOSE</v>
      </c>
      <c r="M2888" s="26" t="str">
        <f t="shared" si="482"/>
        <v>PARTICULAR</v>
      </c>
      <c r="N2888" s="26">
        <v>68</v>
      </c>
      <c r="O2888" s="26">
        <v>42</v>
      </c>
      <c r="P2888" s="26">
        <v>26</v>
      </c>
      <c r="Q2888" s="26">
        <v>6</v>
      </c>
      <c r="R2888" s="26">
        <v>1</v>
      </c>
      <c r="S2888" s="26">
        <v>3</v>
      </c>
      <c r="T2888" s="26">
        <v>3</v>
      </c>
      <c r="U2888" s="26">
        <v>7</v>
      </c>
      <c r="V2888" s="26">
        <v>1</v>
      </c>
      <c r="W2888" s="26"/>
    </row>
    <row r="2889" spans="1:23" x14ac:dyDescent="0.25">
      <c r="A2889" s="26" t="str">
        <f t="shared" si="494"/>
        <v>PRIMARIA</v>
      </c>
      <c r="B2889" s="26" t="str">
        <f>"09PPR1413Z"</f>
        <v>09PPR1413Z</v>
      </c>
      <c r="C2889" s="26" t="str">
        <f>"INSTITUTO CONDESA                                                                                   "</f>
        <v xml:space="preserve">INSTITUTO CONDESA                                                                                   </v>
      </c>
      <c r="D2889" s="26" t="str">
        <f t="shared" si="486"/>
        <v>MATUTINO</v>
      </c>
      <c r="E2889" s="26" t="str">
        <f>"TLAXCALA NUM. 105                                                               "</f>
        <v xml:space="preserve">TLAXCALA NUM. 105                                                               </v>
      </c>
      <c r="F2889" s="26" t="str">
        <f>"ROMA SUR                                                                                                                                    "</f>
        <v xml:space="preserve">ROMA SUR                                                                                                                                    </v>
      </c>
      <c r="G2889" s="26" t="str">
        <f>"CUAUHTEMOC                                                                      "</f>
        <v xml:space="preserve">CUAUHTEMOC                                                                      </v>
      </c>
      <c r="H2889" s="26" t="str">
        <f>"221"</f>
        <v>221</v>
      </c>
      <c r="I2889" s="26" t="str">
        <f t="shared" si="495"/>
        <v>00</v>
      </c>
      <c r="J2889" s="26" t="str">
        <f>"42 "</f>
        <v xml:space="preserve">42 </v>
      </c>
      <c r="K2889" s="26" t="str">
        <f t="shared" si="491"/>
        <v>PR</v>
      </c>
      <c r="L2889" s="26" t="str">
        <f t="shared" si="492"/>
        <v>DGOSE</v>
      </c>
      <c r="M2889" s="26" t="str">
        <f t="shared" si="482"/>
        <v>PARTICULAR</v>
      </c>
      <c r="N2889" s="26">
        <v>70</v>
      </c>
      <c r="O2889" s="26">
        <v>37</v>
      </c>
      <c r="P2889" s="26">
        <v>33</v>
      </c>
      <c r="Q2889" s="26">
        <v>6</v>
      </c>
      <c r="R2889" s="26">
        <v>1</v>
      </c>
      <c r="S2889" s="26">
        <v>3</v>
      </c>
      <c r="T2889" s="26">
        <v>8</v>
      </c>
      <c r="U2889" s="26">
        <v>12</v>
      </c>
      <c r="V2889" s="26">
        <v>1</v>
      </c>
      <c r="W2889" s="26"/>
    </row>
    <row r="2890" spans="1:23" x14ac:dyDescent="0.25">
      <c r="A2890" s="26" t="str">
        <f t="shared" si="494"/>
        <v>PRIMARIA</v>
      </c>
      <c r="B2890" s="26" t="str">
        <f>"09PPR1416X"</f>
        <v>09PPR1416X</v>
      </c>
      <c r="C2890" s="26" t="str">
        <f>"COLEGIO ATID                                                                                        "</f>
        <v xml:space="preserve">COLEGIO ATID                                                                                        </v>
      </c>
      <c r="D2890" s="26" t="str">
        <f t="shared" si="486"/>
        <v>MATUTINO</v>
      </c>
      <c r="E2890" s="26" t="str">
        <f>"AV. CARLOS ECHANOVE 224                                                         "</f>
        <v xml:space="preserve">AV. CARLOS ECHANOVE 224                                                         </v>
      </c>
      <c r="F2890" s="26" t="str">
        <f>"LOMAS DE VISTA HERMOSA                                                                                                                      "</f>
        <v xml:space="preserve">LOMAS DE VISTA HERMOSA                                                                                                                      </v>
      </c>
      <c r="G2890" s="26" t="str">
        <f>"CUAJIMALPA DE MORELOS                                                           "</f>
        <v xml:space="preserve">CUAJIMALPA DE MORELOS                                                           </v>
      </c>
      <c r="H2890" s="26" t="str">
        <f>"302"</f>
        <v>302</v>
      </c>
      <c r="I2890" s="26" t="str">
        <f t="shared" si="495"/>
        <v>00</v>
      </c>
      <c r="J2890" s="26" t="str">
        <f>"43 "</f>
        <v xml:space="preserve">43 </v>
      </c>
      <c r="K2890" s="26" t="str">
        <f t="shared" si="491"/>
        <v>PR</v>
      </c>
      <c r="L2890" s="26" t="str">
        <f t="shared" si="492"/>
        <v>DGOSE</v>
      </c>
      <c r="M2890" s="26" t="str">
        <f t="shared" si="482"/>
        <v>PARTICULAR</v>
      </c>
      <c r="N2890" s="26">
        <v>413</v>
      </c>
      <c r="O2890" s="26">
        <v>198</v>
      </c>
      <c r="P2890" s="26">
        <v>215</v>
      </c>
      <c r="Q2890" s="26">
        <v>20</v>
      </c>
      <c r="R2890" s="26">
        <v>1</v>
      </c>
      <c r="S2890" s="26">
        <v>11</v>
      </c>
      <c r="T2890" s="26">
        <v>10</v>
      </c>
      <c r="U2890" s="26">
        <v>22</v>
      </c>
      <c r="V2890" s="26">
        <v>1</v>
      </c>
      <c r="W2890" s="26"/>
    </row>
    <row r="2891" spans="1:23" x14ac:dyDescent="0.25">
      <c r="A2891" s="26" t="str">
        <f t="shared" si="494"/>
        <v>PRIMARIA</v>
      </c>
      <c r="B2891" s="26" t="str">
        <f>"09PPR1418V"</f>
        <v>09PPR1418V</v>
      </c>
      <c r="C2891" s="26" t="str">
        <f>"CENTRO EDUCATIVO MONTESORI ISKU IREKHORENI                                                          "</f>
        <v xml:space="preserve">CENTRO EDUCATIVO MONTESORI ISKU IREKHORENI                                                          </v>
      </c>
      <c r="D2891" s="26" t="str">
        <f t="shared" si="486"/>
        <v>MATUTINO</v>
      </c>
      <c r="E2891" s="26" t="str">
        <f>"AV. PROL. DIVISION DEL NORTE NO. 35                                             "</f>
        <v xml:space="preserve">AV. PROL. DIVISION DEL NORTE NO. 35                                             </v>
      </c>
      <c r="F2891" s="26" t="str">
        <f>"SANTIAGO TULYEHUALCO                                                                                                                        "</f>
        <v xml:space="preserve">SANTIAGO TULYEHUALCO                                                                                                                        </v>
      </c>
      <c r="G2891" s="26" t="str">
        <f>"XOCHIMILCO                                                                      "</f>
        <v xml:space="preserve">XOCHIMILCO                                                                      </v>
      </c>
      <c r="H2891" s="26" t="str">
        <f>"545"</f>
        <v>545</v>
      </c>
      <c r="I2891" s="26" t="str">
        <f t="shared" si="495"/>
        <v>00</v>
      </c>
      <c r="J2891" s="26" t="str">
        <f>"45 "</f>
        <v xml:space="preserve">45 </v>
      </c>
      <c r="K2891" s="26" t="str">
        <f t="shared" si="491"/>
        <v>PR</v>
      </c>
      <c r="L2891" s="26" t="str">
        <f t="shared" si="492"/>
        <v>DGOSE</v>
      </c>
      <c r="M2891" s="26" t="str">
        <f t="shared" si="482"/>
        <v>PARTICULAR</v>
      </c>
      <c r="N2891" s="26">
        <v>79</v>
      </c>
      <c r="O2891" s="26">
        <v>37</v>
      </c>
      <c r="P2891" s="26">
        <v>42</v>
      </c>
      <c r="Q2891" s="26">
        <v>6</v>
      </c>
      <c r="R2891" s="26">
        <v>1</v>
      </c>
      <c r="S2891" s="26">
        <v>5</v>
      </c>
      <c r="T2891" s="26">
        <v>9</v>
      </c>
      <c r="U2891" s="26">
        <v>15</v>
      </c>
      <c r="V2891" s="26">
        <v>1</v>
      </c>
      <c r="W2891" s="26"/>
    </row>
    <row r="2892" spans="1:23" x14ac:dyDescent="0.25">
      <c r="A2892" s="26" t="str">
        <f t="shared" si="494"/>
        <v>PRIMARIA</v>
      </c>
      <c r="B2892" s="26" t="str">
        <f>"09PPR1421I"</f>
        <v>09PPR1421I</v>
      </c>
      <c r="C2892" s="26" t="str">
        <f>"ANA SULLIVAN                                                                                        "</f>
        <v xml:space="preserve">ANA SULLIVAN                                                                                        </v>
      </c>
      <c r="D2892" s="26" t="str">
        <f t="shared" si="486"/>
        <v>MATUTINO</v>
      </c>
      <c r="E2892" s="26" t="str">
        <f>"2DO. RETORNO DE VILLA FRANQUEZA S/N                                             "</f>
        <v xml:space="preserve">2DO. RETORNO DE VILLA FRANQUEZA S/N                                             </v>
      </c>
      <c r="F2892" s="26" t="str">
        <f>"DESARROLLO URBANO QUETZALCOATL                                                                                                              "</f>
        <v xml:space="preserve">DESARROLLO URBANO QUETZALCOATL                                                                                                              </v>
      </c>
      <c r="G2892" s="26" t="str">
        <f>"IZTAPALAPA                                                                      "</f>
        <v xml:space="preserve">IZTAPALAPA                                                                      </v>
      </c>
      <c r="H2892" s="26" t="str">
        <f>"000"</f>
        <v>000</v>
      </c>
      <c r="I2892" s="26" t="str">
        <f t="shared" si="495"/>
        <v>00</v>
      </c>
      <c r="J2892" s="26" t="str">
        <f>"64 "</f>
        <v xml:space="preserve">64 </v>
      </c>
      <c r="K2892" s="26" t="str">
        <f>"IZ"</f>
        <v>IZ</v>
      </c>
      <c r="L2892" s="26" t="str">
        <f>"DGSEI"</f>
        <v>DGSEI</v>
      </c>
      <c r="M2892" s="26" t="str">
        <f t="shared" si="482"/>
        <v>PARTICULAR</v>
      </c>
      <c r="N2892" s="26">
        <v>146</v>
      </c>
      <c r="O2892" s="26">
        <v>70</v>
      </c>
      <c r="P2892" s="26">
        <v>76</v>
      </c>
      <c r="Q2892" s="26">
        <v>6</v>
      </c>
      <c r="R2892" s="26">
        <v>1</v>
      </c>
      <c r="S2892" s="26">
        <v>6</v>
      </c>
      <c r="T2892" s="26">
        <v>3</v>
      </c>
      <c r="U2892" s="26">
        <v>10</v>
      </c>
      <c r="V2892" s="26">
        <v>1</v>
      </c>
      <c r="W2892" s="26"/>
    </row>
    <row r="2893" spans="1:23" x14ac:dyDescent="0.25">
      <c r="A2893" s="26" t="str">
        <f t="shared" si="494"/>
        <v>PRIMARIA</v>
      </c>
      <c r="B2893" s="26" t="str">
        <f>"09PPR1422H"</f>
        <v>09PPR1422H</v>
      </c>
      <c r="C2893" s="26" t="str">
        <f>"COLEGIO RODOLFO USIGLI PLANTEL AZTAHUACAN                                                           "</f>
        <v xml:space="preserve">COLEGIO RODOLFO USIGLI PLANTEL AZTAHUACAN                                                           </v>
      </c>
      <c r="D2893" s="26" t="str">
        <f t="shared" si="486"/>
        <v>MATUTINO</v>
      </c>
      <c r="E2893" s="26" t="str">
        <f>"AQUILES SERDAN NO. 84                                                           "</f>
        <v xml:space="preserve">AQUILES SERDAN NO. 84                                                           </v>
      </c>
      <c r="F2893" s="26" t="str">
        <f>"SANTA MARIA AZTAHUACAN                                                                                                                      "</f>
        <v xml:space="preserve">SANTA MARIA AZTAHUACAN                                                                                                                      </v>
      </c>
      <c r="G2893" s="26" t="str">
        <f>"IZTAPALAPA                                                                      "</f>
        <v xml:space="preserve">IZTAPALAPA                                                                      </v>
      </c>
      <c r="H2893" s="26" t="str">
        <f>"000"</f>
        <v>000</v>
      </c>
      <c r="I2893" s="26" t="str">
        <f t="shared" si="495"/>
        <v>00</v>
      </c>
      <c r="J2893" s="26" t="str">
        <f>"64 "</f>
        <v xml:space="preserve">64 </v>
      </c>
      <c r="K2893" s="26" t="str">
        <f>"IZ"</f>
        <v>IZ</v>
      </c>
      <c r="L2893" s="26" t="str">
        <f>"DGSEI"</f>
        <v>DGSEI</v>
      </c>
      <c r="M2893" s="26" t="str">
        <f t="shared" si="482"/>
        <v>PARTICULAR</v>
      </c>
      <c r="N2893" s="26">
        <v>97</v>
      </c>
      <c r="O2893" s="26">
        <v>58</v>
      </c>
      <c r="P2893" s="26">
        <v>39</v>
      </c>
      <c r="Q2893" s="26">
        <v>6</v>
      </c>
      <c r="R2893" s="26">
        <v>1</v>
      </c>
      <c r="S2893" s="26">
        <v>6</v>
      </c>
      <c r="T2893" s="26">
        <v>1</v>
      </c>
      <c r="U2893" s="26">
        <v>8</v>
      </c>
      <c r="V2893" s="26">
        <v>1</v>
      </c>
      <c r="W2893" s="26"/>
    </row>
    <row r="2894" spans="1:23" x14ac:dyDescent="0.25">
      <c r="A2894" s="26" t="str">
        <f t="shared" si="494"/>
        <v>PRIMARIA</v>
      </c>
      <c r="B2894" s="26" t="str">
        <f>"09PPR1423G"</f>
        <v>09PPR1423G</v>
      </c>
      <c r="C2894" s="26" t="str">
        <f>"ARTURO ROSENBLUETH                                                                                  "</f>
        <v xml:space="preserve">ARTURO ROSENBLUETH                                                                                  </v>
      </c>
      <c r="D2894" s="26" t="str">
        <f t="shared" si="486"/>
        <v>MATUTINO</v>
      </c>
      <c r="E2894" s="26" t="str">
        <f>"PROLONGACION DE LOS OLIVOS MZ. 1 LT. 3                                          "</f>
        <v xml:space="preserve">PROLONGACION DE LOS OLIVOS MZ. 1 LT. 3                                          </v>
      </c>
      <c r="F2894" s="26" t="str">
        <f>"GRANJAS ESTRELLA                                                                                                                            "</f>
        <v xml:space="preserve">GRANJAS ESTRELLA                                                                                                                            </v>
      </c>
      <c r="G2894" s="26" t="str">
        <f>"IZTAPALAPA                                                                      "</f>
        <v xml:space="preserve">IZTAPALAPA                                                                      </v>
      </c>
      <c r="H2894" s="26" t="str">
        <f>"000"</f>
        <v>000</v>
      </c>
      <c r="I2894" s="26" t="str">
        <f t="shared" si="495"/>
        <v>00</v>
      </c>
      <c r="J2894" s="26" t="str">
        <f>"63 "</f>
        <v xml:space="preserve">63 </v>
      </c>
      <c r="K2894" s="26" t="str">
        <f>"IZ"</f>
        <v>IZ</v>
      </c>
      <c r="L2894" s="26" t="str">
        <f>"DGSEI"</f>
        <v>DGSEI</v>
      </c>
      <c r="M2894" s="26" t="str">
        <f t="shared" si="482"/>
        <v>PARTICULAR</v>
      </c>
      <c r="N2894" s="26">
        <v>41</v>
      </c>
      <c r="O2894" s="26">
        <v>20</v>
      </c>
      <c r="P2894" s="26">
        <v>21</v>
      </c>
      <c r="Q2894" s="26">
        <v>6</v>
      </c>
      <c r="R2894" s="26">
        <v>1</v>
      </c>
      <c r="S2894" s="26">
        <v>5</v>
      </c>
      <c r="T2894" s="26">
        <v>5</v>
      </c>
      <c r="U2894" s="26">
        <v>11</v>
      </c>
      <c r="V2894" s="26">
        <v>1</v>
      </c>
      <c r="W2894" s="26"/>
    </row>
    <row r="2895" spans="1:23" x14ac:dyDescent="0.25">
      <c r="A2895" s="26" t="str">
        <f t="shared" si="494"/>
        <v>PRIMARIA</v>
      </c>
      <c r="B2895" s="26" t="str">
        <f>"09PPR1424F"</f>
        <v>09PPR1424F</v>
      </c>
      <c r="C2895" s="26" t="str">
        <f>"CENTRO EDUCATIVO VALLE DE ANAHUAC                                                                   "</f>
        <v xml:space="preserve">CENTRO EDUCATIVO VALLE DE ANAHUAC                                                                   </v>
      </c>
      <c r="D2895" s="26" t="str">
        <f t="shared" si="486"/>
        <v>MATUTINO</v>
      </c>
      <c r="E2895" s="26" t="str">
        <f>"ROSALITA NO. 403-A                                                              "</f>
        <v xml:space="preserve">ROSALITA NO. 403-A                                                              </v>
      </c>
      <c r="F2895" s="26" t="str">
        <f>"EL MOLINO TEZONCO                                                                                                                           "</f>
        <v xml:space="preserve">EL MOLINO TEZONCO                                                                                                                           </v>
      </c>
      <c r="G2895" s="26" t="str">
        <f>"IZTAPALAPA                                                                      "</f>
        <v xml:space="preserve">IZTAPALAPA                                                                      </v>
      </c>
      <c r="H2895" s="26" t="str">
        <f>"000"</f>
        <v>000</v>
      </c>
      <c r="I2895" s="26" t="str">
        <f t="shared" si="495"/>
        <v>00</v>
      </c>
      <c r="J2895" s="26" t="str">
        <f>"63 "</f>
        <v xml:space="preserve">63 </v>
      </c>
      <c r="K2895" s="26" t="str">
        <f>"IZ"</f>
        <v>IZ</v>
      </c>
      <c r="L2895" s="26" t="str">
        <f>"DGSEI"</f>
        <v>DGSEI</v>
      </c>
      <c r="M2895" s="26" t="str">
        <f t="shared" si="482"/>
        <v>PARTICULAR</v>
      </c>
      <c r="N2895" s="26">
        <v>39</v>
      </c>
      <c r="O2895" s="26">
        <v>26</v>
      </c>
      <c r="P2895" s="26">
        <v>13</v>
      </c>
      <c r="Q2895" s="26">
        <v>6</v>
      </c>
      <c r="R2895" s="26">
        <v>1</v>
      </c>
      <c r="S2895" s="26">
        <v>4</v>
      </c>
      <c r="T2895" s="26">
        <v>4</v>
      </c>
      <c r="U2895" s="26">
        <v>9</v>
      </c>
      <c r="V2895" s="26">
        <v>1</v>
      </c>
      <c r="W2895" s="26"/>
    </row>
    <row r="2896" spans="1:23" x14ac:dyDescent="0.25">
      <c r="A2896" s="26" t="str">
        <f t="shared" si="494"/>
        <v>PRIMARIA</v>
      </c>
      <c r="B2896" s="26" t="str">
        <f>"09PPR1425E"</f>
        <v>09PPR1425E</v>
      </c>
      <c r="C2896" s="26" t="str">
        <f>"COLEGIO NEW SOUTH WALES                                                                             "</f>
        <v xml:space="preserve">COLEGIO NEW SOUTH WALES                                                                             </v>
      </c>
      <c r="D2896" s="26" t="str">
        <f t="shared" si="486"/>
        <v>MATUTINO</v>
      </c>
      <c r="E2896" s="26" t="str">
        <f>"AVENIDA. MEXICO NO 714                                                          "</f>
        <v xml:space="preserve">AVENIDA. MEXICO NO 714                                                          </v>
      </c>
      <c r="F2896" s="26" t="str">
        <f>"SAN JERONIMO LIDICE                                                                                                                         "</f>
        <v xml:space="preserve">SAN JERONIMO LIDICE                                                                                                                         </v>
      </c>
      <c r="G2896" s="26" t="str">
        <f>"LA MAGDALENA CONTRERAS                                                          "</f>
        <v xml:space="preserve">LA MAGDALENA CONTRERAS                                                          </v>
      </c>
      <c r="H2896" s="26" t="str">
        <f>"331"</f>
        <v>331</v>
      </c>
      <c r="I2896" s="26" t="str">
        <f t="shared" si="495"/>
        <v>00</v>
      </c>
      <c r="J2896" s="26" t="str">
        <f>"43 "</f>
        <v xml:space="preserve">43 </v>
      </c>
      <c r="K2896" s="26" t="str">
        <f>"PR"</f>
        <v>PR</v>
      </c>
      <c r="L2896" s="26" t="str">
        <f>"DGOSE"</f>
        <v>DGOSE</v>
      </c>
      <c r="M2896" s="26" t="str">
        <f t="shared" si="482"/>
        <v>PARTICULAR</v>
      </c>
      <c r="N2896" s="26">
        <v>118</v>
      </c>
      <c r="O2896" s="26">
        <v>54</v>
      </c>
      <c r="P2896" s="26">
        <v>64</v>
      </c>
      <c r="Q2896" s="26">
        <v>6</v>
      </c>
      <c r="R2896" s="26">
        <v>1</v>
      </c>
      <c r="S2896" s="26">
        <v>3</v>
      </c>
      <c r="T2896" s="26">
        <v>11</v>
      </c>
      <c r="U2896" s="26">
        <v>15</v>
      </c>
      <c r="V2896" s="26">
        <v>1</v>
      </c>
      <c r="W2896" s="26"/>
    </row>
    <row r="2897" spans="1:23" x14ac:dyDescent="0.25">
      <c r="A2897" s="26" t="str">
        <f t="shared" si="494"/>
        <v>PRIMARIA</v>
      </c>
      <c r="B2897" s="26" t="str">
        <f>"09PPR1426D"</f>
        <v>09PPR1426D</v>
      </c>
      <c r="C2897" s="26" t="str">
        <f>"CENTRO EDUCATIVO JOSE DE TAPIA BUJALANCE                                                            "</f>
        <v xml:space="preserve">CENTRO EDUCATIVO JOSE DE TAPIA BUJALANCE                                                            </v>
      </c>
      <c r="D2897" s="26" t="str">
        <f t="shared" si="486"/>
        <v>MATUTINO</v>
      </c>
      <c r="E2897" s="26" t="str">
        <f>"MONTECRISTO NUM 42                                                              "</f>
        <v xml:space="preserve">MONTECRISTO NUM 42                                                              </v>
      </c>
      <c r="F2897" s="26" t="str">
        <f>"CUAUHTEMOC                                                                                                                                  "</f>
        <v xml:space="preserve">CUAUHTEMOC                                                                                                                                  </v>
      </c>
      <c r="G2897" s="26" t="str">
        <f>"LA MAGDALENA CONTRERAS                                                          "</f>
        <v xml:space="preserve">LA MAGDALENA CONTRERAS                                                          </v>
      </c>
      <c r="H2897" s="26" t="str">
        <f>"332"</f>
        <v>332</v>
      </c>
      <c r="I2897" s="26" t="str">
        <f t="shared" si="495"/>
        <v>00</v>
      </c>
      <c r="J2897" s="26" t="str">
        <f>"43 "</f>
        <v xml:space="preserve">43 </v>
      </c>
      <c r="K2897" s="26" t="str">
        <f>"PR"</f>
        <v>PR</v>
      </c>
      <c r="L2897" s="26" t="str">
        <f>"DGOSE"</f>
        <v>DGOSE</v>
      </c>
      <c r="M2897" s="26" t="str">
        <f t="shared" si="482"/>
        <v>PARTICULAR</v>
      </c>
      <c r="N2897" s="26">
        <v>219</v>
      </c>
      <c r="O2897" s="26">
        <v>103</v>
      </c>
      <c r="P2897" s="26">
        <v>116</v>
      </c>
      <c r="Q2897" s="26">
        <v>12</v>
      </c>
      <c r="R2897" s="26">
        <v>1</v>
      </c>
      <c r="S2897" s="26">
        <v>12</v>
      </c>
      <c r="T2897" s="26">
        <v>12</v>
      </c>
      <c r="U2897" s="26">
        <v>25</v>
      </c>
      <c r="V2897" s="26">
        <v>1</v>
      </c>
      <c r="W2897" s="26"/>
    </row>
    <row r="2898" spans="1:23" x14ac:dyDescent="0.25">
      <c r="A2898" s="26" t="str">
        <f t="shared" si="494"/>
        <v>PRIMARIA</v>
      </c>
      <c r="B2898" s="26" t="str">
        <f>"09PPR1427C"</f>
        <v>09PPR1427C</v>
      </c>
      <c r="C2898" s="26" t="str">
        <f>"COLEGIO SUMMER HILL DE ORIENTE                                                                      "</f>
        <v xml:space="preserve">COLEGIO SUMMER HILL DE ORIENTE                                                                      </v>
      </c>
      <c r="D2898" s="26" t="str">
        <f t="shared" si="486"/>
        <v>MATUTINO</v>
      </c>
      <c r="E2898" s="26" t="str">
        <f>"RIO CARRIZAL NO. 17                                                             "</f>
        <v xml:space="preserve">RIO CARRIZAL NO. 17                                                             </v>
      </c>
      <c r="F2898" s="26" t="str">
        <f>"PASEOS DE CHURUBUSCO                                                                                                                        "</f>
        <v xml:space="preserve">PASEOS DE CHURUBUSCO                                                                                                                        </v>
      </c>
      <c r="G2898" s="26" t="str">
        <f>"IZTAPALAPA                                                                      "</f>
        <v xml:space="preserve">IZTAPALAPA                                                                      </v>
      </c>
      <c r="H2898" s="26" t="str">
        <f>"000"</f>
        <v>000</v>
      </c>
      <c r="I2898" s="26" t="str">
        <f t="shared" si="495"/>
        <v>00</v>
      </c>
      <c r="J2898" s="26" t="str">
        <f>"61 "</f>
        <v xml:space="preserve">61 </v>
      </c>
      <c r="K2898" s="26" t="str">
        <f>"IZ"</f>
        <v>IZ</v>
      </c>
      <c r="L2898" s="26" t="str">
        <f>"DGSEI"</f>
        <v>DGSEI</v>
      </c>
      <c r="M2898" s="26" t="str">
        <f t="shared" ref="M2898:M2961" si="496">"PARTICULAR"</f>
        <v>PARTICULAR</v>
      </c>
      <c r="N2898" s="26">
        <v>72</v>
      </c>
      <c r="O2898" s="26">
        <v>35</v>
      </c>
      <c r="P2898" s="26">
        <v>37</v>
      </c>
      <c r="Q2898" s="26">
        <v>6</v>
      </c>
      <c r="R2898" s="26">
        <v>1</v>
      </c>
      <c r="S2898" s="26">
        <v>6</v>
      </c>
      <c r="T2898" s="26">
        <v>6</v>
      </c>
      <c r="U2898" s="26">
        <v>13</v>
      </c>
      <c r="V2898" s="26">
        <v>1</v>
      </c>
      <c r="W2898" s="26"/>
    </row>
    <row r="2899" spans="1:23" x14ac:dyDescent="0.25">
      <c r="A2899" s="26" t="str">
        <f t="shared" si="494"/>
        <v>PRIMARIA</v>
      </c>
      <c r="B2899" s="26" t="str">
        <f>"09PPR1428B"</f>
        <v>09PPR1428B</v>
      </c>
      <c r="C2899" s="26" t="str">
        <f>"COLEGIO ANAHUAC                                                                                     "</f>
        <v xml:space="preserve">COLEGIO ANAHUAC                                                                                     </v>
      </c>
      <c r="D2899" s="26" t="str">
        <f t="shared" si="486"/>
        <v>MATUTINO</v>
      </c>
      <c r="E2899" s="26" t="str">
        <f>"BERISTAIN Y SOUSA NO 88                                                         "</f>
        <v xml:space="preserve">BERISTAIN Y SOUSA NO 88                                                         </v>
      </c>
      <c r="F2899" s="26" t="str">
        <f>"VIADUCTO PIEDAD                                                                                                                             "</f>
        <v xml:space="preserve">VIADUCTO PIEDAD                                                                                                                             </v>
      </c>
      <c r="G2899" s="26" t="str">
        <f>"IZTACALCO                                                                       "</f>
        <v xml:space="preserve">IZTACALCO                                                                       </v>
      </c>
      <c r="H2899" s="26" t="str">
        <f>"361"</f>
        <v>361</v>
      </c>
      <c r="I2899" s="26" t="str">
        <f t="shared" si="495"/>
        <v>00</v>
      </c>
      <c r="J2899" s="26" t="str">
        <f>"43 "</f>
        <v xml:space="preserve">43 </v>
      </c>
      <c r="K2899" s="26" t="str">
        <f t="shared" ref="K2899:K2930" si="497">"PR"</f>
        <v>PR</v>
      </c>
      <c r="L2899" s="26" t="str">
        <f t="shared" ref="L2899:L2930" si="498">"DGOSE"</f>
        <v>DGOSE</v>
      </c>
      <c r="M2899" s="26" t="str">
        <f t="shared" si="496"/>
        <v>PARTICULAR</v>
      </c>
      <c r="N2899" s="26">
        <v>54</v>
      </c>
      <c r="O2899" s="26">
        <v>29</v>
      </c>
      <c r="P2899" s="26">
        <v>25</v>
      </c>
      <c r="Q2899" s="26">
        <v>6</v>
      </c>
      <c r="R2899" s="26">
        <v>1</v>
      </c>
      <c r="S2899" s="26">
        <v>6</v>
      </c>
      <c r="T2899" s="26">
        <v>5</v>
      </c>
      <c r="U2899" s="26">
        <v>12</v>
      </c>
      <c r="V2899" s="26">
        <v>1</v>
      </c>
      <c r="W2899" s="26"/>
    </row>
    <row r="2900" spans="1:23" x14ac:dyDescent="0.25">
      <c r="A2900" s="26" t="str">
        <f t="shared" si="494"/>
        <v>PRIMARIA</v>
      </c>
      <c r="B2900" s="26" t="str">
        <f>"09PPR1431P"</f>
        <v>09PPR1431P</v>
      </c>
      <c r="C2900" s="26" t="str">
        <f>"COLEGIO TIEMPO NUEVO                                                                                "</f>
        <v xml:space="preserve">COLEGIO TIEMPO NUEVO                                                                                </v>
      </c>
      <c r="D2900" s="26" t="str">
        <f t="shared" si="486"/>
        <v>MATUTINO</v>
      </c>
      <c r="E2900" s="26" t="str">
        <f>"HELIOPOLIS NO 112                                                               "</f>
        <v xml:space="preserve">HELIOPOLIS NO 112                                                               </v>
      </c>
      <c r="F2900" s="26" t="str">
        <f>"CLAVERIA                                                                                                                                    "</f>
        <v xml:space="preserve">CLAVERIA                                                                                                                                    </v>
      </c>
      <c r="G2900" s="26" t="str">
        <f>"AZCAPOTZALCO                                                                    "</f>
        <v xml:space="preserve">AZCAPOTZALCO                                                                    </v>
      </c>
      <c r="H2900" s="26" t="str">
        <f>"000"</f>
        <v>000</v>
      </c>
      <c r="I2900" s="26" t="str">
        <f t="shared" si="495"/>
        <v>00</v>
      </c>
      <c r="J2900" s="26" t="str">
        <f>"42 "</f>
        <v xml:space="preserve">42 </v>
      </c>
      <c r="K2900" s="26" t="str">
        <f t="shared" si="497"/>
        <v>PR</v>
      </c>
      <c r="L2900" s="26" t="str">
        <f t="shared" si="498"/>
        <v>DGOSE</v>
      </c>
      <c r="M2900" s="26" t="str">
        <f t="shared" si="496"/>
        <v>PARTICULAR</v>
      </c>
      <c r="N2900" s="26">
        <v>65</v>
      </c>
      <c r="O2900" s="26">
        <v>38</v>
      </c>
      <c r="P2900" s="26">
        <v>27</v>
      </c>
      <c r="Q2900" s="26">
        <v>6</v>
      </c>
      <c r="R2900" s="26">
        <v>1</v>
      </c>
      <c r="S2900" s="26">
        <v>4</v>
      </c>
      <c r="T2900" s="26">
        <v>8</v>
      </c>
      <c r="U2900" s="26">
        <v>13</v>
      </c>
      <c r="V2900" s="26">
        <v>1</v>
      </c>
      <c r="W2900" s="26"/>
    </row>
    <row r="2901" spans="1:23" x14ac:dyDescent="0.25">
      <c r="A2901" s="26" t="str">
        <f t="shared" si="494"/>
        <v>PRIMARIA</v>
      </c>
      <c r="B2901" s="26" t="str">
        <f>"09PPR1432O"</f>
        <v>09PPR1432O</v>
      </c>
      <c r="C2901" s="26" t="str">
        <f>"INSTITUTO INGLATERRA                                                                                "</f>
        <v xml:space="preserve">INSTITUTO INGLATERRA                                                                                </v>
      </c>
      <c r="D2901" s="26" t="str">
        <f t="shared" si="486"/>
        <v>MATUTINO</v>
      </c>
      <c r="E2901" s="26" t="str">
        <f>"BAJIO NO 153                                                                    "</f>
        <v xml:space="preserve">BAJIO NO 153                                                                    </v>
      </c>
      <c r="F2901" s="26" t="str">
        <f>"ROMA SUR                                                                                                                                    "</f>
        <v xml:space="preserve">ROMA SUR                                                                                                                                    </v>
      </c>
      <c r="G2901" s="26" t="str">
        <f>"CUAUHTEMOC                                                                      "</f>
        <v xml:space="preserve">CUAUHTEMOC                                                                      </v>
      </c>
      <c r="H2901" s="26" t="str">
        <f>"221"</f>
        <v>221</v>
      </c>
      <c r="I2901" s="26" t="str">
        <f t="shared" si="495"/>
        <v>00</v>
      </c>
      <c r="J2901" s="26" t="str">
        <f>"42 "</f>
        <v xml:space="preserve">42 </v>
      </c>
      <c r="K2901" s="26" t="str">
        <f t="shared" si="497"/>
        <v>PR</v>
      </c>
      <c r="L2901" s="26" t="str">
        <f t="shared" si="498"/>
        <v>DGOSE</v>
      </c>
      <c r="M2901" s="26" t="str">
        <f t="shared" si="496"/>
        <v>PARTICULAR</v>
      </c>
      <c r="N2901" s="26">
        <v>109</v>
      </c>
      <c r="O2901" s="26">
        <v>48</v>
      </c>
      <c r="P2901" s="26">
        <v>61</v>
      </c>
      <c r="Q2901" s="26">
        <v>6</v>
      </c>
      <c r="R2901" s="26">
        <v>1</v>
      </c>
      <c r="S2901" s="26">
        <v>3</v>
      </c>
      <c r="T2901" s="26">
        <v>11</v>
      </c>
      <c r="U2901" s="26">
        <v>15</v>
      </c>
      <c r="V2901" s="26">
        <v>1</v>
      </c>
      <c r="W2901" s="26"/>
    </row>
    <row r="2902" spans="1:23" x14ac:dyDescent="0.25">
      <c r="A2902" s="26" t="str">
        <f t="shared" si="494"/>
        <v>PRIMARIA</v>
      </c>
      <c r="B2902" s="26" t="str">
        <f>"09PPR1433N"</f>
        <v>09PPR1433N</v>
      </c>
      <c r="C2902" s="26" t="str">
        <f>"CENTRO ESCOLAR MARTINIQUE                                                                           "</f>
        <v xml:space="preserve">CENTRO ESCOLAR MARTINIQUE                                                                           </v>
      </c>
      <c r="D2902" s="26" t="str">
        <f t="shared" si="486"/>
        <v>MATUTINO</v>
      </c>
      <c r="E2902" s="26" t="str">
        <f>"FERNANDO IGLESIAS No 128                                                        "</f>
        <v xml:space="preserve">FERNANDO IGLESIAS No 128                                                        </v>
      </c>
      <c r="F2902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2902" s="26" t="str">
        <f>"VENUSTIANO CARRANZA                                                             "</f>
        <v xml:space="preserve">VENUSTIANO CARRANZA                                                             </v>
      </c>
      <c r="H2902" s="26" t="str">
        <f>"348"</f>
        <v>348</v>
      </c>
      <c r="I2902" s="26" t="str">
        <f t="shared" si="495"/>
        <v>00</v>
      </c>
      <c r="J2902" s="26" t="str">
        <f>"43 "</f>
        <v xml:space="preserve">43 </v>
      </c>
      <c r="K2902" s="26" t="str">
        <f t="shared" si="497"/>
        <v>PR</v>
      </c>
      <c r="L2902" s="26" t="str">
        <f t="shared" si="498"/>
        <v>DGOSE</v>
      </c>
      <c r="M2902" s="26" t="str">
        <f t="shared" si="496"/>
        <v>PARTICULAR</v>
      </c>
      <c r="N2902" s="26">
        <v>101</v>
      </c>
      <c r="O2902" s="26">
        <v>44</v>
      </c>
      <c r="P2902" s="26">
        <v>57</v>
      </c>
      <c r="Q2902" s="26">
        <v>6</v>
      </c>
      <c r="R2902" s="26">
        <v>1</v>
      </c>
      <c r="S2902" s="26">
        <v>6</v>
      </c>
      <c r="T2902" s="26">
        <v>9</v>
      </c>
      <c r="U2902" s="26">
        <v>16</v>
      </c>
      <c r="V2902" s="26">
        <v>1</v>
      </c>
      <c r="W2902" s="26"/>
    </row>
    <row r="2903" spans="1:23" x14ac:dyDescent="0.25">
      <c r="A2903" s="26" t="str">
        <f t="shared" si="494"/>
        <v>PRIMARIA</v>
      </c>
      <c r="B2903" s="26" t="str">
        <f>"09PPR1434M"</f>
        <v>09PPR1434M</v>
      </c>
      <c r="C2903" s="26" t="str">
        <f>"CENTRO PEDAGOGICO INTERACTIVO CIMAT                                                                 "</f>
        <v xml:space="preserve">CENTRO PEDAGOGICO INTERACTIVO CIMAT                                                                 </v>
      </c>
      <c r="D2903" s="26" t="str">
        <f t="shared" si="486"/>
        <v>MATUTINO</v>
      </c>
      <c r="E2903" s="26" t="str">
        <f>"RETORNO 47 DE DEDILIO ROBELO No 14                                              "</f>
        <v xml:space="preserve">RETORNO 47 DE DEDILIO ROBELO No 14                                              </v>
      </c>
      <c r="F2903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2903" s="26" t="str">
        <f>"VENUSTIANO CARRANZA                                                             "</f>
        <v xml:space="preserve">VENUSTIANO CARRANZA                                                             </v>
      </c>
      <c r="H2903" s="26" t="str">
        <f>"349"</f>
        <v>349</v>
      </c>
      <c r="I2903" s="26" t="str">
        <f t="shared" si="495"/>
        <v>00</v>
      </c>
      <c r="J2903" s="26" t="str">
        <f>"43 "</f>
        <v xml:space="preserve">43 </v>
      </c>
      <c r="K2903" s="26" t="str">
        <f t="shared" si="497"/>
        <v>PR</v>
      </c>
      <c r="L2903" s="26" t="str">
        <f t="shared" si="498"/>
        <v>DGOSE</v>
      </c>
      <c r="M2903" s="26" t="str">
        <f t="shared" si="496"/>
        <v>PARTICULAR</v>
      </c>
      <c r="N2903" s="26">
        <v>192</v>
      </c>
      <c r="O2903" s="26">
        <v>90</v>
      </c>
      <c r="P2903" s="26">
        <v>102</v>
      </c>
      <c r="Q2903" s="26">
        <v>12</v>
      </c>
      <c r="R2903" s="26">
        <v>1</v>
      </c>
      <c r="S2903" s="26">
        <v>6</v>
      </c>
      <c r="T2903" s="26">
        <v>14</v>
      </c>
      <c r="U2903" s="26">
        <v>21</v>
      </c>
      <c r="V2903" s="26">
        <v>1</v>
      </c>
      <c r="W2903" s="26"/>
    </row>
    <row r="2904" spans="1:23" x14ac:dyDescent="0.25">
      <c r="A2904" s="26" t="str">
        <f t="shared" si="494"/>
        <v>PRIMARIA</v>
      </c>
      <c r="B2904" s="26" t="str">
        <f>"09PPR1435L"</f>
        <v>09PPR1435L</v>
      </c>
      <c r="C2904" s="26" t="str">
        <f>"COLEGIO INGLES MICHAEL FARADAY                                                                      "</f>
        <v xml:space="preserve">COLEGIO INGLES MICHAEL FARADAY                                                                      </v>
      </c>
      <c r="D2904" s="26" t="str">
        <f t="shared" si="486"/>
        <v>MATUTINO</v>
      </c>
      <c r="E2904" s="26" t="str">
        <f>"AV JOSE LORETO FABELA NO 145                                                    "</f>
        <v xml:space="preserve">AV JOSE LORETO FABELA NO 145                                                    </v>
      </c>
      <c r="F2904" s="26" t="str">
        <f>"CASAS ALEMAN AMPLIACION                                                                                                                     "</f>
        <v xml:space="preserve">CASAS ALEMAN AMPLIACION                                                                                                                     </v>
      </c>
      <c r="G2904" s="26" t="str">
        <f>"GUSTAVO A. MADERO                                                               "</f>
        <v xml:space="preserve">GUSTAVO A. MADERO                                                               </v>
      </c>
      <c r="H2904" s="26" t="str">
        <f>"263"</f>
        <v>263</v>
      </c>
      <c r="I2904" s="26" t="str">
        <f t="shared" si="495"/>
        <v>00</v>
      </c>
      <c r="J2904" s="26" t="str">
        <f>"42 "</f>
        <v xml:space="preserve">42 </v>
      </c>
      <c r="K2904" s="26" t="str">
        <f t="shared" si="497"/>
        <v>PR</v>
      </c>
      <c r="L2904" s="26" t="str">
        <f t="shared" si="498"/>
        <v>DGOSE</v>
      </c>
      <c r="M2904" s="26" t="str">
        <f t="shared" si="496"/>
        <v>PARTICULAR</v>
      </c>
      <c r="N2904" s="26">
        <v>125</v>
      </c>
      <c r="O2904" s="26">
        <v>57</v>
      </c>
      <c r="P2904" s="26">
        <v>68</v>
      </c>
      <c r="Q2904" s="26">
        <v>7</v>
      </c>
      <c r="R2904" s="26">
        <v>1</v>
      </c>
      <c r="S2904" s="26">
        <v>7</v>
      </c>
      <c r="T2904" s="26">
        <v>11</v>
      </c>
      <c r="U2904" s="26">
        <v>19</v>
      </c>
      <c r="V2904" s="26">
        <v>1</v>
      </c>
      <c r="W2904" s="26"/>
    </row>
    <row r="2905" spans="1:23" x14ac:dyDescent="0.25">
      <c r="A2905" s="26" t="str">
        <f t="shared" si="494"/>
        <v>PRIMARIA</v>
      </c>
      <c r="B2905" s="26" t="str">
        <f>"09PPR1436K"</f>
        <v>09PPR1436K</v>
      </c>
      <c r="C2905" s="26" t="str">
        <f>"FUNDADORES DEL SABER                                                                                "</f>
        <v xml:space="preserve">FUNDADORES DEL SABER                                                                                </v>
      </c>
      <c r="D2905" s="26" t="str">
        <f t="shared" si="486"/>
        <v>MATUTINO</v>
      </c>
      <c r="E2905" s="26" t="str">
        <f>"TENOCHTITLAN NUMERO 66                                                          "</f>
        <v xml:space="preserve">TENOCHTITLAN NUMERO 66                                                          </v>
      </c>
      <c r="F2905" s="26" t="str">
        <f>"SANTA ISABEL TOLA                                                                                                                           "</f>
        <v xml:space="preserve">SANTA ISABEL TOLA                                                                                                                           </v>
      </c>
      <c r="G2905" s="26" t="str">
        <f>"GUSTAVO A. MADERO                                                               "</f>
        <v xml:space="preserve">GUSTAVO A. MADERO                                                               </v>
      </c>
      <c r="H2905" s="26" t="str">
        <f>"244"</f>
        <v>244</v>
      </c>
      <c r="I2905" s="26" t="str">
        <f t="shared" si="495"/>
        <v>00</v>
      </c>
      <c r="J2905" s="26" t="str">
        <f>"42 "</f>
        <v xml:space="preserve">42 </v>
      </c>
      <c r="K2905" s="26" t="str">
        <f t="shared" si="497"/>
        <v>PR</v>
      </c>
      <c r="L2905" s="26" t="str">
        <f t="shared" si="498"/>
        <v>DGOSE</v>
      </c>
      <c r="M2905" s="26" t="str">
        <f t="shared" si="496"/>
        <v>PARTICULAR</v>
      </c>
      <c r="N2905" s="26">
        <v>112</v>
      </c>
      <c r="O2905" s="26">
        <v>66</v>
      </c>
      <c r="P2905" s="26">
        <v>46</v>
      </c>
      <c r="Q2905" s="26">
        <v>6</v>
      </c>
      <c r="R2905" s="26">
        <v>1</v>
      </c>
      <c r="S2905" s="26">
        <v>3</v>
      </c>
      <c r="T2905" s="26">
        <v>10</v>
      </c>
      <c r="U2905" s="26">
        <v>14</v>
      </c>
      <c r="V2905" s="26">
        <v>1</v>
      </c>
      <c r="W2905" s="26"/>
    </row>
    <row r="2906" spans="1:23" x14ac:dyDescent="0.25">
      <c r="A2906" s="26" t="str">
        <f t="shared" si="494"/>
        <v>PRIMARIA</v>
      </c>
      <c r="B2906" s="26" t="str">
        <f>"09PPR1438I"</f>
        <v>09PPR1438I</v>
      </c>
      <c r="C2906" s="26" t="str">
        <f>"EDUCACION ALIVE NAPOLES                                                                             "</f>
        <v xml:space="preserve">EDUCACION ALIVE NAPOLES                                                                             </v>
      </c>
      <c r="D2906" s="26" t="str">
        <f t="shared" si="486"/>
        <v>MATUTINO</v>
      </c>
      <c r="E2906" s="26" t="str">
        <f>"INDIANA NO 203                                                                  "</f>
        <v xml:space="preserve">INDIANA NO 203                                                                  </v>
      </c>
      <c r="F2906" s="26" t="str">
        <f>"CIUDAD DE LOS DEPORTES                                                                                                                      "</f>
        <v xml:space="preserve">CIUDAD DE LOS DEPORTES                                                                                                                      </v>
      </c>
      <c r="G2906" s="26" t="str">
        <f>"BENITO JUAREZ                                                                   "</f>
        <v xml:space="preserve">BENITO JUAREZ                                                                   </v>
      </c>
      <c r="H2906" s="26" t="str">
        <f>"340"</f>
        <v>340</v>
      </c>
      <c r="I2906" s="26" t="str">
        <f t="shared" si="495"/>
        <v>00</v>
      </c>
      <c r="J2906" s="26" t="str">
        <f t="shared" ref="J2906:J2911" si="499">"43 "</f>
        <v xml:space="preserve">43 </v>
      </c>
      <c r="K2906" s="26" t="str">
        <f t="shared" si="497"/>
        <v>PR</v>
      </c>
      <c r="L2906" s="26" t="str">
        <f t="shared" si="498"/>
        <v>DGOSE</v>
      </c>
      <c r="M2906" s="26" t="str">
        <f t="shared" si="496"/>
        <v>PARTICULAR</v>
      </c>
      <c r="N2906" s="26">
        <v>56</v>
      </c>
      <c r="O2906" s="26">
        <v>34</v>
      </c>
      <c r="P2906" s="26">
        <v>22</v>
      </c>
      <c r="Q2906" s="26">
        <v>6</v>
      </c>
      <c r="R2906" s="26">
        <v>1</v>
      </c>
      <c r="S2906" s="26">
        <v>3</v>
      </c>
      <c r="T2906" s="26">
        <v>5</v>
      </c>
      <c r="U2906" s="26">
        <v>9</v>
      </c>
      <c r="V2906" s="26">
        <v>1</v>
      </c>
      <c r="W2906" s="26"/>
    </row>
    <row r="2907" spans="1:23" x14ac:dyDescent="0.25">
      <c r="A2907" s="26" t="str">
        <f t="shared" si="494"/>
        <v>PRIMARIA</v>
      </c>
      <c r="B2907" s="26" t="str">
        <f>"09PPR1439H"</f>
        <v>09PPR1439H</v>
      </c>
      <c r="C2907" s="26" t="str">
        <f>"CENTRO EDUCACIONAL NEMOHUA                                                                          "</f>
        <v xml:space="preserve">CENTRO EDUCACIONAL NEMOHUA                                                                          </v>
      </c>
      <c r="D2907" s="26" t="str">
        <f t="shared" si="486"/>
        <v>MATUTINO</v>
      </c>
      <c r="E2907" s="26" t="str">
        <f>"MIER Y PESADO 28-D                                                              "</f>
        <v xml:space="preserve">MIER Y PESADO 28-D                                                              </v>
      </c>
      <c r="F2907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2907" s="26" t="str">
        <f>"BENITO JUAREZ                                                                   "</f>
        <v xml:space="preserve">BENITO JUAREZ                                                                   </v>
      </c>
      <c r="H2907" s="26" t="str">
        <f>"338"</f>
        <v>338</v>
      </c>
      <c r="I2907" s="26" t="str">
        <f t="shared" si="495"/>
        <v>00</v>
      </c>
      <c r="J2907" s="26" t="str">
        <f t="shared" si="499"/>
        <v xml:space="preserve">43 </v>
      </c>
      <c r="K2907" s="26" t="str">
        <f t="shared" si="497"/>
        <v>PR</v>
      </c>
      <c r="L2907" s="26" t="str">
        <f t="shared" si="498"/>
        <v>DGOSE</v>
      </c>
      <c r="M2907" s="26" t="str">
        <f t="shared" si="496"/>
        <v>PARTICULAR</v>
      </c>
      <c r="N2907" s="26">
        <v>86</v>
      </c>
      <c r="O2907" s="26">
        <v>44</v>
      </c>
      <c r="P2907" s="26">
        <v>42</v>
      </c>
      <c r="Q2907" s="26">
        <v>6</v>
      </c>
      <c r="R2907" s="26">
        <v>1</v>
      </c>
      <c r="S2907" s="26">
        <v>3</v>
      </c>
      <c r="T2907" s="26">
        <v>13</v>
      </c>
      <c r="U2907" s="26">
        <v>17</v>
      </c>
      <c r="V2907" s="26">
        <v>1</v>
      </c>
      <c r="W2907" s="26"/>
    </row>
    <row r="2908" spans="1:23" x14ac:dyDescent="0.25">
      <c r="A2908" s="26" t="str">
        <f t="shared" si="494"/>
        <v>PRIMARIA</v>
      </c>
      <c r="B2908" s="26" t="str">
        <f>"09PPR1440X"</f>
        <v>09PPR1440X</v>
      </c>
      <c r="C2908" s="26" t="str">
        <f>"CENTRO EDUCATIVO OCTAVIO PAZ                                                                        "</f>
        <v xml:space="preserve">CENTRO EDUCATIVO OCTAVIO PAZ                                                                        </v>
      </c>
      <c r="D2908" s="26" t="str">
        <f t="shared" si="486"/>
        <v>MATUTINO</v>
      </c>
      <c r="E2908" s="26" t="str">
        <f>"FERNANDO CALDERON MZ 2  LT 1                                                    "</f>
        <v xml:space="preserve">FERNANDO CALDERON MZ 2  LT 1                                                    </v>
      </c>
      <c r="F2908" s="26" t="str">
        <f>"BALCONES DE CEGUAYO                                                                                                                         "</f>
        <v xml:space="preserve">BALCONES DE CEGUAYO                                                                                                                         </v>
      </c>
      <c r="G2908" s="26" t="str">
        <f>"ALVARO OBREGON                                                                  "</f>
        <v xml:space="preserve">ALVARO OBREGON                                                                  </v>
      </c>
      <c r="H2908" s="26" t="str">
        <f>"324"</f>
        <v>324</v>
      </c>
      <c r="I2908" s="26" t="str">
        <f t="shared" si="495"/>
        <v>00</v>
      </c>
      <c r="J2908" s="26" t="str">
        <f t="shared" si="499"/>
        <v xml:space="preserve">43 </v>
      </c>
      <c r="K2908" s="26" t="str">
        <f t="shared" si="497"/>
        <v>PR</v>
      </c>
      <c r="L2908" s="26" t="str">
        <f t="shared" si="498"/>
        <v>DGOSE</v>
      </c>
      <c r="M2908" s="26" t="str">
        <f t="shared" si="496"/>
        <v>PARTICULAR</v>
      </c>
      <c r="N2908" s="26">
        <v>54</v>
      </c>
      <c r="O2908" s="26">
        <v>20</v>
      </c>
      <c r="P2908" s="26">
        <v>34</v>
      </c>
      <c r="Q2908" s="26">
        <v>6</v>
      </c>
      <c r="R2908" s="26">
        <v>1</v>
      </c>
      <c r="S2908" s="26">
        <v>6</v>
      </c>
      <c r="T2908" s="26">
        <v>6</v>
      </c>
      <c r="U2908" s="26">
        <v>13</v>
      </c>
      <c r="V2908" s="26">
        <v>1</v>
      </c>
      <c r="W2908" s="26"/>
    </row>
    <row r="2909" spans="1:23" x14ac:dyDescent="0.25">
      <c r="A2909" s="26" t="str">
        <f t="shared" si="494"/>
        <v>PRIMARIA</v>
      </c>
      <c r="B2909" s="26" t="str">
        <f>"09PPR1441W"</f>
        <v>09PPR1441W</v>
      </c>
      <c r="C2909" s="26" t="str">
        <f>"COLEGIO ALAMO                                                                                       "</f>
        <v xml:space="preserve">COLEGIO ALAMO                                                                                       </v>
      </c>
      <c r="D2909" s="26" t="str">
        <f t="shared" si="486"/>
        <v>MATUTINO</v>
      </c>
      <c r="E2909" s="26" t="str">
        <f>"2DA. CERRADA DE PROLONGACION OCOTE NO. 7                                        "</f>
        <v xml:space="preserve">2DA. CERRADA DE PROLONGACION OCOTE NO. 7                                        </v>
      </c>
      <c r="F2909" s="26" t="str">
        <f>"SAN JOSE DE LOS CEDROS                                                                                                                      "</f>
        <v xml:space="preserve">SAN JOSE DE LOS CEDROS                                                                                                                      </v>
      </c>
      <c r="G2909" s="26" t="str">
        <f>"CUAJIMALPA DE MORELOS                                                           "</f>
        <v xml:space="preserve">CUAJIMALPA DE MORELOS                                                           </v>
      </c>
      <c r="H2909" s="26" t="str">
        <f>"302"</f>
        <v>302</v>
      </c>
      <c r="I2909" s="26" t="str">
        <f t="shared" si="495"/>
        <v>00</v>
      </c>
      <c r="J2909" s="26" t="str">
        <f t="shared" si="499"/>
        <v xml:space="preserve">43 </v>
      </c>
      <c r="K2909" s="26" t="str">
        <f t="shared" si="497"/>
        <v>PR</v>
      </c>
      <c r="L2909" s="26" t="str">
        <f t="shared" si="498"/>
        <v>DGOSE</v>
      </c>
      <c r="M2909" s="26" t="str">
        <f t="shared" si="496"/>
        <v>PARTICULAR</v>
      </c>
      <c r="N2909" s="26">
        <v>132</v>
      </c>
      <c r="O2909" s="26">
        <v>74</v>
      </c>
      <c r="P2909" s="26">
        <v>58</v>
      </c>
      <c r="Q2909" s="26">
        <v>6</v>
      </c>
      <c r="R2909" s="26">
        <v>1</v>
      </c>
      <c r="S2909" s="26">
        <v>4</v>
      </c>
      <c r="T2909" s="26">
        <v>12</v>
      </c>
      <c r="U2909" s="26">
        <v>17</v>
      </c>
      <c r="V2909" s="26">
        <v>1</v>
      </c>
      <c r="W2909" s="26"/>
    </row>
    <row r="2910" spans="1:23" x14ac:dyDescent="0.25">
      <c r="A2910" s="26" t="str">
        <f t="shared" si="494"/>
        <v>PRIMARIA</v>
      </c>
      <c r="B2910" s="26" t="str">
        <f>"09PPR1442V"</f>
        <v>09PPR1442V</v>
      </c>
      <c r="C2910" s="26" t="str">
        <f>"CENTRO EDUCATIVO MODERNO NITA MIRANDA                                                               "</f>
        <v xml:space="preserve">CENTRO EDUCATIVO MODERNO NITA MIRANDA                                                               </v>
      </c>
      <c r="D2910" s="26" t="str">
        <f t="shared" si="486"/>
        <v>MATUTINO</v>
      </c>
      <c r="E2910" s="26" t="str">
        <f>"TERRAPLEN DEL RIO NUM. 144                                                      "</f>
        <v xml:space="preserve">TERRAPLEN DEL RIO NUM. 144                                                      </v>
      </c>
      <c r="F2910" s="26" t="str">
        <f>"LA CRUZ                                                                                                                                     "</f>
        <v xml:space="preserve">LA CRUZ                                                                                                                                     </v>
      </c>
      <c r="G2910" s="26" t="str">
        <f>"IZTACALCO                                                                       "</f>
        <v xml:space="preserve">IZTACALCO                                                                       </v>
      </c>
      <c r="H2910" s="26" t="str">
        <f>"362"</f>
        <v>362</v>
      </c>
      <c r="I2910" s="26" t="str">
        <f t="shared" si="495"/>
        <v>00</v>
      </c>
      <c r="J2910" s="26" t="str">
        <f t="shared" si="499"/>
        <v xml:space="preserve">43 </v>
      </c>
      <c r="K2910" s="26" t="str">
        <f t="shared" si="497"/>
        <v>PR</v>
      </c>
      <c r="L2910" s="26" t="str">
        <f t="shared" si="498"/>
        <v>DGOSE</v>
      </c>
      <c r="M2910" s="26" t="str">
        <f t="shared" si="496"/>
        <v>PARTICULAR</v>
      </c>
      <c r="N2910" s="26">
        <v>67</v>
      </c>
      <c r="O2910" s="26">
        <v>34</v>
      </c>
      <c r="P2910" s="26">
        <v>33</v>
      </c>
      <c r="Q2910" s="26">
        <v>6</v>
      </c>
      <c r="R2910" s="26">
        <v>1</v>
      </c>
      <c r="S2910" s="26">
        <v>6</v>
      </c>
      <c r="T2910" s="26">
        <v>3</v>
      </c>
      <c r="U2910" s="26">
        <v>10</v>
      </c>
      <c r="V2910" s="26">
        <v>1</v>
      </c>
      <c r="W2910" s="26"/>
    </row>
    <row r="2911" spans="1:23" x14ac:dyDescent="0.25">
      <c r="A2911" s="26" t="str">
        <f t="shared" si="494"/>
        <v>PRIMARIA</v>
      </c>
      <c r="B2911" s="26" t="str">
        <f>"09PPR1444T"</f>
        <v>09PPR1444T</v>
      </c>
      <c r="C2911" s="26" t="str">
        <f>"CENTRO ESCOLAR CANADIENSE                                                                           "</f>
        <v xml:space="preserve">CENTRO ESCOLAR CANADIENSE                                                                           </v>
      </c>
      <c r="D2911" s="26" t="str">
        <f t="shared" si="486"/>
        <v>MATUTINO</v>
      </c>
      <c r="E2911" s="26" t="str">
        <f>"ORIENTE 217 NO 20                                                               "</f>
        <v xml:space="preserve">ORIENTE 217 NO 20                                                               </v>
      </c>
      <c r="F2911" s="26" t="str">
        <f>"AGRICOLA PANTITLAN                                                                                                                          "</f>
        <v xml:space="preserve">AGRICOLA PANTITLAN                                                                                                                          </v>
      </c>
      <c r="G2911" s="26" t="str">
        <f>"IZTACALCO                                                                       "</f>
        <v xml:space="preserve">IZTACALCO                                                                       </v>
      </c>
      <c r="H2911" s="26" t="str">
        <f>"354"</f>
        <v>354</v>
      </c>
      <c r="I2911" s="26" t="str">
        <f t="shared" si="495"/>
        <v>00</v>
      </c>
      <c r="J2911" s="26" t="str">
        <f t="shared" si="499"/>
        <v xml:space="preserve">43 </v>
      </c>
      <c r="K2911" s="26" t="str">
        <f t="shared" si="497"/>
        <v>PR</v>
      </c>
      <c r="L2911" s="26" t="str">
        <f t="shared" si="498"/>
        <v>DGOSE</v>
      </c>
      <c r="M2911" s="26" t="str">
        <f t="shared" si="496"/>
        <v>PARTICULAR</v>
      </c>
      <c r="N2911" s="26">
        <v>107</v>
      </c>
      <c r="O2911" s="26">
        <v>56</v>
      </c>
      <c r="P2911" s="26">
        <v>51</v>
      </c>
      <c r="Q2911" s="26">
        <v>6</v>
      </c>
      <c r="R2911" s="26">
        <v>1</v>
      </c>
      <c r="S2911" s="26">
        <v>4</v>
      </c>
      <c r="T2911" s="26">
        <v>6</v>
      </c>
      <c r="U2911" s="26">
        <v>11</v>
      </c>
      <c r="V2911" s="26">
        <v>1</v>
      </c>
      <c r="W2911" s="26"/>
    </row>
    <row r="2912" spans="1:23" x14ac:dyDescent="0.25">
      <c r="A2912" s="26" t="str">
        <f t="shared" si="494"/>
        <v>PRIMARIA</v>
      </c>
      <c r="B2912" s="26" t="str">
        <f>"09PPR1446R"</f>
        <v>09PPR1446R</v>
      </c>
      <c r="C2912" s="26" t="str">
        <f>"COLEGIO ALJIBES                                                                                     "</f>
        <v xml:space="preserve">COLEGIO ALJIBES                                                                                     </v>
      </c>
      <c r="D2912" s="26" t="str">
        <f t="shared" ref="D2912:D2975" si="500">"MATUTINO"</f>
        <v>MATUTINO</v>
      </c>
      <c r="E2912" s="26" t="str">
        <f>"MAR DE LAS TEMPESTADES NO 79                                                    "</f>
        <v xml:space="preserve">MAR DE LAS TEMPESTADES NO 79                                                    </v>
      </c>
      <c r="F2912" s="26" t="str">
        <f>"LOS OLIVOS                                                                                                                                  "</f>
        <v xml:space="preserve">LOS OLIVOS                                                                                                                                  </v>
      </c>
      <c r="G2912" s="26" t="str">
        <f>"COYOACAN                                                                        "</f>
        <v xml:space="preserve">COYOACAN                                                                        </v>
      </c>
      <c r="H2912" s="26" t="str">
        <f>"566"</f>
        <v>566</v>
      </c>
      <c r="I2912" s="26" t="str">
        <f t="shared" si="495"/>
        <v>00</v>
      </c>
      <c r="J2912" s="26" t="str">
        <f>"45 "</f>
        <v xml:space="preserve">45 </v>
      </c>
      <c r="K2912" s="26" t="str">
        <f t="shared" si="497"/>
        <v>PR</v>
      </c>
      <c r="L2912" s="26" t="str">
        <f t="shared" si="498"/>
        <v>DGOSE</v>
      </c>
      <c r="M2912" s="26" t="str">
        <f t="shared" si="496"/>
        <v>PARTICULAR</v>
      </c>
      <c r="N2912" s="26">
        <v>485</v>
      </c>
      <c r="O2912" s="26">
        <v>225</v>
      </c>
      <c r="P2912" s="26">
        <v>260</v>
      </c>
      <c r="Q2912" s="26">
        <v>20</v>
      </c>
      <c r="R2912" s="26">
        <v>1</v>
      </c>
      <c r="S2912" s="26">
        <v>10</v>
      </c>
      <c r="T2912" s="26">
        <v>13</v>
      </c>
      <c r="U2912" s="26">
        <v>24</v>
      </c>
      <c r="V2912" s="26">
        <v>1</v>
      </c>
      <c r="W2912" s="26"/>
    </row>
    <row r="2913" spans="1:23" x14ac:dyDescent="0.25">
      <c r="A2913" s="26" t="str">
        <f t="shared" si="494"/>
        <v>PRIMARIA</v>
      </c>
      <c r="B2913" s="26" t="str">
        <f>"09PPR1447Q"</f>
        <v>09PPR1447Q</v>
      </c>
      <c r="C2913" s="26" t="str">
        <f>"COLEGIO ZUCKERMAN                                                                                   "</f>
        <v xml:space="preserve">COLEGIO ZUCKERMAN                                                                                   </v>
      </c>
      <c r="D2913" s="26" t="str">
        <f t="shared" si="500"/>
        <v>MATUTINO</v>
      </c>
      <c r="E2913" s="26" t="str">
        <f>"2DA. DE TEPOZANES NO. 4                                                         "</f>
        <v xml:space="preserve">2DA. DE TEPOZANES NO. 4                                                         </v>
      </c>
      <c r="F2913" s="26" t="str">
        <f>"SAN MARCOS                                                                                                                                  "</f>
        <v xml:space="preserve">SAN MARCOS                                                                                                                                  </v>
      </c>
      <c r="G2913" s="26" t="str">
        <f>"XOCHIMILCO                                                                      "</f>
        <v xml:space="preserve">XOCHIMILCO                                                                      </v>
      </c>
      <c r="H2913" s="26" t="str">
        <f>"536"</f>
        <v>536</v>
      </c>
      <c r="I2913" s="26" t="str">
        <f t="shared" si="495"/>
        <v>00</v>
      </c>
      <c r="J2913" s="26" t="str">
        <f>"45 "</f>
        <v xml:space="preserve">45 </v>
      </c>
      <c r="K2913" s="26" t="str">
        <f t="shared" si="497"/>
        <v>PR</v>
      </c>
      <c r="L2913" s="26" t="str">
        <f t="shared" si="498"/>
        <v>DGOSE</v>
      </c>
      <c r="M2913" s="26" t="str">
        <f t="shared" si="496"/>
        <v>PARTICULAR</v>
      </c>
      <c r="N2913" s="26">
        <v>90</v>
      </c>
      <c r="O2913" s="26">
        <v>50</v>
      </c>
      <c r="P2913" s="26">
        <v>40</v>
      </c>
      <c r="Q2913" s="26">
        <v>6</v>
      </c>
      <c r="R2913" s="26">
        <v>1</v>
      </c>
      <c r="S2913" s="26">
        <v>4</v>
      </c>
      <c r="T2913" s="26">
        <v>9</v>
      </c>
      <c r="U2913" s="26">
        <v>14</v>
      </c>
      <c r="V2913" s="26">
        <v>1</v>
      </c>
      <c r="W2913" s="26"/>
    </row>
    <row r="2914" spans="1:23" x14ac:dyDescent="0.25">
      <c r="A2914" s="26" t="str">
        <f t="shared" si="494"/>
        <v>PRIMARIA</v>
      </c>
      <c r="B2914" s="26" t="str">
        <f>"09PPR1448P"</f>
        <v>09PPR1448P</v>
      </c>
      <c r="C2914" s="26" t="str">
        <f>"CENTRO EDUCATIVO SIGLO XXI                                                                          "</f>
        <v xml:space="preserve">CENTRO EDUCATIVO SIGLO XXI                                                                          </v>
      </c>
      <c r="D2914" s="26" t="str">
        <f t="shared" si="500"/>
        <v>MATUTINO</v>
      </c>
      <c r="E2914" s="26" t="str">
        <f>"CALLE DEL ROSAL NO 120                                                          "</f>
        <v xml:space="preserve">CALLE DEL ROSAL NO 120                                                          </v>
      </c>
      <c r="F2914" s="26" t="str">
        <f>"SAN PEDRO MARTIR                                                                                                                            "</f>
        <v xml:space="preserve">SAN PEDRO MARTIR                                                                                                                            </v>
      </c>
      <c r="G2914" s="26" t="str">
        <f>"TLALPAN                                                                         "</f>
        <v xml:space="preserve">TLALPAN                                                                         </v>
      </c>
      <c r="H2914" s="26" t="str">
        <f>"528"</f>
        <v>528</v>
      </c>
      <c r="I2914" s="26" t="str">
        <f t="shared" si="495"/>
        <v>00</v>
      </c>
      <c r="J2914" s="26" t="str">
        <f>"45 "</f>
        <v xml:space="preserve">45 </v>
      </c>
      <c r="K2914" s="26" t="str">
        <f t="shared" si="497"/>
        <v>PR</v>
      </c>
      <c r="L2914" s="26" t="str">
        <f t="shared" si="498"/>
        <v>DGOSE</v>
      </c>
      <c r="M2914" s="26" t="str">
        <f t="shared" si="496"/>
        <v>PARTICULAR</v>
      </c>
      <c r="N2914" s="26">
        <v>121</v>
      </c>
      <c r="O2914" s="26">
        <v>71</v>
      </c>
      <c r="P2914" s="26">
        <v>50</v>
      </c>
      <c r="Q2914" s="26">
        <v>6</v>
      </c>
      <c r="R2914" s="26">
        <v>1</v>
      </c>
      <c r="S2914" s="26">
        <v>6</v>
      </c>
      <c r="T2914" s="26">
        <v>6</v>
      </c>
      <c r="U2914" s="26">
        <v>13</v>
      </c>
      <c r="V2914" s="26">
        <v>1</v>
      </c>
      <c r="W2914" s="26"/>
    </row>
    <row r="2915" spans="1:23" x14ac:dyDescent="0.25">
      <c r="A2915" s="26" t="str">
        <f t="shared" si="494"/>
        <v>PRIMARIA</v>
      </c>
      <c r="B2915" s="26" t="str">
        <f>"09PPR1449O"</f>
        <v>09PPR1449O</v>
      </c>
      <c r="C2915" s="26" t="str">
        <f>"JOHN FITZGERALD KENNEDY                                                                             "</f>
        <v xml:space="preserve">JOHN FITZGERALD KENNEDY                                                                             </v>
      </c>
      <c r="D2915" s="26" t="str">
        <f t="shared" si="500"/>
        <v>MATUTINO</v>
      </c>
      <c r="E2915" s="26" t="str">
        <f>"AV. XOCHIMILCO # 195                                                            "</f>
        <v xml:space="preserve">AV. XOCHIMILCO # 195                                                            </v>
      </c>
      <c r="F2915" s="26" t="str">
        <f>"SANTA CRUZ XOCHITEPEC                                                                                                                       "</f>
        <v xml:space="preserve">SANTA CRUZ XOCHITEPEC                                                                                                                       </v>
      </c>
      <c r="G2915" s="26" t="str">
        <f>"XOCHIMILCO                                                                      "</f>
        <v xml:space="preserve">XOCHIMILCO                                                                      </v>
      </c>
      <c r="H2915" s="26" t="str">
        <f>"533"</f>
        <v>533</v>
      </c>
      <c r="I2915" s="26" t="str">
        <f t="shared" si="495"/>
        <v>00</v>
      </c>
      <c r="J2915" s="26" t="str">
        <f>"45 "</f>
        <v xml:space="preserve">45 </v>
      </c>
      <c r="K2915" s="26" t="str">
        <f t="shared" si="497"/>
        <v>PR</v>
      </c>
      <c r="L2915" s="26" t="str">
        <f t="shared" si="498"/>
        <v>DGOSE</v>
      </c>
      <c r="M2915" s="26" t="str">
        <f t="shared" si="496"/>
        <v>PARTICULAR</v>
      </c>
      <c r="N2915" s="26">
        <v>81</v>
      </c>
      <c r="O2915" s="26">
        <v>34</v>
      </c>
      <c r="P2915" s="26">
        <v>47</v>
      </c>
      <c r="Q2915" s="26">
        <v>6</v>
      </c>
      <c r="R2915" s="26">
        <v>1</v>
      </c>
      <c r="S2915" s="26">
        <v>6</v>
      </c>
      <c r="T2915" s="26">
        <v>6</v>
      </c>
      <c r="U2915" s="26">
        <v>13</v>
      </c>
      <c r="V2915" s="26">
        <v>1</v>
      </c>
      <c r="W2915" s="26"/>
    </row>
    <row r="2916" spans="1:23" x14ac:dyDescent="0.25">
      <c r="A2916" s="26" t="str">
        <f t="shared" si="494"/>
        <v>PRIMARIA</v>
      </c>
      <c r="B2916" s="26" t="str">
        <f>"09PPR1452B"</f>
        <v>09PPR1452B</v>
      </c>
      <c r="C2916" s="26" t="str">
        <f>"COLEGIO GIOCOSA                                                                                     "</f>
        <v xml:space="preserve">COLEGIO GIOCOSA                                                                                     </v>
      </c>
      <c r="D2916" s="26" t="str">
        <f t="shared" si="500"/>
        <v>MATUTINO</v>
      </c>
      <c r="E2916" s="26" t="str">
        <f>"PASEOS DEL PEDREGAL NUM 907                                                     "</f>
        <v xml:space="preserve">PASEOS DEL PEDREGAL NUM 907                                                     </v>
      </c>
      <c r="F2916" s="26" t="str">
        <f>"JARDINES DEL PEDREGAL                                                                                                                       "</f>
        <v xml:space="preserve">JARDINES DEL PEDREGAL                                                                                                                       </v>
      </c>
      <c r="G2916" s="26" t="str">
        <f>"ALVARO OBREGON                                                                  "</f>
        <v xml:space="preserve">ALVARO OBREGON                                                                  </v>
      </c>
      <c r="H2916" s="26" t="str">
        <f>"327"</f>
        <v>327</v>
      </c>
      <c r="I2916" s="26" t="str">
        <f t="shared" si="495"/>
        <v>00</v>
      </c>
      <c r="J2916" s="26" t="str">
        <f>"43 "</f>
        <v xml:space="preserve">43 </v>
      </c>
      <c r="K2916" s="26" t="str">
        <f t="shared" si="497"/>
        <v>PR</v>
      </c>
      <c r="L2916" s="26" t="str">
        <f t="shared" si="498"/>
        <v>DGOSE</v>
      </c>
      <c r="M2916" s="26" t="str">
        <f t="shared" si="496"/>
        <v>PARTICULAR</v>
      </c>
      <c r="N2916" s="26">
        <v>183</v>
      </c>
      <c r="O2916" s="26">
        <v>124</v>
      </c>
      <c r="P2916" s="26">
        <v>59</v>
      </c>
      <c r="Q2916" s="26">
        <v>12</v>
      </c>
      <c r="R2916" s="26">
        <v>1</v>
      </c>
      <c r="S2916" s="26">
        <v>6</v>
      </c>
      <c r="T2916" s="26">
        <v>10</v>
      </c>
      <c r="U2916" s="26">
        <v>17</v>
      </c>
      <c r="V2916" s="26">
        <v>1</v>
      </c>
      <c r="W2916" s="26"/>
    </row>
    <row r="2917" spans="1:23" x14ac:dyDescent="0.25">
      <c r="A2917" s="26" t="str">
        <f t="shared" si="494"/>
        <v>PRIMARIA</v>
      </c>
      <c r="B2917" s="26" t="str">
        <f>"09PPR1453A"</f>
        <v>09PPR1453A</v>
      </c>
      <c r="C2917" s="26" t="str">
        <f>"FELIX MARIA DE SAMANIEGO                                                                            "</f>
        <v xml:space="preserve">FELIX MARIA DE SAMANIEGO                                                                            </v>
      </c>
      <c r="D2917" s="26" t="str">
        <f t="shared" si="500"/>
        <v>MATUTINO</v>
      </c>
      <c r="E2917" s="26" t="str">
        <f>"AV. CENTENARIO 601                                                              "</f>
        <v xml:space="preserve">AV. CENTENARIO 601                                                              </v>
      </c>
      <c r="F2917" s="26" t="str">
        <f>"LOMAS DE TARANGO                                                                                                                            "</f>
        <v xml:space="preserve">LOMAS DE TARANGO                                                                                                                            </v>
      </c>
      <c r="G2917" s="26" t="str">
        <f>"ALVARO OBREGON                                                                  "</f>
        <v xml:space="preserve">ALVARO OBREGON                                                                  </v>
      </c>
      <c r="H2917" s="26" t="str">
        <f>"323"</f>
        <v>323</v>
      </c>
      <c r="I2917" s="26" t="str">
        <f t="shared" si="495"/>
        <v>00</v>
      </c>
      <c r="J2917" s="26" t="str">
        <f>"43 "</f>
        <v xml:space="preserve">43 </v>
      </c>
      <c r="K2917" s="26" t="str">
        <f t="shared" si="497"/>
        <v>PR</v>
      </c>
      <c r="L2917" s="26" t="str">
        <f t="shared" si="498"/>
        <v>DGOSE</v>
      </c>
      <c r="M2917" s="26" t="str">
        <f t="shared" si="496"/>
        <v>PARTICULAR</v>
      </c>
      <c r="N2917" s="26">
        <v>64</v>
      </c>
      <c r="O2917" s="26">
        <v>41</v>
      </c>
      <c r="P2917" s="26">
        <v>23</v>
      </c>
      <c r="Q2917" s="26">
        <v>6</v>
      </c>
      <c r="R2917" s="26">
        <v>1</v>
      </c>
      <c r="S2917" s="26">
        <v>3</v>
      </c>
      <c r="T2917" s="26">
        <v>7</v>
      </c>
      <c r="U2917" s="26">
        <v>11</v>
      </c>
      <c r="V2917" s="26">
        <v>1</v>
      </c>
      <c r="W2917" s="26"/>
    </row>
    <row r="2918" spans="1:23" x14ac:dyDescent="0.25">
      <c r="A2918" s="26" t="str">
        <f t="shared" si="494"/>
        <v>PRIMARIA</v>
      </c>
      <c r="B2918" s="26" t="str">
        <f>"09PPR1454Z"</f>
        <v>09PPR1454Z</v>
      </c>
      <c r="C2918" s="26" t="str">
        <f>"CENTRO EDUCATIVO OLIVAR                                                                             "</f>
        <v xml:space="preserve">CENTRO EDUCATIVO OLIVAR                                                                             </v>
      </c>
      <c r="D2918" s="26" t="str">
        <f t="shared" si="500"/>
        <v>MATUTINO</v>
      </c>
      <c r="E2918" s="26" t="str">
        <f>"OLIVAR NUM 37-A                                                                 "</f>
        <v xml:space="preserve">OLIVAR NUM 37-A                                                                 </v>
      </c>
      <c r="F2918" s="26" t="str">
        <f>"TIZAPAN                                                                                                                                     "</f>
        <v xml:space="preserve">TIZAPAN                                                                                                                                     </v>
      </c>
      <c r="G2918" s="26" t="str">
        <f>"ALVARO OBREGON                                                                  "</f>
        <v xml:space="preserve">ALVARO OBREGON                                                                  </v>
      </c>
      <c r="H2918" s="26" t="str">
        <f>"325"</f>
        <v>325</v>
      </c>
      <c r="I2918" s="26" t="str">
        <f t="shared" si="495"/>
        <v>00</v>
      </c>
      <c r="J2918" s="26" t="str">
        <f>"43 "</f>
        <v xml:space="preserve">43 </v>
      </c>
      <c r="K2918" s="26" t="str">
        <f t="shared" si="497"/>
        <v>PR</v>
      </c>
      <c r="L2918" s="26" t="str">
        <f t="shared" si="498"/>
        <v>DGOSE</v>
      </c>
      <c r="M2918" s="26" t="str">
        <f t="shared" si="496"/>
        <v>PARTICULAR</v>
      </c>
      <c r="N2918" s="26">
        <v>46</v>
      </c>
      <c r="O2918" s="26">
        <v>23</v>
      </c>
      <c r="P2918" s="26">
        <v>23</v>
      </c>
      <c r="Q2918" s="26">
        <v>6</v>
      </c>
      <c r="R2918" s="26">
        <v>1</v>
      </c>
      <c r="S2918" s="26">
        <v>3</v>
      </c>
      <c r="T2918" s="26">
        <v>7</v>
      </c>
      <c r="U2918" s="26">
        <v>11</v>
      </c>
      <c r="V2918" s="26">
        <v>1</v>
      </c>
      <c r="W2918" s="26"/>
    </row>
    <row r="2919" spans="1:23" x14ac:dyDescent="0.25">
      <c r="A2919" s="26" t="str">
        <f t="shared" si="494"/>
        <v>PRIMARIA</v>
      </c>
      <c r="B2919" s="26" t="str">
        <f>"09PPR1455Z"</f>
        <v>09PPR1455Z</v>
      </c>
      <c r="C2919" s="26" t="str">
        <f>"INSTITUTO COBA                                                                                      "</f>
        <v xml:space="preserve">INSTITUTO COBA                                                                                      </v>
      </c>
      <c r="D2919" s="26" t="str">
        <f t="shared" si="500"/>
        <v>MATUTINO</v>
      </c>
      <c r="E2919" s="26" t="str">
        <f>"PINGUINO NO 191                                                                 "</f>
        <v xml:space="preserve">PINGUINO NO 191                                                                 </v>
      </c>
      <c r="F2919" s="26" t="str">
        <f>"DEL MAR                                                                                                                                     "</f>
        <v xml:space="preserve">DEL MAR                                                                                                                                     </v>
      </c>
      <c r="G2919" s="26" t="str">
        <f>"TLAHUAC                                                                         "</f>
        <v xml:space="preserve">TLAHUAC                                                                         </v>
      </c>
      <c r="H2919" s="26" t="str">
        <f>"550"</f>
        <v>550</v>
      </c>
      <c r="I2919" s="26" t="str">
        <f t="shared" si="495"/>
        <v>00</v>
      </c>
      <c r="J2919" s="26" t="str">
        <f>"45 "</f>
        <v xml:space="preserve">45 </v>
      </c>
      <c r="K2919" s="26" t="str">
        <f t="shared" si="497"/>
        <v>PR</v>
      </c>
      <c r="L2919" s="26" t="str">
        <f t="shared" si="498"/>
        <v>DGOSE</v>
      </c>
      <c r="M2919" s="26" t="str">
        <f t="shared" si="496"/>
        <v>PARTICULAR</v>
      </c>
      <c r="N2919" s="26">
        <v>82</v>
      </c>
      <c r="O2919" s="26">
        <v>36</v>
      </c>
      <c r="P2919" s="26">
        <v>46</v>
      </c>
      <c r="Q2919" s="26">
        <v>6</v>
      </c>
      <c r="R2919" s="26">
        <v>1</v>
      </c>
      <c r="S2919" s="26">
        <v>6</v>
      </c>
      <c r="T2919" s="26">
        <v>6</v>
      </c>
      <c r="U2919" s="26">
        <v>13</v>
      </c>
      <c r="V2919" s="26">
        <v>1</v>
      </c>
      <c r="W2919" s="26"/>
    </row>
    <row r="2920" spans="1:23" x14ac:dyDescent="0.25">
      <c r="A2920" s="26" t="str">
        <f t="shared" si="494"/>
        <v>PRIMARIA</v>
      </c>
      <c r="B2920" s="26" t="str">
        <f>"09PPR1456Y"</f>
        <v>09PPR1456Y</v>
      </c>
      <c r="C2920" s="26" t="str">
        <f>"""COLEGIO BILINGÜE TLAMACTILOYAN""                                                                    "</f>
        <v xml:space="preserve">"COLEGIO BILINGÜE TLAMACTILOYAN"                                                                    </v>
      </c>
      <c r="D2920" s="26" t="str">
        <f t="shared" si="500"/>
        <v>MATUTINO</v>
      </c>
      <c r="E2920" s="26" t="str">
        <f>"CAPULIN NO 227                                                                  "</f>
        <v xml:space="preserve">CAPULIN NO 227                                                                  </v>
      </c>
      <c r="F2920" s="26" t="str">
        <f>"SAN JOSE DE LAS PERITAS                                                                                                                     "</f>
        <v xml:space="preserve">SAN JOSE DE LAS PERITAS                                                                                                                     </v>
      </c>
      <c r="G2920" s="26" t="str">
        <f>"XOCHIMILCO                                                                      "</f>
        <v xml:space="preserve">XOCHIMILCO                                                                      </v>
      </c>
      <c r="H2920" s="26" t="str">
        <f>"535"</f>
        <v>535</v>
      </c>
      <c r="I2920" s="26" t="str">
        <f t="shared" si="495"/>
        <v>00</v>
      </c>
      <c r="J2920" s="26" t="str">
        <f>"45 "</f>
        <v xml:space="preserve">45 </v>
      </c>
      <c r="K2920" s="26" t="str">
        <f t="shared" si="497"/>
        <v>PR</v>
      </c>
      <c r="L2920" s="26" t="str">
        <f t="shared" si="498"/>
        <v>DGOSE</v>
      </c>
      <c r="M2920" s="26" t="str">
        <f t="shared" si="496"/>
        <v>PARTICULAR</v>
      </c>
      <c r="N2920" s="26">
        <v>116</v>
      </c>
      <c r="O2920" s="26">
        <v>58</v>
      </c>
      <c r="P2920" s="26">
        <v>58</v>
      </c>
      <c r="Q2920" s="26">
        <v>10</v>
      </c>
      <c r="R2920" s="26">
        <v>1</v>
      </c>
      <c r="S2920" s="26">
        <v>5</v>
      </c>
      <c r="T2920" s="26">
        <v>10</v>
      </c>
      <c r="U2920" s="26">
        <v>16</v>
      </c>
      <c r="V2920" s="26">
        <v>1</v>
      </c>
      <c r="W2920" s="26"/>
    </row>
    <row r="2921" spans="1:23" x14ac:dyDescent="0.25">
      <c r="A2921" s="26" t="str">
        <f t="shared" si="494"/>
        <v>PRIMARIA</v>
      </c>
      <c r="B2921" s="26" t="str">
        <f>"09PPR1457X"</f>
        <v>09PPR1457X</v>
      </c>
      <c r="C2921" s="26" t="str">
        <f>"COLEGIO SALVADOR DALI                                                                               "</f>
        <v xml:space="preserve">COLEGIO SALVADOR DALI                                                                               </v>
      </c>
      <c r="D2921" s="26" t="str">
        <f t="shared" si="500"/>
        <v>MATUTINO</v>
      </c>
      <c r="E2921" s="26" t="str">
        <f>"GEMELOS NO 54                                                                   "</f>
        <v xml:space="preserve">GEMELOS NO 54                                                                   </v>
      </c>
      <c r="F2921" s="26" t="str">
        <f>"PRADO CHURUBUSCO                                                                                                                            "</f>
        <v xml:space="preserve">PRADO CHURUBUSCO                                                                                                                            </v>
      </c>
      <c r="G2921" s="26" t="str">
        <f>"COYOACAN                                                                        "</f>
        <v xml:space="preserve">COYOACAN                                                                        </v>
      </c>
      <c r="H2921" s="26" t="str">
        <f>"509"</f>
        <v>509</v>
      </c>
      <c r="I2921" s="26" t="str">
        <f t="shared" si="495"/>
        <v>00</v>
      </c>
      <c r="J2921" s="26" t="str">
        <f>"45 "</f>
        <v xml:space="preserve">45 </v>
      </c>
      <c r="K2921" s="26" t="str">
        <f t="shared" si="497"/>
        <v>PR</v>
      </c>
      <c r="L2921" s="26" t="str">
        <f t="shared" si="498"/>
        <v>DGOSE</v>
      </c>
      <c r="M2921" s="26" t="str">
        <f t="shared" si="496"/>
        <v>PARTICULAR</v>
      </c>
      <c r="N2921" s="26">
        <v>2</v>
      </c>
      <c r="O2921" s="26">
        <v>1</v>
      </c>
      <c r="P2921" s="26">
        <v>1</v>
      </c>
      <c r="Q2921" s="26">
        <v>1</v>
      </c>
      <c r="R2921" s="26">
        <v>1</v>
      </c>
      <c r="S2921" s="26">
        <v>1</v>
      </c>
      <c r="T2921" s="26">
        <v>4</v>
      </c>
      <c r="U2921" s="26">
        <v>6</v>
      </c>
      <c r="V2921" s="26">
        <v>1</v>
      </c>
      <c r="W2921" s="26"/>
    </row>
    <row r="2922" spans="1:23" x14ac:dyDescent="0.25">
      <c r="A2922" s="26" t="str">
        <f t="shared" si="494"/>
        <v>PRIMARIA</v>
      </c>
      <c r="B2922" s="26" t="str">
        <f>"09PPR1458W"</f>
        <v>09PPR1458W</v>
      </c>
      <c r="C2922" s="26" t="str">
        <f>"INSTITUTO COYOACAN DEL SUR                                                                          "</f>
        <v xml:space="preserve">INSTITUTO COYOACAN DEL SUR                                                                          </v>
      </c>
      <c r="D2922" s="26" t="str">
        <f t="shared" si="500"/>
        <v>MATUTINO</v>
      </c>
      <c r="E2922" s="26" t="str">
        <f>"CERRO GORDO NO 1                                                                "</f>
        <v xml:space="preserve">CERRO GORDO NO 1                                                                </v>
      </c>
      <c r="F2922" s="26" t="str">
        <f>"CAMPESTRE CHURUBUSCO                                                                                                                        "</f>
        <v xml:space="preserve">CAMPESTRE CHURUBUSCO                                                                                                                        </v>
      </c>
      <c r="G2922" s="26" t="str">
        <f>"COYOACAN                                                                        "</f>
        <v xml:space="preserve">COYOACAN                                                                        </v>
      </c>
      <c r="H2922" s="26" t="str">
        <f>"502"</f>
        <v>502</v>
      </c>
      <c r="I2922" s="26" t="str">
        <f t="shared" si="495"/>
        <v>00</v>
      </c>
      <c r="J2922" s="26" t="str">
        <f>"45 "</f>
        <v xml:space="preserve">45 </v>
      </c>
      <c r="K2922" s="26" t="str">
        <f t="shared" si="497"/>
        <v>PR</v>
      </c>
      <c r="L2922" s="26" t="str">
        <f t="shared" si="498"/>
        <v>DGOSE</v>
      </c>
      <c r="M2922" s="26" t="str">
        <f t="shared" si="496"/>
        <v>PARTICULAR</v>
      </c>
      <c r="N2922" s="26">
        <v>58</v>
      </c>
      <c r="O2922" s="26">
        <v>31</v>
      </c>
      <c r="P2922" s="26">
        <v>27</v>
      </c>
      <c r="Q2922" s="26">
        <v>6</v>
      </c>
      <c r="R2922" s="26">
        <v>1</v>
      </c>
      <c r="S2922" s="26">
        <v>3</v>
      </c>
      <c r="T2922" s="26">
        <v>9</v>
      </c>
      <c r="U2922" s="26">
        <v>13</v>
      </c>
      <c r="V2922" s="26">
        <v>1</v>
      </c>
      <c r="W2922" s="26"/>
    </row>
    <row r="2923" spans="1:23" x14ac:dyDescent="0.25">
      <c r="A2923" s="26" t="str">
        <f t="shared" si="494"/>
        <v>PRIMARIA</v>
      </c>
      <c r="B2923" s="26" t="str">
        <f>"09PPR1459V"</f>
        <v>09PPR1459V</v>
      </c>
      <c r="C2923" s="26" t="str">
        <f>"COLEGIO ALGARI                                                                                      "</f>
        <v xml:space="preserve">COLEGIO ALGARI                                                                                      </v>
      </c>
      <c r="D2923" s="26" t="str">
        <f t="shared" si="500"/>
        <v>MATUTINO</v>
      </c>
      <c r="E2923" s="26" t="str">
        <f>"AGUSTIN DIAZ NO 20                                                              "</f>
        <v xml:space="preserve">AGUSTIN DIAZ NO 20                                                              </v>
      </c>
      <c r="F2923" s="26" t="str">
        <f>"MIGUEL HIDALGO                                                                                                                              "</f>
        <v xml:space="preserve">MIGUEL HIDALGO                                                                                                                              </v>
      </c>
      <c r="G2923" s="26" t="str">
        <f>"TLALPAN                                                                         "</f>
        <v xml:space="preserve">TLALPAN                                                                         </v>
      </c>
      <c r="H2923" s="26" t="str">
        <f>"517"</f>
        <v>517</v>
      </c>
      <c r="I2923" s="26" t="str">
        <f t="shared" si="495"/>
        <v>00</v>
      </c>
      <c r="J2923" s="26" t="str">
        <f>"45 "</f>
        <v xml:space="preserve">45 </v>
      </c>
      <c r="K2923" s="26" t="str">
        <f t="shared" si="497"/>
        <v>PR</v>
      </c>
      <c r="L2923" s="26" t="str">
        <f t="shared" si="498"/>
        <v>DGOSE</v>
      </c>
      <c r="M2923" s="26" t="str">
        <f t="shared" si="496"/>
        <v>PARTICULAR</v>
      </c>
      <c r="N2923" s="26">
        <v>72</v>
      </c>
      <c r="O2923" s="26">
        <v>43</v>
      </c>
      <c r="P2923" s="26">
        <v>29</v>
      </c>
      <c r="Q2923" s="26">
        <v>6</v>
      </c>
      <c r="R2923" s="26">
        <v>1</v>
      </c>
      <c r="S2923" s="26">
        <v>6</v>
      </c>
      <c r="T2923" s="26">
        <v>5</v>
      </c>
      <c r="U2923" s="26">
        <v>12</v>
      </c>
      <c r="V2923" s="26">
        <v>1</v>
      </c>
      <c r="W2923" s="26"/>
    </row>
    <row r="2924" spans="1:23" x14ac:dyDescent="0.25">
      <c r="A2924" s="26" t="str">
        <f t="shared" si="494"/>
        <v>PRIMARIA</v>
      </c>
      <c r="B2924" s="26" t="str">
        <f>"09PPR1462I"</f>
        <v>09PPR1462I</v>
      </c>
      <c r="C2924" s="26" t="str">
        <f>"WILLIAM THOMSON                                                                                     "</f>
        <v xml:space="preserve">WILLIAM THOMSON                                                                                     </v>
      </c>
      <c r="D2924" s="26" t="str">
        <f t="shared" si="500"/>
        <v>MATUTINO</v>
      </c>
      <c r="E2924" s="26" t="str">
        <f>"AV CARACOL NO 118                                                               "</f>
        <v xml:space="preserve">AV CARACOL NO 118                                                               </v>
      </c>
      <c r="F2924" s="26" t="str">
        <f>"CARACOL                                                                                                                                     "</f>
        <v xml:space="preserve">CARACOL                                                                                                                                     </v>
      </c>
      <c r="G2924" s="26" t="str">
        <f>"VENUSTIANO CARRANZA                                                             "</f>
        <v xml:space="preserve">VENUSTIANO CARRANZA                                                             </v>
      </c>
      <c r="H2924" s="26" t="str">
        <f>"353"</f>
        <v>353</v>
      </c>
      <c r="I2924" s="26" t="str">
        <f t="shared" si="495"/>
        <v>00</v>
      </c>
      <c r="J2924" s="26" t="str">
        <f>"43 "</f>
        <v xml:space="preserve">43 </v>
      </c>
      <c r="K2924" s="26" t="str">
        <f t="shared" si="497"/>
        <v>PR</v>
      </c>
      <c r="L2924" s="26" t="str">
        <f t="shared" si="498"/>
        <v>DGOSE</v>
      </c>
      <c r="M2924" s="26" t="str">
        <f t="shared" si="496"/>
        <v>PARTICULAR</v>
      </c>
      <c r="N2924" s="26">
        <v>147</v>
      </c>
      <c r="O2924" s="26">
        <v>78</v>
      </c>
      <c r="P2924" s="26">
        <v>69</v>
      </c>
      <c r="Q2924" s="26">
        <v>7</v>
      </c>
      <c r="R2924" s="26">
        <v>1</v>
      </c>
      <c r="S2924" s="26">
        <v>7</v>
      </c>
      <c r="T2924" s="26">
        <v>8</v>
      </c>
      <c r="U2924" s="26">
        <v>16</v>
      </c>
      <c r="V2924" s="26">
        <v>1</v>
      </c>
      <c r="W2924" s="26"/>
    </row>
    <row r="2925" spans="1:23" x14ac:dyDescent="0.25">
      <c r="A2925" s="26" t="str">
        <f t="shared" si="494"/>
        <v>PRIMARIA</v>
      </c>
      <c r="B2925" s="26" t="str">
        <f>"09PPR1463H"</f>
        <v>09PPR1463H</v>
      </c>
      <c r="C2925" s="26" t="str">
        <f>"INSTITUTO GUTEMBERG                                                                                 "</f>
        <v xml:space="preserve">INSTITUTO GUTEMBERG                                                                                 </v>
      </c>
      <c r="D2925" s="26" t="str">
        <f t="shared" si="500"/>
        <v>MATUTINO</v>
      </c>
      <c r="E2925" s="26" t="str">
        <f>"CASTULO GARCIA NO 32                                                            "</f>
        <v xml:space="preserve">CASTULO GARCIA NO 32                                                            </v>
      </c>
      <c r="F2925" s="26" t="str">
        <f>"LA CONCHITA                                                                                                                                 "</f>
        <v xml:space="preserve">LA CONCHITA                                                                                                                                 </v>
      </c>
      <c r="G2925" s="26" t="str">
        <f>"TLAHUAC                                                                         "</f>
        <v xml:space="preserve">TLAHUAC                                                                         </v>
      </c>
      <c r="H2925" s="26" t="str">
        <f>"553"</f>
        <v>553</v>
      </c>
      <c r="I2925" s="26" t="str">
        <f t="shared" si="495"/>
        <v>00</v>
      </c>
      <c r="J2925" s="26" t="str">
        <f>"45 "</f>
        <v xml:space="preserve">45 </v>
      </c>
      <c r="K2925" s="26" t="str">
        <f t="shared" si="497"/>
        <v>PR</v>
      </c>
      <c r="L2925" s="26" t="str">
        <f t="shared" si="498"/>
        <v>DGOSE</v>
      </c>
      <c r="M2925" s="26" t="str">
        <f t="shared" si="496"/>
        <v>PARTICULAR</v>
      </c>
      <c r="N2925" s="26">
        <v>119</v>
      </c>
      <c r="O2925" s="26">
        <v>60</v>
      </c>
      <c r="P2925" s="26">
        <v>59</v>
      </c>
      <c r="Q2925" s="26">
        <v>6</v>
      </c>
      <c r="R2925" s="26">
        <v>1</v>
      </c>
      <c r="S2925" s="26">
        <v>6</v>
      </c>
      <c r="T2925" s="26">
        <v>11</v>
      </c>
      <c r="U2925" s="26">
        <v>18</v>
      </c>
      <c r="V2925" s="26">
        <v>1</v>
      </c>
      <c r="W2925" s="26"/>
    </row>
    <row r="2926" spans="1:23" x14ac:dyDescent="0.25">
      <c r="A2926" s="26" t="str">
        <f t="shared" si="494"/>
        <v>PRIMARIA</v>
      </c>
      <c r="B2926" s="26" t="str">
        <f>"09PPR1465F"</f>
        <v>09PPR1465F</v>
      </c>
      <c r="C2926" s="26" t="str">
        <f>"GRAHAM GREENE                                                                                       "</f>
        <v xml:space="preserve">GRAHAM GREENE                                                                                       </v>
      </c>
      <c r="D2926" s="26" t="str">
        <f t="shared" si="500"/>
        <v>MATUTINO</v>
      </c>
      <c r="E2926" s="26" t="str">
        <f>"MANUELA SAENZ NUM. 25                                                           "</f>
        <v xml:space="preserve">MANUELA SAENZ NUM. 25                                                           </v>
      </c>
      <c r="F2926" s="26" t="str">
        <f>"PRESIDENTES EJIDALES                                                                                                                        "</f>
        <v xml:space="preserve">PRESIDENTES EJIDALES                                                                                                                        </v>
      </c>
      <c r="G2926" s="26" t="str">
        <f>"COYOACAN                                                                        "</f>
        <v xml:space="preserve">COYOACAN                                                                        </v>
      </c>
      <c r="H2926" s="26" t="str">
        <f>"566"</f>
        <v>566</v>
      </c>
      <c r="I2926" s="26" t="str">
        <f t="shared" si="495"/>
        <v>00</v>
      </c>
      <c r="J2926" s="26" t="str">
        <f>"45 "</f>
        <v xml:space="preserve">45 </v>
      </c>
      <c r="K2926" s="26" t="str">
        <f t="shared" si="497"/>
        <v>PR</v>
      </c>
      <c r="L2926" s="26" t="str">
        <f t="shared" si="498"/>
        <v>DGOSE</v>
      </c>
      <c r="M2926" s="26" t="str">
        <f t="shared" si="496"/>
        <v>PARTICULAR</v>
      </c>
      <c r="N2926" s="26">
        <v>56</v>
      </c>
      <c r="O2926" s="26">
        <v>32</v>
      </c>
      <c r="P2926" s="26">
        <v>24</v>
      </c>
      <c r="Q2926" s="26">
        <v>6</v>
      </c>
      <c r="R2926" s="26">
        <v>1</v>
      </c>
      <c r="S2926" s="26">
        <v>6</v>
      </c>
      <c r="T2926" s="26">
        <v>5</v>
      </c>
      <c r="U2926" s="26">
        <v>12</v>
      </c>
      <c r="V2926" s="26">
        <v>1</v>
      </c>
      <c r="W2926" s="26"/>
    </row>
    <row r="2927" spans="1:23" x14ac:dyDescent="0.25">
      <c r="A2927" s="26" t="str">
        <f t="shared" si="494"/>
        <v>PRIMARIA</v>
      </c>
      <c r="B2927" s="26" t="str">
        <f>"09PPR1466E"</f>
        <v>09PPR1466E</v>
      </c>
      <c r="C2927" s="26" t="str">
        <f>"""COLEGIO MUCEGUI""                                                                                   "</f>
        <v xml:space="preserve">"COLEGIO MUCEGUI"                                                                                   </v>
      </c>
      <c r="D2927" s="26" t="str">
        <f t="shared" si="500"/>
        <v>MATUTINO</v>
      </c>
      <c r="E2927" s="26" t="str">
        <f>"TAURO # 165                                                                     "</f>
        <v xml:space="preserve">TAURO # 165                                                                     </v>
      </c>
      <c r="F2927" s="26" t="str">
        <f>"PRADO CHURUBUSCO                                                                                                                            "</f>
        <v xml:space="preserve">PRADO CHURUBUSCO                                                                                                                            </v>
      </c>
      <c r="G2927" s="26" t="str">
        <f>"COYOACAN                                                                        "</f>
        <v xml:space="preserve">COYOACAN                                                                        </v>
      </c>
      <c r="H2927" s="26" t="str">
        <f>"509"</f>
        <v>509</v>
      </c>
      <c r="I2927" s="26" t="str">
        <f t="shared" si="495"/>
        <v>00</v>
      </c>
      <c r="J2927" s="26" t="str">
        <f>"45 "</f>
        <v xml:space="preserve">45 </v>
      </c>
      <c r="K2927" s="26" t="str">
        <f t="shared" si="497"/>
        <v>PR</v>
      </c>
      <c r="L2927" s="26" t="str">
        <f t="shared" si="498"/>
        <v>DGOSE</v>
      </c>
      <c r="M2927" s="26" t="str">
        <f t="shared" si="496"/>
        <v>PARTICULAR</v>
      </c>
      <c r="N2927" s="26">
        <v>17</v>
      </c>
      <c r="O2927" s="26">
        <v>12</v>
      </c>
      <c r="P2927" s="26">
        <v>5</v>
      </c>
      <c r="Q2927" s="26">
        <v>6</v>
      </c>
      <c r="R2927" s="26">
        <v>1</v>
      </c>
      <c r="S2927" s="26">
        <v>3</v>
      </c>
      <c r="T2927" s="26">
        <v>5</v>
      </c>
      <c r="U2927" s="26">
        <v>9</v>
      </c>
      <c r="V2927" s="26">
        <v>1</v>
      </c>
      <c r="W2927" s="26"/>
    </row>
    <row r="2928" spans="1:23" x14ac:dyDescent="0.25">
      <c r="A2928" s="26" t="str">
        <f t="shared" si="494"/>
        <v>PRIMARIA</v>
      </c>
      <c r="B2928" s="26" t="str">
        <f>"09PPR1467D"</f>
        <v>09PPR1467D</v>
      </c>
      <c r="C2928" s="26" t="str">
        <f>"COLEGIO MI NACION                                                                                   "</f>
        <v xml:space="preserve">COLEGIO MI NACION                                                                                   </v>
      </c>
      <c r="D2928" s="26" t="str">
        <f t="shared" si="500"/>
        <v>MATUTINO</v>
      </c>
      <c r="E2928" s="26" t="str">
        <f>"SAN FELIPE MZ. 532 L-12                                                         "</f>
        <v xml:space="preserve">SAN FELIPE MZ. 532 L-12                                                         </v>
      </c>
      <c r="F2928" s="26" t="str">
        <f>"SANTA URSULA COAPA                                                                                                                          "</f>
        <v xml:space="preserve">SANTA URSULA COAPA                                                                                                                          </v>
      </c>
      <c r="G2928" s="26" t="str">
        <f>"COYOACAN                                                                        "</f>
        <v xml:space="preserve">COYOACAN                                                                        </v>
      </c>
      <c r="H2928" s="26" t="str">
        <f>"507"</f>
        <v>507</v>
      </c>
      <c r="I2928" s="26" t="str">
        <f t="shared" si="495"/>
        <v>00</v>
      </c>
      <c r="J2928" s="26" t="str">
        <f>"45 "</f>
        <v xml:space="preserve">45 </v>
      </c>
      <c r="K2928" s="26" t="str">
        <f t="shared" si="497"/>
        <v>PR</v>
      </c>
      <c r="L2928" s="26" t="str">
        <f t="shared" si="498"/>
        <v>DGOSE</v>
      </c>
      <c r="M2928" s="26" t="str">
        <f t="shared" si="496"/>
        <v>PARTICULAR</v>
      </c>
      <c r="N2928" s="26">
        <v>121</v>
      </c>
      <c r="O2928" s="26">
        <v>59</v>
      </c>
      <c r="P2928" s="26">
        <v>62</v>
      </c>
      <c r="Q2928" s="26">
        <v>6</v>
      </c>
      <c r="R2928" s="26">
        <v>1</v>
      </c>
      <c r="S2928" s="26">
        <v>3</v>
      </c>
      <c r="T2928" s="26">
        <v>6</v>
      </c>
      <c r="U2928" s="26">
        <v>10</v>
      </c>
      <c r="V2928" s="26">
        <v>1</v>
      </c>
      <c r="W2928" s="26"/>
    </row>
    <row r="2929" spans="1:23" x14ac:dyDescent="0.25">
      <c r="A2929" s="26" t="str">
        <f t="shared" si="494"/>
        <v>PRIMARIA</v>
      </c>
      <c r="B2929" s="26" t="str">
        <f>"09PPR1468C"</f>
        <v>09PPR1468C</v>
      </c>
      <c r="C2929" s="26" t="str">
        <f>"COLEGIO VIRGILIO URIBE                                                                              "</f>
        <v xml:space="preserve">COLEGIO VIRGILIO URIBE                                                                              </v>
      </c>
      <c r="D2929" s="26" t="str">
        <f t="shared" si="500"/>
        <v>MATUTINO</v>
      </c>
      <c r="E2929" s="26" t="str">
        <f>"TASMANIA 321                                                                    "</f>
        <v xml:space="preserve">TASMANIA 321                                                                    </v>
      </c>
      <c r="F2929" s="26" t="str">
        <f>"COSMOPOLITA                                                                                                                                 "</f>
        <v xml:space="preserve">COSMOPOLITA                                                                                                                                 </v>
      </c>
      <c r="G2929" s="26" t="str">
        <f>"AZCAPOTZALCO                                                                    "</f>
        <v xml:space="preserve">AZCAPOTZALCO                                                                    </v>
      </c>
      <c r="H2929" s="26" t="str">
        <f>"207"</f>
        <v>207</v>
      </c>
      <c r="I2929" s="26" t="str">
        <f t="shared" si="495"/>
        <v>00</v>
      </c>
      <c r="J2929" s="26" t="str">
        <f>"42 "</f>
        <v xml:space="preserve">42 </v>
      </c>
      <c r="K2929" s="26" t="str">
        <f t="shared" si="497"/>
        <v>PR</v>
      </c>
      <c r="L2929" s="26" t="str">
        <f t="shared" si="498"/>
        <v>DGOSE</v>
      </c>
      <c r="M2929" s="26" t="str">
        <f t="shared" si="496"/>
        <v>PARTICULAR</v>
      </c>
      <c r="N2929" s="26">
        <v>40</v>
      </c>
      <c r="O2929" s="26">
        <v>26</v>
      </c>
      <c r="P2929" s="26">
        <v>14</v>
      </c>
      <c r="Q2929" s="26">
        <v>6</v>
      </c>
      <c r="R2929" s="26">
        <v>1</v>
      </c>
      <c r="S2929" s="26">
        <v>3</v>
      </c>
      <c r="T2929" s="26">
        <v>7</v>
      </c>
      <c r="U2929" s="26">
        <v>11</v>
      </c>
      <c r="V2929" s="26">
        <v>1</v>
      </c>
      <c r="W2929" s="26"/>
    </row>
    <row r="2930" spans="1:23" x14ac:dyDescent="0.25">
      <c r="A2930" s="26" t="str">
        <f t="shared" si="494"/>
        <v>PRIMARIA</v>
      </c>
      <c r="B2930" s="26" t="str">
        <f>"09PPR1470R"</f>
        <v>09PPR1470R</v>
      </c>
      <c r="C2930" s="26" t="str">
        <f>"EL TESORO DEL SABER                                                                                 "</f>
        <v xml:space="preserve">EL TESORO DEL SABER                                                                                 </v>
      </c>
      <c r="D2930" s="26" t="str">
        <f t="shared" si="500"/>
        <v>MATUTINO</v>
      </c>
      <c r="E2930" s="26" t="str">
        <f>"ORIENTE 83 NO 4209                                                              "</f>
        <v xml:space="preserve">ORIENTE 83 NO 4209                                                              </v>
      </c>
      <c r="F2930" s="26" t="str">
        <f>"MALINCHE                                                                                                                                    "</f>
        <v xml:space="preserve">MALINCHE                                                                                                                                    </v>
      </c>
      <c r="G2930" s="26" t="str">
        <f>"GUSTAVO A. MADERO                                                               "</f>
        <v xml:space="preserve">GUSTAVO A. MADERO                                                               </v>
      </c>
      <c r="H2930" s="26" t="str">
        <f>"254"</f>
        <v>254</v>
      </c>
      <c r="I2930" s="26" t="str">
        <f t="shared" si="495"/>
        <v>00</v>
      </c>
      <c r="J2930" s="26" t="str">
        <f>"42 "</f>
        <v xml:space="preserve">42 </v>
      </c>
      <c r="K2930" s="26" t="str">
        <f t="shared" si="497"/>
        <v>PR</v>
      </c>
      <c r="L2930" s="26" t="str">
        <f t="shared" si="498"/>
        <v>DGOSE</v>
      </c>
      <c r="M2930" s="26" t="str">
        <f t="shared" si="496"/>
        <v>PARTICULAR</v>
      </c>
      <c r="N2930" s="26">
        <v>436</v>
      </c>
      <c r="O2930" s="26">
        <v>229</v>
      </c>
      <c r="P2930" s="26">
        <v>207</v>
      </c>
      <c r="Q2930" s="26">
        <v>15</v>
      </c>
      <c r="R2930" s="26">
        <v>1</v>
      </c>
      <c r="S2930" s="26">
        <v>7</v>
      </c>
      <c r="T2930" s="26">
        <v>14</v>
      </c>
      <c r="U2930" s="26">
        <v>22</v>
      </c>
      <c r="V2930" s="26">
        <v>1</v>
      </c>
      <c r="W2930" s="26"/>
    </row>
    <row r="2931" spans="1:23" x14ac:dyDescent="0.25">
      <c r="A2931" s="26" t="str">
        <f t="shared" si="494"/>
        <v>PRIMARIA</v>
      </c>
      <c r="B2931" s="26" t="str">
        <f>"09PPR1471Q"</f>
        <v>09PPR1471Q</v>
      </c>
      <c r="C2931" s="26" t="str">
        <f>"COLEGIO CHARLES DICKENS                                                                             "</f>
        <v xml:space="preserve">COLEGIO CHARLES DICKENS                                                                             </v>
      </c>
      <c r="D2931" s="26" t="str">
        <f t="shared" si="500"/>
        <v>MATUTINO</v>
      </c>
      <c r="E2931" s="26" t="str">
        <f>"TRINIDAD GUERRERO MZ. 32 LT. 19                                                 "</f>
        <v xml:space="preserve">TRINIDAD GUERRERO MZ. 32 LT. 19                                                 </v>
      </c>
      <c r="F2931" s="26" t="str">
        <f>"PARAJE SAN JUAN                                                                                                                             "</f>
        <v xml:space="preserve">PARAJE SAN JUAN                                                                                                                             </v>
      </c>
      <c r="G2931" s="26" t="str">
        <f>"IZTAPALAPA                                                                      "</f>
        <v xml:space="preserve">IZTAPALAPA                                                                      </v>
      </c>
      <c r="H2931" s="26" t="str">
        <f>"000"</f>
        <v>000</v>
      </c>
      <c r="I2931" s="26" t="str">
        <f t="shared" si="495"/>
        <v>00</v>
      </c>
      <c r="J2931" s="26" t="str">
        <f>"63 "</f>
        <v xml:space="preserve">63 </v>
      </c>
      <c r="K2931" s="26" t="str">
        <f>"IZ"</f>
        <v>IZ</v>
      </c>
      <c r="L2931" s="26" t="str">
        <f>"DGSEI"</f>
        <v>DGSEI</v>
      </c>
      <c r="M2931" s="26" t="str">
        <f t="shared" si="496"/>
        <v>PARTICULAR</v>
      </c>
      <c r="N2931" s="26">
        <v>134</v>
      </c>
      <c r="O2931" s="26">
        <v>67</v>
      </c>
      <c r="P2931" s="26">
        <v>67</v>
      </c>
      <c r="Q2931" s="26">
        <v>7</v>
      </c>
      <c r="R2931" s="26">
        <v>1</v>
      </c>
      <c r="S2931" s="26">
        <v>7</v>
      </c>
      <c r="T2931" s="26">
        <v>11</v>
      </c>
      <c r="U2931" s="26">
        <v>19</v>
      </c>
      <c r="V2931" s="26">
        <v>1</v>
      </c>
      <c r="W2931" s="26"/>
    </row>
    <row r="2932" spans="1:23" x14ac:dyDescent="0.25">
      <c r="A2932" s="26" t="str">
        <f t="shared" si="494"/>
        <v>PRIMARIA</v>
      </c>
      <c r="B2932" s="26" t="str">
        <f>"09PPR1474N"</f>
        <v>09PPR1474N</v>
      </c>
      <c r="C2932" s="26" t="str">
        <f>"PATRIA DE CUAUHTEMOC                                                                                "</f>
        <v xml:space="preserve">PATRIA DE CUAUHTEMOC                                                                                </v>
      </c>
      <c r="D2932" s="26" t="str">
        <f t="shared" si="500"/>
        <v>MATUTINO</v>
      </c>
      <c r="E2932" s="26" t="str">
        <f>"MIGUEL HIDALGO NO. 93                                                           "</f>
        <v xml:space="preserve">MIGUEL HIDALGO NO. 93                                                           </v>
      </c>
      <c r="F2932" s="26" t="str">
        <f>"SANTA MARIA AZTAHUACAN                                                                                                                      "</f>
        <v xml:space="preserve">SANTA MARIA AZTAHUACAN                                                                                                                      </v>
      </c>
      <c r="G2932" s="26" t="str">
        <f>"IZTAPALAPA                                                                      "</f>
        <v xml:space="preserve">IZTAPALAPA                                                                      </v>
      </c>
      <c r="H2932" s="26" t="str">
        <f>"000"</f>
        <v>000</v>
      </c>
      <c r="I2932" s="26" t="str">
        <f t="shared" si="495"/>
        <v>00</v>
      </c>
      <c r="J2932" s="26" t="str">
        <f>"64 "</f>
        <v xml:space="preserve">64 </v>
      </c>
      <c r="K2932" s="26" t="str">
        <f>"IZ"</f>
        <v>IZ</v>
      </c>
      <c r="L2932" s="26" t="str">
        <f>"DGSEI"</f>
        <v>DGSEI</v>
      </c>
      <c r="M2932" s="26" t="str">
        <f t="shared" si="496"/>
        <v>PARTICULAR</v>
      </c>
      <c r="N2932" s="26">
        <v>119</v>
      </c>
      <c r="O2932" s="26">
        <v>53</v>
      </c>
      <c r="P2932" s="26">
        <v>66</v>
      </c>
      <c r="Q2932" s="26">
        <v>6</v>
      </c>
      <c r="R2932" s="26">
        <v>1</v>
      </c>
      <c r="S2932" s="26">
        <v>3</v>
      </c>
      <c r="T2932" s="26">
        <v>8</v>
      </c>
      <c r="U2932" s="26">
        <v>12</v>
      </c>
      <c r="V2932" s="26">
        <v>1</v>
      </c>
      <c r="W2932" s="26"/>
    </row>
    <row r="2933" spans="1:23" x14ac:dyDescent="0.25">
      <c r="A2933" s="26" t="str">
        <f t="shared" si="494"/>
        <v>PRIMARIA</v>
      </c>
      <c r="B2933" s="26" t="str">
        <f>"09PPR1477K"</f>
        <v>09PPR1477K</v>
      </c>
      <c r="C2933" s="26" t="str">
        <f>"INSTITUTO PEDAGOGICO STEFAN ZWEIG                                                                   "</f>
        <v xml:space="preserve">INSTITUTO PEDAGOGICO STEFAN ZWEIG                                                                   </v>
      </c>
      <c r="D2933" s="26" t="str">
        <f t="shared" si="500"/>
        <v>MATUTINO</v>
      </c>
      <c r="E2933" s="26" t="str">
        <f>"20 DE NOVIEMBRE MZ. 49 LT. 537                                                  "</f>
        <v xml:space="preserve">20 DE NOVIEMBRE MZ. 49 LT. 537                                                  </v>
      </c>
      <c r="F2933" s="26" t="str">
        <f>"SANTA MARIA AZTAHUACAN                                                                                                                      "</f>
        <v xml:space="preserve">SANTA MARIA AZTAHUACAN                                                                                                                      </v>
      </c>
      <c r="G2933" s="26" t="str">
        <f>"IZTAPALAPA                                                                      "</f>
        <v xml:space="preserve">IZTAPALAPA                                                                      </v>
      </c>
      <c r="H2933" s="26" t="str">
        <f>"000"</f>
        <v>000</v>
      </c>
      <c r="I2933" s="26" t="str">
        <f t="shared" si="495"/>
        <v>00</v>
      </c>
      <c r="J2933" s="26" t="str">
        <f>"64 "</f>
        <v xml:space="preserve">64 </v>
      </c>
      <c r="K2933" s="26" t="str">
        <f>"IZ"</f>
        <v>IZ</v>
      </c>
      <c r="L2933" s="26" t="str">
        <f>"DGSEI"</f>
        <v>DGSEI</v>
      </c>
      <c r="M2933" s="26" t="str">
        <f t="shared" si="496"/>
        <v>PARTICULAR</v>
      </c>
      <c r="N2933" s="26">
        <v>126</v>
      </c>
      <c r="O2933" s="26">
        <v>78</v>
      </c>
      <c r="P2933" s="26">
        <v>48</v>
      </c>
      <c r="Q2933" s="26">
        <v>6</v>
      </c>
      <c r="R2933" s="26">
        <v>1</v>
      </c>
      <c r="S2933" s="26">
        <v>6</v>
      </c>
      <c r="T2933" s="26">
        <v>4</v>
      </c>
      <c r="U2933" s="26">
        <v>11</v>
      </c>
      <c r="V2933" s="26">
        <v>1</v>
      </c>
      <c r="W2933" s="26"/>
    </row>
    <row r="2934" spans="1:23" x14ac:dyDescent="0.25">
      <c r="A2934" s="26" t="str">
        <f t="shared" si="494"/>
        <v>PRIMARIA</v>
      </c>
      <c r="B2934" s="26" t="str">
        <f>"09PPR1478J"</f>
        <v>09PPR1478J</v>
      </c>
      <c r="C2934" s="26" t="str">
        <f>"COLEGIO CIPRESES                                                                                    "</f>
        <v xml:space="preserve">COLEGIO CIPRESES                                                                                    </v>
      </c>
      <c r="D2934" s="26" t="str">
        <f t="shared" si="500"/>
        <v>MATUTINO</v>
      </c>
      <c r="E2934" s="26" t="str">
        <f>"AZTECAS NO 16                                                                   "</f>
        <v xml:space="preserve">AZTECAS NO 16                                                                   </v>
      </c>
      <c r="F2934" s="26" t="str">
        <f>"EL MOLINO  IZTAPALAPA                                                                                                                       "</f>
        <v xml:space="preserve">EL MOLINO  IZTAPALAPA                                                                                                                       </v>
      </c>
      <c r="G2934" s="26" t="str">
        <f>"IZTAPALAPA                                                                      "</f>
        <v xml:space="preserve">IZTAPALAPA                                                                      </v>
      </c>
      <c r="H2934" s="26" t="str">
        <f>"000"</f>
        <v>000</v>
      </c>
      <c r="I2934" s="26" t="str">
        <f t="shared" si="495"/>
        <v>00</v>
      </c>
      <c r="J2934" s="26" t="str">
        <f>"63 "</f>
        <v xml:space="preserve">63 </v>
      </c>
      <c r="K2934" s="26" t="str">
        <f>"IZ"</f>
        <v>IZ</v>
      </c>
      <c r="L2934" s="26" t="str">
        <f>"DGSEI"</f>
        <v>DGSEI</v>
      </c>
      <c r="M2934" s="26" t="str">
        <f t="shared" si="496"/>
        <v>PARTICULAR</v>
      </c>
      <c r="N2934" s="26">
        <v>291</v>
      </c>
      <c r="O2934" s="26">
        <v>146</v>
      </c>
      <c r="P2934" s="26">
        <v>145</v>
      </c>
      <c r="Q2934" s="26">
        <v>12</v>
      </c>
      <c r="R2934" s="26">
        <v>1</v>
      </c>
      <c r="S2934" s="26">
        <v>6</v>
      </c>
      <c r="T2934" s="26">
        <v>5</v>
      </c>
      <c r="U2934" s="26">
        <v>12</v>
      </c>
      <c r="V2934" s="26">
        <v>1</v>
      </c>
      <c r="W2934" s="26"/>
    </row>
    <row r="2935" spans="1:23" x14ac:dyDescent="0.25">
      <c r="A2935" s="26" t="str">
        <f t="shared" si="494"/>
        <v>PRIMARIA</v>
      </c>
      <c r="B2935" s="26" t="str">
        <f>"09PPR1479I"</f>
        <v>09PPR1479I</v>
      </c>
      <c r="C2935" s="26" t="str">
        <f>"COLEGIO BRITANIA                                                                                    "</f>
        <v xml:space="preserve">COLEGIO BRITANIA                                                                                    </v>
      </c>
      <c r="D2935" s="26" t="str">
        <f t="shared" si="500"/>
        <v>MATUTINO</v>
      </c>
      <c r="E2935" s="26" t="str">
        <f>"COQUE NO. 50                                                                    "</f>
        <v xml:space="preserve">COQUE NO. 50                                                                    </v>
      </c>
      <c r="F2935" s="26" t="str">
        <f>"SANTA APOLONIA                                                                                                                              "</f>
        <v xml:space="preserve">SANTA APOLONIA                                                                                                                              </v>
      </c>
      <c r="G2935" s="26" t="str">
        <f>"AZCAPOTZALCO                                                                    "</f>
        <v xml:space="preserve">AZCAPOTZALCO                                                                    </v>
      </c>
      <c r="H2935" s="26" t="str">
        <f>"204"</f>
        <v>204</v>
      </c>
      <c r="I2935" s="26" t="str">
        <f t="shared" si="495"/>
        <v>00</v>
      </c>
      <c r="J2935" s="26" t="str">
        <f>"42 "</f>
        <v xml:space="preserve">42 </v>
      </c>
      <c r="K2935" s="26" t="str">
        <f>"PR"</f>
        <v>PR</v>
      </c>
      <c r="L2935" s="26" t="str">
        <f>"DGOSE"</f>
        <v>DGOSE</v>
      </c>
      <c r="M2935" s="26" t="str">
        <f t="shared" si="496"/>
        <v>PARTICULAR</v>
      </c>
      <c r="N2935" s="26">
        <v>99</v>
      </c>
      <c r="O2935" s="26">
        <v>57</v>
      </c>
      <c r="P2935" s="26">
        <v>42</v>
      </c>
      <c r="Q2935" s="26">
        <v>6</v>
      </c>
      <c r="R2935" s="26">
        <v>1</v>
      </c>
      <c r="S2935" s="26">
        <v>6</v>
      </c>
      <c r="T2935" s="26">
        <v>10</v>
      </c>
      <c r="U2935" s="26">
        <v>17</v>
      </c>
      <c r="V2935" s="26">
        <v>1</v>
      </c>
      <c r="W2935" s="26"/>
    </row>
    <row r="2936" spans="1:23" x14ac:dyDescent="0.25">
      <c r="A2936" s="26" t="str">
        <f t="shared" si="494"/>
        <v>PRIMARIA</v>
      </c>
      <c r="B2936" s="26" t="str">
        <f>"09PPR1480Y"</f>
        <v>09PPR1480Y</v>
      </c>
      <c r="C2936" s="26" t="str">
        <f>"COLEGIO BUON                                                                                        "</f>
        <v xml:space="preserve">COLEGIO BUON                                                                                        </v>
      </c>
      <c r="D2936" s="26" t="str">
        <f t="shared" si="500"/>
        <v>MATUTINO</v>
      </c>
      <c r="E2936" s="26" t="str">
        <f>"12 NO 86                                                                        "</f>
        <v xml:space="preserve">12 NO 86                                                                        </v>
      </c>
      <c r="F2936" s="26" t="str">
        <f>"OLIVAR DEL CONDE 1A SECCION                                                                                                                 "</f>
        <v xml:space="preserve">OLIVAR DEL CONDE 1A SECCION                                                                                                                 </v>
      </c>
      <c r="G2936" s="26" t="str">
        <f>"ALVARO OBREGON                                                                  "</f>
        <v xml:space="preserve">ALVARO OBREGON                                                                  </v>
      </c>
      <c r="H2936" s="26" t="str">
        <f>"314"</f>
        <v>314</v>
      </c>
      <c r="I2936" s="26" t="str">
        <f t="shared" si="495"/>
        <v>00</v>
      </c>
      <c r="J2936" s="26" t="str">
        <f>"43 "</f>
        <v xml:space="preserve">43 </v>
      </c>
      <c r="K2936" s="26" t="str">
        <f>"PR"</f>
        <v>PR</v>
      </c>
      <c r="L2936" s="26" t="str">
        <f>"DGOSE"</f>
        <v>DGOSE</v>
      </c>
      <c r="M2936" s="26" t="str">
        <f t="shared" si="496"/>
        <v>PARTICULAR</v>
      </c>
      <c r="N2936" s="26">
        <v>98</v>
      </c>
      <c r="O2936" s="26">
        <v>50</v>
      </c>
      <c r="P2936" s="26">
        <v>48</v>
      </c>
      <c r="Q2936" s="26">
        <v>6</v>
      </c>
      <c r="R2936" s="26">
        <v>1</v>
      </c>
      <c r="S2936" s="26">
        <v>4</v>
      </c>
      <c r="T2936" s="26">
        <v>13</v>
      </c>
      <c r="U2936" s="26">
        <v>18</v>
      </c>
      <c r="V2936" s="26">
        <v>1</v>
      </c>
      <c r="W2936" s="26"/>
    </row>
    <row r="2937" spans="1:23" x14ac:dyDescent="0.25">
      <c r="A2937" s="26" t="str">
        <f t="shared" si="494"/>
        <v>PRIMARIA</v>
      </c>
      <c r="B2937" s="26" t="str">
        <f>"09PPR1482W"</f>
        <v>09PPR1482W</v>
      </c>
      <c r="C2937" s="26" t="str">
        <f>"JOSE MARIA LUIS MORA                                                                                "</f>
        <v xml:space="preserve">JOSE MARIA LUIS MORA                                                                                </v>
      </c>
      <c r="D2937" s="26" t="str">
        <f t="shared" si="500"/>
        <v>MATUTINO</v>
      </c>
      <c r="E2937" s="26" t="str">
        <f>"CORAS 357                                                                       "</f>
        <v xml:space="preserve">CORAS 357                                                                       </v>
      </c>
      <c r="F2937" s="26" t="str">
        <f>"AJUSCO                                                                                                                                      "</f>
        <v xml:space="preserve">AJUSCO                                                                                                                                      </v>
      </c>
      <c r="G2937" s="26" t="str">
        <f>"COYOACAN                                                                        "</f>
        <v xml:space="preserve">COYOACAN                                                                        </v>
      </c>
      <c r="H2937" s="26" t="str">
        <f>"505"</f>
        <v>505</v>
      </c>
      <c r="I2937" s="26" t="str">
        <f t="shared" si="495"/>
        <v>00</v>
      </c>
      <c r="J2937" s="26" t="str">
        <f>"45 "</f>
        <v xml:space="preserve">45 </v>
      </c>
      <c r="K2937" s="26" t="str">
        <f>"PR"</f>
        <v>PR</v>
      </c>
      <c r="L2937" s="26" t="str">
        <f>"DGOSE"</f>
        <v>DGOSE</v>
      </c>
      <c r="M2937" s="26" t="str">
        <f t="shared" si="496"/>
        <v>PARTICULAR</v>
      </c>
      <c r="N2937" s="26">
        <v>168</v>
      </c>
      <c r="O2937" s="26">
        <v>85</v>
      </c>
      <c r="P2937" s="26">
        <v>83</v>
      </c>
      <c r="Q2937" s="26">
        <v>12</v>
      </c>
      <c r="R2937" s="26">
        <v>1</v>
      </c>
      <c r="S2937" s="26">
        <v>6</v>
      </c>
      <c r="T2937" s="26">
        <v>11</v>
      </c>
      <c r="U2937" s="26">
        <v>18</v>
      </c>
      <c r="V2937" s="26">
        <v>1</v>
      </c>
      <c r="W2937" s="26"/>
    </row>
    <row r="2938" spans="1:23" x14ac:dyDescent="0.25">
      <c r="A2938" s="26" t="str">
        <f t="shared" si="494"/>
        <v>PRIMARIA</v>
      </c>
      <c r="B2938" s="26" t="str">
        <f>"09PPR1483V"</f>
        <v>09PPR1483V</v>
      </c>
      <c r="C2938" s="26" t="str">
        <f>"COLEGIO NUEVO MILENIO                                                                               "</f>
        <v xml:space="preserve">COLEGIO NUEVO MILENIO                                                                               </v>
      </c>
      <c r="D2938" s="26" t="str">
        <f t="shared" si="500"/>
        <v>MATUTINO</v>
      </c>
      <c r="E2938" s="26" t="str">
        <f>"CDA JUVENTINO ROSAS Z- 6 M27 L33                                                "</f>
        <v xml:space="preserve">CDA JUVENTINO ROSAS Z- 6 M27 L33                                                </v>
      </c>
      <c r="F2938" s="26" t="str">
        <f>"CUAUTEPEC BARRIO ALTO                                                                                                                       "</f>
        <v xml:space="preserve">CUAUTEPEC BARRIO ALTO                                                                                                                       </v>
      </c>
      <c r="G2938" s="26" t="str">
        <f>"GUSTAVO A. MADERO                                                               "</f>
        <v xml:space="preserve">GUSTAVO A. MADERO                                                               </v>
      </c>
      <c r="H2938" s="26" t="str">
        <f>"228"</f>
        <v>228</v>
      </c>
      <c r="I2938" s="26" t="str">
        <f t="shared" si="495"/>
        <v>00</v>
      </c>
      <c r="J2938" s="26" t="str">
        <f>"42 "</f>
        <v xml:space="preserve">42 </v>
      </c>
      <c r="K2938" s="26" t="str">
        <f>"PR"</f>
        <v>PR</v>
      </c>
      <c r="L2938" s="26" t="str">
        <f>"DGOSE"</f>
        <v>DGOSE</v>
      </c>
      <c r="M2938" s="26" t="str">
        <f t="shared" si="496"/>
        <v>PARTICULAR</v>
      </c>
      <c r="N2938" s="26">
        <v>197</v>
      </c>
      <c r="O2938" s="26">
        <v>93</v>
      </c>
      <c r="P2938" s="26">
        <v>104</v>
      </c>
      <c r="Q2938" s="26">
        <v>10</v>
      </c>
      <c r="R2938" s="26">
        <v>1</v>
      </c>
      <c r="S2938" s="26">
        <v>10</v>
      </c>
      <c r="T2938" s="26">
        <v>5</v>
      </c>
      <c r="U2938" s="26">
        <v>16</v>
      </c>
      <c r="V2938" s="26">
        <v>1</v>
      </c>
      <c r="W2938" s="26"/>
    </row>
    <row r="2939" spans="1:23" x14ac:dyDescent="0.25">
      <c r="A2939" s="26" t="str">
        <f t="shared" si="494"/>
        <v>PRIMARIA</v>
      </c>
      <c r="B2939" s="26" t="str">
        <f>"09PPR1484U"</f>
        <v>09PPR1484U</v>
      </c>
      <c r="C2939" s="26" t="str">
        <f>"COLEGIO MARCELINO JOSE DE CHAMPAGNAT                                                                "</f>
        <v xml:space="preserve">COLEGIO MARCELINO JOSE DE CHAMPAGNAT                                                                </v>
      </c>
      <c r="D2939" s="26" t="str">
        <f t="shared" si="500"/>
        <v>MATUTINO</v>
      </c>
      <c r="E2939" s="26" t="str">
        <f>"SUR 105 NO.155                                                                  "</f>
        <v xml:space="preserve">SUR 105 NO.155                                                                  </v>
      </c>
      <c r="F2939" s="26" t="str">
        <f>"MEXICALTZINGO                                                                                                                               "</f>
        <v xml:space="preserve">MEXICALTZINGO                                                                                                                               </v>
      </c>
      <c r="G2939" s="26" t="str">
        <f>"IZTAPALAPA                                                                      "</f>
        <v xml:space="preserve">IZTAPALAPA                                                                      </v>
      </c>
      <c r="H2939" s="26" t="str">
        <f>"000"</f>
        <v>000</v>
      </c>
      <c r="I2939" s="26" t="str">
        <f t="shared" si="495"/>
        <v>00</v>
      </c>
      <c r="J2939" s="26" t="str">
        <f>"61 "</f>
        <v xml:space="preserve">61 </v>
      </c>
      <c r="K2939" s="26" t="str">
        <f>"IZ"</f>
        <v>IZ</v>
      </c>
      <c r="L2939" s="26" t="str">
        <f>"DGSEI"</f>
        <v>DGSEI</v>
      </c>
      <c r="M2939" s="26" t="str">
        <f t="shared" si="496"/>
        <v>PARTICULAR</v>
      </c>
      <c r="N2939" s="26">
        <v>41</v>
      </c>
      <c r="O2939" s="26">
        <v>18</v>
      </c>
      <c r="P2939" s="26">
        <v>23</v>
      </c>
      <c r="Q2939" s="26">
        <v>6</v>
      </c>
      <c r="R2939" s="26">
        <v>1</v>
      </c>
      <c r="S2939" s="26">
        <v>5</v>
      </c>
      <c r="T2939" s="26">
        <v>2</v>
      </c>
      <c r="U2939" s="26">
        <v>8</v>
      </c>
      <c r="V2939" s="26">
        <v>1</v>
      </c>
      <c r="W2939" s="26"/>
    </row>
    <row r="2940" spans="1:23" x14ac:dyDescent="0.25">
      <c r="A2940" s="26" t="str">
        <f t="shared" si="494"/>
        <v>PRIMARIA</v>
      </c>
      <c r="B2940" s="26" t="str">
        <f>"09PPR1486S"</f>
        <v>09PPR1486S</v>
      </c>
      <c r="C2940" s="26" t="str">
        <f>"COLEGIO DEL PILAR                                                                                   "</f>
        <v xml:space="preserve">COLEGIO DEL PILAR                                                                                   </v>
      </c>
      <c r="D2940" s="26" t="str">
        <f t="shared" si="500"/>
        <v>MATUTINO</v>
      </c>
      <c r="E2940" s="26" t="str">
        <f>"PATRIA NO 203                                                                   "</f>
        <v xml:space="preserve">PATRIA NO 203                                                                   </v>
      </c>
      <c r="F2940" s="26" t="str">
        <f>"LA LAGUNA TICOMAN                                                                                                                           "</f>
        <v xml:space="preserve">LA LAGUNA TICOMAN                                                                                                                           </v>
      </c>
      <c r="G2940" s="26" t="str">
        <f>"GUSTAVO A. MADERO                                                               "</f>
        <v xml:space="preserve">GUSTAVO A. MADERO                                                               </v>
      </c>
      <c r="H2940" s="26" t="str">
        <f>"237"</f>
        <v>237</v>
      </c>
      <c r="I2940" s="26" t="str">
        <f t="shared" si="495"/>
        <v>00</v>
      </c>
      <c r="J2940" s="26" t="str">
        <f>"42 "</f>
        <v xml:space="preserve">42 </v>
      </c>
      <c r="K2940" s="26" t="str">
        <f t="shared" ref="K2940:K2956" si="501">"PR"</f>
        <v>PR</v>
      </c>
      <c r="L2940" s="26" t="str">
        <f t="shared" ref="L2940:L2956" si="502">"DGOSE"</f>
        <v>DGOSE</v>
      </c>
      <c r="M2940" s="26" t="str">
        <f t="shared" si="496"/>
        <v>PARTICULAR</v>
      </c>
      <c r="N2940" s="26">
        <v>229</v>
      </c>
      <c r="O2940" s="26">
        <v>122</v>
      </c>
      <c r="P2940" s="26">
        <v>107</v>
      </c>
      <c r="Q2940" s="26">
        <v>12</v>
      </c>
      <c r="R2940" s="26">
        <v>1</v>
      </c>
      <c r="S2940" s="26">
        <v>10</v>
      </c>
      <c r="T2940" s="26">
        <v>9</v>
      </c>
      <c r="U2940" s="26">
        <v>20</v>
      </c>
      <c r="V2940" s="26">
        <v>1</v>
      </c>
      <c r="W2940" s="26"/>
    </row>
    <row r="2941" spans="1:23" x14ac:dyDescent="0.25">
      <c r="A2941" s="26" t="str">
        <f t="shared" si="494"/>
        <v>PRIMARIA</v>
      </c>
      <c r="B2941" s="26" t="str">
        <f>"09PPR1487R"</f>
        <v>09PPR1487R</v>
      </c>
      <c r="C2941" s="26" t="str">
        <f>"COLEGIO WASHINGTON                                                                                  "</f>
        <v xml:space="preserve">COLEGIO WASHINGTON                                                                                  </v>
      </c>
      <c r="D2941" s="26" t="str">
        <f t="shared" si="500"/>
        <v>MATUTINO</v>
      </c>
      <c r="E2941" s="26" t="str">
        <f>"CALLE 34-A NO. 31                                                               "</f>
        <v xml:space="preserve">CALLE 34-A NO. 31                                                               </v>
      </c>
      <c r="F2941" s="26" t="str">
        <f>"SANTA ROSA                                                                                                                                  "</f>
        <v xml:space="preserve">SANTA ROSA                                                                                                                                  </v>
      </c>
      <c r="G2941" s="26" t="str">
        <f>"GUSTAVO A. MADERO                                                               "</f>
        <v xml:space="preserve">GUSTAVO A. MADERO                                                               </v>
      </c>
      <c r="H2941" s="26" t="str">
        <f>"238"</f>
        <v>238</v>
      </c>
      <c r="I2941" s="26" t="str">
        <f t="shared" si="495"/>
        <v>00</v>
      </c>
      <c r="J2941" s="26" t="str">
        <f>"42 "</f>
        <v xml:space="preserve">42 </v>
      </c>
      <c r="K2941" s="26" t="str">
        <f t="shared" si="501"/>
        <v>PR</v>
      </c>
      <c r="L2941" s="26" t="str">
        <f t="shared" si="502"/>
        <v>DGOSE</v>
      </c>
      <c r="M2941" s="26" t="str">
        <f t="shared" si="496"/>
        <v>PARTICULAR</v>
      </c>
      <c r="N2941" s="26">
        <v>104</v>
      </c>
      <c r="O2941" s="26">
        <v>58</v>
      </c>
      <c r="P2941" s="26">
        <v>46</v>
      </c>
      <c r="Q2941" s="26">
        <v>7</v>
      </c>
      <c r="R2941" s="26">
        <v>1</v>
      </c>
      <c r="S2941" s="26">
        <v>4</v>
      </c>
      <c r="T2941" s="26">
        <v>8</v>
      </c>
      <c r="U2941" s="26">
        <v>13</v>
      </c>
      <c r="V2941" s="26">
        <v>1</v>
      </c>
      <c r="W2941" s="26"/>
    </row>
    <row r="2942" spans="1:23" x14ac:dyDescent="0.25">
      <c r="A2942" s="26" t="str">
        <f t="shared" si="494"/>
        <v>PRIMARIA</v>
      </c>
      <c r="B2942" s="26" t="str">
        <f>"09PPR1488Q"</f>
        <v>09PPR1488Q</v>
      </c>
      <c r="C2942" s="26" t="str">
        <f>"PLAN DE AYALA                                                                                       "</f>
        <v xml:space="preserve">PLAN DE AYALA                                                                                       </v>
      </c>
      <c r="D2942" s="26" t="str">
        <f t="shared" si="500"/>
        <v>MATUTINO</v>
      </c>
      <c r="E2942" s="26" t="str">
        <f>"AV MORELOS NO 38                                                                "</f>
        <v xml:space="preserve">AV MORELOS NO 38                                                                </v>
      </c>
      <c r="F2942" s="26" t="str">
        <f>"SAN PABLO OZTOTEPEC                                                                                                                         "</f>
        <v xml:space="preserve">SAN PABLO OZTOTEPEC                                                                                                                         </v>
      </c>
      <c r="G2942" s="26" t="str">
        <f>"MILPA ALTA                                                                      "</f>
        <v xml:space="preserve">MILPA ALTA                                                                      </v>
      </c>
      <c r="H2942" s="26" t="str">
        <f>"565"</f>
        <v>565</v>
      </c>
      <c r="I2942" s="26" t="str">
        <f t="shared" si="495"/>
        <v>00</v>
      </c>
      <c r="J2942" s="26" t="str">
        <f>"45 "</f>
        <v xml:space="preserve">45 </v>
      </c>
      <c r="K2942" s="26" t="str">
        <f t="shared" si="501"/>
        <v>PR</v>
      </c>
      <c r="L2942" s="26" t="str">
        <f t="shared" si="502"/>
        <v>DGOSE</v>
      </c>
      <c r="M2942" s="26" t="str">
        <f t="shared" si="496"/>
        <v>PARTICULAR</v>
      </c>
      <c r="N2942" s="26">
        <v>65</v>
      </c>
      <c r="O2942" s="26">
        <v>35</v>
      </c>
      <c r="P2942" s="26">
        <v>30</v>
      </c>
      <c r="Q2942" s="26">
        <v>6</v>
      </c>
      <c r="R2942" s="26">
        <v>1</v>
      </c>
      <c r="S2942" s="26">
        <v>4</v>
      </c>
      <c r="T2942" s="26">
        <v>4</v>
      </c>
      <c r="U2942" s="26">
        <v>9</v>
      </c>
      <c r="V2942" s="26">
        <v>1</v>
      </c>
      <c r="W2942" s="26"/>
    </row>
    <row r="2943" spans="1:23" x14ac:dyDescent="0.25">
      <c r="A2943" s="26" t="str">
        <f t="shared" si="494"/>
        <v>PRIMARIA</v>
      </c>
      <c r="B2943" s="26" t="str">
        <f>"09PPR1490E"</f>
        <v>09PPR1490E</v>
      </c>
      <c r="C2943" s="26" t="str">
        <f>"COLEGIO TLALTENCO                                                                                   "</f>
        <v xml:space="preserve">COLEGIO TLALTENCO                                                                                   </v>
      </c>
      <c r="D2943" s="26" t="str">
        <f t="shared" si="500"/>
        <v>MATUTINO</v>
      </c>
      <c r="E2943" s="26" t="str">
        <f>"MAR DE LA SERENIDAD 130                                                         "</f>
        <v xml:space="preserve">MAR DE LA SERENIDAD 130                                                         </v>
      </c>
      <c r="F2943" s="26" t="str">
        <f>"SELENE                                                                                                                                      "</f>
        <v xml:space="preserve">SELENE                                                                                                                                      </v>
      </c>
      <c r="G2943" s="26" t="str">
        <f>"TLAHUAC                                                                         "</f>
        <v xml:space="preserve">TLAHUAC                                                                         </v>
      </c>
      <c r="H2943" s="26" t="str">
        <f>"555"</f>
        <v>555</v>
      </c>
      <c r="I2943" s="26" t="str">
        <f t="shared" si="495"/>
        <v>00</v>
      </c>
      <c r="J2943" s="26" t="str">
        <f>"45 "</f>
        <v xml:space="preserve">45 </v>
      </c>
      <c r="K2943" s="26" t="str">
        <f t="shared" si="501"/>
        <v>PR</v>
      </c>
      <c r="L2943" s="26" t="str">
        <f t="shared" si="502"/>
        <v>DGOSE</v>
      </c>
      <c r="M2943" s="26" t="str">
        <f t="shared" si="496"/>
        <v>PARTICULAR</v>
      </c>
      <c r="N2943" s="26">
        <v>119</v>
      </c>
      <c r="O2943" s="26">
        <v>55</v>
      </c>
      <c r="P2943" s="26">
        <v>64</v>
      </c>
      <c r="Q2943" s="26">
        <v>6</v>
      </c>
      <c r="R2943" s="26">
        <v>1</v>
      </c>
      <c r="S2943" s="26">
        <v>6</v>
      </c>
      <c r="T2943" s="26">
        <v>5</v>
      </c>
      <c r="U2943" s="26">
        <v>12</v>
      </c>
      <c r="V2943" s="26">
        <v>1</v>
      </c>
      <c r="W2943" s="26"/>
    </row>
    <row r="2944" spans="1:23" x14ac:dyDescent="0.25">
      <c r="A2944" s="26" t="str">
        <f t="shared" si="494"/>
        <v>PRIMARIA</v>
      </c>
      <c r="B2944" s="26" t="str">
        <f>"09PPR1491D"</f>
        <v>09PPR1491D</v>
      </c>
      <c r="C2944" s="26" t="str">
        <f>"LORD BERTRAND RUSSELL                                                                               "</f>
        <v xml:space="preserve">LORD BERTRAND RUSSELL                                                                               </v>
      </c>
      <c r="D2944" s="26" t="str">
        <f t="shared" si="500"/>
        <v>MATUTINO</v>
      </c>
      <c r="E2944" s="26" t="str">
        <f>"CANDELARIA NUM. 36                                                              "</f>
        <v xml:space="preserve">CANDELARIA NUM. 36                                                              </v>
      </c>
      <c r="F2944" s="26" t="str">
        <f>"EL ROSEDAL                                                                                                                                  "</f>
        <v xml:space="preserve">EL ROSEDAL                                                                                                                                  </v>
      </c>
      <c r="G2944" s="26" t="str">
        <f>"COYOACAN                                                                        "</f>
        <v xml:space="preserve">COYOACAN                                                                        </v>
      </c>
      <c r="H2944" s="26" t="str">
        <f>"503"</f>
        <v>503</v>
      </c>
      <c r="I2944" s="26" t="str">
        <f t="shared" si="495"/>
        <v>00</v>
      </c>
      <c r="J2944" s="26" t="str">
        <f>"45 "</f>
        <v xml:space="preserve">45 </v>
      </c>
      <c r="K2944" s="26" t="str">
        <f t="shared" si="501"/>
        <v>PR</v>
      </c>
      <c r="L2944" s="26" t="str">
        <f t="shared" si="502"/>
        <v>DGOSE</v>
      </c>
      <c r="M2944" s="26" t="str">
        <f t="shared" si="496"/>
        <v>PARTICULAR</v>
      </c>
      <c r="N2944" s="26">
        <v>180</v>
      </c>
      <c r="O2944" s="26">
        <v>84</v>
      </c>
      <c r="P2944" s="26">
        <v>96</v>
      </c>
      <c r="Q2944" s="26">
        <v>10</v>
      </c>
      <c r="R2944" s="26">
        <v>1</v>
      </c>
      <c r="S2944" s="26">
        <v>5</v>
      </c>
      <c r="T2944" s="26">
        <v>9</v>
      </c>
      <c r="U2944" s="26">
        <v>15</v>
      </c>
      <c r="V2944" s="26">
        <v>1</v>
      </c>
      <c r="W2944" s="26"/>
    </row>
    <row r="2945" spans="1:23" x14ac:dyDescent="0.25">
      <c r="A2945" s="26" t="str">
        <f t="shared" si="494"/>
        <v>PRIMARIA</v>
      </c>
      <c r="B2945" s="26" t="str">
        <f>"09PPR1492C"</f>
        <v>09PPR1492C</v>
      </c>
      <c r="C2945" s="26" t="str">
        <f>"ISAAC NEWTON                                                                                        "</f>
        <v xml:space="preserve">ISAAC NEWTON                                                                                        </v>
      </c>
      <c r="D2945" s="26" t="str">
        <f t="shared" si="500"/>
        <v>MATUTINO</v>
      </c>
      <c r="E2945" s="26" t="str">
        <f>"AVENIDA LACANDONES NO 89                                                        "</f>
        <v xml:space="preserve">AVENIDA LACANDONES NO 89                                                        </v>
      </c>
      <c r="F2945" s="26" t="str">
        <f>"PEDREGAL LAS AGUILAS                                                                                                                        "</f>
        <v xml:space="preserve">PEDREGAL LAS AGUILAS                                                                                                                        </v>
      </c>
      <c r="G2945" s="26" t="str">
        <f>"TLALPAN                                                                         "</f>
        <v xml:space="preserve">TLALPAN                                                                         </v>
      </c>
      <c r="H2945" s="26" t="str">
        <f>"522"</f>
        <v>522</v>
      </c>
      <c r="I2945" s="26" t="str">
        <f t="shared" si="495"/>
        <v>00</v>
      </c>
      <c r="J2945" s="26" t="str">
        <f>"45 "</f>
        <v xml:space="preserve">45 </v>
      </c>
      <c r="K2945" s="26" t="str">
        <f t="shared" si="501"/>
        <v>PR</v>
      </c>
      <c r="L2945" s="26" t="str">
        <f t="shared" si="502"/>
        <v>DGOSE</v>
      </c>
      <c r="M2945" s="26" t="str">
        <f t="shared" si="496"/>
        <v>PARTICULAR</v>
      </c>
      <c r="N2945" s="26">
        <v>81</v>
      </c>
      <c r="O2945" s="26">
        <v>45</v>
      </c>
      <c r="P2945" s="26">
        <v>36</v>
      </c>
      <c r="Q2945" s="26">
        <v>6</v>
      </c>
      <c r="R2945" s="26">
        <v>1</v>
      </c>
      <c r="S2945" s="26">
        <v>5</v>
      </c>
      <c r="T2945" s="26">
        <v>6</v>
      </c>
      <c r="U2945" s="26">
        <v>12</v>
      </c>
      <c r="V2945" s="26">
        <v>1</v>
      </c>
      <c r="W2945" s="26"/>
    </row>
    <row r="2946" spans="1:23" x14ac:dyDescent="0.25">
      <c r="A2946" s="26" t="str">
        <f t="shared" ref="A2946:A3009" si="503">"PRIMARIA"</f>
        <v>PRIMARIA</v>
      </c>
      <c r="B2946" s="26" t="str">
        <f>"09PPR1493B"</f>
        <v>09PPR1493B</v>
      </c>
      <c r="C2946" s="26" t="str">
        <f>"COLEGIO ALEXANDER DUL                                                                               "</f>
        <v xml:space="preserve">COLEGIO ALEXANDER DUL                                                                               </v>
      </c>
      <c r="D2946" s="26" t="str">
        <f t="shared" si="500"/>
        <v>MATUTINO</v>
      </c>
      <c r="E2946" s="26" t="str">
        <f>"AV SANTA LUCIA NO 263                                                           "</f>
        <v xml:space="preserve">AV SANTA LUCIA NO 263                                                           </v>
      </c>
      <c r="F2946" s="26" t="str">
        <f>"OLIVAR DEL CONDE 2A SECCION                                                                                                                 "</f>
        <v xml:space="preserve">OLIVAR DEL CONDE 2A SECCION                                                                                                                 </v>
      </c>
      <c r="G2946" s="26" t="str">
        <f>"ALVARO OBREGON                                                                  "</f>
        <v xml:space="preserve">ALVARO OBREGON                                                                  </v>
      </c>
      <c r="H2946" s="26" t="str">
        <f>"317"</f>
        <v>317</v>
      </c>
      <c r="I2946" s="26" t="str">
        <f t="shared" ref="I2946:I3009" si="504">"00"</f>
        <v>00</v>
      </c>
      <c r="J2946" s="26" t="str">
        <f>"43 "</f>
        <v xml:space="preserve">43 </v>
      </c>
      <c r="K2946" s="26" t="str">
        <f t="shared" si="501"/>
        <v>PR</v>
      </c>
      <c r="L2946" s="26" t="str">
        <f t="shared" si="502"/>
        <v>DGOSE</v>
      </c>
      <c r="M2946" s="26" t="str">
        <f t="shared" si="496"/>
        <v>PARTICULAR</v>
      </c>
      <c r="N2946" s="26">
        <v>151</v>
      </c>
      <c r="O2946" s="26">
        <v>86</v>
      </c>
      <c r="P2946" s="26">
        <v>65</v>
      </c>
      <c r="Q2946" s="26">
        <v>9</v>
      </c>
      <c r="R2946" s="26">
        <v>1</v>
      </c>
      <c r="S2946" s="26">
        <v>5</v>
      </c>
      <c r="T2946" s="26">
        <v>6</v>
      </c>
      <c r="U2946" s="26">
        <v>12</v>
      </c>
      <c r="V2946" s="26">
        <v>1</v>
      </c>
      <c r="W2946" s="26"/>
    </row>
    <row r="2947" spans="1:23" x14ac:dyDescent="0.25">
      <c r="A2947" s="26" t="str">
        <f t="shared" si="503"/>
        <v>PRIMARIA</v>
      </c>
      <c r="B2947" s="26" t="str">
        <f>"09PPR1494A"</f>
        <v>09PPR1494A</v>
      </c>
      <c r="C2947" s="26" t="str">
        <f>"COLEGIO DOLORES OLMEDO PATIÑO                                                                       "</f>
        <v xml:space="preserve">COLEGIO DOLORES OLMEDO PATIÑO                                                                       </v>
      </c>
      <c r="D2947" s="26" t="str">
        <f t="shared" si="500"/>
        <v>MATUTINO</v>
      </c>
      <c r="E2947" s="26" t="str">
        <f>"BORIS GODUNOV NO 133                                                            "</f>
        <v xml:space="preserve">BORIS GODUNOV NO 133                                                            </v>
      </c>
      <c r="F2947" s="26" t="str">
        <f>"LA NOPALERA                                                                                                                                 "</f>
        <v xml:space="preserve">LA NOPALERA                                                                                                                                 </v>
      </c>
      <c r="G2947" s="26" t="str">
        <f>"TLAHUAC                                                                         "</f>
        <v xml:space="preserve">TLAHUAC                                                                         </v>
      </c>
      <c r="H2947" s="26" t="str">
        <f>"550"</f>
        <v>550</v>
      </c>
      <c r="I2947" s="26" t="str">
        <f t="shared" si="504"/>
        <v>00</v>
      </c>
      <c r="J2947" s="26" t="str">
        <f>"45 "</f>
        <v xml:space="preserve">45 </v>
      </c>
      <c r="K2947" s="26" t="str">
        <f t="shared" si="501"/>
        <v>PR</v>
      </c>
      <c r="L2947" s="26" t="str">
        <f t="shared" si="502"/>
        <v>DGOSE</v>
      </c>
      <c r="M2947" s="26" t="str">
        <f t="shared" si="496"/>
        <v>PARTICULAR</v>
      </c>
      <c r="N2947" s="26">
        <v>394</v>
      </c>
      <c r="O2947" s="26">
        <v>177</v>
      </c>
      <c r="P2947" s="26">
        <v>217</v>
      </c>
      <c r="Q2947" s="26">
        <v>15</v>
      </c>
      <c r="R2947" s="26">
        <v>1</v>
      </c>
      <c r="S2947" s="26">
        <v>15</v>
      </c>
      <c r="T2947" s="26">
        <v>5</v>
      </c>
      <c r="U2947" s="26">
        <v>21</v>
      </c>
      <c r="V2947" s="26">
        <v>1</v>
      </c>
      <c r="W2947" s="26"/>
    </row>
    <row r="2948" spans="1:23" x14ac:dyDescent="0.25">
      <c r="A2948" s="26" t="str">
        <f t="shared" si="503"/>
        <v>PRIMARIA</v>
      </c>
      <c r="B2948" s="26" t="str">
        <f>"09PPR1496Z"</f>
        <v>09PPR1496Z</v>
      </c>
      <c r="C2948" s="26" t="str">
        <f>"INSTITUTO GRAHAM BELL                                                                               "</f>
        <v xml:space="preserve">INSTITUTO GRAHAM BELL                                                                               </v>
      </c>
      <c r="D2948" s="26" t="str">
        <f t="shared" si="500"/>
        <v>MATUTINO</v>
      </c>
      <c r="E2948" s="26" t="str">
        <f>"GUILLERMO MASSIEU NUMERO 86                                                     "</f>
        <v xml:space="preserve">GUILLERMO MASSIEU NUMERO 86                                                     </v>
      </c>
      <c r="F2948" s="26" t="str">
        <f>"LA ESCALERA                                                                                                                                 "</f>
        <v xml:space="preserve">LA ESCALERA                                                                                                                                 </v>
      </c>
      <c r="G2948" s="26" t="str">
        <f>"GUSTAVO A. MADERO                                                               "</f>
        <v xml:space="preserve">GUSTAVO A. MADERO                                                               </v>
      </c>
      <c r="H2948" s="26" t="str">
        <f>"236"</f>
        <v>236</v>
      </c>
      <c r="I2948" s="26" t="str">
        <f t="shared" si="504"/>
        <v>00</v>
      </c>
      <c r="J2948" s="26" t="str">
        <f>"42 "</f>
        <v xml:space="preserve">42 </v>
      </c>
      <c r="K2948" s="26" t="str">
        <f t="shared" si="501"/>
        <v>PR</v>
      </c>
      <c r="L2948" s="26" t="str">
        <f t="shared" si="502"/>
        <v>DGOSE</v>
      </c>
      <c r="M2948" s="26" t="str">
        <f t="shared" si="496"/>
        <v>PARTICULAR</v>
      </c>
      <c r="N2948" s="26">
        <v>125</v>
      </c>
      <c r="O2948" s="26">
        <v>54</v>
      </c>
      <c r="P2948" s="26">
        <v>71</v>
      </c>
      <c r="Q2948" s="26">
        <v>6</v>
      </c>
      <c r="R2948" s="26">
        <v>1</v>
      </c>
      <c r="S2948" s="26">
        <v>3</v>
      </c>
      <c r="T2948" s="26">
        <v>3</v>
      </c>
      <c r="U2948" s="26">
        <v>7</v>
      </c>
      <c r="V2948" s="26">
        <v>1</v>
      </c>
      <c r="W2948" s="26"/>
    </row>
    <row r="2949" spans="1:23" x14ac:dyDescent="0.25">
      <c r="A2949" s="26" t="str">
        <f t="shared" si="503"/>
        <v>PRIMARIA</v>
      </c>
      <c r="B2949" s="26" t="str">
        <f>"09PPR1497Y"</f>
        <v>09PPR1497Y</v>
      </c>
      <c r="C2949" s="26" t="str">
        <f>"ANGLO FRANCES INPO                                                                                  "</f>
        <v xml:space="preserve">ANGLO FRANCES INPO                                                                                  </v>
      </c>
      <c r="D2949" s="26" t="str">
        <f t="shared" si="500"/>
        <v>MATUTINO</v>
      </c>
      <c r="E2949" s="26" t="str">
        <f>"ACANTO 7-A                                                                      "</f>
        <v xml:space="preserve">ACANTO 7-A                                                                      </v>
      </c>
      <c r="F2949" s="26" t="str">
        <f>"MIGUEL HIDALGO AMPLIACION                                                                                                                   "</f>
        <v xml:space="preserve">MIGUEL HIDALGO AMPLIACION                                                                                                                   </v>
      </c>
      <c r="G2949" s="26" t="str">
        <f>"TLALPAN                                                                         "</f>
        <v xml:space="preserve">TLALPAN                                                                         </v>
      </c>
      <c r="H2949" s="26" t="str">
        <f>"516"</f>
        <v>516</v>
      </c>
      <c r="I2949" s="26" t="str">
        <f t="shared" si="504"/>
        <v>00</v>
      </c>
      <c r="J2949" s="26" t="str">
        <f>"45 "</f>
        <v xml:space="preserve">45 </v>
      </c>
      <c r="K2949" s="26" t="str">
        <f t="shared" si="501"/>
        <v>PR</v>
      </c>
      <c r="L2949" s="26" t="str">
        <f t="shared" si="502"/>
        <v>DGOSE</v>
      </c>
      <c r="M2949" s="26" t="str">
        <f t="shared" si="496"/>
        <v>PARTICULAR</v>
      </c>
      <c r="N2949" s="26">
        <v>169</v>
      </c>
      <c r="O2949" s="26">
        <v>95</v>
      </c>
      <c r="P2949" s="26">
        <v>74</v>
      </c>
      <c r="Q2949" s="26">
        <v>10</v>
      </c>
      <c r="R2949" s="26">
        <v>1</v>
      </c>
      <c r="S2949" s="26">
        <v>6</v>
      </c>
      <c r="T2949" s="26">
        <v>17</v>
      </c>
      <c r="U2949" s="26">
        <v>24</v>
      </c>
      <c r="V2949" s="26">
        <v>1</v>
      </c>
      <c r="W2949" s="26"/>
    </row>
    <row r="2950" spans="1:23" x14ac:dyDescent="0.25">
      <c r="A2950" s="26" t="str">
        <f t="shared" si="503"/>
        <v>PRIMARIA</v>
      </c>
      <c r="B2950" s="26" t="str">
        <f>"09PPR1498X"</f>
        <v>09PPR1498X</v>
      </c>
      <c r="C2950" s="26" t="str">
        <f>"CENTRO EDUCATIVO MARCELINO CHAMPAGNAT                                                               "</f>
        <v xml:space="preserve">CENTRO EDUCATIVO MARCELINO CHAMPAGNAT                                                               </v>
      </c>
      <c r="D2950" s="26" t="str">
        <f t="shared" si="500"/>
        <v>MATUTINO</v>
      </c>
      <c r="E2950" s="26" t="str">
        <f>"CORREGIDORA S/N MANZANA 7 LOTE 29                                               "</f>
        <v xml:space="preserve">CORREGIDORA S/N MANZANA 7 LOTE 29                                               </v>
      </c>
      <c r="F2950" s="26" t="str">
        <f>"MIGUEL HIDALGO                                                                                                                              "</f>
        <v xml:space="preserve">MIGUEL HIDALGO                                                                                                                              </v>
      </c>
      <c r="G2950" s="26" t="str">
        <f>"TLALPAN                                                                         "</f>
        <v xml:space="preserve">TLALPAN                                                                         </v>
      </c>
      <c r="H2950" s="26" t="str">
        <f>"518"</f>
        <v>518</v>
      </c>
      <c r="I2950" s="26" t="str">
        <f t="shared" si="504"/>
        <v>00</v>
      </c>
      <c r="J2950" s="26" t="str">
        <f>"45 "</f>
        <v xml:space="preserve">45 </v>
      </c>
      <c r="K2950" s="26" t="str">
        <f t="shared" si="501"/>
        <v>PR</v>
      </c>
      <c r="L2950" s="26" t="str">
        <f t="shared" si="502"/>
        <v>DGOSE</v>
      </c>
      <c r="M2950" s="26" t="str">
        <f t="shared" si="496"/>
        <v>PARTICULAR</v>
      </c>
      <c r="N2950" s="26">
        <v>111</v>
      </c>
      <c r="O2950" s="26">
        <v>55</v>
      </c>
      <c r="P2950" s="26">
        <v>56</v>
      </c>
      <c r="Q2950" s="26">
        <v>6</v>
      </c>
      <c r="R2950" s="26">
        <v>1</v>
      </c>
      <c r="S2950" s="26">
        <v>3</v>
      </c>
      <c r="T2950" s="26">
        <v>10</v>
      </c>
      <c r="U2950" s="26">
        <v>14</v>
      </c>
      <c r="V2950" s="26">
        <v>1</v>
      </c>
      <c r="W2950" s="26"/>
    </row>
    <row r="2951" spans="1:23" x14ac:dyDescent="0.25">
      <c r="A2951" s="26" t="str">
        <f t="shared" si="503"/>
        <v>PRIMARIA</v>
      </c>
      <c r="B2951" s="26" t="str">
        <f>"09PPR1500V"</f>
        <v>09PPR1500V</v>
      </c>
      <c r="C2951" s="26" t="str">
        <f>"""SOCIEDAD CULTURAL COLEGIO AMERICANO CAMPUS CENTRO""                                                 "</f>
        <v xml:space="preserve">"SOCIEDAD CULTURAL COLEGIO AMERICANO CAMPUS CENTRO"                                                 </v>
      </c>
      <c r="D2951" s="26" t="str">
        <f t="shared" si="500"/>
        <v>MATUTINO</v>
      </c>
      <c r="E2951" s="26" t="str">
        <f>"CALLE HUATUSCO NO 9                                                             "</f>
        <v xml:space="preserve">CALLE HUATUSCO NO 9                                                             </v>
      </c>
      <c r="F2951" s="26" t="str">
        <f>"ROMA SUR                                                                                                                                    "</f>
        <v xml:space="preserve">ROMA SUR                                                                                                                                    </v>
      </c>
      <c r="G2951" s="26" t="str">
        <f>"CUAUHTEMOC                                                                      "</f>
        <v xml:space="preserve">CUAUHTEMOC                                                                      </v>
      </c>
      <c r="H2951" s="26" t="str">
        <f>"221"</f>
        <v>221</v>
      </c>
      <c r="I2951" s="26" t="str">
        <f t="shared" si="504"/>
        <v>00</v>
      </c>
      <c r="J2951" s="26" t="str">
        <f>"42 "</f>
        <v xml:space="preserve">42 </v>
      </c>
      <c r="K2951" s="26" t="str">
        <f t="shared" si="501"/>
        <v>PR</v>
      </c>
      <c r="L2951" s="26" t="str">
        <f t="shared" si="502"/>
        <v>DGOSE</v>
      </c>
      <c r="M2951" s="26" t="str">
        <f t="shared" si="496"/>
        <v>PARTICULAR</v>
      </c>
      <c r="N2951" s="26">
        <v>68</v>
      </c>
      <c r="O2951" s="26">
        <v>38</v>
      </c>
      <c r="P2951" s="26">
        <v>30</v>
      </c>
      <c r="Q2951" s="26">
        <v>6</v>
      </c>
      <c r="R2951" s="26">
        <v>1</v>
      </c>
      <c r="S2951" s="26">
        <v>3</v>
      </c>
      <c r="T2951" s="26">
        <v>9</v>
      </c>
      <c r="U2951" s="26">
        <v>13</v>
      </c>
      <c r="V2951" s="26">
        <v>1</v>
      </c>
      <c r="W2951" s="26"/>
    </row>
    <row r="2952" spans="1:23" x14ac:dyDescent="0.25">
      <c r="A2952" s="26" t="str">
        <f t="shared" si="503"/>
        <v>PRIMARIA</v>
      </c>
      <c r="B2952" s="26" t="str">
        <f>"09PPR1501U"</f>
        <v>09PPR1501U</v>
      </c>
      <c r="C2952" s="26" t="str">
        <f>"MEXICO PREHISPANICO                                                                                 "</f>
        <v xml:space="preserve">MEXICO PREHISPANICO                                                                                 </v>
      </c>
      <c r="D2952" s="26" t="str">
        <f t="shared" si="500"/>
        <v>MATUTINO</v>
      </c>
      <c r="E2952" s="26" t="str">
        <f>"BAJA CALIFORNIA SUR NO 123                                                      "</f>
        <v xml:space="preserve">BAJA CALIFORNIA SUR NO 123                                                      </v>
      </c>
      <c r="F2952" s="26" t="str">
        <f>"PROVIDENCIA                                                                                                                                 "</f>
        <v xml:space="preserve">PROVIDENCIA                                                                                                                                 </v>
      </c>
      <c r="G2952" s="26" t="str">
        <f>"GUSTAVO A. MADERO                                                               "</f>
        <v xml:space="preserve">GUSTAVO A. MADERO                                                               </v>
      </c>
      <c r="H2952" s="26" t="str">
        <f>"265"</f>
        <v>265</v>
      </c>
      <c r="I2952" s="26" t="str">
        <f t="shared" si="504"/>
        <v>00</v>
      </c>
      <c r="J2952" s="26" t="str">
        <f>"42 "</f>
        <v xml:space="preserve">42 </v>
      </c>
      <c r="K2952" s="26" t="str">
        <f t="shared" si="501"/>
        <v>PR</v>
      </c>
      <c r="L2952" s="26" t="str">
        <f t="shared" si="502"/>
        <v>DGOSE</v>
      </c>
      <c r="M2952" s="26" t="str">
        <f t="shared" si="496"/>
        <v>PARTICULAR</v>
      </c>
      <c r="N2952" s="26">
        <v>106</v>
      </c>
      <c r="O2952" s="26">
        <v>48</v>
      </c>
      <c r="P2952" s="26">
        <v>58</v>
      </c>
      <c r="Q2952" s="26">
        <v>6</v>
      </c>
      <c r="R2952" s="26">
        <v>1</v>
      </c>
      <c r="S2952" s="26">
        <v>3</v>
      </c>
      <c r="T2952" s="26">
        <v>3</v>
      </c>
      <c r="U2952" s="26">
        <v>7</v>
      </c>
      <c r="V2952" s="26">
        <v>1</v>
      </c>
      <c r="W2952" s="26"/>
    </row>
    <row r="2953" spans="1:23" x14ac:dyDescent="0.25">
      <c r="A2953" s="26" t="str">
        <f t="shared" si="503"/>
        <v>PRIMARIA</v>
      </c>
      <c r="B2953" s="26" t="str">
        <f>"09PPR1502T"</f>
        <v>09PPR1502T</v>
      </c>
      <c r="C2953" s="26" t="str">
        <f>"ALCATRAZ DEL VALLE                                                                                  "</f>
        <v xml:space="preserve">ALCATRAZ DEL VALLE                                                                                  </v>
      </c>
      <c r="D2953" s="26" t="str">
        <f t="shared" si="500"/>
        <v>MATUTINO</v>
      </c>
      <c r="E2953" s="26" t="str">
        <f>"PARAISO 275                                                                     "</f>
        <v xml:space="preserve">PARAISO 275                                                                     </v>
      </c>
      <c r="F2953" s="26" t="str">
        <f>"ZONA ESCOLAR                                                                                                                                "</f>
        <v xml:space="preserve">ZONA ESCOLAR                                                                                                                                </v>
      </c>
      <c r="G2953" s="26" t="str">
        <f>"GUSTAVO A. MADERO                                                               "</f>
        <v xml:space="preserve">GUSTAVO A. MADERO                                                               </v>
      </c>
      <c r="H2953" s="26" t="str">
        <f>"231"</f>
        <v>231</v>
      </c>
      <c r="I2953" s="26" t="str">
        <f t="shared" si="504"/>
        <v>00</v>
      </c>
      <c r="J2953" s="26" t="str">
        <f>"42 "</f>
        <v xml:space="preserve">42 </v>
      </c>
      <c r="K2953" s="26" t="str">
        <f t="shared" si="501"/>
        <v>PR</v>
      </c>
      <c r="L2953" s="26" t="str">
        <f t="shared" si="502"/>
        <v>DGOSE</v>
      </c>
      <c r="M2953" s="26" t="str">
        <f t="shared" si="496"/>
        <v>PARTICULAR</v>
      </c>
      <c r="N2953" s="26">
        <v>48</v>
      </c>
      <c r="O2953" s="26">
        <v>24</v>
      </c>
      <c r="P2953" s="26">
        <v>24</v>
      </c>
      <c r="Q2953" s="26">
        <v>6</v>
      </c>
      <c r="R2953" s="26">
        <v>1</v>
      </c>
      <c r="S2953" s="26">
        <v>3</v>
      </c>
      <c r="T2953" s="26">
        <v>6</v>
      </c>
      <c r="U2953" s="26">
        <v>10</v>
      </c>
      <c r="V2953" s="26">
        <v>1</v>
      </c>
      <c r="W2953" s="26"/>
    </row>
    <row r="2954" spans="1:23" x14ac:dyDescent="0.25">
      <c r="A2954" s="26" t="str">
        <f t="shared" si="503"/>
        <v>PRIMARIA</v>
      </c>
      <c r="B2954" s="26" t="str">
        <f>"09PPR1504R"</f>
        <v>09PPR1504R</v>
      </c>
      <c r="C2954" s="26" t="str">
        <f>"COLEGIO FRESNOS                                                                                     "</f>
        <v xml:space="preserve">COLEGIO FRESNOS                                                                                     </v>
      </c>
      <c r="D2954" s="26" t="str">
        <f t="shared" si="500"/>
        <v>MATUTINO</v>
      </c>
      <c r="E2954" s="26" t="str">
        <f>"AHUATENCO NO 40                                                                 "</f>
        <v xml:space="preserve">AHUATENCO NO 40                                                                 </v>
      </c>
      <c r="F2954" s="26" t="str">
        <f>"CUAJIMALPA                                                                                                                                  "</f>
        <v xml:space="preserve">CUAJIMALPA                                                                                                                                  </v>
      </c>
      <c r="G2954" s="26" t="str">
        <f>"CUAJIMALPA DE MORELOS                                                           "</f>
        <v xml:space="preserve">CUAJIMALPA DE MORELOS                                                           </v>
      </c>
      <c r="H2954" s="26" t="str">
        <f>"305"</f>
        <v>305</v>
      </c>
      <c r="I2954" s="26" t="str">
        <f t="shared" si="504"/>
        <v>00</v>
      </c>
      <c r="J2954" s="26" t="str">
        <f>"43 "</f>
        <v xml:space="preserve">43 </v>
      </c>
      <c r="K2954" s="26" t="str">
        <f t="shared" si="501"/>
        <v>PR</v>
      </c>
      <c r="L2954" s="26" t="str">
        <f t="shared" si="502"/>
        <v>DGOSE</v>
      </c>
      <c r="M2954" s="26" t="str">
        <f t="shared" si="496"/>
        <v>PARTICULAR</v>
      </c>
      <c r="N2954" s="26">
        <v>112</v>
      </c>
      <c r="O2954" s="26">
        <v>62</v>
      </c>
      <c r="P2954" s="26">
        <v>50</v>
      </c>
      <c r="Q2954" s="26">
        <v>6</v>
      </c>
      <c r="R2954" s="26">
        <v>1</v>
      </c>
      <c r="S2954" s="26">
        <v>4</v>
      </c>
      <c r="T2954" s="26">
        <v>9</v>
      </c>
      <c r="U2954" s="26">
        <v>14</v>
      </c>
      <c r="V2954" s="26">
        <v>1</v>
      </c>
      <c r="W2954" s="26"/>
    </row>
    <row r="2955" spans="1:23" x14ac:dyDescent="0.25">
      <c r="A2955" s="26" t="str">
        <f t="shared" si="503"/>
        <v>PRIMARIA</v>
      </c>
      <c r="B2955" s="26" t="str">
        <f>"09PPR1505Q"</f>
        <v>09PPR1505Q</v>
      </c>
      <c r="C2955" s="26" t="str">
        <f>"COLEGIO CARSOLIO                                                                                    "</f>
        <v xml:space="preserve">COLEGIO CARSOLIO                                                                                    </v>
      </c>
      <c r="D2955" s="26" t="str">
        <f t="shared" si="500"/>
        <v>MATUTINO</v>
      </c>
      <c r="E2955" s="26" t="str">
        <f>"AV 504 NO 18                                                                    "</f>
        <v xml:space="preserve">AV 504 NO 18                                                                    </v>
      </c>
      <c r="F2955" s="26" t="str">
        <f>"SAN JUAN DE ARAGON                                                                                                                          "</f>
        <v xml:space="preserve">SAN JUAN DE ARAGON                                                                                                                          </v>
      </c>
      <c r="G2955" s="26" t="str">
        <f>"GUSTAVO A. MADERO                                                               "</f>
        <v xml:space="preserve">GUSTAVO A. MADERO                                                               </v>
      </c>
      <c r="H2955" s="26" t="str">
        <f>"269"</f>
        <v>269</v>
      </c>
      <c r="I2955" s="26" t="str">
        <f t="shared" si="504"/>
        <v>00</v>
      </c>
      <c r="J2955" s="26" t="str">
        <f>"42 "</f>
        <v xml:space="preserve">42 </v>
      </c>
      <c r="K2955" s="26" t="str">
        <f t="shared" si="501"/>
        <v>PR</v>
      </c>
      <c r="L2955" s="26" t="str">
        <f t="shared" si="502"/>
        <v>DGOSE</v>
      </c>
      <c r="M2955" s="26" t="str">
        <f t="shared" si="496"/>
        <v>PARTICULAR</v>
      </c>
      <c r="N2955" s="26">
        <v>124</v>
      </c>
      <c r="O2955" s="26">
        <v>61</v>
      </c>
      <c r="P2955" s="26">
        <v>63</v>
      </c>
      <c r="Q2955" s="26">
        <v>6</v>
      </c>
      <c r="R2955" s="26">
        <v>1</v>
      </c>
      <c r="S2955" s="26">
        <v>3</v>
      </c>
      <c r="T2955" s="26">
        <v>5</v>
      </c>
      <c r="U2955" s="26">
        <v>9</v>
      </c>
      <c r="V2955" s="26">
        <v>1</v>
      </c>
      <c r="W2955" s="26"/>
    </row>
    <row r="2956" spans="1:23" x14ac:dyDescent="0.25">
      <c r="A2956" s="26" t="str">
        <f t="shared" si="503"/>
        <v>PRIMARIA</v>
      </c>
      <c r="B2956" s="26" t="str">
        <f>"09PPR1509M"</f>
        <v>09PPR1509M</v>
      </c>
      <c r="C2956" s="26" t="str">
        <f>"COLEGIO INFANTIL AÑO 2000                                                                           "</f>
        <v xml:space="preserve">COLEGIO INFANTIL AÑO 2000                                                                           </v>
      </c>
      <c r="D2956" s="26" t="str">
        <f t="shared" si="500"/>
        <v>MATUTINO</v>
      </c>
      <c r="E2956" s="26" t="str">
        <f>"AV AGUASCALIENTES NO 18                                                         "</f>
        <v xml:space="preserve">AV AGUASCALIENTES NO 18                                                         </v>
      </c>
      <c r="F2956" s="26" t="str">
        <f>"SAN MATEO BARRIO                                                                                                                            "</f>
        <v xml:space="preserve">SAN MATEO BARRIO                                                                                                                            </v>
      </c>
      <c r="G2956" s="26" t="str">
        <f>"MILPA ALTA                                                                      "</f>
        <v xml:space="preserve">MILPA ALTA                                                                      </v>
      </c>
      <c r="H2956" s="26" t="str">
        <f>"563"</f>
        <v>563</v>
      </c>
      <c r="I2956" s="26" t="str">
        <f t="shared" si="504"/>
        <v>00</v>
      </c>
      <c r="J2956" s="26" t="str">
        <f>"45 "</f>
        <v xml:space="preserve">45 </v>
      </c>
      <c r="K2956" s="26" t="str">
        <f t="shared" si="501"/>
        <v>PR</v>
      </c>
      <c r="L2956" s="26" t="str">
        <f t="shared" si="502"/>
        <v>DGOSE</v>
      </c>
      <c r="M2956" s="26" t="str">
        <f t="shared" si="496"/>
        <v>PARTICULAR</v>
      </c>
      <c r="N2956" s="26">
        <v>31</v>
      </c>
      <c r="O2956" s="26">
        <v>15</v>
      </c>
      <c r="P2956" s="26">
        <v>16</v>
      </c>
      <c r="Q2956" s="26">
        <v>6</v>
      </c>
      <c r="R2956" s="26">
        <v>1</v>
      </c>
      <c r="S2956" s="26">
        <v>6</v>
      </c>
      <c r="T2956" s="26">
        <v>5</v>
      </c>
      <c r="U2956" s="26">
        <v>12</v>
      </c>
      <c r="V2956" s="26">
        <v>1</v>
      </c>
      <c r="W2956" s="26"/>
    </row>
    <row r="2957" spans="1:23" x14ac:dyDescent="0.25">
      <c r="A2957" s="26" t="str">
        <f t="shared" si="503"/>
        <v>PRIMARIA</v>
      </c>
      <c r="B2957" s="26" t="str">
        <f>"09PPR1510B"</f>
        <v>09PPR1510B</v>
      </c>
      <c r="C2957" s="26" t="str">
        <f>"CENTRO CULTURAL ANAHUAC                                                                             "</f>
        <v xml:space="preserve">CENTRO CULTURAL ANAHUAC                                                                             </v>
      </c>
      <c r="D2957" s="26" t="str">
        <f t="shared" si="500"/>
        <v>MATUTINO</v>
      </c>
      <c r="E2957" s="26" t="str">
        <f>"TRABAJADORAS SOCIALES # 223                                                     "</f>
        <v xml:space="preserve">TRABAJADORAS SOCIALES # 223                                                     </v>
      </c>
      <c r="F2957" s="26" t="str">
        <f>"EL SIFON                                                                                                                                    "</f>
        <v xml:space="preserve">EL SIFON                                                                                                                                    </v>
      </c>
      <c r="G2957" s="26" t="str">
        <f>"IZTAPALAPA                                                                      "</f>
        <v xml:space="preserve">IZTAPALAPA                                                                      </v>
      </c>
      <c r="H2957" s="26" t="str">
        <f>"000"</f>
        <v>000</v>
      </c>
      <c r="I2957" s="26" t="str">
        <f t="shared" si="504"/>
        <v>00</v>
      </c>
      <c r="J2957" s="26" t="str">
        <f>"61 "</f>
        <v xml:space="preserve">61 </v>
      </c>
      <c r="K2957" s="26" t="str">
        <f>"IZ"</f>
        <v>IZ</v>
      </c>
      <c r="L2957" s="26" t="str">
        <f>"DGSEI"</f>
        <v>DGSEI</v>
      </c>
      <c r="M2957" s="26" t="str">
        <f t="shared" si="496"/>
        <v>PARTICULAR</v>
      </c>
      <c r="N2957" s="26">
        <v>222</v>
      </c>
      <c r="O2957" s="26">
        <v>101</v>
      </c>
      <c r="P2957" s="26">
        <v>121</v>
      </c>
      <c r="Q2957" s="26">
        <v>9</v>
      </c>
      <c r="R2957" s="26">
        <v>1</v>
      </c>
      <c r="S2957" s="26">
        <v>9</v>
      </c>
      <c r="T2957" s="26">
        <v>14</v>
      </c>
      <c r="U2957" s="26">
        <v>24</v>
      </c>
      <c r="V2957" s="26">
        <v>1</v>
      </c>
      <c r="W2957" s="26"/>
    </row>
    <row r="2958" spans="1:23" x14ac:dyDescent="0.25">
      <c r="A2958" s="26" t="str">
        <f t="shared" si="503"/>
        <v>PRIMARIA</v>
      </c>
      <c r="B2958" s="26" t="str">
        <f>"09PPR1511A"</f>
        <v>09PPR1511A</v>
      </c>
      <c r="C2958" s="26" t="str">
        <f>"CENTRO PEDAGOGICO MONTE ALBAN (PLANTEL LEON DE LOS ALDAMA)                                          "</f>
        <v xml:space="preserve">CENTRO PEDAGOGICO MONTE ALBAN (PLANTEL LEON DE LOS ALDAMA)                                          </v>
      </c>
      <c r="D2958" s="26" t="str">
        <f t="shared" si="500"/>
        <v>MATUTINO</v>
      </c>
      <c r="E2958" s="26" t="str">
        <f>"AV LEON DE LOS ALDAMA MANZANA 58 LOTE5                                          "</f>
        <v xml:space="preserve">AV LEON DE LOS ALDAMA MANZANA 58 LOTE5                                          </v>
      </c>
      <c r="F2958" s="26" t="str">
        <f>"SAN FELIPE DE JESUS                                                                                                                         "</f>
        <v xml:space="preserve">SAN FELIPE DE JESUS                                                                                                                         </v>
      </c>
      <c r="G2958" s="26" t="str">
        <f>"GUSTAVO A. MADERO                                                               "</f>
        <v xml:space="preserve">GUSTAVO A. MADERO                                                               </v>
      </c>
      <c r="H2958" s="26" t="str">
        <f>"261"</f>
        <v>261</v>
      </c>
      <c r="I2958" s="26" t="str">
        <f t="shared" si="504"/>
        <v>00</v>
      </c>
      <c r="J2958" s="26" t="str">
        <f>"42 "</f>
        <v xml:space="preserve">42 </v>
      </c>
      <c r="K2958" s="26" t="str">
        <f>"PR"</f>
        <v>PR</v>
      </c>
      <c r="L2958" s="26" t="str">
        <f>"DGOSE"</f>
        <v>DGOSE</v>
      </c>
      <c r="M2958" s="26" t="str">
        <f t="shared" si="496"/>
        <v>PARTICULAR</v>
      </c>
      <c r="N2958" s="26">
        <v>106</v>
      </c>
      <c r="O2958" s="26">
        <v>61</v>
      </c>
      <c r="P2958" s="26">
        <v>45</v>
      </c>
      <c r="Q2958" s="26">
        <v>6</v>
      </c>
      <c r="R2958" s="26">
        <v>1</v>
      </c>
      <c r="S2958" s="26">
        <v>3</v>
      </c>
      <c r="T2958" s="26">
        <v>8</v>
      </c>
      <c r="U2958" s="26">
        <v>12</v>
      </c>
      <c r="V2958" s="26">
        <v>1</v>
      </c>
      <c r="W2958" s="26"/>
    </row>
    <row r="2959" spans="1:23" x14ac:dyDescent="0.25">
      <c r="A2959" s="26" t="str">
        <f t="shared" si="503"/>
        <v>PRIMARIA</v>
      </c>
      <c r="B2959" s="26" t="str">
        <f>"09PPR1513Z"</f>
        <v>09PPR1513Z</v>
      </c>
      <c r="C2959" s="26" t="str">
        <f>"SAN ANTONIO DE PADUA                                                                                "</f>
        <v xml:space="preserve">SAN ANTONIO DE PADUA                                                                                </v>
      </c>
      <c r="D2959" s="26" t="str">
        <f t="shared" si="500"/>
        <v>MATUTINO</v>
      </c>
      <c r="E2959" s="26" t="str">
        <f>"ISABEL LA CATOLICA 247                                                          "</f>
        <v xml:space="preserve">ISABEL LA CATOLICA 247                                                          </v>
      </c>
      <c r="F2959" s="26" t="str">
        <f>"OBRERA                                                                                                                                      "</f>
        <v xml:space="preserve">OBRERA                                                                                                                                      </v>
      </c>
      <c r="G2959" s="26" t="str">
        <f>"CUAUHTEMOC                                                                      "</f>
        <v xml:space="preserve">CUAUHTEMOC                                                                      </v>
      </c>
      <c r="H2959" s="26" t="str">
        <f>"223"</f>
        <v>223</v>
      </c>
      <c r="I2959" s="26" t="str">
        <f t="shared" si="504"/>
        <v>00</v>
      </c>
      <c r="J2959" s="26" t="str">
        <f>"42 "</f>
        <v xml:space="preserve">42 </v>
      </c>
      <c r="K2959" s="26" t="str">
        <f>"PR"</f>
        <v>PR</v>
      </c>
      <c r="L2959" s="26" t="str">
        <f>"DGOSE"</f>
        <v>DGOSE</v>
      </c>
      <c r="M2959" s="26" t="str">
        <f t="shared" si="496"/>
        <v>PARTICULAR</v>
      </c>
      <c r="N2959" s="26">
        <v>149</v>
      </c>
      <c r="O2959" s="26">
        <v>74</v>
      </c>
      <c r="P2959" s="26">
        <v>75</v>
      </c>
      <c r="Q2959" s="26">
        <v>8</v>
      </c>
      <c r="R2959" s="26">
        <v>1</v>
      </c>
      <c r="S2959" s="26">
        <v>8</v>
      </c>
      <c r="T2959" s="26">
        <v>7</v>
      </c>
      <c r="U2959" s="26">
        <v>16</v>
      </c>
      <c r="V2959" s="26">
        <v>1</v>
      </c>
      <c r="W2959" s="26"/>
    </row>
    <row r="2960" spans="1:23" x14ac:dyDescent="0.25">
      <c r="A2960" s="26" t="str">
        <f t="shared" si="503"/>
        <v>PRIMARIA</v>
      </c>
      <c r="B2960" s="26" t="str">
        <f>"09PPR1515X"</f>
        <v>09PPR1515X</v>
      </c>
      <c r="C2960" s="26" t="str">
        <f>"INSTITUTO LIBERTADORES DE LAS AMERICAS                                                              "</f>
        <v xml:space="preserve">INSTITUTO LIBERTADORES DE LAS AMERICAS                                                              </v>
      </c>
      <c r="D2960" s="26" t="str">
        <f t="shared" si="500"/>
        <v>MATUTINO</v>
      </c>
      <c r="E2960" s="26" t="str">
        <f>"AV. IGNACIO ZARAGOZA MZ. 122 LT. 16                                             "</f>
        <v xml:space="preserve">AV. IGNACIO ZARAGOZA MZ. 122 LT. 16                                             </v>
      </c>
      <c r="F2960" s="26" t="str">
        <f>"SANTA MARTHA ACATITLA AMPLIACION                                                                                                            "</f>
        <v xml:space="preserve">SANTA MARTHA ACATITLA AMPLIACION                                                                                                            </v>
      </c>
      <c r="G2960" s="26" t="str">
        <f>"IZTAPALAPA                                                                      "</f>
        <v xml:space="preserve">IZTAPALAPA                                                                      </v>
      </c>
      <c r="H2960" s="26" t="str">
        <f>"000"</f>
        <v>000</v>
      </c>
      <c r="I2960" s="26" t="str">
        <f t="shared" si="504"/>
        <v>00</v>
      </c>
      <c r="J2960" s="26" t="str">
        <f>"62 "</f>
        <v xml:space="preserve">62 </v>
      </c>
      <c r="K2960" s="26" t="str">
        <f>"IZ"</f>
        <v>IZ</v>
      </c>
      <c r="L2960" s="26" t="str">
        <f>"DGSEI"</f>
        <v>DGSEI</v>
      </c>
      <c r="M2960" s="26" t="str">
        <f t="shared" si="496"/>
        <v>PARTICULAR</v>
      </c>
      <c r="N2960" s="26">
        <v>46</v>
      </c>
      <c r="O2960" s="26">
        <v>26</v>
      </c>
      <c r="P2960" s="26">
        <v>20</v>
      </c>
      <c r="Q2960" s="26">
        <v>6</v>
      </c>
      <c r="R2960" s="26">
        <v>1</v>
      </c>
      <c r="S2960" s="26">
        <v>3</v>
      </c>
      <c r="T2960" s="26">
        <v>10</v>
      </c>
      <c r="U2960" s="26">
        <v>14</v>
      </c>
      <c r="V2960" s="26">
        <v>1</v>
      </c>
      <c r="W2960" s="26"/>
    </row>
    <row r="2961" spans="1:23" x14ac:dyDescent="0.25">
      <c r="A2961" s="26" t="str">
        <f t="shared" si="503"/>
        <v>PRIMARIA</v>
      </c>
      <c r="B2961" s="26" t="str">
        <f>"09PPR1516W"</f>
        <v>09PPR1516W</v>
      </c>
      <c r="C2961" s="26" t="str">
        <f>"MOISES SAENZ GARZA                                                                                  "</f>
        <v xml:space="preserve">MOISES SAENZ GARZA                                                                                  </v>
      </c>
      <c r="D2961" s="26" t="str">
        <f t="shared" si="500"/>
        <v>MATUTINO</v>
      </c>
      <c r="E2961" s="26" t="str">
        <f>"AV. REFORMA POLITICA S/N ZONA 4                                                 "</f>
        <v xml:space="preserve">AV. REFORMA POLITICA S/N ZONA 4                                                 </v>
      </c>
      <c r="F2961" s="26" t="str">
        <f>"REFORMA POLITICA                                                                                                                            "</f>
        <v xml:space="preserve">REFORMA POLITICA                                                                                                                            </v>
      </c>
      <c r="G2961" s="26" t="str">
        <f>"IZTAPALAPA                                                                      "</f>
        <v xml:space="preserve">IZTAPALAPA                                                                      </v>
      </c>
      <c r="H2961" s="26" t="str">
        <f>"000"</f>
        <v>000</v>
      </c>
      <c r="I2961" s="26" t="str">
        <f t="shared" si="504"/>
        <v>00</v>
      </c>
      <c r="J2961" s="26" t="str">
        <f>"64 "</f>
        <v xml:space="preserve">64 </v>
      </c>
      <c r="K2961" s="26" t="str">
        <f>"IZ"</f>
        <v>IZ</v>
      </c>
      <c r="L2961" s="26" t="str">
        <f>"DGSEI"</f>
        <v>DGSEI</v>
      </c>
      <c r="M2961" s="26" t="str">
        <f t="shared" si="496"/>
        <v>PARTICULAR</v>
      </c>
      <c r="N2961" s="26">
        <v>14</v>
      </c>
      <c r="O2961" s="26">
        <v>7</v>
      </c>
      <c r="P2961" s="26">
        <v>7</v>
      </c>
      <c r="Q2961" s="26">
        <v>2</v>
      </c>
      <c r="R2961" s="26">
        <v>1</v>
      </c>
      <c r="S2961" s="26">
        <v>2</v>
      </c>
      <c r="T2961" s="26">
        <v>2</v>
      </c>
      <c r="U2961" s="26">
        <v>5</v>
      </c>
      <c r="V2961" s="26">
        <v>1</v>
      </c>
      <c r="W2961" s="26"/>
    </row>
    <row r="2962" spans="1:23" x14ac:dyDescent="0.25">
      <c r="A2962" s="26" t="str">
        <f t="shared" si="503"/>
        <v>PRIMARIA</v>
      </c>
      <c r="B2962" s="26" t="str">
        <f>"09PPR1518U"</f>
        <v>09PPR1518U</v>
      </c>
      <c r="C2962" s="26" t="str">
        <f>"COLEGIO AMERICA UNIDA EN CULTURA Y EDUCACION                                                        "</f>
        <v xml:space="preserve">COLEGIO AMERICA UNIDA EN CULTURA Y EDUCACION                                                        </v>
      </c>
      <c r="D2962" s="26" t="str">
        <f t="shared" si="500"/>
        <v>MATUTINO</v>
      </c>
      <c r="E2962" s="26" t="str">
        <f>"FRANCISCO I MADERO NO 24                                                        "</f>
        <v xml:space="preserve">FRANCISCO I MADERO NO 24                                                        </v>
      </c>
      <c r="F2962" s="26" t="str">
        <f>"SAN BARTOLOME XICOMULCO                                                                                                                     "</f>
        <v xml:space="preserve">SAN BARTOLOME XICOMULCO                                                                                                                     </v>
      </c>
      <c r="G2962" s="26" t="str">
        <f>"MILPA ALTA                                                                      "</f>
        <v xml:space="preserve">MILPA ALTA                                                                      </v>
      </c>
      <c r="H2962" s="26" t="str">
        <f>"564"</f>
        <v>564</v>
      </c>
      <c r="I2962" s="26" t="str">
        <f t="shared" si="504"/>
        <v>00</v>
      </c>
      <c r="J2962" s="26" t="str">
        <f>"45 "</f>
        <v xml:space="preserve">45 </v>
      </c>
      <c r="K2962" s="26" t="str">
        <f t="shared" ref="K2962:K2969" si="505">"PR"</f>
        <v>PR</v>
      </c>
      <c r="L2962" s="26" t="str">
        <f t="shared" ref="L2962:L2969" si="506">"DGOSE"</f>
        <v>DGOSE</v>
      </c>
      <c r="M2962" s="26" t="str">
        <f t="shared" ref="M2962:M3025" si="507">"PARTICULAR"</f>
        <v>PARTICULAR</v>
      </c>
      <c r="N2962" s="26">
        <v>20</v>
      </c>
      <c r="O2962" s="26">
        <v>11</v>
      </c>
      <c r="P2962" s="26">
        <v>9</v>
      </c>
      <c r="Q2962" s="26">
        <v>6</v>
      </c>
      <c r="R2962" s="26">
        <v>1</v>
      </c>
      <c r="S2962" s="26">
        <v>3</v>
      </c>
      <c r="T2962" s="26">
        <v>7</v>
      </c>
      <c r="U2962" s="26">
        <v>11</v>
      </c>
      <c r="V2962" s="26">
        <v>1</v>
      </c>
      <c r="W2962" s="26"/>
    </row>
    <row r="2963" spans="1:23" x14ac:dyDescent="0.25">
      <c r="A2963" s="26" t="str">
        <f t="shared" si="503"/>
        <v>PRIMARIA</v>
      </c>
      <c r="B2963" s="26" t="str">
        <f>"09PPR1519T"</f>
        <v>09PPR1519T</v>
      </c>
      <c r="C2963" s="26" t="str">
        <f>"COMUNIDAD EUROPEA                                                                                   "</f>
        <v xml:space="preserve">COMUNIDAD EUROPEA                                                                                   </v>
      </c>
      <c r="D2963" s="26" t="str">
        <f t="shared" si="500"/>
        <v>MATUTINO</v>
      </c>
      <c r="E2963" s="26" t="str">
        <f>"AV. AHUEHUETES # 52                                                             "</f>
        <v xml:space="preserve">AV. AHUEHUETES # 52                                                             </v>
      </c>
      <c r="F2963" s="26" t="str">
        <f>"PASTEROS                                                                                                                                    "</f>
        <v xml:space="preserve">PASTEROS                                                                                                                                    </v>
      </c>
      <c r="G2963" s="26" t="str">
        <f>"AZCAPOTZALCO                                                                    "</f>
        <v xml:space="preserve">AZCAPOTZALCO                                                                    </v>
      </c>
      <c r="H2963" s="26" t="str">
        <f>"201"</f>
        <v>201</v>
      </c>
      <c r="I2963" s="26" t="str">
        <f t="shared" si="504"/>
        <v>00</v>
      </c>
      <c r="J2963" s="26" t="str">
        <f>"42 "</f>
        <v xml:space="preserve">42 </v>
      </c>
      <c r="K2963" s="26" t="str">
        <f t="shared" si="505"/>
        <v>PR</v>
      </c>
      <c r="L2963" s="26" t="str">
        <f t="shared" si="506"/>
        <v>DGOSE</v>
      </c>
      <c r="M2963" s="26" t="str">
        <f t="shared" si="507"/>
        <v>PARTICULAR</v>
      </c>
      <c r="N2963" s="26">
        <v>80</v>
      </c>
      <c r="O2963" s="26">
        <v>42</v>
      </c>
      <c r="P2963" s="26">
        <v>38</v>
      </c>
      <c r="Q2963" s="26">
        <v>6</v>
      </c>
      <c r="R2963" s="26">
        <v>1</v>
      </c>
      <c r="S2963" s="26">
        <v>3</v>
      </c>
      <c r="T2963" s="26">
        <v>7</v>
      </c>
      <c r="U2963" s="26">
        <v>11</v>
      </c>
      <c r="V2963" s="26">
        <v>1</v>
      </c>
      <c r="W2963" s="26"/>
    </row>
    <row r="2964" spans="1:23" x14ac:dyDescent="0.25">
      <c r="A2964" s="26" t="str">
        <f t="shared" si="503"/>
        <v>PRIMARIA</v>
      </c>
      <c r="B2964" s="26" t="str">
        <f>"09PPR1520I"</f>
        <v>09PPR1520I</v>
      </c>
      <c r="C2964" s="26" t="str">
        <f>"INSTITUTO DE INTEGRACION EDUCATIVA                                                                  "</f>
        <v xml:space="preserve">INSTITUTO DE INTEGRACION EDUCATIVA                                                                  </v>
      </c>
      <c r="D2964" s="26" t="str">
        <f t="shared" si="500"/>
        <v>MATUTINO</v>
      </c>
      <c r="E2964" s="26" t="str">
        <f>"ANAXAGORAS NO 1420                                                              "</f>
        <v xml:space="preserve">ANAXAGORAS NO 1420                                                              </v>
      </c>
      <c r="F2964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2964" s="26" t="str">
        <f>"BENITO JUAREZ                                                                   "</f>
        <v xml:space="preserve">BENITO JUAREZ                                                                   </v>
      </c>
      <c r="H2964" s="26" t="str">
        <f>"341"</f>
        <v>341</v>
      </c>
      <c r="I2964" s="26" t="str">
        <f t="shared" si="504"/>
        <v>00</v>
      </c>
      <c r="J2964" s="26" t="str">
        <f>"43 "</f>
        <v xml:space="preserve">43 </v>
      </c>
      <c r="K2964" s="26" t="str">
        <f t="shared" si="505"/>
        <v>PR</v>
      </c>
      <c r="L2964" s="26" t="str">
        <f t="shared" si="506"/>
        <v>DGOSE</v>
      </c>
      <c r="M2964" s="26" t="str">
        <f t="shared" si="507"/>
        <v>PARTICULAR</v>
      </c>
      <c r="N2964" s="26">
        <v>58</v>
      </c>
      <c r="O2964" s="26">
        <v>37</v>
      </c>
      <c r="P2964" s="26">
        <v>21</v>
      </c>
      <c r="Q2964" s="26">
        <v>6</v>
      </c>
      <c r="R2964" s="26">
        <v>1</v>
      </c>
      <c r="S2964" s="26">
        <v>3</v>
      </c>
      <c r="T2964" s="26">
        <v>7</v>
      </c>
      <c r="U2964" s="26">
        <v>11</v>
      </c>
      <c r="V2964" s="26">
        <v>1</v>
      </c>
      <c r="W2964" s="26"/>
    </row>
    <row r="2965" spans="1:23" x14ac:dyDescent="0.25">
      <c r="A2965" s="26" t="str">
        <f t="shared" si="503"/>
        <v>PRIMARIA</v>
      </c>
      <c r="B2965" s="26" t="str">
        <f>"09PPR1523F"</f>
        <v>09PPR1523F</v>
      </c>
      <c r="C2965" s="26" t="str">
        <f>"ESCUELA MEXICO NUEVO                                                                                "</f>
        <v xml:space="preserve">ESCUELA MEXICO NUEVO                                                                                </v>
      </c>
      <c r="D2965" s="26" t="str">
        <f t="shared" si="500"/>
        <v>MATUTINO</v>
      </c>
      <c r="E2965" s="26" t="str">
        <f>"ESTAFETAS 51                                                                    "</f>
        <v xml:space="preserve">ESTAFETAS 51                                                                    </v>
      </c>
      <c r="F2965" s="26" t="str">
        <f>"POSTAL                                                                                                                                      "</f>
        <v xml:space="preserve">POSTAL                                                                                                                                      </v>
      </c>
      <c r="G2965" s="26" t="str">
        <f>"BENITO JUAREZ                                                                   "</f>
        <v xml:space="preserve">BENITO JUAREZ                                                                   </v>
      </c>
      <c r="H2965" s="26" t="str">
        <f>"000"</f>
        <v>000</v>
      </c>
      <c r="I2965" s="26" t="str">
        <f t="shared" si="504"/>
        <v>00</v>
      </c>
      <c r="J2965" s="26" t="str">
        <f>"43 "</f>
        <v xml:space="preserve">43 </v>
      </c>
      <c r="K2965" s="26" t="str">
        <f t="shared" si="505"/>
        <v>PR</v>
      </c>
      <c r="L2965" s="26" t="str">
        <f t="shared" si="506"/>
        <v>DGOSE</v>
      </c>
      <c r="M2965" s="26" t="str">
        <f t="shared" si="507"/>
        <v>PARTICULAR</v>
      </c>
      <c r="N2965" s="26">
        <v>103</v>
      </c>
      <c r="O2965" s="26">
        <v>55</v>
      </c>
      <c r="P2965" s="26">
        <v>48</v>
      </c>
      <c r="Q2965" s="26">
        <v>6</v>
      </c>
      <c r="R2965" s="26">
        <v>2</v>
      </c>
      <c r="S2965" s="26">
        <v>3</v>
      </c>
      <c r="T2965" s="26">
        <v>12</v>
      </c>
      <c r="U2965" s="26">
        <v>17</v>
      </c>
      <c r="V2965" s="26">
        <v>1</v>
      </c>
      <c r="W2965" s="26"/>
    </row>
    <row r="2966" spans="1:23" x14ac:dyDescent="0.25">
      <c r="A2966" s="26" t="str">
        <f t="shared" si="503"/>
        <v>PRIMARIA</v>
      </c>
      <c r="B2966" s="26" t="str">
        <f>"09PPR1524E"</f>
        <v>09PPR1524E</v>
      </c>
      <c r="C2966" s="26" t="str">
        <f>"""COLEGIO ANA PAVLOVA""                                                                               "</f>
        <v xml:space="preserve">"COLEGIO ANA PAVLOVA"                                                                               </v>
      </c>
      <c r="D2966" s="26" t="str">
        <f t="shared" si="500"/>
        <v>MATUTINO</v>
      </c>
      <c r="E2966" s="26" t="str">
        <f>"ORIENTE 12 NO 15                                                                "</f>
        <v xml:space="preserve">ORIENTE 12 NO 15                                                                </v>
      </c>
      <c r="F2966" s="26" t="str">
        <f>"CUCHILLA DEL TESORO                                                                                                                         "</f>
        <v xml:space="preserve">CUCHILLA DEL TESORO                                                                                                                         </v>
      </c>
      <c r="G2966" s="26" t="str">
        <f>"GUSTAVO A. MADERO                                                               "</f>
        <v xml:space="preserve">GUSTAVO A. MADERO                                                               </v>
      </c>
      <c r="H2966" s="26" t="str">
        <f>"271"</f>
        <v>271</v>
      </c>
      <c r="I2966" s="26" t="str">
        <f t="shared" si="504"/>
        <v>00</v>
      </c>
      <c r="J2966" s="26" t="str">
        <f>"42 "</f>
        <v xml:space="preserve">42 </v>
      </c>
      <c r="K2966" s="26" t="str">
        <f t="shared" si="505"/>
        <v>PR</v>
      </c>
      <c r="L2966" s="26" t="str">
        <f t="shared" si="506"/>
        <v>DGOSE</v>
      </c>
      <c r="M2966" s="26" t="str">
        <f t="shared" si="507"/>
        <v>PARTICULAR</v>
      </c>
      <c r="N2966" s="26">
        <v>89</v>
      </c>
      <c r="O2966" s="26">
        <v>43</v>
      </c>
      <c r="P2966" s="26">
        <v>46</v>
      </c>
      <c r="Q2966" s="26">
        <v>6</v>
      </c>
      <c r="R2966" s="26">
        <v>1</v>
      </c>
      <c r="S2966" s="26">
        <v>6</v>
      </c>
      <c r="T2966" s="26">
        <v>3</v>
      </c>
      <c r="U2966" s="26">
        <v>10</v>
      </c>
      <c r="V2966" s="26">
        <v>1</v>
      </c>
      <c r="W2966" s="26"/>
    </row>
    <row r="2967" spans="1:23" x14ac:dyDescent="0.25">
      <c r="A2967" s="26" t="str">
        <f t="shared" si="503"/>
        <v>PRIMARIA</v>
      </c>
      <c r="B2967" s="26" t="str">
        <f>"09PPR1525D"</f>
        <v>09PPR1525D</v>
      </c>
      <c r="C2967" s="26" t="str">
        <f>"COLEGIO REINO UNIDO                                                                                 "</f>
        <v xml:space="preserve">COLEGIO REINO UNIDO                                                                                 </v>
      </c>
      <c r="D2967" s="26" t="str">
        <f t="shared" si="500"/>
        <v>MATUTINO</v>
      </c>
      <c r="E2967" s="26" t="str">
        <f>"XOCHIMILCO NO 15                                                                "</f>
        <v xml:space="preserve">XOCHIMILCO NO 15                                                                </v>
      </c>
      <c r="F2967" s="26" t="str">
        <f>"MERCED GOMEZ                                                                                                                                "</f>
        <v xml:space="preserve">MERCED GOMEZ                                                                                                                                </v>
      </c>
      <c r="G2967" s="26" t="str">
        <f>"ALVARO OBREGON                                                                  "</f>
        <v xml:space="preserve">ALVARO OBREGON                                                                  </v>
      </c>
      <c r="H2967" s="26" t="str">
        <f>"319"</f>
        <v>319</v>
      </c>
      <c r="I2967" s="26" t="str">
        <f t="shared" si="504"/>
        <v>00</v>
      </c>
      <c r="J2967" s="26" t="str">
        <f>"43 "</f>
        <v xml:space="preserve">43 </v>
      </c>
      <c r="K2967" s="26" t="str">
        <f t="shared" si="505"/>
        <v>PR</v>
      </c>
      <c r="L2967" s="26" t="str">
        <f t="shared" si="506"/>
        <v>DGOSE</v>
      </c>
      <c r="M2967" s="26" t="str">
        <f t="shared" si="507"/>
        <v>PARTICULAR</v>
      </c>
      <c r="N2967" s="26">
        <v>72</v>
      </c>
      <c r="O2967" s="26">
        <v>40</v>
      </c>
      <c r="P2967" s="26">
        <v>32</v>
      </c>
      <c r="Q2967" s="26">
        <v>6</v>
      </c>
      <c r="R2967" s="26">
        <v>1</v>
      </c>
      <c r="S2967" s="26">
        <v>4</v>
      </c>
      <c r="T2967" s="26">
        <v>8</v>
      </c>
      <c r="U2967" s="26">
        <v>13</v>
      </c>
      <c r="V2967" s="26">
        <v>1</v>
      </c>
      <c r="W2967" s="26"/>
    </row>
    <row r="2968" spans="1:23" x14ac:dyDescent="0.25">
      <c r="A2968" s="26" t="str">
        <f t="shared" si="503"/>
        <v>PRIMARIA</v>
      </c>
      <c r="B2968" s="26" t="str">
        <f>"09PPR1526C"</f>
        <v>09PPR1526C</v>
      </c>
      <c r="C2968" s="26" t="str">
        <f>"COLEGIO GABRIELA BRIMMER                                                                            "</f>
        <v xml:space="preserve">COLEGIO GABRIELA BRIMMER                                                                            </v>
      </c>
      <c r="D2968" s="26" t="str">
        <f t="shared" si="500"/>
        <v>MATUTINO</v>
      </c>
      <c r="E2968" s="26" t="str">
        <f>"CALZADA DE GUADALUPE NO 207                                                     "</f>
        <v xml:space="preserve">CALZADA DE GUADALUPE NO 207                                                     </v>
      </c>
      <c r="F2968" s="26" t="str">
        <f>"7 DE NOVIEMBRE                                                                                                                              "</f>
        <v xml:space="preserve">7 DE NOVIEMBRE                                                                                                                              </v>
      </c>
      <c r="G2968" s="26" t="str">
        <f>"GUSTAVO A. MADERO                                                               "</f>
        <v xml:space="preserve">GUSTAVO A. MADERO                                                               </v>
      </c>
      <c r="H2968" s="26" t="str">
        <f>"250"</f>
        <v>250</v>
      </c>
      <c r="I2968" s="26" t="str">
        <f t="shared" si="504"/>
        <v>00</v>
      </c>
      <c r="J2968" s="26" t="str">
        <f>"42 "</f>
        <v xml:space="preserve">42 </v>
      </c>
      <c r="K2968" s="26" t="str">
        <f t="shared" si="505"/>
        <v>PR</v>
      </c>
      <c r="L2968" s="26" t="str">
        <f t="shared" si="506"/>
        <v>DGOSE</v>
      </c>
      <c r="M2968" s="26" t="str">
        <f t="shared" si="507"/>
        <v>PARTICULAR</v>
      </c>
      <c r="N2968" s="26">
        <v>87</v>
      </c>
      <c r="O2968" s="26">
        <v>46</v>
      </c>
      <c r="P2968" s="26">
        <v>41</v>
      </c>
      <c r="Q2968" s="26">
        <v>6</v>
      </c>
      <c r="R2968" s="26">
        <v>1</v>
      </c>
      <c r="S2968" s="26">
        <v>6</v>
      </c>
      <c r="T2968" s="26">
        <v>7</v>
      </c>
      <c r="U2968" s="26">
        <v>14</v>
      </c>
      <c r="V2968" s="26">
        <v>1</v>
      </c>
      <c r="W2968" s="26"/>
    </row>
    <row r="2969" spans="1:23" x14ac:dyDescent="0.25">
      <c r="A2969" s="26" t="str">
        <f t="shared" si="503"/>
        <v>PRIMARIA</v>
      </c>
      <c r="B2969" s="26" t="str">
        <f>"09PPR1527B"</f>
        <v>09PPR1527B</v>
      </c>
      <c r="C2969" s="26" t="str">
        <f>"CENTRO ESCOLAR MAR Y SOL                                                                            "</f>
        <v xml:space="preserve">CENTRO ESCOLAR MAR Y SOL                                                                            </v>
      </c>
      <c r="D2969" s="26" t="str">
        <f t="shared" si="500"/>
        <v>MATUTINO</v>
      </c>
      <c r="E2969" s="26" t="str">
        <f>"ATOYAC NO 224                                                                   "</f>
        <v xml:space="preserve">ATOYAC NO 224                                                                   </v>
      </c>
      <c r="F2969" s="26" t="str">
        <f>"SAN FELIPE DE JESUS                                                                                                                         "</f>
        <v xml:space="preserve">SAN FELIPE DE JESUS                                                                                                                         </v>
      </c>
      <c r="G2969" s="26" t="str">
        <f>"GUSTAVO A. MADERO                                                               "</f>
        <v xml:space="preserve">GUSTAVO A. MADERO                                                               </v>
      </c>
      <c r="H2969" s="26" t="str">
        <f>"262"</f>
        <v>262</v>
      </c>
      <c r="I2969" s="26" t="str">
        <f t="shared" si="504"/>
        <v>00</v>
      </c>
      <c r="J2969" s="26" t="str">
        <f>"42 "</f>
        <v xml:space="preserve">42 </v>
      </c>
      <c r="K2969" s="26" t="str">
        <f t="shared" si="505"/>
        <v>PR</v>
      </c>
      <c r="L2969" s="26" t="str">
        <f t="shared" si="506"/>
        <v>DGOSE</v>
      </c>
      <c r="M2969" s="26" t="str">
        <f t="shared" si="507"/>
        <v>PARTICULAR</v>
      </c>
      <c r="N2969" s="26">
        <v>68</v>
      </c>
      <c r="O2969" s="26">
        <v>35</v>
      </c>
      <c r="P2969" s="26">
        <v>33</v>
      </c>
      <c r="Q2969" s="26">
        <v>6</v>
      </c>
      <c r="R2969" s="26">
        <v>1</v>
      </c>
      <c r="S2969" s="26">
        <v>6</v>
      </c>
      <c r="T2969" s="26">
        <v>3</v>
      </c>
      <c r="U2969" s="26">
        <v>10</v>
      </c>
      <c r="V2969" s="26">
        <v>1</v>
      </c>
      <c r="W2969" s="26"/>
    </row>
    <row r="2970" spans="1:23" x14ac:dyDescent="0.25">
      <c r="A2970" s="26" t="str">
        <f t="shared" si="503"/>
        <v>PRIMARIA</v>
      </c>
      <c r="B2970" s="26" t="str">
        <f>"09PPR1528A"</f>
        <v>09PPR1528A</v>
      </c>
      <c r="C2970" s="26" t="str">
        <f>"INSTITUTO PEDAGOGICO SPENCER                                                                        "</f>
        <v xml:space="preserve">INSTITUTO PEDAGOGICO SPENCER                                                                        </v>
      </c>
      <c r="D2970" s="26" t="str">
        <f t="shared" si="500"/>
        <v>MATUTINO</v>
      </c>
      <c r="E2970" s="26" t="str">
        <f>"AGUJAS NO. 709                                                                  "</f>
        <v xml:space="preserve">AGUJAS NO. 709                                                                  </v>
      </c>
      <c r="F2970" s="26" t="str">
        <f>"EL VERGEL                                                                                                                                   "</f>
        <v xml:space="preserve">EL VERGEL                                                                                                                                   </v>
      </c>
      <c r="G2970" s="26" t="str">
        <f>"IZTAPALAPA                                                                      "</f>
        <v xml:space="preserve">IZTAPALAPA                                                                      </v>
      </c>
      <c r="H2970" s="26" t="str">
        <f>"000"</f>
        <v>000</v>
      </c>
      <c r="I2970" s="26" t="str">
        <f t="shared" si="504"/>
        <v>00</v>
      </c>
      <c r="J2970" s="26" t="str">
        <f>"63 "</f>
        <v xml:space="preserve">63 </v>
      </c>
      <c r="K2970" s="26" t="str">
        <f>"IZ"</f>
        <v>IZ</v>
      </c>
      <c r="L2970" s="26" t="str">
        <f>"DGSEI"</f>
        <v>DGSEI</v>
      </c>
      <c r="M2970" s="26" t="str">
        <f t="shared" si="507"/>
        <v>PARTICULAR</v>
      </c>
      <c r="N2970" s="26">
        <v>64</v>
      </c>
      <c r="O2970" s="26">
        <v>34</v>
      </c>
      <c r="P2970" s="26">
        <v>30</v>
      </c>
      <c r="Q2970" s="26">
        <v>6</v>
      </c>
      <c r="R2970" s="26">
        <v>1</v>
      </c>
      <c r="S2970" s="26">
        <v>6</v>
      </c>
      <c r="T2970" s="26">
        <v>4</v>
      </c>
      <c r="U2970" s="26">
        <v>11</v>
      </c>
      <c r="V2970" s="26">
        <v>1</v>
      </c>
      <c r="W2970" s="26"/>
    </row>
    <row r="2971" spans="1:23" x14ac:dyDescent="0.25">
      <c r="A2971" s="26" t="str">
        <f t="shared" si="503"/>
        <v>PRIMARIA</v>
      </c>
      <c r="B2971" s="26" t="str">
        <f>"09PPR1529Z"</f>
        <v>09PPR1529Z</v>
      </c>
      <c r="C2971" s="26" t="str">
        <f>"COLEGIO RODOLFO USIGLI PLANTEL IZTAPALAPA                                                           "</f>
        <v xml:space="preserve">COLEGIO RODOLFO USIGLI PLANTEL IZTAPALAPA                                                           </v>
      </c>
      <c r="D2971" s="26" t="str">
        <f t="shared" si="500"/>
        <v>MATUTINO</v>
      </c>
      <c r="E2971" s="26" t="str">
        <f>"GERMANIO NO. 34                                                                 "</f>
        <v xml:space="preserve">GERMANIO NO. 34                                                                 </v>
      </c>
      <c r="F2971" s="26" t="str">
        <f>"PARAJE SAN JUAN                                                                                                                             "</f>
        <v xml:space="preserve">PARAJE SAN JUAN                                                                                                                             </v>
      </c>
      <c r="G2971" s="26" t="str">
        <f>"IZTAPALAPA                                                                      "</f>
        <v xml:space="preserve">IZTAPALAPA                                                                      </v>
      </c>
      <c r="H2971" s="26" t="str">
        <f>"000"</f>
        <v>000</v>
      </c>
      <c r="I2971" s="26" t="str">
        <f t="shared" si="504"/>
        <v>00</v>
      </c>
      <c r="J2971" s="26" t="str">
        <f>"63 "</f>
        <v xml:space="preserve">63 </v>
      </c>
      <c r="K2971" s="26" t="str">
        <f>"IZ"</f>
        <v>IZ</v>
      </c>
      <c r="L2971" s="26" t="str">
        <f>"DGSEI"</f>
        <v>DGSEI</v>
      </c>
      <c r="M2971" s="26" t="str">
        <f t="shared" si="507"/>
        <v>PARTICULAR</v>
      </c>
      <c r="N2971" s="26">
        <v>133</v>
      </c>
      <c r="O2971" s="26">
        <v>65</v>
      </c>
      <c r="P2971" s="26">
        <v>68</v>
      </c>
      <c r="Q2971" s="26">
        <v>6</v>
      </c>
      <c r="R2971" s="26">
        <v>1</v>
      </c>
      <c r="S2971" s="26">
        <v>6</v>
      </c>
      <c r="T2971" s="26">
        <v>5</v>
      </c>
      <c r="U2971" s="26">
        <v>12</v>
      </c>
      <c r="V2971" s="26">
        <v>1</v>
      </c>
      <c r="W2971" s="26"/>
    </row>
    <row r="2972" spans="1:23" x14ac:dyDescent="0.25">
      <c r="A2972" s="26" t="str">
        <f t="shared" si="503"/>
        <v>PRIMARIA</v>
      </c>
      <c r="B2972" s="26" t="str">
        <f>"09PPR1530P"</f>
        <v>09PPR1530P</v>
      </c>
      <c r="C2972" s="26" t="str">
        <f>"COLEGIO UNION DE MEXICO                                                                             "</f>
        <v xml:space="preserve">COLEGIO UNION DE MEXICO                                                                             </v>
      </c>
      <c r="D2972" s="26" t="str">
        <f t="shared" si="500"/>
        <v>MATUTINO</v>
      </c>
      <c r="E2972" s="26" t="str">
        <f>"PUERTO TAMPICO NO. 12                                                           "</f>
        <v xml:space="preserve">PUERTO TAMPICO NO. 12                                                           </v>
      </c>
      <c r="F2972" s="26" t="str">
        <f>"PILOTO ADOLFO LOPEZ  MATEOS AMPLIAC                                                                                                         "</f>
        <v xml:space="preserve">PILOTO ADOLFO LOPEZ  MATEOS AMPLIAC                                                                                                         </v>
      </c>
      <c r="G2972" s="26" t="str">
        <f>"ALVARO OBREGON                                                                  "</f>
        <v xml:space="preserve">ALVARO OBREGON                                                                  </v>
      </c>
      <c r="H2972" s="26" t="str">
        <f>"315"</f>
        <v>315</v>
      </c>
      <c r="I2972" s="26" t="str">
        <f t="shared" si="504"/>
        <v>00</v>
      </c>
      <c r="J2972" s="26" t="str">
        <f>"43 "</f>
        <v xml:space="preserve">43 </v>
      </c>
      <c r="K2972" s="26" t="str">
        <f t="shared" ref="K2972:K2981" si="508">"PR"</f>
        <v>PR</v>
      </c>
      <c r="L2972" s="26" t="str">
        <f t="shared" ref="L2972:L2981" si="509">"DGOSE"</f>
        <v>DGOSE</v>
      </c>
      <c r="M2972" s="26" t="str">
        <f t="shared" si="507"/>
        <v>PARTICULAR</v>
      </c>
      <c r="N2972" s="26">
        <v>67</v>
      </c>
      <c r="O2972" s="26">
        <v>42</v>
      </c>
      <c r="P2972" s="26">
        <v>25</v>
      </c>
      <c r="Q2972" s="26">
        <v>6</v>
      </c>
      <c r="R2972" s="26">
        <v>1</v>
      </c>
      <c r="S2972" s="26">
        <v>3</v>
      </c>
      <c r="T2972" s="26">
        <v>7</v>
      </c>
      <c r="U2972" s="26">
        <v>11</v>
      </c>
      <c r="V2972" s="26">
        <v>1</v>
      </c>
      <c r="W2972" s="26"/>
    </row>
    <row r="2973" spans="1:23" x14ac:dyDescent="0.25">
      <c r="A2973" s="26" t="str">
        <f t="shared" si="503"/>
        <v>PRIMARIA</v>
      </c>
      <c r="B2973" s="26" t="str">
        <f>"09PPR1531O"</f>
        <v>09PPR1531O</v>
      </c>
      <c r="C2973" s="26" t="str">
        <f>"COLEGIO ALFRED ADLER                                                                                "</f>
        <v xml:space="preserve">COLEGIO ALFRED ADLER                                                                                </v>
      </c>
      <c r="D2973" s="26" t="str">
        <f t="shared" si="500"/>
        <v>MATUTINO</v>
      </c>
      <c r="E2973" s="26" t="str">
        <f>"SUR 114 NO. 110                                                                 "</f>
        <v xml:space="preserve">SUR 114 NO. 110                                                                 </v>
      </c>
      <c r="F2973" s="26" t="str">
        <f>"COVE                                                                                                                                        "</f>
        <v xml:space="preserve">COVE                                                                                                                                        </v>
      </c>
      <c r="G2973" s="26" t="str">
        <f>"ALVARO OBREGON                                                                  "</f>
        <v xml:space="preserve">ALVARO OBREGON                                                                  </v>
      </c>
      <c r="H2973" s="26" t="str">
        <f>"307"</f>
        <v>307</v>
      </c>
      <c r="I2973" s="26" t="str">
        <f t="shared" si="504"/>
        <v>00</v>
      </c>
      <c r="J2973" s="26" t="str">
        <f>"43 "</f>
        <v xml:space="preserve">43 </v>
      </c>
      <c r="K2973" s="26" t="str">
        <f t="shared" si="508"/>
        <v>PR</v>
      </c>
      <c r="L2973" s="26" t="str">
        <f t="shared" si="509"/>
        <v>DGOSE</v>
      </c>
      <c r="M2973" s="26" t="str">
        <f t="shared" si="507"/>
        <v>PARTICULAR</v>
      </c>
      <c r="N2973" s="26">
        <v>125</v>
      </c>
      <c r="O2973" s="26">
        <v>64</v>
      </c>
      <c r="P2973" s="26">
        <v>61</v>
      </c>
      <c r="Q2973" s="26">
        <v>6</v>
      </c>
      <c r="R2973" s="26">
        <v>1</v>
      </c>
      <c r="S2973" s="26">
        <v>6</v>
      </c>
      <c r="T2973" s="26">
        <v>6</v>
      </c>
      <c r="U2973" s="26">
        <v>13</v>
      </c>
      <c r="V2973" s="26">
        <v>1</v>
      </c>
      <c r="W2973" s="26"/>
    </row>
    <row r="2974" spans="1:23" x14ac:dyDescent="0.25">
      <c r="A2974" s="26" t="str">
        <f t="shared" si="503"/>
        <v>PRIMARIA</v>
      </c>
      <c r="B2974" s="26" t="str">
        <f>"09PPR1532N"</f>
        <v>09PPR1532N</v>
      </c>
      <c r="C2974" s="26" t="str">
        <f>"NUEVA RAZA                                                                                          "</f>
        <v xml:space="preserve">NUEVA RAZA                                                                                          </v>
      </c>
      <c r="D2974" s="26" t="str">
        <f t="shared" si="500"/>
        <v>MATUTINO</v>
      </c>
      <c r="E2974" s="26" t="str">
        <f>"AV. MEXICO 1252                                                                 "</f>
        <v xml:space="preserve">AV. MEXICO 1252                                                                 </v>
      </c>
      <c r="F2974" s="26" t="str">
        <f>"SANTA TERESA                                                                                                                                "</f>
        <v xml:space="preserve">SANTA TERESA                                                                                                                                </v>
      </c>
      <c r="G2974" s="26" t="str">
        <f>"LA MAGDALENA CONTRERAS                                                          "</f>
        <v xml:space="preserve">LA MAGDALENA CONTRERAS                                                          </v>
      </c>
      <c r="H2974" s="26" t="str">
        <f>"337"</f>
        <v>337</v>
      </c>
      <c r="I2974" s="26" t="str">
        <f t="shared" si="504"/>
        <v>00</v>
      </c>
      <c r="J2974" s="26" t="str">
        <f>"43 "</f>
        <v xml:space="preserve">43 </v>
      </c>
      <c r="K2974" s="26" t="str">
        <f t="shared" si="508"/>
        <v>PR</v>
      </c>
      <c r="L2974" s="26" t="str">
        <f t="shared" si="509"/>
        <v>DGOSE</v>
      </c>
      <c r="M2974" s="26" t="str">
        <f t="shared" si="507"/>
        <v>PARTICULAR</v>
      </c>
      <c r="N2974" s="26">
        <v>115</v>
      </c>
      <c r="O2974" s="26">
        <v>54</v>
      </c>
      <c r="P2974" s="26">
        <v>61</v>
      </c>
      <c r="Q2974" s="26">
        <v>6</v>
      </c>
      <c r="R2974" s="26">
        <v>1</v>
      </c>
      <c r="S2974" s="26">
        <v>3</v>
      </c>
      <c r="T2974" s="26">
        <v>9</v>
      </c>
      <c r="U2974" s="26">
        <v>13</v>
      </c>
      <c r="V2974" s="26">
        <v>1</v>
      </c>
      <c r="W2974" s="26"/>
    </row>
    <row r="2975" spans="1:23" x14ac:dyDescent="0.25">
      <c r="A2975" s="26" t="str">
        <f t="shared" si="503"/>
        <v>PRIMARIA</v>
      </c>
      <c r="B2975" s="26" t="str">
        <f>"09PPR1533M"</f>
        <v>09PPR1533M</v>
      </c>
      <c r="C2975" s="26" t="str">
        <f>"INSTITUTO MELANIE KLEIN                                                                             "</f>
        <v xml:space="preserve">INSTITUTO MELANIE KLEIN                                                                             </v>
      </c>
      <c r="D2975" s="26" t="str">
        <f t="shared" si="500"/>
        <v>MATUTINO</v>
      </c>
      <c r="E2975" s="26" t="str">
        <f>"2DO CALLEJON CANAL DEL VADO S/N                                                 "</f>
        <v xml:space="preserve">2DO CALLEJON CANAL DEL VADO S/N                                                 </v>
      </c>
      <c r="F2975" s="26" t="str">
        <f>"LOS REYES MIXQUIC                                                                                                                           "</f>
        <v xml:space="preserve">LOS REYES MIXQUIC                                                                                                                           </v>
      </c>
      <c r="G2975" s="26" t="str">
        <f>"TLAHUAC                                                                         "</f>
        <v xml:space="preserve">TLAHUAC                                                                         </v>
      </c>
      <c r="H2975" s="26" t="str">
        <f>"560"</f>
        <v>560</v>
      </c>
      <c r="I2975" s="26" t="str">
        <f t="shared" si="504"/>
        <v>00</v>
      </c>
      <c r="J2975" s="26" t="str">
        <f>"45 "</f>
        <v xml:space="preserve">45 </v>
      </c>
      <c r="K2975" s="26" t="str">
        <f t="shared" si="508"/>
        <v>PR</v>
      </c>
      <c r="L2975" s="26" t="str">
        <f t="shared" si="509"/>
        <v>DGOSE</v>
      </c>
      <c r="M2975" s="26" t="str">
        <f t="shared" si="507"/>
        <v>PARTICULAR</v>
      </c>
      <c r="N2975" s="26">
        <v>27</v>
      </c>
      <c r="O2975" s="26">
        <v>11</v>
      </c>
      <c r="P2975" s="26">
        <v>16</v>
      </c>
      <c r="Q2975" s="26">
        <v>6</v>
      </c>
      <c r="R2975" s="26">
        <v>1</v>
      </c>
      <c r="S2975" s="26">
        <v>3</v>
      </c>
      <c r="T2975" s="26">
        <v>3</v>
      </c>
      <c r="U2975" s="26">
        <v>7</v>
      </c>
      <c r="V2975" s="26">
        <v>1</v>
      </c>
      <c r="W2975" s="26"/>
    </row>
    <row r="2976" spans="1:23" x14ac:dyDescent="0.25">
      <c r="A2976" s="26" t="str">
        <f t="shared" si="503"/>
        <v>PRIMARIA</v>
      </c>
      <c r="B2976" s="26" t="str">
        <f>"09PPR1534L"</f>
        <v>09PPR1534L</v>
      </c>
      <c r="C2976" s="26" t="str">
        <f>"CENTRO PEDAGOGICO CINTRON                                                                           "</f>
        <v xml:space="preserve">CENTRO PEDAGOGICO CINTRON                                                                           </v>
      </c>
      <c r="D2976" s="26" t="str">
        <f t="shared" ref="D2976:D3039" si="510">"MATUTINO"</f>
        <v>MATUTINO</v>
      </c>
      <c r="E2976" s="26" t="str">
        <f>"PARIS 1900 NO 22                                                                "</f>
        <v xml:space="preserve">PARIS 1900 NO 22                                                                </v>
      </c>
      <c r="F2976" s="26" t="str">
        <f>"UNIDAD HABITACIONAL OLIMPICA                                                                                                                "</f>
        <v xml:space="preserve">UNIDAD HABITACIONAL OLIMPICA                                                                                                                </v>
      </c>
      <c r="G2976" s="26" t="str">
        <f>"COYOACAN                                                                        "</f>
        <v xml:space="preserve">COYOACAN                                                                        </v>
      </c>
      <c r="H2976" s="26" t="str">
        <f>"507"</f>
        <v>507</v>
      </c>
      <c r="I2976" s="26" t="str">
        <f t="shared" si="504"/>
        <v>00</v>
      </c>
      <c r="J2976" s="26" t="str">
        <f>"45 "</f>
        <v xml:space="preserve">45 </v>
      </c>
      <c r="K2976" s="26" t="str">
        <f t="shared" si="508"/>
        <v>PR</v>
      </c>
      <c r="L2976" s="26" t="str">
        <f t="shared" si="509"/>
        <v>DGOSE</v>
      </c>
      <c r="M2976" s="26" t="str">
        <f t="shared" si="507"/>
        <v>PARTICULAR</v>
      </c>
      <c r="N2976" s="26">
        <v>98</v>
      </c>
      <c r="O2976" s="26">
        <v>43</v>
      </c>
      <c r="P2976" s="26">
        <v>55</v>
      </c>
      <c r="Q2976" s="26">
        <v>6</v>
      </c>
      <c r="R2976" s="26">
        <v>1</v>
      </c>
      <c r="S2976" s="26">
        <v>4</v>
      </c>
      <c r="T2976" s="26">
        <v>8</v>
      </c>
      <c r="U2976" s="26">
        <v>13</v>
      </c>
      <c r="V2976" s="26">
        <v>1</v>
      </c>
      <c r="W2976" s="26"/>
    </row>
    <row r="2977" spans="1:23" x14ac:dyDescent="0.25">
      <c r="A2977" s="26" t="str">
        <f t="shared" si="503"/>
        <v>PRIMARIA</v>
      </c>
      <c r="B2977" s="26" t="str">
        <f>"09PPR1535K"</f>
        <v>09PPR1535K</v>
      </c>
      <c r="C2977" s="26" t="str">
        <f>"COLEGIO FRANCO ESPAÑOL DE TLALPAN                                                                   "</f>
        <v xml:space="preserve">COLEGIO FRANCO ESPAÑOL DE TLALPAN                                                                   </v>
      </c>
      <c r="D2977" s="26" t="str">
        <f t="shared" si="510"/>
        <v>MATUTINO</v>
      </c>
      <c r="E2977" s="26" t="str">
        <f>"AVENIDA MEXICO-XOCHIMILCO 122 BIS                                               "</f>
        <v xml:space="preserve">AVENIDA MEXICO-XOCHIMILCO 122 BIS                                               </v>
      </c>
      <c r="F2977" s="26" t="str">
        <f>"SAN LORENZO HUIPULCO                                                                                                                        "</f>
        <v xml:space="preserve">SAN LORENZO HUIPULCO                                                                                                                        </v>
      </c>
      <c r="G2977" s="26" t="str">
        <f>"TLALPAN                                                                         "</f>
        <v xml:space="preserve">TLALPAN                                                                         </v>
      </c>
      <c r="H2977" s="26" t="str">
        <f>"523"</f>
        <v>523</v>
      </c>
      <c r="I2977" s="26" t="str">
        <f t="shared" si="504"/>
        <v>00</v>
      </c>
      <c r="J2977" s="26" t="str">
        <f>"45 "</f>
        <v xml:space="preserve">45 </v>
      </c>
      <c r="K2977" s="26" t="str">
        <f t="shared" si="508"/>
        <v>PR</v>
      </c>
      <c r="L2977" s="26" t="str">
        <f t="shared" si="509"/>
        <v>DGOSE</v>
      </c>
      <c r="M2977" s="26" t="str">
        <f t="shared" si="507"/>
        <v>PARTICULAR</v>
      </c>
      <c r="N2977" s="26">
        <v>231</v>
      </c>
      <c r="O2977" s="26">
        <v>108</v>
      </c>
      <c r="P2977" s="26">
        <v>123</v>
      </c>
      <c r="Q2977" s="26">
        <v>12</v>
      </c>
      <c r="R2977" s="26">
        <v>1</v>
      </c>
      <c r="S2977" s="26">
        <v>11</v>
      </c>
      <c r="T2977" s="26">
        <v>13</v>
      </c>
      <c r="U2977" s="26">
        <v>25</v>
      </c>
      <c r="V2977" s="26">
        <v>1</v>
      </c>
      <c r="W2977" s="26"/>
    </row>
    <row r="2978" spans="1:23" x14ac:dyDescent="0.25">
      <c r="A2978" s="26" t="str">
        <f t="shared" si="503"/>
        <v>PRIMARIA</v>
      </c>
      <c r="B2978" s="26" t="str">
        <f>"09PPR1537I"</f>
        <v>09PPR1537I</v>
      </c>
      <c r="C2978" s="26" t="str">
        <f>"INSTITUTO MEXICANO EDUCA                                                                            "</f>
        <v xml:space="preserve">INSTITUTO MEXICANO EDUCA                                                                            </v>
      </c>
      <c r="D2978" s="26" t="str">
        <f t="shared" si="510"/>
        <v>MATUTINO</v>
      </c>
      <c r="E2978" s="26" t="str">
        <f>"AV.EJERCITO NACIONAL 248                                                        "</f>
        <v xml:space="preserve">AV.EJERCITO NACIONAL 248                                                        </v>
      </c>
      <c r="F2978" s="26" t="str">
        <f>"ANZURES                                                                                                                                     "</f>
        <v xml:space="preserve">ANZURES                                                                                                                                     </v>
      </c>
      <c r="G2978" s="26" t="str">
        <f>"MIGUEL HIDALGO                                                                  "</f>
        <v xml:space="preserve">MIGUEL HIDALGO                                                                  </v>
      </c>
      <c r="H2978" s="26" t="str">
        <f>"215"</f>
        <v>215</v>
      </c>
      <c r="I2978" s="26" t="str">
        <f t="shared" si="504"/>
        <v>00</v>
      </c>
      <c r="J2978" s="26" t="str">
        <f>"42 "</f>
        <v xml:space="preserve">42 </v>
      </c>
      <c r="K2978" s="26" t="str">
        <f t="shared" si="508"/>
        <v>PR</v>
      </c>
      <c r="L2978" s="26" t="str">
        <f t="shared" si="509"/>
        <v>DGOSE</v>
      </c>
      <c r="M2978" s="26" t="str">
        <f t="shared" si="507"/>
        <v>PARTICULAR</v>
      </c>
      <c r="N2978" s="26">
        <v>139</v>
      </c>
      <c r="O2978" s="26">
        <v>73</v>
      </c>
      <c r="P2978" s="26">
        <v>66</v>
      </c>
      <c r="Q2978" s="26">
        <v>8</v>
      </c>
      <c r="R2978" s="26">
        <v>1</v>
      </c>
      <c r="S2978" s="26">
        <v>4</v>
      </c>
      <c r="T2978" s="26">
        <v>12</v>
      </c>
      <c r="U2978" s="26">
        <v>17</v>
      </c>
      <c r="V2978" s="26">
        <v>1</v>
      </c>
      <c r="W2978" s="26"/>
    </row>
    <row r="2979" spans="1:23" x14ac:dyDescent="0.25">
      <c r="A2979" s="26" t="str">
        <f t="shared" si="503"/>
        <v>PRIMARIA</v>
      </c>
      <c r="B2979" s="26" t="str">
        <f>"09PPR1539G"</f>
        <v>09PPR1539G</v>
      </c>
      <c r="C2979" s="26" t="str">
        <f>"COLEGIO WOLDMAN DE MEXICO                                                                           "</f>
        <v xml:space="preserve">COLEGIO WOLDMAN DE MEXICO                                                                           </v>
      </c>
      <c r="D2979" s="26" t="str">
        <f t="shared" si="510"/>
        <v>MATUTINO</v>
      </c>
      <c r="E2979" s="26" t="str">
        <f>"CAFETALES NUM. 78                                                               "</f>
        <v xml:space="preserve">CAFETALES NUM. 78                                                               </v>
      </c>
      <c r="F2979" s="26" t="str">
        <f>"GRANJAS COAPA                                                                                                                               "</f>
        <v xml:space="preserve">GRANJAS COAPA                                                                                                                               </v>
      </c>
      <c r="G2979" s="26" t="str">
        <f>"TLALPAN                                                                         "</f>
        <v xml:space="preserve">TLALPAN                                                                         </v>
      </c>
      <c r="H2979" s="26" t="str">
        <f>"526"</f>
        <v>526</v>
      </c>
      <c r="I2979" s="26" t="str">
        <f t="shared" si="504"/>
        <v>00</v>
      </c>
      <c r="J2979" s="26" t="str">
        <f>"45 "</f>
        <v xml:space="preserve">45 </v>
      </c>
      <c r="K2979" s="26" t="str">
        <f t="shared" si="508"/>
        <v>PR</v>
      </c>
      <c r="L2979" s="26" t="str">
        <f t="shared" si="509"/>
        <v>DGOSE</v>
      </c>
      <c r="M2979" s="26" t="str">
        <f t="shared" si="507"/>
        <v>PARTICULAR</v>
      </c>
      <c r="N2979" s="26">
        <v>82</v>
      </c>
      <c r="O2979" s="26">
        <v>46</v>
      </c>
      <c r="P2979" s="26">
        <v>36</v>
      </c>
      <c r="Q2979" s="26">
        <v>7</v>
      </c>
      <c r="R2979" s="26">
        <v>1</v>
      </c>
      <c r="S2979" s="26">
        <v>5</v>
      </c>
      <c r="T2979" s="26">
        <v>3</v>
      </c>
      <c r="U2979" s="26">
        <v>9</v>
      </c>
      <c r="V2979" s="26">
        <v>1</v>
      </c>
      <c r="W2979" s="26"/>
    </row>
    <row r="2980" spans="1:23" x14ac:dyDescent="0.25">
      <c r="A2980" s="26" t="str">
        <f t="shared" si="503"/>
        <v>PRIMARIA</v>
      </c>
      <c r="B2980" s="26" t="str">
        <f>"09PPR1540W"</f>
        <v>09PPR1540W</v>
      </c>
      <c r="C2980" s="26" t="str">
        <f>"CENTRO EDUCATIVO TENOCHTITLAN                                                                       "</f>
        <v xml:space="preserve">CENTRO EDUCATIVO TENOCHTITLAN                                                                       </v>
      </c>
      <c r="D2980" s="26" t="str">
        <f t="shared" si="510"/>
        <v>MATUTINO</v>
      </c>
      <c r="E2980" s="26" t="str">
        <f>"CALLEJON TLOTZIN NO 3                                                           "</f>
        <v xml:space="preserve">CALLEJON TLOTZIN NO 3                                                           </v>
      </c>
      <c r="F2980" s="26" t="str">
        <f>"SAN PABLO TEPETLAPA EJIDO                                                                                                                   "</f>
        <v xml:space="preserve">SAN PABLO TEPETLAPA EJIDO                                                                                                                   </v>
      </c>
      <c r="G2980" s="26" t="str">
        <f>"COYOACAN                                                                        "</f>
        <v xml:space="preserve">COYOACAN                                                                        </v>
      </c>
      <c r="H2980" s="26" t="str">
        <f>"503"</f>
        <v>503</v>
      </c>
      <c r="I2980" s="26" t="str">
        <f t="shared" si="504"/>
        <v>00</v>
      </c>
      <c r="J2980" s="26" t="str">
        <f>"45 "</f>
        <v xml:space="preserve">45 </v>
      </c>
      <c r="K2980" s="26" t="str">
        <f t="shared" si="508"/>
        <v>PR</v>
      </c>
      <c r="L2980" s="26" t="str">
        <f t="shared" si="509"/>
        <v>DGOSE</v>
      </c>
      <c r="M2980" s="26" t="str">
        <f t="shared" si="507"/>
        <v>PARTICULAR</v>
      </c>
      <c r="N2980" s="26">
        <v>134</v>
      </c>
      <c r="O2980" s="26">
        <v>76</v>
      </c>
      <c r="P2980" s="26">
        <v>58</v>
      </c>
      <c r="Q2980" s="26">
        <v>6</v>
      </c>
      <c r="R2980" s="26">
        <v>1</v>
      </c>
      <c r="S2980" s="26">
        <v>6</v>
      </c>
      <c r="T2980" s="26">
        <v>5</v>
      </c>
      <c r="U2980" s="26">
        <v>12</v>
      </c>
      <c r="V2980" s="26">
        <v>1</v>
      </c>
      <c r="W2980" s="26"/>
    </row>
    <row r="2981" spans="1:23" x14ac:dyDescent="0.25">
      <c r="A2981" s="26" t="str">
        <f t="shared" si="503"/>
        <v>PRIMARIA</v>
      </c>
      <c r="B2981" s="26" t="str">
        <f>"09PPR1542U"</f>
        <v>09PPR1542U</v>
      </c>
      <c r="C2981" s="26" t="str">
        <f>"""CENTRO EDUCATIVO TOMAS MORO LOMAS""                                                                 "</f>
        <v xml:space="preserve">"CENTRO EDUCATIVO TOMAS MORO LOMAS"                                                                 </v>
      </c>
      <c r="D2981" s="26" t="str">
        <f t="shared" si="510"/>
        <v>MATUTINO</v>
      </c>
      <c r="E2981" s="26" t="str">
        <f>"CASTILLO DE CHAPULTEPEC 110                                                     "</f>
        <v xml:space="preserve">CASTILLO DE CHAPULTEPEC 110                                                     </v>
      </c>
      <c r="F2981" s="26" t="str">
        <f>"LOMAS REFORMA                                                                                                                               "</f>
        <v xml:space="preserve">LOMAS REFORMA                                                                                                                               </v>
      </c>
      <c r="G2981" s="26" t="str">
        <f>"MIGUEL HIDALGO                                                                  "</f>
        <v xml:space="preserve">MIGUEL HIDALGO                                                                  </v>
      </c>
      <c r="H2981" s="26" t="str">
        <f>"210"</f>
        <v>210</v>
      </c>
      <c r="I2981" s="26" t="str">
        <f t="shared" si="504"/>
        <v>00</v>
      </c>
      <c r="J2981" s="26" t="str">
        <f>"42 "</f>
        <v xml:space="preserve">42 </v>
      </c>
      <c r="K2981" s="26" t="str">
        <f t="shared" si="508"/>
        <v>PR</v>
      </c>
      <c r="L2981" s="26" t="str">
        <f t="shared" si="509"/>
        <v>DGOSE</v>
      </c>
      <c r="M2981" s="26" t="str">
        <f t="shared" si="507"/>
        <v>PARTICULAR</v>
      </c>
      <c r="N2981" s="26">
        <v>234</v>
      </c>
      <c r="O2981" s="26">
        <v>118</v>
      </c>
      <c r="P2981" s="26">
        <v>116</v>
      </c>
      <c r="Q2981" s="26">
        <v>11</v>
      </c>
      <c r="R2981" s="26">
        <v>1</v>
      </c>
      <c r="S2981" s="26">
        <v>11</v>
      </c>
      <c r="T2981" s="26">
        <v>19</v>
      </c>
      <c r="U2981" s="26">
        <v>31</v>
      </c>
      <c r="V2981" s="26">
        <v>1</v>
      </c>
      <c r="W2981" s="26"/>
    </row>
    <row r="2982" spans="1:23" x14ac:dyDescent="0.25">
      <c r="A2982" s="26" t="str">
        <f t="shared" si="503"/>
        <v>PRIMARIA</v>
      </c>
      <c r="B2982" s="26" t="str">
        <f>"09PPR1543T"</f>
        <v>09PPR1543T</v>
      </c>
      <c r="C2982" s="26" t="str">
        <f>"COLEGIO ERNESTO ALCONEDO                                                                            "</f>
        <v xml:space="preserve">COLEGIO ERNESTO ALCONEDO                                                                            </v>
      </c>
      <c r="D2982" s="26" t="str">
        <f t="shared" si="510"/>
        <v>MATUTINO</v>
      </c>
      <c r="E2982" s="26" t="str">
        <f>"CALLE 63 NO. 50                                                                 "</f>
        <v xml:space="preserve">CALLE 63 NO. 50                                                                 </v>
      </c>
      <c r="F2982" s="26" t="str">
        <f>"SANTA CRUZ MEYEHUALCO                                                                                                                       "</f>
        <v xml:space="preserve">SANTA CRUZ MEYEHUALCO                                                                                                                       </v>
      </c>
      <c r="G2982" s="26" t="str">
        <f>"IZTAPALAPA                                                                      "</f>
        <v xml:space="preserve">IZTAPALAPA                                                                      </v>
      </c>
      <c r="H2982" s="26" t="str">
        <f>"000"</f>
        <v>000</v>
      </c>
      <c r="I2982" s="26" t="str">
        <f t="shared" si="504"/>
        <v>00</v>
      </c>
      <c r="J2982" s="26" t="str">
        <f>"64 "</f>
        <v xml:space="preserve">64 </v>
      </c>
      <c r="K2982" s="26" t="str">
        <f>"IZ"</f>
        <v>IZ</v>
      </c>
      <c r="L2982" s="26" t="str">
        <f>"DGSEI"</f>
        <v>DGSEI</v>
      </c>
      <c r="M2982" s="26" t="str">
        <f t="shared" si="507"/>
        <v>PARTICULAR</v>
      </c>
      <c r="N2982" s="26">
        <v>123</v>
      </c>
      <c r="O2982" s="26">
        <v>68</v>
      </c>
      <c r="P2982" s="26">
        <v>55</v>
      </c>
      <c r="Q2982" s="26">
        <v>6</v>
      </c>
      <c r="R2982" s="26">
        <v>1</v>
      </c>
      <c r="S2982" s="26">
        <v>3</v>
      </c>
      <c r="T2982" s="26">
        <v>8</v>
      </c>
      <c r="U2982" s="26">
        <v>12</v>
      </c>
      <c r="V2982" s="26">
        <v>1</v>
      </c>
      <c r="W2982" s="26"/>
    </row>
    <row r="2983" spans="1:23" x14ac:dyDescent="0.25">
      <c r="A2983" s="26" t="str">
        <f t="shared" si="503"/>
        <v>PRIMARIA</v>
      </c>
      <c r="B2983" s="26" t="str">
        <f>"09PPR1546Q"</f>
        <v>09PPR1546Q</v>
      </c>
      <c r="C2983" s="26" t="str">
        <f>"CENTRO EDUCATIVO DEL SUR                                                                            "</f>
        <v xml:space="preserve">CENTRO EDUCATIVO DEL SUR                                                                            </v>
      </c>
      <c r="D2983" s="26" t="str">
        <f t="shared" si="510"/>
        <v>MATUTINO</v>
      </c>
      <c r="E2983" s="26" t="str">
        <f>"2DA CDA CAM VIEJO SAN PEDRO MARTIR #13                                          "</f>
        <v xml:space="preserve">2DA CDA CAM VIEJO SAN PEDRO MARTIR #13                                          </v>
      </c>
      <c r="F2983" s="26" t="str">
        <f>"CHIMALCOYOTL                                                                                                                                "</f>
        <v xml:space="preserve">CHIMALCOYOTL                                                                                                                                </v>
      </c>
      <c r="G2983" s="26" t="str">
        <f>"TLALPAN                                                                         "</f>
        <v xml:space="preserve">TLALPAN                                                                         </v>
      </c>
      <c r="H2983" s="26" t="str">
        <f>"522"</f>
        <v>522</v>
      </c>
      <c r="I2983" s="26" t="str">
        <f t="shared" si="504"/>
        <v>00</v>
      </c>
      <c r="J2983" s="26" t="str">
        <f>"45 "</f>
        <v xml:space="preserve">45 </v>
      </c>
      <c r="K2983" s="26" t="str">
        <f>"PR"</f>
        <v>PR</v>
      </c>
      <c r="L2983" s="26" t="str">
        <f>"DGOSE"</f>
        <v>DGOSE</v>
      </c>
      <c r="M2983" s="26" t="str">
        <f t="shared" si="507"/>
        <v>PARTICULAR</v>
      </c>
      <c r="N2983" s="26">
        <v>69</v>
      </c>
      <c r="O2983" s="26">
        <v>34</v>
      </c>
      <c r="P2983" s="26">
        <v>35</v>
      </c>
      <c r="Q2983" s="26">
        <v>6</v>
      </c>
      <c r="R2983" s="26">
        <v>0</v>
      </c>
      <c r="S2983" s="26">
        <v>6</v>
      </c>
      <c r="T2983" s="26">
        <v>2</v>
      </c>
      <c r="U2983" s="26">
        <v>8</v>
      </c>
      <c r="V2983" s="26">
        <v>1</v>
      </c>
      <c r="W2983" s="26"/>
    </row>
    <row r="2984" spans="1:23" x14ac:dyDescent="0.25">
      <c r="A2984" s="26" t="str">
        <f t="shared" si="503"/>
        <v>PRIMARIA</v>
      </c>
      <c r="B2984" s="26" t="str">
        <f>"09PPR1547P"</f>
        <v>09PPR1547P</v>
      </c>
      <c r="C2984" s="26" t="str">
        <f>"COLEGIO PETERSON TLALPAN                                                                            "</f>
        <v xml:space="preserve">COLEGIO PETERSON TLALPAN                                                                            </v>
      </c>
      <c r="D2984" s="26" t="str">
        <f t="shared" si="510"/>
        <v>MATUTINO</v>
      </c>
      <c r="E2984" s="26" t="str">
        <f>"CARRETERA FEDERAL A CUERNAVACA 6871                                             "</f>
        <v xml:space="preserve">CARRETERA FEDERAL A CUERNAVACA 6871                                             </v>
      </c>
      <c r="F2984" s="26" t="str">
        <f>"SAN ANDRES TOTOLTEPEC                                                                                                                       "</f>
        <v xml:space="preserve">SAN ANDRES TOTOLTEPEC                                                                                                                       </v>
      </c>
      <c r="G2984" s="26" t="str">
        <f>"TLALPAN                                                                         "</f>
        <v xml:space="preserve">TLALPAN                                                                         </v>
      </c>
      <c r="H2984" s="26" t="str">
        <f>"529"</f>
        <v>529</v>
      </c>
      <c r="I2984" s="26" t="str">
        <f t="shared" si="504"/>
        <v>00</v>
      </c>
      <c r="J2984" s="26" t="str">
        <f>"45 "</f>
        <v xml:space="preserve">45 </v>
      </c>
      <c r="K2984" s="26" t="str">
        <f>"PR"</f>
        <v>PR</v>
      </c>
      <c r="L2984" s="26" t="str">
        <f>"DGOSE"</f>
        <v>DGOSE</v>
      </c>
      <c r="M2984" s="26" t="str">
        <f t="shared" si="507"/>
        <v>PARTICULAR</v>
      </c>
      <c r="N2984" s="26">
        <v>207</v>
      </c>
      <c r="O2984" s="26">
        <v>123</v>
      </c>
      <c r="P2984" s="26">
        <v>84</v>
      </c>
      <c r="Q2984" s="26">
        <v>12</v>
      </c>
      <c r="R2984" s="26">
        <v>1</v>
      </c>
      <c r="S2984" s="26">
        <v>5</v>
      </c>
      <c r="T2984" s="26">
        <v>15</v>
      </c>
      <c r="U2984" s="26">
        <v>21</v>
      </c>
      <c r="V2984" s="26">
        <v>1</v>
      </c>
      <c r="W2984" s="26"/>
    </row>
    <row r="2985" spans="1:23" x14ac:dyDescent="0.25">
      <c r="A2985" s="26" t="str">
        <f t="shared" si="503"/>
        <v>PRIMARIA</v>
      </c>
      <c r="B2985" s="26" t="str">
        <f>"09PPR1548O"</f>
        <v>09PPR1548O</v>
      </c>
      <c r="C2985" s="26" t="str">
        <f>"CENTRO EDUCATIVO ELENA ESPINOSA BEREA                                                               "</f>
        <v xml:space="preserve">CENTRO EDUCATIVO ELENA ESPINOSA BEREA                                                               </v>
      </c>
      <c r="D2985" s="26" t="str">
        <f t="shared" si="510"/>
        <v>MATUTINO</v>
      </c>
      <c r="E2985" s="26" t="str">
        <f>"AMORES 605                                                                      "</f>
        <v xml:space="preserve">AMORES 605                                                                      </v>
      </c>
      <c r="F2985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2985" s="26" t="str">
        <f>"BENITO JUAREZ                                                                   "</f>
        <v xml:space="preserve">BENITO JUAREZ                                                                   </v>
      </c>
      <c r="H2985" s="26" t="str">
        <f>"000"</f>
        <v>000</v>
      </c>
      <c r="I2985" s="26" t="str">
        <f t="shared" si="504"/>
        <v>00</v>
      </c>
      <c r="J2985" s="26" t="str">
        <f>"43 "</f>
        <v xml:space="preserve">43 </v>
      </c>
      <c r="K2985" s="26" t="str">
        <f>"PR"</f>
        <v>PR</v>
      </c>
      <c r="L2985" s="26" t="str">
        <f>"DGOSE"</f>
        <v>DGOSE</v>
      </c>
      <c r="M2985" s="26" t="str">
        <f t="shared" si="507"/>
        <v>PARTICULAR</v>
      </c>
      <c r="N2985" s="26">
        <v>96</v>
      </c>
      <c r="O2985" s="26">
        <v>56</v>
      </c>
      <c r="P2985" s="26">
        <v>40</v>
      </c>
      <c r="Q2985" s="26">
        <v>6</v>
      </c>
      <c r="R2985" s="26">
        <v>1</v>
      </c>
      <c r="S2985" s="26">
        <v>3</v>
      </c>
      <c r="T2985" s="26">
        <v>15</v>
      </c>
      <c r="U2985" s="26">
        <v>19</v>
      </c>
      <c r="V2985" s="26">
        <v>1</v>
      </c>
      <c r="W2985" s="26"/>
    </row>
    <row r="2986" spans="1:23" x14ac:dyDescent="0.25">
      <c r="A2986" s="26" t="str">
        <f t="shared" si="503"/>
        <v>PRIMARIA</v>
      </c>
      <c r="B2986" s="26" t="str">
        <f>"09PPR1550C"</f>
        <v>09PPR1550C</v>
      </c>
      <c r="C2986" s="26" t="str">
        <f>"COLEGIO TIRSO DE MOLINA                                                                             "</f>
        <v xml:space="preserve">COLEGIO TIRSO DE MOLINA                                                                             </v>
      </c>
      <c r="D2986" s="26" t="str">
        <f t="shared" si="510"/>
        <v>MATUTINO</v>
      </c>
      <c r="E2986" s="26" t="str">
        <f>"TORNO NO 111                                                                    "</f>
        <v xml:space="preserve">TORNO NO 111                                                                    </v>
      </c>
      <c r="F2986" s="26" t="str">
        <f>"AARON SAENZ                                                                                                                                 "</f>
        <v xml:space="preserve">AARON SAENZ                                                                                                                                 </v>
      </c>
      <c r="G2986" s="26" t="str">
        <f>"VENUSTIANO CARRANZA                                                             "</f>
        <v xml:space="preserve">VENUSTIANO CARRANZA                                                             </v>
      </c>
      <c r="H2986" s="26" t="str">
        <f>"347"</f>
        <v>347</v>
      </c>
      <c r="I2986" s="26" t="str">
        <f t="shared" si="504"/>
        <v>00</v>
      </c>
      <c r="J2986" s="26" t="str">
        <f>"43 "</f>
        <v xml:space="preserve">43 </v>
      </c>
      <c r="K2986" s="26" t="str">
        <f>"PR"</f>
        <v>PR</v>
      </c>
      <c r="L2986" s="26" t="str">
        <f>"DGOSE"</f>
        <v>DGOSE</v>
      </c>
      <c r="M2986" s="26" t="str">
        <f t="shared" si="507"/>
        <v>PARTICULAR</v>
      </c>
      <c r="N2986" s="26">
        <v>138</v>
      </c>
      <c r="O2986" s="26">
        <v>66</v>
      </c>
      <c r="P2986" s="26">
        <v>72</v>
      </c>
      <c r="Q2986" s="26">
        <v>6</v>
      </c>
      <c r="R2986" s="26">
        <v>1</v>
      </c>
      <c r="S2986" s="26">
        <v>6</v>
      </c>
      <c r="T2986" s="26">
        <v>7</v>
      </c>
      <c r="U2986" s="26">
        <v>14</v>
      </c>
      <c r="V2986" s="26">
        <v>1</v>
      </c>
      <c r="W2986" s="26"/>
    </row>
    <row r="2987" spans="1:23" x14ac:dyDescent="0.25">
      <c r="A2987" s="26" t="str">
        <f t="shared" si="503"/>
        <v>PRIMARIA</v>
      </c>
      <c r="B2987" s="26" t="str">
        <f>"09PPR1552A"</f>
        <v>09PPR1552A</v>
      </c>
      <c r="C2987" s="26" t="str">
        <f>"INSTITUTO JUAN GREGORIO MENDEL                                                                      "</f>
        <v xml:space="preserve">INSTITUTO JUAN GREGORIO MENDEL                                                                      </v>
      </c>
      <c r="D2987" s="26" t="str">
        <f t="shared" si="510"/>
        <v>MATUTINO</v>
      </c>
      <c r="E2987" s="26" t="str">
        <f>"AV. JACARANDAS NO. 27                                                           "</f>
        <v xml:space="preserve">AV. JACARANDAS NO. 27                                                           </v>
      </c>
      <c r="F2987" s="26" t="str">
        <f>"SANTIAGO ACAHUALTEPEC                                                                                                                       "</f>
        <v xml:space="preserve">SANTIAGO ACAHUALTEPEC                                                                                                                       </v>
      </c>
      <c r="G2987" s="26" t="str">
        <f>"IZTAPALAPA                                                                      "</f>
        <v xml:space="preserve">IZTAPALAPA                                                                      </v>
      </c>
      <c r="H2987" s="26" t="str">
        <f>"000"</f>
        <v>000</v>
      </c>
      <c r="I2987" s="26" t="str">
        <f t="shared" si="504"/>
        <v>00</v>
      </c>
      <c r="J2987" s="26" t="str">
        <f>"64 "</f>
        <v xml:space="preserve">64 </v>
      </c>
      <c r="K2987" s="26" t="str">
        <f>"IZ"</f>
        <v>IZ</v>
      </c>
      <c r="L2987" s="26" t="str">
        <f>"DGSEI"</f>
        <v>DGSEI</v>
      </c>
      <c r="M2987" s="26" t="str">
        <f t="shared" si="507"/>
        <v>PARTICULAR</v>
      </c>
      <c r="N2987" s="26">
        <v>37</v>
      </c>
      <c r="O2987" s="26">
        <v>16</v>
      </c>
      <c r="P2987" s="26">
        <v>21</v>
      </c>
      <c r="Q2987" s="26">
        <v>6</v>
      </c>
      <c r="R2987" s="26">
        <v>1</v>
      </c>
      <c r="S2987" s="26">
        <v>6</v>
      </c>
      <c r="T2987" s="26">
        <v>0</v>
      </c>
      <c r="U2987" s="26">
        <v>7</v>
      </c>
      <c r="V2987" s="26">
        <v>1</v>
      </c>
      <c r="W2987" s="26"/>
    </row>
    <row r="2988" spans="1:23" x14ac:dyDescent="0.25">
      <c r="A2988" s="26" t="str">
        <f t="shared" si="503"/>
        <v>PRIMARIA</v>
      </c>
      <c r="B2988" s="26" t="str">
        <f>"09PPR1553Z"</f>
        <v>09PPR1553Z</v>
      </c>
      <c r="C2988" s="26" t="str">
        <f>"COLEGIO THOMAS HILL GREEN                                                                           "</f>
        <v xml:space="preserve">COLEGIO THOMAS HILL GREEN                                                                           </v>
      </c>
      <c r="D2988" s="26" t="str">
        <f t="shared" si="510"/>
        <v>MATUTINO</v>
      </c>
      <c r="E2988" s="26" t="str">
        <f>"PRIV. RAMON LOPEZ VELARDE NO. 6                                                 "</f>
        <v xml:space="preserve">PRIV. RAMON LOPEZ VELARDE NO. 6                                                 </v>
      </c>
      <c r="F2988" s="26" t="str">
        <f>"CITLALI                                                                                                                                     "</f>
        <v xml:space="preserve">CITLALI                                                                                                                                     </v>
      </c>
      <c r="G2988" s="26" t="str">
        <f>"IZTAPALAPA                                                                      "</f>
        <v xml:space="preserve">IZTAPALAPA                                                                      </v>
      </c>
      <c r="H2988" s="26" t="str">
        <f>"000"</f>
        <v>000</v>
      </c>
      <c r="I2988" s="26" t="str">
        <f t="shared" si="504"/>
        <v>00</v>
      </c>
      <c r="J2988" s="26" t="str">
        <f>"64 "</f>
        <v xml:space="preserve">64 </v>
      </c>
      <c r="K2988" s="26" t="str">
        <f>"IZ"</f>
        <v>IZ</v>
      </c>
      <c r="L2988" s="26" t="str">
        <f>"DGSEI"</f>
        <v>DGSEI</v>
      </c>
      <c r="M2988" s="26" t="str">
        <f t="shared" si="507"/>
        <v>PARTICULAR</v>
      </c>
      <c r="N2988" s="26">
        <v>16</v>
      </c>
      <c r="O2988" s="26">
        <v>8</v>
      </c>
      <c r="P2988" s="26">
        <v>8</v>
      </c>
      <c r="Q2988" s="26">
        <v>6</v>
      </c>
      <c r="R2988" s="26">
        <v>1</v>
      </c>
      <c r="S2988" s="26">
        <v>6</v>
      </c>
      <c r="T2988" s="26">
        <v>0</v>
      </c>
      <c r="U2988" s="26">
        <v>7</v>
      </c>
      <c r="V2988" s="26">
        <v>1</v>
      </c>
      <c r="W2988" s="26"/>
    </row>
    <row r="2989" spans="1:23" x14ac:dyDescent="0.25">
      <c r="A2989" s="26" t="str">
        <f t="shared" si="503"/>
        <v>PRIMARIA</v>
      </c>
      <c r="B2989" s="26" t="str">
        <f>"09PPR1554Z"</f>
        <v>09PPR1554Z</v>
      </c>
      <c r="C2989" s="26" t="str">
        <f>"INSTITUTO TEODOSIO MARTINEZ                                                                         "</f>
        <v xml:space="preserve">INSTITUTO TEODOSIO MARTINEZ                                                                         </v>
      </c>
      <c r="D2989" s="26" t="str">
        <f t="shared" si="510"/>
        <v>MATUTINO</v>
      </c>
      <c r="E2989" s="26" t="str">
        <f>"ALDANA #27                                                                      "</f>
        <v xml:space="preserve">ALDANA #27                                                                      </v>
      </c>
      <c r="F2989" s="26" t="str">
        <f>"COSMOPOLITA AMPLIACION                                                                                                                      "</f>
        <v xml:space="preserve">COSMOPOLITA AMPLIACION                                                                                                                      </v>
      </c>
      <c r="G2989" s="26" t="str">
        <f>"AZCAPOTZALCO                                                                    "</f>
        <v xml:space="preserve">AZCAPOTZALCO                                                                    </v>
      </c>
      <c r="H2989" s="26" t="str">
        <f>"000"</f>
        <v>000</v>
      </c>
      <c r="I2989" s="26" t="str">
        <f t="shared" si="504"/>
        <v>00</v>
      </c>
      <c r="J2989" s="26" t="str">
        <f>"42 "</f>
        <v xml:space="preserve">42 </v>
      </c>
      <c r="K2989" s="26" t="str">
        <f t="shared" ref="K2989:K3001" si="511">"PR"</f>
        <v>PR</v>
      </c>
      <c r="L2989" s="26" t="str">
        <f t="shared" ref="L2989:L3001" si="512">"DGOSE"</f>
        <v>DGOSE</v>
      </c>
      <c r="M2989" s="26" t="str">
        <f t="shared" si="507"/>
        <v>PARTICULAR</v>
      </c>
      <c r="N2989" s="26">
        <v>46</v>
      </c>
      <c r="O2989" s="26">
        <v>26</v>
      </c>
      <c r="P2989" s="26">
        <v>20</v>
      </c>
      <c r="Q2989" s="26">
        <v>6</v>
      </c>
      <c r="R2989" s="26">
        <v>1</v>
      </c>
      <c r="S2989" s="26">
        <v>6</v>
      </c>
      <c r="T2989" s="26">
        <v>7</v>
      </c>
      <c r="U2989" s="26">
        <v>14</v>
      </c>
      <c r="V2989" s="26">
        <v>1</v>
      </c>
      <c r="W2989" s="26"/>
    </row>
    <row r="2990" spans="1:23" x14ac:dyDescent="0.25">
      <c r="A2990" s="26" t="str">
        <f t="shared" si="503"/>
        <v>PRIMARIA</v>
      </c>
      <c r="B2990" s="26" t="str">
        <f>"09PPR1555Y"</f>
        <v>09PPR1555Y</v>
      </c>
      <c r="C2990" s="26" t="str">
        <f>"MENAGEN BEGUIN                                                                                      "</f>
        <v xml:space="preserve">MENAGEN BEGUIN                                                                                      </v>
      </c>
      <c r="D2990" s="26" t="str">
        <f t="shared" si="510"/>
        <v>MATUTINO</v>
      </c>
      <c r="E2990" s="26" t="str">
        <f>"POZO PEDREGAL NUM. 91                                                           "</f>
        <v xml:space="preserve">POZO PEDREGAL NUM. 91                                                           </v>
      </c>
      <c r="F2990" s="26" t="str">
        <f>"REYNOSA TAMAULIPAS                                                                                                                          "</f>
        <v xml:space="preserve">REYNOSA TAMAULIPAS                                                                                                                          </v>
      </c>
      <c r="G2990" s="26" t="str">
        <f>"AZCAPOTZALCO                                                                    "</f>
        <v xml:space="preserve">AZCAPOTZALCO                                                                    </v>
      </c>
      <c r="H2990" s="26" t="str">
        <f>"202"</f>
        <v>202</v>
      </c>
      <c r="I2990" s="26" t="str">
        <f t="shared" si="504"/>
        <v>00</v>
      </c>
      <c r="J2990" s="26" t="str">
        <f>"42 "</f>
        <v xml:space="preserve">42 </v>
      </c>
      <c r="K2990" s="26" t="str">
        <f t="shared" si="511"/>
        <v>PR</v>
      </c>
      <c r="L2990" s="26" t="str">
        <f t="shared" si="512"/>
        <v>DGOSE</v>
      </c>
      <c r="M2990" s="26" t="str">
        <f t="shared" si="507"/>
        <v>PARTICULAR</v>
      </c>
      <c r="N2990" s="26">
        <v>123</v>
      </c>
      <c r="O2990" s="26">
        <v>56</v>
      </c>
      <c r="P2990" s="26">
        <v>67</v>
      </c>
      <c r="Q2990" s="26">
        <v>8</v>
      </c>
      <c r="R2990" s="26">
        <v>1</v>
      </c>
      <c r="S2990" s="26">
        <v>4</v>
      </c>
      <c r="T2990" s="26">
        <v>12</v>
      </c>
      <c r="U2990" s="26">
        <v>17</v>
      </c>
      <c r="V2990" s="26">
        <v>1</v>
      </c>
      <c r="W2990" s="26"/>
    </row>
    <row r="2991" spans="1:23" x14ac:dyDescent="0.25">
      <c r="A2991" s="26" t="str">
        <f t="shared" si="503"/>
        <v>PRIMARIA</v>
      </c>
      <c r="B2991" s="26" t="str">
        <f>"09PPR1557W"</f>
        <v>09PPR1557W</v>
      </c>
      <c r="C2991" s="26" t="str">
        <f>"CENTRO EDUCATIVO GABRIELA MISTRAL                                                                   "</f>
        <v xml:space="preserve">CENTRO EDUCATIVO GABRIELA MISTRAL                                                                   </v>
      </c>
      <c r="D2991" s="26" t="str">
        <f t="shared" si="510"/>
        <v>MATUTINO</v>
      </c>
      <c r="E2991" s="26" t="str">
        <f>"TUXPAN M 13 LOTE 25                                                             "</f>
        <v xml:space="preserve">TUXPAN M 13 LOTE 25                                                             </v>
      </c>
      <c r="F2991" s="26" t="str">
        <f>"CUAUTEPEC DE MADERO                                                                                                                         "</f>
        <v xml:space="preserve">CUAUTEPEC DE MADERO                                                                                                                         </v>
      </c>
      <c r="G2991" s="26" t="str">
        <f>"GUSTAVO A. MADERO                                                               "</f>
        <v xml:space="preserve">GUSTAVO A. MADERO                                                               </v>
      </c>
      <c r="H2991" s="26" t="str">
        <f>"233"</f>
        <v>233</v>
      </c>
      <c r="I2991" s="26" t="str">
        <f t="shared" si="504"/>
        <v>00</v>
      </c>
      <c r="J2991" s="26" t="str">
        <f>"42 "</f>
        <v xml:space="preserve">42 </v>
      </c>
      <c r="K2991" s="26" t="str">
        <f t="shared" si="511"/>
        <v>PR</v>
      </c>
      <c r="L2991" s="26" t="str">
        <f t="shared" si="512"/>
        <v>DGOSE</v>
      </c>
      <c r="M2991" s="26" t="str">
        <f t="shared" si="507"/>
        <v>PARTICULAR</v>
      </c>
      <c r="N2991" s="26">
        <v>82</v>
      </c>
      <c r="O2991" s="26">
        <v>44</v>
      </c>
      <c r="P2991" s="26">
        <v>38</v>
      </c>
      <c r="Q2991" s="26">
        <v>6</v>
      </c>
      <c r="R2991" s="26">
        <v>1</v>
      </c>
      <c r="S2991" s="26">
        <v>6</v>
      </c>
      <c r="T2991" s="26">
        <v>4</v>
      </c>
      <c r="U2991" s="26">
        <v>11</v>
      </c>
      <c r="V2991" s="26">
        <v>1</v>
      </c>
      <c r="W2991" s="26"/>
    </row>
    <row r="2992" spans="1:23" x14ac:dyDescent="0.25">
      <c r="A2992" s="26" t="str">
        <f t="shared" si="503"/>
        <v>PRIMARIA</v>
      </c>
      <c r="B2992" s="26" t="str">
        <f>"09PPR1558V"</f>
        <v>09PPR1558V</v>
      </c>
      <c r="C2992" s="26" t="str">
        <f>"CENTRO EDUCATIVO VENUSTIANO CARRANZA                                                                "</f>
        <v xml:space="preserve">CENTRO EDUCATIVO VENUSTIANO CARRANZA                                                                </v>
      </c>
      <c r="D2992" s="26" t="str">
        <f t="shared" si="510"/>
        <v>MATUTINO</v>
      </c>
      <c r="E2992" s="26" t="str">
        <f>"COREA 69                                                                        "</f>
        <v xml:space="preserve">COREA 69                                                                        </v>
      </c>
      <c r="F2992" s="26" t="str">
        <f>"ROMERO RUBIO                                                                                                                                "</f>
        <v xml:space="preserve">ROMERO RUBIO                                                                                                                                </v>
      </c>
      <c r="G2992" s="26" t="str">
        <f>"VENUSTIANO CARRANZA                                                             "</f>
        <v xml:space="preserve">VENUSTIANO CARRANZA                                                             </v>
      </c>
      <c r="H2992" s="26" t="str">
        <f>"344"</f>
        <v>344</v>
      </c>
      <c r="I2992" s="26" t="str">
        <f t="shared" si="504"/>
        <v>00</v>
      </c>
      <c r="J2992" s="26" t="str">
        <f>"43 "</f>
        <v xml:space="preserve">43 </v>
      </c>
      <c r="K2992" s="26" t="str">
        <f t="shared" si="511"/>
        <v>PR</v>
      </c>
      <c r="L2992" s="26" t="str">
        <f t="shared" si="512"/>
        <v>DGOSE</v>
      </c>
      <c r="M2992" s="26" t="str">
        <f t="shared" si="507"/>
        <v>PARTICULAR</v>
      </c>
      <c r="N2992" s="26">
        <v>43</v>
      </c>
      <c r="O2992" s="26">
        <v>22</v>
      </c>
      <c r="P2992" s="26">
        <v>21</v>
      </c>
      <c r="Q2992" s="26">
        <v>6</v>
      </c>
      <c r="R2992" s="26">
        <v>1</v>
      </c>
      <c r="S2992" s="26">
        <v>2</v>
      </c>
      <c r="T2992" s="26">
        <v>10</v>
      </c>
      <c r="U2992" s="26">
        <v>13</v>
      </c>
      <c r="V2992" s="26">
        <v>1</v>
      </c>
      <c r="W2992" s="26"/>
    </row>
    <row r="2993" spans="1:23" x14ac:dyDescent="0.25">
      <c r="A2993" s="26" t="str">
        <f t="shared" si="503"/>
        <v>PRIMARIA</v>
      </c>
      <c r="B2993" s="26" t="str">
        <f>"09PPR1560J"</f>
        <v>09PPR1560J</v>
      </c>
      <c r="C2993" s="26" t="str">
        <f>"CENTRO EDUCATIVO SANTA FE                                                                           "</f>
        <v xml:space="preserve">CENTRO EDUCATIVO SANTA FE                                                                           </v>
      </c>
      <c r="D2993" s="26" t="str">
        <f t="shared" si="510"/>
        <v>MATUTINO</v>
      </c>
      <c r="E2993" s="26" t="str">
        <f>"AV. VASCO DE QUIROGA # 1785                                                     "</f>
        <v xml:space="preserve">AV. VASCO DE QUIROGA # 1785                                                     </v>
      </c>
      <c r="F2993" s="26" t="str">
        <f>"SANTA FE                                                                                                                                    "</f>
        <v xml:space="preserve">SANTA FE                                                                                                                                    </v>
      </c>
      <c r="G2993" s="26" t="str">
        <f>"ALVARO OBREGON                                                                  "</f>
        <v xml:space="preserve">ALVARO OBREGON                                                                  </v>
      </c>
      <c r="H2993" s="26" t="str">
        <f>"312"</f>
        <v>312</v>
      </c>
      <c r="I2993" s="26" t="str">
        <f t="shared" si="504"/>
        <v>00</v>
      </c>
      <c r="J2993" s="26" t="str">
        <f>"43 "</f>
        <v xml:space="preserve">43 </v>
      </c>
      <c r="K2993" s="26" t="str">
        <f t="shared" si="511"/>
        <v>PR</v>
      </c>
      <c r="L2993" s="26" t="str">
        <f t="shared" si="512"/>
        <v>DGOSE</v>
      </c>
      <c r="M2993" s="26" t="str">
        <f t="shared" si="507"/>
        <v>PARTICULAR</v>
      </c>
      <c r="N2993" s="26">
        <v>54</v>
      </c>
      <c r="O2993" s="26">
        <v>34</v>
      </c>
      <c r="P2993" s="26">
        <v>20</v>
      </c>
      <c r="Q2993" s="26">
        <v>6</v>
      </c>
      <c r="R2993" s="26">
        <v>1</v>
      </c>
      <c r="S2993" s="26">
        <v>6</v>
      </c>
      <c r="T2993" s="26">
        <v>6</v>
      </c>
      <c r="U2993" s="26">
        <v>13</v>
      </c>
      <c r="V2993" s="26">
        <v>1</v>
      </c>
      <c r="W2993" s="26"/>
    </row>
    <row r="2994" spans="1:23" x14ac:dyDescent="0.25">
      <c r="A2994" s="26" t="str">
        <f t="shared" si="503"/>
        <v>PRIMARIA</v>
      </c>
      <c r="B2994" s="26" t="str">
        <f>"09PPR1561I"</f>
        <v>09PPR1561I</v>
      </c>
      <c r="C2994" s="26" t="str">
        <f>"INSTITUTO CUMBRES MEXICO                                                                            "</f>
        <v xml:space="preserve">INSTITUTO CUMBRES MEXICO                                                                            </v>
      </c>
      <c r="D2994" s="26" t="str">
        <f t="shared" si="510"/>
        <v>MATUTINO</v>
      </c>
      <c r="E2994" s="26" t="str">
        <f>"LOMAS DEL RECUERDO NO. 50                                                       "</f>
        <v xml:space="preserve">LOMAS DEL RECUERDO NO. 50                                                       </v>
      </c>
      <c r="F2994" s="26" t="str">
        <f>"LOMAS DE VISTA HERMOSA                                                                                                                      "</f>
        <v xml:space="preserve">LOMAS DE VISTA HERMOSA                                                                                                                      </v>
      </c>
      <c r="G2994" s="26" t="str">
        <f>"CUAJIMALPA DE MORELOS                                                           "</f>
        <v xml:space="preserve">CUAJIMALPA DE MORELOS                                                           </v>
      </c>
      <c r="H2994" s="26" t="str">
        <f>"300"</f>
        <v>300</v>
      </c>
      <c r="I2994" s="26" t="str">
        <f t="shared" si="504"/>
        <v>00</v>
      </c>
      <c r="J2994" s="26" t="str">
        <f>"43 "</f>
        <v xml:space="preserve">43 </v>
      </c>
      <c r="K2994" s="26" t="str">
        <f t="shared" si="511"/>
        <v>PR</v>
      </c>
      <c r="L2994" s="26" t="str">
        <f t="shared" si="512"/>
        <v>DGOSE</v>
      </c>
      <c r="M2994" s="26" t="str">
        <f t="shared" si="507"/>
        <v>PARTICULAR</v>
      </c>
      <c r="N2994" s="26">
        <v>164</v>
      </c>
      <c r="O2994" s="26">
        <v>164</v>
      </c>
      <c r="P2994" s="26">
        <v>0</v>
      </c>
      <c r="Q2994" s="26">
        <v>7</v>
      </c>
      <c r="R2994" s="26">
        <v>1</v>
      </c>
      <c r="S2994" s="26">
        <v>4</v>
      </c>
      <c r="T2994" s="26">
        <v>10</v>
      </c>
      <c r="U2994" s="26">
        <v>15</v>
      </c>
      <c r="V2994" s="26">
        <v>1</v>
      </c>
      <c r="W2994" s="26"/>
    </row>
    <row r="2995" spans="1:23" x14ac:dyDescent="0.25">
      <c r="A2995" s="26" t="str">
        <f t="shared" si="503"/>
        <v>PRIMARIA</v>
      </c>
      <c r="B2995" s="26" t="str">
        <f>"09PPR1563G"</f>
        <v>09PPR1563G</v>
      </c>
      <c r="C2995" s="26" t="str">
        <f>"LICEO CULTURAL CEYRAC                                                                               "</f>
        <v xml:space="preserve">LICEO CULTURAL CEYRAC                                                                               </v>
      </c>
      <c r="D2995" s="26" t="str">
        <f t="shared" si="510"/>
        <v>MATUTINO</v>
      </c>
      <c r="E2995" s="26" t="str">
        <f>"CERRADA SAN EDUARDO NO. 8                                                       "</f>
        <v xml:space="preserve">CERRADA SAN EDUARDO NO. 8                                                       </v>
      </c>
      <c r="F2995" s="26" t="str">
        <f>"SAN FRANCISCO CULHUACAN                                                                                                                     "</f>
        <v xml:space="preserve">SAN FRANCISCO CULHUACAN                                                                                                                     </v>
      </c>
      <c r="G2995" s="26" t="str">
        <f>"COYOACAN                                                                        "</f>
        <v xml:space="preserve">COYOACAN                                                                        </v>
      </c>
      <c r="H2995" s="26" t="str">
        <f>"508"</f>
        <v>508</v>
      </c>
      <c r="I2995" s="26" t="str">
        <f t="shared" si="504"/>
        <v>00</v>
      </c>
      <c r="J2995" s="26" t="str">
        <f>"45 "</f>
        <v xml:space="preserve">45 </v>
      </c>
      <c r="K2995" s="26" t="str">
        <f t="shared" si="511"/>
        <v>PR</v>
      </c>
      <c r="L2995" s="26" t="str">
        <f t="shared" si="512"/>
        <v>DGOSE</v>
      </c>
      <c r="M2995" s="26" t="str">
        <f t="shared" si="507"/>
        <v>PARTICULAR</v>
      </c>
      <c r="N2995" s="26">
        <v>42</v>
      </c>
      <c r="O2995" s="26">
        <v>22</v>
      </c>
      <c r="P2995" s="26">
        <v>20</v>
      </c>
      <c r="Q2995" s="26">
        <v>6</v>
      </c>
      <c r="R2995" s="26">
        <v>1</v>
      </c>
      <c r="S2995" s="26">
        <v>3</v>
      </c>
      <c r="T2995" s="26">
        <v>4</v>
      </c>
      <c r="U2995" s="26">
        <v>8</v>
      </c>
      <c r="V2995" s="26">
        <v>1</v>
      </c>
      <c r="W2995" s="26"/>
    </row>
    <row r="2996" spans="1:23" x14ac:dyDescent="0.25">
      <c r="A2996" s="26" t="str">
        <f t="shared" si="503"/>
        <v>PRIMARIA</v>
      </c>
      <c r="B2996" s="26" t="str">
        <f>"09PPR1566D"</f>
        <v>09PPR1566D</v>
      </c>
      <c r="C2996" s="26" t="str">
        <f>"ESCUELA PRIMARIA SUSANA ALARDIN GONZALEZ                                                            "</f>
        <v xml:space="preserve">ESCUELA PRIMARIA SUSANA ALARDIN GONZALEZ                                                            </v>
      </c>
      <c r="D2996" s="26" t="str">
        <f t="shared" si="510"/>
        <v>MATUTINO</v>
      </c>
      <c r="E2996" s="26" t="str">
        <f>"SALOMON NO. 357                                                                 "</f>
        <v xml:space="preserve">SALOMON NO. 357                                                                 </v>
      </c>
      <c r="F2996" s="26" t="str">
        <f>"SINDICATO MEXICANO DE ELECTRICISTAS                                                                                                         "</f>
        <v xml:space="preserve">SINDICATO MEXICANO DE ELECTRICISTAS                                                                                                         </v>
      </c>
      <c r="G2996" s="26" t="str">
        <f>"AZCAPOTZALCO                                                                    "</f>
        <v xml:space="preserve">AZCAPOTZALCO                                                                    </v>
      </c>
      <c r="H2996" s="26" t="str">
        <f>"206"</f>
        <v>206</v>
      </c>
      <c r="I2996" s="26" t="str">
        <f t="shared" si="504"/>
        <v>00</v>
      </c>
      <c r="J2996" s="26" t="str">
        <f>"42 "</f>
        <v xml:space="preserve">42 </v>
      </c>
      <c r="K2996" s="26" t="str">
        <f t="shared" si="511"/>
        <v>PR</v>
      </c>
      <c r="L2996" s="26" t="str">
        <f t="shared" si="512"/>
        <v>DGOSE</v>
      </c>
      <c r="M2996" s="26" t="str">
        <f t="shared" si="507"/>
        <v>PARTICULAR</v>
      </c>
      <c r="N2996" s="26">
        <v>76</v>
      </c>
      <c r="O2996" s="26">
        <v>50</v>
      </c>
      <c r="P2996" s="26">
        <v>26</v>
      </c>
      <c r="Q2996" s="26">
        <v>6</v>
      </c>
      <c r="R2996" s="26">
        <v>1</v>
      </c>
      <c r="S2996" s="26">
        <v>6</v>
      </c>
      <c r="T2996" s="26">
        <v>10</v>
      </c>
      <c r="U2996" s="26">
        <v>17</v>
      </c>
      <c r="V2996" s="26">
        <v>1</v>
      </c>
      <c r="W2996" s="26"/>
    </row>
    <row r="2997" spans="1:23" x14ac:dyDescent="0.25">
      <c r="A2997" s="26" t="str">
        <f t="shared" si="503"/>
        <v>PRIMARIA</v>
      </c>
      <c r="B2997" s="26" t="str">
        <f>"09PPR1568B"</f>
        <v>09PPR1568B</v>
      </c>
      <c r="C2997" s="26" t="str">
        <f>"COLEGIO ESTHER DOMINGUEZ                                                                            "</f>
        <v xml:space="preserve">COLEGIO ESTHER DOMINGUEZ                                                                            </v>
      </c>
      <c r="D2997" s="26" t="str">
        <f t="shared" si="510"/>
        <v>MATUTINO</v>
      </c>
      <c r="E2997" s="26" t="str">
        <f>"AV. GUADALUPE I. RAMIREZ # 5865                                                 "</f>
        <v xml:space="preserve">AV. GUADALUPE I. RAMIREZ # 5865                                                 </v>
      </c>
      <c r="F2997" s="26" t="str">
        <f>"POTRERO DE SAN BERNARDINO                                                                                                                   "</f>
        <v xml:space="preserve">POTRERO DE SAN BERNARDINO                                                                                                                   </v>
      </c>
      <c r="G2997" s="26" t="str">
        <f>"XOCHIMILCO                                                                      "</f>
        <v xml:space="preserve">XOCHIMILCO                                                                      </v>
      </c>
      <c r="H2997" s="26" t="str">
        <f>"535"</f>
        <v>535</v>
      </c>
      <c r="I2997" s="26" t="str">
        <f t="shared" si="504"/>
        <v>00</v>
      </c>
      <c r="J2997" s="26" t="str">
        <f>"45 "</f>
        <v xml:space="preserve">45 </v>
      </c>
      <c r="K2997" s="26" t="str">
        <f t="shared" si="511"/>
        <v>PR</v>
      </c>
      <c r="L2997" s="26" t="str">
        <f t="shared" si="512"/>
        <v>DGOSE</v>
      </c>
      <c r="M2997" s="26" t="str">
        <f t="shared" si="507"/>
        <v>PARTICULAR</v>
      </c>
      <c r="N2997" s="26">
        <v>81</v>
      </c>
      <c r="O2997" s="26">
        <v>48</v>
      </c>
      <c r="P2997" s="26">
        <v>33</v>
      </c>
      <c r="Q2997" s="26">
        <v>6</v>
      </c>
      <c r="R2997" s="26">
        <v>1</v>
      </c>
      <c r="S2997" s="26">
        <v>6</v>
      </c>
      <c r="T2997" s="26">
        <v>6</v>
      </c>
      <c r="U2997" s="26">
        <v>13</v>
      </c>
      <c r="V2997" s="26">
        <v>1</v>
      </c>
      <c r="W2997" s="26"/>
    </row>
    <row r="2998" spans="1:23" x14ac:dyDescent="0.25">
      <c r="A2998" s="26" t="str">
        <f t="shared" si="503"/>
        <v>PRIMARIA</v>
      </c>
      <c r="B2998" s="26" t="str">
        <f>"09PPR1570Q"</f>
        <v>09PPR1570Q</v>
      </c>
      <c r="C2998" s="26" t="str">
        <f>"ESCUELA PRIMARIA REDLANDS                                                                           "</f>
        <v xml:space="preserve">ESCUELA PRIMARIA REDLANDS                                                                           </v>
      </c>
      <c r="D2998" s="26" t="str">
        <f t="shared" si="510"/>
        <v>MATUTINO</v>
      </c>
      <c r="E2998" s="26" t="str">
        <f>"CALLE LIMANTITLA NO 5                                                           "</f>
        <v xml:space="preserve">CALLE LIMANTITLA NO 5                                                           </v>
      </c>
      <c r="F2998" s="26" t="str">
        <f>"SANTA URSULA XITLA                                                                                                                          "</f>
        <v xml:space="preserve">SANTA URSULA XITLA                                                                                                                          </v>
      </c>
      <c r="G2998" s="26" t="str">
        <f>"TLALPAN                                                                         "</f>
        <v xml:space="preserve">TLALPAN                                                                         </v>
      </c>
      <c r="H2998" s="26" t="str">
        <f>"521"</f>
        <v>521</v>
      </c>
      <c r="I2998" s="26" t="str">
        <f t="shared" si="504"/>
        <v>00</v>
      </c>
      <c r="J2998" s="26" t="str">
        <f>"45 "</f>
        <v xml:space="preserve">45 </v>
      </c>
      <c r="K2998" s="26" t="str">
        <f t="shared" si="511"/>
        <v>PR</v>
      </c>
      <c r="L2998" s="26" t="str">
        <f t="shared" si="512"/>
        <v>DGOSE</v>
      </c>
      <c r="M2998" s="26" t="str">
        <f t="shared" si="507"/>
        <v>PARTICULAR</v>
      </c>
      <c r="N2998" s="26">
        <v>67</v>
      </c>
      <c r="O2998" s="26">
        <v>42</v>
      </c>
      <c r="P2998" s="26">
        <v>25</v>
      </c>
      <c r="Q2998" s="26">
        <v>6</v>
      </c>
      <c r="R2998" s="26">
        <v>1</v>
      </c>
      <c r="S2998" s="26">
        <v>2</v>
      </c>
      <c r="T2998" s="26">
        <v>8</v>
      </c>
      <c r="U2998" s="26">
        <v>11</v>
      </c>
      <c r="V2998" s="26">
        <v>1</v>
      </c>
      <c r="W2998" s="26"/>
    </row>
    <row r="2999" spans="1:23" x14ac:dyDescent="0.25">
      <c r="A2999" s="26" t="str">
        <f t="shared" si="503"/>
        <v>PRIMARIA</v>
      </c>
      <c r="B2999" s="26" t="str">
        <f>"09PPR1571P"</f>
        <v>09PPR1571P</v>
      </c>
      <c r="C2999" s="26" t="str">
        <f>"COLEGIO LIDERES                                                                                     "</f>
        <v xml:space="preserve">COLEGIO LIDERES                                                                                     </v>
      </c>
      <c r="D2999" s="26" t="str">
        <f t="shared" si="510"/>
        <v>MATUTINO</v>
      </c>
      <c r="E2999" s="26" t="str">
        <f>"CARRETERA FEDERAL A CUERNAVACA N. 6235                                          "</f>
        <v xml:space="preserve">CARRETERA FEDERAL A CUERNAVACA N. 6235                                          </v>
      </c>
      <c r="F2999" s="26" t="str">
        <f>"SAN ANDRES TOTOLTEPEC                                                                                                                       "</f>
        <v xml:space="preserve">SAN ANDRES TOTOLTEPEC                                                                                                                       </v>
      </c>
      <c r="G2999" s="26" t="str">
        <f>"TLALPAN                                                                         "</f>
        <v xml:space="preserve">TLALPAN                                                                         </v>
      </c>
      <c r="H2999" s="26" t="str">
        <f>"529"</f>
        <v>529</v>
      </c>
      <c r="I2999" s="26" t="str">
        <f t="shared" si="504"/>
        <v>00</v>
      </c>
      <c r="J2999" s="26" t="str">
        <f>"45 "</f>
        <v xml:space="preserve">45 </v>
      </c>
      <c r="K2999" s="26" t="str">
        <f t="shared" si="511"/>
        <v>PR</v>
      </c>
      <c r="L2999" s="26" t="str">
        <f t="shared" si="512"/>
        <v>DGOSE</v>
      </c>
      <c r="M2999" s="26" t="str">
        <f t="shared" si="507"/>
        <v>PARTICULAR</v>
      </c>
      <c r="N2999" s="26">
        <v>32</v>
      </c>
      <c r="O2999" s="26">
        <v>14</v>
      </c>
      <c r="P2999" s="26">
        <v>18</v>
      </c>
      <c r="Q2999" s="26">
        <v>5</v>
      </c>
      <c r="R2999" s="26">
        <v>1</v>
      </c>
      <c r="S2999" s="26">
        <v>4</v>
      </c>
      <c r="T2999" s="26">
        <v>6</v>
      </c>
      <c r="U2999" s="26">
        <v>11</v>
      </c>
      <c r="V2999" s="26">
        <v>1</v>
      </c>
      <c r="W2999" s="26"/>
    </row>
    <row r="3000" spans="1:23" x14ac:dyDescent="0.25">
      <c r="A3000" s="26" t="str">
        <f t="shared" si="503"/>
        <v>PRIMARIA</v>
      </c>
      <c r="B3000" s="26" t="str">
        <f>"09PPR1575L"</f>
        <v>09PPR1575L</v>
      </c>
      <c r="C3000" s="26" t="str">
        <f>"LICEO AMERICANO FRANCES                                                                             "</f>
        <v xml:space="preserve">LICEO AMERICANO FRANCES                                                                             </v>
      </c>
      <c r="D3000" s="26" t="str">
        <f t="shared" si="510"/>
        <v>MATUTINO</v>
      </c>
      <c r="E3000" s="26" t="str">
        <f>"JARDIN DEL CONVENTO 12                                                          "</f>
        <v xml:space="preserve">JARDIN DEL CONVENTO 12                                                          </v>
      </c>
      <c r="F3000" s="26" t="str">
        <f>"SAN DIEGO CHURUBUSCO                                                                                                                        "</f>
        <v xml:space="preserve">SAN DIEGO CHURUBUSCO                                                                                                                        </v>
      </c>
      <c r="G3000" s="26" t="str">
        <f>"COYOACAN                                                                        "</f>
        <v xml:space="preserve">COYOACAN                                                                        </v>
      </c>
      <c r="H3000" s="26" t="str">
        <f>"500"</f>
        <v>500</v>
      </c>
      <c r="I3000" s="26" t="str">
        <f t="shared" si="504"/>
        <v>00</v>
      </c>
      <c r="J3000" s="26" t="str">
        <f>"45 "</f>
        <v xml:space="preserve">45 </v>
      </c>
      <c r="K3000" s="26" t="str">
        <f t="shared" si="511"/>
        <v>PR</v>
      </c>
      <c r="L3000" s="26" t="str">
        <f t="shared" si="512"/>
        <v>DGOSE</v>
      </c>
      <c r="M3000" s="26" t="str">
        <f t="shared" si="507"/>
        <v>PARTICULAR</v>
      </c>
      <c r="N3000" s="26">
        <v>77</v>
      </c>
      <c r="O3000" s="26">
        <v>33</v>
      </c>
      <c r="P3000" s="26">
        <v>44</v>
      </c>
      <c r="Q3000" s="26">
        <v>6</v>
      </c>
      <c r="R3000" s="26">
        <v>1</v>
      </c>
      <c r="S3000" s="26">
        <v>3</v>
      </c>
      <c r="T3000" s="26">
        <v>5</v>
      </c>
      <c r="U3000" s="26">
        <v>9</v>
      </c>
      <c r="V3000" s="26">
        <v>1</v>
      </c>
      <c r="W3000" s="26"/>
    </row>
    <row r="3001" spans="1:23" x14ac:dyDescent="0.25">
      <c r="A3001" s="26" t="str">
        <f t="shared" si="503"/>
        <v>PRIMARIA</v>
      </c>
      <c r="B3001" s="26" t="str">
        <f>"09PPR1577J"</f>
        <v>09PPR1577J</v>
      </c>
      <c r="C3001" s="26" t="str">
        <f>"COLEGIO CELESTIN FREINET                                                                            "</f>
        <v xml:space="preserve">COLEGIO CELESTIN FREINET                                                                            </v>
      </c>
      <c r="D3001" s="26" t="str">
        <f t="shared" si="510"/>
        <v>MATUTINO</v>
      </c>
      <c r="E3001" s="26" t="str">
        <f>"GUADALUPE I RAMIREZ NO 111                                                      "</f>
        <v xml:space="preserve">GUADALUPE I RAMIREZ NO 111                                                      </v>
      </c>
      <c r="F3001" s="26" t="str">
        <f>"SAN LUCAS XOCHIMANCA                                                                                                                        "</f>
        <v xml:space="preserve">SAN LUCAS XOCHIMANCA                                                                                                                        </v>
      </c>
      <c r="G3001" s="26" t="str">
        <f>"XOCHIMILCO                                                                      "</f>
        <v xml:space="preserve">XOCHIMILCO                                                                      </v>
      </c>
      <c r="H3001" s="26" t="str">
        <f>"539"</f>
        <v>539</v>
      </c>
      <c r="I3001" s="26" t="str">
        <f t="shared" si="504"/>
        <v>00</v>
      </c>
      <c r="J3001" s="26" t="str">
        <f>"45 "</f>
        <v xml:space="preserve">45 </v>
      </c>
      <c r="K3001" s="26" t="str">
        <f t="shared" si="511"/>
        <v>PR</v>
      </c>
      <c r="L3001" s="26" t="str">
        <f t="shared" si="512"/>
        <v>DGOSE</v>
      </c>
      <c r="M3001" s="26" t="str">
        <f t="shared" si="507"/>
        <v>PARTICULAR</v>
      </c>
      <c r="N3001" s="26">
        <v>78</v>
      </c>
      <c r="O3001" s="26">
        <v>48</v>
      </c>
      <c r="P3001" s="26">
        <v>30</v>
      </c>
      <c r="Q3001" s="26">
        <v>6</v>
      </c>
      <c r="R3001" s="26">
        <v>1</v>
      </c>
      <c r="S3001" s="26">
        <v>3</v>
      </c>
      <c r="T3001" s="26">
        <v>5</v>
      </c>
      <c r="U3001" s="26">
        <v>9</v>
      </c>
      <c r="V3001" s="26">
        <v>1</v>
      </c>
      <c r="W3001" s="26"/>
    </row>
    <row r="3002" spans="1:23" x14ac:dyDescent="0.25">
      <c r="A3002" s="26" t="str">
        <f t="shared" si="503"/>
        <v>PRIMARIA</v>
      </c>
      <c r="B3002" s="26" t="str">
        <f>"09PPR1579H"</f>
        <v>09PPR1579H</v>
      </c>
      <c r="C3002" s="26" t="str">
        <f>"COLEGIO ALEJANDRO DE HUMBOLDT                                                                       "</f>
        <v xml:space="preserve">COLEGIO ALEJANDRO DE HUMBOLDT                                                                       </v>
      </c>
      <c r="D3002" s="26" t="str">
        <f t="shared" si="510"/>
        <v>MATUTINO</v>
      </c>
      <c r="E3002" s="26" t="str">
        <f>"SUR 99-A NUMERO 649                                                             "</f>
        <v xml:space="preserve">SUR 99-A NUMERO 649                                                             </v>
      </c>
      <c r="F3002" s="26" t="str">
        <f>"SECTOR POPULAR                                                                                                                              "</f>
        <v xml:space="preserve">SECTOR POPULAR                                                                                                                              </v>
      </c>
      <c r="G3002" s="26" t="str">
        <f>"IZTAPALAPA                                                                      "</f>
        <v xml:space="preserve">IZTAPALAPA                                                                      </v>
      </c>
      <c r="H3002" s="26" t="str">
        <f>"000"</f>
        <v>000</v>
      </c>
      <c r="I3002" s="26" t="str">
        <f t="shared" si="504"/>
        <v>00</v>
      </c>
      <c r="J3002" s="26" t="str">
        <f>"61 "</f>
        <v xml:space="preserve">61 </v>
      </c>
      <c r="K3002" s="26" t="str">
        <f>"IZ"</f>
        <v>IZ</v>
      </c>
      <c r="L3002" s="26" t="str">
        <f>"DGSEI"</f>
        <v>DGSEI</v>
      </c>
      <c r="M3002" s="26" t="str">
        <f t="shared" si="507"/>
        <v>PARTICULAR</v>
      </c>
      <c r="N3002" s="26">
        <v>92</v>
      </c>
      <c r="O3002" s="26">
        <v>40</v>
      </c>
      <c r="P3002" s="26">
        <v>52</v>
      </c>
      <c r="Q3002" s="26">
        <v>6</v>
      </c>
      <c r="R3002" s="26">
        <v>1</v>
      </c>
      <c r="S3002" s="26">
        <v>6</v>
      </c>
      <c r="T3002" s="26">
        <v>4</v>
      </c>
      <c r="U3002" s="26">
        <v>11</v>
      </c>
      <c r="V3002" s="26">
        <v>1</v>
      </c>
      <c r="W3002" s="26"/>
    </row>
    <row r="3003" spans="1:23" x14ac:dyDescent="0.25">
      <c r="A3003" s="26" t="str">
        <f t="shared" si="503"/>
        <v>PRIMARIA</v>
      </c>
      <c r="B3003" s="26" t="str">
        <f>"09PPR1582V"</f>
        <v>09PPR1582V</v>
      </c>
      <c r="C3003" s="26" t="str">
        <f>"INSTITUTO PEDAGOGICO VALLE                                                                          "</f>
        <v xml:space="preserve">INSTITUTO PEDAGOGICO VALLE                                                                          </v>
      </c>
      <c r="D3003" s="26" t="str">
        <f t="shared" si="510"/>
        <v>MATUTINO</v>
      </c>
      <c r="E3003" s="26" t="str">
        <f>"SUR 25 NO. 257                                                                  "</f>
        <v xml:space="preserve">SUR 25 NO. 257                                                                  </v>
      </c>
      <c r="F3003" s="26" t="str">
        <f>"LEYES DE REFORMA                                                                                                                            "</f>
        <v xml:space="preserve">LEYES DE REFORMA                                                                                                                            </v>
      </c>
      <c r="G3003" s="26" t="str">
        <f>"IZTAPALAPA                                                                      "</f>
        <v xml:space="preserve">IZTAPALAPA                                                                      </v>
      </c>
      <c r="H3003" s="26" t="str">
        <f>"000"</f>
        <v>000</v>
      </c>
      <c r="I3003" s="26" t="str">
        <f t="shared" si="504"/>
        <v>00</v>
      </c>
      <c r="J3003" s="26" t="str">
        <f>"62 "</f>
        <v xml:space="preserve">62 </v>
      </c>
      <c r="K3003" s="26" t="str">
        <f>"IZ"</f>
        <v>IZ</v>
      </c>
      <c r="L3003" s="26" t="str">
        <f>"DGSEI"</f>
        <v>DGSEI</v>
      </c>
      <c r="M3003" s="26" t="str">
        <f t="shared" si="507"/>
        <v>PARTICULAR</v>
      </c>
      <c r="N3003" s="26">
        <v>119</v>
      </c>
      <c r="O3003" s="26">
        <v>58</v>
      </c>
      <c r="P3003" s="26">
        <v>61</v>
      </c>
      <c r="Q3003" s="26">
        <v>6</v>
      </c>
      <c r="R3003" s="26">
        <v>1</v>
      </c>
      <c r="S3003" s="26">
        <v>4</v>
      </c>
      <c r="T3003" s="26">
        <v>4</v>
      </c>
      <c r="U3003" s="26">
        <v>9</v>
      </c>
      <c r="V3003" s="26">
        <v>1</v>
      </c>
      <c r="W3003" s="26"/>
    </row>
    <row r="3004" spans="1:23" x14ac:dyDescent="0.25">
      <c r="A3004" s="26" t="str">
        <f t="shared" si="503"/>
        <v>PRIMARIA</v>
      </c>
      <c r="B3004" s="26" t="str">
        <f>"09PPR1583U"</f>
        <v>09PPR1583U</v>
      </c>
      <c r="C3004" s="26" t="str">
        <f>"ANTON S. MAKARENKO                                                                                  "</f>
        <v xml:space="preserve">ANTON S. MAKARENKO                                                                                  </v>
      </c>
      <c r="D3004" s="26" t="str">
        <f t="shared" si="510"/>
        <v>MATUTINO</v>
      </c>
      <c r="E3004" s="26" t="str">
        <f>"SAN HERMILO # 29                                                                "</f>
        <v xml:space="preserve">SAN HERMILO # 29                                                                </v>
      </c>
      <c r="F3004" s="26" t="str">
        <f>"SANTA URSULA COAPA                                                                                                                          "</f>
        <v xml:space="preserve">SANTA URSULA COAPA                                                                                                                          </v>
      </c>
      <c r="G3004" s="26" t="str">
        <f>"COYOACAN                                                                        "</f>
        <v xml:space="preserve">COYOACAN                                                                        </v>
      </c>
      <c r="H3004" s="26" t="str">
        <f>"505"</f>
        <v>505</v>
      </c>
      <c r="I3004" s="26" t="str">
        <f t="shared" si="504"/>
        <v>00</v>
      </c>
      <c r="J3004" s="26" t="str">
        <f>"45 "</f>
        <v xml:space="preserve">45 </v>
      </c>
      <c r="K3004" s="26" t="str">
        <f t="shared" ref="K3004:K3013" si="513">"PR"</f>
        <v>PR</v>
      </c>
      <c r="L3004" s="26" t="str">
        <f t="shared" ref="L3004:L3013" si="514">"DGOSE"</f>
        <v>DGOSE</v>
      </c>
      <c r="M3004" s="26" t="str">
        <f t="shared" si="507"/>
        <v>PARTICULAR</v>
      </c>
      <c r="N3004" s="26">
        <v>49</v>
      </c>
      <c r="O3004" s="26">
        <v>27</v>
      </c>
      <c r="P3004" s="26">
        <v>22</v>
      </c>
      <c r="Q3004" s="26">
        <v>6</v>
      </c>
      <c r="R3004" s="26">
        <v>1</v>
      </c>
      <c r="S3004" s="26">
        <v>2</v>
      </c>
      <c r="T3004" s="26">
        <v>5</v>
      </c>
      <c r="U3004" s="26">
        <v>8</v>
      </c>
      <c r="V3004" s="26">
        <v>1</v>
      </c>
      <c r="W3004" s="26"/>
    </row>
    <row r="3005" spans="1:23" x14ac:dyDescent="0.25">
      <c r="A3005" s="26" t="str">
        <f t="shared" si="503"/>
        <v>PRIMARIA</v>
      </c>
      <c r="B3005" s="26" t="str">
        <f>"09PPR1584T"</f>
        <v>09PPR1584T</v>
      </c>
      <c r="C3005" s="26" t="str">
        <f>"COLEGIO ST. PAUL                                                                                    "</f>
        <v xml:space="preserve">COLEGIO ST. PAUL                                                                                    </v>
      </c>
      <c r="D3005" s="26" t="str">
        <f t="shared" si="510"/>
        <v>MATUTINO</v>
      </c>
      <c r="E3005" s="26" t="str">
        <f>"PEDRO SAINZ DE BARANDA 211-213.                                                 "</f>
        <v xml:space="preserve">PEDRO SAINZ DE BARANDA 211-213.                                                 </v>
      </c>
      <c r="F3005" s="26" t="str">
        <f>"LOS CIPRESES                                                                                                                                "</f>
        <v xml:space="preserve">LOS CIPRESES                                                                                                                                </v>
      </c>
      <c r="G3005" s="26" t="str">
        <f>"COYOACAN                                                                        "</f>
        <v xml:space="preserve">COYOACAN                                                                        </v>
      </c>
      <c r="H3005" s="26" t="str">
        <f>"566"</f>
        <v>566</v>
      </c>
      <c r="I3005" s="26" t="str">
        <f t="shared" si="504"/>
        <v>00</v>
      </c>
      <c r="J3005" s="26" t="str">
        <f>"45 "</f>
        <v xml:space="preserve">45 </v>
      </c>
      <c r="K3005" s="26" t="str">
        <f t="shared" si="513"/>
        <v>PR</v>
      </c>
      <c r="L3005" s="26" t="str">
        <f t="shared" si="514"/>
        <v>DGOSE</v>
      </c>
      <c r="M3005" s="26" t="str">
        <f t="shared" si="507"/>
        <v>PARTICULAR</v>
      </c>
      <c r="N3005" s="26">
        <v>139</v>
      </c>
      <c r="O3005" s="26">
        <v>67</v>
      </c>
      <c r="P3005" s="26">
        <v>72</v>
      </c>
      <c r="Q3005" s="26">
        <v>6</v>
      </c>
      <c r="R3005" s="26">
        <v>1</v>
      </c>
      <c r="S3005" s="26">
        <v>3</v>
      </c>
      <c r="T3005" s="26">
        <v>8</v>
      </c>
      <c r="U3005" s="26">
        <v>12</v>
      </c>
      <c r="V3005" s="26">
        <v>1</v>
      </c>
      <c r="W3005" s="26"/>
    </row>
    <row r="3006" spans="1:23" x14ac:dyDescent="0.25">
      <c r="A3006" s="26" t="str">
        <f t="shared" si="503"/>
        <v>PRIMARIA</v>
      </c>
      <c r="B3006" s="26" t="str">
        <f>"09PPR1585S"</f>
        <v>09PPR1585S</v>
      </c>
      <c r="C3006" s="26" t="str">
        <f>"""EDUCACION ALIVE COYOACAN""                                                                          "</f>
        <v xml:space="preserve">"EDUCACION ALIVE COYOACAN"                                                                          </v>
      </c>
      <c r="D3006" s="26" t="str">
        <f t="shared" si="510"/>
        <v>MATUTINO</v>
      </c>
      <c r="E3006" s="26" t="str">
        <f>"MIGUEL ANGEL DE QUEVEDO 871                                                     "</f>
        <v xml:space="preserve">MIGUEL ANGEL DE QUEVEDO 871                                                     </v>
      </c>
      <c r="F3006" s="26" t="str">
        <f>"LOS REYES                                                                                                                                   "</f>
        <v xml:space="preserve">LOS REYES                                                                                                                                   </v>
      </c>
      <c r="G3006" s="26" t="str">
        <f>"COYOACAN                                                                        "</f>
        <v xml:space="preserve">COYOACAN                                                                        </v>
      </c>
      <c r="H3006" s="26" t="str">
        <f>"500"</f>
        <v>500</v>
      </c>
      <c r="I3006" s="26" t="str">
        <f t="shared" si="504"/>
        <v>00</v>
      </c>
      <c r="J3006" s="26" t="str">
        <f>"45 "</f>
        <v xml:space="preserve">45 </v>
      </c>
      <c r="K3006" s="26" t="str">
        <f t="shared" si="513"/>
        <v>PR</v>
      </c>
      <c r="L3006" s="26" t="str">
        <f t="shared" si="514"/>
        <v>DGOSE</v>
      </c>
      <c r="M3006" s="26" t="str">
        <f t="shared" si="507"/>
        <v>PARTICULAR</v>
      </c>
      <c r="N3006" s="26">
        <v>70</v>
      </c>
      <c r="O3006" s="26">
        <v>51</v>
      </c>
      <c r="P3006" s="26">
        <v>19</v>
      </c>
      <c r="Q3006" s="26">
        <v>6</v>
      </c>
      <c r="R3006" s="26">
        <v>1</v>
      </c>
      <c r="S3006" s="26">
        <v>3</v>
      </c>
      <c r="T3006" s="26">
        <v>9</v>
      </c>
      <c r="U3006" s="26">
        <v>13</v>
      </c>
      <c r="V3006" s="26">
        <v>1</v>
      </c>
      <c r="W3006" s="26"/>
    </row>
    <row r="3007" spans="1:23" x14ac:dyDescent="0.25">
      <c r="A3007" s="26" t="str">
        <f t="shared" si="503"/>
        <v>PRIMARIA</v>
      </c>
      <c r="B3007" s="26" t="str">
        <f>"09PPR1587Q"</f>
        <v>09PPR1587Q</v>
      </c>
      <c r="C3007" s="26" t="str">
        <f>"CENTRO EDUCATIVO HARLEQUIN                                                                          "</f>
        <v xml:space="preserve">CENTRO EDUCATIVO HARLEQUIN                                                                          </v>
      </c>
      <c r="D3007" s="26" t="str">
        <f t="shared" si="510"/>
        <v>MATUTINO</v>
      </c>
      <c r="E3007" s="26" t="str">
        <f>"LOMA DE GUADALUPE 290                                                           "</f>
        <v xml:space="preserve">LOMA DE GUADALUPE 290                                                           </v>
      </c>
      <c r="F3007" s="26" t="str">
        <f>"LOMAS DE GUADALUPE FRACCIONAMIENTO                                                                                                          "</f>
        <v xml:space="preserve">LOMAS DE GUADALUPE FRACCIONAMIENTO                                                                                                          </v>
      </c>
      <c r="G3007" s="26" t="str">
        <f>"ALVARO OBREGON                                                                  "</f>
        <v xml:space="preserve">ALVARO OBREGON                                                                  </v>
      </c>
      <c r="H3007" s="26" t="str">
        <f>"322"</f>
        <v>322</v>
      </c>
      <c r="I3007" s="26" t="str">
        <f t="shared" si="504"/>
        <v>00</v>
      </c>
      <c r="J3007" s="26" t="str">
        <f>"43 "</f>
        <v xml:space="preserve">43 </v>
      </c>
      <c r="K3007" s="26" t="str">
        <f t="shared" si="513"/>
        <v>PR</v>
      </c>
      <c r="L3007" s="26" t="str">
        <f t="shared" si="514"/>
        <v>DGOSE</v>
      </c>
      <c r="M3007" s="26" t="str">
        <f t="shared" si="507"/>
        <v>PARTICULAR</v>
      </c>
      <c r="N3007" s="26">
        <v>117</v>
      </c>
      <c r="O3007" s="26">
        <v>64</v>
      </c>
      <c r="P3007" s="26">
        <v>53</v>
      </c>
      <c r="Q3007" s="26">
        <v>6</v>
      </c>
      <c r="R3007" s="26">
        <v>1</v>
      </c>
      <c r="S3007" s="26">
        <v>3</v>
      </c>
      <c r="T3007" s="26">
        <v>8</v>
      </c>
      <c r="U3007" s="26">
        <v>12</v>
      </c>
      <c r="V3007" s="26">
        <v>1</v>
      </c>
      <c r="W3007" s="26"/>
    </row>
    <row r="3008" spans="1:23" x14ac:dyDescent="0.25">
      <c r="A3008" s="26" t="str">
        <f t="shared" si="503"/>
        <v>PRIMARIA</v>
      </c>
      <c r="B3008" s="26" t="str">
        <f>"09PPR1588P"</f>
        <v>09PPR1588P</v>
      </c>
      <c r="C3008" s="26" t="str">
        <f>"NENET CALLI MONTESSORI                                                                              "</f>
        <v xml:space="preserve">NENET CALLI MONTESSORI                                                                              </v>
      </c>
      <c r="D3008" s="26" t="str">
        <f t="shared" si="510"/>
        <v>MATUTINO</v>
      </c>
      <c r="E3008" s="26" t="str">
        <f>"TORRES ADALID 626                                                               "</f>
        <v xml:space="preserve">TORRES ADALID 626                                                               </v>
      </c>
      <c r="F3008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3008" s="26" t="str">
        <f>"BENITO JUAREZ                                                                   "</f>
        <v xml:space="preserve">BENITO JUAREZ                                                                   </v>
      </c>
      <c r="H3008" s="26" t="str">
        <f>"000"</f>
        <v>000</v>
      </c>
      <c r="I3008" s="26" t="str">
        <f t="shared" si="504"/>
        <v>00</v>
      </c>
      <c r="J3008" s="26" t="str">
        <f>"43 "</f>
        <v xml:space="preserve">43 </v>
      </c>
      <c r="K3008" s="26" t="str">
        <f t="shared" si="513"/>
        <v>PR</v>
      </c>
      <c r="L3008" s="26" t="str">
        <f t="shared" si="514"/>
        <v>DGOSE</v>
      </c>
      <c r="M3008" s="26" t="str">
        <f t="shared" si="507"/>
        <v>PARTICULAR</v>
      </c>
      <c r="N3008" s="26">
        <v>118</v>
      </c>
      <c r="O3008" s="26">
        <v>66</v>
      </c>
      <c r="P3008" s="26">
        <v>52</v>
      </c>
      <c r="Q3008" s="26">
        <v>6</v>
      </c>
      <c r="R3008" s="26">
        <v>1</v>
      </c>
      <c r="S3008" s="26">
        <v>3</v>
      </c>
      <c r="T3008" s="26">
        <v>15</v>
      </c>
      <c r="U3008" s="26">
        <v>19</v>
      </c>
      <c r="V3008" s="26">
        <v>1</v>
      </c>
      <c r="W3008" s="26"/>
    </row>
    <row r="3009" spans="1:23" x14ac:dyDescent="0.25">
      <c r="A3009" s="26" t="str">
        <f t="shared" si="503"/>
        <v>PRIMARIA</v>
      </c>
      <c r="B3009" s="26" t="str">
        <f>"09PPR1590D"</f>
        <v>09PPR1590D</v>
      </c>
      <c r="C3009" s="26" t="str">
        <f>"RODOLFO NERI VELA                                                                                   "</f>
        <v xml:space="preserve">RODOLFO NERI VELA                                                                                   </v>
      </c>
      <c r="D3009" s="26" t="str">
        <f t="shared" si="510"/>
        <v>MATUTINO</v>
      </c>
      <c r="E3009" s="26" t="str">
        <f>"AZAHARES NO. 22                                                                 "</f>
        <v xml:space="preserve">AZAHARES NO. 22                                                                 </v>
      </c>
      <c r="F3009" s="26" t="str">
        <f>"SANTA CRUZ XOCHITEPEC                                                                                                                       "</f>
        <v xml:space="preserve">SANTA CRUZ XOCHITEPEC                                                                                                                       </v>
      </c>
      <c r="G3009" s="26" t="str">
        <f>"XOCHIMILCO                                                                      "</f>
        <v xml:space="preserve">XOCHIMILCO                                                                      </v>
      </c>
      <c r="H3009" s="26" t="str">
        <f>"533"</f>
        <v>533</v>
      </c>
      <c r="I3009" s="26" t="str">
        <f t="shared" si="504"/>
        <v>00</v>
      </c>
      <c r="J3009" s="26" t="str">
        <f>"45 "</f>
        <v xml:space="preserve">45 </v>
      </c>
      <c r="K3009" s="26" t="str">
        <f t="shared" si="513"/>
        <v>PR</v>
      </c>
      <c r="L3009" s="26" t="str">
        <f t="shared" si="514"/>
        <v>DGOSE</v>
      </c>
      <c r="M3009" s="26" t="str">
        <f t="shared" si="507"/>
        <v>PARTICULAR</v>
      </c>
      <c r="N3009" s="26">
        <v>78</v>
      </c>
      <c r="O3009" s="26">
        <v>43</v>
      </c>
      <c r="P3009" s="26">
        <v>35</v>
      </c>
      <c r="Q3009" s="26">
        <v>6</v>
      </c>
      <c r="R3009" s="26">
        <v>1</v>
      </c>
      <c r="S3009" s="26">
        <v>6</v>
      </c>
      <c r="T3009" s="26">
        <v>4</v>
      </c>
      <c r="U3009" s="26">
        <v>11</v>
      </c>
      <c r="V3009" s="26">
        <v>1</v>
      </c>
      <c r="W3009" s="26"/>
    </row>
    <row r="3010" spans="1:23" x14ac:dyDescent="0.25">
      <c r="A3010" s="26" t="str">
        <f t="shared" ref="A3010:A3073" si="515">"PRIMARIA"</f>
        <v>PRIMARIA</v>
      </c>
      <c r="B3010" s="26" t="str">
        <f>"09PPR1591C"</f>
        <v>09PPR1591C</v>
      </c>
      <c r="C3010" s="26" t="str">
        <f>"VICENTE GUERRERO                                                                                    "</f>
        <v xml:space="preserve">VICENTE GUERRERO                                                                                    </v>
      </c>
      <c r="D3010" s="26" t="str">
        <f t="shared" si="510"/>
        <v>MATUTINO</v>
      </c>
      <c r="E3010" s="26" t="str">
        <f>"DZITAS # 47                                                                     "</f>
        <v xml:space="preserve">DZITAS # 47                                                                     </v>
      </c>
      <c r="F3010" s="26" t="str">
        <f>"PEDREGAL DE SAN NICOLAS                                                                                                                     "</f>
        <v xml:space="preserve">PEDREGAL DE SAN NICOLAS                                                                                                                     </v>
      </c>
      <c r="G3010" s="26" t="str">
        <f>"TLALPAN                                                                         "</f>
        <v xml:space="preserve">TLALPAN                                                                         </v>
      </c>
      <c r="H3010" s="26" t="str">
        <f>"512"</f>
        <v>512</v>
      </c>
      <c r="I3010" s="26" t="str">
        <f t="shared" ref="I3010:I3073" si="516">"00"</f>
        <v>00</v>
      </c>
      <c r="J3010" s="26" t="str">
        <f>"45 "</f>
        <v xml:space="preserve">45 </v>
      </c>
      <c r="K3010" s="26" t="str">
        <f t="shared" si="513"/>
        <v>PR</v>
      </c>
      <c r="L3010" s="26" t="str">
        <f t="shared" si="514"/>
        <v>DGOSE</v>
      </c>
      <c r="M3010" s="26" t="str">
        <f t="shared" si="507"/>
        <v>PARTICULAR</v>
      </c>
      <c r="N3010" s="26">
        <v>63</v>
      </c>
      <c r="O3010" s="26">
        <v>30</v>
      </c>
      <c r="P3010" s="26">
        <v>33</v>
      </c>
      <c r="Q3010" s="26">
        <v>6</v>
      </c>
      <c r="R3010" s="26">
        <v>1</v>
      </c>
      <c r="S3010" s="26">
        <v>5</v>
      </c>
      <c r="T3010" s="26">
        <v>9</v>
      </c>
      <c r="U3010" s="26">
        <v>15</v>
      </c>
      <c r="V3010" s="26">
        <v>1</v>
      </c>
      <c r="W3010" s="26"/>
    </row>
    <row r="3011" spans="1:23" x14ac:dyDescent="0.25">
      <c r="A3011" s="26" t="str">
        <f t="shared" si="515"/>
        <v>PRIMARIA</v>
      </c>
      <c r="B3011" s="26" t="str">
        <f>"09PPR1592B"</f>
        <v>09PPR1592B</v>
      </c>
      <c r="C3011" s="26" t="str">
        <f>"LA EDAD DE ORO                                                                                      "</f>
        <v xml:space="preserve">LA EDAD DE ORO                                                                                      </v>
      </c>
      <c r="D3011" s="26" t="str">
        <f t="shared" si="510"/>
        <v>MATUTINO</v>
      </c>
      <c r="E3011" s="26" t="str">
        <f>"CALLE LUCIANO NAVARRETE # 203                                                   "</f>
        <v xml:space="preserve">CALLE LUCIANO NAVARRETE # 203                                                   </v>
      </c>
      <c r="F3011" s="26" t="str">
        <f>"SANTA CATARINA AMPLIACION                                                                                                                   "</f>
        <v xml:space="preserve">SANTA CATARINA AMPLIACION                                                                                                                   </v>
      </c>
      <c r="G3011" s="26" t="str">
        <f>"TLAHUAC                                                                         "</f>
        <v xml:space="preserve">TLAHUAC                                                                         </v>
      </c>
      <c r="H3011" s="26" t="str">
        <f>"556"</f>
        <v>556</v>
      </c>
      <c r="I3011" s="26" t="str">
        <f t="shared" si="516"/>
        <v>00</v>
      </c>
      <c r="J3011" s="26" t="str">
        <f>"45 "</f>
        <v xml:space="preserve">45 </v>
      </c>
      <c r="K3011" s="26" t="str">
        <f t="shared" si="513"/>
        <v>PR</v>
      </c>
      <c r="L3011" s="26" t="str">
        <f t="shared" si="514"/>
        <v>DGOSE</v>
      </c>
      <c r="M3011" s="26" t="str">
        <f t="shared" si="507"/>
        <v>PARTICULAR</v>
      </c>
      <c r="N3011" s="26">
        <v>44</v>
      </c>
      <c r="O3011" s="26">
        <v>21</v>
      </c>
      <c r="P3011" s="26">
        <v>23</v>
      </c>
      <c r="Q3011" s="26">
        <v>6</v>
      </c>
      <c r="R3011" s="26">
        <v>1</v>
      </c>
      <c r="S3011" s="26">
        <v>3</v>
      </c>
      <c r="T3011" s="26">
        <v>5</v>
      </c>
      <c r="U3011" s="26">
        <v>9</v>
      </c>
      <c r="V3011" s="26">
        <v>1</v>
      </c>
      <c r="W3011" s="26"/>
    </row>
    <row r="3012" spans="1:23" x14ac:dyDescent="0.25">
      <c r="A3012" s="26" t="str">
        <f t="shared" si="515"/>
        <v>PRIMARIA</v>
      </c>
      <c r="B3012" s="26" t="str">
        <f>"09PPR1593A"</f>
        <v>09PPR1593A</v>
      </c>
      <c r="C3012" s="26" t="str">
        <f>"LICEO EMBAJADORES DEL REY                                                                           "</f>
        <v xml:space="preserve">LICEO EMBAJADORES DEL REY                                                                           </v>
      </c>
      <c r="D3012" s="26" t="str">
        <f t="shared" si="510"/>
        <v>MATUTINO</v>
      </c>
      <c r="E3012" s="26" t="str">
        <f>"AV. NUEVO LEON NUM. 673                                                         "</f>
        <v xml:space="preserve">AV. NUEVO LEON NUM. 673                                                         </v>
      </c>
      <c r="F3012" s="26" t="str">
        <f>"CALTONGO                                                                                                                                    "</f>
        <v xml:space="preserve">CALTONGO                                                                                                                                    </v>
      </c>
      <c r="G3012" s="26" t="str">
        <f>"XOCHIMILCO                                                                      "</f>
        <v xml:space="preserve">XOCHIMILCO                                                                      </v>
      </c>
      <c r="H3012" s="26" t="str">
        <f>"542"</f>
        <v>542</v>
      </c>
      <c r="I3012" s="26" t="str">
        <f t="shared" si="516"/>
        <v>00</v>
      </c>
      <c r="J3012" s="26" t="str">
        <f>"45 "</f>
        <v xml:space="preserve">45 </v>
      </c>
      <c r="K3012" s="26" t="str">
        <f t="shared" si="513"/>
        <v>PR</v>
      </c>
      <c r="L3012" s="26" t="str">
        <f t="shared" si="514"/>
        <v>DGOSE</v>
      </c>
      <c r="M3012" s="26" t="str">
        <f t="shared" si="507"/>
        <v>PARTICULAR</v>
      </c>
      <c r="N3012" s="26">
        <v>69</v>
      </c>
      <c r="O3012" s="26">
        <v>31</v>
      </c>
      <c r="P3012" s="26">
        <v>38</v>
      </c>
      <c r="Q3012" s="26">
        <v>6</v>
      </c>
      <c r="R3012" s="26">
        <v>1</v>
      </c>
      <c r="S3012" s="26">
        <v>6</v>
      </c>
      <c r="T3012" s="26">
        <v>3</v>
      </c>
      <c r="U3012" s="26">
        <v>10</v>
      </c>
      <c r="V3012" s="26">
        <v>1</v>
      </c>
      <c r="W3012" s="26"/>
    </row>
    <row r="3013" spans="1:23" x14ac:dyDescent="0.25">
      <c r="A3013" s="26" t="str">
        <f t="shared" si="515"/>
        <v>PRIMARIA</v>
      </c>
      <c r="B3013" s="26" t="str">
        <f>"09PPR1594Z"</f>
        <v>09PPR1594Z</v>
      </c>
      <c r="C3013" s="26" t="str">
        <f>"INTELIGENCIA MESOAMERICANA                                                                          "</f>
        <v xml:space="preserve">INTELIGENCIA MESOAMERICANA                                                                          </v>
      </c>
      <c r="D3013" s="26" t="str">
        <f t="shared" si="510"/>
        <v>MATUTINO</v>
      </c>
      <c r="E3013" s="26" t="str">
        <f>"MAR DE LAS LLUVIAS 76                                                           "</f>
        <v xml:space="preserve">MAR DE LAS LLUVIAS 76                                                           </v>
      </c>
      <c r="F3013" s="26" t="str">
        <f>"SELENE                                                                                                                                      "</f>
        <v xml:space="preserve">SELENE                                                                                                                                      </v>
      </c>
      <c r="G3013" s="26" t="str">
        <f>"TLAHUAC                                                                         "</f>
        <v xml:space="preserve">TLAHUAC                                                                         </v>
      </c>
      <c r="H3013" s="26" t="str">
        <f>"555"</f>
        <v>555</v>
      </c>
      <c r="I3013" s="26" t="str">
        <f t="shared" si="516"/>
        <v>00</v>
      </c>
      <c r="J3013" s="26" t="str">
        <f>"45 "</f>
        <v xml:space="preserve">45 </v>
      </c>
      <c r="K3013" s="26" t="str">
        <f t="shared" si="513"/>
        <v>PR</v>
      </c>
      <c r="L3013" s="26" t="str">
        <f t="shared" si="514"/>
        <v>DGOSE</v>
      </c>
      <c r="M3013" s="26" t="str">
        <f t="shared" si="507"/>
        <v>PARTICULAR</v>
      </c>
      <c r="N3013" s="26">
        <v>71</v>
      </c>
      <c r="O3013" s="26">
        <v>40</v>
      </c>
      <c r="P3013" s="26">
        <v>31</v>
      </c>
      <c r="Q3013" s="26">
        <v>6</v>
      </c>
      <c r="R3013" s="26">
        <v>1</v>
      </c>
      <c r="S3013" s="26">
        <v>6</v>
      </c>
      <c r="T3013" s="26">
        <v>6</v>
      </c>
      <c r="U3013" s="26">
        <v>13</v>
      </c>
      <c r="V3013" s="26">
        <v>1</v>
      </c>
      <c r="W3013" s="26"/>
    </row>
    <row r="3014" spans="1:23" x14ac:dyDescent="0.25">
      <c r="A3014" s="26" t="str">
        <f t="shared" si="515"/>
        <v>PRIMARIA</v>
      </c>
      <c r="B3014" s="26" t="str">
        <f>"09PPR1595Z"</f>
        <v>09PPR1595Z</v>
      </c>
      <c r="C3014" s="26" t="str">
        <f>"INSTITUTO WINSTON CHURCHILL                                                                         "</f>
        <v xml:space="preserve">INSTITUTO WINSTON CHURCHILL                                                                         </v>
      </c>
      <c r="D3014" s="26" t="str">
        <f t="shared" si="510"/>
        <v>MATUTINO</v>
      </c>
      <c r="E3014" s="26" t="str">
        <f>"SAN JUANICO NO. 64                                                              "</f>
        <v xml:space="preserve">SAN JUANICO NO. 64                                                              </v>
      </c>
      <c r="F3014" s="26" t="str">
        <f>"EL TRIUNFO                                                                                                                                  "</f>
        <v xml:space="preserve">EL TRIUNFO                                                                                                                                  </v>
      </c>
      <c r="G3014" s="26" t="str">
        <f>"IZTAPALAPA                                                                      "</f>
        <v xml:space="preserve">IZTAPALAPA                                                                      </v>
      </c>
      <c r="H3014" s="26" t="str">
        <f>"000"</f>
        <v>000</v>
      </c>
      <c r="I3014" s="26" t="str">
        <f t="shared" si="516"/>
        <v>00</v>
      </c>
      <c r="J3014" s="26" t="str">
        <f>"61 "</f>
        <v xml:space="preserve">61 </v>
      </c>
      <c r="K3014" s="26" t="str">
        <f>"IZ"</f>
        <v>IZ</v>
      </c>
      <c r="L3014" s="26" t="str">
        <f>"DGSEI"</f>
        <v>DGSEI</v>
      </c>
      <c r="M3014" s="26" t="str">
        <f t="shared" si="507"/>
        <v>PARTICULAR</v>
      </c>
      <c r="N3014" s="26">
        <v>36</v>
      </c>
      <c r="O3014" s="26">
        <v>22</v>
      </c>
      <c r="P3014" s="26">
        <v>14</v>
      </c>
      <c r="Q3014" s="26">
        <v>6</v>
      </c>
      <c r="R3014" s="26">
        <v>1</v>
      </c>
      <c r="S3014" s="26">
        <v>6</v>
      </c>
      <c r="T3014" s="26">
        <v>4</v>
      </c>
      <c r="U3014" s="26">
        <v>11</v>
      </c>
      <c r="V3014" s="26">
        <v>1</v>
      </c>
      <c r="W3014" s="26"/>
    </row>
    <row r="3015" spans="1:23" x14ac:dyDescent="0.25">
      <c r="A3015" s="26" t="str">
        <f t="shared" si="515"/>
        <v>PRIMARIA</v>
      </c>
      <c r="B3015" s="26" t="str">
        <f>"09PPR1597X"</f>
        <v>09PPR1597X</v>
      </c>
      <c r="C3015" s="26" t="str">
        <f>"INSTITUTO PATRIA TERCER MILENIO                                                                     "</f>
        <v xml:space="preserve">INSTITUTO PATRIA TERCER MILENIO                                                                     </v>
      </c>
      <c r="D3015" s="26" t="str">
        <f t="shared" si="510"/>
        <v>MATUTINO</v>
      </c>
      <c r="E3015" s="26" t="str">
        <f>"CONDOR 214                                                                      "</f>
        <v xml:space="preserve">CONDOR 214                                                                      </v>
      </c>
      <c r="F3015" s="26" t="str">
        <f>"ALPES                                                                                                                                       "</f>
        <v xml:space="preserve">ALPES                                                                                                                                       </v>
      </c>
      <c r="G3015" s="26" t="str">
        <f>"ALVARO OBREGON                                                                  "</f>
        <v xml:space="preserve">ALVARO OBREGON                                                                  </v>
      </c>
      <c r="H3015" s="26" t="str">
        <f>"319"</f>
        <v>319</v>
      </c>
      <c r="I3015" s="26" t="str">
        <f t="shared" si="516"/>
        <v>00</v>
      </c>
      <c r="J3015" s="26" t="str">
        <f>"43 "</f>
        <v xml:space="preserve">43 </v>
      </c>
      <c r="K3015" s="26" t="str">
        <f>"PR"</f>
        <v>PR</v>
      </c>
      <c r="L3015" s="26" t="str">
        <f>"DGOSE"</f>
        <v>DGOSE</v>
      </c>
      <c r="M3015" s="26" t="str">
        <f t="shared" si="507"/>
        <v>PARTICULAR</v>
      </c>
      <c r="N3015" s="26">
        <v>64</v>
      </c>
      <c r="O3015" s="26">
        <v>39</v>
      </c>
      <c r="P3015" s="26">
        <v>25</v>
      </c>
      <c r="Q3015" s="26">
        <v>6</v>
      </c>
      <c r="R3015" s="26">
        <v>1</v>
      </c>
      <c r="S3015" s="26">
        <v>3</v>
      </c>
      <c r="T3015" s="26">
        <v>8</v>
      </c>
      <c r="U3015" s="26">
        <v>12</v>
      </c>
      <c r="V3015" s="26">
        <v>1</v>
      </c>
      <c r="W3015" s="26"/>
    </row>
    <row r="3016" spans="1:23" x14ac:dyDescent="0.25">
      <c r="A3016" s="26" t="str">
        <f t="shared" si="515"/>
        <v>PRIMARIA</v>
      </c>
      <c r="B3016" s="26" t="str">
        <f>"09PPR1598W"</f>
        <v>09PPR1598W</v>
      </c>
      <c r="C3016" s="26" t="str">
        <f>"COLEGIO PEDAGOGIA FREIREANA                                                                         "</f>
        <v xml:space="preserve">COLEGIO PEDAGOGIA FREIREANA                                                                         </v>
      </c>
      <c r="D3016" s="26" t="str">
        <f t="shared" si="510"/>
        <v>MATUTINO</v>
      </c>
      <c r="E3016" s="26" t="str">
        <f>"HERMINIO CHAVARRIA NO. 108                                                      "</f>
        <v xml:space="preserve">HERMINIO CHAVARRIA NO. 108                                                      </v>
      </c>
      <c r="F3016" s="26" t="str">
        <f>"SANTA MARIA AZTAHUACAN                                                                                                                      "</f>
        <v xml:space="preserve">SANTA MARIA AZTAHUACAN                                                                                                                      </v>
      </c>
      <c r="G3016" s="26" t="str">
        <f>"IZTAPALAPA                                                                      "</f>
        <v xml:space="preserve">IZTAPALAPA                                                                      </v>
      </c>
      <c r="H3016" s="26" t="str">
        <f>"000"</f>
        <v>000</v>
      </c>
      <c r="I3016" s="26" t="str">
        <f t="shared" si="516"/>
        <v>00</v>
      </c>
      <c r="J3016" s="26" t="str">
        <f>"64 "</f>
        <v xml:space="preserve">64 </v>
      </c>
      <c r="K3016" s="26" t="str">
        <f>"IZ"</f>
        <v>IZ</v>
      </c>
      <c r="L3016" s="26" t="str">
        <f>"DGSEI"</f>
        <v>DGSEI</v>
      </c>
      <c r="M3016" s="26" t="str">
        <f t="shared" si="507"/>
        <v>PARTICULAR</v>
      </c>
      <c r="N3016" s="26">
        <v>188</v>
      </c>
      <c r="O3016" s="26">
        <v>101</v>
      </c>
      <c r="P3016" s="26">
        <v>87</v>
      </c>
      <c r="Q3016" s="26">
        <v>6</v>
      </c>
      <c r="R3016" s="26">
        <v>1</v>
      </c>
      <c r="S3016" s="26">
        <v>6</v>
      </c>
      <c r="T3016" s="26">
        <v>9</v>
      </c>
      <c r="U3016" s="26">
        <v>16</v>
      </c>
      <c r="V3016" s="26">
        <v>1</v>
      </c>
      <c r="W3016" s="26"/>
    </row>
    <row r="3017" spans="1:23" x14ac:dyDescent="0.25">
      <c r="A3017" s="26" t="str">
        <f t="shared" si="515"/>
        <v>PRIMARIA</v>
      </c>
      <c r="B3017" s="26" t="str">
        <f>"09PPR1599U"</f>
        <v>09PPR1599U</v>
      </c>
      <c r="C3017" s="26" t="str">
        <f>"ESCUELA PRIMARIA LOMAS DE TEPEACA                                                                   "</f>
        <v xml:space="preserve">ESCUELA PRIMARIA LOMAS DE TEPEACA                                                                   </v>
      </c>
      <c r="D3017" s="26" t="str">
        <f t="shared" si="510"/>
        <v>MATUTINO</v>
      </c>
      <c r="E3017" s="26" t="str">
        <f>"AV CENTENARIO 1556                                                              "</f>
        <v xml:space="preserve">AV CENTENARIO 1556                                                              </v>
      </c>
      <c r="F3017" s="26" t="str">
        <f>"TEPEACA                                                                                                                                     "</f>
        <v xml:space="preserve">TEPEACA                                                                                                                                     </v>
      </c>
      <c r="G3017" s="26" t="str">
        <f>"ALVARO OBREGON                                                                  "</f>
        <v xml:space="preserve">ALVARO OBREGON                                                                  </v>
      </c>
      <c r="H3017" s="26" t="str">
        <f>"324"</f>
        <v>324</v>
      </c>
      <c r="I3017" s="26" t="str">
        <f t="shared" si="516"/>
        <v>00</v>
      </c>
      <c r="J3017" s="26" t="str">
        <f>"43 "</f>
        <v xml:space="preserve">43 </v>
      </c>
      <c r="K3017" s="26" t="str">
        <f t="shared" ref="K3017:K3030" si="517">"PR"</f>
        <v>PR</v>
      </c>
      <c r="L3017" s="26" t="str">
        <f t="shared" ref="L3017:L3030" si="518">"DGOSE"</f>
        <v>DGOSE</v>
      </c>
      <c r="M3017" s="26" t="str">
        <f t="shared" si="507"/>
        <v>PARTICULAR</v>
      </c>
      <c r="N3017" s="26">
        <v>46</v>
      </c>
      <c r="O3017" s="26">
        <v>22</v>
      </c>
      <c r="P3017" s="26">
        <v>24</v>
      </c>
      <c r="Q3017" s="26">
        <v>6</v>
      </c>
      <c r="R3017" s="26">
        <v>1</v>
      </c>
      <c r="S3017" s="26">
        <v>3</v>
      </c>
      <c r="T3017" s="26">
        <v>7</v>
      </c>
      <c r="U3017" s="26">
        <v>11</v>
      </c>
      <c r="V3017" s="26">
        <v>1</v>
      </c>
      <c r="W3017" s="26"/>
    </row>
    <row r="3018" spans="1:23" x14ac:dyDescent="0.25">
      <c r="A3018" s="26" t="str">
        <f t="shared" si="515"/>
        <v>PRIMARIA</v>
      </c>
      <c r="B3018" s="26" t="str">
        <f>"09PPR1600U"</f>
        <v>09PPR1600U</v>
      </c>
      <c r="C3018" s="26" t="str">
        <f>"CENTRO EDUCATIVO FERNANDO SAVATER                                                                   "</f>
        <v xml:space="preserve">CENTRO EDUCATIVO FERNANDO SAVATER                                                                   </v>
      </c>
      <c r="D3018" s="26" t="str">
        <f t="shared" si="510"/>
        <v>MATUTINO</v>
      </c>
      <c r="E3018" s="26" t="str">
        <f>"AVENIDA DE LAS TORRES NUMERO 88                                                 "</f>
        <v xml:space="preserve">AVENIDA DE LAS TORRES NUMERO 88                                                 </v>
      </c>
      <c r="F3018" s="26" t="str">
        <f>"MIGUEL HIDALGO                                                                                                                              "</f>
        <v xml:space="preserve">MIGUEL HIDALGO                                                                                                                              </v>
      </c>
      <c r="G3018" s="26" t="str">
        <f>"TLALPAN                                                                         "</f>
        <v xml:space="preserve">TLALPAN                                                                         </v>
      </c>
      <c r="H3018" s="26" t="str">
        <f>"517"</f>
        <v>517</v>
      </c>
      <c r="I3018" s="26" t="str">
        <f t="shared" si="516"/>
        <v>00</v>
      </c>
      <c r="J3018" s="26" t="str">
        <f>"45 "</f>
        <v xml:space="preserve">45 </v>
      </c>
      <c r="K3018" s="26" t="str">
        <f t="shared" si="517"/>
        <v>PR</v>
      </c>
      <c r="L3018" s="26" t="str">
        <f t="shared" si="518"/>
        <v>DGOSE</v>
      </c>
      <c r="M3018" s="26" t="str">
        <f t="shared" si="507"/>
        <v>PARTICULAR</v>
      </c>
      <c r="N3018" s="26">
        <v>110</v>
      </c>
      <c r="O3018" s="26">
        <v>51</v>
      </c>
      <c r="P3018" s="26">
        <v>59</v>
      </c>
      <c r="Q3018" s="26">
        <v>6</v>
      </c>
      <c r="R3018" s="26">
        <v>1</v>
      </c>
      <c r="S3018" s="26">
        <v>6</v>
      </c>
      <c r="T3018" s="26">
        <v>7</v>
      </c>
      <c r="U3018" s="26">
        <v>14</v>
      </c>
      <c r="V3018" s="26">
        <v>1</v>
      </c>
      <c r="W3018" s="26"/>
    </row>
    <row r="3019" spans="1:23" x14ac:dyDescent="0.25">
      <c r="A3019" s="26" t="str">
        <f t="shared" si="515"/>
        <v>PRIMARIA</v>
      </c>
      <c r="B3019" s="26" t="str">
        <f>"09PPR1601T"</f>
        <v>09PPR1601T</v>
      </c>
      <c r="C3019" s="26" t="str">
        <f>"COLEGIO FUENTES BROTANTES                                                                           "</f>
        <v xml:space="preserve">COLEGIO FUENTES BROTANTES                                                                           </v>
      </c>
      <c r="D3019" s="26" t="str">
        <f t="shared" si="510"/>
        <v>MATUTINO</v>
      </c>
      <c r="E3019" s="26" t="str">
        <f>"MELCHOR PEREZ DE SOTO NUM 37                                                    "</f>
        <v xml:space="preserve">MELCHOR PEREZ DE SOTO NUM 37                                                    </v>
      </c>
      <c r="F3019" s="26" t="str">
        <f>"MIGUEL HIDALGO AMPLIACION                                                                                                                   "</f>
        <v xml:space="preserve">MIGUEL HIDALGO AMPLIACION                                                                                                                   </v>
      </c>
      <c r="G3019" s="26" t="str">
        <f>"TLALPAN                                                                         "</f>
        <v xml:space="preserve">TLALPAN                                                                         </v>
      </c>
      <c r="H3019" s="26" t="str">
        <f>"516"</f>
        <v>516</v>
      </c>
      <c r="I3019" s="26" t="str">
        <f t="shared" si="516"/>
        <v>00</v>
      </c>
      <c r="J3019" s="26" t="str">
        <f>"45 "</f>
        <v xml:space="preserve">45 </v>
      </c>
      <c r="K3019" s="26" t="str">
        <f t="shared" si="517"/>
        <v>PR</v>
      </c>
      <c r="L3019" s="26" t="str">
        <f t="shared" si="518"/>
        <v>DGOSE</v>
      </c>
      <c r="M3019" s="26" t="str">
        <f t="shared" si="507"/>
        <v>PARTICULAR</v>
      </c>
      <c r="N3019" s="26">
        <v>230</v>
      </c>
      <c r="O3019" s="26">
        <v>112</v>
      </c>
      <c r="P3019" s="26">
        <v>118</v>
      </c>
      <c r="Q3019" s="26">
        <v>11</v>
      </c>
      <c r="R3019" s="26">
        <v>2</v>
      </c>
      <c r="S3019" s="26">
        <v>11</v>
      </c>
      <c r="T3019" s="26">
        <v>9</v>
      </c>
      <c r="U3019" s="26">
        <v>22</v>
      </c>
      <c r="V3019" s="26">
        <v>1</v>
      </c>
      <c r="W3019" s="26"/>
    </row>
    <row r="3020" spans="1:23" x14ac:dyDescent="0.25">
      <c r="A3020" s="26" t="str">
        <f t="shared" si="515"/>
        <v>PRIMARIA</v>
      </c>
      <c r="B3020" s="26" t="str">
        <f>"09PPR1602S"</f>
        <v>09PPR1602S</v>
      </c>
      <c r="C3020" s="26" t="str">
        <f>"ING. MANUEL SANDOVAL VALLARTA                                                                       "</f>
        <v xml:space="preserve">ING. MANUEL SANDOVAL VALLARTA                                                                       </v>
      </c>
      <c r="D3020" s="26" t="str">
        <f t="shared" si="510"/>
        <v>MATUTINO</v>
      </c>
      <c r="E3020" s="26" t="str">
        <f>"GUADALUPE I. RAMIREZ # 370                                                      "</f>
        <v xml:space="preserve">GUADALUPE I. RAMIREZ # 370                                                      </v>
      </c>
      <c r="F3020" s="26" t="str">
        <f>"TIERRA NUEVA                                                                                                                                "</f>
        <v xml:space="preserve">TIERRA NUEVA                                                                                                                                </v>
      </c>
      <c r="G3020" s="26" t="str">
        <f>"XOCHIMILCO                                                                      "</f>
        <v xml:space="preserve">XOCHIMILCO                                                                      </v>
      </c>
      <c r="H3020" s="26" t="str">
        <f>"535"</f>
        <v>535</v>
      </c>
      <c r="I3020" s="26" t="str">
        <f t="shared" si="516"/>
        <v>00</v>
      </c>
      <c r="J3020" s="26" t="str">
        <f>"45 "</f>
        <v xml:space="preserve">45 </v>
      </c>
      <c r="K3020" s="26" t="str">
        <f t="shared" si="517"/>
        <v>PR</v>
      </c>
      <c r="L3020" s="26" t="str">
        <f t="shared" si="518"/>
        <v>DGOSE</v>
      </c>
      <c r="M3020" s="26" t="str">
        <f t="shared" si="507"/>
        <v>PARTICULAR</v>
      </c>
      <c r="N3020" s="26">
        <v>41</v>
      </c>
      <c r="O3020" s="26">
        <v>17</v>
      </c>
      <c r="P3020" s="26">
        <v>24</v>
      </c>
      <c r="Q3020" s="26">
        <v>6</v>
      </c>
      <c r="R3020" s="26">
        <v>1</v>
      </c>
      <c r="S3020" s="26">
        <v>4</v>
      </c>
      <c r="T3020" s="26">
        <v>6</v>
      </c>
      <c r="U3020" s="26">
        <v>11</v>
      </c>
      <c r="V3020" s="26">
        <v>1</v>
      </c>
      <c r="W3020" s="26"/>
    </row>
    <row r="3021" spans="1:23" x14ac:dyDescent="0.25">
      <c r="A3021" s="26" t="str">
        <f t="shared" si="515"/>
        <v>PRIMARIA</v>
      </c>
      <c r="B3021" s="26" t="str">
        <f>"09PPR1603R"</f>
        <v>09PPR1603R</v>
      </c>
      <c r="C3021" s="26" t="str">
        <f>"MARIA CHAVARRIA VITAL                                                                               "</f>
        <v xml:space="preserve">MARIA CHAVARRIA VITAL                                                                               </v>
      </c>
      <c r="D3021" s="26" t="str">
        <f t="shared" si="510"/>
        <v>MATUTINO</v>
      </c>
      <c r="E3021" s="26" t="str">
        <f>"MANUEL M LOPEZ MZ 79 LT 10                                                      "</f>
        <v xml:space="preserve">MANUEL M LOPEZ MZ 79 LT 10                                                      </v>
      </c>
      <c r="F3021" s="26" t="str">
        <f>"SANTIAGO ZAPOTITLAN                                                                                                                         "</f>
        <v xml:space="preserve">SANTIAGO ZAPOTITLAN                                                                                                                         </v>
      </c>
      <c r="G3021" s="26" t="str">
        <f>"TLAHUAC                                                                         "</f>
        <v xml:space="preserve">TLAHUAC                                                                         </v>
      </c>
      <c r="H3021" s="26" t="str">
        <f>"547"</f>
        <v>547</v>
      </c>
      <c r="I3021" s="26" t="str">
        <f t="shared" si="516"/>
        <v>00</v>
      </c>
      <c r="J3021" s="26" t="str">
        <f>"45 "</f>
        <v xml:space="preserve">45 </v>
      </c>
      <c r="K3021" s="26" t="str">
        <f t="shared" si="517"/>
        <v>PR</v>
      </c>
      <c r="L3021" s="26" t="str">
        <f t="shared" si="518"/>
        <v>DGOSE</v>
      </c>
      <c r="M3021" s="26" t="str">
        <f t="shared" si="507"/>
        <v>PARTICULAR</v>
      </c>
      <c r="N3021" s="26">
        <v>455</v>
      </c>
      <c r="O3021" s="26">
        <v>250</v>
      </c>
      <c r="P3021" s="26">
        <v>205</v>
      </c>
      <c r="Q3021" s="26">
        <v>18</v>
      </c>
      <c r="R3021" s="26">
        <v>1</v>
      </c>
      <c r="S3021" s="26">
        <v>8</v>
      </c>
      <c r="T3021" s="26">
        <v>25</v>
      </c>
      <c r="U3021" s="26">
        <v>34</v>
      </c>
      <c r="V3021" s="26">
        <v>1</v>
      </c>
      <c r="W3021" s="26"/>
    </row>
    <row r="3022" spans="1:23" x14ac:dyDescent="0.25">
      <c r="A3022" s="26" t="str">
        <f t="shared" si="515"/>
        <v>PRIMARIA</v>
      </c>
      <c r="B3022" s="26" t="str">
        <f>"09PPR1604Q"</f>
        <v>09PPR1604Q</v>
      </c>
      <c r="C3022" s="26" t="str">
        <f>"COLEGIO LIBERTADOR SIMON BOLIVAR                                                                    "</f>
        <v xml:space="preserve">COLEGIO LIBERTADOR SIMON BOLIVAR                                                                    </v>
      </c>
      <c r="D3022" s="26" t="str">
        <f t="shared" si="510"/>
        <v>MATUTINO</v>
      </c>
      <c r="E3022" s="26" t="str">
        <f>"TINTORERA NO. 40 MANZANA 154 LOTE 5                                             "</f>
        <v xml:space="preserve">TINTORERA NO. 40 MANZANA 154 LOTE 5                                             </v>
      </c>
      <c r="F3022" s="26" t="str">
        <f>"DEL MAR                                                                                                                                     "</f>
        <v xml:space="preserve">DEL MAR                                                                                                                                     </v>
      </c>
      <c r="G3022" s="26" t="str">
        <f>"TLAHUAC                                                                         "</f>
        <v xml:space="preserve">TLAHUAC                                                                         </v>
      </c>
      <c r="H3022" s="26" t="str">
        <f>"550"</f>
        <v>550</v>
      </c>
      <c r="I3022" s="26" t="str">
        <f t="shared" si="516"/>
        <v>00</v>
      </c>
      <c r="J3022" s="26" t="str">
        <f>"45 "</f>
        <v xml:space="preserve">45 </v>
      </c>
      <c r="K3022" s="26" t="str">
        <f t="shared" si="517"/>
        <v>PR</v>
      </c>
      <c r="L3022" s="26" t="str">
        <f t="shared" si="518"/>
        <v>DGOSE</v>
      </c>
      <c r="M3022" s="26" t="str">
        <f t="shared" si="507"/>
        <v>PARTICULAR</v>
      </c>
      <c r="N3022" s="26">
        <v>71</v>
      </c>
      <c r="O3022" s="26">
        <v>35</v>
      </c>
      <c r="P3022" s="26">
        <v>36</v>
      </c>
      <c r="Q3022" s="26">
        <v>6</v>
      </c>
      <c r="R3022" s="26">
        <v>1</v>
      </c>
      <c r="S3022" s="26">
        <v>5</v>
      </c>
      <c r="T3022" s="26">
        <v>7</v>
      </c>
      <c r="U3022" s="26">
        <v>13</v>
      </c>
      <c r="V3022" s="26">
        <v>1</v>
      </c>
      <c r="W3022" s="26"/>
    </row>
    <row r="3023" spans="1:23" x14ac:dyDescent="0.25">
      <c r="A3023" s="26" t="str">
        <f t="shared" si="515"/>
        <v>PRIMARIA</v>
      </c>
      <c r="B3023" s="26" t="str">
        <f>"09PPR1605P"</f>
        <v>09PPR1605P</v>
      </c>
      <c r="C3023" s="26" t="str">
        <f>"COLEGIO 20 DE NOVIEMBRE                                                                             "</f>
        <v xml:space="preserve">COLEGIO 20 DE NOVIEMBRE                                                                             </v>
      </c>
      <c r="D3023" s="26" t="str">
        <f t="shared" si="510"/>
        <v>MATUTINO</v>
      </c>
      <c r="E3023" s="26" t="str">
        <f>"AV.ING. EDUARDO MOLINA 267                                                      "</f>
        <v xml:space="preserve">AV.ING. EDUARDO MOLINA 267                                                      </v>
      </c>
      <c r="F3023" s="26" t="str">
        <f>"20 DE NOVIEMBRE                                                                                                                             "</f>
        <v xml:space="preserve">20 DE NOVIEMBRE                                                                                                                             </v>
      </c>
      <c r="G3023" s="26" t="str">
        <f>"VENUSTIANO CARRANZA                                                             "</f>
        <v xml:space="preserve">VENUSTIANO CARRANZA                                                             </v>
      </c>
      <c r="H3023" s="26" t="str">
        <f>"344"</f>
        <v>344</v>
      </c>
      <c r="I3023" s="26" t="str">
        <f t="shared" si="516"/>
        <v>00</v>
      </c>
      <c r="J3023" s="26" t="str">
        <f>"43 "</f>
        <v xml:space="preserve">43 </v>
      </c>
      <c r="K3023" s="26" t="str">
        <f t="shared" si="517"/>
        <v>PR</v>
      </c>
      <c r="L3023" s="26" t="str">
        <f t="shared" si="518"/>
        <v>DGOSE</v>
      </c>
      <c r="M3023" s="26" t="str">
        <f t="shared" si="507"/>
        <v>PARTICULAR</v>
      </c>
      <c r="N3023" s="26">
        <v>101</v>
      </c>
      <c r="O3023" s="26">
        <v>50</v>
      </c>
      <c r="P3023" s="26">
        <v>51</v>
      </c>
      <c r="Q3023" s="26">
        <v>6</v>
      </c>
      <c r="R3023" s="26">
        <v>1</v>
      </c>
      <c r="S3023" s="26">
        <v>6</v>
      </c>
      <c r="T3023" s="26">
        <v>8</v>
      </c>
      <c r="U3023" s="26">
        <v>15</v>
      </c>
      <c r="V3023" s="26">
        <v>1</v>
      </c>
      <c r="W3023" s="26"/>
    </row>
    <row r="3024" spans="1:23" x14ac:dyDescent="0.25">
      <c r="A3024" s="26" t="str">
        <f t="shared" si="515"/>
        <v>PRIMARIA</v>
      </c>
      <c r="B3024" s="26" t="str">
        <f>"09PPR1606O"</f>
        <v>09PPR1606O</v>
      </c>
      <c r="C3024" s="26" t="str">
        <f>"COLEGIO REY MECONETZIN                                                                              "</f>
        <v xml:space="preserve">COLEGIO REY MECONETZIN                                                                              </v>
      </c>
      <c r="D3024" s="26" t="str">
        <f t="shared" si="510"/>
        <v>MATUTINO</v>
      </c>
      <c r="E3024" s="26" t="str">
        <f>"REY MECONETZIN 130                                                              "</f>
        <v xml:space="preserve">REY MECONETZIN 130                                                              </v>
      </c>
      <c r="F3024" s="26" t="str">
        <f>"AJUSCO                                                                                                                                      "</f>
        <v xml:space="preserve">AJUSCO                                                                                                                                      </v>
      </c>
      <c r="G3024" s="26" t="str">
        <f>"COYOACAN                                                                        "</f>
        <v xml:space="preserve">COYOACAN                                                                        </v>
      </c>
      <c r="H3024" s="26" t="str">
        <f>"504"</f>
        <v>504</v>
      </c>
      <c r="I3024" s="26" t="str">
        <f t="shared" si="516"/>
        <v>00</v>
      </c>
      <c r="J3024" s="26" t="str">
        <f>"45 "</f>
        <v xml:space="preserve">45 </v>
      </c>
      <c r="K3024" s="26" t="str">
        <f t="shared" si="517"/>
        <v>PR</v>
      </c>
      <c r="L3024" s="26" t="str">
        <f t="shared" si="518"/>
        <v>DGOSE</v>
      </c>
      <c r="M3024" s="26" t="str">
        <f t="shared" si="507"/>
        <v>PARTICULAR</v>
      </c>
      <c r="N3024" s="26">
        <v>106</v>
      </c>
      <c r="O3024" s="26">
        <v>68</v>
      </c>
      <c r="P3024" s="26">
        <v>38</v>
      </c>
      <c r="Q3024" s="26">
        <v>6</v>
      </c>
      <c r="R3024" s="26">
        <v>1</v>
      </c>
      <c r="S3024" s="26">
        <v>6</v>
      </c>
      <c r="T3024" s="26">
        <v>8</v>
      </c>
      <c r="U3024" s="26">
        <v>15</v>
      </c>
      <c r="V3024" s="26">
        <v>1</v>
      </c>
      <c r="W3024" s="26"/>
    </row>
    <row r="3025" spans="1:23" x14ac:dyDescent="0.25">
      <c r="A3025" s="26" t="str">
        <f t="shared" si="515"/>
        <v>PRIMARIA</v>
      </c>
      <c r="B3025" s="26" t="str">
        <f>"09PPR1607N"</f>
        <v>09PPR1607N</v>
      </c>
      <c r="C3025" s="26" t="str">
        <f>"INSTITUTO BILINGÜE VICTORIA GAMA                                                                    "</f>
        <v xml:space="preserve">INSTITUTO BILINGÜE VICTORIA GAMA                                                                    </v>
      </c>
      <c r="D3025" s="26" t="str">
        <f t="shared" si="510"/>
        <v>MATUTINO</v>
      </c>
      <c r="E3025" s="26" t="str">
        <f>"GABINO BARREDA 136                                                              "</f>
        <v xml:space="preserve">GABINO BARREDA 136                                                              </v>
      </c>
      <c r="F3025" s="26" t="str">
        <f>"SAN RAFAEL                                                                                                                                  "</f>
        <v xml:space="preserve">SAN RAFAEL                                                                                                                                  </v>
      </c>
      <c r="G3025" s="26" t="str">
        <f>"CUAUHTEMOC                                                                      "</f>
        <v xml:space="preserve">CUAUHTEMOC                                                                      </v>
      </c>
      <c r="H3025" s="26" t="str">
        <f>"220"</f>
        <v>220</v>
      </c>
      <c r="I3025" s="26" t="str">
        <f t="shared" si="516"/>
        <v>00</v>
      </c>
      <c r="J3025" s="26" t="str">
        <f>"42 "</f>
        <v xml:space="preserve">42 </v>
      </c>
      <c r="K3025" s="26" t="str">
        <f t="shared" si="517"/>
        <v>PR</v>
      </c>
      <c r="L3025" s="26" t="str">
        <f t="shared" si="518"/>
        <v>DGOSE</v>
      </c>
      <c r="M3025" s="26" t="str">
        <f t="shared" si="507"/>
        <v>PARTICULAR</v>
      </c>
      <c r="N3025" s="26">
        <v>98</v>
      </c>
      <c r="O3025" s="26">
        <v>52</v>
      </c>
      <c r="P3025" s="26">
        <v>46</v>
      </c>
      <c r="Q3025" s="26">
        <v>6</v>
      </c>
      <c r="R3025" s="26">
        <v>1</v>
      </c>
      <c r="S3025" s="26">
        <v>3</v>
      </c>
      <c r="T3025" s="26">
        <v>10</v>
      </c>
      <c r="U3025" s="26">
        <v>14</v>
      </c>
      <c r="V3025" s="26">
        <v>1</v>
      </c>
      <c r="W3025" s="26"/>
    </row>
    <row r="3026" spans="1:23" x14ac:dyDescent="0.25">
      <c r="A3026" s="26" t="str">
        <f t="shared" si="515"/>
        <v>PRIMARIA</v>
      </c>
      <c r="B3026" s="26" t="str">
        <f>"09PPR1608M"</f>
        <v>09PPR1608M</v>
      </c>
      <c r="C3026" s="26" t="str">
        <f>"COLEGIO GABRIEL GARCIA MARQUEZ                                                                      "</f>
        <v xml:space="preserve">COLEGIO GABRIEL GARCIA MARQUEZ                                                                      </v>
      </c>
      <c r="D3026" s="26" t="str">
        <f t="shared" si="510"/>
        <v>MATUTINO</v>
      </c>
      <c r="E3026" s="26" t="str">
        <f>"GUADALUPE I RAMIREZ NO 311                                                      "</f>
        <v xml:space="preserve">GUADALUPE I RAMIREZ NO 311                                                      </v>
      </c>
      <c r="F3026" s="26" t="str">
        <f>"SAN MARCOS                                                                                                                                  "</f>
        <v xml:space="preserve">SAN MARCOS                                                                                                                                  </v>
      </c>
      <c r="G3026" s="26" t="str">
        <f>"XOCHIMILCO                                                                      "</f>
        <v xml:space="preserve">XOCHIMILCO                                                                      </v>
      </c>
      <c r="H3026" s="26" t="str">
        <f>"536"</f>
        <v>536</v>
      </c>
      <c r="I3026" s="26" t="str">
        <f t="shared" si="516"/>
        <v>00</v>
      </c>
      <c r="J3026" s="26" t="str">
        <f>"45 "</f>
        <v xml:space="preserve">45 </v>
      </c>
      <c r="K3026" s="26" t="str">
        <f t="shared" si="517"/>
        <v>PR</v>
      </c>
      <c r="L3026" s="26" t="str">
        <f t="shared" si="518"/>
        <v>DGOSE</v>
      </c>
      <c r="M3026" s="26" t="str">
        <f t="shared" ref="M3026:M3089" si="519">"PARTICULAR"</f>
        <v>PARTICULAR</v>
      </c>
      <c r="N3026" s="26">
        <v>54</v>
      </c>
      <c r="O3026" s="26">
        <v>31</v>
      </c>
      <c r="P3026" s="26">
        <v>23</v>
      </c>
      <c r="Q3026" s="26">
        <v>6</v>
      </c>
      <c r="R3026" s="26">
        <v>1</v>
      </c>
      <c r="S3026" s="26">
        <v>3</v>
      </c>
      <c r="T3026" s="26">
        <v>3</v>
      </c>
      <c r="U3026" s="26">
        <v>7</v>
      </c>
      <c r="V3026" s="26">
        <v>1</v>
      </c>
      <c r="W3026" s="26"/>
    </row>
    <row r="3027" spans="1:23" x14ac:dyDescent="0.25">
      <c r="A3027" s="26" t="str">
        <f t="shared" si="515"/>
        <v>PRIMARIA</v>
      </c>
      <c r="B3027" s="26" t="str">
        <f>"09PPR1609L"</f>
        <v>09PPR1609L</v>
      </c>
      <c r="C3027" s="26" t="str">
        <f>"COLEGIO NAYBE CUAUTEPEC                                                                             "</f>
        <v xml:space="preserve">COLEGIO NAYBE CUAUTEPEC                                                                             </v>
      </c>
      <c r="D3027" s="26" t="str">
        <f t="shared" si="510"/>
        <v>MATUTINO</v>
      </c>
      <c r="E3027" s="26" t="str">
        <f>"FANNY SCHILLER # 83 MANZANA 48 LOTE 18                                          "</f>
        <v xml:space="preserve">FANNY SCHILLER # 83 MANZANA 48 LOTE 18                                          </v>
      </c>
      <c r="F3027" s="26" t="str">
        <f>"LA FORESTAL                                                                                                                                 "</f>
        <v xml:space="preserve">LA FORESTAL                                                                                                                                 </v>
      </c>
      <c r="G3027" s="26" t="str">
        <f>"GUSTAVO A. MADERO                                                               "</f>
        <v xml:space="preserve">GUSTAVO A. MADERO                                                               </v>
      </c>
      <c r="H3027" s="26" t="str">
        <f>"227"</f>
        <v>227</v>
      </c>
      <c r="I3027" s="26" t="str">
        <f t="shared" si="516"/>
        <v>00</v>
      </c>
      <c r="J3027" s="26" t="str">
        <f>"42 "</f>
        <v xml:space="preserve">42 </v>
      </c>
      <c r="K3027" s="26" t="str">
        <f t="shared" si="517"/>
        <v>PR</v>
      </c>
      <c r="L3027" s="26" t="str">
        <f t="shared" si="518"/>
        <v>DGOSE</v>
      </c>
      <c r="M3027" s="26" t="str">
        <f t="shared" si="519"/>
        <v>PARTICULAR</v>
      </c>
      <c r="N3027" s="26">
        <v>100</v>
      </c>
      <c r="O3027" s="26">
        <v>54</v>
      </c>
      <c r="P3027" s="26">
        <v>46</v>
      </c>
      <c r="Q3027" s="26">
        <v>6</v>
      </c>
      <c r="R3027" s="26">
        <v>1</v>
      </c>
      <c r="S3027" s="26">
        <v>6</v>
      </c>
      <c r="T3027" s="26">
        <v>7</v>
      </c>
      <c r="U3027" s="26">
        <v>14</v>
      </c>
      <c r="V3027" s="26">
        <v>1</v>
      </c>
      <c r="W3027" s="26"/>
    </row>
    <row r="3028" spans="1:23" x14ac:dyDescent="0.25">
      <c r="A3028" s="26" t="str">
        <f t="shared" si="515"/>
        <v>PRIMARIA</v>
      </c>
      <c r="B3028" s="26" t="str">
        <f>"09PPR1610A"</f>
        <v>09PPR1610A</v>
      </c>
      <c r="C3028" s="26" t="str">
        <f>"ESTRELLA DE LA MAÑANA                                                                               "</f>
        <v xml:space="preserve">ESTRELLA DE LA MAÑANA                                                                               </v>
      </c>
      <c r="D3028" s="26" t="str">
        <f t="shared" si="510"/>
        <v>MATUTINO</v>
      </c>
      <c r="E3028" s="26" t="str">
        <f>"MOLLENDO NO. 1058                                                               "</f>
        <v xml:space="preserve">MOLLENDO NO. 1058                                                               </v>
      </c>
      <c r="F3028" s="26" t="str">
        <f>"RESIDENCIAL ZACATENCO                                                                                                                       "</f>
        <v xml:space="preserve">RESIDENCIAL ZACATENCO                                                                                                                       </v>
      </c>
      <c r="G3028" s="26" t="str">
        <f>"GUSTAVO A. MADERO                                                               "</f>
        <v xml:space="preserve">GUSTAVO A. MADERO                                                               </v>
      </c>
      <c r="H3028" s="26" t="str">
        <f>"242"</f>
        <v>242</v>
      </c>
      <c r="I3028" s="26" t="str">
        <f t="shared" si="516"/>
        <v>00</v>
      </c>
      <c r="J3028" s="26" t="str">
        <f>"42 "</f>
        <v xml:space="preserve">42 </v>
      </c>
      <c r="K3028" s="26" t="str">
        <f t="shared" si="517"/>
        <v>PR</v>
      </c>
      <c r="L3028" s="26" t="str">
        <f t="shared" si="518"/>
        <v>DGOSE</v>
      </c>
      <c r="M3028" s="26" t="str">
        <f t="shared" si="519"/>
        <v>PARTICULAR</v>
      </c>
      <c r="N3028" s="26">
        <v>84</v>
      </c>
      <c r="O3028" s="26">
        <v>54</v>
      </c>
      <c r="P3028" s="26">
        <v>30</v>
      </c>
      <c r="Q3028" s="26">
        <v>6</v>
      </c>
      <c r="R3028" s="26">
        <v>1</v>
      </c>
      <c r="S3028" s="26">
        <v>6</v>
      </c>
      <c r="T3028" s="26">
        <v>4</v>
      </c>
      <c r="U3028" s="26">
        <v>11</v>
      </c>
      <c r="V3028" s="26">
        <v>1</v>
      </c>
      <c r="W3028" s="26"/>
    </row>
    <row r="3029" spans="1:23" x14ac:dyDescent="0.25">
      <c r="A3029" s="26" t="str">
        <f t="shared" si="515"/>
        <v>PRIMARIA</v>
      </c>
      <c r="B3029" s="26" t="str">
        <f>"09PPR1611Z"</f>
        <v>09PPR1611Z</v>
      </c>
      <c r="C3029" s="26" t="str">
        <f>"ESCUELA LEONESA                                                                                     "</f>
        <v xml:space="preserve">ESCUELA LEONESA                                                                                     </v>
      </c>
      <c r="D3029" s="26" t="str">
        <f t="shared" si="510"/>
        <v>MATUTINO</v>
      </c>
      <c r="E3029" s="26" t="str">
        <f>"MOCTEZUMA N. 25                                                                 "</f>
        <v xml:space="preserve">MOCTEZUMA N. 25                                                                 </v>
      </c>
      <c r="F3029" s="26" t="str">
        <f>"SANTA LUCIA                                                                                                                                 "</f>
        <v xml:space="preserve">SANTA LUCIA                                                                                                                                 </v>
      </c>
      <c r="G3029" s="26" t="str">
        <f>"ALVARO OBREGON                                                                  "</f>
        <v xml:space="preserve">ALVARO OBREGON                                                                  </v>
      </c>
      <c r="H3029" s="26" t="str">
        <f>"318"</f>
        <v>318</v>
      </c>
      <c r="I3029" s="26" t="str">
        <f t="shared" si="516"/>
        <v>00</v>
      </c>
      <c r="J3029" s="26" t="str">
        <f>"43 "</f>
        <v xml:space="preserve">43 </v>
      </c>
      <c r="K3029" s="26" t="str">
        <f t="shared" si="517"/>
        <v>PR</v>
      </c>
      <c r="L3029" s="26" t="str">
        <f t="shared" si="518"/>
        <v>DGOSE</v>
      </c>
      <c r="M3029" s="26" t="str">
        <f t="shared" si="519"/>
        <v>PARTICULAR</v>
      </c>
      <c r="N3029" s="26">
        <v>98</v>
      </c>
      <c r="O3029" s="26">
        <v>44</v>
      </c>
      <c r="P3029" s="26">
        <v>54</v>
      </c>
      <c r="Q3029" s="26">
        <v>6</v>
      </c>
      <c r="R3029" s="26">
        <v>1</v>
      </c>
      <c r="S3029" s="26">
        <v>3</v>
      </c>
      <c r="T3029" s="26">
        <v>9</v>
      </c>
      <c r="U3029" s="26">
        <v>13</v>
      </c>
      <c r="V3029" s="26">
        <v>1</v>
      </c>
      <c r="W3029" s="26"/>
    </row>
    <row r="3030" spans="1:23" x14ac:dyDescent="0.25">
      <c r="A3030" s="26" t="str">
        <f t="shared" si="515"/>
        <v>PRIMARIA</v>
      </c>
      <c r="B3030" s="26" t="str">
        <f>"09PPR1612Z"</f>
        <v>09PPR1612Z</v>
      </c>
      <c r="C3030" s="26" t="str">
        <f>"CHRISTEL HOUSE LA CASA DE CRISTAL                                                                   "</f>
        <v xml:space="preserve">CHRISTEL HOUSE LA CASA DE CRISTAL                                                                   </v>
      </c>
      <c r="D3030" s="26" t="str">
        <f t="shared" si="510"/>
        <v>MATUTINO</v>
      </c>
      <c r="E3030" s="26" t="str">
        <f>"KANSAS # 161                                                                    "</f>
        <v xml:space="preserve">KANSAS # 161                                                                    </v>
      </c>
      <c r="F3030" s="26" t="str">
        <f>"NAPOLES AMPLIACION                                                                                                                          "</f>
        <v xml:space="preserve">NAPOLES AMPLIACION                                                                                                                          </v>
      </c>
      <c r="G3030" s="26" t="str">
        <f>"BENITO JUAREZ                                                                   "</f>
        <v xml:space="preserve">BENITO JUAREZ                                                                   </v>
      </c>
      <c r="H3030" s="26" t="str">
        <f>"339"</f>
        <v>339</v>
      </c>
      <c r="I3030" s="26" t="str">
        <f t="shared" si="516"/>
        <v>00</v>
      </c>
      <c r="J3030" s="26" t="str">
        <f>"43 "</f>
        <v xml:space="preserve">43 </v>
      </c>
      <c r="K3030" s="26" t="str">
        <f t="shared" si="517"/>
        <v>PR</v>
      </c>
      <c r="L3030" s="26" t="str">
        <f t="shared" si="518"/>
        <v>DGOSE</v>
      </c>
      <c r="M3030" s="26" t="str">
        <f t="shared" si="519"/>
        <v>PARTICULAR</v>
      </c>
      <c r="N3030" s="26">
        <v>292</v>
      </c>
      <c r="O3030" s="26">
        <v>146</v>
      </c>
      <c r="P3030" s="26">
        <v>146</v>
      </c>
      <c r="Q3030" s="26">
        <v>12</v>
      </c>
      <c r="R3030" s="26">
        <v>0</v>
      </c>
      <c r="S3030" s="26">
        <v>12</v>
      </c>
      <c r="T3030" s="26">
        <v>11</v>
      </c>
      <c r="U3030" s="26">
        <v>23</v>
      </c>
      <c r="V3030" s="26">
        <v>1</v>
      </c>
      <c r="W3030" s="26"/>
    </row>
    <row r="3031" spans="1:23" x14ac:dyDescent="0.25">
      <c r="A3031" s="26" t="str">
        <f t="shared" si="515"/>
        <v>PRIMARIA</v>
      </c>
      <c r="B3031" s="26" t="str">
        <f>"09PPR1615W"</f>
        <v>09PPR1615W</v>
      </c>
      <c r="C3031" s="26" t="str">
        <f>"DISCOVERY EDUCATIONAL CENTER                                                                        "</f>
        <v xml:space="preserve">DISCOVERY EDUCATIONAL CENTER                                                                        </v>
      </c>
      <c r="D3031" s="26" t="str">
        <f t="shared" si="510"/>
        <v>MATUTINO</v>
      </c>
      <c r="E3031" s="26" t="str">
        <f>"JUAREZ NO. 411                                                                  "</f>
        <v xml:space="preserve">JUAREZ NO. 411                                                                  </v>
      </c>
      <c r="F3031" s="26" t="str">
        <f>"LOMAS ESTRELLA                                                                                                                              "</f>
        <v xml:space="preserve">LOMAS ESTRELLA                                                                                                                              </v>
      </c>
      <c r="G3031" s="26" t="str">
        <f>"IZTAPALAPA                                                                      "</f>
        <v xml:space="preserve">IZTAPALAPA                                                                      </v>
      </c>
      <c r="H3031" s="26" t="str">
        <f>"000"</f>
        <v>000</v>
      </c>
      <c r="I3031" s="26" t="str">
        <f t="shared" si="516"/>
        <v>00</v>
      </c>
      <c r="J3031" s="26" t="str">
        <f>"63 "</f>
        <v xml:space="preserve">63 </v>
      </c>
      <c r="K3031" s="26" t="str">
        <f>"IZ"</f>
        <v>IZ</v>
      </c>
      <c r="L3031" s="26" t="str">
        <f>"DGSEI"</f>
        <v>DGSEI</v>
      </c>
      <c r="M3031" s="26" t="str">
        <f t="shared" si="519"/>
        <v>PARTICULAR</v>
      </c>
      <c r="N3031" s="26">
        <v>40</v>
      </c>
      <c r="O3031" s="26">
        <v>19</v>
      </c>
      <c r="P3031" s="26">
        <v>21</v>
      </c>
      <c r="Q3031" s="26">
        <v>6</v>
      </c>
      <c r="R3031" s="26">
        <v>1</v>
      </c>
      <c r="S3031" s="26">
        <v>4</v>
      </c>
      <c r="T3031" s="26">
        <v>7</v>
      </c>
      <c r="U3031" s="26">
        <v>12</v>
      </c>
      <c r="V3031" s="26">
        <v>1</v>
      </c>
      <c r="W3031" s="26"/>
    </row>
    <row r="3032" spans="1:23" x14ac:dyDescent="0.25">
      <c r="A3032" s="26" t="str">
        <f t="shared" si="515"/>
        <v>PRIMARIA</v>
      </c>
      <c r="B3032" s="26" t="str">
        <f>"09PPR1616V"</f>
        <v>09PPR1616V</v>
      </c>
      <c r="C3032" s="26" t="str">
        <f>"COLEGIO MARK TWAIN PLANTEL II                                                                       "</f>
        <v xml:space="preserve">COLEGIO MARK TWAIN PLANTEL II                                                                       </v>
      </c>
      <c r="D3032" s="26" t="str">
        <f t="shared" si="510"/>
        <v>MATUTINO</v>
      </c>
      <c r="E3032" s="26" t="str">
        <f>"OCASO NO. 167                                                                   "</f>
        <v xml:space="preserve">OCASO NO. 167                                                                   </v>
      </c>
      <c r="F3032" s="26" t="str">
        <f>"VALLE DE LUCES                                                                                                                              "</f>
        <v xml:space="preserve">VALLE DE LUCES                                                                                                                              </v>
      </c>
      <c r="G3032" s="26" t="str">
        <f>"IZTAPALAPA                                                                      "</f>
        <v xml:space="preserve">IZTAPALAPA                                                                      </v>
      </c>
      <c r="H3032" s="26" t="str">
        <f>"000"</f>
        <v>000</v>
      </c>
      <c r="I3032" s="26" t="str">
        <f t="shared" si="516"/>
        <v>00</v>
      </c>
      <c r="J3032" s="26" t="str">
        <f>"61 "</f>
        <v xml:space="preserve">61 </v>
      </c>
      <c r="K3032" s="26" t="str">
        <f>"IZ"</f>
        <v>IZ</v>
      </c>
      <c r="L3032" s="26" t="str">
        <f>"DGSEI"</f>
        <v>DGSEI</v>
      </c>
      <c r="M3032" s="26" t="str">
        <f t="shared" si="519"/>
        <v>PARTICULAR</v>
      </c>
      <c r="N3032" s="26">
        <v>94</v>
      </c>
      <c r="O3032" s="26">
        <v>59</v>
      </c>
      <c r="P3032" s="26">
        <v>35</v>
      </c>
      <c r="Q3032" s="26">
        <v>5</v>
      </c>
      <c r="R3032" s="26">
        <v>1</v>
      </c>
      <c r="S3032" s="26">
        <v>5</v>
      </c>
      <c r="T3032" s="26">
        <v>13</v>
      </c>
      <c r="U3032" s="26">
        <v>19</v>
      </c>
      <c r="V3032" s="26">
        <v>1</v>
      </c>
      <c r="W3032" s="26"/>
    </row>
    <row r="3033" spans="1:23" x14ac:dyDescent="0.25">
      <c r="A3033" s="26" t="str">
        <f t="shared" si="515"/>
        <v>PRIMARIA</v>
      </c>
      <c r="B3033" s="26" t="str">
        <f>"09PPR1617U"</f>
        <v>09PPR1617U</v>
      </c>
      <c r="C3033" s="26" t="str">
        <f>"COLEGIO HAMPTON                                                                                     "</f>
        <v xml:space="preserve">COLEGIO HAMPTON                                                                                     </v>
      </c>
      <c r="D3033" s="26" t="str">
        <f t="shared" si="510"/>
        <v>MATUTINO</v>
      </c>
      <c r="E3033" s="26" t="str">
        <f>"AGIABAMPO # 43                                                                  "</f>
        <v xml:space="preserve">AGIABAMPO # 43                                                                  </v>
      </c>
      <c r="F3033" s="26" t="str">
        <f>"MAGDALENA MIXHUCA                                                                                                                           "</f>
        <v xml:space="preserve">MAGDALENA MIXHUCA                                                                                                                           </v>
      </c>
      <c r="G3033" s="26" t="str">
        <f>"VENUSTIANO CARRANZA                                                             "</f>
        <v xml:space="preserve">VENUSTIANO CARRANZA                                                             </v>
      </c>
      <c r="H3033" s="26" t="str">
        <f>"347"</f>
        <v>347</v>
      </c>
      <c r="I3033" s="26" t="str">
        <f t="shared" si="516"/>
        <v>00</v>
      </c>
      <c r="J3033" s="26" t="str">
        <f>"43 "</f>
        <v xml:space="preserve">43 </v>
      </c>
      <c r="K3033" s="26" t="str">
        <f t="shared" ref="K3033:K3040" si="520">"PR"</f>
        <v>PR</v>
      </c>
      <c r="L3033" s="26" t="str">
        <f t="shared" ref="L3033:L3040" si="521">"DGOSE"</f>
        <v>DGOSE</v>
      </c>
      <c r="M3033" s="26" t="str">
        <f t="shared" si="519"/>
        <v>PARTICULAR</v>
      </c>
      <c r="N3033" s="26">
        <v>202</v>
      </c>
      <c r="O3033" s="26">
        <v>80</v>
      </c>
      <c r="P3033" s="26">
        <v>122</v>
      </c>
      <c r="Q3033" s="26">
        <v>12</v>
      </c>
      <c r="R3033" s="26">
        <v>1</v>
      </c>
      <c r="S3033" s="26">
        <v>6</v>
      </c>
      <c r="T3033" s="26">
        <v>11</v>
      </c>
      <c r="U3033" s="26">
        <v>18</v>
      </c>
      <c r="V3033" s="26">
        <v>1</v>
      </c>
      <c r="W3033" s="26"/>
    </row>
    <row r="3034" spans="1:23" x14ac:dyDescent="0.25">
      <c r="A3034" s="26" t="str">
        <f t="shared" si="515"/>
        <v>PRIMARIA</v>
      </c>
      <c r="B3034" s="26" t="str">
        <f>"09PPR1618T"</f>
        <v>09PPR1618T</v>
      </c>
      <c r="C3034" s="26" t="str">
        <f>"COLEGIO SKINNER                                                                                     "</f>
        <v xml:space="preserve">COLEGIO SKINNER                                                                                     </v>
      </c>
      <c r="D3034" s="26" t="str">
        <f t="shared" si="510"/>
        <v>MATUTINO</v>
      </c>
      <c r="E3034" s="26" t="str">
        <f>"MARGARITO H. SALAMANCA NO. 5                                                    "</f>
        <v xml:space="preserve">MARGARITO H. SALAMANCA NO. 5                                                    </v>
      </c>
      <c r="F3034" s="26" t="str">
        <f>"PRESIDENTES EJIDALES                                                                                                                        "</f>
        <v xml:space="preserve">PRESIDENTES EJIDALES                                                                                                                        </v>
      </c>
      <c r="G3034" s="26" t="str">
        <f>"COYOACAN                                                                        "</f>
        <v xml:space="preserve">COYOACAN                                                                        </v>
      </c>
      <c r="H3034" s="26" t="str">
        <f>"566"</f>
        <v>566</v>
      </c>
      <c r="I3034" s="26" t="str">
        <f t="shared" si="516"/>
        <v>00</v>
      </c>
      <c r="J3034" s="26" t="str">
        <f>"45 "</f>
        <v xml:space="preserve">45 </v>
      </c>
      <c r="K3034" s="26" t="str">
        <f t="shared" si="520"/>
        <v>PR</v>
      </c>
      <c r="L3034" s="26" t="str">
        <f t="shared" si="521"/>
        <v>DGOSE</v>
      </c>
      <c r="M3034" s="26" t="str">
        <f t="shared" si="519"/>
        <v>PARTICULAR</v>
      </c>
      <c r="N3034" s="26">
        <v>59</v>
      </c>
      <c r="O3034" s="26">
        <v>31</v>
      </c>
      <c r="P3034" s="26">
        <v>28</v>
      </c>
      <c r="Q3034" s="26">
        <v>6</v>
      </c>
      <c r="R3034" s="26">
        <v>1</v>
      </c>
      <c r="S3034" s="26">
        <v>6</v>
      </c>
      <c r="T3034" s="26">
        <v>11</v>
      </c>
      <c r="U3034" s="26">
        <v>18</v>
      </c>
      <c r="V3034" s="26">
        <v>1</v>
      </c>
      <c r="W3034" s="26"/>
    </row>
    <row r="3035" spans="1:23" x14ac:dyDescent="0.25">
      <c r="A3035" s="26" t="str">
        <f t="shared" si="515"/>
        <v>PRIMARIA</v>
      </c>
      <c r="B3035" s="26" t="str">
        <f>"09PPR1619S"</f>
        <v>09PPR1619S</v>
      </c>
      <c r="C3035" s="26" t="str">
        <f>"CENTRO ESCOLAR ALFA OMEGA                                                                           "</f>
        <v xml:space="preserve">CENTRO ESCOLAR ALFA OMEGA                                                                           </v>
      </c>
      <c r="D3035" s="26" t="str">
        <f t="shared" si="510"/>
        <v>MATUTINO</v>
      </c>
      <c r="E3035" s="26" t="str">
        <f>"SUR 8 B #4                                                                      "</f>
        <v xml:space="preserve">SUR 8 B #4                                                                      </v>
      </c>
      <c r="F3035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3035" s="26" t="str">
        <f>"IZTACALCO                                                                       "</f>
        <v xml:space="preserve">IZTACALCO                                                                       </v>
      </c>
      <c r="H3035" s="26" t="str">
        <f>"354"</f>
        <v>354</v>
      </c>
      <c r="I3035" s="26" t="str">
        <f t="shared" si="516"/>
        <v>00</v>
      </c>
      <c r="J3035" s="26" t="str">
        <f t="shared" ref="J3035:J3040" si="522">"43 "</f>
        <v xml:space="preserve">43 </v>
      </c>
      <c r="K3035" s="26" t="str">
        <f t="shared" si="520"/>
        <v>PR</v>
      </c>
      <c r="L3035" s="26" t="str">
        <f t="shared" si="521"/>
        <v>DGOSE</v>
      </c>
      <c r="M3035" s="26" t="str">
        <f t="shared" si="519"/>
        <v>PARTICULAR</v>
      </c>
      <c r="N3035" s="26">
        <v>41</v>
      </c>
      <c r="O3035" s="26">
        <v>17</v>
      </c>
      <c r="P3035" s="26">
        <v>24</v>
      </c>
      <c r="Q3035" s="26">
        <v>6</v>
      </c>
      <c r="R3035" s="26">
        <v>1</v>
      </c>
      <c r="S3035" s="26">
        <v>3</v>
      </c>
      <c r="T3035" s="26">
        <v>6</v>
      </c>
      <c r="U3035" s="26">
        <v>10</v>
      </c>
      <c r="V3035" s="26">
        <v>1</v>
      </c>
      <c r="W3035" s="26"/>
    </row>
    <row r="3036" spans="1:23" x14ac:dyDescent="0.25">
      <c r="A3036" s="26" t="str">
        <f t="shared" si="515"/>
        <v>PRIMARIA</v>
      </c>
      <c r="B3036" s="26" t="str">
        <f>"09PPR1620H"</f>
        <v>09PPR1620H</v>
      </c>
      <c r="C3036" s="26" t="str">
        <f>"WESTMOUNT                                                                                           "</f>
        <v xml:space="preserve">WESTMOUNT                                                                                           </v>
      </c>
      <c r="D3036" s="26" t="str">
        <f t="shared" si="510"/>
        <v>MATUTINO</v>
      </c>
      <c r="E3036" s="26" t="str">
        <f>"DOCTOR JOSE MARIA VERTIZ NO 1221                                                "</f>
        <v xml:space="preserve">DOCTOR JOSE MARIA VERTIZ NO 1221                                                </v>
      </c>
      <c r="F3036" s="26" t="str">
        <f>"VERTIZ NARVARTE                                                                                                                             "</f>
        <v xml:space="preserve">VERTIZ NARVARTE                                                                                                                             </v>
      </c>
      <c r="G3036" s="26" t="str">
        <f>"BENITO JUAREZ                                                                   "</f>
        <v xml:space="preserve">BENITO JUAREZ                                                                   </v>
      </c>
      <c r="H3036" s="26" t="str">
        <f>"000"</f>
        <v>000</v>
      </c>
      <c r="I3036" s="26" t="str">
        <f t="shared" si="516"/>
        <v>00</v>
      </c>
      <c r="J3036" s="26" t="str">
        <f t="shared" si="522"/>
        <v xml:space="preserve">43 </v>
      </c>
      <c r="K3036" s="26" t="str">
        <f t="shared" si="520"/>
        <v>PR</v>
      </c>
      <c r="L3036" s="26" t="str">
        <f t="shared" si="521"/>
        <v>DGOSE</v>
      </c>
      <c r="M3036" s="26" t="str">
        <f t="shared" si="519"/>
        <v>PARTICULAR</v>
      </c>
      <c r="N3036" s="26">
        <v>41</v>
      </c>
      <c r="O3036" s="26">
        <v>20</v>
      </c>
      <c r="P3036" s="26">
        <v>21</v>
      </c>
      <c r="Q3036" s="26">
        <v>5</v>
      </c>
      <c r="R3036" s="26">
        <v>1</v>
      </c>
      <c r="S3036" s="26">
        <v>3</v>
      </c>
      <c r="T3036" s="26">
        <v>5</v>
      </c>
      <c r="U3036" s="26">
        <v>9</v>
      </c>
      <c r="V3036" s="26">
        <v>1</v>
      </c>
      <c r="W3036" s="26"/>
    </row>
    <row r="3037" spans="1:23" x14ac:dyDescent="0.25">
      <c r="A3037" s="26" t="str">
        <f t="shared" si="515"/>
        <v>PRIMARIA</v>
      </c>
      <c r="B3037" s="26" t="str">
        <f>"09PPR1621G"</f>
        <v>09PPR1621G</v>
      </c>
      <c r="C3037" s="26" t="str">
        <f>"COLEGIO OLINCA                                                                                      "</f>
        <v xml:space="preserve">COLEGIO OLINCA                                                                                      </v>
      </c>
      <c r="D3037" s="26" t="str">
        <f t="shared" si="510"/>
        <v>MATUTINO</v>
      </c>
      <c r="E3037" s="26" t="str">
        <f>"ALTAVISTA NO. 130                                                               "</f>
        <v xml:space="preserve">ALTAVISTA NO. 130                                                               </v>
      </c>
      <c r="F3037" s="26" t="str">
        <f>"SAN ANGEL INN                                                                                                                               "</f>
        <v xml:space="preserve">SAN ANGEL INN                                                                                                                               </v>
      </c>
      <c r="G3037" s="26" t="str">
        <f>"ALVARO OBREGON                                                                  "</f>
        <v xml:space="preserve">ALVARO OBREGON                                                                  </v>
      </c>
      <c r="H3037" s="26" t="str">
        <f>"326"</f>
        <v>326</v>
      </c>
      <c r="I3037" s="26" t="str">
        <f t="shared" si="516"/>
        <v>00</v>
      </c>
      <c r="J3037" s="26" t="str">
        <f t="shared" si="522"/>
        <v xml:space="preserve">43 </v>
      </c>
      <c r="K3037" s="26" t="str">
        <f t="shared" si="520"/>
        <v>PR</v>
      </c>
      <c r="L3037" s="26" t="str">
        <f t="shared" si="521"/>
        <v>DGOSE</v>
      </c>
      <c r="M3037" s="26" t="str">
        <f t="shared" si="519"/>
        <v>PARTICULAR</v>
      </c>
      <c r="N3037" s="26">
        <v>227</v>
      </c>
      <c r="O3037" s="26">
        <v>98</v>
      </c>
      <c r="P3037" s="26">
        <v>129</v>
      </c>
      <c r="Q3037" s="26">
        <v>10</v>
      </c>
      <c r="R3037" s="26">
        <v>1</v>
      </c>
      <c r="S3037" s="26">
        <v>5</v>
      </c>
      <c r="T3037" s="26">
        <v>32</v>
      </c>
      <c r="U3037" s="26">
        <v>38</v>
      </c>
      <c r="V3037" s="26">
        <v>1</v>
      </c>
      <c r="W3037" s="26"/>
    </row>
    <row r="3038" spans="1:23" x14ac:dyDescent="0.25">
      <c r="A3038" s="26" t="str">
        <f t="shared" si="515"/>
        <v>PRIMARIA</v>
      </c>
      <c r="B3038" s="26" t="str">
        <f>"09PPR1622F"</f>
        <v>09PPR1622F</v>
      </c>
      <c r="C3038" s="26" t="str">
        <f>"WESTHILL INSTITUTE                                                                                  "</f>
        <v xml:space="preserve">WESTHILL INSTITUTE                                                                                  </v>
      </c>
      <c r="D3038" s="26" t="str">
        <f t="shared" si="510"/>
        <v>MATUTINO</v>
      </c>
      <c r="E3038" s="26" t="str">
        <f>"AV DOMINGO GARCIA RAMOS No 57                                                   "</f>
        <v xml:space="preserve">AV DOMINGO GARCIA RAMOS No 57                                                   </v>
      </c>
      <c r="F3038" s="26" t="str">
        <f>"CLUB DE GOLF PRADOS DE LA MONTAÑA                                                                                                           "</f>
        <v xml:space="preserve">CLUB DE GOLF PRADOS DE LA MONTAÑA                                                                                                           </v>
      </c>
      <c r="G3038" s="26" t="str">
        <f>"CUAJIMALPA DE MORELOS                                                           "</f>
        <v xml:space="preserve">CUAJIMALPA DE MORELOS                                                           </v>
      </c>
      <c r="H3038" s="26" t="str">
        <f>"303"</f>
        <v>303</v>
      </c>
      <c r="I3038" s="26" t="str">
        <f t="shared" si="516"/>
        <v>00</v>
      </c>
      <c r="J3038" s="26" t="str">
        <f t="shared" si="522"/>
        <v xml:space="preserve">43 </v>
      </c>
      <c r="K3038" s="26" t="str">
        <f t="shared" si="520"/>
        <v>PR</v>
      </c>
      <c r="L3038" s="26" t="str">
        <f t="shared" si="521"/>
        <v>DGOSE</v>
      </c>
      <c r="M3038" s="26" t="str">
        <f t="shared" si="519"/>
        <v>PARTICULAR</v>
      </c>
      <c r="N3038" s="26">
        <v>245</v>
      </c>
      <c r="O3038" s="26">
        <v>139</v>
      </c>
      <c r="P3038" s="26">
        <v>106</v>
      </c>
      <c r="Q3038" s="26">
        <v>15</v>
      </c>
      <c r="R3038" s="26">
        <v>1</v>
      </c>
      <c r="S3038" s="26">
        <v>8</v>
      </c>
      <c r="T3038" s="26">
        <v>28</v>
      </c>
      <c r="U3038" s="26">
        <v>37</v>
      </c>
      <c r="V3038" s="26">
        <v>1</v>
      </c>
      <c r="W3038" s="26"/>
    </row>
    <row r="3039" spans="1:23" x14ac:dyDescent="0.25">
      <c r="A3039" s="26" t="str">
        <f t="shared" si="515"/>
        <v>PRIMARIA</v>
      </c>
      <c r="B3039" s="26" t="str">
        <f>"09PPR1623E"</f>
        <v>09PPR1623E</v>
      </c>
      <c r="C3039" s="26" t="str">
        <f>"CENTRO EDUCATIVO NEUROCOM                                                                           "</f>
        <v xml:space="preserve">CENTRO EDUCATIVO NEUROCOM                                                                           </v>
      </c>
      <c r="D3039" s="26" t="str">
        <f t="shared" si="510"/>
        <v>MATUTINO</v>
      </c>
      <c r="E3039" s="26" t="str">
        <f>"JOSE MARIA VERTIZ NUMERO 763 Y NUMERO 765                                       "</f>
        <v xml:space="preserve">JOSE MARIA VERTIZ NUMERO 763 Y NUMERO 765                                       </v>
      </c>
      <c r="F3039" s="26" t="str">
        <f>"NARVARTE                                                                                                                                    "</f>
        <v xml:space="preserve">NARVARTE                                                                                                                                    </v>
      </c>
      <c r="G3039" s="26" t="str">
        <f>"BENITO JUAREZ                                                                   "</f>
        <v xml:space="preserve">BENITO JUAREZ                                                                   </v>
      </c>
      <c r="H3039" s="26" t="str">
        <f>"338"</f>
        <v>338</v>
      </c>
      <c r="I3039" s="26" t="str">
        <f t="shared" si="516"/>
        <v>00</v>
      </c>
      <c r="J3039" s="26" t="str">
        <f t="shared" si="522"/>
        <v xml:space="preserve">43 </v>
      </c>
      <c r="K3039" s="26" t="str">
        <f t="shared" si="520"/>
        <v>PR</v>
      </c>
      <c r="L3039" s="26" t="str">
        <f t="shared" si="521"/>
        <v>DGOSE</v>
      </c>
      <c r="M3039" s="26" t="str">
        <f t="shared" si="519"/>
        <v>PARTICULAR</v>
      </c>
      <c r="N3039" s="26">
        <v>34</v>
      </c>
      <c r="O3039" s="26">
        <v>30</v>
      </c>
      <c r="P3039" s="26">
        <v>4</v>
      </c>
      <c r="Q3039" s="26">
        <v>6</v>
      </c>
      <c r="R3039" s="26">
        <v>1</v>
      </c>
      <c r="S3039" s="26">
        <v>3</v>
      </c>
      <c r="T3039" s="26">
        <v>8</v>
      </c>
      <c r="U3039" s="26">
        <v>12</v>
      </c>
      <c r="V3039" s="26">
        <v>1</v>
      </c>
      <c r="W3039" s="26"/>
    </row>
    <row r="3040" spans="1:23" x14ac:dyDescent="0.25">
      <c r="A3040" s="26" t="str">
        <f t="shared" si="515"/>
        <v>PRIMARIA</v>
      </c>
      <c r="B3040" s="26" t="str">
        <f>"09PPR1624D"</f>
        <v>09PPR1624D</v>
      </c>
      <c r="C3040" s="26" t="str">
        <f>"MONTESSORI CALMECAC                                                                                 "</f>
        <v xml:space="preserve">MONTESSORI CALMECAC                                                                                 </v>
      </c>
      <c r="D3040" s="26" t="str">
        <f t="shared" ref="D3040:D3085" si="523">"MATUTINO"</f>
        <v>MATUTINO</v>
      </c>
      <c r="E3040" s="26" t="str">
        <f>"EMPERADORES NO 22                                                               "</f>
        <v xml:space="preserve">EMPERADORES NO 22                                                               </v>
      </c>
      <c r="F3040" s="26" t="str">
        <f>"PORTALES                                                                                                                                    "</f>
        <v xml:space="preserve">PORTALES                                                                                                                                    </v>
      </c>
      <c r="G3040" s="26" t="str">
        <f>"BENITO JUAREZ                                                                   "</f>
        <v xml:space="preserve">BENITO JUAREZ                                                                   </v>
      </c>
      <c r="H3040" s="26" t="str">
        <f>"000"</f>
        <v>000</v>
      </c>
      <c r="I3040" s="26" t="str">
        <f t="shared" si="516"/>
        <v>00</v>
      </c>
      <c r="J3040" s="26" t="str">
        <f t="shared" si="522"/>
        <v xml:space="preserve">43 </v>
      </c>
      <c r="K3040" s="26" t="str">
        <f t="shared" si="520"/>
        <v>PR</v>
      </c>
      <c r="L3040" s="26" t="str">
        <f t="shared" si="521"/>
        <v>DGOSE</v>
      </c>
      <c r="M3040" s="26" t="str">
        <f t="shared" si="519"/>
        <v>PARTICULAR</v>
      </c>
      <c r="N3040" s="26">
        <v>15</v>
      </c>
      <c r="O3040" s="26">
        <v>9</v>
      </c>
      <c r="P3040" s="26">
        <v>6</v>
      </c>
      <c r="Q3040" s="26">
        <v>5</v>
      </c>
      <c r="R3040" s="26">
        <v>1</v>
      </c>
      <c r="S3040" s="26">
        <v>2</v>
      </c>
      <c r="T3040" s="26">
        <v>2</v>
      </c>
      <c r="U3040" s="26">
        <v>5</v>
      </c>
      <c r="V3040" s="26">
        <v>1</v>
      </c>
      <c r="W3040" s="26"/>
    </row>
    <row r="3041" spans="1:23" x14ac:dyDescent="0.25">
      <c r="A3041" s="26" t="str">
        <f t="shared" si="515"/>
        <v>PRIMARIA</v>
      </c>
      <c r="B3041" s="26" t="str">
        <f>"09PPR1625C"</f>
        <v>09PPR1625C</v>
      </c>
      <c r="C3041" s="26" t="str">
        <f>"INSTITUTO JACK LONDON                                                                               "</f>
        <v xml:space="preserve">INSTITUTO JACK LONDON                                                                               </v>
      </c>
      <c r="D3041" s="26" t="str">
        <f t="shared" si="523"/>
        <v>MATUTINO</v>
      </c>
      <c r="E3041" s="26" t="str">
        <f>"TORDESILLAS MZ. 44 LT. 2                                                        "</f>
        <v xml:space="preserve">TORDESILLAS MZ. 44 LT. 2                                                        </v>
      </c>
      <c r="F3041" s="26" t="str">
        <f>"SAN JUAN XALPA                                                                                                                              "</f>
        <v xml:space="preserve">SAN JUAN XALPA                                                                                                                              </v>
      </c>
      <c r="G3041" s="26" t="str">
        <f>"IZTAPALAPA                                                                      "</f>
        <v xml:space="preserve">IZTAPALAPA                                                                      </v>
      </c>
      <c r="H3041" s="26" t="str">
        <f>"000"</f>
        <v>000</v>
      </c>
      <c r="I3041" s="26" t="str">
        <f t="shared" si="516"/>
        <v>00</v>
      </c>
      <c r="J3041" s="26" t="str">
        <f>"63 "</f>
        <v xml:space="preserve">63 </v>
      </c>
      <c r="K3041" s="26" t="str">
        <f>"IZ"</f>
        <v>IZ</v>
      </c>
      <c r="L3041" s="26" t="str">
        <f>"DGSEI"</f>
        <v>DGSEI</v>
      </c>
      <c r="M3041" s="26" t="str">
        <f t="shared" si="519"/>
        <v>PARTICULAR</v>
      </c>
      <c r="N3041" s="26">
        <v>97</v>
      </c>
      <c r="O3041" s="26">
        <v>52</v>
      </c>
      <c r="P3041" s="26">
        <v>45</v>
      </c>
      <c r="Q3041" s="26">
        <v>6</v>
      </c>
      <c r="R3041" s="26">
        <v>1</v>
      </c>
      <c r="S3041" s="26">
        <v>6</v>
      </c>
      <c r="T3041" s="26">
        <v>5</v>
      </c>
      <c r="U3041" s="26">
        <v>12</v>
      </c>
      <c r="V3041" s="26">
        <v>1</v>
      </c>
      <c r="W3041" s="26"/>
    </row>
    <row r="3042" spans="1:23" x14ac:dyDescent="0.25">
      <c r="A3042" s="26" t="str">
        <f t="shared" si="515"/>
        <v>PRIMARIA</v>
      </c>
      <c r="B3042" s="26" t="str">
        <f>"09PPR1626B"</f>
        <v>09PPR1626B</v>
      </c>
      <c r="C3042" s="26" t="str">
        <f>"CENTRO DE EDUCACION VANGUARDISTA SIGLO XXI                                                          "</f>
        <v xml:space="preserve">CENTRO DE EDUCACION VANGUARDISTA SIGLO XXI                                                          </v>
      </c>
      <c r="D3042" s="26" t="str">
        <f t="shared" si="523"/>
        <v>MATUTINO</v>
      </c>
      <c r="E3042" s="26" t="str">
        <f>"MONACO 320                                                                      "</f>
        <v xml:space="preserve">MONACO 320                                                                      </v>
      </c>
      <c r="F3042" s="26" t="str">
        <f>"ZACAHUITZCO                                                                                                                                 "</f>
        <v xml:space="preserve">ZACAHUITZCO                                                                                                                                 </v>
      </c>
      <c r="G3042" s="26" t="str">
        <f>"BENITO JUAREZ                                                                   "</f>
        <v xml:space="preserve">BENITO JUAREZ                                                                   </v>
      </c>
      <c r="H3042" s="26" t="str">
        <f>"000"</f>
        <v>000</v>
      </c>
      <c r="I3042" s="26" t="str">
        <f t="shared" si="516"/>
        <v>00</v>
      </c>
      <c r="J3042" s="26" t="str">
        <f>"43 "</f>
        <v xml:space="preserve">43 </v>
      </c>
      <c r="K3042" s="26" t="str">
        <f>"PR"</f>
        <v>PR</v>
      </c>
      <c r="L3042" s="26" t="str">
        <f>"DGOSE"</f>
        <v>DGOSE</v>
      </c>
      <c r="M3042" s="26" t="str">
        <f t="shared" si="519"/>
        <v>PARTICULAR</v>
      </c>
      <c r="N3042" s="26">
        <v>40</v>
      </c>
      <c r="O3042" s="26">
        <v>17</v>
      </c>
      <c r="P3042" s="26">
        <v>23</v>
      </c>
      <c r="Q3042" s="26">
        <v>6</v>
      </c>
      <c r="R3042" s="26">
        <v>1</v>
      </c>
      <c r="S3042" s="26">
        <v>3</v>
      </c>
      <c r="T3042" s="26">
        <v>3</v>
      </c>
      <c r="U3042" s="26">
        <v>7</v>
      </c>
      <c r="V3042" s="26">
        <v>1</v>
      </c>
      <c r="W3042" s="26"/>
    </row>
    <row r="3043" spans="1:23" x14ac:dyDescent="0.25">
      <c r="A3043" s="26" t="str">
        <f t="shared" si="515"/>
        <v>PRIMARIA</v>
      </c>
      <c r="B3043" s="26" t="str">
        <f>"09PPR1627A"</f>
        <v>09PPR1627A</v>
      </c>
      <c r="C3043" s="26" t="str">
        <f>"MONTESSORI LAUREL                                                                                   "</f>
        <v xml:space="preserve">MONTESSORI LAUREL                                                                                   </v>
      </c>
      <c r="D3043" s="26" t="str">
        <f t="shared" si="523"/>
        <v>MATUTINO</v>
      </c>
      <c r="E3043" s="26" t="str">
        <f>"RICARDO MONGES LOPEZ AV SEIS NUM 12                                             "</f>
        <v xml:space="preserve">RICARDO MONGES LOPEZ AV SEIS NUM 12                                             </v>
      </c>
      <c r="F3043" s="26" t="str">
        <f>"PETROLERA TAXQUEÑA                                                                                                                          "</f>
        <v xml:space="preserve">PETROLERA TAXQUEÑA                                                                                                                          </v>
      </c>
      <c r="G3043" s="26" t="str">
        <f>"COYOACAN                                                                        "</f>
        <v xml:space="preserve">COYOACAN                                                                        </v>
      </c>
      <c r="H3043" s="26" t="str">
        <f>"508"</f>
        <v>508</v>
      </c>
      <c r="I3043" s="26" t="str">
        <f t="shared" si="516"/>
        <v>00</v>
      </c>
      <c r="J3043" s="26" t="str">
        <f>"45 "</f>
        <v xml:space="preserve">45 </v>
      </c>
      <c r="K3043" s="26" t="str">
        <f>"PR"</f>
        <v>PR</v>
      </c>
      <c r="L3043" s="26" t="str">
        <f>"DGOSE"</f>
        <v>DGOSE</v>
      </c>
      <c r="M3043" s="26" t="str">
        <f t="shared" si="519"/>
        <v>PARTICULAR</v>
      </c>
      <c r="N3043" s="26">
        <v>52</v>
      </c>
      <c r="O3043" s="26">
        <v>30</v>
      </c>
      <c r="P3043" s="26">
        <v>22</v>
      </c>
      <c r="Q3043" s="26">
        <v>6</v>
      </c>
      <c r="R3043" s="26">
        <v>1</v>
      </c>
      <c r="S3043" s="26">
        <v>3</v>
      </c>
      <c r="T3043" s="26">
        <v>9</v>
      </c>
      <c r="U3043" s="26">
        <v>13</v>
      </c>
      <c r="V3043" s="26">
        <v>1</v>
      </c>
      <c r="W3043" s="26"/>
    </row>
    <row r="3044" spans="1:23" x14ac:dyDescent="0.25">
      <c r="A3044" s="26" t="str">
        <f t="shared" si="515"/>
        <v>PRIMARIA</v>
      </c>
      <c r="B3044" s="26" t="str">
        <f>"09PPR1628Z"</f>
        <v>09PPR1628Z</v>
      </c>
      <c r="C3044" s="26" t="str">
        <f>"PINECREST INSTITUTE                                                                                 "</f>
        <v xml:space="preserve">PINECREST INSTITUTE                                                                                 </v>
      </c>
      <c r="D3044" s="26" t="str">
        <f t="shared" si="523"/>
        <v>MATUTINO</v>
      </c>
      <c r="E3044" s="26" t="str">
        <f>"AV FRANCISCO J SERRANO No 104                                                   "</f>
        <v xml:space="preserve">AV FRANCISCO J SERRANO No 104                                                   </v>
      </c>
      <c r="F3044" s="26" t="str">
        <f>"SANTA FE CUAJIMALPA                                                                                                                         "</f>
        <v xml:space="preserve">SANTA FE CUAJIMALPA                                                                                                                         </v>
      </c>
      <c r="G3044" s="26" t="str">
        <f>"CUAJIMALPA DE MORELOS                                                           "</f>
        <v xml:space="preserve">CUAJIMALPA DE MORELOS                                                           </v>
      </c>
      <c r="H3044" s="26" t="str">
        <f>"303"</f>
        <v>303</v>
      </c>
      <c r="I3044" s="26" t="str">
        <f t="shared" si="516"/>
        <v>00</v>
      </c>
      <c r="J3044" s="26" t="str">
        <f>"43 "</f>
        <v xml:space="preserve">43 </v>
      </c>
      <c r="K3044" s="26" t="str">
        <f>"PR"</f>
        <v>PR</v>
      </c>
      <c r="L3044" s="26" t="str">
        <f>"DGOSE"</f>
        <v>DGOSE</v>
      </c>
      <c r="M3044" s="26" t="str">
        <f t="shared" si="519"/>
        <v>PARTICULAR</v>
      </c>
      <c r="N3044" s="26">
        <v>373</v>
      </c>
      <c r="O3044" s="26">
        <v>184</v>
      </c>
      <c r="P3044" s="26">
        <v>189</v>
      </c>
      <c r="Q3044" s="26">
        <v>23</v>
      </c>
      <c r="R3044" s="26">
        <v>1</v>
      </c>
      <c r="S3044" s="26">
        <v>13</v>
      </c>
      <c r="T3044" s="26">
        <v>19</v>
      </c>
      <c r="U3044" s="26">
        <v>33</v>
      </c>
      <c r="V3044" s="26">
        <v>1</v>
      </c>
      <c r="W3044" s="26"/>
    </row>
    <row r="3045" spans="1:23" x14ac:dyDescent="0.25">
      <c r="A3045" s="26" t="str">
        <f t="shared" si="515"/>
        <v>PRIMARIA</v>
      </c>
      <c r="B3045" s="26" t="str">
        <f>"09PPR1630O"</f>
        <v>09PPR1630O</v>
      </c>
      <c r="C3045" s="26" t="str">
        <f>"COLEGIO CERVANTES                                                                                   "</f>
        <v xml:space="preserve">COLEGIO CERVANTES                                                                                   </v>
      </c>
      <c r="D3045" s="26" t="str">
        <f t="shared" si="523"/>
        <v>MATUTINO</v>
      </c>
      <c r="E3045" s="26" t="str">
        <f>"AV. TLAHUAC NO. 3431                                                            "</f>
        <v xml:space="preserve">AV. TLAHUAC NO. 3431                                                            </v>
      </c>
      <c r="F3045" s="26" t="str">
        <f>"LOS REYES                                                                                                                                   "</f>
        <v xml:space="preserve">LOS REYES                                                                                                                                   </v>
      </c>
      <c r="G3045" s="26" t="str">
        <f>"IZTAPALAPA                                                                      "</f>
        <v xml:space="preserve">IZTAPALAPA                                                                      </v>
      </c>
      <c r="H3045" s="26" t="str">
        <f>"000"</f>
        <v>000</v>
      </c>
      <c r="I3045" s="26" t="str">
        <f t="shared" si="516"/>
        <v>00</v>
      </c>
      <c r="J3045" s="26" t="str">
        <f>"61 "</f>
        <v xml:space="preserve">61 </v>
      </c>
      <c r="K3045" s="26" t="str">
        <f>"IZ"</f>
        <v>IZ</v>
      </c>
      <c r="L3045" s="26" t="str">
        <f>"DGSEI"</f>
        <v>DGSEI</v>
      </c>
      <c r="M3045" s="26" t="str">
        <f t="shared" si="519"/>
        <v>PARTICULAR</v>
      </c>
      <c r="N3045" s="26">
        <v>76</v>
      </c>
      <c r="O3045" s="26">
        <v>46</v>
      </c>
      <c r="P3045" s="26">
        <v>30</v>
      </c>
      <c r="Q3045" s="26">
        <v>6</v>
      </c>
      <c r="R3045" s="26">
        <v>1</v>
      </c>
      <c r="S3045" s="26">
        <v>6</v>
      </c>
      <c r="T3045" s="26">
        <v>6</v>
      </c>
      <c r="U3045" s="26">
        <v>13</v>
      </c>
      <c r="V3045" s="26">
        <v>1</v>
      </c>
      <c r="W3045" s="26"/>
    </row>
    <row r="3046" spans="1:23" x14ac:dyDescent="0.25">
      <c r="A3046" s="26" t="str">
        <f t="shared" si="515"/>
        <v>PRIMARIA</v>
      </c>
      <c r="B3046" s="26" t="str">
        <f>"09PPR1631N"</f>
        <v>09PPR1631N</v>
      </c>
      <c r="C3046" s="26" t="str">
        <f>"MISSISSAUGA INSTITUTE                                                                               "</f>
        <v xml:space="preserve">MISSISSAUGA INSTITUTE                                                                               </v>
      </c>
      <c r="D3046" s="26" t="str">
        <f t="shared" si="523"/>
        <v>MATUTINO</v>
      </c>
      <c r="E3046" s="26" t="str">
        <f>"SAN RAFAEL NO. 11                                                               "</f>
        <v xml:space="preserve">SAN RAFAEL NO. 11                                                               </v>
      </c>
      <c r="F3046" s="26" t="str">
        <f>"PUEBLO NUEVO BAJO                                                                                                                           "</f>
        <v xml:space="preserve">PUEBLO NUEVO BAJO                                                                                                                           </v>
      </c>
      <c r="G3046" s="26" t="str">
        <f>"LA MAGDALENA CONTRERAS                                                          "</f>
        <v xml:space="preserve">LA MAGDALENA CONTRERAS                                                          </v>
      </c>
      <c r="H3046" s="26" t="str">
        <f>"336"</f>
        <v>336</v>
      </c>
      <c r="I3046" s="26" t="str">
        <f t="shared" si="516"/>
        <v>00</v>
      </c>
      <c r="J3046" s="26" t="str">
        <f>"43 "</f>
        <v xml:space="preserve">43 </v>
      </c>
      <c r="K3046" s="26" t="str">
        <f>"PR"</f>
        <v>PR</v>
      </c>
      <c r="L3046" s="26" t="str">
        <f>"DGOSE"</f>
        <v>DGOSE</v>
      </c>
      <c r="M3046" s="26" t="str">
        <f t="shared" si="519"/>
        <v>PARTICULAR</v>
      </c>
      <c r="N3046" s="26">
        <v>82</v>
      </c>
      <c r="O3046" s="26">
        <v>40</v>
      </c>
      <c r="P3046" s="26">
        <v>42</v>
      </c>
      <c r="Q3046" s="26">
        <v>6</v>
      </c>
      <c r="R3046" s="26">
        <v>1</v>
      </c>
      <c r="S3046" s="26">
        <v>2</v>
      </c>
      <c r="T3046" s="26">
        <v>4</v>
      </c>
      <c r="U3046" s="26">
        <v>7</v>
      </c>
      <c r="V3046" s="26">
        <v>1</v>
      </c>
      <c r="W3046" s="26"/>
    </row>
    <row r="3047" spans="1:23" x14ac:dyDescent="0.25">
      <c r="A3047" s="26" t="str">
        <f t="shared" si="515"/>
        <v>PRIMARIA</v>
      </c>
      <c r="B3047" s="26" t="str">
        <f>"09PPR1633L"</f>
        <v>09PPR1633L</v>
      </c>
      <c r="C3047" s="26" t="str">
        <f>"LICEO AMERICANO MODERNO                                                                             "</f>
        <v xml:space="preserve">LICEO AMERICANO MODERNO                                                                             </v>
      </c>
      <c r="D3047" s="26" t="str">
        <f t="shared" si="523"/>
        <v>MATUTINO</v>
      </c>
      <c r="E3047" s="26" t="str">
        <f>"16 DE MARZO DE 1861 No. 67                                                      "</f>
        <v xml:space="preserve">16 DE MARZO DE 1861 No. 67                                                      </v>
      </c>
      <c r="F3047" s="26" t="str">
        <f>"LEYES DE REFORMA                                                                                                                            "</f>
        <v xml:space="preserve">LEYES DE REFORMA                                                                                                                            </v>
      </c>
      <c r="G3047" s="26" t="str">
        <f>"IZTAPALAPA                                                                      "</f>
        <v xml:space="preserve">IZTAPALAPA                                                                      </v>
      </c>
      <c r="H3047" s="26" t="str">
        <f>"000"</f>
        <v>000</v>
      </c>
      <c r="I3047" s="26" t="str">
        <f t="shared" si="516"/>
        <v>00</v>
      </c>
      <c r="J3047" s="26" t="str">
        <f>"61 "</f>
        <v xml:space="preserve">61 </v>
      </c>
      <c r="K3047" s="26" t="str">
        <f>"IZ"</f>
        <v>IZ</v>
      </c>
      <c r="L3047" s="26" t="str">
        <f>"DGSEI"</f>
        <v>DGSEI</v>
      </c>
      <c r="M3047" s="26" t="str">
        <f t="shared" si="519"/>
        <v>PARTICULAR</v>
      </c>
      <c r="N3047" s="26">
        <v>50</v>
      </c>
      <c r="O3047" s="26">
        <v>33</v>
      </c>
      <c r="P3047" s="26">
        <v>17</v>
      </c>
      <c r="Q3047" s="26">
        <v>6</v>
      </c>
      <c r="R3047" s="26">
        <v>1</v>
      </c>
      <c r="S3047" s="26">
        <v>4</v>
      </c>
      <c r="T3047" s="26">
        <v>0</v>
      </c>
      <c r="U3047" s="26">
        <v>5</v>
      </c>
      <c r="V3047" s="26">
        <v>1</v>
      </c>
      <c r="W3047" s="26"/>
    </row>
    <row r="3048" spans="1:23" x14ac:dyDescent="0.25">
      <c r="A3048" s="26" t="str">
        <f t="shared" si="515"/>
        <v>PRIMARIA</v>
      </c>
      <c r="B3048" s="26" t="str">
        <f>"09PPR1634K"</f>
        <v>09PPR1634K</v>
      </c>
      <c r="C3048" s="26" t="str">
        <f>"COLEGIO JEAN PIAGET DE SAN FRANCISCO                                                                "</f>
        <v xml:space="preserve">COLEGIO JEAN PIAGET DE SAN FRANCISCO                                                                </v>
      </c>
      <c r="D3048" s="26" t="str">
        <f t="shared" si="523"/>
        <v>MATUTINO</v>
      </c>
      <c r="E3048" s="26" t="str">
        <f>"AV. SAN FRANCISCO NO. 419                                                       "</f>
        <v xml:space="preserve">AV. SAN FRANCISCO NO. 419                                                       </v>
      </c>
      <c r="F3048" s="26" t="str">
        <f>"SAN FRANCISCO BARRIO                                                                                                                        "</f>
        <v xml:space="preserve">SAN FRANCISCO BARRIO                                                                                                                        </v>
      </c>
      <c r="G3048" s="26" t="str">
        <f>"LA MAGDALENA CONTRERAS                                                          "</f>
        <v xml:space="preserve">LA MAGDALENA CONTRERAS                                                          </v>
      </c>
      <c r="H3048" s="26" t="str">
        <f>"336"</f>
        <v>336</v>
      </c>
      <c r="I3048" s="26" t="str">
        <f t="shared" si="516"/>
        <v>00</v>
      </c>
      <c r="J3048" s="26" t="str">
        <f>"43 "</f>
        <v xml:space="preserve">43 </v>
      </c>
      <c r="K3048" s="26" t="str">
        <f>"PR"</f>
        <v>PR</v>
      </c>
      <c r="L3048" s="26" t="str">
        <f>"DGOSE"</f>
        <v>DGOSE</v>
      </c>
      <c r="M3048" s="26" t="str">
        <f t="shared" si="519"/>
        <v>PARTICULAR</v>
      </c>
      <c r="N3048" s="26">
        <v>42</v>
      </c>
      <c r="O3048" s="26">
        <v>25</v>
      </c>
      <c r="P3048" s="26">
        <v>17</v>
      </c>
      <c r="Q3048" s="26">
        <v>6</v>
      </c>
      <c r="R3048" s="26">
        <v>1</v>
      </c>
      <c r="S3048" s="26">
        <v>2</v>
      </c>
      <c r="T3048" s="26">
        <v>2</v>
      </c>
      <c r="U3048" s="26">
        <v>5</v>
      </c>
      <c r="V3048" s="26">
        <v>1</v>
      </c>
      <c r="W3048" s="26"/>
    </row>
    <row r="3049" spans="1:23" x14ac:dyDescent="0.25">
      <c r="A3049" s="26" t="str">
        <f t="shared" si="515"/>
        <v>PRIMARIA</v>
      </c>
      <c r="B3049" s="26" t="str">
        <f>"09PPR1635J"</f>
        <v>09PPR1635J</v>
      </c>
      <c r="C3049" s="26" t="str">
        <f>"CULTURAS DE MEXICO                                                                                  "</f>
        <v xml:space="preserve">CULTURAS DE MEXICO                                                                                  </v>
      </c>
      <c r="D3049" s="26" t="str">
        <f t="shared" si="523"/>
        <v>MATUTINO</v>
      </c>
      <c r="E3049" s="26" t="str">
        <f>"MANUEL M. LOPEZ NO. 148                                                         "</f>
        <v xml:space="preserve">MANUEL M. LOPEZ NO. 148                                                         </v>
      </c>
      <c r="F3049" s="26" t="str">
        <f>"SANTIAGO ZAPOTITLAN                                                                                                                         "</f>
        <v xml:space="preserve">SANTIAGO ZAPOTITLAN                                                                                                                         </v>
      </c>
      <c r="G3049" s="26" t="str">
        <f>"TLAHUAC                                                                         "</f>
        <v xml:space="preserve">TLAHUAC                                                                         </v>
      </c>
      <c r="H3049" s="26" t="str">
        <f>"547"</f>
        <v>547</v>
      </c>
      <c r="I3049" s="26" t="str">
        <f t="shared" si="516"/>
        <v>00</v>
      </c>
      <c r="J3049" s="26" t="str">
        <f>"45 "</f>
        <v xml:space="preserve">45 </v>
      </c>
      <c r="K3049" s="26" t="str">
        <f>"PR"</f>
        <v>PR</v>
      </c>
      <c r="L3049" s="26" t="str">
        <f>"DGOSE"</f>
        <v>DGOSE</v>
      </c>
      <c r="M3049" s="26" t="str">
        <f t="shared" si="519"/>
        <v>PARTICULAR</v>
      </c>
      <c r="N3049" s="26">
        <v>165</v>
      </c>
      <c r="O3049" s="26">
        <v>86</v>
      </c>
      <c r="P3049" s="26">
        <v>79</v>
      </c>
      <c r="Q3049" s="26">
        <v>7</v>
      </c>
      <c r="R3049" s="26">
        <v>1</v>
      </c>
      <c r="S3049" s="26">
        <v>7</v>
      </c>
      <c r="T3049" s="26">
        <v>13</v>
      </c>
      <c r="U3049" s="26">
        <v>21</v>
      </c>
      <c r="V3049" s="26">
        <v>1</v>
      </c>
      <c r="W3049" s="26"/>
    </row>
    <row r="3050" spans="1:23" x14ac:dyDescent="0.25">
      <c r="A3050" s="26" t="str">
        <f t="shared" si="515"/>
        <v>PRIMARIA</v>
      </c>
      <c r="B3050" s="26" t="str">
        <f>"09PPR1636I"</f>
        <v>09PPR1636I</v>
      </c>
      <c r="C3050" s="26" t="str">
        <f>"COLEGIO ST. MICHEL                                                                                  "</f>
        <v xml:space="preserve">COLEGIO ST. MICHEL                                                                                  </v>
      </c>
      <c r="D3050" s="26" t="str">
        <f t="shared" si="523"/>
        <v>MATUTINO</v>
      </c>
      <c r="E3050" s="26" t="str">
        <f>"CARRETERA XOC. SAN PABLO NO. 6396-E                                             "</f>
        <v xml:space="preserve">CARRETERA XOC. SAN PABLO NO. 6396-E                                             </v>
      </c>
      <c r="F3050" s="26" t="str">
        <f>"SANTIAGO TEPALCATLAPAN                                                                                                                      "</f>
        <v xml:space="preserve">SANTIAGO TEPALCATLAPAN                                                                                                                      </v>
      </c>
      <c r="G3050" s="26" t="str">
        <f>"XOCHIMILCO                                                                      "</f>
        <v xml:space="preserve">XOCHIMILCO                                                                      </v>
      </c>
      <c r="H3050" s="26" t="str">
        <f>"533"</f>
        <v>533</v>
      </c>
      <c r="I3050" s="26" t="str">
        <f t="shared" si="516"/>
        <v>00</v>
      </c>
      <c r="J3050" s="26" t="str">
        <f>"45 "</f>
        <v xml:space="preserve">45 </v>
      </c>
      <c r="K3050" s="26" t="str">
        <f>"PR"</f>
        <v>PR</v>
      </c>
      <c r="L3050" s="26" t="str">
        <f>"DGOSE"</f>
        <v>DGOSE</v>
      </c>
      <c r="M3050" s="26" t="str">
        <f t="shared" si="519"/>
        <v>PARTICULAR</v>
      </c>
      <c r="N3050" s="26">
        <v>92</v>
      </c>
      <c r="O3050" s="26">
        <v>41</v>
      </c>
      <c r="P3050" s="26">
        <v>51</v>
      </c>
      <c r="Q3050" s="26">
        <v>6</v>
      </c>
      <c r="R3050" s="26">
        <v>1</v>
      </c>
      <c r="S3050" s="26">
        <v>3</v>
      </c>
      <c r="T3050" s="26">
        <v>7</v>
      </c>
      <c r="U3050" s="26">
        <v>11</v>
      </c>
      <c r="V3050" s="26">
        <v>1</v>
      </c>
      <c r="W3050" s="26"/>
    </row>
    <row r="3051" spans="1:23" x14ac:dyDescent="0.25">
      <c r="A3051" s="26" t="str">
        <f t="shared" si="515"/>
        <v>PRIMARIA</v>
      </c>
      <c r="B3051" s="26" t="str">
        <f>"09PPR1638G"</f>
        <v>09PPR1638G</v>
      </c>
      <c r="C3051" s="26" t="str">
        <f>"CENTRO EDUCATIVO SAREPTA                                                                            "</f>
        <v xml:space="preserve">CENTRO EDUCATIVO SAREPTA                                                                            </v>
      </c>
      <c r="D3051" s="26" t="str">
        <f t="shared" si="523"/>
        <v>MATUTINO</v>
      </c>
      <c r="E3051" s="26" t="str">
        <f>"FLORICULTOR SUR # 61                                                            "</f>
        <v xml:space="preserve">FLORICULTOR SUR # 61                                                            </v>
      </c>
      <c r="F3051" s="26" t="str">
        <f>"SAN LUIS TLAXIALTEMALCO                                                                                                                     "</f>
        <v xml:space="preserve">SAN LUIS TLAXIALTEMALCO                                                                                                                     </v>
      </c>
      <c r="G3051" s="26" t="str">
        <f>"XOCHIMILCO                                                                      "</f>
        <v xml:space="preserve">XOCHIMILCO                                                                      </v>
      </c>
      <c r="H3051" s="26" t="str">
        <f>"543"</f>
        <v>543</v>
      </c>
      <c r="I3051" s="26" t="str">
        <f t="shared" si="516"/>
        <v>00</v>
      </c>
      <c r="J3051" s="26" t="str">
        <f>"45 "</f>
        <v xml:space="preserve">45 </v>
      </c>
      <c r="K3051" s="26" t="str">
        <f>"PR"</f>
        <v>PR</v>
      </c>
      <c r="L3051" s="26" t="str">
        <f>"DGOSE"</f>
        <v>DGOSE</v>
      </c>
      <c r="M3051" s="26" t="str">
        <f t="shared" si="519"/>
        <v>PARTICULAR</v>
      </c>
      <c r="N3051" s="26">
        <v>48</v>
      </c>
      <c r="O3051" s="26">
        <v>21</v>
      </c>
      <c r="P3051" s="26">
        <v>27</v>
      </c>
      <c r="Q3051" s="26">
        <v>6</v>
      </c>
      <c r="R3051" s="26">
        <v>1</v>
      </c>
      <c r="S3051" s="26">
        <v>6</v>
      </c>
      <c r="T3051" s="26">
        <v>1</v>
      </c>
      <c r="U3051" s="26">
        <v>8</v>
      </c>
      <c r="V3051" s="26">
        <v>1</v>
      </c>
      <c r="W3051" s="26"/>
    </row>
    <row r="3052" spans="1:23" x14ac:dyDescent="0.25">
      <c r="A3052" s="26" t="str">
        <f t="shared" si="515"/>
        <v>PRIMARIA</v>
      </c>
      <c r="B3052" s="26" t="str">
        <f>"09PPR1639F"</f>
        <v>09PPR1639F</v>
      </c>
      <c r="C3052" s="26" t="str">
        <f>"COLEGIO NUEVA GENERACION                                                                            "</f>
        <v xml:space="preserve">COLEGIO NUEVA GENERACION                                                                            </v>
      </c>
      <c r="D3052" s="26" t="str">
        <f t="shared" si="523"/>
        <v>MATUTINO</v>
      </c>
      <c r="E3052" s="26" t="str">
        <f>"AV MEXICO NO 232                                                                "</f>
        <v xml:space="preserve">AV MEXICO NO 232                                                                </v>
      </c>
      <c r="F3052" s="26" t="str">
        <f>"CUAJIMALPA                                                                                                                                  "</f>
        <v xml:space="preserve">CUAJIMALPA                                                                                                                                  </v>
      </c>
      <c r="G3052" s="26" t="str">
        <f>"CUAJIMALPA DE MORELOS                                                           "</f>
        <v xml:space="preserve">CUAJIMALPA DE MORELOS                                                           </v>
      </c>
      <c r="H3052" s="26" t="str">
        <f>"305"</f>
        <v>305</v>
      </c>
      <c r="I3052" s="26" t="str">
        <f t="shared" si="516"/>
        <v>00</v>
      </c>
      <c r="J3052" s="26" t="str">
        <f>"43 "</f>
        <v xml:space="preserve">43 </v>
      </c>
      <c r="K3052" s="26" t="str">
        <f>"PR"</f>
        <v>PR</v>
      </c>
      <c r="L3052" s="26" t="str">
        <f>"DGOSE"</f>
        <v>DGOSE</v>
      </c>
      <c r="M3052" s="26" t="str">
        <f t="shared" si="519"/>
        <v>PARTICULAR</v>
      </c>
      <c r="N3052" s="26">
        <v>68</v>
      </c>
      <c r="O3052" s="26">
        <v>43</v>
      </c>
      <c r="P3052" s="26">
        <v>25</v>
      </c>
      <c r="Q3052" s="26">
        <v>6</v>
      </c>
      <c r="R3052" s="26">
        <v>1</v>
      </c>
      <c r="S3052" s="26">
        <v>3</v>
      </c>
      <c r="T3052" s="26">
        <v>3</v>
      </c>
      <c r="U3052" s="26">
        <v>7</v>
      </c>
      <c r="V3052" s="26">
        <v>1</v>
      </c>
      <c r="W3052" s="26"/>
    </row>
    <row r="3053" spans="1:23" x14ac:dyDescent="0.25">
      <c r="A3053" s="26" t="str">
        <f t="shared" si="515"/>
        <v>PRIMARIA</v>
      </c>
      <c r="B3053" s="26" t="str">
        <f>"09PPR1640V"</f>
        <v>09PPR1640V</v>
      </c>
      <c r="C3053" s="26" t="str">
        <f>"CENTRO EDUCATIVO JOHN RUSKIN                                                                        "</f>
        <v xml:space="preserve">CENTRO EDUCATIVO JOHN RUSKIN                                                                        </v>
      </c>
      <c r="D3053" s="26" t="str">
        <f t="shared" si="523"/>
        <v>MATUTINO</v>
      </c>
      <c r="E3053" s="26" t="str">
        <f>"MIGUEL HIDALGO NO. 132                                                          "</f>
        <v xml:space="preserve">MIGUEL HIDALGO NO. 132                                                          </v>
      </c>
      <c r="F3053" s="26" t="str">
        <f>"SANTA CRUZ MEYEHUALCO                                                                                                                       "</f>
        <v xml:space="preserve">SANTA CRUZ MEYEHUALCO                                                                                                                       </v>
      </c>
      <c r="G3053" s="26" t="str">
        <f>"IZTAPALAPA                                                                      "</f>
        <v xml:space="preserve">IZTAPALAPA                                                                      </v>
      </c>
      <c r="H3053" s="26" t="str">
        <f>"000"</f>
        <v>000</v>
      </c>
      <c r="I3053" s="26" t="str">
        <f t="shared" si="516"/>
        <v>00</v>
      </c>
      <c r="J3053" s="26" t="str">
        <f>"63 "</f>
        <v xml:space="preserve">63 </v>
      </c>
      <c r="K3053" s="26" t="str">
        <f>"IZ"</f>
        <v>IZ</v>
      </c>
      <c r="L3053" s="26" t="str">
        <f>"DGSEI"</f>
        <v>DGSEI</v>
      </c>
      <c r="M3053" s="26" t="str">
        <f t="shared" si="519"/>
        <v>PARTICULAR</v>
      </c>
      <c r="N3053" s="26">
        <v>100</v>
      </c>
      <c r="O3053" s="26">
        <v>51</v>
      </c>
      <c r="P3053" s="26">
        <v>49</v>
      </c>
      <c r="Q3053" s="26">
        <v>8</v>
      </c>
      <c r="R3053" s="26">
        <v>1</v>
      </c>
      <c r="S3053" s="26">
        <v>8</v>
      </c>
      <c r="T3053" s="26">
        <v>11</v>
      </c>
      <c r="U3053" s="26">
        <v>20</v>
      </c>
      <c r="V3053" s="26">
        <v>1</v>
      </c>
      <c r="W3053" s="26"/>
    </row>
    <row r="3054" spans="1:23" x14ac:dyDescent="0.25">
      <c r="A3054" s="26" t="str">
        <f t="shared" si="515"/>
        <v>PRIMARIA</v>
      </c>
      <c r="B3054" s="26" t="str">
        <f>"09PPR1641U"</f>
        <v>09PPR1641U</v>
      </c>
      <c r="C3054" s="26" t="str">
        <f>"JEAN PIAGET                                                                                         "</f>
        <v xml:space="preserve">JEAN PIAGET                                                                                         </v>
      </c>
      <c r="D3054" s="26" t="str">
        <f t="shared" si="523"/>
        <v>MATUTINO</v>
      </c>
      <c r="E3054" s="26" t="str">
        <f>"CAMINO ESFUERZO A NO. 176                                                       "</f>
        <v xml:space="preserve">CAMINO ESFUERZO A NO. 176                                                       </v>
      </c>
      <c r="F3054" s="26" t="str">
        <f>"CAMPESTRE ARAGON                                                                                                                            "</f>
        <v xml:space="preserve">CAMPESTRE ARAGON                                                                                                                            </v>
      </c>
      <c r="G3054" s="26" t="str">
        <f>"GUSTAVO A. MADERO                                                               "</f>
        <v xml:space="preserve">GUSTAVO A. MADERO                                                               </v>
      </c>
      <c r="H3054" s="26" t="str">
        <f>"265"</f>
        <v>265</v>
      </c>
      <c r="I3054" s="26" t="str">
        <f t="shared" si="516"/>
        <v>00</v>
      </c>
      <c r="J3054" s="26" t="str">
        <f>"42 "</f>
        <v xml:space="preserve">42 </v>
      </c>
      <c r="K3054" s="26" t="str">
        <f t="shared" ref="K3054:K3067" si="524">"PR"</f>
        <v>PR</v>
      </c>
      <c r="L3054" s="26" t="str">
        <f t="shared" ref="L3054:L3067" si="525">"DGOSE"</f>
        <v>DGOSE</v>
      </c>
      <c r="M3054" s="26" t="str">
        <f t="shared" si="519"/>
        <v>PARTICULAR</v>
      </c>
      <c r="N3054" s="26">
        <v>147</v>
      </c>
      <c r="O3054" s="26">
        <v>79</v>
      </c>
      <c r="P3054" s="26">
        <v>68</v>
      </c>
      <c r="Q3054" s="26">
        <v>6</v>
      </c>
      <c r="R3054" s="26">
        <v>1</v>
      </c>
      <c r="S3054" s="26">
        <v>6</v>
      </c>
      <c r="T3054" s="26">
        <v>4</v>
      </c>
      <c r="U3054" s="26">
        <v>11</v>
      </c>
      <c r="V3054" s="26">
        <v>1</v>
      </c>
      <c r="W3054" s="26"/>
    </row>
    <row r="3055" spans="1:23" x14ac:dyDescent="0.25">
      <c r="A3055" s="26" t="str">
        <f t="shared" si="515"/>
        <v>PRIMARIA</v>
      </c>
      <c r="B3055" s="26" t="str">
        <f>"09PPR1642T"</f>
        <v>09PPR1642T</v>
      </c>
      <c r="C3055" s="26" t="str">
        <f>"SOCIEDAD CULTURAL COLEGIO AMERICANO CAMPUS NORTE                                                    "</f>
        <v xml:space="preserve">SOCIEDAD CULTURAL COLEGIO AMERICANO CAMPUS NORTE                                                    </v>
      </c>
      <c r="D3055" s="26" t="str">
        <f t="shared" si="523"/>
        <v>MATUTINO</v>
      </c>
      <c r="E3055" s="26" t="str">
        <f>"SANTA CATARINA NO 12                                                            "</f>
        <v xml:space="preserve">SANTA CATARINA NO 12                                                            </v>
      </c>
      <c r="F3055" s="26" t="str">
        <f>"SAN ANDRES                                                                                                                                  "</f>
        <v xml:space="preserve">SAN ANDRES                                                                                                                                  </v>
      </c>
      <c r="G3055" s="26" t="str">
        <f>"AZCAPOTZALCO                                                                    "</f>
        <v xml:space="preserve">AZCAPOTZALCO                                                                    </v>
      </c>
      <c r="H3055" s="26" t="str">
        <f>"202"</f>
        <v>202</v>
      </c>
      <c r="I3055" s="26" t="str">
        <f t="shared" si="516"/>
        <v>00</v>
      </c>
      <c r="J3055" s="26" t="str">
        <f>"42 "</f>
        <v xml:space="preserve">42 </v>
      </c>
      <c r="K3055" s="26" t="str">
        <f t="shared" si="524"/>
        <v>PR</v>
      </c>
      <c r="L3055" s="26" t="str">
        <f t="shared" si="525"/>
        <v>DGOSE</v>
      </c>
      <c r="M3055" s="26" t="str">
        <f t="shared" si="519"/>
        <v>PARTICULAR</v>
      </c>
      <c r="N3055" s="26">
        <v>82</v>
      </c>
      <c r="O3055" s="26">
        <v>46</v>
      </c>
      <c r="P3055" s="26">
        <v>36</v>
      </c>
      <c r="Q3055" s="26">
        <v>6</v>
      </c>
      <c r="R3055" s="26">
        <v>1</v>
      </c>
      <c r="S3055" s="26">
        <v>3</v>
      </c>
      <c r="T3055" s="26">
        <v>7</v>
      </c>
      <c r="U3055" s="26">
        <v>11</v>
      </c>
      <c r="V3055" s="26">
        <v>1</v>
      </c>
      <c r="W3055" s="26"/>
    </row>
    <row r="3056" spans="1:23" x14ac:dyDescent="0.25">
      <c r="A3056" s="26" t="str">
        <f t="shared" si="515"/>
        <v>PRIMARIA</v>
      </c>
      <c r="B3056" s="26" t="str">
        <f>"09PPR1643S"</f>
        <v>09PPR1643S</v>
      </c>
      <c r="C3056" s="26" t="str">
        <f>"COLEGIO MADRE TERESA DE CALCUTA                                                                     "</f>
        <v xml:space="preserve">COLEGIO MADRE TERESA DE CALCUTA                                                                     </v>
      </c>
      <c r="D3056" s="26" t="str">
        <f t="shared" si="523"/>
        <v>MATUTINO</v>
      </c>
      <c r="E3056" s="26" t="str">
        <f>"FRANCISCO DEL PASO Y TRONCOSO NO 88                                             "</f>
        <v xml:space="preserve">FRANCISCO DEL PASO Y TRONCOSO NO 88                                             </v>
      </c>
      <c r="F3056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3056" s="26" t="str">
        <f>"VENUSTIANO CARRANZA                                                             "</f>
        <v xml:space="preserve">VENUSTIANO CARRANZA                                                             </v>
      </c>
      <c r="H3056" s="26" t="str">
        <f>"349"</f>
        <v>349</v>
      </c>
      <c r="I3056" s="26" t="str">
        <f t="shared" si="516"/>
        <v>00</v>
      </c>
      <c r="J3056" s="26" t="str">
        <f>"43 "</f>
        <v xml:space="preserve">43 </v>
      </c>
      <c r="K3056" s="26" t="str">
        <f t="shared" si="524"/>
        <v>PR</v>
      </c>
      <c r="L3056" s="26" t="str">
        <f t="shared" si="525"/>
        <v>DGOSE</v>
      </c>
      <c r="M3056" s="26" t="str">
        <f t="shared" si="519"/>
        <v>PARTICULAR</v>
      </c>
      <c r="N3056" s="26">
        <v>40</v>
      </c>
      <c r="O3056" s="26">
        <v>20</v>
      </c>
      <c r="P3056" s="26">
        <v>20</v>
      </c>
      <c r="Q3056" s="26">
        <v>6</v>
      </c>
      <c r="R3056" s="26">
        <v>1</v>
      </c>
      <c r="S3056" s="26">
        <v>6</v>
      </c>
      <c r="T3056" s="26">
        <v>2</v>
      </c>
      <c r="U3056" s="26">
        <v>9</v>
      </c>
      <c r="V3056" s="26">
        <v>1</v>
      </c>
      <c r="W3056" s="26"/>
    </row>
    <row r="3057" spans="1:23" x14ac:dyDescent="0.25">
      <c r="A3057" s="26" t="str">
        <f t="shared" si="515"/>
        <v>PRIMARIA</v>
      </c>
      <c r="B3057" s="26" t="str">
        <f>"09PPR1644R"</f>
        <v>09PPR1644R</v>
      </c>
      <c r="C3057" s="26" t="str">
        <f>"INSTITUTO FRANCISCO POSSENTI                                                                        "</f>
        <v xml:space="preserve">INSTITUTO FRANCISCO POSSENTI                                                                        </v>
      </c>
      <c r="D3057" s="26" t="str">
        <f t="shared" si="523"/>
        <v>MATUTINO</v>
      </c>
      <c r="E3057" s="26" t="str">
        <f>"AVENIDA TOLUCA NO. 621                                                          "</f>
        <v xml:space="preserve">AVENIDA TOLUCA NO. 621                                                          </v>
      </c>
      <c r="F3057" s="26" t="str">
        <f>"OLIVAR DE LOS PADRES                                                                                                                        "</f>
        <v xml:space="preserve">OLIVAR DE LOS PADRES                                                                                                                        </v>
      </c>
      <c r="G3057" s="26" t="str">
        <f>"ALVARO OBREGON                                                                  "</f>
        <v xml:space="preserve">ALVARO OBREGON                                                                  </v>
      </c>
      <c r="H3057" s="26" t="str">
        <f>"328"</f>
        <v>328</v>
      </c>
      <c r="I3057" s="26" t="str">
        <f t="shared" si="516"/>
        <v>00</v>
      </c>
      <c r="J3057" s="26" t="str">
        <f>"43 "</f>
        <v xml:space="preserve">43 </v>
      </c>
      <c r="K3057" s="26" t="str">
        <f t="shared" si="524"/>
        <v>PR</v>
      </c>
      <c r="L3057" s="26" t="str">
        <f t="shared" si="525"/>
        <v>DGOSE</v>
      </c>
      <c r="M3057" s="26" t="str">
        <f t="shared" si="519"/>
        <v>PARTICULAR</v>
      </c>
      <c r="N3057" s="26">
        <v>497</v>
      </c>
      <c r="O3057" s="26">
        <v>259</v>
      </c>
      <c r="P3057" s="26">
        <v>238</v>
      </c>
      <c r="Q3057" s="26">
        <v>18</v>
      </c>
      <c r="R3057" s="26">
        <v>1</v>
      </c>
      <c r="S3057" s="26">
        <v>18</v>
      </c>
      <c r="T3057" s="26">
        <v>9</v>
      </c>
      <c r="U3057" s="26">
        <v>28</v>
      </c>
      <c r="V3057" s="26">
        <v>1</v>
      </c>
      <c r="W3057" s="26"/>
    </row>
    <row r="3058" spans="1:23" x14ac:dyDescent="0.25">
      <c r="A3058" s="26" t="str">
        <f t="shared" si="515"/>
        <v>PRIMARIA</v>
      </c>
      <c r="B3058" s="26" t="str">
        <f>"09PPR1645Q"</f>
        <v>09PPR1645Q</v>
      </c>
      <c r="C3058" s="26" t="str">
        <f>"INSTITUTO ROSNER                                                                                    "</f>
        <v xml:space="preserve">INSTITUTO ROSNER                                                                                    </v>
      </c>
      <c r="D3058" s="26" t="str">
        <f t="shared" si="523"/>
        <v>MATUTINO</v>
      </c>
      <c r="E3058" s="26" t="str">
        <f>"EMILIANO ZAPATA NO. 7                                                           "</f>
        <v xml:space="preserve">EMILIANO ZAPATA NO. 7                                                           </v>
      </c>
      <c r="F3058" s="26" t="str">
        <f>"SAN MATEO TLALTENANGO                                                                                                                       "</f>
        <v xml:space="preserve">SAN MATEO TLALTENANGO                                                                                                                       </v>
      </c>
      <c r="G3058" s="26" t="str">
        <f>"CUAJIMALPA DE MORELOS                                                           "</f>
        <v xml:space="preserve">CUAJIMALPA DE MORELOS                                                           </v>
      </c>
      <c r="H3058" s="26" t="str">
        <f>"303"</f>
        <v>303</v>
      </c>
      <c r="I3058" s="26" t="str">
        <f t="shared" si="516"/>
        <v>00</v>
      </c>
      <c r="J3058" s="26" t="str">
        <f>"43 "</f>
        <v xml:space="preserve">43 </v>
      </c>
      <c r="K3058" s="26" t="str">
        <f t="shared" si="524"/>
        <v>PR</v>
      </c>
      <c r="L3058" s="26" t="str">
        <f t="shared" si="525"/>
        <v>DGOSE</v>
      </c>
      <c r="M3058" s="26" t="str">
        <f t="shared" si="519"/>
        <v>PARTICULAR</v>
      </c>
      <c r="N3058" s="26">
        <v>160</v>
      </c>
      <c r="O3058" s="26">
        <v>79</v>
      </c>
      <c r="P3058" s="26">
        <v>81</v>
      </c>
      <c r="Q3058" s="26">
        <v>6</v>
      </c>
      <c r="R3058" s="26">
        <v>1</v>
      </c>
      <c r="S3058" s="26">
        <v>3</v>
      </c>
      <c r="T3058" s="26">
        <v>8</v>
      </c>
      <c r="U3058" s="26">
        <v>12</v>
      </c>
      <c r="V3058" s="26">
        <v>1</v>
      </c>
      <c r="W3058" s="26"/>
    </row>
    <row r="3059" spans="1:23" x14ac:dyDescent="0.25">
      <c r="A3059" s="26" t="str">
        <f t="shared" si="515"/>
        <v>PRIMARIA</v>
      </c>
      <c r="B3059" s="26" t="str">
        <f>"09PPR1646P"</f>
        <v>09PPR1646P</v>
      </c>
      <c r="C3059" s="26" t="str">
        <f>"KURUWI PRIMARIA                                                                                     "</f>
        <v xml:space="preserve">KURUWI PRIMARIA                                                                                     </v>
      </c>
      <c r="D3059" s="26" t="str">
        <f t="shared" si="523"/>
        <v>MATUTINO</v>
      </c>
      <c r="E3059" s="26" t="str">
        <f>"AGUA # 325                                                                      "</f>
        <v xml:space="preserve">AGUA # 325                                                                      </v>
      </c>
      <c r="F3059" s="26" t="str">
        <f>"JARDINES DEL PEDREGAL                                                                                                                       "</f>
        <v xml:space="preserve">JARDINES DEL PEDREGAL                                                                                                                       </v>
      </c>
      <c r="G3059" s="26" t="str">
        <f>"ALVARO OBREGON                                                                  "</f>
        <v xml:space="preserve">ALVARO OBREGON                                                                  </v>
      </c>
      <c r="H3059" s="26" t="str">
        <f>"326"</f>
        <v>326</v>
      </c>
      <c r="I3059" s="26" t="str">
        <f t="shared" si="516"/>
        <v>00</v>
      </c>
      <c r="J3059" s="26" t="str">
        <f>"43 "</f>
        <v xml:space="preserve">43 </v>
      </c>
      <c r="K3059" s="26" t="str">
        <f t="shared" si="524"/>
        <v>PR</v>
      </c>
      <c r="L3059" s="26" t="str">
        <f t="shared" si="525"/>
        <v>DGOSE</v>
      </c>
      <c r="M3059" s="26" t="str">
        <f t="shared" si="519"/>
        <v>PARTICULAR</v>
      </c>
      <c r="N3059" s="26">
        <v>187</v>
      </c>
      <c r="O3059" s="26">
        <v>95</v>
      </c>
      <c r="P3059" s="26">
        <v>92</v>
      </c>
      <c r="Q3059" s="26">
        <v>10</v>
      </c>
      <c r="R3059" s="26">
        <v>1</v>
      </c>
      <c r="S3059" s="26">
        <v>6</v>
      </c>
      <c r="T3059" s="26">
        <v>14</v>
      </c>
      <c r="U3059" s="26">
        <v>21</v>
      </c>
      <c r="V3059" s="26">
        <v>1</v>
      </c>
      <c r="W3059" s="26"/>
    </row>
    <row r="3060" spans="1:23" x14ac:dyDescent="0.25">
      <c r="A3060" s="26" t="str">
        <f t="shared" si="515"/>
        <v>PRIMARIA</v>
      </c>
      <c r="B3060" s="26" t="str">
        <f>"09PPR1647O"</f>
        <v>09PPR1647O</v>
      </c>
      <c r="C3060" s="26" t="str">
        <f>"COLEGIO CULTURAL MEXICANO                                                                           "</f>
        <v xml:space="preserve">COLEGIO CULTURAL MEXICANO                                                                           </v>
      </c>
      <c r="D3060" s="26" t="str">
        <f t="shared" si="523"/>
        <v>MATUTINO</v>
      </c>
      <c r="E3060" s="26" t="str">
        <f>"AVENIDA VASCO DE QUIROGA NO. 1783                                               "</f>
        <v xml:space="preserve">AVENIDA VASCO DE QUIROGA NO. 1783                                               </v>
      </c>
      <c r="F3060" s="26" t="str">
        <f>"SANTA FE                                                                                                                                    "</f>
        <v xml:space="preserve">SANTA FE                                                                                                                                    </v>
      </c>
      <c r="G3060" s="26" t="str">
        <f>"ALVARO OBREGON                                                                  "</f>
        <v xml:space="preserve">ALVARO OBREGON                                                                  </v>
      </c>
      <c r="H3060" s="26" t="str">
        <f>"312"</f>
        <v>312</v>
      </c>
      <c r="I3060" s="26" t="str">
        <f t="shared" si="516"/>
        <v>00</v>
      </c>
      <c r="J3060" s="26" t="str">
        <f>"43 "</f>
        <v xml:space="preserve">43 </v>
      </c>
      <c r="K3060" s="26" t="str">
        <f t="shared" si="524"/>
        <v>PR</v>
      </c>
      <c r="L3060" s="26" t="str">
        <f t="shared" si="525"/>
        <v>DGOSE</v>
      </c>
      <c r="M3060" s="26" t="str">
        <f t="shared" si="519"/>
        <v>PARTICULAR</v>
      </c>
      <c r="N3060" s="26">
        <v>216</v>
      </c>
      <c r="O3060" s="26">
        <v>115</v>
      </c>
      <c r="P3060" s="26">
        <v>101</v>
      </c>
      <c r="Q3060" s="26">
        <v>10</v>
      </c>
      <c r="R3060" s="26">
        <v>0</v>
      </c>
      <c r="S3060" s="26">
        <v>10</v>
      </c>
      <c r="T3060" s="26">
        <v>7</v>
      </c>
      <c r="U3060" s="26">
        <v>17</v>
      </c>
      <c r="V3060" s="26">
        <v>1</v>
      </c>
      <c r="W3060" s="26"/>
    </row>
    <row r="3061" spans="1:23" x14ac:dyDescent="0.25">
      <c r="A3061" s="26" t="str">
        <f t="shared" si="515"/>
        <v>PRIMARIA</v>
      </c>
      <c r="B3061" s="26" t="str">
        <f>"09PPR1648N"</f>
        <v>09PPR1648N</v>
      </c>
      <c r="C3061" s="26" t="str">
        <f>"COLEGIO EUROPEO DE MEXICO ROBERT SCHUMAN                                                            "</f>
        <v xml:space="preserve">COLEGIO EUROPEO DE MEXICO ROBERT SCHUMAN                                                            </v>
      </c>
      <c r="D3061" s="26" t="str">
        <f t="shared" si="523"/>
        <v>MATUTINO</v>
      </c>
      <c r="E3061" s="26" t="str">
        <f>"CALLE ACCESO A PANTEON MILITAR NO. 15                                           "</f>
        <v xml:space="preserve">CALLE ACCESO A PANTEON MILITAR NO. 15                                           </v>
      </c>
      <c r="F3061" s="26" t="str">
        <f>"NUEVO RENACIMIENTO AXALCO                                                                                                                   "</f>
        <v xml:space="preserve">NUEVO RENACIMIENTO AXALCO                                                                                                                   </v>
      </c>
      <c r="G3061" s="26" t="str">
        <f>"TLALPAN                                                                         "</f>
        <v xml:space="preserve">TLALPAN                                                                         </v>
      </c>
      <c r="H3061" s="26" t="str">
        <f>"527"</f>
        <v>527</v>
      </c>
      <c r="I3061" s="26" t="str">
        <f t="shared" si="516"/>
        <v>00</v>
      </c>
      <c r="J3061" s="26" t="str">
        <f>"45 "</f>
        <v xml:space="preserve">45 </v>
      </c>
      <c r="K3061" s="26" t="str">
        <f t="shared" si="524"/>
        <v>PR</v>
      </c>
      <c r="L3061" s="26" t="str">
        <f t="shared" si="525"/>
        <v>DGOSE</v>
      </c>
      <c r="M3061" s="26" t="str">
        <f t="shared" si="519"/>
        <v>PARTICULAR</v>
      </c>
      <c r="N3061" s="26">
        <v>239</v>
      </c>
      <c r="O3061" s="26">
        <v>118</v>
      </c>
      <c r="P3061" s="26">
        <v>121</v>
      </c>
      <c r="Q3061" s="26">
        <v>12</v>
      </c>
      <c r="R3061" s="26">
        <v>1</v>
      </c>
      <c r="S3061" s="26">
        <v>6</v>
      </c>
      <c r="T3061" s="26">
        <v>21</v>
      </c>
      <c r="U3061" s="26">
        <v>28</v>
      </c>
      <c r="V3061" s="26">
        <v>1</v>
      </c>
      <c r="W3061" s="26"/>
    </row>
    <row r="3062" spans="1:23" x14ac:dyDescent="0.25">
      <c r="A3062" s="26" t="str">
        <f t="shared" si="515"/>
        <v>PRIMARIA</v>
      </c>
      <c r="B3062" s="26" t="str">
        <f>"09PPR1650B"</f>
        <v>09PPR1650B</v>
      </c>
      <c r="C3062" s="26" t="str">
        <f>"COLEGIO DEL VALLE                                                                                   "</f>
        <v xml:space="preserve">COLEGIO DEL VALLE                                                                                   </v>
      </c>
      <c r="D3062" s="26" t="str">
        <f t="shared" si="523"/>
        <v>MATUTINO</v>
      </c>
      <c r="E3062" s="26" t="str">
        <f>"MIER Y PESADO NO. 221                                                           "</f>
        <v xml:space="preserve">MIER Y PESADO NO. 221                                                           </v>
      </c>
      <c r="F3062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3062" s="26" t="str">
        <f>"BENITO JUAREZ                                                                   "</f>
        <v xml:space="preserve">BENITO JUAREZ                                                                   </v>
      </c>
      <c r="H3062" s="26" t="str">
        <f>"338"</f>
        <v>338</v>
      </c>
      <c r="I3062" s="26" t="str">
        <f t="shared" si="516"/>
        <v>00</v>
      </c>
      <c r="J3062" s="26" t="str">
        <f>"43 "</f>
        <v xml:space="preserve">43 </v>
      </c>
      <c r="K3062" s="26" t="str">
        <f t="shared" si="524"/>
        <v>PR</v>
      </c>
      <c r="L3062" s="26" t="str">
        <f t="shared" si="525"/>
        <v>DGOSE</v>
      </c>
      <c r="M3062" s="26" t="str">
        <f t="shared" si="519"/>
        <v>PARTICULAR</v>
      </c>
      <c r="N3062" s="26">
        <v>450</v>
      </c>
      <c r="O3062" s="26">
        <v>217</v>
      </c>
      <c r="P3062" s="26">
        <v>233</v>
      </c>
      <c r="Q3062" s="26">
        <v>25</v>
      </c>
      <c r="R3062" s="26">
        <v>1</v>
      </c>
      <c r="S3062" s="26">
        <v>25</v>
      </c>
      <c r="T3062" s="26">
        <v>22</v>
      </c>
      <c r="U3062" s="26">
        <v>48</v>
      </c>
      <c r="V3062" s="26">
        <v>1</v>
      </c>
      <c r="W3062" s="26"/>
    </row>
    <row r="3063" spans="1:23" x14ac:dyDescent="0.25">
      <c r="A3063" s="26" t="str">
        <f t="shared" si="515"/>
        <v>PRIMARIA</v>
      </c>
      <c r="B3063" s="26" t="str">
        <f>"09PPR1652Z"</f>
        <v>09PPR1652Z</v>
      </c>
      <c r="C3063" s="26" t="str">
        <f>"ISKALTI                                                                                             "</f>
        <v xml:space="preserve">ISKALTI                                                                                             </v>
      </c>
      <c r="D3063" s="26" t="str">
        <f t="shared" si="523"/>
        <v>MATUTINO</v>
      </c>
      <c r="E3063" s="26" t="str">
        <f>"ESTEROS 25                                                                      "</f>
        <v xml:space="preserve">ESTEROS 25                                                                      </v>
      </c>
      <c r="F3063" s="26" t="str">
        <f>"LAS AGUILAS                                                                                                                                 "</f>
        <v xml:space="preserve">LAS AGUILAS                                                                                                                                 </v>
      </c>
      <c r="G3063" s="26" t="str">
        <f>"ALVARO OBREGON                                                                  "</f>
        <v xml:space="preserve">ALVARO OBREGON                                                                  </v>
      </c>
      <c r="H3063" s="26" t="str">
        <f>"321"</f>
        <v>321</v>
      </c>
      <c r="I3063" s="26" t="str">
        <f t="shared" si="516"/>
        <v>00</v>
      </c>
      <c r="J3063" s="26" t="str">
        <f>"43 "</f>
        <v xml:space="preserve">43 </v>
      </c>
      <c r="K3063" s="26" t="str">
        <f t="shared" si="524"/>
        <v>PR</v>
      </c>
      <c r="L3063" s="26" t="str">
        <f t="shared" si="525"/>
        <v>DGOSE</v>
      </c>
      <c r="M3063" s="26" t="str">
        <f t="shared" si="519"/>
        <v>PARTICULAR</v>
      </c>
      <c r="N3063" s="26">
        <v>31</v>
      </c>
      <c r="O3063" s="26">
        <v>26</v>
      </c>
      <c r="P3063" s="26">
        <v>5</v>
      </c>
      <c r="Q3063" s="26">
        <v>6</v>
      </c>
      <c r="R3063" s="26">
        <v>1</v>
      </c>
      <c r="S3063" s="26">
        <v>6</v>
      </c>
      <c r="T3063" s="26">
        <v>8</v>
      </c>
      <c r="U3063" s="26">
        <v>15</v>
      </c>
      <c r="V3063" s="26">
        <v>1</v>
      </c>
      <c r="W3063" s="26"/>
    </row>
    <row r="3064" spans="1:23" x14ac:dyDescent="0.25">
      <c r="A3064" s="26" t="str">
        <f t="shared" si="515"/>
        <v>PRIMARIA</v>
      </c>
      <c r="B3064" s="26" t="str">
        <f>"09PPR1654Y"</f>
        <v>09PPR1654Y</v>
      </c>
      <c r="C3064" s="26" t="str">
        <f>"COLEGIO PEDAGOGICO DEL SUR                                                                          "</f>
        <v xml:space="preserve">COLEGIO PEDAGOGICO DEL SUR                                                                          </v>
      </c>
      <c r="D3064" s="26" t="str">
        <f t="shared" si="523"/>
        <v>MATUTINO</v>
      </c>
      <c r="E3064" s="26" t="str">
        <f>"AVENIDA HIDALGO N 14                                                            "</f>
        <v xml:space="preserve">AVENIDA HIDALGO N 14                                                            </v>
      </c>
      <c r="F3064" s="26" t="str">
        <f>"SAN MATEO XALPA                                                                                                                             "</f>
        <v xml:space="preserve">SAN MATEO XALPA                                                                                                                             </v>
      </c>
      <c r="G3064" s="26" t="str">
        <f>"XOCHIMILCO                                                                      "</f>
        <v xml:space="preserve">XOCHIMILCO                                                                      </v>
      </c>
      <c r="H3064" s="26" t="str">
        <f>"539"</f>
        <v>539</v>
      </c>
      <c r="I3064" s="26" t="str">
        <f t="shared" si="516"/>
        <v>00</v>
      </c>
      <c r="J3064" s="26" t="str">
        <f>"45 "</f>
        <v xml:space="preserve">45 </v>
      </c>
      <c r="K3064" s="26" t="str">
        <f t="shared" si="524"/>
        <v>PR</v>
      </c>
      <c r="L3064" s="26" t="str">
        <f t="shared" si="525"/>
        <v>DGOSE</v>
      </c>
      <c r="M3064" s="26" t="str">
        <f t="shared" si="519"/>
        <v>PARTICULAR</v>
      </c>
      <c r="N3064" s="26">
        <v>53</v>
      </c>
      <c r="O3064" s="26">
        <v>26</v>
      </c>
      <c r="P3064" s="26">
        <v>27</v>
      </c>
      <c r="Q3064" s="26">
        <v>6</v>
      </c>
      <c r="R3064" s="26">
        <v>1</v>
      </c>
      <c r="S3064" s="26">
        <v>6</v>
      </c>
      <c r="T3064" s="26">
        <v>8</v>
      </c>
      <c r="U3064" s="26">
        <v>15</v>
      </c>
      <c r="V3064" s="26">
        <v>1</v>
      </c>
      <c r="W3064" s="26"/>
    </row>
    <row r="3065" spans="1:23" x14ac:dyDescent="0.25">
      <c r="A3065" s="26" t="str">
        <f t="shared" si="515"/>
        <v>PRIMARIA</v>
      </c>
      <c r="B3065" s="26" t="str">
        <f>"09PPR1655X"</f>
        <v>09PPR1655X</v>
      </c>
      <c r="C3065" s="26" t="str">
        <f>"SELMA LAGERLOF                                                                                      "</f>
        <v xml:space="preserve">SELMA LAGERLOF                                                                                      </v>
      </c>
      <c r="D3065" s="26" t="str">
        <f t="shared" si="523"/>
        <v>MATUTINO</v>
      </c>
      <c r="E3065" s="26" t="str">
        <f>"MARMOLERIA No 31 Y 33                                                           "</f>
        <v xml:space="preserve">MARMOLERIA No 31 Y 33                                                           </v>
      </c>
      <c r="F3065" s="26" t="str">
        <f>"20 DE NOVIEMBRE                                                                                                                             "</f>
        <v xml:space="preserve">20 DE NOVIEMBRE                                                                                                                             </v>
      </c>
      <c r="G3065" s="26" t="str">
        <f>"VENUSTIANO CARRANZA                                                             "</f>
        <v xml:space="preserve">VENUSTIANO CARRANZA                                                             </v>
      </c>
      <c r="H3065" s="26" t="str">
        <f>"342"</f>
        <v>342</v>
      </c>
      <c r="I3065" s="26" t="str">
        <f t="shared" si="516"/>
        <v>00</v>
      </c>
      <c r="J3065" s="26" t="str">
        <f>"43 "</f>
        <v xml:space="preserve">43 </v>
      </c>
      <c r="K3065" s="26" t="str">
        <f t="shared" si="524"/>
        <v>PR</v>
      </c>
      <c r="L3065" s="26" t="str">
        <f t="shared" si="525"/>
        <v>DGOSE</v>
      </c>
      <c r="M3065" s="26" t="str">
        <f t="shared" si="519"/>
        <v>PARTICULAR</v>
      </c>
      <c r="N3065" s="26">
        <v>138</v>
      </c>
      <c r="O3065" s="26">
        <v>74</v>
      </c>
      <c r="P3065" s="26">
        <v>64</v>
      </c>
      <c r="Q3065" s="26">
        <v>6</v>
      </c>
      <c r="R3065" s="26">
        <v>1</v>
      </c>
      <c r="S3065" s="26">
        <v>6</v>
      </c>
      <c r="T3065" s="26">
        <v>7</v>
      </c>
      <c r="U3065" s="26">
        <v>14</v>
      </c>
      <c r="V3065" s="26">
        <v>1</v>
      </c>
      <c r="W3065" s="26"/>
    </row>
    <row r="3066" spans="1:23" x14ac:dyDescent="0.25">
      <c r="A3066" s="26" t="str">
        <f t="shared" si="515"/>
        <v>PRIMARIA</v>
      </c>
      <c r="B3066" s="26" t="str">
        <f>"09PPR1657V"</f>
        <v>09PPR1657V</v>
      </c>
      <c r="C3066" s="26" t="str">
        <f>"INSTITUTO PAIDOS INTERACTIVO                                                                        "</f>
        <v xml:space="preserve">INSTITUTO PAIDOS INTERACTIVO                                                                        </v>
      </c>
      <c r="D3066" s="26" t="str">
        <f t="shared" si="523"/>
        <v>MATUTINO</v>
      </c>
      <c r="E3066" s="26" t="str">
        <f>"AV. CONGRESO DE LA UNION 3513                                                   "</f>
        <v xml:space="preserve">AV. CONGRESO DE LA UNION 3513                                                   </v>
      </c>
      <c r="F3066" s="26" t="str">
        <f>"MARTIRES DE RIO BLANCO                                                                                                                      "</f>
        <v xml:space="preserve">MARTIRES DE RIO BLANCO                                                                                                                      </v>
      </c>
      <c r="G3066" s="26" t="str">
        <f>"GUSTAVO A. MADERO                                                               "</f>
        <v xml:space="preserve">GUSTAVO A. MADERO                                                               </v>
      </c>
      <c r="H3066" s="26" t="str">
        <f>"247"</f>
        <v>247</v>
      </c>
      <c r="I3066" s="26" t="str">
        <f t="shared" si="516"/>
        <v>00</v>
      </c>
      <c r="J3066" s="26" t="str">
        <f>"42 "</f>
        <v xml:space="preserve">42 </v>
      </c>
      <c r="K3066" s="26" t="str">
        <f t="shared" si="524"/>
        <v>PR</v>
      </c>
      <c r="L3066" s="26" t="str">
        <f t="shared" si="525"/>
        <v>DGOSE</v>
      </c>
      <c r="M3066" s="26" t="str">
        <f t="shared" si="519"/>
        <v>PARTICULAR</v>
      </c>
      <c r="N3066" s="26">
        <v>20</v>
      </c>
      <c r="O3066" s="26">
        <v>11</v>
      </c>
      <c r="P3066" s="26">
        <v>9</v>
      </c>
      <c r="Q3066" s="26">
        <v>5</v>
      </c>
      <c r="R3066" s="26">
        <v>1</v>
      </c>
      <c r="S3066" s="26">
        <v>5</v>
      </c>
      <c r="T3066" s="26">
        <v>1</v>
      </c>
      <c r="U3066" s="26">
        <v>7</v>
      </c>
      <c r="V3066" s="26">
        <v>1</v>
      </c>
      <c r="W3066" s="26"/>
    </row>
    <row r="3067" spans="1:23" x14ac:dyDescent="0.25">
      <c r="A3067" s="26" t="str">
        <f t="shared" si="515"/>
        <v>PRIMARIA</v>
      </c>
      <c r="B3067" s="26" t="str">
        <f>"09PPR1658U"</f>
        <v>09PPR1658U</v>
      </c>
      <c r="C3067" s="26" t="str">
        <f>"COLEGIO ESENI DE MEXICO                                                                             "</f>
        <v xml:space="preserve">COLEGIO ESENI DE MEXICO                                                                             </v>
      </c>
      <c r="D3067" s="26" t="str">
        <f t="shared" si="523"/>
        <v>MATUTINO</v>
      </c>
      <c r="E3067" s="26" t="str">
        <f>"CALZADA DE TLALPAN # 817                                                        "</f>
        <v xml:space="preserve">CALZADA DE TLALPAN # 817                                                        </v>
      </c>
      <c r="F3067" s="26" t="str">
        <f>"POSTAL                                                                                                                                      "</f>
        <v xml:space="preserve">POSTAL                                                                                                                                      </v>
      </c>
      <c r="G3067" s="26" t="str">
        <f>"BENITO JUAREZ                                                                   "</f>
        <v xml:space="preserve">BENITO JUAREZ                                                                   </v>
      </c>
      <c r="H3067" s="26" t="str">
        <f>"000"</f>
        <v>000</v>
      </c>
      <c r="I3067" s="26" t="str">
        <f t="shared" si="516"/>
        <v>00</v>
      </c>
      <c r="J3067" s="26" t="str">
        <f>"43 "</f>
        <v xml:space="preserve">43 </v>
      </c>
      <c r="K3067" s="26" t="str">
        <f t="shared" si="524"/>
        <v>PR</v>
      </c>
      <c r="L3067" s="26" t="str">
        <f t="shared" si="525"/>
        <v>DGOSE</v>
      </c>
      <c r="M3067" s="26" t="str">
        <f t="shared" si="519"/>
        <v>PARTICULAR</v>
      </c>
      <c r="N3067" s="26">
        <v>95</v>
      </c>
      <c r="O3067" s="26">
        <v>46</v>
      </c>
      <c r="P3067" s="26">
        <v>49</v>
      </c>
      <c r="Q3067" s="26">
        <v>6</v>
      </c>
      <c r="R3067" s="26">
        <v>1</v>
      </c>
      <c r="S3067" s="26">
        <v>6</v>
      </c>
      <c r="T3067" s="26">
        <v>7</v>
      </c>
      <c r="U3067" s="26">
        <v>14</v>
      </c>
      <c r="V3067" s="26">
        <v>1</v>
      </c>
      <c r="W3067" s="26"/>
    </row>
    <row r="3068" spans="1:23" x14ac:dyDescent="0.25">
      <c r="A3068" s="26" t="str">
        <f t="shared" si="515"/>
        <v>PRIMARIA</v>
      </c>
      <c r="B3068" s="26" t="str">
        <f>"09PPR1659T"</f>
        <v>09PPR1659T</v>
      </c>
      <c r="C3068" s="26" t="str">
        <f>"COLEGIO EDWARD LEE THORNDIKE                                                                        "</f>
        <v xml:space="preserve">COLEGIO EDWARD LEE THORNDIKE                                                                        </v>
      </c>
      <c r="D3068" s="26" t="str">
        <f t="shared" si="523"/>
        <v>MATUTINO</v>
      </c>
      <c r="E3068" s="26" t="str">
        <f>"LUCIO BLANCO NO. 19                                                             "</f>
        <v xml:space="preserve">LUCIO BLANCO NO. 19                                                             </v>
      </c>
      <c r="F3068" s="26" t="str">
        <f>"SANTA CRUZ MEYEHUALCO                                                                                                                       "</f>
        <v xml:space="preserve">SANTA CRUZ MEYEHUALCO                                                                                                                       </v>
      </c>
      <c r="G3068" s="26" t="str">
        <f>"IZTAPALAPA                                                                      "</f>
        <v xml:space="preserve">IZTAPALAPA                                                                      </v>
      </c>
      <c r="H3068" s="26" t="str">
        <f>"000"</f>
        <v>000</v>
      </c>
      <c r="I3068" s="26" t="str">
        <f t="shared" si="516"/>
        <v>00</v>
      </c>
      <c r="J3068" s="26" t="str">
        <f>"64 "</f>
        <v xml:space="preserve">64 </v>
      </c>
      <c r="K3068" s="26" t="str">
        <f>"IZ"</f>
        <v>IZ</v>
      </c>
      <c r="L3068" s="26" t="str">
        <f>"DGSEI"</f>
        <v>DGSEI</v>
      </c>
      <c r="M3068" s="26" t="str">
        <f t="shared" si="519"/>
        <v>PARTICULAR</v>
      </c>
      <c r="N3068" s="26">
        <v>139</v>
      </c>
      <c r="O3068" s="26">
        <v>74</v>
      </c>
      <c r="P3068" s="26">
        <v>65</v>
      </c>
      <c r="Q3068" s="26">
        <v>7</v>
      </c>
      <c r="R3068" s="26">
        <v>1</v>
      </c>
      <c r="S3068" s="26">
        <v>7</v>
      </c>
      <c r="T3068" s="26">
        <v>3</v>
      </c>
      <c r="U3068" s="26">
        <v>11</v>
      </c>
      <c r="V3068" s="26">
        <v>1</v>
      </c>
      <c r="W3068" s="26"/>
    </row>
    <row r="3069" spans="1:23" x14ac:dyDescent="0.25">
      <c r="A3069" s="26" t="str">
        <f t="shared" si="515"/>
        <v>PRIMARIA</v>
      </c>
      <c r="B3069" s="26" t="str">
        <f>"09PPR1661H"</f>
        <v>09PPR1661H</v>
      </c>
      <c r="C3069" s="26" t="str">
        <f>"INSTITUTO EDUCATIVO DEREJ EMES                                                                      "</f>
        <v xml:space="preserve">INSTITUTO EDUCATIVO DEREJ EMES                                                                      </v>
      </c>
      <c r="D3069" s="26" t="str">
        <f t="shared" si="523"/>
        <v>MATUTINO</v>
      </c>
      <c r="E3069" s="26" t="str">
        <f>"FERNANDEZ DE LIZARDI 16                                                         "</f>
        <v xml:space="preserve">FERNANDEZ DE LIZARDI 16                                                         </v>
      </c>
      <c r="F3069" s="26" t="str">
        <f>"PERIODISTA                                                                                                                                  "</f>
        <v xml:space="preserve">PERIODISTA                                                                                                                                  </v>
      </c>
      <c r="G3069" s="26" t="str">
        <f>"MIGUEL HIDALGO                                                                  "</f>
        <v xml:space="preserve">MIGUEL HIDALGO                                                                  </v>
      </c>
      <c r="H3069" s="26" t="str">
        <f>"208"</f>
        <v>208</v>
      </c>
      <c r="I3069" s="26" t="str">
        <f t="shared" si="516"/>
        <v>00</v>
      </c>
      <c r="J3069" s="26" t="str">
        <f>"42 "</f>
        <v xml:space="preserve">42 </v>
      </c>
      <c r="K3069" s="26" t="str">
        <f>"PR"</f>
        <v>PR</v>
      </c>
      <c r="L3069" s="26" t="str">
        <f>"DGOSE"</f>
        <v>DGOSE</v>
      </c>
      <c r="M3069" s="26" t="str">
        <f t="shared" si="519"/>
        <v>PARTICULAR</v>
      </c>
      <c r="N3069" s="26">
        <v>58</v>
      </c>
      <c r="O3069" s="26">
        <v>32</v>
      </c>
      <c r="P3069" s="26">
        <v>26</v>
      </c>
      <c r="Q3069" s="26">
        <v>5</v>
      </c>
      <c r="R3069" s="26">
        <v>1</v>
      </c>
      <c r="S3069" s="26">
        <v>5</v>
      </c>
      <c r="T3069" s="26">
        <v>1</v>
      </c>
      <c r="U3069" s="26">
        <v>7</v>
      </c>
      <c r="V3069" s="26">
        <v>1</v>
      </c>
      <c r="W3069" s="26"/>
    </row>
    <row r="3070" spans="1:23" x14ac:dyDescent="0.25">
      <c r="A3070" s="26" t="str">
        <f t="shared" si="515"/>
        <v>PRIMARIA</v>
      </c>
      <c r="B3070" s="26" t="str">
        <f>"09PPR1662G"</f>
        <v>09PPR1662G</v>
      </c>
      <c r="C3070" s="26" t="str">
        <f>"COLEGIO JOHN KNOX                                                                                   "</f>
        <v xml:space="preserve">COLEGIO JOHN KNOX                                                                                   </v>
      </c>
      <c r="D3070" s="26" t="str">
        <f t="shared" si="523"/>
        <v>MATUTINO</v>
      </c>
      <c r="E3070" s="26" t="str">
        <f>"PROLONGACION TLAHUICAS No 39                                                    "</f>
        <v xml:space="preserve">PROLONGACION TLAHUICAS No 39                                                    </v>
      </c>
      <c r="F3070" s="26" t="str">
        <f>"SAN FRANCISCO CULHUACAN                                                                                                                     "</f>
        <v xml:space="preserve">SAN FRANCISCO CULHUACAN                                                                                                                     </v>
      </c>
      <c r="G3070" s="26" t="str">
        <f>"COYOACAN                                                                        "</f>
        <v xml:space="preserve">COYOACAN                                                                        </v>
      </c>
      <c r="H3070" s="26" t="str">
        <f>"566"</f>
        <v>566</v>
      </c>
      <c r="I3070" s="26" t="str">
        <f t="shared" si="516"/>
        <v>00</v>
      </c>
      <c r="J3070" s="26" t="str">
        <f>"45 "</f>
        <v xml:space="preserve">45 </v>
      </c>
      <c r="K3070" s="26" t="str">
        <f>"PR"</f>
        <v>PR</v>
      </c>
      <c r="L3070" s="26" t="str">
        <f>"DGOSE"</f>
        <v>DGOSE</v>
      </c>
      <c r="M3070" s="26" t="str">
        <f t="shared" si="519"/>
        <v>PARTICULAR</v>
      </c>
      <c r="N3070" s="26">
        <v>39</v>
      </c>
      <c r="O3070" s="26">
        <v>24</v>
      </c>
      <c r="P3070" s="26">
        <v>15</v>
      </c>
      <c r="Q3070" s="26">
        <v>6</v>
      </c>
      <c r="R3070" s="26">
        <v>1</v>
      </c>
      <c r="S3070" s="26">
        <v>5</v>
      </c>
      <c r="T3070" s="26">
        <v>5</v>
      </c>
      <c r="U3070" s="26">
        <v>11</v>
      </c>
      <c r="V3070" s="26">
        <v>1</v>
      </c>
      <c r="W3070" s="26"/>
    </row>
    <row r="3071" spans="1:23" x14ac:dyDescent="0.25">
      <c r="A3071" s="26" t="str">
        <f t="shared" si="515"/>
        <v>PRIMARIA</v>
      </c>
      <c r="B3071" s="26" t="str">
        <f>"09PPR1663F"</f>
        <v>09PPR1663F</v>
      </c>
      <c r="C3071" s="26" t="str">
        <f>"CENTRO EDUCATIVO MARCELINO CHAMPAGNAT                                                               "</f>
        <v xml:space="preserve">CENTRO EDUCATIVO MARCELINO CHAMPAGNAT                                                               </v>
      </c>
      <c r="D3071" s="26" t="str">
        <f t="shared" si="523"/>
        <v>MATUTINO</v>
      </c>
      <c r="E3071" s="26" t="str">
        <f>"PASCUAL OROZCO NO 17                                                            "</f>
        <v xml:space="preserve">PASCUAL OROZCO NO 17                                                            </v>
      </c>
      <c r="F3071" s="26" t="str">
        <f>"SAN LORENZO LA CEBADA                                                                                                                       "</f>
        <v xml:space="preserve">SAN LORENZO LA CEBADA                                                                                                                       </v>
      </c>
      <c r="G3071" s="26" t="str">
        <f>"XOCHIMILCO                                                                      "</f>
        <v xml:space="preserve">XOCHIMILCO                                                                      </v>
      </c>
      <c r="H3071" s="26" t="str">
        <f>"535"</f>
        <v>535</v>
      </c>
      <c r="I3071" s="26" t="str">
        <f t="shared" si="516"/>
        <v>00</v>
      </c>
      <c r="J3071" s="26" t="str">
        <f>"45 "</f>
        <v xml:space="preserve">45 </v>
      </c>
      <c r="K3071" s="26" t="str">
        <f>"PR"</f>
        <v>PR</v>
      </c>
      <c r="L3071" s="26" t="str">
        <f>"DGOSE"</f>
        <v>DGOSE</v>
      </c>
      <c r="M3071" s="26" t="str">
        <f t="shared" si="519"/>
        <v>PARTICULAR</v>
      </c>
      <c r="N3071" s="26">
        <v>19</v>
      </c>
      <c r="O3071" s="26">
        <v>9</v>
      </c>
      <c r="P3071" s="26">
        <v>10</v>
      </c>
      <c r="Q3071" s="26">
        <v>5</v>
      </c>
      <c r="R3071" s="26">
        <v>1</v>
      </c>
      <c r="S3071" s="26">
        <v>3</v>
      </c>
      <c r="T3071" s="26">
        <v>7</v>
      </c>
      <c r="U3071" s="26">
        <v>11</v>
      </c>
      <c r="V3071" s="26">
        <v>1</v>
      </c>
      <c r="W3071" s="26"/>
    </row>
    <row r="3072" spans="1:23" x14ac:dyDescent="0.25">
      <c r="A3072" s="26" t="str">
        <f t="shared" si="515"/>
        <v>PRIMARIA</v>
      </c>
      <c r="B3072" s="26" t="str">
        <f>"09PPR1664E"</f>
        <v>09PPR1664E</v>
      </c>
      <c r="C3072" s="26" t="str">
        <f>"CHARLES BELL                                                                                        "</f>
        <v xml:space="preserve">CHARLES BELL                                                                                        </v>
      </c>
      <c r="D3072" s="26" t="str">
        <f t="shared" si="523"/>
        <v>MATUTINO</v>
      </c>
      <c r="E3072" s="26" t="str">
        <f>"RETORNO TULYEHUALCO NO 5                                                        "</f>
        <v xml:space="preserve">RETORNO TULYEHUALCO NO 5                                                        </v>
      </c>
      <c r="F3072" s="26" t="str">
        <f>"LOMAS ESTRELLA                                                                                                                              "</f>
        <v xml:space="preserve">LOMAS ESTRELLA                                                                                                                              </v>
      </c>
      <c r="G3072" s="26" t="str">
        <f>"IZTAPALAPA                                                                      "</f>
        <v xml:space="preserve">IZTAPALAPA                                                                      </v>
      </c>
      <c r="H3072" s="26" t="str">
        <f>"000"</f>
        <v>000</v>
      </c>
      <c r="I3072" s="26" t="str">
        <f t="shared" si="516"/>
        <v>00</v>
      </c>
      <c r="J3072" s="26" t="str">
        <f>"63 "</f>
        <v xml:space="preserve">63 </v>
      </c>
      <c r="K3072" s="26" t="str">
        <f>"IZ"</f>
        <v>IZ</v>
      </c>
      <c r="L3072" s="26" t="str">
        <f>"DGSEI"</f>
        <v>DGSEI</v>
      </c>
      <c r="M3072" s="26" t="str">
        <f t="shared" si="519"/>
        <v>PARTICULAR</v>
      </c>
      <c r="N3072" s="26">
        <v>51</v>
      </c>
      <c r="O3072" s="26">
        <v>26</v>
      </c>
      <c r="P3072" s="26">
        <v>25</v>
      </c>
      <c r="Q3072" s="26">
        <v>6</v>
      </c>
      <c r="R3072" s="26">
        <v>1</v>
      </c>
      <c r="S3072" s="26">
        <v>3</v>
      </c>
      <c r="T3072" s="26">
        <v>1</v>
      </c>
      <c r="U3072" s="26">
        <v>5</v>
      </c>
      <c r="V3072" s="26">
        <v>1</v>
      </c>
      <c r="W3072" s="26"/>
    </row>
    <row r="3073" spans="1:23" x14ac:dyDescent="0.25">
      <c r="A3073" s="26" t="str">
        <f t="shared" si="515"/>
        <v>PRIMARIA</v>
      </c>
      <c r="B3073" s="26" t="str">
        <f>"09PPR1665D"</f>
        <v>09PPR1665D</v>
      </c>
      <c r="C3073" s="26" t="str">
        <f>"COLEGIO CARLO TANCREDI                                                                              "</f>
        <v xml:space="preserve">COLEGIO CARLO TANCREDI                                                                              </v>
      </c>
      <c r="D3073" s="26" t="str">
        <f t="shared" si="523"/>
        <v>MATUTINO</v>
      </c>
      <c r="E3073" s="26" t="str">
        <f>"ORQUIDEA # 4                                                                    "</f>
        <v xml:space="preserve">ORQUIDEA # 4                                                                    </v>
      </c>
      <c r="F3073" s="26" t="str">
        <f>"SAN PEDRO MARTIR                                                                                                                            "</f>
        <v xml:space="preserve">SAN PEDRO MARTIR                                                                                                                            </v>
      </c>
      <c r="G3073" s="26" t="str">
        <f>"TLALPAN                                                                         "</f>
        <v xml:space="preserve">TLALPAN                                                                         </v>
      </c>
      <c r="H3073" s="26" t="str">
        <f>"528"</f>
        <v>528</v>
      </c>
      <c r="I3073" s="26" t="str">
        <f t="shared" si="516"/>
        <v>00</v>
      </c>
      <c r="J3073" s="26" t="str">
        <f>"45 "</f>
        <v xml:space="preserve">45 </v>
      </c>
      <c r="K3073" s="26" t="str">
        <f>"PR"</f>
        <v>PR</v>
      </c>
      <c r="L3073" s="26" t="str">
        <f>"DGOSE"</f>
        <v>DGOSE</v>
      </c>
      <c r="M3073" s="26" t="str">
        <f t="shared" si="519"/>
        <v>PARTICULAR</v>
      </c>
      <c r="N3073" s="26">
        <v>94</v>
      </c>
      <c r="O3073" s="26">
        <v>57</v>
      </c>
      <c r="P3073" s="26">
        <v>37</v>
      </c>
      <c r="Q3073" s="26">
        <v>7</v>
      </c>
      <c r="R3073" s="26">
        <v>1</v>
      </c>
      <c r="S3073" s="26">
        <v>6</v>
      </c>
      <c r="T3073" s="26">
        <v>5</v>
      </c>
      <c r="U3073" s="26">
        <v>12</v>
      </c>
      <c r="V3073" s="26">
        <v>1</v>
      </c>
      <c r="W3073" s="26"/>
    </row>
    <row r="3074" spans="1:23" x14ac:dyDescent="0.25">
      <c r="A3074" s="26" t="str">
        <f t="shared" ref="A3074:A3137" si="526">"PRIMARIA"</f>
        <v>PRIMARIA</v>
      </c>
      <c r="B3074" s="26" t="str">
        <f>"09PPR1667B"</f>
        <v>09PPR1667B</v>
      </c>
      <c r="C3074" s="26" t="str">
        <f>"COLEGIO REY MECONETZIN                                                                              "</f>
        <v xml:space="preserve">COLEGIO REY MECONETZIN                                                                              </v>
      </c>
      <c r="D3074" s="26" t="str">
        <f t="shared" si="523"/>
        <v>MATUTINO</v>
      </c>
      <c r="E3074" s="26" t="str">
        <f>"ANDADOR KRIPTON NO 3                                                            "</f>
        <v xml:space="preserve">ANDADOR KRIPTON NO 3                                                            </v>
      </c>
      <c r="F3074" s="26" t="str">
        <f>"PARAJE SAN JUAN                                                                                                                             "</f>
        <v xml:space="preserve">PARAJE SAN JUAN                                                                                                                             </v>
      </c>
      <c r="G3074" s="26" t="str">
        <f>"IZTAPALAPA                                                                      "</f>
        <v xml:space="preserve">IZTAPALAPA                                                                      </v>
      </c>
      <c r="H3074" s="26" t="str">
        <f>"000"</f>
        <v>000</v>
      </c>
      <c r="I3074" s="26" t="str">
        <f t="shared" ref="I3074:I3137" si="527">"00"</f>
        <v>00</v>
      </c>
      <c r="J3074" s="26" t="str">
        <f>"61 "</f>
        <v xml:space="preserve">61 </v>
      </c>
      <c r="K3074" s="26" t="str">
        <f>"IZ"</f>
        <v>IZ</v>
      </c>
      <c r="L3074" s="26" t="str">
        <f>"DGSEI"</f>
        <v>DGSEI</v>
      </c>
      <c r="M3074" s="26" t="str">
        <f t="shared" si="519"/>
        <v>PARTICULAR</v>
      </c>
      <c r="N3074" s="26">
        <v>43</v>
      </c>
      <c r="O3074" s="26">
        <v>24</v>
      </c>
      <c r="P3074" s="26">
        <v>19</v>
      </c>
      <c r="Q3074" s="26">
        <v>6</v>
      </c>
      <c r="R3074" s="26">
        <v>2</v>
      </c>
      <c r="S3074" s="26">
        <v>4</v>
      </c>
      <c r="T3074" s="26">
        <v>12</v>
      </c>
      <c r="U3074" s="26">
        <v>18</v>
      </c>
      <c r="V3074" s="26">
        <v>1</v>
      </c>
      <c r="W3074" s="26"/>
    </row>
    <row r="3075" spans="1:23" x14ac:dyDescent="0.25">
      <c r="A3075" s="26" t="str">
        <f t="shared" si="526"/>
        <v>PRIMARIA</v>
      </c>
      <c r="B3075" s="26" t="str">
        <f>"09PPR1668A"</f>
        <v>09PPR1668A</v>
      </c>
      <c r="C3075" s="26" t="str">
        <f>"COLEGIO ALFA DE MEXICO                                                                              "</f>
        <v xml:space="preserve">COLEGIO ALFA DE MEXICO                                                                              </v>
      </c>
      <c r="D3075" s="26" t="str">
        <f t="shared" si="523"/>
        <v>MATUTINO</v>
      </c>
      <c r="E3075" s="26" t="str">
        <f>"GENERAL SOSTENES ROCHA N 4                                                      "</f>
        <v xml:space="preserve">GENERAL SOSTENES ROCHA N 4                                                      </v>
      </c>
      <c r="F3075" s="26" t="str">
        <f>"DANIEL GARZA                                                                                                                                "</f>
        <v xml:space="preserve">DANIEL GARZA                                                                                                                                </v>
      </c>
      <c r="G3075" s="26" t="str">
        <f>"MIGUEL HIDALGO                                                                  "</f>
        <v xml:space="preserve">MIGUEL HIDALGO                                                                  </v>
      </c>
      <c r="H3075" s="26" t="str">
        <f>"210"</f>
        <v>210</v>
      </c>
      <c r="I3075" s="26" t="str">
        <f t="shared" si="527"/>
        <v>00</v>
      </c>
      <c r="J3075" s="26" t="str">
        <f>"42 "</f>
        <v xml:space="preserve">42 </v>
      </c>
      <c r="K3075" s="26" t="str">
        <f>"PR"</f>
        <v>PR</v>
      </c>
      <c r="L3075" s="26" t="str">
        <f>"DGOSE"</f>
        <v>DGOSE</v>
      </c>
      <c r="M3075" s="26" t="str">
        <f t="shared" si="519"/>
        <v>PARTICULAR</v>
      </c>
      <c r="N3075" s="26">
        <v>103</v>
      </c>
      <c r="O3075" s="26">
        <v>57</v>
      </c>
      <c r="P3075" s="26">
        <v>46</v>
      </c>
      <c r="Q3075" s="26">
        <v>6</v>
      </c>
      <c r="R3075" s="26">
        <v>1</v>
      </c>
      <c r="S3075" s="26">
        <v>6</v>
      </c>
      <c r="T3075" s="26">
        <v>3</v>
      </c>
      <c r="U3075" s="26">
        <v>10</v>
      </c>
      <c r="V3075" s="26">
        <v>1</v>
      </c>
      <c r="W3075" s="26"/>
    </row>
    <row r="3076" spans="1:23" x14ac:dyDescent="0.25">
      <c r="A3076" s="26" t="str">
        <f t="shared" si="526"/>
        <v>PRIMARIA</v>
      </c>
      <c r="B3076" s="26" t="str">
        <f>"09PPR1669Z"</f>
        <v>09PPR1669Z</v>
      </c>
      <c r="C3076" s="26" t="s">
        <v>103</v>
      </c>
      <c r="D3076" s="26" t="str">
        <f t="shared" si="523"/>
        <v>MATUTINO</v>
      </c>
      <c r="E3076" s="26" t="str">
        <f>"LESBOS NO 30                                                                    "</f>
        <v xml:space="preserve">LESBOS NO 30                                                                    </v>
      </c>
      <c r="F3076" s="26" t="str">
        <f>"LOMAS ESTRELLA                                                                                                                              "</f>
        <v xml:space="preserve">LOMAS ESTRELLA                                                                                                                              </v>
      </c>
      <c r="G3076" s="26" t="str">
        <f>"IZTAPALAPA                                                                      "</f>
        <v xml:space="preserve">IZTAPALAPA                                                                      </v>
      </c>
      <c r="H3076" s="26" t="str">
        <f>"000"</f>
        <v>000</v>
      </c>
      <c r="I3076" s="26" t="str">
        <f t="shared" si="527"/>
        <v>00</v>
      </c>
      <c r="J3076" s="26" t="str">
        <f>"63 "</f>
        <v xml:space="preserve">63 </v>
      </c>
      <c r="K3076" s="26" t="str">
        <f>"IZ"</f>
        <v>IZ</v>
      </c>
      <c r="L3076" s="26" t="str">
        <f>"DGSEI"</f>
        <v>DGSEI</v>
      </c>
      <c r="M3076" s="26" t="str">
        <f t="shared" si="519"/>
        <v>PARTICULAR</v>
      </c>
      <c r="N3076" s="26">
        <v>43</v>
      </c>
      <c r="O3076" s="26">
        <v>24</v>
      </c>
      <c r="P3076" s="26">
        <v>19</v>
      </c>
      <c r="Q3076" s="26">
        <v>6</v>
      </c>
      <c r="R3076" s="26">
        <v>1</v>
      </c>
      <c r="S3076" s="26">
        <v>3</v>
      </c>
      <c r="T3076" s="26">
        <v>10</v>
      </c>
      <c r="U3076" s="26">
        <v>14</v>
      </c>
      <c r="V3076" s="26">
        <v>1</v>
      </c>
      <c r="W3076" s="26"/>
    </row>
    <row r="3077" spans="1:23" x14ac:dyDescent="0.25">
      <c r="A3077" s="26" t="str">
        <f t="shared" si="526"/>
        <v>PRIMARIA</v>
      </c>
      <c r="B3077" s="26" t="str">
        <f>"09PPR1670P"</f>
        <v>09PPR1670P</v>
      </c>
      <c r="C3077" s="26" t="str">
        <f>"ESCUELA PRIMARIA JEAN PIAGET                                                                        "</f>
        <v xml:space="preserve">ESCUELA PRIMARIA JEAN PIAGET                                                                        </v>
      </c>
      <c r="D3077" s="26" t="str">
        <f t="shared" si="523"/>
        <v>MATUTINO</v>
      </c>
      <c r="E3077" s="26" t="str">
        <f>"AV XOCHIMILCO NO 181                                                            "</f>
        <v xml:space="preserve">AV XOCHIMILCO NO 181                                                            </v>
      </c>
      <c r="F3077" s="26" t="str">
        <f>"SANTA CRUZ XOCHITEPEC                                                                                                                       "</f>
        <v xml:space="preserve">SANTA CRUZ XOCHITEPEC                                                                                                                       </v>
      </c>
      <c r="G3077" s="26" t="str">
        <f>"XOCHIMILCO                                                                      "</f>
        <v xml:space="preserve">XOCHIMILCO                                                                      </v>
      </c>
      <c r="H3077" s="26" t="str">
        <f>"533"</f>
        <v>533</v>
      </c>
      <c r="I3077" s="26" t="str">
        <f t="shared" si="527"/>
        <v>00</v>
      </c>
      <c r="J3077" s="26" t="str">
        <f>"45 "</f>
        <v xml:space="preserve">45 </v>
      </c>
      <c r="K3077" s="26" t="str">
        <f t="shared" ref="K3077:K3089" si="528">"PR"</f>
        <v>PR</v>
      </c>
      <c r="L3077" s="26" t="str">
        <f t="shared" ref="L3077:L3089" si="529">"DGOSE"</f>
        <v>DGOSE</v>
      </c>
      <c r="M3077" s="26" t="str">
        <f t="shared" si="519"/>
        <v>PARTICULAR</v>
      </c>
      <c r="N3077" s="26">
        <v>87</v>
      </c>
      <c r="O3077" s="26">
        <v>45</v>
      </c>
      <c r="P3077" s="26">
        <v>42</v>
      </c>
      <c r="Q3077" s="26">
        <v>6</v>
      </c>
      <c r="R3077" s="26">
        <v>1</v>
      </c>
      <c r="S3077" s="26">
        <v>6</v>
      </c>
      <c r="T3077" s="26">
        <v>3</v>
      </c>
      <c r="U3077" s="26">
        <v>10</v>
      </c>
      <c r="V3077" s="26">
        <v>1</v>
      </c>
      <c r="W3077" s="26"/>
    </row>
    <row r="3078" spans="1:23" x14ac:dyDescent="0.25">
      <c r="A3078" s="26" t="str">
        <f t="shared" si="526"/>
        <v>PRIMARIA</v>
      </c>
      <c r="B3078" s="26" t="str">
        <f>"09PPR1671O"</f>
        <v>09PPR1671O</v>
      </c>
      <c r="C3078" s="26" t="str">
        <f>"CENTRO EDUCATIVO PAIDEIA                                                                            "</f>
        <v xml:space="preserve">CENTRO EDUCATIVO PAIDEIA                                                                            </v>
      </c>
      <c r="D3078" s="26" t="str">
        <f t="shared" si="523"/>
        <v>MATUTINO</v>
      </c>
      <c r="E3078" s="26" t="str">
        <f>"CORINA NO. 46                                                                   "</f>
        <v xml:space="preserve">CORINA NO. 46                                                                   </v>
      </c>
      <c r="F3078" s="26" t="str">
        <f>"DEL CARMEN                                                                                                                                  "</f>
        <v xml:space="preserve">DEL CARMEN                                                                                                                                  </v>
      </c>
      <c r="G3078" s="26" t="str">
        <f>"COYOACAN                                                                        "</f>
        <v xml:space="preserve">COYOACAN                                                                        </v>
      </c>
      <c r="H3078" s="26" t="str">
        <f>"500"</f>
        <v>500</v>
      </c>
      <c r="I3078" s="26" t="str">
        <f t="shared" si="527"/>
        <v>00</v>
      </c>
      <c r="J3078" s="26" t="str">
        <f>"45 "</f>
        <v xml:space="preserve">45 </v>
      </c>
      <c r="K3078" s="26" t="str">
        <f t="shared" si="528"/>
        <v>PR</v>
      </c>
      <c r="L3078" s="26" t="str">
        <f t="shared" si="529"/>
        <v>DGOSE</v>
      </c>
      <c r="M3078" s="26" t="str">
        <f t="shared" si="519"/>
        <v>PARTICULAR</v>
      </c>
      <c r="N3078" s="26">
        <v>103</v>
      </c>
      <c r="O3078" s="26">
        <v>55</v>
      </c>
      <c r="P3078" s="26">
        <v>48</v>
      </c>
      <c r="Q3078" s="26">
        <v>6</v>
      </c>
      <c r="R3078" s="26">
        <v>1</v>
      </c>
      <c r="S3078" s="26">
        <v>4</v>
      </c>
      <c r="T3078" s="26">
        <v>12</v>
      </c>
      <c r="U3078" s="26">
        <v>17</v>
      </c>
      <c r="V3078" s="26">
        <v>1</v>
      </c>
      <c r="W3078" s="26"/>
    </row>
    <row r="3079" spans="1:23" x14ac:dyDescent="0.25">
      <c r="A3079" s="26" t="str">
        <f t="shared" si="526"/>
        <v>PRIMARIA</v>
      </c>
      <c r="B3079" s="26" t="str">
        <f>"09PPR1672N"</f>
        <v>09PPR1672N</v>
      </c>
      <c r="C3079" s="26" t="str">
        <f>"COLEGIO MONTESSORI DEL BOSQUE                                                                       "</f>
        <v xml:space="preserve">COLEGIO MONTESSORI DEL BOSQUE                                                                       </v>
      </c>
      <c r="D3079" s="26" t="str">
        <f t="shared" si="523"/>
        <v>MATUTINO</v>
      </c>
      <c r="E3079" s="26" t="str">
        <f>"GOB. TIBURCIO MONTIEL 25-A                                                      "</f>
        <v xml:space="preserve">GOB. TIBURCIO MONTIEL 25-A                                                      </v>
      </c>
      <c r="F3079" s="26" t="str">
        <f>"SAN MIGUEL CHAPULTEPEC SECCION I                                                                                                            "</f>
        <v xml:space="preserve">SAN MIGUEL CHAPULTEPEC SECCION I                                                                                                            </v>
      </c>
      <c r="G3079" s="26" t="str">
        <f>"MIGUEL HIDALGO                                                                  "</f>
        <v xml:space="preserve">MIGUEL HIDALGO                                                                  </v>
      </c>
      <c r="H3079" s="26" t="str">
        <f>"210"</f>
        <v>210</v>
      </c>
      <c r="I3079" s="26" t="str">
        <f t="shared" si="527"/>
        <v>00</v>
      </c>
      <c r="J3079" s="26" t="str">
        <f>"42 "</f>
        <v xml:space="preserve">42 </v>
      </c>
      <c r="K3079" s="26" t="str">
        <f t="shared" si="528"/>
        <v>PR</v>
      </c>
      <c r="L3079" s="26" t="str">
        <f t="shared" si="529"/>
        <v>DGOSE</v>
      </c>
      <c r="M3079" s="26" t="str">
        <f t="shared" si="519"/>
        <v>PARTICULAR</v>
      </c>
      <c r="N3079" s="26">
        <v>19</v>
      </c>
      <c r="O3079" s="26">
        <v>11</v>
      </c>
      <c r="P3079" s="26">
        <v>8</v>
      </c>
      <c r="Q3079" s="26">
        <v>3</v>
      </c>
      <c r="R3079" s="26">
        <v>1</v>
      </c>
      <c r="S3079" s="26">
        <v>2</v>
      </c>
      <c r="T3079" s="26">
        <v>1</v>
      </c>
      <c r="U3079" s="26">
        <v>4</v>
      </c>
      <c r="V3079" s="26">
        <v>1</v>
      </c>
      <c r="W3079" s="26"/>
    </row>
    <row r="3080" spans="1:23" x14ac:dyDescent="0.25">
      <c r="A3080" s="26" t="str">
        <f t="shared" si="526"/>
        <v>PRIMARIA</v>
      </c>
      <c r="B3080" s="26" t="str">
        <f>"09PPR1673M"</f>
        <v>09PPR1673M</v>
      </c>
      <c r="C3080" s="26" t="str">
        <f>"COLEGIO BILINGÜE CAMBRIDGE                                                                          "</f>
        <v xml:space="preserve">COLEGIO BILINGÜE CAMBRIDGE                                                                          </v>
      </c>
      <c r="D3080" s="26" t="str">
        <f t="shared" si="523"/>
        <v>MATUTINO</v>
      </c>
      <c r="E3080" s="26" t="str">
        <f>"SAN JACINTO 7                                                                   "</f>
        <v xml:space="preserve">SAN JACINTO 7                                                                   </v>
      </c>
      <c r="F3080" s="26" t="str">
        <f>"UN HOGAR PARA NOSOTROS                                                                                                                      "</f>
        <v xml:space="preserve">UN HOGAR PARA NOSOTROS                                                                                                                      </v>
      </c>
      <c r="G3080" s="26" t="str">
        <f>"MIGUEL HIDALGO                                                                  "</f>
        <v xml:space="preserve">MIGUEL HIDALGO                                                                  </v>
      </c>
      <c r="H3080" s="26" t="str">
        <f>"215"</f>
        <v>215</v>
      </c>
      <c r="I3080" s="26" t="str">
        <f t="shared" si="527"/>
        <v>00</v>
      </c>
      <c r="J3080" s="26" t="str">
        <f>"42 "</f>
        <v xml:space="preserve">42 </v>
      </c>
      <c r="K3080" s="26" t="str">
        <f t="shared" si="528"/>
        <v>PR</v>
      </c>
      <c r="L3080" s="26" t="str">
        <f t="shared" si="529"/>
        <v>DGOSE</v>
      </c>
      <c r="M3080" s="26" t="str">
        <f t="shared" si="519"/>
        <v>PARTICULAR</v>
      </c>
      <c r="N3080" s="26">
        <v>56</v>
      </c>
      <c r="O3080" s="26">
        <v>34</v>
      </c>
      <c r="P3080" s="26">
        <v>22</v>
      </c>
      <c r="Q3080" s="26">
        <v>6</v>
      </c>
      <c r="R3080" s="26">
        <v>1</v>
      </c>
      <c r="S3080" s="26">
        <v>3</v>
      </c>
      <c r="T3080" s="26">
        <v>11</v>
      </c>
      <c r="U3080" s="26">
        <v>15</v>
      </c>
      <c r="V3080" s="26">
        <v>1</v>
      </c>
      <c r="W3080" s="26"/>
    </row>
    <row r="3081" spans="1:23" x14ac:dyDescent="0.25">
      <c r="A3081" s="26" t="str">
        <f t="shared" si="526"/>
        <v>PRIMARIA</v>
      </c>
      <c r="B3081" s="26" t="str">
        <f>"09PPR1674L"</f>
        <v>09PPR1674L</v>
      </c>
      <c r="C3081" s="26" t="str">
        <f>"KIDS ENGLISH SCHOOL                                                                                 "</f>
        <v xml:space="preserve">KIDS ENGLISH SCHOOL                                                                                 </v>
      </c>
      <c r="D3081" s="26" t="str">
        <f t="shared" si="523"/>
        <v>MATUTINO</v>
      </c>
      <c r="E3081" s="26" t="str">
        <f>"CALLE 36 NO. 1                                                                  "</f>
        <v xml:space="preserve">CALLE 36 NO. 1                                                                  </v>
      </c>
      <c r="F3081" s="26" t="str">
        <f>"EL RODEO                                                                                                                                    "</f>
        <v xml:space="preserve">EL RODEO                                                                                                                                    </v>
      </c>
      <c r="G3081" s="26" t="str">
        <f>"IZTACALCO                                                                       "</f>
        <v xml:space="preserve">IZTACALCO                                                                       </v>
      </c>
      <c r="H3081" s="26" t="str">
        <f>"357"</f>
        <v>357</v>
      </c>
      <c r="I3081" s="26" t="str">
        <f t="shared" si="527"/>
        <v>00</v>
      </c>
      <c r="J3081" s="26" t="str">
        <f>"43 "</f>
        <v xml:space="preserve">43 </v>
      </c>
      <c r="K3081" s="26" t="str">
        <f t="shared" si="528"/>
        <v>PR</v>
      </c>
      <c r="L3081" s="26" t="str">
        <f t="shared" si="529"/>
        <v>DGOSE</v>
      </c>
      <c r="M3081" s="26" t="str">
        <f t="shared" si="519"/>
        <v>PARTICULAR</v>
      </c>
      <c r="N3081" s="26">
        <v>145</v>
      </c>
      <c r="O3081" s="26">
        <v>71</v>
      </c>
      <c r="P3081" s="26">
        <v>74</v>
      </c>
      <c r="Q3081" s="26">
        <v>8</v>
      </c>
      <c r="R3081" s="26">
        <v>1</v>
      </c>
      <c r="S3081" s="26">
        <v>4</v>
      </c>
      <c r="T3081" s="26">
        <v>13</v>
      </c>
      <c r="U3081" s="26">
        <v>18</v>
      </c>
      <c r="V3081" s="26">
        <v>1</v>
      </c>
      <c r="W3081" s="26"/>
    </row>
    <row r="3082" spans="1:23" x14ac:dyDescent="0.25">
      <c r="A3082" s="26" t="str">
        <f t="shared" si="526"/>
        <v>PRIMARIA</v>
      </c>
      <c r="B3082" s="26" t="str">
        <f>"09PPR1675K"</f>
        <v>09PPR1675K</v>
      </c>
      <c r="C3082" s="26" t="str">
        <f>"INSTITUTO JUAN BOSCO                                                                                "</f>
        <v xml:space="preserve">INSTITUTO JUAN BOSCO                                                                                </v>
      </c>
      <c r="D3082" s="26" t="str">
        <f t="shared" si="523"/>
        <v>MATUTINO</v>
      </c>
      <c r="E3082" s="26" t="str">
        <f>"FRAY SEBASTIAN DE APARICIO NO. 31                                               "</f>
        <v xml:space="preserve">FRAY SEBASTIAN DE APARICIO NO. 31                                               </v>
      </c>
      <c r="F3082" s="26" t="str">
        <f>"ATZACOALCO                                                                                                                                  "</f>
        <v xml:space="preserve">ATZACOALCO                                                                                                                                  </v>
      </c>
      <c r="G3082" s="26" t="str">
        <f>"GUSTAVO A. MADERO                                                               "</f>
        <v xml:space="preserve">GUSTAVO A. MADERO                                                               </v>
      </c>
      <c r="H3082" s="26" t="str">
        <f>"260"</f>
        <v>260</v>
      </c>
      <c r="I3082" s="26" t="str">
        <f t="shared" si="527"/>
        <v>00</v>
      </c>
      <c r="J3082" s="26" t="str">
        <f>"42 "</f>
        <v xml:space="preserve">42 </v>
      </c>
      <c r="K3082" s="26" t="str">
        <f t="shared" si="528"/>
        <v>PR</v>
      </c>
      <c r="L3082" s="26" t="str">
        <f t="shared" si="529"/>
        <v>DGOSE</v>
      </c>
      <c r="M3082" s="26" t="str">
        <f t="shared" si="519"/>
        <v>PARTICULAR</v>
      </c>
      <c r="N3082" s="26">
        <v>62</v>
      </c>
      <c r="O3082" s="26">
        <v>38</v>
      </c>
      <c r="P3082" s="26">
        <v>24</v>
      </c>
      <c r="Q3082" s="26">
        <v>6</v>
      </c>
      <c r="R3082" s="26">
        <v>1</v>
      </c>
      <c r="S3082" s="26">
        <v>6</v>
      </c>
      <c r="T3082" s="26">
        <v>3</v>
      </c>
      <c r="U3082" s="26">
        <v>10</v>
      </c>
      <c r="V3082" s="26">
        <v>1</v>
      </c>
      <c r="W3082" s="26"/>
    </row>
    <row r="3083" spans="1:23" x14ac:dyDescent="0.25">
      <c r="A3083" s="26" t="str">
        <f t="shared" si="526"/>
        <v>PRIMARIA</v>
      </c>
      <c r="B3083" s="26" t="str">
        <f>"09PPR1676J"</f>
        <v>09PPR1676J</v>
      </c>
      <c r="C3083" s="26" t="str">
        <f>"COLEGIO VON GLÜMER                                                                                  "</f>
        <v xml:space="preserve">COLEGIO VON GLÜMER                                                                                  </v>
      </c>
      <c r="D3083" s="26" t="str">
        <f t="shared" si="523"/>
        <v>MATUTINO</v>
      </c>
      <c r="E3083" s="26" t="str">
        <f>"JOSE MARIA CASTORENA NO. 412                                                    "</f>
        <v xml:space="preserve">JOSE MARIA CASTORENA NO. 412                                                    </v>
      </c>
      <c r="F3083" s="26" t="str">
        <f>"CUAJIMALPA                                                                                                                                  "</f>
        <v xml:space="preserve">CUAJIMALPA                                                                                                                                  </v>
      </c>
      <c r="G3083" s="26" t="str">
        <f>"CUAJIMALPA DE MORELOS                                                           "</f>
        <v xml:space="preserve">CUAJIMALPA DE MORELOS                                                           </v>
      </c>
      <c r="H3083" s="26" t="str">
        <f>"302"</f>
        <v>302</v>
      </c>
      <c r="I3083" s="26" t="str">
        <f t="shared" si="527"/>
        <v>00</v>
      </c>
      <c r="J3083" s="26" t="str">
        <f>"43 "</f>
        <v xml:space="preserve">43 </v>
      </c>
      <c r="K3083" s="26" t="str">
        <f t="shared" si="528"/>
        <v>PR</v>
      </c>
      <c r="L3083" s="26" t="str">
        <f t="shared" si="529"/>
        <v>DGOSE</v>
      </c>
      <c r="M3083" s="26" t="str">
        <f t="shared" si="519"/>
        <v>PARTICULAR</v>
      </c>
      <c r="N3083" s="26">
        <v>86</v>
      </c>
      <c r="O3083" s="26">
        <v>36</v>
      </c>
      <c r="P3083" s="26">
        <v>50</v>
      </c>
      <c r="Q3083" s="26">
        <v>6</v>
      </c>
      <c r="R3083" s="26">
        <v>1</v>
      </c>
      <c r="S3083" s="26">
        <v>3</v>
      </c>
      <c r="T3083" s="26">
        <v>11</v>
      </c>
      <c r="U3083" s="26">
        <v>15</v>
      </c>
      <c r="V3083" s="26">
        <v>1</v>
      </c>
      <c r="W3083" s="26"/>
    </row>
    <row r="3084" spans="1:23" x14ac:dyDescent="0.25">
      <c r="A3084" s="26" t="str">
        <f t="shared" si="526"/>
        <v>PRIMARIA</v>
      </c>
      <c r="B3084" s="26" t="str">
        <f>"09PPR1678H"</f>
        <v>09PPR1678H</v>
      </c>
      <c r="C3084" s="26" t="str">
        <f>"COLEGIO MOSSIER                                                                                     "</f>
        <v xml:space="preserve">COLEGIO MOSSIER                                                                                     </v>
      </c>
      <c r="D3084" s="26" t="str">
        <f t="shared" si="523"/>
        <v>MATUTINO</v>
      </c>
      <c r="E3084" s="26" t="str">
        <f>"AV. SUR 20 NO. 185                                                              "</f>
        <v xml:space="preserve">AV. SUR 20 NO. 185                                                              </v>
      </c>
      <c r="F3084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3084" s="26" t="str">
        <f>"IZTACALCO                                                                       "</f>
        <v xml:space="preserve">IZTACALCO                                                                       </v>
      </c>
      <c r="H3084" s="26" t="str">
        <f>"357"</f>
        <v>357</v>
      </c>
      <c r="I3084" s="26" t="str">
        <f t="shared" si="527"/>
        <v>00</v>
      </c>
      <c r="J3084" s="26" t="str">
        <f>"43 "</f>
        <v xml:space="preserve">43 </v>
      </c>
      <c r="K3084" s="26" t="str">
        <f t="shared" si="528"/>
        <v>PR</v>
      </c>
      <c r="L3084" s="26" t="str">
        <f t="shared" si="529"/>
        <v>DGOSE</v>
      </c>
      <c r="M3084" s="26" t="str">
        <f t="shared" si="519"/>
        <v>PARTICULAR</v>
      </c>
      <c r="N3084" s="26">
        <v>85</v>
      </c>
      <c r="O3084" s="26">
        <v>44</v>
      </c>
      <c r="P3084" s="26">
        <v>41</v>
      </c>
      <c r="Q3084" s="26">
        <v>6</v>
      </c>
      <c r="R3084" s="26">
        <v>1</v>
      </c>
      <c r="S3084" s="26">
        <v>3</v>
      </c>
      <c r="T3084" s="26">
        <v>3</v>
      </c>
      <c r="U3084" s="26">
        <v>7</v>
      </c>
      <c r="V3084" s="26">
        <v>1</v>
      </c>
      <c r="W3084" s="26"/>
    </row>
    <row r="3085" spans="1:23" x14ac:dyDescent="0.25">
      <c r="A3085" s="26" t="str">
        <f t="shared" si="526"/>
        <v>PRIMARIA</v>
      </c>
      <c r="B3085" s="26" t="str">
        <f>"09PPR1680W"</f>
        <v>09PPR1680W</v>
      </c>
      <c r="C3085" s="26" t="str">
        <f>"CENTRO CULTURAL MONTESSORI                                                                          "</f>
        <v xml:space="preserve">CENTRO CULTURAL MONTESSORI                                                                          </v>
      </c>
      <c r="D3085" s="26" t="str">
        <f t="shared" si="523"/>
        <v>MATUTINO</v>
      </c>
      <c r="E3085" s="26" t="str">
        <f>"INSURGENTES SUR NO 4004                                                         "</f>
        <v xml:space="preserve">INSURGENTES SUR NO 4004                                                         </v>
      </c>
      <c r="F3085" s="26" t="str">
        <f>"TLALPAN                                                                                                                                     "</f>
        <v xml:space="preserve">TLALPAN                                                                                                                                     </v>
      </c>
      <c r="G3085" s="26" t="str">
        <f>"TLALPAN                                                                         "</f>
        <v xml:space="preserve">TLALPAN                                                                         </v>
      </c>
      <c r="H3085" s="26" t="str">
        <f>"521"</f>
        <v>521</v>
      </c>
      <c r="I3085" s="26" t="str">
        <f t="shared" si="527"/>
        <v>00</v>
      </c>
      <c r="J3085" s="26" t="str">
        <f>"45 "</f>
        <v xml:space="preserve">45 </v>
      </c>
      <c r="K3085" s="26" t="str">
        <f t="shared" si="528"/>
        <v>PR</v>
      </c>
      <c r="L3085" s="26" t="str">
        <f t="shared" si="529"/>
        <v>DGOSE</v>
      </c>
      <c r="M3085" s="26" t="str">
        <f t="shared" si="519"/>
        <v>PARTICULAR</v>
      </c>
      <c r="N3085" s="26">
        <v>60</v>
      </c>
      <c r="O3085" s="26">
        <v>27</v>
      </c>
      <c r="P3085" s="26">
        <v>33</v>
      </c>
      <c r="Q3085" s="26">
        <v>6</v>
      </c>
      <c r="R3085" s="26">
        <v>1</v>
      </c>
      <c r="S3085" s="26">
        <v>4</v>
      </c>
      <c r="T3085" s="26">
        <v>5</v>
      </c>
      <c r="U3085" s="26">
        <v>10</v>
      </c>
      <c r="V3085" s="26">
        <v>1</v>
      </c>
      <c r="W3085" s="26"/>
    </row>
    <row r="3086" spans="1:23" x14ac:dyDescent="0.25">
      <c r="A3086" s="26" t="str">
        <f t="shared" si="526"/>
        <v>PRIMARIA</v>
      </c>
      <c r="B3086" s="26" t="str">
        <f>"09PPR1681V"</f>
        <v>09PPR1681V</v>
      </c>
      <c r="C3086" s="26" t="str">
        <f>"HUITZILAN                                                                                           "</f>
        <v xml:space="preserve">HUITZILAN                                                                                           </v>
      </c>
      <c r="D3086" s="26" t="str">
        <f>"VESPERTINO"</f>
        <v>VESPERTINO</v>
      </c>
      <c r="E3086" s="26" t="str">
        <f>"SALAVERRY NO. 1155                                                              "</f>
        <v xml:space="preserve">SALAVERRY NO. 1155                                                              </v>
      </c>
      <c r="F3086" s="26" t="str">
        <f>"RESIDENCIAL ZACATENCO                                                                                                                       "</f>
        <v xml:space="preserve">RESIDENCIAL ZACATENCO                                                                                                                       </v>
      </c>
      <c r="G3086" s="26" t="str">
        <f>"GUSTAVO A. MADERO                                                               "</f>
        <v xml:space="preserve">GUSTAVO A. MADERO                                                               </v>
      </c>
      <c r="H3086" s="26" t="str">
        <f>"239"</f>
        <v>239</v>
      </c>
      <c r="I3086" s="26" t="str">
        <f t="shared" si="527"/>
        <v>00</v>
      </c>
      <c r="J3086" s="26" t="str">
        <f>"42 "</f>
        <v xml:space="preserve">42 </v>
      </c>
      <c r="K3086" s="26" t="str">
        <f t="shared" si="528"/>
        <v>PR</v>
      </c>
      <c r="L3086" s="26" t="str">
        <f t="shared" si="529"/>
        <v>DGOSE</v>
      </c>
      <c r="M3086" s="26" t="str">
        <f t="shared" si="519"/>
        <v>PARTICULAR</v>
      </c>
      <c r="N3086" s="26">
        <v>21</v>
      </c>
      <c r="O3086" s="26">
        <v>15</v>
      </c>
      <c r="P3086" s="26">
        <v>6</v>
      </c>
      <c r="Q3086" s="26">
        <v>3</v>
      </c>
      <c r="R3086" s="26">
        <v>1</v>
      </c>
      <c r="S3086" s="26">
        <v>3</v>
      </c>
      <c r="T3086" s="26">
        <v>3</v>
      </c>
      <c r="U3086" s="26">
        <v>7</v>
      </c>
      <c r="V3086" s="26">
        <v>1</v>
      </c>
      <c r="W3086" s="26"/>
    </row>
    <row r="3087" spans="1:23" x14ac:dyDescent="0.25">
      <c r="A3087" s="26" t="str">
        <f t="shared" si="526"/>
        <v>PRIMARIA</v>
      </c>
      <c r="B3087" s="26" t="str">
        <f>"09PPR1682U"</f>
        <v>09PPR1682U</v>
      </c>
      <c r="C3087" s="26" t="str">
        <f>"INSTITUTO PEDAGOGICO SIMON BOLIVAR                                                                  "</f>
        <v xml:space="preserve">INSTITUTO PEDAGOGICO SIMON BOLIVAR                                                                  </v>
      </c>
      <c r="D3087" s="26" t="str">
        <f t="shared" ref="D3087:D3111" si="530">"MATUTINO"</f>
        <v>MATUTINO</v>
      </c>
      <c r="E3087" s="26" t="str">
        <f>"BOLIVAR 1320                                                                    "</f>
        <v xml:space="preserve">BOLIVAR 1320                                                                    </v>
      </c>
      <c r="F3087" s="26" t="str">
        <f>"SAN SIMON TICUMAC                                                                                                                           "</f>
        <v xml:space="preserve">SAN SIMON TICUMAC                                                                                                                           </v>
      </c>
      <c r="G3087" s="26" t="str">
        <f>"BENITO JUAREZ                                                                   "</f>
        <v xml:space="preserve">BENITO JUAREZ                                                                   </v>
      </c>
      <c r="H3087" s="26" t="str">
        <f>"000"</f>
        <v>000</v>
      </c>
      <c r="I3087" s="26" t="str">
        <f t="shared" si="527"/>
        <v>00</v>
      </c>
      <c r="J3087" s="26" t="str">
        <f>"43 "</f>
        <v xml:space="preserve">43 </v>
      </c>
      <c r="K3087" s="26" t="str">
        <f t="shared" si="528"/>
        <v>PR</v>
      </c>
      <c r="L3087" s="26" t="str">
        <f t="shared" si="529"/>
        <v>DGOSE</v>
      </c>
      <c r="M3087" s="26" t="str">
        <f t="shared" si="519"/>
        <v>PARTICULAR</v>
      </c>
      <c r="N3087" s="26">
        <v>105</v>
      </c>
      <c r="O3087" s="26">
        <v>46</v>
      </c>
      <c r="P3087" s="26">
        <v>59</v>
      </c>
      <c r="Q3087" s="26">
        <v>6</v>
      </c>
      <c r="R3087" s="26">
        <v>1</v>
      </c>
      <c r="S3087" s="26">
        <v>3</v>
      </c>
      <c r="T3087" s="26">
        <v>12</v>
      </c>
      <c r="U3087" s="26">
        <v>16</v>
      </c>
      <c r="V3087" s="26">
        <v>1</v>
      </c>
      <c r="W3087" s="26"/>
    </row>
    <row r="3088" spans="1:23" x14ac:dyDescent="0.25">
      <c r="A3088" s="26" t="str">
        <f t="shared" si="526"/>
        <v>PRIMARIA</v>
      </c>
      <c r="B3088" s="26" t="str">
        <f>"09PPR1683T"</f>
        <v>09PPR1683T</v>
      </c>
      <c r="C3088" s="26" t="str">
        <f>"ESCUELA COMERCIAL CAMARA DE COMERCIO                                                                "</f>
        <v xml:space="preserve">ESCUELA COMERCIAL CAMARA DE COMERCIO                                                                </v>
      </c>
      <c r="D3088" s="26" t="str">
        <f t="shared" si="530"/>
        <v>MATUTINO</v>
      </c>
      <c r="E3088" s="26" t="str">
        <f>"GUANAJUATO NO 122                                                               "</f>
        <v xml:space="preserve">GUANAJUATO NO 122                                                               </v>
      </c>
      <c r="F3088" s="26" t="str">
        <f>"ROMA NORTE                                                                                                                                  "</f>
        <v xml:space="preserve">ROMA NORTE                                                                                                                                  </v>
      </c>
      <c r="G3088" s="26" t="str">
        <f>"CUAUHTEMOC                                                                      "</f>
        <v xml:space="preserve">CUAUHTEMOC                                                                      </v>
      </c>
      <c r="H3088" s="26" t="str">
        <f>"000"</f>
        <v>000</v>
      </c>
      <c r="I3088" s="26" t="str">
        <f t="shared" si="527"/>
        <v>00</v>
      </c>
      <c r="J3088" s="26" t="str">
        <f>"42 "</f>
        <v xml:space="preserve">42 </v>
      </c>
      <c r="K3088" s="26" t="str">
        <f t="shared" si="528"/>
        <v>PR</v>
      </c>
      <c r="L3088" s="26" t="str">
        <f t="shared" si="529"/>
        <v>DGOSE</v>
      </c>
      <c r="M3088" s="26" t="str">
        <f t="shared" si="519"/>
        <v>PARTICULAR</v>
      </c>
      <c r="N3088" s="26">
        <v>270</v>
      </c>
      <c r="O3088" s="26">
        <v>150</v>
      </c>
      <c r="P3088" s="26">
        <v>120</v>
      </c>
      <c r="Q3088" s="26">
        <v>11</v>
      </c>
      <c r="R3088" s="26">
        <v>1</v>
      </c>
      <c r="S3088" s="26">
        <v>5</v>
      </c>
      <c r="T3088" s="26">
        <v>8</v>
      </c>
      <c r="U3088" s="26">
        <v>14</v>
      </c>
      <c r="V3088" s="26">
        <v>1</v>
      </c>
      <c r="W3088" s="26"/>
    </row>
    <row r="3089" spans="1:23" x14ac:dyDescent="0.25">
      <c r="A3089" s="26" t="str">
        <f t="shared" si="526"/>
        <v>PRIMARIA</v>
      </c>
      <c r="B3089" s="26" t="str">
        <f>"09PPR1684S"</f>
        <v>09PPR1684S</v>
      </c>
      <c r="C3089" s="26" t="str">
        <f>"INSTITUTO LAS AGUILAS                                                                               "</f>
        <v xml:space="preserve">INSTITUTO LAS AGUILAS                                                                               </v>
      </c>
      <c r="D3089" s="26" t="str">
        <f t="shared" si="530"/>
        <v>MATUTINO</v>
      </c>
      <c r="E3089" s="26" t="str">
        <f>"PLEAMARES NO 16                                                                 "</f>
        <v xml:space="preserve">PLEAMARES NO 16                                                                 </v>
      </c>
      <c r="F3089" s="26" t="str">
        <f>"LAS AGUILAS                                                                                                                                 "</f>
        <v xml:space="preserve">LAS AGUILAS                                                                                                                                 </v>
      </c>
      <c r="G3089" s="26" t="str">
        <f>"ALVARO OBREGON                                                                  "</f>
        <v xml:space="preserve">ALVARO OBREGON                                                                  </v>
      </c>
      <c r="H3089" s="26" t="str">
        <f>"321"</f>
        <v>321</v>
      </c>
      <c r="I3089" s="26" t="str">
        <f t="shared" si="527"/>
        <v>00</v>
      </c>
      <c r="J3089" s="26" t="str">
        <f>"43 "</f>
        <v xml:space="preserve">43 </v>
      </c>
      <c r="K3089" s="26" t="str">
        <f t="shared" si="528"/>
        <v>PR</v>
      </c>
      <c r="L3089" s="26" t="str">
        <f t="shared" si="529"/>
        <v>DGOSE</v>
      </c>
      <c r="M3089" s="26" t="str">
        <f t="shared" si="519"/>
        <v>PARTICULAR</v>
      </c>
      <c r="N3089" s="26">
        <v>59</v>
      </c>
      <c r="O3089" s="26">
        <v>33</v>
      </c>
      <c r="P3089" s="26">
        <v>26</v>
      </c>
      <c r="Q3089" s="26">
        <v>7</v>
      </c>
      <c r="R3089" s="26">
        <v>1</v>
      </c>
      <c r="S3089" s="26">
        <v>4</v>
      </c>
      <c r="T3089" s="26">
        <v>7</v>
      </c>
      <c r="U3089" s="26">
        <v>12</v>
      </c>
      <c r="V3089" s="26">
        <v>1</v>
      </c>
      <c r="W3089" s="26"/>
    </row>
    <row r="3090" spans="1:23" x14ac:dyDescent="0.25">
      <c r="A3090" s="26" t="str">
        <f t="shared" si="526"/>
        <v>PRIMARIA</v>
      </c>
      <c r="B3090" s="26" t="str">
        <f>"09PPR1688O"</f>
        <v>09PPR1688O</v>
      </c>
      <c r="C3090" s="26" t="str">
        <f>"INSTITUTO PEDAGOGICO JEROEN BOSCO                                                                   "</f>
        <v xml:space="preserve">INSTITUTO PEDAGOGICO JEROEN BOSCO                                                                   </v>
      </c>
      <c r="D3090" s="26" t="str">
        <f t="shared" si="530"/>
        <v>MATUTINO</v>
      </c>
      <c r="E3090" s="26" t="str">
        <f>"ROSA NO. 102                                                                    "</f>
        <v xml:space="preserve">ROSA NO. 102                                                                    </v>
      </c>
      <c r="F3090" s="26" t="str">
        <f>"SAN LORENZO XICOTENCATL                                                                                                                     "</f>
        <v xml:space="preserve">SAN LORENZO XICOTENCATL                                                                                                                     </v>
      </c>
      <c r="G3090" s="26" t="str">
        <f>"IZTAPALAPA                                                                      "</f>
        <v xml:space="preserve">IZTAPALAPA                                                                      </v>
      </c>
      <c r="H3090" s="26" t="str">
        <f>"000"</f>
        <v>000</v>
      </c>
      <c r="I3090" s="26" t="str">
        <f t="shared" si="527"/>
        <v>00</v>
      </c>
      <c r="J3090" s="26" t="str">
        <f>"62 "</f>
        <v xml:space="preserve">62 </v>
      </c>
      <c r="K3090" s="26" t="str">
        <f>"IZ"</f>
        <v>IZ</v>
      </c>
      <c r="L3090" s="26" t="str">
        <f>"DGSEI"</f>
        <v>DGSEI</v>
      </c>
      <c r="M3090" s="26" t="str">
        <f t="shared" ref="M3090:M3153" si="531">"PARTICULAR"</f>
        <v>PARTICULAR</v>
      </c>
      <c r="N3090" s="26">
        <v>27</v>
      </c>
      <c r="O3090" s="26">
        <v>17</v>
      </c>
      <c r="P3090" s="26">
        <v>10</v>
      </c>
      <c r="Q3090" s="26">
        <v>5</v>
      </c>
      <c r="R3090" s="26">
        <v>1</v>
      </c>
      <c r="S3090" s="26">
        <v>5</v>
      </c>
      <c r="T3090" s="26">
        <v>4</v>
      </c>
      <c r="U3090" s="26">
        <v>10</v>
      </c>
      <c r="V3090" s="26">
        <v>1</v>
      </c>
      <c r="W3090" s="26"/>
    </row>
    <row r="3091" spans="1:23" x14ac:dyDescent="0.25">
      <c r="A3091" s="26" t="str">
        <f t="shared" si="526"/>
        <v>PRIMARIA</v>
      </c>
      <c r="B3091" s="26" t="str">
        <f>"09PPR1689N"</f>
        <v>09PPR1689N</v>
      </c>
      <c r="C3091" s="26" t="s">
        <v>3981</v>
      </c>
      <c r="D3091" s="26" t="str">
        <f t="shared" si="530"/>
        <v>MATUTINO</v>
      </c>
      <c r="E3091" s="26" t="str">
        <f>"LACONIA 13                                                                      "</f>
        <v xml:space="preserve">LACONIA 13                                                                      </v>
      </c>
      <c r="F3091" s="26" t="str">
        <f>"CLAVERIA                                                                                                                                    "</f>
        <v xml:space="preserve">CLAVERIA                                                                                                                                    </v>
      </c>
      <c r="G3091" s="26" t="str">
        <f>"AZCAPOTZALCO                                                                    "</f>
        <v xml:space="preserve">AZCAPOTZALCO                                                                    </v>
      </c>
      <c r="H3091" s="26" t="str">
        <f>"000"</f>
        <v>000</v>
      </c>
      <c r="I3091" s="26" t="str">
        <f t="shared" si="527"/>
        <v>00</v>
      </c>
      <c r="J3091" s="26" t="str">
        <f>"42 "</f>
        <v xml:space="preserve">42 </v>
      </c>
      <c r="K3091" s="26" t="str">
        <f t="shared" ref="K3091:K3108" si="532">"PR"</f>
        <v>PR</v>
      </c>
      <c r="L3091" s="26" t="str">
        <f t="shared" ref="L3091:L3108" si="533">"DGOSE"</f>
        <v>DGOSE</v>
      </c>
      <c r="M3091" s="26" t="str">
        <f t="shared" si="531"/>
        <v>PARTICULAR</v>
      </c>
      <c r="N3091" s="26">
        <v>62</v>
      </c>
      <c r="O3091" s="26">
        <v>35</v>
      </c>
      <c r="P3091" s="26">
        <v>27</v>
      </c>
      <c r="Q3091" s="26">
        <v>6</v>
      </c>
      <c r="R3091" s="26">
        <v>1</v>
      </c>
      <c r="S3091" s="26">
        <v>4</v>
      </c>
      <c r="T3091" s="26">
        <v>7</v>
      </c>
      <c r="U3091" s="26">
        <v>12</v>
      </c>
      <c r="V3091" s="26">
        <v>1</v>
      </c>
      <c r="W3091" s="26"/>
    </row>
    <row r="3092" spans="1:23" x14ac:dyDescent="0.25">
      <c r="A3092" s="26" t="str">
        <f t="shared" si="526"/>
        <v>PRIMARIA</v>
      </c>
      <c r="B3092" s="26" t="str">
        <f>"09PPR1690C"</f>
        <v>09PPR1690C</v>
      </c>
      <c r="C3092" s="26" t="str">
        <f>"INSTITUTO PEDAGOGICO EMMANUEL KANT                                                                  "</f>
        <v xml:space="preserve">INSTITUTO PEDAGOGICO EMMANUEL KANT                                                                  </v>
      </c>
      <c r="D3092" s="26" t="str">
        <f t="shared" si="530"/>
        <v>MATUTINO</v>
      </c>
      <c r="E3092" s="26" t="str">
        <f>"ORIENTE 150 NUMERO 223                                                          "</f>
        <v xml:space="preserve">ORIENTE 150 NUMERO 223                                                          </v>
      </c>
      <c r="F3092" s="26" t="str">
        <f>"MOCTEZUMA 2A SECCION                                                                                                                        "</f>
        <v xml:space="preserve">MOCTEZUMA 2A SECCION                                                                                                                        </v>
      </c>
      <c r="G3092" s="26" t="str">
        <f>"VENUSTIANO CARRANZA                                                             "</f>
        <v xml:space="preserve">VENUSTIANO CARRANZA                                                             </v>
      </c>
      <c r="H3092" s="26" t="str">
        <f>"349"</f>
        <v>349</v>
      </c>
      <c r="I3092" s="26" t="str">
        <f t="shared" si="527"/>
        <v>00</v>
      </c>
      <c r="J3092" s="26" t="str">
        <f>"43 "</f>
        <v xml:space="preserve">43 </v>
      </c>
      <c r="K3092" s="26" t="str">
        <f t="shared" si="532"/>
        <v>PR</v>
      </c>
      <c r="L3092" s="26" t="str">
        <f t="shared" si="533"/>
        <v>DGOSE</v>
      </c>
      <c r="M3092" s="26" t="str">
        <f t="shared" si="531"/>
        <v>PARTICULAR</v>
      </c>
      <c r="N3092" s="26">
        <v>59</v>
      </c>
      <c r="O3092" s="26">
        <v>27</v>
      </c>
      <c r="P3092" s="26">
        <v>32</v>
      </c>
      <c r="Q3092" s="26">
        <v>6</v>
      </c>
      <c r="R3092" s="26">
        <v>1</v>
      </c>
      <c r="S3092" s="26">
        <v>3</v>
      </c>
      <c r="T3092" s="26">
        <v>7</v>
      </c>
      <c r="U3092" s="26">
        <v>11</v>
      </c>
      <c r="V3092" s="26">
        <v>1</v>
      </c>
      <c r="W3092" s="26"/>
    </row>
    <row r="3093" spans="1:23" x14ac:dyDescent="0.25">
      <c r="A3093" s="26" t="str">
        <f t="shared" si="526"/>
        <v>PRIMARIA</v>
      </c>
      <c r="B3093" s="26" t="str">
        <f>"09PPR1691B"</f>
        <v>09PPR1691B</v>
      </c>
      <c r="C3093" s="26" t="str">
        <f>"COLEGIO JUANA DE ASBAJE                                                                             "</f>
        <v xml:space="preserve">COLEGIO JUANA DE ASBAJE                                                                             </v>
      </c>
      <c r="D3093" s="26" t="str">
        <f t="shared" si="530"/>
        <v>MATUTINO</v>
      </c>
      <c r="E3093" s="26" t="str">
        <f>"CALLE MICHOACAN M.34 L.24                                                       "</f>
        <v xml:space="preserve">CALLE MICHOACAN M.34 L.24                                                       </v>
      </c>
      <c r="F3093" s="26" t="str">
        <f>"CHALMA DE GUADALUPE                                                                                                                         "</f>
        <v xml:space="preserve">CHALMA DE GUADALUPE                                                                                                                         </v>
      </c>
      <c r="G3093" s="26" t="str">
        <f>"GUSTAVO A. MADERO                                                               "</f>
        <v xml:space="preserve">GUSTAVO A. MADERO                                                               </v>
      </c>
      <c r="H3093" s="26" t="str">
        <f>"232"</f>
        <v>232</v>
      </c>
      <c r="I3093" s="26" t="str">
        <f t="shared" si="527"/>
        <v>00</v>
      </c>
      <c r="J3093" s="26" t="str">
        <f>"42 "</f>
        <v xml:space="preserve">42 </v>
      </c>
      <c r="K3093" s="26" t="str">
        <f t="shared" si="532"/>
        <v>PR</v>
      </c>
      <c r="L3093" s="26" t="str">
        <f t="shared" si="533"/>
        <v>DGOSE</v>
      </c>
      <c r="M3093" s="26" t="str">
        <f t="shared" si="531"/>
        <v>PARTICULAR</v>
      </c>
      <c r="N3093" s="26">
        <v>65</v>
      </c>
      <c r="O3093" s="26">
        <v>42</v>
      </c>
      <c r="P3093" s="26">
        <v>23</v>
      </c>
      <c r="Q3093" s="26">
        <v>6</v>
      </c>
      <c r="R3093" s="26">
        <v>1</v>
      </c>
      <c r="S3093" s="26">
        <v>3</v>
      </c>
      <c r="T3093" s="26">
        <v>4</v>
      </c>
      <c r="U3093" s="26">
        <v>8</v>
      </c>
      <c r="V3093" s="26">
        <v>1</v>
      </c>
      <c r="W3093" s="26"/>
    </row>
    <row r="3094" spans="1:23" x14ac:dyDescent="0.25">
      <c r="A3094" s="26" t="str">
        <f t="shared" si="526"/>
        <v>PRIMARIA</v>
      </c>
      <c r="B3094" s="26" t="str">
        <f>"09PPR1692A"</f>
        <v>09PPR1692A</v>
      </c>
      <c r="C3094" s="26" t="str">
        <f>"COLEGIO SAN MIGUEL CHAPULTEPEC                                                                      "</f>
        <v xml:space="preserve">COLEGIO SAN MIGUEL CHAPULTEPEC                                                                      </v>
      </c>
      <c r="D3094" s="26" t="str">
        <f t="shared" si="530"/>
        <v>MATUTINO</v>
      </c>
      <c r="E3094" s="26" t="str">
        <f>"VICENTE EGUIA 58B                                                               "</f>
        <v xml:space="preserve">VICENTE EGUIA 58B                                                               </v>
      </c>
      <c r="F3094" s="26" t="str">
        <f>"SAN MIGUEL CHAPULTEPEC SECCION I                                                                                                            "</f>
        <v xml:space="preserve">SAN MIGUEL CHAPULTEPEC SECCION I                                                                                                            </v>
      </c>
      <c r="G3094" s="26" t="str">
        <f>"MIGUEL HIDALGO                                                                  "</f>
        <v xml:space="preserve">MIGUEL HIDALGO                                                                  </v>
      </c>
      <c r="H3094" s="26" t="str">
        <f>"210"</f>
        <v>210</v>
      </c>
      <c r="I3094" s="26" t="str">
        <f t="shared" si="527"/>
        <v>00</v>
      </c>
      <c r="J3094" s="26" t="str">
        <f>"42 "</f>
        <v xml:space="preserve">42 </v>
      </c>
      <c r="K3094" s="26" t="str">
        <f t="shared" si="532"/>
        <v>PR</v>
      </c>
      <c r="L3094" s="26" t="str">
        <f t="shared" si="533"/>
        <v>DGOSE</v>
      </c>
      <c r="M3094" s="26" t="str">
        <f t="shared" si="531"/>
        <v>PARTICULAR</v>
      </c>
      <c r="N3094" s="26">
        <v>65</v>
      </c>
      <c r="O3094" s="26">
        <v>26</v>
      </c>
      <c r="P3094" s="26">
        <v>39</v>
      </c>
      <c r="Q3094" s="26">
        <v>6</v>
      </c>
      <c r="R3094" s="26">
        <v>1</v>
      </c>
      <c r="S3094" s="26">
        <v>3</v>
      </c>
      <c r="T3094" s="26">
        <v>5</v>
      </c>
      <c r="U3094" s="26">
        <v>9</v>
      </c>
      <c r="V3094" s="26">
        <v>1</v>
      </c>
      <c r="W3094" s="26"/>
    </row>
    <row r="3095" spans="1:23" x14ac:dyDescent="0.25">
      <c r="A3095" s="26" t="str">
        <f t="shared" si="526"/>
        <v>PRIMARIA</v>
      </c>
      <c r="B3095" s="26" t="str">
        <f>"09PPR1694Z"</f>
        <v>09PPR1694Z</v>
      </c>
      <c r="C3095" s="26" t="str">
        <f>"INSTITUTO SUCRE                                                                                     "</f>
        <v xml:space="preserve">INSTITUTO SUCRE                                                                                     </v>
      </c>
      <c r="D3095" s="26" t="str">
        <f t="shared" si="530"/>
        <v>MATUTINO</v>
      </c>
      <c r="E3095" s="26" t="str">
        <f>"CALZADA DE TLALPAN No 1768                                                      "</f>
        <v xml:space="preserve">CALZADA DE TLALPAN No 1768                                                      </v>
      </c>
      <c r="F3095" s="26" t="str">
        <f>"PASEOS DE TAXQUEÑA                                                                                                                          "</f>
        <v xml:space="preserve">PASEOS DE TAXQUEÑA                                                                                                                          </v>
      </c>
      <c r="G3095" s="26" t="str">
        <f>"COYOACAN                                                                        "</f>
        <v xml:space="preserve">COYOACAN                                                                        </v>
      </c>
      <c r="H3095" s="26" t="str">
        <f>"508"</f>
        <v>508</v>
      </c>
      <c r="I3095" s="26" t="str">
        <f t="shared" si="527"/>
        <v>00</v>
      </c>
      <c r="J3095" s="26" t="str">
        <f>"45 "</f>
        <v xml:space="preserve">45 </v>
      </c>
      <c r="K3095" s="26" t="str">
        <f t="shared" si="532"/>
        <v>PR</v>
      </c>
      <c r="L3095" s="26" t="str">
        <f t="shared" si="533"/>
        <v>DGOSE</v>
      </c>
      <c r="M3095" s="26" t="str">
        <f t="shared" si="531"/>
        <v>PARTICULAR</v>
      </c>
      <c r="N3095" s="26">
        <v>258</v>
      </c>
      <c r="O3095" s="26">
        <v>125</v>
      </c>
      <c r="P3095" s="26">
        <v>133</v>
      </c>
      <c r="Q3095" s="26">
        <v>12</v>
      </c>
      <c r="R3095" s="26">
        <v>1</v>
      </c>
      <c r="S3095" s="26">
        <v>6</v>
      </c>
      <c r="T3095" s="26">
        <v>12</v>
      </c>
      <c r="U3095" s="26">
        <v>19</v>
      </c>
      <c r="V3095" s="26">
        <v>1</v>
      </c>
      <c r="W3095" s="26"/>
    </row>
    <row r="3096" spans="1:23" x14ac:dyDescent="0.25">
      <c r="A3096" s="26" t="str">
        <f t="shared" si="526"/>
        <v>PRIMARIA</v>
      </c>
      <c r="B3096" s="26" t="str">
        <f>"09PPR1695Y"</f>
        <v>09PPR1695Y</v>
      </c>
      <c r="C3096" s="26" t="str">
        <f>"COLEGIO GGM                                                                                         "</f>
        <v xml:space="preserve">COLEGIO GGM                                                                                         </v>
      </c>
      <c r="D3096" s="26" t="str">
        <f t="shared" si="530"/>
        <v>MATUTINO</v>
      </c>
      <c r="E3096" s="26" t="str">
        <f>"AV. TLAHUAC 8440                                                                "</f>
        <v xml:space="preserve">AV. TLAHUAC 8440                                                                </v>
      </c>
      <c r="F3096" s="26" t="str">
        <f>"LOS REYES                                                                                                                                   "</f>
        <v xml:space="preserve">LOS REYES                                                                                                                                   </v>
      </c>
      <c r="G3096" s="26" t="str">
        <f>"TLAHUAC                                                                         "</f>
        <v xml:space="preserve">TLAHUAC                                                                         </v>
      </c>
      <c r="H3096" s="26" t="str">
        <f>"558"</f>
        <v>558</v>
      </c>
      <c r="I3096" s="26" t="str">
        <f t="shared" si="527"/>
        <v>00</v>
      </c>
      <c r="J3096" s="26" t="str">
        <f>"45 "</f>
        <v xml:space="preserve">45 </v>
      </c>
      <c r="K3096" s="26" t="str">
        <f t="shared" si="532"/>
        <v>PR</v>
      </c>
      <c r="L3096" s="26" t="str">
        <f t="shared" si="533"/>
        <v>DGOSE</v>
      </c>
      <c r="M3096" s="26" t="str">
        <f t="shared" si="531"/>
        <v>PARTICULAR</v>
      </c>
      <c r="N3096" s="26">
        <v>89</v>
      </c>
      <c r="O3096" s="26">
        <v>35</v>
      </c>
      <c r="P3096" s="26">
        <v>54</v>
      </c>
      <c r="Q3096" s="26">
        <v>6</v>
      </c>
      <c r="R3096" s="26">
        <v>1</v>
      </c>
      <c r="S3096" s="26">
        <v>6</v>
      </c>
      <c r="T3096" s="26">
        <v>6</v>
      </c>
      <c r="U3096" s="26">
        <v>13</v>
      </c>
      <c r="V3096" s="26">
        <v>1</v>
      </c>
      <c r="W3096" s="26"/>
    </row>
    <row r="3097" spans="1:23" x14ac:dyDescent="0.25">
      <c r="A3097" s="26" t="str">
        <f t="shared" si="526"/>
        <v>PRIMARIA</v>
      </c>
      <c r="B3097" s="26" t="str">
        <f>"09PPR1697W"</f>
        <v>09PPR1697W</v>
      </c>
      <c r="C3097" s="26" t="str">
        <f>"INSTITUTO ANDRE LAPIERRE                                                                            "</f>
        <v xml:space="preserve">INSTITUTO ANDRE LAPIERRE                                                                            </v>
      </c>
      <c r="D3097" s="26" t="str">
        <f t="shared" si="530"/>
        <v>MATUTINO</v>
      </c>
      <c r="E3097" s="26" t="str">
        <f>"CALLE TIXPEUAL S/N MANZANA 302 LOTE 1                                           "</f>
        <v xml:space="preserve">CALLE TIXPEUAL S/N MANZANA 302 LOTE 1                                           </v>
      </c>
      <c r="F3097" s="26" t="str">
        <f>"TORRES DE PADIERNA                                                                                                                          "</f>
        <v xml:space="preserve">TORRES DE PADIERNA                                                                                                                          </v>
      </c>
      <c r="G3097" s="26" t="str">
        <f>"TLALPAN                                                                         "</f>
        <v xml:space="preserve">TLALPAN                                                                         </v>
      </c>
      <c r="H3097" s="26" t="str">
        <f>"512"</f>
        <v>512</v>
      </c>
      <c r="I3097" s="26" t="str">
        <f t="shared" si="527"/>
        <v>00</v>
      </c>
      <c r="J3097" s="26" t="str">
        <f>"45 "</f>
        <v xml:space="preserve">45 </v>
      </c>
      <c r="K3097" s="26" t="str">
        <f t="shared" si="532"/>
        <v>PR</v>
      </c>
      <c r="L3097" s="26" t="str">
        <f t="shared" si="533"/>
        <v>DGOSE</v>
      </c>
      <c r="M3097" s="26" t="str">
        <f t="shared" si="531"/>
        <v>PARTICULAR</v>
      </c>
      <c r="N3097" s="26">
        <v>147</v>
      </c>
      <c r="O3097" s="26">
        <v>81</v>
      </c>
      <c r="P3097" s="26">
        <v>66</v>
      </c>
      <c r="Q3097" s="26">
        <v>7</v>
      </c>
      <c r="R3097" s="26">
        <v>1</v>
      </c>
      <c r="S3097" s="26">
        <v>5</v>
      </c>
      <c r="T3097" s="26">
        <v>6</v>
      </c>
      <c r="U3097" s="26">
        <v>12</v>
      </c>
      <c r="V3097" s="26">
        <v>1</v>
      </c>
      <c r="W3097" s="26"/>
    </row>
    <row r="3098" spans="1:23" x14ac:dyDescent="0.25">
      <c r="A3098" s="26" t="str">
        <f t="shared" si="526"/>
        <v>PRIMARIA</v>
      </c>
      <c r="B3098" s="26" t="str">
        <f>"09PPR1698V"</f>
        <v>09PPR1698V</v>
      </c>
      <c r="C3098" s="26" t="str">
        <f>"COLEGIO YAIZA S.C.                                                                                  "</f>
        <v xml:space="preserve">COLEGIO YAIZA S.C.                                                                                  </v>
      </c>
      <c r="D3098" s="26" t="str">
        <f t="shared" si="530"/>
        <v>MATUTINO</v>
      </c>
      <c r="E3098" s="26" t="str">
        <f>"PUERTO ARTURO NO 171 Y RIO CONSULADO NO 2669                                    "</f>
        <v xml:space="preserve">PUERTO ARTURO NO 171 Y RIO CONSULADO NO 2669                                    </v>
      </c>
      <c r="F3098" s="26" t="str">
        <f>"AQUILES SERDAN                                                                                                                              "</f>
        <v xml:space="preserve">AQUILES SERDAN                                                                                                                              </v>
      </c>
      <c r="G3098" s="26" t="str">
        <f>"VENUSTIANO CARRANZA                                                             "</f>
        <v xml:space="preserve">VENUSTIANO CARRANZA                                                             </v>
      </c>
      <c r="H3098" s="26" t="str">
        <f>"344"</f>
        <v>344</v>
      </c>
      <c r="I3098" s="26" t="str">
        <f t="shared" si="527"/>
        <v>00</v>
      </c>
      <c r="J3098" s="26" t="str">
        <f>"43 "</f>
        <v xml:space="preserve">43 </v>
      </c>
      <c r="K3098" s="26" t="str">
        <f t="shared" si="532"/>
        <v>PR</v>
      </c>
      <c r="L3098" s="26" t="str">
        <f t="shared" si="533"/>
        <v>DGOSE</v>
      </c>
      <c r="M3098" s="26" t="str">
        <f t="shared" si="531"/>
        <v>PARTICULAR</v>
      </c>
      <c r="N3098" s="26">
        <v>397</v>
      </c>
      <c r="O3098" s="26">
        <v>213</v>
      </c>
      <c r="P3098" s="26">
        <v>184</v>
      </c>
      <c r="Q3098" s="26">
        <v>16</v>
      </c>
      <c r="R3098" s="26">
        <v>1</v>
      </c>
      <c r="S3098" s="26">
        <v>16</v>
      </c>
      <c r="T3098" s="26">
        <v>10</v>
      </c>
      <c r="U3098" s="26">
        <v>27</v>
      </c>
      <c r="V3098" s="26">
        <v>1</v>
      </c>
      <c r="W3098" s="26"/>
    </row>
    <row r="3099" spans="1:23" x14ac:dyDescent="0.25">
      <c r="A3099" s="26" t="str">
        <f t="shared" si="526"/>
        <v>PRIMARIA</v>
      </c>
      <c r="B3099" s="26" t="str">
        <f>"09PPR1699U"</f>
        <v>09PPR1699U</v>
      </c>
      <c r="C3099" s="26" t="str">
        <f>"COLEGIO MONTESQUIEU                                                                                 "</f>
        <v xml:space="preserve">COLEGIO MONTESQUIEU                                                                                 </v>
      </c>
      <c r="D3099" s="26" t="str">
        <f t="shared" si="530"/>
        <v>MATUTINO</v>
      </c>
      <c r="E3099" s="26" t="str">
        <f>"CALLE 13 #207                                                                   "</f>
        <v xml:space="preserve">CALLE 13 #207                                                                   </v>
      </c>
      <c r="F3099" s="26" t="str">
        <f>"ESPARTACO                                                                                                                                   "</f>
        <v xml:space="preserve">ESPARTACO                                                                                                                                   </v>
      </c>
      <c r="G3099" s="26" t="str">
        <f>"COYOACAN                                                                        "</f>
        <v xml:space="preserve">COYOACAN                                                                        </v>
      </c>
      <c r="H3099" s="26" t="str">
        <f>"566"</f>
        <v>566</v>
      </c>
      <c r="I3099" s="26" t="str">
        <f t="shared" si="527"/>
        <v>00</v>
      </c>
      <c r="J3099" s="26" t="str">
        <f>"45 "</f>
        <v xml:space="preserve">45 </v>
      </c>
      <c r="K3099" s="26" t="str">
        <f t="shared" si="532"/>
        <v>PR</v>
      </c>
      <c r="L3099" s="26" t="str">
        <f t="shared" si="533"/>
        <v>DGOSE</v>
      </c>
      <c r="M3099" s="26" t="str">
        <f t="shared" si="531"/>
        <v>PARTICULAR</v>
      </c>
      <c r="N3099" s="26">
        <v>173</v>
      </c>
      <c r="O3099" s="26">
        <v>80</v>
      </c>
      <c r="P3099" s="26">
        <v>93</v>
      </c>
      <c r="Q3099" s="26">
        <v>10</v>
      </c>
      <c r="R3099" s="26">
        <v>1</v>
      </c>
      <c r="S3099" s="26">
        <v>6</v>
      </c>
      <c r="T3099" s="26">
        <v>11</v>
      </c>
      <c r="U3099" s="26">
        <v>18</v>
      </c>
      <c r="V3099" s="26">
        <v>1</v>
      </c>
      <c r="W3099" s="26"/>
    </row>
    <row r="3100" spans="1:23" x14ac:dyDescent="0.25">
      <c r="A3100" s="26" t="str">
        <f t="shared" si="526"/>
        <v>PRIMARIA</v>
      </c>
      <c r="B3100" s="26" t="str">
        <f>"09PPR1701S"</f>
        <v>09PPR1701S</v>
      </c>
      <c r="C3100" s="26" t="str">
        <f>"COLEGIO AKIL BILINGUE                                                                               "</f>
        <v xml:space="preserve">COLEGIO AKIL BILINGUE                                                                               </v>
      </c>
      <c r="D3100" s="26" t="str">
        <f t="shared" si="530"/>
        <v>MATUTINO</v>
      </c>
      <c r="E3100" s="26" t="str">
        <f>"AKIL NO 417                                                                     "</f>
        <v xml:space="preserve">AKIL NO 417                                                                     </v>
      </c>
      <c r="F3100" s="26" t="str">
        <f>"HEROES DE PADIERNA                                                                                                                          "</f>
        <v xml:space="preserve">HEROES DE PADIERNA                                                                                                                          </v>
      </c>
      <c r="G3100" s="26" t="str">
        <f>"TLALPAN                                                                         "</f>
        <v xml:space="preserve">TLALPAN                                                                         </v>
      </c>
      <c r="H3100" s="26" t="str">
        <f>"511"</f>
        <v>511</v>
      </c>
      <c r="I3100" s="26" t="str">
        <f t="shared" si="527"/>
        <v>00</v>
      </c>
      <c r="J3100" s="26" t="str">
        <f>"45 "</f>
        <v xml:space="preserve">45 </v>
      </c>
      <c r="K3100" s="26" t="str">
        <f t="shared" si="532"/>
        <v>PR</v>
      </c>
      <c r="L3100" s="26" t="str">
        <f t="shared" si="533"/>
        <v>DGOSE</v>
      </c>
      <c r="M3100" s="26" t="str">
        <f t="shared" si="531"/>
        <v>PARTICULAR</v>
      </c>
      <c r="N3100" s="26">
        <v>55</v>
      </c>
      <c r="O3100" s="26">
        <v>27</v>
      </c>
      <c r="P3100" s="26">
        <v>28</v>
      </c>
      <c r="Q3100" s="26">
        <v>6</v>
      </c>
      <c r="R3100" s="26">
        <v>1</v>
      </c>
      <c r="S3100" s="26">
        <v>3</v>
      </c>
      <c r="T3100" s="26">
        <v>6</v>
      </c>
      <c r="U3100" s="26">
        <v>10</v>
      </c>
      <c r="V3100" s="26">
        <v>1</v>
      </c>
      <c r="W3100" s="26"/>
    </row>
    <row r="3101" spans="1:23" x14ac:dyDescent="0.25">
      <c r="A3101" s="26" t="str">
        <f t="shared" si="526"/>
        <v>PRIMARIA</v>
      </c>
      <c r="B3101" s="26" t="str">
        <f>"09PPR1702R"</f>
        <v>09PPR1702R</v>
      </c>
      <c r="C3101" s="26" t="str">
        <f>"COLEGIO CIRCULO DE CULTURA PAULO FREIRE                                                             "</f>
        <v xml:space="preserve">COLEGIO CIRCULO DE CULTURA PAULO FREIRE                                                             </v>
      </c>
      <c r="D3101" s="26" t="str">
        <f t="shared" si="530"/>
        <v>MATUTINO</v>
      </c>
      <c r="E3101" s="26" t="str">
        <f>"ORIENTE 87 NO 2706                                                              "</f>
        <v xml:space="preserve">ORIENTE 87 NO 2706                                                              </v>
      </c>
      <c r="F3101" s="26" t="str">
        <f>"EMILIANO ZAPATA                                                                                                                             "</f>
        <v xml:space="preserve">EMILIANO ZAPATA                                                                                                                             </v>
      </c>
      <c r="G3101" s="26" t="str">
        <f>"GUSTAVO A. MADERO                                                               "</f>
        <v xml:space="preserve">GUSTAVO A. MADERO                                                               </v>
      </c>
      <c r="H3101" s="26" t="str">
        <f>"252"</f>
        <v>252</v>
      </c>
      <c r="I3101" s="26" t="str">
        <f t="shared" si="527"/>
        <v>00</v>
      </c>
      <c r="J3101" s="26" t="str">
        <f>"42 "</f>
        <v xml:space="preserve">42 </v>
      </c>
      <c r="K3101" s="26" t="str">
        <f t="shared" si="532"/>
        <v>PR</v>
      </c>
      <c r="L3101" s="26" t="str">
        <f t="shared" si="533"/>
        <v>DGOSE</v>
      </c>
      <c r="M3101" s="26" t="str">
        <f t="shared" si="531"/>
        <v>PARTICULAR</v>
      </c>
      <c r="N3101" s="26">
        <v>105</v>
      </c>
      <c r="O3101" s="26">
        <v>53</v>
      </c>
      <c r="P3101" s="26">
        <v>52</v>
      </c>
      <c r="Q3101" s="26">
        <v>6</v>
      </c>
      <c r="R3101" s="26">
        <v>1</v>
      </c>
      <c r="S3101" s="26">
        <v>4</v>
      </c>
      <c r="T3101" s="26">
        <v>5</v>
      </c>
      <c r="U3101" s="26">
        <v>10</v>
      </c>
      <c r="V3101" s="26">
        <v>1</v>
      </c>
      <c r="W3101" s="26"/>
    </row>
    <row r="3102" spans="1:23" x14ac:dyDescent="0.25">
      <c r="A3102" s="26" t="str">
        <f t="shared" si="526"/>
        <v>PRIMARIA</v>
      </c>
      <c r="B3102" s="26" t="str">
        <f>"09PPR1703Q"</f>
        <v>09PPR1703Q</v>
      </c>
      <c r="C3102" s="26" t="str">
        <f>"ESHDEI ESCUELA HUMANISTA DE EDUCACION INTEGRAL                                                      "</f>
        <v xml:space="preserve">ESHDEI ESCUELA HUMANISTA DE EDUCACION INTEGRAL                                                      </v>
      </c>
      <c r="D3102" s="26" t="str">
        <f t="shared" si="530"/>
        <v>MATUTINO</v>
      </c>
      <c r="E3102" s="26" t="str">
        <f>"CALLE EMILIANO ZAPATA NO 63                                                     "</f>
        <v xml:space="preserve">CALLE EMILIANO ZAPATA NO 63                                                     </v>
      </c>
      <c r="F3102" s="26" t="str">
        <f>"SAN JERONIMO ACULCO                                                                                                                         "</f>
        <v xml:space="preserve">SAN JERONIMO ACULCO                                                                                                                         </v>
      </c>
      <c r="G3102" s="26" t="str">
        <f>"LA MAGDALENA CONTRERAS                                                          "</f>
        <v xml:space="preserve">LA MAGDALENA CONTRERAS                                                          </v>
      </c>
      <c r="H3102" s="26" t="str">
        <f>"331"</f>
        <v>331</v>
      </c>
      <c r="I3102" s="26" t="str">
        <f t="shared" si="527"/>
        <v>00</v>
      </c>
      <c r="J3102" s="26" t="str">
        <f>"43 "</f>
        <v xml:space="preserve">43 </v>
      </c>
      <c r="K3102" s="26" t="str">
        <f t="shared" si="532"/>
        <v>PR</v>
      </c>
      <c r="L3102" s="26" t="str">
        <f t="shared" si="533"/>
        <v>DGOSE</v>
      </c>
      <c r="M3102" s="26" t="str">
        <f t="shared" si="531"/>
        <v>PARTICULAR</v>
      </c>
      <c r="N3102" s="26">
        <v>53</v>
      </c>
      <c r="O3102" s="26">
        <v>28</v>
      </c>
      <c r="P3102" s="26">
        <v>25</v>
      </c>
      <c r="Q3102" s="26">
        <v>6</v>
      </c>
      <c r="R3102" s="26">
        <v>1</v>
      </c>
      <c r="S3102" s="26">
        <v>3</v>
      </c>
      <c r="T3102" s="26">
        <v>8</v>
      </c>
      <c r="U3102" s="26">
        <v>12</v>
      </c>
      <c r="V3102" s="26">
        <v>1</v>
      </c>
      <c r="W3102" s="26"/>
    </row>
    <row r="3103" spans="1:23" x14ac:dyDescent="0.25">
      <c r="A3103" s="26" t="str">
        <f t="shared" si="526"/>
        <v>PRIMARIA</v>
      </c>
      <c r="B3103" s="26" t="str">
        <f>"09PPR1704P"</f>
        <v>09PPR1704P</v>
      </c>
      <c r="C3103" s="26" t="str">
        <f>"INSTITUTO AILYN                                                                                     "</f>
        <v xml:space="preserve">INSTITUTO AILYN                                                                                     </v>
      </c>
      <c r="D3103" s="26" t="str">
        <f t="shared" si="530"/>
        <v>MATUTINO</v>
      </c>
      <c r="E3103" s="26" t="str">
        <f>"JILGUERO NO 59                                                                  "</f>
        <v xml:space="preserve">JILGUERO NO 59                                                                  </v>
      </c>
      <c r="F3103" s="26" t="str">
        <f>"LOS PADRES                                                                                                                                  "</f>
        <v xml:space="preserve">LOS PADRES                                                                                                                                  </v>
      </c>
      <c r="G3103" s="26" t="str">
        <f>"LA MAGDALENA CONTRERAS                                                          "</f>
        <v xml:space="preserve">LA MAGDALENA CONTRERAS                                                          </v>
      </c>
      <c r="H3103" s="26" t="str">
        <f>"333"</f>
        <v>333</v>
      </c>
      <c r="I3103" s="26" t="str">
        <f t="shared" si="527"/>
        <v>00</v>
      </c>
      <c r="J3103" s="26" t="str">
        <f>"43 "</f>
        <v xml:space="preserve">43 </v>
      </c>
      <c r="K3103" s="26" t="str">
        <f t="shared" si="532"/>
        <v>PR</v>
      </c>
      <c r="L3103" s="26" t="str">
        <f t="shared" si="533"/>
        <v>DGOSE</v>
      </c>
      <c r="M3103" s="26" t="str">
        <f t="shared" si="531"/>
        <v>PARTICULAR</v>
      </c>
      <c r="N3103" s="26">
        <v>55</v>
      </c>
      <c r="O3103" s="26">
        <v>27</v>
      </c>
      <c r="P3103" s="26">
        <v>28</v>
      </c>
      <c r="Q3103" s="26">
        <v>6</v>
      </c>
      <c r="R3103" s="26">
        <v>1</v>
      </c>
      <c r="S3103" s="26">
        <v>3</v>
      </c>
      <c r="T3103" s="26">
        <v>6</v>
      </c>
      <c r="U3103" s="26">
        <v>10</v>
      </c>
      <c r="V3103" s="26">
        <v>1</v>
      </c>
      <c r="W3103" s="26"/>
    </row>
    <row r="3104" spans="1:23" x14ac:dyDescent="0.25">
      <c r="A3104" s="26" t="str">
        <f t="shared" si="526"/>
        <v>PRIMARIA</v>
      </c>
      <c r="B3104" s="26" t="str">
        <f>"09PPR1705O"</f>
        <v>09PPR1705O</v>
      </c>
      <c r="C3104" s="26" t="str">
        <f>"CENTRO DE INVESTIGACIONES EDUCATIVAS Y ARTISTICAS PIPIOLO                                           "</f>
        <v xml:space="preserve">CENTRO DE INVESTIGACIONES EDUCATIVAS Y ARTISTICAS PIPIOLO                                           </v>
      </c>
      <c r="D3104" s="26" t="str">
        <f t="shared" si="530"/>
        <v>MATUTINO</v>
      </c>
      <c r="E3104" s="26" t="str">
        <f>"JOAQUIN GARCIA ICAZBALCETA NO 25                                                "</f>
        <v xml:space="preserve">JOAQUIN GARCIA ICAZBALCETA NO 25                                                </v>
      </c>
      <c r="F3104" s="26" t="str">
        <f>"SAN RAFAEL                                                                                                                                  "</f>
        <v xml:space="preserve">SAN RAFAEL                                                                                                                                  </v>
      </c>
      <c r="G3104" s="26" t="str">
        <f>"CUAUHTEMOC                                                                      "</f>
        <v xml:space="preserve">CUAUHTEMOC                                                                      </v>
      </c>
      <c r="H3104" s="26" t="str">
        <f>"000"</f>
        <v>000</v>
      </c>
      <c r="I3104" s="26" t="str">
        <f t="shared" si="527"/>
        <v>00</v>
      </c>
      <c r="J3104" s="26" t="str">
        <f>"42 "</f>
        <v xml:space="preserve">42 </v>
      </c>
      <c r="K3104" s="26" t="str">
        <f t="shared" si="532"/>
        <v>PR</v>
      </c>
      <c r="L3104" s="26" t="str">
        <f t="shared" si="533"/>
        <v>DGOSE</v>
      </c>
      <c r="M3104" s="26" t="str">
        <f t="shared" si="531"/>
        <v>PARTICULAR</v>
      </c>
      <c r="N3104" s="26">
        <v>59</v>
      </c>
      <c r="O3104" s="26">
        <v>32</v>
      </c>
      <c r="P3104" s="26">
        <v>27</v>
      </c>
      <c r="Q3104" s="26">
        <v>6</v>
      </c>
      <c r="R3104" s="26">
        <v>1</v>
      </c>
      <c r="S3104" s="26">
        <v>3</v>
      </c>
      <c r="T3104" s="26">
        <v>5</v>
      </c>
      <c r="U3104" s="26">
        <v>9</v>
      </c>
      <c r="V3104" s="26">
        <v>1</v>
      </c>
      <c r="W3104" s="26"/>
    </row>
    <row r="3105" spans="1:23" x14ac:dyDescent="0.25">
      <c r="A3105" s="26" t="str">
        <f t="shared" si="526"/>
        <v>PRIMARIA</v>
      </c>
      <c r="B3105" s="26" t="str">
        <f>"09PPR1706N"</f>
        <v>09PPR1706N</v>
      </c>
      <c r="C3105" s="26" t="str">
        <f>"COLEGIO INGLES HELEN KELLER PRIMARIA                                                                "</f>
        <v xml:space="preserve">COLEGIO INGLES HELEN KELLER PRIMARIA                                                                </v>
      </c>
      <c r="D3105" s="26" t="str">
        <f t="shared" si="530"/>
        <v>MATUTINO</v>
      </c>
      <c r="E3105" s="26" t="str">
        <f>"ALICIA NO 74                                                                    "</f>
        <v xml:space="preserve">ALICIA NO 74                                                                    </v>
      </c>
      <c r="F3105" s="26" t="str">
        <f>"GUADALUPE TEPEYAC                                                                                                                           "</f>
        <v xml:space="preserve">GUADALUPE TEPEYAC                                                                                                                           </v>
      </c>
      <c r="G3105" s="26" t="str">
        <f>"GUSTAVO A. MADERO                                                               "</f>
        <v xml:space="preserve">GUSTAVO A. MADERO                                                               </v>
      </c>
      <c r="H3105" s="26" t="str">
        <f>"247"</f>
        <v>247</v>
      </c>
      <c r="I3105" s="26" t="str">
        <f t="shared" si="527"/>
        <v>00</v>
      </c>
      <c r="J3105" s="26" t="str">
        <f>"42 "</f>
        <v xml:space="preserve">42 </v>
      </c>
      <c r="K3105" s="26" t="str">
        <f t="shared" si="532"/>
        <v>PR</v>
      </c>
      <c r="L3105" s="26" t="str">
        <f t="shared" si="533"/>
        <v>DGOSE</v>
      </c>
      <c r="M3105" s="26" t="str">
        <f t="shared" si="531"/>
        <v>PARTICULAR</v>
      </c>
      <c r="N3105" s="26">
        <v>133</v>
      </c>
      <c r="O3105" s="26">
        <v>69</v>
      </c>
      <c r="P3105" s="26">
        <v>64</v>
      </c>
      <c r="Q3105" s="26">
        <v>6</v>
      </c>
      <c r="R3105" s="26">
        <v>1</v>
      </c>
      <c r="S3105" s="26">
        <v>3</v>
      </c>
      <c r="T3105" s="26">
        <v>3</v>
      </c>
      <c r="U3105" s="26">
        <v>7</v>
      </c>
      <c r="V3105" s="26">
        <v>1</v>
      </c>
      <c r="W3105" s="26"/>
    </row>
    <row r="3106" spans="1:23" x14ac:dyDescent="0.25">
      <c r="A3106" s="26" t="str">
        <f t="shared" si="526"/>
        <v>PRIMARIA</v>
      </c>
      <c r="B3106" s="26" t="str">
        <f>"09PPR1707M"</f>
        <v>09PPR1707M</v>
      </c>
      <c r="C3106" s="26" t="str">
        <f>"COLEGIO MONTESSORI COLOMBA                                                                          "</f>
        <v xml:space="preserve">COLEGIO MONTESSORI COLOMBA                                                                          </v>
      </c>
      <c r="D3106" s="26" t="str">
        <f t="shared" si="530"/>
        <v>MATUTINO</v>
      </c>
      <c r="E3106" s="26" t="str">
        <f>"CDA DE DILIGENCIAS NO 45 ANTES 85                                               "</f>
        <v xml:space="preserve">CDA DE DILIGENCIAS NO 45 ANTES 85                                               </v>
      </c>
      <c r="F3106" s="26" t="str">
        <f>"SAN ANDRES TOTOLTEPEC                                                                                                                       "</f>
        <v xml:space="preserve">SAN ANDRES TOTOLTEPEC                                                                                                                       </v>
      </c>
      <c r="G3106" s="26" t="str">
        <f>"TLALPAN                                                                         "</f>
        <v xml:space="preserve">TLALPAN                                                                         </v>
      </c>
      <c r="H3106" s="26" t="str">
        <f>"528"</f>
        <v>528</v>
      </c>
      <c r="I3106" s="26" t="str">
        <f t="shared" si="527"/>
        <v>00</v>
      </c>
      <c r="J3106" s="26" t="str">
        <f>"45 "</f>
        <v xml:space="preserve">45 </v>
      </c>
      <c r="K3106" s="26" t="str">
        <f t="shared" si="532"/>
        <v>PR</v>
      </c>
      <c r="L3106" s="26" t="str">
        <f t="shared" si="533"/>
        <v>DGOSE</v>
      </c>
      <c r="M3106" s="26" t="str">
        <f t="shared" si="531"/>
        <v>PARTICULAR</v>
      </c>
      <c r="N3106" s="26">
        <v>119</v>
      </c>
      <c r="O3106" s="26">
        <v>77</v>
      </c>
      <c r="P3106" s="26">
        <v>42</v>
      </c>
      <c r="Q3106" s="26">
        <v>6</v>
      </c>
      <c r="R3106" s="26">
        <v>1</v>
      </c>
      <c r="S3106" s="26">
        <v>4</v>
      </c>
      <c r="T3106" s="26">
        <v>21</v>
      </c>
      <c r="U3106" s="26">
        <v>26</v>
      </c>
      <c r="V3106" s="26">
        <v>1</v>
      </c>
      <c r="W3106" s="26"/>
    </row>
    <row r="3107" spans="1:23" x14ac:dyDescent="0.25">
      <c r="A3107" s="26" t="str">
        <f t="shared" si="526"/>
        <v>PRIMARIA</v>
      </c>
      <c r="B3107" s="26" t="str">
        <f>"09PPR1708L"</f>
        <v>09PPR1708L</v>
      </c>
      <c r="C3107" s="26" t="str">
        <f>"COLEGIO SAN PATRICIO                                                                                "</f>
        <v xml:space="preserve">COLEGIO SAN PATRICIO                                                                                </v>
      </c>
      <c r="D3107" s="26" t="str">
        <f t="shared" si="530"/>
        <v>MATUTINO</v>
      </c>
      <c r="E3107" s="26" t="str">
        <f>"AVENIDA LUIS YUREN NO 49                                                        "</f>
        <v xml:space="preserve">AVENIDA LUIS YUREN NO 49                                                        </v>
      </c>
      <c r="F3107" s="26" t="str">
        <f>"UNIDAD CTM ATZACOALCO                                                                                                                       "</f>
        <v xml:space="preserve">UNIDAD CTM ATZACOALCO                                                                                                                       </v>
      </c>
      <c r="G3107" s="26" t="str">
        <f>"GUSTAVO A. MADERO                                                               "</f>
        <v xml:space="preserve">GUSTAVO A. MADERO                                                               </v>
      </c>
      <c r="H3107" s="26" t="str">
        <f>"255"</f>
        <v>255</v>
      </c>
      <c r="I3107" s="26" t="str">
        <f t="shared" si="527"/>
        <v>00</v>
      </c>
      <c r="J3107" s="26" t="str">
        <f>"42 "</f>
        <v xml:space="preserve">42 </v>
      </c>
      <c r="K3107" s="26" t="str">
        <f t="shared" si="532"/>
        <v>PR</v>
      </c>
      <c r="L3107" s="26" t="str">
        <f t="shared" si="533"/>
        <v>DGOSE</v>
      </c>
      <c r="M3107" s="26" t="str">
        <f t="shared" si="531"/>
        <v>PARTICULAR</v>
      </c>
      <c r="N3107" s="26">
        <v>46</v>
      </c>
      <c r="O3107" s="26">
        <v>23</v>
      </c>
      <c r="P3107" s="26">
        <v>23</v>
      </c>
      <c r="Q3107" s="26">
        <v>6</v>
      </c>
      <c r="R3107" s="26">
        <v>1</v>
      </c>
      <c r="S3107" s="26">
        <v>4</v>
      </c>
      <c r="T3107" s="26">
        <v>4</v>
      </c>
      <c r="U3107" s="26">
        <v>9</v>
      </c>
      <c r="V3107" s="26">
        <v>1</v>
      </c>
      <c r="W3107" s="26"/>
    </row>
    <row r="3108" spans="1:23" x14ac:dyDescent="0.25">
      <c r="A3108" s="26" t="str">
        <f t="shared" si="526"/>
        <v>PRIMARIA</v>
      </c>
      <c r="B3108" s="26" t="str">
        <f>"09PPR1709K"</f>
        <v>09PPR1709K</v>
      </c>
      <c r="C3108" s="26" t="str">
        <f>"COLEGIO INTERNACIONAL DE MEXICO                                                                     "</f>
        <v xml:space="preserve">COLEGIO INTERNACIONAL DE MEXICO                                                                     </v>
      </c>
      <c r="D3108" s="26" t="str">
        <f t="shared" si="530"/>
        <v>MATUTINO</v>
      </c>
      <c r="E3108" s="26" t="str">
        <f>"RIO MAGDALENA NO 263                                                            "</f>
        <v xml:space="preserve">RIO MAGDALENA NO 263                                                            </v>
      </c>
      <c r="F3108" s="26" t="str">
        <f>"TIZAPAN                                                                                                                                     "</f>
        <v xml:space="preserve">TIZAPAN                                                                                                                                     </v>
      </c>
      <c r="G3108" s="26" t="str">
        <f>"ALVARO OBREGON                                                                  "</f>
        <v xml:space="preserve">ALVARO OBREGON                                                                  </v>
      </c>
      <c r="H3108" s="26" t="str">
        <f>"325"</f>
        <v>325</v>
      </c>
      <c r="I3108" s="26" t="str">
        <f t="shared" si="527"/>
        <v>00</v>
      </c>
      <c r="J3108" s="26" t="str">
        <f>"43 "</f>
        <v xml:space="preserve">43 </v>
      </c>
      <c r="K3108" s="26" t="str">
        <f t="shared" si="532"/>
        <v>PR</v>
      </c>
      <c r="L3108" s="26" t="str">
        <f t="shared" si="533"/>
        <v>DGOSE</v>
      </c>
      <c r="M3108" s="26" t="str">
        <f t="shared" si="531"/>
        <v>PARTICULAR</v>
      </c>
      <c r="N3108" s="26">
        <v>316</v>
      </c>
      <c r="O3108" s="26">
        <v>162</v>
      </c>
      <c r="P3108" s="26">
        <v>154</v>
      </c>
      <c r="Q3108" s="26">
        <v>16</v>
      </c>
      <c r="R3108" s="26">
        <v>1</v>
      </c>
      <c r="S3108" s="26">
        <v>8</v>
      </c>
      <c r="T3108" s="26">
        <v>10</v>
      </c>
      <c r="U3108" s="26">
        <v>19</v>
      </c>
      <c r="V3108" s="26">
        <v>1</v>
      </c>
      <c r="W3108" s="26"/>
    </row>
    <row r="3109" spans="1:23" x14ac:dyDescent="0.25">
      <c r="A3109" s="26" t="str">
        <f t="shared" si="526"/>
        <v>PRIMARIA</v>
      </c>
      <c r="B3109" s="26" t="str">
        <f>"09PPR1710Z"</f>
        <v>09PPR1710Z</v>
      </c>
      <c r="C3109" s="26" t="str">
        <f>"CENTRO ESCOLAR MEXICO                                                                               "</f>
        <v xml:space="preserve">CENTRO ESCOLAR MEXICO                                                                               </v>
      </c>
      <c r="D3109" s="26" t="str">
        <f t="shared" si="530"/>
        <v>MATUTINO</v>
      </c>
      <c r="E3109" s="26" t="str">
        <f>"CDA. 5 TEPOZTLAN MZ. 107  LT. 20                                                "</f>
        <v xml:space="preserve">CDA. 5 TEPOZTLAN MZ. 107  LT. 20                                                </v>
      </c>
      <c r="F3109" s="26" t="str">
        <f>"LOMAS DE ZARAGOZA                                                                                                                           "</f>
        <v xml:space="preserve">LOMAS DE ZARAGOZA                                                                                                                           </v>
      </c>
      <c r="G3109" s="26" t="str">
        <f>"IZTAPALAPA                                                                      "</f>
        <v xml:space="preserve">IZTAPALAPA                                                                      </v>
      </c>
      <c r="H3109" s="26" t="str">
        <f>"000"</f>
        <v>000</v>
      </c>
      <c r="I3109" s="26" t="str">
        <f t="shared" si="527"/>
        <v>00</v>
      </c>
      <c r="J3109" s="26" t="str">
        <f>"64 "</f>
        <v xml:space="preserve">64 </v>
      </c>
      <c r="K3109" s="26" t="str">
        <f>"IZ"</f>
        <v>IZ</v>
      </c>
      <c r="L3109" s="26" t="str">
        <f>"DGSEI"</f>
        <v>DGSEI</v>
      </c>
      <c r="M3109" s="26" t="str">
        <f t="shared" si="531"/>
        <v>PARTICULAR</v>
      </c>
      <c r="N3109" s="26">
        <v>68</v>
      </c>
      <c r="O3109" s="26">
        <v>35</v>
      </c>
      <c r="P3109" s="26">
        <v>33</v>
      </c>
      <c r="Q3109" s="26">
        <v>6</v>
      </c>
      <c r="R3109" s="26">
        <v>0</v>
      </c>
      <c r="S3109" s="26">
        <v>6</v>
      </c>
      <c r="T3109" s="26">
        <v>1</v>
      </c>
      <c r="U3109" s="26">
        <v>7</v>
      </c>
      <c r="V3109" s="26">
        <v>1</v>
      </c>
      <c r="W3109" s="26"/>
    </row>
    <row r="3110" spans="1:23" x14ac:dyDescent="0.25">
      <c r="A3110" s="26" t="str">
        <f t="shared" si="526"/>
        <v>PRIMARIA</v>
      </c>
      <c r="B3110" s="26" t="str">
        <f>"09PPR1712Y"</f>
        <v>09PPR1712Y</v>
      </c>
      <c r="C3110" s="26" t="str">
        <f>"VIGOTSKY ENGLISH SCHOOL                                                                             "</f>
        <v xml:space="preserve">VIGOTSKY ENGLISH SCHOOL                                                                             </v>
      </c>
      <c r="D3110" s="26" t="str">
        <f t="shared" si="530"/>
        <v>MATUTINO</v>
      </c>
      <c r="E3110" s="26" t="str">
        <f>"SUR 25 MZ. 48 LT. 49                                                            "</f>
        <v xml:space="preserve">SUR 25 MZ. 48 LT. 49                                                            </v>
      </c>
      <c r="F3110" s="26" t="str">
        <f>"LEYES DE REFORMA                                                                                                                            "</f>
        <v xml:space="preserve">LEYES DE REFORMA                                                                                                                            </v>
      </c>
      <c r="G3110" s="26" t="str">
        <f>"IZTAPALAPA                                                                      "</f>
        <v xml:space="preserve">IZTAPALAPA                                                                      </v>
      </c>
      <c r="H3110" s="26" t="str">
        <f>"000"</f>
        <v>000</v>
      </c>
      <c r="I3110" s="26" t="str">
        <f t="shared" si="527"/>
        <v>00</v>
      </c>
      <c r="J3110" s="26" t="str">
        <f>"61 "</f>
        <v xml:space="preserve">61 </v>
      </c>
      <c r="K3110" s="26" t="str">
        <f>"IZ"</f>
        <v>IZ</v>
      </c>
      <c r="L3110" s="26" t="str">
        <f>"DGSEI"</f>
        <v>DGSEI</v>
      </c>
      <c r="M3110" s="26" t="str">
        <f t="shared" si="531"/>
        <v>PARTICULAR</v>
      </c>
      <c r="N3110" s="26">
        <v>49</v>
      </c>
      <c r="O3110" s="26">
        <v>21</v>
      </c>
      <c r="P3110" s="26">
        <v>28</v>
      </c>
      <c r="Q3110" s="26">
        <v>6</v>
      </c>
      <c r="R3110" s="26">
        <v>1</v>
      </c>
      <c r="S3110" s="26">
        <v>3</v>
      </c>
      <c r="T3110" s="26">
        <v>9</v>
      </c>
      <c r="U3110" s="26">
        <v>13</v>
      </c>
      <c r="V3110" s="26">
        <v>1</v>
      </c>
      <c r="W3110" s="26"/>
    </row>
    <row r="3111" spans="1:23" x14ac:dyDescent="0.25">
      <c r="A3111" s="26" t="str">
        <f t="shared" si="526"/>
        <v>PRIMARIA</v>
      </c>
      <c r="B3111" s="26" t="str">
        <f>"09PPR1714W"</f>
        <v>09PPR1714W</v>
      </c>
      <c r="C3111" s="26" t="str">
        <f>"COLEGIO SIGLO XXI                                                                                   "</f>
        <v xml:space="preserve">COLEGIO SIGLO XXI                                                                                   </v>
      </c>
      <c r="D3111" s="26" t="str">
        <f t="shared" si="530"/>
        <v>MATUTINO</v>
      </c>
      <c r="E3111" s="26" t="str">
        <f>"CALLE 1547 No 11                                                                "</f>
        <v xml:space="preserve">CALLE 1547 No 11                                                                </v>
      </c>
      <c r="F3111" s="26" t="str">
        <f>"SAN JUAN DE ARAGON                                                                                                                          "</f>
        <v xml:space="preserve">SAN JUAN DE ARAGON                                                                                                                          </v>
      </c>
      <c r="G3111" s="26" t="str">
        <f>"GUSTAVO A. MADERO                                                               "</f>
        <v xml:space="preserve">GUSTAVO A. MADERO                                                               </v>
      </c>
      <c r="H3111" s="26" t="str">
        <f>"267"</f>
        <v>267</v>
      </c>
      <c r="I3111" s="26" t="str">
        <f t="shared" si="527"/>
        <v>00</v>
      </c>
      <c r="J3111" s="26" t="str">
        <f>"42 "</f>
        <v xml:space="preserve">42 </v>
      </c>
      <c r="K3111" s="26" t="str">
        <f t="shared" ref="K3111:K3128" si="534">"PR"</f>
        <v>PR</v>
      </c>
      <c r="L3111" s="26" t="str">
        <f t="shared" ref="L3111:L3128" si="535">"DGOSE"</f>
        <v>DGOSE</v>
      </c>
      <c r="M3111" s="26" t="str">
        <f t="shared" si="531"/>
        <v>PARTICULAR</v>
      </c>
      <c r="N3111" s="26">
        <v>106</v>
      </c>
      <c r="O3111" s="26">
        <v>58</v>
      </c>
      <c r="P3111" s="26">
        <v>48</v>
      </c>
      <c r="Q3111" s="26">
        <v>6</v>
      </c>
      <c r="R3111" s="26">
        <v>1</v>
      </c>
      <c r="S3111" s="26">
        <v>4</v>
      </c>
      <c r="T3111" s="26">
        <v>6</v>
      </c>
      <c r="U3111" s="26">
        <v>11</v>
      </c>
      <c r="V3111" s="26">
        <v>1</v>
      </c>
      <c r="W3111" s="26"/>
    </row>
    <row r="3112" spans="1:23" x14ac:dyDescent="0.25">
      <c r="A3112" s="26" t="str">
        <f t="shared" si="526"/>
        <v>PRIMARIA</v>
      </c>
      <c r="B3112" s="26" t="str">
        <f>"09PPR1715V"</f>
        <v>09PPR1715V</v>
      </c>
      <c r="C3112" s="26" t="str">
        <f>"COLEGIO AXAYACATL                                                                                   "</f>
        <v xml:space="preserve">COLEGIO AXAYACATL                                                                                   </v>
      </c>
      <c r="D3112" s="26" t="str">
        <f>"VESPERTINO"</f>
        <v>VESPERTINO</v>
      </c>
      <c r="E3112" s="26" t="str">
        <f>"AV CIRCUNVALACION 443                                                           "</f>
        <v xml:space="preserve">AV CIRCUNVALACION 443                                                           </v>
      </c>
      <c r="F3112" s="26" t="str">
        <f>"CUCHILLA PANTITLAN                                                                                                                          "</f>
        <v xml:space="preserve">CUCHILLA PANTITLAN                                                                                                                          </v>
      </c>
      <c r="G3112" s="26" t="str">
        <f>"VENUSTIANO CARRANZA                                                             "</f>
        <v xml:space="preserve">VENUSTIANO CARRANZA                                                             </v>
      </c>
      <c r="H3112" s="26" t="str">
        <f>"352"</f>
        <v>352</v>
      </c>
      <c r="I3112" s="26" t="str">
        <f t="shared" si="527"/>
        <v>00</v>
      </c>
      <c r="J3112" s="26" t="str">
        <f>"43 "</f>
        <v xml:space="preserve">43 </v>
      </c>
      <c r="K3112" s="26" t="str">
        <f t="shared" si="534"/>
        <v>PR</v>
      </c>
      <c r="L3112" s="26" t="str">
        <f t="shared" si="535"/>
        <v>DGOSE</v>
      </c>
      <c r="M3112" s="26" t="str">
        <f t="shared" si="531"/>
        <v>PARTICULAR</v>
      </c>
      <c r="N3112" s="26">
        <v>99</v>
      </c>
      <c r="O3112" s="26">
        <v>60</v>
      </c>
      <c r="P3112" s="26">
        <v>39</v>
      </c>
      <c r="Q3112" s="26">
        <v>6</v>
      </c>
      <c r="R3112" s="26">
        <v>1</v>
      </c>
      <c r="S3112" s="26">
        <v>6</v>
      </c>
      <c r="T3112" s="26">
        <v>5</v>
      </c>
      <c r="U3112" s="26">
        <v>12</v>
      </c>
      <c r="V3112" s="26">
        <v>1</v>
      </c>
      <c r="W3112" s="26"/>
    </row>
    <row r="3113" spans="1:23" x14ac:dyDescent="0.25">
      <c r="A3113" s="26" t="str">
        <f t="shared" si="526"/>
        <v>PRIMARIA</v>
      </c>
      <c r="B3113" s="26" t="str">
        <f>"09PPR1716U"</f>
        <v>09PPR1716U</v>
      </c>
      <c r="C3113" s="26" t="str">
        <f>"CENTRO EDUCATIVO MOZART PRIMARIA                                                                    "</f>
        <v xml:space="preserve">CENTRO EDUCATIVO MOZART PRIMARIA                                                                    </v>
      </c>
      <c r="D3113" s="26" t="str">
        <f t="shared" ref="D3113:D3118" si="536">"MATUTINO"</f>
        <v>MATUTINO</v>
      </c>
      <c r="E3113" s="26" t="str">
        <f>"ZOTITLA NO 55                                                                   "</f>
        <v xml:space="preserve">ZOTITLA NO 55                                                                   </v>
      </c>
      <c r="F3113" s="26" t="str">
        <f>"ABDIAS GARCIA SOTO                                                                                                                          "</f>
        <v xml:space="preserve">ABDIAS GARCIA SOTO                                                                                                                          </v>
      </c>
      <c r="G3113" s="26" t="str">
        <f>"CUAJIMALPA DE MORELOS                                                           "</f>
        <v xml:space="preserve">CUAJIMALPA DE MORELOS                                                           </v>
      </c>
      <c r="H3113" s="26" t="str">
        <f>"304"</f>
        <v>304</v>
      </c>
      <c r="I3113" s="26" t="str">
        <f t="shared" si="527"/>
        <v>00</v>
      </c>
      <c r="J3113" s="26" t="str">
        <f>"43 "</f>
        <v xml:space="preserve">43 </v>
      </c>
      <c r="K3113" s="26" t="str">
        <f t="shared" si="534"/>
        <v>PR</v>
      </c>
      <c r="L3113" s="26" t="str">
        <f t="shared" si="535"/>
        <v>DGOSE</v>
      </c>
      <c r="M3113" s="26" t="str">
        <f t="shared" si="531"/>
        <v>PARTICULAR</v>
      </c>
      <c r="N3113" s="26">
        <v>121</v>
      </c>
      <c r="O3113" s="26">
        <v>61</v>
      </c>
      <c r="P3113" s="26">
        <v>60</v>
      </c>
      <c r="Q3113" s="26">
        <v>7</v>
      </c>
      <c r="R3113" s="26">
        <v>1</v>
      </c>
      <c r="S3113" s="26">
        <v>6</v>
      </c>
      <c r="T3113" s="26">
        <v>5</v>
      </c>
      <c r="U3113" s="26">
        <v>12</v>
      </c>
      <c r="V3113" s="26">
        <v>1</v>
      </c>
      <c r="W3113" s="26"/>
    </row>
    <row r="3114" spans="1:23" x14ac:dyDescent="0.25">
      <c r="A3114" s="26" t="str">
        <f t="shared" si="526"/>
        <v>PRIMARIA</v>
      </c>
      <c r="B3114" s="26" t="str">
        <f>"09PPR1717T"</f>
        <v>09PPR1717T</v>
      </c>
      <c r="C3114" s="26" t="str">
        <f>"COLEGIO VILLA CAMPESTRE                                                                             "</f>
        <v xml:space="preserve">COLEGIO VILLA CAMPESTRE                                                                             </v>
      </c>
      <c r="D3114" s="26" t="str">
        <f t="shared" si="536"/>
        <v>MATUTINO</v>
      </c>
      <c r="E3114" s="26" t="str">
        <f>"TEKIT NO 528                                                                    "</f>
        <v xml:space="preserve">TEKIT NO 528                                                                    </v>
      </c>
      <c r="F3114" s="26" t="str">
        <f>"HEROES DE PADIERNA                                                                                                                          "</f>
        <v xml:space="preserve">HEROES DE PADIERNA                                                                                                                          </v>
      </c>
      <c r="G3114" s="26" t="str">
        <f>"TLALPAN                                                                         "</f>
        <v xml:space="preserve">TLALPAN                                                                         </v>
      </c>
      <c r="H3114" s="26" t="str">
        <f>"513"</f>
        <v>513</v>
      </c>
      <c r="I3114" s="26" t="str">
        <f t="shared" si="527"/>
        <v>00</v>
      </c>
      <c r="J3114" s="26" t="str">
        <f>"45 "</f>
        <v xml:space="preserve">45 </v>
      </c>
      <c r="K3114" s="26" t="str">
        <f t="shared" si="534"/>
        <v>PR</v>
      </c>
      <c r="L3114" s="26" t="str">
        <f t="shared" si="535"/>
        <v>DGOSE</v>
      </c>
      <c r="M3114" s="26" t="str">
        <f t="shared" si="531"/>
        <v>PARTICULAR</v>
      </c>
      <c r="N3114" s="26">
        <v>16</v>
      </c>
      <c r="O3114" s="26">
        <v>9</v>
      </c>
      <c r="P3114" s="26">
        <v>7</v>
      </c>
      <c r="Q3114" s="26">
        <v>6</v>
      </c>
      <c r="R3114" s="26">
        <v>1</v>
      </c>
      <c r="S3114" s="26">
        <v>2</v>
      </c>
      <c r="T3114" s="26">
        <v>1</v>
      </c>
      <c r="U3114" s="26">
        <v>4</v>
      </c>
      <c r="V3114" s="26">
        <v>1</v>
      </c>
      <c r="W3114" s="26"/>
    </row>
    <row r="3115" spans="1:23" x14ac:dyDescent="0.25">
      <c r="A3115" s="26" t="str">
        <f t="shared" si="526"/>
        <v>PRIMARIA</v>
      </c>
      <c r="B3115" s="26" t="str">
        <f>"09PPR1718S"</f>
        <v>09PPR1718S</v>
      </c>
      <c r="C3115" s="26" t="str">
        <f>"CENTRO AZCAPOTZALCO DE DESARROLLO INTEGRAL                                                          "</f>
        <v xml:space="preserve">CENTRO AZCAPOTZALCO DE DESARROLLO INTEGRAL                                                          </v>
      </c>
      <c r="D3115" s="26" t="str">
        <f t="shared" si="536"/>
        <v>MATUTINO</v>
      </c>
      <c r="E3115" s="26" t="str">
        <f>"AV AZCAPOTZALCO NO 486                                                          "</f>
        <v xml:space="preserve">AV AZCAPOTZALCO NO 486                                                          </v>
      </c>
      <c r="F3115" s="26" t="str">
        <f>"NEXTENGO                                                                                                                                    "</f>
        <v xml:space="preserve">NEXTENGO                                                                                                                                    </v>
      </c>
      <c r="G3115" s="26" t="str">
        <f>"AZCAPOTZALCO                                                                    "</f>
        <v xml:space="preserve">AZCAPOTZALCO                                                                    </v>
      </c>
      <c r="H3115" s="26" t="str">
        <f>"000"</f>
        <v>000</v>
      </c>
      <c r="I3115" s="26" t="str">
        <f t="shared" si="527"/>
        <v>00</v>
      </c>
      <c r="J3115" s="26" t="str">
        <f>"42 "</f>
        <v xml:space="preserve">42 </v>
      </c>
      <c r="K3115" s="26" t="str">
        <f t="shared" si="534"/>
        <v>PR</v>
      </c>
      <c r="L3115" s="26" t="str">
        <f t="shared" si="535"/>
        <v>DGOSE</v>
      </c>
      <c r="M3115" s="26" t="str">
        <f t="shared" si="531"/>
        <v>PARTICULAR</v>
      </c>
      <c r="N3115" s="26">
        <v>67</v>
      </c>
      <c r="O3115" s="26">
        <v>37</v>
      </c>
      <c r="P3115" s="26">
        <v>30</v>
      </c>
      <c r="Q3115" s="26">
        <v>6</v>
      </c>
      <c r="R3115" s="26">
        <v>1</v>
      </c>
      <c r="S3115" s="26">
        <v>6</v>
      </c>
      <c r="T3115" s="26">
        <v>3</v>
      </c>
      <c r="U3115" s="26">
        <v>10</v>
      </c>
      <c r="V3115" s="26">
        <v>1</v>
      </c>
      <c r="W3115" s="26"/>
    </row>
    <row r="3116" spans="1:23" x14ac:dyDescent="0.25">
      <c r="A3116" s="26" t="str">
        <f t="shared" si="526"/>
        <v>PRIMARIA</v>
      </c>
      <c r="B3116" s="26" t="str">
        <f>"09PPR1719R"</f>
        <v>09PPR1719R</v>
      </c>
      <c r="C3116" s="26" t="str">
        <f>"""CENTRO EDUCATIVO MONTEVERDE""                                                                       "</f>
        <v xml:space="preserve">"CENTRO EDUCATIVO MONTEVERDE"                                                                       </v>
      </c>
      <c r="D3116" s="26" t="str">
        <f t="shared" si="536"/>
        <v>MATUTINO</v>
      </c>
      <c r="E3116" s="26" t="str">
        <f>"DARIO FERNANDEZ NO. 28                                                          "</f>
        <v xml:space="preserve">DARIO FERNANDEZ NO. 28                                                          </v>
      </c>
      <c r="F3116" s="26" t="str">
        <f>"PALMATITLA                                                                                                                                  "</f>
        <v xml:space="preserve">PALMATITLA                                                                                                                                  </v>
      </c>
      <c r="G3116" s="26" t="str">
        <f>"GUSTAVO A. MADERO                                                               "</f>
        <v xml:space="preserve">GUSTAVO A. MADERO                                                               </v>
      </c>
      <c r="H3116" s="26" t="str">
        <f>"229"</f>
        <v>229</v>
      </c>
      <c r="I3116" s="26" t="str">
        <f t="shared" si="527"/>
        <v>00</v>
      </c>
      <c r="J3116" s="26" t="str">
        <f>"42 "</f>
        <v xml:space="preserve">42 </v>
      </c>
      <c r="K3116" s="26" t="str">
        <f t="shared" si="534"/>
        <v>PR</v>
      </c>
      <c r="L3116" s="26" t="str">
        <f t="shared" si="535"/>
        <v>DGOSE</v>
      </c>
      <c r="M3116" s="26" t="str">
        <f t="shared" si="531"/>
        <v>PARTICULAR</v>
      </c>
      <c r="N3116" s="26">
        <v>107</v>
      </c>
      <c r="O3116" s="26">
        <v>44</v>
      </c>
      <c r="P3116" s="26">
        <v>63</v>
      </c>
      <c r="Q3116" s="26">
        <v>6</v>
      </c>
      <c r="R3116" s="26">
        <v>1</v>
      </c>
      <c r="S3116" s="26">
        <v>3</v>
      </c>
      <c r="T3116" s="26">
        <v>7</v>
      </c>
      <c r="U3116" s="26">
        <v>11</v>
      </c>
      <c r="V3116" s="26">
        <v>1</v>
      </c>
      <c r="W3116" s="26"/>
    </row>
    <row r="3117" spans="1:23" x14ac:dyDescent="0.25">
      <c r="A3117" s="26" t="str">
        <f t="shared" si="526"/>
        <v>PRIMARIA</v>
      </c>
      <c r="B3117" s="26" t="str">
        <f>"09PPR1720G"</f>
        <v>09PPR1720G</v>
      </c>
      <c r="C3117" s="26" t="str">
        <f>"COLEGIO CARLOS PELLICER                                                                             "</f>
        <v xml:space="preserve">COLEGIO CARLOS PELLICER                                                                             </v>
      </c>
      <c r="D3117" s="26" t="str">
        <f t="shared" si="536"/>
        <v>MATUTINO</v>
      </c>
      <c r="E3117" s="26" t="str">
        <f>"AVENIDA AQUILES SERDAN NO 421                                                   "</f>
        <v xml:space="preserve">AVENIDA AQUILES SERDAN NO 421                                                   </v>
      </c>
      <c r="F3117" s="26" t="str">
        <f>"SANTIAGO TULYEHUALCO                                                                                                                        "</f>
        <v xml:space="preserve">SANTIAGO TULYEHUALCO                                                                                                                        </v>
      </c>
      <c r="G3117" s="26" t="str">
        <f>"XOCHIMILCO                                                                      "</f>
        <v xml:space="preserve">XOCHIMILCO                                                                      </v>
      </c>
      <c r="H3117" s="26" t="str">
        <f>"543"</f>
        <v>543</v>
      </c>
      <c r="I3117" s="26" t="str">
        <f t="shared" si="527"/>
        <v>00</v>
      </c>
      <c r="J3117" s="26" t="str">
        <f>"45 "</f>
        <v xml:space="preserve">45 </v>
      </c>
      <c r="K3117" s="26" t="str">
        <f t="shared" si="534"/>
        <v>PR</v>
      </c>
      <c r="L3117" s="26" t="str">
        <f t="shared" si="535"/>
        <v>DGOSE</v>
      </c>
      <c r="M3117" s="26" t="str">
        <f t="shared" si="531"/>
        <v>PARTICULAR</v>
      </c>
      <c r="N3117" s="26">
        <v>53</v>
      </c>
      <c r="O3117" s="26">
        <v>26</v>
      </c>
      <c r="P3117" s="26">
        <v>27</v>
      </c>
      <c r="Q3117" s="26">
        <v>6</v>
      </c>
      <c r="R3117" s="26">
        <v>1</v>
      </c>
      <c r="S3117" s="26">
        <v>6</v>
      </c>
      <c r="T3117" s="26">
        <v>4</v>
      </c>
      <c r="U3117" s="26">
        <v>11</v>
      </c>
      <c r="V3117" s="26">
        <v>1</v>
      </c>
      <c r="W3117" s="26"/>
    </row>
    <row r="3118" spans="1:23" x14ac:dyDescent="0.25">
      <c r="A3118" s="26" t="str">
        <f t="shared" si="526"/>
        <v>PRIMARIA</v>
      </c>
      <c r="B3118" s="26" t="str">
        <f>"09PPR1721F"</f>
        <v>09PPR1721F</v>
      </c>
      <c r="C3118" s="26" t="str">
        <f>"COLEGIO ABC                                                                                         "</f>
        <v xml:space="preserve">COLEGIO ABC                                                                                         </v>
      </c>
      <c r="D3118" s="26" t="str">
        <f t="shared" si="536"/>
        <v>MATUTINO</v>
      </c>
      <c r="E3118" s="26" t="str">
        <f>"INDEPENDENCIA NO 19                                                             "</f>
        <v xml:space="preserve">INDEPENDENCIA NO 19                                                             </v>
      </c>
      <c r="F3118" s="26" t="str">
        <f>"SAN NICOLAS TOTOLAPAN                                                                                                                       "</f>
        <v xml:space="preserve">SAN NICOLAS TOTOLAPAN                                                                                                                       </v>
      </c>
      <c r="G3118" s="26" t="str">
        <f>"LA MAGDALENA CONTRERAS                                                          "</f>
        <v xml:space="preserve">LA MAGDALENA CONTRERAS                                                          </v>
      </c>
      <c r="H3118" s="26" t="str">
        <f>"337"</f>
        <v>337</v>
      </c>
      <c r="I3118" s="26" t="str">
        <f t="shared" si="527"/>
        <v>00</v>
      </c>
      <c r="J3118" s="26" t="str">
        <f>"43 "</f>
        <v xml:space="preserve">43 </v>
      </c>
      <c r="K3118" s="26" t="str">
        <f t="shared" si="534"/>
        <v>PR</v>
      </c>
      <c r="L3118" s="26" t="str">
        <f t="shared" si="535"/>
        <v>DGOSE</v>
      </c>
      <c r="M3118" s="26" t="str">
        <f t="shared" si="531"/>
        <v>PARTICULAR</v>
      </c>
      <c r="N3118" s="26">
        <v>52</v>
      </c>
      <c r="O3118" s="26">
        <v>30</v>
      </c>
      <c r="P3118" s="26">
        <v>22</v>
      </c>
      <c r="Q3118" s="26">
        <v>6</v>
      </c>
      <c r="R3118" s="26">
        <v>1</v>
      </c>
      <c r="S3118" s="26">
        <v>3</v>
      </c>
      <c r="T3118" s="26">
        <v>8</v>
      </c>
      <c r="U3118" s="26">
        <v>12</v>
      </c>
      <c r="V3118" s="26">
        <v>1</v>
      </c>
      <c r="W3118" s="26"/>
    </row>
    <row r="3119" spans="1:23" x14ac:dyDescent="0.25">
      <c r="A3119" s="26" t="str">
        <f t="shared" si="526"/>
        <v>PRIMARIA</v>
      </c>
      <c r="B3119" s="26" t="str">
        <f>"09PPR1722E"</f>
        <v>09PPR1722E</v>
      </c>
      <c r="C3119" s="26" t="str">
        <f>"COLEGIO DE INFANTES                                                                                 "</f>
        <v xml:space="preserve">COLEGIO DE INFANTES                                                                                 </v>
      </c>
      <c r="D3119" s="26" t="str">
        <f>"VESPERTINO"</f>
        <v>VESPERTINO</v>
      </c>
      <c r="E3119" s="26" t="str">
        <f>"DONCELES NO 49                                                                  "</f>
        <v xml:space="preserve">DONCELES NO 49                                                                  </v>
      </c>
      <c r="F3119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3119" s="26" t="str">
        <f>"CUAUHTEMOC                                                                      "</f>
        <v xml:space="preserve">CUAUHTEMOC                                                                      </v>
      </c>
      <c r="H3119" s="26" t="str">
        <f>"222"</f>
        <v>222</v>
      </c>
      <c r="I3119" s="26" t="str">
        <f t="shared" si="527"/>
        <v>00</v>
      </c>
      <c r="J3119" s="26" t="str">
        <f>"42 "</f>
        <v xml:space="preserve">42 </v>
      </c>
      <c r="K3119" s="26" t="str">
        <f t="shared" si="534"/>
        <v>PR</v>
      </c>
      <c r="L3119" s="26" t="str">
        <f t="shared" si="535"/>
        <v>DGOSE</v>
      </c>
      <c r="M3119" s="26" t="str">
        <f t="shared" si="531"/>
        <v>PARTICULAR</v>
      </c>
      <c r="N3119" s="26">
        <v>5</v>
      </c>
      <c r="O3119" s="26">
        <v>5</v>
      </c>
      <c r="P3119" s="26">
        <v>0</v>
      </c>
      <c r="Q3119" s="26">
        <v>3</v>
      </c>
      <c r="R3119" s="26">
        <v>1</v>
      </c>
      <c r="S3119" s="26">
        <v>3</v>
      </c>
      <c r="T3119" s="26">
        <v>2</v>
      </c>
      <c r="U3119" s="26">
        <v>6</v>
      </c>
      <c r="V3119" s="26">
        <v>1</v>
      </c>
      <c r="W3119" s="26"/>
    </row>
    <row r="3120" spans="1:23" x14ac:dyDescent="0.25">
      <c r="A3120" s="26" t="str">
        <f t="shared" si="526"/>
        <v>PRIMARIA</v>
      </c>
      <c r="B3120" s="26" t="str">
        <f>"09PPR1723D"</f>
        <v>09PPR1723D</v>
      </c>
      <c r="C3120" s="26" t="str">
        <f>"LICEO EUROPEO DE MEXICO                                                                             "</f>
        <v xml:space="preserve">LICEO EUROPEO DE MEXICO                                                                             </v>
      </c>
      <c r="D3120" s="26" t="str">
        <f t="shared" ref="D3120:D3136" si="537">"MATUTINO"</f>
        <v>MATUTINO</v>
      </c>
      <c r="E3120" s="26" t="str">
        <f>"AV. MEXICO 194                                                                  "</f>
        <v xml:space="preserve">AV. MEXICO 194                                                                  </v>
      </c>
      <c r="F3120" s="26" t="str">
        <f>"HIPODROMO DE LA CONDESA                                                                                                                     "</f>
        <v xml:space="preserve">HIPODROMO DE LA CONDESA                                                                                                                     </v>
      </c>
      <c r="G3120" s="26" t="str">
        <f>"CUAUHTEMOC                                                                      "</f>
        <v xml:space="preserve">CUAUHTEMOC                                                                      </v>
      </c>
      <c r="H3120" s="26" t="str">
        <f>"000"</f>
        <v>000</v>
      </c>
      <c r="I3120" s="26" t="str">
        <f t="shared" si="527"/>
        <v>00</v>
      </c>
      <c r="J3120" s="26" t="str">
        <f>"42 "</f>
        <v xml:space="preserve">42 </v>
      </c>
      <c r="K3120" s="26" t="str">
        <f t="shared" si="534"/>
        <v>PR</v>
      </c>
      <c r="L3120" s="26" t="str">
        <f t="shared" si="535"/>
        <v>DGOSE</v>
      </c>
      <c r="M3120" s="26" t="str">
        <f t="shared" si="531"/>
        <v>PARTICULAR</v>
      </c>
      <c r="N3120" s="26">
        <v>20</v>
      </c>
      <c r="O3120" s="26">
        <v>10</v>
      </c>
      <c r="P3120" s="26">
        <v>10</v>
      </c>
      <c r="Q3120" s="26">
        <v>6</v>
      </c>
      <c r="R3120" s="26">
        <v>1</v>
      </c>
      <c r="S3120" s="26">
        <v>3</v>
      </c>
      <c r="T3120" s="26">
        <v>4</v>
      </c>
      <c r="U3120" s="26">
        <v>8</v>
      </c>
      <c r="V3120" s="26">
        <v>1</v>
      </c>
      <c r="W3120" s="26"/>
    </row>
    <row r="3121" spans="1:23" x14ac:dyDescent="0.25">
      <c r="A3121" s="26" t="str">
        <f t="shared" si="526"/>
        <v>PRIMARIA</v>
      </c>
      <c r="B3121" s="26" t="str">
        <f>"09PPR1724C"</f>
        <v>09PPR1724C</v>
      </c>
      <c r="C3121" s="26" t="str">
        <f>"ARNOLD GESELL                                                                                       "</f>
        <v xml:space="preserve">ARNOLD GESELL                                                                                       </v>
      </c>
      <c r="D3121" s="26" t="str">
        <f t="shared" si="537"/>
        <v>MATUTINO</v>
      </c>
      <c r="E3121" s="26" t="str">
        <f>"MELCHOR S/N MZA C LOTE 8                                                        "</f>
        <v xml:space="preserve">MELCHOR S/N MZA C LOTE 8                                                        </v>
      </c>
      <c r="F3121" s="26" t="str">
        <f>"GRANJAS DE NAVIDAD                                                                                                                          "</f>
        <v xml:space="preserve">GRANJAS DE NAVIDAD                                                                                                                          </v>
      </c>
      <c r="G3121" s="26" t="str">
        <f>"CUAJIMALPA DE MORELOS                                                           "</f>
        <v xml:space="preserve">CUAJIMALPA DE MORELOS                                                           </v>
      </c>
      <c r="H3121" s="26" t="str">
        <f>"301"</f>
        <v>301</v>
      </c>
      <c r="I3121" s="26" t="str">
        <f t="shared" si="527"/>
        <v>00</v>
      </c>
      <c r="J3121" s="26" t="str">
        <f>"43 "</f>
        <v xml:space="preserve">43 </v>
      </c>
      <c r="K3121" s="26" t="str">
        <f t="shared" si="534"/>
        <v>PR</v>
      </c>
      <c r="L3121" s="26" t="str">
        <f t="shared" si="535"/>
        <v>DGOSE</v>
      </c>
      <c r="M3121" s="26" t="str">
        <f t="shared" si="531"/>
        <v>PARTICULAR</v>
      </c>
      <c r="N3121" s="26">
        <v>78</v>
      </c>
      <c r="O3121" s="26">
        <v>34</v>
      </c>
      <c r="P3121" s="26">
        <v>44</v>
      </c>
      <c r="Q3121" s="26">
        <v>6</v>
      </c>
      <c r="R3121" s="26">
        <v>1</v>
      </c>
      <c r="S3121" s="26">
        <v>6</v>
      </c>
      <c r="T3121" s="26">
        <v>1</v>
      </c>
      <c r="U3121" s="26">
        <v>8</v>
      </c>
      <c r="V3121" s="26">
        <v>1</v>
      </c>
      <c r="W3121" s="26"/>
    </row>
    <row r="3122" spans="1:23" x14ac:dyDescent="0.25">
      <c r="A3122" s="26" t="str">
        <f t="shared" si="526"/>
        <v>PRIMARIA</v>
      </c>
      <c r="B3122" s="26" t="str">
        <f>"09PPR1725B"</f>
        <v>09PPR1725B</v>
      </c>
      <c r="C3122" s="26" t="str">
        <f>"COLEGIO OCTAVIO PAZ                                                                                 "</f>
        <v xml:space="preserve">COLEGIO OCTAVIO PAZ                                                                                 </v>
      </c>
      <c r="D3122" s="26" t="str">
        <f t="shared" si="537"/>
        <v>MATUTINO</v>
      </c>
      <c r="E3122" s="26" t="str">
        <f>"CALLE ALTAMIRANO NO 17                                                          "</f>
        <v xml:space="preserve">CALLE ALTAMIRANO NO 17                                                          </v>
      </c>
      <c r="F3122" s="26" t="str">
        <f>"SAN PEDRO ATOCPAN                                                                                                                           "</f>
        <v xml:space="preserve">SAN PEDRO ATOCPAN                                                                                                                           </v>
      </c>
      <c r="G3122" s="26" t="str">
        <f>"MILPA ALTA                                                                      "</f>
        <v xml:space="preserve">MILPA ALTA                                                                      </v>
      </c>
      <c r="H3122" s="26" t="str">
        <f>"564"</f>
        <v>564</v>
      </c>
      <c r="I3122" s="26" t="str">
        <f t="shared" si="527"/>
        <v>00</v>
      </c>
      <c r="J3122" s="26" t="str">
        <f>"45 "</f>
        <v xml:space="preserve">45 </v>
      </c>
      <c r="K3122" s="26" t="str">
        <f t="shared" si="534"/>
        <v>PR</v>
      </c>
      <c r="L3122" s="26" t="str">
        <f t="shared" si="535"/>
        <v>DGOSE</v>
      </c>
      <c r="M3122" s="26" t="str">
        <f t="shared" si="531"/>
        <v>PARTICULAR</v>
      </c>
      <c r="N3122" s="26">
        <v>20</v>
      </c>
      <c r="O3122" s="26">
        <v>13</v>
      </c>
      <c r="P3122" s="26">
        <v>7</v>
      </c>
      <c r="Q3122" s="26">
        <v>6</v>
      </c>
      <c r="R3122" s="26">
        <v>1</v>
      </c>
      <c r="S3122" s="26">
        <v>4</v>
      </c>
      <c r="T3122" s="26">
        <v>8</v>
      </c>
      <c r="U3122" s="26">
        <v>13</v>
      </c>
      <c r="V3122" s="26">
        <v>1</v>
      </c>
      <c r="W3122" s="26"/>
    </row>
    <row r="3123" spans="1:23" x14ac:dyDescent="0.25">
      <c r="A3123" s="26" t="str">
        <f t="shared" si="526"/>
        <v>PRIMARIA</v>
      </c>
      <c r="B3123" s="26" t="str">
        <f>"09PPR1726A"</f>
        <v>09PPR1726A</v>
      </c>
      <c r="C3123" s="26" t="str">
        <f>"HWS LIBERTY                                                                                         "</f>
        <v xml:space="preserve">HWS LIBERTY                                                                                         </v>
      </c>
      <c r="D3123" s="26" t="str">
        <f t="shared" si="537"/>
        <v>MATUTINO</v>
      </c>
      <c r="E3123" s="26" t="str">
        <f>"CALZADA DE LOS TENORIOS NO 241                                                  "</f>
        <v xml:space="preserve">CALZADA DE LOS TENORIOS NO 241                                                  </v>
      </c>
      <c r="F3123" s="26" t="str">
        <f>"NARCISO MENDOZA                                                                                                                             "</f>
        <v xml:space="preserve">NARCISO MENDOZA                                                                                                                             </v>
      </c>
      <c r="G3123" s="26" t="str">
        <f>"TLALPAN                                                                         "</f>
        <v xml:space="preserve">TLALPAN                                                                         </v>
      </c>
      <c r="H3123" s="26" t="str">
        <f>"526"</f>
        <v>526</v>
      </c>
      <c r="I3123" s="26" t="str">
        <f t="shared" si="527"/>
        <v>00</v>
      </c>
      <c r="J3123" s="26" t="str">
        <f>"45 "</f>
        <v xml:space="preserve">45 </v>
      </c>
      <c r="K3123" s="26" t="str">
        <f t="shared" si="534"/>
        <v>PR</v>
      </c>
      <c r="L3123" s="26" t="str">
        <f t="shared" si="535"/>
        <v>DGOSE</v>
      </c>
      <c r="M3123" s="26" t="str">
        <f t="shared" si="531"/>
        <v>PARTICULAR</v>
      </c>
      <c r="N3123" s="26">
        <v>97</v>
      </c>
      <c r="O3123" s="26">
        <v>54</v>
      </c>
      <c r="P3123" s="26">
        <v>43</v>
      </c>
      <c r="Q3123" s="26">
        <v>6</v>
      </c>
      <c r="R3123" s="26">
        <v>1</v>
      </c>
      <c r="S3123" s="26">
        <v>5</v>
      </c>
      <c r="T3123" s="26">
        <v>8</v>
      </c>
      <c r="U3123" s="26">
        <v>14</v>
      </c>
      <c r="V3123" s="26">
        <v>1</v>
      </c>
      <c r="W3123" s="26"/>
    </row>
    <row r="3124" spans="1:23" x14ac:dyDescent="0.25">
      <c r="A3124" s="26" t="str">
        <f t="shared" si="526"/>
        <v>PRIMARIA</v>
      </c>
      <c r="B3124" s="26" t="str">
        <f>"09PPR1727Z"</f>
        <v>09PPR1727Z</v>
      </c>
      <c r="C3124" s="26" t="str">
        <f>"INSTITUTO CULTURAL AHATZIN                                                                          "</f>
        <v xml:space="preserve">INSTITUTO CULTURAL AHATZIN                                                                          </v>
      </c>
      <c r="D3124" s="26" t="str">
        <f t="shared" si="537"/>
        <v>MATUTINO</v>
      </c>
      <c r="E3124" s="26" t="str">
        <f>"FERROCARRIL DE RIO FRIO NO 54                                                   "</f>
        <v xml:space="preserve">FERROCARRIL DE RIO FRIO NO 54                                                   </v>
      </c>
      <c r="F3124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3124" s="26" t="str">
        <f>"IZTACALCO                                                                       "</f>
        <v xml:space="preserve">IZTACALCO                                                                       </v>
      </c>
      <c r="H3124" s="26" t="str">
        <f>"357"</f>
        <v>357</v>
      </c>
      <c r="I3124" s="26" t="str">
        <f t="shared" si="527"/>
        <v>00</v>
      </c>
      <c r="J3124" s="26" t="str">
        <f>"43 "</f>
        <v xml:space="preserve">43 </v>
      </c>
      <c r="K3124" s="26" t="str">
        <f t="shared" si="534"/>
        <v>PR</v>
      </c>
      <c r="L3124" s="26" t="str">
        <f t="shared" si="535"/>
        <v>DGOSE</v>
      </c>
      <c r="M3124" s="26" t="str">
        <f t="shared" si="531"/>
        <v>PARTICULAR</v>
      </c>
      <c r="N3124" s="26">
        <v>33</v>
      </c>
      <c r="O3124" s="26">
        <v>16</v>
      </c>
      <c r="P3124" s="26">
        <v>17</v>
      </c>
      <c r="Q3124" s="26">
        <v>6</v>
      </c>
      <c r="R3124" s="26">
        <v>1</v>
      </c>
      <c r="S3124" s="26">
        <v>4</v>
      </c>
      <c r="T3124" s="26">
        <v>6</v>
      </c>
      <c r="U3124" s="26">
        <v>11</v>
      </c>
      <c r="V3124" s="26">
        <v>1</v>
      </c>
      <c r="W3124" s="26"/>
    </row>
    <row r="3125" spans="1:23" x14ac:dyDescent="0.25">
      <c r="A3125" s="26" t="str">
        <f t="shared" si="526"/>
        <v>PRIMARIA</v>
      </c>
      <c r="B3125" s="26" t="str">
        <f>"09PPR1729Y"</f>
        <v>09PPR1729Y</v>
      </c>
      <c r="C3125" s="26" t="str">
        <f>"CELESTIN FREINET                                                                                    "</f>
        <v xml:space="preserve">CELESTIN FREINET                                                                                    </v>
      </c>
      <c r="D3125" s="26" t="str">
        <f t="shared" si="537"/>
        <v>MATUTINO</v>
      </c>
      <c r="E3125" s="26" t="str">
        <f>"ORIENTE 217 NO 291                                                              "</f>
        <v xml:space="preserve">ORIENTE 217 NO 291                                                              </v>
      </c>
      <c r="F3125" s="26" t="str">
        <f>"EL RODEO                                                                                                                                    "</f>
        <v xml:space="preserve">EL RODEO                                                                                                                                    </v>
      </c>
      <c r="G3125" s="26" t="str">
        <f>"IZTACALCO                                                                       "</f>
        <v xml:space="preserve">IZTACALCO                                                                       </v>
      </c>
      <c r="H3125" s="26" t="str">
        <f>"354"</f>
        <v>354</v>
      </c>
      <c r="I3125" s="26" t="str">
        <f t="shared" si="527"/>
        <v>00</v>
      </c>
      <c r="J3125" s="26" t="str">
        <f>"43 "</f>
        <v xml:space="preserve">43 </v>
      </c>
      <c r="K3125" s="26" t="str">
        <f t="shared" si="534"/>
        <v>PR</v>
      </c>
      <c r="L3125" s="26" t="str">
        <f t="shared" si="535"/>
        <v>DGOSE</v>
      </c>
      <c r="M3125" s="26" t="str">
        <f t="shared" si="531"/>
        <v>PARTICULAR</v>
      </c>
      <c r="N3125" s="26">
        <v>32</v>
      </c>
      <c r="O3125" s="26">
        <v>14</v>
      </c>
      <c r="P3125" s="26">
        <v>18</v>
      </c>
      <c r="Q3125" s="26">
        <v>6</v>
      </c>
      <c r="R3125" s="26">
        <v>1</v>
      </c>
      <c r="S3125" s="26">
        <v>3</v>
      </c>
      <c r="T3125" s="26">
        <v>4</v>
      </c>
      <c r="U3125" s="26">
        <v>8</v>
      </c>
      <c r="V3125" s="26">
        <v>1</v>
      </c>
      <c r="W3125" s="26"/>
    </row>
    <row r="3126" spans="1:23" x14ac:dyDescent="0.25">
      <c r="A3126" s="26" t="str">
        <f t="shared" si="526"/>
        <v>PRIMARIA</v>
      </c>
      <c r="B3126" s="26" t="str">
        <f>"09PPR1730N"</f>
        <v>09PPR1730N</v>
      </c>
      <c r="C3126" s="26" t="str">
        <f>"INSTITUTO FIRST SKILLS                                                                              "</f>
        <v xml:space="preserve">INSTITUTO FIRST SKILLS                                                                              </v>
      </c>
      <c r="D3126" s="26" t="str">
        <f t="shared" si="537"/>
        <v>MATUTINO</v>
      </c>
      <c r="E3126" s="26" t="str">
        <f>"ALLENDE NO 176                                                                  "</f>
        <v xml:space="preserve">ALLENDE NO 176                                                                  </v>
      </c>
      <c r="F3126" s="26" t="str">
        <f>"SAN MATEO TLALTENANGO                                                                                                                       "</f>
        <v xml:space="preserve">SAN MATEO TLALTENANGO                                                                                                                       </v>
      </c>
      <c r="G3126" s="26" t="str">
        <f>"CUAJIMALPA DE MORELOS                                                           "</f>
        <v xml:space="preserve">CUAJIMALPA DE MORELOS                                                           </v>
      </c>
      <c r="H3126" s="26" t="str">
        <f>"303"</f>
        <v>303</v>
      </c>
      <c r="I3126" s="26" t="str">
        <f t="shared" si="527"/>
        <v>00</v>
      </c>
      <c r="J3126" s="26" t="str">
        <f>"43 "</f>
        <v xml:space="preserve">43 </v>
      </c>
      <c r="K3126" s="26" t="str">
        <f t="shared" si="534"/>
        <v>PR</v>
      </c>
      <c r="L3126" s="26" t="str">
        <f t="shared" si="535"/>
        <v>DGOSE</v>
      </c>
      <c r="M3126" s="26" t="str">
        <f t="shared" si="531"/>
        <v>PARTICULAR</v>
      </c>
      <c r="N3126" s="26">
        <v>20</v>
      </c>
      <c r="O3126" s="26">
        <v>12</v>
      </c>
      <c r="P3126" s="26">
        <v>8</v>
      </c>
      <c r="Q3126" s="26">
        <v>4</v>
      </c>
      <c r="R3126" s="26">
        <v>1</v>
      </c>
      <c r="S3126" s="26">
        <v>2</v>
      </c>
      <c r="T3126" s="26">
        <v>2</v>
      </c>
      <c r="U3126" s="26">
        <v>5</v>
      </c>
      <c r="V3126" s="26">
        <v>1</v>
      </c>
      <c r="W3126" s="26"/>
    </row>
    <row r="3127" spans="1:23" x14ac:dyDescent="0.25">
      <c r="A3127" s="26" t="str">
        <f t="shared" si="526"/>
        <v>PRIMARIA</v>
      </c>
      <c r="B3127" s="26" t="str">
        <f>"09PPR1731M"</f>
        <v>09PPR1731M</v>
      </c>
      <c r="C3127" s="26" t="str">
        <f>"COLEGIO AMERICO VESPUCIO                                                                            "</f>
        <v xml:space="preserve">COLEGIO AMERICO VESPUCIO                                                                            </v>
      </c>
      <c r="D3127" s="26" t="str">
        <f t="shared" si="537"/>
        <v>MATUTINO</v>
      </c>
      <c r="E3127" s="26" t="str">
        <f>"MANUEL CASTREJON NO 145                                                         "</f>
        <v xml:space="preserve">MANUEL CASTREJON NO 145                                                         </v>
      </c>
      <c r="F3127" s="26" t="str">
        <f>"LA GUADALUPE                                                                                                                                "</f>
        <v xml:space="preserve">LA GUADALUPE                                                                                                                                </v>
      </c>
      <c r="G3127" s="26" t="str">
        <f>"LA MAGDALENA CONTRERAS                                                          "</f>
        <v xml:space="preserve">LA MAGDALENA CONTRERAS                                                          </v>
      </c>
      <c r="H3127" s="26" t="str">
        <f>"337"</f>
        <v>337</v>
      </c>
      <c r="I3127" s="26" t="str">
        <f t="shared" si="527"/>
        <v>00</v>
      </c>
      <c r="J3127" s="26" t="str">
        <f>"43 "</f>
        <v xml:space="preserve">43 </v>
      </c>
      <c r="K3127" s="26" t="str">
        <f t="shared" si="534"/>
        <v>PR</v>
      </c>
      <c r="L3127" s="26" t="str">
        <f t="shared" si="535"/>
        <v>DGOSE</v>
      </c>
      <c r="M3127" s="26" t="str">
        <f t="shared" si="531"/>
        <v>PARTICULAR</v>
      </c>
      <c r="N3127" s="26">
        <v>15</v>
      </c>
      <c r="O3127" s="26">
        <v>11</v>
      </c>
      <c r="P3127" s="26">
        <v>4</v>
      </c>
      <c r="Q3127" s="26">
        <v>6</v>
      </c>
      <c r="R3127" s="26">
        <v>1</v>
      </c>
      <c r="S3127" s="26">
        <v>3</v>
      </c>
      <c r="T3127" s="26">
        <v>2</v>
      </c>
      <c r="U3127" s="26">
        <v>6</v>
      </c>
      <c r="V3127" s="26">
        <v>1</v>
      </c>
      <c r="W3127" s="26"/>
    </row>
    <row r="3128" spans="1:23" x14ac:dyDescent="0.25">
      <c r="A3128" s="26" t="str">
        <f t="shared" si="526"/>
        <v>PRIMARIA</v>
      </c>
      <c r="B3128" s="26" t="str">
        <f>"09PPR1732L"</f>
        <v>09PPR1732L</v>
      </c>
      <c r="C3128" s="26" t="str">
        <f>"CENTRO EDUCATIVO NEMI A C                                                                           "</f>
        <v xml:space="preserve">CENTRO EDUCATIVO NEMI A C                                                                           </v>
      </c>
      <c r="D3128" s="26" t="str">
        <f t="shared" si="537"/>
        <v>MATUTINO</v>
      </c>
      <c r="E3128" s="26" t="str">
        <f>"GABRIEL MANCERA NO 733                                                          "</f>
        <v xml:space="preserve">GABRIEL MANCERA NO 733                                                          </v>
      </c>
      <c r="F3128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3128" s="26" t="str">
        <f>"BENITO JUAREZ                                                                   "</f>
        <v xml:space="preserve">BENITO JUAREZ                                                                   </v>
      </c>
      <c r="H3128" s="26" t="str">
        <f>"000"</f>
        <v>000</v>
      </c>
      <c r="I3128" s="26" t="str">
        <f t="shared" si="527"/>
        <v>00</v>
      </c>
      <c r="J3128" s="26" t="str">
        <f>"43 "</f>
        <v xml:space="preserve">43 </v>
      </c>
      <c r="K3128" s="26" t="str">
        <f t="shared" si="534"/>
        <v>PR</v>
      </c>
      <c r="L3128" s="26" t="str">
        <f t="shared" si="535"/>
        <v>DGOSE</v>
      </c>
      <c r="M3128" s="26" t="str">
        <f t="shared" si="531"/>
        <v>PARTICULAR</v>
      </c>
      <c r="N3128" s="26">
        <v>70</v>
      </c>
      <c r="O3128" s="26">
        <v>38</v>
      </c>
      <c r="P3128" s="26">
        <v>32</v>
      </c>
      <c r="Q3128" s="26">
        <v>6</v>
      </c>
      <c r="R3128" s="26">
        <v>1</v>
      </c>
      <c r="S3128" s="26">
        <v>3</v>
      </c>
      <c r="T3128" s="26">
        <v>7</v>
      </c>
      <c r="U3128" s="26">
        <v>11</v>
      </c>
      <c r="V3128" s="26">
        <v>1</v>
      </c>
      <c r="W3128" s="26"/>
    </row>
    <row r="3129" spans="1:23" x14ac:dyDescent="0.25">
      <c r="A3129" s="26" t="str">
        <f t="shared" si="526"/>
        <v>PRIMARIA</v>
      </c>
      <c r="B3129" s="26" t="str">
        <f>"09PPR1734J"</f>
        <v>09PPR1734J</v>
      </c>
      <c r="C3129" s="26" t="str">
        <f>"LIC. ALFONSO GARCIA ROBLES                                                                          "</f>
        <v xml:space="preserve">LIC. ALFONSO GARCIA ROBLES                                                                          </v>
      </c>
      <c r="D3129" s="26" t="str">
        <f t="shared" si="537"/>
        <v>MATUTINO</v>
      </c>
      <c r="E3129" s="26" t="str">
        <f>"LAUREL NO 8 BIS                                                                 "</f>
        <v xml:space="preserve">LAUREL NO 8 BIS                                                                 </v>
      </c>
      <c r="F3129" s="26" t="str">
        <f>"EL MANTO                                                                                                                                    "</f>
        <v xml:space="preserve">EL MANTO                                                                                                                                    </v>
      </c>
      <c r="G3129" s="26" t="str">
        <f>"IZTAPALAPA                                                                      "</f>
        <v xml:space="preserve">IZTAPALAPA                                                                      </v>
      </c>
      <c r="H3129" s="26" t="str">
        <f>"000"</f>
        <v>000</v>
      </c>
      <c r="I3129" s="26" t="str">
        <f t="shared" si="527"/>
        <v>00</v>
      </c>
      <c r="J3129" s="26" t="str">
        <f>"63 "</f>
        <v xml:space="preserve">63 </v>
      </c>
      <c r="K3129" s="26" t="str">
        <f>"IZ"</f>
        <v>IZ</v>
      </c>
      <c r="L3129" s="26" t="str">
        <f>"DGSEI"</f>
        <v>DGSEI</v>
      </c>
      <c r="M3129" s="26" t="str">
        <f t="shared" si="531"/>
        <v>PARTICULAR</v>
      </c>
      <c r="N3129" s="26">
        <v>80</v>
      </c>
      <c r="O3129" s="26">
        <v>49</v>
      </c>
      <c r="P3129" s="26">
        <v>31</v>
      </c>
      <c r="Q3129" s="26">
        <v>6</v>
      </c>
      <c r="R3129" s="26">
        <v>1</v>
      </c>
      <c r="S3129" s="26">
        <v>6</v>
      </c>
      <c r="T3129" s="26">
        <v>2</v>
      </c>
      <c r="U3129" s="26">
        <v>9</v>
      </c>
      <c r="V3129" s="26">
        <v>1</v>
      </c>
      <c r="W3129" s="26"/>
    </row>
    <row r="3130" spans="1:23" x14ac:dyDescent="0.25">
      <c r="A3130" s="26" t="str">
        <f t="shared" si="526"/>
        <v>PRIMARIA</v>
      </c>
      <c r="B3130" s="26" t="str">
        <f>"09PPR1735I"</f>
        <v>09PPR1735I</v>
      </c>
      <c r="C3130" s="26" t="str">
        <f>"JAIME SABINES                                                                                       "</f>
        <v xml:space="preserve">JAIME SABINES                                                                                       </v>
      </c>
      <c r="D3130" s="26" t="str">
        <f t="shared" si="537"/>
        <v>MATUTINO</v>
      </c>
      <c r="E3130" s="26" t="str">
        <f>"RUAN NO. 1                                                                      "</f>
        <v xml:space="preserve">RUAN NO. 1                                                                      </v>
      </c>
      <c r="F3130" s="26" t="str">
        <f>"LOMAS ESTRELLA 2A SECCION                                                                                                                   "</f>
        <v xml:space="preserve">LOMAS ESTRELLA 2A SECCION                                                                                                                   </v>
      </c>
      <c r="G3130" s="26" t="str">
        <f>"IZTAPALAPA                                                                      "</f>
        <v xml:space="preserve">IZTAPALAPA                                                                      </v>
      </c>
      <c r="H3130" s="26" t="str">
        <f>"000"</f>
        <v>000</v>
      </c>
      <c r="I3130" s="26" t="str">
        <f t="shared" si="527"/>
        <v>00</v>
      </c>
      <c r="J3130" s="26" t="str">
        <f>"63 "</f>
        <v xml:space="preserve">63 </v>
      </c>
      <c r="K3130" s="26" t="str">
        <f>"IZ"</f>
        <v>IZ</v>
      </c>
      <c r="L3130" s="26" t="str">
        <f>"DGSEI"</f>
        <v>DGSEI</v>
      </c>
      <c r="M3130" s="26" t="str">
        <f t="shared" si="531"/>
        <v>PARTICULAR</v>
      </c>
      <c r="N3130" s="26">
        <v>32</v>
      </c>
      <c r="O3130" s="26">
        <v>19</v>
      </c>
      <c r="P3130" s="26">
        <v>13</v>
      </c>
      <c r="Q3130" s="26">
        <v>6</v>
      </c>
      <c r="R3130" s="26">
        <v>1</v>
      </c>
      <c r="S3130" s="26">
        <v>4</v>
      </c>
      <c r="T3130" s="26">
        <v>3</v>
      </c>
      <c r="U3130" s="26">
        <v>8</v>
      </c>
      <c r="V3130" s="26">
        <v>1</v>
      </c>
      <c r="W3130" s="26"/>
    </row>
    <row r="3131" spans="1:23" x14ac:dyDescent="0.25">
      <c r="A3131" s="26" t="str">
        <f t="shared" si="526"/>
        <v>PRIMARIA</v>
      </c>
      <c r="B3131" s="26" t="str">
        <f>"09PPR1736H"</f>
        <v>09PPR1736H</v>
      </c>
      <c r="C3131" s="26" t="str">
        <f>"INSTITUTO MARIA MONTESSORI                                                                          "</f>
        <v xml:space="preserve">INSTITUTO MARIA MONTESSORI                                                                          </v>
      </c>
      <c r="D3131" s="26" t="str">
        <f t="shared" si="537"/>
        <v>MATUTINO</v>
      </c>
      <c r="E3131" s="26" t="str">
        <f>"AV LUIS YUREN NO 2                                                              "</f>
        <v xml:space="preserve">AV LUIS YUREN NO 2                                                              </v>
      </c>
      <c r="F3131" s="26" t="str">
        <f>"UNIDAD CTM ATZACOALCO                                                                                                                       "</f>
        <v xml:space="preserve">UNIDAD CTM ATZACOALCO                                                                                                                       </v>
      </c>
      <c r="G3131" s="26" t="str">
        <f>"GUSTAVO A. MADERO                                                               "</f>
        <v xml:space="preserve">GUSTAVO A. MADERO                                                               </v>
      </c>
      <c r="H3131" s="26" t="str">
        <f>"255"</f>
        <v>255</v>
      </c>
      <c r="I3131" s="26" t="str">
        <f t="shared" si="527"/>
        <v>00</v>
      </c>
      <c r="J3131" s="26" t="str">
        <f>"42 "</f>
        <v xml:space="preserve">42 </v>
      </c>
      <c r="K3131" s="26" t="str">
        <f t="shared" ref="K3131:K3137" si="538">"PR"</f>
        <v>PR</v>
      </c>
      <c r="L3131" s="26" t="str">
        <f t="shared" ref="L3131:L3137" si="539">"DGOSE"</f>
        <v>DGOSE</v>
      </c>
      <c r="M3131" s="26" t="str">
        <f t="shared" si="531"/>
        <v>PARTICULAR</v>
      </c>
      <c r="N3131" s="26">
        <v>56</v>
      </c>
      <c r="O3131" s="26">
        <v>26</v>
      </c>
      <c r="P3131" s="26">
        <v>30</v>
      </c>
      <c r="Q3131" s="26">
        <v>6</v>
      </c>
      <c r="R3131" s="26">
        <v>1</v>
      </c>
      <c r="S3131" s="26">
        <v>3</v>
      </c>
      <c r="T3131" s="26">
        <v>5</v>
      </c>
      <c r="U3131" s="26">
        <v>9</v>
      </c>
      <c r="V3131" s="26">
        <v>1</v>
      </c>
      <c r="W3131" s="26"/>
    </row>
    <row r="3132" spans="1:23" x14ac:dyDescent="0.25">
      <c r="A3132" s="26" t="str">
        <f t="shared" si="526"/>
        <v>PRIMARIA</v>
      </c>
      <c r="B3132" s="26" t="str">
        <f>"09PPR1737G"</f>
        <v>09PPR1737G</v>
      </c>
      <c r="C3132" s="26" t="str">
        <f>"GRUPO DE ATENCION EDUCATIVA INTEGRAL                                                                "</f>
        <v xml:space="preserve">GRUPO DE ATENCION EDUCATIVA INTEGRAL                                                                </v>
      </c>
      <c r="D3132" s="26" t="str">
        <f t="shared" si="537"/>
        <v>MATUTINO</v>
      </c>
      <c r="E3132" s="26" t="str">
        <f>"EJE CENTRAL LAZARO CARDENAS 1120                                                "</f>
        <v xml:space="preserve">EJE CENTRAL LAZARO CARDENAS 1120                                                </v>
      </c>
      <c r="F3132" s="26" t="str">
        <f>"SAN SIMON TICUMAC                                                                                                                           "</f>
        <v xml:space="preserve">SAN SIMON TICUMAC                                                                                                                           </v>
      </c>
      <c r="G3132" s="26" t="str">
        <f>"BENITO JUAREZ                                                                   "</f>
        <v xml:space="preserve">BENITO JUAREZ                                                                   </v>
      </c>
      <c r="H3132" s="26" t="str">
        <f>"000"</f>
        <v>000</v>
      </c>
      <c r="I3132" s="26" t="str">
        <f t="shared" si="527"/>
        <v>00</v>
      </c>
      <c r="J3132" s="26" t="str">
        <f>"43 "</f>
        <v xml:space="preserve">43 </v>
      </c>
      <c r="K3132" s="26" t="str">
        <f t="shared" si="538"/>
        <v>PR</v>
      </c>
      <c r="L3132" s="26" t="str">
        <f t="shared" si="539"/>
        <v>DGOSE</v>
      </c>
      <c r="M3132" s="26" t="str">
        <f t="shared" si="531"/>
        <v>PARTICULAR</v>
      </c>
      <c r="N3132" s="26">
        <v>54</v>
      </c>
      <c r="O3132" s="26">
        <v>31</v>
      </c>
      <c r="P3132" s="26">
        <v>23</v>
      </c>
      <c r="Q3132" s="26">
        <v>6</v>
      </c>
      <c r="R3132" s="26">
        <v>1</v>
      </c>
      <c r="S3132" s="26">
        <v>3</v>
      </c>
      <c r="T3132" s="26">
        <v>5</v>
      </c>
      <c r="U3132" s="26">
        <v>9</v>
      </c>
      <c r="V3132" s="26">
        <v>1</v>
      </c>
      <c r="W3132" s="26"/>
    </row>
    <row r="3133" spans="1:23" x14ac:dyDescent="0.25">
      <c r="A3133" s="26" t="str">
        <f t="shared" si="526"/>
        <v>PRIMARIA</v>
      </c>
      <c r="B3133" s="26" t="str">
        <f>"09PPR1738F"</f>
        <v>09PPR1738F</v>
      </c>
      <c r="C3133" s="26" t="str">
        <f>"LICEO ESCOLAR MEXICANO                                                                              "</f>
        <v xml:space="preserve">LICEO ESCOLAR MEXICANO                                                                              </v>
      </c>
      <c r="D3133" s="26" t="str">
        <f t="shared" si="537"/>
        <v>MATUTINO</v>
      </c>
      <c r="E3133" s="26" t="str">
        <f>"PRESA RODRIGUEZ NO 39                                                           "</f>
        <v xml:space="preserve">PRESA RODRIGUEZ NO 39                                                           </v>
      </c>
      <c r="F3133" s="26" t="str">
        <f>"LOMA HERMOSA                                                                                                                                "</f>
        <v xml:space="preserve">LOMA HERMOSA                                                                                                                                </v>
      </c>
      <c r="G3133" s="26" t="str">
        <f>"MIGUEL HIDALGO                                                                  "</f>
        <v xml:space="preserve">MIGUEL HIDALGO                                                                  </v>
      </c>
      <c r="H3133" s="26" t="str">
        <f>"208"</f>
        <v>208</v>
      </c>
      <c r="I3133" s="26" t="str">
        <f t="shared" si="527"/>
        <v>00</v>
      </c>
      <c r="J3133" s="26" t="str">
        <f>"42 "</f>
        <v xml:space="preserve">42 </v>
      </c>
      <c r="K3133" s="26" t="str">
        <f t="shared" si="538"/>
        <v>PR</v>
      </c>
      <c r="L3133" s="26" t="str">
        <f t="shared" si="539"/>
        <v>DGOSE</v>
      </c>
      <c r="M3133" s="26" t="str">
        <f t="shared" si="531"/>
        <v>PARTICULAR</v>
      </c>
      <c r="N3133" s="26">
        <v>73</v>
      </c>
      <c r="O3133" s="26">
        <v>33</v>
      </c>
      <c r="P3133" s="26">
        <v>40</v>
      </c>
      <c r="Q3133" s="26">
        <v>6</v>
      </c>
      <c r="R3133" s="26">
        <v>1</v>
      </c>
      <c r="S3133" s="26">
        <v>3</v>
      </c>
      <c r="T3133" s="26">
        <v>4</v>
      </c>
      <c r="U3133" s="26">
        <v>8</v>
      </c>
      <c r="V3133" s="26">
        <v>1</v>
      </c>
      <c r="W3133" s="26"/>
    </row>
    <row r="3134" spans="1:23" x14ac:dyDescent="0.25">
      <c r="A3134" s="26" t="str">
        <f t="shared" si="526"/>
        <v>PRIMARIA</v>
      </c>
      <c r="B3134" s="26" t="str">
        <f>"09PPR1739E"</f>
        <v>09PPR1739E</v>
      </c>
      <c r="C3134" s="26" t="str">
        <f>"""HAPPY MOUNTAIN""                                                                                    "</f>
        <v xml:space="preserve">"HAPPY MOUNTAIN"                                                                                    </v>
      </c>
      <c r="D3134" s="26" t="str">
        <f t="shared" si="537"/>
        <v>MATUTINO</v>
      </c>
      <c r="E3134" s="26" t="str">
        <f>"CALZADA DE LAS BRUJAS NO 253                                                    "</f>
        <v xml:space="preserve">CALZADA DE LAS BRUJAS NO 253                                                    </v>
      </c>
      <c r="F3134" s="26" t="str">
        <f>"RINCON DE LAS HADAS                                                                                                                         "</f>
        <v xml:space="preserve">RINCON DE LAS HADAS                                                                                                                         </v>
      </c>
      <c r="G3134" s="26" t="str">
        <f>"TLALPAN                                                                         "</f>
        <v xml:space="preserve">TLALPAN                                                                         </v>
      </c>
      <c r="H3134" s="26" t="str">
        <f>"525"</f>
        <v>525</v>
      </c>
      <c r="I3134" s="26" t="str">
        <f t="shared" si="527"/>
        <v>00</v>
      </c>
      <c r="J3134" s="26" t="str">
        <f>"45 "</f>
        <v xml:space="preserve">45 </v>
      </c>
      <c r="K3134" s="26" t="str">
        <f t="shared" si="538"/>
        <v>PR</v>
      </c>
      <c r="L3134" s="26" t="str">
        <f t="shared" si="539"/>
        <v>DGOSE</v>
      </c>
      <c r="M3134" s="26" t="str">
        <f t="shared" si="531"/>
        <v>PARTICULAR</v>
      </c>
      <c r="N3134" s="26">
        <v>17</v>
      </c>
      <c r="O3134" s="26">
        <v>14</v>
      </c>
      <c r="P3134" s="26">
        <v>3</v>
      </c>
      <c r="Q3134" s="26">
        <v>5</v>
      </c>
      <c r="R3134" s="26">
        <v>1</v>
      </c>
      <c r="S3134" s="26">
        <v>3</v>
      </c>
      <c r="T3134" s="26">
        <v>0</v>
      </c>
      <c r="U3134" s="26">
        <v>4</v>
      </c>
      <c r="V3134" s="26">
        <v>1</v>
      </c>
      <c r="W3134" s="26"/>
    </row>
    <row r="3135" spans="1:23" x14ac:dyDescent="0.25">
      <c r="A3135" s="26" t="str">
        <f t="shared" si="526"/>
        <v>PRIMARIA</v>
      </c>
      <c r="B3135" s="26" t="str">
        <f>"09PPR1740U"</f>
        <v>09PPR1740U</v>
      </c>
      <c r="C3135" s="26" t="str">
        <f>"COLEGIO AMIGOS DE MEXICO SUR                                                                        "</f>
        <v xml:space="preserve">COLEGIO AMIGOS DE MEXICO SUR                                                                        </v>
      </c>
      <c r="D3135" s="26" t="str">
        <f t="shared" si="537"/>
        <v>MATUTINO</v>
      </c>
      <c r="E3135" s="26" t="str">
        <f>"AV SAN LORENZO NO 19                                                            "</f>
        <v xml:space="preserve">AV SAN LORENZO NO 19                                                            </v>
      </c>
      <c r="F3135" s="26" t="str">
        <f>"BOSQUE RESIDENCIAL DEL SUR                                                                                                                  "</f>
        <v xml:space="preserve">BOSQUE RESIDENCIAL DEL SUR                                                                                                                  </v>
      </c>
      <c r="G3135" s="26" t="str">
        <f>"XOCHIMILCO                                                                      "</f>
        <v xml:space="preserve">XOCHIMILCO                                                                      </v>
      </c>
      <c r="H3135" s="26" t="str">
        <f>"535"</f>
        <v>535</v>
      </c>
      <c r="I3135" s="26" t="str">
        <f t="shared" si="527"/>
        <v>00</v>
      </c>
      <c r="J3135" s="26" t="str">
        <f>"45 "</f>
        <v xml:space="preserve">45 </v>
      </c>
      <c r="K3135" s="26" t="str">
        <f t="shared" si="538"/>
        <v>PR</v>
      </c>
      <c r="L3135" s="26" t="str">
        <f t="shared" si="539"/>
        <v>DGOSE</v>
      </c>
      <c r="M3135" s="26" t="str">
        <f t="shared" si="531"/>
        <v>PARTICULAR</v>
      </c>
      <c r="N3135" s="26">
        <v>65</v>
      </c>
      <c r="O3135" s="26">
        <v>43</v>
      </c>
      <c r="P3135" s="26">
        <v>22</v>
      </c>
      <c r="Q3135" s="26">
        <v>6</v>
      </c>
      <c r="R3135" s="26">
        <v>1</v>
      </c>
      <c r="S3135" s="26">
        <v>2</v>
      </c>
      <c r="T3135" s="26">
        <v>9</v>
      </c>
      <c r="U3135" s="26">
        <v>12</v>
      </c>
      <c r="V3135" s="26">
        <v>1</v>
      </c>
      <c r="W3135" s="26"/>
    </row>
    <row r="3136" spans="1:23" x14ac:dyDescent="0.25">
      <c r="A3136" s="26" t="str">
        <f t="shared" si="526"/>
        <v>PRIMARIA</v>
      </c>
      <c r="B3136" s="26" t="str">
        <f>"09PPR1741T"</f>
        <v>09PPR1741T</v>
      </c>
      <c r="C3136" s="26" t="str">
        <f>"CENTRO EDUCATIVO PLOTINO RHODAKANATY PRIMARIA                                                       "</f>
        <v xml:space="preserve">CENTRO EDUCATIVO PLOTINO RHODAKANATY PRIMARIA                                                       </v>
      </c>
      <c r="D3136" s="26" t="str">
        <f t="shared" si="537"/>
        <v>MATUTINO</v>
      </c>
      <c r="E3136" s="26" t="str">
        <f>"CALZADA DE LA VIGA NO 707                                                       "</f>
        <v xml:space="preserve">CALZADA DE LA VIGA NO 707                                                       </v>
      </c>
      <c r="F3136" s="26" t="str">
        <f>"SAN FRANCISCO XICALTONGO BARRIO                                                                                                             "</f>
        <v xml:space="preserve">SAN FRANCISCO XICALTONGO BARRIO                                                                                                             </v>
      </c>
      <c r="G3136" s="26" t="str">
        <f>"IZTACALCO                                                                       "</f>
        <v xml:space="preserve">IZTACALCO                                                                       </v>
      </c>
      <c r="H3136" s="26" t="str">
        <f>"361"</f>
        <v>361</v>
      </c>
      <c r="I3136" s="26" t="str">
        <f t="shared" si="527"/>
        <v>00</v>
      </c>
      <c r="J3136" s="26" t="str">
        <f>"43 "</f>
        <v xml:space="preserve">43 </v>
      </c>
      <c r="K3136" s="26" t="str">
        <f t="shared" si="538"/>
        <v>PR</v>
      </c>
      <c r="L3136" s="26" t="str">
        <f t="shared" si="539"/>
        <v>DGOSE</v>
      </c>
      <c r="M3136" s="26" t="str">
        <f t="shared" si="531"/>
        <v>PARTICULAR</v>
      </c>
      <c r="N3136" s="26">
        <v>108</v>
      </c>
      <c r="O3136" s="26">
        <v>53</v>
      </c>
      <c r="P3136" s="26">
        <v>55</v>
      </c>
      <c r="Q3136" s="26">
        <v>6</v>
      </c>
      <c r="R3136" s="26">
        <v>1</v>
      </c>
      <c r="S3136" s="26">
        <v>3</v>
      </c>
      <c r="T3136" s="26">
        <v>7</v>
      </c>
      <c r="U3136" s="26">
        <v>11</v>
      </c>
      <c r="V3136" s="26">
        <v>1</v>
      </c>
      <c r="W3136" s="26"/>
    </row>
    <row r="3137" spans="1:23" x14ac:dyDescent="0.25">
      <c r="A3137" s="26" t="str">
        <f t="shared" si="526"/>
        <v>PRIMARIA</v>
      </c>
      <c r="B3137" s="26" t="str">
        <f>"09PPR1742S"</f>
        <v>09PPR1742S</v>
      </c>
      <c r="C3137" s="26" t="str">
        <f>"COLEGIO OLIVERIO CROMWELL                                                                           "</f>
        <v xml:space="preserve">COLEGIO OLIVERIO CROMWELL                                                                           </v>
      </c>
      <c r="D3137" s="26" t="str">
        <f>"VESPERTINO"</f>
        <v>VESPERTINO</v>
      </c>
      <c r="E3137" s="26" t="str">
        <f>"MIXTECAS NO 331                                                                 "</f>
        <v xml:space="preserve">MIXTECAS NO 331                                                                 </v>
      </c>
      <c r="F3137" s="26" t="str">
        <f>"AJUSCO                                                                                                                                      "</f>
        <v xml:space="preserve">AJUSCO                                                                                                                                      </v>
      </c>
      <c r="G3137" s="26" t="str">
        <f>"COYOACAN                                                                        "</f>
        <v xml:space="preserve">COYOACAN                                                                        </v>
      </c>
      <c r="H3137" s="26" t="str">
        <f>"505"</f>
        <v>505</v>
      </c>
      <c r="I3137" s="26" t="str">
        <f t="shared" si="527"/>
        <v>00</v>
      </c>
      <c r="J3137" s="26" t="str">
        <f>"45 "</f>
        <v xml:space="preserve">45 </v>
      </c>
      <c r="K3137" s="26" t="str">
        <f t="shared" si="538"/>
        <v>PR</v>
      </c>
      <c r="L3137" s="26" t="str">
        <f t="shared" si="539"/>
        <v>DGOSE</v>
      </c>
      <c r="M3137" s="26" t="str">
        <f t="shared" si="531"/>
        <v>PARTICULAR</v>
      </c>
      <c r="N3137" s="26">
        <v>40</v>
      </c>
      <c r="O3137" s="26">
        <v>24</v>
      </c>
      <c r="P3137" s="26">
        <v>16</v>
      </c>
      <c r="Q3137" s="26">
        <v>4</v>
      </c>
      <c r="R3137" s="26">
        <v>1</v>
      </c>
      <c r="S3137" s="26">
        <v>4</v>
      </c>
      <c r="T3137" s="26">
        <v>5</v>
      </c>
      <c r="U3137" s="26">
        <v>10</v>
      </c>
      <c r="V3137" s="26">
        <v>1</v>
      </c>
      <c r="W3137" s="26"/>
    </row>
    <row r="3138" spans="1:23" x14ac:dyDescent="0.25">
      <c r="A3138" s="26" t="str">
        <f t="shared" ref="A3138:A3201" si="540">"PRIMARIA"</f>
        <v>PRIMARIA</v>
      </c>
      <c r="B3138" s="26" t="str">
        <f>"09PPR1743R"</f>
        <v>09PPR1743R</v>
      </c>
      <c r="C3138" s="26" t="str">
        <f>"COLEGIO HUMANISTA DE LAS AMERICAS                                                                   "</f>
        <v xml:space="preserve">COLEGIO HUMANISTA DE LAS AMERICAS                                                                   </v>
      </c>
      <c r="D3138" s="26" t="str">
        <f t="shared" ref="D3138:D3172" si="541">"MATUTINO"</f>
        <v>MATUTINO</v>
      </c>
      <c r="E3138" s="26" t="str">
        <f>"24 DE MARZO DE 1857 NO.22 9                                                     "</f>
        <v xml:space="preserve">24 DE MARZO DE 1857 NO.22 9                                                     </v>
      </c>
      <c r="F3138" s="26" t="str">
        <f>"LEYES DE REFORMA                                                                                                                            "</f>
        <v xml:space="preserve">LEYES DE REFORMA                                                                                                                            </v>
      </c>
      <c r="G3138" s="26" t="str">
        <f>"IZTAPALAPA                                                                      "</f>
        <v xml:space="preserve">IZTAPALAPA                                                                      </v>
      </c>
      <c r="H3138" s="26" t="str">
        <f>"000"</f>
        <v>000</v>
      </c>
      <c r="I3138" s="26" t="str">
        <f t="shared" ref="I3138:I3201" si="542">"00"</f>
        <v>00</v>
      </c>
      <c r="J3138" s="26" t="str">
        <f>"61 "</f>
        <v xml:space="preserve">61 </v>
      </c>
      <c r="K3138" s="26" t="str">
        <f>"IZ"</f>
        <v>IZ</v>
      </c>
      <c r="L3138" s="26" t="str">
        <f>"DGSEI"</f>
        <v>DGSEI</v>
      </c>
      <c r="M3138" s="26" t="str">
        <f t="shared" si="531"/>
        <v>PARTICULAR</v>
      </c>
      <c r="N3138" s="26">
        <v>142</v>
      </c>
      <c r="O3138" s="26">
        <v>73</v>
      </c>
      <c r="P3138" s="26">
        <v>69</v>
      </c>
      <c r="Q3138" s="26">
        <v>6</v>
      </c>
      <c r="R3138" s="26">
        <v>1</v>
      </c>
      <c r="S3138" s="26">
        <v>3</v>
      </c>
      <c r="T3138" s="26">
        <v>1</v>
      </c>
      <c r="U3138" s="26">
        <v>5</v>
      </c>
      <c r="V3138" s="26">
        <v>1</v>
      </c>
      <c r="W3138" s="26"/>
    </row>
    <row r="3139" spans="1:23" x14ac:dyDescent="0.25">
      <c r="A3139" s="26" t="str">
        <f t="shared" si="540"/>
        <v>PRIMARIA</v>
      </c>
      <c r="B3139" s="26" t="str">
        <f>"09PPR1744Q"</f>
        <v>09PPR1744Q</v>
      </c>
      <c r="C3139" s="26" t="str">
        <f>"RICCEL COLEGIO DE EDUCACION INTEGRAL                                                                "</f>
        <v xml:space="preserve">RICCEL COLEGIO DE EDUCACION INTEGRAL                                                                </v>
      </c>
      <c r="D3139" s="26" t="str">
        <f t="shared" si="541"/>
        <v>MATUTINO</v>
      </c>
      <c r="E3139" s="26" t="str">
        <f>"SANCTORUM NO 18                                                                 "</f>
        <v xml:space="preserve">SANCTORUM NO 18                                                                 </v>
      </c>
      <c r="F3139" s="26" t="str">
        <f>"ARGENTINA PONIENTE                                                                                                                          "</f>
        <v xml:space="preserve">ARGENTINA PONIENTE                                                                                                                          </v>
      </c>
      <c r="G3139" s="26" t="str">
        <f>"MIGUEL HIDALGO                                                                  "</f>
        <v xml:space="preserve">MIGUEL HIDALGO                                                                  </v>
      </c>
      <c r="H3139" s="26" t="str">
        <f>"212"</f>
        <v>212</v>
      </c>
      <c r="I3139" s="26" t="str">
        <f t="shared" si="542"/>
        <v>00</v>
      </c>
      <c r="J3139" s="26" t="str">
        <f>"42 "</f>
        <v xml:space="preserve">42 </v>
      </c>
      <c r="K3139" s="26" t="str">
        <f t="shared" ref="K3139:K3144" si="543">"PR"</f>
        <v>PR</v>
      </c>
      <c r="L3139" s="26" t="str">
        <f t="shared" ref="L3139:L3144" si="544">"DGOSE"</f>
        <v>DGOSE</v>
      </c>
      <c r="M3139" s="26" t="str">
        <f t="shared" si="531"/>
        <v>PARTICULAR</v>
      </c>
      <c r="N3139" s="26">
        <v>44</v>
      </c>
      <c r="O3139" s="26">
        <v>32</v>
      </c>
      <c r="P3139" s="26">
        <v>12</v>
      </c>
      <c r="Q3139" s="26">
        <v>6</v>
      </c>
      <c r="R3139" s="26">
        <v>1</v>
      </c>
      <c r="S3139" s="26">
        <v>6</v>
      </c>
      <c r="T3139" s="26">
        <v>2</v>
      </c>
      <c r="U3139" s="26">
        <v>9</v>
      </c>
      <c r="V3139" s="26">
        <v>1</v>
      </c>
      <c r="W3139" s="26"/>
    </row>
    <row r="3140" spans="1:23" x14ac:dyDescent="0.25">
      <c r="A3140" s="26" t="str">
        <f t="shared" si="540"/>
        <v>PRIMARIA</v>
      </c>
      <c r="B3140" s="26" t="str">
        <f>"09PPR1745P"</f>
        <v>09PPR1745P</v>
      </c>
      <c r="C3140" s="26" t="str">
        <f>"CENTRO DE EDUCACION INTEGRAL SCHULENBURG                                                            "</f>
        <v xml:space="preserve">CENTRO DE EDUCACION INTEGRAL SCHULENBURG                                                            </v>
      </c>
      <c r="D3140" s="26" t="str">
        <f t="shared" si="541"/>
        <v>MATUTINO</v>
      </c>
      <c r="E3140" s="26" t="str">
        <f>"FERNANDO IGLESIAS CALDERON 133                                                  "</f>
        <v xml:space="preserve">FERNANDO IGLESIAS CALDERON 133                                                  </v>
      </c>
      <c r="F3140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3140" s="26" t="str">
        <f>"VENUSTIANO CARRANZA                                                             "</f>
        <v xml:space="preserve">VENUSTIANO CARRANZA                                                             </v>
      </c>
      <c r="H3140" s="26" t="str">
        <f>"347"</f>
        <v>347</v>
      </c>
      <c r="I3140" s="26" t="str">
        <f t="shared" si="542"/>
        <v>00</v>
      </c>
      <c r="J3140" s="26" t="str">
        <f>"43 "</f>
        <v xml:space="preserve">43 </v>
      </c>
      <c r="K3140" s="26" t="str">
        <f t="shared" si="543"/>
        <v>PR</v>
      </c>
      <c r="L3140" s="26" t="str">
        <f t="shared" si="544"/>
        <v>DGOSE</v>
      </c>
      <c r="M3140" s="26" t="str">
        <f t="shared" si="531"/>
        <v>PARTICULAR</v>
      </c>
      <c r="N3140" s="26">
        <v>47</v>
      </c>
      <c r="O3140" s="26">
        <v>22</v>
      </c>
      <c r="P3140" s="26">
        <v>25</v>
      </c>
      <c r="Q3140" s="26">
        <v>6</v>
      </c>
      <c r="R3140" s="26">
        <v>1</v>
      </c>
      <c r="S3140" s="26">
        <v>3</v>
      </c>
      <c r="T3140" s="26">
        <v>4</v>
      </c>
      <c r="U3140" s="26">
        <v>8</v>
      </c>
      <c r="V3140" s="26">
        <v>1</v>
      </c>
      <c r="W3140" s="26"/>
    </row>
    <row r="3141" spans="1:23" x14ac:dyDescent="0.25">
      <c r="A3141" s="26" t="str">
        <f t="shared" si="540"/>
        <v>PRIMARIA</v>
      </c>
      <c r="B3141" s="26" t="str">
        <f>"09PPR1746O"</f>
        <v>09PPR1746O</v>
      </c>
      <c r="C3141" s="26" t="str">
        <f>"COLEGIO BERTALANFFY                                                                                 "</f>
        <v xml:space="preserve">COLEGIO BERTALANFFY                                                                                 </v>
      </c>
      <c r="D3141" s="26" t="str">
        <f t="shared" si="541"/>
        <v>MATUTINO</v>
      </c>
      <c r="E3141" s="26" t="str">
        <f>"JAIME NUNO NO 11                                                                "</f>
        <v xml:space="preserve">JAIME NUNO NO 11                                                                </v>
      </c>
      <c r="F3141" s="26" t="str">
        <f>"GUADALUPE INN                                                                                                                               "</f>
        <v xml:space="preserve">GUADALUPE INN                                                                                                                               </v>
      </c>
      <c r="G3141" s="26" t="str">
        <f>"ALVARO OBREGON                                                                  "</f>
        <v xml:space="preserve">ALVARO OBREGON                                                                  </v>
      </c>
      <c r="H3141" s="26" t="str">
        <f>"320"</f>
        <v>320</v>
      </c>
      <c r="I3141" s="26" t="str">
        <f t="shared" si="542"/>
        <v>00</v>
      </c>
      <c r="J3141" s="26" t="str">
        <f>"43 "</f>
        <v xml:space="preserve">43 </v>
      </c>
      <c r="K3141" s="26" t="str">
        <f t="shared" si="543"/>
        <v>PR</v>
      </c>
      <c r="L3141" s="26" t="str">
        <f t="shared" si="544"/>
        <v>DGOSE</v>
      </c>
      <c r="M3141" s="26" t="str">
        <f t="shared" si="531"/>
        <v>PARTICULAR</v>
      </c>
      <c r="N3141" s="26">
        <v>44</v>
      </c>
      <c r="O3141" s="26">
        <v>25</v>
      </c>
      <c r="P3141" s="26">
        <v>19</v>
      </c>
      <c r="Q3141" s="26">
        <v>6</v>
      </c>
      <c r="R3141" s="26">
        <v>1</v>
      </c>
      <c r="S3141" s="26">
        <v>3</v>
      </c>
      <c r="T3141" s="26">
        <v>8</v>
      </c>
      <c r="U3141" s="26">
        <v>12</v>
      </c>
      <c r="V3141" s="26">
        <v>1</v>
      </c>
      <c r="W3141" s="26"/>
    </row>
    <row r="3142" spans="1:23" x14ac:dyDescent="0.25">
      <c r="A3142" s="26" t="str">
        <f t="shared" si="540"/>
        <v>PRIMARIA</v>
      </c>
      <c r="B3142" s="26" t="str">
        <f>"09PPR1747N"</f>
        <v>09PPR1747N</v>
      </c>
      <c r="C3142" s="26" t="str">
        <f>"COLEGIO GRIMM CAMPUS SANTA FE                                                                       "</f>
        <v xml:space="preserve">COLEGIO GRIMM CAMPUS SANTA FE                                                                       </v>
      </c>
      <c r="D3142" s="26" t="str">
        <f t="shared" si="541"/>
        <v>MATUTINO</v>
      </c>
      <c r="E3142" s="26" t="str">
        <f>"CARRETERA SAN MATEO  SANTA ROSA NO 99                                           "</f>
        <v xml:space="preserve">CARRETERA SAN MATEO  SANTA ROSA NO 99                                           </v>
      </c>
      <c r="F3142" s="26" t="str">
        <f>"SAN MATEO TLALTENANGO                                                                                                                       "</f>
        <v xml:space="preserve">SAN MATEO TLALTENANGO                                                                                                                       </v>
      </c>
      <c r="G3142" s="26" t="str">
        <f>"CUAJIMALPA DE MORELOS                                                           "</f>
        <v xml:space="preserve">CUAJIMALPA DE MORELOS                                                           </v>
      </c>
      <c r="H3142" s="26" t="str">
        <f>"303"</f>
        <v>303</v>
      </c>
      <c r="I3142" s="26" t="str">
        <f t="shared" si="542"/>
        <v>00</v>
      </c>
      <c r="J3142" s="26" t="str">
        <f>"43 "</f>
        <v xml:space="preserve">43 </v>
      </c>
      <c r="K3142" s="26" t="str">
        <f t="shared" si="543"/>
        <v>PR</v>
      </c>
      <c r="L3142" s="26" t="str">
        <f t="shared" si="544"/>
        <v>DGOSE</v>
      </c>
      <c r="M3142" s="26" t="str">
        <f t="shared" si="531"/>
        <v>PARTICULAR</v>
      </c>
      <c r="N3142" s="26">
        <v>122</v>
      </c>
      <c r="O3142" s="26">
        <v>68</v>
      </c>
      <c r="P3142" s="26">
        <v>54</v>
      </c>
      <c r="Q3142" s="26">
        <v>10</v>
      </c>
      <c r="R3142" s="26">
        <v>1</v>
      </c>
      <c r="S3142" s="26">
        <v>5</v>
      </c>
      <c r="T3142" s="26">
        <v>11</v>
      </c>
      <c r="U3142" s="26">
        <v>17</v>
      </c>
      <c r="V3142" s="26">
        <v>1</v>
      </c>
      <c r="W3142" s="26"/>
    </row>
    <row r="3143" spans="1:23" x14ac:dyDescent="0.25">
      <c r="A3143" s="26" t="str">
        <f t="shared" si="540"/>
        <v>PRIMARIA</v>
      </c>
      <c r="B3143" s="26" t="str">
        <f>"09PPR1748M"</f>
        <v>09PPR1748M</v>
      </c>
      <c r="C3143" s="26" t="str">
        <f>"COLEGIO CIO DE MEXICO                                                                               "</f>
        <v xml:space="preserve">COLEGIO CIO DE MEXICO                                                                               </v>
      </c>
      <c r="D3143" s="26" t="str">
        <f t="shared" si="541"/>
        <v>MATUTINO</v>
      </c>
      <c r="E3143" s="26" t="str">
        <f>"TZINAL NO 203                                                                   "</f>
        <v xml:space="preserve">TZINAL NO 203                                                                   </v>
      </c>
      <c r="F3143" s="26" t="str">
        <f>"HEROES DE PADIERNA                                                                                                                          "</f>
        <v xml:space="preserve">HEROES DE PADIERNA                                                                                                                          </v>
      </c>
      <c r="G3143" s="26" t="str">
        <f>"TLALPAN                                                                         "</f>
        <v xml:space="preserve">TLALPAN                                                                         </v>
      </c>
      <c r="H3143" s="26" t="str">
        <f>"511"</f>
        <v>511</v>
      </c>
      <c r="I3143" s="26" t="str">
        <f t="shared" si="542"/>
        <v>00</v>
      </c>
      <c r="J3143" s="26" t="str">
        <f>"45 "</f>
        <v xml:space="preserve">45 </v>
      </c>
      <c r="K3143" s="26" t="str">
        <f t="shared" si="543"/>
        <v>PR</v>
      </c>
      <c r="L3143" s="26" t="str">
        <f t="shared" si="544"/>
        <v>DGOSE</v>
      </c>
      <c r="M3143" s="26" t="str">
        <f t="shared" si="531"/>
        <v>PARTICULAR</v>
      </c>
      <c r="N3143" s="26">
        <v>219</v>
      </c>
      <c r="O3143" s="26">
        <v>104</v>
      </c>
      <c r="P3143" s="26">
        <v>115</v>
      </c>
      <c r="Q3143" s="26">
        <v>12</v>
      </c>
      <c r="R3143" s="26">
        <v>1</v>
      </c>
      <c r="S3143" s="26">
        <v>11</v>
      </c>
      <c r="T3143" s="26">
        <v>10</v>
      </c>
      <c r="U3143" s="26">
        <v>22</v>
      </c>
      <c r="V3143" s="26">
        <v>1</v>
      </c>
      <c r="W3143" s="26"/>
    </row>
    <row r="3144" spans="1:23" x14ac:dyDescent="0.25">
      <c r="A3144" s="26" t="str">
        <f t="shared" si="540"/>
        <v>PRIMARIA</v>
      </c>
      <c r="B3144" s="26" t="str">
        <f>"09PPR1749L"</f>
        <v>09PPR1749L</v>
      </c>
      <c r="C3144" s="26" t="str">
        <f>"INSTITUTO AMADEUS                                                                                   "</f>
        <v xml:space="preserve">INSTITUTO AMADEUS                                                                                   </v>
      </c>
      <c r="D3144" s="26" t="str">
        <f t="shared" si="541"/>
        <v>MATUTINO</v>
      </c>
      <c r="E3144" s="26" t="str">
        <f>"BECAL MANZANA 47 LOTE 4                                                         "</f>
        <v xml:space="preserve">BECAL MANZANA 47 LOTE 4                                                         </v>
      </c>
      <c r="F3144" s="26" t="str">
        <f>"HEROES DE PADIERNA                                                                                                                          "</f>
        <v xml:space="preserve">HEROES DE PADIERNA                                                                                                                          </v>
      </c>
      <c r="G3144" s="26" t="str">
        <f>"TLALPAN                                                                         "</f>
        <v xml:space="preserve">TLALPAN                                                                         </v>
      </c>
      <c r="H3144" s="26" t="str">
        <f>"511"</f>
        <v>511</v>
      </c>
      <c r="I3144" s="26" t="str">
        <f t="shared" si="542"/>
        <v>00</v>
      </c>
      <c r="J3144" s="26" t="str">
        <f>"45 "</f>
        <v xml:space="preserve">45 </v>
      </c>
      <c r="K3144" s="26" t="str">
        <f t="shared" si="543"/>
        <v>PR</v>
      </c>
      <c r="L3144" s="26" t="str">
        <f t="shared" si="544"/>
        <v>DGOSE</v>
      </c>
      <c r="M3144" s="26" t="str">
        <f t="shared" si="531"/>
        <v>PARTICULAR</v>
      </c>
      <c r="N3144" s="26">
        <v>95</v>
      </c>
      <c r="O3144" s="26">
        <v>44</v>
      </c>
      <c r="P3144" s="26">
        <v>51</v>
      </c>
      <c r="Q3144" s="26">
        <v>6</v>
      </c>
      <c r="R3144" s="26">
        <v>1</v>
      </c>
      <c r="S3144" s="26">
        <v>3</v>
      </c>
      <c r="T3144" s="26">
        <v>5</v>
      </c>
      <c r="U3144" s="26">
        <v>9</v>
      </c>
      <c r="V3144" s="26">
        <v>1</v>
      </c>
      <c r="W3144" s="26"/>
    </row>
    <row r="3145" spans="1:23" x14ac:dyDescent="0.25">
      <c r="A3145" s="26" t="str">
        <f t="shared" si="540"/>
        <v>PRIMARIA</v>
      </c>
      <c r="B3145" s="26" t="str">
        <f>"09PPR1750A"</f>
        <v>09PPR1750A</v>
      </c>
      <c r="C3145" s="26" t="str">
        <f>"COLEGIO LUZ BRINGAS                                                                                 "</f>
        <v xml:space="preserve">COLEGIO LUZ BRINGAS                                                                                 </v>
      </c>
      <c r="D3145" s="26" t="str">
        <f t="shared" si="541"/>
        <v>MATUTINO</v>
      </c>
      <c r="E3145" s="26" t="str">
        <f>"AVENIDA SAN LORENZO NO 2171                                                     "</f>
        <v xml:space="preserve">AVENIDA SAN LORENZO NO 2171                                                     </v>
      </c>
      <c r="F3145" s="26" t="str">
        <f>"SAN JUAN XALPA                                                                                                                              "</f>
        <v xml:space="preserve">SAN JUAN XALPA                                                                                                                              </v>
      </c>
      <c r="G3145" s="26" t="str">
        <f>"IZTAPALAPA                                                                      "</f>
        <v xml:space="preserve">IZTAPALAPA                                                                      </v>
      </c>
      <c r="H3145" s="26" t="str">
        <f>"000"</f>
        <v>000</v>
      </c>
      <c r="I3145" s="26" t="str">
        <f t="shared" si="542"/>
        <v>00</v>
      </c>
      <c r="J3145" s="26" t="str">
        <f>"63 "</f>
        <v xml:space="preserve">63 </v>
      </c>
      <c r="K3145" s="26" t="str">
        <f>"IZ"</f>
        <v>IZ</v>
      </c>
      <c r="L3145" s="26" t="str">
        <f>"DGSEI"</f>
        <v>DGSEI</v>
      </c>
      <c r="M3145" s="26" t="str">
        <f t="shared" si="531"/>
        <v>PARTICULAR</v>
      </c>
      <c r="N3145" s="26">
        <v>286</v>
      </c>
      <c r="O3145" s="26">
        <v>152</v>
      </c>
      <c r="P3145" s="26">
        <v>134</v>
      </c>
      <c r="Q3145" s="26">
        <v>12</v>
      </c>
      <c r="R3145" s="26">
        <v>1</v>
      </c>
      <c r="S3145" s="26">
        <v>12</v>
      </c>
      <c r="T3145" s="26">
        <v>6</v>
      </c>
      <c r="U3145" s="26">
        <v>19</v>
      </c>
      <c r="V3145" s="26">
        <v>1</v>
      </c>
      <c r="W3145" s="26"/>
    </row>
    <row r="3146" spans="1:23" x14ac:dyDescent="0.25">
      <c r="A3146" s="26" t="str">
        <f t="shared" si="540"/>
        <v>PRIMARIA</v>
      </c>
      <c r="B3146" s="26" t="str">
        <f>"09PPR1751Z"</f>
        <v>09PPR1751Z</v>
      </c>
      <c r="C3146" s="26" t="str">
        <f>"LICEO CULTURAL MEXICANO                                                                             "</f>
        <v xml:space="preserve">LICEO CULTURAL MEXICANO                                                                             </v>
      </c>
      <c r="D3146" s="26" t="str">
        <f t="shared" si="541"/>
        <v>MATUTINO</v>
      </c>
      <c r="E3146" s="26" t="str">
        <f>"DURANGO NO. 3 MZ. 53 LT. 17                                                     "</f>
        <v xml:space="preserve">DURANGO NO. 3 MZ. 53 LT. 17                                                     </v>
      </c>
      <c r="F3146" s="26" t="str">
        <f>"LOMAS SAN LORENZO                                                                                                                           "</f>
        <v xml:space="preserve">LOMAS SAN LORENZO                                                                                                                           </v>
      </c>
      <c r="G3146" s="26" t="str">
        <f>"IZTAPALAPA                                                                      "</f>
        <v xml:space="preserve">IZTAPALAPA                                                                      </v>
      </c>
      <c r="H3146" s="26" t="str">
        <f>"000"</f>
        <v>000</v>
      </c>
      <c r="I3146" s="26" t="str">
        <f t="shared" si="542"/>
        <v>00</v>
      </c>
      <c r="J3146" s="26" t="str">
        <f>"63 "</f>
        <v xml:space="preserve">63 </v>
      </c>
      <c r="K3146" s="26" t="str">
        <f>"IZ"</f>
        <v>IZ</v>
      </c>
      <c r="L3146" s="26" t="str">
        <f>"DGSEI"</f>
        <v>DGSEI</v>
      </c>
      <c r="M3146" s="26" t="str">
        <f t="shared" si="531"/>
        <v>PARTICULAR</v>
      </c>
      <c r="N3146" s="26">
        <v>44</v>
      </c>
      <c r="O3146" s="26">
        <v>26</v>
      </c>
      <c r="P3146" s="26">
        <v>18</v>
      </c>
      <c r="Q3146" s="26">
        <v>6</v>
      </c>
      <c r="R3146" s="26">
        <v>1</v>
      </c>
      <c r="S3146" s="26">
        <v>3</v>
      </c>
      <c r="T3146" s="26">
        <v>5</v>
      </c>
      <c r="U3146" s="26">
        <v>9</v>
      </c>
      <c r="V3146" s="26">
        <v>1</v>
      </c>
      <c r="W3146" s="26"/>
    </row>
    <row r="3147" spans="1:23" x14ac:dyDescent="0.25">
      <c r="A3147" s="26" t="str">
        <f t="shared" si="540"/>
        <v>PRIMARIA</v>
      </c>
      <c r="B3147" s="26" t="str">
        <f>"09PPR1753Y"</f>
        <v>09PPR1753Y</v>
      </c>
      <c r="C3147" s="26" t="str">
        <f>"C A D I                                                                                             "</f>
        <v xml:space="preserve">C A D I                                                                                             </v>
      </c>
      <c r="D3147" s="26" t="str">
        <f t="shared" si="541"/>
        <v>MATUTINO</v>
      </c>
      <c r="E3147" s="26" t="str">
        <f>"MOLLENDO 910-920                                                                "</f>
        <v xml:space="preserve">MOLLENDO 910-920                                                                </v>
      </c>
      <c r="F3147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3147" s="26" t="str">
        <f>"GUSTAVO A. MADERO                                                               "</f>
        <v xml:space="preserve">GUSTAVO A. MADERO                                                               </v>
      </c>
      <c r="H3147" s="26" t="str">
        <f>"242"</f>
        <v>242</v>
      </c>
      <c r="I3147" s="26" t="str">
        <f t="shared" si="542"/>
        <v>00</v>
      </c>
      <c r="J3147" s="26" t="str">
        <f>"42 "</f>
        <v xml:space="preserve">42 </v>
      </c>
      <c r="K3147" s="26" t="str">
        <f>"PR"</f>
        <v>PR</v>
      </c>
      <c r="L3147" s="26" t="str">
        <f>"DGOSE"</f>
        <v>DGOSE</v>
      </c>
      <c r="M3147" s="26" t="str">
        <f t="shared" si="531"/>
        <v>PARTICULAR</v>
      </c>
      <c r="N3147" s="26">
        <v>175</v>
      </c>
      <c r="O3147" s="26">
        <v>83</v>
      </c>
      <c r="P3147" s="26">
        <v>92</v>
      </c>
      <c r="Q3147" s="26">
        <v>9</v>
      </c>
      <c r="R3147" s="26">
        <v>1</v>
      </c>
      <c r="S3147" s="26">
        <v>5</v>
      </c>
      <c r="T3147" s="26">
        <v>16</v>
      </c>
      <c r="U3147" s="26">
        <v>22</v>
      </c>
      <c r="V3147" s="26">
        <v>1</v>
      </c>
      <c r="W3147" s="26"/>
    </row>
    <row r="3148" spans="1:23" x14ac:dyDescent="0.25">
      <c r="A3148" s="26" t="str">
        <f t="shared" si="540"/>
        <v>PRIMARIA</v>
      </c>
      <c r="B3148" s="26" t="str">
        <f>"09PPR1756V"</f>
        <v>09PPR1756V</v>
      </c>
      <c r="C3148" s="26" t="str">
        <f>"COLEGIO LAFONTAINE                                                                                  "</f>
        <v xml:space="preserve">COLEGIO LAFONTAINE                                                                                  </v>
      </c>
      <c r="D3148" s="26" t="str">
        <f t="shared" si="541"/>
        <v>MATUTINO</v>
      </c>
      <c r="E3148" s="26" t="str">
        <f>"LAFONTAINE NO 138                                                               "</f>
        <v xml:space="preserve">LAFONTAINE NO 138                                                               </v>
      </c>
      <c r="F3148" s="26" t="str">
        <f>"POLANCO SECCION I                                                                                                                           "</f>
        <v xml:space="preserve">POLANCO SECCION I                                                                                                                           </v>
      </c>
      <c r="G3148" s="26" t="str">
        <f>"MIGUEL HIDALGO                                                                  "</f>
        <v xml:space="preserve">MIGUEL HIDALGO                                                                  </v>
      </c>
      <c r="H3148" s="26" t="str">
        <f>"214"</f>
        <v>214</v>
      </c>
      <c r="I3148" s="26" t="str">
        <f t="shared" si="542"/>
        <v>00</v>
      </c>
      <c r="J3148" s="26" t="str">
        <f>"42 "</f>
        <v xml:space="preserve">42 </v>
      </c>
      <c r="K3148" s="26" t="str">
        <f>"PR"</f>
        <v>PR</v>
      </c>
      <c r="L3148" s="26" t="str">
        <f>"DGOSE"</f>
        <v>DGOSE</v>
      </c>
      <c r="M3148" s="26" t="str">
        <f t="shared" si="531"/>
        <v>PARTICULAR</v>
      </c>
      <c r="N3148" s="26">
        <v>182</v>
      </c>
      <c r="O3148" s="26">
        <v>90</v>
      </c>
      <c r="P3148" s="26">
        <v>92</v>
      </c>
      <c r="Q3148" s="26">
        <v>10</v>
      </c>
      <c r="R3148" s="26">
        <v>1</v>
      </c>
      <c r="S3148" s="26">
        <v>5</v>
      </c>
      <c r="T3148" s="26">
        <v>8</v>
      </c>
      <c r="U3148" s="26">
        <v>14</v>
      </c>
      <c r="V3148" s="26">
        <v>1</v>
      </c>
      <c r="W3148" s="26"/>
    </row>
    <row r="3149" spans="1:23" x14ac:dyDescent="0.25">
      <c r="A3149" s="26" t="str">
        <f t="shared" si="540"/>
        <v>PRIMARIA</v>
      </c>
      <c r="B3149" s="26" t="str">
        <f>"09PPR1757U"</f>
        <v>09PPR1757U</v>
      </c>
      <c r="C3149" s="26" t="str">
        <f>"GRUPO SAN PEDRO                                                                                     "</f>
        <v xml:space="preserve">GRUPO SAN PEDRO                                                                                     </v>
      </c>
      <c r="D3149" s="26" t="str">
        <f t="shared" si="541"/>
        <v>MATUTINO</v>
      </c>
      <c r="E3149" s="26" t="str">
        <f>"SAN PABLO NO 8                                                                  "</f>
        <v xml:space="preserve">SAN PABLO NO 8                                                                  </v>
      </c>
      <c r="F3149" s="26" t="str">
        <f>"PEDREGAL DE SANTA URSULA                                                                                                                    "</f>
        <v xml:space="preserve">PEDREGAL DE SANTA URSULA                                                                                                                    </v>
      </c>
      <c r="G3149" s="26" t="str">
        <f>"COYOACAN                                                                        "</f>
        <v xml:space="preserve">COYOACAN                                                                        </v>
      </c>
      <c r="H3149" s="26" t="str">
        <f>"507"</f>
        <v>507</v>
      </c>
      <c r="I3149" s="26" t="str">
        <f t="shared" si="542"/>
        <v>00</v>
      </c>
      <c r="J3149" s="26" t="str">
        <f>"45 "</f>
        <v xml:space="preserve">45 </v>
      </c>
      <c r="K3149" s="26" t="str">
        <f>"PR"</f>
        <v>PR</v>
      </c>
      <c r="L3149" s="26" t="str">
        <f>"DGOSE"</f>
        <v>DGOSE</v>
      </c>
      <c r="M3149" s="26" t="str">
        <f t="shared" si="531"/>
        <v>PARTICULAR</v>
      </c>
      <c r="N3149" s="26">
        <v>31</v>
      </c>
      <c r="O3149" s="26">
        <v>17</v>
      </c>
      <c r="P3149" s="26">
        <v>14</v>
      </c>
      <c r="Q3149" s="26">
        <v>6</v>
      </c>
      <c r="R3149" s="26">
        <v>1</v>
      </c>
      <c r="S3149" s="26">
        <v>6</v>
      </c>
      <c r="T3149" s="26">
        <v>2</v>
      </c>
      <c r="U3149" s="26">
        <v>9</v>
      </c>
      <c r="V3149" s="26">
        <v>1</v>
      </c>
      <c r="W3149" s="26"/>
    </row>
    <row r="3150" spans="1:23" x14ac:dyDescent="0.25">
      <c r="A3150" s="26" t="str">
        <f t="shared" si="540"/>
        <v>PRIMARIA</v>
      </c>
      <c r="B3150" s="26" t="str">
        <f>"09PPR1759S"</f>
        <v>09PPR1759S</v>
      </c>
      <c r="C3150" s="26" t="str">
        <f>"COLEGIO JOSE VASCONCELOS CALDERON                                                                   "</f>
        <v xml:space="preserve">COLEGIO JOSE VASCONCELOS CALDERON                                                                   </v>
      </c>
      <c r="D3150" s="26" t="str">
        <f t="shared" si="541"/>
        <v>MATUTINO</v>
      </c>
      <c r="E3150" s="26" t="str">
        <f>"HIDALGO NO 137                                                                  "</f>
        <v xml:space="preserve">HIDALGO NO 137                                                                  </v>
      </c>
      <c r="F3150" s="26" t="str">
        <f>"OLIVAR DEL CONDE 2A SECCION                                                                                                                 "</f>
        <v xml:space="preserve">OLIVAR DEL CONDE 2A SECCION                                                                                                                 </v>
      </c>
      <c r="G3150" s="26" t="str">
        <f>"ALVARO OBREGON                                                                  "</f>
        <v xml:space="preserve">ALVARO OBREGON                                                                  </v>
      </c>
      <c r="H3150" s="26" t="str">
        <f>"317"</f>
        <v>317</v>
      </c>
      <c r="I3150" s="26" t="str">
        <f t="shared" si="542"/>
        <v>00</v>
      </c>
      <c r="J3150" s="26" t="str">
        <f>"43 "</f>
        <v xml:space="preserve">43 </v>
      </c>
      <c r="K3150" s="26" t="str">
        <f>"PR"</f>
        <v>PR</v>
      </c>
      <c r="L3150" s="26" t="str">
        <f>"DGOSE"</f>
        <v>DGOSE</v>
      </c>
      <c r="M3150" s="26" t="str">
        <f t="shared" si="531"/>
        <v>PARTICULAR</v>
      </c>
      <c r="N3150" s="26">
        <v>27</v>
      </c>
      <c r="O3150" s="26">
        <v>15</v>
      </c>
      <c r="P3150" s="26">
        <v>12</v>
      </c>
      <c r="Q3150" s="26">
        <v>6</v>
      </c>
      <c r="R3150" s="26">
        <v>1</v>
      </c>
      <c r="S3150" s="26">
        <v>3</v>
      </c>
      <c r="T3150" s="26">
        <v>4</v>
      </c>
      <c r="U3150" s="26">
        <v>8</v>
      </c>
      <c r="V3150" s="26">
        <v>1</v>
      </c>
      <c r="W3150" s="26"/>
    </row>
    <row r="3151" spans="1:23" x14ac:dyDescent="0.25">
      <c r="A3151" s="26" t="str">
        <f t="shared" si="540"/>
        <v>PRIMARIA</v>
      </c>
      <c r="B3151" s="26" t="str">
        <f>"09PPR1761G"</f>
        <v>09PPR1761G</v>
      </c>
      <c r="C3151" s="26" t="str">
        <f>"COLEGIO NISKAL                                                                                      "</f>
        <v xml:space="preserve">COLEGIO NISKAL                                                                                      </v>
      </c>
      <c r="D3151" s="26" t="str">
        <f t="shared" si="541"/>
        <v>MATUTINO</v>
      </c>
      <c r="E3151" s="26" t="str">
        <f>"AV EJIDO SAN FRANCISCO CULHUACAN NO 174                                         "</f>
        <v xml:space="preserve">AV EJIDO SAN FRANCISCO CULHUACAN NO 174                                         </v>
      </c>
      <c r="F3151" s="26" t="str">
        <f>"SAN FRANCISCO CULHUACAN                                                                                                                     "</f>
        <v xml:space="preserve">SAN FRANCISCO CULHUACAN                                                                                                                     </v>
      </c>
      <c r="G3151" s="26" t="str">
        <f>"COYOACAN                                                                        "</f>
        <v xml:space="preserve">COYOACAN                                                                        </v>
      </c>
      <c r="H3151" s="26" t="str">
        <f>"508"</f>
        <v>508</v>
      </c>
      <c r="I3151" s="26" t="str">
        <f t="shared" si="542"/>
        <v>00</v>
      </c>
      <c r="J3151" s="26" t="str">
        <f>"45 "</f>
        <v xml:space="preserve">45 </v>
      </c>
      <c r="K3151" s="26" t="str">
        <f>"PR"</f>
        <v>PR</v>
      </c>
      <c r="L3151" s="26" t="str">
        <f>"DGOSE"</f>
        <v>DGOSE</v>
      </c>
      <c r="M3151" s="26" t="str">
        <f t="shared" si="531"/>
        <v>PARTICULAR</v>
      </c>
      <c r="N3151" s="26">
        <v>89</v>
      </c>
      <c r="O3151" s="26">
        <v>45</v>
      </c>
      <c r="P3151" s="26">
        <v>44</v>
      </c>
      <c r="Q3151" s="26">
        <v>6</v>
      </c>
      <c r="R3151" s="26">
        <v>1</v>
      </c>
      <c r="S3151" s="26">
        <v>3</v>
      </c>
      <c r="T3151" s="26">
        <v>8</v>
      </c>
      <c r="U3151" s="26">
        <v>12</v>
      </c>
      <c r="V3151" s="26">
        <v>1</v>
      </c>
      <c r="W3151" s="26"/>
    </row>
    <row r="3152" spans="1:23" x14ac:dyDescent="0.25">
      <c r="A3152" s="26" t="str">
        <f t="shared" si="540"/>
        <v>PRIMARIA</v>
      </c>
      <c r="B3152" s="26" t="str">
        <f>"09PPR1762F"</f>
        <v>09PPR1762F</v>
      </c>
      <c r="C3152" s="26" t="str">
        <f>"COLEGIO LAS AMERICAS                                                                                "</f>
        <v xml:space="preserve">COLEGIO LAS AMERICAS                                                                                </v>
      </c>
      <c r="D3152" s="26" t="str">
        <f t="shared" si="541"/>
        <v>MATUTINO</v>
      </c>
      <c r="E3152" s="26" t="str">
        <f>"GANADEROS NO. 251                                                               "</f>
        <v xml:space="preserve">GANADEROS NO. 251                                                               </v>
      </c>
      <c r="F3152" s="26" t="str">
        <f>"VALLE DEL SUR                                                                                                                               "</f>
        <v xml:space="preserve">VALLE DEL SUR                                                                                                                               </v>
      </c>
      <c r="G3152" s="26" t="str">
        <f>"IZTAPALAPA                                                                      "</f>
        <v xml:space="preserve">IZTAPALAPA                                                                      </v>
      </c>
      <c r="H3152" s="26" t="str">
        <f>"000"</f>
        <v>000</v>
      </c>
      <c r="I3152" s="26" t="str">
        <f t="shared" si="542"/>
        <v>00</v>
      </c>
      <c r="J3152" s="26" t="str">
        <f>"61 "</f>
        <v xml:space="preserve">61 </v>
      </c>
      <c r="K3152" s="26" t="str">
        <f>"IZ"</f>
        <v>IZ</v>
      </c>
      <c r="L3152" s="26" t="str">
        <f>"DGSEI"</f>
        <v>DGSEI</v>
      </c>
      <c r="M3152" s="26" t="str">
        <f t="shared" si="531"/>
        <v>PARTICULAR</v>
      </c>
      <c r="N3152" s="26">
        <v>220</v>
      </c>
      <c r="O3152" s="26">
        <v>107</v>
      </c>
      <c r="P3152" s="26">
        <v>113</v>
      </c>
      <c r="Q3152" s="26">
        <v>12</v>
      </c>
      <c r="R3152" s="26">
        <v>1</v>
      </c>
      <c r="S3152" s="26">
        <v>7</v>
      </c>
      <c r="T3152" s="26">
        <v>6</v>
      </c>
      <c r="U3152" s="26">
        <v>14</v>
      </c>
      <c r="V3152" s="26">
        <v>1</v>
      </c>
      <c r="W3152" s="26"/>
    </row>
    <row r="3153" spans="1:23" x14ac:dyDescent="0.25">
      <c r="A3153" s="26" t="str">
        <f t="shared" si="540"/>
        <v>PRIMARIA</v>
      </c>
      <c r="B3153" s="26" t="str">
        <f>"09PPR1763E"</f>
        <v>09PPR1763E</v>
      </c>
      <c r="C3153" s="26" t="str">
        <f>"COLEGIO LOMAS HILL                                                                                  "</f>
        <v xml:space="preserve">COLEGIO LOMAS HILL                                                                                  </v>
      </c>
      <c r="D3153" s="26" t="str">
        <f t="shared" si="541"/>
        <v>MATUTINO</v>
      </c>
      <c r="E3153" s="26" t="str">
        <f>"AV. VERACRUZ 156                                                                "</f>
        <v xml:space="preserve">AV. VERACRUZ 156                                                                </v>
      </c>
      <c r="F3153" s="26" t="str">
        <f>"CUAJIMALPA                                                                                                                                  "</f>
        <v xml:space="preserve">CUAJIMALPA                                                                                                                                  </v>
      </c>
      <c r="G3153" s="26" t="str">
        <f>"CUAJIMALPA DE MORELOS                                                           "</f>
        <v xml:space="preserve">CUAJIMALPA DE MORELOS                                                           </v>
      </c>
      <c r="H3153" s="26" t="str">
        <f>"304"</f>
        <v>304</v>
      </c>
      <c r="I3153" s="26" t="str">
        <f t="shared" si="542"/>
        <v>00</v>
      </c>
      <c r="J3153" s="26" t="str">
        <f>"43 "</f>
        <v xml:space="preserve">43 </v>
      </c>
      <c r="K3153" s="26" t="str">
        <f>"PR"</f>
        <v>PR</v>
      </c>
      <c r="L3153" s="26" t="str">
        <f>"DGOSE"</f>
        <v>DGOSE</v>
      </c>
      <c r="M3153" s="26" t="str">
        <f t="shared" si="531"/>
        <v>PARTICULAR</v>
      </c>
      <c r="N3153" s="26">
        <v>144</v>
      </c>
      <c r="O3153" s="26">
        <v>77</v>
      </c>
      <c r="P3153" s="26">
        <v>67</v>
      </c>
      <c r="Q3153" s="26">
        <v>10</v>
      </c>
      <c r="R3153" s="26">
        <v>1</v>
      </c>
      <c r="S3153" s="26">
        <v>5</v>
      </c>
      <c r="T3153" s="26">
        <v>12</v>
      </c>
      <c r="U3153" s="26">
        <v>18</v>
      </c>
      <c r="V3153" s="26">
        <v>1</v>
      </c>
      <c r="W3153" s="26"/>
    </row>
    <row r="3154" spans="1:23" x14ac:dyDescent="0.25">
      <c r="A3154" s="26" t="str">
        <f t="shared" si="540"/>
        <v>PRIMARIA</v>
      </c>
      <c r="B3154" s="26" t="str">
        <f>"09PPR1764D"</f>
        <v>09PPR1764D</v>
      </c>
      <c r="C3154" s="26" t="str">
        <f>"NORTHRIDGE SCHOOL MEXICO                                                                            "</f>
        <v xml:space="preserve">NORTHRIDGE SCHOOL MEXICO                                                                            </v>
      </c>
      <c r="D3154" s="26" t="str">
        <f t="shared" si="541"/>
        <v>MATUTINO</v>
      </c>
      <c r="E3154" s="26" t="str">
        <f>"AVENIDA MEXICO N. 14                                                            "</f>
        <v xml:space="preserve">AVENIDA MEXICO N. 14                                                            </v>
      </c>
      <c r="F3154" s="26" t="str">
        <f>"CUAJIMALPA                                                                                                                                  "</f>
        <v xml:space="preserve">CUAJIMALPA                                                                                                                                  </v>
      </c>
      <c r="G3154" s="26" t="str">
        <f>"CUAJIMALPA DE MORELOS                                                           "</f>
        <v xml:space="preserve">CUAJIMALPA DE MORELOS                                                           </v>
      </c>
      <c r="H3154" s="26" t="str">
        <f>"305"</f>
        <v>305</v>
      </c>
      <c r="I3154" s="26" t="str">
        <f t="shared" si="542"/>
        <v>00</v>
      </c>
      <c r="J3154" s="26" t="str">
        <f>"43 "</f>
        <v xml:space="preserve">43 </v>
      </c>
      <c r="K3154" s="26" t="str">
        <f>"PR"</f>
        <v>PR</v>
      </c>
      <c r="L3154" s="26" t="str">
        <f>"DGOSE"</f>
        <v>DGOSE</v>
      </c>
      <c r="M3154" s="26" t="str">
        <f t="shared" ref="M3154:M3217" si="545">"PARTICULAR"</f>
        <v>PARTICULAR</v>
      </c>
      <c r="N3154" s="26">
        <v>266</v>
      </c>
      <c r="O3154" s="26">
        <v>266</v>
      </c>
      <c r="P3154" s="26">
        <v>0</v>
      </c>
      <c r="Q3154" s="26">
        <v>12</v>
      </c>
      <c r="R3154" s="26">
        <v>1</v>
      </c>
      <c r="S3154" s="26">
        <v>6</v>
      </c>
      <c r="T3154" s="26">
        <v>7</v>
      </c>
      <c r="U3154" s="26">
        <v>14</v>
      </c>
      <c r="V3154" s="26">
        <v>1</v>
      </c>
      <c r="W3154" s="26"/>
    </row>
    <row r="3155" spans="1:23" x14ac:dyDescent="0.25">
      <c r="A3155" s="26" t="str">
        <f t="shared" si="540"/>
        <v>PRIMARIA</v>
      </c>
      <c r="B3155" s="26" t="str">
        <f>"09PPR1766B"</f>
        <v>09PPR1766B</v>
      </c>
      <c r="C3155" s="26" t="str">
        <f>"INSTITUTO JAIME SABINES                                                                             "</f>
        <v xml:space="preserve">INSTITUTO JAIME SABINES                                                                             </v>
      </c>
      <c r="D3155" s="26" t="str">
        <f t="shared" si="541"/>
        <v>MATUTINO</v>
      </c>
      <c r="E3155" s="26" t="str">
        <f>"SALVADOR ALVARADO 72                                                            "</f>
        <v xml:space="preserve">SALVADOR ALVARADO 72                                                            </v>
      </c>
      <c r="F3155" s="26" t="str">
        <f>"ESCANDON I                                                                                                                                  "</f>
        <v xml:space="preserve">ESCANDON I                                                                                                                                  </v>
      </c>
      <c r="G3155" s="26" t="str">
        <f>"MIGUEL HIDALGO                                                                  "</f>
        <v xml:space="preserve">MIGUEL HIDALGO                                                                  </v>
      </c>
      <c r="H3155" s="26" t="str">
        <f>"211"</f>
        <v>211</v>
      </c>
      <c r="I3155" s="26" t="str">
        <f t="shared" si="542"/>
        <v>00</v>
      </c>
      <c r="J3155" s="26" t="str">
        <f>"42 "</f>
        <v xml:space="preserve">42 </v>
      </c>
      <c r="K3155" s="26" t="str">
        <f>"PR"</f>
        <v>PR</v>
      </c>
      <c r="L3155" s="26" t="str">
        <f>"DGOSE"</f>
        <v>DGOSE</v>
      </c>
      <c r="M3155" s="26" t="str">
        <f t="shared" si="545"/>
        <v>PARTICULAR</v>
      </c>
      <c r="N3155" s="26">
        <v>53</v>
      </c>
      <c r="O3155" s="26">
        <v>32</v>
      </c>
      <c r="P3155" s="26">
        <v>21</v>
      </c>
      <c r="Q3155" s="26">
        <v>6</v>
      </c>
      <c r="R3155" s="26">
        <v>1</v>
      </c>
      <c r="S3155" s="26">
        <v>2</v>
      </c>
      <c r="T3155" s="26">
        <v>5</v>
      </c>
      <c r="U3155" s="26">
        <v>8</v>
      </c>
      <c r="V3155" s="26">
        <v>1</v>
      </c>
      <c r="W3155" s="26"/>
    </row>
    <row r="3156" spans="1:23" x14ac:dyDescent="0.25">
      <c r="A3156" s="26" t="str">
        <f t="shared" si="540"/>
        <v>PRIMARIA</v>
      </c>
      <c r="B3156" s="26" t="str">
        <f>"09PPR1767A"</f>
        <v>09PPR1767A</v>
      </c>
      <c r="C3156" s="26" t="str">
        <f>"COLEGIO ANDRE CHENIER                                                                               "</f>
        <v xml:space="preserve">COLEGIO ANDRE CHENIER                                                                               </v>
      </c>
      <c r="D3156" s="26" t="str">
        <f t="shared" si="541"/>
        <v>MATUTINO</v>
      </c>
      <c r="E3156" s="26" t="str">
        <f>"SUR 27 No. 273 Mz. 28 Lt. 273                                                   "</f>
        <v xml:space="preserve">SUR 27 No. 273 Mz. 28 Lt. 273                                                   </v>
      </c>
      <c r="F3156" s="26" t="str">
        <f>"LEYES DE REFORMA                                                                                                                            "</f>
        <v xml:space="preserve">LEYES DE REFORMA                                                                                                                            </v>
      </c>
      <c r="G3156" s="26" t="str">
        <f>"IZTAPALAPA                                                                      "</f>
        <v xml:space="preserve">IZTAPALAPA                                                                      </v>
      </c>
      <c r="H3156" s="26" t="str">
        <f>"000"</f>
        <v>000</v>
      </c>
      <c r="I3156" s="26" t="str">
        <f t="shared" si="542"/>
        <v>00</v>
      </c>
      <c r="J3156" s="26" t="str">
        <f>"62 "</f>
        <v xml:space="preserve">62 </v>
      </c>
      <c r="K3156" s="26" t="str">
        <f>"IZ"</f>
        <v>IZ</v>
      </c>
      <c r="L3156" s="26" t="str">
        <f>"DGSEI"</f>
        <v>DGSEI</v>
      </c>
      <c r="M3156" s="26" t="str">
        <f t="shared" si="545"/>
        <v>PARTICULAR</v>
      </c>
      <c r="N3156" s="26">
        <v>73</v>
      </c>
      <c r="O3156" s="26">
        <v>34</v>
      </c>
      <c r="P3156" s="26">
        <v>39</v>
      </c>
      <c r="Q3156" s="26">
        <v>6</v>
      </c>
      <c r="R3156" s="26">
        <v>1</v>
      </c>
      <c r="S3156" s="26">
        <v>5</v>
      </c>
      <c r="T3156" s="26">
        <v>4</v>
      </c>
      <c r="U3156" s="26">
        <v>10</v>
      </c>
      <c r="V3156" s="26">
        <v>1</v>
      </c>
      <c r="W3156" s="26"/>
    </row>
    <row r="3157" spans="1:23" x14ac:dyDescent="0.25">
      <c r="A3157" s="26" t="str">
        <f t="shared" si="540"/>
        <v>PRIMARIA</v>
      </c>
      <c r="B3157" s="26" t="str">
        <f>"09PPR1768Z"</f>
        <v>09PPR1768Z</v>
      </c>
      <c r="C3157" s="26" t="str">
        <f>"COLEGIO SUMMERHILL                                                                                  "</f>
        <v xml:space="preserve">COLEGIO SUMMERHILL                                                                                  </v>
      </c>
      <c r="D3157" s="26" t="str">
        <f t="shared" si="541"/>
        <v>MATUTINO</v>
      </c>
      <c r="E3157" s="26" t="str">
        <f>"JUAN DE LA BARRERA NO 118                                                       "</f>
        <v xml:space="preserve">JUAN DE LA BARRERA NO 118                                                       </v>
      </c>
      <c r="F3157" s="26" t="str">
        <f>"SAN JUAN IXTAYOPAN                                                                                                                          "</f>
        <v xml:space="preserve">SAN JUAN IXTAYOPAN                                                                                                                          </v>
      </c>
      <c r="G3157" s="26" t="str">
        <f>"TLAHUAC                                                                         "</f>
        <v xml:space="preserve">TLAHUAC                                                                         </v>
      </c>
      <c r="H3157" s="26" t="str">
        <f>"559"</f>
        <v>559</v>
      </c>
      <c r="I3157" s="26" t="str">
        <f t="shared" si="542"/>
        <v>00</v>
      </c>
      <c r="J3157" s="26" t="str">
        <f>"45 "</f>
        <v xml:space="preserve">45 </v>
      </c>
      <c r="K3157" s="26" t="str">
        <f t="shared" ref="K3157:K3169" si="546">"PR"</f>
        <v>PR</v>
      </c>
      <c r="L3157" s="26" t="str">
        <f t="shared" ref="L3157:L3169" si="547">"DGOSE"</f>
        <v>DGOSE</v>
      </c>
      <c r="M3157" s="26" t="str">
        <f t="shared" si="545"/>
        <v>PARTICULAR</v>
      </c>
      <c r="N3157" s="26">
        <v>98</v>
      </c>
      <c r="O3157" s="26">
        <v>57</v>
      </c>
      <c r="P3157" s="26">
        <v>41</v>
      </c>
      <c r="Q3157" s="26">
        <v>6</v>
      </c>
      <c r="R3157" s="26">
        <v>1</v>
      </c>
      <c r="S3157" s="26">
        <v>6</v>
      </c>
      <c r="T3157" s="26">
        <v>5</v>
      </c>
      <c r="U3157" s="26">
        <v>12</v>
      </c>
      <c r="V3157" s="26">
        <v>1</v>
      </c>
      <c r="W3157" s="26"/>
    </row>
    <row r="3158" spans="1:23" x14ac:dyDescent="0.25">
      <c r="A3158" s="26" t="str">
        <f t="shared" si="540"/>
        <v>PRIMARIA</v>
      </c>
      <c r="B3158" s="26" t="str">
        <f>"09PPR1769Z"</f>
        <v>09PPR1769Z</v>
      </c>
      <c r="C3158" s="26" t="str">
        <f>"TLAHUI                                                                                              "</f>
        <v xml:space="preserve">TLAHUI                                                                                              </v>
      </c>
      <c r="D3158" s="26" t="str">
        <f t="shared" si="541"/>
        <v>MATUTINO</v>
      </c>
      <c r="E3158" s="26" t="str">
        <f>"FORTIN NO 11                                                                    "</f>
        <v xml:space="preserve">FORTIN NO 11                                                                    </v>
      </c>
      <c r="F3158" s="26" t="str">
        <f>"SAN JERONIMO ACULCO                                                                                                                         "</f>
        <v xml:space="preserve">SAN JERONIMO ACULCO                                                                                                                         </v>
      </c>
      <c r="G3158" s="26" t="str">
        <f>"LA MAGDALENA CONTRERAS                                                          "</f>
        <v xml:space="preserve">LA MAGDALENA CONTRERAS                                                          </v>
      </c>
      <c r="H3158" s="26" t="str">
        <f>"337"</f>
        <v>337</v>
      </c>
      <c r="I3158" s="26" t="str">
        <f t="shared" si="542"/>
        <v>00</v>
      </c>
      <c r="J3158" s="26" t="str">
        <f>"43 "</f>
        <v xml:space="preserve">43 </v>
      </c>
      <c r="K3158" s="26" t="str">
        <f t="shared" si="546"/>
        <v>PR</v>
      </c>
      <c r="L3158" s="26" t="str">
        <f t="shared" si="547"/>
        <v>DGOSE</v>
      </c>
      <c r="M3158" s="26" t="str">
        <f t="shared" si="545"/>
        <v>PARTICULAR</v>
      </c>
      <c r="N3158" s="26">
        <v>65</v>
      </c>
      <c r="O3158" s="26">
        <v>35</v>
      </c>
      <c r="P3158" s="26">
        <v>30</v>
      </c>
      <c r="Q3158" s="26">
        <v>6</v>
      </c>
      <c r="R3158" s="26">
        <v>1</v>
      </c>
      <c r="S3158" s="26">
        <v>4</v>
      </c>
      <c r="T3158" s="26">
        <v>6</v>
      </c>
      <c r="U3158" s="26">
        <v>11</v>
      </c>
      <c r="V3158" s="26">
        <v>1</v>
      </c>
      <c r="W3158" s="26"/>
    </row>
    <row r="3159" spans="1:23" x14ac:dyDescent="0.25">
      <c r="A3159" s="26" t="str">
        <f t="shared" si="540"/>
        <v>PRIMARIA</v>
      </c>
      <c r="B3159" s="26" t="str">
        <f>"09PPR1770O"</f>
        <v>09PPR1770O</v>
      </c>
      <c r="C3159" s="26" t="s">
        <v>131</v>
      </c>
      <c r="D3159" s="26" t="str">
        <f t="shared" si="541"/>
        <v>MATUTINO</v>
      </c>
      <c r="E3159" s="26" t="str">
        <f>"AVENIDA 510 NO 375                                                              "</f>
        <v xml:space="preserve">AVENIDA 510 NO 375                                                              </v>
      </c>
      <c r="F3159" s="26" t="str">
        <f>"SAN JUAN DE ARAGON                                                                                                                          "</f>
        <v xml:space="preserve">SAN JUAN DE ARAGON                                                                                                                          </v>
      </c>
      <c r="G3159" s="26" t="str">
        <f>"GUSTAVO A. MADERO                                                               "</f>
        <v xml:space="preserve">GUSTAVO A. MADERO                                                               </v>
      </c>
      <c r="H3159" s="26" t="str">
        <f>"268"</f>
        <v>268</v>
      </c>
      <c r="I3159" s="26" t="str">
        <f t="shared" si="542"/>
        <v>00</v>
      </c>
      <c r="J3159" s="26" t="str">
        <f>"42 "</f>
        <v xml:space="preserve">42 </v>
      </c>
      <c r="K3159" s="26" t="str">
        <f t="shared" si="546"/>
        <v>PR</v>
      </c>
      <c r="L3159" s="26" t="str">
        <f t="shared" si="547"/>
        <v>DGOSE</v>
      </c>
      <c r="M3159" s="26" t="str">
        <f t="shared" si="545"/>
        <v>PARTICULAR</v>
      </c>
      <c r="N3159" s="26">
        <v>126</v>
      </c>
      <c r="O3159" s="26">
        <v>76</v>
      </c>
      <c r="P3159" s="26">
        <v>50</v>
      </c>
      <c r="Q3159" s="26">
        <v>8</v>
      </c>
      <c r="R3159" s="26">
        <v>1</v>
      </c>
      <c r="S3159" s="26">
        <v>8</v>
      </c>
      <c r="T3159" s="26">
        <v>4</v>
      </c>
      <c r="U3159" s="26">
        <v>13</v>
      </c>
      <c r="V3159" s="26">
        <v>1</v>
      </c>
      <c r="W3159" s="26"/>
    </row>
    <row r="3160" spans="1:23" x14ac:dyDescent="0.25">
      <c r="A3160" s="26" t="str">
        <f t="shared" si="540"/>
        <v>PRIMARIA</v>
      </c>
      <c r="B3160" s="26" t="str">
        <f>"09PPR1771N"</f>
        <v>09PPR1771N</v>
      </c>
      <c r="C3160" s="26" t="str">
        <f>"COLEGIO MONTESSORI DEL BOSQUE                                                                       "</f>
        <v xml:space="preserve">COLEGIO MONTESSORI DEL BOSQUE                                                                       </v>
      </c>
      <c r="D3160" s="26" t="str">
        <f t="shared" si="541"/>
        <v>MATUTINO</v>
      </c>
      <c r="E3160" s="26" t="str">
        <f>"GOB. TIBURCIO MONTIEL 27                                                        "</f>
        <v xml:space="preserve">GOB. TIBURCIO MONTIEL 27                                                        </v>
      </c>
      <c r="F3160" s="26" t="str">
        <f>"SAN MIGUEL CHAPULTEPEC SECCION I                                                                                                            "</f>
        <v xml:space="preserve">SAN MIGUEL CHAPULTEPEC SECCION I                                                                                                            </v>
      </c>
      <c r="G3160" s="26" t="str">
        <f>"MIGUEL HIDALGO                                                                  "</f>
        <v xml:space="preserve">MIGUEL HIDALGO                                                                  </v>
      </c>
      <c r="H3160" s="26" t="str">
        <f>"210"</f>
        <v>210</v>
      </c>
      <c r="I3160" s="26" t="str">
        <f t="shared" si="542"/>
        <v>00</v>
      </c>
      <c r="J3160" s="26" t="str">
        <f>"42 "</f>
        <v xml:space="preserve">42 </v>
      </c>
      <c r="K3160" s="26" t="str">
        <f t="shared" si="546"/>
        <v>PR</v>
      </c>
      <c r="L3160" s="26" t="str">
        <f t="shared" si="547"/>
        <v>DGOSE</v>
      </c>
      <c r="M3160" s="26" t="str">
        <f t="shared" si="545"/>
        <v>PARTICULAR</v>
      </c>
      <c r="N3160" s="26">
        <v>44</v>
      </c>
      <c r="O3160" s="26">
        <v>27</v>
      </c>
      <c r="P3160" s="26">
        <v>17</v>
      </c>
      <c r="Q3160" s="26">
        <v>6</v>
      </c>
      <c r="R3160" s="26">
        <v>1</v>
      </c>
      <c r="S3160" s="26">
        <v>3</v>
      </c>
      <c r="T3160" s="26">
        <v>1</v>
      </c>
      <c r="U3160" s="26">
        <v>5</v>
      </c>
      <c r="V3160" s="26">
        <v>1</v>
      </c>
      <c r="W3160" s="26"/>
    </row>
    <row r="3161" spans="1:23" x14ac:dyDescent="0.25">
      <c r="A3161" s="26" t="str">
        <f t="shared" si="540"/>
        <v>PRIMARIA</v>
      </c>
      <c r="B3161" s="26" t="str">
        <f>"09PPR1772M"</f>
        <v>09PPR1772M</v>
      </c>
      <c r="C3161" s="26" t="str">
        <f>"ESCUELA ARNOLD GESELL                                                                               "</f>
        <v xml:space="preserve">ESCUELA ARNOLD GESELL                                                                               </v>
      </c>
      <c r="D3161" s="26" t="str">
        <f t="shared" si="541"/>
        <v>MATUTINO</v>
      </c>
      <c r="E3161" s="26" t="str">
        <f>"CARRIL NUMERO 48                                                                "</f>
        <v xml:space="preserve">CARRIL NUMERO 48                                                                </v>
      </c>
      <c r="F3161" s="26" t="str">
        <f>"SANTA URSULA XITLA                                                                                                                          "</f>
        <v xml:space="preserve">SANTA URSULA XITLA                                                                                                                          </v>
      </c>
      <c r="G3161" s="26" t="str">
        <f>"TLALPAN                                                                         "</f>
        <v xml:space="preserve">TLALPAN                                                                         </v>
      </c>
      <c r="H3161" s="26" t="str">
        <f>"521"</f>
        <v>521</v>
      </c>
      <c r="I3161" s="26" t="str">
        <f t="shared" si="542"/>
        <v>00</v>
      </c>
      <c r="J3161" s="26" t="str">
        <f>"45 "</f>
        <v xml:space="preserve">45 </v>
      </c>
      <c r="K3161" s="26" t="str">
        <f t="shared" si="546"/>
        <v>PR</v>
      </c>
      <c r="L3161" s="26" t="str">
        <f t="shared" si="547"/>
        <v>DGOSE</v>
      </c>
      <c r="M3161" s="26" t="str">
        <f t="shared" si="545"/>
        <v>PARTICULAR</v>
      </c>
      <c r="N3161" s="26">
        <v>84</v>
      </c>
      <c r="O3161" s="26">
        <v>41</v>
      </c>
      <c r="P3161" s="26">
        <v>43</v>
      </c>
      <c r="Q3161" s="26">
        <v>6</v>
      </c>
      <c r="R3161" s="26">
        <v>1</v>
      </c>
      <c r="S3161" s="26">
        <v>3</v>
      </c>
      <c r="T3161" s="26">
        <v>13</v>
      </c>
      <c r="U3161" s="26">
        <v>17</v>
      </c>
      <c r="V3161" s="26">
        <v>1</v>
      </c>
      <c r="W3161" s="26"/>
    </row>
    <row r="3162" spans="1:23" x14ac:dyDescent="0.25">
      <c r="A3162" s="26" t="str">
        <f t="shared" si="540"/>
        <v>PRIMARIA</v>
      </c>
      <c r="B3162" s="26" t="str">
        <f>"09PPR1773L"</f>
        <v>09PPR1773L</v>
      </c>
      <c r="C3162" s="26" t="str">
        <f>"ESCUELA PRIMARIA DR. JUAN PALOMO MARTINEZ                                                           "</f>
        <v xml:space="preserve">ESCUELA PRIMARIA DR. JUAN PALOMO MARTINEZ                                                           </v>
      </c>
      <c r="D3162" s="26" t="str">
        <f t="shared" si="541"/>
        <v>MATUTINO</v>
      </c>
      <c r="E3162" s="26" t="str">
        <f>"AVENIDA TLAHUAC NUMERO 7303                                                     "</f>
        <v xml:space="preserve">AVENIDA TLAHUAC NUMERO 7303                                                     </v>
      </c>
      <c r="F3162" s="26" t="str">
        <f>"SANTA CECILIA                                                                                                                               "</f>
        <v xml:space="preserve">SANTA CECILIA                                                                                                                               </v>
      </c>
      <c r="G3162" s="26" t="str">
        <f>"TLAHUAC                                                                         "</f>
        <v xml:space="preserve">TLAHUAC                                                                         </v>
      </c>
      <c r="H3162" s="26" t="str">
        <f>"557"</f>
        <v>557</v>
      </c>
      <c r="I3162" s="26" t="str">
        <f t="shared" si="542"/>
        <v>00</v>
      </c>
      <c r="J3162" s="26" t="str">
        <f>"45 "</f>
        <v xml:space="preserve">45 </v>
      </c>
      <c r="K3162" s="26" t="str">
        <f t="shared" si="546"/>
        <v>PR</v>
      </c>
      <c r="L3162" s="26" t="str">
        <f t="shared" si="547"/>
        <v>DGOSE</v>
      </c>
      <c r="M3162" s="26" t="str">
        <f t="shared" si="545"/>
        <v>PARTICULAR</v>
      </c>
      <c r="N3162" s="26">
        <v>28</v>
      </c>
      <c r="O3162" s="26">
        <v>13</v>
      </c>
      <c r="P3162" s="26">
        <v>15</v>
      </c>
      <c r="Q3162" s="26">
        <v>6</v>
      </c>
      <c r="R3162" s="26">
        <v>1</v>
      </c>
      <c r="S3162" s="26">
        <v>6</v>
      </c>
      <c r="T3162" s="26">
        <v>4</v>
      </c>
      <c r="U3162" s="26">
        <v>11</v>
      </c>
      <c r="V3162" s="26">
        <v>1</v>
      </c>
      <c r="W3162" s="26"/>
    </row>
    <row r="3163" spans="1:23" x14ac:dyDescent="0.25">
      <c r="A3163" s="26" t="str">
        <f t="shared" si="540"/>
        <v>PRIMARIA</v>
      </c>
      <c r="B3163" s="26" t="str">
        <f>"09PPR1774K"</f>
        <v>09PPR1774K</v>
      </c>
      <c r="C3163" s="26" t="str">
        <f>"COLEGIO QUMMA                                                                                       "</f>
        <v xml:space="preserve">COLEGIO QUMMA                                                                                       </v>
      </c>
      <c r="D3163" s="26" t="str">
        <f t="shared" si="541"/>
        <v>MATUTINO</v>
      </c>
      <c r="E3163" s="26" t="str">
        <f>"NORTE 86 B NO 4534                                                              "</f>
        <v xml:space="preserve">NORTE 86 B NO 4534                                                              </v>
      </c>
      <c r="F3163" s="26" t="str">
        <f>"MALINCHE                                                                                                                                    "</f>
        <v xml:space="preserve">MALINCHE                                                                                                                                    </v>
      </c>
      <c r="G3163" s="26" t="str">
        <f>"GUSTAVO A. MADERO                                                               "</f>
        <v xml:space="preserve">GUSTAVO A. MADERO                                                               </v>
      </c>
      <c r="H3163" s="26" t="str">
        <f>"254"</f>
        <v>254</v>
      </c>
      <c r="I3163" s="26" t="str">
        <f t="shared" si="542"/>
        <v>00</v>
      </c>
      <c r="J3163" s="26" t="str">
        <f>"42 "</f>
        <v xml:space="preserve">42 </v>
      </c>
      <c r="K3163" s="26" t="str">
        <f t="shared" si="546"/>
        <v>PR</v>
      </c>
      <c r="L3163" s="26" t="str">
        <f t="shared" si="547"/>
        <v>DGOSE</v>
      </c>
      <c r="M3163" s="26" t="str">
        <f t="shared" si="545"/>
        <v>PARTICULAR</v>
      </c>
      <c r="N3163" s="26">
        <v>171</v>
      </c>
      <c r="O3163" s="26">
        <v>89</v>
      </c>
      <c r="P3163" s="26">
        <v>82</v>
      </c>
      <c r="Q3163" s="26">
        <v>8</v>
      </c>
      <c r="R3163" s="26">
        <v>1</v>
      </c>
      <c r="S3163" s="26">
        <v>4</v>
      </c>
      <c r="T3163" s="26">
        <v>10</v>
      </c>
      <c r="U3163" s="26">
        <v>15</v>
      </c>
      <c r="V3163" s="26">
        <v>1</v>
      </c>
      <c r="W3163" s="26"/>
    </row>
    <row r="3164" spans="1:23" x14ac:dyDescent="0.25">
      <c r="A3164" s="26" t="str">
        <f t="shared" si="540"/>
        <v>PRIMARIA</v>
      </c>
      <c r="B3164" s="26" t="str">
        <f>"09PPR1775J"</f>
        <v>09PPR1775J</v>
      </c>
      <c r="C3164" s="26" t="str">
        <f>"""LICEO EUROPEO CAMPUS SUR""                                                                          "</f>
        <v xml:space="preserve">"LICEO EUROPEO CAMPUS SUR"                                                                          </v>
      </c>
      <c r="D3164" s="26" t="str">
        <f t="shared" si="541"/>
        <v>MATUTINO</v>
      </c>
      <c r="E3164" s="26" t="str">
        <f>"CORREGIDORA NO 499                                                              "</f>
        <v xml:space="preserve">CORREGIDORA NO 499                                                              </v>
      </c>
      <c r="F3164" s="26" t="str">
        <f>"MIGUEL HIDALGO                                                                                                                              "</f>
        <v xml:space="preserve">MIGUEL HIDALGO                                                                                                                              </v>
      </c>
      <c r="G3164" s="26" t="str">
        <f>"TLALPAN                                                                         "</f>
        <v xml:space="preserve">TLALPAN                                                                         </v>
      </c>
      <c r="H3164" s="26" t="str">
        <f>"518"</f>
        <v>518</v>
      </c>
      <c r="I3164" s="26" t="str">
        <f t="shared" si="542"/>
        <v>00</v>
      </c>
      <c r="J3164" s="26" t="str">
        <f>"45 "</f>
        <v xml:space="preserve">45 </v>
      </c>
      <c r="K3164" s="26" t="str">
        <f t="shared" si="546"/>
        <v>PR</v>
      </c>
      <c r="L3164" s="26" t="str">
        <f t="shared" si="547"/>
        <v>DGOSE</v>
      </c>
      <c r="M3164" s="26" t="str">
        <f t="shared" si="545"/>
        <v>PARTICULAR</v>
      </c>
      <c r="N3164" s="26">
        <v>140</v>
      </c>
      <c r="O3164" s="26">
        <v>71</v>
      </c>
      <c r="P3164" s="26">
        <v>69</v>
      </c>
      <c r="Q3164" s="26">
        <v>7</v>
      </c>
      <c r="R3164" s="26">
        <v>1</v>
      </c>
      <c r="S3164" s="26">
        <v>4</v>
      </c>
      <c r="T3164" s="26">
        <v>11</v>
      </c>
      <c r="U3164" s="26">
        <v>16</v>
      </c>
      <c r="V3164" s="26">
        <v>1</v>
      </c>
      <c r="W3164" s="26"/>
    </row>
    <row r="3165" spans="1:23" x14ac:dyDescent="0.25">
      <c r="A3165" s="26" t="str">
        <f t="shared" si="540"/>
        <v>PRIMARIA</v>
      </c>
      <c r="B3165" s="26" t="str">
        <f>"09PPR1776I"</f>
        <v>09PPR1776I</v>
      </c>
      <c r="C3165" s="26" t="str">
        <f>"COLEGIO PEDAGOGICO CULHUACAN                                                                        "</f>
        <v xml:space="preserve">COLEGIO PEDAGOGICO CULHUACAN                                                                        </v>
      </c>
      <c r="D3165" s="26" t="str">
        <f t="shared" si="541"/>
        <v>MATUTINO</v>
      </c>
      <c r="E3165" s="26" t="str">
        <f>"VICENTE GUERRERO NO 12                                                          "</f>
        <v xml:space="preserve">VICENTE GUERRERO NO 12                                                          </v>
      </c>
      <c r="F3165" s="26" t="str">
        <f>"SAN FRANCISCO CULHUACAN                                                                                                                     "</f>
        <v xml:space="preserve">SAN FRANCISCO CULHUACAN                                                                                                                     </v>
      </c>
      <c r="G3165" s="26" t="str">
        <f>"COYOACAN                                                                        "</f>
        <v xml:space="preserve">COYOACAN                                                                        </v>
      </c>
      <c r="H3165" s="26" t="str">
        <f>"508"</f>
        <v>508</v>
      </c>
      <c r="I3165" s="26" t="str">
        <f t="shared" si="542"/>
        <v>00</v>
      </c>
      <c r="J3165" s="26" t="str">
        <f>"45 "</f>
        <v xml:space="preserve">45 </v>
      </c>
      <c r="K3165" s="26" t="str">
        <f t="shared" si="546"/>
        <v>PR</v>
      </c>
      <c r="L3165" s="26" t="str">
        <f t="shared" si="547"/>
        <v>DGOSE</v>
      </c>
      <c r="M3165" s="26" t="str">
        <f t="shared" si="545"/>
        <v>PARTICULAR</v>
      </c>
      <c r="N3165" s="26">
        <v>20</v>
      </c>
      <c r="O3165" s="26">
        <v>15</v>
      </c>
      <c r="P3165" s="26">
        <v>5</v>
      </c>
      <c r="Q3165" s="26">
        <v>5</v>
      </c>
      <c r="R3165" s="26">
        <v>1</v>
      </c>
      <c r="S3165" s="26">
        <v>3</v>
      </c>
      <c r="T3165" s="26">
        <v>3</v>
      </c>
      <c r="U3165" s="26">
        <v>7</v>
      </c>
      <c r="V3165" s="26">
        <v>1</v>
      </c>
      <c r="W3165" s="26"/>
    </row>
    <row r="3166" spans="1:23" x14ac:dyDescent="0.25">
      <c r="A3166" s="26" t="str">
        <f t="shared" si="540"/>
        <v>PRIMARIA</v>
      </c>
      <c r="B3166" s="26" t="str">
        <f>"09PPR1777H"</f>
        <v>09PPR1777H</v>
      </c>
      <c r="C3166" s="26" t="str">
        <f>"FOREST HILLS INSTITUTE                                                                              "</f>
        <v xml:space="preserve">FOREST HILLS INSTITUTE                                                                              </v>
      </c>
      <c r="D3166" s="26" t="str">
        <f t="shared" si="541"/>
        <v>MATUTINO</v>
      </c>
      <c r="E3166" s="26" t="str">
        <f>"NETZAHUALPILLI NO 20                                                            "</f>
        <v xml:space="preserve">NETZAHUALPILLI NO 20                                                            </v>
      </c>
      <c r="F3166" s="26" t="str">
        <f>"AJUSCO                                                                                                                                      "</f>
        <v xml:space="preserve">AJUSCO                                                                                                                                      </v>
      </c>
      <c r="G3166" s="26" t="str">
        <f>"COYOACAN                                                                        "</f>
        <v xml:space="preserve">COYOACAN                                                                        </v>
      </c>
      <c r="H3166" s="26" t="str">
        <f>"505"</f>
        <v>505</v>
      </c>
      <c r="I3166" s="26" t="str">
        <f t="shared" si="542"/>
        <v>00</v>
      </c>
      <c r="J3166" s="26" t="str">
        <f>"45 "</f>
        <v xml:space="preserve">45 </v>
      </c>
      <c r="K3166" s="26" t="str">
        <f t="shared" si="546"/>
        <v>PR</v>
      </c>
      <c r="L3166" s="26" t="str">
        <f t="shared" si="547"/>
        <v>DGOSE</v>
      </c>
      <c r="M3166" s="26" t="str">
        <f t="shared" si="545"/>
        <v>PARTICULAR</v>
      </c>
      <c r="N3166" s="26">
        <v>52</v>
      </c>
      <c r="O3166" s="26">
        <v>29</v>
      </c>
      <c r="P3166" s="26">
        <v>23</v>
      </c>
      <c r="Q3166" s="26">
        <v>6</v>
      </c>
      <c r="R3166" s="26">
        <v>1</v>
      </c>
      <c r="S3166" s="26">
        <v>3</v>
      </c>
      <c r="T3166" s="26">
        <v>6</v>
      </c>
      <c r="U3166" s="26">
        <v>10</v>
      </c>
      <c r="V3166" s="26">
        <v>1</v>
      </c>
      <c r="W3166" s="26"/>
    </row>
    <row r="3167" spans="1:23" x14ac:dyDescent="0.25">
      <c r="A3167" s="26" t="str">
        <f t="shared" si="540"/>
        <v>PRIMARIA</v>
      </c>
      <c r="B3167" s="26" t="str">
        <f>"09PPR1778G"</f>
        <v>09PPR1778G</v>
      </c>
      <c r="C3167" s="26" t="str">
        <f>"COLEGIO JEAN PIAGET DE ORIENTE                                                                      "</f>
        <v xml:space="preserve">COLEGIO JEAN PIAGET DE ORIENTE                                                                      </v>
      </c>
      <c r="D3167" s="26" t="str">
        <f t="shared" si="541"/>
        <v>MATUTINO</v>
      </c>
      <c r="E3167" s="26" t="str">
        <f>"ORIENTE 102 NO 1659                                                             "</f>
        <v xml:space="preserve">ORIENTE 102 NO 1659                                                             </v>
      </c>
      <c r="F3167" s="26" t="str">
        <f>"GABRIEL RAMOS MILLAN                                                                                                                        "</f>
        <v xml:space="preserve">GABRIEL RAMOS MILLAN                                                                                                                        </v>
      </c>
      <c r="G3167" s="26" t="str">
        <f>"IZTACALCO                                                                       "</f>
        <v xml:space="preserve">IZTACALCO                                                                       </v>
      </c>
      <c r="H3167" s="26" t="str">
        <f>"359"</f>
        <v>359</v>
      </c>
      <c r="I3167" s="26" t="str">
        <f t="shared" si="542"/>
        <v>00</v>
      </c>
      <c r="J3167" s="26" t="str">
        <f>"43 "</f>
        <v xml:space="preserve">43 </v>
      </c>
      <c r="K3167" s="26" t="str">
        <f t="shared" si="546"/>
        <v>PR</v>
      </c>
      <c r="L3167" s="26" t="str">
        <f t="shared" si="547"/>
        <v>DGOSE</v>
      </c>
      <c r="M3167" s="26" t="str">
        <f t="shared" si="545"/>
        <v>PARTICULAR</v>
      </c>
      <c r="N3167" s="26">
        <v>102</v>
      </c>
      <c r="O3167" s="26">
        <v>57</v>
      </c>
      <c r="P3167" s="26">
        <v>45</v>
      </c>
      <c r="Q3167" s="26">
        <v>6</v>
      </c>
      <c r="R3167" s="26">
        <v>1</v>
      </c>
      <c r="S3167" s="26">
        <v>6</v>
      </c>
      <c r="T3167" s="26">
        <v>10</v>
      </c>
      <c r="U3167" s="26">
        <v>17</v>
      </c>
      <c r="V3167" s="26">
        <v>1</v>
      </c>
      <c r="W3167" s="26"/>
    </row>
    <row r="3168" spans="1:23" x14ac:dyDescent="0.25">
      <c r="A3168" s="26" t="str">
        <f t="shared" si="540"/>
        <v>PRIMARIA</v>
      </c>
      <c r="B3168" s="26" t="str">
        <f>"09PPR1779F"</f>
        <v>09PPR1779F</v>
      </c>
      <c r="C3168" s="26" t="str">
        <f>"CENTRO ESCOLAR ABRAHAM LINCOLN                                                                      "</f>
        <v xml:space="preserve">CENTRO ESCOLAR ABRAHAM LINCOLN                                                                      </v>
      </c>
      <c r="D3168" s="26" t="str">
        <f t="shared" si="541"/>
        <v>MATUTINO</v>
      </c>
      <c r="E3168" s="26" t="str">
        <f>"ORIENTE 249 NO 153 Y 155                                                        "</f>
        <v xml:space="preserve">ORIENTE 249 NO 153 Y 155                                                        </v>
      </c>
      <c r="F3168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3168" s="26" t="str">
        <f>"IZTACALCO                                                                       "</f>
        <v xml:space="preserve">IZTACALCO                                                                       </v>
      </c>
      <c r="H3168" s="26" t="str">
        <f>"356"</f>
        <v>356</v>
      </c>
      <c r="I3168" s="26" t="str">
        <f t="shared" si="542"/>
        <v>00</v>
      </c>
      <c r="J3168" s="26" t="str">
        <f>"43 "</f>
        <v xml:space="preserve">43 </v>
      </c>
      <c r="K3168" s="26" t="str">
        <f t="shared" si="546"/>
        <v>PR</v>
      </c>
      <c r="L3168" s="26" t="str">
        <f t="shared" si="547"/>
        <v>DGOSE</v>
      </c>
      <c r="M3168" s="26" t="str">
        <f t="shared" si="545"/>
        <v>PARTICULAR</v>
      </c>
      <c r="N3168" s="26">
        <v>113</v>
      </c>
      <c r="O3168" s="26">
        <v>53</v>
      </c>
      <c r="P3168" s="26">
        <v>60</v>
      </c>
      <c r="Q3168" s="26">
        <v>6</v>
      </c>
      <c r="R3168" s="26">
        <v>1</v>
      </c>
      <c r="S3168" s="26">
        <v>3</v>
      </c>
      <c r="T3168" s="26">
        <v>5</v>
      </c>
      <c r="U3168" s="26">
        <v>9</v>
      </c>
      <c r="V3168" s="26">
        <v>1</v>
      </c>
      <c r="W3168" s="26"/>
    </row>
    <row r="3169" spans="1:23" x14ac:dyDescent="0.25">
      <c r="A3169" s="26" t="str">
        <f t="shared" si="540"/>
        <v>PRIMARIA</v>
      </c>
      <c r="B3169" s="26" t="str">
        <f>"09PPR1780V"</f>
        <v>09PPR1780V</v>
      </c>
      <c r="C3169" s="26" t="str">
        <f>"COLEGIO JOSE VASCONCELOS                                                                            "</f>
        <v xml:space="preserve">COLEGIO JOSE VASCONCELOS                                                                            </v>
      </c>
      <c r="D3169" s="26" t="str">
        <f t="shared" si="541"/>
        <v>MATUTINO</v>
      </c>
      <c r="E3169" s="26" t="str">
        <f>"ORIENTE 245 A NO 108                                                            "</f>
        <v xml:space="preserve">ORIENTE 245 A NO 108                                                            </v>
      </c>
      <c r="F3169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3169" s="26" t="str">
        <f>"IZTACALCO                                                                       "</f>
        <v xml:space="preserve">IZTACALCO                                                                       </v>
      </c>
      <c r="H3169" s="26" t="str">
        <f>"356"</f>
        <v>356</v>
      </c>
      <c r="I3169" s="26" t="str">
        <f t="shared" si="542"/>
        <v>00</v>
      </c>
      <c r="J3169" s="26" t="str">
        <f>"43 "</f>
        <v xml:space="preserve">43 </v>
      </c>
      <c r="K3169" s="26" t="str">
        <f t="shared" si="546"/>
        <v>PR</v>
      </c>
      <c r="L3169" s="26" t="str">
        <f t="shared" si="547"/>
        <v>DGOSE</v>
      </c>
      <c r="M3169" s="26" t="str">
        <f t="shared" si="545"/>
        <v>PARTICULAR</v>
      </c>
      <c r="N3169" s="26">
        <v>154</v>
      </c>
      <c r="O3169" s="26">
        <v>83</v>
      </c>
      <c r="P3169" s="26">
        <v>71</v>
      </c>
      <c r="Q3169" s="26">
        <v>10</v>
      </c>
      <c r="R3169" s="26">
        <v>1</v>
      </c>
      <c r="S3169" s="26">
        <v>5</v>
      </c>
      <c r="T3169" s="26">
        <v>10</v>
      </c>
      <c r="U3169" s="26">
        <v>16</v>
      </c>
      <c r="V3169" s="26">
        <v>1</v>
      </c>
      <c r="W3169" s="26"/>
    </row>
    <row r="3170" spans="1:23" x14ac:dyDescent="0.25">
      <c r="A3170" s="26" t="str">
        <f t="shared" si="540"/>
        <v>PRIMARIA</v>
      </c>
      <c r="B3170" s="26" t="str">
        <f>"09PPR1781U"</f>
        <v>09PPR1781U</v>
      </c>
      <c r="C3170" s="26" t="str">
        <f>"INSTITUTO MARTHAJARY LIDERES MUNDIALES                                                              "</f>
        <v xml:space="preserve">INSTITUTO MARTHAJARY LIDERES MUNDIALES                                                              </v>
      </c>
      <c r="D3170" s="26" t="str">
        <f t="shared" si="541"/>
        <v>MATUTINO</v>
      </c>
      <c r="E3170" s="26" t="str">
        <f>"LAUREL MZ. 3 LT. 3                                                              "</f>
        <v xml:space="preserve">LAUREL MZ. 3 LT. 3                                                              </v>
      </c>
      <c r="F3170" s="26" t="str">
        <f>"EL MANTO                                                                                                                                    "</f>
        <v xml:space="preserve">EL MANTO                                                                                                                                    </v>
      </c>
      <c r="G3170" s="26" t="str">
        <f>"IZTAPALAPA                                                                      "</f>
        <v xml:space="preserve">IZTAPALAPA                                                                      </v>
      </c>
      <c r="H3170" s="26" t="str">
        <f>"000"</f>
        <v>000</v>
      </c>
      <c r="I3170" s="26" t="str">
        <f t="shared" si="542"/>
        <v>00</v>
      </c>
      <c r="J3170" s="26" t="str">
        <f>"61 "</f>
        <v xml:space="preserve">61 </v>
      </c>
      <c r="K3170" s="26" t="str">
        <f>"IZ"</f>
        <v>IZ</v>
      </c>
      <c r="L3170" s="26" t="str">
        <f>"DGSEI"</f>
        <v>DGSEI</v>
      </c>
      <c r="M3170" s="26" t="str">
        <f t="shared" si="545"/>
        <v>PARTICULAR</v>
      </c>
      <c r="N3170" s="26">
        <v>17</v>
      </c>
      <c r="O3170" s="26">
        <v>11</v>
      </c>
      <c r="P3170" s="26">
        <v>6</v>
      </c>
      <c r="Q3170" s="26">
        <v>6</v>
      </c>
      <c r="R3170" s="26">
        <v>1</v>
      </c>
      <c r="S3170" s="26">
        <v>6</v>
      </c>
      <c r="T3170" s="26">
        <v>3</v>
      </c>
      <c r="U3170" s="26">
        <v>10</v>
      </c>
      <c r="V3170" s="26">
        <v>1</v>
      </c>
      <c r="W3170" s="26"/>
    </row>
    <row r="3171" spans="1:23" x14ac:dyDescent="0.25">
      <c r="A3171" s="26" t="str">
        <f t="shared" si="540"/>
        <v>PRIMARIA</v>
      </c>
      <c r="B3171" s="26" t="str">
        <f>"09PPR1782T"</f>
        <v>09PPR1782T</v>
      </c>
      <c r="C3171" s="26" t="str">
        <f>"CEDET CENTRO EDUCATIVO PAA EL DESARROLLO TOTAL                                                      "</f>
        <v xml:space="preserve">CEDET CENTRO EDUCATIVO PAA EL DESARROLLO TOTAL                                                      </v>
      </c>
      <c r="D3171" s="26" t="str">
        <f t="shared" si="541"/>
        <v>MATUTINO</v>
      </c>
      <c r="E3171" s="26" t="str">
        <f>"MANUEL GARBOLLO Y PARRA NO 62                                                   "</f>
        <v xml:space="preserve">MANUEL GARBOLLO Y PARRA NO 62                                                   </v>
      </c>
      <c r="F3171" s="26" t="str">
        <f>"MIGUEL HIDALGO AMPLIACION                                                                                                                   "</f>
        <v xml:space="preserve">MIGUEL HIDALGO AMPLIACION                                                                                                                   </v>
      </c>
      <c r="G3171" s="26" t="str">
        <f>"TLALPAN                                                                         "</f>
        <v xml:space="preserve">TLALPAN                                                                         </v>
      </c>
      <c r="H3171" s="26" t="str">
        <f>"516"</f>
        <v>516</v>
      </c>
      <c r="I3171" s="26" t="str">
        <f t="shared" si="542"/>
        <v>00</v>
      </c>
      <c r="J3171" s="26" t="str">
        <f>"45 "</f>
        <v xml:space="preserve">45 </v>
      </c>
      <c r="K3171" s="26" t="str">
        <f>"PR"</f>
        <v>PR</v>
      </c>
      <c r="L3171" s="26" t="str">
        <f>"DGOSE"</f>
        <v>DGOSE</v>
      </c>
      <c r="M3171" s="26" t="str">
        <f t="shared" si="545"/>
        <v>PARTICULAR</v>
      </c>
      <c r="N3171" s="26">
        <v>41</v>
      </c>
      <c r="O3171" s="26">
        <v>27</v>
      </c>
      <c r="P3171" s="26">
        <v>14</v>
      </c>
      <c r="Q3171" s="26">
        <v>6</v>
      </c>
      <c r="R3171" s="26">
        <v>1</v>
      </c>
      <c r="S3171" s="26">
        <v>3</v>
      </c>
      <c r="T3171" s="26">
        <v>1</v>
      </c>
      <c r="U3171" s="26">
        <v>5</v>
      </c>
      <c r="V3171" s="26">
        <v>1</v>
      </c>
      <c r="W3171" s="26"/>
    </row>
    <row r="3172" spans="1:23" x14ac:dyDescent="0.25">
      <c r="A3172" s="26" t="str">
        <f t="shared" si="540"/>
        <v>PRIMARIA</v>
      </c>
      <c r="B3172" s="26" t="str">
        <f>"09PPR1783S"</f>
        <v>09PPR1783S</v>
      </c>
      <c r="C3172" s="26" t="str">
        <f>"""EHECATL""                                                                                           "</f>
        <v xml:space="preserve">"EHECATL"                                                                                           </v>
      </c>
      <c r="D3172" s="26" t="str">
        <f t="shared" si="541"/>
        <v>MATUTINO</v>
      </c>
      <c r="E3172" s="26" t="str">
        <f>"CERRADA DE DILIGENCIAS NO 23                                                    "</f>
        <v xml:space="preserve">CERRADA DE DILIGENCIAS NO 23                                                    </v>
      </c>
      <c r="F3172" s="26" t="str">
        <f>"SAN PEDRO MARTIR                                                                                                                            "</f>
        <v xml:space="preserve">SAN PEDRO MARTIR                                                                                                                            </v>
      </c>
      <c r="G3172" s="26" t="str">
        <f>"TLALPAN                                                                         "</f>
        <v xml:space="preserve">TLALPAN                                                                         </v>
      </c>
      <c r="H3172" s="26" t="str">
        <f>"527"</f>
        <v>527</v>
      </c>
      <c r="I3172" s="26" t="str">
        <f t="shared" si="542"/>
        <v>00</v>
      </c>
      <c r="J3172" s="26" t="str">
        <f>"45 "</f>
        <v xml:space="preserve">45 </v>
      </c>
      <c r="K3172" s="26" t="str">
        <f>"PR"</f>
        <v>PR</v>
      </c>
      <c r="L3172" s="26" t="str">
        <f>"DGOSE"</f>
        <v>DGOSE</v>
      </c>
      <c r="M3172" s="26" t="str">
        <f t="shared" si="545"/>
        <v>PARTICULAR</v>
      </c>
      <c r="N3172" s="26">
        <v>39</v>
      </c>
      <c r="O3172" s="26">
        <v>25</v>
      </c>
      <c r="P3172" s="26">
        <v>14</v>
      </c>
      <c r="Q3172" s="26">
        <v>6</v>
      </c>
      <c r="R3172" s="26">
        <v>1</v>
      </c>
      <c r="S3172" s="26">
        <v>2</v>
      </c>
      <c r="T3172" s="26">
        <v>6</v>
      </c>
      <c r="U3172" s="26">
        <v>9</v>
      </c>
      <c r="V3172" s="26">
        <v>1</v>
      </c>
      <c r="W3172" s="26"/>
    </row>
    <row r="3173" spans="1:23" x14ac:dyDescent="0.25">
      <c r="A3173" s="26" t="str">
        <f t="shared" si="540"/>
        <v>PRIMARIA</v>
      </c>
      <c r="B3173" s="26" t="str">
        <f>"09PPR1785Q"</f>
        <v>09PPR1785Q</v>
      </c>
      <c r="C3173" s="26" t="str">
        <f>"LIDERES DEL FUTURO                                                                                  "</f>
        <v xml:space="preserve">LIDERES DEL FUTURO                                                                                  </v>
      </c>
      <c r="D3173" s="26" t="str">
        <f>"TIEMPO COMPLETO"</f>
        <v>TIEMPO COMPLETO</v>
      </c>
      <c r="E3173" s="26" t="str">
        <f>"MANUEL CAPETILLO S/N MZ. 18 LT. 9 ZONA 3                                        "</f>
        <v xml:space="preserve">MANUEL CAPETILLO S/N MZ. 18 LT. 9 ZONA 3                                        </v>
      </c>
      <c r="F3173" s="26" t="str">
        <f>"SAN MIGUEL TEOTONGO                                                                                                                         "</f>
        <v xml:space="preserve">SAN MIGUEL TEOTONGO                                                                                                                         </v>
      </c>
      <c r="G3173" s="26" t="str">
        <f>"IZTAPALAPA                                                                      "</f>
        <v xml:space="preserve">IZTAPALAPA                                                                      </v>
      </c>
      <c r="H3173" s="26" t="str">
        <f>"000"</f>
        <v>000</v>
      </c>
      <c r="I3173" s="26" t="str">
        <f t="shared" si="542"/>
        <v>00</v>
      </c>
      <c r="J3173" s="26" t="str">
        <f>"64 "</f>
        <v xml:space="preserve">64 </v>
      </c>
      <c r="K3173" s="26" t="str">
        <f>"IZ"</f>
        <v>IZ</v>
      </c>
      <c r="L3173" s="26" t="str">
        <f>"DGSEI"</f>
        <v>DGSEI</v>
      </c>
      <c r="M3173" s="26" t="str">
        <f t="shared" si="545"/>
        <v>PARTICULAR</v>
      </c>
      <c r="N3173" s="26">
        <v>105</v>
      </c>
      <c r="O3173" s="26">
        <v>65</v>
      </c>
      <c r="P3173" s="26">
        <v>40</v>
      </c>
      <c r="Q3173" s="26">
        <v>6</v>
      </c>
      <c r="R3173" s="26">
        <v>1</v>
      </c>
      <c r="S3173" s="26">
        <v>6</v>
      </c>
      <c r="T3173" s="26">
        <v>2</v>
      </c>
      <c r="U3173" s="26">
        <v>9</v>
      </c>
      <c r="V3173" s="26">
        <v>1</v>
      </c>
      <c r="W3173" s="26"/>
    </row>
    <row r="3174" spans="1:23" x14ac:dyDescent="0.25">
      <c r="A3174" s="26" t="str">
        <f t="shared" si="540"/>
        <v>PRIMARIA</v>
      </c>
      <c r="B3174" s="26" t="str">
        <f>"09PPR1786P"</f>
        <v>09PPR1786P</v>
      </c>
      <c r="C3174" s="26" t="str">
        <f>"OXFORD                                                                                              "</f>
        <v xml:space="preserve">OXFORD                                                                                              </v>
      </c>
      <c r="D3174" s="26" t="str">
        <f t="shared" ref="D3174:D3237" si="548">"MATUTINO"</f>
        <v>MATUTINO</v>
      </c>
      <c r="E3174" s="26" t="str">
        <f>"NICOLAS MARTINEZ MZ. 10 LT. 11 Y 12                                             "</f>
        <v xml:space="preserve">NICOLAS MARTINEZ MZ. 10 LT. 11 Y 12                                             </v>
      </c>
      <c r="F3174" s="26" t="str">
        <f>"PARAJE SAN JUAN                                                                                                                             "</f>
        <v xml:space="preserve">PARAJE SAN JUAN                                                                                                                             </v>
      </c>
      <c r="G3174" s="26" t="str">
        <f>"IZTAPALAPA                                                                      "</f>
        <v xml:space="preserve">IZTAPALAPA                                                                      </v>
      </c>
      <c r="H3174" s="26" t="str">
        <f>"000"</f>
        <v>000</v>
      </c>
      <c r="I3174" s="26" t="str">
        <f t="shared" si="542"/>
        <v>00</v>
      </c>
      <c r="J3174" s="26" t="str">
        <f>"63 "</f>
        <v xml:space="preserve">63 </v>
      </c>
      <c r="K3174" s="26" t="str">
        <f>"IZ"</f>
        <v>IZ</v>
      </c>
      <c r="L3174" s="26" t="str">
        <f>"DGSEI"</f>
        <v>DGSEI</v>
      </c>
      <c r="M3174" s="26" t="str">
        <f t="shared" si="545"/>
        <v>PARTICULAR</v>
      </c>
      <c r="N3174" s="26">
        <v>107</v>
      </c>
      <c r="O3174" s="26">
        <v>55</v>
      </c>
      <c r="P3174" s="26">
        <v>52</v>
      </c>
      <c r="Q3174" s="26">
        <v>6</v>
      </c>
      <c r="R3174" s="26">
        <v>1</v>
      </c>
      <c r="S3174" s="26">
        <v>4</v>
      </c>
      <c r="T3174" s="26">
        <v>7</v>
      </c>
      <c r="U3174" s="26">
        <v>12</v>
      </c>
      <c r="V3174" s="26">
        <v>1</v>
      </c>
      <c r="W3174" s="26"/>
    </row>
    <row r="3175" spans="1:23" x14ac:dyDescent="0.25">
      <c r="A3175" s="26" t="str">
        <f t="shared" si="540"/>
        <v>PRIMARIA</v>
      </c>
      <c r="B3175" s="26" t="str">
        <f>"09PPR1787O"</f>
        <v>09PPR1787O</v>
      </c>
      <c r="C3175" s="26" t="str">
        <f>"CEDAR VALLEY                                                                                        "</f>
        <v xml:space="preserve">CEDAR VALLEY                                                                                        </v>
      </c>
      <c r="D3175" s="26" t="str">
        <f t="shared" si="548"/>
        <v>MATUTINO</v>
      </c>
      <c r="E3175" s="26" t="str">
        <f>"AVENIDA CONSTITUYENTES AMILCAR VIDAL NO 195                                     "</f>
        <v xml:space="preserve">AVENIDA CONSTITUYENTES AMILCAR VIDAL NO 195                                     </v>
      </c>
      <c r="F3175" s="26" t="str">
        <f>"LOMAS DE MEMETLA                                                                                                                            "</f>
        <v xml:space="preserve">LOMAS DE MEMETLA                                                                                                                            </v>
      </c>
      <c r="G3175" s="26" t="str">
        <f>"CUAJIMALPA DE MORELOS                                                           "</f>
        <v xml:space="preserve">CUAJIMALPA DE MORELOS                                                           </v>
      </c>
      <c r="H3175" s="26" t="str">
        <f>"304"</f>
        <v>304</v>
      </c>
      <c r="I3175" s="26" t="str">
        <f t="shared" si="542"/>
        <v>00</v>
      </c>
      <c r="J3175" s="26" t="str">
        <f>"43 "</f>
        <v xml:space="preserve">43 </v>
      </c>
      <c r="K3175" s="26" t="str">
        <f t="shared" ref="K3175:K3183" si="549">"PR"</f>
        <v>PR</v>
      </c>
      <c r="L3175" s="26" t="str">
        <f t="shared" ref="L3175:L3183" si="550">"DGOSE"</f>
        <v>DGOSE</v>
      </c>
      <c r="M3175" s="26" t="str">
        <f t="shared" si="545"/>
        <v>PARTICULAR</v>
      </c>
      <c r="N3175" s="26">
        <v>32</v>
      </c>
      <c r="O3175" s="26">
        <v>24</v>
      </c>
      <c r="P3175" s="26">
        <v>8</v>
      </c>
      <c r="Q3175" s="26">
        <v>6</v>
      </c>
      <c r="R3175" s="26">
        <v>1</v>
      </c>
      <c r="S3175" s="26">
        <v>4</v>
      </c>
      <c r="T3175" s="26">
        <v>6</v>
      </c>
      <c r="U3175" s="26">
        <v>11</v>
      </c>
      <c r="V3175" s="26">
        <v>1</v>
      </c>
      <c r="W3175" s="26"/>
    </row>
    <row r="3176" spans="1:23" x14ac:dyDescent="0.25">
      <c r="A3176" s="26" t="str">
        <f t="shared" si="540"/>
        <v>PRIMARIA</v>
      </c>
      <c r="B3176" s="26" t="str">
        <f>"09PPR1788N"</f>
        <v>09PPR1788N</v>
      </c>
      <c r="C3176" s="26" t="str">
        <f>"ESCUELA PRIMARIA BUCKINGHAM                                                                         "</f>
        <v xml:space="preserve">ESCUELA PRIMARIA BUCKINGHAM                                                                         </v>
      </c>
      <c r="D3176" s="26" t="str">
        <f t="shared" si="548"/>
        <v>MATUTINO</v>
      </c>
      <c r="E3176" s="26" t="str">
        <f>"JOSE ENRIQUE PESTALOZZI NO 546                                                  "</f>
        <v xml:space="preserve">JOSE ENRIQUE PESTALOZZI NO 546                                                  </v>
      </c>
      <c r="F3176" s="26" t="str">
        <f>"NARVARTE                                                                                                                                    "</f>
        <v xml:space="preserve">NARVARTE                                                                                                                                    </v>
      </c>
      <c r="G3176" s="26" t="str">
        <f>"BENITO JUAREZ                                                                   "</f>
        <v xml:space="preserve">BENITO JUAREZ                                                                   </v>
      </c>
      <c r="H3176" s="26" t="str">
        <f>"000"</f>
        <v>000</v>
      </c>
      <c r="I3176" s="26" t="str">
        <f t="shared" si="542"/>
        <v>00</v>
      </c>
      <c r="J3176" s="26" t="str">
        <f>"43 "</f>
        <v xml:space="preserve">43 </v>
      </c>
      <c r="K3176" s="26" t="str">
        <f t="shared" si="549"/>
        <v>PR</v>
      </c>
      <c r="L3176" s="26" t="str">
        <f t="shared" si="550"/>
        <v>DGOSE</v>
      </c>
      <c r="M3176" s="26" t="str">
        <f t="shared" si="545"/>
        <v>PARTICULAR</v>
      </c>
      <c r="N3176" s="26">
        <v>312</v>
      </c>
      <c r="O3176" s="26">
        <v>160</v>
      </c>
      <c r="P3176" s="26">
        <v>152</v>
      </c>
      <c r="Q3176" s="26">
        <v>12</v>
      </c>
      <c r="R3176" s="26">
        <v>1</v>
      </c>
      <c r="S3176" s="26">
        <v>8</v>
      </c>
      <c r="T3176" s="26">
        <v>9</v>
      </c>
      <c r="U3176" s="26">
        <v>18</v>
      </c>
      <c r="V3176" s="26">
        <v>1</v>
      </c>
      <c r="W3176" s="26"/>
    </row>
    <row r="3177" spans="1:23" x14ac:dyDescent="0.25">
      <c r="A3177" s="26" t="str">
        <f t="shared" si="540"/>
        <v>PRIMARIA</v>
      </c>
      <c r="B3177" s="26" t="str">
        <f>"09PPR1789M"</f>
        <v>09PPR1789M</v>
      </c>
      <c r="C3177" s="26" t="str">
        <f>"COLEGIO ACATONALLI                                                                                  "</f>
        <v xml:space="preserve">COLEGIO ACATONALLI                                                                                  </v>
      </c>
      <c r="D3177" s="26" t="str">
        <f t="shared" si="548"/>
        <v>MATUTINO</v>
      </c>
      <c r="E3177" s="26" t="str">
        <f>"HERMENEGILDO GALEANA NO 29                                                      "</f>
        <v xml:space="preserve">HERMENEGILDO GALEANA NO 29                                                      </v>
      </c>
      <c r="F3177" s="26" t="str">
        <f>"XALTOCAN                                                                                                                                    "</f>
        <v xml:space="preserve">XALTOCAN                                                                                                                                    </v>
      </c>
      <c r="G3177" s="26" t="str">
        <f>"XOCHIMILCO                                                                      "</f>
        <v xml:space="preserve">XOCHIMILCO                                                                      </v>
      </c>
      <c r="H3177" s="26" t="str">
        <f>"537"</f>
        <v>537</v>
      </c>
      <c r="I3177" s="26" t="str">
        <f t="shared" si="542"/>
        <v>00</v>
      </c>
      <c r="J3177" s="26" t="str">
        <f>"45 "</f>
        <v xml:space="preserve">45 </v>
      </c>
      <c r="K3177" s="26" t="str">
        <f t="shared" si="549"/>
        <v>PR</v>
      </c>
      <c r="L3177" s="26" t="str">
        <f t="shared" si="550"/>
        <v>DGOSE</v>
      </c>
      <c r="M3177" s="26" t="str">
        <f t="shared" si="545"/>
        <v>PARTICULAR</v>
      </c>
      <c r="N3177" s="26">
        <v>38</v>
      </c>
      <c r="O3177" s="26">
        <v>19</v>
      </c>
      <c r="P3177" s="26">
        <v>19</v>
      </c>
      <c r="Q3177" s="26">
        <v>6</v>
      </c>
      <c r="R3177" s="26">
        <v>1</v>
      </c>
      <c r="S3177" s="26">
        <v>6</v>
      </c>
      <c r="T3177" s="26">
        <v>7</v>
      </c>
      <c r="U3177" s="26">
        <v>14</v>
      </c>
      <c r="V3177" s="26">
        <v>1</v>
      </c>
      <c r="W3177" s="26"/>
    </row>
    <row r="3178" spans="1:23" x14ac:dyDescent="0.25">
      <c r="A3178" s="26" t="str">
        <f t="shared" si="540"/>
        <v>PRIMARIA</v>
      </c>
      <c r="B3178" s="26" t="str">
        <f>"09PPR1790B"</f>
        <v>09PPR1790B</v>
      </c>
      <c r="C3178" s="26" t="str">
        <f>"IL MIO MONDO MONTESSORI                                                                             "</f>
        <v xml:space="preserve">IL MIO MONDO MONTESSORI                                                                             </v>
      </c>
      <c r="D3178" s="26" t="str">
        <f t="shared" si="548"/>
        <v>MATUTINO</v>
      </c>
      <c r="E3178" s="26" t="str">
        <f>"AV. GENERAL MARIANO ESCOBEDO 117                                                "</f>
        <v xml:space="preserve">AV. GENERAL MARIANO ESCOBEDO 117                                                </v>
      </c>
      <c r="F3178" s="26" t="str">
        <f>"ANAHUAC I                                                                                                                                   "</f>
        <v xml:space="preserve">ANAHUAC I                                                                                                                                   </v>
      </c>
      <c r="G3178" s="26" t="str">
        <f>"MIGUEL HIDALGO                                                                  "</f>
        <v xml:space="preserve">MIGUEL HIDALGO                                                                  </v>
      </c>
      <c r="H3178" s="26" t="str">
        <f>"215"</f>
        <v>215</v>
      </c>
      <c r="I3178" s="26" t="str">
        <f t="shared" si="542"/>
        <v>00</v>
      </c>
      <c r="J3178" s="26" t="str">
        <f>"42 "</f>
        <v xml:space="preserve">42 </v>
      </c>
      <c r="K3178" s="26" t="str">
        <f t="shared" si="549"/>
        <v>PR</v>
      </c>
      <c r="L3178" s="26" t="str">
        <f t="shared" si="550"/>
        <v>DGOSE</v>
      </c>
      <c r="M3178" s="26" t="str">
        <f t="shared" si="545"/>
        <v>PARTICULAR</v>
      </c>
      <c r="N3178" s="26">
        <v>53</v>
      </c>
      <c r="O3178" s="26">
        <v>21</v>
      </c>
      <c r="P3178" s="26">
        <v>32</v>
      </c>
      <c r="Q3178" s="26">
        <v>6</v>
      </c>
      <c r="R3178" s="26">
        <v>1</v>
      </c>
      <c r="S3178" s="26">
        <v>3</v>
      </c>
      <c r="T3178" s="26">
        <v>6</v>
      </c>
      <c r="U3178" s="26">
        <v>10</v>
      </c>
      <c r="V3178" s="26">
        <v>1</v>
      </c>
      <c r="W3178" s="26"/>
    </row>
    <row r="3179" spans="1:23" x14ac:dyDescent="0.25">
      <c r="A3179" s="26" t="str">
        <f t="shared" si="540"/>
        <v>PRIMARIA</v>
      </c>
      <c r="B3179" s="26" t="str">
        <f>"09PPR1791A"</f>
        <v>09PPR1791A</v>
      </c>
      <c r="C3179" s="26" t="str">
        <f>"COLEGIO INTERAMERICANO CAMPESTRE                                                                    "</f>
        <v xml:space="preserve">COLEGIO INTERAMERICANO CAMPESTRE                                                                    </v>
      </c>
      <c r="D3179" s="26" t="str">
        <f t="shared" si="548"/>
        <v>MATUTINO</v>
      </c>
      <c r="E3179" s="26" t="str">
        <f>"CERRO DEL CUBILETE NO 144                                                       "</f>
        <v xml:space="preserve">CERRO DEL CUBILETE NO 144                                                       </v>
      </c>
      <c r="F3179" s="26" t="str">
        <f>"CAMPESTRE CHURUBUSCO                                                                                                                        "</f>
        <v xml:space="preserve">CAMPESTRE CHURUBUSCO                                                                                                                        </v>
      </c>
      <c r="G3179" s="26" t="str">
        <f>"COYOACAN                                                                        "</f>
        <v xml:space="preserve">COYOACAN                                                                        </v>
      </c>
      <c r="H3179" s="26" t="str">
        <f>"509"</f>
        <v>509</v>
      </c>
      <c r="I3179" s="26" t="str">
        <f t="shared" si="542"/>
        <v>00</v>
      </c>
      <c r="J3179" s="26" t="str">
        <f>"45 "</f>
        <v xml:space="preserve">45 </v>
      </c>
      <c r="K3179" s="26" t="str">
        <f t="shared" si="549"/>
        <v>PR</v>
      </c>
      <c r="L3179" s="26" t="str">
        <f t="shared" si="550"/>
        <v>DGOSE</v>
      </c>
      <c r="M3179" s="26" t="str">
        <f t="shared" si="545"/>
        <v>PARTICULAR</v>
      </c>
      <c r="N3179" s="26">
        <v>25</v>
      </c>
      <c r="O3179" s="26">
        <v>15</v>
      </c>
      <c r="P3179" s="26">
        <v>10</v>
      </c>
      <c r="Q3179" s="26">
        <v>5</v>
      </c>
      <c r="R3179" s="26">
        <v>1</v>
      </c>
      <c r="S3179" s="26">
        <v>2</v>
      </c>
      <c r="T3179" s="26">
        <v>5</v>
      </c>
      <c r="U3179" s="26">
        <v>8</v>
      </c>
      <c r="V3179" s="26">
        <v>1</v>
      </c>
      <c r="W3179" s="26"/>
    </row>
    <row r="3180" spans="1:23" x14ac:dyDescent="0.25">
      <c r="A3180" s="26" t="str">
        <f t="shared" si="540"/>
        <v>PRIMARIA</v>
      </c>
      <c r="B3180" s="26" t="str">
        <f>"09PPR1793Z"</f>
        <v>09PPR1793Z</v>
      </c>
      <c r="C3180" s="26" t="str">
        <f>"CANADIAN MONTESSORI                                                                                 "</f>
        <v xml:space="preserve">CANADIAN MONTESSORI                                                                                 </v>
      </c>
      <c r="D3180" s="26" t="str">
        <f t="shared" si="548"/>
        <v>MATUTINO</v>
      </c>
      <c r="E3180" s="26" t="str">
        <f>"CALZ CAMARONES 232                                                              "</f>
        <v xml:space="preserve">CALZ CAMARONES 232                                                              </v>
      </c>
      <c r="F3180" s="26" t="str">
        <f>"OBRERO POPULAR                                                                                                                              "</f>
        <v xml:space="preserve">OBRERO POPULAR                                                                                                                              </v>
      </c>
      <c r="G3180" s="26" t="str">
        <f>"AZCAPOTZALCO                                                                    "</f>
        <v xml:space="preserve">AZCAPOTZALCO                                                                    </v>
      </c>
      <c r="H3180" s="26" t="str">
        <f>"206"</f>
        <v>206</v>
      </c>
      <c r="I3180" s="26" t="str">
        <f t="shared" si="542"/>
        <v>00</v>
      </c>
      <c r="J3180" s="26" t="str">
        <f>"42 "</f>
        <v xml:space="preserve">42 </v>
      </c>
      <c r="K3180" s="26" t="str">
        <f t="shared" si="549"/>
        <v>PR</v>
      </c>
      <c r="L3180" s="26" t="str">
        <f t="shared" si="550"/>
        <v>DGOSE</v>
      </c>
      <c r="M3180" s="26" t="str">
        <f t="shared" si="545"/>
        <v>PARTICULAR</v>
      </c>
      <c r="N3180" s="26">
        <v>38</v>
      </c>
      <c r="O3180" s="26">
        <v>24</v>
      </c>
      <c r="P3180" s="26">
        <v>14</v>
      </c>
      <c r="Q3180" s="26">
        <v>6</v>
      </c>
      <c r="R3180" s="26">
        <v>1</v>
      </c>
      <c r="S3180" s="26">
        <v>3</v>
      </c>
      <c r="T3180" s="26">
        <v>6</v>
      </c>
      <c r="U3180" s="26">
        <v>10</v>
      </c>
      <c r="V3180" s="26">
        <v>1</v>
      </c>
      <c r="W3180" s="26"/>
    </row>
    <row r="3181" spans="1:23" x14ac:dyDescent="0.25">
      <c r="A3181" s="26" t="str">
        <f t="shared" si="540"/>
        <v>PRIMARIA</v>
      </c>
      <c r="B3181" s="26" t="str">
        <f>"09PPR1794Y"</f>
        <v>09PPR1794Y</v>
      </c>
      <c r="C3181" s="26" t="str">
        <f>"""COMPLEJO EDUCATIVO DE DESARROLLO INTEGRAL""                                                         "</f>
        <v xml:space="preserve">"COMPLEJO EDUCATIVO DE DESARROLLO INTEGRAL"                                                         </v>
      </c>
      <c r="D3181" s="26" t="str">
        <f t="shared" si="548"/>
        <v>MATUTINO</v>
      </c>
      <c r="E3181" s="26" t="str">
        <f>"SALVADOR ORTEGA FLORES No 14                                                    "</f>
        <v xml:space="preserve">SALVADOR ORTEGA FLORES No 14                                                    </v>
      </c>
      <c r="F3181" s="26" t="str">
        <f>"MIGUEL HIDALGO                                                                                                                              "</f>
        <v xml:space="preserve">MIGUEL HIDALGO                                                                                                                              </v>
      </c>
      <c r="G3181" s="26" t="str">
        <f>"TLALPAN                                                                         "</f>
        <v xml:space="preserve">TLALPAN                                                                         </v>
      </c>
      <c r="H3181" s="26" t="str">
        <f>"517"</f>
        <v>517</v>
      </c>
      <c r="I3181" s="26" t="str">
        <f t="shared" si="542"/>
        <v>00</v>
      </c>
      <c r="J3181" s="26" t="str">
        <f>"45 "</f>
        <v xml:space="preserve">45 </v>
      </c>
      <c r="K3181" s="26" t="str">
        <f t="shared" si="549"/>
        <v>PR</v>
      </c>
      <c r="L3181" s="26" t="str">
        <f t="shared" si="550"/>
        <v>DGOSE</v>
      </c>
      <c r="M3181" s="26" t="str">
        <f t="shared" si="545"/>
        <v>PARTICULAR</v>
      </c>
      <c r="N3181" s="26">
        <v>45</v>
      </c>
      <c r="O3181" s="26">
        <v>29</v>
      </c>
      <c r="P3181" s="26">
        <v>16</v>
      </c>
      <c r="Q3181" s="26">
        <v>6</v>
      </c>
      <c r="R3181" s="26">
        <v>1</v>
      </c>
      <c r="S3181" s="26">
        <v>3</v>
      </c>
      <c r="T3181" s="26">
        <v>8</v>
      </c>
      <c r="U3181" s="26">
        <v>12</v>
      </c>
      <c r="V3181" s="26">
        <v>1</v>
      </c>
      <c r="W3181" s="26"/>
    </row>
    <row r="3182" spans="1:23" x14ac:dyDescent="0.25">
      <c r="A3182" s="26" t="str">
        <f t="shared" si="540"/>
        <v>PRIMARIA</v>
      </c>
      <c r="B3182" s="26" t="str">
        <f>"09PPR1795X"</f>
        <v>09PPR1795X</v>
      </c>
      <c r="C3182" s="26" t="str">
        <f>"""COLEGIO MEXICANO ALMANZOR""                                                                         "</f>
        <v xml:space="preserve">"COLEGIO MEXICANO ALMANZOR"                                                                         </v>
      </c>
      <c r="D3182" s="26" t="str">
        <f t="shared" si="548"/>
        <v>MATUTINO</v>
      </c>
      <c r="E3182" s="26" t="str">
        <f>"LAZARO CARDENAS NO 33                                                           "</f>
        <v xml:space="preserve">LAZARO CARDENAS NO 33                                                           </v>
      </c>
      <c r="F3182" s="26" t="str">
        <f>"SANTA CRUZ ACALPIXCA                                                                                                                        "</f>
        <v xml:space="preserve">SANTA CRUZ ACALPIXCA                                                                                                                        </v>
      </c>
      <c r="G3182" s="26" t="str">
        <f>"XOCHIMILCO                                                                      "</f>
        <v xml:space="preserve">XOCHIMILCO                                                                      </v>
      </c>
      <c r="H3182" s="26" t="str">
        <f>"542"</f>
        <v>542</v>
      </c>
      <c r="I3182" s="26" t="str">
        <f t="shared" si="542"/>
        <v>00</v>
      </c>
      <c r="J3182" s="26" t="str">
        <f>"45 "</f>
        <v xml:space="preserve">45 </v>
      </c>
      <c r="K3182" s="26" t="str">
        <f t="shared" si="549"/>
        <v>PR</v>
      </c>
      <c r="L3182" s="26" t="str">
        <f t="shared" si="550"/>
        <v>DGOSE</v>
      </c>
      <c r="M3182" s="26" t="str">
        <f t="shared" si="545"/>
        <v>PARTICULAR</v>
      </c>
      <c r="N3182" s="26">
        <v>26</v>
      </c>
      <c r="O3182" s="26">
        <v>13</v>
      </c>
      <c r="P3182" s="26">
        <v>13</v>
      </c>
      <c r="Q3182" s="26">
        <v>5</v>
      </c>
      <c r="R3182" s="26">
        <v>1</v>
      </c>
      <c r="S3182" s="26">
        <v>4</v>
      </c>
      <c r="T3182" s="26">
        <v>2</v>
      </c>
      <c r="U3182" s="26">
        <v>7</v>
      </c>
      <c r="V3182" s="26">
        <v>1</v>
      </c>
      <c r="W3182" s="26"/>
    </row>
    <row r="3183" spans="1:23" x14ac:dyDescent="0.25">
      <c r="A3183" s="26" t="str">
        <f t="shared" si="540"/>
        <v>PRIMARIA</v>
      </c>
      <c r="B3183" s="26" t="str">
        <f>"09PPR1796W"</f>
        <v>09PPR1796W</v>
      </c>
      <c r="C3183" s="26" t="str">
        <f>"COLEGIO ALAMILLA AMERICANO                                                                          "</f>
        <v xml:space="preserve">COLEGIO ALAMILLA AMERICANO                                                                          </v>
      </c>
      <c r="D3183" s="26" t="str">
        <f t="shared" si="548"/>
        <v>MATUTINO</v>
      </c>
      <c r="E3183" s="26" t="str">
        <f>"RICARDO CASTRO NO 5                                                             "</f>
        <v xml:space="preserve">RICARDO CASTRO NO 5                                                             </v>
      </c>
      <c r="F3183" s="26" t="str">
        <f>"EX-HIPODROMO DE PERALVILLO                                                                                                                  "</f>
        <v xml:space="preserve">EX-HIPODROMO DE PERALVILLO                                                                                                                  </v>
      </c>
      <c r="G3183" s="26" t="str">
        <f>"CUAUHTEMOC                                                                      "</f>
        <v xml:space="preserve">CUAUHTEMOC                                                                      </v>
      </c>
      <c r="H3183" s="26" t="str">
        <f>"000"</f>
        <v>000</v>
      </c>
      <c r="I3183" s="26" t="str">
        <f t="shared" si="542"/>
        <v>00</v>
      </c>
      <c r="J3183" s="26" t="str">
        <f>"42 "</f>
        <v xml:space="preserve">42 </v>
      </c>
      <c r="K3183" s="26" t="str">
        <f t="shared" si="549"/>
        <v>PR</v>
      </c>
      <c r="L3183" s="26" t="str">
        <f t="shared" si="550"/>
        <v>DGOSE</v>
      </c>
      <c r="M3183" s="26" t="str">
        <f t="shared" si="545"/>
        <v>PARTICULAR</v>
      </c>
      <c r="N3183" s="26">
        <v>69</v>
      </c>
      <c r="O3183" s="26">
        <v>40</v>
      </c>
      <c r="P3183" s="26">
        <v>29</v>
      </c>
      <c r="Q3183" s="26">
        <v>6</v>
      </c>
      <c r="R3183" s="26">
        <v>1</v>
      </c>
      <c r="S3183" s="26">
        <v>2</v>
      </c>
      <c r="T3183" s="26">
        <v>3</v>
      </c>
      <c r="U3183" s="26">
        <v>6</v>
      </c>
      <c r="V3183" s="26">
        <v>1</v>
      </c>
      <c r="W3183" s="26"/>
    </row>
    <row r="3184" spans="1:23" x14ac:dyDescent="0.25">
      <c r="A3184" s="26" t="str">
        <f t="shared" si="540"/>
        <v>PRIMARIA</v>
      </c>
      <c r="B3184" s="26" t="str">
        <f>"09PPR1797V"</f>
        <v>09PPR1797V</v>
      </c>
      <c r="C3184" s="26" t="str">
        <f>"COLEGIO EXCEL KIDS                                                                                  "</f>
        <v xml:space="preserve">COLEGIO EXCEL KIDS                                                                                  </v>
      </c>
      <c r="D3184" s="26" t="str">
        <f t="shared" si="548"/>
        <v>MATUTINO</v>
      </c>
      <c r="E3184" s="26" t="str">
        <f>"PLAYA PIE DE LA CUESTA NO. 405                                                  "</f>
        <v xml:space="preserve">PLAYA PIE DE LA CUESTA NO. 405                                                  </v>
      </c>
      <c r="F3184" s="26" t="str">
        <f>"EL RETOÑO                                                                                                                                   "</f>
        <v xml:space="preserve">EL RETOÑO                                                                                                                                   </v>
      </c>
      <c r="G3184" s="26" t="str">
        <f>"IZTAPALAPA                                                                      "</f>
        <v xml:space="preserve">IZTAPALAPA                                                                      </v>
      </c>
      <c r="H3184" s="26" t="str">
        <f>"000"</f>
        <v>000</v>
      </c>
      <c r="I3184" s="26" t="str">
        <f t="shared" si="542"/>
        <v>00</v>
      </c>
      <c r="J3184" s="26" t="str">
        <f>"61 "</f>
        <v xml:space="preserve">61 </v>
      </c>
      <c r="K3184" s="26" t="str">
        <f>"IZ"</f>
        <v>IZ</v>
      </c>
      <c r="L3184" s="26" t="str">
        <f>"DGSEI"</f>
        <v>DGSEI</v>
      </c>
      <c r="M3184" s="26" t="str">
        <f t="shared" si="545"/>
        <v>PARTICULAR</v>
      </c>
      <c r="N3184" s="26">
        <v>49</v>
      </c>
      <c r="O3184" s="26">
        <v>27</v>
      </c>
      <c r="P3184" s="26">
        <v>22</v>
      </c>
      <c r="Q3184" s="26">
        <v>6</v>
      </c>
      <c r="R3184" s="26">
        <v>1</v>
      </c>
      <c r="S3184" s="26">
        <v>3</v>
      </c>
      <c r="T3184" s="26">
        <v>5</v>
      </c>
      <c r="U3184" s="26">
        <v>9</v>
      </c>
      <c r="V3184" s="26">
        <v>1</v>
      </c>
      <c r="W3184" s="26"/>
    </row>
    <row r="3185" spans="1:23" x14ac:dyDescent="0.25">
      <c r="A3185" s="26" t="str">
        <f t="shared" si="540"/>
        <v>PRIMARIA</v>
      </c>
      <c r="B3185" s="26" t="str">
        <f>"09PPR1798U"</f>
        <v>09PPR1798U</v>
      </c>
      <c r="C3185" s="26" t="str">
        <f>"""COLEGIO IAN SILOE""                                                                                 "</f>
        <v xml:space="preserve">"COLEGIO IAN SILOE"                                                                                 </v>
      </c>
      <c r="D3185" s="26" t="str">
        <f t="shared" si="548"/>
        <v>MATUTINO</v>
      </c>
      <c r="E3185" s="26" t="str">
        <f>"GOBERNADOR MANUEL REYES VERAMENDI N. 41                                         "</f>
        <v xml:space="preserve">GOBERNADOR MANUEL REYES VERAMENDI N. 41                                         </v>
      </c>
      <c r="F3185" s="26" t="str">
        <f>"SAN MIGUEL CHAPULTEPEC SECCION I                                                                                                            "</f>
        <v xml:space="preserve">SAN MIGUEL CHAPULTEPEC SECCION I                                                                                                            </v>
      </c>
      <c r="G3185" s="26" t="str">
        <f>"MIGUEL HIDALGO                                                                  "</f>
        <v xml:space="preserve">MIGUEL HIDALGO                                                                  </v>
      </c>
      <c r="H3185" s="26" t="str">
        <f>"211"</f>
        <v>211</v>
      </c>
      <c r="I3185" s="26" t="str">
        <f t="shared" si="542"/>
        <v>00</v>
      </c>
      <c r="J3185" s="26" t="str">
        <f>"42 "</f>
        <v xml:space="preserve">42 </v>
      </c>
      <c r="K3185" s="26" t="str">
        <f t="shared" ref="K3185:K3195" si="551">"PR"</f>
        <v>PR</v>
      </c>
      <c r="L3185" s="26" t="str">
        <f t="shared" ref="L3185:L3195" si="552">"DGOSE"</f>
        <v>DGOSE</v>
      </c>
      <c r="M3185" s="26" t="str">
        <f t="shared" si="545"/>
        <v>PARTICULAR</v>
      </c>
      <c r="N3185" s="26">
        <v>81</v>
      </c>
      <c r="O3185" s="26">
        <v>40</v>
      </c>
      <c r="P3185" s="26">
        <v>41</v>
      </c>
      <c r="Q3185" s="26">
        <v>6</v>
      </c>
      <c r="R3185" s="26">
        <v>1</v>
      </c>
      <c r="S3185" s="26">
        <v>3</v>
      </c>
      <c r="T3185" s="26">
        <v>7</v>
      </c>
      <c r="U3185" s="26">
        <v>11</v>
      </c>
      <c r="V3185" s="26">
        <v>1</v>
      </c>
      <c r="W3185" s="26"/>
    </row>
    <row r="3186" spans="1:23" x14ac:dyDescent="0.25">
      <c r="A3186" s="26" t="str">
        <f t="shared" si="540"/>
        <v>PRIMARIA</v>
      </c>
      <c r="B3186" s="26" t="str">
        <f>"09PPR1799T"</f>
        <v>09PPR1799T</v>
      </c>
      <c r="C3186" s="26" t="str">
        <f>"ESCUELA PRIMARIA GREENIES                                                                           "</f>
        <v xml:space="preserve">ESCUELA PRIMARIA GREENIES                                                                           </v>
      </c>
      <c r="D3186" s="26" t="str">
        <f t="shared" si="548"/>
        <v>MATUTINO</v>
      </c>
      <c r="E3186" s="26" t="str">
        <f>"CALLE 3 NO. 155                                                                 "</f>
        <v xml:space="preserve">CALLE 3 NO. 155                                                                 </v>
      </c>
      <c r="F3186" s="26" t="str">
        <f>"TETELPAN                                                                                                                                    "</f>
        <v xml:space="preserve">TETELPAN                                                                                                                                    </v>
      </c>
      <c r="G3186" s="26" t="str">
        <f>"ALVARO OBREGON                                                                  "</f>
        <v xml:space="preserve">ALVARO OBREGON                                                                  </v>
      </c>
      <c r="H3186" s="26" t="str">
        <f>"326"</f>
        <v>326</v>
      </c>
      <c r="I3186" s="26" t="str">
        <f t="shared" si="542"/>
        <v>00</v>
      </c>
      <c r="J3186" s="26" t="str">
        <f>"43 "</f>
        <v xml:space="preserve">43 </v>
      </c>
      <c r="K3186" s="26" t="str">
        <f t="shared" si="551"/>
        <v>PR</v>
      </c>
      <c r="L3186" s="26" t="str">
        <f t="shared" si="552"/>
        <v>DGOSE</v>
      </c>
      <c r="M3186" s="26" t="str">
        <f t="shared" si="545"/>
        <v>PARTICULAR</v>
      </c>
      <c r="N3186" s="26">
        <v>30</v>
      </c>
      <c r="O3186" s="26">
        <v>23</v>
      </c>
      <c r="P3186" s="26">
        <v>7</v>
      </c>
      <c r="Q3186" s="26">
        <v>4</v>
      </c>
      <c r="R3186" s="26">
        <v>1</v>
      </c>
      <c r="S3186" s="26">
        <v>2</v>
      </c>
      <c r="T3186" s="26">
        <v>3</v>
      </c>
      <c r="U3186" s="26">
        <v>6</v>
      </c>
      <c r="V3186" s="26">
        <v>1</v>
      </c>
      <c r="W3186" s="26"/>
    </row>
    <row r="3187" spans="1:23" x14ac:dyDescent="0.25">
      <c r="A3187" s="26" t="str">
        <f t="shared" si="540"/>
        <v>PRIMARIA</v>
      </c>
      <c r="B3187" s="26" t="str">
        <f>"09PPR1800S"</f>
        <v>09PPR1800S</v>
      </c>
      <c r="C3187" s="26" t="str">
        <f>"COLEGIO LIBERTADORES DE AMERICA                                                                     "</f>
        <v xml:space="preserve">COLEGIO LIBERTADORES DE AMERICA                                                                     </v>
      </c>
      <c r="D3187" s="26" t="str">
        <f t="shared" si="548"/>
        <v>MATUTINO</v>
      </c>
      <c r="E3187" s="26" t="str">
        <f>"CALLE 323 NO 605                                                                "</f>
        <v xml:space="preserve">CALLE 323 NO 605                                                                </v>
      </c>
      <c r="F3187" s="26" t="str">
        <f>"NUEVA ATZACOALCO                                                                                                                            "</f>
        <v xml:space="preserve">NUEVA ATZACOALCO                                                                                                                            </v>
      </c>
      <c r="G3187" s="26" t="str">
        <f>"GUSTAVO A. MADERO                                                               "</f>
        <v xml:space="preserve">GUSTAVO A. MADERO                                                               </v>
      </c>
      <c r="H3187" s="26" t="str">
        <f>"257"</f>
        <v>257</v>
      </c>
      <c r="I3187" s="26" t="str">
        <f t="shared" si="542"/>
        <v>00</v>
      </c>
      <c r="J3187" s="26" t="str">
        <f>"42 "</f>
        <v xml:space="preserve">42 </v>
      </c>
      <c r="K3187" s="26" t="str">
        <f t="shared" si="551"/>
        <v>PR</v>
      </c>
      <c r="L3187" s="26" t="str">
        <f t="shared" si="552"/>
        <v>DGOSE</v>
      </c>
      <c r="M3187" s="26" t="str">
        <f t="shared" si="545"/>
        <v>PARTICULAR</v>
      </c>
      <c r="N3187" s="26">
        <v>111</v>
      </c>
      <c r="O3187" s="26">
        <v>62</v>
      </c>
      <c r="P3187" s="26">
        <v>49</v>
      </c>
      <c r="Q3187" s="26">
        <v>6</v>
      </c>
      <c r="R3187" s="26">
        <v>1</v>
      </c>
      <c r="S3187" s="26">
        <v>3</v>
      </c>
      <c r="T3187" s="26">
        <v>7</v>
      </c>
      <c r="U3187" s="26">
        <v>11</v>
      </c>
      <c r="V3187" s="26">
        <v>1</v>
      </c>
      <c r="W3187" s="26"/>
    </row>
    <row r="3188" spans="1:23" x14ac:dyDescent="0.25">
      <c r="A3188" s="26" t="str">
        <f t="shared" si="540"/>
        <v>PRIMARIA</v>
      </c>
      <c r="B3188" s="26" t="str">
        <f>"09PPR1801R"</f>
        <v>09PPR1801R</v>
      </c>
      <c r="C3188" s="26" t="str">
        <f>"COLEGIO CIRCULO EDUCATIVO                                                                           "</f>
        <v xml:space="preserve">COLEGIO CIRCULO EDUCATIVO                                                                           </v>
      </c>
      <c r="D3188" s="26" t="str">
        <f t="shared" si="548"/>
        <v>MATUTINO</v>
      </c>
      <c r="E3188" s="26" t="str">
        <f>"AVENIDA JOSE MARIA CASTORENA NO 672                                             "</f>
        <v xml:space="preserve">AVENIDA JOSE MARIA CASTORENA NO 672                                             </v>
      </c>
      <c r="F3188" s="26" t="str">
        <f>"EL MOLINO                                                                                                                                   "</f>
        <v xml:space="preserve">EL MOLINO                                                                                                                                   </v>
      </c>
      <c r="G3188" s="26" t="str">
        <f>"CUAJIMALPA DE MORELOS                                                           "</f>
        <v xml:space="preserve">CUAJIMALPA DE MORELOS                                                           </v>
      </c>
      <c r="H3188" s="26" t="str">
        <f>"301"</f>
        <v>301</v>
      </c>
      <c r="I3188" s="26" t="str">
        <f t="shared" si="542"/>
        <v>00</v>
      </c>
      <c r="J3188" s="26" t="str">
        <f>"43 "</f>
        <v xml:space="preserve">43 </v>
      </c>
      <c r="K3188" s="26" t="str">
        <f t="shared" si="551"/>
        <v>PR</v>
      </c>
      <c r="L3188" s="26" t="str">
        <f t="shared" si="552"/>
        <v>DGOSE</v>
      </c>
      <c r="M3188" s="26" t="str">
        <f t="shared" si="545"/>
        <v>PARTICULAR</v>
      </c>
      <c r="N3188" s="26">
        <v>41</v>
      </c>
      <c r="O3188" s="26">
        <v>22</v>
      </c>
      <c r="P3188" s="26">
        <v>19</v>
      </c>
      <c r="Q3188" s="26">
        <v>4</v>
      </c>
      <c r="R3188" s="26">
        <v>1</v>
      </c>
      <c r="S3188" s="26">
        <v>2</v>
      </c>
      <c r="T3188" s="26">
        <v>6</v>
      </c>
      <c r="U3188" s="26">
        <v>9</v>
      </c>
      <c r="V3188" s="26">
        <v>1</v>
      </c>
      <c r="W3188" s="26"/>
    </row>
    <row r="3189" spans="1:23" x14ac:dyDescent="0.25">
      <c r="A3189" s="26" t="str">
        <f t="shared" si="540"/>
        <v>PRIMARIA</v>
      </c>
      <c r="B3189" s="26" t="str">
        <f>"09PPR1802Q"</f>
        <v>09PPR1802Q</v>
      </c>
      <c r="C3189" s="26" t="str">
        <f>"COLEGIO GREENLAND                                                                                   "</f>
        <v xml:space="preserve">COLEGIO GREENLAND                                                                                   </v>
      </c>
      <c r="D3189" s="26" t="str">
        <f t="shared" si="548"/>
        <v>MATUTINO</v>
      </c>
      <c r="E3189" s="26" t="str">
        <f>"JOSE MARIA RICO NO.617                                                          "</f>
        <v xml:space="preserve">JOSE MARIA RICO NO.617                                                          </v>
      </c>
      <c r="F3189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3189" s="26" t="str">
        <f>"BENITO JUAREZ                                                                   "</f>
        <v xml:space="preserve">BENITO JUAREZ                                                                   </v>
      </c>
      <c r="H3189" s="26" t="str">
        <f>"000"</f>
        <v>000</v>
      </c>
      <c r="I3189" s="26" t="str">
        <f t="shared" si="542"/>
        <v>00</v>
      </c>
      <c r="J3189" s="26" t="str">
        <f>"43 "</f>
        <v xml:space="preserve">43 </v>
      </c>
      <c r="K3189" s="26" t="str">
        <f t="shared" si="551"/>
        <v>PR</v>
      </c>
      <c r="L3189" s="26" t="str">
        <f t="shared" si="552"/>
        <v>DGOSE</v>
      </c>
      <c r="M3189" s="26" t="str">
        <f t="shared" si="545"/>
        <v>PARTICULAR</v>
      </c>
      <c r="N3189" s="26">
        <v>144</v>
      </c>
      <c r="O3189" s="26">
        <v>73</v>
      </c>
      <c r="P3189" s="26">
        <v>71</v>
      </c>
      <c r="Q3189" s="26">
        <v>11</v>
      </c>
      <c r="R3189" s="26">
        <v>1</v>
      </c>
      <c r="S3189" s="26">
        <v>6</v>
      </c>
      <c r="T3189" s="26">
        <v>20</v>
      </c>
      <c r="U3189" s="26">
        <v>27</v>
      </c>
      <c r="V3189" s="26">
        <v>1</v>
      </c>
      <c r="W3189" s="26"/>
    </row>
    <row r="3190" spans="1:23" x14ac:dyDescent="0.25">
      <c r="A3190" s="26" t="str">
        <f t="shared" si="540"/>
        <v>PRIMARIA</v>
      </c>
      <c r="B3190" s="26" t="str">
        <f>"09PPR1803P"</f>
        <v>09PPR1803P</v>
      </c>
      <c r="C3190" s="26" t="str">
        <f>"COLEGIO VERSALLES                                                                                   "</f>
        <v xml:space="preserve">COLEGIO VERSALLES                                                                                   </v>
      </c>
      <c r="D3190" s="26" t="str">
        <f t="shared" si="548"/>
        <v>MATUTINO</v>
      </c>
      <c r="E3190" s="26" t="str">
        <f>"CALZADA DE LAS AGUILAS NO 1499                                                  "</f>
        <v xml:space="preserve">CALZADA DE LAS AGUILAS NO 1499                                                  </v>
      </c>
      <c r="F3190" s="26" t="str">
        <f>"LOMAS DE LAS AGUILAS                                                                                                                        "</f>
        <v xml:space="preserve">LOMAS DE LAS AGUILAS                                                                                                                        </v>
      </c>
      <c r="G3190" s="26" t="str">
        <f>"ALVARO OBREGON                                                                  "</f>
        <v xml:space="preserve">ALVARO OBREGON                                                                  </v>
      </c>
      <c r="H3190" s="26" t="str">
        <f>"322"</f>
        <v>322</v>
      </c>
      <c r="I3190" s="26" t="str">
        <f t="shared" si="542"/>
        <v>00</v>
      </c>
      <c r="J3190" s="26" t="str">
        <f>"43 "</f>
        <v xml:space="preserve">43 </v>
      </c>
      <c r="K3190" s="26" t="str">
        <f t="shared" si="551"/>
        <v>PR</v>
      </c>
      <c r="L3190" s="26" t="str">
        <f t="shared" si="552"/>
        <v>DGOSE</v>
      </c>
      <c r="M3190" s="26" t="str">
        <f t="shared" si="545"/>
        <v>PARTICULAR</v>
      </c>
      <c r="N3190" s="26">
        <v>8</v>
      </c>
      <c r="O3190" s="26">
        <v>3</v>
      </c>
      <c r="P3190" s="26">
        <v>5</v>
      </c>
      <c r="Q3190" s="26">
        <v>3</v>
      </c>
      <c r="R3190" s="26">
        <v>1</v>
      </c>
      <c r="S3190" s="26">
        <v>2</v>
      </c>
      <c r="T3190" s="26">
        <v>1</v>
      </c>
      <c r="U3190" s="26">
        <v>4</v>
      </c>
      <c r="V3190" s="26">
        <v>1</v>
      </c>
      <c r="W3190" s="26"/>
    </row>
    <row r="3191" spans="1:23" x14ac:dyDescent="0.25">
      <c r="A3191" s="26" t="str">
        <f t="shared" si="540"/>
        <v>PRIMARIA</v>
      </c>
      <c r="B3191" s="26" t="str">
        <f>"09PPR1804O"</f>
        <v>09PPR1804O</v>
      </c>
      <c r="C3191" s="26" t="str">
        <f>"PRINCESS ELEMENTARY SCHOOL                                                                          "</f>
        <v xml:space="preserve">PRINCESS ELEMENTARY SCHOOL                                                                          </v>
      </c>
      <c r="D3191" s="26" t="str">
        <f t="shared" si="548"/>
        <v>MATUTINO</v>
      </c>
      <c r="E3191" s="26" t="str">
        <f>"ORIENTE 112 No 3151                                                             "</f>
        <v xml:space="preserve">ORIENTE 112 No 3151                                                             </v>
      </c>
      <c r="F3191" s="26" t="str">
        <f>"GABRIEL RAMOS MILLAN                                                                                                                        "</f>
        <v xml:space="preserve">GABRIEL RAMOS MILLAN                                                                                                                        </v>
      </c>
      <c r="G3191" s="26" t="str">
        <f>"IZTACALCO                                                                       "</f>
        <v xml:space="preserve">IZTACALCO                                                                       </v>
      </c>
      <c r="H3191" s="26" t="str">
        <f>"362"</f>
        <v>362</v>
      </c>
      <c r="I3191" s="26" t="str">
        <f t="shared" si="542"/>
        <v>00</v>
      </c>
      <c r="J3191" s="26" t="str">
        <f>"43 "</f>
        <v xml:space="preserve">43 </v>
      </c>
      <c r="K3191" s="26" t="str">
        <f t="shared" si="551"/>
        <v>PR</v>
      </c>
      <c r="L3191" s="26" t="str">
        <f t="shared" si="552"/>
        <v>DGOSE</v>
      </c>
      <c r="M3191" s="26" t="str">
        <f t="shared" si="545"/>
        <v>PARTICULAR</v>
      </c>
      <c r="N3191" s="26">
        <v>95</v>
      </c>
      <c r="O3191" s="26">
        <v>45</v>
      </c>
      <c r="P3191" s="26">
        <v>50</v>
      </c>
      <c r="Q3191" s="26">
        <v>6</v>
      </c>
      <c r="R3191" s="26">
        <v>1</v>
      </c>
      <c r="S3191" s="26">
        <v>3</v>
      </c>
      <c r="T3191" s="26">
        <v>7</v>
      </c>
      <c r="U3191" s="26">
        <v>11</v>
      </c>
      <c r="V3191" s="26">
        <v>1</v>
      </c>
      <c r="W3191" s="26"/>
    </row>
    <row r="3192" spans="1:23" x14ac:dyDescent="0.25">
      <c r="A3192" s="26" t="str">
        <f t="shared" si="540"/>
        <v>PRIMARIA</v>
      </c>
      <c r="B3192" s="26" t="str">
        <f>"09PPR1805N"</f>
        <v>09PPR1805N</v>
      </c>
      <c r="C3192" s="26" t="str">
        <f>"INSTITUTO PANAMERICANO DEL SUR                                                                      "</f>
        <v xml:space="preserve">INSTITUTO PANAMERICANO DEL SUR                                                                      </v>
      </c>
      <c r="D3192" s="26" t="str">
        <f t="shared" si="548"/>
        <v>MATUTINO</v>
      </c>
      <c r="E3192" s="26" t="str">
        <f>"CALLE ANAHUAC NO 83                                                             "</f>
        <v xml:space="preserve">CALLE ANAHUAC NO 83                                                             </v>
      </c>
      <c r="F3192" s="26" t="str">
        <f>"EL  MIRADOR                                                                                                                                 "</f>
        <v xml:space="preserve">EL  MIRADOR                                                                                                                                 </v>
      </c>
      <c r="G3192" s="26" t="str">
        <f>"COYOACAN                                                                        "</f>
        <v xml:space="preserve">COYOACAN                                                                        </v>
      </c>
      <c r="H3192" s="26" t="str">
        <f>"510"</f>
        <v>510</v>
      </c>
      <c r="I3192" s="26" t="str">
        <f t="shared" si="542"/>
        <v>00</v>
      </c>
      <c r="J3192" s="26" t="str">
        <f>"45 "</f>
        <v xml:space="preserve">45 </v>
      </c>
      <c r="K3192" s="26" t="str">
        <f t="shared" si="551"/>
        <v>PR</v>
      </c>
      <c r="L3192" s="26" t="str">
        <f t="shared" si="552"/>
        <v>DGOSE</v>
      </c>
      <c r="M3192" s="26" t="str">
        <f t="shared" si="545"/>
        <v>PARTICULAR</v>
      </c>
      <c r="N3192" s="26">
        <v>59</v>
      </c>
      <c r="O3192" s="26">
        <v>43</v>
      </c>
      <c r="P3192" s="26">
        <v>16</v>
      </c>
      <c r="Q3192" s="26">
        <v>6</v>
      </c>
      <c r="R3192" s="26">
        <v>1</v>
      </c>
      <c r="S3192" s="26">
        <v>5</v>
      </c>
      <c r="T3192" s="26">
        <v>4</v>
      </c>
      <c r="U3192" s="26">
        <v>10</v>
      </c>
      <c r="V3192" s="26">
        <v>1</v>
      </c>
      <c r="W3192" s="26"/>
    </row>
    <row r="3193" spans="1:23" x14ac:dyDescent="0.25">
      <c r="A3193" s="26" t="str">
        <f t="shared" si="540"/>
        <v>PRIMARIA</v>
      </c>
      <c r="B3193" s="26" t="str">
        <f>"09PPR1806M"</f>
        <v>09PPR1806M</v>
      </c>
      <c r="C3193" s="26" t="str">
        <f>"COLEGIO JEAN PIAGET DE ORIENTE                                                                      "</f>
        <v xml:space="preserve">COLEGIO JEAN PIAGET DE ORIENTE                                                                      </v>
      </c>
      <c r="D3193" s="26" t="str">
        <f t="shared" si="548"/>
        <v>MATUTINO</v>
      </c>
      <c r="E3193" s="26" t="str">
        <f>"TLACOTAL B No 2403                                                              "</f>
        <v xml:space="preserve">TLACOTAL B No 2403                                                              </v>
      </c>
      <c r="F3193" s="26" t="str">
        <f>"GABRIEL RAMOS MILLAN                                                                                                                        "</f>
        <v xml:space="preserve">GABRIEL RAMOS MILLAN                                                                                                                        </v>
      </c>
      <c r="G3193" s="26" t="str">
        <f>"IZTACALCO                                                                       "</f>
        <v xml:space="preserve">IZTACALCO                                                                       </v>
      </c>
      <c r="H3193" s="26" t="str">
        <f>"359"</f>
        <v>359</v>
      </c>
      <c r="I3193" s="26" t="str">
        <f t="shared" si="542"/>
        <v>00</v>
      </c>
      <c r="J3193" s="26" t="str">
        <f>"43 "</f>
        <v xml:space="preserve">43 </v>
      </c>
      <c r="K3193" s="26" t="str">
        <f t="shared" si="551"/>
        <v>PR</v>
      </c>
      <c r="L3193" s="26" t="str">
        <f t="shared" si="552"/>
        <v>DGOSE</v>
      </c>
      <c r="M3193" s="26" t="str">
        <f t="shared" si="545"/>
        <v>PARTICULAR</v>
      </c>
      <c r="N3193" s="26">
        <v>99</v>
      </c>
      <c r="O3193" s="26">
        <v>56</v>
      </c>
      <c r="P3193" s="26">
        <v>43</v>
      </c>
      <c r="Q3193" s="26">
        <v>6</v>
      </c>
      <c r="R3193" s="26">
        <v>1</v>
      </c>
      <c r="S3193" s="26">
        <v>5</v>
      </c>
      <c r="T3193" s="26">
        <v>6</v>
      </c>
      <c r="U3193" s="26">
        <v>12</v>
      </c>
      <c r="V3193" s="26">
        <v>1</v>
      </c>
      <c r="W3193" s="26"/>
    </row>
    <row r="3194" spans="1:23" x14ac:dyDescent="0.25">
      <c r="A3194" s="26" t="str">
        <f t="shared" si="540"/>
        <v>PRIMARIA</v>
      </c>
      <c r="B3194" s="26" t="str">
        <f>"09PPR1808K"</f>
        <v>09PPR1808K</v>
      </c>
      <c r="C3194" s="26" t="str">
        <f>"COLEGIO KENT CONDESA                                                                                "</f>
        <v xml:space="preserve">COLEGIO KENT CONDESA                                                                                </v>
      </c>
      <c r="D3194" s="26" t="str">
        <f t="shared" si="548"/>
        <v>MATUTINO</v>
      </c>
      <c r="E3194" s="26" t="str">
        <f>"ZAMORA NO. 42                                                                   "</f>
        <v xml:space="preserve">ZAMORA NO. 42                                                                   </v>
      </c>
      <c r="F3194" s="26" t="str">
        <f>"CONDESA                                                                                                                                     "</f>
        <v xml:space="preserve">CONDESA                                                                                                                                     </v>
      </c>
      <c r="G3194" s="26" t="str">
        <f>"CUAUHTEMOC                                                                      "</f>
        <v xml:space="preserve">CUAUHTEMOC                                                                      </v>
      </c>
      <c r="H3194" s="26" t="str">
        <f>"000"</f>
        <v>000</v>
      </c>
      <c r="I3194" s="26" t="str">
        <f t="shared" si="542"/>
        <v>00</v>
      </c>
      <c r="J3194" s="26" t="str">
        <f>"42 "</f>
        <v xml:space="preserve">42 </v>
      </c>
      <c r="K3194" s="26" t="str">
        <f t="shared" si="551"/>
        <v>PR</v>
      </c>
      <c r="L3194" s="26" t="str">
        <f t="shared" si="552"/>
        <v>DGOSE</v>
      </c>
      <c r="M3194" s="26" t="str">
        <f t="shared" si="545"/>
        <v>PARTICULAR</v>
      </c>
      <c r="N3194" s="26">
        <v>93</v>
      </c>
      <c r="O3194" s="26">
        <v>49</v>
      </c>
      <c r="P3194" s="26">
        <v>44</v>
      </c>
      <c r="Q3194" s="26">
        <v>6</v>
      </c>
      <c r="R3194" s="26">
        <v>1</v>
      </c>
      <c r="S3194" s="26">
        <v>3</v>
      </c>
      <c r="T3194" s="26">
        <v>12</v>
      </c>
      <c r="U3194" s="26">
        <v>16</v>
      </c>
      <c r="V3194" s="26">
        <v>1</v>
      </c>
      <c r="W3194" s="26"/>
    </row>
    <row r="3195" spans="1:23" x14ac:dyDescent="0.25">
      <c r="A3195" s="26" t="str">
        <f t="shared" si="540"/>
        <v>PRIMARIA</v>
      </c>
      <c r="B3195" s="26" t="str">
        <f>"09PPR1809J"</f>
        <v>09PPR1809J</v>
      </c>
      <c r="C3195" s="26" t="str">
        <f>"""MONTESSORI´S WORLD ELEMENTARY SCHOOL""                                                              "</f>
        <v xml:space="preserve">"MONTESSORI´S WORLD ELEMENTARY SCHOOL"                                                              </v>
      </c>
      <c r="D3195" s="26" t="str">
        <f t="shared" si="548"/>
        <v>MATUTINO</v>
      </c>
      <c r="E3195" s="26" t="str">
        <f>"TABASCO NO. 148                                                                 "</f>
        <v xml:space="preserve">TABASCO NO. 148                                                                 </v>
      </c>
      <c r="F3195" s="26" t="str">
        <f>"ROMA NORTE                                                                                                                                  "</f>
        <v xml:space="preserve">ROMA NORTE                                                                                                                                  </v>
      </c>
      <c r="G3195" s="26" t="str">
        <f>"CUAUHTEMOC                                                                      "</f>
        <v xml:space="preserve">CUAUHTEMOC                                                                      </v>
      </c>
      <c r="H3195" s="26" t="str">
        <f>"000"</f>
        <v>000</v>
      </c>
      <c r="I3195" s="26" t="str">
        <f t="shared" si="542"/>
        <v>00</v>
      </c>
      <c r="J3195" s="26" t="str">
        <f>"42 "</f>
        <v xml:space="preserve">42 </v>
      </c>
      <c r="K3195" s="26" t="str">
        <f t="shared" si="551"/>
        <v>PR</v>
      </c>
      <c r="L3195" s="26" t="str">
        <f t="shared" si="552"/>
        <v>DGOSE</v>
      </c>
      <c r="M3195" s="26" t="str">
        <f t="shared" si="545"/>
        <v>PARTICULAR</v>
      </c>
      <c r="N3195" s="26">
        <v>49</v>
      </c>
      <c r="O3195" s="26">
        <v>24</v>
      </c>
      <c r="P3195" s="26">
        <v>25</v>
      </c>
      <c r="Q3195" s="26">
        <v>4</v>
      </c>
      <c r="R3195" s="26">
        <v>1</v>
      </c>
      <c r="S3195" s="26">
        <v>2</v>
      </c>
      <c r="T3195" s="26">
        <v>4</v>
      </c>
      <c r="U3195" s="26">
        <v>7</v>
      </c>
      <c r="V3195" s="26">
        <v>1</v>
      </c>
      <c r="W3195" s="26"/>
    </row>
    <row r="3196" spans="1:23" x14ac:dyDescent="0.25">
      <c r="A3196" s="26" t="str">
        <f t="shared" si="540"/>
        <v>PRIMARIA</v>
      </c>
      <c r="B3196" s="26" t="str">
        <f>"09PPR1811Y"</f>
        <v>09PPR1811Y</v>
      </c>
      <c r="C3196" s="26" t="str">
        <f>"CENTRO EDUCATIVO ANGLO HISPANO                                                                      "</f>
        <v xml:space="preserve">CENTRO EDUCATIVO ANGLO HISPANO                                                                      </v>
      </c>
      <c r="D3196" s="26" t="str">
        <f t="shared" si="548"/>
        <v>MATUTINO</v>
      </c>
      <c r="E3196" s="26" t="str">
        <f>"CENTELLA MZ. 5 LT. 48                                                           "</f>
        <v xml:space="preserve">CENTELLA MZ. 5 LT. 48                                                           </v>
      </c>
      <c r="F3196" s="26" t="str">
        <f>"VALLE DE LUCES                                                                                                                              "</f>
        <v xml:space="preserve">VALLE DE LUCES                                                                                                                              </v>
      </c>
      <c r="G3196" s="26" t="str">
        <f>"IZTAPALAPA                                                                      "</f>
        <v xml:space="preserve">IZTAPALAPA                                                                      </v>
      </c>
      <c r="H3196" s="26" t="str">
        <f>"000"</f>
        <v>000</v>
      </c>
      <c r="I3196" s="26" t="str">
        <f t="shared" si="542"/>
        <v>00</v>
      </c>
      <c r="J3196" s="26" t="str">
        <f>"61 "</f>
        <v xml:space="preserve">61 </v>
      </c>
      <c r="K3196" s="26" t="str">
        <f>"IZ"</f>
        <v>IZ</v>
      </c>
      <c r="L3196" s="26" t="str">
        <f>"DGSEI"</f>
        <v>DGSEI</v>
      </c>
      <c r="M3196" s="26" t="str">
        <f t="shared" si="545"/>
        <v>PARTICULAR</v>
      </c>
      <c r="N3196" s="26">
        <v>19</v>
      </c>
      <c r="O3196" s="26">
        <v>13</v>
      </c>
      <c r="P3196" s="26">
        <v>6</v>
      </c>
      <c r="Q3196" s="26">
        <v>4</v>
      </c>
      <c r="R3196" s="26">
        <v>1</v>
      </c>
      <c r="S3196" s="26">
        <v>2</v>
      </c>
      <c r="T3196" s="26">
        <v>3</v>
      </c>
      <c r="U3196" s="26">
        <v>6</v>
      </c>
      <c r="V3196" s="26">
        <v>1</v>
      </c>
      <c r="W3196" s="26"/>
    </row>
    <row r="3197" spans="1:23" x14ac:dyDescent="0.25">
      <c r="A3197" s="26" t="str">
        <f t="shared" si="540"/>
        <v>PRIMARIA</v>
      </c>
      <c r="B3197" s="26" t="str">
        <f>"09PPR1812X"</f>
        <v>09PPR1812X</v>
      </c>
      <c r="C3197" s="26" t="str">
        <f>"COLEGIO HUMANISTA MARTIN LUTHER KING                                                                "</f>
        <v xml:space="preserve">COLEGIO HUMANISTA MARTIN LUTHER KING                                                                </v>
      </c>
      <c r="D3197" s="26" t="str">
        <f t="shared" si="548"/>
        <v>MATUTINO</v>
      </c>
      <c r="E3197" s="26" t="str">
        <f>"ROSARIO MZ. 8 LT. 11 Y 12                                                       "</f>
        <v xml:space="preserve">ROSARIO MZ. 8 LT. 11 Y 12                                                       </v>
      </c>
      <c r="F3197" s="26" t="str">
        <f>"EL ROSARIO                                                                                                                                  "</f>
        <v xml:space="preserve">EL ROSARIO                                                                                                                                  </v>
      </c>
      <c r="G3197" s="26" t="str">
        <f>"IZTAPALAPA                                                                      "</f>
        <v xml:space="preserve">IZTAPALAPA                                                                      </v>
      </c>
      <c r="H3197" s="26" t="str">
        <f>"000"</f>
        <v>000</v>
      </c>
      <c r="I3197" s="26" t="str">
        <f t="shared" si="542"/>
        <v>00</v>
      </c>
      <c r="J3197" s="26" t="str">
        <f>"63 "</f>
        <v xml:space="preserve">63 </v>
      </c>
      <c r="K3197" s="26" t="str">
        <f>"IZ"</f>
        <v>IZ</v>
      </c>
      <c r="L3197" s="26" t="str">
        <f>"DGSEI"</f>
        <v>DGSEI</v>
      </c>
      <c r="M3197" s="26" t="str">
        <f t="shared" si="545"/>
        <v>PARTICULAR</v>
      </c>
      <c r="N3197" s="26">
        <v>62</v>
      </c>
      <c r="O3197" s="26">
        <v>31</v>
      </c>
      <c r="P3197" s="26">
        <v>31</v>
      </c>
      <c r="Q3197" s="26">
        <v>5</v>
      </c>
      <c r="R3197" s="26">
        <v>1</v>
      </c>
      <c r="S3197" s="26">
        <v>3</v>
      </c>
      <c r="T3197" s="26">
        <v>7</v>
      </c>
      <c r="U3197" s="26">
        <v>11</v>
      </c>
      <c r="V3197" s="26">
        <v>1</v>
      </c>
      <c r="W3197" s="26"/>
    </row>
    <row r="3198" spans="1:23" x14ac:dyDescent="0.25">
      <c r="A3198" s="26" t="str">
        <f t="shared" si="540"/>
        <v>PRIMARIA</v>
      </c>
      <c r="B3198" s="26" t="str">
        <f>"09PPR1813W"</f>
        <v>09PPR1813W</v>
      </c>
      <c r="C3198" s="26" t="str">
        <f>"""COLEGIO SOR JUANA INES DE LA CRUZ""                                                                 "</f>
        <v xml:space="preserve">"COLEGIO SOR JUANA INES DE LA CRUZ"                                                                 </v>
      </c>
      <c r="D3198" s="26" t="str">
        <f t="shared" si="548"/>
        <v>MATUTINO</v>
      </c>
      <c r="E3198" s="26" t="str">
        <f>"AVENIDA MEXICO NO 1                                                             "</f>
        <v xml:space="preserve">AVENIDA MEXICO NO 1                                                             </v>
      </c>
      <c r="F3198" s="26" t="str">
        <f>"SAN MIGUEL XICALCO                                                                                                                          "</f>
        <v xml:space="preserve">SAN MIGUEL XICALCO                                                                                                                          </v>
      </c>
      <c r="G3198" s="26" t="str">
        <f>"TLALPAN                                                                         "</f>
        <v xml:space="preserve">TLALPAN                                                                         </v>
      </c>
      <c r="H3198" s="26" t="str">
        <f>"528"</f>
        <v>528</v>
      </c>
      <c r="I3198" s="26" t="str">
        <f t="shared" si="542"/>
        <v>00</v>
      </c>
      <c r="J3198" s="26" t="str">
        <f>"45 "</f>
        <v xml:space="preserve">45 </v>
      </c>
      <c r="K3198" s="26" t="str">
        <f t="shared" ref="K3198:K3205" si="553">"PR"</f>
        <v>PR</v>
      </c>
      <c r="L3198" s="26" t="str">
        <f t="shared" ref="L3198:L3205" si="554">"DGOSE"</f>
        <v>DGOSE</v>
      </c>
      <c r="M3198" s="26" t="str">
        <f t="shared" si="545"/>
        <v>PARTICULAR</v>
      </c>
      <c r="N3198" s="26">
        <v>33</v>
      </c>
      <c r="O3198" s="26">
        <v>17</v>
      </c>
      <c r="P3198" s="26">
        <v>16</v>
      </c>
      <c r="Q3198" s="26">
        <v>4</v>
      </c>
      <c r="R3198" s="26">
        <v>1</v>
      </c>
      <c r="S3198" s="26">
        <v>3</v>
      </c>
      <c r="T3198" s="26">
        <v>4</v>
      </c>
      <c r="U3198" s="26">
        <v>8</v>
      </c>
      <c r="V3198" s="26">
        <v>1</v>
      </c>
      <c r="W3198" s="26"/>
    </row>
    <row r="3199" spans="1:23" x14ac:dyDescent="0.25">
      <c r="A3199" s="26" t="str">
        <f t="shared" si="540"/>
        <v>PRIMARIA</v>
      </c>
      <c r="B3199" s="26" t="str">
        <f>"09PPR1814V"</f>
        <v>09PPR1814V</v>
      </c>
      <c r="C3199" s="26" t="str">
        <f>"COLEGIO JURGEN HABERMAS                                                                             "</f>
        <v xml:space="preserve">COLEGIO JURGEN HABERMAS                                                                             </v>
      </c>
      <c r="D3199" s="26" t="str">
        <f t="shared" si="548"/>
        <v>MATUTINO</v>
      </c>
      <c r="E3199" s="26" t="str">
        <f>"NAZAHUALCOYOTL NO. 76                                                           "</f>
        <v xml:space="preserve">NAZAHUALCOYOTL NO. 76                                                           </v>
      </c>
      <c r="F3199" s="26" t="str">
        <f>"AJUSCO                                                                                                                                      "</f>
        <v xml:space="preserve">AJUSCO                                                                                                                                      </v>
      </c>
      <c r="G3199" s="26" t="str">
        <f>"COYOACAN                                                                        "</f>
        <v xml:space="preserve">COYOACAN                                                                        </v>
      </c>
      <c r="H3199" s="26" t="str">
        <f>"504"</f>
        <v>504</v>
      </c>
      <c r="I3199" s="26" t="str">
        <f t="shared" si="542"/>
        <v>00</v>
      </c>
      <c r="J3199" s="26" t="str">
        <f>"45 "</f>
        <v xml:space="preserve">45 </v>
      </c>
      <c r="K3199" s="26" t="str">
        <f t="shared" si="553"/>
        <v>PR</v>
      </c>
      <c r="L3199" s="26" t="str">
        <f t="shared" si="554"/>
        <v>DGOSE</v>
      </c>
      <c r="M3199" s="26" t="str">
        <f t="shared" si="545"/>
        <v>PARTICULAR</v>
      </c>
      <c r="N3199" s="26">
        <v>94</v>
      </c>
      <c r="O3199" s="26">
        <v>44</v>
      </c>
      <c r="P3199" s="26">
        <v>50</v>
      </c>
      <c r="Q3199" s="26">
        <v>6</v>
      </c>
      <c r="R3199" s="26">
        <v>1</v>
      </c>
      <c r="S3199" s="26">
        <v>5</v>
      </c>
      <c r="T3199" s="26">
        <v>8</v>
      </c>
      <c r="U3199" s="26">
        <v>14</v>
      </c>
      <c r="V3199" s="26">
        <v>1</v>
      </c>
      <c r="W3199" s="26"/>
    </row>
    <row r="3200" spans="1:23" x14ac:dyDescent="0.25">
      <c r="A3200" s="26" t="str">
        <f t="shared" si="540"/>
        <v>PRIMARIA</v>
      </c>
      <c r="B3200" s="26" t="str">
        <f>"09PPR1815U"</f>
        <v>09PPR1815U</v>
      </c>
      <c r="C3200" s="26" t="str">
        <f>"""COLEGIO KOKONE""                                                                                    "</f>
        <v xml:space="preserve">"COLEGIO KOKONE"                                                                                    </v>
      </c>
      <c r="D3200" s="26" t="str">
        <f t="shared" si="548"/>
        <v>MATUTINO</v>
      </c>
      <c r="E3200" s="26" t="str">
        <f>"GLADIOLAS NO 8                                                                  "</f>
        <v xml:space="preserve">GLADIOLAS NO 8                                                                  </v>
      </c>
      <c r="F3200" s="26" t="str">
        <f>"EJIDOS SAN PEDRO MARTIR                                                                                                                     "</f>
        <v xml:space="preserve">EJIDOS SAN PEDRO MARTIR                                                                                                                     </v>
      </c>
      <c r="G3200" s="26" t="str">
        <f>"TLALPAN                                                                         "</f>
        <v xml:space="preserve">TLALPAN                                                                         </v>
      </c>
      <c r="H3200" s="26" t="str">
        <f>"527"</f>
        <v>527</v>
      </c>
      <c r="I3200" s="26" t="str">
        <f t="shared" si="542"/>
        <v>00</v>
      </c>
      <c r="J3200" s="26" t="str">
        <f>"45 "</f>
        <v xml:space="preserve">45 </v>
      </c>
      <c r="K3200" s="26" t="str">
        <f t="shared" si="553"/>
        <v>PR</v>
      </c>
      <c r="L3200" s="26" t="str">
        <f t="shared" si="554"/>
        <v>DGOSE</v>
      </c>
      <c r="M3200" s="26" t="str">
        <f t="shared" si="545"/>
        <v>PARTICULAR</v>
      </c>
      <c r="N3200" s="26">
        <v>42</v>
      </c>
      <c r="O3200" s="26">
        <v>24</v>
      </c>
      <c r="P3200" s="26">
        <v>18</v>
      </c>
      <c r="Q3200" s="26">
        <v>6</v>
      </c>
      <c r="R3200" s="26">
        <v>1</v>
      </c>
      <c r="S3200" s="26">
        <v>2</v>
      </c>
      <c r="T3200" s="26">
        <v>3</v>
      </c>
      <c r="U3200" s="26">
        <v>6</v>
      </c>
      <c r="V3200" s="26">
        <v>1</v>
      </c>
      <c r="W3200" s="26"/>
    </row>
    <row r="3201" spans="1:23" x14ac:dyDescent="0.25">
      <c r="A3201" s="26" t="str">
        <f t="shared" si="540"/>
        <v>PRIMARIA</v>
      </c>
      <c r="B3201" s="26" t="str">
        <f>"09PPR1816T"</f>
        <v>09PPR1816T</v>
      </c>
      <c r="C3201" s="26" t="str">
        <f>"""INSTITUTO PEDAGOGICO GISELLE""                                                                      "</f>
        <v xml:space="preserve">"INSTITUTO PEDAGOGICO GISELLE"                                                                      </v>
      </c>
      <c r="D3201" s="26" t="str">
        <f t="shared" si="548"/>
        <v>MATUTINO</v>
      </c>
      <c r="E3201" s="26" t="str">
        <f>"AVENIDA TLAHUAC NUMERO 6121                                                     "</f>
        <v xml:space="preserve">AVENIDA TLAHUAC NUMERO 6121                                                     </v>
      </c>
      <c r="F3201" s="26" t="str">
        <f>"MIGUEL HIDALGO                                                                                                                              "</f>
        <v xml:space="preserve">MIGUEL HIDALGO                                                                                                                              </v>
      </c>
      <c r="G3201" s="26" t="str">
        <f>"TLAHUAC                                                                         "</f>
        <v xml:space="preserve">TLAHUAC                                                                         </v>
      </c>
      <c r="H3201" s="26" t="str">
        <f>"552"</f>
        <v>552</v>
      </c>
      <c r="I3201" s="26" t="str">
        <f t="shared" si="542"/>
        <v>00</v>
      </c>
      <c r="J3201" s="26" t="str">
        <f>"45 "</f>
        <v xml:space="preserve">45 </v>
      </c>
      <c r="K3201" s="26" t="str">
        <f t="shared" si="553"/>
        <v>PR</v>
      </c>
      <c r="L3201" s="26" t="str">
        <f t="shared" si="554"/>
        <v>DGOSE</v>
      </c>
      <c r="M3201" s="26" t="str">
        <f t="shared" si="545"/>
        <v>PARTICULAR</v>
      </c>
      <c r="N3201" s="26">
        <v>72</v>
      </c>
      <c r="O3201" s="26">
        <v>39</v>
      </c>
      <c r="P3201" s="26">
        <v>33</v>
      </c>
      <c r="Q3201" s="26">
        <v>6</v>
      </c>
      <c r="R3201" s="26">
        <v>1</v>
      </c>
      <c r="S3201" s="26">
        <v>6</v>
      </c>
      <c r="T3201" s="26">
        <v>5</v>
      </c>
      <c r="U3201" s="26">
        <v>12</v>
      </c>
      <c r="V3201" s="26">
        <v>1</v>
      </c>
      <c r="W3201" s="26"/>
    </row>
    <row r="3202" spans="1:23" x14ac:dyDescent="0.25">
      <c r="A3202" s="26" t="str">
        <f t="shared" ref="A3202:A3248" si="555">"PRIMARIA"</f>
        <v>PRIMARIA</v>
      </c>
      <c r="B3202" s="26" t="str">
        <f>"09PPR1817S"</f>
        <v>09PPR1817S</v>
      </c>
      <c r="C3202" s="26" t="str">
        <f>"""COLEGIO MODERNO WINDSOR""                                                                           "</f>
        <v xml:space="preserve">"COLEGIO MODERNO WINDSOR"                                                                           </v>
      </c>
      <c r="D3202" s="26" t="str">
        <f t="shared" si="548"/>
        <v>MATUTINO</v>
      </c>
      <c r="E3202" s="26" t="str">
        <f>"AVENIDA PEDRO ENRIQUEZ UREÑA (EJE 10 SUR) NO 681                                "</f>
        <v xml:space="preserve">AVENIDA PEDRO ENRIQUEZ UREÑA (EJE 10 SUR) NO 681                                </v>
      </c>
      <c r="F3202" s="26" t="str">
        <f>"LOS REYES                                                                                                                                   "</f>
        <v xml:space="preserve">LOS REYES                                                                                                                                   </v>
      </c>
      <c r="G3202" s="26" t="str">
        <f>"COYOACAN                                                                        "</f>
        <v xml:space="preserve">COYOACAN                                                                        </v>
      </c>
      <c r="H3202" s="26" t="str">
        <f>"566"</f>
        <v>566</v>
      </c>
      <c r="I3202" s="26" t="str">
        <f t="shared" ref="I3202:I3209" si="556">"00"</f>
        <v>00</v>
      </c>
      <c r="J3202" s="26" t="str">
        <f>"45 "</f>
        <v xml:space="preserve">45 </v>
      </c>
      <c r="K3202" s="26" t="str">
        <f t="shared" si="553"/>
        <v>PR</v>
      </c>
      <c r="L3202" s="26" t="str">
        <f t="shared" si="554"/>
        <v>DGOSE</v>
      </c>
      <c r="M3202" s="26" t="str">
        <f t="shared" si="545"/>
        <v>PARTICULAR</v>
      </c>
      <c r="N3202" s="26">
        <v>403</v>
      </c>
      <c r="O3202" s="26">
        <v>206</v>
      </c>
      <c r="P3202" s="26">
        <v>197</v>
      </c>
      <c r="Q3202" s="26">
        <v>18</v>
      </c>
      <c r="R3202" s="26">
        <v>1</v>
      </c>
      <c r="S3202" s="26">
        <v>9</v>
      </c>
      <c r="T3202" s="26">
        <v>24</v>
      </c>
      <c r="U3202" s="26">
        <v>34</v>
      </c>
      <c r="V3202" s="26">
        <v>1</v>
      </c>
      <c r="W3202" s="26"/>
    </row>
    <row r="3203" spans="1:23" x14ac:dyDescent="0.25">
      <c r="A3203" s="26" t="str">
        <f t="shared" si="555"/>
        <v>PRIMARIA</v>
      </c>
      <c r="B3203" s="26" t="str">
        <f>"09PPR1818R"</f>
        <v>09PPR1818R</v>
      </c>
      <c r="C3203" s="26" t="str">
        <f>"COLEGIO DIEGO RIVERA                                                                                "</f>
        <v xml:space="preserve">COLEGIO DIEGO RIVERA                                                                                </v>
      </c>
      <c r="D3203" s="26" t="str">
        <f t="shared" si="548"/>
        <v>MATUTINO</v>
      </c>
      <c r="E3203" s="26" t="str">
        <f>"ROSA REINA No 31                                                                "</f>
        <v xml:space="preserve">ROSA REINA No 31                                                                </v>
      </c>
      <c r="F3203" s="26" t="str">
        <f>"MOLINO DE ROSAS                                                                                                                             "</f>
        <v xml:space="preserve">MOLINO DE ROSAS                                                                                                                             </v>
      </c>
      <c r="G3203" s="26" t="str">
        <f>"ALVARO OBREGON                                                                  "</f>
        <v xml:space="preserve">ALVARO OBREGON                                                                  </v>
      </c>
      <c r="H3203" s="26" t="str">
        <f>"313"</f>
        <v>313</v>
      </c>
      <c r="I3203" s="26" t="str">
        <f t="shared" si="556"/>
        <v>00</v>
      </c>
      <c r="J3203" s="26" t="str">
        <f>"43 "</f>
        <v xml:space="preserve">43 </v>
      </c>
      <c r="K3203" s="26" t="str">
        <f t="shared" si="553"/>
        <v>PR</v>
      </c>
      <c r="L3203" s="26" t="str">
        <f t="shared" si="554"/>
        <v>DGOSE</v>
      </c>
      <c r="M3203" s="26" t="str">
        <f t="shared" si="545"/>
        <v>PARTICULAR</v>
      </c>
      <c r="N3203" s="26">
        <v>73</v>
      </c>
      <c r="O3203" s="26">
        <v>38</v>
      </c>
      <c r="P3203" s="26">
        <v>35</v>
      </c>
      <c r="Q3203" s="26">
        <v>6</v>
      </c>
      <c r="R3203" s="26">
        <v>1</v>
      </c>
      <c r="S3203" s="26">
        <v>6</v>
      </c>
      <c r="T3203" s="26">
        <v>6</v>
      </c>
      <c r="U3203" s="26">
        <v>13</v>
      </c>
      <c r="V3203" s="26">
        <v>1</v>
      </c>
      <c r="W3203" s="26"/>
    </row>
    <row r="3204" spans="1:23" x14ac:dyDescent="0.25">
      <c r="A3204" s="26" t="str">
        <f t="shared" si="555"/>
        <v>PRIMARIA</v>
      </c>
      <c r="B3204" s="26" t="str">
        <f>"09PPR1819Q"</f>
        <v>09PPR1819Q</v>
      </c>
      <c r="C3204" s="26" t="str">
        <f>"""LICEO IBÉRICO AMERICANO DE COYOACÁN""                                                               "</f>
        <v xml:space="preserve">"LICEO IBÉRICO AMERICANO DE COYOACÁN"                                                               </v>
      </c>
      <c r="D3204" s="26" t="str">
        <f t="shared" si="548"/>
        <v>MATUTINO</v>
      </c>
      <c r="E3204" s="26" t="str">
        <f>"CALLE EJIDO DE SANTA MARIA TICOMAN NO 17                                        "</f>
        <v xml:space="preserve">CALLE EJIDO DE SANTA MARIA TICOMAN NO 17                                        </v>
      </c>
      <c r="F3204" s="26" t="str">
        <f>"SAN FRANCISCO CULHUACAN EJIDO                                                                                                               "</f>
        <v xml:space="preserve">SAN FRANCISCO CULHUACAN EJIDO                                                                                                               </v>
      </c>
      <c r="G3204" s="26" t="str">
        <f>"COYOACAN                                                                        "</f>
        <v xml:space="preserve">COYOACAN                                                                        </v>
      </c>
      <c r="H3204" s="26" t="str">
        <f>"508"</f>
        <v>508</v>
      </c>
      <c r="I3204" s="26" t="str">
        <f t="shared" si="556"/>
        <v>00</v>
      </c>
      <c r="J3204" s="26" t="str">
        <f>"45 "</f>
        <v xml:space="preserve">45 </v>
      </c>
      <c r="K3204" s="26" t="str">
        <f t="shared" si="553"/>
        <v>PR</v>
      </c>
      <c r="L3204" s="26" t="str">
        <f t="shared" si="554"/>
        <v>DGOSE</v>
      </c>
      <c r="M3204" s="26" t="str">
        <f t="shared" si="545"/>
        <v>PARTICULAR</v>
      </c>
      <c r="N3204" s="26">
        <v>87</v>
      </c>
      <c r="O3204" s="26">
        <v>42</v>
      </c>
      <c r="P3204" s="26">
        <v>45</v>
      </c>
      <c r="Q3204" s="26">
        <v>6</v>
      </c>
      <c r="R3204" s="26">
        <v>1</v>
      </c>
      <c r="S3204" s="26">
        <v>3</v>
      </c>
      <c r="T3204" s="26">
        <v>11</v>
      </c>
      <c r="U3204" s="26">
        <v>15</v>
      </c>
      <c r="V3204" s="26">
        <v>1</v>
      </c>
      <c r="W3204" s="26"/>
    </row>
    <row r="3205" spans="1:23" x14ac:dyDescent="0.25">
      <c r="A3205" s="26" t="str">
        <f t="shared" si="555"/>
        <v>PRIMARIA</v>
      </c>
      <c r="B3205" s="26" t="str">
        <f>"09PPR1820F"</f>
        <v>09PPR1820F</v>
      </c>
      <c r="C3205" s="26" t="str">
        <f>"""YEETEL TIN""                                                                                        "</f>
        <v xml:space="preserve">"YEETEL TIN"                                                                                        </v>
      </c>
      <c r="D3205" s="26" t="str">
        <f t="shared" si="548"/>
        <v>MATUTINO</v>
      </c>
      <c r="E3205" s="26" t="str">
        <f>"PERA VERDIÑAL NO 149                                                            "</f>
        <v xml:space="preserve">PERA VERDIÑAL NO 149                                                            </v>
      </c>
      <c r="F3205" s="26" t="str">
        <f>"PASEOS DEL SUR                                                                                                                              "</f>
        <v xml:space="preserve">PASEOS DEL SUR                                                                                                                              </v>
      </c>
      <c r="G3205" s="26" t="str">
        <f>"XOCHIMILCO                                                                      "</f>
        <v xml:space="preserve">XOCHIMILCO                                                                      </v>
      </c>
      <c r="H3205" s="26" t="str">
        <f>"534"</f>
        <v>534</v>
      </c>
      <c r="I3205" s="26" t="str">
        <f t="shared" si="556"/>
        <v>00</v>
      </c>
      <c r="J3205" s="26" t="str">
        <f>"45 "</f>
        <v xml:space="preserve">45 </v>
      </c>
      <c r="K3205" s="26" t="str">
        <f t="shared" si="553"/>
        <v>PR</v>
      </c>
      <c r="L3205" s="26" t="str">
        <f t="shared" si="554"/>
        <v>DGOSE</v>
      </c>
      <c r="M3205" s="26" t="str">
        <f t="shared" si="545"/>
        <v>PARTICULAR</v>
      </c>
      <c r="N3205" s="26">
        <v>11</v>
      </c>
      <c r="O3205" s="26">
        <v>8</v>
      </c>
      <c r="P3205" s="26">
        <v>3</v>
      </c>
      <c r="Q3205" s="26">
        <v>4</v>
      </c>
      <c r="R3205" s="26">
        <v>1</v>
      </c>
      <c r="S3205" s="26">
        <v>2</v>
      </c>
      <c r="T3205" s="26">
        <v>5</v>
      </c>
      <c r="U3205" s="26">
        <v>8</v>
      </c>
      <c r="V3205" s="26">
        <v>1</v>
      </c>
      <c r="W3205" s="26"/>
    </row>
    <row r="3206" spans="1:23" x14ac:dyDescent="0.25">
      <c r="A3206" s="26" t="str">
        <f t="shared" si="555"/>
        <v>PRIMARIA</v>
      </c>
      <c r="B3206" s="26" t="str">
        <f>"09PPR1821E"</f>
        <v>09PPR1821E</v>
      </c>
      <c r="C3206" s="26" t="str">
        <f>"COLEGIO LUXEMBURGO DE MEXICO                                                                        "</f>
        <v xml:space="preserve">COLEGIO LUXEMBURGO DE MEXICO                                                                        </v>
      </c>
      <c r="D3206" s="26" t="str">
        <f t="shared" si="548"/>
        <v>MATUTINO</v>
      </c>
      <c r="E3206" s="26" t="str">
        <f>"CASCADA NO. 708                                                                 "</f>
        <v xml:space="preserve">CASCADA NO. 708                                                                 </v>
      </c>
      <c r="F3206" s="26" t="str">
        <f>"BANJIDAL                                                                                                                                    "</f>
        <v xml:space="preserve">BANJIDAL                                                                                                                                    </v>
      </c>
      <c r="G3206" s="26" t="str">
        <f>"IZTAPALAPA                                                                      "</f>
        <v xml:space="preserve">IZTAPALAPA                                                                      </v>
      </c>
      <c r="H3206" s="26" t="str">
        <f>"000"</f>
        <v>000</v>
      </c>
      <c r="I3206" s="26" t="str">
        <f t="shared" si="556"/>
        <v>00</v>
      </c>
      <c r="J3206" s="26" t="str">
        <f>"61 "</f>
        <v xml:space="preserve">61 </v>
      </c>
      <c r="K3206" s="26" t="str">
        <f>"IZ"</f>
        <v>IZ</v>
      </c>
      <c r="L3206" s="26" t="str">
        <f>"DGSEI"</f>
        <v>DGSEI</v>
      </c>
      <c r="M3206" s="26" t="str">
        <f t="shared" si="545"/>
        <v>PARTICULAR</v>
      </c>
      <c r="N3206" s="26">
        <v>25</v>
      </c>
      <c r="O3206" s="26">
        <v>11</v>
      </c>
      <c r="P3206" s="26">
        <v>14</v>
      </c>
      <c r="Q3206" s="26">
        <v>3</v>
      </c>
      <c r="R3206" s="26">
        <v>1</v>
      </c>
      <c r="S3206" s="26">
        <v>1</v>
      </c>
      <c r="T3206" s="26">
        <v>1</v>
      </c>
      <c r="U3206" s="26">
        <v>3</v>
      </c>
      <c r="V3206" s="26">
        <v>1</v>
      </c>
      <c r="W3206" s="26"/>
    </row>
    <row r="3207" spans="1:23" x14ac:dyDescent="0.25">
      <c r="A3207" s="26" t="str">
        <f t="shared" si="555"/>
        <v>PRIMARIA</v>
      </c>
      <c r="B3207" s="26" t="str">
        <f>"09PPR1822B"</f>
        <v>09PPR1822B</v>
      </c>
      <c r="C3207" s="26" t="str">
        <f>"""PRIMARIA GALES""                                                                                    "</f>
        <v xml:space="preserve">"PRIMARIA GALES"                                                                                    </v>
      </c>
      <c r="D3207" s="26" t="str">
        <f t="shared" si="548"/>
        <v>MATUTINO</v>
      </c>
      <c r="E3207" s="26" t="str">
        <f>"CALLE 14 NUM 115                                                                "</f>
        <v xml:space="preserve">CALLE 14 NUM 115                                                                </v>
      </c>
      <c r="F3207" s="26" t="str">
        <f>"PROGRESO NACIONAL                                                                                                                           "</f>
        <v xml:space="preserve">PROGRESO NACIONAL                                                                                                                           </v>
      </c>
      <c r="G3207" s="26" t="str">
        <f>"GUSTAVO A. MADERO                                                               "</f>
        <v xml:space="preserve">GUSTAVO A. MADERO                                                               </v>
      </c>
      <c r="H3207" s="26" t="str">
        <f>"238"</f>
        <v>238</v>
      </c>
      <c r="I3207" s="26" t="str">
        <f t="shared" si="556"/>
        <v>00</v>
      </c>
      <c r="J3207" s="26" t="str">
        <f>"42 "</f>
        <v xml:space="preserve">42 </v>
      </c>
      <c r="K3207" s="26" t="str">
        <f>"PR"</f>
        <v>PR</v>
      </c>
      <c r="L3207" s="26" t="str">
        <f>"DGOSE"</f>
        <v>DGOSE</v>
      </c>
      <c r="M3207" s="26" t="str">
        <f t="shared" si="545"/>
        <v>PARTICULAR</v>
      </c>
      <c r="N3207" s="26">
        <v>97</v>
      </c>
      <c r="O3207" s="26">
        <v>52</v>
      </c>
      <c r="P3207" s="26">
        <v>45</v>
      </c>
      <c r="Q3207" s="26">
        <v>6</v>
      </c>
      <c r="R3207" s="26">
        <v>1</v>
      </c>
      <c r="S3207" s="26">
        <v>6</v>
      </c>
      <c r="T3207" s="26">
        <v>3</v>
      </c>
      <c r="U3207" s="26">
        <v>10</v>
      </c>
      <c r="V3207" s="26">
        <v>1</v>
      </c>
      <c r="W3207" s="26"/>
    </row>
    <row r="3208" spans="1:23" x14ac:dyDescent="0.25">
      <c r="A3208" s="26" t="str">
        <f t="shared" si="555"/>
        <v>PRIMARIA</v>
      </c>
      <c r="B3208" s="26" t="str">
        <f>"09PPR1823C"</f>
        <v>09PPR1823C</v>
      </c>
      <c r="C3208" s="26" t="str">
        <f>"COLEGIO ZENTLI                                                                                      "</f>
        <v xml:space="preserve">COLEGIO ZENTLI                                                                                      </v>
      </c>
      <c r="D3208" s="26" t="str">
        <f t="shared" si="548"/>
        <v>MATUTINO</v>
      </c>
      <c r="E3208" s="26" t="str">
        <f>"CALLE VOLCAN AJUSCO                                                             "</f>
        <v xml:space="preserve">CALLE VOLCAN AJUSCO                                                             </v>
      </c>
      <c r="F3208" s="26" t="str">
        <f>"LOS VOLCANES                                                                                                                                "</f>
        <v xml:space="preserve">LOS VOLCANES                                                                                                                                </v>
      </c>
      <c r="G3208" s="26" t="str">
        <f>"TLALPAN                                                                         "</f>
        <v xml:space="preserve">TLALPAN                                                                         </v>
      </c>
      <c r="H3208" s="26" t="str">
        <f>"522"</f>
        <v>522</v>
      </c>
      <c r="I3208" s="26" t="str">
        <f t="shared" si="556"/>
        <v>00</v>
      </c>
      <c r="J3208" s="26" t="str">
        <f>"45 "</f>
        <v xml:space="preserve">45 </v>
      </c>
      <c r="K3208" s="26" t="str">
        <f>"PR"</f>
        <v>PR</v>
      </c>
      <c r="L3208" s="26" t="str">
        <f>"DGOSE"</f>
        <v>DGOSE</v>
      </c>
      <c r="M3208" s="26" t="str">
        <f t="shared" si="545"/>
        <v>PARTICULAR</v>
      </c>
      <c r="N3208" s="26">
        <v>117</v>
      </c>
      <c r="O3208" s="26">
        <v>64</v>
      </c>
      <c r="P3208" s="26">
        <v>53</v>
      </c>
      <c r="Q3208" s="26">
        <v>6</v>
      </c>
      <c r="R3208" s="26">
        <v>1</v>
      </c>
      <c r="S3208" s="26">
        <v>4</v>
      </c>
      <c r="T3208" s="26">
        <v>8</v>
      </c>
      <c r="U3208" s="26">
        <v>13</v>
      </c>
      <c r="V3208" s="26">
        <v>1</v>
      </c>
      <c r="W3208" s="26"/>
    </row>
    <row r="3209" spans="1:23" x14ac:dyDescent="0.25">
      <c r="A3209" s="26" t="str">
        <f t="shared" si="555"/>
        <v>PRIMARIA</v>
      </c>
      <c r="B3209" s="26" t="str">
        <f>"09PPR1824B"</f>
        <v>09PPR1824B</v>
      </c>
      <c r="C3209" s="26" t="str">
        <f>"VICTORIA COLLEGE                                                                                    "</f>
        <v xml:space="preserve">VICTORIA COLLEGE                                                                                    </v>
      </c>
      <c r="D3209" s="26" t="str">
        <f t="shared" si="548"/>
        <v>MATUTINO</v>
      </c>
      <c r="E3209" s="26" t="str">
        <f>"AVENIDA LA TURBA                                                                "</f>
        <v xml:space="preserve">AVENIDA LA TURBA                                                                </v>
      </c>
      <c r="F3209" s="26" t="str">
        <f>"GRANJAS CABRERA                                                                                                                             "</f>
        <v xml:space="preserve">GRANJAS CABRERA                                                                                                                             </v>
      </c>
      <c r="G3209" s="26" t="str">
        <f>"TLAHUAC                                                                         "</f>
        <v xml:space="preserve">TLAHUAC                                                                         </v>
      </c>
      <c r="H3209" s="26" t="str">
        <f>"549"</f>
        <v>549</v>
      </c>
      <c r="I3209" s="26" t="str">
        <f t="shared" si="556"/>
        <v>00</v>
      </c>
      <c r="J3209" s="26" t="str">
        <f>"45 "</f>
        <v xml:space="preserve">45 </v>
      </c>
      <c r="K3209" s="26" t="str">
        <f>"PR"</f>
        <v>PR</v>
      </c>
      <c r="L3209" s="26" t="str">
        <f>"DGOSE"</f>
        <v>DGOSE</v>
      </c>
      <c r="M3209" s="26" t="str">
        <f t="shared" si="545"/>
        <v>PARTICULAR</v>
      </c>
      <c r="N3209" s="26">
        <v>77</v>
      </c>
      <c r="O3209" s="26">
        <v>37</v>
      </c>
      <c r="P3209" s="26">
        <v>40</v>
      </c>
      <c r="Q3209" s="26">
        <v>6</v>
      </c>
      <c r="R3209" s="26">
        <v>1</v>
      </c>
      <c r="S3209" s="26">
        <v>6</v>
      </c>
      <c r="T3209" s="26">
        <v>7</v>
      </c>
      <c r="U3209" s="26">
        <v>14</v>
      </c>
      <c r="V3209" s="26">
        <v>1</v>
      </c>
      <c r="W3209" s="26"/>
    </row>
    <row r="3210" spans="1:23" x14ac:dyDescent="0.25">
      <c r="A3210" s="26" t="str">
        <f t="shared" si="555"/>
        <v>PRIMARIA</v>
      </c>
      <c r="B3210" s="26" t="str">
        <f>"09PPR1825A"</f>
        <v>09PPR1825A</v>
      </c>
      <c r="C3210" s="26" t="str">
        <f>"INSTITUTO MERLOS                                                                                    "</f>
        <v xml:space="preserve">INSTITUTO MERLOS                                                                                    </v>
      </c>
      <c r="D3210" s="26" t="str">
        <f t="shared" si="548"/>
        <v>MATUTINO</v>
      </c>
      <c r="E3210" s="26" t="str">
        <f>"PRIV. DE LA MANZANA NO. 491                                                     "</f>
        <v xml:space="preserve">PRIV. DE LA MANZANA NO. 491                                                     </v>
      </c>
      <c r="F3210" s="26" t="str">
        <f>"VALLE DEL SUR                                                                                                                               "</f>
        <v xml:space="preserve">VALLE DEL SUR                                                                                                                               </v>
      </c>
      <c r="G3210" s="26" t="str">
        <f>"IZTAPALAPA                                                                      "</f>
        <v xml:space="preserve">IZTAPALAPA                                                                      </v>
      </c>
      <c r="H3210" s="26" t="str">
        <f>"000"</f>
        <v>000</v>
      </c>
      <c r="I3210" s="26" t="str">
        <f>"  "</f>
        <v xml:space="preserve">  </v>
      </c>
      <c r="J3210" s="26" t="str">
        <f>"61 "</f>
        <v xml:space="preserve">61 </v>
      </c>
      <c r="K3210" s="26" t="str">
        <f>"IZ"</f>
        <v>IZ</v>
      </c>
      <c r="L3210" s="26" t="str">
        <f>"DGSEI"</f>
        <v>DGSEI</v>
      </c>
      <c r="M3210" s="26" t="str">
        <f t="shared" si="545"/>
        <v>PARTICULAR</v>
      </c>
      <c r="N3210" s="26">
        <v>53</v>
      </c>
      <c r="O3210" s="26">
        <v>30</v>
      </c>
      <c r="P3210" s="26">
        <v>23</v>
      </c>
      <c r="Q3210" s="26">
        <v>6</v>
      </c>
      <c r="R3210" s="26">
        <v>1</v>
      </c>
      <c r="S3210" s="26">
        <v>3</v>
      </c>
      <c r="T3210" s="26">
        <v>5</v>
      </c>
      <c r="U3210" s="26">
        <v>9</v>
      </c>
      <c r="V3210" s="26">
        <v>1</v>
      </c>
      <c r="W3210" s="26"/>
    </row>
    <row r="3211" spans="1:23" x14ac:dyDescent="0.25">
      <c r="A3211" s="26" t="str">
        <f t="shared" si="555"/>
        <v>PRIMARIA</v>
      </c>
      <c r="B3211" s="26" t="str">
        <f>"09PPR1826Z"</f>
        <v>09PPR1826Z</v>
      </c>
      <c r="C3211" s="26" t="str">
        <f>"COLEGIO AGAPE                                                                                       "</f>
        <v xml:space="preserve">COLEGIO AGAPE                                                                                       </v>
      </c>
      <c r="D3211" s="26" t="str">
        <f t="shared" si="548"/>
        <v>MATUTINO</v>
      </c>
      <c r="E3211" s="26" t="str">
        <f>"AV. MORELOS S/N MZ. 1 LT. 11                                                    "</f>
        <v xml:space="preserve">AV. MORELOS S/N MZ. 1 LT. 11                                                    </v>
      </c>
      <c r="F3211" s="26" t="str">
        <f>"VALLE DE LUCES                                                                                                                              "</f>
        <v xml:space="preserve">VALLE DE LUCES                                                                                                                              </v>
      </c>
      <c r="G3211" s="26" t="str">
        <f>"IZTAPALAPA                                                                      "</f>
        <v xml:space="preserve">IZTAPALAPA                                                                      </v>
      </c>
      <c r="H3211" s="26" t="str">
        <f>"   "</f>
        <v xml:space="preserve">   </v>
      </c>
      <c r="I3211" s="26" t="str">
        <f>"  "</f>
        <v xml:space="preserve">  </v>
      </c>
      <c r="J3211" s="26" t="str">
        <f>"61 "</f>
        <v xml:space="preserve">61 </v>
      </c>
      <c r="K3211" s="26" t="str">
        <f>"IZ"</f>
        <v>IZ</v>
      </c>
      <c r="L3211" s="26" t="str">
        <f>"DGSEI"</f>
        <v>DGSEI</v>
      </c>
      <c r="M3211" s="26" t="str">
        <f t="shared" si="545"/>
        <v>PARTICULAR</v>
      </c>
      <c r="N3211" s="26">
        <v>18</v>
      </c>
      <c r="O3211" s="26">
        <v>8</v>
      </c>
      <c r="P3211" s="26">
        <v>10</v>
      </c>
      <c r="Q3211" s="26">
        <v>4</v>
      </c>
      <c r="R3211" s="26">
        <v>1</v>
      </c>
      <c r="S3211" s="26">
        <v>3</v>
      </c>
      <c r="T3211" s="26">
        <v>3</v>
      </c>
      <c r="U3211" s="26">
        <v>7</v>
      </c>
      <c r="V3211" s="26">
        <v>1</v>
      </c>
      <c r="W3211" s="26"/>
    </row>
    <row r="3212" spans="1:23" x14ac:dyDescent="0.25">
      <c r="A3212" s="26" t="str">
        <f t="shared" si="555"/>
        <v>PRIMARIA</v>
      </c>
      <c r="B3212" s="26" t="str">
        <f>"09PPR1828Y"</f>
        <v>09PPR1828Y</v>
      </c>
      <c r="C3212" s="26" t="str">
        <f>"COLEGIO J M LONDRES                                                                                 "</f>
        <v xml:space="preserve">COLEGIO J M LONDRES                                                                                 </v>
      </c>
      <c r="D3212" s="26" t="str">
        <f t="shared" si="548"/>
        <v>MATUTINO</v>
      </c>
      <c r="E3212" s="26" t="str">
        <f>"CANTON NUM. 139                                                                 "</f>
        <v xml:space="preserve">CANTON NUM. 139                                                                 </v>
      </c>
      <c r="F3212" s="26" t="str">
        <f>"ROMERO RUBIO                                                                                                                                "</f>
        <v xml:space="preserve">ROMERO RUBIO                                                                                                                                </v>
      </c>
      <c r="G3212" s="26" t="str">
        <f>"VENUSTIANO CARRANZA                                                             "</f>
        <v xml:space="preserve">VENUSTIANO CARRANZA                                                             </v>
      </c>
      <c r="H3212" s="26" t="str">
        <f>"344"</f>
        <v>344</v>
      </c>
      <c r="I3212" s="26" t="str">
        <f t="shared" ref="I3212:I3224" si="557">"00"</f>
        <v>00</v>
      </c>
      <c r="J3212" s="26" t="str">
        <f>"43 "</f>
        <v xml:space="preserve">43 </v>
      </c>
      <c r="K3212" s="26" t="str">
        <f t="shared" ref="K3212:K3224" si="558">"PR"</f>
        <v>PR</v>
      </c>
      <c r="L3212" s="26" t="str">
        <f t="shared" ref="L3212:L3224" si="559">"DGOSE"</f>
        <v>DGOSE</v>
      </c>
      <c r="M3212" s="26" t="str">
        <f t="shared" si="545"/>
        <v>PARTICULAR</v>
      </c>
      <c r="N3212" s="26">
        <v>239</v>
      </c>
      <c r="O3212" s="26">
        <v>112</v>
      </c>
      <c r="P3212" s="26">
        <v>127</v>
      </c>
      <c r="Q3212" s="26">
        <v>9</v>
      </c>
      <c r="R3212" s="26">
        <v>1</v>
      </c>
      <c r="S3212" s="26">
        <v>6</v>
      </c>
      <c r="T3212" s="26">
        <v>8</v>
      </c>
      <c r="U3212" s="26">
        <v>15</v>
      </c>
      <c r="V3212" s="26">
        <v>1</v>
      </c>
      <c r="W3212" s="26"/>
    </row>
    <row r="3213" spans="1:23" x14ac:dyDescent="0.25">
      <c r="A3213" s="26" t="str">
        <f t="shared" si="555"/>
        <v>PRIMARIA</v>
      </c>
      <c r="B3213" s="26" t="str">
        <f>"09PPR1829X"</f>
        <v>09PPR1829X</v>
      </c>
      <c r="C3213" s="26" t="str">
        <f>"CENTRO EDUCATIVO PLAZAMIGOS                                                                         "</f>
        <v xml:space="preserve">CENTRO EDUCATIVO PLAZAMIGOS                                                                         </v>
      </c>
      <c r="D3213" s="26" t="str">
        <f t="shared" si="548"/>
        <v>MATUTINO</v>
      </c>
      <c r="E3213" s="26" t="str">
        <f>"CALZADA DE TLALPAN 793                                                          "</f>
        <v xml:space="preserve">CALZADA DE TLALPAN 793                                                          </v>
      </c>
      <c r="F3213" s="26" t="str">
        <f>"POSTAL                                                                                                                                      "</f>
        <v xml:space="preserve">POSTAL                                                                                                                                      </v>
      </c>
      <c r="G3213" s="26" t="str">
        <f>"BENITO JUAREZ                                                                   "</f>
        <v xml:space="preserve">BENITO JUAREZ                                                                   </v>
      </c>
      <c r="H3213" s="26" t="str">
        <f>"000"</f>
        <v>000</v>
      </c>
      <c r="I3213" s="26" t="str">
        <f t="shared" si="557"/>
        <v>00</v>
      </c>
      <c r="J3213" s="26" t="str">
        <f>"43 "</f>
        <v xml:space="preserve">43 </v>
      </c>
      <c r="K3213" s="26" t="str">
        <f t="shared" si="558"/>
        <v>PR</v>
      </c>
      <c r="L3213" s="26" t="str">
        <f t="shared" si="559"/>
        <v>DGOSE</v>
      </c>
      <c r="M3213" s="26" t="str">
        <f t="shared" si="545"/>
        <v>PARTICULAR</v>
      </c>
      <c r="N3213" s="26">
        <v>36</v>
      </c>
      <c r="O3213" s="26">
        <v>23</v>
      </c>
      <c r="P3213" s="26">
        <v>13</v>
      </c>
      <c r="Q3213" s="26">
        <v>6</v>
      </c>
      <c r="R3213" s="26">
        <v>1</v>
      </c>
      <c r="S3213" s="26">
        <v>3</v>
      </c>
      <c r="T3213" s="26">
        <v>5</v>
      </c>
      <c r="U3213" s="26">
        <v>9</v>
      </c>
      <c r="V3213" s="26">
        <v>1</v>
      </c>
      <c r="W3213" s="26"/>
    </row>
    <row r="3214" spans="1:23" x14ac:dyDescent="0.25">
      <c r="A3214" s="26" t="str">
        <f t="shared" si="555"/>
        <v>PRIMARIA</v>
      </c>
      <c r="B3214" s="26" t="str">
        <f>"09PPR1830M"</f>
        <v>09PPR1830M</v>
      </c>
      <c r="C3214" s="26" t="str">
        <f>"""COLEGIO GARCIA HOOTCH""                                                                             "</f>
        <v xml:space="preserve">"COLEGIO GARCIA HOOTCH"                                                                             </v>
      </c>
      <c r="D3214" s="26" t="str">
        <f t="shared" si="548"/>
        <v>MATUTINO</v>
      </c>
      <c r="E3214" s="26" t="str">
        <f>"PROLONGACION GRANATE NUM. 24                                                    "</f>
        <v xml:space="preserve">PROLONGACION GRANATE NUM. 24                                                    </v>
      </c>
      <c r="F3214" s="26" t="str">
        <f>"ESTRELLA                                                                                                                                    "</f>
        <v xml:space="preserve">ESTRELLA                                                                                                                                    </v>
      </c>
      <c r="G3214" s="26" t="str">
        <f>"GUSTAVO A. MADERO                                                               "</f>
        <v xml:space="preserve">GUSTAVO A. MADERO                                                               </v>
      </c>
      <c r="H3214" s="26" t="str">
        <f>"250"</f>
        <v>250</v>
      </c>
      <c r="I3214" s="26" t="str">
        <f t="shared" si="557"/>
        <v>00</v>
      </c>
      <c r="J3214" s="26" t="str">
        <f>"42 "</f>
        <v xml:space="preserve">42 </v>
      </c>
      <c r="K3214" s="26" t="str">
        <f t="shared" si="558"/>
        <v>PR</v>
      </c>
      <c r="L3214" s="26" t="str">
        <f t="shared" si="559"/>
        <v>DGOSE</v>
      </c>
      <c r="M3214" s="26" t="str">
        <f t="shared" si="545"/>
        <v>PARTICULAR</v>
      </c>
      <c r="N3214" s="26">
        <v>75</v>
      </c>
      <c r="O3214" s="26">
        <v>53</v>
      </c>
      <c r="P3214" s="26">
        <v>22</v>
      </c>
      <c r="Q3214" s="26">
        <v>4</v>
      </c>
      <c r="R3214" s="26">
        <v>1</v>
      </c>
      <c r="S3214" s="26">
        <v>2</v>
      </c>
      <c r="T3214" s="26">
        <v>9</v>
      </c>
      <c r="U3214" s="26">
        <v>12</v>
      </c>
      <c r="V3214" s="26">
        <v>1</v>
      </c>
      <c r="W3214" s="26"/>
    </row>
    <row r="3215" spans="1:23" x14ac:dyDescent="0.25">
      <c r="A3215" s="26" t="str">
        <f t="shared" si="555"/>
        <v>PRIMARIA</v>
      </c>
      <c r="B3215" s="26" t="str">
        <f>"09PPR1831L"</f>
        <v>09PPR1831L</v>
      </c>
      <c r="C3215" s="26" t="str">
        <f>"INSTITUTO PEDAGOGICO GANDHI                                                                         "</f>
        <v xml:space="preserve">INSTITUTO PEDAGOGICO GANDHI                                                                         </v>
      </c>
      <c r="D3215" s="26" t="str">
        <f t="shared" si="548"/>
        <v>MATUTINO</v>
      </c>
      <c r="E3215" s="26" t="str">
        <f>"AVENIDA FABIAN FLORES NUM. 141 Y 145                                            "</f>
        <v xml:space="preserve">AVENIDA FABIAN FLORES NUM. 141 Y 145                                            </v>
      </c>
      <c r="F3215" s="26" t="str">
        <f>"SAN PABLO OZTOTEPEC                                                                                                                         "</f>
        <v xml:space="preserve">SAN PABLO OZTOTEPEC                                                                                                                         </v>
      </c>
      <c r="G3215" s="26" t="str">
        <f>"MILPA ALTA                                                                      "</f>
        <v xml:space="preserve">MILPA ALTA                                                                      </v>
      </c>
      <c r="H3215" s="26" t="str">
        <f>"565"</f>
        <v>565</v>
      </c>
      <c r="I3215" s="26" t="str">
        <f t="shared" si="557"/>
        <v>00</v>
      </c>
      <c r="J3215" s="26" t="str">
        <f>"45 "</f>
        <v xml:space="preserve">45 </v>
      </c>
      <c r="K3215" s="26" t="str">
        <f t="shared" si="558"/>
        <v>PR</v>
      </c>
      <c r="L3215" s="26" t="str">
        <f t="shared" si="559"/>
        <v>DGOSE</v>
      </c>
      <c r="M3215" s="26" t="str">
        <f t="shared" si="545"/>
        <v>PARTICULAR</v>
      </c>
      <c r="N3215" s="26">
        <v>32</v>
      </c>
      <c r="O3215" s="26">
        <v>16</v>
      </c>
      <c r="P3215" s="26">
        <v>16</v>
      </c>
      <c r="Q3215" s="26">
        <v>5</v>
      </c>
      <c r="R3215" s="26">
        <v>1</v>
      </c>
      <c r="S3215" s="26">
        <v>5</v>
      </c>
      <c r="T3215" s="26">
        <v>8</v>
      </c>
      <c r="U3215" s="26">
        <v>14</v>
      </c>
      <c r="V3215" s="26">
        <v>1</v>
      </c>
      <c r="W3215" s="26"/>
    </row>
    <row r="3216" spans="1:23" x14ac:dyDescent="0.25">
      <c r="A3216" s="26" t="str">
        <f t="shared" si="555"/>
        <v>PRIMARIA</v>
      </c>
      <c r="B3216" s="26" t="str">
        <f>"09PPR1832K"</f>
        <v>09PPR1832K</v>
      </c>
      <c r="C3216" s="26" t="str">
        <f>"COLEGIO BRIDGEHILL                                                                                  "</f>
        <v xml:space="preserve">COLEGIO BRIDGEHILL                                                                                  </v>
      </c>
      <c r="D3216" s="26" t="str">
        <f t="shared" si="548"/>
        <v>MATUTINO</v>
      </c>
      <c r="E3216" s="26" t="str">
        <f>"SAN BORJA 812-A                                                                 "</f>
        <v xml:space="preserve">SAN BORJA 812-A                                                                 </v>
      </c>
      <c r="F3216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3216" s="26" t="str">
        <f>"BENITO JUAREZ                                                                   "</f>
        <v xml:space="preserve">BENITO JUAREZ                                                                   </v>
      </c>
      <c r="H3216" s="26" t="str">
        <f>"000"</f>
        <v>000</v>
      </c>
      <c r="I3216" s="26" t="str">
        <f t="shared" si="557"/>
        <v>00</v>
      </c>
      <c r="J3216" s="26" t="str">
        <f>"43 "</f>
        <v xml:space="preserve">43 </v>
      </c>
      <c r="K3216" s="26" t="str">
        <f t="shared" si="558"/>
        <v>PR</v>
      </c>
      <c r="L3216" s="26" t="str">
        <f t="shared" si="559"/>
        <v>DGOSE</v>
      </c>
      <c r="M3216" s="26" t="str">
        <f t="shared" si="545"/>
        <v>PARTICULAR</v>
      </c>
      <c r="N3216" s="26">
        <v>230</v>
      </c>
      <c r="O3216" s="26">
        <v>123</v>
      </c>
      <c r="P3216" s="26">
        <v>107</v>
      </c>
      <c r="Q3216" s="26">
        <v>10</v>
      </c>
      <c r="R3216" s="26">
        <v>1</v>
      </c>
      <c r="S3216" s="26">
        <v>6</v>
      </c>
      <c r="T3216" s="26">
        <v>18</v>
      </c>
      <c r="U3216" s="26">
        <v>25</v>
      </c>
      <c r="V3216" s="26">
        <v>1</v>
      </c>
      <c r="W3216" s="26"/>
    </row>
    <row r="3217" spans="1:23" x14ac:dyDescent="0.25">
      <c r="A3217" s="26" t="str">
        <f t="shared" si="555"/>
        <v>PRIMARIA</v>
      </c>
      <c r="B3217" s="26" t="str">
        <f>"09PPR1833J"</f>
        <v>09PPR1833J</v>
      </c>
      <c r="C3217" s="26" t="str">
        <f>"""COLEGIO BILINGÜE LONDONDERRY""                                                                      "</f>
        <v xml:space="preserve">"COLEGIO BILINGÜE LONDONDERRY"                                                                      </v>
      </c>
      <c r="D3217" s="26" t="str">
        <f t="shared" si="548"/>
        <v>MATUTINO</v>
      </c>
      <c r="E3217" s="26" t="str">
        <f>"ABASOLO NUM. 422 (ANTES 89)                                                     "</f>
        <v xml:space="preserve">ABASOLO NUM. 422 (ANTES 89)                                                     </v>
      </c>
      <c r="F3217" s="26" t="str">
        <f>"SANTA MARIA TEPEPAN                                                                                                                         "</f>
        <v xml:space="preserve">SANTA MARIA TEPEPAN                                                                                                                         </v>
      </c>
      <c r="G3217" s="26" t="str">
        <f>"XOCHIMILCO                                                                      "</f>
        <v xml:space="preserve">XOCHIMILCO                                                                      </v>
      </c>
      <c r="H3217" s="26" t="str">
        <f>"532"</f>
        <v>532</v>
      </c>
      <c r="I3217" s="26" t="str">
        <f t="shared" si="557"/>
        <v>00</v>
      </c>
      <c r="J3217" s="26" t="str">
        <f>"45 "</f>
        <v xml:space="preserve">45 </v>
      </c>
      <c r="K3217" s="26" t="str">
        <f t="shared" si="558"/>
        <v>PR</v>
      </c>
      <c r="L3217" s="26" t="str">
        <f t="shared" si="559"/>
        <v>DGOSE</v>
      </c>
      <c r="M3217" s="26" t="str">
        <f t="shared" si="545"/>
        <v>PARTICULAR</v>
      </c>
      <c r="N3217" s="26">
        <v>91</v>
      </c>
      <c r="O3217" s="26">
        <v>53</v>
      </c>
      <c r="P3217" s="26">
        <v>38</v>
      </c>
      <c r="Q3217" s="26">
        <v>6</v>
      </c>
      <c r="R3217" s="26">
        <v>1</v>
      </c>
      <c r="S3217" s="26">
        <v>3</v>
      </c>
      <c r="T3217" s="26">
        <v>5</v>
      </c>
      <c r="U3217" s="26">
        <v>9</v>
      </c>
      <c r="V3217" s="26">
        <v>1</v>
      </c>
      <c r="W3217" s="26"/>
    </row>
    <row r="3218" spans="1:23" x14ac:dyDescent="0.25">
      <c r="A3218" s="26" t="str">
        <f t="shared" si="555"/>
        <v>PRIMARIA</v>
      </c>
      <c r="B3218" s="26" t="str">
        <f>"09PPR1834I"</f>
        <v>09PPR1834I</v>
      </c>
      <c r="C3218" s="26" t="str">
        <f>"""COLEGIO BILINGÜE BRUNER-TAOMA""                                                                     "</f>
        <v xml:space="preserve">"COLEGIO BILINGÜE BRUNER-TAOMA"                                                                     </v>
      </c>
      <c r="D3218" s="26" t="str">
        <f t="shared" si="548"/>
        <v>MATUTINO</v>
      </c>
      <c r="E3218" s="26" t="str">
        <f>"CALLE PLAN DE IGUALA MANZANA 127 LOTE 18 ZONA 1                                 "</f>
        <v xml:space="preserve">CALLE PLAN DE IGUALA MANZANA 127 LOTE 18 ZONA 1                                 </v>
      </c>
      <c r="F3218" s="26" t="str">
        <f>"SAN LORENZO LA CEBADA                                                                                                                       "</f>
        <v xml:space="preserve">SAN LORENZO LA CEBADA                                                                                                                       </v>
      </c>
      <c r="G3218" s="26" t="str">
        <f>"XOCHIMILCO                                                                      "</f>
        <v xml:space="preserve">XOCHIMILCO                                                                      </v>
      </c>
      <c r="H3218" s="26" t="str">
        <f>"536"</f>
        <v>536</v>
      </c>
      <c r="I3218" s="26" t="str">
        <f t="shared" si="557"/>
        <v>00</v>
      </c>
      <c r="J3218" s="26" t="str">
        <f>"45 "</f>
        <v xml:space="preserve">45 </v>
      </c>
      <c r="K3218" s="26" t="str">
        <f t="shared" si="558"/>
        <v>PR</v>
      </c>
      <c r="L3218" s="26" t="str">
        <f t="shared" si="559"/>
        <v>DGOSE</v>
      </c>
      <c r="M3218" s="26" t="str">
        <f t="shared" ref="M3218:M3248" si="560">"PARTICULAR"</f>
        <v>PARTICULAR</v>
      </c>
      <c r="N3218" s="26">
        <v>57</v>
      </c>
      <c r="O3218" s="26">
        <v>30</v>
      </c>
      <c r="P3218" s="26">
        <v>27</v>
      </c>
      <c r="Q3218" s="26">
        <v>6</v>
      </c>
      <c r="R3218" s="26">
        <v>1</v>
      </c>
      <c r="S3218" s="26">
        <v>6</v>
      </c>
      <c r="T3218" s="26">
        <v>4</v>
      </c>
      <c r="U3218" s="26">
        <v>11</v>
      </c>
      <c r="V3218" s="26">
        <v>1</v>
      </c>
      <c r="W3218" s="26"/>
    </row>
    <row r="3219" spans="1:23" x14ac:dyDescent="0.25">
      <c r="A3219" s="26" t="str">
        <f t="shared" si="555"/>
        <v>PRIMARIA</v>
      </c>
      <c r="B3219" s="26" t="str">
        <f>"09PPR1835H"</f>
        <v>09PPR1835H</v>
      </c>
      <c r="C3219" s="26" t="str">
        <f>"""CENTRO PEDAGOGICO ANAHUAC""                                                                         "</f>
        <v xml:space="preserve">"CENTRO PEDAGOGICO ANAHUAC"                                                                         </v>
      </c>
      <c r="D3219" s="26" t="str">
        <f t="shared" si="548"/>
        <v>MATUTINO</v>
      </c>
      <c r="E3219" s="26" t="str">
        <f>"JALAPITA No 2                                                                   "</f>
        <v xml:space="preserve">JALAPITA No 2                                                                   </v>
      </c>
      <c r="F3219" s="26" t="str">
        <f>"PEDREGAL DE SANTO DOMINGO                                                                                                                   "</f>
        <v xml:space="preserve">PEDREGAL DE SANTO DOMINGO                                                                                                                   </v>
      </c>
      <c r="G3219" s="26" t="str">
        <f>"COYOACAN                                                                        "</f>
        <v xml:space="preserve">COYOACAN                                                                        </v>
      </c>
      <c r="H3219" s="26" t="str">
        <f>"501"</f>
        <v>501</v>
      </c>
      <c r="I3219" s="26" t="str">
        <f t="shared" si="557"/>
        <v>00</v>
      </c>
      <c r="J3219" s="26" t="str">
        <f>"45 "</f>
        <v xml:space="preserve">45 </v>
      </c>
      <c r="K3219" s="26" t="str">
        <f t="shared" si="558"/>
        <v>PR</v>
      </c>
      <c r="L3219" s="26" t="str">
        <f t="shared" si="559"/>
        <v>DGOSE</v>
      </c>
      <c r="M3219" s="26" t="str">
        <f t="shared" si="560"/>
        <v>PARTICULAR</v>
      </c>
      <c r="N3219" s="26">
        <v>65</v>
      </c>
      <c r="O3219" s="26">
        <v>40</v>
      </c>
      <c r="P3219" s="26">
        <v>25</v>
      </c>
      <c r="Q3219" s="26">
        <v>6</v>
      </c>
      <c r="R3219" s="26">
        <v>1</v>
      </c>
      <c r="S3219" s="26">
        <v>5</v>
      </c>
      <c r="T3219" s="26">
        <v>5</v>
      </c>
      <c r="U3219" s="26">
        <v>11</v>
      </c>
      <c r="V3219" s="26">
        <v>1</v>
      </c>
      <c r="W3219" s="26"/>
    </row>
    <row r="3220" spans="1:23" x14ac:dyDescent="0.25">
      <c r="A3220" s="26" t="str">
        <f t="shared" si="555"/>
        <v>PRIMARIA</v>
      </c>
      <c r="B3220" s="26" t="str">
        <f>"09PPR1836G"</f>
        <v>09PPR1836G</v>
      </c>
      <c r="C3220" s="26" t="str">
        <f>"""KIPPER MEXICO""                                                                                     "</f>
        <v xml:space="preserve">"KIPPER MEXICO"                                                                                     </v>
      </c>
      <c r="D3220" s="26" t="str">
        <f t="shared" si="548"/>
        <v>MATUTINO</v>
      </c>
      <c r="E3220" s="26" t="str">
        <f>"CALZADA DE ACOXPA NO 896                                                        "</f>
        <v xml:space="preserve">CALZADA DE ACOXPA NO 896                                                        </v>
      </c>
      <c r="F3220" s="26" t="str">
        <f>"VILLA COAPA                                                                                                                                 "</f>
        <v xml:space="preserve">VILLA COAPA                                                                                                                                 </v>
      </c>
      <c r="G3220" s="26" t="str">
        <f>"TLALPAN                                                                         "</f>
        <v xml:space="preserve">TLALPAN                                                                         </v>
      </c>
      <c r="H3220" s="26" t="str">
        <f>"525"</f>
        <v>525</v>
      </c>
      <c r="I3220" s="26" t="str">
        <f t="shared" si="557"/>
        <v>00</v>
      </c>
      <c r="J3220" s="26" t="str">
        <f>"45 "</f>
        <v xml:space="preserve">45 </v>
      </c>
      <c r="K3220" s="26" t="str">
        <f t="shared" si="558"/>
        <v>PR</v>
      </c>
      <c r="L3220" s="26" t="str">
        <f t="shared" si="559"/>
        <v>DGOSE</v>
      </c>
      <c r="M3220" s="26" t="str">
        <f t="shared" si="560"/>
        <v>PARTICULAR</v>
      </c>
      <c r="N3220" s="26">
        <v>42</v>
      </c>
      <c r="O3220" s="26">
        <v>24</v>
      </c>
      <c r="P3220" s="26">
        <v>18</v>
      </c>
      <c r="Q3220" s="26">
        <v>6</v>
      </c>
      <c r="R3220" s="26">
        <v>1</v>
      </c>
      <c r="S3220" s="26">
        <v>3</v>
      </c>
      <c r="T3220" s="26">
        <v>3</v>
      </c>
      <c r="U3220" s="26">
        <v>7</v>
      </c>
      <c r="V3220" s="26">
        <v>1</v>
      </c>
      <c r="W3220" s="26"/>
    </row>
    <row r="3221" spans="1:23" x14ac:dyDescent="0.25">
      <c r="A3221" s="26" t="str">
        <f t="shared" si="555"/>
        <v>PRIMARIA</v>
      </c>
      <c r="B3221" s="26" t="str">
        <f>"09PPR1837F"</f>
        <v>09PPR1837F</v>
      </c>
      <c r="C3221" s="26" t="str">
        <f>"INSTITUTO LUDI MAGISTER                                                                             "</f>
        <v xml:space="preserve">INSTITUTO LUDI MAGISTER                                                                             </v>
      </c>
      <c r="D3221" s="26" t="str">
        <f t="shared" si="548"/>
        <v>MATUTINO</v>
      </c>
      <c r="E3221" s="26" t="str">
        <f>"CALLE PLAYA REGATAS NO 391                                                      "</f>
        <v xml:space="preserve">CALLE PLAYA REGATAS NO 391                                                      </v>
      </c>
      <c r="F3221" s="26" t="str">
        <f>"REFORMA IZTACCIHUATL                                                                                                                        "</f>
        <v xml:space="preserve">REFORMA IZTACCIHUATL                                                                                                                        </v>
      </c>
      <c r="G3221" s="26" t="str">
        <f>"IZTACALCO                                                                       "</f>
        <v xml:space="preserve">IZTACALCO                                                                       </v>
      </c>
      <c r="H3221" s="26" t="str">
        <f>"363"</f>
        <v>363</v>
      </c>
      <c r="I3221" s="26" t="str">
        <f t="shared" si="557"/>
        <v>00</v>
      </c>
      <c r="J3221" s="26" t="str">
        <f>"43 "</f>
        <v xml:space="preserve">43 </v>
      </c>
      <c r="K3221" s="26" t="str">
        <f t="shared" si="558"/>
        <v>PR</v>
      </c>
      <c r="L3221" s="26" t="str">
        <f t="shared" si="559"/>
        <v>DGOSE</v>
      </c>
      <c r="M3221" s="26" t="str">
        <f t="shared" si="560"/>
        <v>PARTICULAR</v>
      </c>
      <c r="N3221" s="26">
        <v>34</v>
      </c>
      <c r="O3221" s="26">
        <v>23</v>
      </c>
      <c r="P3221" s="26">
        <v>11</v>
      </c>
      <c r="Q3221" s="26">
        <v>6</v>
      </c>
      <c r="R3221" s="26">
        <v>1</v>
      </c>
      <c r="S3221" s="26">
        <v>3</v>
      </c>
      <c r="T3221" s="26">
        <v>3</v>
      </c>
      <c r="U3221" s="26">
        <v>7</v>
      </c>
      <c r="V3221" s="26">
        <v>1</v>
      </c>
      <c r="W3221" s="26"/>
    </row>
    <row r="3222" spans="1:23" x14ac:dyDescent="0.25">
      <c r="A3222" s="26" t="str">
        <f t="shared" si="555"/>
        <v>PRIMARIA</v>
      </c>
      <c r="B3222" s="26" t="str">
        <f>"09PPR1838E"</f>
        <v>09PPR1838E</v>
      </c>
      <c r="C3222" s="26" t="str">
        <f>"COLEGIO IZTACCIHUATL                                                                                "</f>
        <v xml:space="preserve">COLEGIO IZTACCIHUATL                                                                                </v>
      </c>
      <c r="D3222" s="26" t="str">
        <f t="shared" si="548"/>
        <v>MATUTINO</v>
      </c>
      <c r="E3222" s="26" t="str">
        <f>"AVENIDA JUAREZ NO 97                                                            "</f>
        <v xml:space="preserve">AVENIDA JUAREZ NO 97                                                            </v>
      </c>
      <c r="F3222" s="26" t="str">
        <f>"SAN LUIS TLAXIALTEMALCO                                                                                                                     "</f>
        <v xml:space="preserve">SAN LUIS TLAXIALTEMALCO                                                                                                                     </v>
      </c>
      <c r="G3222" s="26" t="str">
        <f>"XOCHIMILCO                                                                      "</f>
        <v xml:space="preserve">XOCHIMILCO                                                                      </v>
      </c>
      <c r="H3222" s="26" t="str">
        <f>"543"</f>
        <v>543</v>
      </c>
      <c r="I3222" s="26" t="str">
        <f t="shared" si="557"/>
        <v>00</v>
      </c>
      <c r="J3222" s="26" t="str">
        <f>"45 "</f>
        <v xml:space="preserve">45 </v>
      </c>
      <c r="K3222" s="26" t="str">
        <f t="shared" si="558"/>
        <v>PR</v>
      </c>
      <c r="L3222" s="26" t="str">
        <f t="shared" si="559"/>
        <v>DGOSE</v>
      </c>
      <c r="M3222" s="26" t="str">
        <f t="shared" si="560"/>
        <v>PARTICULAR</v>
      </c>
      <c r="N3222" s="26">
        <v>100</v>
      </c>
      <c r="O3222" s="26">
        <v>49</v>
      </c>
      <c r="P3222" s="26">
        <v>51</v>
      </c>
      <c r="Q3222" s="26">
        <v>7</v>
      </c>
      <c r="R3222" s="26">
        <v>1</v>
      </c>
      <c r="S3222" s="26">
        <v>4</v>
      </c>
      <c r="T3222" s="26">
        <v>7</v>
      </c>
      <c r="U3222" s="26">
        <v>12</v>
      </c>
      <c r="V3222" s="26">
        <v>1</v>
      </c>
      <c r="W3222" s="26"/>
    </row>
    <row r="3223" spans="1:23" x14ac:dyDescent="0.25">
      <c r="A3223" s="26" t="str">
        <f t="shared" si="555"/>
        <v>PRIMARIA</v>
      </c>
      <c r="B3223" s="26" t="str">
        <f>"09PPR1839D"</f>
        <v>09PPR1839D</v>
      </c>
      <c r="C3223" s="26" t="str">
        <f>"""BICENTENARIO DE MÉXICO INDEPENDIENTE""                                                              "</f>
        <v xml:space="preserve">"BICENTENARIO DE MÉXICO INDEPENDIENTE"                                                              </v>
      </c>
      <c r="D3223" s="26" t="str">
        <f t="shared" si="548"/>
        <v>MATUTINO</v>
      </c>
      <c r="E3223" s="26" t="str">
        <f>"CALLE HERMENEGILDO GALEANA NO 55                                                "</f>
        <v xml:space="preserve">CALLE HERMENEGILDO GALEANA NO 55                                                </v>
      </c>
      <c r="F3223" s="26" t="str">
        <f>"SANTIAGO TULYEHUALCO                                                                                                                        "</f>
        <v xml:space="preserve">SANTIAGO TULYEHUALCO                                                                                                                        </v>
      </c>
      <c r="G3223" s="26" t="str">
        <f>"XOCHIMILCO                                                                      "</f>
        <v xml:space="preserve">XOCHIMILCO                                                                      </v>
      </c>
      <c r="H3223" s="26" t="str">
        <f>"544"</f>
        <v>544</v>
      </c>
      <c r="I3223" s="26" t="str">
        <f t="shared" si="557"/>
        <v>00</v>
      </c>
      <c r="J3223" s="26" t="str">
        <f>"45 "</f>
        <v xml:space="preserve">45 </v>
      </c>
      <c r="K3223" s="26" t="str">
        <f t="shared" si="558"/>
        <v>PR</v>
      </c>
      <c r="L3223" s="26" t="str">
        <f t="shared" si="559"/>
        <v>DGOSE</v>
      </c>
      <c r="M3223" s="26" t="str">
        <f t="shared" si="560"/>
        <v>PARTICULAR</v>
      </c>
      <c r="N3223" s="26">
        <v>6</v>
      </c>
      <c r="O3223" s="26">
        <v>4</v>
      </c>
      <c r="P3223" s="26">
        <v>2</v>
      </c>
      <c r="Q3223" s="26">
        <v>3</v>
      </c>
      <c r="R3223" s="26">
        <v>1</v>
      </c>
      <c r="S3223" s="26">
        <v>2</v>
      </c>
      <c r="T3223" s="26">
        <v>0</v>
      </c>
      <c r="U3223" s="26">
        <v>3</v>
      </c>
      <c r="V3223" s="26">
        <v>1</v>
      </c>
      <c r="W3223" s="26"/>
    </row>
    <row r="3224" spans="1:23" x14ac:dyDescent="0.25">
      <c r="A3224" s="26" t="str">
        <f t="shared" si="555"/>
        <v>PRIMARIA</v>
      </c>
      <c r="B3224" s="26" t="str">
        <f>"09PPR1840T"</f>
        <v>09PPR1840T</v>
      </c>
      <c r="C3224" s="26" t="str">
        <f>"""CENTRO EDUCATIVO MELLADO""                                                                          "</f>
        <v xml:space="preserve">"CENTRO EDUCATIVO MELLADO"                                                                          </v>
      </c>
      <c r="D3224" s="26" t="str">
        <f t="shared" si="548"/>
        <v>MATUTINO</v>
      </c>
      <c r="E3224" s="26" t="str">
        <f>"LAPISLAZULI NO 10                                                               "</f>
        <v xml:space="preserve">LAPISLAZULI NO 10                                                               </v>
      </c>
      <c r="F3224" s="26" t="str">
        <f>"ESTRELLA                                                                                                                                    "</f>
        <v xml:space="preserve">ESTRELLA                                                                                                                                    </v>
      </c>
      <c r="G3224" s="26" t="str">
        <f>"GUSTAVO A. MADERO                                                               "</f>
        <v xml:space="preserve">GUSTAVO A. MADERO                                                               </v>
      </c>
      <c r="H3224" s="26" t="str">
        <f>"251"</f>
        <v>251</v>
      </c>
      <c r="I3224" s="26" t="str">
        <f t="shared" si="557"/>
        <v>00</v>
      </c>
      <c r="J3224" s="26" t="str">
        <f>"42 "</f>
        <v xml:space="preserve">42 </v>
      </c>
      <c r="K3224" s="26" t="str">
        <f t="shared" si="558"/>
        <v>PR</v>
      </c>
      <c r="L3224" s="26" t="str">
        <f t="shared" si="559"/>
        <v>DGOSE</v>
      </c>
      <c r="M3224" s="26" t="str">
        <f t="shared" si="560"/>
        <v>PARTICULAR</v>
      </c>
      <c r="N3224" s="26">
        <v>77</v>
      </c>
      <c r="O3224" s="26">
        <v>44</v>
      </c>
      <c r="P3224" s="26">
        <v>33</v>
      </c>
      <c r="Q3224" s="26">
        <v>6</v>
      </c>
      <c r="R3224" s="26">
        <v>1</v>
      </c>
      <c r="S3224" s="26">
        <v>3</v>
      </c>
      <c r="T3224" s="26">
        <v>4</v>
      </c>
      <c r="U3224" s="26">
        <v>8</v>
      </c>
      <c r="V3224" s="26">
        <v>1</v>
      </c>
      <c r="W3224" s="26"/>
    </row>
    <row r="3225" spans="1:23" x14ac:dyDescent="0.25">
      <c r="A3225" s="26" t="str">
        <f t="shared" si="555"/>
        <v>PRIMARIA</v>
      </c>
      <c r="B3225" s="26" t="str">
        <f>"09PPR1841S"</f>
        <v>09PPR1841S</v>
      </c>
      <c r="C3225" s="26" t="str">
        <f>"CENTRO EDUCATIVO WILLIAM WILBERFORCE                                                                "</f>
        <v xml:space="preserve">CENTRO EDUCATIVO WILLIAM WILBERFORCE                                                                </v>
      </c>
      <c r="D3225" s="26" t="str">
        <f t="shared" si="548"/>
        <v>MATUTINO</v>
      </c>
      <c r="E3225" s="26" t="str">
        <f>"TULE S/N MZ 7 LT 2                                                              "</f>
        <v xml:space="preserve">TULE S/N MZ 7 LT 2                                                              </v>
      </c>
      <c r="F3225" s="26" t="str">
        <f>"SAN MIGUEL TEOTONGO                                                                                                                         "</f>
        <v xml:space="preserve">SAN MIGUEL TEOTONGO                                                                                                                         </v>
      </c>
      <c r="G3225" s="26" t="str">
        <f>"IZTAPALAPA                                                                      "</f>
        <v xml:space="preserve">IZTAPALAPA                                                                      </v>
      </c>
      <c r="H3225" s="26" t="str">
        <f>"   "</f>
        <v xml:space="preserve">   </v>
      </c>
      <c r="I3225" s="26" t="str">
        <f>"  "</f>
        <v xml:space="preserve">  </v>
      </c>
      <c r="J3225" s="26" t="str">
        <f>"61 "</f>
        <v xml:space="preserve">61 </v>
      </c>
      <c r="K3225" s="26" t="str">
        <f>"IZ"</f>
        <v>IZ</v>
      </c>
      <c r="L3225" s="26" t="str">
        <f>"DGSEI"</f>
        <v>DGSEI</v>
      </c>
      <c r="M3225" s="26" t="str">
        <f t="shared" si="560"/>
        <v>PARTICULAR</v>
      </c>
      <c r="N3225" s="26">
        <v>75</v>
      </c>
      <c r="O3225" s="26">
        <v>44</v>
      </c>
      <c r="P3225" s="26">
        <v>31</v>
      </c>
      <c r="Q3225" s="26">
        <v>8</v>
      </c>
      <c r="R3225" s="26">
        <v>2</v>
      </c>
      <c r="S3225" s="26">
        <v>8</v>
      </c>
      <c r="T3225" s="26">
        <v>16</v>
      </c>
      <c r="U3225" s="26">
        <v>26</v>
      </c>
      <c r="V3225" s="26">
        <v>1</v>
      </c>
      <c r="W3225" s="26"/>
    </row>
    <row r="3226" spans="1:23" x14ac:dyDescent="0.25">
      <c r="A3226" s="26" t="str">
        <f t="shared" si="555"/>
        <v>PRIMARIA</v>
      </c>
      <c r="B3226" s="26" t="str">
        <f>"09PPR1843Q"</f>
        <v>09PPR1843Q</v>
      </c>
      <c r="C3226" s="26" t="str">
        <f>"""ESCUELAS INFANTILES CONSTRUYE""                                                                     "</f>
        <v xml:space="preserve">"ESCUELAS INFANTILES CONSTRUYE"                                                                     </v>
      </c>
      <c r="D3226" s="26" t="str">
        <f t="shared" si="548"/>
        <v>MATUTINO</v>
      </c>
      <c r="E3226" s="26" t="str">
        <f>"ANTIGUO CAMINO A CUERNAVACA  NO 8                                               "</f>
        <v xml:space="preserve">ANTIGUO CAMINO A CUERNAVACA  NO 8                                               </v>
      </c>
      <c r="F3226" s="26" t="str">
        <f>"SAN MIGUEL TOPILEJO                                                                                                                         "</f>
        <v xml:space="preserve">SAN MIGUEL TOPILEJO                                                                                                                         </v>
      </c>
      <c r="G3226" s="26" t="str">
        <f>"TLALPAN                                                                         "</f>
        <v xml:space="preserve">TLALPAN                                                                         </v>
      </c>
      <c r="H3226" s="26" t="str">
        <f>"531"</f>
        <v>531</v>
      </c>
      <c r="I3226" s="26" t="str">
        <f>"76"</f>
        <v>76</v>
      </c>
      <c r="J3226" s="26" t="str">
        <f>"45 "</f>
        <v xml:space="preserve">45 </v>
      </c>
      <c r="K3226" s="26" t="str">
        <f t="shared" ref="K3226:K3233" si="561">"PR"</f>
        <v>PR</v>
      </c>
      <c r="L3226" s="26" t="str">
        <f t="shared" ref="L3226:L3233" si="562">"DGOSE"</f>
        <v>DGOSE</v>
      </c>
      <c r="M3226" s="26" t="str">
        <f t="shared" si="560"/>
        <v>PARTICULAR</v>
      </c>
      <c r="N3226" s="26">
        <v>33</v>
      </c>
      <c r="O3226" s="26">
        <v>14</v>
      </c>
      <c r="P3226" s="26">
        <v>19</v>
      </c>
      <c r="Q3226" s="26">
        <v>4</v>
      </c>
      <c r="R3226" s="26">
        <v>1</v>
      </c>
      <c r="S3226" s="26">
        <v>2</v>
      </c>
      <c r="T3226" s="26">
        <v>2</v>
      </c>
      <c r="U3226" s="26">
        <v>5</v>
      </c>
      <c r="V3226" s="26">
        <v>1</v>
      </c>
      <c r="W3226" s="26"/>
    </row>
    <row r="3227" spans="1:23" x14ac:dyDescent="0.25">
      <c r="A3227" s="26" t="str">
        <f t="shared" si="555"/>
        <v>PRIMARIA</v>
      </c>
      <c r="B3227" s="26" t="str">
        <f>"09PPR1844P"</f>
        <v>09PPR1844P</v>
      </c>
      <c r="C3227" s="26" t="str">
        <f>"""COLEGIO BATALLON DE SAN PATRICIO""                                                                  "</f>
        <v xml:space="preserve">"COLEGIO BATALLON DE SAN PATRICIO"                                                                  </v>
      </c>
      <c r="D3227" s="26" t="str">
        <f t="shared" si="548"/>
        <v>MATUTINO</v>
      </c>
      <c r="E3227" s="26" t="str">
        <f>"AVENIDA GUADALUPE I RAMIREZ NO 298                                              "</f>
        <v xml:space="preserve">AVENIDA GUADALUPE I RAMIREZ NO 298                                              </v>
      </c>
      <c r="F3227" s="26" t="str">
        <f>"SAN MARCOS                                                                                                                                  "</f>
        <v xml:space="preserve">SAN MARCOS                                                                                                                                  </v>
      </c>
      <c r="G3227" s="26" t="str">
        <f>"XOCHIMILCO                                                                      "</f>
        <v xml:space="preserve">XOCHIMILCO                                                                      </v>
      </c>
      <c r="H3227" s="26" t="str">
        <f>"536"</f>
        <v>536</v>
      </c>
      <c r="I3227" s="26" t="str">
        <f>"75"</f>
        <v>75</v>
      </c>
      <c r="J3227" s="26" t="str">
        <f>"45 "</f>
        <v xml:space="preserve">45 </v>
      </c>
      <c r="K3227" s="26" t="str">
        <f t="shared" si="561"/>
        <v>PR</v>
      </c>
      <c r="L3227" s="26" t="str">
        <f t="shared" si="562"/>
        <v>DGOSE</v>
      </c>
      <c r="M3227" s="26" t="str">
        <f t="shared" si="560"/>
        <v>PARTICULAR</v>
      </c>
      <c r="N3227" s="26">
        <v>22</v>
      </c>
      <c r="O3227" s="26">
        <v>17</v>
      </c>
      <c r="P3227" s="26">
        <v>5</v>
      </c>
      <c r="Q3227" s="26">
        <v>2</v>
      </c>
      <c r="R3227" s="26">
        <v>1</v>
      </c>
      <c r="S3227" s="26">
        <v>2</v>
      </c>
      <c r="T3227" s="26">
        <v>6</v>
      </c>
      <c r="U3227" s="26">
        <v>9</v>
      </c>
      <c r="V3227" s="26">
        <v>1</v>
      </c>
      <c r="W3227" s="26"/>
    </row>
    <row r="3228" spans="1:23" x14ac:dyDescent="0.25">
      <c r="A3228" s="26" t="str">
        <f t="shared" si="555"/>
        <v>PRIMARIA</v>
      </c>
      <c r="B3228" s="26" t="str">
        <f>"09PPR1845O"</f>
        <v>09PPR1845O</v>
      </c>
      <c r="C3228" s="26" t="str">
        <f>"""ESCUELA INTEGRAL ROMA""                                                                             "</f>
        <v xml:space="preserve">"ESCUELA INTEGRAL ROMA"                                                                             </v>
      </c>
      <c r="D3228" s="26" t="str">
        <f t="shared" si="548"/>
        <v>MATUTINO</v>
      </c>
      <c r="E3228" s="26" t="str">
        <f>"MIGUEL ANGEL CASTILLO MANZANA 81 LOTE 3                                         "</f>
        <v xml:space="preserve">MIGUEL ANGEL CASTILLO MANZANA 81 LOTE 3                                         </v>
      </c>
      <c r="F3228" s="26" t="str">
        <f>"SAN JOSE                                                                                                                                    "</f>
        <v xml:space="preserve">SAN JOSE                                                                                                                                    </v>
      </c>
      <c r="G3228" s="26" t="str">
        <f>"TLAHUAC                                                                         "</f>
        <v xml:space="preserve">TLAHUAC                                                                         </v>
      </c>
      <c r="H3228" s="26" t="str">
        <f>"557"</f>
        <v>557</v>
      </c>
      <c r="I3228" s="26" t="str">
        <f>"42"</f>
        <v>42</v>
      </c>
      <c r="J3228" s="26" t="str">
        <f>"45 "</f>
        <v xml:space="preserve">45 </v>
      </c>
      <c r="K3228" s="26" t="str">
        <f t="shared" si="561"/>
        <v>PR</v>
      </c>
      <c r="L3228" s="26" t="str">
        <f t="shared" si="562"/>
        <v>DGOSE</v>
      </c>
      <c r="M3228" s="26" t="str">
        <f t="shared" si="560"/>
        <v>PARTICULAR</v>
      </c>
      <c r="N3228" s="26">
        <v>18</v>
      </c>
      <c r="O3228" s="26">
        <v>14</v>
      </c>
      <c r="P3228" s="26">
        <v>4</v>
      </c>
      <c r="Q3228" s="26">
        <v>6</v>
      </c>
      <c r="R3228" s="26">
        <v>1</v>
      </c>
      <c r="S3228" s="26">
        <v>4</v>
      </c>
      <c r="T3228" s="26">
        <v>5</v>
      </c>
      <c r="U3228" s="26">
        <v>10</v>
      </c>
      <c r="V3228" s="26">
        <v>1</v>
      </c>
      <c r="W3228" s="26"/>
    </row>
    <row r="3229" spans="1:23" x14ac:dyDescent="0.25">
      <c r="A3229" s="26" t="str">
        <f t="shared" si="555"/>
        <v>PRIMARIA</v>
      </c>
      <c r="B3229" s="26" t="str">
        <f>"09PPR1846N"</f>
        <v>09PPR1846N</v>
      </c>
      <c r="C3229" s="26" t="str">
        <f>"""CENTRO DE DESARROLLO INFANTIL PICASSO""                                                             "</f>
        <v xml:space="preserve">"CENTRO DE DESARROLLO INFANTIL PICASSO"                                                             </v>
      </c>
      <c r="D3229" s="26" t="str">
        <f t="shared" si="548"/>
        <v>MATUTINO</v>
      </c>
      <c r="E3229" s="26" t="str">
        <f>"ONCE MARTIRES NO 80                                                             "</f>
        <v xml:space="preserve">ONCE MARTIRES NO 80                                                             </v>
      </c>
      <c r="F3229" s="26" t="str">
        <f>"TLALPAN                                                                                                                                     "</f>
        <v xml:space="preserve">TLALPAN                                                                                                                                     </v>
      </c>
      <c r="G3229" s="26" t="str">
        <f>"TLALPAN                                                                         "</f>
        <v xml:space="preserve">TLALPAN                                                                         </v>
      </c>
      <c r="H3229" s="26" t="str">
        <f>"520"</f>
        <v>520</v>
      </c>
      <c r="I3229" s="26" t="str">
        <f>"34"</f>
        <v>34</v>
      </c>
      <c r="J3229" s="26" t="str">
        <f>"45 "</f>
        <v xml:space="preserve">45 </v>
      </c>
      <c r="K3229" s="26" t="str">
        <f t="shared" si="561"/>
        <v>PR</v>
      </c>
      <c r="L3229" s="26" t="str">
        <f t="shared" si="562"/>
        <v>DGOSE</v>
      </c>
      <c r="M3229" s="26" t="str">
        <f t="shared" si="560"/>
        <v>PARTICULAR</v>
      </c>
      <c r="N3229" s="26">
        <v>31</v>
      </c>
      <c r="O3229" s="26">
        <v>21</v>
      </c>
      <c r="P3229" s="26">
        <v>10</v>
      </c>
      <c r="Q3229" s="26">
        <v>3</v>
      </c>
      <c r="R3229" s="26">
        <v>1</v>
      </c>
      <c r="S3229" s="26">
        <v>3</v>
      </c>
      <c r="T3229" s="26">
        <v>4</v>
      </c>
      <c r="U3229" s="26">
        <v>8</v>
      </c>
      <c r="V3229" s="26">
        <v>1</v>
      </c>
      <c r="W3229" s="26"/>
    </row>
    <row r="3230" spans="1:23" x14ac:dyDescent="0.25">
      <c r="A3230" s="26" t="str">
        <f t="shared" si="555"/>
        <v>PRIMARIA</v>
      </c>
      <c r="B3230" s="26" t="str">
        <f>"09PPR1847M"</f>
        <v>09PPR1847M</v>
      </c>
      <c r="C3230" s="26" t="str">
        <f>"COLEGIO LEONARDO DA VINCI DIVISION PRIMARIA                                                         "</f>
        <v xml:space="preserve">COLEGIO LEONARDO DA VINCI DIVISION PRIMARIA                                                         </v>
      </c>
      <c r="D3230" s="26" t="str">
        <f t="shared" si="548"/>
        <v>MATUTINO</v>
      </c>
      <c r="E3230" s="26" t="str">
        <f>"CERRADA 2 VICENTE GUERRERO                                                      "</f>
        <v xml:space="preserve">CERRADA 2 VICENTE GUERRERO                                                      </v>
      </c>
      <c r="F3230" s="26" t="str">
        <f>"SANTIAGO TULYEHUALCO                                                                                                                        "</f>
        <v xml:space="preserve">SANTIAGO TULYEHUALCO                                                                                                                        </v>
      </c>
      <c r="G3230" s="26" t="str">
        <f>"XOCHIMILCO                                                                      "</f>
        <v xml:space="preserve">XOCHIMILCO                                                                      </v>
      </c>
      <c r="H3230" s="26" t="str">
        <f>"545"</f>
        <v>545</v>
      </c>
      <c r="I3230" s="26" t="str">
        <f>"39"</f>
        <v>39</v>
      </c>
      <c r="J3230" s="26" t="str">
        <f>"45 "</f>
        <v xml:space="preserve">45 </v>
      </c>
      <c r="K3230" s="26" t="str">
        <f t="shared" si="561"/>
        <v>PR</v>
      </c>
      <c r="L3230" s="26" t="str">
        <f t="shared" si="562"/>
        <v>DGOSE</v>
      </c>
      <c r="M3230" s="26" t="str">
        <f t="shared" si="560"/>
        <v>PARTICULAR</v>
      </c>
      <c r="N3230" s="26">
        <v>54</v>
      </c>
      <c r="O3230" s="26">
        <v>28</v>
      </c>
      <c r="P3230" s="26">
        <v>26</v>
      </c>
      <c r="Q3230" s="26">
        <v>6</v>
      </c>
      <c r="R3230" s="26">
        <v>1</v>
      </c>
      <c r="S3230" s="26">
        <v>3</v>
      </c>
      <c r="T3230" s="26">
        <v>6</v>
      </c>
      <c r="U3230" s="26">
        <v>10</v>
      </c>
      <c r="V3230" s="26">
        <v>1</v>
      </c>
      <c r="W3230" s="26"/>
    </row>
    <row r="3231" spans="1:23" x14ac:dyDescent="0.25">
      <c r="A3231" s="26" t="str">
        <f t="shared" si="555"/>
        <v>PRIMARIA</v>
      </c>
      <c r="B3231" s="26" t="str">
        <f>"09PPR1848L"</f>
        <v>09PPR1848L</v>
      </c>
      <c r="C3231" s="26" t="str">
        <f>"PRESTON SCHOOL                                                                                      "</f>
        <v xml:space="preserve">PRESTON SCHOOL                                                                                      </v>
      </c>
      <c r="D3231" s="26" t="str">
        <f t="shared" si="548"/>
        <v>MATUTINO</v>
      </c>
      <c r="E3231" s="26" t="str">
        <f>"AVENIDA MEXICO NO 63                                                            "</f>
        <v xml:space="preserve">AVENIDA MEXICO NO 63                                                            </v>
      </c>
      <c r="F3231" s="26" t="str">
        <f>"PROGRESO                                                                                                                                    "</f>
        <v xml:space="preserve">PROGRESO                                                                                                                                    </v>
      </c>
      <c r="G3231" s="26" t="str">
        <f>"ALVARO OBREGON                                                                  "</f>
        <v xml:space="preserve">ALVARO OBREGON                                                                  </v>
      </c>
      <c r="H3231" s="26" t="str">
        <f>"326"</f>
        <v>326</v>
      </c>
      <c r="I3231" s="26" t="str">
        <f t="shared" ref="I3231:I3240" si="563">"00"</f>
        <v>00</v>
      </c>
      <c r="J3231" s="26" t="str">
        <f>"43 "</f>
        <v xml:space="preserve">43 </v>
      </c>
      <c r="K3231" s="26" t="str">
        <f t="shared" si="561"/>
        <v>PR</v>
      </c>
      <c r="L3231" s="26" t="str">
        <f t="shared" si="562"/>
        <v>DGOSE</v>
      </c>
      <c r="M3231" s="26" t="str">
        <f t="shared" si="560"/>
        <v>PARTICULAR</v>
      </c>
      <c r="N3231" s="26">
        <v>6</v>
      </c>
      <c r="O3231" s="26">
        <v>2</v>
      </c>
      <c r="P3231" s="26">
        <v>4</v>
      </c>
      <c r="Q3231" s="26">
        <v>2</v>
      </c>
      <c r="R3231" s="26">
        <v>1</v>
      </c>
      <c r="S3231" s="26">
        <v>1</v>
      </c>
      <c r="T3231" s="26">
        <v>1</v>
      </c>
      <c r="U3231" s="26">
        <v>3</v>
      </c>
      <c r="V3231" s="26">
        <v>1</v>
      </c>
      <c r="W3231" s="26"/>
    </row>
    <row r="3232" spans="1:23" x14ac:dyDescent="0.25">
      <c r="A3232" s="26" t="str">
        <f t="shared" si="555"/>
        <v>PRIMARIA</v>
      </c>
      <c r="B3232" s="26" t="str">
        <f>"09PPR1849K"</f>
        <v>09PPR1849K</v>
      </c>
      <c r="C3232" s="26" t="str">
        <f>"CENTRO DE APRENDIZAJE INFANTIL EDUKIDS                                                              "</f>
        <v xml:space="preserve">CENTRO DE APRENDIZAJE INFANTIL EDUKIDS                                                              </v>
      </c>
      <c r="D3232" s="26" t="str">
        <f t="shared" si="548"/>
        <v>MATUTINO</v>
      </c>
      <c r="E3232" s="26" t="str">
        <f>"PROLONGACION AVENIDA MEXICO NO 41                                               "</f>
        <v xml:space="preserve">PROLONGACION AVENIDA MEXICO NO 41                                               </v>
      </c>
      <c r="F3232" s="26" t="str">
        <f>"CUAJIMALPA                                                                                                                                  "</f>
        <v xml:space="preserve">CUAJIMALPA                                                                                                                                  </v>
      </c>
      <c r="G3232" s="26" t="str">
        <f>"CUAJIMALPA DE MORELOS                                                           "</f>
        <v xml:space="preserve">CUAJIMALPA DE MORELOS                                                           </v>
      </c>
      <c r="H3232" s="26" t="str">
        <f>"305"</f>
        <v>305</v>
      </c>
      <c r="I3232" s="26" t="str">
        <f t="shared" si="563"/>
        <v>00</v>
      </c>
      <c r="J3232" s="26" t="str">
        <f>"43 "</f>
        <v xml:space="preserve">43 </v>
      </c>
      <c r="K3232" s="26" t="str">
        <f t="shared" si="561"/>
        <v>PR</v>
      </c>
      <c r="L3232" s="26" t="str">
        <f t="shared" si="562"/>
        <v>DGOSE</v>
      </c>
      <c r="M3232" s="26" t="str">
        <f t="shared" si="560"/>
        <v>PARTICULAR</v>
      </c>
      <c r="N3232" s="26">
        <v>28</v>
      </c>
      <c r="O3232" s="26">
        <v>18</v>
      </c>
      <c r="P3232" s="26">
        <v>10</v>
      </c>
      <c r="Q3232" s="26">
        <v>5</v>
      </c>
      <c r="R3232" s="26">
        <v>1</v>
      </c>
      <c r="S3232" s="26">
        <v>3</v>
      </c>
      <c r="T3232" s="26">
        <v>2</v>
      </c>
      <c r="U3232" s="26">
        <v>6</v>
      </c>
      <c r="V3232" s="26">
        <v>1</v>
      </c>
      <c r="W3232" s="26"/>
    </row>
    <row r="3233" spans="1:23" x14ac:dyDescent="0.25">
      <c r="A3233" s="26" t="str">
        <f t="shared" si="555"/>
        <v>PRIMARIA</v>
      </c>
      <c r="B3233" s="26" t="str">
        <f>"09PPR1850Z"</f>
        <v>09PPR1850Z</v>
      </c>
      <c r="C3233" s="26" t="str">
        <f>"LOLINDIR PRIMARIA                                                                                   "</f>
        <v xml:space="preserve">LOLINDIR PRIMARIA                                                                                   </v>
      </c>
      <c r="D3233" s="26" t="str">
        <f t="shared" si="548"/>
        <v>MATUTINO</v>
      </c>
      <c r="E3233" s="26" t="str">
        <f>"CUAJIMALPA NO 21                                                                "</f>
        <v xml:space="preserve">CUAJIMALPA NO 21                                                                </v>
      </c>
      <c r="F3233" s="26" t="str">
        <f>"MERCED GOMEZ                                                                                                                                "</f>
        <v xml:space="preserve">MERCED GOMEZ                                                                                                                                </v>
      </c>
      <c r="G3233" s="26" t="str">
        <f>"ALVARO OBREGON                                                                  "</f>
        <v xml:space="preserve">ALVARO OBREGON                                                                  </v>
      </c>
      <c r="H3233" s="26" t="str">
        <f>"319"</f>
        <v>319</v>
      </c>
      <c r="I3233" s="26" t="str">
        <f t="shared" si="563"/>
        <v>00</v>
      </c>
      <c r="J3233" s="26" t="str">
        <f>"43 "</f>
        <v xml:space="preserve">43 </v>
      </c>
      <c r="K3233" s="26" t="str">
        <f t="shared" si="561"/>
        <v>PR</v>
      </c>
      <c r="L3233" s="26" t="str">
        <f t="shared" si="562"/>
        <v>DGOSE</v>
      </c>
      <c r="M3233" s="26" t="str">
        <f t="shared" si="560"/>
        <v>PARTICULAR</v>
      </c>
      <c r="N3233" s="26">
        <v>35</v>
      </c>
      <c r="O3233" s="26">
        <v>20</v>
      </c>
      <c r="P3233" s="26">
        <v>15</v>
      </c>
      <c r="Q3233" s="26">
        <v>6</v>
      </c>
      <c r="R3233" s="26">
        <v>1</v>
      </c>
      <c r="S3233" s="26">
        <v>3</v>
      </c>
      <c r="T3233" s="26">
        <v>6</v>
      </c>
      <c r="U3233" s="26">
        <v>10</v>
      </c>
      <c r="V3233" s="26">
        <v>1</v>
      </c>
      <c r="W3233" s="26"/>
    </row>
    <row r="3234" spans="1:23" x14ac:dyDescent="0.25">
      <c r="A3234" s="26" t="str">
        <f t="shared" si="555"/>
        <v>PRIMARIA</v>
      </c>
      <c r="B3234" s="26" t="str">
        <f>"09PPR1851Z"</f>
        <v>09PPR1851Z</v>
      </c>
      <c r="C3234" s="26" t="str">
        <f>"COLEGIO BICENTENARIO                                                                                "</f>
        <v xml:space="preserve">COLEGIO BICENTENARIO                                                                                </v>
      </c>
      <c r="D3234" s="26" t="str">
        <f t="shared" si="548"/>
        <v>MATUTINO</v>
      </c>
      <c r="E3234" s="26" t="str">
        <f>"ERMITA IZTAPALAPA NO 1873                                                       "</f>
        <v xml:space="preserve">ERMITA IZTAPALAPA NO 1873                                                       </v>
      </c>
      <c r="F3234" s="26" t="str">
        <f>"PARAJE SAN JUAN                                                                                                                             "</f>
        <v xml:space="preserve">PARAJE SAN JUAN                                                                                                                             </v>
      </c>
      <c r="G3234" s="26" t="str">
        <f>"IZTAPALAPA                                                                      "</f>
        <v xml:space="preserve">IZTAPALAPA                                                                      </v>
      </c>
      <c r="H3234" s="26" t="str">
        <f>"000"</f>
        <v>000</v>
      </c>
      <c r="I3234" s="26" t="str">
        <f t="shared" si="563"/>
        <v>00</v>
      </c>
      <c r="J3234" s="26" t="str">
        <f>"63 "</f>
        <v xml:space="preserve">63 </v>
      </c>
      <c r="K3234" s="26" t="str">
        <f>"IZ"</f>
        <v>IZ</v>
      </c>
      <c r="L3234" s="26" t="str">
        <f>"DGSEI"</f>
        <v>DGSEI</v>
      </c>
      <c r="M3234" s="26" t="str">
        <f t="shared" si="560"/>
        <v>PARTICULAR</v>
      </c>
      <c r="N3234" s="26">
        <v>32</v>
      </c>
      <c r="O3234" s="26">
        <v>18</v>
      </c>
      <c r="P3234" s="26">
        <v>14</v>
      </c>
      <c r="Q3234" s="26">
        <v>5</v>
      </c>
      <c r="R3234" s="26">
        <v>1</v>
      </c>
      <c r="S3234" s="26">
        <v>5</v>
      </c>
      <c r="T3234" s="26">
        <v>4</v>
      </c>
      <c r="U3234" s="26">
        <v>10</v>
      </c>
      <c r="V3234" s="26">
        <v>1</v>
      </c>
      <c r="W3234" s="26"/>
    </row>
    <row r="3235" spans="1:23" x14ac:dyDescent="0.25">
      <c r="A3235" s="26" t="str">
        <f t="shared" si="555"/>
        <v>PRIMARIA</v>
      </c>
      <c r="B3235" s="26" t="str">
        <f>"09PPR1852Y"</f>
        <v>09PPR1852Y</v>
      </c>
      <c r="C3235" s="26" t="str">
        <f>"COLEGIO MEXICO CULTURAL                                                                             "</f>
        <v xml:space="preserve">COLEGIO MEXICO CULTURAL                                                                             </v>
      </c>
      <c r="D3235" s="26" t="str">
        <f t="shared" si="548"/>
        <v>MATUTINO</v>
      </c>
      <c r="E3235" s="26" t="str">
        <f>"AVENIDA TLAHUAC NO 4856                                                         "</f>
        <v xml:space="preserve">AVENIDA TLAHUAC NO 4856                                                         </v>
      </c>
      <c r="F3235" s="26" t="str">
        <f>"CERRO DE LA ESTRELLA                                                                                                                        "</f>
        <v xml:space="preserve">CERRO DE LA ESTRELLA                                                                                                                        </v>
      </c>
      <c r="G3235" s="26" t="str">
        <f>"IZTAPALAPA                                                                      "</f>
        <v xml:space="preserve">IZTAPALAPA                                                                      </v>
      </c>
      <c r="H3235" s="26" t="str">
        <f>"000"</f>
        <v>000</v>
      </c>
      <c r="I3235" s="26" t="str">
        <f t="shared" si="563"/>
        <v>00</v>
      </c>
      <c r="J3235" s="26" t="str">
        <f>"63 "</f>
        <v xml:space="preserve">63 </v>
      </c>
      <c r="K3235" s="26" t="str">
        <f>"IZ"</f>
        <v>IZ</v>
      </c>
      <c r="L3235" s="26" t="str">
        <f>"DGSEI"</f>
        <v>DGSEI</v>
      </c>
      <c r="M3235" s="26" t="str">
        <f t="shared" si="560"/>
        <v>PARTICULAR</v>
      </c>
      <c r="N3235" s="26">
        <v>60</v>
      </c>
      <c r="O3235" s="26">
        <v>34</v>
      </c>
      <c r="P3235" s="26">
        <v>26</v>
      </c>
      <c r="Q3235" s="26">
        <v>6</v>
      </c>
      <c r="R3235" s="26">
        <v>1</v>
      </c>
      <c r="S3235" s="26">
        <v>3</v>
      </c>
      <c r="T3235" s="26">
        <v>10</v>
      </c>
      <c r="U3235" s="26">
        <v>14</v>
      </c>
      <c r="V3235" s="26">
        <v>1</v>
      </c>
      <c r="W3235" s="26"/>
    </row>
    <row r="3236" spans="1:23" x14ac:dyDescent="0.25">
      <c r="A3236" s="26" t="str">
        <f t="shared" si="555"/>
        <v>PRIMARIA</v>
      </c>
      <c r="B3236" s="26" t="str">
        <f>"09PPR1853X"</f>
        <v>09PPR1853X</v>
      </c>
      <c r="C3236" s="26" t="str">
        <f>"COLEGIO HAYDEN S.C.                                                                                 "</f>
        <v xml:space="preserve">COLEGIO HAYDEN S.C.                                                                                 </v>
      </c>
      <c r="D3236" s="26" t="str">
        <f t="shared" si="548"/>
        <v>MATUTINO</v>
      </c>
      <c r="E3236" s="26" t="str">
        <f>"JEJA S/N MANZANA 1 LOTE 31                                                      "</f>
        <v xml:space="preserve">JEJA S/N MANZANA 1 LOTE 31                                                      </v>
      </c>
      <c r="F3236" s="26" t="str">
        <f>"LOS ANGELES APANOAYA                                                                                                                        "</f>
        <v xml:space="preserve">LOS ANGELES APANOAYA                                                                                                                        </v>
      </c>
      <c r="G3236" s="26" t="str">
        <f>"IZTAPALAPA                                                                      "</f>
        <v xml:space="preserve">IZTAPALAPA                                                                      </v>
      </c>
      <c r="H3236" s="26" t="str">
        <f>"000"</f>
        <v>000</v>
      </c>
      <c r="I3236" s="26" t="str">
        <f t="shared" si="563"/>
        <v>00</v>
      </c>
      <c r="J3236" s="26" t="str">
        <f>"63 "</f>
        <v xml:space="preserve">63 </v>
      </c>
      <c r="K3236" s="26" t="str">
        <f>"IZ"</f>
        <v>IZ</v>
      </c>
      <c r="L3236" s="26" t="str">
        <f>"DGSEI"</f>
        <v>DGSEI</v>
      </c>
      <c r="M3236" s="26" t="str">
        <f t="shared" si="560"/>
        <v>PARTICULAR</v>
      </c>
      <c r="N3236" s="26">
        <v>167</v>
      </c>
      <c r="O3236" s="26">
        <v>83</v>
      </c>
      <c r="P3236" s="26">
        <v>84</v>
      </c>
      <c r="Q3236" s="26">
        <v>6</v>
      </c>
      <c r="R3236" s="26">
        <v>1</v>
      </c>
      <c r="S3236" s="26">
        <v>3</v>
      </c>
      <c r="T3236" s="26">
        <v>7</v>
      </c>
      <c r="U3236" s="26">
        <v>11</v>
      </c>
      <c r="V3236" s="26">
        <v>1</v>
      </c>
      <c r="W3236" s="26"/>
    </row>
    <row r="3237" spans="1:23" x14ac:dyDescent="0.25">
      <c r="A3237" s="26" t="str">
        <f t="shared" si="555"/>
        <v>PRIMARIA</v>
      </c>
      <c r="B3237" s="26" t="str">
        <f>"09PPR1854W"</f>
        <v>09PPR1854W</v>
      </c>
      <c r="C3237" s="26" t="str">
        <f>"""COLEGIO LOS ANGELES""                                                                               "</f>
        <v xml:space="preserve">"COLEGIO LOS ANGELES"                                                                               </v>
      </c>
      <c r="D3237" s="26" t="str">
        <f t="shared" si="548"/>
        <v>MATUTINO</v>
      </c>
      <c r="E3237" s="26" t="str">
        <f>"CALLE 307 NO 19 Y 17                                                            "</f>
        <v xml:space="preserve">CALLE 307 NO 19 Y 17                                                            </v>
      </c>
      <c r="F3237" s="26" t="str">
        <f>"UNIDAD HABITACIONAL EL COYOL                                                                                                                "</f>
        <v xml:space="preserve">UNIDAD HABITACIONAL EL COYOL                                                                                                                </v>
      </c>
      <c r="G3237" s="26" t="str">
        <f>"GUSTAVO A. MADERO                                                               "</f>
        <v xml:space="preserve">GUSTAVO A. MADERO                                                               </v>
      </c>
      <c r="H3237" s="26" t="str">
        <f>"258"</f>
        <v>258</v>
      </c>
      <c r="I3237" s="26" t="str">
        <f t="shared" si="563"/>
        <v>00</v>
      </c>
      <c r="J3237" s="26" t="str">
        <f>"42 "</f>
        <v xml:space="preserve">42 </v>
      </c>
      <c r="K3237" s="26" t="str">
        <f>"PR"</f>
        <v>PR</v>
      </c>
      <c r="L3237" s="26" t="str">
        <f>"DGOSE"</f>
        <v>DGOSE</v>
      </c>
      <c r="M3237" s="26" t="str">
        <f t="shared" si="560"/>
        <v>PARTICULAR</v>
      </c>
      <c r="N3237" s="26">
        <v>70</v>
      </c>
      <c r="O3237" s="26">
        <v>41</v>
      </c>
      <c r="P3237" s="26">
        <v>29</v>
      </c>
      <c r="Q3237" s="26">
        <v>6</v>
      </c>
      <c r="R3237" s="26">
        <v>1</v>
      </c>
      <c r="S3237" s="26">
        <v>5</v>
      </c>
      <c r="T3237" s="26">
        <v>7</v>
      </c>
      <c r="U3237" s="26">
        <v>13</v>
      </c>
      <c r="V3237" s="26">
        <v>1</v>
      </c>
      <c r="W3237" s="26"/>
    </row>
    <row r="3238" spans="1:23" x14ac:dyDescent="0.25">
      <c r="A3238" s="26" t="str">
        <f t="shared" si="555"/>
        <v>PRIMARIA</v>
      </c>
      <c r="B3238" s="26" t="str">
        <f>"09PPR1855V"</f>
        <v>09PPR1855V</v>
      </c>
      <c r="C3238" s="26" t="str">
        <f>"COLEGIO MANCHESTER                                                                                  "</f>
        <v xml:space="preserve">COLEGIO MANCHESTER                                                                                  </v>
      </c>
      <c r="D3238" s="26" t="str">
        <f t="shared" ref="D3238:D3248" si="564">"MATUTINO"</f>
        <v>MATUTINO</v>
      </c>
      <c r="E3238" s="26" t="str">
        <f>"LIBERTAD NO 126                                                                 "</f>
        <v xml:space="preserve">LIBERTAD NO 126                                                                 </v>
      </c>
      <c r="F3238" s="26" t="str">
        <f>"SAN LUCAS                                                                                                                                   "</f>
        <v xml:space="preserve">SAN LUCAS                                                                                                                                   </v>
      </c>
      <c r="G3238" s="26" t="str">
        <f>"IZTAPALAPA                                                                      "</f>
        <v xml:space="preserve">IZTAPALAPA                                                                      </v>
      </c>
      <c r="H3238" s="26" t="str">
        <f>"000"</f>
        <v>000</v>
      </c>
      <c r="I3238" s="26" t="str">
        <f t="shared" si="563"/>
        <v>00</v>
      </c>
      <c r="J3238" s="26" t="str">
        <f>"61 "</f>
        <v xml:space="preserve">61 </v>
      </c>
      <c r="K3238" s="26" t="str">
        <f>"IZ"</f>
        <v>IZ</v>
      </c>
      <c r="L3238" s="26" t="str">
        <f>"DGSEI"</f>
        <v>DGSEI</v>
      </c>
      <c r="M3238" s="26" t="str">
        <f t="shared" si="560"/>
        <v>PARTICULAR</v>
      </c>
      <c r="N3238" s="26">
        <v>50</v>
      </c>
      <c r="O3238" s="26">
        <v>30</v>
      </c>
      <c r="P3238" s="26">
        <v>20</v>
      </c>
      <c r="Q3238" s="26">
        <v>6</v>
      </c>
      <c r="R3238" s="26">
        <v>1</v>
      </c>
      <c r="S3238" s="26">
        <v>3</v>
      </c>
      <c r="T3238" s="26">
        <v>3</v>
      </c>
      <c r="U3238" s="26">
        <v>7</v>
      </c>
      <c r="V3238" s="26">
        <v>1</v>
      </c>
      <c r="W3238" s="26"/>
    </row>
    <row r="3239" spans="1:23" x14ac:dyDescent="0.25">
      <c r="A3239" s="26" t="str">
        <f t="shared" si="555"/>
        <v>PRIMARIA</v>
      </c>
      <c r="B3239" s="26" t="str">
        <f>"09PPR1856U"</f>
        <v>09PPR1856U</v>
      </c>
      <c r="C3239" s="26" t="str">
        <f>"""ALBATRI MONTESSORI""                                                                                "</f>
        <v xml:space="preserve">"ALBATRI MONTESSORI"                                                                                </v>
      </c>
      <c r="D3239" s="26" t="str">
        <f t="shared" si="564"/>
        <v>MATUTINO</v>
      </c>
      <c r="E3239" s="26" t="str">
        <f>"MITLA NO 708                                                                    "</f>
        <v xml:space="preserve">MITLA NO 708                                                                    </v>
      </c>
      <c r="F3239" s="26" t="str">
        <f>"LETRAN VALLE                                                                                                                                "</f>
        <v xml:space="preserve">LETRAN VALLE                                                                                                                                </v>
      </c>
      <c r="G3239" s="26" t="str">
        <f>"BENITO JUAREZ                                                                   "</f>
        <v xml:space="preserve">BENITO JUAREZ                                                                   </v>
      </c>
      <c r="H3239" s="26" t="str">
        <f>"341"</f>
        <v>341</v>
      </c>
      <c r="I3239" s="26" t="str">
        <f t="shared" si="563"/>
        <v>00</v>
      </c>
      <c r="J3239" s="26" t="str">
        <f>"43 "</f>
        <v xml:space="preserve">43 </v>
      </c>
      <c r="K3239" s="26" t="str">
        <f>"PR"</f>
        <v>PR</v>
      </c>
      <c r="L3239" s="26" t="str">
        <f>"DGOSE"</f>
        <v>DGOSE</v>
      </c>
      <c r="M3239" s="26" t="str">
        <f t="shared" si="560"/>
        <v>PARTICULAR</v>
      </c>
      <c r="N3239" s="26">
        <v>7</v>
      </c>
      <c r="O3239" s="26">
        <v>6</v>
      </c>
      <c r="P3239" s="26">
        <v>1</v>
      </c>
      <c r="Q3239" s="26">
        <v>4</v>
      </c>
      <c r="R3239" s="26">
        <v>1</v>
      </c>
      <c r="S3239" s="26">
        <v>2</v>
      </c>
      <c r="T3239" s="26">
        <v>5</v>
      </c>
      <c r="U3239" s="26">
        <v>8</v>
      </c>
      <c r="V3239" s="26">
        <v>1</v>
      </c>
      <c r="W3239" s="26"/>
    </row>
    <row r="3240" spans="1:23" x14ac:dyDescent="0.25">
      <c r="A3240" s="26" t="str">
        <f t="shared" si="555"/>
        <v>PRIMARIA</v>
      </c>
      <c r="B3240" s="26" t="str">
        <f>"09PPR1857T"</f>
        <v>09PPR1857T</v>
      </c>
      <c r="C3240" s="26" t="str">
        <f>"""COLEGIO NOIL""                                                                                      "</f>
        <v xml:space="preserve">"COLEGIO NOIL"                                                                                      </v>
      </c>
      <c r="D3240" s="26" t="str">
        <f t="shared" si="564"/>
        <v>MATUTINO</v>
      </c>
      <c r="E3240" s="26" t="str">
        <f>"AVENIDA SAN FRANCISCO NO 520                                                    "</f>
        <v xml:space="preserve">AVENIDA SAN FRANCISCO NO 520                                                    </v>
      </c>
      <c r="F3240" s="26" t="str">
        <f>"SAN FRANCISCO BARRIO                                                                                                                        "</f>
        <v xml:space="preserve">SAN FRANCISCO BARRIO                                                                                                                        </v>
      </c>
      <c r="G3240" s="26" t="str">
        <f>"LA MAGDALENA CONTRERAS                                                          "</f>
        <v xml:space="preserve">LA MAGDALENA CONTRERAS                                                          </v>
      </c>
      <c r="H3240" s="26" t="str">
        <f>"336"</f>
        <v>336</v>
      </c>
      <c r="I3240" s="26" t="str">
        <f t="shared" si="563"/>
        <v>00</v>
      </c>
      <c r="J3240" s="26" t="str">
        <f>"43 "</f>
        <v xml:space="preserve">43 </v>
      </c>
      <c r="K3240" s="26" t="str">
        <f>"PR"</f>
        <v>PR</v>
      </c>
      <c r="L3240" s="26" t="str">
        <f>"DGOSE"</f>
        <v>DGOSE</v>
      </c>
      <c r="M3240" s="26" t="str">
        <f t="shared" si="560"/>
        <v>PARTICULAR</v>
      </c>
      <c r="N3240" s="26">
        <v>147</v>
      </c>
      <c r="O3240" s="26">
        <v>81</v>
      </c>
      <c r="P3240" s="26">
        <v>66</v>
      </c>
      <c r="Q3240" s="26">
        <v>6</v>
      </c>
      <c r="R3240" s="26">
        <v>1</v>
      </c>
      <c r="S3240" s="26">
        <v>4</v>
      </c>
      <c r="T3240" s="26">
        <v>8</v>
      </c>
      <c r="U3240" s="26">
        <v>13</v>
      </c>
      <c r="V3240" s="26">
        <v>1</v>
      </c>
      <c r="W3240" s="26"/>
    </row>
    <row r="3241" spans="1:23" x14ac:dyDescent="0.25">
      <c r="A3241" s="26" t="str">
        <f t="shared" si="555"/>
        <v>PRIMARIA</v>
      </c>
      <c r="B3241" s="26" t="str">
        <f>"09PPR1858S"</f>
        <v>09PPR1858S</v>
      </c>
      <c r="C3241" s="26" t="str">
        <f>"COLEGIO JUSTO SIERRA                                                                                "</f>
        <v xml:space="preserve">COLEGIO JUSTO SIERRA                                                                                </v>
      </c>
      <c r="D3241" s="26" t="str">
        <f t="shared" si="564"/>
        <v>MATUTINO</v>
      </c>
      <c r="E3241" s="26" t="s">
        <v>3982</v>
      </c>
      <c r="F3241" s="26" t="str">
        <f>"SAN MIGUEL TEOTONGO                                                                                                                         "</f>
        <v xml:space="preserve">SAN MIGUEL TEOTONGO                                                                                                                         </v>
      </c>
      <c r="G3241" s="26" t="str">
        <f>"IZTAPALAPA                                                                      "</f>
        <v xml:space="preserve">IZTAPALAPA                                                                      </v>
      </c>
      <c r="H3241" s="26" t="str">
        <f>"   "</f>
        <v xml:space="preserve">   </v>
      </c>
      <c r="I3241" s="26" t="str">
        <f>"  "</f>
        <v xml:space="preserve">  </v>
      </c>
      <c r="J3241" s="26" t="str">
        <f>"61 "</f>
        <v xml:space="preserve">61 </v>
      </c>
      <c r="K3241" s="26" t="str">
        <f>"IZ"</f>
        <v>IZ</v>
      </c>
      <c r="L3241" s="26" t="str">
        <f>"DGSEI"</f>
        <v>DGSEI</v>
      </c>
      <c r="M3241" s="26" t="str">
        <f t="shared" si="560"/>
        <v>PARTICULAR</v>
      </c>
      <c r="N3241" s="26">
        <v>15</v>
      </c>
      <c r="O3241" s="26">
        <v>10</v>
      </c>
      <c r="P3241" s="26">
        <v>5</v>
      </c>
      <c r="Q3241" s="26">
        <v>4</v>
      </c>
      <c r="R3241" s="26">
        <v>1</v>
      </c>
      <c r="S3241" s="26">
        <v>3</v>
      </c>
      <c r="T3241" s="26">
        <v>4</v>
      </c>
      <c r="U3241" s="26">
        <v>8</v>
      </c>
      <c r="V3241" s="26">
        <v>1</v>
      </c>
      <c r="W3241" s="26"/>
    </row>
    <row r="3242" spans="1:23" x14ac:dyDescent="0.25">
      <c r="A3242" s="26" t="str">
        <f t="shared" si="555"/>
        <v>PRIMARIA</v>
      </c>
      <c r="B3242" s="26" t="str">
        <f>"09PPR1859R"</f>
        <v>09PPR1859R</v>
      </c>
      <c r="C3242" s="26" t="str">
        <f>"""WILFRIDO MASSIEU""                                                                                  "</f>
        <v xml:space="preserve">"WILFRIDO MASSIEU"                                                                                  </v>
      </c>
      <c r="D3242" s="26" t="str">
        <f t="shared" si="564"/>
        <v>MATUTINO</v>
      </c>
      <c r="E3242" s="26" t="str">
        <f>"MANAGUA 741                                                                     "</f>
        <v xml:space="preserve">MANAGUA 741                                                                     </v>
      </c>
      <c r="F3242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3242" s="26" t="str">
        <f>"GUSTAVO A. MADERO                                                               "</f>
        <v xml:space="preserve">GUSTAVO A. MADERO                                                               </v>
      </c>
      <c r="H3242" s="26" t="str">
        <f>"240"</f>
        <v>240</v>
      </c>
      <c r="I3242" s="26" t="str">
        <f>"00"</f>
        <v>00</v>
      </c>
      <c r="J3242" s="26" t="str">
        <f>"42 "</f>
        <v xml:space="preserve">42 </v>
      </c>
      <c r="K3242" s="26" t="str">
        <f>"PR"</f>
        <v>PR</v>
      </c>
      <c r="L3242" s="26" t="str">
        <f>"DGOSE"</f>
        <v>DGOSE</v>
      </c>
      <c r="M3242" s="26" t="str">
        <f t="shared" si="560"/>
        <v>PARTICULAR</v>
      </c>
      <c r="N3242" s="26">
        <v>112</v>
      </c>
      <c r="O3242" s="26">
        <v>57</v>
      </c>
      <c r="P3242" s="26">
        <v>55</v>
      </c>
      <c r="Q3242" s="26">
        <v>6</v>
      </c>
      <c r="R3242" s="26">
        <v>1</v>
      </c>
      <c r="S3242" s="26">
        <v>4</v>
      </c>
      <c r="T3242" s="26">
        <v>9</v>
      </c>
      <c r="U3242" s="26">
        <v>14</v>
      </c>
      <c r="V3242" s="26">
        <v>1</v>
      </c>
      <c r="W3242" s="26"/>
    </row>
    <row r="3243" spans="1:23" x14ac:dyDescent="0.25">
      <c r="A3243" s="26" t="str">
        <f t="shared" si="555"/>
        <v>PRIMARIA</v>
      </c>
      <c r="B3243" s="26" t="str">
        <f>"09PPR1860G"</f>
        <v>09PPR1860G</v>
      </c>
      <c r="C3243" s="26" t="str">
        <f>"LICEO MEXICANO DEL SUR                                                                              "</f>
        <v xml:space="preserve">LICEO MEXICANO DEL SUR                                                                              </v>
      </c>
      <c r="D3243" s="26" t="str">
        <f t="shared" si="564"/>
        <v>MATUTINO</v>
      </c>
      <c r="E3243" s="26" t="str">
        <f>"AVENIDA MUYUGUARDA MANZANA 18 LOTE 18                                           "</f>
        <v xml:space="preserve">AVENIDA MUYUGUARDA MANZANA 18 LOTE 18                                           </v>
      </c>
      <c r="F3243" s="26" t="str">
        <f>"SAN LORENZO LA CEBADA                                                                                                                       "</f>
        <v xml:space="preserve">SAN LORENZO LA CEBADA                                                                                                                       </v>
      </c>
      <c r="G3243" s="26" t="str">
        <f>"XOCHIMILCO                                                                      "</f>
        <v xml:space="preserve">XOCHIMILCO                                                                      </v>
      </c>
      <c r="H3243" s="26" t="str">
        <f>"535"</f>
        <v>535</v>
      </c>
      <c r="I3243" s="26" t="str">
        <f>"37"</f>
        <v>37</v>
      </c>
      <c r="J3243" s="26" t="str">
        <f>"45 "</f>
        <v xml:space="preserve">45 </v>
      </c>
      <c r="K3243" s="26" t="str">
        <f>"PR"</f>
        <v>PR</v>
      </c>
      <c r="L3243" s="26" t="str">
        <f>"DGOSE"</f>
        <v>DGOSE</v>
      </c>
      <c r="M3243" s="26" t="str">
        <f t="shared" si="560"/>
        <v>PARTICULAR</v>
      </c>
      <c r="N3243" s="26">
        <v>44</v>
      </c>
      <c r="O3243" s="26">
        <v>21</v>
      </c>
      <c r="P3243" s="26">
        <v>23</v>
      </c>
      <c r="Q3243" s="26">
        <v>6</v>
      </c>
      <c r="R3243" s="26">
        <v>0</v>
      </c>
      <c r="S3243" s="26">
        <v>3</v>
      </c>
      <c r="T3243" s="26">
        <v>1</v>
      </c>
      <c r="U3243" s="26">
        <v>4</v>
      </c>
      <c r="V3243" s="26">
        <v>1</v>
      </c>
      <c r="W3243" s="26"/>
    </row>
    <row r="3244" spans="1:23" x14ac:dyDescent="0.25">
      <c r="A3244" s="26" t="str">
        <f t="shared" si="555"/>
        <v>PRIMARIA</v>
      </c>
      <c r="B3244" s="26" t="str">
        <f>"09PPR1861F"</f>
        <v>09PPR1861F</v>
      </c>
      <c r="C3244" s="26" t="str">
        <f>"""COLEGIO ASTURIAS""                                                                                  "</f>
        <v xml:space="preserve">"COLEGIO ASTURIAS"                                                                                  </v>
      </c>
      <c r="D3244" s="26" t="str">
        <f t="shared" si="564"/>
        <v>MATUTINO</v>
      </c>
      <c r="E3244" s="26" t="str">
        <f>"ORIENTE 69 NUMERO 2924                                                          "</f>
        <v xml:space="preserve">ORIENTE 69 NUMERO 2924                                                          </v>
      </c>
      <c r="F3244" s="26" t="str">
        <f>"ASTURIAS                                                                                                                                    "</f>
        <v xml:space="preserve">ASTURIAS                                                                                                                                    </v>
      </c>
      <c r="G3244" s="26" t="str">
        <f>"CUAUHTEMOC                                                                      "</f>
        <v xml:space="preserve">CUAUHTEMOC                                                                      </v>
      </c>
      <c r="H3244" s="26" t="str">
        <f>"225"</f>
        <v>225</v>
      </c>
      <c r="I3244" s="26" t="str">
        <f>"00"</f>
        <v>00</v>
      </c>
      <c r="J3244" s="26" t="str">
        <f>"41 "</f>
        <v xml:space="preserve">41 </v>
      </c>
      <c r="K3244" s="26" t="str">
        <f>"PR"</f>
        <v>PR</v>
      </c>
      <c r="L3244" s="26" t="str">
        <f>"DGOSE"</f>
        <v>DGOSE</v>
      </c>
      <c r="M3244" s="26" t="str">
        <f t="shared" si="560"/>
        <v>PARTICULAR</v>
      </c>
      <c r="N3244" s="26">
        <v>103</v>
      </c>
      <c r="O3244" s="26">
        <v>62</v>
      </c>
      <c r="P3244" s="26">
        <v>41</v>
      </c>
      <c r="Q3244" s="26">
        <v>3</v>
      </c>
      <c r="R3244" s="26">
        <v>1</v>
      </c>
      <c r="S3244" s="26">
        <v>3</v>
      </c>
      <c r="T3244" s="26">
        <v>4</v>
      </c>
      <c r="U3244" s="26">
        <v>8</v>
      </c>
      <c r="V3244" s="26">
        <v>1</v>
      </c>
      <c r="W3244" s="26"/>
    </row>
    <row r="3245" spans="1:23" x14ac:dyDescent="0.25">
      <c r="A3245" s="26" t="str">
        <f t="shared" si="555"/>
        <v>PRIMARIA</v>
      </c>
      <c r="B3245" s="26" t="str">
        <f>"09PPR1862E"</f>
        <v>09PPR1862E</v>
      </c>
      <c r="C3245" s="26" t="str">
        <f>"""CONEYOTL PILTZINTLI""                                                                               "</f>
        <v xml:space="preserve">"CONEYOTL PILTZINTLI"                                                                               </v>
      </c>
      <c r="D3245" s="26" t="str">
        <f t="shared" si="564"/>
        <v>MATUTINO</v>
      </c>
      <c r="E3245" s="26" t="str">
        <f>"INDEPENDENCIA Y CUITLAHUAC NO 3                                                 "</f>
        <v xml:space="preserve">INDEPENDENCIA Y CUITLAHUAC NO 3                                                 </v>
      </c>
      <c r="F3245" s="26" t="str">
        <f>"SAN PEDRO ATOCPAN                                                                                                                           "</f>
        <v xml:space="preserve">SAN PEDRO ATOCPAN                                                                                                                           </v>
      </c>
      <c r="G3245" s="26" t="str">
        <f>"MILPA ALTA                                                                      "</f>
        <v xml:space="preserve">MILPA ALTA                                                                      </v>
      </c>
      <c r="H3245" s="26" t="str">
        <f>"564"</f>
        <v>564</v>
      </c>
      <c r="I3245" s="26" t="str">
        <f>"43"</f>
        <v>43</v>
      </c>
      <c r="J3245" s="26" t="str">
        <f>"45 "</f>
        <v xml:space="preserve">45 </v>
      </c>
      <c r="K3245" s="26" t="str">
        <f>"PR"</f>
        <v>PR</v>
      </c>
      <c r="L3245" s="26" t="str">
        <f>"DGOSE"</f>
        <v>DGOSE</v>
      </c>
      <c r="M3245" s="26" t="str">
        <f t="shared" si="560"/>
        <v>PARTICULAR</v>
      </c>
      <c r="N3245" s="26">
        <v>10</v>
      </c>
      <c r="O3245" s="26">
        <v>5</v>
      </c>
      <c r="P3245" s="26">
        <v>5</v>
      </c>
      <c r="Q3245" s="26">
        <v>6</v>
      </c>
      <c r="R3245" s="26">
        <v>1</v>
      </c>
      <c r="S3245" s="26">
        <v>4</v>
      </c>
      <c r="T3245" s="26">
        <v>1</v>
      </c>
      <c r="U3245" s="26">
        <v>6</v>
      </c>
      <c r="V3245" s="26">
        <v>1</v>
      </c>
      <c r="W3245" s="26"/>
    </row>
    <row r="3246" spans="1:23" x14ac:dyDescent="0.25">
      <c r="A3246" s="26" t="str">
        <f t="shared" si="555"/>
        <v>PRIMARIA</v>
      </c>
      <c r="B3246" s="26" t="str">
        <f>"09PPR1863D"</f>
        <v>09PPR1863D</v>
      </c>
      <c r="C3246" s="26" t="str">
        <f>"""COLEGIO GARABATOS CELESTIN FREINET S.C.""                                                           "</f>
        <v xml:space="preserve">"COLEGIO GARABATOS CELESTIN FREINET S.C."                                                           </v>
      </c>
      <c r="D3246" s="26" t="str">
        <f t="shared" si="564"/>
        <v>MATUTINO</v>
      </c>
      <c r="E3246" s="26" t="str">
        <f>"NAHUATLACAS NO 482                                                              "</f>
        <v xml:space="preserve">NAHUATLACAS NO 482                                                              </v>
      </c>
      <c r="F3246" s="26" t="str">
        <f>"AJUSCO                                                                                                                                      "</f>
        <v xml:space="preserve">AJUSCO                                                                                                                                      </v>
      </c>
      <c r="G3246" s="26" t="str">
        <f>"COYOACAN                                                                        "</f>
        <v xml:space="preserve">COYOACAN                                                                        </v>
      </c>
      <c r="H3246" s="26" t="str">
        <f>"505"</f>
        <v>505</v>
      </c>
      <c r="I3246" s="26" t="str">
        <f>"31"</f>
        <v>31</v>
      </c>
      <c r="J3246" s="26" t="str">
        <f>"45 "</f>
        <v xml:space="preserve">45 </v>
      </c>
      <c r="K3246" s="26" t="str">
        <f>"PR"</f>
        <v>PR</v>
      </c>
      <c r="L3246" s="26" t="str">
        <f>"DGOSE"</f>
        <v>DGOSE</v>
      </c>
      <c r="M3246" s="26" t="str">
        <f t="shared" si="560"/>
        <v>PARTICULAR</v>
      </c>
      <c r="N3246" s="26">
        <v>74</v>
      </c>
      <c r="O3246" s="26">
        <v>34</v>
      </c>
      <c r="P3246" s="26">
        <v>40</v>
      </c>
      <c r="Q3246" s="26">
        <v>6</v>
      </c>
      <c r="R3246" s="26">
        <v>1</v>
      </c>
      <c r="S3246" s="26">
        <v>3</v>
      </c>
      <c r="T3246" s="26">
        <v>4</v>
      </c>
      <c r="U3246" s="26">
        <v>8</v>
      </c>
      <c r="V3246" s="26">
        <v>1</v>
      </c>
      <c r="W3246" s="26"/>
    </row>
    <row r="3247" spans="1:23" x14ac:dyDescent="0.25">
      <c r="A3247" s="26" t="str">
        <f t="shared" si="555"/>
        <v>PRIMARIA</v>
      </c>
      <c r="B3247" s="26" t="str">
        <f>"09PPR5156X"</f>
        <v>09PPR5156X</v>
      </c>
      <c r="C3247" s="26" t="str">
        <f>"INSTITUTO WISDOM                                                                                    "</f>
        <v xml:space="preserve">INSTITUTO WISDOM                                                                                    </v>
      </c>
      <c r="D3247" s="26" t="str">
        <f t="shared" si="564"/>
        <v>MATUTINO</v>
      </c>
      <c r="E3247" s="26" t="str">
        <f>"MARMOLEJO NO. 103                                                               "</f>
        <v xml:space="preserve">MARMOLEJO NO. 103                                                               </v>
      </c>
      <c r="F3247" s="26" t="str">
        <f>"CERRO DE LA ESTRELLA                                                                                                                        "</f>
        <v xml:space="preserve">CERRO DE LA ESTRELLA                                                                                                                        </v>
      </c>
      <c r="G3247" s="26" t="str">
        <f>"IZTAPALAPA                                                                      "</f>
        <v xml:space="preserve">IZTAPALAPA                                                                      </v>
      </c>
      <c r="H3247" s="26" t="str">
        <f>"000"</f>
        <v>000</v>
      </c>
      <c r="I3247" s="26" t="str">
        <f>"00"</f>
        <v>00</v>
      </c>
      <c r="J3247" s="26" t="str">
        <f>"63 "</f>
        <v xml:space="preserve">63 </v>
      </c>
      <c r="K3247" s="26" t="str">
        <f>"IZ"</f>
        <v>IZ</v>
      </c>
      <c r="L3247" s="26" t="str">
        <f>"DGSEI"</f>
        <v>DGSEI</v>
      </c>
      <c r="M3247" s="26" t="str">
        <f t="shared" si="560"/>
        <v>PARTICULAR</v>
      </c>
      <c r="N3247" s="26">
        <v>38</v>
      </c>
      <c r="O3247" s="26">
        <v>22</v>
      </c>
      <c r="P3247" s="26">
        <v>16</v>
      </c>
      <c r="Q3247" s="26">
        <v>5</v>
      </c>
      <c r="R3247" s="26">
        <v>1</v>
      </c>
      <c r="S3247" s="26">
        <v>5</v>
      </c>
      <c r="T3247" s="26">
        <v>5</v>
      </c>
      <c r="U3247" s="26">
        <v>11</v>
      </c>
      <c r="V3247" s="26">
        <v>1</v>
      </c>
      <c r="W3247" s="26"/>
    </row>
    <row r="3248" spans="1:23" x14ac:dyDescent="0.25">
      <c r="A3248" s="26" t="str">
        <f t="shared" si="555"/>
        <v>PRIMARIA</v>
      </c>
      <c r="B3248" s="26" t="str">
        <f>"09PPR5158Z"</f>
        <v>09PPR5158Z</v>
      </c>
      <c r="C3248" s="26" t="str">
        <f>"""CENTRO DE APRENDIZAJE CELESTINE FREINET""                                                           "</f>
        <v xml:space="preserve">"CENTRO DE APRENDIZAJE CELESTINE FREINET"                                                           </v>
      </c>
      <c r="D3248" s="26" t="str">
        <f t="shared" si="564"/>
        <v>MATUTINO</v>
      </c>
      <c r="E3248" s="26" t="str">
        <f>"JOSE SANCHEZ TRUJILLO NUM. 165                                                  "</f>
        <v xml:space="preserve">JOSE SANCHEZ TRUJILLO NUM. 165                                                  </v>
      </c>
      <c r="F3248" s="26" t="str">
        <f>"SAN ALVARO                                                                                                                                  "</f>
        <v xml:space="preserve">SAN ALVARO                                                                                                                                  </v>
      </c>
      <c r="G3248" s="26" t="str">
        <f>"AZCAPOTZALCO                                                                    "</f>
        <v xml:space="preserve">AZCAPOTZALCO                                                                    </v>
      </c>
      <c r="H3248" s="26" t="str">
        <f>"000"</f>
        <v>000</v>
      </c>
      <c r="I3248" s="26" t="str">
        <f>"00"</f>
        <v>00</v>
      </c>
      <c r="J3248" s="26" t="str">
        <f>"42 "</f>
        <v xml:space="preserve">42 </v>
      </c>
      <c r="K3248" s="26" t="str">
        <f>"PR"</f>
        <v>PR</v>
      </c>
      <c r="L3248" s="26" t="str">
        <f>"DGOSE"</f>
        <v>DGOSE</v>
      </c>
      <c r="M3248" s="26" t="str">
        <f t="shared" si="560"/>
        <v>PARTICULAR</v>
      </c>
      <c r="N3248" s="26">
        <v>113</v>
      </c>
      <c r="O3248" s="26">
        <v>53</v>
      </c>
      <c r="P3248" s="26">
        <v>60</v>
      </c>
      <c r="Q3248" s="26">
        <v>6</v>
      </c>
      <c r="R3248" s="26">
        <v>1</v>
      </c>
      <c r="S3248" s="26">
        <v>4</v>
      </c>
      <c r="T3248" s="26">
        <v>6</v>
      </c>
      <c r="U3248" s="26">
        <v>11</v>
      </c>
      <c r="V3248" s="26">
        <v>1</v>
      </c>
      <c r="W3248" s="26"/>
    </row>
    <row r="3249" spans="1:24" x14ac:dyDescent="0.25">
      <c r="A3249" s="27" t="s">
        <v>3983</v>
      </c>
      <c r="V3249" s="28"/>
      <c r="W3249" s="28"/>
      <c r="X3249" s="28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68"/>
  <sheetViews>
    <sheetView showGridLines="0" workbookViewId="0"/>
  </sheetViews>
  <sheetFormatPr baseColWidth="10" defaultRowHeight="15" x14ac:dyDescent="0.25"/>
  <cols>
    <col min="5" max="7" width="11.42578125" customWidth="1"/>
  </cols>
  <sheetData>
    <row r="1" spans="1:23" x14ac:dyDescent="0.25">
      <c r="A1" s="24" t="str">
        <f>"NIVEL"</f>
        <v>NIVEL</v>
      </c>
      <c r="B1" s="24" t="str">
        <f>"CLAVECCT"</f>
        <v>CLAVECCT</v>
      </c>
      <c r="C1" s="24" t="str">
        <f>"NOMBRE_CT"</f>
        <v>NOMBRE_CT</v>
      </c>
      <c r="D1" s="24" t="str">
        <f>"TURNO"</f>
        <v>TURNO</v>
      </c>
      <c r="E1" s="24" t="str">
        <f>"DOMICILIO"</f>
        <v>DOMICILIO</v>
      </c>
      <c r="F1" s="24" t="str">
        <f>"COLONIA"</f>
        <v>COLONIA</v>
      </c>
      <c r="G1" s="24" t="str">
        <f>"DELEGACION"</f>
        <v>DELEGACION</v>
      </c>
      <c r="H1" s="24" t="str">
        <f>"ZONA"</f>
        <v>ZONA</v>
      </c>
      <c r="I1" s="24" t="str">
        <f>"SECTOR"</f>
        <v>SECTOR</v>
      </c>
      <c r="J1" s="24" t="str">
        <f>"DIRSERVREG"</f>
        <v>DIRSERVREG</v>
      </c>
      <c r="K1" s="24" t="str">
        <f>"DEPNORMTVA"</f>
        <v>DEPNORMTVA</v>
      </c>
      <c r="L1" s="24" t="str">
        <f>"DIR_GRAL"</f>
        <v>DIR_GRAL</v>
      </c>
      <c r="M1" s="24" t="str">
        <f>"SOSTENIMIENTO"</f>
        <v>SOSTENIMIENTO</v>
      </c>
      <c r="N1" s="24" t="str">
        <f>"ALUMNOS"</f>
        <v>ALUMNOS</v>
      </c>
      <c r="O1" s="24" t="str">
        <f>"HOMBRES"</f>
        <v>HOMBRES</v>
      </c>
      <c r="P1" s="24" t="str">
        <f>"MUJERES"</f>
        <v>MUJERES</v>
      </c>
      <c r="Q1" s="24" t="str">
        <f>"GRUPOS"</f>
        <v>GRUPOS</v>
      </c>
      <c r="R1" s="24" t="str">
        <f>"DIRECTORES"</f>
        <v>DIRECTORES</v>
      </c>
      <c r="S1" s="24" t="str">
        <f>"DOCENTES"</f>
        <v>DOCENTES</v>
      </c>
      <c r="T1" s="24" t="str">
        <f>"APOYO"</f>
        <v>APOYO</v>
      </c>
      <c r="U1" s="24" t="str">
        <f>"TOTAL"</f>
        <v>TOTAL</v>
      </c>
      <c r="V1" s="24" t="str">
        <f>"ESCUELAS"</f>
        <v>ESCUELAS</v>
      </c>
      <c r="W1" s="25" t="s">
        <v>75</v>
      </c>
    </row>
    <row r="2" spans="1:23" x14ac:dyDescent="0.25">
      <c r="A2" s="26" t="str">
        <f t="shared" ref="A2:A65" si="0">"SECUNDARIA"</f>
        <v>SECUNDARIA</v>
      </c>
      <c r="B2" s="26" t="str">
        <f>"09DAL0011Y"</f>
        <v>09DAL0011Y</v>
      </c>
      <c r="C2" s="26" t="str">
        <f>"ESCUELA NACIONAL DE DANZA CLASICA                                                                   "</f>
        <v xml:space="preserve">ESCUELA NACIONAL DE DANZA CLASICA                                                                   </v>
      </c>
      <c r="D2" s="26" t="str">
        <f>"TIEMPO COMPLETO"</f>
        <v>TIEMPO COMPLETO</v>
      </c>
      <c r="E2" s="26" t="str">
        <f>"AV RIO CHURUBUSCO ESQ CALZ DE TLALPAN                                           "</f>
        <v xml:space="preserve">AV RIO CHURUBUSCO ESQ CALZ DE TLALPAN                                           </v>
      </c>
      <c r="F2" s="26" t="str">
        <f>"COUNTRY CLUB CHURUBUSCO                                                                                                                     "</f>
        <v xml:space="preserve">COUNTRY CLUB CHURUBUSCO                                                                                                                     </v>
      </c>
      <c r="G2" s="26" t="str">
        <f>"COYOACAN                                                                        "</f>
        <v xml:space="preserve">COYOACAN                                                                        </v>
      </c>
      <c r="H2" s="26" t="str">
        <f>"001"</f>
        <v>001</v>
      </c>
      <c r="I2" s="26" t="str">
        <f t="shared" ref="I2:I65" si="1">"00"</f>
        <v>00</v>
      </c>
      <c r="J2" s="26" t="str">
        <f>"92 "</f>
        <v xml:space="preserve">92 </v>
      </c>
      <c r="K2" s="26" t="str">
        <f>"AL"</f>
        <v>AL</v>
      </c>
      <c r="L2" s="26" t="str">
        <f>"INBA"</f>
        <v>INBA</v>
      </c>
      <c r="M2" s="26" t="str">
        <f t="shared" ref="M2:M65" si="2">"FEDERAL"</f>
        <v>FEDERAL</v>
      </c>
      <c r="N2" s="26">
        <v>42</v>
      </c>
      <c r="O2" s="26">
        <v>2</v>
      </c>
      <c r="P2" s="26">
        <v>40</v>
      </c>
      <c r="Q2" s="26">
        <v>4</v>
      </c>
      <c r="R2" s="26">
        <v>0</v>
      </c>
      <c r="S2" s="26">
        <v>17</v>
      </c>
      <c r="T2" s="26">
        <v>7</v>
      </c>
      <c r="U2" s="26">
        <v>24</v>
      </c>
      <c r="V2" s="26">
        <v>1</v>
      </c>
      <c r="W2" s="26"/>
    </row>
    <row r="3" spans="1:23" x14ac:dyDescent="0.25">
      <c r="A3" s="26" t="str">
        <f t="shared" si="0"/>
        <v>SECUNDARIA</v>
      </c>
      <c r="B3" s="26" t="str">
        <f>"09DAL0024B"</f>
        <v>09DAL0024B</v>
      </c>
      <c r="C3" s="26" t="str">
        <f>"ACADEMIA DE LA DANZA MEXICANA                                                                       "</f>
        <v xml:space="preserve">ACADEMIA DE LA DANZA MEXICANA                                                                       </v>
      </c>
      <c r="D3" s="26" t="str">
        <f>"TIEMPO COMPLETO"</f>
        <v>TIEMPO COMPLETO</v>
      </c>
      <c r="E3" s="26" t="str">
        <f>"PROL XICOTENCATL NO 24                                                          "</f>
        <v xml:space="preserve">PROL XICOTENCATL NO 24                                                          </v>
      </c>
      <c r="F3" s="26" t="str">
        <f>"CHURUBUSCO                                                                                                                                  "</f>
        <v xml:space="preserve">CHURUBUSCO                                                                                                                                  </v>
      </c>
      <c r="G3" s="26" t="str">
        <f>"COYOACAN                                                                        "</f>
        <v xml:space="preserve">COYOACAN                                                                        </v>
      </c>
      <c r="H3" s="26" t="str">
        <f>"001"</f>
        <v>001</v>
      </c>
      <c r="I3" s="26" t="str">
        <f t="shared" si="1"/>
        <v>00</v>
      </c>
      <c r="J3" s="26" t="str">
        <f>"92 "</f>
        <v xml:space="preserve">92 </v>
      </c>
      <c r="K3" s="26" t="str">
        <f>"AL"</f>
        <v>AL</v>
      </c>
      <c r="L3" s="26" t="str">
        <f>"INBA"</f>
        <v>INBA</v>
      </c>
      <c r="M3" s="26" t="str">
        <f t="shared" si="2"/>
        <v>FEDERAL</v>
      </c>
      <c r="N3" s="26">
        <v>25</v>
      </c>
      <c r="O3" s="26">
        <v>5</v>
      </c>
      <c r="P3" s="26">
        <v>20</v>
      </c>
      <c r="Q3" s="26">
        <v>3</v>
      </c>
      <c r="R3" s="26">
        <v>5</v>
      </c>
      <c r="S3" s="26">
        <v>17</v>
      </c>
      <c r="T3" s="26">
        <v>15</v>
      </c>
      <c r="U3" s="26">
        <v>37</v>
      </c>
      <c r="V3" s="26">
        <v>1</v>
      </c>
      <c r="W3" s="26"/>
    </row>
    <row r="4" spans="1:23" x14ac:dyDescent="0.25">
      <c r="A4" s="26" t="str">
        <f t="shared" si="0"/>
        <v>SECUNDARIA</v>
      </c>
      <c r="B4" s="26" t="str">
        <f>"09DAR0001L"</f>
        <v>09DAR0001L</v>
      </c>
      <c r="C4" s="26" t="str">
        <f>"CENTRO DE EDUCACION ARTISTICA ""DIEGO RIVERA""                                                        "</f>
        <v xml:space="preserve">CENTRO DE EDUCACION ARTISTICA "DIEGO RIVERA"                                                        </v>
      </c>
      <c r="D4" s="26" t="str">
        <f>"TIEMPO COMPLETO"</f>
        <v>TIEMPO COMPLETO</v>
      </c>
      <c r="E4" s="26" t="str">
        <f>"CERRO DE LA ESTRELLA NO 120                                                     "</f>
        <v xml:space="preserve">CERRO DE LA ESTRELLA NO 120                                                     </v>
      </c>
      <c r="F4" s="26" t="str">
        <f>"CAMPESTRE CHURUBUSCO                                                                                                                        "</f>
        <v xml:space="preserve">CAMPESTRE CHURUBUSCO                                                                                                                        </v>
      </c>
      <c r="G4" s="26" t="str">
        <f>"COYOACAN                                                                        "</f>
        <v xml:space="preserve">COYOACAN                                                                        </v>
      </c>
      <c r="H4" s="26" t="str">
        <f>"001"</f>
        <v>001</v>
      </c>
      <c r="I4" s="26" t="str">
        <f t="shared" si="1"/>
        <v>00</v>
      </c>
      <c r="J4" s="26" t="str">
        <f>"92 "</f>
        <v xml:space="preserve">92 </v>
      </c>
      <c r="K4" s="26" t="str">
        <f>"AL"</f>
        <v>AL</v>
      </c>
      <c r="L4" s="26" t="str">
        <f>"INBA"</f>
        <v>INBA</v>
      </c>
      <c r="M4" s="26" t="str">
        <f t="shared" si="2"/>
        <v>FEDERAL</v>
      </c>
      <c r="N4" s="26">
        <v>70</v>
      </c>
      <c r="O4" s="26">
        <v>20</v>
      </c>
      <c r="P4" s="26">
        <v>50</v>
      </c>
      <c r="Q4" s="26">
        <v>3</v>
      </c>
      <c r="R4" s="26">
        <v>0</v>
      </c>
      <c r="S4" s="26">
        <v>20</v>
      </c>
      <c r="T4" s="26">
        <v>27</v>
      </c>
      <c r="U4" s="26">
        <v>47</v>
      </c>
      <c r="V4" s="26">
        <v>1</v>
      </c>
      <c r="W4" s="26"/>
    </row>
    <row r="5" spans="1:23" x14ac:dyDescent="0.25">
      <c r="A5" s="26" t="str">
        <f t="shared" si="0"/>
        <v>SECUNDARIA</v>
      </c>
      <c r="B5" s="26" t="str">
        <f>"09DES0001G"</f>
        <v>09DES0001G</v>
      </c>
      <c r="C5" s="26" t="str">
        <f>"CESAR A. RUIZ                                                                                       "</f>
        <v xml:space="preserve">CESAR A. RUIZ                                                                                       </v>
      </c>
      <c r="D5" s="26" t="str">
        <f>"JORNADA AMPLIADA"</f>
        <v>JORNADA AMPLIADA</v>
      </c>
      <c r="E5" s="26" t="str">
        <f>"REGINA NO 111                                                                   "</f>
        <v xml:space="preserve">REGINA NO 111                                                                   </v>
      </c>
      <c r="F5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5" s="26" t="str">
        <f>"CUAUHTEMOC                                                                      "</f>
        <v xml:space="preserve">CUAUHTEMOC                                                                      </v>
      </c>
      <c r="H5" s="26" t="str">
        <f>"029"</f>
        <v>029</v>
      </c>
      <c r="I5" s="26" t="str">
        <f t="shared" si="1"/>
        <v>00</v>
      </c>
      <c r="J5" s="26" t="str">
        <f>"51 "</f>
        <v xml:space="preserve">51 </v>
      </c>
      <c r="K5" s="26" t="str">
        <f t="shared" ref="K5:K25" si="3">"SG"</f>
        <v>SG</v>
      </c>
      <c r="L5" s="26" t="str">
        <f t="shared" ref="L5:L25" si="4">"DGOSE"</f>
        <v>DGOSE</v>
      </c>
      <c r="M5" s="26" t="str">
        <f t="shared" si="2"/>
        <v>FEDERAL</v>
      </c>
      <c r="N5" s="26">
        <v>499</v>
      </c>
      <c r="O5" s="26">
        <v>242</v>
      </c>
      <c r="P5" s="26">
        <v>257</v>
      </c>
      <c r="Q5" s="26">
        <v>17</v>
      </c>
      <c r="R5" s="26">
        <v>1</v>
      </c>
      <c r="S5" s="26">
        <v>39</v>
      </c>
      <c r="T5" s="26">
        <v>25</v>
      </c>
      <c r="U5" s="26">
        <v>65</v>
      </c>
      <c r="V5" s="26">
        <v>1</v>
      </c>
      <c r="W5" s="26" t="s">
        <v>2076</v>
      </c>
    </row>
    <row r="6" spans="1:23" x14ac:dyDescent="0.25">
      <c r="A6" s="26" t="str">
        <f t="shared" si="0"/>
        <v>SECUNDARIA</v>
      </c>
      <c r="B6" s="26" t="str">
        <f>"09DES0002F"</f>
        <v>09DES0002F</v>
      </c>
      <c r="C6" s="26" t="str">
        <f>"ANA MARIA BERLANGA                                                                                  "</f>
        <v xml:space="preserve">ANA MARIA BERLANGA                                                                                  </v>
      </c>
      <c r="D6" s="26" t="str">
        <f t="shared" ref="D6:D14" si="5">"MATUTINO"</f>
        <v>MATUTINO</v>
      </c>
      <c r="E6" s="26" t="str">
        <f>"FRESNO NO 45                                                                    "</f>
        <v xml:space="preserve">FRESNO NO 45                                                                    </v>
      </c>
      <c r="F6" s="26" t="str">
        <f>"SANTA MARIA LA RIBERA                                                                                                                       "</f>
        <v xml:space="preserve">SANTA MARIA LA RIBERA                                                                                                                       </v>
      </c>
      <c r="G6" s="26" t="str">
        <f>"CUAUHTEMOC                                                                      "</f>
        <v xml:space="preserve">CUAUHTEMOC                                                                      </v>
      </c>
      <c r="H6" s="26" t="str">
        <f>"028"</f>
        <v>028</v>
      </c>
      <c r="I6" s="26" t="str">
        <f t="shared" si="1"/>
        <v>00</v>
      </c>
      <c r="J6" s="26" t="str">
        <f>"51 "</f>
        <v xml:space="preserve">51 </v>
      </c>
      <c r="K6" s="26" t="str">
        <f t="shared" si="3"/>
        <v>SG</v>
      </c>
      <c r="L6" s="26" t="str">
        <f t="shared" si="4"/>
        <v>DGOSE</v>
      </c>
      <c r="M6" s="26" t="str">
        <f t="shared" si="2"/>
        <v>FEDERAL</v>
      </c>
      <c r="N6" s="26">
        <v>779</v>
      </c>
      <c r="O6" s="26">
        <v>0</v>
      </c>
      <c r="P6" s="26">
        <v>779</v>
      </c>
      <c r="Q6" s="26">
        <v>18</v>
      </c>
      <c r="R6" s="26">
        <v>2</v>
      </c>
      <c r="S6" s="26">
        <v>42</v>
      </c>
      <c r="T6" s="26">
        <v>26</v>
      </c>
      <c r="U6" s="26">
        <v>70</v>
      </c>
      <c r="V6" s="26">
        <v>1</v>
      </c>
      <c r="W6" s="26"/>
    </row>
    <row r="7" spans="1:23" x14ac:dyDescent="0.25">
      <c r="A7" s="26" t="str">
        <f t="shared" si="0"/>
        <v>SECUNDARIA</v>
      </c>
      <c r="B7" s="26" t="str">
        <f>"09DES0003E"</f>
        <v>09DES0003E</v>
      </c>
      <c r="C7" s="26" t="str">
        <f>"HEROES DE CHAPULTEPEC                                                                               "</f>
        <v xml:space="preserve">HEROES DE CHAPULTEPEC                                                                               </v>
      </c>
      <c r="D7" s="26" t="str">
        <f t="shared" si="5"/>
        <v>MATUTINO</v>
      </c>
      <c r="E7" s="26" t="str">
        <f>"AV CHAPULTEPEC NO 183                                                           "</f>
        <v xml:space="preserve">AV CHAPULTEPEC NO 183                                                           </v>
      </c>
      <c r="F7" s="26" t="str">
        <f>"JUAREZ                                                                                                                                      "</f>
        <v xml:space="preserve">JUAREZ                                                                                                                                      </v>
      </c>
      <c r="G7" s="26" t="str">
        <f>"CUAUHTEMOC                                                                      "</f>
        <v xml:space="preserve">CUAUHTEMOC                                                                      </v>
      </c>
      <c r="H7" s="26" t="str">
        <f>"030"</f>
        <v>030</v>
      </c>
      <c r="I7" s="26" t="str">
        <f t="shared" si="1"/>
        <v>00</v>
      </c>
      <c r="J7" s="26" t="str">
        <f>"51 "</f>
        <v xml:space="preserve">51 </v>
      </c>
      <c r="K7" s="26" t="str">
        <f t="shared" si="3"/>
        <v>SG</v>
      </c>
      <c r="L7" s="26" t="str">
        <f t="shared" si="4"/>
        <v>DGOSE</v>
      </c>
      <c r="M7" s="26" t="str">
        <f t="shared" si="2"/>
        <v>FEDERAL</v>
      </c>
      <c r="N7" s="26">
        <v>608</v>
      </c>
      <c r="O7" s="26">
        <v>318</v>
      </c>
      <c r="P7" s="26">
        <v>290</v>
      </c>
      <c r="Q7" s="26">
        <v>15</v>
      </c>
      <c r="R7" s="26">
        <v>2</v>
      </c>
      <c r="S7" s="26">
        <v>36</v>
      </c>
      <c r="T7" s="26">
        <v>24</v>
      </c>
      <c r="U7" s="26">
        <v>62</v>
      </c>
      <c r="V7" s="26">
        <v>1</v>
      </c>
      <c r="W7" s="26"/>
    </row>
    <row r="8" spans="1:23" x14ac:dyDescent="0.25">
      <c r="A8" s="26" t="str">
        <f t="shared" si="0"/>
        <v>SECUNDARIA</v>
      </c>
      <c r="B8" s="26" t="str">
        <f>"09DES0004D"</f>
        <v>09DES0004D</v>
      </c>
      <c r="C8" s="26" t="str">
        <f>"MOISES SAENZ                                                                                        "</f>
        <v xml:space="preserve">MOISES SAENZ                                                                                        </v>
      </c>
      <c r="D8" s="26" t="str">
        <f t="shared" si="5"/>
        <v>MATUTINO</v>
      </c>
      <c r="E8" s="26" t="str">
        <f>"RIVERA DE SAN COSME NO 61                                                       "</f>
        <v xml:space="preserve">RIVERA DE SAN COSME NO 61                                                       </v>
      </c>
      <c r="F8" s="26" t="str">
        <f>"SANTA MARIA LA RIBERA                                                                                                                       "</f>
        <v xml:space="preserve">SANTA MARIA LA RIBERA                                                                                                                       </v>
      </c>
      <c r="G8" s="26" t="str">
        <f>"CUAUHTEMOC                                                                      "</f>
        <v xml:space="preserve">CUAUHTEMOC                                                                      </v>
      </c>
      <c r="H8" s="26" t="str">
        <f>"028"</f>
        <v>028</v>
      </c>
      <c r="I8" s="26" t="str">
        <f t="shared" si="1"/>
        <v>00</v>
      </c>
      <c r="J8" s="26" t="str">
        <f>"51 "</f>
        <v xml:space="preserve">51 </v>
      </c>
      <c r="K8" s="26" t="str">
        <f t="shared" si="3"/>
        <v>SG</v>
      </c>
      <c r="L8" s="26" t="str">
        <f t="shared" si="4"/>
        <v>DGOSE</v>
      </c>
      <c r="M8" s="26" t="str">
        <f t="shared" si="2"/>
        <v>FEDERAL</v>
      </c>
      <c r="N8" s="26">
        <v>928</v>
      </c>
      <c r="O8" s="26">
        <v>485</v>
      </c>
      <c r="P8" s="26">
        <v>443</v>
      </c>
      <c r="Q8" s="26">
        <v>24</v>
      </c>
      <c r="R8" s="26">
        <v>2</v>
      </c>
      <c r="S8" s="26">
        <v>55</v>
      </c>
      <c r="T8" s="26">
        <v>42</v>
      </c>
      <c r="U8" s="26">
        <v>99</v>
      </c>
      <c r="V8" s="26">
        <v>1</v>
      </c>
      <c r="W8" s="26"/>
    </row>
    <row r="9" spans="1:23" x14ac:dyDescent="0.25">
      <c r="A9" s="26" t="str">
        <f t="shared" si="0"/>
        <v>SECUNDARIA</v>
      </c>
      <c r="B9" s="26" t="str">
        <f>"09DES0005C"</f>
        <v>09DES0005C</v>
      </c>
      <c r="C9" s="26" t="str">
        <f>"LAURO AGUIRRE                                                                                       "</f>
        <v xml:space="preserve">LAURO AGUIRRE                                                                                       </v>
      </c>
      <c r="D9" s="26" t="str">
        <f t="shared" si="5"/>
        <v>MATUTINO</v>
      </c>
      <c r="E9" s="26" t="str">
        <f>"ORFEBRERIA S/N Y PELUQUEROS                                                     "</f>
        <v xml:space="preserve">ORFEBRERIA S/N Y PELUQUEROS                                                     </v>
      </c>
      <c r="F9" s="26" t="str">
        <f>"MICHOACANA                                                                                                                                  "</f>
        <v xml:space="preserve">MICHOACANA                                                                                                                                  </v>
      </c>
      <c r="G9" s="26" t="str">
        <f>"VENUSTIANO CARRANZA                                                             "</f>
        <v xml:space="preserve">VENUSTIANO CARRANZA                                                             </v>
      </c>
      <c r="H9" s="26" t="str">
        <f>"074"</f>
        <v>074</v>
      </c>
      <c r="I9" s="26" t="str">
        <f t="shared" si="1"/>
        <v>00</v>
      </c>
      <c r="J9" s="26" t="str">
        <f>"54 "</f>
        <v xml:space="preserve">54 </v>
      </c>
      <c r="K9" s="26" t="str">
        <f t="shared" si="3"/>
        <v>SG</v>
      </c>
      <c r="L9" s="26" t="str">
        <f t="shared" si="4"/>
        <v>DGOSE</v>
      </c>
      <c r="M9" s="26" t="str">
        <f t="shared" si="2"/>
        <v>FEDERAL</v>
      </c>
      <c r="N9" s="26">
        <v>593</v>
      </c>
      <c r="O9" s="26">
        <v>295</v>
      </c>
      <c r="P9" s="26">
        <v>298</v>
      </c>
      <c r="Q9" s="26">
        <v>21</v>
      </c>
      <c r="R9" s="26">
        <v>2</v>
      </c>
      <c r="S9" s="26">
        <v>46</v>
      </c>
      <c r="T9" s="26">
        <v>34</v>
      </c>
      <c r="U9" s="26">
        <v>82</v>
      </c>
      <c r="V9" s="26">
        <v>1</v>
      </c>
      <c r="W9" s="26"/>
    </row>
    <row r="10" spans="1:23" x14ac:dyDescent="0.25">
      <c r="A10" s="26" t="str">
        <f t="shared" si="0"/>
        <v>SECUNDARIA</v>
      </c>
      <c r="B10" s="26" t="str">
        <f>"09DES0006B"</f>
        <v>09DES0006B</v>
      </c>
      <c r="C10" s="26" t="str">
        <f>"CARLOTA JASO                                                                                        "</f>
        <v xml:space="preserve">CARLOTA JASO                                                                                        </v>
      </c>
      <c r="D10" s="26" t="str">
        <f t="shared" si="5"/>
        <v>MATUTINO</v>
      </c>
      <c r="E10" s="26" t="str">
        <f>"SAN IDELFONSO NO 46                                                             "</f>
        <v xml:space="preserve">SAN IDELFONSO NO 46                                                             </v>
      </c>
      <c r="F10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10" s="26" t="str">
        <f>"CUAUHTEMOC                                                                      "</f>
        <v xml:space="preserve">CUAUHTEMOC                                                                      </v>
      </c>
      <c r="H10" s="26" t="str">
        <f>"026"</f>
        <v>026</v>
      </c>
      <c r="I10" s="26" t="str">
        <f t="shared" si="1"/>
        <v>00</v>
      </c>
      <c r="J10" s="26" t="str">
        <f>"51 "</f>
        <v xml:space="preserve">51 </v>
      </c>
      <c r="K10" s="26" t="str">
        <f t="shared" si="3"/>
        <v>SG</v>
      </c>
      <c r="L10" s="26" t="str">
        <f t="shared" si="4"/>
        <v>DGOSE</v>
      </c>
      <c r="M10" s="26" t="str">
        <f t="shared" si="2"/>
        <v>FEDERAL</v>
      </c>
      <c r="N10" s="26">
        <v>564</v>
      </c>
      <c r="O10" s="26">
        <v>279</v>
      </c>
      <c r="P10" s="26">
        <v>285</v>
      </c>
      <c r="Q10" s="26">
        <v>18</v>
      </c>
      <c r="R10" s="26">
        <v>2</v>
      </c>
      <c r="S10" s="26">
        <v>37</v>
      </c>
      <c r="T10" s="26">
        <v>34</v>
      </c>
      <c r="U10" s="26">
        <v>73</v>
      </c>
      <c r="V10" s="26">
        <v>1</v>
      </c>
      <c r="W10" s="26"/>
    </row>
    <row r="11" spans="1:23" x14ac:dyDescent="0.25">
      <c r="A11" s="26" t="str">
        <f t="shared" si="0"/>
        <v>SECUNDARIA</v>
      </c>
      <c r="B11" s="26" t="str">
        <f>"09DES0007A"</f>
        <v>09DES0007A</v>
      </c>
      <c r="C11" s="26" t="str">
        <f>"JOSE MANUEL RAMOS                                                                                   "</f>
        <v xml:space="preserve">JOSE MANUEL RAMOS                                                                                   </v>
      </c>
      <c r="D11" s="26" t="str">
        <f t="shared" si="5"/>
        <v>MATUTINO</v>
      </c>
      <c r="E11" s="26" t="str">
        <f>"5 DE FEBRERO NO 90                                                              "</f>
        <v xml:space="preserve">5 DE FEBRERO NO 90                                                              </v>
      </c>
      <c r="F11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11" s="26" t="str">
        <f>"CUAUHTEMOC                                                                      "</f>
        <v xml:space="preserve">CUAUHTEMOC                                                                      </v>
      </c>
      <c r="H11" s="26" t="str">
        <f>"025"</f>
        <v>025</v>
      </c>
      <c r="I11" s="26" t="str">
        <f t="shared" si="1"/>
        <v>00</v>
      </c>
      <c r="J11" s="26" t="str">
        <f>"51 "</f>
        <v xml:space="preserve">51 </v>
      </c>
      <c r="K11" s="26" t="str">
        <f t="shared" si="3"/>
        <v>SG</v>
      </c>
      <c r="L11" s="26" t="str">
        <f t="shared" si="4"/>
        <v>DGOSE</v>
      </c>
      <c r="M11" s="26" t="str">
        <f t="shared" si="2"/>
        <v>FEDERAL</v>
      </c>
      <c r="N11" s="26">
        <v>488</v>
      </c>
      <c r="O11" s="26">
        <v>233</v>
      </c>
      <c r="P11" s="26">
        <v>255</v>
      </c>
      <c r="Q11" s="26">
        <v>16</v>
      </c>
      <c r="R11" s="26">
        <v>2</v>
      </c>
      <c r="S11" s="26">
        <v>30</v>
      </c>
      <c r="T11" s="26">
        <v>32</v>
      </c>
      <c r="U11" s="26">
        <v>64</v>
      </c>
      <c r="V11" s="26">
        <v>1</v>
      </c>
      <c r="W11" s="26"/>
    </row>
    <row r="12" spans="1:23" x14ac:dyDescent="0.25">
      <c r="A12" s="26" t="str">
        <f t="shared" si="0"/>
        <v>SECUNDARIA</v>
      </c>
      <c r="B12" s="26" t="str">
        <f>"09DES0008Z"</f>
        <v>09DES0008Z</v>
      </c>
      <c r="C12" s="26" t="str">
        <f>"TOMAS GARRIGUE MASARYK                                                                              "</f>
        <v xml:space="preserve">TOMAS GARRIGUE MASARYK                                                                              </v>
      </c>
      <c r="D12" s="26" t="str">
        <f t="shared" si="5"/>
        <v>MATUTINO</v>
      </c>
      <c r="E12" s="26" t="str">
        <f>"AV PRIMERO DE MAYO NO 172 Y CALLE 4                                             "</f>
        <v xml:space="preserve">AV PRIMERO DE MAYO NO 172 Y CALLE 4                                             </v>
      </c>
      <c r="F12" s="26" t="str">
        <f>"SAN PEDRO DE LOS PINOS                                                                                                                      "</f>
        <v xml:space="preserve">SAN PEDRO DE LOS PINOS                                                                                                                      </v>
      </c>
      <c r="G12" s="26" t="str">
        <f>"BENITO JUAREZ                                                                   "</f>
        <v xml:space="preserve">BENITO JUAREZ                                                                   </v>
      </c>
      <c r="H12" s="26" t="str">
        <f>"011"</f>
        <v>011</v>
      </c>
      <c r="I12" s="26" t="str">
        <f t="shared" si="1"/>
        <v>00</v>
      </c>
      <c r="J12" s="26" t="str">
        <f>"53 "</f>
        <v xml:space="preserve">53 </v>
      </c>
      <c r="K12" s="26" t="str">
        <f t="shared" si="3"/>
        <v>SG</v>
      </c>
      <c r="L12" s="26" t="str">
        <f t="shared" si="4"/>
        <v>DGOSE</v>
      </c>
      <c r="M12" s="26" t="str">
        <f t="shared" si="2"/>
        <v>FEDERAL</v>
      </c>
      <c r="N12" s="26">
        <v>776</v>
      </c>
      <c r="O12" s="26">
        <v>0</v>
      </c>
      <c r="P12" s="26">
        <v>776</v>
      </c>
      <c r="Q12" s="26">
        <v>18</v>
      </c>
      <c r="R12" s="26">
        <v>2</v>
      </c>
      <c r="S12" s="26">
        <v>45</v>
      </c>
      <c r="T12" s="26">
        <v>25</v>
      </c>
      <c r="U12" s="26">
        <v>72</v>
      </c>
      <c r="V12" s="26">
        <v>1</v>
      </c>
      <c r="W12" s="26"/>
    </row>
    <row r="13" spans="1:23" x14ac:dyDescent="0.25">
      <c r="A13" s="26" t="str">
        <f t="shared" si="0"/>
        <v>SECUNDARIA</v>
      </c>
      <c r="B13" s="26" t="str">
        <f>"09DES0009Z"</f>
        <v>09DES0009Z</v>
      </c>
      <c r="C13" s="26" t="str">
        <f>"TEUTLI                                                                                              "</f>
        <v xml:space="preserve">TEUTLI                                                                                              </v>
      </c>
      <c r="D13" s="26" t="str">
        <f t="shared" si="5"/>
        <v>MATUTINO</v>
      </c>
      <c r="E13" s="26" t="str">
        <f>"AV DE LAS PALMAS S/N                                                            "</f>
        <v xml:space="preserve">AV DE LAS PALMAS S/N                                                            </v>
      </c>
      <c r="F13" s="26" t="str">
        <f>"TENANTITLA TECOMITL BARRIO                                                                                                                  "</f>
        <v xml:space="preserve">TENANTITLA TECOMITL BARRIO                                                                                                                  </v>
      </c>
      <c r="G13" s="26" t="str">
        <f>"MILPA ALTA                                                                      "</f>
        <v xml:space="preserve">MILPA ALTA                                                                      </v>
      </c>
      <c r="H13" s="26" t="str">
        <f>"066"</f>
        <v>066</v>
      </c>
      <c r="I13" s="26" t="str">
        <f t="shared" si="1"/>
        <v>00</v>
      </c>
      <c r="J13" s="26" t="str">
        <f>"55 "</f>
        <v xml:space="preserve">55 </v>
      </c>
      <c r="K13" s="26" t="str">
        <f t="shared" si="3"/>
        <v>SG</v>
      </c>
      <c r="L13" s="26" t="str">
        <f t="shared" si="4"/>
        <v>DGOSE</v>
      </c>
      <c r="M13" s="26" t="str">
        <f t="shared" si="2"/>
        <v>FEDERAL</v>
      </c>
      <c r="N13" s="26">
        <v>969</v>
      </c>
      <c r="O13" s="26">
        <v>446</v>
      </c>
      <c r="P13" s="26">
        <v>523</v>
      </c>
      <c r="Q13" s="26">
        <v>20</v>
      </c>
      <c r="R13" s="26">
        <v>2</v>
      </c>
      <c r="S13" s="26">
        <v>46</v>
      </c>
      <c r="T13" s="26">
        <v>35</v>
      </c>
      <c r="U13" s="26">
        <v>83</v>
      </c>
      <c r="V13" s="26">
        <v>1</v>
      </c>
      <c r="W13" s="26"/>
    </row>
    <row r="14" spans="1:23" x14ac:dyDescent="0.25">
      <c r="A14" s="26" t="str">
        <f t="shared" si="0"/>
        <v>SECUNDARIA</v>
      </c>
      <c r="B14" s="26" t="str">
        <f>"09DES0010O"</f>
        <v>09DES0010O</v>
      </c>
      <c r="C14" s="26" t="str">
        <f>"LEOPOLDO AYALA                                                                                      "</f>
        <v xml:space="preserve">LEOPOLDO AYALA                                                                                      </v>
      </c>
      <c r="D14" s="26" t="str">
        <f t="shared" si="5"/>
        <v>MATUTINO</v>
      </c>
      <c r="E14" s="26" t="str">
        <f>"GOYA NO 34                                                                      "</f>
        <v xml:space="preserve">GOYA NO 34                                                                      </v>
      </c>
      <c r="F14" s="26" t="str">
        <f>"INSURGENTES MIXCOAC                                                                                                                         "</f>
        <v xml:space="preserve">INSURGENTES MIXCOAC                                                                                                                         </v>
      </c>
      <c r="G14" s="26" t="str">
        <f>"BENITO JUAREZ                                                                   "</f>
        <v xml:space="preserve">BENITO JUAREZ                                                                   </v>
      </c>
      <c r="H14" s="26" t="str">
        <f>"011"</f>
        <v>011</v>
      </c>
      <c r="I14" s="26" t="str">
        <f t="shared" si="1"/>
        <v>00</v>
      </c>
      <c r="J14" s="26" t="str">
        <f>"53 "</f>
        <v xml:space="preserve">53 </v>
      </c>
      <c r="K14" s="26" t="str">
        <f t="shared" si="3"/>
        <v>SG</v>
      </c>
      <c r="L14" s="26" t="str">
        <f t="shared" si="4"/>
        <v>DGOSE</v>
      </c>
      <c r="M14" s="26" t="str">
        <f t="shared" si="2"/>
        <v>FEDERAL</v>
      </c>
      <c r="N14" s="26">
        <v>597</v>
      </c>
      <c r="O14" s="26">
        <v>312</v>
      </c>
      <c r="P14" s="26">
        <v>285</v>
      </c>
      <c r="Q14" s="26">
        <v>12</v>
      </c>
      <c r="R14" s="26">
        <v>2</v>
      </c>
      <c r="S14" s="26">
        <v>32</v>
      </c>
      <c r="T14" s="26">
        <v>23</v>
      </c>
      <c r="U14" s="26">
        <v>57</v>
      </c>
      <c r="V14" s="26">
        <v>1</v>
      </c>
      <c r="W14" s="26"/>
    </row>
    <row r="15" spans="1:23" x14ac:dyDescent="0.25">
      <c r="A15" s="26" t="str">
        <f t="shared" si="0"/>
        <v>SECUNDARIA</v>
      </c>
      <c r="B15" s="26" t="str">
        <f>"09DES0011N"</f>
        <v>09DES0011N</v>
      </c>
      <c r="C15" s="26" t="str">
        <f>"ADRIANA GARCIA CORRAL                                                                               "</f>
        <v xml:space="preserve">ADRIANA GARCIA CORRAL                                                                               </v>
      </c>
      <c r="D15" s="26" t="str">
        <f>"JORNADA AMPLIADA"</f>
        <v>JORNADA AMPLIADA</v>
      </c>
      <c r="E15" s="26" t="str">
        <f>"BELISARIO DOMINGUEZ NO 5                                                        "</f>
        <v xml:space="preserve">BELISARIO DOMINGUEZ NO 5                                                        </v>
      </c>
      <c r="F15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15" s="26" t="str">
        <f>"CUAUHTEMOC                                                                      "</f>
        <v xml:space="preserve">CUAUHTEMOC                                                                      </v>
      </c>
      <c r="H15" s="26" t="str">
        <f>"028"</f>
        <v>028</v>
      </c>
      <c r="I15" s="26" t="str">
        <f t="shared" si="1"/>
        <v>00</v>
      </c>
      <c r="J15" s="26" t="str">
        <f>"51 "</f>
        <v xml:space="preserve">51 </v>
      </c>
      <c r="K15" s="26" t="str">
        <f t="shared" si="3"/>
        <v>SG</v>
      </c>
      <c r="L15" s="26" t="str">
        <f t="shared" si="4"/>
        <v>DGOSE</v>
      </c>
      <c r="M15" s="26" t="str">
        <f t="shared" si="2"/>
        <v>FEDERAL</v>
      </c>
      <c r="N15" s="26">
        <v>475</v>
      </c>
      <c r="O15" s="26">
        <v>185</v>
      </c>
      <c r="P15" s="26">
        <v>290</v>
      </c>
      <c r="Q15" s="26">
        <v>15</v>
      </c>
      <c r="R15" s="26">
        <v>2</v>
      </c>
      <c r="S15" s="26">
        <v>29</v>
      </c>
      <c r="T15" s="26">
        <v>25</v>
      </c>
      <c r="U15" s="26">
        <v>56</v>
      </c>
      <c r="V15" s="26">
        <v>1</v>
      </c>
      <c r="W15" s="26" t="s">
        <v>2076</v>
      </c>
    </row>
    <row r="16" spans="1:23" x14ac:dyDescent="0.25">
      <c r="A16" s="26" t="str">
        <f t="shared" si="0"/>
        <v>SECUNDARIA</v>
      </c>
      <c r="B16" s="26" t="str">
        <f>"09DES0012M"</f>
        <v>09DES0012M</v>
      </c>
      <c r="C16" s="26" t="str">
        <f>"ELISEO GARCIA ESCOBEDO                                                                              "</f>
        <v xml:space="preserve">ELISEO GARCIA ESCOBEDO                                                                              </v>
      </c>
      <c r="D16" s="26" t="str">
        <f>"JORNADA AMPLIADA"</f>
        <v>JORNADA AMPLIADA</v>
      </c>
      <c r="E16" s="26" t="str">
        <f>"5 DE FEBRERO NO 214                                                             "</f>
        <v xml:space="preserve">5 DE FEBRERO NO 214                                                             </v>
      </c>
      <c r="F16" s="26" t="str">
        <f>"GUSTAVO A. MADERO                                                                                                                           "</f>
        <v xml:space="preserve">GUSTAVO A. MADERO                                                                                                                           </v>
      </c>
      <c r="G16" s="26" t="str">
        <f>"GUSTAVO A. MADERO                                                               "</f>
        <v xml:space="preserve">GUSTAVO A. MADERO                                                               </v>
      </c>
      <c r="H16" s="26" t="str">
        <f>"035"</f>
        <v>035</v>
      </c>
      <c r="I16" s="26" t="str">
        <f t="shared" si="1"/>
        <v>00</v>
      </c>
      <c r="J16" s="26" t="str">
        <f>"52 "</f>
        <v xml:space="preserve">52 </v>
      </c>
      <c r="K16" s="26" t="str">
        <f t="shared" si="3"/>
        <v>SG</v>
      </c>
      <c r="L16" s="26" t="str">
        <f t="shared" si="4"/>
        <v>DGOSE</v>
      </c>
      <c r="M16" s="26" t="str">
        <f t="shared" si="2"/>
        <v>FEDERAL</v>
      </c>
      <c r="N16" s="26">
        <v>434</v>
      </c>
      <c r="O16" s="26">
        <v>248</v>
      </c>
      <c r="P16" s="26">
        <v>186</v>
      </c>
      <c r="Q16" s="26">
        <v>16</v>
      </c>
      <c r="R16" s="26">
        <v>2</v>
      </c>
      <c r="S16" s="26">
        <v>37</v>
      </c>
      <c r="T16" s="26">
        <v>23</v>
      </c>
      <c r="U16" s="26">
        <v>62</v>
      </c>
      <c r="V16" s="26">
        <v>1</v>
      </c>
      <c r="W16" s="26" t="s">
        <v>2076</v>
      </c>
    </row>
    <row r="17" spans="1:23" x14ac:dyDescent="0.25">
      <c r="A17" s="26" t="str">
        <f t="shared" si="0"/>
        <v>SECUNDARIA</v>
      </c>
      <c r="B17" s="26" t="str">
        <f>"09DES0013L"</f>
        <v>09DES0013L</v>
      </c>
      <c r="C17" s="26" t="str">
        <f>"ENRIQUE C. OLIVARES                                                                                 "</f>
        <v xml:space="preserve">ENRIQUE C. OLIVARES                                                                                 </v>
      </c>
      <c r="D17" s="26" t="str">
        <f>"JORNADA AMPLIADA"</f>
        <v>JORNADA AMPLIADA</v>
      </c>
      <c r="E17" s="26" t="str">
        <f>"BALSAS NO 918 ESQ MIRAVALLE                                                     "</f>
        <v xml:space="preserve">BALSAS NO 918 ESQ MIRAVALLE                                                     </v>
      </c>
      <c r="F17" s="26" t="str">
        <f>"MIRAVALLE                                                                                                                                   "</f>
        <v xml:space="preserve">MIRAVALLE                                                                                                                                   </v>
      </c>
      <c r="G17" s="26" t="str">
        <f>"BENITO JUAREZ                                                                   "</f>
        <v xml:space="preserve">BENITO JUAREZ                                                                   </v>
      </c>
      <c r="H17" s="26" t="str">
        <f>"015"</f>
        <v>015</v>
      </c>
      <c r="I17" s="26" t="str">
        <f t="shared" si="1"/>
        <v>00</v>
      </c>
      <c r="J17" s="26" t="str">
        <f>"53 "</f>
        <v xml:space="preserve">53 </v>
      </c>
      <c r="K17" s="26" t="str">
        <f t="shared" si="3"/>
        <v>SG</v>
      </c>
      <c r="L17" s="26" t="str">
        <f t="shared" si="4"/>
        <v>DGOSE</v>
      </c>
      <c r="M17" s="26" t="str">
        <f t="shared" si="2"/>
        <v>FEDERAL</v>
      </c>
      <c r="N17" s="26">
        <v>466</v>
      </c>
      <c r="O17" s="26">
        <v>259</v>
      </c>
      <c r="P17" s="26">
        <v>207</v>
      </c>
      <c r="Q17" s="26">
        <v>15</v>
      </c>
      <c r="R17" s="26">
        <v>2</v>
      </c>
      <c r="S17" s="26">
        <v>38</v>
      </c>
      <c r="T17" s="26">
        <v>25</v>
      </c>
      <c r="U17" s="26">
        <v>65</v>
      </c>
      <c r="V17" s="26">
        <v>1</v>
      </c>
      <c r="W17" s="26" t="s">
        <v>2076</v>
      </c>
    </row>
    <row r="18" spans="1:23" x14ac:dyDescent="0.25">
      <c r="A18" s="26" t="str">
        <f t="shared" si="0"/>
        <v>SECUNDARIA</v>
      </c>
      <c r="B18" s="26" t="str">
        <f>"09DES0014K"</f>
        <v>09DES0014K</v>
      </c>
      <c r="C18" s="26" t="str">
        <f>"JORGE QUIJANO                                                                                       "</f>
        <v xml:space="preserve">JORGE QUIJANO                                                                                       </v>
      </c>
      <c r="D18" s="26" t="str">
        <f>"TIEMPO COMPLETO"</f>
        <v>TIEMPO COMPLETO</v>
      </c>
      <c r="E18" s="26" t="str">
        <f>"DR RIO DE LA LOZA NO 39                                                         "</f>
        <v xml:space="preserve">DR RIO DE LA LOZA NO 39                                                         </v>
      </c>
      <c r="F18" s="26" t="str">
        <f>"DOCTORES                                                                                                                                    "</f>
        <v xml:space="preserve">DOCTORES                                                                                                                                    </v>
      </c>
      <c r="G18" s="26" t="str">
        <f>"CUAUHTEMOC                                                                      "</f>
        <v xml:space="preserve">CUAUHTEMOC                                                                      </v>
      </c>
      <c r="H18" s="26" t="str">
        <f>"030"</f>
        <v>030</v>
      </c>
      <c r="I18" s="26" t="str">
        <f t="shared" si="1"/>
        <v>00</v>
      </c>
      <c r="J18" s="26" t="str">
        <f>"51 "</f>
        <v xml:space="preserve">51 </v>
      </c>
      <c r="K18" s="26" t="str">
        <f t="shared" si="3"/>
        <v>SG</v>
      </c>
      <c r="L18" s="26" t="str">
        <f t="shared" si="4"/>
        <v>DGOSE</v>
      </c>
      <c r="M18" s="26" t="str">
        <f t="shared" si="2"/>
        <v>FEDERAL</v>
      </c>
      <c r="N18" s="26">
        <v>422</v>
      </c>
      <c r="O18" s="26">
        <v>227</v>
      </c>
      <c r="P18" s="26">
        <v>195</v>
      </c>
      <c r="Q18" s="26">
        <v>12</v>
      </c>
      <c r="R18" s="26">
        <v>1</v>
      </c>
      <c r="S18" s="26">
        <v>31</v>
      </c>
      <c r="T18" s="26">
        <v>27</v>
      </c>
      <c r="U18" s="26">
        <v>59</v>
      </c>
      <c r="V18" s="26">
        <v>1</v>
      </c>
      <c r="W18" s="26" t="s">
        <v>218</v>
      </c>
    </row>
    <row r="19" spans="1:23" x14ac:dyDescent="0.25">
      <c r="A19" s="26" t="str">
        <f t="shared" si="0"/>
        <v>SECUNDARIA</v>
      </c>
      <c r="B19" s="26" t="str">
        <f>"09DES0015J"</f>
        <v>09DES0015J</v>
      </c>
      <c r="C19" s="26" t="str">
        <f>"ALBERT EINSTEIN                                                                                     "</f>
        <v xml:space="preserve">ALBERT EINSTEIN                                                                                     </v>
      </c>
      <c r="D19" s="26" t="str">
        <f>"MATUTINO"</f>
        <v>MATUTINO</v>
      </c>
      <c r="E19" s="26" t="str">
        <f>"CALZ MEXICO TACUBA NO 215                                                       "</f>
        <v xml:space="preserve">CALZ MEXICO TACUBA NO 215                                                       </v>
      </c>
      <c r="F19" s="26" t="str">
        <f>"UN HOGAR PARA NOSOTROS                                                                                                                      "</f>
        <v xml:space="preserve">UN HOGAR PARA NOSOTROS                                                                                                                      </v>
      </c>
      <c r="G19" s="26" t="str">
        <f>"MIGUEL HIDALGO                                                                  "</f>
        <v xml:space="preserve">MIGUEL HIDALGO                                                                  </v>
      </c>
      <c r="H19" s="26" t="str">
        <f>"064"</f>
        <v>064</v>
      </c>
      <c r="I19" s="26" t="str">
        <f t="shared" si="1"/>
        <v>00</v>
      </c>
      <c r="J19" s="26" t="str">
        <f>"51 "</f>
        <v xml:space="preserve">51 </v>
      </c>
      <c r="K19" s="26" t="str">
        <f t="shared" si="3"/>
        <v>SG</v>
      </c>
      <c r="L19" s="26" t="str">
        <f t="shared" si="4"/>
        <v>DGOSE</v>
      </c>
      <c r="M19" s="26" t="str">
        <f t="shared" si="2"/>
        <v>FEDERAL</v>
      </c>
      <c r="N19" s="26">
        <v>746</v>
      </c>
      <c r="O19" s="26">
        <v>413</v>
      </c>
      <c r="P19" s="26">
        <v>333</v>
      </c>
      <c r="Q19" s="26">
        <v>20</v>
      </c>
      <c r="R19" s="26">
        <v>2</v>
      </c>
      <c r="S19" s="26">
        <v>56</v>
      </c>
      <c r="T19" s="26">
        <v>28</v>
      </c>
      <c r="U19" s="26">
        <v>86</v>
      </c>
      <c r="V19" s="26">
        <v>1</v>
      </c>
      <c r="W19" s="26"/>
    </row>
    <row r="20" spans="1:23" x14ac:dyDescent="0.25">
      <c r="A20" s="26" t="str">
        <f t="shared" si="0"/>
        <v>SECUNDARIA</v>
      </c>
      <c r="B20" s="26" t="str">
        <f>"09DES0016I"</f>
        <v>09DES0016I</v>
      </c>
      <c r="C20" s="26" t="str">
        <f>"PEDRO DIAZ                                                                                          "</f>
        <v xml:space="preserve">PEDRO DIAZ                                                                                          </v>
      </c>
      <c r="D20" s="26" t="str">
        <f>"JORNADA AMPLIADA"</f>
        <v>JORNADA AMPLIADA</v>
      </c>
      <c r="E20" s="26" t="str">
        <f>"EJE CENTRAL LAZARO CARDENAS NO 302                                              "</f>
        <v xml:space="preserve">EJE CENTRAL LAZARO CARDENAS NO 302                                              </v>
      </c>
      <c r="F20" s="26" t="str">
        <f>"UNIDAD NONOALCO TLATELOLCO                                                                                                                  "</f>
        <v xml:space="preserve">UNIDAD NONOALCO TLATELOLCO                                                                                                                  </v>
      </c>
      <c r="G20" s="26" t="str">
        <f>"CUAUHTEMOC                                                                      "</f>
        <v xml:space="preserve">CUAUHTEMOC                                                                      </v>
      </c>
      <c r="H20" s="26" t="str">
        <f>"026"</f>
        <v>026</v>
      </c>
      <c r="I20" s="26" t="str">
        <f t="shared" si="1"/>
        <v>00</v>
      </c>
      <c r="J20" s="26" t="str">
        <f>"51 "</f>
        <v xml:space="preserve">51 </v>
      </c>
      <c r="K20" s="26" t="str">
        <f t="shared" si="3"/>
        <v>SG</v>
      </c>
      <c r="L20" s="26" t="str">
        <f t="shared" si="4"/>
        <v>DGOSE</v>
      </c>
      <c r="M20" s="26" t="str">
        <f t="shared" si="2"/>
        <v>FEDERAL</v>
      </c>
      <c r="N20" s="26">
        <v>476</v>
      </c>
      <c r="O20" s="26">
        <v>245</v>
      </c>
      <c r="P20" s="26">
        <v>231</v>
      </c>
      <c r="Q20" s="26">
        <v>18</v>
      </c>
      <c r="R20" s="26">
        <v>2</v>
      </c>
      <c r="S20" s="26">
        <v>45</v>
      </c>
      <c r="T20" s="26">
        <v>24</v>
      </c>
      <c r="U20" s="26">
        <v>71</v>
      </c>
      <c r="V20" s="26">
        <v>1</v>
      </c>
      <c r="W20" s="26" t="s">
        <v>2076</v>
      </c>
    </row>
    <row r="21" spans="1:23" x14ac:dyDescent="0.25">
      <c r="A21" s="26" t="str">
        <f t="shared" si="0"/>
        <v>SECUNDARIA</v>
      </c>
      <c r="B21" s="26" t="str">
        <f>"09DES0017H"</f>
        <v>09DES0017H</v>
      </c>
      <c r="C21" s="26" t="str">
        <f>"CONSTITUCION DE 1857                                                                                "</f>
        <v xml:space="preserve">CONSTITUCION DE 1857                                                                                </v>
      </c>
      <c r="D21" s="26" t="str">
        <f>"JORNADA AMPLIADA"</f>
        <v>JORNADA AMPLIADA</v>
      </c>
      <c r="E21" s="26" t="str">
        <f>"PATRIOTISMO Y VIADUCTO MIGUEL ALEMAN                                            "</f>
        <v xml:space="preserve">PATRIOTISMO Y VIADUCTO MIGUEL ALEMAN                                            </v>
      </c>
      <c r="F21" s="26" t="str">
        <f>"ESCANDON                                                                                                                                    "</f>
        <v xml:space="preserve">ESCANDON                                                                                                                                    </v>
      </c>
      <c r="G21" s="26" t="str">
        <f>"MIGUEL HIDALGO                                                                  "</f>
        <v xml:space="preserve">MIGUEL HIDALGO                                                                  </v>
      </c>
      <c r="H21" s="26" t="str">
        <f>"060"</f>
        <v>060</v>
      </c>
      <c r="I21" s="26" t="str">
        <f t="shared" si="1"/>
        <v>00</v>
      </c>
      <c r="J21" s="26" t="str">
        <f>"51 "</f>
        <v xml:space="preserve">51 </v>
      </c>
      <c r="K21" s="26" t="str">
        <f t="shared" si="3"/>
        <v>SG</v>
      </c>
      <c r="L21" s="26" t="str">
        <f t="shared" si="4"/>
        <v>DGOSE</v>
      </c>
      <c r="M21" s="26" t="str">
        <f t="shared" si="2"/>
        <v>FEDERAL</v>
      </c>
      <c r="N21" s="26">
        <v>606</v>
      </c>
      <c r="O21" s="26">
        <v>325</v>
      </c>
      <c r="P21" s="26">
        <v>281</v>
      </c>
      <c r="Q21" s="26">
        <v>18</v>
      </c>
      <c r="R21" s="26">
        <v>2</v>
      </c>
      <c r="S21" s="26">
        <v>42</v>
      </c>
      <c r="T21" s="26">
        <v>23</v>
      </c>
      <c r="U21" s="26">
        <v>67</v>
      </c>
      <c r="V21" s="26">
        <v>1</v>
      </c>
      <c r="W21" s="26" t="s">
        <v>2076</v>
      </c>
    </row>
    <row r="22" spans="1:23" x14ac:dyDescent="0.25">
      <c r="A22" s="26" t="str">
        <f t="shared" si="0"/>
        <v>SECUNDARIA</v>
      </c>
      <c r="B22" s="26" t="str">
        <f>"09DES0018G"</f>
        <v>09DES0018G</v>
      </c>
      <c r="C22" s="26" t="str">
        <f>"SOLEDAD ANAYA SOLORZANO                                                                             "</f>
        <v xml:space="preserve">SOLEDAD ANAYA SOLORZANO                                                                             </v>
      </c>
      <c r="D22" s="26" t="str">
        <f>"MATUTINO"</f>
        <v>MATUTINO</v>
      </c>
      <c r="E22" s="26" t="str">
        <f>"CORDOBA NO 68                                                                   "</f>
        <v xml:space="preserve">CORDOBA NO 68                                                                   </v>
      </c>
      <c r="F22" s="26" t="str">
        <f>"ROMA NORTE                                                                                                                                  "</f>
        <v xml:space="preserve">ROMA NORTE                                                                                                                                  </v>
      </c>
      <c r="G22" s="26" t="str">
        <f>"CUAUHTEMOC                                                                      "</f>
        <v xml:space="preserve">CUAUHTEMOC                                                                      </v>
      </c>
      <c r="H22" s="26" t="str">
        <f>"030"</f>
        <v>030</v>
      </c>
      <c r="I22" s="26" t="str">
        <f t="shared" si="1"/>
        <v>00</v>
      </c>
      <c r="J22" s="26" t="str">
        <f>"51 "</f>
        <v xml:space="preserve">51 </v>
      </c>
      <c r="K22" s="26" t="str">
        <f t="shared" si="3"/>
        <v>SG</v>
      </c>
      <c r="L22" s="26" t="str">
        <f t="shared" si="4"/>
        <v>DGOSE</v>
      </c>
      <c r="M22" s="26" t="str">
        <f t="shared" si="2"/>
        <v>FEDERAL</v>
      </c>
      <c r="N22" s="26">
        <v>609</v>
      </c>
      <c r="O22" s="26">
        <v>273</v>
      </c>
      <c r="P22" s="26">
        <v>336</v>
      </c>
      <c r="Q22" s="26">
        <v>16</v>
      </c>
      <c r="R22" s="26">
        <v>2</v>
      </c>
      <c r="S22" s="26">
        <v>43</v>
      </c>
      <c r="T22" s="26">
        <v>23</v>
      </c>
      <c r="U22" s="26">
        <v>68</v>
      </c>
      <c r="V22" s="26">
        <v>1</v>
      </c>
      <c r="W22" s="26"/>
    </row>
    <row r="23" spans="1:23" x14ac:dyDescent="0.25">
      <c r="A23" s="26" t="str">
        <f t="shared" si="0"/>
        <v>SECUNDARIA</v>
      </c>
      <c r="B23" s="26" t="str">
        <f>"09DES0019F"</f>
        <v>09DES0019F</v>
      </c>
      <c r="C23" s="26" t="str">
        <f>"DOLORES ANGELA CASTILLO                                                                             "</f>
        <v xml:space="preserve">DOLORES ANGELA CASTILLO                                                                             </v>
      </c>
      <c r="D23" s="26" t="str">
        <f>"MATUTINO"</f>
        <v>MATUTINO</v>
      </c>
      <c r="E23" s="26" t="str">
        <f>"CDA DE JUAREZ NO 12                                                             "</f>
        <v xml:space="preserve">CDA DE JUAREZ NO 12                                                             </v>
      </c>
      <c r="F23" s="26" t="str">
        <f>"CUAJIMALPA                                                                                                                                  "</f>
        <v xml:space="preserve">CUAJIMALPA                                                                                                                                  </v>
      </c>
      <c r="G23" s="26" t="str">
        <f>"CUAJIMALPA DE MORELOS                                                           "</f>
        <v xml:space="preserve">CUAJIMALPA DE MORELOS                                                           </v>
      </c>
      <c r="H23" s="26" t="str">
        <f>"023"</f>
        <v>023</v>
      </c>
      <c r="I23" s="26" t="str">
        <f t="shared" si="1"/>
        <v>00</v>
      </c>
      <c r="J23" s="26" t="str">
        <f>"53 "</f>
        <v xml:space="preserve">53 </v>
      </c>
      <c r="K23" s="26" t="str">
        <f t="shared" si="3"/>
        <v>SG</v>
      </c>
      <c r="L23" s="26" t="str">
        <f t="shared" si="4"/>
        <v>DGOSE</v>
      </c>
      <c r="M23" s="26" t="str">
        <f t="shared" si="2"/>
        <v>FEDERAL</v>
      </c>
      <c r="N23" s="26">
        <v>1049</v>
      </c>
      <c r="O23" s="26">
        <v>530</v>
      </c>
      <c r="P23" s="26">
        <v>519</v>
      </c>
      <c r="Q23" s="26">
        <v>21</v>
      </c>
      <c r="R23" s="26">
        <v>2</v>
      </c>
      <c r="S23" s="26">
        <v>45</v>
      </c>
      <c r="T23" s="26">
        <v>28</v>
      </c>
      <c r="U23" s="26">
        <v>75</v>
      </c>
      <c r="V23" s="26">
        <v>1</v>
      </c>
      <c r="W23" s="26"/>
    </row>
    <row r="24" spans="1:23" x14ac:dyDescent="0.25">
      <c r="A24" s="26" t="str">
        <f t="shared" si="0"/>
        <v>SECUNDARIA</v>
      </c>
      <c r="B24" s="26" t="str">
        <f>"09DES0020V"</f>
        <v>09DES0020V</v>
      </c>
      <c r="C24" s="26" t="str">
        <f>"JOSE ARTEAGA                                                                                        "</f>
        <v xml:space="preserve">JOSE ARTEAGA                                                                                        </v>
      </c>
      <c r="D24" s="26" t="str">
        <f>"JORNADA AMPLIADA"</f>
        <v>JORNADA AMPLIADA</v>
      </c>
      <c r="E24" s="26" t="str">
        <f>"LAGO AMMER Y LAGO EDNE S/N                                                      "</f>
        <v xml:space="preserve">LAGO AMMER Y LAGO EDNE S/N                                                      </v>
      </c>
      <c r="F24" s="26" t="str">
        <f>"PENSIL NORTE                                                                                                                                "</f>
        <v xml:space="preserve">PENSIL NORTE                                                                                                                                </v>
      </c>
      <c r="G24" s="26" t="str">
        <f>"MIGUEL HIDALGO                                                                  "</f>
        <v xml:space="preserve">MIGUEL HIDALGO                                                                  </v>
      </c>
      <c r="H24" s="26" t="str">
        <f>"063"</f>
        <v>063</v>
      </c>
      <c r="I24" s="26" t="str">
        <f t="shared" si="1"/>
        <v>00</v>
      </c>
      <c r="J24" s="26" t="str">
        <f>"51 "</f>
        <v xml:space="preserve">51 </v>
      </c>
      <c r="K24" s="26" t="str">
        <f t="shared" si="3"/>
        <v>SG</v>
      </c>
      <c r="L24" s="26" t="str">
        <f t="shared" si="4"/>
        <v>DGOSE</v>
      </c>
      <c r="M24" s="26" t="str">
        <f t="shared" si="2"/>
        <v>FEDERAL</v>
      </c>
      <c r="N24" s="26">
        <v>405</v>
      </c>
      <c r="O24" s="26">
        <v>192</v>
      </c>
      <c r="P24" s="26">
        <v>213</v>
      </c>
      <c r="Q24" s="26">
        <v>13</v>
      </c>
      <c r="R24" s="26">
        <v>2</v>
      </c>
      <c r="S24" s="26">
        <v>32</v>
      </c>
      <c r="T24" s="26">
        <v>16</v>
      </c>
      <c r="U24" s="26">
        <v>50</v>
      </c>
      <c r="V24" s="26">
        <v>1</v>
      </c>
      <c r="W24" s="26" t="s">
        <v>2076</v>
      </c>
    </row>
    <row r="25" spans="1:23" x14ac:dyDescent="0.25">
      <c r="A25" s="26" t="str">
        <f t="shared" si="0"/>
        <v>SECUNDARIA</v>
      </c>
      <c r="B25" s="26" t="str">
        <f>"09DES0021U"</f>
        <v>09DES0021U</v>
      </c>
      <c r="C25" s="26" t="str">
        <f>"JOVITA A. ELGUERO                                                                                   "</f>
        <v xml:space="preserve">JOVITA A. ELGUERO                                                                                   </v>
      </c>
      <c r="D25" s="26" t="str">
        <f>"JORNADA AMPLIADA"</f>
        <v>JORNADA AMPLIADA</v>
      </c>
      <c r="E25" s="26" t="str">
        <f>"CANARIO S/N                                                                     "</f>
        <v xml:space="preserve">CANARIO S/N                                                                     </v>
      </c>
      <c r="F25" s="26" t="str">
        <f>"BELLA VISTA                                                                                                                                 "</f>
        <v xml:space="preserve">BELLA VISTA                                                                                                                                 </v>
      </c>
      <c r="G25" s="26" t="str">
        <f>"ALVARO OBREGON                                                                  "</f>
        <v xml:space="preserve">ALVARO OBREGON                                                                  </v>
      </c>
      <c r="H25" s="26" t="str">
        <f>"003"</f>
        <v>003</v>
      </c>
      <c r="I25" s="26" t="str">
        <f t="shared" si="1"/>
        <v>00</v>
      </c>
      <c r="J25" s="26" t="str">
        <f>"53 "</f>
        <v xml:space="preserve">53 </v>
      </c>
      <c r="K25" s="26" t="str">
        <f t="shared" si="3"/>
        <v>SG</v>
      </c>
      <c r="L25" s="26" t="str">
        <f t="shared" si="4"/>
        <v>DGOSE</v>
      </c>
      <c r="M25" s="26" t="str">
        <f t="shared" si="2"/>
        <v>FEDERAL</v>
      </c>
      <c r="N25" s="26">
        <v>758</v>
      </c>
      <c r="O25" s="26">
        <v>408</v>
      </c>
      <c r="P25" s="26">
        <v>350</v>
      </c>
      <c r="Q25" s="26">
        <v>18</v>
      </c>
      <c r="R25" s="26">
        <v>1</v>
      </c>
      <c r="S25" s="26">
        <v>46</v>
      </c>
      <c r="T25" s="26">
        <v>24</v>
      </c>
      <c r="U25" s="26">
        <v>71</v>
      </c>
      <c r="V25" s="26">
        <v>1</v>
      </c>
      <c r="W25" s="26" t="s">
        <v>2076</v>
      </c>
    </row>
    <row r="26" spans="1:23" x14ac:dyDescent="0.25">
      <c r="A26" s="26" t="str">
        <f t="shared" si="0"/>
        <v>SECUNDARIA</v>
      </c>
      <c r="B26" s="26" t="str">
        <f>"09DES0022T"</f>
        <v>09DES0022T</v>
      </c>
      <c r="C26" s="26" t="str">
        <f>"ENRIQUE O. ARAGON                                                                                   "</f>
        <v xml:space="preserve">ENRIQUE O. ARAGON                                                                                   </v>
      </c>
      <c r="D26" s="26" t="str">
        <f t="shared" ref="D26:D33" si="6">"MATUTINO"</f>
        <v>MATUTINO</v>
      </c>
      <c r="E26" s="26" t="str">
        <f>"CDA. COMONFORT S/N                                                              "</f>
        <v xml:space="preserve">CDA. COMONFORT S/N                                                              </v>
      </c>
      <c r="F26" s="26" t="str">
        <f>"SAN LUCAS                                                                                                                                   "</f>
        <v xml:space="preserve">SAN LUCAS                                                                                                                                   </v>
      </c>
      <c r="G26" s="26" t="str">
        <f>"IZTAPALAPA                                                                      "</f>
        <v xml:space="preserve">IZTAPALAPA                                                                      </v>
      </c>
      <c r="H26" s="26" t="str">
        <f>"010"</f>
        <v>010</v>
      </c>
      <c r="I26" s="26" t="str">
        <f t="shared" si="1"/>
        <v>00</v>
      </c>
      <c r="J26" s="26" t="str">
        <f>"63 "</f>
        <v xml:space="preserve">63 </v>
      </c>
      <c r="K26" s="26" t="str">
        <f>"IZ"</f>
        <v>IZ</v>
      </c>
      <c r="L26" s="26" t="str">
        <f>"DGSEI"</f>
        <v>DGSEI</v>
      </c>
      <c r="M26" s="26" t="str">
        <f t="shared" si="2"/>
        <v>FEDERAL</v>
      </c>
      <c r="N26" s="26">
        <v>639</v>
      </c>
      <c r="O26" s="26">
        <v>324</v>
      </c>
      <c r="P26" s="26">
        <v>315</v>
      </c>
      <c r="Q26" s="26">
        <v>18</v>
      </c>
      <c r="R26" s="26">
        <v>2</v>
      </c>
      <c r="S26" s="26">
        <v>44</v>
      </c>
      <c r="T26" s="26">
        <v>26</v>
      </c>
      <c r="U26" s="26">
        <v>72</v>
      </c>
      <c r="V26" s="26">
        <v>1</v>
      </c>
      <c r="W26" s="26"/>
    </row>
    <row r="27" spans="1:23" x14ac:dyDescent="0.25">
      <c r="A27" s="26" t="str">
        <f t="shared" si="0"/>
        <v>SECUNDARIA</v>
      </c>
      <c r="B27" s="26" t="str">
        <f>"09DES0023S"</f>
        <v>09DES0023S</v>
      </c>
      <c r="C27" s="26" t="str">
        <f>""" MTRO. JUAN G. HOLGUIN ""                                                                           "</f>
        <v xml:space="preserve">" MTRO. JUAN G. HOLGUIN "                                                                           </v>
      </c>
      <c r="D27" s="26" t="str">
        <f t="shared" si="6"/>
        <v>MATUTINO</v>
      </c>
      <c r="E27" s="26" t="str">
        <f>"LIVERPOOL NO 40                                                                 "</f>
        <v xml:space="preserve">LIVERPOOL NO 40                                                                 </v>
      </c>
      <c r="F27" s="26" t="str">
        <f>"JUAREZ                                                                                                                                      "</f>
        <v xml:space="preserve">JUAREZ                                                                                                                                      </v>
      </c>
      <c r="G27" s="26" t="str">
        <f>"CUAUHTEMOC                                                                      "</f>
        <v xml:space="preserve">CUAUHTEMOC                                                                      </v>
      </c>
      <c r="H27" s="26" t="str">
        <f>"030"</f>
        <v>030</v>
      </c>
      <c r="I27" s="26" t="str">
        <f t="shared" si="1"/>
        <v>00</v>
      </c>
      <c r="J27" s="26" t="str">
        <f>"51 "</f>
        <v xml:space="preserve">51 </v>
      </c>
      <c r="K27" s="26" t="str">
        <f t="shared" ref="K27:K68" si="7">"SG"</f>
        <v>SG</v>
      </c>
      <c r="L27" s="26" t="str">
        <f t="shared" ref="L27:L68" si="8">"DGOSE"</f>
        <v>DGOSE</v>
      </c>
      <c r="M27" s="26" t="str">
        <f t="shared" si="2"/>
        <v>FEDERAL</v>
      </c>
      <c r="N27" s="26">
        <v>159</v>
      </c>
      <c r="O27" s="26">
        <v>0</v>
      </c>
      <c r="P27" s="26">
        <v>159</v>
      </c>
      <c r="Q27" s="26">
        <v>6</v>
      </c>
      <c r="R27" s="26">
        <v>2</v>
      </c>
      <c r="S27" s="26">
        <v>15</v>
      </c>
      <c r="T27" s="26">
        <v>16</v>
      </c>
      <c r="U27" s="26">
        <v>33</v>
      </c>
      <c r="V27" s="26">
        <v>1</v>
      </c>
      <c r="W27" s="26"/>
    </row>
    <row r="28" spans="1:23" x14ac:dyDescent="0.25">
      <c r="A28" s="26" t="str">
        <f t="shared" si="0"/>
        <v>SECUNDARIA</v>
      </c>
      <c r="B28" s="26" t="str">
        <f>"09DES0024R"</f>
        <v>09DES0024R</v>
      </c>
      <c r="C28" s="26" t="str">
        <f>"LEONA VICARIO                                                                                       "</f>
        <v xml:space="preserve">LEONA VICARIO                                                                                       </v>
      </c>
      <c r="D28" s="26" t="str">
        <f t="shared" si="6"/>
        <v>MATUTINO</v>
      </c>
      <c r="E28" s="26" t="str">
        <f>"FORTUNA NO 45                                                                   "</f>
        <v xml:space="preserve">FORTUNA NO 45                                                                   </v>
      </c>
      <c r="F28" s="26" t="str">
        <f>"TEPEYAC INSURGENTES                                                                                                                         "</f>
        <v xml:space="preserve">TEPEYAC INSURGENTES                                                                                                                         </v>
      </c>
      <c r="G28" s="26" t="str">
        <f>"GUSTAVO A. MADERO                                                               "</f>
        <v xml:space="preserve">GUSTAVO A. MADERO                                                               </v>
      </c>
      <c r="H28" s="26" t="str">
        <f>"035"</f>
        <v>035</v>
      </c>
      <c r="I28" s="26" t="str">
        <f t="shared" si="1"/>
        <v>00</v>
      </c>
      <c r="J28" s="26" t="str">
        <f>"52 "</f>
        <v xml:space="preserve">52 </v>
      </c>
      <c r="K28" s="26" t="str">
        <f t="shared" si="7"/>
        <v>SG</v>
      </c>
      <c r="L28" s="26" t="str">
        <f t="shared" si="8"/>
        <v>DGOSE</v>
      </c>
      <c r="M28" s="26" t="str">
        <f t="shared" si="2"/>
        <v>FEDERAL</v>
      </c>
      <c r="N28" s="26">
        <v>375</v>
      </c>
      <c r="O28" s="26">
        <v>180</v>
      </c>
      <c r="P28" s="26">
        <v>195</v>
      </c>
      <c r="Q28" s="26">
        <v>10</v>
      </c>
      <c r="R28" s="26">
        <v>2</v>
      </c>
      <c r="S28" s="26">
        <v>30</v>
      </c>
      <c r="T28" s="26">
        <v>24</v>
      </c>
      <c r="U28" s="26">
        <v>56</v>
      </c>
      <c r="V28" s="26">
        <v>1</v>
      </c>
      <c r="W28" s="26"/>
    </row>
    <row r="29" spans="1:23" x14ac:dyDescent="0.25">
      <c r="A29" s="26" t="str">
        <f t="shared" si="0"/>
        <v>SECUNDARIA</v>
      </c>
      <c r="B29" s="26" t="str">
        <f>"09DES0025Q"</f>
        <v>09DES0025Q</v>
      </c>
      <c r="C29" s="26" t="str">
        <f>"FERNANDO MONTES DE OCA                                                                              "</f>
        <v xml:space="preserve">FERNANDO MONTES DE OCA                                                                              </v>
      </c>
      <c r="D29" s="26" t="str">
        <f t="shared" si="6"/>
        <v>MATUTINO</v>
      </c>
      <c r="E29" s="26" t="str">
        <f>"P DE GUERRA JACARANDAS  Y FRESNO                                                "</f>
        <v xml:space="preserve">P DE GUERRA JACARANDAS  Y FRESNO                                                </v>
      </c>
      <c r="F29" s="26" t="str">
        <f>"PASTEROS                                                                                                                                    "</f>
        <v xml:space="preserve">PASTEROS                                                                                                                                    </v>
      </c>
      <c r="G29" s="26" t="str">
        <f>"AZCAPOTZALCO                                                                    "</f>
        <v xml:space="preserve">AZCAPOTZALCO                                                                    </v>
      </c>
      <c r="H29" s="26" t="str">
        <f>"007"</f>
        <v>007</v>
      </c>
      <c r="I29" s="26" t="str">
        <f t="shared" si="1"/>
        <v>00</v>
      </c>
      <c r="J29" s="26" t="str">
        <f>"51 "</f>
        <v xml:space="preserve">51 </v>
      </c>
      <c r="K29" s="26" t="str">
        <f t="shared" si="7"/>
        <v>SG</v>
      </c>
      <c r="L29" s="26" t="str">
        <f t="shared" si="8"/>
        <v>DGOSE</v>
      </c>
      <c r="M29" s="26" t="str">
        <f t="shared" si="2"/>
        <v>FEDERAL</v>
      </c>
      <c r="N29" s="26">
        <v>446</v>
      </c>
      <c r="O29" s="26">
        <v>219</v>
      </c>
      <c r="P29" s="26">
        <v>227</v>
      </c>
      <c r="Q29" s="26">
        <v>14</v>
      </c>
      <c r="R29" s="26">
        <v>2</v>
      </c>
      <c r="S29" s="26">
        <v>32</v>
      </c>
      <c r="T29" s="26">
        <v>19</v>
      </c>
      <c r="U29" s="26">
        <v>53</v>
      </c>
      <c r="V29" s="26">
        <v>1</v>
      </c>
      <c r="W29" s="26"/>
    </row>
    <row r="30" spans="1:23" x14ac:dyDescent="0.25">
      <c r="A30" s="26" t="str">
        <f t="shared" si="0"/>
        <v>SECUNDARIA</v>
      </c>
      <c r="B30" s="26" t="str">
        <f>"09DES0026P"</f>
        <v>09DES0026P</v>
      </c>
      <c r="C30" s="26" t="str">
        <f>"FRANCISCO I. MADERO                                                                                 "</f>
        <v xml:space="preserve">FRANCISCO I. MADERO                                                                                 </v>
      </c>
      <c r="D30" s="26" t="str">
        <f t="shared" si="6"/>
        <v>MATUTINO</v>
      </c>
      <c r="E30" s="26" t="str">
        <f>"ROSAS MORENO NO 64                                                              "</f>
        <v xml:space="preserve">ROSAS MORENO NO 64                                                              </v>
      </c>
      <c r="F30" s="26" t="str">
        <f>"SAN RAFAEL                                                                                                                                  "</f>
        <v xml:space="preserve">SAN RAFAEL                                                                                                                                  </v>
      </c>
      <c r="G30" s="26" t="str">
        <f>"CUAUHTEMOC                                                                      "</f>
        <v xml:space="preserve">CUAUHTEMOC                                                                      </v>
      </c>
      <c r="H30" s="26" t="str">
        <f>"027"</f>
        <v>027</v>
      </c>
      <c r="I30" s="26" t="str">
        <f t="shared" si="1"/>
        <v>00</v>
      </c>
      <c r="J30" s="26" t="str">
        <f>"51 "</f>
        <v xml:space="preserve">51 </v>
      </c>
      <c r="K30" s="26" t="str">
        <f t="shared" si="7"/>
        <v>SG</v>
      </c>
      <c r="L30" s="26" t="str">
        <f t="shared" si="8"/>
        <v>DGOSE</v>
      </c>
      <c r="M30" s="26" t="str">
        <f t="shared" si="2"/>
        <v>FEDERAL</v>
      </c>
      <c r="N30" s="26">
        <v>616</v>
      </c>
      <c r="O30" s="26">
        <v>356</v>
      </c>
      <c r="P30" s="26">
        <v>260</v>
      </c>
      <c r="Q30" s="26">
        <v>15</v>
      </c>
      <c r="R30" s="26">
        <v>2</v>
      </c>
      <c r="S30" s="26">
        <v>39</v>
      </c>
      <c r="T30" s="26">
        <v>24</v>
      </c>
      <c r="U30" s="26">
        <v>65</v>
      </c>
      <c r="V30" s="26">
        <v>1</v>
      </c>
      <c r="W30" s="26"/>
    </row>
    <row r="31" spans="1:23" x14ac:dyDescent="0.25">
      <c r="A31" s="26" t="str">
        <f t="shared" si="0"/>
        <v>SECUNDARIA</v>
      </c>
      <c r="B31" s="26" t="str">
        <f>"09DES0027O"</f>
        <v>09DES0027O</v>
      </c>
      <c r="C31" s="26" t="str">
        <f>"ALFREDO E. URUCHURTU                                                                                "</f>
        <v xml:space="preserve">ALFREDO E. URUCHURTU                                                                                </v>
      </c>
      <c r="D31" s="26" t="str">
        <f t="shared" si="6"/>
        <v>MATUTINO</v>
      </c>
      <c r="E31" s="26" t="str">
        <f>"JOSE MORENO SALIDO NO 47                                                        "</f>
        <v xml:space="preserve">JOSE MORENO SALIDO NO 47                                                        </v>
      </c>
      <c r="F31" s="26" t="str">
        <f>"BARRANCA SECA                                                                                                                               "</f>
        <v xml:space="preserve">BARRANCA SECA                                                                                                                               </v>
      </c>
      <c r="G31" s="26" t="str">
        <f>"LA MAGDALENA CONTRERAS                                                          "</f>
        <v xml:space="preserve">LA MAGDALENA CONTRERAS                                                          </v>
      </c>
      <c r="H31" s="26" t="str">
        <f>"059"</f>
        <v>059</v>
      </c>
      <c r="I31" s="26" t="str">
        <f t="shared" si="1"/>
        <v>00</v>
      </c>
      <c r="J31" s="26" t="str">
        <f>"53 "</f>
        <v xml:space="preserve">53 </v>
      </c>
      <c r="K31" s="26" t="str">
        <f t="shared" si="7"/>
        <v>SG</v>
      </c>
      <c r="L31" s="26" t="str">
        <f t="shared" si="8"/>
        <v>DGOSE</v>
      </c>
      <c r="M31" s="26" t="str">
        <f t="shared" si="2"/>
        <v>FEDERAL</v>
      </c>
      <c r="N31" s="26">
        <v>585</v>
      </c>
      <c r="O31" s="26">
        <v>271</v>
      </c>
      <c r="P31" s="26">
        <v>314</v>
      </c>
      <c r="Q31" s="26">
        <v>11</v>
      </c>
      <c r="R31" s="26">
        <v>2</v>
      </c>
      <c r="S31" s="26">
        <v>27</v>
      </c>
      <c r="T31" s="26">
        <v>16</v>
      </c>
      <c r="U31" s="26">
        <v>45</v>
      </c>
      <c r="V31" s="26">
        <v>1</v>
      </c>
      <c r="W31" s="26"/>
    </row>
    <row r="32" spans="1:23" x14ac:dyDescent="0.25">
      <c r="A32" s="26" t="str">
        <f t="shared" si="0"/>
        <v>SECUNDARIA</v>
      </c>
      <c r="B32" s="26" t="str">
        <f>"09DES0028N"</f>
        <v>09DES0028N</v>
      </c>
      <c r="C32" s="26" t="str">
        <f>"DR. MANUEL BARRANCO                                                                                 "</f>
        <v xml:space="preserve">DR. MANUEL BARRANCO                                                                                 </v>
      </c>
      <c r="D32" s="26" t="str">
        <f t="shared" si="6"/>
        <v>MATUTINO</v>
      </c>
      <c r="E32" s="26" t="str">
        <f>"AMADO NERVO NO 88                                                               "</f>
        <v xml:space="preserve">AMADO NERVO NO 88                                                               </v>
      </c>
      <c r="F32" s="26" t="str">
        <f>"SANTA MARIA LA RIBERA                                                                                                                       "</f>
        <v xml:space="preserve">SANTA MARIA LA RIBERA                                                                                                                       </v>
      </c>
      <c r="G32" s="26" t="str">
        <f>"CUAUHTEMOC                                                                      "</f>
        <v xml:space="preserve">CUAUHTEMOC                                                                      </v>
      </c>
      <c r="H32" s="26" t="str">
        <f>"027"</f>
        <v>027</v>
      </c>
      <c r="I32" s="26" t="str">
        <f t="shared" si="1"/>
        <v>00</v>
      </c>
      <c r="J32" s="26" t="str">
        <f>"51 "</f>
        <v xml:space="preserve">51 </v>
      </c>
      <c r="K32" s="26" t="str">
        <f t="shared" si="7"/>
        <v>SG</v>
      </c>
      <c r="L32" s="26" t="str">
        <f t="shared" si="8"/>
        <v>DGOSE</v>
      </c>
      <c r="M32" s="26" t="str">
        <f t="shared" si="2"/>
        <v>FEDERAL</v>
      </c>
      <c r="N32" s="26">
        <v>516</v>
      </c>
      <c r="O32" s="26">
        <v>309</v>
      </c>
      <c r="P32" s="26">
        <v>207</v>
      </c>
      <c r="Q32" s="26">
        <v>13</v>
      </c>
      <c r="R32" s="26">
        <v>2</v>
      </c>
      <c r="S32" s="26">
        <v>35</v>
      </c>
      <c r="T32" s="26">
        <v>22</v>
      </c>
      <c r="U32" s="26">
        <v>59</v>
      </c>
      <c r="V32" s="26">
        <v>1</v>
      </c>
      <c r="W32" s="26"/>
    </row>
    <row r="33" spans="1:23" x14ac:dyDescent="0.25">
      <c r="A33" s="26" t="str">
        <f t="shared" si="0"/>
        <v>SECUNDARIA</v>
      </c>
      <c r="B33" s="26" t="str">
        <f>"09DES0029M"</f>
        <v>09DES0029M</v>
      </c>
      <c r="C33" s="26" t="str">
        <f>"DON MIGUEL HIDALGO Y COSTILLA                                                                       "</f>
        <v xml:space="preserve">DON MIGUEL HIDALGO Y COSTILLA                                                                       </v>
      </c>
      <c r="D33" s="26" t="str">
        <f t="shared" si="6"/>
        <v>MATUTINO</v>
      </c>
      <c r="E33" s="26" t="str">
        <f>"MONEDA NO 13                                                                    "</f>
        <v xml:space="preserve">MONEDA NO 13                                                                    </v>
      </c>
      <c r="F33" s="26" t="str">
        <f>"TLALPAN                                                                                                                                     "</f>
        <v xml:space="preserve">TLALPAN                                                                                                                                     </v>
      </c>
      <c r="G33" s="26" t="str">
        <f>"TLALPAN                                                                         "</f>
        <v xml:space="preserve">TLALPAN                                                                         </v>
      </c>
      <c r="H33" s="26" t="str">
        <f>"072"</f>
        <v>072</v>
      </c>
      <c r="I33" s="26" t="str">
        <f t="shared" si="1"/>
        <v>00</v>
      </c>
      <c r="J33" s="26" t="str">
        <f>"55 "</f>
        <v xml:space="preserve">55 </v>
      </c>
      <c r="K33" s="26" t="str">
        <f t="shared" si="7"/>
        <v>SG</v>
      </c>
      <c r="L33" s="26" t="str">
        <f t="shared" si="8"/>
        <v>DGOSE</v>
      </c>
      <c r="M33" s="26" t="str">
        <f t="shared" si="2"/>
        <v>FEDERAL</v>
      </c>
      <c r="N33" s="26">
        <v>877</v>
      </c>
      <c r="O33" s="26">
        <v>414</v>
      </c>
      <c r="P33" s="26">
        <v>463</v>
      </c>
      <c r="Q33" s="26">
        <v>18</v>
      </c>
      <c r="R33" s="26">
        <v>1</v>
      </c>
      <c r="S33" s="26">
        <v>44</v>
      </c>
      <c r="T33" s="26">
        <v>21</v>
      </c>
      <c r="U33" s="26">
        <v>66</v>
      </c>
      <c r="V33" s="26">
        <v>1</v>
      </c>
      <c r="W33" s="26"/>
    </row>
    <row r="34" spans="1:23" x14ac:dyDescent="0.25">
      <c r="A34" s="26" t="str">
        <f t="shared" si="0"/>
        <v>SECUNDARIA</v>
      </c>
      <c r="B34" s="26" t="str">
        <f>"09DES0030B"</f>
        <v>09DES0030B</v>
      </c>
      <c r="C34" s="26" t="str">
        <f>"DON BENITO JUAREZ                                                                                   "</f>
        <v xml:space="preserve">DON BENITO JUAREZ                                                                                   </v>
      </c>
      <c r="D34" s="26" t="str">
        <f>"JORNADA AMPLIADA"</f>
        <v>JORNADA AMPLIADA</v>
      </c>
      <c r="E34" s="26" t="str">
        <f>"MONTE CAUCASO NO 935                                                            "</f>
        <v xml:space="preserve">MONTE CAUCASO NO 935                                                            </v>
      </c>
      <c r="F34" s="26" t="str">
        <f>"LOMAS DE CHAPULTEPEC                                                                                                                        "</f>
        <v xml:space="preserve">LOMAS DE CHAPULTEPEC                                                                                                                        </v>
      </c>
      <c r="G34" s="26" t="str">
        <f>"MIGUEL HIDALGO                                                                  "</f>
        <v xml:space="preserve">MIGUEL HIDALGO                                                                  </v>
      </c>
      <c r="H34" s="26" t="str">
        <f>"061"</f>
        <v>061</v>
      </c>
      <c r="I34" s="26" t="str">
        <f t="shared" si="1"/>
        <v>00</v>
      </c>
      <c r="J34" s="26" t="str">
        <f>"51 "</f>
        <v xml:space="preserve">51 </v>
      </c>
      <c r="K34" s="26" t="str">
        <f t="shared" si="7"/>
        <v>SG</v>
      </c>
      <c r="L34" s="26" t="str">
        <f t="shared" si="8"/>
        <v>DGOSE</v>
      </c>
      <c r="M34" s="26" t="str">
        <f t="shared" si="2"/>
        <v>FEDERAL</v>
      </c>
      <c r="N34" s="26">
        <v>267</v>
      </c>
      <c r="O34" s="26">
        <v>139</v>
      </c>
      <c r="P34" s="26">
        <v>128</v>
      </c>
      <c r="Q34" s="26">
        <v>6</v>
      </c>
      <c r="R34" s="26">
        <v>2</v>
      </c>
      <c r="S34" s="26">
        <v>18</v>
      </c>
      <c r="T34" s="26">
        <v>15</v>
      </c>
      <c r="U34" s="26">
        <v>35</v>
      </c>
      <c r="V34" s="26">
        <v>1</v>
      </c>
      <c r="W34" s="26" t="s">
        <v>2076</v>
      </c>
    </row>
    <row r="35" spans="1:23" x14ac:dyDescent="0.25">
      <c r="A35" s="26" t="str">
        <f t="shared" si="0"/>
        <v>SECUNDARIA</v>
      </c>
      <c r="B35" s="26" t="str">
        <f>"09DES0031A"</f>
        <v>09DES0031A</v>
      </c>
      <c r="C35" s="26" t="str">
        <f>"DR. ALFONSO PRUNEDA                                                                                 "</f>
        <v xml:space="preserve">DR. ALFONSO PRUNEDA                                                                                 </v>
      </c>
      <c r="D35" s="26" t="str">
        <f>"MATUTINO"</f>
        <v>MATUTINO</v>
      </c>
      <c r="E35" s="26" t="str">
        <f>"AV CHAPULTEPEC S/N                                                              "</f>
        <v xml:space="preserve">AV CHAPULTEPEC S/N                                                              </v>
      </c>
      <c r="F35" s="26" t="str">
        <f>"SAN GREGORIO ATLAPULCO                                                                                                                      "</f>
        <v xml:space="preserve">SAN GREGORIO ATLAPULCO                                                                                                                      </v>
      </c>
      <c r="G35" s="26" t="str">
        <f>"XOCHIMILCO                                                                      "</f>
        <v xml:space="preserve">XOCHIMILCO                                                                      </v>
      </c>
      <c r="H35" s="26" t="str">
        <f>"081"</f>
        <v>081</v>
      </c>
      <c r="I35" s="26" t="str">
        <f t="shared" si="1"/>
        <v>00</v>
      </c>
      <c r="J35" s="26" t="str">
        <f>"55 "</f>
        <v xml:space="preserve">55 </v>
      </c>
      <c r="K35" s="26" t="str">
        <f t="shared" si="7"/>
        <v>SG</v>
      </c>
      <c r="L35" s="26" t="str">
        <f t="shared" si="8"/>
        <v>DGOSE</v>
      </c>
      <c r="M35" s="26" t="str">
        <f t="shared" si="2"/>
        <v>FEDERAL</v>
      </c>
      <c r="N35" s="26">
        <v>910</v>
      </c>
      <c r="O35" s="26">
        <v>415</v>
      </c>
      <c r="P35" s="26">
        <v>495</v>
      </c>
      <c r="Q35" s="26">
        <v>19</v>
      </c>
      <c r="R35" s="26">
        <v>2</v>
      </c>
      <c r="S35" s="26">
        <v>34</v>
      </c>
      <c r="T35" s="26">
        <v>30</v>
      </c>
      <c r="U35" s="26">
        <v>66</v>
      </c>
      <c r="V35" s="26">
        <v>1</v>
      </c>
      <c r="W35" s="26"/>
    </row>
    <row r="36" spans="1:23" x14ac:dyDescent="0.25">
      <c r="A36" s="26" t="str">
        <f t="shared" si="0"/>
        <v>SECUNDARIA</v>
      </c>
      <c r="B36" s="26" t="str">
        <f>"09DES0032Z"</f>
        <v>09DES0032Z</v>
      </c>
      <c r="C36" s="26" t="str">
        <f>"""JOSE MARIA MORELOS Y PAVON""                                                                        "</f>
        <v xml:space="preserve">"JOSE MARIA MORELOS Y PAVON"                                                                        </v>
      </c>
      <c r="D36" s="26" t="str">
        <f>"JORNADA AMPLIADA"</f>
        <v>JORNADA AMPLIADA</v>
      </c>
      <c r="E36" s="26" t="str">
        <f>"NUEVO LEON NO 178                                                               "</f>
        <v xml:space="preserve">NUEVO LEON NO 178                                                               </v>
      </c>
      <c r="F36" s="26" t="str">
        <f>"HIPODROMO DE LA CONDESA                                                                                                                     "</f>
        <v xml:space="preserve">HIPODROMO DE LA CONDESA                                                                                                                     </v>
      </c>
      <c r="G36" s="26" t="str">
        <f>"CUAUHTEMOC                                                                      "</f>
        <v xml:space="preserve">CUAUHTEMOC                                                                      </v>
      </c>
      <c r="H36" s="26" t="str">
        <f>"029"</f>
        <v>029</v>
      </c>
      <c r="I36" s="26" t="str">
        <f t="shared" si="1"/>
        <v>00</v>
      </c>
      <c r="J36" s="26" t="str">
        <f>"51 "</f>
        <v xml:space="preserve">51 </v>
      </c>
      <c r="K36" s="26" t="str">
        <f t="shared" si="7"/>
        <v>SG</v>
      </c>
      <c r="L36" s="26" t="str">
        <f t="shared" si="8"/>
        <v>DGOSE</v>
      </c>
      <c r="M36" s="26" t="str">
        <f t="shared" si="2"/>
        <v>FEDERAL</v>
      </c>
      <c r="N36" s="26">
        <v>222</v>
      </c>
      <c r="O36" s="26">
        <v>116</v>
      </c>
      <c r="P36" s="26">
        <v>106</v>
      </c>
      <c r="Q36" s="26">
        <v>6</v>
      </c>
      <c r="R36" s="26">
        <v>2</v>
      </c>
      <c r="S36" s="26">
        <v>14</v>
      </c>
      <c r="T36" s="26">
        <v>16</v>
      </c>
      <c r="U36" s="26">
        <v>32</v>
      </c>
      <c r="V36" s="26">
        <v>1</v>
      </c>
      <c r="W36" s="26" t="s">
        <v>2076</v>
      </c>
    </row>
    <row r="37" spans="1:23" x14ac:dyDescent="0.25">
      <c r="A37" s="26" t="str">
        <f t="shared" si="0"/>
        <v>SECUNDARIA</v>
      </c>
      <c r="B37" s="26" t="str">
        <f>"09DES0033Z"</f>
        <v>09DES0033Z</v>
      </c>
      <c r="C37" s="26" t="str">
        <f>"SR. DN. VENUSTIANO CARRANZA                                                                         "</f>
        <v xml:space="preserve">SR. DN. VENUSTIANO CARRANZA                                                                         </v>
      </c>
      <c r="D37" s="26" t="str">
        <f>"MATUTINO"</f>
        <v>MATUTINO</v>
      </c>
      <c r="E37" s="26" t="str">
        <f>"AV CUITLAHUAC Y CEYLAN                                                          "</f>
        <v xml:space="preserve">AV CUITLAHUAC Y CEYLAN                                                          </v>
      </c>
      <c r="F37" s="26" t="str">
        <f>"COSMOPOLITA                                                                                                                                 "</f>
        <v xml:space="preserve">COSMOPOLITA                                                                                                                                 </v>
      </c>
      <c r="G37" s="26" t="str">
        <f>"AZCAPOTZALCO                                                                    "</f>
        <v xml:space="preserve">AZCAPOTZALCO                                                                    </v>
      </c>
      <c r="H37" s="26" t="str">
        <f>"009"</f>
        <v>009</v>
      </c>
      <c r="I37" s="26" t="str">
        <f t="shared" si="1"/>
        <v>00</v>
      </c>
      <c r="J37" s="26" t="str">
        <f>"51 "</f>
        <v xml:space="preserve">51 </v>
      </c>
      <c r="K37" s="26" t="str">
        <f t="shared" si="7"/>
        <v>SG</v>
      </c>
      <c r="L37" s="26" t="str">
        <f t="shared" si="8"/>
        <v>DGOSE</v>
      </c>
      <c r="M37" s="26" t="str">
        <f t="shared" si="2"/>
        <v>FEDERAL</v>
      </c>
      <c r="N37" s="26">
        <v>605</v>
      </c>
      <c r="O37" s="26">
        <v>290</v>
      </c>
      <c r="P37" s="26">
        <v>315</v>
      </c>
      <c r="Q37" s="26">
        <v>21</v>
      </c>
      <c r="R37" s="26">
        <v>2</v>
      </c>
      <c r="S37" s="26">
        <v>47</v>
      </c>
      <c r="T37" s="26">
        <v>30</v>
      </c>
      <c r="U37" s="26">
        <v>79</v>
      </c>
      <c r="V37" s="26">
        <v>1</v>
      </c>
      <c r="W37" s="26"/>
    </row>
    <row r="38" spans="1:23" x14ac:dyDescent="0.25">
      <c r="A38" s="26" t="str">
        <f t="shared" si="0"/>
        <v>SECUNDARIA</v>
      </c>
      <c r="B38" s="26" t="str">
        <f>"09DES0034Y"</f>
        <v>09DES0034Y</v>
      </c>
      <c r="C38" s="26" t="str">
        <f>"EUGENIA LEON PUIG                                                                                   "</f>
        <v xml:space="preserve">EUGENIA LEON PUIG                                                                                   </v>
      </c>
      <c r="D38" s="26" t="str">
        <f>"TIEMPO COMPLETO"</f>
        <v>TIEMPO COMPLETO</v>
      </c>
      <c r="E38" s="26" t="str">
        <f>"ALTAMIRA NO 913                                                                 "</f>
        <v xml:space="preserve">ALTAMIRA NO 913                                                                 </v>
      </c>
      <c r="F38" s="26" t="str">
        <f>"PORTALES                                                                                                                                    "</f>
        <v xml:space="preserve">PORTALES                                                                                                                                    </v>
      </c>
      <c r="G38" s="26" t="str">
        <f>"BENITO JUAREZ                                                                   "</f>
        <v xml:space="preserve">BENITO JUAREZ                                                                   </v>
      </c>
      <c r="H38" s="26" t="str">
        <f>"015"</f>
        <v>015</v>
      </c>
      <c r="I38" s="26" t="str">
        <f t="shared" si="1"/>
        <v>00</v>
      </c>
      <c r="J38" s="26" t="str">
        <f>"53 "</f>
        <v xml:space="preserve">53 </v>
      </c>
      <c r="K38" s="26" t="str">
        <f t="shared" si="7"/>
        <v>SG</v>
      </c>
      <c r="L38" s="26" t="str">
        <f t="shared" si="8"/>
        <v>DGOSE</v>
      </c>
      <c r="M38" s="26" t="str">
        <f t="shared" si="2"/>
        <v>FEDERAL</v>
      </c>
      <c r="N38" s="26">
        <v>584</v>
      </c>
      <c r="O38" s="26">
        <v>200</v>
      </c>
      <c r="P38" s="26">
        <v>384</v>
      </c>
      <c r="Q38" s="26">
        <v>17</v>
      </c>
      <c r="R38" s="26">
        <v>2</v>
      </c>
      <c r="S38" s="26">
        <v>45</v>
      </c>
      <c r="T38" s="26">
        <v>29</v>
      </c>
      <c r="U38" s="26">
        <v>76</v>
      </c>
      <c r="V38" s="26">
        <v>1</v>
      </c>
      <c r="W38" s="26" t="s">
        <v>218</v>
      </c>
    </row>
    <row r="39" spans="1:23" x14ac:dyDescent="0.25">
      <c r="A39" s="26" t="str">
        <f t="shared" si="0"/>
        <v>SECUNDARIA</v>
      </c>
      <c r="B39" s="26" t="str">
        <f>"09DES0035X"</f>
        <v>09DES0035X</v>
      </c>
      <c r="C39" s="26" t="str">
        <f>"VICENTE GUERRERO                                                                                    "</f>
        <v xml:space="preserve">VICENTE GUERRERO                                                                                    </v>
      </c>
      <c r="D39" s="26" t="str">
        <f t="shared" ref="D39:D51" si="9">"MATUTINO"</f>
        <v>MATUTINO</v>
      </c>
      <c r="E39" s="26" t="str">
        <f>"CORINA NO 95                                                                    "</f>
        <v xml:space="preserve">CORINA NO 95                                                                    </v>
      </c>
      <c r="F39" s="26" t="str">
        <f>"DEL CARMEN                                                                                                                                  "</f>
        <v xml:space="preserve">DEL CARMEN                                                                                                                                  </v>
      </c>
      <c r="G39" s="26" t="str">
        <f>"COYOACAN                                                                        "</f>
        <v xml:space="preserve">COYOACAN                                                                        </v>
      </c>
      <c r="H39" s="26" t="str">
        <f>"018"</f>
        <v>018</v>
      </c>
      <c r="I39" s="26" t="str">
        <f t="shared" si="1"/>
        <v>00</v>
      </c>
      <c r="J39" s="26" t="str">
        <f>"54 "</f>
        <v xml:space="preserve">54 </v>
      </c>
      <c r="K39" s="26" t="str">
        <f t="shared" si="7"/>
        <v>SG</v>
      </c>
      <c r="L39" s="26" t="str">
        <f t="shared" si="8"/>
        <v>DGOSE</v>
      </c>
      <c r="M39" s="26" t="str">
        <f t="shared" si="2"/>
        <v>FEDERAL</v>
      </c>
      <c r="N39" s="26">
        <v>811</v>
      </c>
      <c r="O39" s="26">
        <v>394</v>
      </c>
      <c r="P39" s="26">
        <v>417</v>
      </c>
      <c r="Q39" s="26">
        <v>18</v>
      </c>
      <c r="R39" s="26">
        <v>2</v>
      </c>
      <c r="S39" s="26">
        <v>44</v>
      </c>
      <c r="T39" s="26">
        <v>29</v>
      </c>
      <c r="U39" s="26">
        <v>75</v>
      </c>
      <c r="V39" s="26">
        <v>1</v>
      </c>
      <c r="W39" s="26"/>
    </row>
    <row r="40" spans="1:23" x14ac:dyDescent="0.25">
      <c r="A40" s="26" t="str">
        <f t="shared" si="0"/>
        <v>SECUNDARIA</v>
      </c>
      <c r="B40" s="26" t="str">
        <f>"09DES0036W"</f>
        <v>09DES0036W</v>
      </c>
      <c r="C40" s="26" t="str">
        <f>"CUAUHTEMOC                                                                                          "</f>
        <v xml:space="preserve">CUAUHTEMOC                                                                                          </v>
      </c>
      <c r="D40" s="26" t="str">
        <f t="shared" si="9"/>
        <v>MATUTINO</v>
      </c>
      <c r="E40" s="26" t="str">
        <f>"AV HIDALGO NO 21                                                                "</f>
        <v xml:space="preserve">AV HIDALGO NO 21                                                                </v>
      </c>
      <c r="F40" s="26" t="str">
        <f>"LA ASUNCION                                                                                                                                 "</f>
        <v xml:space="preserve">LA ASUNCION                                                                                                                                 </v>
      </c>
      <c r="G40" s="26" t="str">
        <f>"XOCHIMILCO                                                                      "</f>
        <v xml:space="preserve">XOCHIMILCO                                                                      </v>
      </c>
      <c r="H40" s="26" t="str">
        <f>"081"</f>
        <v>081</v>
      </c>
      <c r="I40" s="26" t="str">
        <f t="shared" si="1"/>
        <v>00</v>
      </c>
      <c r="J40" s="26" t="str">
        <f>"55 "</f>
        <v xml:space="preserve">55 </v>
      </c>
      <c r="K40" s="26" t="str">
        <f t="shared" si="7"/>
        <v>SG</v>
      </c>
      <c r="L40" s="26" t="str">
        <f t="shared" si="8"/>
        <v>DGOSE</v>
      </c>
      <c r="M40" s="26" t="str">
        <f t="shared" si="2"/>
        <v>FEDERAL</v>
      </c>
      <c r="N40" s="26">
        <v>857</v>
      </c>
      <c r="O40" s="26">
        <v>414</v>
      </c>
      <c r="P40" s="26">
        <v>443</v>
      </c>
      <c r="Q40" s="26">
        <v>18</v>
      </c>
      <c r="R40" s="26">
        <v>2</v>
      </c>
      <c r="S40" s="26">
        <v>39</v>
      </c>
      <c r="T40" s="26">
        <v>22</v>
      </c>
      <c r="U40" s="26">
        <v>63</v>
      </c>
      <c r="V40" s="26">
        <v>1</v>
      </c>
      <c r="W40" s="26"/>
    </row>
    <row r="41" spans="1:23" x14ac:dyDescent="0.25">
      <c r="A41" s="26" t="str">
        <f t="shared" si="0"/>
        <v>SECUNDARIA</v>
      </c>
      <c r="B41" s="26" t="str">
        <f>"09DES0037V"</f>
        <v>09DES0037V</v>
      </c>
      <c r="C41" s="26" t="str">
        <f>"EMILIANO ZAPATA                                                                                     "</f>
        <v xml:space="preserve">EMILIANO ZAPATA                                                                                     </v>
      </c>
      <c r="D41" s="26" t="str">
        <f t="shared" si="9"/>
        <v>MATUTINO</v>
      </c>
      <c r="E41" s="26" t="str">
        <f>"AV MEXICO SUR S/N                                                               "</f>
        <v xml:space="preserve">AV MEXICO SUR S/N                                                               </v>
      </c>
      <c r="F41" s="26" t="str">
        <f>"LA LUZ VILLA BARRIO                                                                                                                         "</f>
        <v xml:space="preserve">LA LUZ VILLA BARRIO                                                                                                                         </v>
      </c>
      <c r="G41" s="26" t="str">
        <f>"MILPA ALTA                                                                      "</f>
        <v xml:space="preserve">MILPA ALTA                                                                      </v>
      </c>
      <c r="H41" s="26" t="str">
        <f>"066"</f>
        <v>066</v>
      </c>
      <c r="I41" s="26" t="str">
        <f t="shared" si="1"/>
        <v>00</v>
      </c>
      <c r="J41" s="26" t="str">
        <f>"55 "</f>
        <v xml:space="preserve">55 </v>
      </c>
      <c r="K41" s="26" t="str">
        <f t="shared" si="7"/>
        <v>SG</v>
      </c>
      <c r="L41" s="26" t="str">
        <f t="shared" si="8"/>
        <v>DGOSE</v>
      </c>
      <c r="M41" s="26" t="str">
        <f t="shared" si="2"/>
        <v>FEDERAL</v>
      </c>
      <c r="N41" s="26">
        <v>856</v>
      </c>
      <c r="O41" s="26">
        <v>425</v>
      </c>
      <c r="P41" s="26">
        <v>431</v>
      </c>
      <c r="Q41" s="26">
        <v>17</v>
      </c>
      <c r="R41" s="26">
        <v>2</v>
      </c>
      <c r="S41" s="26">
        <v>32</v>
      </c>
      <c r="T41" s="26">
        <v>28</v>
      </c>
      <c r="U41" s="26">
        <v>62</v>
      </c>
      <c r="V41" s="26">
        <v>1</v>
      </c>
      <c r="W41" s="26"/>
    </row>
    <row r="42" spans="1:23" x14ac:dyDescent="0.25">
      <c r="A42" s="26" t="str">
        <f t="shared" si="0"/>
        <v>SECUNDARIA</v>
      </c>
      <c r="B42" s="26" t="str">
        <f>"09DES0038U"</f>
        <v>09DES0038U</v>
      </c>
      <c r="C42" s="26" t="str">
        <f>"JOSEFA ORTIZ DE DOMINGUEZ                                                                           "</f>
        <v xml:space="preserve">JOSEFA ORTIZ DE DOMINGUEZ                                                                           </v>
      </c>
      <c r="D42" s="26" t="str">
        <f t="shared" si="9"/>
        <v>MATUTINO</v>
      </c>
      <c r="E42" s="26" t="str">
        <f>"AV COYOACAN Y SAN BORJA                                                         "</f>
        <v xml:space="preserve">AV COYOACAN Y SAN BORJA                                                         </v>
      </c>
      <c r="F42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42" s="26" t="str">
        <f>"BENITO JUAREZ                                                                   "</f>
        <v xml:space="preserve">BENITO JUAREZ                                                                   </v>
      </c>
      <c r="H42" s="26" t="str">
        <f>"014"</f>
        <v>014</v>
      </c>
      <c r="I42" s="26" t="str">
        <f t="shared" si="1"/>
        <v>00</v>
      </c>
      <c r="J42" s="26" t="str">
        <f>"53 "</f>
        <v xml:space="preserve">53 </v>
      </c>
      <c r="K42" s="26" t="str">
        <f t="shared" si="7"/>
        <v>SG</v>
      </c>
      <c r="L42" s="26" t="str">
        <f t="shared" si="8"/>
        <v>DGOSE</v>
      </c>
      <c r="M42" s="26" t="str">
        <f t="shared" si="2"/>
        <v>FEDERAL</v>
      </c>
      <c r="N42" s="26">
        <v>784</v>
      </c>
      <c r="O42" s="26">
        <v>436</v>
      </c>
      <c r="P42" s="26">
        <v>348</v>
      </c>
      <c r="Q42" s="26">
        <v>18</v>
      </c>
      <c r="R42" s="26">
        <v>2</v>
      </c>
      <c r="S42" s="26">
        <v>38</v>
      </c>
      <c r="T42" s="26">
        <v>25</v>
      </c>
      <c r="U42" s="26">
        <v>65</v>
      </c>
      <c r="V42" s="26">
        <v>1</v>
      </c>
      <c r="W42" s="26"/>
    </row>
    <row r="43" spans="1:23" x14ac:dyDescent="0.25">
      <c r="A43" s="26" t="str">
        <f t="shared" si="0"/>
        <v>SECUNDARIA</v>
      </c>
      <c r="B43" s="26" t="str">
        <f>"09DES0039T"</f>
        <v>09DES0039T</v>
      </c>
      <c r="C43" s="26" t="str">
        <f>"RAMON DOMINGUEZ RAMON                                                                               "</f>
        <v xml:space="preserve">RAMON DOMINGUEZ RAMON                                                                               </v>
      </c>
      <c r="D43" s="26" t="str">
        <f t="shared" si="9"/>
        <v>MATUTINO</v>
      </c>
      <c r="E43" s="26" t="str">
        <f>"TACUBA NO 19                                                                    "</f>
        <v xml:space="preserve">TACUBA NO 19                                                                    </v>
      </c>
      <c r="F43" s="26" t="str">
        <f>"MERCED GOMEZ                                                                                                                                "</f>
        <v xml:space="preserve">MERCED GOMEZ                                                                                                                                </v>
      </c>
      <c r="G43" s="26" t="str">
        <f>"ALVARO OBREGON                                                                  "</f>
        <v xml:space="preserve">ALVARO OBREGON                                                                  </v>
      </c>
      <c r="H43" s="26" t="str">
        <f>"002"</f>
        <v>002</v>
      </c>
      <c r="I43" s="26" t="str">
        <f t="shared" si="1"/>
        <v>00</v>
      </c>
      <c r="J43" s="26" t="str">
        <f>"53 "</f>
        <v xml:space="preserve">53 </v>
      </c>
      <c r="K43" s="26" t="str">
        <f t="shared" si="7"/>
        <v>SG</v>
      </c>
      <c r="L43" s="26" t="str">
        <f t="shared" si="8"/>
        <v>DGOSE</v>
      </c>
      <c r="M43" s="26" t="str">
        <f t="shared" si="2"/>
        <v>FEDERAL</v>
      </c>
      <c r="N43" s="26">
        <v>324</v>
      </c>
      <c r="O43" s="26">
        <v>192</v>
      </c>
      <c r="P43" s="26">
        <v>132</v>
      </c>
      <c r="Q43" s="26">
        <v>7</v>
      </c>
      <c r="R43" s="26">
        <v>2</v>
      </c>
      <c r="S43" s="26">
        <v>19</v>
      </c>
      <c r="T43" s="26">
        <v>14</v>
      </c>
      <c r="U43" s="26">
        <v>35</v>
      </c>
      <c r="V43" s="26">
        <v>1</v>
      </c>
      <c r="W43" s="26"/>
    </row>
    <row r="44" spans="1:23" x14ac:dyDescent="0.25">
      <c r="A44" s="26" t="str">
        <f t="shared" si="0"/>
        <v>SECUNDARIA</v>
      </c>
      <c r="B44" s="26" t="str">
        <f>"09DES0040I"</f>
        <v>09DES0040I</v>
      </c>
      <c r="C44" s="26" t="str">
        <f>"DON MELCHOR OCAMPO                                                                                  "</f>
        <v xml:space="preserve">DON MELCHOR OCAMPO                                                                                  </v>
      </c>
      <c r="D44" s="26" t="str">
        <f t="shared" si="9"/>
        <v>MATUTINO</v>
      </c>
      <c r="E44" s="26" t="str">
        <f>"NORTE 29 NO 63 Y ORIENTE 164                                                    "</f>
        <v xml:space="preserve">NORTE 29 NO 63 Y ORIENTE 164                                                    </v>
      </c>
      <c r="F44" s="26" t="str">
        <f>"MOCTEZUMA 2A SECCION                                                                                                                        "</f>
        <v xml:space="preserve">MOCTEZUMA 2A SECCION                                                                                                                        </v>
      </c>
      <c r="G44" s="26" t="str">
        <f>"VENUSTIANO CARRANZA                                                             "</f>
        <v xml:space="preserve">VENUSTIANO CARRANZA                                                             </v>
      </c>
      <c r="H44" s="26" t="str">
        <f>"076"</f>
        <v>076</v>
      </c>
      <c r="I44" s="26" t="str">
        <f t="shared" si="1"/>
        <v>00</v>
      </c>
      <c r="J44" s="26" t="str">
        <f>"54 "</f>
        <v xml:space="preserve">54 </v>
      </c>
      <c r="K44" s="26" t="str">
        <f t="shared" si="7"/>
        <v>SG</v>
      </c>
      <c r="L44" s="26" t="str">
        <f t="shared" si="8"/>
        <v>DGOSE</v>
      </c>
      <c r="M44" s="26" t="str">
        <f t="shared" si="2"/>
        <v>FEDERAL</v>
      </c>
      <c r="N44" s="26">
        <v>646</v>
      </c>
      <c r="O44" s="26">
        <v>301</v>
      </c>
      <c r="P44" s="26">
        <v>345</v>
      </c>
      <c r="Q44" s="26">
        <v>18</v>
      </c>
      <c r="R44" s="26">
        <v>3</v>
      </c>
      <c r="S44" s="26">
        <v>41</v>
      </c>
      <c r="T44" s="26">
        <v>29</v>
      </c>
      <c r="U44" s="26">
        <v>73</v>
      </c>
      <c r="V44" s="26">
        <v>1</v>
      </c>
      <c r="W44" s="26"/>
    </row>
    <row r="45" spans="1:23" x14ac:dyDescent="0.25">
      <c r="A45" s="26" t="str">
        <f t="shared" si="0"/>
        <v>SECUNDARIA</v>
      </c>
      <c r="B45" s="26" t="str">
        <f>"09DES0041H"</f>
        <v>09DES0041H</v>
      </c>
      <c r="C45" s="26" t="str">
        <f>"SOR JUANA INES DE LA CRUZ                                                                           "</f>
        <v xml:space="preserve">SOR JUANA INES DE LA CRUZ                                                                           </v>
      </c>
      <c r="D45" s="26" t="str">
        <f t="shared" si="9"/>
        <v>MATUTINO</v>
      </c>
      <c r="E45" s="26" t="str">
        <f>"SUR 103 NO 1034                                                                 "</f>
        <v xml:space="preserve">SUR 103 NO 1034                                                                 </v>
      </c>
      <c r="F45" s="26" t="str">
        <f>"AERONAUTICA MILITAR                                                                                                                         "</f>
        <v xml:space="preserve">AERONAUTICA MILITAR                                                                                                                         </v>
      </c>
      <c r="G45" s="26" t="str">
        <f>"VENUSTIANO CARRANZA                                                             "</f>
        <v xml:space="preserve">VENUSTIANO CARRANZA                                                             </v>
      </c>
      <c r="H45" s="26" t="str">
        <f>"075"</f>
        <v>075</v>
      </c>
      <c r="I45" s="26" t="str">
        <f t="shared" si="1"/>
        <v>00</v>
      </c>
      <c r="J45" s="26" t="str">
        <f>"54 "</f>
        <v xml:space="preserve">54 </v>
      </c>
      <c r="K45" s="26" t="str">
        <f t="shared" si="7"/>
        <v>SG</v>
      </c>
      <c r="L45" s="26" t="str">
        <f t="shared" si="8"/>
        <v>DGOSE</v>
      </c>
      <c r="M45" s="26" t="str">
        <f t="shared" si="2"/>
        <v>FEDERAL</v>
      </c>
      <c r="N45" s="26">
        <v>711</v>
      </c>
      <c r="O45" s="26">
        <v>0</v>
      </c>
      <c r="P45" s="26">
        <v>711</v>
      </c>
      <c r="Q45" s="26">
        <v>22</v>
      </c>
      <c r="R45" s="26">
        <v>2</v>
      </c>
      <c r="S45" s="26">
        <v>55</v>
      </c>
      <c r="T45" s="26">
        <v>36</v>
      </c>
      <c r="U45" s="26">
        <v>93</v>
      </c>
      <c r="V45" s="26">
        <v>1</v>
      </c>
      <c r="W45" s="26"/>
    </row>
    <row r="46" spans="1:23" x14ac:dyDescent="0.25">
      <c r="A46" s="26" t="str">
        <f t="shared" si="0"/>
        <v>SECUNDARIA</v>
      </c>
      <c r="B46" s="26" t="str">
        <f>"09DES0042G"</f>
        <v>09DES0042G</v>
      </c>
      <c r="C46" s="26" t="str">
        <f>"IGNACIO MANUEL ALTAMIRANO                                                                           "</f>
        <v xml:space="preserve">IGNACIO MANUEL ALTAMIRANO                                                                           </v>
      </c>
      <c r="D46" s="26" t="str">
        <f t="shared" si="9"/>
        <v>MATUTINO</v>
      </c>
      <c r="E46" s="26" t="str">
        <f>"CARLOS B ZETINA NO 109 ESQ MARTI                                                "</f>
        <v xml:space="preserve">CARLOS B ZETINA NO 109 ESQ MARTI                                                </v>
      </c>
      <c r="F46" s="26" t="str">
        <f>"ESCANDON                                                                                                                                    "</f>
        <v xml:space="preserve">ESCANDON                                                                                                                                    </v>
      </c>
      <c r="G46" s="26" t="str">
        <f>"MIGUEL HIDALGO                                                                  "</f>
        <v xml:space="preserve">MIGUEL HIDALGO                                                                  </v>
      </c>
      <c r="H46" s="26" t="str">
        <f>"060"</f>
        <v>060</v>
      </c>
      <c r="I46" s="26" t="str">
        <f t="shared" si="1"/>
        <v>00</v>
      </c>
      <c r="J46" s="26" t="str">
        <f>"51 "</f>
        <v xml:space="preserve">51 </v>
      </c>
      <c r="K46" s="26" t="str">
        <f t="shared" si="7"/>
        <v>SG</v>
      </c>
      <c r="L46" s="26" t="str">
        <f t="shared" si="8"/>
        <v>DGOSE</v>
      </c>
      <c r="M46" s="26" t="str">
        <f t="shared" si="2"/>
        <v>FEDERAL</v>
      </c>
      <c r="N46" s="26">
        <v>482</v>
      </c>
      <c r="O46" s="26">
        <v>271</v>
      </c>
      <c r="P46" s="26">
        <v>211</v>
      </c>
      <c r="Q46" s="26">
        <v>15</v>
      </c>
      <c r="R46" s="26">
        <v>2</v>
      </c>
      <c r="S46" s="26">
        <v>31</v>
      </c>
      <c r="T46" s="26">
        <v>24</v>
      </c>
      <c r="U46" s="26">
        <v>57</v>
      </c>
      <c r="V46" s="26">
        <v>1</v>
      </c>
      <c r="W46" s="26"/>
    </row>
    <row r="47" spans="1:23" x14ac:dyDescent="0.25">
      <c r="A47" s="26" t="str">
        <f t="shared" si="0"/>
        <v>SECUNDARIA</v>
      </c>
      <c r="B47" s="26" t="str">
        <f>"09DES0043F"</f>
        <v>09DES0043F</v>
      </c>
      <c r="C47" s="26" t="str">
        <f>"JUSTO SIERRA                                                                                        "</f>
        <v xml:space="preserve">JUSTO SIERRA                                                                                        </v>
      </c>
      <c r="D47" s="26" t="str">
        <f t="shared" si="9"/>
        <v>MATUTINO</v>
      </c>
      <c r="E47" s="26" t="str">
        <f>"GUADALAJARA NO 9                                                                "</f>
        <v xml:space="preserve">GUADALAJARA NO 9                                                                </v>
      </c>
      <c r="F47" s="26" t="str">
        <f>"ROMA NORTE                                                                                                                                  "</f>
        <v xml:space="preserve">ROMA NORTE                                                                                                                                  </v>
      </c>
      <c r="G47" s="26" t="str">
        <f>"CUAUHTEMOC                                                                      "</f>
        <v xml:space="preserve">CUAUHTEMOC                                                                      </v>
      </c>
      <c r="H47" s="26" t="str">
        <f>"029"</f>
        <v>029</v>
      </c>
      <c r="I47" s="26" t="str">
        <f t="shared" si="1"/>
        <v>00</v>
      </c>
      <c r="J47" s="26" t="str">
        <f>"51 "</f>
        <v xml:space="preserve">51 </v>
      </c>
      <c r="K47" s="26" t="str">
        <f t="shared" si="7"/>
        <v>SG</v>
      </c>
      <c r="L47" s="26" t="str">
        <f t="shared" si="8"/>
        <v>DGOSE</v>
      </c>
      <c r="M47" s="26" t="str">
        <f t="shared" si="2"/>
        <v>FEDERAL</v>
      </c>
      <c r="N47" s="26">
        <v>221</v>
      </c>
      <c r="O47" s="26">
        <v>118</v>
      </c>
      <c r="P47" s="26">
        <v>103</v>
      </c>
      <c r="Q47" s="26">
        <v>6</v>
      </c>
      <c r="R47" s="26">
        <v>2</v>
      </c>
      <c r="S47" s="26">
        <v>18</v>
      </c>
      <c r="T47" s="26">
        <v>13</v>
      </c>
      <c r="U47" s="26">
        <v>33</v>
      </c>
      <c r="V47" s="26">
        <v>1</v>
      </c>
      <c r="W47" s="26"/>
    </row>
    <row r="48" spans="1:23" x14ac:dyDescent="0.25">
      <c r="A48" s="26" t="str">
        <f t="shared" si="0"/>
        <v>SECUNDARIA</v>
      </c>
      <c r="B48" s="26" t="str">
        <f>"09DES0044E"</f>
        <v>09DES0044E</v>
      </c>
      <c r="C48" s="26" t="str">
        <f>"ROSARIO GUTIERREZ ESKILDSEN                                                                         "</f>
        <v xml:space="preserve">ROSARIO GUTIERREZ ESKILDSEN                                                                         </v>
      </c>
      <c r="D48" s="26" t="str">
        <f t="shared" si="9"/>
        <v>MATUTINO</v>
      </c>
      <c r="E48" s="26" t="str">
        <f>"MELCHOR OCAMPO NO 13                                                            "</f>
        <v xml:space="preserve">MELCHOR OCAMPO NO 13                                                            </v>
      </c>
      <c r="F48" s="26" t="str">
        <f>"SANTIAGO TULYEHUALCO                                                                                                                        "</f>
        <v xml:space="preserve">SANTIAGO TULYEHUALCO                                                                                                                        </v>
      </c>
      <c r="G48" s="26" t="str">
        <f>"XOCHIMILCO                                                                      "</f>
        <v xml:space="preserve">XOCHIMILCO                                                                      </v>
      </c>
      <c r="H48" s="26" t="str">
        <f>"114"</f>
        <v>114</v>
      </c>
      <c r="I48" s="26" t="str">
        <f t="shared" si="1"/>
        <v>00</v>
      </c>
      <c r="J48" s="26" t="str">
        <f>"55 "</f>
        <v xml:space="preserve">55 </v>
      </c>
      <c r="K48" s="26" t="str">
        <f t="shared" si="7"/>
        <v>SG</v>
      </c>
      <c r="L48" s="26" t="str">
        <f t="shared" si="8"/>
        <v>DGOSE</v>
      </c>
      <c r="M48" s="26" t="str">
        <f t="shared" si="2"/>
        <v>FEDERAL</v>
      </c>
      <c r="N48" s="26">
        <v>913</v>
      </c>
      <c r="O48" s="26">
        <v>443</v>
      </c>
      <c r="P48" s="26">
        <v>470</v>
      </c>
      <c r="Q48" s="26">
        <v>18</v>
      </c>
      <c r="R48" s="26">
        <v>2</v>
      </c>
      <c r="S48" s="26">
        <v>42</v>
      </c>
      <c r="T48" s="26">
        <v>25</v>
      </c>
      <c r="U48" s="26">
        <v>69</v>
      </c>
      <c r="V48" s="26">
        <v>1</v>
      </c>
      <c r="W48" s="26"/>
    </row>
    <row r="49" spans="1:23" x14ac:dyDescent="0.25">
      <c r="A49" s="26" t="str">
        <f t="shared" si="0"/>
        <v>SECUNDARIA</v>
      </c>
      <c r="B49" s="26" t="str">
        <f>"09DES0045D"</f>
        <v>09DES0045D</v>
      </c>
      <c r="C49" s="26" t="str">
        <f>"MARIA ENRIQUETA CAMARILLO                                                                           "</f>
        <v xml:space="preserve">MARIA ENRIQUETA CAMARILLO                                                                           </v>
      </c>
      <c r="D49" s="26" t="str">
        <f t="shared" si="9"/>
        <v>MATUTINO</v>
      </c>
      <c r="E49" s="26" t="str">
        <f>"ESPERANZA ESQ CUAUHTEMOC                                                        "</f>
        <v xml:space="preserve">ESPERANZA ESQ CUAUHTEMOC                                                        </v>
      </c>
      <c r="F49" s="26" t="str">
        <f>"NARVARTE                                                                                                                                    "</f>
        <v xml:space="preserve">NARVARTE                                                                                                                                    </v>
      </c>
      <c r="G49" s="26" t="str">
        <f>"BENITO JUAREZ                                                                   "</f>
        <v xml:space="preserve">BENITO JUAREZ                                                                   </v>
      </c>
      <c r="H49" s="26" t="str">
        <f>"012"</f>
        <v>012</v>
      </c>
      <c r="I49" s="26" t="str">
        <f t="shared" si="1"/>
        <v>00</v>
      </c>
      <c r="J49" s="26" t="str">
        <f>"53 "</f>
        <v xml:space="preserve">53 </v>
      </c>
      <c r="K49" s="26" t="str">
        <f t="shared" si="7"/>
        <v>SG</v>
      </c>
      <c r="L49" s="26" t="str">
        <f t="shared" si="8"/>
        <v>DGOSE</v>
      </c>
      <c r="M49" s="26" t="str">
        <f t="shared" si="2"/>
        <v>FEDERAL</v>
      </c>
      <c r="N49" s="26">
        <v>610</v>
      </c>
      <c r="O49" s="26">
        <v>319</v>
      </c>
      <c r="P49" s="26">
        <v>291</v>
      </c>
      <c r="Q49" s="26">
        <v>16</v>
      </c>
      <c r="R49" s="26">
        <v>2</v>
      </c>
      <c r="S49" s="26">
        <v>36</v>
      </c>
      <c r="T49" s="26">
        <v>26</v>
      </c>
      <c r="U49" s="26">
        <v>64</v>
      </c>
      <c r="V49" s="26">
        <v>1</v>
      </c>
      <c r="W49" s="26"/>
    </row>
    <row r="50" spans="1:23" x14ac:dyDescent="0.25">
      <c r="A50" s="26" t="str">
        <f t="shared" si="0"/>
        <v>SECUNDARIA</v>
      </c>
      <c r="B50" s="26" t="str">
        <f>"09DES0046C"</f>
        <v>09DES0046C</v>
      </c>
      <c r="C50" s="26" t="str">
        <f>"JOSE VASCONCELOS                                                                                    "</f>
        <v xml:space="preserve">JOSE VASCONCELOS                                                                                    </v>
      </c>
      <c r="D50" s="26" t="str">
        <f t="shared" si="9"/>
        <v>MATUTINO</v>
      </c>
      <c r="E50" s="26" t="str">
        <f>"SABINO NO 135                                                                   "</f>
        <v xml:space="preserve">SABINO NO 135                                                                   </v>
      </c>
      <c r="F50" s="26" t="str">
        <f>"SANTA MARIA LA RIBERA                                                                                                                       "</f>
        <v xml:space="preserve">SANTA MARIA LA RIBERA                                                                                                                       </v>
      </c>
      <c r="G50" s="26" t="str">
        <f>"CUAUHTEMOC                                                                      "</f>
        <v xml:space="preserve">CUAUHTEMOC                                                                      </v>
      </c>
      <c r="H50" s="26" t="str">
        <f>"027"</f>
        <v>027</v>
      </c>
      <c r="I50" s="26" t="str">
        <f t="shared" si="1"/>
        <v>00</v>
      </c>
      <c r="J50" s="26" t="str">
        <f>"51 "</f>
        <v xml:space="preserve">51 </v>
      </c>
      <c r="K50" s="26" t="str">
        <f t="shared" si="7"/>
        <v>SG</v>
      </c>
      <c r="L50" s="26" t="str">
        <f t="shared" si="8"/>
        <v>DGOSE</v>
      </c>
      <c r="M50" s="26" t="str">
        <f t="shared" si="2"/>
        <v>FEDERAL</v>
      </c>
      <c r="N50" s="26">
        <v>166</v>
      </c>
      <c r="O50" s="26">
        <v>92</v>
      </c>
      <c r="P50" s="26">
        <v>74</v>
      </c>
      <c r="Q50" s="26">
        <v>4</v>
      </c>
      <c r="R50" s="26">
        <v>2</v>
      </c>
      <c r="S50" s="26">
        <v>15</v>
      </c>
      <c r="T50" s="26">
        <v>12</v>
      </c>
      <c r="U50" s="26">
        <v>29</v>
      </c>
      <c r="V50" s="26">
        <v>1</v>
      </c>
      <c r="W50" s="26"/>
    </row>
    <row r="51" spans="1:23" x14ac:dyDescent="0.25">
      <c r="A51" s="26" t="str">
        <f t="shared" si="0"/>
        <v>SECUNDARIA</v>
      </c>
      <c r="B51" s="26" t="str">
        <f>"09DES0047B"</f>
        <v>09DES0047B</v>
      </c>
      <c r="C51" s="26" t="str">
        <f>"QUETZALCOATL                                                                                        "</f>
        <v xml:space="preserve">QUETZALCOATL                                                                                        </v>
      </c>
      <c r="D51" s="26" t="str">
        <f t="shared" si="9"/>
        <v>MATUTINO</v>
      </c>
      <c r="E51" s="26" t="str">
        <f>"AV. TIERRA Y LIBERTAD ESQ. CARLOS MARTINEZ GIL                                  "</f>
        <v xml:space="preserve">AV. TIERRA Y LIBERTAD ESQ. CARLOS MARTINEZ GIL                                  </v>
      </c>
      <c r="F51" s="26" t="str">
        <f>"SAN JOSE                                                                                                                                    "</f>
        <v xml:space="preserve">SAN JOSE                                                                                                                                    </v>
      </c>
      <c r="G51" s="26" t="str">
        <f>"TLAHUAC                                                                         "</f>
        <v xml:space="preserve">TLAHUAC                                                                         </v>
      </c>
      <c r="H51" s="26" t="str">
        <f>"068"</f>
        <v>068</v>
      </c>
      <c r="I51" s="26" t="str">
        <f t="shared" si="1"/>
        <v>00</v>
      </c>
      <c r="J51" s="26" t="str">
        <f>"55 "</f>
        <v xml:space="preserve">55 </v>
      </c>
      <c r="K51" s="26" t="str">
        <f t="shared" si="7"/>
        <v>SG</v>
      </c>
      <c r="L51" s="26" t="str">
        <f t="shared" si="8"/>
        <v>DGOSE</v>
      </c>
      <c r="M51" s="26" t="str">
        <f t="shared" si="2"/>
        <v>FEDERAL</v>
      </c>
      <c r="N51" s="26">
        <v>803</v>
      </c>
      <c r="O51" s="26">
        <v>384</v>
      </c>
      <c r="P51" s="26">
        <v>419</v>
      </c>
      <c r="Q51" s="26">
        <v>18</v>
      </c>
      <c r="R51" s="26">
        <v>2</v>
      </c>
      <c r="S51" s="26">
        <v>42</v>
      </c>
      <c r="T51" s="26">
        <v>27</v>
      </c>
      <c r="U51" s="26">
        <v>71</v>
      </c>
      <c r="V51" s="26">
        <v>1</v>
      </c>
      <c r="W51" s="26"/>
    </row>
    <row r="52" spans="1:23" x14ac:dyDescent="0.25">
      <c r="A52" s="26" t="str">
        <f t="shared" si="0"/>
        <v>SECUNDARIA</v>
      </c>
      <c r="B52" s="26" t="str">
        <f>"09DES0048A"</f>
        <v>09DES0048A</v>
      </c>
      <c r="C52" s="26" t="str">
        <f>"JUAN RUIZ DE ALARCON Y MENDOZA                                                                      "</f>
        <v xml:space="preserve">JUAN RUIZ DE ALARCON Y MENDOZA                                                                      </v>
      </c>
      <c r="D52" s="26" t="str">
        <f>"JORNADA AMPLIADA"</f>
        <v>JORNADA AMPLIADA</v>
      </c>
      <c r="E52" s="26" t="str">
        <f>"BUENAVISTA Y 16 DE SEPTIEMBRE                                                   "</f>
        <v xml:space="preserve">BUENAVISTA Y 16 DE SEPTIEMBRE                                                   </v>
      </c>
      <c r="F52" s="26" t="str">
        <f>"SAN BARTOLO ATEPEHUACAN                                                                                                                     "</f>
        <v xml:space="preserve">SAN BARTOLO ATEPEHUACAN                                                                                                                     </v>
      </c>
      <c r="G52" s="26" t="str">
        <f>"GUSTAVO A. MADERO                                                               "</f>
        <v xml:space="preserve">GUSTAVO A. MADERO                                                               </v>
      </c>
      <c r="H52" s="26" t="str">
        <f>"033"</f>
        <v>033</v>
      </c>
      <c r="I52" s="26" t="str">
        <f t="shared" si="1"/>
        <v>00</v>
      </c>
      <c r="J52" s="26" t="str">
        <f>"52 "</f>
        <v xml:space="preserve">52 </v>
      </c>
      <c r="K52" s="26" t="str">
        <f t="shared" si="7"/>
        <v>SG</v>
      </c>
      <c r="L52" s="26" t="str">
        <f t="shared" si="8"/>
        <v>DGOSE</v>
      </c>
      <c r="M52" s="26" t="str">
        <f t="shared" si="2"/>
        <v>FEDERAL</v>
      </c>
      <c r="N52" s="26">
        <v>379</v>
      </c>
      <c r="O52" s="26">
        <v>205</v>
      </c>
      <c r="P52" s="26">
        <v>174</v>
      </c>
      <c r="Q52" s="26">
        <v>14</v>
      </c>
      <c r="R52" s="26">
        <v>2</v>
      </c>
      <c r="S52" s="26">
        <v>40</v>
      </c>
      <c r="T52" s="26">
        <v>20</v>
      </c>
      <c r="U52" s="26">
        <v>62</v>
      </c>
      <c r="V52" s="26">
        <v>1</v>
      </c>
      <c r="W52" s="26" t="s">
        <v>2076</v>
      </c>
    </row>
    <row r="53" spans="1:23" x14ac:dyDescent="0.25">
      <c r="A53" s="26" t="str">
        <f t="shared" si="0"/>
        <v>SECUNDARIA</v>
      </c>
      <c r="B53" s="26" t="str">
        <f>"09DES0049Z"</f>
        <v>09DES0049Z</v>
      </c>
      <c r="C53" s="26" t="str">
        <f>"DEFENSORES DE CHURUBUSCO                                                                            "</f>
        <v xml:space="preserve">DEFENSORES DE CHURUBUSCO                                                                            </v>
      </c>
      <c r="D53" s="26" t="str">
        <f>"MATUTINO"</f>
        <v>MATUTINO</v>
      </c>
      <c r="E53" s="26" t="str">
        <f>"20 DE AGOSTO NO 51                                                              "</f>
        <v xml:space="preserve">20 DE AGOSTO NO 51                                                              </v>
      </c>
      <c r="F53" s="26" t="str">
        <f>"CHURUBUSCO                                                                                                                                  "</f>
        <v xml:space="preserve">CHURUBUSCO                                                                                                                                  </v>
      </c>
      <c r="G53" s="26" t="str">
        <f>"COYOACAN                                                                        "</f>
        <v xml:space="preserve">COYOACAN                                                                        </v>
      </c>
      <c r="H53" s="26" t="str">
        <f>"019"</f>
        <v>019</v>
      </c>
      <c r="I53" s="26" t="str">
        <f t="shared" si="1"/>
        <v>00</v>
      </c>
      <c r="J53" s="26" t="str">
        <f>"54 "</f>
        <v xml:space="preserve">54 </v>
      </c>
      <c r="K53" s="26" t="str">
        <f t="shared" si="7"/>
        <v>SG</v>
      </c>
      <c r="L53" s="26" t="str">
        <f t="shared" si="8"/>
        <v>DGOSE</v>
      </c>
      <c r="M53" s="26" t="str">
        <f t="shared" si="2"/>
        <v>FEDERAL</v>
      </c>
      <c r="N53" s="26">
        <v>208</v>
      </c>
      <c r="O53" s="26">
        <v>106</v>
      </c>
      <c r="P53" s="26">
        <v>102</v>
      </c>
      <c r="Q53" s="26">
        <v>6</v>
      </c>
      <c r="R53" s="26">
        <v>2</v>
      </c>
      <c r="S53" s="26">
        <v>17</v>
      </c>
      <c r="T53" s="26">
        <v>15</v>
      </c>
      <c r="U53" s="26">
        <v>34</v>
      </c>
      <c r="V53" s="26">
        <v>1</v>
      </c>
      <c r="W53" s="26"/>
    </row>
    <row r="54" spans="1:23" x14ac:dyDescent="0.25">
      <c r="A54" s="26" t="str">
        <f t="shared" si="0"/>
        <v>SECUNDARIA</v>
      </c>
      <c r="B54" s="26" t="str">
        <f>"09DES0050P"</f>
        <v>09DES0050P</v>
      </c>
      <c r="C54" s="26" t="str">
        <f>"LAZARO CARDENAS                                                                                     "</f>
        <v xml:space="preserve">LAZARO CARDENAS                                                                                     </v>
      </c>
      <c r="D54" s="26" t="str">
        <f>"JORNADA AMPLIADA"</f>
        <v>JORNADA AMPLIADA</v>
      </c>
      <c r="E54" s="26" t="str">
        <f>"AV FAJA DE ORO Y RENACIMIENTO                                                   "</f>
        <v xml:space="preserve">AV FAJA DE ORO Y RENACIMIENTO                                                   </v>
      </c>
      <c r="F54" s="26" t="str">
        <f>"PETROLERA                                                                                                                                   "</f>
        <v xml:space="preserve">PETROLERA                                                                                                                                   </v>
      </c>
      <c r="G54" s="26" t="str">
        <f>"AZCAPOTZALCO                                                                    "</f>
        <v xml:space="preserve">AZCAPOTZALCO                                                                    </v>
      </c>
      <c r="H54" s="26" t="str">
        <f>"008"</f>
        <v>008</v>
      </c>
      <c r="I54" s="26" t="str">
        <f t="shared" si="1"/>
        <v>00</v>
      </c>
      <c r="J54" s="26" t="str">
        <f>"51 "</f>
        <v xml:space="preserve">51 </v>
      </c>
      <c r="K54" s="26" t="str">
        <f t="shared" si="7"/>
        <v>SG</v>
      </c>
      <c r="L54" s="26" t="str">
        <f t="shared" si="8"/>
        <v>DGOSE</v>
      </c>
      <c r="M54" s="26" t="str">
        <f t="shared" si="2"/>
        <v>FEDERAL</v>
      </c>
      <c r="N54" s="26">
        <v>398</v>
      </c>
      <c r="O54" s="26">
        <v>170</v>
      </c>
      <c r="P54" s="26">
        <v>228</v>
      </c>
      <c r="Q54" s="26">
        <v>10</v>
      </c>
      <c r="R54" s="26">
        <v>2</v>
      </c>
      <c r="S54" s="26">
        <v>30</v>
      </c>
      <c r="T54" s="26">
        <v>21</v>
      </c>
      <c r="U54" s="26">
        <v>53</v>
      </c>
      <c r="V54" s="26">
        <v>1</v>
      </c>
      <c r="W54" s="26" t="s">
        <v>2076</v>
      </c>
    </row>
    <row r="55" spans="1:23" x14ac:dyDescent="0.25">
      <c r="A55" s="26" t="str">
        <f t="shared" si="0"/>
        <v>SECUNDARIA</v>
      </c>
      <c r="B55" s="26" t="str">
        <f>"09DES0051O"</f>
        <v>09DES0051O</v>
      </c>
      <c r="C55" s="26" t="str">
        <f>"PROFESOR CARLOS BENITEZ DELORME                                                                     "</f>
        <v xml:space="preserve">PROFESOR CARLOS BENITEZ DELORME                                                                     </v>
      </c>
      <c r="D55" s="26" t="str">
        <f>"JORNADA AMPLIADA"</f>
        <v>JORNADA AMPLIADA</v>
      </c>
      <c r="E55" s="26" t="str">
        <f>"N H DE CHAPULTEPEC NO 101                                                       "</f>
        <v xml:space="preserve">N H DE CHAPULTEPEC NO 101                                                       </v>
      </c>
      <c r="F55" s="26" t="str">
        <f>"POSTAL                                                                                                                                      "</f>
        <v xml:space="preserve">POSTAL                                                                                                                                      </v>
      </c>
      <c r="G55" s="26" t="str">
        <f>"BENITO JUAREZ                                                                   "</f>
        <v xml:space="preserve">BENITO JUAREZ                                                                   </v>
      </c>
      <c r="H55" s="26" t="str">
        <f>"013"</f>
        <v>013</v>
      </c>
      <c r="I55" s="26" t="str">
        <f t="shared" si="1"/>
        <v>00</v>
      </c>
      <c r="J55" s="26" t="str">
        <f>"53 "</f>
        <v xml:space="preserve">53 </v>
      </c>
      <c r="K55" s="26" t="str">
        <f t="shared" si="7"/>
        <v>SG</v>
      </c>
      <c r="L55" s="26" t="str">
        <f t="shared" si="8"/>
        <v>DGOSE</v>
      </c>
      <c r="M55" s="26" t="str">
        <f t="shared" si="2"/>
        <v>FEDERAL</v>
      </c>
      <c r="N55" s="26">
        <v>565</v>
      </c>
      <c r="O55" s="26">
        <v>293</v>
      </c>
      <c r="P55" s="26">
        <v>272</v>
      </c>
      <c r="Q55" s="26">
        <v>18</v>
      </c>
      <c r="R55" s="26">
        <v>1</v>
      </c>
      <c r="S55" s="26">
        <v>48</v>
      </c>
      <c r="T55" s="26">
        <v>27</v>
      </c>
      <c r="U55" s="26">
        <v>76</v>
      </c>
      <c r="V55" s="26">
        <v>1</v>
      </c>
      <c r="W55" s="26" t="s">
        <v>2076</v>
      </c>
    </row>
    <row r="56" spans="1:23" x14ac:dyDescent="0.25">
      <c r="A56" s="26" t="str">
        <f t="shared" si="0"/>
        <v>SECUNDARIA</v>
      </c>
      <c r="B56" s="26" t="str">
        <f>"09DES0052N"</f>
        <v>09DES0052N</v>
      </c>
      <c r="C56" s="26" t="str">
        <f>"ANTONIO CASO                                                                                        "</f>
        <v xml:space="preserve">ANTONIO CASO                                                                                        </v>
      </c>
      <c r="D56" s="26" t="str">
        <f>"JORNADA AMPLIADA"</f>
        <v>JORNADA AMPLIADA</v>
      </c>
      <c r="E56" s="26" t="str">
        <f>"CAMINO A MALACAXCO NO. 5                                                        "</f>
        <v xml:space="preserve">CAMINO A MALACAXCO NO. 5                                                        </v>
      </c>
      <c r="F56" s="26" t="str">
        <f>"SAN PEDRO ATOCPAN                                                                                                                           "</f>
        <v xml:space="preserve">SAN PEDRO ATOCPAN                                                                                                                           </v>
      </c>
      <c r="G56" s="26" t="str">
        <f>"MILPA ALTA                                                                      "</f>
        <v xml:space="preserve">MILPA ALTA                                                                      </v>
      </c>
      <c r="H56" s="26" t="str">
        <f>"066"</f>
        <v>066</v>
      </c>
      <c r="I56" s="26" t="str">
        <f t="shared" si="1"/>
        <v>00</v>
      </c>
      <c r="J56" s="26" t="str">
        <f>"55 "</f>
        <v xml:space="preserve">55 </v>
      </c>
      <c r="K56" s="26" t="str">
        <f t="shared" si="7"/>
        <v>SG</v>
      </c>
      <c r="L56" s="26" t="str">
        <f t="shared" si="8"/>
        <v>DGOSE</v>
      </c>
      <c r="M56" s="26" t="str">
        <f t="shared" si="2"/>
        <v>FEDERAL</v>
      </c>
      <c r="N56" s="26">
        <v>611</v>
      </c>
      <c r="O56" s="26">
        <v>303</v>
      </c>
      <c r="P56" s="26">
        <v>308</v>
      </c>
      <c r="Q56" s="26">
        <v>15</v>
      </c>
      <c r="R56" s="26">
        <v>2</v>
      </c>
      <c r="S56" s="26">
        <v>29</v>
      </c>
      <c r="T56" s="26">
        <v>20</v>
      </c>
      <c r="U56" s="26">
        <v>51</v>
      </c>
      <c r="V56" s="26">
        <v>1</v>
      </c>
      <c r="W56" s="26" t="s">
        <v>2076</v>
      </c>
    </row>
    <row r="57" spans="1:23" x14ac:dyDescent="0.25">
      <c r="A57" s="26" t="str">
        <f t="shared" si="0"/>
        <v>SECUNDARIA</v>
      </c>
      <c r="B57" s="26" t="str">
        <f>"09DES0053M"</f>
        <v>09DES0053M</v>
      </c>
      <c r="C57" s="26" t="str">
        <f>"MANUEL DELFIN FIGUEROA                                                                              "</f>
        <v xml:space="preserve">MANUEL DELFIN FIGUEROA                                                                              </v>
      </c>
      <c r="D57" s="26" t="str">
        <f>"MATUTINO"</f>
        <v>MATUTINO</v>
      </c>
      <c r="E57" s="26" t="str">
        <f>"DR PALLARES Y PORTILLO NO 82                                                    "</f>
        <v xml:space="preserve">DR PALLARES Y PORTILLO NO 82                                                    </v>
      </c>
      <c r="F57" s="26" t="str">
        <f>"PARQUE SAN ANDRES                                                                                                                           "</f>
        <v xml:space="preserve">PARQUE SAN ANDRES                                                                                                                           </v>
      </c>
      <c r="G57" s="26" t="str">
        <f>"COYOACAN                                                                        "</f>
        <v xml:space="preserve">COYOACAN                                                                        </v>
      </c>
      <c r="H57" s="26" t="str">
        <f>"019"</f>
        <v>019</v>
      </c>
      <c r="I57" s="26" t="str">
        <f t="shared" si="1"/>
        <v>00</v>
      </c>
      <c r="J57" s="26" t="str">
        <f>"54 "</f>
        <v xml:space="preserve">54 </v>
      </c>
      <c r="K57" s="26" t="str">
        <f t="shared" si="7"/>
        <v>SG</v>
      </c>
      <c r="L57" s="26" t="str">
        <f t="shared" si="8"/>
        <v>DGOSE</v>
      </c>
      <c r="M57" s="26" t="str">
        <f t="shared" si="2"/>
        <v>FEDERAL</v>
      </c>
      <c r="N57" s="26">
        <v>799</v>
      </c>
      <c r="O57" s="26">
        <v>397</v>
      </c>
      <c r="P57" s="26">
        <v>402</v>
      </c>
      <c r="Q57" s="26">
        <v>18</v>
      </c>
      <c r="R57" s="26">
        <v>2</v>
      </c>
      <c r="S57" s="26">
        <v>36</v>
      </c>
      <c r="T57" s="26">
        <v>27</v>
      </c>
      <c r="U57" s="26">
        <v>65</v>
      </c>
      <c r="V57" s="26">
        <v>1</v>
      </c>
      <c r="W57" s="26"/>
    </row>
    <row r="58" spans="1:23" x14ac:dyDescent="0.25">
      <c r="A58" s="26" t="str">
        <f t="shared" si="0"/>
        <v>SECUNDARIA</v>
      </c>
      <c r="B58" s="26" t="str">
        <f>"09DES0054L"</f>
        <v>09DES0054L</v>
      </c>
      <c r="C58" s="26" t="str">
        <f>"REPUBLICA DE BOLIVIA                                                                                "</f>
        <v xml:space="preserve">REPUBLICA DE BOLIVIA                                                                                </v>
      </c>
      <c r="D58" s="26" t="str">
        <f>"MATUTINO"</f>
        <v>MATUTINO</v>
      </c>
      <c r="E58" s="26" t="str">
        <f>"PROL 22 DE FEBRERO Y JERUSALEN                                                  "</f>
        <v xml:space="preserve">PROL 22 DE FEBRERO Y JERUSALEN                                                  </v>
      </c>
      <c r="F58" s="26" t="str">
        <f>"AZCAPOTZALCO                                                                                                                                "</f>
        <v xml:space="preserve">AZCAPOTZALCO                                                                                                                                </v>
      </c>
      <c r="G58" s="26" t="str">
        <f>"AZCAPOTZALCO                                                                    "</f>
        <v xml:space="preserve">AZCAPOTZALCO                                                                    </v>
      </c>
      <c r="H58" s="26" t="str">
        <f>"008"</f>
        <v>008</v>
      </c>
      <c r="I58" s="26" t="str">
        <f t="shared" si="1"/>
        <v>00</v>
      </c>
      <c r="J58" s="26" t="str">
        <f>"51 "</f>
        <v xml:space="preserve">51 </v>
      </c>
      <c r="K58" s="26" t="str">
        <f t="shared" si="7"/>
        <v>SG</v>
      </c>
      <c r="L58" s="26" t="str">
        <f t="shared" si="8"/>
        <v>DGOSE</v>
      </c>
      <c r="M58" s="26" t="str">
        <f t="shared" si="2"/>
        <v>FEDERAL</v>
      </c>
      <c r="N58" s="26">
        <v>805</v>
      </c>
      <c r="O58" s="26">
        <v>389</v>
      </c>
      <c r="P58" s="26">
        <v>416</v>
      </c>
      <c r="Q58" s="26">
        <v>18</v>
      </c>
      <c r="R58" s="26">
        <v>2</v>
      </c>
      <c r="S58" s="26">
        <v>44</v>
      </c>
      <c r="T58" s="26">
        <v>27</v>
      </c>
      <c r="U58" s="26">
        <v>73</v>
      </c>
      <c r="V58" s="26">
        <v>1</v>
      </c>
      <c r="W58" s="26"/>
    </row>
    <row r="59" spans="1:23" x14ac:dyDescent="0.25">
      <c r="A59" s="26" t="str">
        <f t="shared" si="0"/>
        <v>SECUNDARIA</v>
      </c>
      <c r="B59" s="26" t="str">
        <f>"09DES0055K"</f>
        <v>09DES0055K</v>
      </c>
      <c r="C59" s="26" t="str">
        <f>"REPUBLICA DE EL SALVADOR                                                                            "</f>
        <v xml:space="preserve">REPUBLICA DE EL SALVADOR                                                                            </v>
      </c>
      <c r="D59" s="26" t="str">
        <f>"MATUTINO"</f>
        <v>MATUTINO</v>
      </c>
      <c r="E59" s="26" t="str">
        <f>"NORTE 87 Y ASPIROS                                                              "</f>
        <v xml:space="preserve">NORTE 87 Y ASPIROS                                                              </v>
      </c>
      <c r="F59" s="26" t="str">
        <f>"SINDICATO MEXICANO DE ELECTRICISTAS                                                                                                         "</f>
        <v xml:space="preserve">SINDICATO MEXICANO DE ELECTRICISTAS                                                                                                         </v>
      </c>
      <c r="G59" s="26" t="str">
        <f>"AZCAPOTZALCO                                                                    "</f>
        <v xml:space="preserve">AZCAPOTZALCO                                                                    </v>
      </c>
      <c r="H59" s="26" t="str">
        <f>"008"</f>
        <v>008</v>
      </c>
      <c r="I59" s="26" t="str">
        <f t="shared" si="1"/>
        <v>00</v>
      </c>
      <c r="J59" s="26" t="str">
        <f>"51 "</f>
        <v xml:space="preserve">51 </v>
      </c>
      <c r="K59" s="26" t="str">
        <f t="shared" si="7"/>
        <v>SG</v>
      </c>
      <c r="L59" s="26" t="str">
        <f t="shared" si="8"/>
        <v>DGOSE</v>
      </c>
      <c r="M59" s="26" t="str">
        <f t="shared" si="2"/>
        <v>FEDERAL</v>
      </c>
      <c r="N59" s="26">
        <v>524</v>
      </c>
      <c r="O59" s="26">
        <v>235</v>
      </c>
      <c r="P59" s="26">
        <v>289</v>
      </c>
      <c r="Q59" s="26">
        <v>15</v>
      </c>
      <c r="R59" s="26">
        <v>2</v>
      </c>
      <c r="S59" s="26">
        <v>33</v>
      </c>
      <c r="T59" s="26">
        <v>21</v>
      </c>
      <c r="U59" s="26">
        <v>56</v>
      </c>
      <c r="V59" s="26">
        <v>1</v>
      </c>
      <c r="W59" s="26"/>
    </row>
    <row r="60" spans="1:23" x14ac:dyDescent="0.25">
      <c r="A60" s="26" t="str">
        <f t="shared" si="0"/>
        <v>SECUNDARIA</v>
      </c>
      <c r="B60" s="26" t="str">
        <f>"09DES0056J"</f>
        <v>09DES0056J</v>
      </c>
      <c r="C60" s="26" t="str">
        <f>"MARCELINO MENENDEZ Y PELAYO                                                                         "</f>
        <v xml:space="preserve">MARCELINO MENENDEZ Y PELAYO                                                                         </v>
      </c>
      <c r="D60" s="26" t="str">
        <f>"MATUTINO"</f>
        <v>MATUTINO</v>
      </c>
      <c r="E60" s="26" t="str">
        <f>"SUR 16 NO 216                                                                   "</f>
        <v xml:space="preserve">SUR 16 NO 216                                                                   </v>
      </c>
      <c r="F60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60" s="26" t="str">
        <f>"IZTACALCO                                                                       "</f>
        <v xml:space="preserve">IZTACALCO                                                                       </v>
      </c>
      <c r="H60" s="26" t="str">
        <f>"044"</f>
        <v>044</v>
      </c>
      <c r="I60" s="26" t="str">
        <f t="shared" si="1"/>
        <v>00</v>
      </c>
      <c r="J60" s="26" t="str">
        <f>"54 "</f>
        <v xml:space="preserve">54 </v>
      </c>
      <c r="K60" s="26" t="str">
        <f t="shared" si="7"/>
        <v>SG</v>
      </c>
      <c r="L60" s="26" t="str">
        <f t="shared" si="8"/>
        <v>DGOSE</v>
      </c>
      <c r="M60" s="26" t="str">
        <f t="shared" si="2"/>
        <v>FEDERAL</v>
      </c>
      <c r="N60" s="26">
        <v>615</v>
      </c>
      <c r="O60" s="26">
        <v>306</v>
      </c>
      <c r="P60" s="26">
        <v>309</v>
      </c>
      <c r="Q60" s="26">
        <v>18</v>
      </c>
      <c r="R60" s="26">
        <v>2</v>
      </c>
      <c r="S60" s="26">
        <v>42</v>
      </c>
      <c r="T60" s="26">
        <v>30</v>
      </c>
      <c r="U60" s="26">
        <v>74</v>
      </c>
      <c r="V60" s="26">
        <v>1</v>
      </c>
      <c r="W60" s="26"/>
    </row>
    <row r="61" spans="1:23" x14ac:dyDescent="0.25">
      <c r="A61" s="26" t="str">
        <f t="shared" si="0"/>
        <v>SECUNDARIA</v>
      </c>
      <c r="B61" s="26" t="str">
        <f>"09DES0057I"</f>
        <v>09DES0057I</v>
      </c>
      <c r="C61" s="26" t="str">
        <f>"REPUBLICA DE GUATEMALA                                                                              "</f>
        <v xml:space="preserve">REPUBLICA DE GUATEMALA                                                                              </v>
      </c>
      <c r="D61" s="26" t="str">
        <f>"JORNADA AMPLIADA"</f>
        <v>JORNADA AMPLIADA</v>
      </c>
      <c r="E61" s="26" t="str">
        <f>"ORIENTE 95 Y NORTE 64-A                                                         "</f>
        <v xml:space="preserve">ORIENTE 95 Y NORTE 64-A                                                         </v>
      </c>
      <c r="F61" s="26" t="str">
        <f>"MARTIRES DE RIO BLANCO                                                                                                                      "</f>
        <v xml:space="preserve">MARTIRES DE RIO BLANCO                                                                                                                      </v>
      </c>
      <c r="G61" s="26" t="str">
        <f>"GUSTAVO A. MADERO                                                               "</f>
        <v xml:space="preserve">GUSTAVO A. MADERO                                                               </v>
      </c>
      <c r="H61" s="26" t="str">
        <f>"036"</f>
        <v>036</v>
      </c>
      <c r="I61" s="26" t="str">
        <f t="shared" si="1"/>
        <v>00</v>
      </c>
      <c r="J61" s="26" t="str">
        <f>"52 "</f>
        <v xml:space="preserve">52 </v>
      </c>
      <c r="K61" s="26" t="str">
        <f t="shared" si="7"/>
        <v>SG</v>
      </c>
      <c r="L61" s="26" t="str">
        <f t="shared" si="8"/>
        <v>DGOSE</v>
      </c>
      <c r="M61" s="26" t="str">
        <f t="shared" si="2"/>
        <v>FEDERAL</v>
      </c>
      <c r="N61" s="26">
        <v>694</v>
      </c>
      <c r="O61" s="26">
        <v>351</v>
      </c>
      <c r="P61" s="26">
        <v>343</v>
      </c>
      <c r="Q61" s="26">
        <v>17</v>
      </c>
      <c r="R61" s="26">
        <v>2</v>
      </c>
      <c r="S61" s="26">
        <v>54</v>
      </c>
      <c r="T61" s="26">
        <v>24</v>
      </c>
      <c r="U61" s="26">
        <v>80</v>
      </c>
      <c r="V61" s="26">
        <v>1</v>
      </c>
      <c r="W61" s="26" t="s">
        <v>2076</v>
      </c>
    </row>
    <row r="62" spans="1:23" x14ac:dyDescent="0.25">
      <c r="A62" s="26" t="str">
        <f t="shared" si="0"/>
        <v>SECUNDARIA</v>
      </c>
      <c r="B62" s="26" t="str">
        <f>"09DES0058H"</f>
        <v>09DES0058H</v>
      </c>
      <c r="C62" s="26" t="str">
        <f>"JAIME TORRES BODET                                                                                  "</f>
        <v xml:space="preserve">JAIME TORRES BODET                                                                                  </v>
      </c>
      <c r="D62" s="26" t="str">
        <f>"JORNADA AMPLIADA"</f>
        <v>JORNADA AMPLIADA</v>
      </c>
      <c r="E62" s="26" t="str">
        <f>"PUERTO TAMPICO Y PUERTO COATZACOALCOS                                           "</f>
        <v xml:space="preserve">PUERTO TAMPICO Y PUERTO COATZACOALCOS                                           </v>
      </c>
      <c r="F62" s="26" t="str">
        <f>"CASAS ALEMAN AMPLIACION                                                                                                                     "</f>
        <v xml:space="preserve">CASAS ALEMAN AMPLIACION                                                                                                                     </v>
      </c>
      <c r="G62" s="26" t="str">
        <f>"GUSTAVO A. MADERO                                                               "</f>
        <v xml:space="preserve">GUSTAVO A. MADERO                                                               </v>
      </c>
      <c r="H62" s="26" t="str">
        <f>"039"</f>
        <v>039</v>
      </c>
      <c r="I62" s="26" t="str">
        <f t="shared" si="1"/>
        <v>00</v>
      </c>
      <c r="J62" s="26" t="str">
        <f>"52 "</f>
        <v xml:space="preserve">52 </v>
      </c>
      <c r="K62" s="26" t="str">
        <f t="shared" si="7"/>
        <v>SG</v>
      </c>
      <c r="L62" s="26" t="str">
        <f t="shared" si="8"/>
        <v>DGOSE</v>
      </c>
      <c r="M62" s="26" t="str">
        <f t="shared" si="2"/>
        <v>FEDERAL</v>
      </c>
      <c r="N62" s="26">
        <v>508</v>
      </c>
      <c r="O62" s="26">
        <v>266</v>
      </c>
      <c r="P62" s="26">
        <v>242</v>
      </c>
      <c r="Q62" s="26">
        <v>17</v>
      </c>
      <c r="R62" s="26">
        <v>1</v>
      </c>
      <c r="S62" s="26">
        <v>54</v>
      </c>
      <c r="T62" s="26">
        <v>30</v>
      </c>
      <c r="U62" s="26">
        <v>85</v>
      </c>
      <c r="V62" s="26">
        <v>1</v>
      </c>
      <c r="W62" s="26" t="s">
        <v>2076</v>
      </c>
    </row>
    <row r="63" spans="1:23" x14ac:dyDescent="0.25">
      <c r="A63" s="26" t="str">
        <f t="shared" si="0"/>
        <v>SECUNDARIA</v>
      </c>
      <c r="B63" s="26" t="str">
        <f>"09DES0059G"</f>
        <v>09DES0059G</v>
      </c>
      <c r="C63" s="26" t="str">
        <f>"RENE CASSIN                                                                                         "</f>
        <v xml:space="preserve">RENE CASSIN                                                                                         </v>
      </c>
      <c r="D63" s="26" t="str">
        <f>"MATUTINO"</f>
        <v>MATUTINO</v>
      </c>
      <c r="E63" s="26" t="str">
        <f>"ANDRES MOLINA ENRIQUEZ NO 4433                                                  "</f>
        <v xml:space="preserve">ANDRES MOLINA ENRIQUEZ NO 4433                                                  </v>
      </c>
      <c r="F63" s="26" t="str">
        <f>"VIADUCTO PIEDAD                                                                                                                             "</f>
        <v xml:space="preserve">VIADUCTO PIEDAD                                                                                                                             </v>
      </c>
      <c r="G63" s="26" t="str">
        <f>"IZTACALCO                                                                       "</f>
        <v xml:space="preserve">IZTACALCO                                                                       </v>
      </c>
      <c r="H63" s="26" t="str">
        <f>"043"</f>
        <v>043</v>
      </c>
      <c r="I63" s="26" t="str">
        <f t="shared" si="1"/>
        <v>00</v>
      </c>
      <c r="J63" s="26" t="str">
        <f>"54 "</f>
        <v xml:space="preserve">54 </v>
      </c>
      <c r="K63" s="26" t="str">
        <f t="shared" si="7"/>
        <v>SG</v>
      </c>
      <c r="L63" s="26" t="str">
        <f t="shared" si="8"/>
        <v>DGOSE</v>
      </c>
      <c r="M63" s="26" t="str">
        <f t="shared" si="2"/>
        <v>FEDERAL</v>
      </c>
      <c r="N63" s="26">
        <v>779</v>
      </c>
      <c r="O63" s="26">
        <v>403</v>
      </c>
      <c r="P63" s="26">
        <v>376</v>
      </c>
      <c r="Q63" s="26">
        <v>18</v>
      </c>
      <c r="R63" s="26">
        <v>2</v>
      </c>
      <c r="S63" s="26">
        <v>37</v>
      </c>
      <c r="T63" s="26">
        <v>31</v>
      </c>
      <c r="U63" s="26">
        <v>70</v>
      </c>
      <c r="V63" s="26">
        <v>1</v>
      </c>
      <c r="W63" s="26"/>
    </row>
    <row r="64" spans="1:23" x14ac:dyDescent="0.25">
      <c r="A64" s="26" t="str">
        <f t="shared" si="0"/>
        <v>SECUNDARIA</v>
      </c>
      <c r="B64" s="26" t="str">
        <f>"09DES0060W"</f>
        <v>09DES0060W</v>
      </c>
      <c r="C64" s="26" t="str">
        <f>"REPUBLICA DE HONDURAS                                                                               "</f>
        <v xml:space="preserve">REPUBLICA DE HONDURAS                                                                               </v>
      </c>
      <c r="D64" s="26" t="str">
        <f>"MATUTINO"</f>
        <v>MATUTINO</v>
      </c>
      <c r="E64" s="26" t="str">
        <f>"AV NORTE Y CALLE 4                                                              "</f>
        <v xml:space="preserve">AV NORTE Y CALLE 4                                                              </v>
      </c>
      <c r="F64" s="26" t="str">
        <f>"CUCHILLA AGRICOLA PANTITLAN                                                                                                                 "</f>
        <v xml:space="preserve">CUCHILLA AGRICOLA PANTITLAN                                                                                                                 </v>
      </c>
      <c r="G64" s="26" t="str">
        <f>"IZTACALCO                                                                       "</f>
        <v xml:space="preserve">IZTACALCO                                                                       </v>
      </c>
      <c r="H64" s="26" t="str">
        <f>"046"</f>
        <v>046</v>
      </c>
      <c r="I64" s="26" t="str">
        <f t="shared" si="1"/>
        <v>00</v>
      </c>
      <c r="J64" s="26" t="str">
        <f>"54 "</f>
        <v xml:space="preserve">54 </v>
      </c>
      <c r="K64" s="26" t="str">
        <f t="shared" si="7"/>
        <v>SG</v>
      </c>
      <c r="L64" s="26" t="str">
        <f t="shared" si="8"/>
        <v>DGOSE</v>
      </c>
      <c r="M64" s="26" t="str">
        <f t="shared" si="2"/>
        <v>FEDERAL</v>
      </c>
      <c r="N64" s="26">
        <v>657</v>
      </c>
      <c r="O64" s="26">
        <v>329</v>
      </c>
      <c r="P64" s="26">
        <v>328</v>
      </c>
      <c r="Q64" s="26">
        <v>18</v>
      </c>
      <c r="R64" s="26">
        <v>2</v>
      </c>
      <c r="S64" s="26">
        <v>48</v>
      </c>
      <c r="T64" s="26">
        <v>29</v>
      </c>
      <c r="U64" s="26">
        <v>79</v>
      </c>
      <c r="V64" s="26">
        <v>1</v>
      </c>
      <c r="W64" s="26"/>
    </row>
    <row r="65" spans="1:23" x14ac:dyDescent="0.25">
      <c r="A65" s="26" t="str">
        <f t="shared" si="0"/>
        <v>SECUNDARIA</v>
      </c>
      <c r="B65" s="26" t="str">
        <f>"09DES0061V"</f>
        <v>09DES0061V</v>
      </c>
      <c r="C65" s="26" t="str">
        <f>"OLGA ESQUIVEL MOLINA                                                                                "</f>
        <v xml:space="preserve">OLGA ESQUIVEL MOLINA                                                                                </v>
      </c>
      <c r="D65" s="26" t="str">
        <f>"MATUTINO"</f>
        <v>MATUTINO</v>
      </c>
      <c r="E65" s="26" t="str">
        <f>"ORIENTE 102 NO 1825                                                             "</f>
        <v xml:space="preserve">ORIENTE 102 NO 1825                                                             </v>
      </c>
      <c r="F65" s="26" t="str">
        <f>"GABRIEL RAMOS MILLAN AMPLIACION                                                                                                             "</f>
        <v xml:space="preserve">GABRIEL RAMOS MILLAN AMPLIACION                                                                                                             </v>
      </c>
      <c r="G65" s="26" t="str">
        <f>"IZTACALCO                                                                       "</f>
        <v xml:space="preserve">IZTACALCO                                                                       </v>
      </c>
      <c r="H65" s="26" t="str">
        <f>"045"</f>
        <v>045</v>
      </c>
      <c r="I65" s="26" t="str">
        <f t="shared" si="1"/>
        <v>00</v>
      </c>
      <c r="J65" s="26" t="str">
        <f>"54 "</f>
        <v xml:space="preserve">54 </v>
      </c>
      <c r="K65" s="26" t="str">
        <f t="shared" si="7"/>
        <v>SG</v>
      </c>
      <c r="L65" s="26" t="str">
        <f t="shared" si="8"/>
        <v>DGOSE</v>
      </c>
      <c r="M65" s="26" t="str">
        <f t="shared" si="2"/>
        <v>FEDERAL</v>
      </c>
      <c r="N65" s="26">
        <v>391</v>
      </c>
      <c r="O65" s="26">
        <v>192</v>
      </c>
      <c r="P65" s="26">
        <v>199</v>
      </c>
      <c r="Q65" s="26">
        <v>10</v>
      </c>
      <c r="R65" s="26">
        <v>2</v>
      </c>
      <c r="S65" s="26">
        <v>28</v>
      </c>
      <c r="T65" s="26">
        <v>19</v>
      </c>
      <c r="U65" s="26">
        <v>49</v>
      </c>
      <c r="V65" s="26">
        <v>1</v>
      </c>
      <c r="W65" s="26"/>
    </row>
    <row r="66" spans="1:23" x14ac:dyDescent="0.25">
      <c r="A66" s="26" t="str">
        <f t="shared" ref="A66:A129" si="10">"SECUNDARIA"</f>
        <v>SECUNDARIA</v>
      </c>
      <c r="B66" s="26" t="str">
        <f>"09DES0062U"</f>
        <v>09DES0062U</v>
      </c>
      <c r="C66" s="26" t="str">
        <f>"MIGUEL DE CERVANTES SAAVEDRA                                                                        "</f>
        <v xml:space="preserve">MIGUEL DE CERVANTES SAAVEDRA                                                                        </v>
      </c>
      <c r="D66" s="26" t="str">
        <f>"JORNADA AMPLIADA"</f>
        <v>JORNADA AMPLIADA</v>
      </c>
      <c r="E66" s="26" t="str">
        <f>"ANAXAGORAS NO 324                                                               "</f>
        <v xml:space="preserve">ANAXAGORAS NO 324                                                               </v>
      </c>
      <c r="F66" s="26" t="str">
        <f>"NARVARTE                                                                                                                                    "</f>
        <v xml:space="preserve">NARVARTE                                                                                                                                    </v>
      </c>
      <c r="G66" s="26" t="str">
        <f>"BENITO JUAREZ                                                                   "</f>
        <v xml:space="preserve">BENITO JUAREZ                                                                   </v>
      </c>
      <c r="H66" s="26" t="str">
        <f>"012"</f>
        <v>012</v>
      </c>
      <c r="I66" s="26" t="str">
        <f t="shared" ref="I66:I129" si="11">"00"</f>
        <v>00</v>
      </c>
      <c r="J66" s="26" t="str">
        <f>"53 "</f>
        <v xml:space="preserve">53 </v>
      </c>
      <c r="K66" s="26" t="str">
        <f t="shared" si="7"/>
        <v>SG</v>
      </c>
      <c r="L66" s="26" t="str">
        <f t="shared" si="8"/>
        <v>DGOSE</v>
      </c>
      <c r="M66" s="26" t="str">
        <f t="shared" ref="M66:M129" si="12">"FEDERAL"</f>
        <v>FEDERAL</v>
      </c>
      <c r="N66" s="26">
        <v>208</v>
      </c>
      <c r="O66" s="26">
        <v>113</v>
      </c>
      <c r="P66" s="26">
        <v>95</v>
      </c>
      <c r="Q66" s="26">
        <v>6</v>
      </c>
      <c r="R66" s="26">
        <v>2</v>
      </c>
      <c r="S66" s="26">
        <v>19</v>
      </c>
      <c r="T66" s="26">
        <v>13</v>
      </c>
      <c r="U66" s="26">
        <v>34</v>
      </c>
      <c r="V66" s="26">
        <v>1</v>
      </c>
      <c r="W66" s="26" t="s">
        <v>2076</v>
      </c>
    </row>
    <row r="67" spans="1:23" x14ac:dyDescent="0.25">
      <c r="A67" s="26" t="str">
        <f t="shared" si="10"/>
        <v>SECUNDARIA</v>
      </c>
      <c r="B67" s="26" t="str">
        <f>"09DES0063T"</f>
        <v>09DES0063T</v>
      </c>
      <c r="C67" s="26" t="str">
        <f>"ANGEL MIRANDA BASURTO                                                                               "</f>
        <v xml:space="preserve">ANGEL MIRANDA BASURTO                                                                               </v>
      </c>
      <c r="D67" s="26" t="str">
        <f>"MATUTINO"</f>
        <v>MATUTINO</v>
      </c>
      <c r="E67" s="26" t="str">
        <f>"BLAS BALCARCEL Y LUIS DE LA ROSA                                                "</f>
        <v xml:space="preserve">BLAS BALCARCEL Y LUIS DE LA ROSA                                                </v>
      </c>
      <c r="F67" s="26" t="str">
        <f>"CONSTITUCION DE LA REPUBLICA                                                                                                                "</f>
        <v xml:space="preserve">CONSTITUCION DE LA REPUBLICA                                                                                                                </v>
      </c>
      <c r="G67" s="26" t="str">
        <f>"GUSTAVO A. MADERO                                                               "</f>
        <v xml:space="preserve">GUSTAVO A. MADERO                                                               </v>
      </c>
      <c r="H67" s="26" t="str">
        <f>"037"</f>
        <v>037</v>
      </c>
      <c r="I67" s="26" t="str">
        <f t="shared" si="11"/>
        <v>00</v>
      </c>
      <c r="J67" s="26" t="str">
        <f>"52 "</f>
        <v xml:space="preserve">52 </v>
      </c>
      <c r="K67" s="26" t="str">
        <f t="shared" si="7"/>
        <v>SG</v>
      </c>
      <c r="L67" s="26" t="str">
        <f t="shared" si="8"/>
        <v>DGOSE</v>
      </c>
      <c r="M67" s="26" t="str">
        <f t="shared" si="12"/>
        <v>FEDERAL</v>
      </c>
      <c r="N67" s="26">
        <v>360</v>
      </c>
      <c r="O67" s="26">
        <v>197</v>
      </c>
      <c r="P67" s="26">
        <v>163</v>
      </c>
      <c r="Q67" s="26">
        <v>12</v>
      </c>
      <c r="R67" s="26">
        <v>2</v>
      </c>
      <c r="S67" s="26">
        <v>29</v>
      </c>
      <c r="T67" s="26">
        <v>22</v>
      </c>
      <c r="U67" s="26">
        <v>53</v>
      </c>
      <c r="V67" s="26">
        <v>1</v>
      </c>
      <c r="W67" s="26"/>
    </row>
    <row r="68" spans="1:23" x14ac:dyDescent="0.25">
      <c r="A68" s="26" t="str">
        <f t="shared" si="10"/>
        <v>SECUNDARIA</v>
      </c>
      <c r="B68" s="26" t="str">
        <f>"09DES0064S"</f>
        <v>09DES0064S</v>
      </c>
      <c r="C68" s="26" t="str">
        <f>"JOSE CALVO SAUCEDO                                                                                  "</f>
        <v xml:space="preserve">JOSE CALVO SAUCEDO                                                                                  </v>
      </c>
      <c r="D68" s="26" t="str">
        <f>"MATUTINO"</f>
        <v>MATUTINO</v>
      </c>
      <c r="E68" s="26" t="str">
        <f>"ESTAÑO Y SORPRESA                                                               "</f>
        <v xml:space="preserve">ESTAÑO Y SORPRESA                                                               </v>
      </c>
      <c r="F68" s="26" t="str">
        <f>"FELIPE ANGELES                                                                                                                              "</f>
        <v xml:space="preserve">FELIPE ANGELES                                                                                                                              </v>
      </c>
      <c r="G68" s="26" t="str">
        <f>"VENUSTIANO CARRANZA                                                             "</f>
        <v xml:space="preserve">VENUSTIANO CARRANZA                                                             </v>
      </c>
      <c r="H68" s="26" t="str">
        <f>"074"</f>
        <v>074</v>
      </c>
      <c r="I68" s="26" t="str">
        <f t="shared" si="11"/>
        <v>00</v>
      </c>
      <c r="J68" s="26" t="str">
        <f>"54 "</f>
        <v xml:space="preserve">54 </v>
      </c>
      <c r="K68" s="26" t="str">
        <f t="shared" si="7"/>
        <v>SG</v>
      </c>
      <c r="L68" s="26" t="str">
        <f t="shared" si="8"/>
        <v>DGOSE</v>
      </c>
      <c r="M68" s="26" t="str">
        <f t="shared" si="12"/>
        <v>FEDERAL</v>
      </c>
      <c r="N68" s="26">
        <v>703</v>
      </c>
      <c r="O68" s="26">
        <v>354</v>
      </c>
      <c r="P68" s="26">
        <v>349</v>
      </c>
      <c r="Q68" s="26">
        <v>18</v>
      </c>
      <c r="R68" s="26">
        <v>2</v>
      </c>
      <c r="S68" s="26">
        <v>44</v>
      </c>
      <c r="T68" s="26">
        <v>30</v>
      </c>
      <c r="U68" s="26">
        <v>76</v>
      </c>
      <c r="V68" s="26">
        <v>1</v>
      </c>
      <c r="W68" s="26"/>
    </row>
    <row r="69" spans="1:23" x14ac:dyDescent="0.25">
      <c r="A69" s="26" t="str">
        <f t="shared" si="10"/>
        <v>SECUNDARIA</v>
      </c>
      <c r="B69" s="26" t="str">
        <f>"09DES0065R"</f>
        <v>09DES0065R</v>
      </c>
      <c r="C69" s="26" t="str">
        <f>"DEFENSORES DE PUEBLA 1863                                                                           "</f>
        <v xml:space="preserve">DEFENSORES DE PUEBLA 1863                                                                           </v>
      </c>
      <c r="D69" s="26" t="str">
        <f>"JORNADA AMPLIADA"</f>
        <v>JORNADA AMPLIADA</v>
      </c>
      <c r="E69" s="26" t="str">
        <f>"AV. PROCURADORES Y AV. RIO CHURUBUSCO                                           "</f>
        <v xml:space="preserve">AV. PROCURADORES Y AV. RIO CHURUBUSCO                                           </v>
      </c>
      <c r="F69" s="26" t="str">
        <f>"SIFON AMPLIACION                                                                                                                            "</f>
        <v xml:space="preserve">SIFON AMPLIACION                                                                                                                            </v>
      </c>
      <c r="G69" s="26" t="str">
        <f>"IZTAPALAPA                                                                      "</f>
        <v xml:space="preserve">IZTAPALAPA                                                                      </v>
      </c>
      <c r="H69" s="26" t="str">
        <f>"001"</f>
        <v>001</v>
      </c>
      <c r="I69" s="26" t="str">
        <f t="shared" si="11"/>
        <v>00</v>
      </c>
      <c r="J69" s="26" t="str">
        <f>"61 "</f>
        <v xml:space="preserve">61 </v>
      </c>
      <c r="K69" s="26" t="str">
        <f>"IZ"</f>
        <v>IZ</v>
      </c>
      <c r="L69" s="26" t="str">
        <f>"DGSEI"</f>
        <v>DGSEI</v>
      </c>
      <c r="M69" s="26" t="str">
        <f t="shared" si="12"/>
        <v>FEDERAL</v>
      </c>
      <c r="N69" s="26">
        <v>527</v>
      </c>
      <c r="O69" s="26">
        <v>261</v>
      </c>
      <c r="P69" s="26">
        <v>266</v>
      </c>
      <c r="Q69" s="26">
        <v>18</v>
      </c>
      <c r="R69" s="26">
        <v>1</v>
      </c>
      <c r="S69" s="26">
        <v>49</v>
      </c>
      <c r="T69" s="26">
        <v>30</v>
      </c>
      <c r="U69" s="26">
        <v>80</v>
      </c>
      <c r="V69" s="26">
        <v>1</v>
      </c>
      <c r="W69" s="26" t="s">
        <v>2076</v>
      </c>
    </row>
    <row r="70" spans="1:23" x14ac:dyDescent="0.25">
      <c r="A70" s="26" t="str">
        <f t="shared" si="10"/>
        <v>SECUNDARIA</v>
      </c>
      <c r="B70" s="26" t="str">
        <f>"09DES0066Q"</f>
        <v>09DES0066Q</v>
      </c>
      <c r="C70" s="26" t="str">
        <f>"IDA APPENDINI DAGASSO                                                                               "</f>
        <v xml:space="preserve">IDA APPENDINI DAGASSO                                                                               </v>
      </c>
      <c r="D70" s="26" t="str">
        <f t="shared" ref="D70:D78" si="13">"MATUTINO"</f>
        <v>MATUTINO</v>
      </c>
      <c r="E70" s="26" t="str">
        <f>"BERNARD SHAW NO 25 Y MASARYK                                                    "</f>
        <v xml:space="preserve">BERNARD SHAW NO 25 Y MASARYK                                                    </v>
      </c>
      <c r="F70" s="26" t="str">
        <f>"POLANCO REFORMA                                                                                                                             "</f>
        <v xml:space="preserve">POLANCO REFORMA                                                                                                                             </v>
      </c>
      <c r="G70" s="26" t="str">
        <f>"MIGUEL HIDALGO                                                                  "</f>
        <v xml:space="preserve">MIGUEL HIDALGO                                                                  </v>
      </c>
      <c r="H70" s="26" t="str">
        <f>"062"</f>
        <v>062</v>
      </c>
      <c r="I70" s="26" t="str">
        <f t="shared" si="11"/>
        <v>00</v>
      </c>
      <c r="J70" s="26" t="str">
        <f>"51 "</f>
        <v xml:space="preserve">51 </v>
      </c>
      <c r="K70" s="26" t="str">
        <f t="shared" ref="K70:K82" si="14">"SG"</f>
        <v>SG</v>
      </c>
      <c r="L70" s="26" t="str">
        <f t="shared" ref="L70:L82" si="15">"DGOSE"</f>
        <v>DGOSE</v>
      </c>
      <c r="M70" s="26" t="str">
        <f t="shared" si="12"/>
        <v>FEDERAL</v>
      </c>
      <c r="N70" s="26">
        <v>779</v>
      </c>
      <c r="O70" s="26">
        <v>414</v>
      </c>
      <c r="P70" s="26">
        <v>365</v>
      </c>
      <c r="Q70" s="26">
        <v>18</v>
      </c>
      <c r="R70" s="26">
        <v>2</v>
      </c>
      <c r="S70" s="26">
        <v>40</v>
      </c>
      <c r="T70" s="26">
        <v>24</v>
      </c>
      <c r="U70" s="26">
        <v>66</v>
      </c>
      <c r="V70" s="26">
        <v>1</v>
      </c>
      <c r="W70" s="26"/>
    </row>
    <row r="71" spans="1:23" x14ac:dyDescent="0.25">
      <c r="A71" s="26" t="str">
        <f t="shared" si="10"/>
        <v>SECUNDARIA</v>
      </c>
      <c r="B71" s="26" t="str">
        <f>"09DES0067P"</f>
        <v>09DES0067P</v>
      </c>
      <c r="C71" s="26" t="str">
        <f>"JOHN F. KENNEDY                                                                                     "</f>
        <v xml:space="preserve">JOHN F. KENNEDY                                                                                     </v>
      </c>
      <c r="D71" s="26" t="str">
        <f t="shared" si="13"/>
        <v>MATUTINO</v>
      </c>
      <c r="E71" s="26" t="str">
        <f>"FRANCITA Y EBANO                                                                "</f>
        <v xml:space="preserve">FRANCITA Y EBANO                                                                </v>
      </c>
      <c r="F71" s="26" t="str">
        <f>"PETROLERA                                                                                                                                   "</f>
        <v xml:space="preserve">PETROLERA                                                                                                                                   </v>
      </c>
      <c r="G71" s="26" t="str">
        <f>"AZCAPOTZALCO                                                                    "</f>
        <v xml:space="preserve">AZCAPOTZALCO                                                                    </v>
      </c>
      <c r="H71" s="26" t="str">
        <f>"008"</f>
        <v>008</v>
      </c>
      <c r="I71" s="26" t="str">
        <f t="shared" si="11"/>
        <v>00</v>
      </c>
      <c r="J71" s="26" t="str">
        <f>"51 "</f>
        <v xml:space="preserve">51 </v>
      </c>
      <c r="K71" s="26" t="str">
        <f t="shared" si="14"/>
        <v>SG</v>
      </c>
      <c r="L71" s="26" t="str">
        <f t="shared" si="15"/>
        <v>DGOSE</v>
      </c>
      <c r="M71" s="26" t="str">
        <f t="shared" si="12"/>
        <v>FEDERAL</v>
      </c>
      <c r="N71" s="26">
        <v>521</v>
      </c>
      <c r="O71" s="26">
        <v>275</v>
      </c>
      <c r="P71" s="26">
        <v>246</v>
      </c>
      <c r="Q71" s="26">
        <v>16</v>
      </c>
      <c r="R71" s="26">
        <v>2</v>
      </c>
      <c r="S71" s="26">
        <v>37</v>
      </c>
      <c r="T71" s="26">
        <v>21</v>
      </c>
      <c r="U71" s="26">
        <v>60</v>
      </c>
      <c r="V71" s="26">
        <v>1</v>
      </c>
      <c r="W71" s="26"/>
    </row>
    <row r="72" spans="1:23" x14ac:dyDescent="0.25">
      <c r="A72" s="26" t="str">
        <f t="shared" si="10"/>
        <v>SECUNDARIA</v>
      </c>
      <c r="B72" s="26" t="str">
        <f>"09DES0068O"</f>
        <v>09DES0068O</v>
      </c>
      <c r="C72" s="26" t="str">
        <f>"PROFR. GABINO A. PALMA                                                                              "</f>
        <v xml:space="preserve">PROFR. GABINO A. PALMA                                                                              </v>
      </c>
      <c r="D72" s="26" t="str">
        <f t="shared" si="13"/>
        <v>MATUTINO</v>
      </c>
      <c r="E72" s="26" t="str">
        <f>"CORREGIDORA MADERO Y CORTES                                                     "</f>
        <v xml:space="preserve">CORREGIDORA MADERO Y CORTES                                                     </v>
      </c>
      <c r="F72" s="26" t="str">
        <f>"TLACOPAC                                                                                                                                    "</f>
        <v xml:space="preserve">TLACOPAC                                                                                                                                    </v>
      </c>
      <c r="G72" s="26" t="str">
        <f>"ALVARO OBREGON                                                                  "</f>
        <v xml:space="preserve">ALVARO OBREGON                                                                  </v>
      </c>
      <c r="H72" s="26" t="str">
        <f>"001"</f>
        <v>001</v>
      </c>
      <c r="I72" s="26" t="str">
        <f t="shared" si="11"/>
        <v>00</v>
      </c>
      <c r="J72" s="26" t="str">
        <f>"53 "</f>
        <v xml:space="preserve">53 </v>
      </c>
      <c r="K72" s="26" t="str">
        <f t="shared" si="14"/>
        <v>SG</v>
      </c>
      <c r="L72" s="26" t="str">
        <f t="shared" si="15"/>
        <v>DGOSE</v>
      </c>
      <c r="M72" s="26" t="str">
        <f t="shared" si="12"/>
        <v>FEDERAL</v>
      </c>
      <c r="N72" s="26">
        <v>889</v>
      </c>
      <c r="O72" s="26">
        <v>460</v>
      </c>
      <c r="P72" s="26">
        <v>429</v>
      </c>
      <c r="Q72" s="26">
        <v>18</v>
      </c>
      <c r="R72" s="26">
        <v>2</v>
      </c>
      <c r="S72" s="26">
        <v>38</v>
      </c>
      <c r="T72" s="26">
        <v>26</v>
      </c>
      <c r="U72" s="26">
        <v>66</v>
      </c>
      <c r="V72" s="26">
        <v>1</v>
      </c>
      <c r="W72" s="26"/>
    </row>
    <row r="73" spans="1:23" x14ac:dyDescent="0.25">
      <c r="A73" s="26" t="str">
        <f t="shared" si="10"/>
        <v>SECUNDARIA</v>
      </c>
      <c r="B73" s="26" t="str">
        <f>"09DES0069N"</f>
        <v>09DES0069N</v>
      </c>
      <c r="C73" s="26" t="str">
        <f>"MARTIN V. GONZALEZ                                                                                  "</f>
        <v xml:space="preserve">MARTIN V. GONZALEZ                                                                                  </v>
      </c>
      <c r="D73" s="26" t="str">
        <f t="shared" si="13"/>
        <v>MATUTINO</v>
      </c>
      <c r="E73" s="26" t="str">
        <f>"PLAZA B JUAREZ Y RIO CHURUBUSCO                                                 "</f>
        <v xml:space="preserve">PLAZA B JUAREZ Y RIO CHURUBUSCO                                                 </v>
      </c>
      <c r="F73" s="26" t="str">
        <f>"GABRIEL RAMOS MILLAN                                                                                                                        "</f>
        <v xml:space="preserve">GABRIEL RAMOS MILLAN                                                                                                                        </v>
      </c>
      <c r="G73" s="26" t="str">
        <f>"IZTACALCO                                                                       "</f>
        <v xml:space="preserve">IZTACALCO                                                                       </v>
      </c>
      <c r="H73" s="26" t="str">
        <f>"045"</f>
        <v>045</v>
      </c>
      <c r="I73" s="26" t="str">
        <f t="shared" si="11"/>
        <v>00</v>
      </c>
      <c r="J73" s="26" t="str">
        <f>"54 "</f>
        <v xml:space="preserve">54 </v>
      </c>
      <c r="K73" s="26" t="str">
        <f t="shared" si="14"/>
        <v>SG</v>
      </c>
      <c r="L73" s="26" t="str">
        <f t="shared" si="15"/>
        <v>DGOSE</v>
      </c>
      <c r="M73" s="26" t="str">
        <f t="shared" si="12"/>
        <v>FEDERAL</v>
      </c>
      <c r="N73" s="26">
        <v>685</v>
      </c>
      <c r="O73" s="26">
        <v>335</v>
      </c>
      <c r="P73" s="26">
        <v>350</v>
      </c>
      <c r="Q73" s="26">
        <v>18</v>
      </c>
      <c r="R73" s="26">
        <v>2</v>
      </c>
      <c r="S73" s="26">
        <v>45</v>
      </c>
      <c r="T73" s="26">
        <v>28</v>
      </c>
      <c r="U73" s="26">
        <v>75</v>
      </c>
      <c r="V73" s="26">
        <v>1</v>
      </c>
      <c r="W73" s="26"/>
    </row>
    <row r="74" spans="1:23" x14ac:dyDescent="0.25">
      <c r="A74" s="26" t="str">
        <f t="shared" si="10"/>
        <v>SECUNDARIA</v>
      </c>
      <c r="B74" s="26" t="str">
        <f>"09DES0070C"</f>
        <v>09DES0070C</v>
      </c>
      <c r="C74" s="26" t="str">
        <f>"MAHATMA MOHANDAS GANDHI                                                                             "</f>
        <v xml:space="preserve">MAHATMA MOHANDAS GANDHI                                                                             </v>
      </c>
      <c r="D74" s="26" t="str">
        <f t="shared" si="13"/>
        <v>MATUTINO</v>
      </c>
      <c r="E74" s="26" t="str">
        <f>"AV MARRUECOS Y LEON TROTSKY                                                     "</f>
        <v xml:space="preserve">AV MARRUECOS Y LEON TROTSKY                                                     </v>
      </c>
      <c r="F74" s="26" t="str">
        <f>"PRIMERO DE MAYO                                                                                                                             "</f>
        <v xml:space="preserve">PRIMERO DE MAYO                                                                                                                             </v>
      </c>
      <c r="G74" s="26" t="str">
        <f>"VENUSTIANO CARRANZA                                                             "</f>
        <v xml:space="preserve">VENUSTIANO CARRANZA                                                             </v>
      </c>
      <c r="H74" s="26" t="str">
        <f>"076"</f>
        <v>076</v>
      </c>
      <c r="I74" s="26" t="str">
        <f t="shared" si="11"/>
        <v>00</v>
      </c>
      <c r="J74" s="26" t="str">
        <f>"54 "</f>
        <v xml:space="preserve">54 </v>
      </c>
      <c r="K74" s="26" t="str">
        <f t="shared" si="14"/>
        <v>SG</v>
      </c>
      <c r="L74" s="26" t="str">
        <f t="shared" si="15"/>
        <v>DGOSE</v>
      </c>
      <c r="M74" s="26" t="str">
        <f t="shared" si="12"/>
        <v>FEDERAL</v>
      </c>
      <c r="N74" s="26">
        <v>453</v>
      </c>
      <c r="O74" s="26">
        <v>228</v>
      </c>
      <c r="P74" s="26">
        <v>225</v>
      </c>
      <c r="Q74" s="26">
        <v>18</v>
      </c>
      <c r="R74" s="26">
        <v>2</v>
      </c>
      <c r="S74" s="26">
        <v>48</v>
      </c>
      <c r="T74" s="26">
        <v>25</v>
      </c>
      <c r="U74" s="26">
        <v>75</v>
      </c>
      <c r="V74" s="26">
        <v>1</v>
      </c>
      <c r="W74" s="26"/>
    </row>
    <row r="75" spans="1:23" x14ac:dyDescent="0.25">
      <c r="A75" s="26" t="str">
        <f t="shared" si="10"/>
        <v>SECUNDARIA</v>
      </c>
      <c r="B75" s="26" t="str">
        <f>"09DES0071B"</f>
        <v>09DES0071B</v>
      </c>
      <c r="C75" s="26" t="str">
        <f>"NARCISO BASSOLS                                                                                     "</f>
        <v xml:space="preserve">NARCISO BASSOLS                                                                                     </v>
      </c>
      <c r="D75" s="26" t="str">
        <f t="shared" si="13"/>
        <v>MATUTINO</v>
      </c>
      <c r="E75" s="26" t="str">
        <f>"PLAYA COPACABANA NO 169                                                         "</f>
        <v xml:space="preserve">PLAYA COPACABANA NO 169                                                         </v>
      </c>
      <c r="F75" s="26" t="str">
        <f>"MILITAR MARTE                                                                                                                               "</f>
        <v xml:space="preserve">MILITAR MARTE                                                                                                                               </v>
      </c>
      <c r="G75" s="26" t="str">
        <f>"IZTACALCO                                                                       "</f>
        <v xml:space="preserve">IZTACALCO                                                                       </v>
      </c>
      <c r="H75" s="26" t="str">
        <f>"043"</f>
        <v>043</v>
      </c>
      <c r="I75" s="26" t="str">
        <f t="shared" si="11"/>
        <v>00</v>
      </c>
      <c r="J75" s="26" t="str">
        <f>"54 "</f>
        <v xml:space="preserve">54 </v>
      </c>
      <c r="K75" s="26" t="str">
        <f t="shared" si="14"/>
        <v>SG</v>
      </c>
      <c r="L75" s="26" t="str">
        <f t="shared" si="15"/>
        <v>DGOSE</v>
      </c>
      <c r="M75" s="26" t="str">
        <f t="shared" si="12"/>
        <v>FEDERAL</v>
      </c>
      <c r="N75" s="26">
        <v>740</v>
      </c>
      <c r="O75" s="26">
        <v>370</v>
      </c>
      <c r="P75" s="26">
        <v>370</v>
      </c>
      <c r="Q75" s="26">
        <v>18</v>
      </c>
      <c r="R75" s="26">
        <v>2</v>
      </c>
      <c r="S75" s="26">
        <v>47</v>
      </c>
      <c r="T75" s="26">
        <v>29</v>
      </c>
      <c r="U75" s="26">
        <v>78</v>
      </c>
      <c r="V75" s="26">
        <v>1</v>
      </c>
      <c r="W75" s="26"/>
    </row>
    <row r="76" spans="1:23" x14ac:dyDescent="0.25">
      <c r="A76" s="26" t="str">
        <f t="shared" si="10"/>
        <v>SECUNDARIA</v>
      </c>
      <c r="B76" s="26" t="str">
        <f>"09DES0072A"</f>
        <v>09DES0072A</v>
      </c>
      <c r="C76" s="26" t="str">
        <f>"DIEGO RIVERA                                                                                        "</f>
        <v xml:space="preserve">DIEGO RIVERA                                                                                        </v>
      </c>
      <c r="D76" s="26" t="str">
        <f t="shared" si="13"/>
        <v>MATUTINO</v>
      </c>
      <c r="E76" s="26" t="str">
        <f>"CDA POPOCATEPETL NO 56                                                          "</f>
        <v xml:space="preserve">CDA POPOCATEPETL NO 56                                                          </v>
      </c>
      <c r="F76" s="26" t="str">
        <f>"XOCO                                                                                                                                        "</f>
        <v xml:space="preserve">XOCO                                                                                                                                        </v>
      </c>
      <c r="G76" s="26" t="str">
        <f>"BENITO JUAREZ                                                                   "</f>
        <v xml:space="preserve">BENITO JUAREZ                                                                   </v>
      </c>
      <c r="H76" s="26" t="str">
        <f>"016"</f>
        <v>016</v>
      </c>
      <c r="I76" s="26" t="str">
        <f t="shared" si="11"/>
        <v>00</v>
      </c>
      <c r="J76" s="26" t="str">
        <f>"53 "</f>
        <v xml:space="preserve">53 </v>
      </c>
      <c r="K76" s="26" t="str">
        <f t="shared" si="14"/>
        <v>SG</v>
      </c>
      <c r="L76" s="26" t="str">
        <f t="shared" si="15"/>
        <v>DGOSE</v>
      </c>
      <c r="M76" s="26" t="str">
        <f t="shared" si="12"/>
        <v>FEDERAL</v>
      </c>
      <c r="N76" s="26">
        <v>786</v>
      </c>
      <c r="O76" s="26">
        <v>416</v>
      </c>
      <c r="P76" s="26">
        <v>370</v>
      </c>
      <c r="Q76" s="26">
        <v>17</v>
      </c>
      <c r="R76" s="26">
        <v>2</v>
      </c>
      <c r="S76" s="26">
        <v>45</v>
      </c>
      <c r="T76" s="26">
        <v>21</v>
      </c>
      <c r="U76" s="26">
        <v>68</v>
      </c>
      <c r="V76" s="26">
        <v>1</v>
      </c>
      <c r="W76" s="26"/>
    </row>
    <row r="77" spans="1:23" x14ac:dyDescent="0.25">
      <c r="A77" s="26" t="str">
        <f t="shared" si="10"/>
        <v>SECUNDARIA</v>
      </c>
      <c r="B77" s="26" t="str">
        <f>"09DES0073Z"</f>
        <v>09DES0073Z</v>
      </c>
      <c r="C77" s="26" t="str">
        <f>"LIC. ISIDRO FABELA ALFARO                                                                           "</f>
        <v xml:space="preserve">LIC. ISIDRO FABELA ALFARO                                                                           </v>
      </c>
      <c r="D77" s="26" t="str">
        <f t="shared" si="13"/>
        <v>MATUTINO</v>
      </c>
      <c r="E77" s="26" t="str">
        <f>"CALZ DE TLALPAN NO 2822                                                         "</f>
        <v xml:space="preserve">CALZ DE TLALPAN NO 2822                                                         </v>
      </c>
      <c r="F77" s="26" t="str">
        <f>"SAN PABLO TEPETLAPA PUEBLO                                                                                                                  "</f>
        <v xml:space="preserve">SAN PABLO TEPETLAPA PUEBLO                                                                                                                  </v>
      </c>
      <c r="G77" s="26" t="str">
        <f>"COYOACAN                                                                        "</f>
        <v xml:space="preserve">COYOACAN                                                                        </v>
      </c>
      <c r="H77" s="26" t="str">
        <f>"022"</f>
        <v>022</v>
      </c>
      <c r="I77" s="26" t="str">
        <f t="shared" si="11"/>
        <v>00</v>
      </c>
      <c r="J77" s="26" t="str">
        <f>"54 "</f>
        <v xml:space="preserve">54 </v>
      </c>
      <c r="K77" s="26" t="str">
        <f t="shared" si="14"/>
        <v>SG</v>
      </c>
      <c r="L77" s="26" t="str">
        <f t="shared" si="15"/>
        <v>DGOSE</v>
      </c>
      <c r="M77" s="26" t="str">
        <f t="shared" si="12"/>
        <v>FEDERAL</v>
      </c>
      <c r="N77" s="26">
        <v>578</v>
      </c>
      <c r="O77" s="26">
        <v>338</v>
      </c>
      <c r="P77" s="26">
        <v>240</v>
      </c>
      <c r="Q77" s="26">
        <v>18</v>
      </c>
      <c r="R77" s="26">
        <v>2</v>
      </c>
      <c r="S77" s="26">
        <v>37</v>
      </c>
      <c r="T77" s="26">
        <v>25</v>
      </c>
      <c r="U77" s="26">
        <v>64</v>
      </c>
      <c r="V77" s="26">
        <v>1</v>
      </c>
      <c r="W77" s="26"/>
    </row>
    <row r="78" spans="1:23" x14ac:dyDescent="0.25">
      <c r="A78" s="26" t="str">
        <f t="shared" si="10"/>
        <v>SECUNDARIA</v>
      </c>
      <c r="B78" s="26" t="str">
        <f>"09DES0074Z"</f>
        <v>09DES0074Z</v>
      </c>
      <c r="C78" s="26" t="str">
        <f>"REPUBLICA DE NICARAGUA                                                                              "</f>
        <v xml:space="preserve">REPUBLICA DE NICARAGUA                                                                              </v>
      </c>
      <c r="D78" s="26" t="str">
        <f t="shared" si="13"/>
        <v>MATUTINO</v>
      </c>
      <c r="E78" s="26" t="str">
        <f>"CDA VASCO DE QUIROGA Y 16 DE SEPTIEMBRE S/N                                     "</f>
        <v xml:space="preserve">CDA VASCO DE QUIROGA Y 16 DE SEPTIEMBRE S/N                                     </v>
      </c>
      <c r="F78" s="26" t="str">
        <f>"ATZACOALCO                                                                                                                                  "</f>
        <v xml:space="preserve">ATZACOALCO                                                                                                                                  </v>
      </c>
      <c r="G78" s="26" t="str">
        <f>"GUSTAVO A. MADERO                                                               "</f>
        <v xml:space="preserve">GUSTAVO A. MADERO                                                               </v>
      </c>
      <c r="H78" s="26" t="str">
        <f>"038"</f>
        <v>038</v>
      </c>
      <c r="I78" s="26" t="str">
        <f t="shared" si="11"/>
        <v>00</v>
      </c>
      <c r="J78" s="26" t="str">
        <f>"52 "</f>
        <v xml:space="preserve">52 </v>
      </c>
      <c r="K78" s="26" t="str">
        <f t="shared" si="14"/>
        <v>SG</v>
      </c>
      <c r="L78" s="26" t="str">
        <f t="shared" si="15"/>
        <v>DGOSE</v>
      </c>
      <c r="M78" s="26" t="str">
        <f t="shared" si="12"/>
        <v>FEDERAL</v>
      </c>
      <c r="N78" s="26">
        <v>448</v>
      </c>
      <c r="O78" s="26">
        <v>218</v>
      </c>
      <c r="P78" s="26">
        <v>230</v>
      </c>
      <c r="Q78" s="26">
        <v>17</v>
      </c>
      <c r="R78" s="26">
        <v>2</v>
      </c>
      <c r="S78" s="26">
        <v>39</v>
      </c>
      <c r="T78" s="26">
        <v>25</v>
      </c>
      <c r="U78" s="26">
        <v>66</v>
      </c>
      <c r="V78" s="26">
        <v>1</v>
      </c>
      <c r="W78" s="26"/>
    </row>
    <row r="79" spans="1:23" x14ac:dyDescent="0.25">
      <c r="A79" s="26" t="str">
        <f t="shared" si="10"/>
        <v>SECUNDARIA</v>
      </c>
      <c r="B79" s="26" t="str">
        <f>"09DES0075Y"</f>
        <v>09DES0075Y</v>
      </c>
      <c r="C79" s="26" t="str">
        <f>"DIONISIA ZAMORA PALLARES                                                                            "</f>
        <v xml:space="preserve">DIONISIA ZAMORA PALLARES                                                                            </v>
      </c>
      <c r="D79" s="26" t="str">
        <f>"TIEMPO COMPLETO"</f>
        <v>TIEMPO COMPLETO</v>
      </c>
      <c r="E79" s="26" t="str">
        <f>"AV MORELOS NO 639 Y FERNANDO IGLESIAS C                                         "</f>
        <v xml:space="preserve">AV MORELOS NO 639 Y FERNANDO IGLESIAS C                                         </v>
      </c>
      <c r="F79" s="26" t="str">
        <f>"MAGDALENA MIXHUCA                                                                                                                           "</f>
        <v xml:space="preserve">MAGDALENA MIXHUCA                                                                                                                           </v>
      </c>
      <c r="G79" s="26" t="str">
        <f>"VENUSTIANO CARRANZA                                                             "</f>
        <v xml:space="preserve">VENUSTIANO CARRANZA                                                             </v>
      </c>
      <c r="H79" s="26" t="str">
        <f>"078"</f>
        <v>078</v>
      </c>
      <c r="I79" s="26" t="str">
        <f t="shared" si="11"/>
        <v>00</v>
      </c>
      <c r="J79" s="26" t="str">
        <f>"54 "</f>
        <v xml:space="preserve">54 </v>
      </c>
      <c r="K79" s="26" t="str">
        <f t="shared" si="14"/>
        <v>SG</v>
      </c>
      <c r="L79" s="26" t="str">
        <f t="shared" si="15"/>
        <v>DGOSE</v>
      </c>
      <c r="M79" s="26" t="str">
        <f t="shared" si="12"/>
        <v>FEDERAL</v>
      </c>
      <c r="N79" s="26">
        <v>379</v>
      </c>
      <c r="O79" s="26">
        <v>194</v>
      </c>
      <c r="P79" s="26">
        <v>185</v>
      </c>
      <c r="Q79" s="26">
        <v>9</v>
      </c>
      <c r="R79" s="26">
        <v>1</v>
      </c>
      <c r="S79" s="26">
        <v>32</v>
      </c>
      <c r="T79" s="26">
        <v>31</v>
      </c>
      <c r="U79" s="26">
        <v>64</v>
      </c>
      <c r="V79" s="26">
        <v>1</v>
      </c>
      <c r="W79" s="26" t="s">
        <v>218</v>
      </c>
    </row>
    <row r="80" spans="1:23" x14ac:dyDescent="0.25">
      <c r="A80" s="26" t="str">
        <f t="shared" si="10"/>
        <v>SECUNDARIA</v>
      </c>
      <c r="B80" s="26" t="str">
        <f>"09DES0076X"</f>
        <v>09DES0076X</v>
      </c>
      <c r="C80" s="26" t="str">
        <f>"FRANCISCO JAVIER CLAVIJERO                                                                          "</f>
        <v xml:space="preserve">FRANCISCO JAVIER CLAVIJERO                                                                          </v>
      </c>
      <c r="D80" s="26" t="str">
        <f>"JORNADA AMPLIADA"</f>
        <v>JORNADA AMPLIADA</v>
      </c>
      <c r="E80" s="26" t="str">
        <f>"IXNAHUALTONGO NO. 135                                                           "</f>
        <v xml:space="preserve">IXNAHUALTONGO NO. 135                                                           </v>
      </c>
      <c r="F80" s="26" t="str">
        <f>"LORENZO BOTURINI                                                                                                                            "</f>
        <v xml:space="preserve">LORENZO BOTURINI                                                                                                                            </v>
      </c>
      <c r="G80" s="26" t="str">
        <f>"VENUSTIANO CARRANZA                                                             "</f>
        <v xml:space="preserve">VENUSTIANO CARRANZA                                                             </v>
      </c>
      <c r="H80" s="26" t="str">
        <f>"075"</f>
        <v>075</v>
      </c>
      <c r="I80" s="26" t="str">
        <f t="shared" si="11"/>
        <v>00</v>
      </c>
      <c r="J80" s="26" t="str">
        <f>"54 "</f>
        <v xml:space="preserve">54 </v>
      </c>
      <c r="K80" s="26" t="str">
        <f t="shared" si="14"/>
        <v>SG</v>
      </c>
      <c r="L80" s="26" t="str">
        <f t="shared" si="15"/>
        <v>DGOSE</v>
      </c>
      <c r="M80" s="26" t="str">
        <f t="shared" si="12"/>
        <v>FEDERAL</v>
      </c>
      <c r="N80" s="26">
        <v>154</v>
      </c>
      <c r="O80" s="26">
        <v>84</v>
      </c>
      <c r="P80" s="26">
        <v>70</v>
      </c>
      <c r="Q80" s="26">
        <v>6</v>
      </c>
      <c r="R80" s="26">
        <v>2</v>
      </c>
      <c r="S80" s="26">
        <v>22</v>
      </c>
      <c r="T80" s="26">
        <v>16</v>
      </c>
      <c r="U80" s="26">
        <v>40</v>
      </c>
      <c r="V80" s="26">
        <v>1</v>
      </c>
      <c r="W80" s="26" t="s">
        <v>2076</v>
      </c>
    </row>
    <row r="81" spans="1:23" x14ac:dyDescent="0.25">
      <c r="A81" s="26" t="str">
        <f t="shared" si="10"/>
        <v>SECUNDARIA</v>
      </c>
      <c r="B81" s="26" t="str">
        <f>"09DES0077W"</f>
        <v>09DES0077W</v>
      </c>
      <c r="C81" s="26" t="str">
        <f>"REPUBLICA DE PANAMA                                                                                 "</f>
        <v xml:space="preserve">REPUBLICA DE PANAMA                                                                                 </v>
      </c>
      <c r="D81" s="26" t="str">
        <f>"JORNADA AMPLIADA"</f>
        <v>JORNADA AMPLIADA</v>
      </c>
      <c r="E81" s="26" t="str">
        <f>"HIDALGO Y GREGORIO LOPEZ                                                        "</f>
        <v xml:space="preserve">HIDALGO Y GREGORIO LOPEZ                                                        </v>
      </c>
      <c r="F81" s="26" t="str">
        <f>"SANTA FE                                                                                                                                    "</f>
        <v xml:space="preserve">SANTA FE                                                                                                                                    </v>
      </c>
      <c r="G81" s="26" t="str">
        <f>"ALVARO OBREGON                                                                  "</f>
        <v xml:space="preserve">ALVARO OBREGON                                                                  </v>
      </c>
      <c r="H81" s="26" t="str">
        <f>"004"</f>
        <v>004</v>
      </c>
      <c r="I81" s="26" t="str">
        <f t="shared" si="11"/>
        <v>00</v>
      </c>
      <c r="J81" s="26" t="str">
        <f>"53 "</f>
        <v xml:space="preserve">53 </v>
      </c>
      <c r="K81" s="26" t="str">
        <f t="shared" si="14"/>
        <v>SG</v>
      </c>
      <c r="L81" s="26" t="str">
        <f t="shared" si="15"/>
        <v>DGOSE</v>
      </c>
      <c r="M81" s="26" t="str">
        <f t="shared" si="12"/>
        <v>FEDERAL</v>
      </c>
      <c r="N81" s="26">
        <v>622</v>
      </c>
      <c r="O81" s="26">
        <v>300</v>
      </c>
      <c r="P81" s="26">
        <v>322</v>
      </c>
      <c r="Q81" s="26">
        <v>15</v>
      </c>
      <c r="R81" s="26">
        <v>1</v>
      </c>
      <c r="S81" s="26">
        <v>37</v>
      </c>
      <c r="T81" s="26">
        <v>22</v>
      </c>
      <c r="U81" s="26">
        <v>60</v>
      </c>
      <c r="V81" s="26">
        <v>1</v>
      </c>
      <c r="W81" s="26" t="s">
        <v>2076</v>
      </c>
    </row>
    <row r="82" spans="1:23" x14ac:dyDescent="0.25">
      <c r="A82" s="26" t="str">
        <f t="shared" si="10"/>
        <v>SECUNDARIA</v>
      </c>
      <c r="B82" s="26" t="str">
        <f>"09DES0078V"</f>
        <v>09DES0078V</v>
      </c>
      <c r="C82" s="26" t="str">
        <f>"REPUBLICA DE PARAGUAY                                                                               "</f>
        <v xml:space="preserve">REPUBLICA DE PARAGUAY                                                                               </v>
      </c>
      <c r="D82" s="26" t="str">
        <f>"MATUTINO"</f>
        <v>MATUTINO</v>
      </c>
      <c r="E82" s="26" t="str">
        <f>"EJE NORTE 4 Y PROL RIO BAMBA                                                    "</f>
        <v xml:space="preserve">EJE NORTE 4 Y PROL RIO BAMBA                                                    </v>
      </c>
      <c r="F82" s="26" t="str">
        <f>"CAPULTITLAN                                                                                                                                 "</f>
        <v xml:space="preserve">CAPULTITLAN                                                                                                                                 </v>
      </c>
      <c r="G82" s="26" t="str">
        <f>"GUSTAVO A. MADERO                                                               "</f>
        <v xml:space="preserve">GUSTAVO A. MADERO                                                               </v>
      </c>
      <c r="H82" s="26" t="str">
        <f>"033"</f>
        <v>033</v>
      </c>
      <c r="I82" s="26" t="str">
        <f t="shared" si="11"/>
        <v>00</v>
      </c>
      <c r="J82" s="26" t="str">
        <f>"52 "</f>
        <v xml:space="preserve">52 </v>
      </c>
      <c r="K82" s="26" t="str">
        <f t="shared" si="14"/>
        <v>SG</v>
      </c>
      <c r="L82" s="26" t="str">
        <f t="shared" si="15"/>
        <v>DGOSE</v>
      </c>
      <c r="M82" s="26" t="str">
        <f t="shared" si="12"/>
        <v>FEDERAL</v>
      </c>
      <c r="N82" s="26">
        <v>671</v>
      </c>
      <c r="O82" s="26">
        <v>324</v>
      </c>
      <c r="P82" s="26">
        <v>347</v>
      </c>
      <c r="Q82" s="26">
        <v>18</v>
      </c>
      <c r="R82" s="26">
        <v>2</v>
      </c>
      <c r="S82" s="26">
        <v>41</v>
      </c>
      <c r="T82" s="26">
        <v>26</v>
      </c>
      <c r="U82" s="26">
        <v>69</v>
      </c>
      <c r="V82" s="26">
        <v>1</v>
      </c>
      <c r="W82" s="26"/>
    </row>
    <row r="83" spans="1:23" x14ac:dyDescent="0.25">
      <c r="A83" s="26" t="str">
        <f t="shared" si="10"/>
        <v>SECUNDARIA</v>
      </c>
      <c r="B83" s="26" t="str">
        <f>"09DES0079U"</f>
        <v>09DES0079U</v>
      </c>
      <c r="C83" s="26" t="str">
        <f>"REPUBLICA DE CHILE                                                                                  "</f>
        <v xml:space="preserve">REPUBLICA DE CHILE                                                                                  </v>
      </c>
      <c r="D83" s="26" t="str">
        <f>"MATUTINO"</f>
        <v>MATUTINO</v>
      </c>
      <c r="E83" s="26" t="str">
        <f>"CALZ. DE LA VIGA NO. 1916                                                       "</f>
        <v xml:space="preserve">CALZ. DE LA VIGA NO. 1916                                                       </v>
      </c>
      <c r="F83" s="26" t="str">
        <f>"MEXICALTZINGO                                                                                                                               "</f>
        <v xml:space="preserve">MEXICALTZINGO                                                                                                                               </v>
      </c>
      <c r="G83" s="26" t="str">
        <f>"IZTAPALAPA                                                                      "</f>
        <v xml:space="preserve">IZTAPALAPA                                                                      </v>
      </c>
      <c r="H83" s="26" t="str">
        <f>"009"</f>
        <v>009</v>
      </c>
      <c r="I83" s="26" t="str">
        <f t="shared" si="11"/>
        <v>00</v>
      </c>
      <c r="J83" s="26" t="str">
        <f>"63 "</f>
        <v xml:space="preserve">63 </v>
      </c>
      <c r="K83" s="26" t="str">
        <f>"IZ"</f>
        <v>IZ</v>
      </c>
      <c r="L83" s="26" t="str">
        <f>"DGSEI"</f>
        <v>DGSEI</v>
      </c>
      <c r="M83" s="26" t="str">
        <f t="shared" si="12"/>
        <v>FEDERAL</v>
      </c>
      <c r="N83" s="26">
        <v>778</v>
      </c>
      <c r="O83" s="26">
        <v>388</v>
      </c>
      <c r="P83" s="26">
        <v>390</v>
      </c>
      <c r="Q83" s="26">
        <v>18</v>
      </c>
      <c r="R83" s="26">
        <v>2</v>
      </c>
      <c r="S83" s="26">
        <v>41</v>
      </c>
      <c r="T83" s="26">
        <v>25</v>
      </c>
      <c r="U83" s="26">
        <v>68</v>
      </c>
      <c r="V83" s="26">
        <v>1</v>
      </c>
      <c r="W83" s="26"/>
    </row>
    <row r="84" spans="1:23" x14ac:dyDescent="0.25">
      <c r="A84" s="26" t="str">
        <f t="shared" si="10"/>
        <v>SECUNDARIA</v>
      </c>
      <c r="B84" s="26" t="str">
        <f>"09DES0080J"</f>
        <v>09DES0080J</v>
      </c>
      <c r="C84" s="26" t="str">
        <f>"DR. MARTIN LUTHER KING                                                                              "</f>
        <v xml:space="preserve">DR. MARTIN LUTHER KING                                                                              </v>
      </c>
      <c r="D84" s="26" t="str">
        <f>"MATUTINO"</f>
        <v>MATUTINO</v>
      </c>
      <c r="E84" s="26" t="str">
        <f>"ELEUTERIO MENDEZ NO 53                                                          "</f>
        <v xml:space="preserve">ELEUTERIO MENDEZ NO 53                                                          </v>
      </c>
      <c r="F84" s="26" t="str">
        <f>"SAN SIMON TICUMAC                                                                                                                           "</f>
        <v xml:space="preserve">SAN SIMON TICUMAC                                                                                                                           </v>
      </c>
      <c r="G84" s="26" t="str">
        <f>"BENITO JUAREZ                                                                   "</f>
        <v xml:space="preserve">BENITO JUAREZ                                                                   </v>
      </c>
      <c r="H84" s="26" t="str">
        <f>"015"</f>
        <v>015</v>
      </c>
      <c r="I84" s="26" t="str">
        <f t="shared" si="11"/>
        <v>00</v>
      </c>
      <c r="J84" s="26" t="str">
        <f>"53 "</f>
        <v xml:space="preserve">53 </v>
      </c>
      <c r="K84" s="26" t="str">
        <f>"SG"</f>
        <v>SG</v>
      </c>
      <c r="L84" s="26" t="str">
        <f>"DGOSE"</f>
        <v>DGOSE</v>
      </c>
      <c r="M84" s="26" t="str">
        <f t="shared" si="12"/>
        <v>FEDERAL</v>
      </c>
      <c r="N84" s="26">
        <v>577</v>
      </c>
      <c r="O84" s="26">
        <v>299</v>
      </c>
      <c r="P84" s="26">
        <v>278</v>
      </c>
      <c r="Q84" s="26">
        <v>18</v>
      </c>
      <c r="R84" s="26">
        <v>2</v>
      </c>
      <c r="S84" s="26">
        <v>46</v>
      </c>
      <c r="T84" s="26">
        <v>21</v>
      </c>
      <c r="U84" s="26">
        <v>69</v>
      </c>
      <c r="V84" s="26">
        <v>1</v>
      </c>
      <c r="W84" s="26"/>
    </row>
    <row r="85" spans="1:23" x14ac:dyDescent="0.25">
      <c r="A85" s="26" t="str">
        <f t="shared" si="10"/>
        <v>SECUNDARIA</v>
      </c>
      <c r="B85" s="26" t="str">
        <f>"09DES0081I"</f>
        <v>09DES0081I</v>
      </c>
      <c r="C85" s="26" t="str">
        <f>"REPUBLICA DE COLOMBIA                                                                               "</f>
        <v xml:space="preserve">REPUBLICA DE COLOMBIA                                                                               </v>
      </c>
      <c r="D85" s="26" t="str">
        <f>"JORNADA AMPLIADA"</f>
        <v>JORNADA AMPLIADA</v>
      </c>
      <c r="E85" s="26" t="str">
        <f>"AV HENRY FORD Y NORTE 54-A                                                      "</f>
        <v xml:space="preserve">AV HENRY FORD Y NORTE 54-A                                                      </v>
      </c>
      <c r="F85" s="26" t="str">
        <f>"BONDOJITO                                                                                                                                   "</f>
        <v xml:space="preserve">BONDOJITO                                                                                                                                   </v>
      </c>
      <c r="G85" s="26" t="str">
        <f>"GUSTAVO A. MADERO                                                               "</f>
        <v xml:space="preserve">GUSTAVO A. MADERO                                                               </v>
      </c>
      <c r="H85" s="26" t="str">
        <f>"034"</f>
        <v>034</v>
      </c>
      <c r="I85" s="26" t="str">
        <f t="shared" si="11"/>
        <v>00</v>
      </c>
      <c r="J85" s="26" t="str">
        <f>"52 "</f>
        <v xml:space="preserve">52 </v>
      </c>
      <c r="K85" s="26" t="str">
        <f>"SG"</f>
        <v>SG</v>
      </c>
      <c r="L85" s="26" t="str">
        <f>"DGOSE"</f>
        <v>DGOSE</v>
      </c>
      <c r="M85" s="26" t="str">
        <f t="shared" si="12"/>
        <v>FEDERAL</v>
      </c>
      <c r="N85" s="26">
        <v>461</v>
      </c>
      <c r="O85" s="26">
        <v>268</v>
      </c>
      <c r="P85" s="26">
        <v>193</v>
      </c>
      <c r="Q85" s="26">
        <v>15</v>
      </c>
      <c r="R85" s="26">
        <v>3</v>
      </c>
      <c r="S85" s="26">
        <v>41</v>
      </c>
      <c r="T85" s="26">
        <v>28</v>
      </c>
      <c r="U85" s="26">
        <v>72</v>
      </c>
      <c r="V85" s="26">
        <v>1</v>
      </c>
      <c r="W85" s="26" t="s">
        <v>2076</v>
      </c>
    </row>
    <row r="86" spans="1:23" x14ac:dyDescent="0.25">
      <c r="A86" s="26" t="str">
        <f t="shared" si="10"/>
        <v>SECUNDARIA</v>
      </c>
      <c r="B86" s="26" t="str">
        <f>"09DES0082H"</f>
        <v>09DES0082H</v>
      </c>
      <c r="C86" s="26" t="str">
        <f>"ABRAHAM LINCOLN                                                                                     "</f>
        <v xml:space="preserve">ABRAHAM LINCOLN                                                                                     </v>
      </c>
      <c r="D86" s="26" t="str">
        <f t="shared" ref="D86:D92" si="16">"MATUTINO"</f>
        <v>MATUTINO</v>
      </c>
      <c r="E86" s="26" t="str">
        <f>"FERNANDO DE ALVA IXTLIXOCHITL NO 172                                            "</f>
        <v xml:space="preserve">FERNANDO DE ALVA IXTLIXOCHITL NO 172                                            </v>
      </c>
      <c r="F86" s="26" t="str">
        <f>"OBRERA                                                                                                                                      "</f>
        <v xml:space="preserve">OBRERA                                                                                                                                      </v>
      </c>
      <c r="G86" s="26" t="str">
        <f>"CUAUHTEMOC                                                                      "</f>
        <v xml:space="preserve">CUAUHTEMOC                                                                      </v>
      </c>
      <c r="H86" s="26" t="str">
        <f>"025"</f>
        <v>025</v>
      </c>
      <c r="I86" s="26" t="str">
        <f t="shared" si="11"/>
        <v>00</v>
      </c>
      <c r="J86" s="26" t="str">
        <f>"51 "</f>
        <v xml:space="preserve">51 </v>
      </c>
      <c r="K86" s="26" t="str">
        <f>"SG"</f>
        <v>SG</v>
      </c>
      <c r="L86" s="26" t="str">
        <f>"DGOSE"</f>
        <v>DGOSE</v>
      </c>
      <c r="M86" s="26" t="str">
        <f t="shared" si="12"/>
        <v>FEDERAL</v>
      </c>
      <c r="N86" s="26">
        <v>461</v>
      </c>
      <c r="O86" s="26">
        <v>258</v>
      </c>
      <c r="P86" s="26">
        <v>203</v>
      </c>
      <c r="Q86" s="26">
        <v>18</v>
      </c>
      <c r="R86" s="26">
        <v>2</v>
      </c>
      <c r="S86" s="26">
        <v>40</v>
      </c>
      <c r="T86" s="26">
        <v>32</v>
      </c>
      <c r="U86" s="26">
        <v>74</v>
      </c>
      <c r="V86" s="26">
        <v>1</v>
      </c>
      <c r="W86" s="26"/>
    </row>
    <row r="87" spans="1:23" x14ac:dyDescent="0.25">
      <c r="A87" s="26" t="str">
        <f t="shared" si="10"/>
        <v>SECUNDARIA</v>
      </c>
      <c r="B87" s="26" t="str">
        <f>"09DES0083G"</f>
        <v>09DES0083G</v>
      </c>
      <c r="C87" s="26" t="str">
        <f>"PRESIDENTE VALENTIN GOMEZ FARIAS                                                                    "</f>
        <v xml:space="preserve">PRESIDENTE VALENTIN GOMEZ FARIAS                                                                    </v>
      </c>
      <c r="D87" s="26" t="str">
        <f t="shared" si="16"/>
        <v>MATUTINO</v>
      </c>
      <c r="E87" s="26" t="str">
        <f>"LERDO NO 242                                                                    "</f>
        <v xml:space="preserve">LERDO NO 242                                                                    </v>
      </c>
      <c r="F87" s="26" t="str">
        <f>"UNIDAD NONOALCO TLATELOLCO                                                                                                                  "</f>
        <v xml:space="preserve">UNIDAD NONOALCO TLATELOLCO                                                                                                                  </v>
      </c>
      <c r="G87" s="26" t="str">
        <f>"CUAUHTEMOC                                                                      "</f>
        <v xml:space="preserve">CUAUHTEMOC                                                                      </v>
      </c>
      <c r="H87" s="26" t="str">
        <f>"026"</f>
        <v>026</v>
      </c>
      <c r="I87" s="26" t="str">
        <f t="shared" si="11"/>
        <v>00</v>
      </c>
      <c r="J87" s="26" t="str">
        <f>"51 "</f>
        <v xml:space="preserve">51 </v>
      </c>
      <c r="K87" s="26" t="str">
        <f>"SG"</f>
        <v>SG</v>
      </c>
      <c r="L87" s="26" t="str">
        <f>"DGOSE"</f>
        <v>DGOSE</v>
      </c>
      <c r="M87" s="26" t="str">
        <f t="shared" si="12"/>
        <v>FEDERAL</v>
      </c>
      <c r="N87" s="26">
        <v>398</v>
      </c>
      <c r="O87" s="26">
        <v>207</v>
      </c>
      <c r="P87" s="26">
        <v>191</v>
      </c>
      <c r="Q87" s="26">
        <v>11</v>
      </c>
      <c r="R87" s="26">
        <v>2</v>
      </c>
      <c r="S87" s="26">
        <v>32</v>
      </c>
      <c r="T87" s="26">
        <v>19</v>
      </c>
      <c r="U87" s="26">
        <v>53</v>
      </c>
      <c r="V87" s="26">
        <v>1</v>
      </c>
      <c r="W87" s="26"/>
    </row>
    <row r="88" spans="1:23" x14ac:dyDescent="0.25">
      <c r="A88" s="26" t="str">
        <f t="shared" si="10"/>
        <v>SECUNDARIA</v>
      </c>
      <c r="B88" s="26" t="str">
        <f>"09DES0084F"</f>
        <v>09DES0084F</v>
      </c>
      <c r="C88" s="26" t="str">
        <f>"JOSE MARTI                                                                                          "</f>
        <v xml:space="preserve">JOSE MARTI                                                                                          </v>
      </c>
      <c r="D88" s="26" t="str">
        <f t="shared" si="16"/>
        <v>MATUTINO</v>
      </c>
      <c r="E88" s="26" t="str">
        <f>"CALZ. TULYEHUALCO Y CUITLAHUAC                                                  "</f>
        <v xml:space="preserve">CALZ. TULYEHUALCO Y CUITLAHUAC                                                  </v>
      </c>
      <c r="F88" s="26" t="str">
        <f>"LOS REYES                                                                                                                                   "</f>
        <v xml:space="preserve">LOS REYES                                                                                                                                   </v>
      </c>
      <c r="G88" s="26" t="str">
        <f>"IZTAPALAPA                                                                      "</f>
        <v xml:space="preserve">IZTAPALAPA                                                                      </v>
      </c>
      <c r="H88" s="26" t="str">
        <f>"009"</f>
        <v>009</v>
      </c>
      <c r="I88" s="26" t="str">
        <f t="shared" si="11"/>
        <v>00</v>
      </c>
      <c r="J88" s="26" t="str">
        <f>"63 "</f>
        <v xml:space="preserve">63 </v>
      </c>
      <c r="K88" s="26" t="str">
        <f>"IZ"</f>
        <v>IZ</v>
      </c>
      <c r="L88" s="26" t="str">
        <f>"DGSEI"</f>
        <v>DGSEI</v>
      </c>
      <c r="M88" s="26" t="str">
        <f t="shared" si="12"/>
        <v>FEDERAL</v>
      </c>
      <c r="N88" s="26">
        <v>721</v>
      </c>
      <c r="O88" s="26">
        <v>363</v>
      </c>
      <c r="P88" s="26">
        <v>358</v>
      </c>
      <c r="Q88" s="26">
        <v>18</v>
      </c>
      <c r="R88" s="26">
        <v>2</v>
      </c>
      <c r="S88" s="26">
        <v>46</v>
      </c>
      <c r="T88" s="26">
        <v>23</v>
      </c>
      <c r="U88" s="26">
        <v>71</v>
      </c>
      <c r="V88" s="26">
        <v>1</v>
      </c>
      <c r="W88" s="26"/>
    </row>
    <row r="89" spans="1:23" x14ac:dyDescent="0.25">
      <c r="A89" s="26" t="str">
        <f t="shared" si="10"/>
        <v>SECUNDARIA</v>
      </c>
      <c r="B89" s="26" t="str">
        <f>"09DES0085E"</f>
        <v>09DES0085E</v>
      </c>
      <c r="C89" s="26" t="str">
        <f>"REPUBLICA DE FRANCIA                                                                                "</f>
        <v xml:space="preserve">REPUBLICA DE FRANCIA                                                                                </v>
      </c>
      <c r="D89" s="26" t="str">
        <f t="shared" si="16"/>
        <v>MATUTINO</v>
      </c>
      <c r="E89" s="26" t="str">
        <f>"AV OCEANIA Y AV 567                                                             "</f>
        <v xml:space="preserve">AV OCEANIA Y AV 567                                                             </v>
      </c>
      <c r="F89" s="26" t="str">
        <f>"UNIDAD SAN JUAN DE ARAGON                                                                                                                   "</f>
        <v xml:space="preserve">UNIDAD SAN JUAN DE ARAGON                                                                                                                   </v>
      </c>
      <c r="G89" s="26" t="str">
        <f>"GUSTAVO A. MADERO                                                               "</f>
        <v xml:space="preserve">GUSTAVO A. MADERO                                                               </v>
      </c>
      <c r="H89" s="26" t="str">
        <f>"042"</f>
        <v>042</v>
      </c>
      <c r="I89" s="26" t="str">
        <f t="shared" si="11"/>
        <v>00</v>
      </c>
      <c r="J89" s="26" t="str">
        <f>"52 "</f>
        <v xml:space="preserve">52 </v>
      </c>
      <c r="K89" s="26" t="str">
        <f>"SG"</f>
        <v>SG</v>
      </c>
      <c r="L89" s="26" t="str">
        <f>"DGOSE"</f>
        <v>DGOSE</v>
      </c>
      <c r="M89" s="26" t="str">
        <f t="shared" si="12"/>
        <v>FEDERAL</v>
      </c>
      <c r="N89" s="26">
        <v>876</v>
      </c>
      <c r="O89" s="26">
        <v>457</v>
      </c>
      <c r="P89" s="26">
        <v>419</v>
      </c>
      <c r="Q89" s="26">
        <v>19</v>
      </c>
      <c r="R89" s="26">
        <v>2</v>
      </c>
      <c r="S89" s="26">
        <v>52</v>
      </c>
      <c r="T89" s="26">
        <v>28</v>
      </c>
      <c r="U89" s="26">
        <v>82</v>
      </c>
      <c r="V89" s="26">
        <v>1</v>
      </c>
      <c r="W89" s="26"/>
    </row>
    <row r="90" spans="1:23" x14ac:dyDescent="0.25">
      <c r="A90" s="26" t="str">
        <f t="shared" si="10"/>
        <v>SECUNDARIA</v>
      </c>
      <c r="B90" s="26" t="str">
        <f>"09DES0086D"</f>
        <v>09DES0086D</v>
      </c>
      <c r="C90" s="26" t="str">
        <f>"REPUBLICA DE VENEZUELA                                                                              "</f>
        <v xml:space="preserve">REPUBLICA DE VENEZUELA                                                                              </v>
      </c>
      <c r="D90" s="26" t="str">
        <f t="shared" si="16"/>
        <v>MATUTINO</v>
      </c>
      <c r="E90" s="26" t="str">
        <f>"PROL. ERMITA IZTAPALAPA Y AYUNTAMIENTO                                          "</f>
        <v xml:space="preserve">PROL. ERMITA IZTAPALAPA Y AYUNTAMIENTO                                          </v>
      </c>
      <c r="F90" s="26" t="str">
        <f>"EL SANTUARIO                                                                                                                                "</f>
        <v xml:space="preserve">EL SANTUARIO                                                                                                                                </v>
      </c>
      <c r="G90" s="26" t="str">
        <f>"IZTAPALAPA                                                                      "</f>
        <v xml:space="preserve">IZTAPALAPA                                                                      </v>
      </c>
      <c r="H90" s="26" t="str">
        <f>"010"</f>
        <v>010</v>
      </c>
      <c r="I90" s="26" t="str">
        <f t="shared" si="11"/>
        <v>00</v>
      </c>
      <c r="J90" s="26" t="str">
        <f>"63 "</f>
        <v xml:space="preserve">63 </v>
      </c>
      <c r="K90" s="26" t="str">
        <f>"IZ"</f>
        <v>IZ</v>
      </c>
      <c r="L90" s="26" t="str">
        <f>"DGSEI"</f>
        <v>DGSEI</v>
      </c>
      <c r="M90" s="26" t="str">
        <f t="shared" si="12"/>
        <v>FEDERAL</v>
      </c>
      <c r="N90" s="26">
        <v>682</v>
      </c>
      <c r="O90" s="26">
        <v>368</v>
      </c>
      <c r="P90" s="26">
        <v>314</v>
      </c>
      <c r="Q90" s="26">
        <v>15</v>
      </c>
      <c r="R90" s="26">
        <v>2</v>
      </c>
      <c r="S90" s="26">
        <v>41</v>
      </c>
      <c r="T90" s="26">
        <v>22</v>
      </c>
      <c r="U90" s="26">
        <v>65</v>
      </c>
      <c r="V90" s="26">
        <v>1</v>
      </c>
      <c r="W90" s="26"/>
    </row>
    <row r="91" spans="1:23" x14ac:dyDescent="0.25">
      <c r="A91" s="26" t="str">
        <f t="shared" si="10"/>
        <v>SECUNDARIA</v>
      </c>
      <c r="B91" s="26" t="str">
        <f>"09DES0087C"</f>
        <v>09DES0087C</v>
      </c>
      <c r="C91" s="26" t="str">
        <f>"REPUBLICA DE FILIPINAS                                                                              "</f>
        <v xml:space="preserve">REPUBLICA DE FILIPINAS                                                                              </v>
      </c>
      <c r="D91" s="26" t="str">
        <f t="shared" si="16"/>
        <v>MATUTINO</v>
      </c>
      <c r="E91" s="26" t="str">
        <f>"CALZ VALLEJO NO 2421                                                            "</f>
        <v xml:space="preserve">CALZ VALLEJO NO 2421                                                            </v>
      </c>
      <c r="F91" s="26" t="str">
        <f>"NUEVA INDUSTRIAL VALLEJO                                                                                                                    "</f>
        <v xml:space="preserve">NUEVA INDUSTRIAL VALLEJO                                                                                                                    </v>
      </c>
      <c r="G91" s="26" t="str">
        <f>"GUSTAVO A. MADERO                                                               "</f>
        <v xml:space="preserve">GUSTAVO A. MADERO                                                               </v>
      </c>
      <c r="H91" s="26" t="str">
        <f>"032"</f>
        <v>032</v>
      </c>
      <c r="I91" s="26" t="str">
        <f t="shared" si="11"/>
        <v>00</v>
      </c>
      <c r="J91" s="26" t="str">
        <f>"52 "</f>
        <v xml:space="preserve">52 </v>
      </c>
      <c r="K91" s="26" t="str">
        <f t="shared" ref="K91:K100" si="17">"SG"</f>
        <v>SG</v>
      </c>
      <c r="L91" s="26" t="str">
        <f t="shared" ref="L91:L100" si="18">"DGOSE"</f>
        <v>DGOSE</v>
      </c>
      <c r="M91" s="26" t="str">
        <f t="shared" si="12"/>
        <v>FEDERAL</v>
      </c>
      <c r="N91" s="26">
        <v>614</v>
      </c>
      <c r="O91" s="26">
        <v>310</v>
      </c>
      <c r="P91" s="26">
        <v>304</v>
      </c>
      <c r="Q91" s="26">
        <v>18</v>
      </c>
      <c r="R91" s="26">
        <v>2</v>
      </c>
      <c r="S91" s="26">
        <v>44</v>
      </c>
      <c r="T91" s="26">
        <v>22</v>
      </c>
      <c r="U91" s="26">
        <v>68</v>
      </c>
      <c r="V91" s="26">
        <v>1</v>
      </c>
      <c r="W91" s="26"/>
    </row>
    <row r="92" spans="1:23" x14ac:dyDescent="0.25">
      <c r="A92" s="26" t="str">
        <f t="shared" si="10"/>
        <v>SECUNDARIA</v>
      </c>
      <c r="B92" s="26" t="str">
        <f>"09DES0088B"</f>
        <v>09DES0088B</v>
      </c>
      <c r="C92" s="26" t="str">
        <f>"DR. NABOR CARRILLO FLORES                                                                           "</f>
        <v xml:space="preserve">DR. NABOR CARRILLO FLORES                                                                           </v>
      </c>
      <c r="D92" s="26" t="str">
        <f t="shared" si="16"/>
        <v>MATUTINO</v>
      </c>
      <c r="E92" s="26" t="str">
        <f>"TALLER Y RETORNO NO 52                                                          "</f>
        <v xml:space="preserve">TALLER Y RETORNO NO 52                                                          </v>
      </c>
      <c r="F92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92" s="26" t="str">
        <f>"VENUSTIANO CARRANZA                                                             "</f>
        <v xml:space="preserve">VENUSTIANO CARRANZA                                                             </v>
      </c>
      <c r="H92" s="26" t="str">
        <f>"078"</f>
        <v>078</v>
      </c>
      <c r="I92" s="26" t="str">
        <f t="shared" si="11"/>
        <v>00</v>
      </c>
      <c r="J92" s="26" t="str">
        <f>"54 "</f>
        <v xml:space="preserve">54 </v>
      </c>
      <c r="K92" s="26" t="str">
        <f t="shared" si="17"/>
        <v>SG</v>
      </c>
      <c r="L92" s="26" t="str">
        <f t="shared" si="18"/>
        <v>DGOSE</v>
      </c>
      <c r="M92" s="26" t="str">
        <f t="shared" si="12"/>
        <v>FEDERAL</v>
      </c>
      <c r="N92" s="26">
        <v>700</v>
      </c>
      <c r="O92" s="26">
        <v>358</v>
      </c>
      <c r="P92" s="26">
        <v>342</v>
      </c>
      <c r="Q92" s="26">
        <v>18</v>
      </c>
      <c r="R92" s="26">
        <v>2</v>
      </c>
      <c r="S92" s="26">
        <v>42</v>
      </c>
      <c r="T92" s="26">
        <v>35</v>
      </c>
      <c r="U92" s="26">
        <v>79</v>
      </c>
      <c r="V92" s="26">
        <v>1</v>
      </c>
      <c r="W92" s="26"/>
    </row>
    <row r="93" spans="1:23" x14ac:dyDescent="0.25">
      <c r="A93" s="26" t="str">
        <f t="shared" si="10"/>
        <v>SECUNDARIA</v>
      </c>
      <c r="B93" s="26" t="str">
        <f>"09DES0089A"</f>
        <v>09DES0089A</v>
      </c>
      <c r="C93" s="26" t="str">
        <f>"REPUBLICA DE ECUADOR                                                                                "</f>
        <v xml:space="preserve">REPUBLICA DE ECUADOR                                                                                </v>
      </c>
      <c r="D93" s="26" t="str">
        <f>"JORNADA AMPLIADA"</f>
        <v>JORNADA AMPLIADA</v>
      </c>
      <c r="E93" s="26" t="str">
        <f>"PLOMO NO 195                                                                    "</f>
        <v xml:space="preserve">PLOMO NO 195                                                                    </v>
      </c>
      <c r="F93" s="26" t="str">
        <f>"VALLE GOMEZ                                                                                                                                 "</f>
        <v xml:space="preserve">VALLE GOMEZ                                                                                                                                 </v>
      </c>
      <c r="G93" s="26" t="str">
        <f>"VENUSTIANO CARRANZA                                                             "</f>
        <v xml:space="preserve">VENUSTIANO CARRANZA                                                             </v>
      </c>
      <c r="H93" s="26" t="str">
        <f>"074"</f>
        <v>074</v>
      </c>
      <c r="I93" s="26" t="str">
        <f t="shared" si="11"/>
        <v>00</v>
      </c>
      <c r="J93" s="26" t="str">
        <f>"54 "</f>
        <v xml:space="preserve">54 </v>
      </c>
      <c r="K93" s="26" t="str">
        <f t="shared" si="17"/>
        <v>SG</v>
      </c>
      <c r="L93" s="26" t="str">
        <f t="shared" si="18"/>
        <v>DGOSE</v>
      </c>
      <c r="M93" s="26" t="str">
        <f t="shared" si="12"/>
        <v>FEDERAL</v>
      </c>
      <c r="N93" s="26">
        <v>176</v>
      </c>
      <c r="O93" s="26">
        <v>99</v>
      </c>
      <c r="P93" s="26">
        <v>77</v>
      </c>
      <c r="Q93" s="26">
        <v>6</v>
      </c>
      <c r="R93" s="26">
        <v>2</v>
      </c>
      <c r="S93" s="26">
        <v>21</v>
      </c>
      <c r="T93" s="26">
        <v>17</v>
      </c>
      <c r="U93" s="26">
        <v>40</v>
      </c>
      <c r="V93" s="26">
        <v>1</v>
      </c>
      <c r="W93" s="26" t="s">
        <v>2076</v>
      </c>
    </row>
    <row r="94" spans="1:23" x14ac:dyDescent="0.25">
      <c r="A94" s="26" t="str">
        <f t="shared" si="10"/>
        <v>SECUNDARIA</v>
      </c>
      <c r="B94" s="26" t="str">
        <f>"09DES0090Q"</f>
        <v>09DES0090Q</v>
      </c>
      <c r="C94" s="26" t="str">
        <f>"ING. JUAN GUILLERMO VILLASANA                                                                       "</f>
        <v xml:space="preserve">ING. JUAN GUILLERMO VILLASANA                                                                       </v>
      </c>
      <c r="D94" s="26" t="str">
        <f>"MATUTINO"</f>
        <v>MATUTINO</v>
      </c>
      <c r="E94" s="26" t="str">
        <f>"NORTE 33 Y ORIENTE 158                                                          "</f>
        <v xml:space="preserve">NORTE 33 Y ORIENTE 158                                                          </v>
      </c>
      <c r="F94" s="26" t="str">
        <f>"MOCTEZUMA 2A SECCION                                                                                                                        "</f>
        <v xml:space="preserve">MOCTEZUMA 2A SECCION                                                                                                                        </v>
      </c>
      <c r="G94" s="26" t="str">
        <f>"VENUSTIANO CARRANZA                                                             "</f>
        <v xml:space="preserve">VENUSTIANO CARRANZA                                                             </v>
      </c>
      <c r="H94" s="26" t="str">
        <f>"076"</f>
        <v>076</v>
      </c>
      <c r="I94" s="26" t="str">
        <f t="shared" si="11"/>
        <v>00</v>
      </c>
      <c r="J94" s="26" t="str">
        <f>"54 "</f>
        <v xml:space="preserve">54 </v>
      </c>
      <c r="K94" s="26" t="str">
        <f t="shared" si="17"/>
        <v>SG</v>
      </c>
      <c r="L94" s="26" t="str">
        <f t="shared" si="18"/>
        <v>DGOSE</v>
      </c>
      <c r="M94" s="26" t="str">
        <f t="shared" si="12"/>
        <v>FEDERAL</v>
      </c>
      <c r="N94" s="26">
        <v>631</v>
      </c>
      <c r="O94" s="26">
        <v>289</v>
      </c>
      <c r="P94" s="26">
        <v>342</v>
      </c>
      <c r="Q94" s="26">
        <v>18</v>
      </c>
      <c r="R94" s="26">
        <v>2</v>
      </c>
      <c r="S94" s="26">
        <v>45</v>
      </c>
      <c r="T94" s="26">
        <v>29</v>
      </c>
      <c r="U94" s="26">
        <v>76</v>
      </c>
      <c r="V94" s="26">
        <v>1</v>
      </c>
      <c r="W94" s="26"/>
    </row>
    <row r="95" spans="1:23" x14ac:dyDescent="0.25">
      <c r="A95" s="26" t="str">
        <f t="shared" si="10"/>
        <v>SECUNDARIA</v>
      </c>
      <c r="B95" s="26" t="str">
        <f>"09DES0091P"</f>
        <v>09DES0091P</v>
      </c>
      <c r="C95" s="26" t="str">
        <f>"REPUBLICA DEL PERU                                                                                  "</f>
        <v xml:space="preserve">REPUBLICA DEL PERU                                                                                  </v>
      </c>
      <c r="D95" s="26" t="str">
        <f>"MATUTINO"</f>
        <v>MATUTINO</v>
      </c>
      <c r="E95" s="26" t="str">
        <f>"EMILIANO ZAPATA Y JALAPA S/N                                                    "</f>
        <v xml:space="preserve">EMILIANO ZAPATA Y JALAPA S/N                                                    </v>
      </c>
      <c r="F95" s="26" t="str">
        <f>"SAN JERONIMO LIDICE                                                                                                                         "</f>
        <v xml:space="preserve">SAN JERONIMO LIDICE                                                                                                                         </v>
      </c>
      <c r="G95" s="26" t="str">
        <f>"LA MAGDALENA CONTRERAS                                                          "</f>
        <v xml:space="preserve">LA MAGDALENA CONTRERAS                                                          </v>
      </c>
      <c r="H95" s="26" t="str">
        <f>"059"</f>
        <v>059</v>
      </c>
      <c r="I95" s="26" t="str">
        <f t="shared" si="11"/>
        <v>00</v>
      </c>
      <c r="J95" s="26" t="str">
        <f>"53 "</f>
        <v xml:space="preserve">53 </v>
      </c>
      <c r="K95" s="26" t="str">
        <f t="shared" si="17"/>
        <v>SG</v>
      </c>
      <c r="L95" s="26" t="str">
        <f t="shared" si="18"/>
        <v>DGOSE</v>
      </c>
      <c r="M95" s="26" t="str">
        <f t="shared" si="12"/>
        <v>FEDERAL</v>
      </c>
      <c r="N95" s="26">
        <v>939</v>
      </c>
      <c r="O95" s="26">
        <v>482</v>
      </c>
      <c r="P95" s="26">
        <v>457</v>
      </c>
      <c r="Q95" s="26">
        <v>18</v>
      </c>
      <c r="R95" s="26">
        <v>1</v>
      </c>
      <c r="S95" s="26">
        <v>44</v>
      </c>
      <c r="T95" s="26">
        <v>22</v>
      </c>
      <c r="U95" s="26">
        <v>67</v>
      </c>
      <c r="V95" s="26">
        <v>1</v>
      </c>
      <c r="W95" s="26"/>
    </row>
    <row r="96" spans="1:23" x14ac:dyDescent="0.25">
      <c r="A96" s="26" t="str">
        <f t="shared" si="10"/>
        <v>SECUNDARIA</v>
      </c>
      <c r="B96" s="26" t="str">
        <f>"09DES0092O"</f>
        <v>09DES0092O</v>
      </c>
      <c r="C96" s="26" t="str">
        <f>"REPUBLICA DE COSTA RICA                                                                             "</f>
        <v xml:space="preserve">REPUBLICA DE COSTA RICA                                                                             </v>
      </c>
      <c r="D96" s="26" t="str">
        <f>"MATUTINO"</f>
        <v>MATUTINO</v>
      </c>
      <c r="E96" s="26" t="str">
        <f>"ALLENDE Y SAN JOAQUIN                                                           "</f>
        <v xml:space="preserve">ALLENDE Y SAN JOAQUIN                                                           </v>
      </c>
      <c r="F96" s="26" t="str">
        <f>"ARGENTINA ANTIGUA                                                                                                                           "</f>
        <v xml:space="preserve">ARGENTINA ANTIGUA                                                                                                                           </v>
      </c>
      <c r="G96" s="26" t="str">
        <f>"MIGUEL HIDALGO                                                                  "</f>
        <v xml:space="preserve">MIGUEL HIDALGO                                                                  </v>
      </c>
      <c r="H96" s="26" t="str">
        <f>"063"</f>
        <v>063</v>
      </c>
      <c r="I96" s="26" t="str">
        <f t="shared" si="11"/>
        <v>00</v>
      </c>
      <c r="J96" s="26" t="str">
        <f>"51 "</f>
        <v xml:space="preserve">51 </v>
      </c>
      <c r="K96" s="26" t="str">
        <f t="shared" si="17"/>
        <v>SG</v>
      </c>
      <c r="L96" s="26" t="str">
        <f t="shared" si="18"/>
        <v>DGOSE</v>
      </c>
      <c r="M96" s="26" t="str">
        <f t="shared" si="12"/>
        <v>FEDERAL</v>
      </c>
      <c r="N96" s="26">
        <v>492</v>
      </c>
      <c r="O96" s="26">
        <v>257</v>
      </c>
      <c r="P96" s="26">
        <v>235</v>
      </c>
      <c r="Q96" s="26">
        <v>12</v>
      </c>
      <c r="R96" s="26">
        <v>2</v>
      </c>
      <c r="S96" s="26">
        <v>27</v>
      </c>
      <c r="T96" s="26">
        <v>21</v>
      </c>
      <c r="U96" s="26">
        <v>50</v>
      </c>
      <c r="V96" s="26">
        <v>1</v>
      </c>
      <c r="W96" s="26"/>
    </row>
    <row r="97" spans="1:23" x14ac:dyDescent="0.25">
      <c r="A97" s="26" t="str">
        <f t="shared" si="10"/>
        <v>SECUNDARIA</v>
      </c>
      <c r="B97" s="26" t="str">
        <f>"09DES0093N"</f>
        <v>09DES0093N</v>
      </c>
      <c r="C97" s="26" t="str">
        <f>"MARTIN LUIS GUZMAN                                                                                  "</f>
        <v xml:space="preserve">MARTIN LUIS GUZMAN                                                                                  </v>
      </c>
      <c r="D97" s="26" t="str">
        <f>"JORNADA AMPLIADA"</f>
        <v>JORNADA AMPLIADA</v>
      </c>
      <c r="E97" s="26" t="str">
        <f>"AV SAN JUAN DE ARAGON Y GRAN CANAL                                              "</f>
        <v xml:space="preserve">AV SAN JUAN DE ARAGON Y GRAN CANAL                                              </v>
      </c>
      <c r="F97" s="26" t="str">
        <f>"SAN PEDRO EL CHICO                                                                                                                          "</f>
        <v xml:space="preserve">SAN PEDRO EL CHICO                                                                                                                          </v>
      </c>
      <c r="G97" s="26" t="str">
        <f>"GUSTAVO A. MADERO                                                               "</f>
        <v xml:space="preserve">GUSTAVO A. MADERO                                                               </v>
      </c>
      <c r="H97" s="26" t="str">
        <f>"039"</f>
        <v>039</v>
      </c>
      <c r="I97" s="26" t="str">
        <f t="shared" si="11"/>
        <v>00</v>
      </c>
      <c r="J97" s="26" t="str">
        <f>"52 "</f>
        <v xml:space="preserve">52 </v>
      </c>
      <c r="K97" s="26" t="str">
        <f t="shared" si="17"/>
        <v>SG</v>
      </c>
      <c r="L97" s="26" t="str">
        <f t="shared" si="18"/>
        <v>DGOSE</v>
      </c>
      <c r="M97" s="26" t="str">
        <f t="shared" si="12"/>
        <v>FEDERAL</v>
      </c>
      <c r="N97" s="26">
        <v>569</v>
      </c>
      <c r="O97" s="26">
        <v>280</v>
      </c>
      <c r="P97" s="26">
        <v>289</v>
      </c>
      <c r="Q97" s="26">
        <v>15</v>
      </c>
      <c r="R97" s="26">
        <v>2</v>
      </c>
      <c r="S97" s="26">
        <v>44</v>
      </c>
      <c r="T97" s="26">
        <v>32</v>
      </c>
      <c r="U97" s="26">
        <v>78</v>
      </c>
      <c r="V97" s="26">
        <v>1</v>
      </c>
      <c r="W97" s="26" t="s">
        <v>2076</v>
      </c>
    </row>
    <row r="98" spans="1:23" x14ac:dyDescent="0.25">
      <c r="A98" s="26" t="str">
        <f t="shared" si="10"/>
        <v>SECUNDARIA</v>
      </c>
      <c r="B98" s="26" t="str">
        <f>"09DES0094M"</f>
        <v>09DES0094M</v>
      </c>
      <c r="C98" s="26" t="str">
        <f>"GIUSSEPPE GARIBALDI                                                                                 "</f>
        <v xml:space="preserve">GIUSSEPPE GARIBALDI                                                                                 </v>
      </c>
      <c r="D98" s="26" t="str">
        <f>"MATUTINO"</f>
        <v>MATUTINO</v>
      </c>
      <c r="E98" s="26" t="str">
        <f>"PRESA SALINILLAS Y PRESA VALSEQUILLO                                            "</f>
        <v xml:space="preserve">PRESA SALINILLAS Y PRESA VALSEQUILLO                                            </v>
      </c>
      <c r="F98" s="26" t="str">
        <f>"IRRIGACION                                                                                                                                  "</f>
        <v xml:space="preserve">IRRIGACION                                                                                                                                  </v>
      </c>
      <c r="G98" s="26" t="str">
        <f>"MIGUEL HIDALGO                                                                  "</f>
        <v xml:space="preserve">MIGUEL HIDALGO                                                                  </v>
      </c>
      <c r="H98" s="26" t="str">
        <f>"063"</f>
        <v>063</v>
      </c>
      <c r="I98" s="26" t="str">
        <f t="shared" si="11"/>
        <v>00</v>
      </c>
      <c r="J98" s="26" t="str">
        <f>"51 "</f>
        <v xml:space="preserve">51 </v>
      </c>
      <c r="K98" s="26" t="str">
        <f t="shared" si="17"/>
        <v>SG</v>
      </c>
      <c r="L98" s="26" t="str">
        <f t="shared" si="18"/>
        <v>DGOSE</v>
      </c>
      <c r="M98" s="26" t="str">
        <f t="shared" si="12"/>
        <v>FEDERAL</v>
      </c>
      <c r="N98" s="26">
        <v>823</v>
      </c>
      <c r="O98" s="26">
        <v>420</v>
      </c>
      <c r="P98" s="26">
        <v>403</v>
      </c>
      <c r="Q98" s="26">
        <v>18</v>
      </c>
      <c r="R98" s="26">
        <v>2</v>
      </c>
      <c r="S98" s="26">
        <v>42</v>
      </c>
      <c r="T98" s="26">
        <v>25</v>
      </c>
      <c r="U98" s="26">
        <v>69</v>
      </c>
      <c r="V98" s="26">
        <v>1</v>
      </c>
      <c r="W98" s="26"/>
    </row>
    <row r="99" spans="1:23" x14ac:dyDescent="0.25">
      <c r="A99" s="26" t="str">
        <f t="shared" si="10"/>
        <v>SECUNDARIA</v>
      </c>
      <c r="B99" s="26" t="str">
        <f>"09DES0095L"</f>
        <v>09DES0095L</v>
      </c>
      <c r="C99" s="26" t="str">
        <f>"VICTOR HUGO                                                                                         "</f>
        <v xml:space="preserve">VICTOR HUGO                                                                                         </v>
      </c>
      <c r="D99" s="26" t="str">
        <f>"JORNADA AMPLIADA"</f>
        <v>JORNADA AMPLIADA</v>
      </c>
      <c r="E99" s="26" t="str">
        <f>"CERRO DEL CRESTON Y CERRO MEZONTEPEC                                            "</f>
        <v xml:space="preserve">CERRO DEL CRESTON Y CERRO MEZONTEPEC                                            </v>
      </c>
      <c r="F99" s="26" t="str">
        <f>"CAMPESTRE CHURUBUSCO                                                                                                                        "</f>
        <v xml:space="preserve">CAMPESTRE CHURUBUSCO                                                                                                                        </v>
      </c>
      <c r="G99" s="26" t="str">
        <f>"COYOACAN                                                                        "</f>
        <v xml:space="preserve">COYOACAN                                                                        </v>
      </c>
      <c r="H99" s="26" t="str">
        <f>"020"</f>
        <v>020</v>
      </c>
      <c r="I99" s="26" t="str">
        <f t="shared" si="11"/>
        <v>00</v>
      </c>
      <c r="J99" s="26" t="str">
        <f>"54 "</f>
        <v xml:space="preserve">54 </v>
      </c>
      <c r="K99" s="26" t="str">
        <f t="shared" si="17"/>
        <v>SG</v>
      </c>
      <c r="L99" s="26" t="str">
        <f t="shared" si="18"/>
        <v>DGOSE</v>
      </c>
      <c r="M99" s="26" t="str">
        <f t="shared" si="12"/>
        <v>FEDERAL</v>
      </c>
      <c r="N99" s="26">
        <v>648</v>
      </c>
      <c r="O99" s="26">
        <v>320</v>
      </c>
      <c r="P99" s="26">
        <v>328</v>
      </c>
      <c r="Q99" s="26">
        <v>18</v>
      </c>
      <c r="R99" s="26">
        <v>2</v>
      </c>
      <c r="S99" s="26">
        <v>47</v>
      </c>
      <c r="T99" s="26">
        <v>24</v>
      </c>
      <c r="U99" s="26">
        <v>73</v>
      </c>
      <c r="V99" s="26">
        <v>1</v>
      </c>
      <c r="W99" s="26" t="s">
        <v>2076</v>
      </c>
    </row>
    <row r="100" spans="1:23" x14ac:dyDescent="0.25">
      <c r="A100" s="26" t="str">
        <f t="shared" si="10"/>
        <v>SECUNDARIA</v>
      </c>
      <c r="B100" s="26" t="str">
        <f>"09DES0097J"</f>
        <v>09DES0097J</v>
      </c>
      <c r="C100" s="26" t="str">
        <f>"JUAN ENRIQUE PESTALOZZI                                                                             "</f>
        <v xml:space="preserve">JUAN ENRIQUE PESTALOZZI                                                                             </v>
      </c>
      <c r="D100" s="26" t="str">
        <f>"MATUTINO"</f>
        <v>MATUTINO</v>
      </c>
      <c r="E100" s="26" t="str">
        <f>"CIENCIAS NO 76                                                                  "</f>
        <v xml:space="preserve">CIENCIAS NO 76                                                                  </v>
      </c>
      <c r="F100" s="26" t="str">
        <f>"ESCANDON                                                                                                                                    "</f>
        <v xml:space="preserve">ESCANDON                                                                                                                                    </v>
      </c>
      <c r="G100" s="26" t="str">
        <f>"MIGUEL HIDALGO                                                                  "</f>
        <v xml:space="preserve">MIGUEL HIDALGO                                                                  </v>
      </c>
      <c r="H100" s="26" t="str">
        <f>"060"</f>
        <v>060</v>
      </c>
      <c r="I100" s="26" t="str">
        <f t="shared" si="11"/>
        <v>00</v>
      </c>
      <c r="J100" s="26" t="str">
        <f>"51 "</f>
        <v xml:space="preserve">51 </v>
      </c>
      <c r="K100" s="26" t="str">
        <f t="shared" si="17"/>
        <v>SG</v>
      </c>
      <c r="L100" s="26" t="str">
        <f t="shared" si="18"/>
        <v>DGOSE</v>
      </c>
      <c r="M100" s="26" t="str">
        <f t="shared" si="12"/>
        <v>FEDERAL</v>
      </c>
      <c r="N100" s="26">
        <v>729</v>
      </c>
      <c r="O100" s="26">
        <v>391</v>
      </c>
      <c r="P100" s="26">
        <v>338</v>
      </c>
      <c r="Q100" s="26">
        <v>18</v>
      </c>
      <c r="R100" s="26">
        <v>2</v>
      </c>
      <c r="S100" s="26">
        <v>37</v>
      </c>
      <c r="T100" s="26">
        <v>24</v>
      </c>
      <c r="U100" s="26">
        <v>63</v>
      </c>
      <c r="V100" s="26">
        <v>1</v>
      </c>
      <c r="W100" s="26"/>
    </row>
    <row r="101" spans="1:23" x14ac:dyDescent="0.25">
      <c r="A101" s="26" t="str">
        <f t="shared" si="10"/>
        <v>SECUNDARIA</v>
      </c>
      <c r="B101" s="26" t="str">
        <f>"09DES0098I"</f>
        <v>09DES0098I</v>
      </c>
      <c r="C101" s="26" t="str">
        <f>"FEDERICO FROEBEL                                                                                    "</f>
        <v xml:space="preserve">FEDERICO FROEBEL                                                                                    </v>
      </c>
      <c r="D101" s="26" t="str">
        <f>"MATUTINO"</f>
        <v>MATUTINO</v>
      </c>
      <c r="E101" s="26" t="str">
        <f>"AV. 6 Y CALLE 55                                                                "</f>
        <v xml:space="preserve">AV. 6 Y CALLE 55                                                                </v>
      </c>
      <c r="F101" s="26" t="str">
        <f>"SANTA CRUZ MEYEHUALCO                                                                                                                       "</f>
        <v xml:space="preserve">SANTA CRUZ MEYEHUALCO                                                                                                                       </v>
      </c>
      <c r="G101" s="26" t="str">
        <f>"IZTAPALAPA                                                                      "</f>
        <v xml:space="preserve">IZTAPALAPA                                                                      </v>
      </c>
      <c r="H101" s="26" t="str">
        <f>"014"</f>
        <v>014</v>
      </c>
      <c r="I101" s="26" t="str">
        <f t="shared" si="11"/>
        <v>00</v>
      </c>
      <c r="J101" s="26" t="str">
        <f>"64 "</f>
        <v xml:space="preserve">64 </v>
      </c>
      <c r="K101" s="26" t="str">
        <f>"IZ"</f>
        <v>IZ</v>
      </c>
      <c r="L101" s="26" t="str">
        <f>"DGSEI"</f>
        <v>DGSEI</v>
      </c>
      <c r="M101" s="26" t="str">
        <f t="shared" si="12"/>
        <v>FEDERAL</v>
      </c>
      <c r="N101" s="26">
        <v>819</v>
      </c>
      <c r="O101" s="26">
        <v>389</v>
      </c>
      <c r="P101" s="26">
        <v>430</v>
      </c>
      <c r="Q101" s="26">
        <v>18</v>
      </c>
      <c r="R101" s="26">
        <v>4</v>
      </c>
      <c r="S101" s="26">
        <v>102</v>
      </c>
      <c r="T101" s="26">
        <v>52</v>
      </c>
      <c r="U101" s="26">
        <v>158</v>
      </c>
      <c r="V101" s="26">
        <v>1</v>
      </c>
      <c r="W101" s="26"/>
    </row>
    <row r="102" spans="1:23" x14ac:dyDescent="0.25">
      <c r="A102" s="26" t="str">
        <f t="shared" si="10"/>
        <v>SECUNDARIA</v>
      </c>
      <c r="B102" s="26" t="str">
        <f>"09DES0099H"</f>
        <v>09DES0099H</v>
      </c>
      <c r="C102" s="26" t="str">
        <f>"MARGARITA MAZA DE JUAREZ                                                                            "</f>
        <v xml:space="preserve">MARGARITA MAZA DE JUAREZ                                                                            </v>
      </c>
      <c r="D102" s="26" t="str">
        <f>"MATUTINO"</f>
        <v>MATUTINO</v>
      </c>
      <c r="E102" s="26" t="str">
        <f>"INDEPENDENCIA Y GUADALUPE VICTORIA                                              "</f>
        <v xml:space="preserve">INDEPENDENCIA Y GUADALUPE VICTORIA                                              </v>
      </c>
      <c r="F102" s="26" t="str">
        <f>"SAN FELIPE DE JESUS                                                                                                                         "</f>
        <v xml:space="preserve">SAN FELIPE DE JESUS                                                                                                                         </v>
      </c>
      <c r="G102" s="26" t="str">
        <f>"GUSTAVO A. MADERO                                                               "</f>
        <v xml:space="preserve">GUSTAVO A. MADERO                                                               </v>
      </c>
      <c r="H102" s="26" t="str">
        <f>"040"</f>
        <v>040</v>
      </c>
      <c r="I102" s="26" t="str">
        <f t="shared" si="11"/>
        <v>00</v>
      </c>
      <c r="J102" s="26" t="str">
        <f>"52 "</f>
        <v xml:space="preserve">52 </v>
      </c>
      <c r="K102" s="26" t="str">
        <f t="shared" ref="K102:K119" si="19">"SG"</f>
        <v>SG</v>
      </c>
      <c r="L102" s="26" t="str">
        <f t="shared" ref="L102:L119" si="20">"DGOSE"</f>
        <v>DGOSE</v>
      </c>
      <c r="M102" s="26" t="str">
        <f t="shared" si="12"/>
        <v>FEDERAL</v>
      </c>
      <c r="N102" s="26">
        <v>710</v>
      </c>
      <c r="O102" s="26">
        <v>313</v>
      </c>
      <c r="P102" s="26">
        <v>397</v>
      </c>
      <c r="Q102" s="26">
        <v>18</v>
      </c>
      <c r="R102" s="26">
        <v>2</v>
      </c>
      <c r="S102" s="26">
        <v>47</v>
      </c>
      <c r="T102" s="26">
        <v>28</v>
      </c>
      <c r="U102" s="26">
        <v>77</v>
      </c>
      <c r="V102" s="26">
        <v>1</v>
      </c>
      <c r="W102" s="26"/>
    </row>
    <row r="103" spans="1:23" x14ac:dyDescent="0.25">
      <c r="A103" s="26" t="str">
        <f t="shared" si="10"/>
        <v>SECUNDARIA</v>
      </c>
      <c r="B103" s="26" t="str">
        <f>"09DES0100G"</f>
        <v>09DES0100G</v>
      </c>
      <c r="C103" s="26" t="str">
        <f>"LUIS DE CAMOENS                                                                                     "</f>
        <v xml:space="preserve">LUIS DE CAMOENS                                                                                     </v>
      </c>
      <c r="D103" s="26" t="str">
        <f>"MATUTINO"</f>
        <v>MATUTINO</v>
      </c>
      <c r="E103" s="26" t="str">
        <f>"AV RIO CONSULADO NO 1553                                                        "</f>
        <v xml:space="preserve">AV RIO CONSULADO NO 1553                                                        </v>
      </c>
      <c r="F103" s="26" t="str">
        <f>"PERALVILLO                                                                                                                                  "</f>
        <v xml:space="preserve">PERALVILLO                                                                                                                                  </v>
      </c>
      <c r="G103" s="26" t="str">
        <f>"CUAUHTEMOC                                                                      "</f>
        <v xml:space="preserve">CUAUHTEMOC                                                                      </v>
      </c>
      <c r="H103" s="26" t="str">
        <f>"026"</f>
        <v>026</v>
      </c>
      <c r="I103" s="26" t="str">
        <f t="shared" si="11"/>
        <v>00</v>
      </c>
      <c r="J103" s="26" t="str">
        <f>"51 "</f>
        <v xml:space="preserve">51 </v>
      </c>
      <c r="K103" s="26" t="str">
        <f t="shared" si="19"/>
        <v>SG</v>
      </c>
      <c r="L103" s="26" t="str">
        <f t="shared" si="20"/>
        <v>DGOSE</v>
      </c>
      <c r="M103" s="26" t="str">
        <f t="shared" si="12"/>
        <v>FEDERAL</v>
      </c>
      <c r="N103" s="26">
        <v>657</v>
      </c>
      <c r="O103" s="26">
        <v>330</v>
      </c>
      <c r="P103" s="26">
        <v>327</v>
      </c>
      <c r="Q103" s="26">
        <v>18</v>
      </c>
      <c r="R103" s="26">
        <v>4</v>
      </c>
      <c r="S103" s="26">
        <v>74</v>
      </c>
      <c r="T103" s="26">
        <v>54</v>
      </c>
      <c r="U103" s="26">
        <v>132</v>
      </c>
      <c r="V103" s="26">
        <v>1</v>
      </c>
      <c r="W103" s="26"/>
    </row>
    <row r="104" spans="1:23" x14ac:dyDescent="0.25">
      <c r="A104" s="26" t="str">
        <f t="shared" si="10"/>
        <v>SECUNDARIA</v>
      </c>
      <c r="B104" s="26" t="str">
        <f>"09DES0101F"</f>
        <v>09DES0101F</v>
      </c>
      <c r="C104" s="26" t="str">
        <f>"LUDWIG VAN BEETHOVEN                                                                                "</f>
        <v xml:space="preserve">LUDWIG VAN BEETHOVEN                                                                                </v>
      </c>
      <c r="D104" s="26" t="str">
        <f>"MATUTINO"</f>
        <v>MATUTINO</v>
      </c>
      <c r="E104" s="26" t="str">
        <f>"CALZ SANTANA Y CANAL DE MIRAMONTES                                              "</f>
        <v xml:space="preserve">CALZ SANTANA Y CANAL DE MIRAMONTES                                              </v>
      </c>
      <c r="F104" s="26" t="str">
        <f>"AVANTE                                                                                                                                      "</f>
        <v xml:space="preserve">AVANTE                                                                                                                                      </v>
      </c>
      <c r="G104" s="26" t="str">
        <f>"COYOACAN                                                                        "</f>
        <v xml:space="preserve">COYOACAN                                                                        </v>
      </c>
      <c r="H104" s="26" t="str">
        <f>"020"</f>
        <v>020</v>
      </c>
      <c r="I104" s="26" t="str">
        <f t="shared" si="11"/>
        <v>00</v>
      </c>
      <c r="J104" s="26" t="str">
        <f>"54 "</f>
        <v xml:space="preserve">54 </v>
      </c>
      <c r="K104" s="26" t="str">
        <f t="shared" si="19"/>
        <v>SG</v>
      </c>
      <c r="L104" s="26" t="str">
        <f t="shared" si="20"/>
        <v>DGOSE</v>
      </c>
      <c r="M104" s="26" t="str">
        <f t="shared" si="12"/>
        <v>FEDERAL</v>
      </c>
      <c r="N104" s="26">
        <v>495</v>
      </c>
      <c r="O104" s="26">
        <v>245</v>
      </c>
      <c r="P104" s="26">
        <v>250</v>
      </c>
      <c r="Q104" s="26">
        <v>12</v>
      </c>
      <c r="R104" s="26">
        <v>2</v>
      </c>
      <c r="S104" s="26">
        <v>33</v>
      </c>
      <c r="T104" s="26">
        <v>30</v>
      </c>
      <c r="U104" s="26">
        <v>65</v>
      </c>
      <c r="V104" s="26">
        <v>1</v>
      </c>
      <c r="W104" s="26"/>
    </row>
    <row r="105" spans="1:23" x14ac:dyDescent="0.25">
      <c r="A105" s="26" t="str">
        <f t="shared" si="10"/>
        <v>SECUNDARIA</v>
      </c>
      <c r="B105" s="26" t="str">
        <f>"09DES0102E"</f>
        <v>09DES0102E</v>
      </c>
      <c r="C105" s="26" t="str">
        <f>"GENERAL FRANCISCO L URQUIZO                                                                         "</f>
        <v xml:space="preserve">GENERAL FRANCISCO L URQUIZO                                                                         </v>
      </c>
      <c r="D105" s="26" t="str">
        <f>"JORNADA AMPLIADA"</f>
        <v>JORNADA AMPLIADA</v>
      </c>
      <c r="E105" s="26" t="str">
        <f>"EJE LAZARO CARDENAS Y DR MARQUEZ                                                "</f>
        <v xml:space="preserve">EJE LAZARO CARDENAS Y DR MARQUEZ                                                </v>
      </c>
      <c r="F105" s="26" t="str">
        <f>"DOCTORES                                                                                                                                    "</f>
        <v xml:space="preserve">DOCTORES                                                                                                                                    </v>
      </c>
      <c r="G105" s="26" t="str">
        <f>"CUAUHTEMOC                                                                      "</f>
        <v xml:space="preserve">CUAUHTEMOC                                                                      </v>
      </c>
      <c r="H105" s="26" t="str">
        <f>"025"</f>
        <v>025</v>
      </c>
      <c r="I105" s="26" t="str">
        <f t="shared" si="11"/>
        <v>00</v>
      </c>
      <c r="J105" s="26" t="str">
        <f>"51 "</f>
        <v xml:space="preserve">51 </v>
      </c>
      <c r="K105" s="26" t="str">
        <f t="shared" si="19"/>
        <v>SG</v>
      </c>
      <c r="L105" s="26" t="str">
        <f t="shared" si="20"/>
        <v>DGOSE</v>
      </c>
      <c r="M105" s="26" t="str">
        <f t="shared" si="12"/>
        <v>FEDERAL</v>
      </c>
      <c r="N105" s="26">
        <v>269</v>
      </c>
      <c r="O105" s="26">
        <v>137</v>
      </c>
      <c r="P105" s="26">
        <v>132</v>
      </c>
      <c r="Q105" s="26">
        <v>10</v>
      </c>
      <c r="R105" s="26">
        <v>2</v>
      </c>
      <c r="S105" s="26">
        <v>27</v>
      </c>
      <c r="T105" s="26">
        <v>15</v>
      </c>
      <c r="U105" s="26">
        <v>44</v>
      </c>
      <c r="V105" s="26">
        <v>1</v>
      </c>
      <c r="W105" s="26" t="s">
        <v>2076</v>
      </c>
    </row>
    <row r="106" spans="1:23" x14ac:dyDescent="0.25">
      <c r="A106" s="26" t="str">
        <f t="shared" si="10"/>
        <v>SECUNDARIA</v>
      </c>
      <c r="B106" s="26" t="str">
        <f>"09DES0103D"</f>
        <v>09DES0103D</v>
      </c>
      <c r="C106" s="26" t="str">
        <f>"REPUBLICA MEXICANA                                                                                  "</f>
        <v xml:space="preserve">REPUBLICA MEXICANA                                                                                  </v>
      </c>
      <c r="D106" s="26" t="str">
        <f t="shared" ref="D106:D114" si="21">"MATUTINO"</f>
        <v>MATUTINO</v>
      </c>
      <c r="E106" s="26" t="str">
        <f>"ABRAHAM GONZALEZ NO 47                                                          "</f>
        <v xml:space="preserve">ABRAHAM GONZALEZ NO 47                                                          </v>
      </c>
      <c r="F106" s="26" t="str">
        <f>"JUAREZ                                                                                                                                      "</f>
        <v xml:space="preserve">JUAREZ                                                                                                                                      </v>
      </c>
      <c r="G106" s="26" t="str">
        <f>"CUAUHTEMOC                                                                      "</f>
        <v xml:space="preserve">CUAUHTEMOC                                                                      </v>
      </c>
      <c r="H106" s="26" t="str">
        <f>"028"</f>
        <v>028</v>
      </c>
      <c r="I106" s="26" t="str">
        <f t="shared" si="11"/>
        <v>00</v>
      </c>
      <c r="J106" s="26" t="str">
        <f>"51 "</f>
        <v xml:space="preserve">51 </v>
      </c>
      <c r="K106" s="26" t="str">
        <f t="shared" si="19"/>
        <v>SG</v>
      </c>
      <c r="L106" s="26" t="str">
        <f t="shared" si="20"/>
        <v>DGOSE</v>
      </c>
      <c r="M106" s="26" t="str">
        <f t="shared" si="12"/>
        <v>FEDERAL</v>
      </c>
      <c r="N106" s="26">
        <v>231</v>
      </c>
      <c r="O106" s="26">
        <v>138</v>
      </c>
      <c r="P106" s="26">
        <v>93</v>
      </c>
      <c r="Q106" s="26">
        <v>7</v>
      </c>
      <c r="R106" s="26">
        <v>2</v>
      </c>
      <c r="S106" s="26">
        <v>17</v>
      </c>
      <c r="T106" s="26">
        <v>14</v>
      </c>
      <c r="U106" s="26">
        <v>33</v>
      </c>
      <c r="V106" s="26">
        <v>1</v>
      </c>
      <c r="W106" s="26"/>
    </row>
    <row r="107" spans="1:23" x14ac:dyDescent="0.25">
      <c r="A107" s="26" t="str">
        <f t="shared" si="10"/>
        <v>SECUNDARIA</v>
      </c>
      <c r="B107" s="26" t="str">
        <f>"09DES0104C"</f>
        <v>09DES0104C</v>
      </c>
      <c r="C107" s="26" t="str">
        <f>"EZEQUIEL A. CHAVEZ                                                                                  "</f>
        <v xml:space="preserve">EZEQUIEL A. CHAVEZ                                                                                  </v>
      </c>
      <c r="D107" s="26" t="str">
        <f t="shared" si="21"/>
        <v>MATUTINO</v>
      </c>
      <c r="E107" s="26" t="str">
        <f>"EL 14 COBRE Y CANANEA                                                           "</f>
        <v xml:space="preserve">EL 14 COBRE Y CANANEA                                                           </v>
      </c>
      <c r="F107" s="26" t="str">
        <f>"NICOLAS BRAVO                                                                                                                               "</f>
        <v xml:space="preserve">NICOLAS BRAVO                                                                                                                               </v>
      </c>
      <c r="G107" s="26" t="str">
        <f>"VENUSTIANO CARRANZA                                                             "</f>
        <v xml:space="preserve">VENUSTIANO CARRANZA                                                             </v>
      </c>
      <c r="H107" s="26" t="str">
        <f>"074"</f>
        <v>074</v>
      </c>
      <c r="I107" s="26" t="str">
        <f t="shared" si="11"/>
        <v>00</v>
      </c>
      <c r="J107" s="26" t="str">
        <f>"54 "</f>
        <v xml:space="preserve">54 </v>
      </c>
      <c r="K107" s="26" t="str">
        <f t="shared" si="19"/>
        <v>SG</v>
      </c>
      <c r="L107" s="26" t="str">
        <f t="shared" si="20"/>
        <v>DGOSE</v>
      </c>
      <c r="M107" s="26" t="str">
        <f t="shared" si="12"/>
        <v>FEDERAL</v>
      </c>
      <c r="N107" s="26">
        <v>208</v>
      </c>
      <c r="O107" s="26">
        <v>104</v>
      </c>
      <c r="P107" s="26">
        <v>104</v>
      </c>
      <c r="Q107" s="26">
        <v>7</v>
      </c>
      <c r="R107" s="26">
        <v>2</v>
      </c>
      <c r="S107" s="26">
        <v>19</v>
      </c>
      <c r="T107" s="26">
        <v>17</v>
      </c>
      <c r="U107" s="26">
        <v>38</v>
      </c>
      <c r="V107" s="26">
        <v>1</v>
      </c>
      <c r="W107" s="26"/>
    </row>
    <row r="108" spans="1:23" x14ac:dyDescent="0.25">
      <c r="A108" s="26" t="str">
        <f t="shared" si="10"/>
        <v>SECUNDARIA</v>
      </c>
      <c r="B108" s="26" t="str">
        <f>"09DES0105B"</f>
        <v>09DES0105B</v>
      </c>
      <c r="C108" s="26" t="str">
        <f>"JOSE GUADALUPE POSADA                                                                               "</f>
        <v xml:space="preserve">JOSE GUADALUPE POSADA                                                                               </v>
      </c>
      <c r="D108" s="26" t="str">
        <f t="shared" si="21"/>
        <v>MATUTINO</v>
      </c>
      <c r="E108" s="26" t="str">
        <f>"CARR SANTA ROSA SAN MATEO S/N                                                   "</f>
        <v xml:space="preserve">CARR SANTA ROSA SAN MATEO S/N                                                   </v>
      </c>
      <c r="F108" s="26" t="str">
        <f>"SANTA ROSA XOCHIAC                                                                                                                          "</f>
        <v xml:space="preserve">SANTA ROSA XOCHIAC                                                                                                                          </v>
      </c>
      <c r="G108" s="26" t="str">
        <f>"ALVARO OBREGON                                                                  "</f>
        <v xml:space="preserve">ALVARO OBREGON                                                                  </v>
      </c>
      <c r="H108" s="26" t="str">
        <f>"004"</f>
        <v>004</v>
      </c>
      <c r="I108" s="26" t="str">
        <f t="shared" si="11"/>
        <v>00</v>
      </c>
      <c r="J108" s="26" t="str">
        <f>"53 "</f>
        <v xml:space="preserve">53 </v>
      </c>
      <c r="K108" s="26" t="str">
        <f t="shared" si="19"/>
        <v>SG</v>
      </c>
      <c r="L108" s="26" t="str">
        <f t="shared" si="20"/>
        <v>DGOSE</v>
      </c>
      <c r="M108" s="26" t="str">
        <f t="shared" si="12"/>
        <v>FEDERAL</v>
      </c>
      <c r="N108" s="26">
        <v>788</v>
      </c>
      <c r="O108" s="26">
        <v>381</v>
      </c>
      <c r="P108" s="26">
        <v>407</v>
      </c>
      <c r="Q108" s="26">
        <v>17</v>
      </c>
      <c r="R108" s="26">
        <v>2</v>
      </c>
      <c r="S108" s="26">
        <v>30</v>
      </c>
      <c r="T108" s="26">
        <v>19</v>
      </c>
      <c r="U108" s="26">
        <v>51</v>
      </c>
      <c r="V108" s="26">
        <v>1</v>
      </c>
      <c r="W108" s="26"/>
    </row>
    <row r="109" spans="1:23" x14ac:dyDescent="0.25">
      <c r="A109" s="26" t="str">
        <f t="shared" si="10"/>
        <v>SECUNDARIA</v>
      </c>
      <c r="B109" s="26" t="str">
        <f>"09DES0106A"</f>
        <v>09DES0106A</v>
      </c>
      <c r="C109" s="26" t="str">
        <f>"ANTONIO BALLESTEROS USANO                                                                           "</f>
        <v xml:space="preserve">ANTONIO BALLESTEROS USANO                                                                           </v>
      </c>
      <c r="D109" s="26" t="str">
        <f t="shared" si="21"/>
        <v>MATUTINO</v>
      </c>
      <c r="E109" s="26" t="str">
        <f>"MANUEL GONZALEZ NO 32                                                           "</f>
        <v xml:space="preserve">MANUEL GONZALEZ NO 32                                                           </v>
      </c>
      <c r="F109" s="26" t="str">
        <f>"UNIDAD NONOALCO TLATELOLCO                                                                                                                  "</f>
        <v xml:space="preserve">UNIDAD NONOALCO TLATELOLCO                                                                                                                  </v>
      </c>
      <c r="G109" s="26" t="str">
        <f>"CUAUHTEMOC                                                                      "</f>
        <v xml:space="preserve">CUAUHTEMOC                                                                      </v>
      </c>
      <c r="H109" s="26" t="str">
        <f>"026"</f>
        <v>026</v>
      </c>
      <c r="I109" s="26" t="str">
        <f t="shared" si="11"/>
        <v>00</v>
      </c>
      <c r="J109" s="26" t="str">
        <f>"51 "</f>
        <v xml:space="preserve">51 </v>
      </c>
      <c r="K109" s="26" t="str">
        <f t="shared" si="19"/>
        <v>SG</v>
      </c>
      <c r="L109" s="26" t="str">
        <f t="shared" si="20"/>
        <v>DGOSE</v>
      </c>
      <c r="M109" s="26" t="str">
        <f t="shared" si="12"/>
        <v>FEDERAL</v>
      </c>
      <c r="N109" s="26">
        <v>384</v>
      </c>
      <c r="O109" s="26">
        <v>193</v>
      </c>
      <c r="P109" s="26">
        <v>191</v>
      </c>
      <c r="Q109" s="26">
        <v>12</v>
      </c>
      <c r="R109" s="26">
        <v>2</v>
      </c>
      <c r="S109" s="26">
        <v>28</v>
      </c>
      <c r="T109" s="26">
        <v>17</v>
      </c>
      <c r="U109" s="26">
        <v>47</v>
      </c>
      <c r="V109" s="26">
        <v>1</v>
      </c>
      <c r="W109" s="26"/>
    </row>
    <row r="110" spans="1:23" x14ac:dyDescent="0.25">
      <c r="A110" s="26" t="str">
        <f t="shared" si="10"/>
        <v>SECUNDARIA</v>
      </c>
      <c r="B110" s="26" t="str">
        <f>"09DES0107Z"</f>
        <v>09DES0107Z</v>
      </c>
      <c r="C110" s="26" t="str">
        <f>"XOCHIMILCO                                                                                          "</f>
        <v xml:space="preserve">XOCHIMILCO                                                                                          </v>
      </c>
      <c r="D110" s="26" t="str">
        <f t="shared" si="21"/>
        <v>MATUTINO</v>
      </c>
      <c r="E110" s="26" t="str">
        <f>"CUITLAHUAC Y MORELOS                                                            "</f>
        <v xml:space="preserve">CUITLAHUAC Y MORELOS                                                            </v>
      </c>
      <c r="F110" s="26" t="str">
        <f>"XALTOCAN                                                                                                                                    "</f>
        <v xml:space="preserve">XALTOCAN                                                                                                                                    </v>
      </c>
      <c r="G110" s="26" t="str">
        <f>"XOCHIMILCO                                                                      "</f>
        <v xml:space="preserve">XOCHIMILCO                                                                      </v>
      </c>
      <c r="H110" s="26" t="str">
        <f>"079"</f>
        <v>079</v>
      </c>
      <c r="I110" s="26" t="str">
        <f t="shared" si="11"/>
        <v>00</v>
      </c>
      <c r="J110" s="26" t="str">
        <f>"55 "</f>
        <v xml:space="preserve">55 </v>
      </c>
      <c r="K110" s="26" t="str">
        <f t="shared" si="19"/>
        <v>SG</v>
      </c>
      <c r="L110" s="26" t="str">
        <f t="shared" si="20"/>
        <v>DGOSE</v>
      </c>
      <c r="M110" s="26" t="str">
        <f t="shared" si="12"/>
        <v>FEDERAL</v>
      </c>
      <c r="N110" s="26">
        <v>927</v>
      </c>
      <c r="O110" s="26">
        <v>454</v>
      </c>
      <c r="P110" s="26">
        <v>473</v>
      </c>
      <c r="Q110" s="26">
        <v>19</v>
      </c>
      <c r="R110" s="26">
        <v>4</v>
      </c>
      <c r="S110" s="26">
        <v>86</v>
      </c>
      <c r="T110" s="26">
        <v>54</v>
      </c>
      <c r="U110" s="26">
        <v>144</v>
      </c>
      <c r="V110" s="26">
        <v>1</v>
      </c>
      <c r="W110" s="26"/>
    </row>
    <row r="111" spans="1:23" x14ac:dyDescent="0.25">
      <c r="A111" s="26" t="str">
        <f t="shared" si="10"/>
        <v>SECUNDARIA</v>
      </c>
      <c r="B111" s="26" t="str">
        <f>"09DES0108Z"</f>
        <v>09DES0108Z</v>
      </c>
      <c r="C111" s="26" t="str">
        <f>"BERTRAND RUSSELL                                                                                    "</f>
        <v xml:space="preserve">BERTRAND RUSSELL                                                                                    </v>
      </c>
      <c r="D111" s="26" t="str">
        <f t="shared" si="21"/>
        <v>MATUTINO</v>
      </c>
      <c r="E111" s="26" t="str">
        <f>"CAMPOS IDOLOS Y FORTUNA NACIONAL                                                "</f>
        <v xml:space="preserve">CAMPOS IDOLOS Y FORTUNA NACIONAL                                                </v>
      </c>
      <c r="F111" s="26" t="str">
        <f>"PETROLERA AMPLIACION                                                                                                                        "</f>
        <v xml:space="preserve">PETROLERA AMPLIACION                                                                                                                        </v>
      </c>
      <c r="G111" s="26" t="str">
        <f>"AZCAPOTZALCO                                                                    "</f>
        <v xml:space="preserve">AZCAPOTZALCO                                                                    </v>
      </c>
      <c r="H111" s="26" t="str">
        <f>"007"</f>
        <v>007</v>
      </c>
      <c r="I111" s="26" t="str">
        <f t="shared" si="11"/>
        <v>00</v>
      </c>
      <c r="J111" s="26" t="str">
        <f>"51 "</f>
        <v xml:space="preserve">51 </v>
      </c>
      <c r="K111" s="26" t="str">
        <f t="shared" si="19"/>
        <v>SG</v>
      </c>
      <c r="L111" s="26" t="str">
        <f t="shared" si="20"/>
        <v>DGOSE</v>
      </c>
      <c r="M111" s="26" t="str">
        <f t="shared" si="12"/>
        <v>FEDERAL</v>
      </c>
      <c r="N111" s="26">
        <v>639</v>
      </c>
      <c r="O111" s="26">
        <v>322</v>
      </c>
      <c r="P111" s="26">
        <v>317</v>
      </c>
      <c r="Q111" s="26">
        <v>18</v>
      </c>
      <c r="R111" s="26">
        <v>2</v>
      </c>
      <c r="S111" s="26">
        <v>41</v>
      </c>
      <c r="T111" s="26">
        <v>27</v>
      </c>
      <c r="U111" s="26">
        <v>70</v>
      </c>
      <c r="V111" s="26">
        <v>1</v>
      </c>
      <c r="W111" s="26"/>
    </row>
    <row r="112" spans="1:23" x14ac:dyDescent="0.25">
      <c r="A112" s="26" t="str">
        <f t="shared" si="10"/>
        <v>SECUNDARIA</v>
      </c>
      <c r="B112" s="26" t="str">
        <f>"09DES0109Y"</f>
        <v>09DES0109Y</v>
      </c>
      <c r="C112" s="26" t="str">
        <f>"LEON FELIPE                                                                                         "</f>
        <v xml:space="preserve">LEON FELIPE                                                                                         </v>
      </c>
      <c r="D112" s="26" t="str">
        <f t="shared" si="21"/>
        <v>MATUTINO</v>
      </c>
      <c r="E112" s="26" t="str">
        <f>"CALZ SAN BARTOLO NAUCALPAN Y RIO URUGUAY                                        "</f>
        <v xml:space="preserve">CALZ SAN BARTOLO NAUCALPAN Y RIO URUGUAY                                        </v>
      </c>
      <c r="F112" s="26" t="str">
        <f>"ARGENTINA PONIENTE                                                                                                                          "</f>
        <v xml:space="preserve">ARGENTINA PONIENTE                                                                                                                          </v>
      </c>
      <c r="G112" s="26" t="str">
        <f>"MIGUEL HIDALGO                                                                  "</f>
        <v xml:space="preserve">MIGUEL HIDALGO                                                                  </v>
      </c>
      <c r="H112" s="26" t="str">
        <f>"063"</f>
        <v>063</v>
      </c>
      <c r="I112" s="26" t="str">
        <f t="shared" si="11"/>
        <v>00</v>
      </c>
      <c r="J112" s="26" t="str">
        <f>"51 "</f>
        <v xml:space="preserve">51 </v>
      </c>
      <c r="K112" s="26" t="str">
        <f t="shared" si="19"/>
        <v>SG</v>
      </c>
      <c r="L112" s="26" t="str">
        <f t="shared" si="20"/>
        <v>DGOSE</v>
      </c>
      <c r="M112" s="26" t="str">
        <f t="shared" si="12"/>
        <v>FEDERAL</v>
      </c>
      <c r="N112" s="26">
        <v>673</v>
      </c>
      <c r="O112" s="26">
        <v>337</v>
      </c>
      <c r="P112" s="26">
        <v>336</v>
      </c>
      <c r="Q112" s="26">
        <v>18</v>
      </c>
      <c r="R112" s="26">
        <v>2</v>
      </c>
      <c r="S112" s="26">
        <v>42</v>
      </c>
      <c r="T112" s="26">
        <v>23</v>
      </c>
      <c r="U112" s="26">
        <v>67</v>
      </c>
      <c r="V112" s="26">
        <v>1</v>
      </c>
      <c r="W112" s="26"/>
    </row>
    <row r="113" spans="1:23" x14ac:dyDescent="0.25">
      <c r="A113" s="26" t="str">
        <f t="shared" si="10"/>
        <v>SECUNDARIA</v>
      </c>
      <c r="B113" s="26" t="str">
        <f>"09DES0110N"</f>
        <v>09DES0110N</v>
      </c>
      <c r="C113" s="26" t="str">
        <f>"MAXIMO GORKI                                                                                        "</f>
        <v xml:space="preserve">MAXIMO GORKI                                                                                        </v>
      </c>
      <c r="D113" s="26" t="str">
        <f t="shared" si="21"/>
        <v>MATUTINO</v>
      </c>
      <c r="E113" s="26" t="str">
        <f>"AV PAIS Y ESCUADRON 201                                                         "</f>
        <v xml:space="preserve">AV PAIS Y ESCUADRON 201                                                         </v>
      </c>
      <c r="F113" s="26" t="str">
        <f>"TICOMAN                                                                                                                                     "</f>
        <v xml:space="preserve">TICOMAN                                                                                                                                     </v>
      </c>
      <c r="G113" s="26" t="str">
        <f>"GUSTAVO A. MADERO                                                               "</f>
        <v xml:space="preserve">GUSTAVO A. MADERO                                                               </v>
      </c>
      <c r="H113" s="26" t="str">
        <f>"035"</f>
        <v>035</v>
      </c>
      <c r="I113" s="26" t="str">
        <f t="shared" si="11"/>
        <v>00</v>
      </c>
      <c r="J113" s="26" t="str">
        <f>"52 "</f>
        <v xml:space="preserve">52 </v>
      </c>
      <c r="K113" s="26" t="str">
        <f t="shared" si="19"/>
        <v>SG</v>
      </c>
      <c r="L113" s="26" t="str">
        <f t="shared" si="20"/>
        <v>DGOSE</v>
      </c>
      <c r="M113" s="26" t="str">
        <f t="shared" si="12"/>
        <v>FEDERAL</v>
      </c>
      <c r="N113" s="26">
        <v>554</v>
      </c>
      <c r="O113" s="26">
        <v>266</v>
      </c>
      <c r="P113" s="26">
        <v>288</v>
      </c>
      <c r="Q113" s="26">
        <v>18</v>
      </c>
      <c r="R113" s="26">
        <v>2</v>
      </c>
      <c r="S113" s="26">
        <v>45</v>
      </c>
      <c r="T113" s="26">
        <v>27</v>
      </c>
      <c r="U113" s="26">
        <v>74</v>
      </c>
      <c r="V113" s="26">
        <v>1</v>
      </c>
      <c r="W113" s="26"/>
    </row>
    <row r="114" spans="1:23" x14ac:dyDescent="0.25">
      <c r="A114" s="26" t="str">
        <f t="shared" si="10"/>
        <v>SECUNDARIA</v>
      </c>
      <c r="B114" s="26" t="str">
        <f>"09DES0111M"</f>
        <v>09DES0111M</v>
      </c>
      <c r="C114" s="26" t="str">
        <f>"ALEJANDRO VON HUMBOLDT                                                                              "</f>
        <v xml:space="preserve">ALEJANDRO VON HUMBOLDT                                                                              </v>
      </c>
      <c r="D114" s="26" t="str">
        <f t="shared" si="21"/>
        <v>MATUTINO</v>
      </c>
      <c r="E114" s="26" t="str">
        <f>"AV SANTA LUCIA Y CALLE 27                                                       "</f>
        <v xml:space="preserve">AV SANTA LUCIA Y CALLE 27                                                       </v>
      </c>
      <c r="F114" s="26" t="str">
        <f>"OLIVAR DEL CONDE 1A SECCION                                                                                                                 "</f>
        <v xml:space="preserve">OLIVAR DEL CONDE 1A SECCION                                                                                                                 </v>
      </c>
      <c r="G114" s="26" t="str">
        <f>"ALVARO OBREGON                                                                  "</f>
        <v xml:space="preserve">ALVARO OBREGON                                                                  </v>
      </c>
      <c r="H114" s="26" t="str">
        <f>"003"</f>
        <v>003</v>
      </c>
      <c r="I114" s="26" t="str">
        <f t="shared" si="11"/>
        <v>00</v>
      </c>
      <c r="J114" s="26" t="str">
        <f>"53 "</f>
        <v xml:space="preserve">53 </v>
      </c>
      <c r="K114" s="26" t="str">
        <f t="shared" si="19"/>
        <v>SG</v>
      </c>
      <c r="L114" s="26" t="str">
        <f t="shared" si="20"/>
        <v>DGOSE</v>
      </c>
      <c r="M114" s="26" t="str">
        <f t="shared" si="12"/>
        <v>FEDERAL</v>
      </c>
      <c r="N114" s="26">
        <v>877</v>
      </c>
      <c r="O114" s="26">
        <v>444</v>
      </c>
      <c r="P114" s="26">
        <v>433</v>
      </c>
      <c r="Q114" s="26">
        <v>18</v>
      </c>
      <c r="R114" s="26">
        <v>2</v>
      </c>
      <c r="S114" s="26">
        <v>37</v>
      </c>
      <c r="T114" s="26">
        <v>23</v>
      </c>
      <c r="U114" s="26">
        <v>62</v>
      </c>
      <c r="V114" s="26">
        <v>1</v>
      </c>
      <c r="W114" s="26"/>
    </row>
    <row r="115" spans="1:23" x14ac:dyDescent="0.25">
      <c r="A115" s="26" t="str">
        <f t="shared" si="10"/>
        <v>SECUNDARIA</v>
      </c>
      <c r="B115" s="26" t="str">
        <f>"09DES0112L"</f>
        <v>09DES0112L</v>
      </c>
      <c r="C115" s="26" t="str">
        <f>"GENERAL IGNACIO ZARAGOZA                                                                            "</f>
        <v xml:space="preserve">GENERAL IGNACIO ZARAGOZA                                                                            </v>
      </c>
      <c r="D115" s="26" t="str">
        <f>"JORNADA AMPLIADA"</f>
        <v>JORNADA AMPLIADA</v>
      </c>
      <c r="E115" s="26" t="str">
        <f>"SUR 79 Y SUR 81                                                                 "</f>
        <v xml:space="preserve">SUR 79 Y SUR 81                                                                 </v>
      </c>
      <c r="F115" s="26" t="str">
        <f>"MERCED BALBUENA                                                                                                                             "</f>
        <v xml:space="preserve">MERCED BALBUENA                                                                                                                             </v>
      </c>
      <c r="G115" s="26" t="str">
        <f>"VENUSTIANO CARRANZA                                                             "</f>
        <v xml:space="preserve">VENUSTIANO CARRANZA                                                             </v>
      </c>
      <c r="H115" s="26" t="str">
        <f>"075"</f>
        <v>075</v>
      </c>
      <c r="I115" s="26" t="str">
        <f t="shared" si="11"/>
        <v>00</v>
      </c>
      <c r="J115" s="26" t="str">
        <f>"54 "</f>
        <v xml:space="preserve">54 </v>
      </c>
      <c r="K115" s="26" t="str">
        <f t="shared" si="19"/>
        <v>SG</v>
      </c>
      <c r="L115" s="26" t="str">
        <f t="shared" si="20"/>
        <v>DGOSE</v>
      </c>
      <c r="M115" s="26" t="str">
        <f t="shared" si="12"/>
        <v>FEDERAL</v>
      </c>
      <c r="N115" s="26">
        <v>213</v>
      </c>
      <c r="O115" s="26">
        <v>129</v>
      </c>
      <c r="P115" s="26">
        <v>84</v>
      </c>
      <c r="Q115" s="26">
        <v>7</v>
      </c>
      <c r="R115" s="26">
        <v>2</v>
      </c>
      <c r="S115" s="26">
        <v>25</v>
      </c>
      <c r="T115" s="26">
        <v>21</v>
      </c>
      <c r="U115" s="26">
        <v>48</v>
      </c>
      <c r="V115" s="26">
        <v>1</v>
      </c>
      <c r="W115" s="26" t="s">
        <v>2076</v>
      </c>
    </row>
    <row r="116" spans="1:23" x14ac:dyDescent="0.25">
      <c r="A116" s="26" t="str">
        <f t="shared" si="10"/>
        <v>SECUNDARIA</v>
      </c>
      <c r="B116" s="26" t="str">
        <f>"09DES0113K"</f>
        <v>09DES0113K</v>
      </c>
      <c r="C116" s="26" t="str">
        <f>"PROFR. FRANCISCO NICODEMO                                                                           "</f>
        <v xml:space="preserve">PROFR. FRANCISCO NICODEMO                                                                           </v>
      </c>
      <c r="D116" s="26" t="str">
        <f>"JORNADA AMPLIADA"</f>
        <v>JORNADA AMPLIADA</v>
      </c>
      <c r="E116" s="26" t="str">
        <f>"AV SANTA CRUZ S/N                                                               "</f>
        <v xml:space="preserve">AV SANTA CRUZ S/N                                                               </v>
      </c>
      <c r="F116" s="26" t="str">
        <f>"JUVENTINO ROSAS                                                                                                                             "</f>
        <v xml:space="preserve">JUVENTINO ROSAS                                                                                                                             </v>
      </c>
      <c r="G116" s="26" t="str">
        <f>"IZTACALCO                                                                       "</f>
        <v xml:space="preserve">IZTACALCO                                                                       </v>
      </c>
      <c r="H116" s="26" t="str">
        <f>"044"</f>
        <v>044</v>
      </c>
      <c r="I116" s="26" t="str">
        <f t="shared" si="11"/>
        <v>00</v>
      </c>
      <c r="J116" s="26" t="str">
        <f>"54 "</f>
        <v xml:space="preserve">54 </v>
      </c>
      <c r="K116" s="26" t="str">
        <f t="shared" si="19"/>
        <v>SG</v>
      </c>
      <c r="L116" s="26" t="str">
        <f t="shared" si="20"/>
        <v>DGOSE</v>
      </c>
      <c r="M116" s="26" t="str">
        <f t="shared" si="12"/>
        <v>FEDERAL</v>
      </c>
      <c r="N116" s="26">
        <v>417</v>
      </c>
      <c r="O116" s="26">
        <v>207</v>
      </c>
      <c r="P116" s="26">
        <v>210</v>
      </c>
      <c r="Q116" s="26">
        <v>12</v>
      </c>
      <c r="R116" s="26">
        <v>2</v>
      </c>
      <c r="S116" s="26">
        <v>36</v>
      </c>
      <c r="T116" s="26">
        <v>22</v>
      </c>
      <c r="U116" s="26">
        <v>60</v>
      </c>
      <c r="V116" s="26">
        <v>1</v>
      </c>
      <c r="W116" s="26" t="s">
        <v>2076</v>
      </c>
    </row>
    <row r="117" spans="1:23" x14ac:dyDescent="0.25">
      <c r="A117" s="26" t="str">
        <f t="shared" si="10"/>
        <v>SECUNDARIA</v>
      </c>
      <c r="B117" s="26" t="str">
        <f>"09DES0114J"</f>
        <v>09DES0114J</v>
      </c>
      <c r="C117" s="26" t="str">
        <f>"RAFAEL RAMIREZ                                                                                      "</f>
        <v xml:space="preserve">RAFAEL RAMIREZ                                                                                      </v>
      </c>
      <c r="D117" s="26" t="str">
        <f>"JORNADA AMPLIADA"</f>
        <v>JORNADA AMPLIADA</v>
      </c>
      <c r="E117" s="26" t="str">
        <f>"SAN ANTONIO ABAD NO 38                                                          "</f>
        <v xml:space="preserve">SAN ANTONIO ABAD NO 38                                                          </v>
      </c>
      <c r="F117" s="26" t="str">
        <f>"TRANSITO                                                                                                                                    "</f>
        <v xml:space="preserve">TRANSITO                                                                                                                                    </v>
      </c>
      <c r="G117" s="26" t="str">
        <f>"CUAUHTEMOC                                                                      "</f>
        <v xml:space="preserve">CUAUHTEMOC                                                                      </v>
      </c>
      <c r="H117" s="26" t="str">
        <f>"025"</f>
        <v>025</v>
      </c>
      <c r="I117" s="26" t="str">
        <f t="shared" si="11"/>
        <v>00</v>
      </c>
      <c r="J117" s="26" t="str">
        <f>"51 "</f>
        <v xml:space="preserve">51 </v>
      </c>
      <c r="K117" s="26" t="str">
        <f t="shared" si="19"/>
        <v>SG</v>
      </c>
      <c r="L117" s="26" t="str">
        <f t="shared" si="20"/>
        <v>DGOSE</v>
      </c>
      <c r="M117" s="26" t="str">
        <f t="shared" si="12"/>
        <v>FEDERAL</v>
      </c>
      <c r="N117" s="26">
        <v>231</v>
      </c>
      <c r="O117" s="26">
        <v>152</v>
      </c>
      <c r="P117" s="26">
        <v>79</v>
      </c>
      <c r="Q117" s="26">
        <v>9</v>
      </c>
      <c r="R117" s="26">
        <v>2</v>
      </c>
      <c r="S117" s="26">
        <v>28</v>
      </c>
      <c r="T117" s="26">
        <v>16</v>
      </c>
      <c r="U117" s="26">
        <v>46</v>
      </c>
      <c r="V117" s="26">
        <v>1</v>
      </c>
      <c r="W117" s="26" t="s">
        <v>2076</v>
      </c>
    </row>
    <row r="118" spans="1:23" x14ac:dyDescent="0.25">
      <c r="A118" s="26" t="str">
        <f t="shared" si="10"/>
        <v>SECUNDARIA</v>
      </c>
      <c r="B118" s="26" t="str">
        <f>"09DES0115I"</f>
        <v>09DES0115I</v>
      </c>
      <c r="C118" s="26" t="str">
        <f>"IVAN PETROVICH PAVLOV                                                                               "</f>
        <v xml:space="preserve">IVAN PETROVICH PAVLOV                                                                               </v>
      </c>
      <c r="D118" s="26" t="str">
        <f>"JORNADA AMPLIADA"</f>
        <v>JORNADA AMPLIADA</v>
      </c>
      <c r="E118" s="26" t="str">
        <f>"ANTONIO VALERIANO Y CALLE 30 S/N                                                "</f>
        <v xml:space="preserve">ANTONIO VALERIANO Y CALLE 30 S/N                                                </v>
      </c>
      <c r="F118" s="26" t="str">
        <f>"PORVENIR                                                                                                                                    "</f>
        <v xml:space="preserve">PORVENIR                                                                                                                                    </v>
      </c>
      <c r="G118" s="26" t="str">
        <f>"AZCAPOTZALCO                                                                    "</f>
        <v xml:space="preserve">AZCAPOTZALCO                                                                    </v>
      </c>
      <c r="H118" s="26" t="str">
        <f>"010"</f>
        <v>010</v>
      </c>
      <c r="I118" s="26" t="str">
        <f t="shared" si="11"/>
        <v>00</v>
      </c>
      <c r="J118" s="26" t="str">
        <f>"51 "</f>
        <v xml:space="preserve">51 </v>
      </c>
      <c r="K118" s="26" t="str">
        <f t="shared" si="19"/>
        <v>SG</v>
      </c>
      <c r="L118" s="26" t="str">
        <f t="shared" si="20"/>
        <v>DGOSE</v>
      </c>
      <c r="M118" s="26" t="str">
        <f t="shared" si="12"/>
        <v>FEDERAL</v>
      </c>
      <c r="N118" s="26">
        <v>473</v>
      </c>
      <c r="O118" s="26">
        <v>254</v>
      </c>
      <c r="P118" s="26">
        <v>219</v>
      </c>
      <c r="Q118" s="26">
        <v>17</v>
      </c>
      <c r="R118" s="26">
        <v>2</v>
      </c>
      <c r="S118" s="26">
        <v>44</v>
      </c>
      <c r="T118" s="26">
        <v>26</v>
      </c>
      <c r="U118" s="26">
        <v>72</v>
      </c>
      <c r="V118" s="26">
        <v>1</v>
      </c>
      <c r="W118" s="26" t="s">
        <v>2076</v>
      </c>
    </row>
    <row r="119" spans="1:23" x14ac:dyDescent="0.25">
      <c r="A119" s="26" t="str">
        <f t="shared" si="10"/>
        <v>SECUNDARIA</v>
      </c>
      <c r="B119" s="26" t="str">
        <f>"09DES0116H"</f>
        <v>09DES0116H</v>
      </c>
      <c r="C119" s="26" t="str">
        <f>"FRANCISCO ZARCO                                                                                     "</f>
        <v xml:space="preserve">FRANCISCO ZARCO                                                                                     </v>
      </c>
      <c r="D119" s="26" t="str">
        <f>"JORNADA AMPLIADA"</f>
        <v>JORNADA AMPLIADA</v>
      </c>
      <c r="E119" s="26" t="str">
        <f>"H CONGRESO DE LA UNION Y STAND DE TIRO                                          "</f>
        <v xml:space="preserve">H CONGRESO DE LA UNION Y STAND DE TIRO                                          </v>
      </c>
      <c r="F119" s="26" t="str">
        <f>"MERCED BALBUENA                                                                                                                             "</f>
        <v xml:space="preserve">MERCED BALBUENA                                                                                                                             </v>
      </c>
      <c r="G119" s="26" t="str">
        <f>"VENUSTIANO CARRANZA                                                             "</f>
        <v xml:space="preserve">VENUSTIANO CARRANZA                                                             </v>
      </c>
      <c r="H119" s="26" t="str">
        <f>"075"</f>
        <v>075</v>
      </c>
      <c r="I119" s="26" t="str">
        <f t="shared" si="11"/>
        <v>00</v>
      </c>
      <c r="J119" s="26" t="str">
        <f>"54 "</f>
        <v xml:space="preserve">54 </v>
      </c>
      <c r="K119" s="26" t="str">
        <f t="shared" si="19"/>
        <v>SG</v>
      </c>
      <c r="L119" s="26" t="str">
        <f t="shared" si="20"/>
        <v>DGOSE</v>
      </c>
      <c r="M119" s="26" t="str">
        <f t="shared" si="12"/>
        <v>FEDERAL</v>
      </c>
      <c r="N119" s="26">
        <v>422</v>
      </c>
      <c r="O119" s="26">
        <v>242</v>
      </c>
      <c r="P119" s="26">
        <v>180</v>
      </c>
      <c r="Q119" s="26">
        <v>15</v>
      </c>
      <c r="R119" s="26">
        <v>2</v>
      </c>
      <c r="S119" s="26">
        <v>35</v>
      </c>
      <c r="T119" s="26">
        <v>30</v>
      </c>
      <c r="U119" s="26">
        <v>67</v>
      </c>
      <c r="V119" s="26">
        <v>1</v>
      </c>
      <c r="W119" s="26" t="s">
        <v>2076</v>
      </c>
    </row>
    <row r="120" spans="1:23" x14ac:dyDescent="0.25">
      <c r="A120" s="26" t="str">
        <f t="shared" si="10"/>
        <v>SECUNDARIA</v>
      </c>
      <c r="B120" s="26" t="str">
        <f>"09DES0117G"</f>
        <v>09DES0117G</v>
      </c>
      <c r="C120" s="26" t="str">
        <f>"GABRIELA MISTRAL                                                                                    "</f>
        <v xml:space="preserve">GABRIELA MISTRAL                                                                                    </v>
      </c>
      <c r="D120" s="26" t="str">
        <f>"MATUTINO"</f>
        <v>MATUTINO</v>
      </c>
      <c r="E120" s="26" t="str">
        <f>"JOSE ZUBIETA NO. 54                                                             "</f>
        <v xml:space="preserve">JOSE ZUBIETA NO. 54                                                             </v>
      </c>
      <c r="F120" s="26" t="str">
        <f>"JUAN ESCUTIA                                                                                                                                "</f>
        <v xml:space="preserve">JUAN ESCUTIA                                                                                                                                </v>
      </c>
      <c r="G120" s="26" t="str">
        <f>"IZTAPALAPA                                                                      "</f>
        <v xml:space="preserve">IZTAPALAPA                                                                      </v>
      </c>
      <c r="H120" s="26" t="str">
        <f>"005"</f>
        <v>005</v>
      </c>
      <c r="I120" s="26" t="str">
        <f t="shared" si="11"/>
        <v>00</v>
      </c>
      <c r="J120" s="26" t="str">
        <f>"62 "</f>
        <v xml:space="preserve">62 </v>
      </c>
      <c r="K120" s="26" t="str">
        <f>"IZ"</f>
        <v>IZ</v>
      </c>
      <c r="L120" s="26" t="str">
        <f>"DGSEI"</f>
        <v>DGSEI</v>
      </c>
      <c r="M120" s="26" t="str">
        <f t="shared" si="12"/>
        <v>FEDERAL</v>
      </c>
      <c r="N120" s="26">
        <v>786</v>
      </c>
      <c r="O120" s="26">
        <v>357</v>
      </c>
      <c r="P120" s="26">
        <v>429</v>
      </c>
      <c r="Q120" s="26">
        <v>18</v>
      </c>
      <c r="R120" s="26">
        <v>1</v>
      </c>
      <c r="S120" s="26">
        <v>51</v>
      </c>
      <c r="T120" s="26">
        <v>30</v>
      </c>
      <c r="U120" s="26">
        <v>82</v>
      </c>
      <c r="V120" s="26">
        <v>1</v>
      </c>
      <c r="W120" s="26"/>
    </row>
    <row r="121" spans="1:23" x14ac:dyDescent="0.25">
      <c r="A121" s="26" t="str">
        <f t="shared" si="10"/>
        <v>SECUNDARIA</v>
      </c>
      <c r="B121" s="26" t="str">
        <f>"09DES0118F"</f>
        <v>09DES0118F</v>
      </c>
      <c r="C121" s="26" t="str">
        <f>"REPUBLICA POPULAR CHINA                                                                             "</f>
        <v xml:space="preserve">REPUBLICA POPULAR CHINA                                                                             </v>
      </c>
      <c r="D121" s="26" t="str">
        <f>"MATUTINO"</f>
        <v>MATUTINO</v>
      </c>
      <c r="E121" s="26" t="str">
        <f>"AV. SAN LORENZO Y PROGRESO                                                      "</f>
        <v xml:space="preserve">AV. SAN LORENZO Y PROGRESO                                                      </v>
      </c>
      <c r="F121" s="26" t="str">
        <f>"SAN LORENZO TEZONCO                                                                                                                         "</f>
        <v xml:space="preserve">SAN LORENZO TEZONCO                                                                                                                         </v>
      </c>
      <c r="G121" s="26" t="str">
        <f>"IZTAPALAPA                                                                      "</f>
        <v xml:space="preserve">IZTAPALAPA                                                                      </v>
      </c>
      <c r="H121" s="26" t="str">
        <f>"012"</f>
        <v>012</v>
      </c>
      <c r="I121" s="26" t="str">
        <f t="shared" si="11"/>
        <v>00</v>
      </c>
      <c r="J121" s="26" t="str">
        <f>"63 "</f>
        <v xml:space="preserve">63 </v>
      </c>
      <c r="K121" s="26" t="str">
        <f>"IZ"</f>
        <v>IZ</v>
      </c>
      <c r="L121" s="26" t="str">
        <f>"DGSEI"</f>
        <v>DGSEI</v>
      </c>
      <c r="M121" s="26" t="str">
        <f t="shared" si="12"/>
        <v>FEDERAL</v>
      </c>
      <c r="N121" s="26">
        <v>736</v>
      </c>
      <c r="O121" s="26">
        <v>366</v>
      </c>
      <c r="P121" s="26">
        <v>370</v>
      </c>
      <c r="Q121" s="26">
        <v>18</v>
      </c>
      <c r="R121" s="26">
        <v>2</v>
      </c>
      <c r="S121" s="26">
        <v>44</v>
      </c>
      <c r="T121" s="26">
        <v>25</v>
      </c>
      <c r="U121" s="26">
        <v>71</v>
      </c>
      <c r="V121" s="26">
        <v>1</v>
      </c>
      <c r="W121" s="26"/>
    </row>
    <row r="122" spans="1:23" x14ac:dyDescent="0.25">
      <c r="A122" s="26" t="str">
        <f t="shared" si="10"/>
        <v>SECUNDARIA</v>
      </c>
      <c r="B122" s="26" t="str">
        <f>"09DES0119E"</f>
        <v>09DES0119E</v>
      </c>
      <c r="C122" s="26" t="str">
        <f>"CUITLAHUAC                                                                                          "</f>
        <v xml:space="preserve">CUITLAHUAC                                                                                          </v>
      </c>
      <c r="D122" s="26" t="str">
        <f>"JORNADA AMPLIADA"</f>
        <v>JORNADA AMPLIADA</v>
      </c>
      <c r="E122" s="26" t="str">
        <f>"PALACIO S/N                                                                     "</f>
        <v xml:space="preserve">PALACIO S/N                                                                     </v>
      </c>
      <c r="F122" s="26" t="str">
        <f>"LA ASUNCION                                                                                                                                 "</f>
        <v xml:space="preserve">LA ASUNCION                                                                                                                                 </v>
      </c>
      <c r="G122" s="26" t="str">
        <f>"IZTAPALAPA                                                                      "</f>
        <v xml:space="preserve">IZTAPALAPA                                                                      </v>
      </c>
      <c r="H122" s="26" t="str">
        <f>"001"</f>
        <v>001</v>
      </c>
      <c r="I122" s="26" t="str">
        <f t="shared" si="11"/>
        <v>00</v>
      </c>
      <c r="J122" s="26" t="str">
        <f>"61 "</f>
        <v xml:space="preserve">61 </v>
      </c>
      <c r="K122" s="26" t="str">
        <f>"IZ"</f>
        <v>IZ</v>
      </c>
      <c r="L122" s="26" t="str">
        <f>"DGSEI"</f>
        <v>DGSEI</v>
      </c>
      <c r="M122" s="26" t="str">
        <f t="shared" si="12"/>
        <v>FEDERAL</v>
      </c>
      <c r="N122" s="26">
        <v>581</v>
      </c>
      <c r="O122" s="26">
        <v>300</v>
      </c>
      <c r="P122" s="26">
        <v>281</v>
      </c>
      <c r="Q122" s="26">
        <v>18</v>
      </c>
      <c r="R122" s="26">
        <v>1</v>
      </c>
      <c r="S122" s="26">
        <v>45</v>
      </c>
      <c r="T122" s="26">
        <v>24</v>
      </c>
      <c r="U122" s="26">
        <v>70</v>
      </c>
      <c r="V122" s="26">
        <v>1</v>
      </c>
      <c r="W122" s="26" t="s">
        <v>2076</v>
      </c>
    </row>
    <row r="123" spans="1:23" x14ac:dyDescent="0.25">
      <c r="A123" s="26" t="str">
        <f t="shared" si="10"/>
        <v>SECUNDARIA</v>
      </c>
      <c r="B123" s="26" t="str">
        <f>"09DES0120U"</f>
        <v>09DES0120U</v>
      </c>
      <c r="C123" s="26" t="str">
        <f>"ROSARIO CASTELLANOS                                                                                 "</f>
        <v xml:space="preserve">ROSARIO CASTELLANOS                                                                                 </v>
      </c>
      <c r="D123" s="26" t="str">
        <f>"MATUTINO"</f>
        <v>MATUTINO</v>
      </c>
      <c r="E123" s="26" t="str">
        <f>"CALZ MAESTRO RURAL NO 57                                                        "</f>
        <v xml:space="preserve">CALZ MAESTRO RURAL NO 57                                                        </v>
      </c>
      <c r="F123" s="26" t="str">
        <f>"SANTO TOMAS                                                                                                                                 "</f>
        <v xml:space="preserve">SANTO TOMAS                                                                                                                                 </v>
      </c>
      <c r="G123" s="26" t="str">
        <f>"MIGUEL HIDALGO                                                                  "</f>
        <v xml:space="preserve">MIGUEL HIDALGO                                                                  </v>
      </c>
      <c r="H123" s="26" t="str">
        <f>"064"</f>
        <v>064</v>
      </c>
      <c r="I123" s="26" t="str">
        <f t="shared" si="11"/>
        <v>00</v>
      </c>
      <c r="J123" s="26" t="str">
        <f>"51 "</f>
        <v xml:space="preserve">51 </v>
      </c>
      <c r="K123" s="26" t="str">
        <f t="shared" ref="K123:K133" si="22">"SG"</f>
        <v>SG</v>
      </c>
      <c r="L123" s="26" t="str">
        <f t="shared" ref="L123:L133" si="23">"DGOSE"</f>
        <v>DGOSE</v>
      </c>
      <c r="M123" s="26" t="str">
        <f t="shared" si="12"/>
        <v>FEDERAL</v>
      </c>
      <c r="N123" s="26">
        <v>582</v>
      </c>
      <c r="O123" s="26">
        <v>277</v>
      </c>
      <c r="P123" s="26">
        <v>305</v>
      </c>
      <c r="Q123" s="26">
        <v>15</v>
      </c>
      <c r="R123" s="26">
        <v>2</v>
      </c>
      <c r="S123" s="26">
        <v>42</v>
      </c>
      <c r="T123" s="26">
        <v>18</v>
      </c>
      <c r="U123" s="26">
        <v>62</v>
      </c>
      <c r="V123" s="26">
        <v>1</v>
      </c>
      <c r="W123" s="26"/>
    </row>
    <row r="124" spans="1:23" x14ac:dyDescent="0.25">
      <c r="A124" s="26" t="str">
        <f t="shared" si="10"/>
        <v>SECUNDARIA</v>
      </c>
      <c r="B124" s="26" t="str">
        <f>"09DES0121T"</f>
        <v>09DES0121T</v>
      </c>
      <c r="C124" s="26" t="str">
        <f>"RABINDRANATH TAGORE                                                                                 "</f>
        <v xml:space="preserve">RABINDRANATH TAGORE                                                                                 </v>
      </c>
      <c r="D124" s="26" t="str">
        <f>"MATUTINO"</f>
        <v>MATUTINO</v>
      </c>
      <c r="E124" s="26" t="str">
        <f>"AV DE LOS MAESTROS NO 100                                                       "</f>
        <v xml:space="preserve">AV DE LOS MAESTROS NO 100                                                       </v>
      </c>
      <c r="F124" s="26" t="str">
        <f>"SANTO TOMAS                                                                                                                                 "</f>
        <v xml:space="preserve">SANTO TOMAS                                                                                                                                 </v>
      </c>
      <c r="G124" s="26" t="str">
        <f>"MIGUEL HIDALGO                                                                  "</f>
        <v xml:space="preserve">MIGUEL HIDALGO                                                                  </v>
      </c>
      <c r="H124" s="26" t="str">
        <f>"064"</f>
        <v>064</v>
      </c>
      <c r="I124" s="26" t="str">
        <f t="shared" si="11"/>
        <v>00</v>
      </c>
      <c r="J124" s="26" t="str">
        <f>"51 "</f>
        <v xml:space="preserve">51 </v>
      </c>
      <c r="K124" s="26" t="str">
        <f t="shared" si="22"/>
        <v>SG</v>
      </c>
      <c r="L124" s="26" t="str">
        <f t="shared" si="23"/>
        <v>DGOSE</v>
      </c>
      <c r="M124" s="26" t="str">
        <f t="shared" si="12"/>
        <v>FEDERAL</v>
      </c>
      <c r="N124" s="26">
        <v>591</v>
      </c>
      <c r="O124" s="26">
        <v>336</v>
      </c>
      <c r="P124" s="26">
        <v>255</v>
      </c>
      <c r="Q124" s="26">
        <v>15</v>
      </c>
      <c r="R124" s="26">
        <v>2</v>
      </c>
      <c r="S124" s="26">
        <v>35</v>
      </c>
      <c r="T124" s="26">
        <v>26</v>
      </c>
      <c r="U124" s="26">
        <v>63</v>
      </c>
      <c r="V124" s="26">
        <v>1</v>
      </c>
      <c r="W124" s="26"/>
    </row>
    <row r="125" spans="1:23" x14ac:dyDescent="0.25">
      <c r="A125" s="26" t="str">
        <f t="shared" si="10"/>
        <v>SECUNDARIA</v>
      </c>
      <c r="B125" s="26" t="str">
        <f>"09DES0122S"</f>
        <v>09DES0122S</v>
      </c>
      <c r="C125" s="26" t="str">
        <f>"BRASIL                                                                                              "</f>
        <v xml:space="preserve">BRASIL                                                                                              </v>
      </c>
      <c r="D125" s="26" t="str">
        <f>"JORNADA AMPLIADA"</f>
        <v>JORNADA AMPLIADA</v>
      </c>
      <c r="E125" s="26" t="str">
        <f>"AV 304 Y CALLE 317                                                              "</f>
        <v xml:space="preserve">AV 304 Y CALLE 317                                                              </v>
      </c>
      <c r="F125" s="26" t="str">
        <f>"NUEVA ATZACOALCO                                                                                                                            "</f>
        <v xml:space="preserve">NUEVA ATZACOALCO                                                                                                                            </v>
      </c>
      <c r="G125" s="26" t="str">
        <f>"GUSTAVO A. MADERO                                                               "</f>
        <v xml:space="preserve">GUSTAVO A. MADERO                                                               </v>
      </c>
      <c r="H125" s="26" t="str">
        <f>"040"</f>
        <v>040</v>
      </c>
      <c r="I125" s="26" t="str">
        <f t="shared" si="11"/>
        <v>00</v>
      </c>
      <c r="J125" s="26" t="str">
        <f>"52 "</f>
        <v xml:space="preserve">52 </v>
      </c>
      <c r="K125" s="26" t="str">
        <f t="shared" si="22"/>
        <v>SG</v>
      </c>
      <c r="L125" s="26" t="str">
        <f t="shared" si="23"/>
        <v>DGOSE</v>
      </c>
      <c r="M125" s="26" t="str">
        <f t="shared" si="12"/>
        <v>FEDERAL</v>
      </c>
      <c r="N125" s="26">
        <v>628</v>
      </c>
      <c r="O125" s="26">
        <v>304</v>
      </c>
      <c r="P125" s="26">
        <v>324</v>
      </c>
      <c r="Q125" s="26">
        <v>17</v>
      </c>
      <c r="R125" s="26">
        <v>2</v>
      </c>
      <c r="S125" s="26">
        <v>41</v>
      </c>
      <c r="T125" s="26">
        <v>31</v>
      </c>
      <c r="U125" s="26">
        <v>74</v>
      </c>
      <c r="V125" s="26">
        <v>1</v>
      </c>
      <c r="W125" s="26" t="s">
        <v>2076</v>
      </c>
    </row>
    <row r="126" spans="1:23" x14ac:dyDescent="0.25">
      <c r="A126" s="26" t="str">
        <f t="shared" si="10"/>
        <v>SECUNDARIA</v>
      </c>
      <c r="B126" s="26" t="str">
        <f>"09DES0123R"</f>
        <v>09DES0123R</v>
      </c>
      <c r="C126" s="26" t="str">
        <f>"REPUBLICA ARGENTINA                                                                                 "</f>
        <v xml:space="preserve">REPUBLICA ARGENTINA                                                                                 </v>
      </c>
      <c r="D126" s="26" t="str">
        <f>"JORNADA AMPLIADA"</f>
        <v>JORNADA AMPLIADA</v>
      </c>
      <c r="E126" s="26" t="str">
        <f>"AVENIDA CANAL DE APATLACO NUMERO 700                                            "</f>
        <v xml:space="preserve">AVENIDA CANAL DE APATLACO NUMERO 700                                            </v>
      </c>
      <c r="F126" s="26" t="str">
        <f>"CAMPAMENTO 2 DE OCTUBRE                                                                                                                     "</f>
        <v xml:space="preserve">CAMPAMENTO 2 DE OCTUBRE                                                                                                                     </v>
      </c>
      <c r="G126" s="26" t="str">
        <f>"IZTACALCO                                                                       "</f>
        <v xml:space="preserve">IZTACALCO                                                                       </v>
      </c>
      <c r="H126" s="26" t="str">
        <f>"045"</f>
        <v>045</v>
      </c>
      <c r="I126" s="26" t="str">
        <f t="shared" si="11"/>
        <v>00</v>
      </c>
      <c r="J126" s="26" t="str">
        <f>"54 "</f>
        <v xml:space="preserve">54 </v>
      </c>
      <c r="K126" s="26" t="str">
        <f t="shared" si="22"/>
        <v>SG</v>
      </c>
      <c r="L126" s="26" t="str">
        <f t="shared" si="23"/>
        <v>DGOSE</v>
      </c>
      <c r="M126" s="26" t="str">
        <f t="shared" si="12"/>
        <v>FEDERAL</v>
      </c>
      <c r="N126" s="26">
        <v>501</v>
      </c>
      <c r="O126" s="26">
        <v>246</v>
      </c>
      <c r="P126" s="26">
        <v>255</v>
      </c>
      <c r="Q126" s="26">
        <v>15</v>
      </c>
      <c r="R126" s="26">
        <v>2</v>
      </c>
      <c r="S126" s="26">
        <v>34</v>
      </c>
      <c r="T126" s="26">
        <v>27</v>
      </c>
      <c r="U126" s="26">
        <v>63</v>
      </c>
      <c r="V126" s="26">
        <v>1</v>
      </c>
      <c r="W126" s="26" t="s">
        <v>2076</v>
      </c>
    </row>
    <row r="127" spans="1:23" x14ac:dyDescent="0.25">
      <c r="A127" s="26" t="str">
        <f t="shared" si="10"/>
        <v>SECUNDARIA</v>
      </c>
      <c r="B127" s="26" t="str">
        <f>"09DES0124Q"</f>
        <v>09DES0124Q</v>
      </c>
      <c r="C127" s="26" t="str">
        <f>"MEXICO                                                                                              "</f>
        <v xml:space="preserve">MEXICO                                                                                              </v>
      </c>
      <c r="D127" s="26" t="str">
        <f>"MATUTINO"</f>
        <v>MATUTINO</v>
      </c>
      <c r="E127" s="26" t="str">
        <f>"AV BIOLOGO MAXIMINO MARTINEZ Y NORTE 57                                         "</f>
        <v xml:space="preserve">AV BIOLOGO MAXIMINO MARTINEZ Y NORTE 57                                         </v>
      </c>
      <c r="F127" s="26" t="str">
        <f>"OBRERO POPULAR                                                                                                                              "</f>
        <v xml:space="preserve">OBRERO POPULAR                                                                                                                              </v>
      </c>
      <c r="G127" s="26" t="str">
        <f>"AZCAPOTZALCO                                                                    "</f>
        <v xml:space="preserve">AZCAPOTZALCO                                                                    </v>
      </c>
      <c r="H127" s="26" t="str">
        <f>"009"</f>
        <v>009</v>
      </c>
      <c r="I127" s="26" t="str">
        <f t="shared" si="11"/>
        <v>00</v>
      </c>
      <c r="J127" s="26" t="str">
        <f>"51 "</f>
        <v xml:space="preserve">51 </v>
      </c>
      <c r="K127" s="26" t="str">
        <f t="shared" si="22"/>
        <v>SG</v>
      </c>
      <c r="L127" s="26" t="str">
        <f t="shared" si="23"/>
        <v>DGOSE</v>
      </c>
      <c r="M127" s="26" t="str">
        <f t="shared" si="12"/>
        <v>FEDERAL</v>
      </c>
      <c r="N127" s="26">
        <v>614</v>
      </c>
      <c r="O127" s="26">
        <v>291</v>
      </c>
      <c r="P127" s="26">
        <v>323</v>
      </c>
      <c r="Q127" s="26">
        <v>18</v>
      </c>
      <c r="R127" s="26">
        <v>2</v>
      </c>
      <c r="S127" s="26">
        <v>38</v>
      </c>
      <c r="T127" s="26">
        <v>23</v>
      </c>
      <c r="U127" s="26">
        <v>63</v>
      </c>
      <c r="V127" s="26">
        <v>1</v>
      </c>
      <c r="W127" s="26"/>
    </row>
    <row r="128" spans="1:23" x14ac:dyDescent="0.25">
      <c r="A128" s="26" t="str">
        <f t="shared" si="10"/>
        <v>SECUNDARIA</v>
      </c>
      <c r="B128" s="26" t="str">
        <f>"09DES0125P"</f>
        <v>09DES0125P</v>
      </c>
      <c r="C128" s="26" t="str">
        <f>"PABLO CASALS                                                                                        "</f>
        <v xml:space="preserve">PABLO CASALS                                                                                        </v>
      </c>
      <c r="D128" s="26" t="str">
        <f>"MATUTINO"</f>
        <v>MATUTINO</v>
      </c>
      <c r="E128" s="26" t="str">
        <f>"VIADUCTO TLALPAN Y CAMINO A TEPEPAN                                             "</f>
        <v xml:space="preserve">VIADUCTO TLALPAN Y CAMINO A TEPEPAN                                             </v>
      </c>
      <c r="F128" s="26" t="str">
        <f>"EL ARENAL TEPEPAN                                                                                                                           "</f>
        <v xml:space="preserve">EL ARENAL TEPEPAN                                                                                                                           </v>
      </c>
      <c r="G128" s="26" t="str">
        <f>"TLALPAN                                                                         "</f>
        <v xml:space="preserve">TLALPAN                                                                         </v>
      </c>
      <c r="H128" s="26" t="str">
        <f>"069"</f>
        <v>069</v>
      </c>
      <c r="I128" s="26" t="str">
        <f t="shared" si="11"/>
        <v>00</v>
      </c>
      <c r="J128" s="26" t="str">
        <f>"55 "</f>
        <v xml:space="preserve">55 </v>
      </c>
      <c r="K128" s="26" t="str">
        <f t="shared" si="22"/>
        <v>SG</v>
      </c>
      <c r="L128" s="26" t="str">
        <f t="shared" si="23"/>
        <v>DGOSE</v>
      </c>
      <c r="M128" s="26" t="str">
        <f t="shared" si="12"/>
        <v>FEDERAL</v>
      </c>
      <c r="N128" s="26">
        <v>994</v>
      </c>
      <c r="O128" s="26">
        <v>499</v>
      </c>
      <c r="P128" s="26">
        <v>495</v>
      </c>
      <c r="Q128" s="26">
        <v>20</v>
      </c>
      <c r="R128" s="26">
        <v>2</v>
      </c>
      <c r="S128" s="26">
        <v>37</v>
      </c>
      <c r="T128" s="26">
        <v>23</v>
      </c>
      <c r="U128" s="26">
        <v>62</v>
      </c>
      <c r="V128" s="26">
        <v>1</v>
      </c>
      <c r="W128" s="26"/>
    </row>
    <row r="129" spans="1:23" x14ac:dyDescent="0.25">
      <c r="A129" s="26" t="str">
        <f t="shared" si="10"/>
        <v>SECUNDARIA</v>
      </c>
      <c r="B129" s="26" t="str">
        <f>"09DES0126O"</f>
        <v>09DES0126O</v>
      </c>
      <c r="C129" s="26" t="str">
        <f>"TLAHUIZCALLI                                                                                        "</f>
        <v xml:space="preserve">TLAHUIZCALLI                                                                                        </v>
      </c>
      <c r="D129" s="26" t="str">
        <f>"MATUTINO"</f>
        <v>MATUTINO</v>
      </c>
      <c r="E129" s="26" t="str">
        <f>"AV TLAHUAC Y AQUILES SERDAN                                                     "</f>
        <v xml:space="preserve">AV TLAHUAC Y AQUILES SERDAN                                                     </v>
      </c>
      <c r="F129" s="26" t="str">
        <f>"SANTIAGO ZAPOTITLAN                                                                                                                         "</f>
        <v xml:space="preserve">SANTIAGO ZAPOTITLAN                                                                                                                         </v>
      </c>
      <c r="G129" s="26" t="str">
        <f>"TLAHUAC                                                                         "</f>
        <v xml:space="preserve">TLAHUAC                                                                         </v>
      </c>
      <c r="H129" s="26" t="str">
        <f>"067"</f>
        <v>067</v>
      </c>
      <c r="I129" s="26" t="str">
        <f t="shared" si="11"/>
        <v>00</v>
      </c>
      <c r="J129" s="26" t="str">
        <f>"55 "</f>
        <v xml:space="preserve">55 </v>
      </c>
      <c r="K129" s="26" t="str">
        <f t="shared" si="22"/>
        <v>SG</v>
      </c>
      <c r="L129" s="26" t="str">
        <f t="shared" si="23"/>
        <v>DGOSE</v>
      </c>
      <c r="M129" s="26" t="str">
        <f t="shared" si="12"/>
        <v>FEDERAL</v>
      </c>
      <c r="N129" s="26">
        <v>792</v>
      </c>
      <c r="O129" s="26">
        <v>388</v>
      </c>
      <c r="P129" s="26">
        <v>404</v>
      </c>
      <c r="Q129" s="26">
        <v>18</v>
      </c>
      <c r="R129" s="26">
        <v>2</v>
      </c>
      <c r="S129" s="26">
        <v>43</v>
      </c>
      <c r="T129" s="26">
        <v>24</v>
      </c>
      <c r="U129" s="26">
        <v>69</v>
      </c>
      <c r="V129" s="26">
        <v>1</v>
      </c>
      <c r="W129" s="26"/>
    </row>
    <row r="130" spans="1:23" x14ac:dyDescent="0.25">
      <c r="A130" s="26" t="str">
        <f t="shared" ref="A130:A193" si="24">"SECUNDARIA"</f>
        <v>SECUNDARIA</v>
      </c>
      <c r="B130" s="26" t="str">
        <f>"09DES0127N"</f>
        <v>09DES0127N</v>
      </c>
      <c r="C130" s="26" t="str">
        <f>"RAMON LOPEZ VELARDE                                                                                 "</f>
        <v xml:space="preserve">RAMON LOPEZ VELARDE                                                                                 </v>
      </c>
      <c r="D130" s="26" t="str">
        <f>"JORNADA AMPLIADA"</f>
        <v>JORNADA AMPLIADA</v>
      </c>
      <c r="E130" s="26" t="str">
        <f>"PERSEO Y OSA MAYOR                                                              "</f>
        <v xml:space="preserve">PERSEO Y OSA MAYOR                                                              </v>
      </c>
      <c r="F130" s="26" t="str">
        <f>"PRADO CHURUBUSCO                                                                                                                            "</f>
        <v xml:space="preserve">PRADO CHURUBUSCO                                                                                                                            </v>
      </c>
      <c r="G130" s="26" t="str">
        <f>"COYOACAN                                                                        "</f>
        <v xml:space="preserve">COYOACAN                                                                        </v>
      </c>
      <c r="H130" s="26" t="str">
        <f>"020"</f>
        <v>020</v>
      </c>
      <c r="I130" s="26" t="str">
        <f t="shared" ref="I130:I193" si="25">"00"</f>
        <v>00</v>
      </c>
      <c r="J130" s="26" t="str">
        <f>"54 "</f>
        <v xml:space="preserve">54 </v>
      </c>
      <c r="K130" s="26" t="str">
        <f t="shared" si="22"/>
        <v>SG</v>
      </c>
      <c r="L130" s="26" t="str">
        <f t="shared" si="23"/>
        <v>DGOSE</v>
      </c>
      <c r="M130" s="26" t="str">
        <f t="shared" ref="M130:M193" si="26">"FEDERAL"</f>
        <v>FEDERAL</v>
      </c>
      <c r="N130" s="26">
        <v>586</v>
      </c>
      <c r="O130" s="26">
        <v>294</v>
      </c>
      <c r="P130" s="26">
        <v>292</v>
      </c>
      <c r="Q130" s="26">
        <v>18</v>
      </c>
      <c r="R130" s="26">
        <v>2</v>
      </c>
      <c r="S130" s="26">
        <v>45</v>
      </c>
      <c r="T130" s="26">
        <v>20</v>
      </c>
      <c r="U130" s="26">
        <v>67</v>
      </c>
      <c r="V130" s="26">
        <v>1</v>
      </c>
      <c r="W130" s="26" t="s">
        <v>2076</v>
      </c>
    </row>
    <row r="131" spans="1:23" x14ac:dyDescent="0.25">
      <c r="A131" s="26" t="str">
        <f t="shared" si="24"/>
        <v>SECUNDARIA</v>
      </c>
      <c r="B131" s="26" t="str">
        <f>"09DES0128M"</f>
        <v>09DES0128M</v>
      </c>
      <c r="C131" s="26" t="str">
        <f>"JOSE MA. LUIS MORA                                                                                  "</f>
        <v xml:space="preserve">JOSE MA. LUIS MORA                                                                                  </v>
      </c>
      <c r="D131" s="26" t="str">
        <f>"MATUTINO"</f>
        <v>MATUTINO</v>
      </c>
      <c r="E131" s="26" t="str">
        <f>"TERMINACION ACOLHUACAN S/N                                                      "</f>
        <v xml:space="preserve">TERMINACION ACOLHUACAN S/N                                                      </v>
      </c>
      <c r="F131" s="26" t="str">
        <f>"ARENAL 4A SECCION                                                                                                                           "</f>
        <v xml:space="preserve">ARENAL 4A SECCION                                                                                                                           </v>
      </c>
      <c r="G131" s="26" t="str">
        <f>"VENUSTIANO CARRANZA                                                             "</f>
        <v xml:space="preserve">VENUSTIANO CARRANZA                                                             </v>
      </c>
      <c r="H131" s="26" t="str">
        <f>"077"</f>
        <v>077</v>
      </c>
      <c r="I131" s="26" t="str">
        <f t="shared" si="25"/>
        <v>00</v>
      </c>
      <c r="J131" s="26" t="str">
        <f>"54 "</f>
        <v xml:space="preserve">54 </v>
      </c>
      <c r="K131" s="26" t="str">
        <f t="shared" si="22"/>
        <v>SG</v>
      </c>
      <c r="L131" s="26" t="str">
        <f t="shared" si="23"/>
        <v>DGOSE</v>
      </c>
      <c r="M131" s="26" t="str">
        <f t="shared" si="26"/>
        <v>FEDERAL</v>
      </c>
      <c r="N131" s="26">
        <v>558</v>
      </c>
      <c r="O131" s="26">
        <v>291</v>
      </c>
      <c r="P131" s="26">
        <v>267</v>
      </c>
      <c r="Q131" s="26">
        <v>18</v>
      </c>
      <c r="R131" s="26">
        <v>2</v>
      </c>
      <c r="S131" s="26">
        <v>42</v>
      </c>
      <c r="T131" s="26">
        <v>29</v>
      </c>
      <c r="U131" s="26">
        <v>73</v>
      </c>
      <c r="V131" s="26">
        <v>1</v>
      </c>
      <c r="W131" s="26"/>
    </row>
    <row r="132" spans="1:23" x14ac:dyDescent="0.25">
      <c r="A132" s="26" t="str">
        <f t="shared" si="24"/>
        <v>SECUNDARIA</v>
      </c>
      <c r="B132" s="26" t="str">
        <f>"09DES0130A"</f>
        <v>09DES0130A</v>
      </c>
      <c r="C132" s="26" t="str">
        <f>"GUADALUPE CENICEROS DE ZAVALETA                                                                     "</f>
        <v xml:space="preserve">GUADALUPE CENICEROS DE ZAVALETA                                                                     </v>
      </c>
      <c r="D132" s="26" t="str">
        <f>"MATUTINO"</f>
        <v>MATUTINO</v>
      </c>
      <c r="E132" s="26" t="str">
        <f>"REY MECONETZIN ESQ MIXTECAS                                                     "</f>
        <v xml:space="preserve">REY MECONETZIN ESQ MIXTECAS                                                     </v>
      </c>
      <c r="F132" s="26" t="str">
        <f>"AJUSCO                                                                                                                                      "</f>
        <v xml:space="preserve">AJUSCO                                                                                                                                      </v>
      </c>
      <c r="G132" s="26" t="str">
        <f>"COYOACAN                                                                        "</f>
        <v xml:space="preserve">COYOACAN                                                                        </v>
      </c>
      <c r="H132" s="26" t="str">
        <f>"017"</f>
        <v>017</v>
      </c>
      <c r="I132" s="26" t="str">
        <f t="shared" si="25"/>
        <v>00</v>
      </c>
      <c r="J132" s="26" t="str">
        <f>"54 "</f>
        <v xml:space="preserve">54 </v>
      </c>
      <c r="K132" s="26" t="str">
        <f t="shared" si="22"/>
        <v>SG</v>
      </c>
      <c r="L132" s="26" t="str">
        <f t="shared" si="23"/>
        <v>DGOSE</v>
      </c>
      <c r="M132" s="26" t="str">
        <f t="shared" si="26"/>
        <v>FEDERAL</v>
      </c>
      <c r="N132" s="26">
        <v>681</v>
      </c>
      <c r="O132" s="26">
        <v>320</v>
      </c>
      <c r="P132" s="26">
        <v>361</v>
      </c>
      <c r="Q132" s="26">
        <v>18</v>
      </c>
      <c r="R132" s="26">
        <v>2</v>
      </c>
      <c r="S132" s="26">
        <v>37</v>
      </c>
      <c r="T132" s="26">
        <v>26</v>
      </c>
      <c r="U132" s="26">
        <v>65</v>
      </c>
      <c r="V132" s="26">
        <v>1</v>
      </c>
      <c r="W132" s="26"/>
    </row>
    <row r="133" spans="1:23" x14ac:dyDescent="0.25">
      <c r="A133" s="26" t="str">
        <f t="shared" si="24"/>
        <v>SECUNDARIA</v>
      </c>
      <c r="B133" s="26" t="str">
        <f>"09DES0131Z"</f>
        <v>09DES0131Z</v>
      </c>
      <c r="C133" s="26" t="str">
        <f>"BELISARIO DOMINGUEZ                                                                                 "</f>
        <v xml:space="preserve">BELISARIO DOMINGUEZ                                                                                 </v>
      </c>
      <c r="D133" s="26" t="str">
        <f>"JORNADA AMPLIADA"</f>
        <v>JORNADA AMPLIADA</v>
      </c>
      <c r="E133" s="26" t="str">
        <f>"CALLE 1-A Y 28-A                                                                "</f>
        <v xml:space="preserve">CALLE 1-A Y 28-A                                                                </v>
      </c>
      <c r="F133" s="26" t="str">
        <f>"SAN JOSE DE LA ESCALERA                                                                                                                     "</f>
        <v xml:space="preserve">SAN JOSE DE LA ESCALERA                                                                                                                     </v>
      </c>
      <c r="G133" s="26" t="str">
        <f>"GUSTAVO A. MADERO                                                               "</f>
        <v xml:space="preserve">GUSTAVO A. MADERO                                                               </v>
      </c>
      <c r="H133" s="26" t="str">
        <f>"032"</f>
        <v>032</v>
      </c>
      <c r="I133" s="26" t="str">
        <f t="shared" si="25"/>
        <v>00</v>
      </c>
      <c r="J133" s="26" t="str">
        <f>"52 "</f>
        <v xml:space="preserve">52 </v>
      </c>
      <c r="K133" s="26" t="str">
        <f t="shared" si="22"/>
        <v>SG</v>
      </c>
      <c r="L133" s="26" t="str">
        <f t="shared" si="23"/>
        <v>DGOSE</v>
      </c>
      <c r="M133" s="26" t="str">
        <f t="shared" si="26"/>
        <v>FEDERAL</v>
      </c>
      <c r="N133" s="26">
        <v>453</v>
      </c>
      <c r="O133" s="26">
        <v>211</v>
      </c>
      <c r="P133" s="26">
        <v>242</v>
      </c>
      <c r="Q133" s="26">
        <v>18</v>
      </c>
      <c r="R133" s="26">
        <v>2</v>
      </c>
      <c r="S133" s="26">
        <v>39</v>
      </c>
      <c r="T133" s="26">
        <v>27</v>
      </c>
      <c r="U133" s="26">
        <v>68</v>
      </c>
      <c r="V133" s="26">
        <v>1</v>
      </c>
      <c r="W133" s="26" t="s">
        <v>2076</v>
      </c>
    </row>
    <row r="134" spans="1:23" x14ac:dyDescent="0.25">
      <c r="A134" s="26" t="str">
        <f t="shared" si="24"/>
        <v>SECUNDARIA</v>
      </c>
      <c r="B134" s="26" t="str">
        <f>"09DES0132Z"</f>
        <v>09DES0132Z</v>
      </c>
      <c r="C134" s="26" t="str">
        <f>"JAPON                                                                                               "</f>
        <v xml:space="preserve">JAPON                                                                                               </v>
      </c>
      <c r="D134" s="26" t="str">
        <f>"TIEMPO COMPLETO"</f>
        <v>TIEMPO COMPLETO</v>
      </c>
      <c r="E134" s="26" t="str">
        <f>"5 DE MAYO NO. 30 Y VERGEL                                                       "</f>
        <v xml:space="preserve">5 DE MAYO NO. 30 Y VERGEL                                                       </v>
      </c>
      <c r="F134" s="26" t="str">
        <f>"SANTA CRUZ MEYEHUALCO                                                                                                                       "</f>
        <v xml:space="preserve">SANTA CRUZ MEYEHUALCO                                                                                                                       </v>
      </c>
      <c r="G134" s="26" t="str">
        <f>"IZTAPALAPA                                                                      "</f>
        <v xml:space="preserve">IZTAPALAPA                                                                      </v>
      </c>
      <c r="H134" s="26" t="str">
        <f>"003"</f>
        <v>003</v>
      </c>
      <c r="I134" s="26" t="str">
        <f t="shared" si="25"/>
        <v>00</v>
      </c>
      <c r="J134" s="26" t="str">
        <f>"61 "</f>
        <v xml:space="preserve">61 </v>
      </c>
      <c r="K134" s="26" t="str">
        <f>"IZ"</f>
        <v>IZ</v>
      </c>
      <c r="L134" s="26" t="str">
        <f>"DGSEI"</f>
        <v>DGSEI</v>
      </c>
      <c r="M134" s="26" t="str">
        <f t="shared" si="26"/>
        <v>FEDERAL</v>
      </c>
      <c r="N134" s="26">
        <v>718</v>
      </c>
      <c r="O134" s="26">
        <v>376</v>
      </c>
      <c r="P134" s="26">
        <v>342</v>
      </c>
      <c r="Q134" s="26">
        <v>18</v>
      </c>
      <c r="R134" s="26">
        <v>1</v>
      </c>
      <c r="S134" s="26">
        <v>48</v>
      </c>
      <c r="T134" s="26">
        <v>30</v>
      </c>
      <c r="U134" s="26">
        <v>79</v>
      </c>
      <c r="V134" s="26">
        <v>1</v>
      </c>
      <c r="W134" s="26" t="s">
        <v>218</v>
      </c>
    </row>
    <row r="135" spans="1:23" x14ac:dyDescent="0.25">
      <c r="A135" s="26" t="str">
        <f t="shared" si="24"/>
        <v>SECUNDARIA</v>
      </c>
      <c r="B135" s="26" t="str">
        <f>"09DES0133Y"</f>
        <v>09DES0133Y</v>
      </c>
      <c r="C135" s="26" t="str">
        <f>"ALBERT SCHWEITZER                                                                                   "</f>
        <v xml:space="preserve">ALBERT SCHWEITZER                                                                                   </v>
      </c>
      <c r="D135" s="26" t="str">
        <f t="shared" ref="D135:D143" si="27">"MATUTINO"</f>
        <v>MATUTINO</v>
      </c>
      <c r="E135" s="26" t="str">
        <f>"CALLE 2 NO 44                                                                   "</f>
        <v xml:space="preserve">CALLE 2 NO 44                                                                   </v>
      </c>
      <c r="F135" s="26" t="str">
        <f>"CUCHILLA AGRICOLA PANTITLAN                                                                                                                 "</f>
        <v xml:space="preserve">CUCHILLA AGRICOLA PANTITLAN                                                                                                                 </v>
      </c>
      <c r="G135" s="26" t="str">
        <f>"IZTACALCO                                                                       "</f>
        <v xml:space="preserve">IZTACALCO                                                                       </v>
      </c>
      <c r="H135" s="26" t="str">
        <f>"046"</f>
        <v>046</v>
      </c>
      <c r="I135" s="26" t="str">
        <f t="shared" si="25"/>
        <v>00</v>
      </c>
      <c r="J135" s="26" t="str">
        <f>"54 "</f>
        <v xml:space="preserve">54 </v>
      </c>
      <c r="K135" s="26" t="str">
        <f>"SG"</f>
        <v>SG</v>
      </c>
      <c r="L135" s="26" t="str">
        <f>"DGOSE"</f>
        <v>DGOSE</v>
      </c>
      <c r="M135" s="26" t="str">
        <f t="shared" si="26"/>
        <v>FEDERAL</v>
      </c>
      <c r="N135" s="26">
        <v>600</v>
      </c>
      <c r="O135" s="26">
        <v>299</v>
      </c>
      <c r="P135" s="26">
        <v>301</v>
      </c>
      <c r="Q135" s="26">
        <v>18</v>
      </c>
      <c r="R135" s="26">
        <v>2</v>
      </c>
      <c r="S135" s="26">
        <v>39</v>
      </c>
      <c r="T135" s="26">
        <v>29</v>
      </c>
      <c r="U135" s="26">
        <v>70</v>
      </c>
      <c r="V135" s="26">
        <v>1</v>
      </c>
      <c r="W135" s="26"/>
    </row>
    <row r="136" spans="1:23" x14ac:dyDescent="0.25">
      <c r="A136" s="26" t="str">
        <f t="shared" si="24"/>
        <v>SECUNDARIA</v>
      </c>
      <c r="B136" s="26" t="str">
        <f>"09DES0134X"</f>
        <v>09DES0134X</v>
      </c>
      <c r="C136" s="26" t="str">
        <f>"LEANDRO VALLE                                                                                       "</f>
        <v xml:space="preserve">LEANDRO VALLE                                                                                       </v>
      </c>
      <c r="D136" s="26" t="str">
        <f t="shared" si="27"/>
        <v>MATUTINO</v>
      </c>
      <c r="E136" s="26" t="str">
        <f>"SUR 4 NO 290                                                                    "</f>
        <v xml:space="preserve">SUR 4 NO 290                                                                    </v>
      </c>
      <c r="F136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136" s="26" t="str">
        <f>"IZTACALCO                                                                       "</f>
        <v xml:space="preserve">IZTACALCO                                                                       </v>
      </c>
      <c r="H136" s="26" t="str">
        <f>"046"</f>
        <v>046</v>
      </c>
      <c r="I136" s="26" t="str">
        <f t="shared" si="25"/>
        <v>00</v>
      </c>
      <c r="J136" s="26" t="str">
        <f>"54 "</f>
        <v xml:space="preserve">54 </v>
      </c>
      <c r="K136" s="26" t="str">
        <f>"SG"</f>
        <v>SG</v>
      </c>
      <c r="L136" s="26" t="str">
        <f>"DGOSE"</f>
        <v>DGOSE</v>
      </c>
      <c r="M136" s="26" t="str">
        <f t="shared" si="26"/>
        <v>FEDERAL</v>
      </c>
      <c r="N136" s="26">
        <v>662</v>
      </c>
      <c r="O136" s="26">
        <v>329</v>
      </c>
      <c r="P136" s="26">
        <v>333</v>
      </c>
      <c r="Q136" s="26">
        <v>18</v>
      </c>
      <c r="R136" s="26">
        <v>2</v>
      </c>
      <c r="S136" s="26">
        <v>36</v>
      </c>
      <c r="T136" s="26">
        <v>26</v>
      </c>
      <c r="U136" s="26">
        <v>64</v>
      </c>
      <c r="V136" s="26">
        <v>1</v>
      </c>
      <c r="W136" s="26"/>
    </row>
    <row r="137" spans="1:23" x14ac:dyDescent="0.25">
      <c r="A137" s="26" t="str">
        <f t="shared" si="24"/>
        <v>SECUNDARIA</v>
      </c>
      <c r="B137" s="26" t="str">
        <f>"09DES0135W"</f>
        <v>09DES0135W</v>
      </c>
      <c r="C137" s="26" t="str">
        <f>"UNION DE REPUBLICAS SOCIALISTAS SOVIETICAS                                                          "</f>
        <v xml:space="preserve">UNION DE REPUBLICAS SOCIALISTAS SOVIETICAS                                                          </v>
      </c>
      <c r="D137" s="26" t="str">
        <f t="shared" si="27"/>
        <v>MATUTINO</v>
      </c>
      <c r="E137" s="26" t="str">
        <f>"CIENFUEGOS NO 1069                                                              "</f>
        <v xml:space="preserve">CIENFUEGOS NO 1069                                                              </v>
      </c>
      <c r="F137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137" s="26" t="str">
        <f>"GUSTAVO A. MADERO                                                               "</f>
        <v xml:space="preserve">GUSTAVO A. MADERO                                                               </v>
      </c>
      <c r="H137" s="26" t="str">
        <f>"035"</f>
        <v>035</v>
      </c>
      <c r="I137" s="26" t="str">
        <f t="shared" si="25"/>
        <v>00</v>
      </c>
      <c r="J137" s="26" t="str">
        <f>"52 "</f>
        <v xml:space="preserve">52 </v>
      </c>
      <c r="K137" s="26" t="str">
        <f>"SG"</f>
        <v>SG</v>
      </c>
      <c r="L137" s="26" t="str">
        <f>"DGOSE"</f>
        <v>DGOSE</v>
      </c>
      <c r="M137" s="26" t="str">
        <f t="shared" si="26"/>
        <v>FEDERAL</v>
      </c>
      <c r="N137" s="26">
        <v>675</v>
      </c>
      <c r="O137" s="26">
        <v>332</v>
      </c>
      <c r="P137" s="26">
        <v>343</v>
      </c>
      <c r="Q137" s="26">
        <v>18</v>
      </c>
      <c r="R137" s="26">
        <v>2</v>
      </c>
      <c r="S137" s="26">
        <v>40</v>
      </c>
      <c r="T137" s="26">
        <v>29</v>
      </c>
      <c r="U137" s="26">
        <v>71</v>
      </c>
      <c r="V137" s="26">
        <v>1</v>
      </c>
      <c r="W137" s="26"/>
    </row>
    <row r="138" spans="1:23" x14ac:dyDescent="0.25">
      <c r="A138" s="26" t="str">
        <f t="shared" si="24"/>
        <v>SECUNDARIA</v>
      </c>
      <c r="B138" s="26" t="str">
        <f>"09DES0136V"</f>
        <v>09DES0136V</v>
      </c>
      <c r="C138" s="26" t="str">
        <f>"DR. ENRIQUE GONZALEZ MARTINEZ                                                                       "</f>
        <v xml:space="preserve">DR. ENRIQUE GONZALEZ MARTINEZ                                                                       </v>
      </c>
      <c r="D138" s="26" t="str">
        <f t="shared" si="27"/>
        <v>MATUTINO</v>
      </c>
      <c r="E138" s="26" t="str">
        <f>"AV SAN JUAN Y TALISMAN                                                          "</f>
        <v xml:space="preserve">AV SAN JUAN Y TALISMAN                                                          </v>
      </c>
      <c r="F138" s="26" t="str">
        <f>"INDUSTRIAL                                                                                                                                  "</f>
        <v xml:space="preserve">INDUSTRIAL                                                                                                                                  </v>
      </c>
      <c r="G138" s="26" t="str">
        <f>"GUSTAVO A. MADERO                                                               "</f>
        <v xml:space="preserve">GUSTAVO A. MADERO                                                               </v>
      </c>
      <c r="H138" s="26" t="str">
        <f>"037"</f>
        <v>037</v>
      </c>
      <c r="I138" s="26" t="str">
        <f t="shared" si="25"/>
        <v>00</v>
      </c>
      <c r="J138" s="26" t="str">
        <f>"52 "</f>
        <v xml:space="preserve">52 </v>
      </c>
      <c r="K138" s="26" t="str">
        <f>"SG"</f>
        <v>SG</v>
      </c>
      <c r="L138" s="26" t="str">
        <f>"DGOSE"</f>
        <v>DGOSE</v>
      </c>
      <c r="M138" s="26" t="str">
        <f t="shared" si="26"/>
        <v>FEDERAL</v>
      </c>
      <c r="N138" s="26">
        <v>669</v>
      </c>
      <c r="O138" s="26">
        <v>339</v>
      </c>
      <c r="P138" s="26">
        <v>330</v>
      </c>
      <c r="Q138" s="26">
        <v>17</v>
      </c>
      <c r="R138" s="26">
        <v>2</v>
      </c>
      <c r="S138" s="26">
        <v>38</v>
      </c>
      <c r="T138" s="26">
        <v>28</v>
      </c>
      <c r="U138" s="26">
        <v>68</v>
      </c>
      <c r="V138" s="26">
        <v>1</v>
      </c>
      <c r="W138" s="26"/>
    </row>
    <row r="139" spans="1:23" x14ac:dyDescent="0.25">
      <c r="A139" s="26" t="str">
        <f t="shared" si="24"/>
        <v>SECUNDARIA</v>
      </c>
      <c r="B139" s="26" t="str">
        <f>"09DES0137U"</f>
        <v>09DES0137U</v>
      </c>
      <c r="C139" s="26" t="str">
        <f>"DELFINA HUERTA LOPEZ                                                                                "</f>
        <v xml:space="preserve">DELFINA HUERTA LOPEZ                                                                                </v>
      </c>
      <c r="D139" s="26" t="str">
        <f t="shared" si="27"/>
        <v>MATUTINO</v>
      </c>
      <c r="E139" s="26" t="str">
        <f>"GERSAYN UGARTE Y DONATO BRAVO                                                   "</f>
        <v xml:space="preserve">GERSAYN UGARTE Y DONATO BRAVO                                                   </v>
      </c>
      <c r="F139" s="26" t="str">
        <f>"CONSTITUCION 1917                                                                                                                           "</f>
        <v xml:space="preserve">CONSTITUCION 1917                                                                                                                           </v>
      </c>
      <c r="G139" s="26" t="str">
        <f>"IZTAPALAPA                                                                      "</f>
        <v xml:space="preserve">IZTAPALAPA                                                                      </v>
      </c>
      <c r="H139" s="26" t="str">
        <f>"007"</f>
        <v>007</v>
      </c>
      <c r="I139" s="26" t="str">
        <f t="shared" si="25"/>
        <v>00</v>
      </c>
      <c r="J139" s="26" t="str">
        <f>"62 "</f>
        <v xml:space="preserve">62 </v>
      </c>
      <c r="K139" s="26" t="str">
        <f>"IZ"</f>
        <v>IZ</v>
      </c>
      <c r="L139" s="26" t="str">
        <f>"DGSEI"</f>
        <v>DGSEI</v>
      </c>
      <c r="M139" s="26" t="str">
        <f t="shared" si="26"/>
        <v>FEDERAL</v>
      </c>
      <c r="N139" s="26">
        <v>790</v>
      </c>
      <c r="O139" s="26">
        <v>383</v>
      </c>
      <c r="P139" s="26">
        <v>407</v>
      </c>
      <c r="Q139" s="26">
        <v>19</v>
      </c>
      <c r="R139" s="26">
        <v>2</v>
      </c>
      <c r="S139" s="26">
        <v>47</v>
      </c>
      <c r="T139" s="26">
        <v>25</v>
      </c>
      <c r="U139" s="26">
        <v>74</v>
      </c>
      <c r="V139" s="26">
        <v>1</v>
      </c>
      <c r="W139" s="26"/>
    </row>
    <row r="140" spans="1:23" x14ac:dyDescent="0.25">
      <c r="A140" s="26" t="str">
        <f t="shared" si="24"/>
        <v>SECUNDARIA</v>
      </c>
      <c r="B140" s="26" t="str">
        <f>"09DES0138T"</f>
        <v>09DES0138T</v>
      </c>
      <c r="C140" s="26" t="str">
        <f>"ANGEL MA. GARIBAY K.                                                                                "</f>
        <v xml:space="preserve">ANGEL MA. GARIBAY K.                                                                                </v>
      </c>
      <c r="D140" s="26" t="str">
        <f t="shared" si="27"/>
        <v>MATUTINO</v>
      </c>
      <c r="E140" s="26" t="str">
        <f>"PUERTO COZUMEL Y PUERTO SALINA CRUZ                                             "</f>
        <v xml:space="preserve">PUERTO COZUMEL Y PUERTO SALINA CRUZ                                             </v>
      </c>
      <c r="F140" s="26" t="str">
        <f>"CASAS ALEMAN AMPLIACION                                                                                                                     "</f>
        <v xml:space="preserve">CASAS ALEMAN AMPLIACION                                                                                                                     </v>
      </c>
      <c r="G140" s="26" t="str">
        <f>"GUSTAVO A. MADERO                                                               "</f>
        <v xml:space="preserve">GUSTAVO A. MADERO                                                               </v>
      </c>
      <c r="H140" s="26" t="str">
        <f>"039"</f>
        <v>039</v>
      </c>
      <c r="I140" s="26" t="str">
        <f t="shared" si="25"/>
        <v>00</v>
      </c>
      <c r="J140" s="26" t="str">
        <f>"52 "</f>
        <v xml:space="preserve">52 </v>
      </c>
      <c r="K140" s="26" t="str">
        <f t="shared" ref="K140:K153" si="28">"SG"</f>
        <v>SG</v>
      </c>
      <c r="L140" s="26" t="str">
        <f t="shared" ref="L140:L153" si="29">"DGOSE"</f>
        <v>DGOSE</v>
      </c>
      <c r="M140" s="26" t="str">
        <f t="shared" si="26"/>
        <v>FEDERAL</v>
      </c>
      <c r="N140" s="26">
        <v>617</v>
      </c>
      <c r="O140" s="26">
        <v>302</v>
      </c>
      <c r="P140" s="26">
        <v>315</v>
      </c>
      <c r="Q140" s="26">
        <v>17</v>
      </c>
      <c r="R140" s="26">
        <v>2</v>
      </c>
      <c r="S140" s="26">
        <v>36</v>
      </c>
      <c r="T140" s="26">
        <v>30</v>
      </c>
      <c r="U140" s="26">
        <v>68</v>
      </c>
      <c r="V140" s="26">
        <v>1</v>
      </c>
      <c r="W140" s="26"/>
    </row>
    <row r="141" spans="1:23" x14ac:dyDescent="0.25">
      <c r="A141" s="26" t="str">
        <f t="shared" si="24"/>
        <v>SECUNDARIA</v>
      </c>
      <c r="B141" s="26" t="str">
        <f>"09DES0139S"</f>
        <v>09DES0139S</v>
      </c>
      <c r="C141" s="26" t="str">
        <f>"JOSE ENRIQUE RODO                                                                                   "</f>
        <v xml:space="preserve">JOSE ENRIQUE RODO                                                                                   </v>
      </c>
      <c r="D141" s="26" t="str">
        <f t="shared" si="27"/>
        <v>MATUTINO</v>
      </c>
      <c r="E141" s="26" t="str">
        <f>"SELVA S/N                                                                       "</f>
        <v xml:space="preserve">SELVA S/N                                                                       </v>
      </c>
      <c r="F141" s="26" t="str">
        <f>"INSURGENTES CUICUILCO                                                                                                                       "</f>
        <v xml:space="preserve">INSURGENTES CUICUILCO                                                                                                                       </v>
      </c>
      <c r="G141" s="26" t="str">
        <f>"COYOACAN                                                                        "</f>
        <v xml:space="preserve">COYOACAN                                                                        </v>
      </c>
      <c r="H141" s="26" t="str">
        <f>"017"</f>
        <v>017</v>
      </c>
      <c r="I141" s="26" t="str">
        <f t="shared" si="25"/>
        <v>00</v>
      </c>
      <c r="J141" s="26" t="str">
        <f>"54 "</f>
        <v xml:space="preserve">54 </v>
      </c>
      <c r="K141" s="26" t="str">
        <f t="shared" si="28"/>
        <v>SG</v>
      </c>
      <c r="L141" s="26" t="str">
        <f t="shared" si="29"/>
        <v>DGOSE</v>
      </c>
      <c r="M141" s="26" t="str">
        <f t="shared" si="26"/>
        <v>FEDERAL</v>
      </c>
      <c r="N141" s="26">
        <v>734</v>
      </c>
      <c r="O141" s="26">
        <v>344</v>
      </c>
      <c r="P141" s="26">
        <v>390</v>
      </c>
      <c r="Q141" s="26">
        <v>15</v>
      </c>
      <c r="R141" s="26">
        <v>2</v>
      </c>
      <c r="S141" s="26">
        <v>33</v>
      </c>
      <c r="T141" s="26">
        <v>26</v>
      </c>
      <c r="U141" s="26">
        <v>61</v>
      </c>
      <c r="V141" s="26">
        <v>1</v>
      </c>
      <c r="W141" s="26"/>
    </row>
    <row r="142" spans="1:23" x14ac:dyDescent="0.25">
      <c r="A142" s="26" t="str">
        <f t="shared" si="24"/>
        <v>SECUNDARIA</v>
      </c>
      <c r="B142" s="26" t="str">
        <f>"09DES0140H"</f>
        <v>09DES0140H</v>
      </c>
      <c r="C142" s="26" t="str">
        <f>"NETZAHUALCOYOTL                                                                                     "</f>
        <v xml:space="preserve">NETZAHUALCOYOTL                                                                                     </v>
      </c>
      <c r="D142" s="26" t="str">
        <f t="shared" si="27"/>
        <v>MATUTINO</v>
      </c>
      <c r="E142" s="26" t="str">
        <f>"AV AQUILES SERDAN Y 1RA PRIV AQUILES SERDAN                                     "</f>
        <v xml:space="preserve">AV AQUILES SERDAN Y 1RA PRIV AQUILES SERDAN                                     </v>
      </c>
      <c r="F142" s="26" t="str">
        <f>"SANTO DOMINGO                                                                                                                               "</f>
        <v xml:space="preserve">SANTO DOMINGO                                                                                                                               </v>
      </c>
      <c r="G142" s="26" t="str">
        <f>"AZCAPOTZALCO                                                                    "</f>
        <v xml:space="preserve">AZCAPOTZALCO                                                                    </v>
      </c>
      <c r="H142" s="26" t="str">
        <f>"008"</f>
        <v>008</v>
      </c>
      <c r="I142" s="26" t="str">
        <f t="shared" si="25"/>
        <v>00</v>
      </c>
      <c r="J142" s="26" t="str">
        <f>"51 "</f>
        <v xml:space="preserve">51 </v>
      </c>
      <c r="K142" s="26" t="str">
        <f t="shared" si="28"/>
        <v>SG</v>
      </c>
      <c r="L142" s="26" t="str">
        <f t="shared" si="29"/>
        <v>DGOSE</v>
      </c>
      <c r="M142" s="26" t="str">
        <f t="shared" si="26"/>
        <v>FEDERAL</v>
      </c>
      <c r="N142" s="26">
        <v>442</v>
      </c>
      <c r="O142" s="26">
        <v>223</v>
      </c>
      <c r="P142" s="26">
        <v>219</v>
      </c>
      <c r="Q142" s="26">
        <v>17</v>
      </c>
      <c r="R142" s="26">
        <v>2</v>
      </c>
      <c r="S142" s="26">
        <v>38</v>
      </c>
      <c r="T142" s="26">
        <v>28</v>
      </c>
      <c r="U142" s="26">
        <v>68</v>
      </c>
      <c r="V142" s="26">
        <v>1</v>
      </c>
      <c r="W142" s="26"/>
    </row>
    <row r="143" spans="1:23" x14ac:dyDescent="0.25">
      <c r="A143" s="26" t="str">
        <f t="shared" si="24"/>
        <v>SECUNDARIA</v>
      </c>
      <c r="B143" s="26" t="str">
        <f>"09DES0141G"</f>
        <v>09DES0141G</v>
      </c>
      <c r="C143" s="26" t="str">
        <f>"GUILLERMO GONZALEZ CAMARENA                                                                         "</f>
        <v xml:space="preserve">GUILLERMO GONZALEZ CAMARENA                                                                         </v>
      </c>
      <c r="D143" s="26" t="str">
        <f t="shared" si="27"/>
        <v>MATUTINO</v>
      </c>
      <c r="E143" s="26" t="s">
        <v>3985</v>
      </c>
      <c r="F143" s="26" t="str">
        <f>"UNIDAD SAN JUAN DE ARAGON                                                                                                                   "</f>
        <v xml:space="preserve">UNIDAD SAN JUAN DE ARAGON                                                                                                                   </v>
      </c>
      <c r="G143" s="26" t="str">
        <f>"GUSTAVO A. MADERO                                                               "</f>
        <v xml:space="preserve">GUSTAVO A. MADERO                                                               </v>
      </c>
      <c r="H143" s="26" t="str">
        <f>"042"</f>
        <v>042</v>
      </c>
      <c r="I143" s="26" t="str">
        <f t="shared" si="25"/>
        <v>00</v>
      </c>
      <c r="J143" s="26" t="str">
        <f>"52 "</f>
        <v xml:space="preserve">52 </v>
      </c>
      <c r="K143" s="26" t="str">
        <f t="shared" si="28"/>
        <v>SG</v>
      </c>
      <c r="L143" s="26" t="str">
        <f t="shared" si="29"/>
        <v>DGOSE</v>
      </c>
      <c r="M143" s="26" t="str">
        <f t="shared" si="26"/>
        <v>FEDERAL</v>
      </c>
      <c r="N143" s="26">
        <v>648</v>
      </c>
      <c r="O143" s="26">
        <v>301</v>
      </c>
      <c r="P143" s="26">
        <v>347</v>
      </c>
      <c r="Q143" s="26">
        <v>18</v>
      </c>
      <c r="R143" s="26">
        <v>2</v>
      </c>
      <c r="S143" s="26">
        <v>44</v>
      </c>
      <c r="T143" s="26">
        <v>28</v>
      </c>
      <c r="U143" s="26">
        <v>74</v>
      </c>
      <c r="V143" s="26">
        <v>1</v>
      </c>
      <c r="W143" s="26"/>
    </row>
    <row r="144" spans="1:23" x14ac:dyDescent="0.25">
      <c r="A144" s="26" t="str">
        <f t="shared" si="24"/>
        <v>SECUNDARIA</v>
      </c>
      <c r="B144" s="26" t="str">
        <f>"09DES0142F"</f>
        <v>09DES0142F</v>
      </c>
      <c r="C144" s="26" t="str">
        <f>"MANUEL M. PONCE                                                                                     "</f>
        <v xml:space="preserve">MANUEL M. PONCE                                                                                     </v>
      </c>
      <c r="D144" s="26" t="str">
        <f>"TIEMPO COMPLETO"</f>
        <v>TIEMPO COMPLETO</v>
      </c>
      <c r="E144" s="26" t="str">
        <f>"DOROTEO ARANGO S/N                                                              "</f>
        <v xml:space="preserve">DOROTEO ARANGO S/N                                                              </v>
      </c>
      <c r="F144" s="26" t="str">
        <f>"HACIENDA DEL ROSARIO                                                                                                                        "</f>
        <v xml:space="preserve">HACIENDA DEL ROSARIO                                                                                                                        </v>
      </c>
      <c r="G144" s="26" t="str">
        <f>"AZCAPOTZALCO                                                                    "</f>
        <v xml:space="preserve">AZCAPOTZALCO                                                                    </v>
      </c>
      <c r="H144" s="26" t="str">
        <f>"008"</f>
        <v>008</v>
      </c>
      <c r="I144" s="26" t="str">
        <f t="shared" si="25"/>
        <v>00</v>
      </c>
      <c r="J144" s="26" t="str">
        <f>"51 "</f>
        <v xml:space="preserve">51 </v>
      </c>
      <c r="K144" s="26" t="str">
        <f t="shared" si="28"/>
        <v>SG</v>
      </c>
      <c r="L144" s="26" t="str">
        <f t="shared" si="29"/>
        <v>DGOSE</v>
      </c>
      <c r="M144" s="26" t="str">
        <f t="shared" si="26"/>
        <v>FEDERAL</v>
      </c>
      <c r="N144" s="26">
        <v>467</v>
      </c>
      <c r="O144" s="26">
        <v>221</v>
      </c>
      <c r="P144" s="26">
        <v>246</v>
      </c>
      <c r="Q144" s="26">
        <v>17</v>
      </c>
      <c r="R144" s="26">
        <v>1</v>
      </c>
      <c r="S144" s="26">
        <v>44</v>
      </c>
      <c r="T144" s="26">
        <v>20</v>
      </c>
      <c r="U144" s="26">
        <v>65</v>
      </c>
      <c r="V144" s="26">
        <v>1</v>
      </c>
      <c r="W144" s="26" t="s">
        <v>218</v>
      </c>
    </row>
    <row r="145" spans="1:23" x14ac:dyDescent="0.25">
      <c r="A145" s="26" t="str">
        <f t="shared" si="24"/>
        <v>SECUNDARIA</v>
      </c>
      <c r="B145" s="26" t="str">
        <f>"09DES0143E"</f>
        <v>09DES0143E</v>
      </c>
      <c r="C145" s="26" t="str">
        <f>"ERMILO ABREU GOMEZ                                                                                  "</f>
        <v xml:space="preserve">ERMILO ABREU GOMEZ                                                                                  </v>
      </c>
      <c r="D145" s="26" t="str">
        <f>"JORNADA AMPLIADA"</f>
        <v>JORNADA AMPLIADA</v>
      </c>
      <c r="E145" s="26" t="str">
        <f>"AV MANUEL SALAZAR Y FRANCISCO SARABIA                                           "</f>
        <v xml:space="preserve">AV MANUEL SALAZAR Y FRANCISCO SARABIA                                           </v>
      </c>
      <c r="F145" s="26" t="str">
        <f>"LA PROVIDENCIA                                                                                                                              "</f>
        <v xml:space="preserve">LA PROVIDENCIA                                                                                                                              </v>
      </c>
      <c r="G145" s="26" t="str">
        <f>"AZCAPOTZALCO                                                                    "</f>
        <v xml:space="preserve">AZCAPOTZALCO                                                                    </v>
      </c>
      <c r="H145" s="26" t="str">
        <f>"007"</f>
        <v>007</v>
      </c>
      <c r="I145" s="26" t="str">
        <f t="shared" si="25"/>
        <v>00</v>
      </c>
      <c r="J145" s="26" t="str">
        <f>"51 "</f>
        <v xml:space="preserve">51 </v>
      </c>
      <c r="K145" s="26" t="str">
        <f t="shared" si="28"/>
        <v>SG</v>
      </c>
      <c r="L145" s="26" t="str">
        <f t="shared" si="29"/>
        <v>DGOSE</v>
      </c>
      <c r="M145" s="26" t="str">
        <f t="shared" si="26"/>
        <v>FEDERAL</v>
      </c>
      <c r="N145" s="26">
        <v>579</v>
      </c>
      <c r="O145" s="26">
        <v>258</v>
      </c>
      <c r="P145" s="26">
        <v>321</v>
      </c>
      <c r="Q145" s="26">
        <v>20</v>
      </c>
      <c r="R145" s="26">
        <v>2</v>
      </c>
      <c r="S145" s="26">
        <v>48</v>
      </c>
      <c r="T145" s="26">
        <v>28</v>
      </c>
      <c r="U145" s="26">
        <v>78</v>
      </c>
      <c r="V145" s="26">
        <v>1</v>
      </c>
      <c r="W145" s="26" t="s">
        <v>2076</v>
      </c>
    </row>
    <row r="146" spans="1:23" x14ac:dyDescent="0.25">
      <c r="A146" s="26" t="str">
        <f t="shared" si="24"/>
        <v>SECUNDARIA</v>
      </c>
      <c r="B146" s="26" t="str">
        <f>"09DES0144D"</f>
        <v>09DES0144D</v>
      </c>
      <c r="C146" s="26" t="str">
        <f>"LIC. ADOLFO LOPEZ MATEOS                                                                            "</f>
        <v xml:space="preserve">LIC. ADOLFO LOPEZ MATEOS                                                                            </v>
      </c>
      <c r="D146" s="26" t="str">
        <f>"MATUTINO"</f>
        <v>MATUTINO</v>
      </c>
      <c r="E146" s="26" t="str">
        <f>"AV EMILIANO ZAPATA S/N                                                          "</f>
        <v xml:space="preserve">AV EMILIANO ZAPATA S/N                                                          </v>
      </c>
      <c r="F146" s="26" t="str">
        <f>"CUAUTEPEC DE MADERO                                                                                                                         "</f>
        <v xml:space="preserve">CUAUTEPEC DE MADERO                                                                                                                         </v>
      </c>
      <c r="G146" s="26" t="str">
        <f>"GUSTAVO A. MADERO                                                               "</f>
        <v xml:space="preserve">GUSTAVO A. MADERO                                                               </v>
      </c>
      <c r="H146" s="26" t="str">
        <f>"031"</f>
        <v>031</v>
      </c>
      <c r="I146" s="26" t="str">
        <f t="shared" si="25"/>
        <v>00</v>
      </c>
      <c r="J146" s="26" t="str">
        <f>"52 "</f>
        <v xml:space="preserve">52 </v>
      </c>
      <c r="K146" s="26" t="str">
        <f t="shared" si="28"/>
        <v>SG</v>
      </c>
      <c r="L146" s="26" t="str">
        <f t="shared" si="29"/>
        <v>DGOSE</v>
      </c>
      <c r="M146" s="26" t="str">
        <f t="shared" si="26"/>
        <v>FEDERAL</v>
      </c>
      <c r="N146" s="26">
        <v>714</v>
      </c>
      <c r="O146" s="26">
        <v>344</v>
      </c>
      <c r="P146" s="26">
        <v>370</v>
      </c>
      <c r="Q146" s="26">
        <v>18</v>
      </c>
      <c r="R146" s="26">
        <v>2</v>
      </c>
      <c r="S146" s="26">
        <v>40</v>
      </c>
      <c r="T146" s="26">
        <v>25</v>
      </c>
      <c r="U146" s="26">
        <v>67</v>
      </c>
      <c r="V146" s="26">
        <v>1</v>
      </c>
      <c r="W146" s="26"/>
    </row>
    <row r="147" spans="1:23" x14ac:dyDescent="0.25">
      <c r="A147" s="26" t="str">
        <f t="shared" si="24"/>
        <v>SECUNDARIA</v>
      </c>
      <c r="B147" s="26" t="str">
        <f>"09DES0145C"</f>
        <v>09DES0145C</v>
      </c>
      <c r="C147" s="26" t="str">
        <f>"JOSE GUADALUPE NAJERA JIMENEZ                                                                       "</f>
        <v xml:space="preserve">JOSE GUADALUPE NAJERA JIMENEZ                                                                       </v>
      </c>
      <c r="D147" s="26" t="str">
        <f>"MATUTINO"</f>
        <v>MATUTINO</v>
      </c>
      <c r="E147" s="26" t="str">
        <f>"CERRO MERCADO Y CERRO SAN FRANCISCO NO 263                                      "</f>
        <v xml:space="preserve">CERRO MERCADO Y CERRO SAN FRANCISCO NO 263                                      </v>
      </c>
      <c r="F147" s="26" t="str">
        <f>"CAMPESTRE CHURUBUSCO                                                                                                                        "</f>
        <v xml:space="preserve">CAMPESTRE CHURUBUSCO                                                                                                                        </v>
      </c>
      <c r="G147" s="26" t="str">
        <f>"COYOACAN                                                                        "</f>
        <v xml:space="preserve">COYOACAN                                                                        </v>
      </c>
      <c r="H147" s="26" t="str">
        <f>"020"</f>
        <v>020</v>
      </c>
      <c r="I147" s="26" t="str">
        <f t="shared" si="25"/>
        <v>00</v>
      </c>
      <c r="J147" s="26" t="str">
        <f>"54 "</f>
        <v xml:space="preserve">54 </v>
      </c>
      <c r="K147" s="26" t="str">
        <f t="shared" si="28"/>
        <v>SG</v>
      </c>
      <c r="L147" s="26" t="str">
        <f t="shared" si="29"/>
        <v>DGOSE</v>
      </c>
      <c r="M147" s="26" t="str">
        <f t="shared" si="26"/>
        <v>FEDERAL</v>
      </c>
      <c r="N147" s="26">
        <v>374</v>
      </c>
      <c r="O147" s="26">
        <v>198</v>
      </c>
      <c r="P147" s="26">
        <v>176</v>
      </c>
      <c r="Q147" s="26">
        <v>9</v>
      </c>
      <c r="R147" s="26">
        <v>2</v>
      </c>
      <c r="S147" s="26">
        <v>21</v>
      </c>
      <c r="T147" s="26">
        <v>20</v>
      </c>
      <c r="U147" s="26">
        <v>43</v>
      </c>
      <c r="V147" s="26">
        <v>1</v>
      </c>
      <c r="W147" s="26"/>
    </row>
    <row r="148" spans="1:23" x14ac:dyDescent="0.25">
      <c r="A148" s="26" t="str">
        <f t="shared" si="24"/>
        <v>SECUNDARIA</v>
      </c>
      <c r="B148" s="26" t="str">
        <f>"09DES0146B"</f>
        <v>09DES0146B</v>
      </c>
      <c r="C148" s="26" t="str">
        <f>"MAX PLANCK                                                                                          "</f>
        <v xml:space="preserve">MAX PLANCK                                                                                          </v>
      </c>
      <c r="D148" s="26" t="str">
        <f>"MATUTINO"</f>
        <v>MATUTINO</v>
      </c>
      <c r="E148" s="26" t="s">
        <v>3986</v>
      </c>
      <c r="F148" s="26" t="str">
        <f>"SALVADOR DIAZ MIRON                                                                                                                         "</f>
        <v xml:space="preserve">SALVADOR DIAZ MIRON                                                                                                                         </v>
      </c>
      <c r="G148" s="26" t="str">
        <f>"GUSTAVO A. MADERO                                                               "</f>
        <v xml:space="preserve">GUSTAVO A. MADERO                                                               </v>
      </c>
      <c r="H148" s="26" t="str">
        <f>"038"</f>
        <v>038</v>
      </c>
      <c r="I148" s="26" t="str">
        <f t="shared" si="25"/>
        <v>00</v>
      </c>
      <c r="J148" s="26" t="str">
        <f>"52 "</f>
        <v xml:space="preserve">52 </v>
      </c>
      <c r="K148" s="26" t="str">
        <f t="shared" si="28"/>
        <v>SG</v>
      </c>
      <c r="L148" s="26" t="str">
        <f t="shared" si="29"/>
        <v>DGOSE</v>
      </c>
      <c r="M148" s="26" t="str">
        <f t="shared" si="26"/>
        <v>FEDERAL</v>
      </c>
      <c r="N148" s="26">
        <v>627</v>
      </c>
      <c r="O148" s="26">
        <v>308</v>
      </c>
      <c r="P148" s="26">
        <v>319</v>
      </c>
      <c r="Q148" s="26">
        <v>16</v>
      </c>
      <c r="R148" s="26">
        <v>2</v>
      </c>
      <c r="S148" s="26">
        <v>38</v>
      </c>
      <c r="T148" s="26">
        <v>27</v>
      </c>
      <c r="U148" s="26">
        <v>67</v>
      </c>
      <c r="V148" s="26">
        <v>1</v>
      </c>
      <c r="W148" s="26"/>
    </row>
    <row r="149" spans="1:23" x14ac:dyDescent="0.25">
      <c r="A149" s="26" t="str">
        <f t="shared" si="24"/>
        <v>SECUNDARIA</v>
      </c>
      <c r="B149" s="26" t="str">
        <f>"09DES0147A"</f>
        <v>09DES0147A</v>
      </c>
      <c r="C149" s="26" t="str">
        <f>"OTILIO EDMUNDO MONTAÑO SANCHEZ                                                                      "</f>
        <v xml:space="preserve">OTILIO EDMUNDO MONTAÑO SANCHEZ                                                                      </v>
      </c>
      <c r="D149" s="26" t="str">
        <f>"MATUTINO"</f>
        <v>MATUTINO</v>
      </c>
      <c r="E149" s="26" t="str">
        <f>"AVENIDA CONSTITUCION DE LA REPUBLICA NO. 1                                      "</f>
        <v xml:space="preserve">AVENIDA CONSTITUCION DE LA REPUBLICA NO. 1                                      </v>
      </c>
      <c r="F149" s="26" t="str">
        <f>"LA PROVIDENCIA                                                                                                                              "</f>
        <v xml:space="preserve">LA PROVIDENCIA                                                                                                                              </v>
      </c>
      <c r="G149" s="26" t="str">
        <f>"GUSTAVO A. MADERO                                                               "</f>
        <v xml:space="preserve">GUSTAVO A. MADERO                                                               </v>
      </c>
      <c r="H149" s="26" t="str">
        <f>"040"</f>
        <v>040</v>
      </c>
      <c r="I149" s="26" t="str">
        <f t="shared" si="25"/>
        <v>00</v>
      </c>
      <c r="J149" s="26" t="str">
        <f>"52 "</f>
        <v xml:space="preserve">52 </v>
      </c>
      <c r="K149" s="26" t="str">
        <f t="shared" si="28"/>
        <v>SG</v>
      </c>
      <c r="L149" s="26" t="str">
        <f t="shared" si="29"/>
        <v>DGOSE</v>
      </c>
      <c r="M149" s="26" t="str">
        <f t="shared" si="26"/>
        <v>FEDERAL</v>
      </c>
      <c r="N149" s="26">
        <v>661</v>
      </c>
      <c r="O149" s="26">
        <v>343</v>
      </c>
      <c r="P149" s="26">
        <v>318</v>
      </c>
      <c r="Q149" s="26">
        <v>17</v>
      </c>
      <c r="R149" s="26">
        <v>2</v>
      </c>
      <c r="S149" s="26">
        <v>39</v>
      </c>
      <c r="T149" s="26">
        <v>28</v>
      </c>
      <c r="U149" s="26">
        <v>69</v>
      </c>
      <c r="V149" s="26">
        <v>1</v>
      </c>
      <c r="W149" s="26"/>
    </row>
    <row r="150" spans="1:23" x14ac:dyDescent="0.25">
      <c r="A150" s="26" t="str">
        <f t="shared" si="24"/>
        <v>SECUNDARIA</v>
      </c>
      <c r="B150" s="26" t="str">
        <f>"09DES0148Z"</f>
        <v>09DES0148Z</v>
      </c>
      <c r="C150" s="26" t="str">
        <f>"LAO-TSE                                                                                             "</f>
        <v xml:space="preserve">LAO-TSE                                                                                             </v>
      </c>
      <c r="D150" s="26" t="str">
        <f>"MATUTINO"</f>
        <v>MATUTINO</v>
      </c>
      <c r="E150" s="26" t="str">
        <f>"AV RIO CHURUBUSCO Y AV CANAL DE TEZONTLE                                        "</f>
        <v xml:space="preserve">AV RIO CHURUBUSCO Y AV CANAL DE TEZONTLE                                        </v>
      </c>
      <c r="F150" s="26" t="str">
        <f>"JUVENTINO ROSAS                                                                                                                             "</f>
        <v xml:space="preserve">JUVENTINO ROSAS                                                                                                                             </v>
      </c>
      <c r="G150" s="26" t="str">
        <f>"IZTACALCO                                                                       "</f>
        <v xml:space="preserve">IZTACALCO                                                                       </v>
      </c>
      <c r="H150" s="26" t="str">
        <f>"044"</f>
        <v>044</v>
      </c>
      <c r="I150" s="26" t="str">
        <f t="shared" si="25"/>
        <v>00</v>
      </c>
      <c r="J150" s="26" t="str">
        <f>"54 "</f>
        <v xml:space="preserve">54 </v>
      </c>
      <c r="K150" s="26" t="str">
        <f t="shared" si="28"/>
        <v>SG</v>
      </c>
      <c r="L150" s="26" t="str">
        <f t="shared" si="29"/>
        <v>DGOSE</v>
      </c>
      <c r="M150" s="26" t="str">
        <f t="shared" si="26"/>
        <v>FEDERAL</v>
      </c>
      <c r="N150" s="26">
        <v>692</v>
      </c>
      <c r="O150" s="26">
        <v>348</v>
      </c>
      <c r="P150" s="26">
        <v>344</v>
      </c>
      <c r="Q150" s="26">
        <v>18</v>
      </c>
      <c r="R150" s="26">
        <v>2</v>
      </c>
      <c r="S150" s="26">
        <v>47</v>
      </c>
      <c r="T150" s="26">
        <v>27</v>
      </c>
      <c r="U150" s="26">
        <v>76</v>
      </c>
      <c r="V150" s="26">
        <v>1</v>
      </c>
      <c r="W150" s="26"/>
    </row>
    <row r="151" spans="1:23" x14ac:dyDescent="0.25">
      <c r="A151" s="26" t="str">
        <f t="shared" si="24"/>
        <v>SECUNDARIA</v>
      </c>
      <c r="B151" s="26" t="str">
        <f>"09DES0149Z"</f>
        <v>09DES0149Z</v>
      </c>
      <c r="C151" s="26" t="str">
        <f>"DAVID ALFARO SIQUEIROS                                                                              "</f>
        <v xml:space="preserve">DAVID ALFARO SIQUEIROS                                                                              </v>
      </c>
      <c r="D151" s="26" t="str">
        <f>"JORNADA AMPLIADA"</f>
        <v>JORNADA AMPLIADA</v>
      </c>
      <c r="E151" s="26" t="str">
        <f>"MARES DE LA TRANQUILIDAD S/N                                                    "</f>
        <v xml:space="preserve">MARES DE LA TRANQUILIDAD S/N                                                    </v>
      </c>
      <c r="F151" s="26" t="str">
        <f>"LOS OLIVOS                                                                                                                                  "</f>
        <v xml:space="preserve">LOS OLIVOS                                                                                                                                  </v>
      </c>
      <c r="G151" s="26" t="str">
        <f>"COYOACAN                                                                        "</f>
        <v xml:space="preserve">COYOACAN                                                                        </v>
      </c>
      <c r="H151" s="26" t="str">
        <f>"022"</f>
        <v>022</v>
      </c>
      <c r="I151" s="26" t="str">
        <f t="shared" si="25"/>
        <v>00</v>
      </c>
      <c r="J151" s="26" t="str">
        <f>"54 "</f>
        <v xml:space="preserve">54 </v>
      </c>
      <c r="K151" s="26" t="str">
        <f t="shared" si="28"/>
        <v>SG</v>
      </c>
      <c r="L151" s="26" t="str">
        <f t="shared" si="29"/>
        <v>DGOSE</v>
      </c>
      <c r="M151" s="26" t="str">
        <f t="shared" si="26"/>
        <v>FEDERAL</v>
      </c>
      <c r="N151" s="26">
        <v>651</v>
      </c>
      <c r="O151" s="26">
        <v>308</v>
      </c>
      <c r="P151" s="26">
        <v>343</v>
      </c>
      <c r="Q151" s="26">
        <v>15</v>
      </c>
      <c r="R151" s="26">
        <v>2</v>
      </c>
      <c r="S151" s="26">
        <v>35</v>
      </c>
      <c r="T151" s="26">
        <v>28</v>
      </c>
      <c r="U151" s="26">
        <v>65</v>
      </c>
      <c r="V151" s="26">
        <v>1</v>
      </c>
      <c r="W151" s="26" t="s">
        <v>2076</v>
      </c>
    </row>
    <row r="152" spans="1:23" x14ac:dyDescent="0.25">
      <c r="A152" s="26" t="str">
        <f t="shared" si="24"/>
        <v>SECUNDARIA</v>
      </c>
      <c r="B152" s="26" t="str">
        <f>"09DES0150O"</f>
        <v>09DES0150O</v>
      </c>
      <c r="C152" s="26" t="str">
        <f>"ANGEL SALAS BONILLA                                                                                 "</f>
        <v xml:space="preserve">ANGEL SALAS BONILLA                                                                                 </v>
      </c>
      <c r="D152" s="26" t="str">
        <f t="shared" ref="D152:D157" si="30">"MATUTINO"</f>
        <v>MATUTINO</v>
      </c>
      <c r="E152" s="26" t="str">
        <f>"MARCOS H PULIDO S/N                                                             "</f>
        <v xml:space="preserve">MARCOS H PULIDO S/N                                                             </v>
      </c>
      <c r="F152" s="26" t="str">
        <f>"AVANTE                                                                                                                                      "</f>
        <v xml:space="preserve">AVANTE                                                                                                                                      </v>
      </c>
      <c r="G152" s="26" t="str">
        <f>"COYOACAN                                                                        "</f>
        <v xml:space="preserve">COYOACAN                                                                        </v>
      </c>
      <c r="H152" s="26" t="str">
        <f>"020"</f>
        <v>020</v>
      </c>
      <c r="I152" s="26" t="str">
        <f t="shared" si="25"/>
        <v>00</v>
      </c>
      <c r="J152" s="26" t="str">
        <f>"54 "</f>
        <v xml:space="preserve">54 </v>
      </c>
      <c r="K152" s="26" t="str">
        <f t="shared" si="28"/>
        <v>SG</v>
      </c>
      <c r="L152" s="26" t="str">
        <f t="shared" si="29"/>
        <v>DGOSE</v>
      </c>
      <c r="M152" s="26" t="str">
        <f t="shared" si="26"/>
        <v>FEDERAL</v>
      </c>
      <c r="N152" s="26">
        <v>752</v>
      </c>
      <c r="O152" s="26">
        <v>410</v>
      </c>
      <c r="P152" s="26">
        <v>342</v>
      </c>
      <c r="Q152" s="26">
        <v>18</v>
      </c>
      <c r="R152" s="26">
        <v>2</v>
      </c>
      <c r="S152" s="26">
        <v>33</v>
      </c>
      <c r="T152" s="26">
        <v>35</v>
      </c>
      <c r="U152" s="26">
        <v>70</v>
      </c>
      <c r="V152" s="26">
        <v>1</v>
      </c>
      <c r="W152" s="26"/>
    </row>
    <row r="153" spans="1:23" x14ac:dyDescent="0.25">
      <c r="A153" s="26" t="str">
        <f t="shared" si="24"/>
        <v>SECUNDARIA</v>
      </c>
      <c r="B153" s="26" t="str">
        <f>"09DES0151N"</f>
        <v>09DES0151N</v>
      </c>
      <c r="C153" s="26" t="str">
        <f>"ESTADO DE QUINTANA ROO                                                                              "</f>
        <v xml:space="preserve">ESTADO DE QUINTANA ROO                                                                              </v>
      </c>
      <c r="D153" s="26" t="str">
        <f t="shared" si="30"/>
        <v>MATUTINO</v>
      </c>
      <c r="E153" s="26" t="str">
        <f>"AV MEXICO AJUSCO S/N                                                            "</f>
        <v xml:space="preserve">AV MEXICO AJUSCO S/N                                                            </v>
      </c>
      <c r="F153" s="26" t="str">
        <f>"MAGDALENA PETLACALCO                                                                                                                        "</f>
        <v xml:space="preserve">MAGDALENA PETLACALCO                                                                                                                        </v>
      </c>
      <c r="G153" s="26" t="str">
        <f>"TLALPAN                                                                         "</f>
        <v xml:space="preserve">TLALPAN                                                                         </v>
      </c>
      <c r="H153" s="26" t="str">
        <f>"072"</f>
        <v>072</v>
      </c>
      <c r="I153" s="26" t="str">
        <f t="shared" si="25"/>
        <v>00</v>
      </c>
      <c r="J153" s="26" t="str">
        <f>"55 "</f>
        <v xml:space="preserve">55 </v>
      </c>
      <c r="K153" s="26" t="str">
        <f t="shared" si="28"/>
        <v>SG</v>
      </c>
      <c r="L153" s="26" t="str">
        <f t="shared" si="29"/>
        <v>DGOSE</v>
      </c>
      <c r="M153" s="26" t="str">
        <f t="shared" si="26"/>
        <v>FEDERAL</v>
      </c>
      <c r="N153" s="26">
        <v>881</v>
      </c>
      <c r="O153" s="26">
        <v>425</v>
      </c>
      <c r="P153" s="26">
        <v>456</v>
      </c>
      <c r="Q153" s="26">
        <v>18</v>
      </c>
      <c r="R153" s="26">
        <v>2</v>
      </c>
      <c r="S153" s="26">
        <v>41</v>
      </c>
      <c r="T153" s="26">
        <v>24</v>
      </c>
      <c r="U153" s="26">
        <v>67</v>
      </c>
      <c r="V153" s="26">
        <v>1</v>
      </c>
      <c r="W153" s="26"/>
    </row>
    <row r="154" spans="1:23" x14ac:dyDescent="0.25">
      <c r="A154" s="26" t="str">
        <f t="shared" si="24"/>
        <v>SECUNDARIA</v>
      </c>
      <c r="B154" s="26" t="str">
        <f>"09DES0152M"</f>
        <v>09DES0152M</v>
      </c>
      <c r="C154" s="26" t="str">
        <f>"VICENTE SUAREZ                                                                                      "</f>
        <v xml:space="preserve">VICENTE SUAREZ                                                                                      </v>
      </c>
      <c r="D154" s="26" t="str">
        <f t="shared" si="30"/>
        <v>MATUTINO</v>
      </c>
      <c r="E154" s="26" t="str">
        <f>"MANUEL CALERO Y FRANCISCO NOBLE                                                 "</f>
        <v xml:space="preserve">MANUEL CALERO Y FRANCISCO NOBLE                                                 </v>
      </c>
      <c r="F154" s="26" t="str">
        <f>"SANTA MARTHA ACATITLA                                                                                                                       "</f>
        <v xml:space="preserve">SANTA MARTHA ACATITLA                                                                                                                       </v>
      </c>
      <c r="G154" s="26" t="str">
        <f>"IZTAPALAPA                                                                      "</f>
        <v xml:space="preserve">IZTAPALAPA                                                                      </v>
      </c>
      <c r="H154" s="26" t="str">
        <f>"006"</f>
        <v>006</v>
      </c>
      <c r="I154" s="26" t="str">
        <f t="shared" si="25"/>
        <v>00</v>
      </c>
      <c r="J154" s="26" t="str">
        <f>"62 "</f>
        <v xml:space="preserve">62 </v>
      </c>
      <c r="K154" s="26" t="str">
        <f>"IZ"</f>
        <v>IZ</v>
      </c>
      <c r="L154" s="26" t="str">
        <f>"DGSEI"</f>
        <v>DGSEI</v>
      </c>
      <c r="M154" s="26" t="str">
        <f t="shared" si="26"/>
        <v>FEDERAL</v>
      </c>
      <c r="N154" s="26">
        <v>656</v>
      </c>
      <c r="O154" s="26">
        <v>335</v>
      </c>
      <c r="P154" s="26">
        <v>321</v>
      </c>
      <c r="Q154" s="26">
        <v>18</v>
      </c>
      <c r="R154" s="26">
        <v>2</v>
      </c>
      <c r="S154" s="26">
        <v>45</v>
      </c>
      <c r="T154" s="26">
        <v>30</v>
      </c>
      <c r="U154" s="26">
        <v>77</v>
      </c>
      <c r="V154" s="26">
        <v>1</v>
      </c>
      <c r="W154" s="26"/>
    </row>
    <row r="155" spans="1:23" x14ac:dyDescent="0.25">
      <c r="A155" s="26" t="str">
        <f t="shared" si="24"/>
        <v>SECUNDARIA</v>
      </c>
      <c r="B155" s="26" t="str">
        <f>"09DES0153L"</f>
        <v>09DES0153L</v>
      </c>
      <c r="C155" s="26" t="str">
        <f>"DANIEL HUACUJA SANCHEZ                                                                              "</f>
        <v xml:space="preserve">DANIEL HUACUJA SANCHEZ                                                                              </v>
      </c>
      <c r="D155" s="26" t="str">
        <f t="shared" si="30"/>
        <v>MATUTINO</v>
      </c>
      <c r="E155" s="26" t="str">
        <f>"EMILIANO ZAPATA NO 300                                                          "</f>
        <v xml:space="preserve">EMILIANO ZAPATA NO 300                                                          </v>
      </c>
      <c r="F155" s="26" t="str">
        <f>"SANTA CRUZ ATOYAC                                                                                                                           "</f>
        <v xml:space="preserve">SANTA CRUZ ATOYAC                                                                                                                           </v>
      </c>
      <c r="G155" s="26" t="str">
        <f>"BENITO JUAREZ                                                                   "</f>
        <v xml:space="preserve">BENITO JUAREZ                                                                   </v>
      </c>
      <c r="H155" s="26" t="str">
        <f>"015"</f>
        <v>015</v>
      </c>
      <c r="I155" s="26" t="str">
        <f t="shared" si="25"/>
        <v>00</v>
      </c>
      <c r="J155" s="26" t="str">
        <f>"53 "</f>
        <v xml:space="preserve">53 </v>
      </c>
      <c r="K155" s="26" t="str">
        <f t="shared" ref="K155:K164" si="31">"SG"</f>
        <v>SG</v>
      </c>
      <c r="L155" s="26" t="str">
        <f t="shared" ref="L155:L164" si="32">"DGOSE"</f>
        <v>DGOSE</v>
      </c>
      <c r="M155" s="26" t="str">
        <f t="shared" si="26"/>
        <v>FEDERAL</v>
      </c>
      <c r="N155" s="26">
        <v>86</v>
      </c>
      <c r="O155" s="26">
        <v>56</v>
      </c>
      <c r="P155" s="26">
        <v>30</v>
      </c>
      <c r="Q155" s="26">
        <v>4</v>
      </c>
      <c r="R155" s="26">
        <v>2</v>
      </c>
      <c r="S155" s="26">
        <v>16</v>
      </c>
      <c r="T155" s="26">
        <v>11</v>
      </c>
      <c r="U155" s="26">
        <v>29</v>
      </c>
      <c r="V155" s="26">
        <v>1</v>
      </c>
      <c r="W155" s="26"/>
    </row>
    <row r="156" spans="1:23" x14ac:dyDescent="0.25">
      <c r="A156" s="26" t="str">
        <f t="shared" si="24"/>
        <v>SECUNDARIA</v>
      </c>
      <c r="B156" s="26" t="str">
        <f>"09DES0154K"</f>
        <v>09DES0154K</v>
      </c>
      <c r="C156" s="26" t="str">
        <f>"REPUBLICA DE CUBA                                                                                   "</f>
        <v xml:space="preserve">REPUBLICA DE CUBA                                                                                   </v>
      </c>
      <c r="D156" s="26" t="str">
        <f t="shared" si="30"/>
        <v>MATUTINO</v>
      </c>
      <c r="E156" s="26" t="str">
        <f>"OJO DE AGUA Y ALVARO OBREGON                                                    "</f>
        <v xml:space="preserve">OJO DE AGUA Y ALVARO OBREGON                                                    </v>
      </c>
      <c r="F156" s="26" t="str">
        <f>"GUADALUPE TLALTENCO                                                                                                                         "</f>
        <v xml:space="preserve">GUADALUPE TLALTENCO                                                                                                                         </v>
      </c>
      <c r="G156" s="26" t="str">
        <f>"TLAHUAC                                                                         "</f>
        <v xml:space="preserve">TLAHUAC                                                                         </v>
      </c>
      <c r="H156" s="26" t="str">
        <f>"068"</f>
        <v>068</v>
      </c>
      <c r="I156" s="26" t="str">
        <f t="shared" si="25"/>
        <v>00</v>
      </c>
      <c r="J156" s="26" t="str">
        <f>"55 "</f>
        <v xml:space="preserve">55 </v>
      </c>
      <c r="K156" s="26" t="str">
        <f t="shared" si="31"/>
        <v>SG</v>
      </c>
      <c r="L156" s="26" t="str">
        <f t="shared" si="32"/>
        <v>DGOSE</v>
      </c>
      <c r="M156" s="26" t="str">
        <f t="shared" si="26"/>
        <v>FEDERAL</v>
      </c>
      <c r="N156" s="26">
        <v>788</v>
      </c>
      <c r="O156" s="26">
        <v>395</v>
      </c>
      <c r="P156" s="26">
        <v>393</v>
      </c>
      <c r="Q156" s="26">
        <v>19</v>
      </c>
      <c r="R156" s="26">
        <v>2</v>
      </c>
      <c r="S156" s="26">
        <v>47</v>
      </c>
      <c r="T156" s="26">
        <v>26</v>
      </c>
      <c r="U156" s="26">
        <v>75</v>
      </c>
      <c r="V156" s="26">
        <v>1</v>
      </c>
      <c r="W156" s="26"/>
    </row>
    <row r="157" spans="1:23" x14ac:dyDescent="0.25">
      <c r="A157" s="26" t="str">
        <f t="shared" si="24"/>
        <v>SECUNDARIA</v>
      </c>
      <c r="B157" s="26" t="str">
        <f>"09DES0155J"</f>
        <v>09DES0155J</v>
      </c>
      <c r="C157" s="26" t="str">
        <f>"""MAXIMINO MARTINEZ""                                                                                 "</f>
        <v xml:space="preserve">"MAXIMINO MARTINEZ"                                                                                 </v>
      </c>
      <c r="D157" s="26" t="str">
        <f t="shared" si="30"/>
        <v>MATUTINO</v>
      </c>
      <c r="E157" s="26" t="str">
        <f>"CALLEJON DEL ZAPOTE NO 48                                                       "</f>
        <v xml:space="preserve">CALLEJON DEL ZAPOTE NO 48                                                       </v>
      </c>
      <c r="F157" s="26" t="str">
        <f>"ISIDRO FABELA                                                                                                                               "</f>
        <v xml:space="preserve">ISIDRO FABELA                                                                                                                               </v>
      </c>
      <c r="G157" s="26" t="str">
        <f>"TLALPAN                                                                         "</f>
        <v xml:space="preserve">TLALPAN                                                                         </v>
      </c>
      <c r="H157" s="26" t="str">
        <f>"073"</f>
        <v>073</v>
      </c>
      <c r="I157" s="26" t="str">
        <f t="shared" si="25"/>
        <v>00</v>
      </c>
      <c r="J157" s="26" t="str">
        <f>"55 "</f>
        <v xml:space="preserve">55 </v>
      </c>
      <c r="K157" s="26" t="str">
        <f t="shared" si="31"/>
        <v>SG</v>
      </c>
      <c r="L157" s="26" t="str">
        <f t="shared" si="32"/>
        <v>DGOSE</v>
      </c>
      <c r="M157" s="26" t="str">
        <f t="shared" si="26"/>
        <v>FEDERAL</v>
      </c>
      <c r="N157" s="26">
        <v>720</v>
      </c>
      <c r="O157" s="26">
        <v>368</v>
      </c>
      <c r="P157" s="26">
        <v>352</v>
      </c>
      <c r="Q157" s="26">
        <v>18</v>
      </c>
      <c r="R157" s="26">
        <v>1</v>
      </c>
      <c r="S157" s="26">
        <v>31</v>
      </c>
      <c r="T157" s="26">
        <v>27</v>
      </c>
      <c r="U157" s="26">
        <v>59</v>
      </c>
      <c r="V157" s="26">
        <v>1</v>
      </c>
      <c r="W157" s="26"/>
    </row>
    <row r="158" spans="1:23" x14ac:dyDescent="0.25">
      <c r="A158" s="26" t="str">
        <f t="shared" si="24"/>
        <v>SECUNDARIA</v>
      </c>
      <c r="B158" s="26" t="str">
        <f>"09DES0156I"</f>
        <v>09DES0156I</v>
      </c>
      <c r="C158" s="26" t="str">
        <f>"PABLO NERUDA                                                                                        "</f>
        <v xml:space="preserve">PABLO NERUDA                                                                                        </v>
      </c>
      <c r="D158" s="26" t="str">
        <f>"JORNADA AMPLIADA"</f>
        <v>JORNADA AMPLIADA</v>
      </c>
      <c r="E158" s="26" t="str">
        <f>"TAHEL Y TEXCOCO                                                                 "</f>
        <v xml:space="preserve">TAHEL Y TEXCOCO                                                                 </v>
      </c>
      <c r="F158" s="26" t="str">
        <f>"PEÑON DE LOS BAÑOS                                                                                                                          "</f>
        <v xml:space="preserve">PEÑON DE LOS BAÑOS                                                                                                                          </v>
      </c>
      <c r="G158" s="26" t="str">
        <f>"VENUSTIANO CARRANZA                                                             "</f>
        <v xml:space="preserve">VENUSTIANO CARRANZA                                                             </v>
      </c>
      <c r="H158" s="26" t="str">
        <f>"076"</f>
        <v>076</v>
      </c>
      <c r="I158" s="26" t="str">
        <f t="shared" si="25"/>
        <v>00</v>
      </c>
      <c r="J158" s="26" t="str">
        <f>"54 "</f>
        <v xml:space="preserve">54 </v>
      </c>
      <c r="K158" s="26" t="str">
        <f t="shared" si="31"/>
        <v>SG</v>
      </c>
      <c r="L158" s="26" t="str">
        <f t="shared" si="32"/>
        <v>DGOSE</v>
      </c>
      <c r="M158" s="26" t="str">
        <f t="shared" si="26"/>
        <v>FEDERAL</v>
      </c>
      <c r="N158" s="26">
        <v>327</v>
      </c>
      <c r="O158" s="26">
        <v>157</v>
      </c>
      <c r="P158" s="26">
        <v>170</v>
      </c>
      <c r="Q158" s="26">
        <v>13</v>
      </c>
      <c r="R158" s="26">
        <v>2</v>
      </c>
      <c r="S158" s="26">
        <v>28</v>
      </c>
      <c r="T158" s="26">
        <v>22</v>
      </c>
      <c r="U158" s="26">
        <v>52</v>
      </c>
      <c r="V158" s="26">
        <v>1</v>
      </c>
      <c r="W158" s="26" t="s">
        <v>2076</v>
      </c>
    </row>
    <row r="159" spans="1:23" x14ac:dyDescent="0.25">
      <c r="A159" s="26" t="str">
        <f t="shared" si="24"/>
        <v>SECUNDARIA</v>
      </c>
      <c r="B159" s="26" t="str">
        <f>"09DES0157H"</f>
        <v>09DES0157H</v>
      </c>
      <c r="C159" s="26" t="str">
        <f>"JUAN AMOS COMENIO                                                                                   "</f>
        <v xml:space="preserve">JUAN AMOS COMENIO                                                                                   </v>
      </c>
      <c r="D159" s="26" t="str">
        <f>"MATUTINO"</f>
        <v>MATUTINO</v>
      </c>
      <c r="E159" s="26" t="str">
        <f>"SAN RAUL Y SAN CASTULO                                                          "</f>
        <v xml:space="preserve">SAN RAUL Y SAN CASTULO                                                          </v>
      </c>
      <c r="F159" s="26" t="str">
        <f>"SANTA URSULA COAPA                                                                                                                          "</f>
        <v xml:space="preserve">SANTA URSULA COAPA                                                                                                                          </v>
      </c>
      <c r="G159" s="26" t="str">
        <f>"COYOACAN                                                                        "</f>
        <v xml:space="preserve">COYOACAN                                                                        </v>
      </c>
      <c r="H159" s="26" t="str">
        <f>"017"</f>
        <v>017</v>
      </c>
      <c r="I159" s="26" t="str">
        <f t="shared" si="25"/>
        <v>00</v>
      </c>
      <c r="J159" s="26" t="str">
        <f>"54 "</f>
        <v xml:space="preserve">54 </v>
      </c>
      <c r="K159" s="26" t="str">
        <f t="shared" si="31"/>
        <v>SG</v>
      </c>
      <c r="L159" s="26" t="str">
        <f t="shared" si="32"/>
        <v>DGOSE</v>
      </c>
      <c r="M159" s="26" t="str">
        <f t="shared" si="26"/>
        <v>FEDERAL</v>
      </c>
      <c r="N159" s="26">
        <v>702</v>
      </c>
      <c r="O159" s="26">
        <v>352</v>
      </c>
      <c r="P159" s="26">
        <v>350</v>
      </c>
      <c r="Q159" s="26">
        <v>18</v>
      </c>
      <c r="R159" s="26">
        <v>2</v>
      </c>
      <c r="S159" s="26">
        <v>39</v>
      </c>
      <c r="T159" s="26">
        <v>26</v>
      </c>
      <c r="U159" s="26">
        <v>67</v>
      </c>
      <c r="V159" s="26">
        <v>1</v>
      </c>
      <c r="W159" s="26"/>
    </row>
    <row r="160" spans="1:23" x14ac:dyDescent="0.25">
      <c r="A160" s="26" t="str">
        <f t="shared" si="24"/>
        <v>SECUNDARIA</v>
      </c>
      <c r="B160" s="26" t="str">
        <f>"09DES0158G"</f>
        <v>09DES0158G</v>
      </c>
      <c r="C160" s="26" t="str">
        <f>"GABINO BARREDA                                                                                      "</f>
        <v xml:space="preserve">GABINO BARREDA                                                                                      </v>
      </c>
      <c r="D160" s="26" t="str">
        <f>"MATUTINO"</f>
        <v>MATUTINO</v>
      </c>
      <c r="E160" s="26" t="str">
        <f>"SUPER MANZANA 17 2DA CDA 637 Y 641                                              "</f>
        <v xml:space="preserve">SUPER MANZANA 17 2DA CDA 637 Y 641                                              </v>
      </c>
      <c r="F160" s="26" t="str">
        <f>"UNIDAD SAN JUAN DE ARAGON                                                                                                                   "</f>
        <v xml:space="preserve">UNIDAD SAN JUAN DE ARAGON                                                                                                                   </v>
      </c>
      <c r="G160" s="26" t="str">
        <f>"GUSTAVO A. MADERO                                                               "</f>
        <v xml:space="preserve">GUSTAVO A. MADERO                                                               </v>
      </c>
      <c r="H160" s="26" t="str">
        <f>"042"</f>
        <v>042</v>
      </c>
      <c r="I160" s="26" t="str">
        <f t="shared" si="25"/>
        <v>00</v>
      </c>
      <c r="J160" s="26" t="str">
        <f>"52 "</f>
        <v xml:space="preserve">52 </v>
      </c>
      <c r="K160" s="26" t="str">
        <f t="shared" si="31"/>
        <v>SG</v>
      </c>
      <c r="L160" s="26" t="str">
        <f t="shared" si="32"/>
        <v>DGOSE</v>
      </c>
      <c r="M160" s="26" t="str">
        <f t="shared" si="26"/>
        <v>FEDERAL</v>
      </c>
      <c r="N160" s="26">
        <v>666</v>
      </c>
      <c r="O160" s="26">
        <v>309</v>
      </c>
      <c r="P160" s="26">
        <v>357</v>
      </c>
      <c r="Q160" s="26">
        <v>18</v>
      </c>
      <c r="R160" s="26">
        <v>2</v>
      </c>
      <c r="S160" s="26">
        <v>38</v>
      </c>
      <c r="T160" s="26">
        <v>29</v>
      </c>
      <c r="U160" s="26">
        <v>69</v>
      </c>
      <c r="V160" s="26">
        <v>1</v>
      </c>
      <c r="W160" s="26"/>
    </row>
    <row r="161" spans="1:23" x14ac:dyDescent="0.25">
      <c r="A161" s="26" t="str">
        <f t="shared" si="24"/>
        <v>SECUNDARIA</v>
      </c>
      <c r="B161" s="26" t="str">
        <f>"09DES0159F"</f>
        <v>09DES0159F</v>
      </c>
      <c r="C161" s="26" t="str">
        <f>"ELPIDIO LOPEZ LOPEZ                                                                                 "</f>
        <v xml:space="preserve">ELPIDIO LOPEZ LOPEZ                                                                                 </v>
      </c>
      <c r="D161" s="26" t="str">
        <f>"JORNADA AMPLIADA"</f>
        <v>JORNADA AMPLIADA</v>
      </c>
      <c r="E161" s="26" t="s">
        <v>3987</v>
      </c>
      <c r="F161" s="26" t="str">
        <f>"ADOLFO LOPEZ MATEOS                                                                                                                         "</f>
        <v xml:space="preserve">ADOLFO LOPEZ MATEOS                                                                                                                         </v>
      </c>
      <c r="G161" s="26" t="str">
        <f>"VENUSTIANO CARRANZA                                                             "</f>
        <v xml:space="preserve">VENUSTIANO CARRANZA                                                             </v>
      </c>
      <c r="H161" s="26" t="str">
        <f>"077"</f>
        <v>077</v>
      </c>
      <c r="I161" s="26" t="str">
        <f t="shared" si="25"/>
        <v>00</v>
      </c>
      <c r="J161" s="26" t="str">
        <f>"54 "</f>
        <v xml:space="preserve">54 </v>
      </c>
      <c r="K161" s="26" t="str">
        <f t="shared" si="31"/>
        <v>SG</v>
      </c>
      <c r="L161" s="26" t="str">
        <f t="shared" si="32"/>
        <v>DGOSE</v>
      </c>
      <c r="M161" s="26" t="str">
        <f t="shared" si="26"/>
        <v>FEDERAL</v>
      </c>
      <c r="N161" s="26">
        <v>534</v>
      </c>
      <c r="O161" s="26">
        <v>266</v>
      </c>
      <c r="P161" s="26">
        <v>268</v>
      </c>
      <c r="Q161" s="26">
        <v>18</v>
      </c>
      <c r="R161" s="26">
        <v>2</v>
      </c>
      <c r="S161" s="26">
        <v>49</v>
      </c>
      <c r="T161" s="26">
        <v>26</v>
      </c>
      <c r="U161" s="26">
        <v>77</v>
      </c>
      <c r="V161" s="26">
        <v>1</v>
      </c>
      <c r="W161" s="26" t="s">
        <v>2076</v>
      </c>
    </row>
    <row r="162" spans="1:23" x14ac:dyDescent="0.25">
      <c r="A162" s="26" t="str">
        <f t="shared" si="24"/>
        <v>SECUNDARIA</v>
      </c>
      <c r="B162" s="26" t="str">
        <f>"09DES0160V"</f>
        <v>09DES0160V</v>
      </c>
      <c r="C162" s="26" t="str">
        <f>"ANA MARIA GALLAGA MANDARTE Y VILLASEÑOR                                                             "</f>
        <v xml:space="preserve">ANA MARIA GALLAGA MANDARTE Y VILLASEÑOR                                                             </v>
      </c>
      <c r="D162" s="26" t="str">
        <f>"MATUTINO"</f>
        <v>MATUTINO</v>
      </c>
      <c r="E162" s="26" t="str">
        <f>"VENUSTIANO CARRANZA NO 121                                                      "</f>
        <v xml:space="preserve">VENUSTIANO CARRANZA NO 121                                                      </v>
      </c>
      <c r="F162" s="26" t="str">
        <f>"CUAUTEPEC DE MADERO                                                                                                                         "</f>
        <v xml:space="preserve">CUAUTEPEC DE MADERO                                                                                                                         </v>
      </c>
      <c r="G162" s="26" t="str">
        <f>"GUSTAVO A. MADERO                                                               "</f>
        <v xml:space="preserve">GUSTAVO A. MADERO                                                               </v>
      </c>
      <c r="H162" s="26" t="str">
        <f>"031"</f>
        <v>031</v>
      </c>
      <c r="I162" s="26" t="str">
        <f t="shared" si="25"/>
        <v>00</v>
      </c>
      <c r="J162" s="26" t="str">
        <f>"52 "</f>
        <v xml:space="preserve">52 </v>
      </c>
      <c r="K162" s="26" t="str">
        <f t="shared" si="31"/>
        <v>SG</v>
      </c>
      <c r="L162" s="26" t="str">
        <f t="shared" si="32"/>
        <v>DGOSE</v>
      </c>
      <c r="M162" s="26" t="str">
        <f t="shared" si="26"/>
        <v>FEDERAL</v>
      </c>
      <c r="N162" s="26">
        <v>729</v>
      </c>
      <c r="O162" s="26">
        <v>361</v>
      </c>
      <c r="P162" s="26">
        <v>368</v>
      </c>
      <c r="Q162" s="26">
        <v>18</v>
      </c>
      <c r="R162" s="26">
        <v>2</v>
      </c>
      <c r="S162" s="26">
        <v>39</v>
      </c>
      <c r="T162" s="26">
        <v>24</v>
      </c>
      <c r="U162" s="26">
        <v>65</v>
      </c>
      <c r="V162" s="26">
        <v>1</v>
      </c>
      <c r="W162" s="26"/>
    </row>
    <row r="163" spans="1:23" x14ac:dyDescent="0.25">
      <c r="A163" s="26" t="str">
        <f t="shared" si="24"/>
        <v>SECUNDARIA</v>
      </c>
      <c r="B163" s="26" t="str">
        <f>"09DES0161U"</f>
        <v>09DES0161U</v>
      </c>
      <c r="C163" s="26" t="str">
        <f>"TOMAS ALVA EDISON                                                                                   "</f>
        <v xml:space="preserve">TOMAS ALVA EDISON                                                                                   </v>
      </c>
      <c r="D163" s="26" t="str">
        <f>"JORNADA AMPLIADA"</f>
        <v>JORNADA AMPLIADA</v>
      </c>
      <c r="E163" s="26" t="str">
        <f>"CAMINO REAL AL AJUSCO S/N                                                       "</f>
        <v xml:space="preserve">CAMINO REAL AL AJUSCO S/N                                                       </v>
      </c>
      <c r="F163" s="26" t="str">
        <f>"TEPEPAN AMPLIACION                                                                                                                          "</f>
        <v xml:space="preserve">TEPEPAN AMPLIACION                                                                                                                          </v>
      </c>
      <c r="G163" s="26" t="str">
        <f>"XOCHIMILCO                                                                      "</f>
        <v xml:space="preserve">XOCHIMILCO                                                                      </v>
      </c>
      <c r="H163" s="26" t="str">
        <f>"080"</f>
        <v>080</v>
      </c>
      <c r="I163" s="26" t="str">
        <f t="shared" si="25"/>
        <v>00</v>
      </c>
      <c r="J163" s="26" t="str">
        <f>"55 "</f>
        <v xml:space="preserve">55 </v>
      </c>
      <c r="K163" s="26" t="str">
        <f t="shared" si="31"/>
        <v>SG</v>
      </c>
      <c r="L163" s="26" t="str">
        <f t="shared" si="32"/>
        <v>DGOSE</v>
      </c>
      <c r="M163" s="26" t="str">
        <f t="shared" si="26"/>
        <v>FEDERAL</v>
      </c>
      <c r="N163" s="26">
        <v>801</v>
      </c>
      <c r="O163" s="26">
        <v>401</v>
      </c>
      <c r="P163" s="26">
        <v>400</v>
      </c>
      <c r="Q163" s="26">
        <v>18</v>
      </c>
      <c r="R163" s="26">
        <v>2</v>
      </c>
      <c r="S163" s="26">
        <v>44</v>
      </c>
      <c r="T163" s="26">
        <v>26</v>
      </c>
      <c r="U163" s="26">
        <v>72</v>
      </c>
      <c r="V163" s="26">
        <v>1</v>
      </c>
      <c r="W163" s="26" t="s">
        <v>2076</v>
      </c>
    </row>
    <row r="164" spans="1:23" x14ac:dyDescent="0.25">
      <c r="A164" s="26" t="str">
        <f t="shared" si="24"/>
        <v>SECUNDARIA</v>
      </c>
      <c r="B164" s="26" t="str">
        <f>"09DES0162T"</f>
        <v>09DES0162T</v>
      </c>
      <c r="C164" s="26" t="str">
        <f>"FRANCISCO MONTERDE                                                                                  "</f>
        <v xml:space="preserve">FRANCISCO MONTERDE                                                                                  </v>
      </c>
      <c r="D164" s="26" t="str">
        <f>"MATUTINO"</f>
        <v>MATUTINO</v>
      </c>
      <c r="E164" s="26" t="str">
        <f>"ALVARO OBREGON Y JUAN ESCUTIA                                                   "</f>
        <v xml:space="preserve">ALVARO OBREGON Y JUAN ESCUTIA                                                   </v>
      </c>
      <c r="F164" s="26" t="str">
        <f>"SAN JUAN IXTAYOPAN                                                                                                                          "</f>
        <v xml:space="preserve">SAN JUAN IXTAYOPAN                                                                                                                          </v>
      </c>
      <c r="G164" s="26" t="str">
        <f>"TLAHUAC                                                                         "</f>
        <v xml:space="preserve">TLAHUAC                                                                         </v>
      </c>
      <c r="H164" s="26" t="str">
        <f>"068"</f>
        <v>068</v>
      </c>
      <c r="I164" s="26" t="str">
        <f t="shared" si="25"/>
        <v>00</v>
      </c>
      <c r="J164" s="26" t="str">
        <f>"55 "</f>
        <v xml:space="preserve">55 </v>
      </c>
      <c r="K164" s="26" t="str">
        <f t="shared" si="31"/>
        <v>SG</v>
      </c>
      <c r="L164" s="26" t="str">
        <f t="shared" si="32"/>
        <v>DGOSE</v>
      </c>
      <c r="M164" s="26" t="str">
        <f t="shared" si="26"/>
        <v>FEDERAL</v>
      </c>
      <c r="N164" s="26">
        <v>736</v>
      </c>
      <c r="O164" s="26">
        <v>358</v>
      </c>
      <c r="P164" s="26">
        <v>378</v>
      </c>
      <c r="Q164" s="26">
        <v>18</v>
      </c>
      <c r="R164" s="26">
        <v>4</v>
      </c>
      <c r="S164" s="26">
        <v>80</v>
      </c>
      <c r="T164" s="26">
        <v>56</v>
      </c>
      <c r="U164" s="26">
        <v>140</v>
      </c>
      <c r="V164" s="26">
        <v>1</v>
      </c>
      <c r="W164" s="26"/>
    </row>
    <row r="165" spans="1:23" x14ac:dyDescent="0.25">
      <c r="A165" s="26" t="str">
        <f t="shared" si="24"/>
        <v>SECUNDARIA</v>
      </c>
      <c r="B165" s="26" t="str">
        <f>"09DES0163S"</f>
        <v>09DES0163S</v>
      </c>
      <c r="C165" s="26" t="str">
        <f>"FRANCISCO JAVIER MINA                                                                               "</f>
        <v xml:space="preserve">FRANCISCO JAVIER MINA                                                                               </v>
      </c>
      <c r="D165" s="26" t="str">
        <f>"MATUTINO"</f>
        <v>MATUTINO</v>
      </c>
      <c r="E165" s="26" t="str">
        <f>"LEYES DE REFORMA Y GUERRA DE REFORMA                                            "</f>
        <v xml:space="preserve">LEYES DE REFORMA Y GUERRA DE REFORMA                                            </v>
      </c>
      <c r="F165" s="26" t="str">
        <f>"LEYES DE REFORMA                                                                                                                            "</f>
        <v xml:space="preserve">LEYES DE REFORMA                                                                                                                            </v>
      </c>
      <c r="G165" s="26" t="str">
        <f>"IZTAPALAPA                                                                      "</f>
        <v xml:space="preserve">IZTAPALAPA                                                                      </v>
      </c>
      <c r="H165" s="26" t="str">
        <f>"008"</f>
        <v>008</v>
      </c>
      <c r="I165" s="26" t="str">
        <f t="shared" si="25"/>
        <v>00</v>
      </c>
      <c r="J165" s="26" t="str">
        <f>"62 "</f>
        <v xml:space="preserve">62 </v>
      </c>
      <c r="K165" s="26" t="str">
        <f>"IZ"</f>
        <v>IZ</v>
      </c>
      <c r="L165" s="26" t="str">
        <f>"DGSEI"</f>
        <v>DGSEI</v>
      </c>
      <c r="M165" s="26" t="str">
        <f t="shared" si="26"/>
        <v>FEDERAL</v>
      </c>
      <c r="N165" s="26">
        <v>717</v>
      </c>
      <c r="O165" s="26">
        <v>349</v>
      </c>
      <c r="P165" s="26">
        <v>368</v>
      </c>
      <c r="Q165" s="26">
        <v>18</v>
      </c>
      <c r="R165" s="26">
        <v>2</v>
      </c>
      <c r="S165" s="26">
        <v>45</v>
      </c>
      <c r="T165" s="26">
        <v>29</v>
      </c>
      <c r="U165" s="26">
        <v>76</v>
      </c>
      <c r="V165" s="26">
        <v>1</v>
      </c>
      <c r="W165" s="26"/>
    </row>
    <row r="166" spans="1:23" x14ac:dyDescent="0.25">
      <c r="A166" s="26" t="str">
        <f t="shared" si="24"/>
        <v>SECUNDARIA</v>
      </c>
      <c r="B166" s="26" t="str">
        <f>"09DES0164R"</f>
        <v>09DES0164R</v>
      </c>
      <c r="C166" s="26" t="str">
        <f>"RUMANIA                                                                                             "</f>
        <v xml:space="preserve">RUMANIA                                                                                             </v>
      </c>
      <c r="D166" s="26" t="str">
        <f>"MATUTINO"</f>
        <v>MATUTINO</v>
      </c>
      <c r="E166" s="26" t="str">
        <f>"AV. SINATEL ESQ. ANDRES MOLINA ENRIQUEZ                                         "</f>
        <v xml:space="preserve">AV. SINATEL ESQ. ANDRES MOLINA ENRIQUEZ                                         </v>
      </c>
      <c r="F166" s="26" t="str">
        <f>"SINATEL AMPLIACION                                                                                                                          "</f>
        <v xml:space="preserve">SINATEL AMPLIACION                                                                                                                          </v>
      </c>
      <c r="G166" s="26" t="str">
        <f>"IZTAPALAPA                                                                      "</f>
        <v xml:space="preserve">IZTAPALAPA                                                                      </v>
      </c>
      <c r="H166" s="26" t="str">
        <f>"009"</f>
        <v>009</v>
      </c>
      <c r="I166" s="26" t="str">
        <f t="shared" si="25"/>
        <v>00</v>
      </c>
      <c r="J166" s="26" t="str">
        <f>"63 "</f>
        <v xml:space="preserve">63 </v>
      </c>
      <c r="K166" s="26" t="str">
        <f>"IZ"</f>
        <v>IZ</v>
      </c>
      <c r="L166" s="26" t="str">
        <f>"DGSEI"</f>
        <v>DGSEI</v>
      </c>
      <c r="M166" s="26" t="str">
        <f t="shared" si="26"/>
        <v>FEDERAL</v>
      </c>
      <c r="N166" s="26">
        <v>582</v>
      </c>
      <c r="O166" s="26">
        <v>298</v>
      </c>
      <c r="P166" s="26">
        <v>284</v>
      </c>
      <c r="Q166" s="26">
        <v>18</v>
      </c>
      <c r="R166" s="26">
        <v>2</v>
      </c>
      <c r="S166" s="26">
        <v>41</v>
      </c>
      <c r="T166" s="26">
        <v>25</v>
      </c>
      <c r="U166" s="26">
        <v>68</v>
      </c>
      <c r="V166" s="26">
        <v>1</v>
      </c>
      <c r="W166" s="26"/>
    </row>
    <row r="167" spans="1:23" x14ac:dyDescent="0.25">
      <c r="A167" s="26" t="str">
        <f t="shared" si="24"/>
        <v>SECUNDARIA</v>
      </c>
      <c r="B167" s="26" t="str">
        <f>"09DES0165Q"</f>
        <v>09DES0165Q</v>
      </c>
      <c r="C167" s="26" t="str">
        <f>"PRESIDENTE SALVADOR ALLENDE                                                                         "</f>
        <v xml:space="preserve">PRESIDENTE SALVADOR ALLENDE                                                                         </v>
      </c>
      <c r="D167" s="26" t="str">
        <f>"MATUTINO"</f>
        <v>MATUTINO</v>
      </c>
      <c r="E167" s="26" t="str">
        <f>"AV. SOTO Y GAMA S/N ESQ. GENARO ESTRADA                                         "</f>
        <v xml:space="preserve">AV. SOTO Y GAMA S/N ESQ. GENARO ESTRADA                                         </v>
      </c>
      <c r="F167" s="26" t="str">
        <f>"UNIDAD HABITACIONAL VICENTE GUERRER                                                                                                         "</f>
        <v xml:space="preserve">UNIDAD HABITACIONAL VICENTE GUERRER                                                                                                         </v>
      </c>
      <c r="G167" s="26" t="str">
        <f>"IZTAPALAPA                                                                      "</f>
        <v xml:space="preserve">IZTAPALAPA                                                                      </v>
      </c>
      <c r="H167" s="26" t="str">
        <f>"007"</f>
        <v>007</v>
      </c>
      <c r="I167" s="26" t="str">
        <f t="shared" si="25"/>
        <v>00</v>
      </c>
      <c r="J167" s="26" t="str">
        <f>"62 "</f>
        <v xml:space="preserve">62 </v>
      </c>
      <c r="K167" s="26" t="str">
        <f>"IZ"</f>
        <v>IZ</v>
      </c>
      <c r="L167" s="26" t="str">
        <f>"DGSEI"</f>
        <v>DGSEI</v>
      </c>
      <c r="M167" s="26" t="str">
        <f t="shared" si="26"/>
        <v>FEDERAL</v>
      </c>
      <c r="N167" s="26">
        <v>609</v>
      </c>
      <c r="O167" s="26">
        <v>300</v>
      </c>
      <c r="P167" s="26">
        <v>309</v>
      </c>
      <c r="Q167" s="26">
        <v>17</v>
      </c>
      <c r="R167" s="26">
        <v>2</v>
      </c>
      <c r="S167" s="26">
        <v>38</v>
      </c>
      <c r="T167" s="26">
        <v>25</v>
      </c>
      <c r="U167" s="26">
        <v>65</v>
      </c>
      <c r="V167" s="26">
        <v>1</v>
      </c>
      <c r="W167" s="26"/>
    </row>
    <row r="168" spans="1:23" x14ac:dyDescent="0.25">
      <c r="A168" s="26" t="str">
        <f t="shared" si="24"/>
        <v>SECUNDARIA</v>
      </c>
      <c r="B168" s="26" t="str">
        <f>"09DES0166P"</f>
        <v>09DES0166P</v>
      </c>
      <c r="C168" s="26" t="str">
        <f>"""ALFONSO REYES""                                                                                     "</f>
        <v xml:space="preserve">"ALFONSO REYES"                                                                                     </v>
      </c>
      <c r="D168" s="26" t="str">
        <f>"MATUTINO"</f>
        <v>MATUTINO</v>
      </c>
      <c r="E168" s="26" t="str">
        <f>"CALLE ALVARO OBREGON NO 26                                                      "</f>
        <v xml:space="preserve">CALLE ALVARO OBREGON NO 26                                                      </v>
      </c>
      <c r="F168" s="26" t="str">
        <f>"SAN BERNABE OCOTEPEC                                                                                                                        "</f>
        <v xml:space="preserve">SAN BERNABE OCOTEPEC                                                                                                                        </v>
      </c>
      <c r="G168" s="26" t="str">
        <f>"LA MAGDALENA CONTRERAS                                                          "</f>
        <v xml:space="preserve">LA MAGDALENA CONTRERAS                                                          </v>
      </c>
      <c r="H168" s="26" t="str">
        <f>"059"</f>
        <v>059</v>
      </c>
      <c r="I168" s="26" t="str">
        <f t="shared" si="25"/>
        <v>00</v>
      </c>
      <c r="J168" s="26" t="str">
        <f>"53 "</f>
        <v xml:space="preserve">53 </v>
      </c>
      <c r="K168" s="26" t="str">
        <f>"SG"</f>
        <v>SG</v>
      </c>
      <c r="L168" s="26" t="str">
        <f>"DGOSE"</f>
        <v>DGOSE</v>
      </c>
      <c r="M168" s="26" t="str">
        <f t="shared" si="26"/>
        <v>FEDERAL</v>
      </c>
      <c r="N168" s="26">
        <v>683</v>
      </c>
      <c r="O168" s="26">
        <v>316</v>
      </c>
      <c r="P168" s="26">
        <v>367</v>
      </c>
      <c r="Q168" s="26">
        <v>18</v>
      </c>
      <c r="R168" s="26">
        <v>2</v>
      </c>
      <c r="S168" s="26">
        <v>31</v>
      </c>
      <c r="T168" s="26">
        <v>17</v>
      </c>
      <c r="U168" s="26">
        <v>50</v>
      </c>
      <c r="V168" s="26">
        <v>1</v>
      </c>
      <c r="W168" s="26"/>
    </row>
    <row r="169" spans="1:23" x14ac:dyDescent="0.25">
      <c r="A169" s="26" t="str">
        <f t="shared" si="24"/>
        <v>SECUNDARIA</v>
      </c>
      <c r="B169" s="26" t="str">
        <f>"09DES0168N"</f>
        <v>09DES0168N</v>
      </c>
      <c r="C169" s="26" t="str">
        <f>"MAXIMILIANO RUIZ CASTAÑEDA                                                                          "</f>
        <v xml:space="preserve">MAXIMILIANO RUIZ CASTAÑEDA                                                                          </v>
      </c>
      <c r="D169" s="26" t="str">
        <f>"JORNADA AMPLIADA"</f>
        <v>JORNADA AMPLIADA</v>
      </c>
      <c r="E169" s="26" t="str">
        <f>"LAGO XIMILPA S/N                                                                "</f>
        <v xml:space="preserve">LAGO XIMILPA S/N                                                                </v>
      </c>
      <c r="F169" s="26" t="str">
        <f>"ARGENTINA PONIENTE                                                                                                                          "</f>
        <v xml:space="preserve">ARGENTINA PONIENTE                                                                                                                          </v>
      </c>
      <c r="G169" s="26" t="str">
        <f>"MIGUEL HIDALGO                                                                  "</f>
        <v xml:space="preserve">MIGUEL HIDALGO                                                                  </v>
      </c>
      <c r="H169" s="26" t="str">
        <f>"063"</f>
        <v>063</v>
      </c>
      <c r="I169" s="26" t="str">
        <f t="shared" si="25"/>
        <v>00</v>
      </c>
      <c r="J169" s="26" t="str">
        <f>"51 "</f>
        <v xml:space="preserve">51 </v>
      </c>
      <c r="K169" s="26" t="str">
        <f>"SG"</f>
        <v>SG</v>
      </c>
      <c r="L169" s="26" t="str">
        <f>"DGOSE"</f>
        <v>DGOSE</v>
      </c>
      <c r="M169" s="26" t="str">
        <f t="shared" si="26"/>
        <v>FEDERAL</v>
      </c>
      <c r="N169" s="26">
        <v>524</v>
      </c>
      <c r="O169" s="26">
        <v>274</v>
      </c>
      <c r="P169" s="26">
        <v>250</v>
      </c>
      <c r="Q169" s="26">
        <v>18</v>
      </c>
      <c r="R169" s="26">
        <v>1</v>
      </c>
      <c r="S169" s="26">
        <v>38</v>
      </c>
      <c r="T169" s="26">
        <v>22</v>
      </c>
      <c r="U169" s="26">
        <v>61</v>
      </c>
      <c r="V169" s="26">
        <v>1</v>
      </c>
      <c r="W169" s="26" t="s">
        <v>2076</v>
      </c>
    </row>
    <row r="170" spans="1:23" x14ac:dyDescent="0.25">
      <c r="A170" s="26" t="str">
        <f t="shared" si="24"/>
        <v>SECUNDARIA</v>
      </c>
      <c r="B170" s="26" t="str">
        <f>"09DES0169M"</f>
        <v>09DES0169M</v>
      </c>
      <c r="C170" s="26" t="str">
        <f>"CARMEN SERDAN                                                                                       "</f>
        <v xml:space="preserve">CARMEN SERDAN                                                                                       </v>
      </c>
      <c r="D170" s="26" t="str">
        <f>"JORNADA AMPLIADA"</f>
        <v>JORNADA AMPLIADA</v>
      </c>
      <c r="E170" s="26" t="str">
        <f>"AV SAN ISIDRO Y ALTO LERMA                                                      "</f>
        <v xml:space="preserve">AV SAN ISIDRO Y ALTO LERMA                                                      </v>
      </c>
      <c r="F170" s="26" t="str">
        <f>"CORPUS CHRISTI                                                                                                                              "</f>
        <v xml:space="preserve">CORPUS CHRISTI                                                                                                                              </v>
      </c>
      <c r="G170" s="26" t="str">
        <f>"ALVARO OBREGON                                                                  "</f>
        <v xml:space="preserve">ALVARO OBREGON                                                                  </v>
      </c>
      <c r="H170" s="26" t="str">
        <f>"005"</f>
        <v>005</v>
      </c>
      <c r="I170" s="26" t="str">
        <f t="shared" si="25"/>
        <v>00</v>
      </c>
      <c r="J170" s="26" t="str">
        <f>"53 "</f>
        <v xml:space="preserve">53 </v>
      </c>
      <c r="K170" s="26" t="str">
        <f>"SG"</f>
        <v>SG</v>
      </c>
      <c r="L170" s="26" t="str">
        <f>"DGOSE"</f>
        <v>DGOSE</v>
      </c>
      <c r="M170" s="26" t="str">
        <f t="shared" si="26"/>
        <v>FEDERAL</v>
      </c>
      <c r="N170" s="26">
        <v>620</v>
      </c>
      <c r="O170" s="26">
        <v>313</v>
      </c>
      <c r="P170" s="26">
        <v>307</v>
      </c>
      <c r="Q170" s="26">
        <v>15</v>
      </c>
      <c r="R170" s="26">
        <v>2</v>
      </c>
      <c r="S170" s="26">
        <v>34</v>
      </c>
      <c r="T170" s="26">
        <v>22</v>
      </c>
      <c r="U170" s="26">
        <v>58</v>
      </c>
      <c r="V170" s="26">
        <v>1</v>
      </c>
      <c r="W170" s="26" t="s">
        <v>2076</v>
      </c>
    </row>
    <row r="171" spans="1:23" x14ac:dyDescent="0.25">
      <c r="A171" s="26" t="str">
        <f t="shared" si="24"/>
        <v>SECUNDARIA</v>
      </c>
      <c r="B171" s="26" t="str">
        <f>"09DES0170B"</f>
        <v>09DES0170B</v>
      </c>
      <c r="C171" s="26" t="str">
        <f>""" HEBERTO CASTILLO ""                                                                                "</f>
        <v xml:space="preserve">" HEBERTO CASTILLO "                                                                                </v>
      </c>
      <c r="D171" s="26" t="str">
        <f>"MATUTINO"</f>
        <v>MATUTINO</v>
      </c>
      <c r="E171" s="26" t="str">
        <f>"ROSA CHINA Y ALTA TENSION                                                       "</f>
        <v xml:space="preserve">ROSA CHINA Y ALTA TENSION                                                       </v>
      </c>
      <c r="F171" s="26" t="str">
        <f>"MOLINO DE ROSAS                                                                                                                             "</f>
        <v xml:space="preserve">MOLINO DE ROSAS                                                                                                                             </v>
      </c>
      <c r="G171" s="26" t="str">
        <f>"ALVARO OBREGON                                                                  "</f>
        <v xml:space="preserve">ALVARO OBREGON                                                                  </v>
      </c>
      <c r="H171" s="26" t="str">
        <f>"002"</f>
        <v>002</v>
      </c>
      <c r="I171" s="26" t="str">
        <f t="shared" si="25"/>
        <v>00</v>
      </c>
      <c r="J171" s="26" t="str">
        <f>"53 "</f>
        <v xml:space="preserve">53 </v>
      </c>
      <c r="K171" s="26" t="str">
        <f>"SG"</f>
        <v>SG</v>
      </c>
      <c r="L171" s="26" t="str">
        <f>"DGOSE"</f>
        <v>DGOSE</v>
      </c>
      <c r="M171" s="26" t="str">
        <f t="shared" si="26"/>
        <v>FEDERAL</v>
      </c>
      <c r="N171" s="26">
        <v>818</v>
      </c>
      <c r="O171" s="26">
        <v>416</v>
      </c>
      <c r="P171" s="26">
        <v>402</v>
      </c>
      <c r="Q171" s="26">
        <v>18</v>
      </c>
      <c r="R171" s="26">
        <v>2</v>
      </c>
      <c r="S171" s="26">
        <v>34</v>
      </c>
      <c r="T171" s="26">
        <v>25</v>
      </c>
      <c r="U171" s="26">
        <v>61</v>
      </c>
      <c r="V171" s="26">
        <v>1</v>
      </c>
      <c r="W171" s="26"/>
    </row>
    <row r="172" spans="1:23" x14ac:dyDescent="0.25">
      <c r="A172" s="26" t="str">
        <f t="shared" si="24"/>
        <v>SECUNDARIA</v>
      </c>
      <c r="B172" s="26" t="str">
        <f>"09DES0171A"</f>
        <v>09DES0171A</v>
      </c>
      <c r="C172" s="26" t="str">
        <f>"FRIDA KAHLO                                                                                         "</f>
        <v xml:space="preserve">FRIDA KAHLO                                                                                         </v>
      </c>
      <c r="D172" s="26" t="str">
        <f>"MATUTINO"</f>
        <v>MATUTINO</v>
      </c>
      <c r="E172" s="26" t="str">
        <f>"SAN JUANICO Y PERIFERICO                                                        "</f>
        <v xml:space="preserve">SAN JUANICO Y PERIFERICO                                                        </v>
      </c>
      <c r="F172" s="26" t="str">
        <f>"GABRIEL HERNANDEZ AMPLIACION                                                                                                                "</f>
        <v xml:space="preserve">GABRIEL HERNANDEZ AMPLIACION                                                                                                                </v>
      </c>
      <c r="G172" s="26" t="str">
        <f>"GUSTAVO A. MADERO                                                               "</f>
        <v xml:space="preserve">GUSTAVO A. MADERO                                                               </v>
      </c>
      <c r="H172" s="26" t="str">
        <f>"038"</f>
        <v>038</v>
      </c>
      <c r="I172" s="26" t="str">
        <f t="shared" si="25"/>
        <v>00</v>
      </c>
      <c r="J172" s="26" t="str">
        <f>"52 "</f>
        <v xml:space="preserve">52 </v>
      </c>
      <c r="K172" s="26" t="str">
        <f>"SG"</f>
        <v>SG</v>
      </c>
      <c r="L172" s="26" t="str">
        <f>"DGOSE"</f>
        <v>DGOSE</v>
      </c>
      <c r="M172" s="26" t="str">
        <f t="shared" si="26"/>
        <v>FEDERAL</v>
      </c>
      <c r="N172" s="26">
        <v>495</v>
      </c>
      <c r="O172" s="26">
        <v>239</v>
      </c>
      <c r="P172" s="26">
        <v>256</v>
      </c>
      <c r="Q172" s="26">
        <v>17</v>
      </c>
      <c r="R172" s="26">
        <v>2</v>
      </c>
      <c r="S172" s="26">
        <v>37</v>
      </c>
      <c r="T172" s="26">
        <v>29</v>
      </c>
      <c r="U172" s="26">
        <v>68</v>
      </c>
      <c r="V172" s="26">
        <v>1</v>
      </c>
      <c r="W172" s="26"/>
    </row>
    <row r="173" spans="1:23" x14ac:dyDescent="0.25">
      <c r="A173" s="26" t="str">
        <f t="shared" si="24"/>
        <v>SECUNDARIA</v>
      </c>
      <c r="B173" s="26" t="str">
        <f>"09DES0172Z"</f>
        <v>09DES0172Z</v>
      </c>
      <c r="C173" s="26" t="str">
        <f>"JUAN JACOBO ROUSSEAU                                                                                "</f>
        <v xml:space="preserve">JUAN JACOBO ROUSSEAU                                                                                </v>
      </c>
      <c r="D173" s="26" t="str">
        <f>"JORNADA AMPLIADA"</f>
        <v>JORNADA AMPLIADA</v>
      </c>
      <c r="E173" s="26" t="str">
        <f>"AV. EXPLORADORES Y CARLOS PACHECO                                               "</f>
        <v xml:space="preserve">AV. EXPLORADORES Y CARLOS PACHECO                                               </v>
      </c>
      <c r="F173" s="26" t="str">
        <f>"UNIDAD HABITACIONAL EJERCITO DE ORI                                                                                                         "</f>
        <v xml:space="preserve">UNIDAD HABITACIONAL EJERCITO DE ORI                                                                                                         </v>
      </c>
      <c r="G173" s="26" t="str">
        <f>"IZTAPALAPA                                                                      "</f>
        <v xml:space="preserve">IZTAPALAPA                                                                      </v>
      </c>
      <c r="H173" s="26" t="str">
        <f>"002"</f>
        <v>002</v>
      </c>
      <c r="I173" s="26" t="str">
        <f t="shared" si="25"/>
        <v>00</v>
      </c>
      <c r="J173" s="26" t="str">
        <f>"61 "</f>
        <v xml:space="preserve">61 </v>
      </c>
      <c r="K173" s="26" t="str">
        <f>"IZ"</f>
        <v>IZ</v>
      </c>
      <c r="L173" s="26" t="str">
        <f>"DGSEI"</f>
        <v>DGSEI</v>
      </c>
      <c r="M173" s="26" t="str">
        <f t="shared" si="26"/>
        <v>FEDERAL</v>
      </c>
      <c r="N173" s="26">
        <v>372</v>
      </c>
      <c r="O173" s="26">
        <v>186</v>
      </c>
      <c r="P173" s="26">
        <v>186</v>
      </c>
      <c r="Q173" s="26">
        <v>15</v>
      </c>
      <c r="R173" s="26">
        <v>2</v>
      </c>
      <c r="S173" s="26">
        <v>46</v>
      </c>
      <c r="T173" s="26">
        <v>27</v>
      </c>
      <c r="U173" s="26">
        <v>75</v>
      </c>
      <c r="V173" s="26">
        <v>1</v>
      </c>
      <c r="W173" s="26" t="s">
        <v>2076</v>
      </c>
    </row>
    <row r="174" spans="1:23" x14ac:dyDescent="0.25">
      <c r="A174" s="26" t="str">
        <f t="shared" si="24"/>
        <v>SECUNDARIA</v>
      </c>
      <c r="B174" s="26" t="str">
        <f>"09DES0173Z"</f>
        <v>09DES0173Z</v>
      </c>
      <c r="C174" s="26" t="str">
        <f>"YURI A. GAGARIN                                                                                     "</f>
        <v xml:space="preserve">YURI A. GAGARIN                                                                                     </v>
      </c>
      <c r="D174" s="26" t="str">
        <f>"MATUTINO"</f>
        <v>MATUTINO</v>
      </c>
      <c r="E174" s="26" t="str">
        <f>"QUERETARO Y GUADALAJARA S/N                                                     "</f>
        <v xml:space="preserve">QUERETARO Y GUADALAJARA S/N                                                     </v>
      </c>
      <c r="F174" s="26" t="str">
        <f>"MIGUEL HIDALGO                                                                                                                              "</f>
        <v xml:space="preserve">MIGUEL HIDALGO                                                                                                                              </v>
      </c>
      <c r="G174" s="26" t="str">
        <f>"TLALPAN                                                                         "</f>
        <v xml:space="preserve">TLALPAN                                                                         </v>
      </c>
      <c r="H174" s="26" t="str">
        <f>"069"</f>
        <v>069</v>
      </c>
      <c r="I174" s="26" t="str">
        <f t="shared" si="25"/>
        <v>00</v>
      </c>
      <c r="J174" s="26" t="str">
        <f>"55 "</f>
        <v xml:space="preserve">55 </v>
      </c>
      <c r="K174" s="26" t="str">
        <f>"SG"</f>
        <v>SG</v>
      </c>
      <c r="L174" s="26" t="str">
        <f>"DGOSE"</f>
        <v>DGOSE</v>
      </c>
      <c r="M174" s="26" t="str">
        <f t="shared" si="26"/>
        <v>FEDERAL</v>
      </c>
      <c r="N174" s="26">
        <v>770</v>
      </c>
      <c r="O174" s="26">
        <v>409</v>
      </c>
      <c r="P174" s="26">
        <v>361</v>
      </c>
      <c r="Q174" s="26">
        <v>18</v>
      </c>
      <c r="R174" s="26">
        <v>2</v>
      </c>
      <c r="S174" s="26">
        <v>32</v>
      </c>
      <c r="T174" s="26">
        <v>25</v>
      </c>
      <c r="U174" s="26">
        <v>59</v>
      </c>
      <c r="V174" s="26">
        <v>1</v>
      </c>
      <c r="W174" s="26"/>
    </row>
    <row r="175" spans="1:23" x14ac:dyDescent="0.25">
      <c r="A175" s="26" t="str">
        <f t="shared" si="24"/>
        <v>SECUNDARIA</v>
      </c>
      <c r="B175" s="26" t="str">
        <f>"09DES0174Y"</f>
        <v>09DES0174Y</v>
      </c>
      <c r="C175" s="26" t="str">
        <f>"AMADO NERVO                                                                                         "</f>
        <v xml:space="preserve">AMADO NERVO                                                                                         </v>
      </c>
      <c r="D175" s="26" t="str">
        <f>"JORNADA AMPLIADA"</f>
        <v>JORNADA AMPLIADA</v>
      </c>
      <c r="E175" s="26" t="str">
        <f>"ENRIQUE AÑORVE NO 50                                                            "</f>
        <v xml:space="preserve">ENRIQUE AÑORVE NO 50                                                            </v>
      </c>
      <c r="F175" s="26" t="str">
        <f>"SAN PEDRO XALPA                                                                                                                             "</f>
        <v xml:space="preserve">SAN PEDRO XALPA                                                                                                                             </v>
      </c>
      <c r="G175" s="26" t="str">
        <f>"AZCAPOTZALCO                                                                    "</f>
        <v xml:space="preserve">AZCAPOTZALCO                                                                    </v>
      </c>
      <c r="H175" s="26" t="str">
        <f>"007"</f>
        <v>007</v>
      </c>
      <c r="I175" s="26" t="str">
        <f t="shared" si="25"/>
        <v>00</v>
      </c>
      <c r="J175" s="26" t="str">
        <f>"51 "</f>
        <v xml:space="preserve">51 </v>
      </c>
      <c r="K175" s="26" t="str">
        <f>"SG"</f>
        <v>SG</v>
      </c>
      <c r="L175" s="26" t="str">
        <f>"DGOSE"</f>
        <v>DGOSE</v>
      </c>
      <c r="M175" s="26" t="str">
        <f t="shared" si="26"/>
        <v>FEDERAL</v>
      </c>
      <c r="N175" s="26">
        <v>540</v>
      </c>
      <c r="O175" s="26">
        <v>275</v>
      </c>
      <c r="P175" s="26">
        <v>265</v>
      </c>
      <c r="Q175" s="26">
        <v>17</v>
      </c>
      <c r="R175" s="26">
        <v>2</v>
      </c>
      <c r="S175" s="26">
        <v>38</v>
      </c>
      <c r="T175" s="26">
        <v>22</v>
      </c>
      <c r="U175" s="26">
        <v>62</v>
      </c>
      <c r="V175" s="26">
        <v>1</v>
      </c>
      <c r="W175" s="26" t="s">
        <v>2076</v>
      </c>
    </row>
    <row r="176" spans="1:23" x14ac:dyDescent="0.25">
      <c r="A176" s="26" t="str">
        <f t="shared" si="24"/>
        <v>SECUNDARIA</v>
      </c>
      <c r="B176" s="26" t="str">
        <f>"09DES0175X"</f>
        <v>09DES0175X</v>
      </c>
      <c r="C176" s="26" t="str">
        <f>"""PONCIANO ARRIAGA""                                                                                  "</f>
        <v xml:space="preserve">"PONCIANO ARRIAGA"                                                                                  </v>
      </c>
      <c r="D176" s="26" t="str">
        <f>"MATUTINO"</f>
        <v>MATUTINO</v>
      </c>
      <c r="E176" s="26" t="str">
        <f>"AV MICHOACAN S/N                                                                "</f>
        <v xml:space="preserve">AV MICHOACAN S/N                                                                </v>
      </c>
      <c r="F176" s="26" t="str">
        <f>"CHALMA DE GUADALUPE                                                                                                                         "</f>
        <v xml:space="preserve">CHALMA DE GUADALUPE                                                                                                                         </v>
      </c>
      <c r="G176" s="26" t="str">
        <f>"GUSTAVO A. MADERO                                                               "</f>
        <v xml:space="preserve">GUSTAVO A. MADERO                                                               </v>
      </c>
      <c r="H176" s="26" t="str">
        <f>"032"</f>
        <v>032</v>
      </c>
      <c r="I176" s="26" t="str">
        <f t="shared" si="25"/>
        <v>00</v>
      </c>
      <c r="J176" s="26" t="str">
        <f>"52 "</f>
        <v xml:space="preserve">52 </v>
      </c>
      <c r="K176" s="26" t="str">
        <f>"SG"</f>
        <v>SG</v>
      </c>
      <c r="L176" s="26" t="str">
        <f>"DGOSE"</f>
        <v>DGOSE</v>
      </c>
      <c r="M176" s="26" t="str">
        <f t="shared" si="26"/>
        <v>FEDERAL</v>
      </c>
      <c r="N176" s="26">
        <v>568</v>
      </c>
      <c r="O176" s="26">
        <v>248</v>
      </c>
      <c r="P176" s="26">
        <v>320</v>
      </c>
      <c r="Q176" s="26">
        <v>15</v>
      </c>
      <c r="R176" s="26">
        <v>2</v>
      </c>
      <c r="S176" s="26">
        <v>34</v>
      </c>
      <c r="T176" s="26">
        <v>21</v>
      </c>
      <c r="U176" s="26">
        <v>57</v>
      </c>
      <c r="V176" s="26">
        <v>1</v>
      </c>
      <c r="W176" s="26"/>
    </row>
    <row r="177" spans="1:23" x14ac:dyDescent="0.25">
      <c r="A177" s="26" t="str">
        <f t="shared" si="24"/>
        <v>SECUNDARIA</v>
      </c>
      <c r="B177" s="26" t="str">
        <f>"09DES0176W"</f>
        <v>09DES0176W</v>
      </c>
      <c r="C177" s="26" t="str">
        <f>"ALBERTO BELTRAN GARCIA                                                                              "</f>
        <v xml:space="preserve">ALBERTO BELTRAN GARCIA                                                                              </v>
      </c>
      <c r="D177" s="26" t="str">
        <f>"JORNADA AMPLIADA"</f>
        <v>JORNADA AMPLIADA</v>
      </c>
      <c r="E177" s="26" t="str">
        <f>"AV 298-A                                                                        "</f>
        <v xml:space="preserve">AV 298-A                                                                        </v>
      </c>
      <c r="F177" s="26" t="str">
        <f>"UNIDAD HABITACIONAL EL COYOL                                                                                                                "</f>
        <v xml:space="preserve">UNIDAD HABITACIONAL EL COYOL                                                                                                                </v>
      </c>
      <c r="G177" s="26" t="str">
        <f>"GUSTAVO A. MADERO                                                               "</f>
        <v xml:space="preserve">GUSTAVO A. MADERO                                                               </v>
      </c>
      <c r="H177" s="26" t="str">
        <f>"039"</f>
        <v>039</v>
      </c>
      <c r="I177" s="26" t="str">
        <f t="shared" si="25"/>
        <v>00</v>
      </c>
      <c r="J177" s="26" t="str">
        <f>"52 "</f>
        <v xml:space="preserve">52 </v>
      </c>
      <c r="K177" s="26" t="str">
        <f>"SG"</f>
        <v>SG</v>
      </c>
      <c r="L177" s="26" t="str">
        <f>"DGOSE"</f>
        <v>DGOSE</v>
      </c>
      <c r="M177" s="26" t="str">
        <f t="shared" si="26"/>
        <v>FEDERAL</v>
      </c>
      <c r="N177" s="26">
        <v>588</v>
      </c>
      <c r="O177" s="26">
        <v>285</v>
      </c>
      <c r="P177" s="26">
        <v>303</v>
      </c>
      <c r="Q177" s="26">
        <v>16</v>
      </c>
      <c r="R177" s="26">
        <v>2</v>
      </c>
      <c r="S177" s="26">
        <v>51</v>
      </c>
      <c r="T177" s="26">
        <v>23</v>
      </c>
      <c r="U177" s="26">
        <v>76</v>
      </c>
      <c r="V177" s="26">
        <v>1</v>
      </c>
      <c r="W177" s="26" t="s">
        <v>2076</v>
      </c>
    </row>
    <row r="178" spans="1:23" x14ac:dyDescent="0.25">
      <c r="A178" s="26" t="str">
        <f t="shared" si="24"/>
        <v>SECUNDARIA</v>
      </c>
      <c r="B178" s="26" t="str">
        <f>"09DES0177V"</f>
        <v>09DES0177V</v>
      </c>
      <c r="C178" s="26" t="str">
        <f>"COYOLXAUHQUI                                                                                        "</f>
        <v xml:space="preserve">COYOLXAUHQUI                                                                                        </v>
      </c>
      <c r="D178" s="26" t="str">
        <f>"JORNADA AMPLIADA"</f>
        <v>JORNADA AMPLIADA</v>
      </c>
      <c r="E178" s="26" t="str">
        <f>"AV. UNIVERSIDAD S/N Y AV. CENTRAL                                               "</f>
        <v xml:space="preserve">AV. UNIVERSIDAD S/N Y AV. CENTRAL                                               </v>
      </c>
      <c r="F178" s="26" t="str">
        <f>"UNIDAD HABITACIONAL EJERCITO CONSTI                                                                                                         "</f>
        <v xml:space="preserve">UNIDAD HABITACIONAL EJERCITO CONSTI                                                                                                         </v>
      </c>
      <c r="G178" s="26" t="str">
        <f>"IZTAPALAPA                                                                      "</f>
        <v xml:space="preserve">IZTAPALAPA                                                                      </v>
      </c>
      <c r="H178" s="26" t="str">
        <f>"001"</f>
        <v>001</v>
      </c>
      <c r="I178" s="26" t="str">
        <f t="shared" si="25"/>
        <v>00</v>
      </c>
      <c r="J178" s="26" t="str">
        <f>"61 "</f>
        <v xml:space="preserve">61 </v>
      </c>
      <c r="K178" s="26" t="str">
        <f>"IZ"</f>
        <v>IZ</v>
      </c>
      <c r="L178" s="26" t="str">
        <f>"DGSEI"</f>
        <v>DGSEI</v>
      </c>
      <c r="M178" s="26" t="str">
        <f t="shared" si="26"/>
        <v>FEDERAL</v>
      </c>
      <c r="N178" s="26">
        <v>641</v>
      </c>
      <c r="O178" s="26">
        <v>302</v>
      </c>
      <c r="P178" s="26">
        <v>339</v>
      </c>
      <c r="Q178" s="26">
        <v>16</v>
      </c>
      <c r="R178" s="26">
        <v>2</v>
      </c>
      <c r="S178" s="26">
        <v>54</v>
      </c>
      <c r="T178" s="26">
        <v>27</v>
      </c>
      <c r="U178" s="26">
        <v>83</v>
      </c>
      <c r="V178" s="26">
        <v>1</v>
      </c>
      <c r="W178" s="26" t="s">
        <v>2076</v>
      </c>
    </row>
    <row r="179" spans="1:23" x14ac:dyDescent="0.25">
      <c r="A179" s="26" t="str">
        <f t="shared" si="24"/>
        <v>SECUNDARIA</v>
      </c>
      <c r="B179" s="26" t="str">
        <f>"09DES0178U"</f>
        <v>09DES0178U</v>
      </c>
      <c r="C179" s="26" t="str">
        <f>"MADAME CURIE                                                                                        "</f>
        <v xml:space="preserve">MADAME CURIE                                                                                        </v>
      </c>
      <c r="D179" s="26" t="str">
        <f>"TIEMPO COMPLETO"</f>
        <v>TIEMPO COMPLETO</v>
      </c>
      <c r="E179" s="26" t="str">
        <f>"EJIDO HEORES DE PADIERNA S/N                                                    "</f>
        <v xml:space="preserve">EJIDO HEORES DE PADIERNA S/N                                                    </v>
      </c>
      <c r="F179" s="26" t="str">
        <f>"SAN FRANCISCO CULHUACAN                                                                                                                     "</f>
        <v xml:space="preserve">SAN FRANCISCO CULHUACAN                                                                                                                     </v>
      </c>
      <c r="G179" s="26" t="str">
        <f>"COYOACAN                                                                        "</f>
        <v xml:space="preserve">COYOACAN                                                                        </v>
      </c>
      <c r="H179" s="26" t="str">
        <f>"021"</f>
        <v>021</v>
      </c>
      <c r="I179" s="26" t="str">
        <f t="shared" si="25"/>
        <v>00</v>
      </c>
      <c r="J179" s="26" t="str">
        <f>"54 "</f>
        <v xml:space="preserve">54 </v>
      </c>
      <c r="K179" s="26" t="str">
        <f>"SG"</f>
        <v>SG</v>
      </c>
      <c r="L179" s="26" t="str">
        <f>"DGOSE"</f>
        <v>DGOSE</v>
      </c>
      <c r="M179" s="26" t="str">
        <f t="shared" si="26"/>
        <v>FEDERAL</v>
      </c>
      <c r="N179" s="26">
        <v>563</v>
      </c>
      <c r="O179" s="26">
        <v>285</v>
      </c>
      <c r="P179" s="26">
        <v>278</v>
      </c>
      <c r="Q179" s="26">
        <v>16</v>
      </c>
      <c r="R179" s="26">
        <v>2</v>
      </c>
      <c r="S179" s="26">
        <v>53</v>
      </c>
      <c r="T179" s="26">
        <v>44</v>
      </c>
      <c r="U179" s="26">
        <v>99</v>
      </c>
      <c r="V179" s="26">
        <v>1</v>
      </c>
      <c r="W179" s="26" t="s">
        <v>218</v>
      </c>
    </row>
    <row r="180" spans="1:23" x14ac:dyDescent="0.25">
      <c r="A180" s="26" t="str">
        <f t="shared" si="24"/>
        <v>SECUNDARIA</v>
      </c>
      <c r="B180" s="26" t="str">
        <f>"09DES0179T"</f>
        <v>09DES0179T</v>
      </c>
      <c r="C180" s="26" t="str">
        <f>"MOTECUZOMA ILHUICAMINA                                                                              "</f>
        <v xml:space="preserve">MOTECUZOMA ILHUICAMINA                                                                              </v>
      </c>
      <c r="D180" s="26" t="str">
        <f>"MATUTINO"</f>
        <v>MATUTINO</v>
      </c>
      <c r="E180" s="26" t="str">
        <f>"FERNANDO URRUTIA Y HERIBERTO JARA                                               "</f>
        <v xml:space="preserve">FERNANDO URRUTIA Y HERIBERTO JARA                                               </v>
      </c>
      <c r="F180" s="26" t="str">
        <f>"SANTA MARTHA ACATITLA                                                                                                                       "</f>
        <v xml:space="preserve">SANTA MARTHA ACATITLA                                                                                                                       </v>
      </c>
      <c r="G180" s="26" t="str">
        <f>"IZTAPALAPA                                                                      "</f>
        <v xml:space="preserve">IZTAPALAPA                                                                      </v>
      </c>
      <c r="H180" s="26" t="str">
        <f>"005"</f>
        <v>005</v>
      </c>
      <c r="I180" s="26" t="str">
        <f t="shared" si="25"/>
        <v>00</v>
      </c>
      <c r="J180" s="26" t="str">
        <f>"62 "</f>
        <v xml:space="preserve">62 </v>
      </c>
      <c r="K180" s="26" t="str">
        <f>"IZ"</f>
        <v>IZ</v>
      </c>
      <c r="L180" s="26" t="str">
        <f>"DGSEI"</f>
        <v>DGSEI</v>
      </c>
      <c r="M180" s="26" t="str">
        <f t="shared" si="26"/>
        <v>FEDERAL</v>
      </c>
      <c r="N180" s="26">
        <v>753</v>
      </c>
      <c r="O180" s="26">
        <v>352</v>
      </c>
      <c r="P180" s="26">
        <v>401</v>
      </c>
      <c r="Q180" s="26">
        <v>18</v>
      </c>
      <c r="R180" s="26">
        <v>2</v>
      </c>
      <c r="S180" s="26">
        <v>44</v>
      </c>
      <c r="T180" s="26">
        <v>23</v>
      </c>
      <c r="U180" s="26">
        <v>69</v>
      </c>
      <c r="V180" s="26">
        <v>1</v>
      </c>
      <c r="W180" s="26"/>
    </row>
    <row r="181" spans="1:23" x14ac:dyDescent="0.25">
      <c r="A181" s="26" t="str">
        <f t="shared" si="24"/>
        <v>SECUNDARIA</v>
      </c>
      <c r="B181" s="26" t="str">
        <f>"09DES0180I"</f>
        <v>09DES0180I</v>
      </c>
      <c r="C181" s="26" t="str">
        <f>""" OCTAVIO PAZ ""                                                                                     "</f>
        <v xml:space="preserve">" OCTAVIO PAZ "                                                                                     </v>
      </c>
      <c r="D181" s="26" t="str">
        <f>"MATUTINO"</f>
        <v>MATUTINO</v>
      </c>
      <c r="E181" s="26" t="str">
        <f>"CAMINO REAL SAN MATEO Y AV ACUEDUCTO                                            "</f>
        <v xml:space="preserve">CAMINO REAL SAN MATEO Y AV ACUEDUCTO                                            </v>
      </c>
      <c r="F181" s="26" t="str">
        <f>"SAN LUCAS XOCHIMANCA                                                                                                                        "</f>
        <v xml:space="preserve">SAN LUCAS XOCHIMANCA                                                                                                                        </v>
      </c>
      <c r="G181" s="26" t="str">
        <f>"XOCHIMILCO                                                                      "</f>
        <v xml:space="preserve">XOCHIMILCO                                                                      </v>
      </c>
      <c r="H181" s="26" t="str">
        <f>"080"</f>
        <v>080</v>
      </c>
      <c r="I181" s="26" t="str">
        <f t="shared" si="25"/>
        <v>00</v>
      </c>
      <c r="J181" s="26" t="str">
        <f>"55 "</f>
        <v xml:space="preserve">55 </v>
      </c>
      <c r="K181" s="26" t="str">
        <f>"SG"</f>
        <v>SG</v>
      </c>
      <c r="L181" s="26" t="str">
        <f>"DGOSE"</f>
        <v>DGOSE</v>
      </c>
      <c r="M181" s="26" t="str">
        <f t="shared" si="26"/>
        <v>FEDERAL</v>
      </c>
      <c r="N181" s="26">
        <v>693</v>
      </c>
      <c r="O181" s="26">
        <v>332</v>
      </c>
      <c r="P181" s="26">
        <v>361</v>
      </c>
      <c r="Q181" s="26">
        <v>16</v>
      </c>
      <c r="R181" s="26">
        <v>2</v>
      </c>
      <c r="S181" s="26">
        <v>35</v>
      </c>
      <c r="T181" s="26">
        <v>32</v>
      </c>
      <c r="U181" s="26">
        <v>69</v>
      </c>
      <c r="V181" s="26">
        <v>1</v>
      </c>
      <c r="W181" s="26"/>
    </row>
    <row r="182" spans="1:23" x14ac:dyDescent="0.25">
      <c r="A182" s="26" t="str">
        <f t="shared" si="24"/>
        <v>SECUNDARIA</v>
      </c>
      <c r="B182" s="26" t="str">
        <f>"09DES0181H"</f>
        <v>09DES0181H</v>
      </c>
      <c r="C182" s="26" t="str">
        <f>"PUERTO DE ALVARADO                                                                                  "</f>
        <v xml:space="preserve">PUERTO DE ALVARADO                                                                                  </v>
      </c>
      <c r="D182" s="26" t="str">
        <f>"MATUTINO"</f>
        <v>MATUTINO</v>
      </c>
      <c r="E182" s="26" t="str">
        <f>"KANTUNIL Y TIXMEHUAC                                                            "</f>
        <v xml:space="preserve">KANTUNIL Y TIXMEHUAC                                                            </v>
      </c>
      <c r="F182" s="26" t="str">
        <f>"PEDREGAL DE SAN NICOLAS                                                                                                                     "</f>
        <v xml:space="preserve">PEDREGAL DE SAN NICOLAS                                                                                                                     </v>
      </c>
      <c r="G182" s="26" t="str">
        <f>"TLALPAN                                                                         "</f>
        <v xml:space="preserve">TLALPAN                                                                         </v>
      </c>
      <c r="H182" s="26" t="str">
        <f>"071"</f>
        <v>071</v>
      </c>
      <c r="I182" s="26" t="str">
        <f t="shared" si="25"/>
        <v>00</v>
      </c>
      <c r="J182" s="26" t="str">
        <f>"55 "</f>
        <v xml:space="preserve">55 </v>
      </c>
      <c r="K182" s="26" t="str">
        <f>"SG"</f>
        <v>SG</v>
      </c>
      <c r="L182" s="26" t="str">
        <f>"DGOSE"</f>
        <v>DGOSE</v>
      </c>
      <c r="M182" s="26" t="str">
        <f t="shared" si="26"/>
        <v>FEDERAL</v>
      </c>
      <c r="N182" s="26">
        <v>692</v>
      </c>
      <c r="O182" s="26">
        <v>326</v>
      </c>
      <c r="P182" s="26">
        <v>366</v>
      </c>
      <c r="Q182" s="26">
        <v>15</v>
      </c>
      <c r="R182" s="26">
        <v>2</v>
      </c>
      <c r="S182" s="26">
        <v>33</v>
      </c>
      <c r="T182" s="26">
        <v>23</v>
      </c>
      <c r="U182" s="26">
        <v>58</v>
      </c>
      <c r="V182" s="26">
        <v>1</v>
      </c>
      <c r="W182" s="26"/>
    </row>
    <row r="183" spans="1:23" x14ac:dyDescent="0.25">
      <c r="A183" s="26" t="str">
        <f t="shared" si="24"/>
        <v>SECUNDARIA</v>
      </c>
      <c r="B183" s="26" t="str">
        <f>"09DES0182G"</f>
        <v>09DES0182G</v>
      </c>
      <c r="C183" s="26" t="str">
        <f>"ALEXIS CARRELL                                                                                      "</f>
        <v xml:space="preserve">ALEXIS CARRELL                                                                                      </v>
      </c>
      <c r="D183" s="26" t="str">
        <f>"MATUTINO"</f>
        <v>MATUTINO</v>
      </c>
      <c r="E183" s="26" t="str">
        <f>"ING. GONZALEZ CAMARENA NO. 103                                                  "</f>
        <v xml:space="preserve">ING. GONZALEZ CAMARENA NO. 103                                                  </v>
      </c>
      <c r="F183" s="26" t="str">
        <f>"JACARANDAS                                                                                                                                  "</f>
        <v xml:space="preserve">JACARANDAS                                                                                                                                  </v>
      </c>
      <c r="G183" s="26" t="str">
        <f>"IZTAPALAPA                                                                      "</f>
        <v xml:space="preserve">IZTAPALAPA                                                                      </v>
      </c>
      <c r="H183" s="26" t="str">
        <f>"007"</f>
        <v>007</v>
      </c>
      <c r="I183" s="26" t="str">
        <f t="shared" si="25"/>
        <v>00</v>
      </c>
      <c r="J183" s="26" t="str">
        <f>"62 "</f>
        <v xml:space="preserve">62 </v>
      </c>
      <c r="K183" s="26" t="str">
        <f>"IZ"</f>
        <v>IZ</v>
      </c>
      <c r="L183" s="26" t="str">
        <f>"DGSEI"</f>
        <v>DGSEI</v>
      </c>
      <c r="M183" s="26" t="str">
        <f t="shared" si="26"/>
        <v>FEDERAL</v>
      </c>
      <c r="N183" s="26">
        <v>633</v>
      </c>
      <c r="O183" s="26">
        <v>295</v>
      </c>
      <c r="P183" s="26">
        <v>338</v>
      </c>
      <c r="Q183" s="26">
        <v>16</v>
      </c>
      <c r="R183" s="26">
        <v>2</v>
      </c>
      <c r="S183" s="26">
        <v>39</v>
      </c>
      <c r="T183" s="26">
        <v>21</v>
      </c>
      <c r="U183" s="26">
        <v>62</v>
      </c>
      <c r="V183" s="26">
        <v>1</v>
      </c>
      <c r="W183" s="26"/>
    </row>
    <row r="184" spans="1:23" x14ac:dyDescent="0.25">
      <c r="A184" s="26" t="str">
        <f t="shared" si="24"/>
        <v>SECUNDARIA</v>
      </c>
      <c r="B184" s="26" t="str">
        <f>"09DES0183F"</f>
        <v>09DES0183F</v>
      </c>
      <c r="C184" s="26" t="str">
        <f>"REPUBLICA DEMOCRATICA ALEMANA                                                                       "</f>
        <v xml:space="preserve">REPUBLICA DEMOCRATICA ALEMANA                                                                       </v>
      </c>
      <c r="D184" s="26" t="str">
        <f>"JORNADA AMPLIADA"</f>
        <v>JORNADA AMPLIADA</v>
      </c>
      <c r="E184" s="26" t="str">
        <f>"LATONEROS NO 107                                                                "</f>
        <v xml:space="preserve">LATONEROS NO 107                                                                </v>
      </c>
      <c r="F184" s="26" t="str">
        <f>"TRABAJADORES DEL HIERRO                                                                                                                     "</f>
        <v xml:space="preserve">TRABAJADORES DEL HIERRO                                                                                                                     </v>
      </c>
      <c r="G184" s="26" t="str">
        <f>"AZCAPOTZALCO                                                                    "</f>
        <v xml:space="preserve">AZCAPOTZALCO                                                                    </v>
      </c>
      <c r="H184" s="26" t="str">
        <f>"010"</f>
        <v>010</v>
      </c>
      <c r="I184" s="26" t="str">
        <f t="shared" si="25"/>
        <v>00</v>
      </c>
      <c r="J184" s="26" t="str">
        <f>"51 "</f>
        <v xml:space="preserve">51 </v>
      </c>
      <c r="K184" s="26" t="str">
        <f t="shared" ref="K184:K194" si="33">"SG"</f>
        <v>SG</v>
      </c>
      <c r="L184" s="26" t="str">
        <f t="shared" ref="L184:L194" si="34">"DGOSE"</f>
        <v>DGOSE</v>
      </c>
      <c r="M184" s="26" t="str">
        <f t="shared" si="26"/>
        <v>FEDERAL</v>
      </c>
      <c r="N184" s="26">
        <v>169</v>
      </c>
      <c r="O184" s="26">
        <v>74</v>
      </c>
      <c r="P184" s="26">
        <v>95</v>
      </c>
      <c r="Q184" s="26">
        <v>6</v>
      </c>
      <c r="R184" s="26">
        <v>2</v>
      </c>
      <c r="S184" s="26">
        <v>16</v>
      </c>
      <c r="T184" s="26">
        <v>15</v>
      </c>
      <c r="U184" s="26">
        <v>33</v>
      </c>
      <c r="V184" s="26">
        <v>1</v>
      </c>
      <c r="W184" s="26" t="s">
        <v>2076</v>
      </c>
    </row>
    <row r="185" spans="1:23" x14ac:dyDescent="0.25">
      <c r="A185" s="26" t="str">
        <f t="shared" si="24"/>
        <v>SECUNDARIA</v>
      </c>
      <c r="B185" s="26" t="str">
        <f>"09DES0184E"</f>
        <v>09DES0184E</v>
      </c>
      <c r="C185" s="26" t="str">
        <f>"EULALIA GUZMAN                                                                                      "</f>
        <v xml:space="preserve">EULALIA GUZMAN                                                                                      </v>
      </c>
      <c r="D185" s="26" t="str">
        <f>"MATUTINO"</f>
        <v>MATUTINO</v>
      </c>
      <c r="E185" s="26" t="str">
        <f>"BORRASCA Y BLVD TEMOLUCO                                                        "</f>
        <v xml:space="preserve">BORRASCA Y BLVD TEMOLUCO                                                        </v>
      </c>
      <c r="F185" s="26" t="str">
        <f>"UNIDAD ACUEDUCTO DE GUADALUPE                                                                                                               "</f>
        <v xml:space="preserve">UNIDAD ACUEDUCTO DE GUADALUPE                                                                                                               </v>
      </c>
      <c r="G185" s="26" t="str">
        <f>"GUSTAVO A. MADERO                                                               "</f>
        <v xml:space="preserve">GUSTAVO A. MADERO                                                               </v>
      </c>
      <c r="H185" s="26" t="str">
        <f>"035"</f>
        <v>035</v>
      </c>
      <c r="I185" s="26" t="str">
        <f t="shared" si="25"/>
        <v>00</v>
      </c>
      <c r="J185" s="26" t="str">
        <f>"52 "</f>
        <v xml:space="preserve">52 </v>
      </c>
      <c r="K185" s="26" t="str">
        <f t="shared" si="33"/>
        <v>SG</v>
      </c>
      <c r="L185" s="26" t="str">
        <f t="shared" si="34"/>
        <v>DGOSE</v>
      </c>
      <c r="M185" s="26" t="str">
        <f t="shared" si="26"/>
        <v>FEDERAL</v>
      </c>
      <c r="N185" s="26">
        <v>583</v>
      </c>
      <c r="O185" s="26">
        <v>289</v>
      </c>
      <c r="P185" s="26">
        <v>294</v>
      </c>
      <c r="Q185" s="26">
        <v>15</v>
      </c>
      <c r="R185" s="26">
        <v>2</v>
      </c>
      <c r="S185" s="26">
        <v>32</v>
      </c>
      <c r="T185" s="26">
        <v>23</v>
      </c>
      <c r="U185" s="26">
        <v>57</v>
      </c>
      <c r="V185" s="26">
        <v>1</v>
      </c>
      <c r="W185" s="26"/>
    </row>
    <row r="186" spans="1:23" x14ac:dyDescent="0.25">
      <c r="A186" s="26" t="str">
        <f t="shared" si="24"/>
        <v>SECUNDARIA</v>
      </c>
      <c r="B186" s="26" t="str">
        <f>"09DES0185D"</f>
        <v>09DES0185D</v>
      </c>
      <c r="C186" s="26" t="str">
        <f>"JOSE REVUELTAS                                                                                      "</f>
        <v xml:space="preserve">JOSE REVUELTAS                                                                                      </v>
      </c>
      <c r="D186" s="26" t="str">
        <f>"MATUTINO"</f>
        <v>MATUTINO</v>
      </c>
      <c r="E186" s="26" t="str">
        <f>"ESTADO DE VERACRUZ Y CAMINO DE LA VOLUNTAD                                      "</f>
        <v xml:space="preserve">ESTADO DE VERACRUZ Y CAMINO DE LA VOLUNTAD                                      </v>
      </c>
      <c r="F186" s="26" t="str">
        <f>"CAMPESTRE ARAGON                                                                                                                            "</f>
        <v xml:space="preserve">CAMPESTRE ARAGON                                                                                                                            </v>
      </c>
      <c r="G186" s="26" t="str">
        <f>"GUSTAVO A. MADERO                                                               "</f>
        <v xml:space="preserve">GUSTAVO A. MADERO                                                               </v>
      </c>
      <c r="H186" s="26" t="str">
        <f>"040"</f>
        <v>040</v>
      </c>
      <c r="I186" s="26" t="str">
        <f t="shared" si="25"/>
        <v>00</v>
      </c>
      <c r="J186" s="26" t="str">
        <f>"52 "</f>
        <v xml:space="preserve">52 </v>
      </c>
      <c r="K186" s="26" t="str">
        <f t="shared" si="33"/>
        <v>SG</v>
      </c>
      <c r="L186" s="26" t="str">
        <f t="shared" si="34"/>
        <v>DGOSE</v>
      </c>
      <c r="M186" s="26" t="str">
        <f t="shared" si="26"/>
        <v>FEDERAL</v>
      </c>
      <c r="N186" s="26">
        <v>536</v>
      </c>
      <c r="O186" s="26">
        <v>277</v>
      </c>
      <c r="P186" s="26">
        <v>259</v>
      </c>
      <c r="Q186" s="26">
        <v>16</v>
      </c>
      <c r="R186" s="26">
        <v>2</v>
      </c>
      <c r="S186" s="26">
        <v>35</v>
      </c>
      <c r="T186" s="26">
        <v>25</v>
      </c>
      <c r="U186" s="26">
        <v>62</v>
      </c>
      <c r="V186" s="26">
        <v>1</v>
      </c>
      <c r="W186" s="26"/>
    </row>
    <row r="187" spans="1:23" x14ac:dyDescent="0.25">
      <c r="A187" s="26" t="str">
        <f t="shared" si="24"/>
        <v>SECUNDARIA</v>
      </c>
      <c r="B187" s="26" t="str">
        <f>"09DES0186C"</f>
        <v>09DES0186C</v>
      </c>
      <c r="C187" s="26" t="str">
        <f>"RAFAEL MOLINA BETANCOURT                                                                            "</f>
        <v xml:space="preserve">RAFAEL MOLINA BETANCOURT                                                                            </v>
      </c>
      <c r="D187" s="26" t="str">
        <f>"TIEMPO COMPLETO"</f>
        <v>TIEMPO COMPLETO</v>
      </c>
      <c r="E187" s="26" t="str">
        <f>"GUILLERMO PRIETO S/N ESQ ANTONIO ESCUDERO                                       "</f>
        <v xml:space="preserve">GUILLERMO PRIETO S/N ESQ ANTONIO ESCUDERO                                       </v>
      </c>
      <c r="F187" s="26" t="str">
        <f>"CAMPAMENTO 2 DE OCTUBRE                                                                                                                     "</f>
        <v xml:space="preserve">CAMPAMENTO 2 DE OCTUBRE                                                                                                                     </v>
      </c>
      <c r="G187" s="26" t="str">
        <f>"IZTACALCO                                                                       "</f>
        <v xml:space="preserve">IZTACALCO                                                                       </v>
      </c>
      <c r="H187" s="26" t="str">
        <f>"045"</f>
        <v>045</v>
      </c>
      <c r="I187" s="26" t="str">
        <f t="shared" si="25"/>
        <v>00</v>
      </c>
      <c r="J187" s="26" t="str">
        <f>"54 "</f>
        <v xml:space="preserve">54 </v>
      </c>
      <c r="K187" s="26" t="str">
        <f t="shared" si="33"/>
        <v>SG</v>
      </c>
      <c r="L187" s="26" t="str">
        <f t="shared" si="34"/>
        <v>DGOSE</v>
      </c>
      <c r="M187" s="26" t="str">
        <f t="shared" si="26"/>
        <v>FEDERAL</v>
      </c>
      <c r="N187" s="26">
        <v>254</v>
      </c>
      <c r="O187" s="26">
        <v>130</v>
      </c>
      <c r="P187" s="26">
        <v>124</v>
      </c>
      <c r="Q187" s="26">
        <v>11</v>
      </c>
      <c r="R187" s="26">
        <v>2</v>
      </c>
      <c r="S187" s="26">
        <v>35</v>
      </c>
      <c r="T187" s="26">
        <v>29</v>
      </c>
      <c r="U187" s="26">
        <v>66</v>
      </c>
      <c r="V187" s="26">
        <v>1</v>
      </c>
      <c r="W187" s="26" t="s">
        <v>218</v>
      </c>
    </row>
    <row r="188" spans="1:23" x14ac:dyDescent="0.25">
      <c r="A188" s="26" t="str">
        <f t="shared" si="24"/>
        <v>SECUNDARIA</v>
      </c>
      <c r="B188" s="26" t="str">
        <f>"09DES0187B"</f>
        <v>09DES0187B</v>
      </c>
      <c r="C188" s="26" t="str">
        <f>"JOAQUIN GARCIA ICAZBALCETA                                                                          "</f>
        <v xml:space="preserve">JOAQUIN GARCIA ICAZBALCETA                                                                          </v>
      </c>
      <c r="D188" s="26" t="str">
        <f>"JORNADA AMPLIADA"</f>
        <v>JORNADA AMPLIADA</v>
      </c>
      <c r="E188" s="26" t="str">
        <f>"XOCONGO NO. 140                                                                 "</f>
        <v xml:space="preserve">XOCONGO NO. 140                                                                 </v>
      </c>
      <c r="F188" s="26" t="str">
        <f>"TRANSITO                                                                                                                                    "</f>
        <v xml:space="preserve">TRANSITO                                                                                                                                    </v>
      </c>
      <c r="G188" s="26" t="str">
        <f>"CUAUHTEMOC                                                                      "</f>
        <v xml:space="preserve">CUAUHTEMOC                                                                      </v>
      </c>
      <c r="H188" s="26" t="str">
        <f>"025"</f>
        <v>025</v>
      </c>
      <c r="I188" s="26" t="str">
        <f t="shared" si="25"/>
        <v>00</v>
      </c>
      <c r="J188" s="26" t="str">
        <f>"51 "</f>
        <v xml:space="preserve">51 </v>
      </c>
      <c r="K188" s="26" t="str">
        <f t="shared" si="33"/>
        <v>SG</v>
      </c>
      <c r="L188" s="26" t="str">
        <f t="shared" si="34"/>
        <v>DGOSE</v>
      </c>
      <c r="M188" s="26" t="str">
        <f t="shared" si="26"/>
        <v>FEDERAL</v>
      </c>
      <c r="N188" s="26">
        <v>371</v>
      </c>
      <c r="O188" s="26">
        <v>196</v>
      </c>
      <c r="P188" s="26">
        <v>175</v>
      </c>
      <c r="Q188" s="26">
        <v>15</v>
      </c>
      <c r="R188" s="26">
        <v>2</v>
      </c>
      <c r="S188" s="26">
        <v>42</v>
      </c>
      <c r="T188" s="26">
        <v>23</v>
      </c>
      <c r="U188" s="26">
        <v>67</v>
      </c>
      <c r="V188" s="26">
        <v>1</v>
      </c>
      <c r="W188" s="26" t="s">
        <v>2076</v>
      </c>
    </row>
    <row r="189" spans="1:23" x14ac:dyDescent="0.25">
      <c r="A189" s="26" t="str">
        <f t="shared" si="24"/>
        <v>SECUNDARIA</v>
      </c>
      <c r="B189" s="26" t="str">
        <f>"09DES0188A"</f>
        <v>09DES0188A</v>
      </c>
      <c r="C189" s="26" t="str">
        <f>"""AZTECAS""                                                                                           "</f>
        <v xml:space="preserve">"AZTECAS"                                                                                           </v>
      </c>
      <c r="D189" s="26" t="str">
        <f t="shared" ref="D189:D200" si="35">"MATUTINO"</f>
        <v>MATUTINO</v>
      </c>
      <c r="E189" s="26" t="str">
        <f>"AMATL S/N ESQ XOCHIAPAN                                                         "</f>
        <v xml:space="preserve">AMATL S/N ESQ XOCHIAPAN                                                         </v>
      </c>
      <c r="F189" s="26" t="str">
        <f>"PEDREGAL DE SANTO DOMINGO                                                                                                                   "</f>
        <v xml:space="preserve">PEDREGAL DE SANTO DOMINGO                                                                                                                   </v>
      </c>
      <c r="G189" s="26" t="str">
        <f>"COYOACAN                                                                        "</f>
        <v xml:space="preserve">COYOACAN                                                                        </v>
      </c>
      <c r="H189" s="26" t="str">
        <f>"022"</f>
        <v>022</v>
      </c>
      <c r="I189" s="26" t="str">
        <f t="shared" si="25"/>
        <v>00</v>
      </c>
      <c r="J189" s="26" t="str">
        <f>"54 "</f>
        <v xml:space="preserve">54 </v>
      </c>
      <c r="K189" s="26" t="str">
        <f t="shared" si="33"/>
        <v>SG</v>
      </c>
      <c r="L189" s="26" t="str">
        <f t="shared" si="34"/>
        <v>DGOSE</v>
      </c>
      <c r="M189" s="26" t="str">
        <f t="shared" si="26"/>
        <v>FEDERAL</v>
      </c>
      <c r="N189" s="26">
        <v>639</v>
      </c>
      <c r="O189" s="26">
        <v>329</v>
      </c>
      <c r="P189" s="26">
        <v>310</v>
      </c>
      <c r="Q189" s="26">
        <v>15</v>
      </c>
      <c r="R189" s="26">
        <v>2</v>
      </c>
      <c r="S189" s="26">
        <v>32</v>
      </c>
      <c r="T189" s="26">
        <v>29</v>
      </c>
      <c r="U189" s="26">
        <v>63</v>
      </c>
      <c r="V189" s="26">
        <v>1</v>
      </c>
      <c r="W189" s="26"/>
    </row>
    <row r="190" spans="1:23" x14ac:dyDescent="0.25">
      <c r="A190" s="26" t="str">
        <f t="shared" si="24"/>
        <v>SECUNDARIA</v>
      </c>
      <c r="B190" s="26" t="str">
        <f>"09DES0189Z"</f>
        <v>09DES0189Z</v>
      </c>
      <c r="C190" s="26" t="str">
        <f>"OLOF PALME                                                                                          "</f>
        <v xml:space="preserve">OLOF PALME                                                                                          </v>
      </c>
      <c r="D190" s="26" t="str">
        <f t="shared" si="35"/>
        <v>MATUTINO</v>
      </c>
      <c r="E190" s="26" t="str">
        <f>"PROL CUAUHTEMOC Y AV ATZAYACATL                                                 "</f>
        <v xml:space="preserve">PROL CUAUHTEMOC Y AV ATZAYACATL                                                 </v>
      </c>
      <c r="F190" s="26" t="str">
        <f>"SANTA ISABEL TOLA                                                                                                                           "</f>
        <v xml:space="preserve">SANTA ISABEL TOLA                                                                                                                           </v>
      </c>
      <c r="G190" s="26" t="str">
        <f>"GUSTAVO A. MADERO                                                               "</f>
        <v xml:space="preserve">GUSTAVO A. MADERO                                                               </v>
      </c>
      <c r="H190" s="26" t="str">
        <f>"033"</f>
        <v>033</v>
      </c>
      <c r="I190" s="26" t="str">
        <f t="shared" si="25"/>
        <v>00</v>
      </c>
      <c r="J190" s="26" t="str">
        <f>"52 "</f>
        <v xml:space="preserve">52 </v>
      </c>
      <c r="K190" s="26" t="str">
        <f t="shared" si="33"/>
        <v>SG</v>
      </c>
      <c r="L190" s="26" t="str">
        <f t="shared" si="34"/>
        <v>DGOSE</v>
      </c>
      <c r="M190" s="26" t="str">
        <f t="shared" si="26"/>
        <v>FEDERAL</v>
      </c>
      <c r="N190" s="26">
        <v>497</v>
      </c>
      <c r="O190" s="26">
        <v>261</v>
      </c>
      <c r="P190" s="26">
        <v>236</v>
      </c>
      <c r="Q190" s="26">
        <v>15</v>
      </c>
      <c r="R190" s="26">
        <v>2</v>
      </c>
      <c r="S190" s="26">
        <v>32</v>
      </c>
      <c r="T190" s="26">
        <v>24</v>
      </c>
      <c r="U190" s="26">
        <v>58</v>
      </c>
      <c r="V190" s="26">
        <v>1</v>
      </c>
      <c r="W190" s="26"/>
    </row>
    <row r="191" spans="1:23" x14ac:dyDescent="0.25">
      <c r="A191" s="26" t="str">
        <f t="shared" si="24"/>
        <v>SECUNDARIA</v>
      </c>
      <c r="B191" s="26" t="str">
        <f>"09DES0190P"</f>
        <v>09DES0190P</v>
      </c>
      <c r="C191" s="26" t="str">
        <f>"CARLOS PELLICER                                                                                     "</f>
        <v xml:space="preserve">CARLOS PELLICER                                                                                     </v>
      </c>
      <c r="D191" s="26" t="str">
        <f t="shared" si="35"/>
        <v>MATUTINO</v>
      </c>
      <c r="E191" s="26" t="str">
        <f>"PROL PLAZUELA REAL DE LOS REYES S/N                                             "</f>
        <v xml:space="preserve">PROL PLAZUELA REAL DE LOS REYES S/N                                             </v>
      </c>
      <c r="F191" s="26" t="str">
        <f>"LOS REYES                                                                                                                                   "</f>
        <v xml:space="preserve">LOS REYES                                                                                                                                   </v>
      </c>
      <c r="G191" s="26" t="str">
        <f>"COYOACAN                                                                        "</f>
        <v xml:space="preserve">COYOACAN                                                                        </v>
      </c>
      <c r="H191" s="26" t="str">
        <f>"019"</f>
        <v>019</v>
      </c>
      <c r="I191" s="26" t="str">
        <f t="shared" si="25"/>
        <v>00</v>
      </c>
      <c r="J191" s="26" t="str">
        <f>"54 "</f>
        <v xml:space="preserve">54 </v>
      </c>
      <c r="K191" s="26" t="str">
        <f t="shared" si="33"/>
        <v>SG</v>
      </c>
      <c r="L191" s="26" t="str">
        <f t="shared" si="34"/>
        <v>DGOSE</v>
      </c>
      <c r="M191" s="26" t="str">
        <f t="shared" si="26"/>
        <v>FEDERAL</v>
      </c>
      <c r="N191" s="26">
        <v>637</v>
      </c>
      <c r="O191" s="26">
        <v>330</v>
      </c>
      <c r="P191" s="26">
        <v>307</v>
      </c>
      <c r="Q191" s="26">
        <v>14</v>
      </c>
      <c r="R191" s="26">
        <v>2</v>
      </c>
      <c r="S191" s="26">
        <v>30</v>
      </c>
      <c r="T191" s="26">
        <v>21</v>
      </c>
      <c r="U191" s="26">
        <v>53</v>
      </c>
      <c r="V191" s="26">
        <v>1</v>
      </c>
      <c r="W191" s="26"/>
    </row>
    <row r="192" spans="1:23" x14ac:dyDescent="0.25">
      <c r="A192" s="26" t="str">
        <f t="shared" si="24"/>
        <v>SECUNDARIA</v>
      </c>
      <c r="B192" s="26" t="str">
        <f>"09DES0191O"</f>
        <v>09DES0191O</v>
      </c>
      <c r="C192" s="26" t="str">
        <f>"SILVESTRE REVUELTAS                                                                                 "</f>
        <v xml:space="preserve">SILVESTRE REVUELTAS                                                                                 </v>
      </c>
      <c r="D192" s="26" t="str">
        <f t="shared" si="35"/>
        <v>MATUTINO</v>
      </c>
      <c r="E192" s="26" t="str">
        <f>"VILLA CUAUHTEMOC Y VILLA MOTOLIN                                                "</f>
        <v xml:space="preserve">VILLA CUAUHTEMOC Y VILLA MOTOLIN                                                </v>
      </c>
      <c r="F192" s="26" t="str">
        <f>"VILLA DE ARAGON                                                                                                                             "</f>
        <v xml:space="preserve">VILLA DE ARAGON                                                                                                                             </v>
      </c>
      <c r="G192" s="26" t="str">
        <f>"GUSTAVO A. MADERO                                                               "</f>
        <v xml:space="preserve">GUSTAVO A. MADERO                                                               </v>
      </c>
      <c r="H192" s="26" t="str">
        <f>"041"</f>
        <v>041</v>
      </c>
      <c r="I192" s="26" t="str">
        <f t="shared" si="25"/>
        <v>00</v>
      </c>
      <c r="J192" s="26" t="str">
        <f>"52 "</f>
        <v xml:space="preserve">52 </v>
      </c>
      <c r="K192" s="26" t="str">
        <f t="shared" si="33"/>
        <v>SG</v>
      </c>
      <c r="L192" s="26" t="str">
        <f t="shared" si="34"/>
        <v>DGOSE</v>
      </c>
      <c r="M192" s="26" t="str">
        <f t="shared" si="26"/>
        <v>FEDERAL</v>
      </c>
      <c r="N192" s="26">
        <v>560</v>
      </c>
      <c r="O192" s="26">
        <v>275</v>
      </c>
      <c r="P192" s="26">
        <v>285</v>
      </c>
      <c r="Q192" s="26">
        <v>15</v>
      </c>
      <c r="R192" s="26">
        <v>2</v>
      </c>
      <c r="S192" s="26">
        <v>39</v>
      </c>
      <c r="T192" s="26">
        <v>28</v>
      </c>
      <c r="U192" s="26">
        <v>69</v>
      </c>
      <c r="V192" s="26">
        <v>1</v>
      </c>
      <c r="W192" s="26"/>
    </row>
    <row r="193" spans="1:23" x14ac:dyDescent="0.25">
      <c r="A193" s="26" t="str">
        <f t="shared" si="24"/>
        <v>SECUNDARIA</v>
      </c>
      <c r="B193" s="26" t="str">
        <f>"09DES0192N"</f>
        <v>09DES0192N</v>
      </c>
      <c r="C193" s="26" t="str">
        <f>"VICENTE RIVA PALACIO GUERRERO                                                                       "</f>
        <v xml:space="preserve">VICENTE RIVA PALACIO GUERRERO                                                                       </v>
      </c>
      <c r="D193" s="26" t="str">
        <f t="shared" si="35"/>
        <v>MATUTINO</v>
      </c>
      <c r="E193" s="26" t="str">
        <f>"AV CIVILIZACIONES Y ALDEBARRAN                                                  "</f>
        <v xml:space="preserve">AV CIVILIZACIONES Y ALDEBARRAN                                                  </v>
      </c>
      <c r="F193" s="26" t="str">
        <f>"UNIDAD INFONAVIT EL ROSARIO                                                                                                                 "</f>
        <v xml:space="preserve">UNIDAD INFONAVIT EL ROSARIO                                                                                                                 </v>
      </c>
      <c r="G193" s="26" t="str">
        <f>"AZCAPOTZALCO                                                                    "</f>
        <v xml:space="preserve">AZCAPOTZALCO                                                                    </v>
      </c>
      <c r="H193" s="26" t="str">
        <f>"006"</f>
        <v>006</v>
      </c>
      <c r="I193" s="26" t="str">
        <f t="shared" si="25"/>
        <v>00</v>
      </c>
      <c r="J193" s="26" t="str">
        <f>"51 "</f>
        <v xml:space="preserve">51 </v>
      </c>
      <c r="K193" s="26" t="str">
        <f t="shared" si="33"/>
        <v>SG</v>
      </c>
      <c r="L193" s="26" t="str">
        <f t="shared" si="34"/>
        <v>DGOSE</v>
      </c>
      <c r="M193" s="26" t="str">
        <f t="shared" si="26"/>
        <v>FEDERAL</v>
      </c>
      <c r="N193" s="26">
        <v>390</v>
      </c>
      <c r="O193" s="26">
        <v>214</v>
      </c>
      <c r="P193" s="26">
        <v>176</v>
      </c>
      <c r="Q193" s="26">
        <v>18</v>
      </c>
      <c r="R193" s="26">
        <v>2</v>
      </c>
      <c r="S193" s="26">
        <v>29</v>
      </c>
      <c r="T193" s="26">
        <v>22</v>
      </c>
      <c r="U193" s="26">
        <v>53</v>
      </c>
      <c r="V193" s="26">
        <v>1</v>
      </c>
      <c r="W193" s="26"/>
    </row>
    <row r="194" spans="1:23" x14ac:dyDescent="0.25">
      <c r="A194" s="26" t="str">
        <f t="shared" ref="A194:A257" si="36">"SECUNDARIA"</f>
        <v>SECUNDARIA</v>
      </c>
      <c r="B194" s="26" t="str">
        <f>"09DES0193M"</f>
        <v>09DES0193M</v>
      </c>
      <c r="C194" s="26" t="str">
        <f>"JULIAN CARRILLO                                                                                     "</f>
        <v xml:space="preserve">JULIAN CARRILLO                                                                                     </v>
      </c>
      <c r="D194" s="26" t="str">
        <f t="shared" si="35"/>
        <v>MATUTINO</v>
      </c>
      <c r="E194" s="26" t="s">
        <v>4130</v>
      </c>
      <c r="F194" s="26" t="str">
        <f>"UNIDAD INFONAVIT EL ROSARIO                                                                                                                 "</f>
        <v xml:space="preserve">UNIDAD INFONAVIT EL ROSARIO                                                                                                                 </v>
      </c>
      <c r="G194" s="26" t="str">
        <f>"AZCAPOTZALCO                                                                    "</f>
        <v xml:space="preserve">AZCAPOTZALCO                                                                    </v>
      </c>
      <c r="H194" s="26" t="str">
        <f>"006"</f>
        <v>006</v>
      </c>
      <c r="I194" s="26" t="str">
        <f t="shared" ref="I194:I257" si="37">"00"</f>
        <v>00</v>
      </c>
      <c r="J194" s="26" t="str">
        <f>"51 "</f>
        <v xml:space="preserve">51 </v>
      </c>
      <c r="K194" s="26" t="str">
        <f t="shared" si="33"/>
        <v>SG</v>
      </c>
      <c r="L194" s="26" t="str">
        <f t="shared" si="34"/>
        <v>DGOSE</v>
      </c>
      <c r="M194" s="26" t="str">
        <f t="shared" ref="M194:M257" si="38">"FEDERAL"</f>
        <v>FEDERAL</v>
      </c>
      <c r="N194" s="26">
        <v>530</v>
      </c>
      <c r="O194" s="26">
        <v>273</v>
      </c>
      <c r="P194" s="26">
        <v>257</v>
      </c>
      <c r="Q194" s="26">
        <v>18</v>
      </c>
      <c r="R194" s="26">
        <v>2</v>
      </c>
      <c r="S194" s="26">
        <v>34</v>
      </c>
      <c r="T194" s="26">
        <v>25</v>
      </c>
      <c r="U194" s="26">
        <v>61</v>
      </c>
      <c r="V194" s="26">
        <v>1</v>
      </c>
      <c r="W194" s="26"/>
    </row>
    <row r="195" spans="1:23" x14ac:dyDescent="0.25">
      <c r="A195" s="26" t="str">
        <f t="shared" si="36"/>
        <v>SECUNDARIA</v>
      </c>
      <c r="B195" s="26" t="str">
        <f>"09DES0194L"</f>
        <v>09DES0194L</v>
      </c>
      <c r="C195" s="26" t="str">
        <f>"NICOLAS COPERNICO                                                                                   "</f>
        <v xml:space="preserve">NICOLAS COPERNICO                                                                                   </v>
      </c>
      <c r="D195" s="26" t="str">
        <f t="shared" si="35"/>
        <v>MATUTINO</v>
      </c>
      <c r="E195" s="26" t="str">
        <f>"CINE MEXICANO S/N ENTRE TECNICOS Y MANUALES                                     "</f>
        <v xml:space="preserve">CINE MEXICANO S/N ENTRE TECNICOS Y MANUALES                                     </v>
      </c>
      <c r="F195" s="26" t="str">
        <f>"LOMAS ESTRELLA                                                                                                                              "</f>
        <v xml:space="preserve">LOMAS ESTRELLA                                                                                                                              </v>
      </c>
      <c r="G195" s="26" t="str">
        <f>"IZTAPALAPA                                                                      "</f>
        <v xml:space="preserve">IZTAPALAPA                                                                      </v>
      </c>
      <c r="H195" s="26" t="str">
        <f>"011"</f>
        <v>011</v>
      </c>
      <c r="I195" s="26" t="str">
        <f t="shared" si="37"/>
        <v>00</v>
      </c>
      <c r="J195" s="26" t="str">
        <f>"63 "</f>
        <v xml:space="preserve">63 </v>
      </c>
      <c r="K195" s="26" t="str">
        <f>"IZ"</f>
        <v>IZ</v>
      </c>
      <c r="L195" s="26" t="str">
        <f>"DGSEI"</f>
        <v>DGSEI</v>
      </c>
      <c r="M195" s="26" t="str">
        <f t="shared" si="38"/>
        <v>FEDERAL</v>
      </c>
      <c r="N195" s="26">
        <v>618</v>
      </c>
      <c r="O195" s="26">
        <v>318</v>
      </c>
      <c r="P195" s="26">
        <v>300</v>
      </c>
      <c r="Q195" s="26">
        <v>15</v>
      </c>
      <c r="R195" s="26">
        <v>2</v>
      </c>
      <c r="S195" s="26">
        <v>34</v>
      </c>
      <c r="T195" s="26">
        <v>22</v>
      </c>
      <c r="U195" s="26">
        <v>58</v>
      </c>
      <c r="V195" s="26">
        <v>1</v>
      </c>
      <c r="W195" s="26"/>
    </row>
    <row r="196" spans="1:23" x14ac:dyDescent="0.25">
      <c r="A196" s="26" t="str">
        <f t="shared" si="36"/>
        <v>SECUNDARIA</v>
      </c>
      <c r="B196" s="26" t="str">
        <f>"09DES0195K"</f>
        <v>09DES0195K</v>
      </c>
      <c r="C196" s="26" t="str">
        <f>"""TLAMACHIHUAPAN""                                                                                    "</f>
        <v xml:space="preserve">"TLAMACHIHUAPAN"                                                                                    </v>
      </c>
      <c r="D196" s="26" t="str">
        <f t="shared" si="35"/>
        <v>MATUTINO</v>
      </c>
      <c r="E196" s="26" t="str">
        <f>"TIZIMIN Y CELESTUN S/N                                                          "</f>
        <v xml:space="preserve">TIZIMIN Y CELESTUN S/N                                                          </v>
      </c>
      <c r="F196" s="26" t="str">
        <f>"ZONA EJIDOS DE PADIERNA                                                                                                                     "</f>
        <v xml:space="preserve">ZONA EJIDOS DE PADIERNA                                                                                                                     </v>
      </c>
      <c r="G196" s="26" t="str">
        <f>"TLALPAN                                                                         "</f>
        <v xml:space="preserve">TLALPAN                                                                         </v>
      </c>
      <c r="H196" s="26" t="str">
        <f>"071"</f>
        <v>071</v>
      </c>
      <c r="I196" s="26" t="str">
        <f t="shared" si="37"/>
        <v>00</v>
      </c>
      <c r="J196" s="26" t="str">
        <f>"55 "</f>
        <v xml:space="preserve">55 </v>
      </c>
      <c r="K196" s="26" t="str">
        <f>"SG"</f>
        <v>SG</v>
      </c>
      <c r="L196" s="26" t="str">
        <f>"DGOSE"</f>
        <v>DGOSE</v>
      </c>
      <c r="M196" s="26" t="str">
        <f t="shared" si="38"/>
        <v>FEDERAL</v>
      </c>
      <c r="N196" s="26">
        <v>678</v>
      </c>
      <c r="O196" s="26">
        <v>314</v>
      </c>
      <c r="P196" s="26">
        <v>364</v>
      </c>
      <c r="Q196" s="26">
        <v>15</v>
      </c>
      <c r="R196" s="26">
        <v>2</v>
      </c>
      <c r="S196" s="26">
        <v>39</v>
      </c>
      <c r="T196" s="26">
        <v>21</v>
      </c>
      <c r="U196" s="26">
        <v>62</v>
      </c>
      <c r="V196" s="26">
        <v>1</v>
      </c>
      <c r="W196" s="26"/>
    </row>
    <row r="197" spans="1:23" x14ac:dyDescent="0.25">
      <c r="A197" s="26" t="str">
        <f t="shared" si="36"/>
        <v>SECUNDARIA</v>
      </c>
      <c r="B197" s="26" t="str">
        <f>"09DES0196J"</f>
        <v>09DES0196J</v>
      </c>
      <c r="C197" s="26" t="str">
        <f>""" JUSTO A. ZAMUDIO VARGAS ""                                                                         "</f>
        <v xml:space="preserve">" JUSTO A. ZAMUDIO VARGAS "                                                                         </v>
      </c>
      <c r="D197" s="26" t="str">
        <f t="shared" si="35"/>
        <v>MATUTINO</v>
      </c>
      <c r="E197" s="26" t="str">
        <f>"1RA CDA DE AQUILES ELORDUY                                                      "</f>
        <v xml:space="preserve">1RA CDA DE AQUILES ELORDUY                                                      </v>
      </c>
      <c r="F197" s="26" t="str">
        <f>"EL RECREO                                                                                                                                   "</f>
        <v xml:space="preserve">EL RECREO                                                                                                                                   </v>
      </c>
      <c r="G197" s="26" t="str">
        <f>"AZCAPOTZALCO                                                                    "</f>
        <v xml:space="preserve">AZCAPOTZALCO                                                                    </v>
      </c>
      <c r="H197" s="26" t="str">
        <f>"009"</f>
        <v>009</v>
      </c>
      <c r="I197" s="26" t="str">
        <f t="shared" si="37"/>
        <v>00</v>
      </c>
      <c r="J197" s="26" t="str">
        <f>"51 "</f>
        <v xml:space="preserve">51 </v>
      </c>
      <c r="K197" s="26" t="str">
        <f>"SG"</f>
        <v>SG</v>
      </c>
      <c r="L197" s="26" t="str">
        <f>"DGOSE"</f>
        <v>DGOSE</v>
      </c>
      <c r="M197" s="26" t="str">
        <f t="shared" si="38"/>
        <v>FEDERAL</v>
      </c>
      <c r="N197" s="26">
        <v>409</v>
      </c>
      <c r="O197" s="26">
        <v>214</v>
      </c>
      <c r="P197" s="26">
        <v>195</v>
      </c>
      <c r="Q197" s="26">
        <v>14</v>
      </c>
      <c r="R197" s="26">
        <v>2</v>
      </c>
      <c r="S197" s="26">
        <v>33</v>
      </c>
      <c r="T197" s="26">
        <v>23</v>
      </c>
      <c r="U197" s="26">
        <v>58</v>
      </c>
      <c r="V197" s="26">
        <v>1</v>
      </c>
      <c r="W197" s="26"/>
    </row>
    <row r="198" spans="1:23" x14ac:dyDescent="0.25">
      <c r="A198" s="26" t="str">
        <f t="shared" si="36"/>
        <v>SECUNDARIA</v>
      </c>
      <c r="B198" s="26" t="str">
        <f>"09DES0197I"</f>
        <v>09DES0197I</v>
      </c>
      <c r="C198" s="26" t="str">
        <f>"CANADA                                                                                              "</f>
        <v xml:space="preserve">CANADA                                                                                              </v>
      </c>
      <c r="D198" s="26" t="str">
        <f t="shared" si="35"/>
        <v>MATUTINO</v>
      </c>
      <c r="E198" s="26" t="str">
        <f>"NUEVA YORK Y PROL FILADELFIA                                                    "</f>
        <v xml:space="preserve">NUEVA YORK Y PROL FILADELFIA                                                    </v>
      </c>
      <c r="F198" s="26" t="str">
        <f>"NAPOLES                                                                                                                                     "</f>
        <v xml:space="preserve">NAPOLES                                                                                                                                     </v>
      </c>
      <c r="G198" s="26" t="str">
        <f>"BENITO JUAREZ                                                                   "</f>
        <v xml:space="preserve">BENITO JUAREZ                                                                   </v>
      </c>
      <c r="H198" s="26" t="str">
        <f>"011"</f>
        <v>011</v>
      </c>
      <c r="I198" s="26" t="str">
        <f t="shared" si="37"/>
        <v>00</v>
      </c>
      <c r="J198" s="26" t="str">
        <f>"53 "</f>
        <v xml:space="preserve">53 </v>
      </c>
      <c r="K198" s="26" t="str">
        <f>"SG"</f>
        <v>SG</v>
      </c>
      <c r="L198" s="26" t="str">
        <f>"DGOSE"</f>
        <v>DGOSE</v>
      </c>
      <c r="M198" s="26" t="str">
        <f t="shared" si="38"/>
        <v>FEDERAL</v>
      </c>
      <c r="N198" s="26">
        <v>715</v>
      </c>
      <c r="O198" s="26">
        <v>411</v>
      </c>
      <c r="P198" s="26">
        <v>304</v>
      </c>
      <c r="Q198" s="26">
        <v>15</v>
      </c>
      <c r="R198" s="26">
        <v>2</v>
      </c>
      <c r="S198" s="26">
        <v>36</v>
      </c>
      <c r="T198" s="26">
        <v>20</v>
      </c>
      <c r="U198" s="26">
        <v>58</v>
      </c>
      <c r="V198" s="26">
        <v>1</v>
      </c>
      <c r="W198" s="26"/>
    </row>
    <row r="199" spans="1:23" x14ac:dyDescent="0.25">
      <c r="A199" s="26" t="str">
        <f t="shared" si="36"/>
        <v>SECUNDARIA</v>
      </c>
      <c r="B199" s="26" t="str">
        <f>"09DES0198H"</f>
        <v>09DES0198H</v>
      </c>
      <c r="C199" s="26" t="str">
        <f>"LUIS PASTEUR                                                                                        "</f>
        <v xml:space="preserve">LUIS PASTEUR                                                                                        </v>
      </c>
      <c r="D199" s="26" t="str">
        <f t="shared" si="35"/>
        <v>MATUTINO</v>
      </c>
      <c r="E199" s="26" t="str">
        <f>"PLAN DE AYALA Y HERMINIO CHAVARRIA                                              "</f>
        <v xml:space="preserve">PLAN DE AYALA Y HERMINIO CHAVARRIA                                              </v>
      </c>
      <c r="F199" s="26" t="str">
        <f>"SANTA MARIA AZTAHUACAN                                                                                                                      "</f>
        <v xml:space="preserve">SANTA MARIA AZTAHUACAN                                                                                                                      </v>
      </c>
      <c r="G199" s="26" t="str">
        <f>"IZTAPALAPA                                                                      "</f>
        <v xml:space="preserve">IZTAPALAPA                                                                      </v>
      </c>
      <c r="H199" s="26" t="str">
        <f>"014"</f>
        <v>014</v>
      </c>
      <c r="I199" s="26" t="str">
        <f t="shared" si="37"/>
        <v>00</v>
      </c>
      <c r="J199" s="26" t="str">
        <f>"64 "</f>
        <v xml:space="preserve">64 </v>
      </c>
      <c r="K199" s="26" t="str">
        <f>"IZ"</f>
        <v>IZ</v>
      </c>
      <c r="L199" s="26" t="str">
        <f>"DGSEI"</f>
        <v>DGSEI</v>
      </c>
      <c r="M199" s="26" t="str">
        <f t="shared" si="38"/>
        <v>FEDERAL</v>
      </c>
      <c r="N199" s="26">
        <v>719</v>
      </c>
      <c r="O199" s="26">
        <v>346</v>
      </c>
      <c r="P199" s="26">
        <v>373</v>
      </c>
      <c r="Q199" s="26">
        <v>17</v>
      </c>
      <c r="R199" s="26">
        <v>2</v>
      </c>
      <c r="S199" s="26">
        <v>45</v>
      </c>
      <c r="T199" s="26">
        <v>26</v>
      </c>
      <c r="U199" s="26">
        <v>73</v>
      </c>
      <c r="V199" s="26">
        <v>1</v>
      </c>
      <c r="W199" s="26"/>
    </row>
    <row r="200" spans="1:23" x14ac:dyDescent="0.25">
      <c r="A200" s="26" t="str">
        <f t="shared" si="36"/>
        <v>SECUNDARIA</v>
      </c>
      <c r="B200" s="26" t="str">
        <f>"09DES0199G"</f>
        <v>09DES0199G</v>
      </c>
      <c r="C200" s="26" t="str">
        <f>"JOSE LOPEZ PORTILLO Y WEBER                                                                         "</f>
        <v xml:space="preserve">JOSE LOPEZ PORTILLO Y WEBER                                                                         </v>
      </c>
      <c r="D200" s="26" t="str">
        <f t="shared" si="35"/>
        <v>MATUTINO</v>
      </c>
      <c r="E200" s="26" t="str">
        <f>"TACANA Y MONTE DE LAS CRUCES                                                    "</f>
        <v xml:space="preserve">TACANA Y MONTE DE LAS CRUCES                                                    </v>
      </c>
      <c r="F200" s="26" t="str">
        <f>"LA PRADERA                                                                                                                                  "</f>
        <v xml:space="preserve">LA PRADERA                                                                                                                                  </v>
      </c>
      <c r="G200" s="26" t="str">
        <f>"GUSTAVO A. MADERO                                                               "</f>
        <v xml:space="preserve">GUSTAVO A. MADERO                                                               </v>
      </c>
      <c r="H200" s="26" t="str">
        <f>"042"</f>
        <v>042</v>
      </c>
      <c r="I200" s="26" t="str">
        <f t="shared" si="37"/>
        <v>00</v>
      </c>
      <c r="J200" s="26" t="str">
        <f>"52 "</f>
        <v xml:space="preserve">52 </v>
      </c>
      <c r="K200" s="26" t="str">
        <f>"SG"</f>
        <v>SG</v>
      </c>
      <c r="L200" s="26" t="str">
        <f>"DGOSE"</f>
        <v>DGOSE</v>
      </c>
      <c r="M200" s="26" t="str">
        <f t="shared" si="38"/>
        <v>FEDERAL</v>
      </c>
      <c r="N200" s="26">
        <v>614</v>
      </c>
      <c r="O200" s="26">
        <v>294</v>
      </c>
      <c r="P200" s="26">
        <v>320</v>
      </c>
      <c r="Q200" s="26">
        <v>16</v>
      </c>
      <c r="R200" s="26">
        <v>2</v>
      </c>
      <c r="S200" s="26">
        <v>35</v>
      </c>
      <c r="T200" s="26">
        <v>23</v>
      </c>
      <c r="U200" s="26">
        <v>60</v>
      </c>
      <c r="V200" s="26">
        <v>1</v>
      </c>
      <c r="W200" s="26"/>
    </row>
    <row r="201" spans="1:23" x14ac:dyDescent="0.25">
      <c r="A201" s="26" t="str">
        <f t="shared" si="36"/>
        <v>SECUNDARIA</v>
      </c>
      <c r="B201" s="26" t="str">
        <f>"09DES0200F"</f>
        <v>09DES0200F</v>
      </c>
      <c r="C201" s="26" t="str">
        <f>"GRAL. AUGUSTO C. SANDINO                                                                            "</f>
        <v xml:space="preserve">GRAL. AUGUSTO C. SANDINO                                                                            </v>
      </c>
      <c r="D201" s="26" t="str">
        <f>"JORNADA AMPLIADA"</f>
        <v>JORNADA AMPLIADA</v>
      </c>
      <c r="E201" s="26" t="str">
        <f>"JAIME NUNO S/N ESQ COMONFORT                                                    "</f>
        <v xml:space="preserve">JAIME NUNO S/N ESQ COMONFORT                                                    </v>
      </c>
      <c r="F201" s="26" t="str">
        <f>"MORELOS                                                                                                                                     "</f>
        <v xml:space="preserve">MORELOS                                                                                                                                     </v>
      </c>
      <c r="G201" s="26" t="str">
        <f>"CUAUHTEMOC                                                                      "</f>
        <v xml:space="preserve">CUAUHTEMOC                                                                      </v>
      </c>
      <c r="H201" s="26" t="str">
        <f>"026"</f>
        <v>026</v>
      </c>
      <c r="I201" s="26" t="str">
        <f t="shared" si="37"/>
        <v>00</v>
      </c>
      <c r="J201" s="26" t="str">
        <f>"51 "</f>
        <v xml:space="preserve">51 </v>
      </c>
      <c r="K201" s="26" t="str">
        <f>"SG"</f>
        <v>SG</v>
      </c>
      <c r="L201" s="26" t="str">
        <f>"DGOSE"</f>
        <v>DGOSE</v>
      </c>
      <c r="M201" s="26" t="str">
        <f t="shared" si="38"/>
        <v>FEDERAL</v>
      </c>
      <c r="N201" s="26">
        <v>258</v>
      </c>
      <c r="O201" s="26">
        <v>134</v>
      </c>
      <c r="P201" s="26">
        <v>124</v>
      </c>
      <c r="Q201" s="26">
        <v>9</v>
      </c>
      <c r="R201" s="26">
        <v>2</v>
      </c>
      <c r="S201" s="26">
        <v>26</v>
      </c>
      <c r="T201" s="26">
        <v>16</v>
      </c>
      <c r="U201" s="26">
        <v>44</v>
      </c>
      <c r="V201" s="26">
        <v>1</v>
      </c>
      <c r="W201" s="26" t="s">
        <v>2076</v>
      </c>
    </row>
    <row r="202" spans="1:23" x14ac:dyDescent="0.25">
      <c r="A202" s="26" t="str">
        <f t="shared" si="36"/>
        <v>SECUNDARIA</v>
      </c>
      <c r="B202" s="26" t="str">
        <f>"09DES0201E"</f>
        <v>09DES0201E</v>
      </c>
      <c r="C202" s="26" t="str">
        <f>"CARLOS CHAVEZ RAMIREZ                                                                               "</f>
        <v xml:space="preserve">CARLOS CHAVEZ RAMIREZ                                                                               </v>
      </c>
      <c r="D202" s="26" t="str">
        <f>"JORNADA AMPLIADA"</f>
        <v>JORNADA AMPLIADA</v>
      </c>
      <c r="E202" s="26" t="str">
        <f>"AV. TEPALCATES   SMANZ.II U.H                                                   "</f>
        <v xml:space="preserve">AV. TEPALCATES   SMANZ.II U.H                                                   </v>
      </c>
      <c r="F202" s="26" t="str">
        <f>"UNIDAD HABITACIONAL EJERCITO CONSTI                                                                                                         "</f>
        <v xml:space="preserve">UNIDAD HABITACIONAL EJERCITO CONSTI                                                                                                         </v>
      </c>
      <c r="G202" s="26" t="str">
        <f>"IZTAPALAPA                                                                      "</f>
        <v xml:space="preserve">IZTAPALAPA                                                                      </v>
      </c>
      <c r="H202" s="26" t="str">
        <f>"002"</f>
        <v>002</v>
      </c>
      <c r="I202" s="26" t="str">
        <f t="shared" si="37"/>
        <v>00</v>
      </c>
      <c r="J202" s="26" t="str">
        <f>"61 "</f>
        <v xml:space="preserve">61 </v>
      </c>
      <c r="K202" s="26" t="str">
        <f>"IZ"</f>
        <v>IZ</v>
      </c>
      <c r="L202" s="26" t="str">
        <f>"DGSEI"</f>
        <v>DGSEI</v>
      </c>
      <c r="M202" s="26" t="str">
        <f t="shared" si="38"/>
        <v>FEDERAL</v>
      </c>
      <c r="N202" s="26">
        <v>404</v>
      </c>
      <c r="O202" s="26">
        <v>178</v>
      </c>
      <c r="P202" s="26">
        <v>226</v>
      </c>
      <c r="Q202" s="26">
        <v>12</v>
      </c>
      <c r="R202" s="26">
        <v>1</v>
      </c>
      <c r="S202" s="26">
        <v>39</v>
      </c>
      <c r="T202" s="26">
        <v>19</v>
      </c>
      <c r="U202" s="26">
        <v>59</v>
      </c>
      <c r="V202" s="26">
        <v>1</v>
      </c>
      <c r="W202" s="26" t="s">
        <v>2076</v>
      </c>
    </row>
    <row r="203" spans="1:23" x14ac:dyDescent="0.25">
      <c r="A203" s="26" t="str">
        <f t="shared" si="36"/>
        <v>SECUNDARIA</v>
      </c>
      <c r="B203" s="26" t="str">
        <f>"09DES0202D"</f>
        <v>09DES0202D</v>
      </c>
      <c r="C203" s="26" t="str">
        <f>"TEMACHTIANI                                                                                         "</f>
        <v xml:space="preserve">TEMACHTIANI                                                                                         </v>
      </c>
      <c r="D203" s="26" t="str">
        <f>"MATUTINO"</f>
        <v>MATUTINO</v>
      </c>
      <c r="E203" s="26" t="str">
        <f>"C H LOMAS DE BECERRA                                                            "</f>
        <v xml:space="preserve">C H LOMAS DE BECERRA                                                            </v>
      </c>
      <c r="F203" s="26" t="str">
        <f>"LOMAS DE BECERRA                                                                                                                            "</f>
        <v xml:space="preserve">LOMAS DE BECERRA                                                                                                                            </v>
      </c>
      <c r="G203" s="26" t="str">
        <f>"ALVARO OBREGON                                                                  "</f>
        <v xml:space="preserve">ALVARO OBREGON                                                                  </v>
      </c>
      <c r="H203" s="26" t="str">
        <f>"003"</f>
        <v>003</v>
      </c>
      <c r="I203" s="26" t="str">
        <f t="shared" si="37"/>
        <v>00</v>
      </c>
      <c r="J203" s="26" t="str">
        <f>"53 "</f>
        <v xml:space="preserve">53 </v>
      </c>
      <c r="K203" s="26" t="str">
        <f>"SG"</f>
        <v>SG</v>
      </c>
      <c r="L203" s="26" t="str">
        <f>"DGOSE"</f>
        <v>DGOSE</v>
      </c>
      <c r="M203" s="26" t="str">
        <f t="shared" si="38"/>
        <v>FEDERAL</v>
      </c>
      <c r="N203" s="26">
        <v>681</v>
      </c>
      <c r="O203" s="26">
        <v>377</v>
      </c>
      <c r="P203" s="26">
        <v>304</v>
      </c>
      <c r="Q203" s="26">
        <v>17</v>
      </c>
      <c r="R203" s="26">
        <v>2</v>
      </c>
      <c r="S203" s="26">
        <v>35</v>
      </c>
      <c r="T203" s="26">
        <v>28</v>
      </c>
      <c r="U203" s="26">
        <v>65</v>
      </c>
      <c r="V203" s="26">
        <v>1</v>
      </c>
      <c r="W203" s="26"/>
    </row>
    <row r="204" spans="1:23" x14ac:dyDescent="0.25">
      <c r="A204" s="26" t="str">
        <f t="shared" si="36"/>
        <v>SECUNDARIA</v>
      </c>
      <c r="B204" s="26" t="str">
        <f>"09DES0203C"</f>
        <v>09DES0203C</v>
      </c>
      <c r="C204" s="26" t="str">
        <f>"AZCAPOTZALCO                                                                                        "</f>
        <v xml:space="preserve">AZCAPOTZALCO                                                                                        </v>
      </c>
      <c r="D204" s="26" t="str">
        <f>"JORNADA AMPLIADA"</f>
        <v>JORNADA AMPLIADA</v>
      </c>
      <c r="E204" s="26" t="str">
        <f>"PRIV LOS ANGELES S/N                                                            "</f>
        <v xml:space="preserve">PRIV LOS ANGELES S/N                                                            </v>
      </c>
      <c r="F204" s="26" t="str">
        <f>"SANTA BARBARA                                                                                                                               "</f>
        <v xml:space="preserve">SANTA BARBARA                                                                                                                               </v>
      </c>
      <c r="G204" s="26" t="str">
        <f>"AZCAPOTZALCO                                                                    "</f>
        <v xml:space="preserve">AZCAPOTZALCO                                                                    </v>
      </c>
      <c r="H204" s="26" t="str">
        <f>"008"</f>
        <v>008</v>
      </c>
      <c r="I204" s="26" t="str">
        <f t="shared" si="37"/>
        <v>00</v>
      </c>
      <c r="J204" s="26" t="str">
        <f>"51 "</f>
        <v xml:space="preserve">51 </v>
      </c>
      <c r="K204" s="26" t="str">
        <f>"SG"</f>
        <v>SG</v>
      </c>
      <c r="L204" s="26" t="str">
        <f>"DGOSE"</f>
        <v>DGOSE</v>
      </c>
      <c r="M204" s="26" t="str">
        <f t="shared" si="38"/>
        <v>FEDERAL</v>
      </c>
      <c r="N204" s="26">
        <v>433</v>
      </c>
      <c r="O204" s="26">
        <v>185</v>
      </c>
      <c r="P204" s="26">
        <v>248</v>
      </c>
      <c r="Q204" s="26">
        <v>12</v>
      </c>
      <c r="R204" s="26">
        <v>2</v>
      </c>
      <c r="S204" s="26">
        <v>36</v>
      </c>
      <c r="T204" s="26">
        <v>15</v>
      </c>
      <c r="U204" s="26">
        <v>53</v>
      </c>
      <c r="V204" s="26">
        <v>1</v>
      </c>
      <c r="W204" s="26" t="s">
        <v>2076</v>
      </c>
    </row>
    <row r="205" spans="1:23" x14ac:dyDescent="0.25">
      <c r="A205" s="26" t="str">
        <f t="shared" si="36"/>
        <v>SECUNDARIA</v>
      </c>
      <c r="B205" s="26" t="str">
        <f>"09DES0204B"</f>
        <v>09DES0204B</v>
      </c>
      <c r="C205" s="26" t="str">
        <f>"HERMILO NOVELO TORRES                                                                               "</f>
        <v xml:space="preserve">HERMILO NOVELO TORRES                                                                               </v>
      </c>
      <c r="D205" s="26" t="str">
        <f t="shared" ref="D205:D210" si="39">"MATUTINO"</f>
        <v>MATUTINO</v>
      </c>
      <c r="E205" s="26" t="str">
        <f>"CIRCUITO 1 APOLO 11 1RA. Y 2DA. CDA.                                            "</f>
        <v xml:space="preserve">CIRCUITO 1 APOLO 11 1RA. Y 2DA. CDA.                                            </v>
      </c>
      <c r="F205" s="26" t="str">
        <f>"XALPA                                                                                                                                       "</f>
        <v xml:space="preserve">XALPA                                                                                                                                       </v>
      </c>
      <c r="G205" s="26" t="str">
        <f>"IZTAPALAPA                                                                      "</f>
        <v xml:space="preserve">IZTAPALAPA                                                                      </v>
      </c>
      <c r="H205" s="26" t="str">
        <f>"015"</f>
        <v>015</v>
      </c>
      <c r="I205" s="26" t="str">
        <f t="shared" si="37"/>
        <v>00</v>
      </c>
      <c r="J205" s="26" t="str">
        <f>"64 "</f>
        <v xml:space="preserve">64 </v>
      </c>
      <c r="K205" s="26" t="str">
        <f>"IZ"</f>
        <v>IZ</v>
      </c>
      <c r="L205" s="26" t="str">
        <f>"DGSEI"</f>
        <v>DGSEI</v>
      </c>
      <c r="M205" s="26" t="str">
        <f t="shared" si="38"/>
        <v>FEDERAL</v>
      </c>
      <c r="N205" s="26">
        <v>685</v>
      </c>
      <c r="O205" s="26">
        <v>338</v>
      </c>
      <c r="P205" s="26">
        <v>347</v>
      </c>
      <c r="Q205" s="26">
        <v>16</v>
      </c>
      <c r="R205" s="26">
        <v>1</v>
      </c>
      <c r="S205" s="26">
        <v>44</v>
      </c>
      <c r="T205" s="26">
        <v>19</v>
      </c>
      <c r="U205" s="26">
        <v>64</v>
      </c>
      <c r="V205" s="26">
        <v>1</v>
      </c>
      <c r="W205" s="26"/>
    </row>
    <row r="206" spans="1:23" x14ac:dyDescent="0.25">
      <c r="A206" s="26" t="str">
        <f t="shared" si="36"/>
        <v>SECUNDARIA</v>
      </c>
      <c r="B206" s="26" t="str">
        <f>"09DES0205A"</f>
        <v>09DES0205A</v>
      </c>
      <c r="C206" s="26" t="str">
        <f>"ALEJANDRO GRAHAM BELL                                                                               "</f>
        <v xml:space="preserve">ALEJANDRO GRAHAM BELL                                                                               </v>
      </c>
      <c r="D206" s="26" t="str">
        <f t="shared" si="39"/>
        <v>MATUTINO</v>
      </c>
      <c r="E206" s="26" t="str">
        <f>"GITANA LAGO Y FRANCISCO I MADERO                                                "</f>
        <v xml:space="preserve">GITANA LAGO Y FRANCISCO I MADERO                                                </v>
      </c>
      <c r="F206" s="26" t="str">
        <f>"LA NOPALERA                                                                                                                                 "</f>
        <v xml:space="preserve">LA NOPALERA                                                                                                                                 </v>
      </c>
      <c r="G206" s="26" t="str">
        <f>"TLAHUAC                                                                         "</f>
        <v xml:space="preserve">TLAHUAC                                                                         </v>
      </c>
      <c r="H206" s="26" t="str">
        <f>"067"</f>
        <v>067</v>
      </c>
      <c r="I206" s="26" t="str">
        <f t="shared" si="37"/>
        <v>00</v>
      </c>
      <c r="J206" s="26" t="str">
        <f>"55 "</f>
        <v xml:space="preserve">55 </v>
      </c>
      <c r="K206" s="26" t="str">
        <f>"SG"</f>
        <v>SG</v>
      </c>
      <c r="L206" s="26" t="str">
        <f>"DGOSE"</f>
        <v>DGOSE</v>
      </c>
      <c r="M206" s="26" t="str">
        <f t="shared" si="38"/>
        <v>FEDERAL</v>
      </c>
      <c r="N206" s="26">
        <v>681</v>
      </c>
      <c r="O206" s="26">
        <v>338</v>
      </c>
      <c r="P206" s="26">
        <v>343</v>
      </c>
      <c r="Q206" s="26">
        <v>15</v>
      </c>
      <c r="R206" s="26">
        <v>2</v>
      </c>
      <c r="S206" s="26">
        <v>35</v>
      </c>
      <c r="T206" s="26">
        <v>22</v>
      </c>
      <c r="U206" s="26">
        <v>59</v>
      </c>
      <c r="V206" s="26">
        <v>1</v>
      </c>
      <c r="W206" s="26"/>
    </row>
    <row r="207" spans="1:23" x14ac:dyDescent="0.25">
      <c r="A207" s="26" t="str">
        <f t="shared" si="36"/>
        <v>SECUNDARIA</v>
      </c>
      <c r="B207" s="26" t="str">
        <f>"09DES0206Z"</f>
        <v>09DES0206Z</v>
      </c>
      <c r="C207" s="26" t="str">
        <f>"ROBERTO KOCH                                                                                        "</f>
        <v xml:space="preserve">ROBERTO KOCH                                                                                        </v>
      </c>
      <c r="D207" s="26" t="str">
        <f t="shared" si="39"/>
        <v>MATUTINO</v>
      </c>
      <c r="E207" s="26" t="str">
        <f>" BENITO JUAREZ Y CANAL NACIONAL S/N                                             "</f>
        <v xml:space="preserve"> BENITO JUAREZ Y CANAL NACIONAL S/N                                             </v>
      </c>
      <c r="F207" s="26" t="str">
        <f>"SAN FRANCISCO CULHUACAN                                                                                                                     "</f>
        <v xml:space="preserve">SAN FRANCISCO CULHUACAN                                                                                                                     </v>
      </c>
      <c r="G207" s="26" t="str">
        <f>"IZTAPALAPA                                                                      "</f>
        <v xml:space="preserve">IZTAPALAPA                                                                      </v>
      </c>
      <c r="H207" s="26" t="str">
        <f>"009"</f>
        <v>009</v>
      </c>
      <c r="I207" s="26" t="str">
        <f t="shared" si="37"/>
        <v>00</v>
      </c>
      <c r="J207" s="26" t="str">
        <f>"63 "</f>
        <v xml:space="preserve">63 </v>
      </c>
      <c r="K207" s="26" t="str">
        <f>"IZ"</f>
        <v>IZ</v>
      </c>
      <c r="L207" s="26" t="str">
        <f>"DGSEI"</f>
        <v>DGSEI</v>
      </c>
      <c r="M207" s="26" t="str">
        <f t="shared" si="38"/>
        <v>FEDERAL</v>
      </c>
      <c r="N207" s="26">
        <v>530</v>
      </c>
      <c r="O207" s="26">
        <v>241</v>
      </c>
      <c r="P207" s="26">
        <v>289</v>
      </c>
      <c r="Q207" s="26">
        <v>15</v>
      </c>
      <c r="R207" s="26">
        <v>1</v>
      </c>
      <c r="S207" s="26">
        <v>35</v>
      </c>
      <c r="T207" s="26">
        <v>27</v>
      </c>
      <c r="U207" s="26">
        <v>63</v>
      </c>
      <c r="V207" s="26">
        <v>1</v>
      </c>
      <c r="W207" s="26"/>
    </row>
    <row r="208" spans="1:23" x14ac:dyDescent="0.25">
      <c r="A208" s="26" t="str">
        <f t="shared" si="36"/>
        <v>SECUNDARIA</v>
      </c>
      <c r="B208" s="26" t="str">
        <f>"09DES0207Z"</f>
        <v>09DES0207Z</v>
      </c>
      <c r="C208" s="26" t="str">
        <f>"ESTADO DE ISRAEL                                                                                    "</f>
        <v xml:space="preserve">ESTADO DE ISRAEL                                                                                    </v>
      </c>
      <c r="D208" s="26" t="str">
        <f t="shared" si="39"/>
        <v>MATUTINO</v>
      </c>
      <c r="E208" s="26" t="str">
        <f>"HDA CLAVERIA S/N                                                                "</f>
        <v xml:space="preserve">HDA CLAVERIA S/N                                                                </v>
      </c>
      <c r="F208" s="26" t="str">
        <f>"PRADOS DEL ROSARIO                                                                                                                          "</f>
        <v xml:space="preserve">PRADOS DEL ROSARIO                                                                                                                          </v>
      </c>
      <c r="G208" s="26" t="str">
        <f>"AZCAPOTZALCO                                                                    "</f>
        <v xml:space="preserve">AZCAPOTZALCO                                                                    </v>
      </c>
      <c r="H208" s="26" t="str">
        <f>"006"</f>
        <v>006</v>
      </c>
      <c r="I208" s="26" t="str">
        <f t="shared" si="37"/>
        <v>00</v>
      </c>
      <c r="J208" s="26" t="str">
        <f>"51 "</f>
        <v xml:space="preserve">51 </v>
      </c>
      <c r="K208" s="26" t="str">
        <f>"SG"</f>
        <v>SG</v>
      </c>
      <c r="L208" s="26" t="str">
        <f>"DGOSE"</f>
        <v>DGOSE</v>
      </c>
      <c r="M208" s="26" t="str">
        <f t="shared" si="38"/>
        <v>FEDERAL</v>
      </c>
      <c r="N208" s="26">
        <v>579</v>
      </c>
      <c r="O208" s="26">
        <v>279</v>
      </c>
      <c r="P208" s="26">
        <v>300</v>
      </c>
      <c r="Q208" s="26">
        <v>16</v>
      </c>
      <c r="R208" s="26">
        <v>3</v>
      </c>
      <c r="S208" s="26">
        <v>29</v>
      </c>
      <c r="T208" s="26">
        <v>25</v>
      </c>
      <c r="U208" s="26">
        <v>57</v>
      </c>
      <c r="V208" s="26">
        <v>1</v>
      </c>
      <c r="W208" s="26"/>
    </row>
    <row r="209" spans="1:23" x14ac:dyDescent="0.25">
      <c r="A209" s="26" t="str">
        <f t="shared" si="36"/>
        <v>SECUNDARIA</v>
      </c>
      <c r="B209" s="26" t="str">
        <f>"09DES0208Y"</f>
        <v>09DES0208Y</v>
      </c>
      <c r="C209" s="26" t="str">
        <f>"SALVADOR DIAZ MIRON                                                                                 "</f>
        <v xml:space="preserve">SALVADOR DIAZ MIRON                                                                                 </v>
      </c>
      <c r="D209" s="26" t="str">
        <f t="shared" si="39"/>
        <v>MATUTINO</v>
      </c>
      <c r="E209" s="26" t="str">
        <f>"ALIANZA POP REV UNID FOVISSSTE                                                  "</f>
        <v xml:space="preserve">ALIANZA POP REV UNID FOVISSSTE                                                  </v>
      </c>
      <c r="F209" s="26" t="str">
        <f>"UNIDAD HABITACIONAL ALIANZA POPULAR                                                                                                         "</f>
        <v xml:space="preserve">UNIDAD HABITACIONAL ALIANZA POPULAR                                                                                                         </v>
      </c>
      <c r="G209" s="26" t="str">
        <f>"COYOACAN                                                                        "</f>
        <v xml:space="preserve">COYOACAN                                                                        </v>
      </c>
      <c r="H209" s="26" t="str">
        <f>"021"</f>
        <v>021</v>
      </c>
      <c r="I209" s="26" t="str">
        <f t="shared" si="37"/>
        <v>00</v>
      </c>
      <c r="J209" s="26" t="str">
        <f>"54 "</f>
        <v xml:space="preserve">54 </v>
      </c>
      <c r="K209" s="26" t="str">
        <f>"SG"</f>
        <v>SG</v>
      </c>
      <c r="L209" s="26" t="str">
        <f>"DGOSE"</f>
        <v>DGOSE</v>
      </c>
      <c r="M209" s="26" t="str">
        <f t="shared" si="38"/>
        <v>FEDERAL</v>
      </c>
      <c r="N209" s="26">
        <v>522</v>
      </c>
      <c r="O209" s="26">
        <v>286</v>
      </c>
      <c r="P209" s="26">
        <v>236</v>
      </c>
      <c r="Q209" s="26">
        <v>15</v>
      </c>
      <c r="R209" s="26">
        <v>2</v>
      </c>
      <c r="S209" s="26">
        <v>31</v>
      </c>
      <c r="T209" s="26">
        <v>23</v>
      </c>
      <c r="U209" s="26">
        <v>56</v>
      </c>
      <c r="V209" s="26">
        <v>1</v>
      </c>
      <c r="W209" s="26"/>
    </row>
    <row r="210" spans="1:23" x14ac:dyDescent="0.25">
      <c r="A210" s="26" t="str">
        <f t="shared" si="36"/>
        <v>SECUNDARIA</v>
      </c>
      <c r="B210" s="26" t="str">
        <f>"09DES0209X"</f>
        <v>09DES0209X</v>
      </c>
      <c r="C210" s="26" t="str">
        <f>"FRANCISCO VILLA                                                                                     "</f>
        <v xml:space="preserve">FRANCISCO VILLA                                                                                     </v>
      </c>
      <c r="D210" s="26" t="str">
        <f t="shared" si="39"/>
        <v>MATUTINO</v>
      </c>
      <c r="E210" s="26" t="str">
        <f>"TEZONTLE Y PZA SIRENAS S/N                                                      "</f>
        <v xml:space="preserve">TEZONTLE Y PZA SIRENAS S/N                                                      </v>
      </c>
      <c r="F210" s="26" t="str">
        <f>"UNIDAD HABITACIONAL INFONAVIT                                                                                                               "</f>
        <v xml:space="preserve">UNIDAD HABITACIONAL INFONAVIT                                                                                                               </v>
      </c>
      <c r="G210" s="26" t="str">
        <f>"IZTACALCO                                                                       "</f>
        <v xml:space="preserve">IZTACALCO                                                                       </v>
      </c>
      <c r="H210" s="26" t="str">
        <f>"044"</f>
        <v>044</v>
      </c>
      <c r="I210" s="26" t="str">
        <f t="shared" si="37"/>
        <v>00</v>
      </c>
      <c r="J210" s="26" t="str">
        <f>"54 "</f>
        <v xml:space="preserve">54 </v>
      </c>
      <c r="K210" s="26" t="str">
        <f>"SG"</f>
        <v>SG</v>
      </c>
      <c r="L210" s="26" t="str">
        <f>"DGOSE"</f>
        <v>DGOSE</v>
      </c>
      <c r="M210" s="26" t="str">
        <f t="shared" si="38"/>
        <v>FEDERAL</v>
      </c>
      <c r="N210" s="26">
        <v>634</v>
      </c>
      <c r="O210" s="26">
        <v>335</v>
      </c>
      <c r="P210" s="26">
        <v>299</v>
      </c>
      <c r="Q210" s="26">
        <v>15</v>
      </c>
      <c r="R210" s="26">
        <v>2</v>
      </c>
      <c r="S210" s="26">
        <v>36</v>
      </c>
      <c r="T210" s="26">
        <v>22</v>
      </c>
      <c r="U210" s="26">
        <v>60</v>
      </c>
      <c r="V210" s="26">
        <v>1</v>
      </c>
      <c r="W210" s="26"/>
    </row>
    <row r="211" spans="1:23" x14ac:dyDescent="0.25">
      <c r="A211" s="26" t="str">
        <f t="shared" si="36"/>
        <v>SECUNDARIA</v>
      </c>
      <c r="B211" s="26" t="str">
        <f>"09DES0210M"</f>
        <v>09DES0210M</v>
      </c>
      <c r="C211" s="26" t="str">
        <f>"EMILIO PORTES GIL                                                                                   "</f>
        <v xml:space="preserve">EMILIO PORTES GIL                                                                                   </v>
      </c>
      <c r="D211" s="26" t="str">
        <f>"JORNADA AMPLIADA"</f>
        <v>JORNADA AMPLIADA</v>
      </c>
      <c r="E211" s="26" t="str">
        <f>"BATALLA DE OCOTLAN S/N                                                          "</f>
        <v xml:space="preserve">BATALLA DE OCOTLAN S/N                                                          </v>
      </c>
      <c r="F211" s="26" t="str">
        <f>"ALVARO OBREGON FRACCIONAMIENTO                                                                                                              "</f>
        <v xml:space="preserve">ALVARO OBREGON FRACCIONAMIENTO                                                                                                              </v>
      </c>
      <c r="G211" s="26" t="str">
        <f>"IZTAPALAPA                                                                      "</f>
        <v xml:space="preserve">IZTAPALAPA                                                                      </v>
      </c>
      <c r="H211" s="26" t="str">
        <f>"002"</f>
        <v>002</v>
      </c>
      <c r="I211" s="26" t="str">
        <f t="shared" si="37"/>
        <v>00</v>
      </c>
      <c r="J211" s="26" t="str">
        <f>"61 "</f>
        <v xml:space="preserve">61 </v>
      </c>
      <c r="K211" s="26" t="str">
        <f>"IZ"</f>
        <v>IZ</v>
      </c>
      <c r="L211" s="26" t="str">
        <f>"DGSEI"</f>
        <v>DGSEI</v>
      </c>
      <c r="M211" s="26" t="str">
        <f t="shared" si="38"/>
        <v>FEDERAL</v>
      </c>
      <c r="N211" s="26">
        <v>555</v>
      </c>
      <c r="O211" s="26">
        <v>282</v>
      </c>
      <c r="P211" s="26">
        <v>273</v>
      </c>
      <c r="Q211" s="26">
        <v>15</v>
      </c>
      <c r="R211" s="26">
        <v>1</v>
      </c>
      <c r="S211" s="26">
        <v>40</v>
      </c>
      <c r="T211" s="26">
        <v>23</v>
      </c>
      <c r="U211" s="26">
        <v>64</v>
      </c>
      <c r="V211" s="26">
        <v>1</v>
      </c>
      <c r="W211" s="26" t="s">
        <v>2076</v>
      </c>
    </row>
    <row r="212" spans="1:23" x14ac:dyDescent="0.25">
      <c r="A212" s="26" t="str">
        <f t="shared" si="36"/>
        <v>SECUNDARIA</v>
      </c>
      <c r="B212" s="26" t="str">
        <f>"09DES0211L"</f>
        <v>09DES0211L</v>
      </c>
      <c r="C212" s="26" t="str">
        <f>"ANTONIO CASTRO LEAL                                                                                 "</f>
        <v xml:space="preserve">ANTONIO CASTRO LEAL                                                                                 </v>
      </c>
      <c r="D212" s="26" t="str">
        <f>"MATUTINO"</f>
        <v>MATUTINO</v>
      </c>
      <c r="E212" s="26" t="str">
        <f>"AV 16 DE SEPTIEMBRE NO 51                                                       "</f>
        <v xml:space="preserve">AV 16 DE SEPTIEMBRE NO 51                                                       </v>
      </c>
      <c r="F212" s="26" t="str">
        <f>"CONTADERO                                                                                                                                   "</f>
        <v xml:space="preserve">CONTADERO                                                                                                                                   </v>
      </c>
      <c r="G212" s="26" t="str">
        <f>"CUAJIMALPA DE MORELOS                                                           "</f>
        <v xml:space="preserve">CUAJIMALPA DE MORELOS                                                           </v>
      </c>
      <c r="H212" s="26" t="str">
        <f>"024"</f>
        <v>024</v>
      </c>
      <c r="I212" s="26" t="str">
        <f t="shared" si="37"/>
        <v>00</v>
      </c>
      <c r="J212" s="26" t="str">
        <f>"53 "</f>
        <v xml:space="preserve">53 </v>
      </c>
      <c r="K212" s="26" t="str">
        <f>"SG"</f>
        <v>SG</v>
      </c>
      <c r="L212" s="26" t="str">
        <f>"DGOSE"</f>
        <v>DGOSE</v>
      </c>
      <c r="M212" s="26" t="str">
        <f t="shared" si="38"/>
        <v>FEDERAL</v>
      </c>
      <c r="N212" s="26">
        <v>1016</v>
      </c>
      <c r="O212" s="26">
        <v>534</v>
      </c>
      <c r="P212" s="26">
        <v>482</v>
      </c>
      <c r="Q212" s="26">
        <v>19</v>
      </c>
      <c r="R212" s="26">
        <v>2</v>
      </c>
      <c r="S212" s="26">
        <v>45</v>
      </c>
      <c r="T212" s="26">
        <v>22</v>
      </c>
      <c r="U212" s="26">
        <v>69</v>
      </c>
      <c r="V212" s="26">
        <v>1</v>
      </c>
      <c r="W212" s="26"/>
    </row>
    <row r="213" spans="1:23" x14ac:dyDescent="0.25">
      <c r="A213" s="26" t="str">
        <f t="shared" si="36"/>
        <v>SECUNDARIA</v>
      </c>
      <c r="B213" s="26" t="str">
        <f>"09DES0212K"</f>
        <v>09DES0212K</v>
      </c>
      <c r="C213" s="26" t="str">
        <f>"FELIPE B. BERRIOZABAL                                                                               "</f>
        <v xml:space="preserve">FELIPE B. BERRIOZABAL                                                                               </v>
      </c>
      <c r="D213" s="26" t="str">
        <f>"JORNADA AMPLIADA"</f>
        <v>JORNADA AMPLIADA</v>
      </c>
      <c r="E213" s="26" t="str">
        <f>"ZONA EQUIPAMIENTO  URBANO Y  JOAQUIN  IBARGUEN S/N                              "</f>
        <v xml:space="preserve">ZONA EQUIPAMIENTO  URBANO Y  JOAQUIN  IBARGUEN S/N                              </v>
      </c>
      <c r="F213" s="26" t="str">
        <f>"UNIDAD HABITACIONAL EJERCITO DE ORI                                                                                                         "</f>
        <v xml:space="preserve">UNIDAD HABITACIONAL EJERCITO DE ORI                                                                                                         </v>
      </c>
      <c r="G213" s="26" t="str">
        <f>"IZTAPALAPA                                                                      "</f>
        <v xml:space="preserve">IZTAPALAPA                                                                      </v>
      </c>
      <c r="H213" s="26" t="str">
        <f>"002"</f>
        <v>002</v>
      </c>
      <c r="I213" s="26" t="str">
        <f t="shared" si="37"/>
        <v>00</v>
      </c>
      <c r="J213" s="26" t="str">
        <f>"61 "</f>
        <v xml:space="preserve">61 </v>
      </c>
      <c r="K213" s="26" t="str">
        <f>"IZ"</f>
        <v>IZ</v>
      </c>
      <c r="L213" s="26" t="str">
        <f>"DGSEI"</f>
        <v>DGSEI</v>
      </c>
      <c r="M213" s="26" t="str">
        <f t="shared" si="38"/>
        <v>FEDERAL</v>
      </c>
      <c r="N213" s="26">
        <v>516</v>
      </c>
      <c r="O213" s="26">
        <v>243</v>
      </c>
      <c r="P213" s="26">
        <v>273</v>
      </c>
      <c r="Q213" s="26">
        <v>15</v>
      </c>
      <c r="R213" s="26">
        <v>2</v>
      </c>
      <c r="S213" s="26">
        <v>58</v>
      </c>
      <c r="T213" s="26">
        <v>16</v>
      </c>
      <c r="U213" s="26">
        <v>76</v>
      </c>
      <c r="V213" s="26">
        <v>1</v>
      </c>
      <c r="W213" s="26" t="s">
        <v>2076</v>
      </c>
    </row>
    <row r="214" spans="1:23" x14ac:dyDescent="0.25">
      <c r="A214" s="26" t="str">
        <f t="shared" si="36"/>
        <v>SECUNDARIA</v>
      </c>
      <c r="B214" s="26" t="str">
        <f>"09DES0213J"</f>
        <v>09DES0213J</v>
      </c>
      <c r="C214" s="26" t="str">
        <f>"CARLOS A. CARRILLO                                                                                  "</f>
        <v xml:space="preserve">CARLOS A. CARRILLO                                                                                  </v>
      </c>
      <c r="D214" s="26" t="str">
        <f>"MATUTINO"</f>
        <v>MATUTINO</v>
      </c>
      <c r="E214" s="26" t="str">
        <f>"CALLE 6 Y RIO CHURUBUSCO                                                        "</f>
        <v xml:space="preserve">CALLE 6 Y RIO CHURUBUSCO                                                        </v>
      </c>
      <c r="F214" s="26" t="str">
        <f>"CUCHILLA PANTITLAN                                                                                                                          "</f>
        <v xml:space="preserve">CUCHILLA PANTITLAN                                                                                                                          </v>
      </c>
      <c r="G214" s="26" t="str">
        <f>"VENUSTIANO CARRANZA                                                             "</f>
        <v xml:space="preserve">VENUSTIANO CARRANZA                                                             </v>
      </c>
      <c r="H214" s="26" t="str">
        <f>"077"</f>
        <v>077</v>
      </c>
      <c r="I214" s="26" t="str">
        <f t="shared" si="37"/>
        <v>00</v>
      </c>
      <c r="J214" s="26" t="str">
        <f>"54 "</f>
        <v xml:space="preserve">54 </v>
      </c>
      <c r="K214" s="26" t="str">
        <f>"SG"</f>
        <v>SG</v>
      </c>
      <c r="L214" s="26" t="str">
        <f>"DGOSE"</f>
        <v>DGOSE</v>
      </c>
      <c r="M214" s="26" t="str">
        <f t="shared" si="38"/>
        <v>FEDERAL</v>
      </c>
      <c r="N214" s="26">
        <v>530</v>
      </c>
      <c r="O214" s="26">
        <v>274</v>
      </c>
      <c r="P214" s="26">
        <v>256</v>
      </c>
      <c r="Q214" s="26">
        <v>15</v>
      </c>
      <c r="R214" s="26">
        <v>2</v>
      </c>
      <c r="S214" s="26">
        <v>35</v>
      </c>
      <c r="T214" s="26">
        <v>25</v>
      </c>
      <c r="U214" s="26">
        <v>62</v>
      </c>
      <c r="V214" s="26">
        <v>1</v>
      </c>
      <c r="W214" s="26"/>
    </row>
    <row r="215" spans="1:23" x14ac:dyDescent="0.25">
      <c r="A215" s="26" t="str">
        <f t="shared" si="36"/>
        <v>SECUNDARIA</v>
      </c>
      <c r="B215" s="26" t="str">
        <f>"09DES0214I"</f>
        <v>09DES0214I</v>
      </c>
      <c r="C215" s="26" t="str">
        <f>"CARLOS MARX                                                                                         "</f>
        <v xml:space="preserve">CARLOS MARX                                                                                         </v>
      </c>
      <c r="D215" s="26" t="str">
        <f>"JORNADA AMPLIADA"</f>
        <v>JORNADA AMPLIADA</v>
      </c>
      <c r="E215" s="26" t="str">
        <f>"CHILPANCINGO NORTE Y SUR S/N.                                                   "</f>
        <v xml:space="preserve">CHILPANCINGO NORTE Y SUR S/N.                                                   </v>
      </c>
      <c r="F215" s="26" t="str">
        <f>"CONJUNTO URBANO POPULAR ERMITA ZARA                                                                                                         "</f>
        <v xml:space="preserve">CONJUNTO URBANO POPULAR ERMITA ZARA                                                                                                         </v>
      </c>
      <c r="G215" s="26" t="str">
        <f>"IZTAPALAPA                                                                      "</f>
        <v xml:space="preserve">IZTAPALAPA                                                                      </v>
      </c>
      <c r="H215" s="26" t="str">
        <f>"004"</f>
        <v>004</v>
      </c>
      <c r="I215" s="26" t="str">
        <f t="shared" si="37"/>
        <v>00</v>
      </c>
      <c r="J215" s="26" t="str">
        <f>"61 "</f>
        <v xml:space="preserve">61 </v>
      </c>
      <c r="K215" s="26" t="str">
        <f>"IZ"</f>
        <v>IZ</v>
      </c>
      <c r="L215" s="26" t="str">
        <f>"DGSEI"</f>
        <v>DGSEI</v>
      </c>
      <c r="M215" s="26" t="str">
        <f t="shared" si="38"/>
        <v>FEDERAL</v>
      </c>
      <c r="N215" s="26">
        <v>594</v>
      </c>
      <c r="O215" s="26">
        <v>288</v>
      </c>
      <c r="P215" s="26">
        <v>306</v>
      </c>
      <c r="Q215" s="26">
        <v>15</v>
      </c>
      <c r="R215" s="26">
        <v>1</v>
      </c>
      <c r="S215" s="26">
        <v>40</v>
      </c>
      <c r="T215" s="26">
        <v>27</v>
      </c>
      <c r="U215" s="26">
        <v>68</v>
      </c>
      <c r="V215" s="26">
        <v>1</v>
      </c>
      <c r="W215" s="26" t="s">
        <v>2076</v>
      </c>
    </row>
    <row r="216" spans="1:23" x14ac:dyDescent="0.25">
      <c r="A216" s="26" t="str">
        <f t="shared" si="36"/>
        <v>SECUNDARIA</v>
      </c>
      <c r="B216" s="26" t="str">
        <f>"09DES0215H"</f>
        <v>09DES0215H</v>
      </c>
      <c r="C216" s="26" t="str">
        <f>"AUGUSTO CESAR SANDINO                                                                               "</f>
        <v xml:space="preserve">AUGUSTO CESAR SANDINO                                                                               </v>
      </c>
      <c r="D216" s="26" t="str">
        <f>"JORNADA AMPLIADA"</f>
        <v>JORNADA AMPLIADA</v>
      </c>
      <c r="E216" s="26" t="str">
        <f>"CALLE 296-A S/N                                                                 "</f>
        <v xml:space="preserve">CALLE 296-A S/N                                                                 </v>
      </c>
      <c r="F216" s="26" t="str">
        <f>"UNIDAD HABITACIONAL EL COYOL                                                                                                                "</f>
        <v xml:space="preserve">UNIDAD HABITACIONAL EL COYOL                                                                                                                </v>
      </c>
      <c r="G216" s="26" t="str">
        <f>"GUSTAVO A. MADERO                                                               "</f>
        <v xml:space="preserve">GUSTAVO A. MADERO                                                               </v>
      </c>
      <c r="H216" s="26" t="str">
        <f>"037"</f>
        <v>037</v>
      </c>
      <c r="I216" s="26" t="str">
        <f t="shared" si="37"/>
        <v>00</v>
      </c>
      <c r="J216" s="26" t="str">
        <f>"52 "</f>
        <v xml:space="preserve">52 </v>
      </c>
      <c r="K216" s="26" t="str">
        <f t="shared" ref="K216:K225" si="40">"SG"</f>
        <v>SG</v>
      </c>
      <c r="L216" s="26" t="str">
        <f t="shared" ref="L216:L225" si="41">"DGOSE"</f>
        <v>DGOSE</v>
      </c>
      <c r="M216" s="26" t="str">
        <f t="shared" si="38"/>
        <v>FEDERAL</v>
      </c>
      <c r="N216" s="26">
        <v>264</v>
      </c>
      <c r="O216" s="26">
        <v>141</v>
      </c>
      <c r="P216" s="26">
        <v>123</v>
      </c>
      <c r="Q216" s="26">
        <v>9</v>
      </c>
      <c r="R216" s="26">
        <v>2</v>
      </c>
      <c r="S216" s="26">
        <v>26</v>
      </c>
      <c r="T216" s="26">
        <v>17</v>
      </c>
      <c r="U216" s="26">
        <v>45</v>
      </c>
      <c r="V216" s="26">
        <v>1</v>
      </c>
      <c r="W216" s="26" t="s">
        <v>2076</v>
      </c>
    </row>
    <row r="217" spans="1:23" x14ac:dyDescent="0.25">
      <c r="A217" s="26" t="str">
        <f t="shared" si="36"/>
        <v>SECUNDARIA</v>
      </c>
      <c r="B217" s="26" t="str">
        <f>"09DES0216G"</f>
        <v>09DES0216G</v>
      </c>
      <c r="C217" s="26" t="str">
        <f>"ALFREDO NOBEL                                                                                       "</f>
        <v xml:space="preserve">ALFREDO NOBEL                                                                                       </v>
      </c>
      <c r="D217" s="26" t="str">
        <f>"JORNADA AMPLIADA"</f>
        <v>JORNADA AMPLIADA</v>
      </c>
      <c r="E217" s="26" t="str">
        <f>"MARIANO SALAS S/N ESQ CANTERA                                                   "</f>
        <v xml:space="preserve">MARIANO SALAS S/N ESQ CANTERA                                                   </v>
      </c>
      <c r="F217" s="26" t="str">
        <f>"ESTANZUELA                                                                                                                                  "</f>
        <v xml:space="preserve">ESTANZUELA                                                                                                                                  </v>
      </c>
      <c r="G217" s="26" t="str">
        <f>"GUSTAVO A. MADERO                                                               "</f>
        <v xml:space="preserve">GUSTAVO A. MADERO                                                               </v>
      </c>
      <c r="H217" s="26" t="str">
        <f>"037"</f>
        <v>037</v>
      </c>
      <c r="I217" s="26" t="str">
        <f t="shared" si="37"/>
        <v>00</v>
      </c>
      <c r="J217" s="26" t="str">
        <f>"52 "</f>
        <v xml:space="preserve">52 </v>
      </c>
      <c r="K217" s="26" t="str">
        <f t="shared" si="40"/>
        <v>SG</v>
      </c>
      <c r="L217" s="26" t="str">
        <f t="shared" si="41"/>
        <v>DGOSE</v>
      </c>
      <c r="M217" s="26" t="str">
        <f t="shared" si="38"/>
        <v>FEDERAL</v>
      </c>
      <c r="N217" s="26">
        <v>435</v>
      </c>
      <c r="O217" s="26">
        <v>217</v>
      </c>
      <c r="P217" s="26">
        <v>218</v>
      </c>
      <c r="Q217" s="26">
        <v>15</v>
      </c>
      <c r="R217" s="26">
        <v>2</v>
      </c>
      <c r="S217" s="26">
        <v>35</v>
      </c>
      <c r="T217" s="26">
        <v>24</v>
      </c>
      <c r="U217" s="26">
        <v>61</v>
      </c>
      <c r="V217" s="26">
        <v>1</v>
      </c>
      <c r="W217" s="26" t="s">
        <v>2076</v>
      </c>
    </row>
    <row r="218" spans="1:23" x14ac:dyDescent="0.25">
      <c r="A218" s="26" t="str">
        <f t="shared" si="36"/>
        <v>SECUNDARIA</v>
      </c>
      <c r="B218" s="26" t="str">
        <f>"09DES0217F"</f>
        <v>09DES0217F</v>
      </c>
      <c r="C218" s="26" t="str">
        <f>"CARLOS CASAS CAMPILLO                                                                               "</f>
        <v xml:space="preserve">CARLOS CASAS CAMPILLO                                                                               </v>
      </c>
      <c r="D218" s="26" t="str">
        <f t="shared" ref="D218:D225" si="42">"MATUTINO"</f>
        <v>MATUTINO</v>
      </c>
      <c r="E218" s="26" t="str">
        <f>"CALZADA VALLEJO Y 100 METRS SUR S/N                                             "</f>
        <v xml:space="preserve">CALZADA VALLEJO Y 100 METRS SUR S/N                                             </v>
      </c>
      <c r="F218" s="26" t="str">
        <f>"MAGDALENA DE LAS SALINAS                                                                                                                    "</f>
        <v xml:space="preserve">MAGDALENA DE LAS SALINAS                                                                                                                    </v>
      </c>
      <c r="G218" s="26" t="str">
        <f>"GUSTAVO A. MADERO                                                               "</f>
        <v xml:space="preserve">GUSTAVO A. MADERO                                                               </v>
      </c>
      <c r="H218" s="26" t="str">
        <f>"033"</f>
        <v>033</v>
      </c>
      <c r="I218" s="26" t="str">
        <f t="shared" si="37"/>
        <v>00</v>
      </c>
      <c r="J218" s="26" t="str">
        <f>"52 "</f>
        <v xml:space="preserve">52 </v>
      </c>
      <c r="K218" s="26" t="str">
        <f t="shared" si="40"/>
        <v>SG</v>
      </c>
      <c r="L218" s="26" t="str">
        <f t="shared" si="41"/>
        <v>DGOSE</v>
      </c>
      <c r="M218" s="26" t="str">
        <f t="shared" si="38"/>
        <v>FEDERAL</v>
      </c>
      <c r="N218" s="26">
        <v>583</v>
      </c>
      <c r="O218" s="26">
        <v>296</v>
      </c>
      <c r="P218" s="26">
        <v>287</v>
      </c>
      <c r="Q218" s="26">
        <v>17</v>
      </c>
      <c r="R218" s="26">
        <v>2</v>
      </c>
      <c r="S218" s="26">
        <v>33</v>
      </c>
      <c r="T218" s="26">
        <v>28</v>
      </c>
      <c r="U218" s="26">
        <v>63</v>
      </c>
      <c r="V218" s="26">
        <v>1</v>
      </c>
      <c r="W218" s="26"/>
    </row>
    <row r="219" spans="1:23" x14ac:dyDescent="0.25">
      <c r="A219" s="26" t="str">
        <f t="shared" si="36"/>
        <v>SECUNDARIA</v>
      </c>
      <c r="B219" s="26" t="str">
        <f>"09DES0218E"</f>
        <v>09DES0218E</v>
      </c>
      <c r="C219" s="26" t="str">
        <f>"REPUBLICA DE ITALIA                                                                                 "</f>
        <v xml:space="preserve">REPUBLICA DE ITALIA                                                                                 </v>
      </c>
      <c r="D219" s="26" t="str">
        <f t="shared" si="42"/>
        <v>MATUTINO</v>
      </c>
      <c r="E219" s="26" t="str">
        <f>"CDA BOLIVARES S/N                                                               "</f>
        <v xml:space="preserve">CDA BOLIVARES S/N                                                               </v>
      </c>
      <c r="F219" s="26" t="str">
        <f>"SIMON BOLIVAR                                                                                                                               "</f>
        <v xml:space="preserve">SIMON BOLIVAR                                                                                                                               </v>
      </c>
      <c r="G219" s="26" t="str">
        <f>"VENUSTIANO CARRANZA                                                             "</f>
        <v xml:space="preserve">VENUSTIANO CARRANZA                                                             </v>
      </c>
      <c r="H219" s="26" t="str">
        <f>"076"</f>
        <v>076</v>
      </c>
      <c r="I219" s="26" t="str">
        <f t="shared" si="37"/>
        <v>00</v>
      </c>
      <c r="J219" s="26" t="str">
        <f>"54 "</f>
        <v xml:space="preserve">54 </v>
      </c>
      <c r="K219" s="26" t="str">
        <f t="shared" si="40"/>
        <v>SG</v>
      </c>
      <c r="L219" s="26" t="str">
        <f t="shared" si="41"/>
        <v>DGOSE</v>
      </c>
      <c r="M219" s="26" t="str">
        <f t="shared" si="38"/>
        <v>FEDERAL</v>
      </c>
      <c r="N219" s="26">
        <v>512</v>
      </c>
      <c r="O219" s="26">
        <v>248</v>
      </c>
      <c r="P219" s="26">
        <v>264</v>
      </c>
      <c r="Q219" s="26">
        <v>15</v>
      </c>
      <c r="R219" s="26">
        <v>2</v>
      </c>
      <c r="S219" s="26">
        <v>36</v>
      </c>
      <c r="T219" s="26">
        <v>25</v>
      </c>
      <c r="U219" s="26">
        <v>63</v>
      </c>
      <c r="V219" s="26">
        <v>1</v>
      </c>
      <c r="W219" s="26"/>
    </row>
    <row r="220" spans="1:23" x14ac:dyDescent="0.25">
      <c r="A220" s="26" t="str">
        <f t="shared" si="36"/>
        <v>SECUNDARIA</v>
      </c>
      <c r="B220" s="26" t="str">
        <f>"09DES0219D"</f>
        <v>09DES0219D</v>
      </c>
      <c r="C220" s="26" t="str">
        <f>"IGNACIO CHAVEZ                                                                                      "</f>
        <v xml:space="preserve">IGNACIO CHAVEZ                                                                                      </v>
      </c>
      <c r="D220" s="26" t="str">
        <f t="shared" si="42"/>
        <v>MATUTINO</v>
      </c>
      <c r="E220" s="26" t="str">
        <f>"ORIENTE 118 Y SUR 173                                                           "</f>
        <v xml:space="preserve">ORIENTE 118 Y SUR 173                                                           </v>
      </c>
      <c r="F220" s="26" t="str">
        <f>"GABRIEL RAMOS MILLAN                                                                                                                        "</f>
        <v xml:space="preserve">GABRIEL RAMOS MILLAN                                                                                                                        </v>
      </c>
      <c r="G220" s="26" t="str">
        <f>"IZTACALCO                                                                       "</f>
        <v xml:space="preserve">IZTACALCO                                                                       </v>
      </c>
      <c r="H220" s="26" t="str">
        <f>"044"</f>
        <v>044</v>
      </c>
      <c r="I220" s="26" t="str">
        <f t="shared" si="37"/>
        <v>00</v>
      </c>
      <c r="J220" s="26" t="str">
        <f>"54 "</f>
        <v xml:space="preserve">54 </v>
      </c>
      <c r="K220" s="26" t="str">
        <f t="shared" si="40"/>
        <v>SG</v>
      </c>
      <c r="L220" s="26" t="str">
        <f t="shared" si="41"/>
        <v>DGOSE</v>
      </c>
      <c r="M220" s="26" t="str">
        <f t="shared" si="38"/>
        <v>FEDERAL</v>
      </c>
      <c r="N220" s="26">
        <v>405</v>
      </c>
      <c r="O220" s="26">
        <v>189</v>
      </c>
      <c r="P220" s="26">
        <v>216</v>
      </c>
      <c r="Q220" s="26">
        <v>13</v>
      </c>
      <c r="R220" s="26">
        <v>2</v>
      </c>
      <c r="S220" s="26">
        <v>31</v>
      </c>
      <c r="T220" s="26">
        <v>21</v>
      </c>
      <c r="U220" s="26">
        <v>54</v>
      </c>
      <c r="V220" s="26">
        <v>1</v>
      </c>
      <c r="W220" s="26"/>
    </row>
    <row r="221" spans="1:23" x14ac:dyDescent="0.25">
      <c r="A221" s="26" t="str">
        <f t="shared" si="36"/>
        <v>SECUNDARIA</v>
      </c>
      <c r="B221" s="26" t="str">
        <f>"09DES0220T"</f>
        <v>09DES0220T</v>
      </c>
      <c r="C221" s="26" t="str">
        <f>"AGUSTIN YAÑEZ                                                                                       "</f>
        <v xml:space="preserve">AGUSTIN YAÑEZ                                                                                       </v>
      </c>
      <c r="D221" s="26" t="str">
        <f t="shared" si="42"/>
        <v>MATUTINO</v>
      </c>
      <c r="E221" s="26" t="str">
        <f>"ORIENTE 233 NO 398                                                              "</f>
        <v xml:space="preserve">ORIENTE 233 NO 398                                                              </v>
      </c>
      <c r="F221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221" s="26" t="str">
        <f>"IZTACALCO                                                                       "</f>
        <v xml:space="preserve">IZTACALCO                                                                       </v>
      </c>
      <c r="H221" s="26" t="str">
        <f>"046"</f>
        <v>046</v>
      </c>
      <c r="I221" s="26" t="str">
        <f t="shared" si="37"/>
        <v>00</v>
      </c>
      <c r="J221" s="26" t="str">
        <f>"54 "</f>
        <v xml:space="preserve">54 </v>
      </c>
      <c r="K221" s="26" t="str">
        <f t="shared" si="40"/>
        <v>SG</v>
      </c>
      <c r="L221" s="26" t="str">
        <f t="shared" si="41"/>
        <v>DGOSE</v>
      </c>
      <c r="M221" s="26" t="str">
        <f t="shared" si="38"/>
        <v>FEDERAL</v>
      </c>
      <c r="N221" s="26">
        <v>565</v>
      </c>
      <c r="O221" s="26">
        <v>266</v>
      </c>
      <c r="P221" s="26">
        <v>299</v>
      </c>
      <c r="Q221" s="26">
        <v>15</v>
      </c>
      <c r="R221" s="26">
        <v>2</v>
      </c>
      <c r="S221" s="26">
        <v>37</v>
      </c>
      <c r="T221" s="26">
        <v>21</v>
      </c>
      <c r="U221" s="26">
        <v>60</v>
      </c>
      <c r="V221" s="26">
        <v>1</v>
      </c>
      <c r="W221" s="26"/>
    </row>
    <row r="222" spans="1:23" x14ac:dyDescent="0.25">
      <c r="A222" s="26" t="str">
        <f t="shared" si="36"/>
        <v>SECUNDARIA</v>
      </c>
      <c r="B222" s="26" t="str">
        <f>"09DES0221S"</f>
        <v>09DES0221S</v>
      </c>
      <c r="C222" s="26" t="str">
        <f>"""TLACAELEL""                                                                                         "</f>
        <v xml:space="preserve">"TLACAELEL"                                                                                         </v>
      </c>
      <c r="D222" s="26" t="str">
        <f t="shared" si="42"/>
        <v>MATUTINO</v>
      </c>
      <c r="E222" s="26" t="str">
        <f>"PRESA SALINILLA FRENTE A NO 390                                                 "</f>
        <v xml:space="preserve">PRESA SALINILLA FRENTE A NO 390                                                 </v>
      </c>
      <c r="F222" s="26" t="str">
        <f>"IRRIGACION                                                                                                                                  "</f>
        <v xml:space="preserve">IRRIGACION                                                                                                                                  </v>
      </c>
      <c r="G222" s="26" t="str">
        <f>"MIGUEL HIDALGO                                                                  "</f>
        <v xml:space="preserve">MIGUEL HIDALGO                                                                  </v>
      </c>
      <c r="H222" s="26" t="str">
        <f>"063"</f>
        <v>063</v>
      </c>
      <c r="I222" s="26" t="str">
        <f t="shared" si="37"/>
        <v>00</v>
      </c>
      <c r="J222" s="26" t="str">
        <f>"51 "</f>
        <v xml:space="preserve">51 </v>
      </c>
      <c r="K222" s="26" t="str">
        <f t="shared" si="40"/>
        <v>SG</v>
      </c>
      <c r="L222" s="26" t="str">
        <f t="shared" si="41"/>
        <v>DGOSE</v>
      </c>
      <c r="M222" s="26" t="str">
        <f t="shared" si="38"/>
        <v>FEDERAL</v>
      </c>
      <c r="N222" s="26">
        <v>666</v>
      </c>
      <c r="O222" s="26">
        <v>338</v>
      </c>
      <c r="P222" s="26">
        <v>328</v>
      </c>
      <c r="Q222" s="26">
        <v>15</v>
      </c>
      <c r="R222" s="26">
        <v>2</v>
      </c>
      <c r="S222" s="26">
        <v>36</v>
      </c>
      <c r="T222" s="26">
        <v>27</v>
      </c>
      <c r="U222" s="26">
        <v>65</v>
      </c>
      <c r="V222" s="26">
        <v>1</v>
      </c>
      <c r="W222" s="26"/>
    </row>
    <row r="223" spans="1:23" x14ac:dyDescent="0.25">
      <c r="A223" s="26" t="str">
        <f t="shared" si="36"/>
        <v>SECUNDARIA</v>
      </c>
      <c r="B223" s="26" t="str">
        <f>"09DES0222R"</f>
        <v>09DES0222R</v>
      </c>
      <c r="C223" s="26" t="str">
        <f>"TLALOC                                                                                              "</f>
        <v xml:space="preserve">TLALOC                                                                                              </v>
      </c>
      <c r="D223" s="26" t="str">
        <f t="shared" si="42"/>
        <v>MATUTINO</v>
      </c>
      <c r="E223" s="26" t="str">
        <f>"CALZ DE LAS AGUILAS S/N                                                         "</f>
        <v xml:space="preserve">CALZ DE LAS AGUILAS S/N                                                         </v>
      </c>
      <c r="F223" s="26" t="str">
        <f>"LAS AGUILAS AMPLIACION                                                                                                                      "</f>
        <v xml:space="preserve">LAS AGUILAS AMPLIACION                                                                                                                      </v>
      </c>
      <c r="G223" s="26" t="str">
        <f>"ALVARO OBREGON                                                                  "</f>
        <v xml:space="preserve">ALVARO OBREGON                                                                  </v>
      </c>
      <c r="H223" s="26" t="str">
        <f>"001"</f>
        <v>001</v>
      </c>
      <c r="I223" s="26" t="str">
        <f t="shared" si="37"/>
        <v>00</v>
      </c>
      <c r="J223" s="26" t="str">
        <f>"53 "</f>
        <v xml:space="preserve">53 </v>
      </c>
      <c r="K223" s="26" t="str">
        <f t="shared" si="40"/>
        <v>SG</v>
      </c>
      <c r="L223" s="26" t="str">
        <f t="shared" si="41"/>
        <v>DGOSE</v>
      </c>
      <c r="M223" s="26" t="str">
        <f t="shared" si="38"/>
        <v>FEDERAL</v>
      </c>
      <c r="N223" s="26">
        <v>608</v>
      </c>
      <c r="O223" s="26">
        <v>314</v>
      </c>
      <c r="P223" s="26">
        <v>294</v>
      </c>
      <c r="Q223" s="26">
        <v>15</v>
      </c>
      <c r="R223" s="26">
        <v>2</v>
      </c>
      <c r="S223" s="26">
        <v>30</v>
      </c>
      <c r="T223" s="26">
        <v>20</v>
      </c>
      <c r="U223" s="26">
        <v>52</v>
      </c>
      <c r="V223" s="26">
        <v>1</v>
      </c>
      <c r="W223" s="26"/>
    </row>
    <row r="224" spans="1:23" x14ac:dyDescent="0.25">
      <c r="A224" s="26" t="str">
        <f t="shared" si="36"/>
        <v>SECUNDARIA</v>
      </c>
      <c r="B224" s="26" t="str">
        <f>"09DES0223Q"</f>
        <v>09DES0223Q</v>
      </c>
      <c r="C224" s="26" t="str">
        <f>"JOSE MARIA VELASCO                                                                                  "</f>
        <v xml:space="preserve">JOSE MARIA VELASCO                                                                                  </v>
      </c>
      <c r="D224" s="26" t="str">
        <f t="shared" si="42"/>
        <v>MATUTINO</v>
      </c>
      <c r="E224" s="26" t="str">
        <f>"AV SAN JERONIMO NO 1706                                                         "</f>
        <v xml:space="preserve">AV SAN JERONIMO NO 1706                                                         </v>
      </c>
      <c r="F224" s="26" t="str">
        <f>"LOMAS QUEBRADAS                                                                                                                             "</f>
        <v xml:space="preserve">LOMAS QUEBRADAS                                                                                                                             </v>
      </c>
      <c r="G224" s="26" t="str">
        <f>"LA MAGDALENA CONTRERAS                                                          "</f>
        <v xml:space="preserve">LA MAGDALENA CONTRERAS                                                          </v>
      </c>
      <c r="H224" s="26" t="str">
        <f>"059"</f>
        <v>059</v>
      </c>
      <c r="I224" s="26" t="str">
        <f t="shared" si="37"/>
        <v>00</v>
      </c>
      <c r="J224" s="26" t="str">
        <f>"53 "</f>
        <v xml:space="preserve">53 </v>
      </c>
      <c r="K224" s="26" t="str">
        <f t="shared" si="40"/>
        <v>SG</v>
      </c>
      <c r="L224" s="26" t="str">
        <f t="shared" si="41"/>
        <v>DGOSE</v>
      </c>
      <c r="M224" s="26" t="str">
        <f t="shared" si="38"/>
        <v>FEDERAL</v>
      </c>
      <c r="N224" s="26">
        <v>705</v>
      </c>
      <c r="O224" s="26">
        <v>304</v>
      </c>
      <c r="P224" s="26">
        <v>401</v>
      </c>
      <c r="Q224" s="26">
        <v>15</v>
      </c>
      <c r="R224" s="26">
        <v>2</v>
      </c>
      <c r="S224" s="26">
        <v>34</v>
      </c>
      <c r="T224" s="26">
        <v>22</v>
      </c>
      <c r="U224" s="26">
        <v>58</v>
      </c>
      <c r="V224" s="26">
        <v>1</v>
      </c>
      <c r="W224" s="26"/>
    </row>
    <row r="225" spans="1:23" x14ac:dyDescent="0.25">
      <c r="A225" s="26" t="str">
        <f t="shared" si="36"/>
        <v>SECUNDARIA</v>
      </c>
      <c r="B225" s="26" t="str">
        <f>"09DES0224P"</f>
        <v>09DES0224P</v>
      </c>
      <c r="C225" s="26" t="str">
        <f>"""HUETZALIN""                                                                                         "</f>
        <v xml:space="preserve">"HUETZALIN"                                                                                         </v>
      </c>
      <c r="D225" s="26" t="str">
        <f t="shared" si="42"/>
        <v>MATUTINO</v>
      </c>
      <c r="E225" s="26" t="str">
        <f>"PINO S/N                                                                        "</f>
        <v xml:space="preserve">PINO S/N                                                                        </v>
      </c>
      <c r="F225" s="26" t="str">
        <f>"GUADALUPE                                                                                                                                   "</f>
        <v xml:space="preserve">GUADALUPE                                                                                                                                   </v>
      </c>
      <c r="G225" s="26" t="str">
        <f>"XOCHIMILCO                                                                      "</f>
        <v xml:space="preserve">XOCHIMILCO                                                                      </v>
      </c>
      <c r="H225" s="26" t="str">
        <f>"079"</f>
        <v>079</v>
      </c>
      <c r="I225" s="26" t="str">
        <f t="shared" si="37"/>
        <v>00</v>
      </c>
      <c r="J225" s="26" t="str">
        <f>"55 "</f>
        <v xml:space="preserve">55 </v>
      </c>
      <c r="K225" s="26" t="str">
        <f t="shared" si="40"/>
        <v>SG</v>
      </c>
      <c r="L225" s="26" t="str">
        <f t="shared" si="41"/>
        <v>DGOSE</v>
      </c>
      <c r="M225" s="26" t="str">
        <f t="shared" si="38"/>
        <v>FEDERAL</v>
      </c>
      <c r="N225" s="26">
        <v>609</v>
      </c>
      <c r="O225" s="26">
        <v>298</v>
      </c>
      <c r="P225" s="26">
        <v>311</v>
      </c>
      <c r="Q225" s="26">
        <v>15</v>
      </c>
      <c r="R225" s="26">
        <v>1</v>
      </c>
      <c r="S225" s="26">
        <v>25</v>
      </c>
      <c r="T225" s="26">
        <v>22</v>
      </c>
      <c r="U225" s="26">
        <v>48</v>
      </c>
      <c r="V225" s="26">
        <v>1</v>
      </c>
      <c r="W225" s="26"/>
    </row>
    <row r="226" spans="1:23" x14ac:dyDescent="0.25">
      <c r="A226" s="26" t="str">
        <f t="shared" si="36"/>
        <v>SECUNDARIA</v>
      </c>
      <c r="B226" s="26" t="str">
        <f>"09DES0225O"</f>
        <v>09DES0225O</v>
      </c>
      <c r="C226" s="26" t="str">
        <f>"HERMENEGILDO GALEANA                                                                                "</f>
        <v xml:space="preserve">HERMENEGILDO GALEANA                                                                                </v>
      </c>
      <c r="D226" s="26" t="str">
        <f>"JORNADA AMPLIADA"</f>
        <v>JORNADA AMPLIADA</v>
      </c>
      <c r="E226" s="26" t="str">
        <f>"HERMENEGILDO GALEANA S/N                                                        "</f>
        <v xml:space="preserve">HERMENEGILDO GALEANA S/N                                                        </v>
      </c>
      <c r="F226" s="26" t="str">
        <f>"GUADALUPE DEL MORAL                                                                                                                         "</f>
        <v xml:space="preserve">GUADALUPE DEL MORAL                                                                                                                         </v>
      </c>
      <c r="G226" s="26" t="str">
        <f>"IZTAPALAPA                                                                      "</f>
        <v xml:space="preserve">IZTAPALAPA                                                                      </v>
      </c>
      <c r="H226" s="26" t="str">
        <f>"001"</f>
        <v>001</v>
      </c>
      <c r="I226" s="26" t="str">
        <f t="shared" si="37"/>
        <v>00</v>
      </c>
      <c r="J226" s="26" t="str">
        <f>"61 "</f>
        <v xml:space="preserve">61 </v>
      </c>
      <c r="K226" s="26" t="str">
        <f>"IZ"</f>
        <v>IZ</v>
      </c>
      <c r="L226" s="26" t="str">
        <f>"DGSEI"</f>
        <v>DGSEI</v>
      </c>
      <c r="M226" s="26" t="str">
        <f t="shared" si="38"/>
        <v>FEDERAL</v>
      </c>
      <c r="N226" s="26">
        <v>529</v>
      </c>
      <c r="O226" s="26">
        <v>274</v>
      </c>
      <c r="P226" s="26">
        <v>255</v>
      </c>
      <c r="Q226" s="26">
        <v>15</v>
      </c>
      <c r="R226" s="26">
        <v>1</v>
      </c>
      <c r="S226" s="26">
        <v>33</v>
      </c>
      <c r="T226" s="26">
        <v>23</v>
      </c>
      <c r="U226" s="26">
        <v>57</v>
      </c>
      <c r="V226" s="26">
        <v>1</v>
      </c>
      <c r="W226" s="26" t="s">
        <v>2076</v>
      </c>
    </row>
    <row r="227" spans="1:23" x14ac:dyDescent="0.25">
      <c r="A227" s="26" t="str">
        <f t="shared" si="36"/>
        <v>SECUNDARIA</v>
      </c>
      <c r="B227" s="26" t="str">
        <f>"09DES0226N"</f>
        <v>09DES0226N</v>
      </c>
      <c r="C227" s="26" t="str">
        <f>"ESTADO DE VERACRUZ                                                                                  "</f>
        <v xml:space="preserve">ESTADO DE VERACRUZ                                                                                  </v>
      </c>
      <c r="D227" s="26" t="str">
        <f>"MATUTINO"</f>
        <v>MATUTINO</v>
      </c>
      <c r="E227" s="26" t="str">
        <f>"EMILIANO ZAPATA S/N ESQ. AV. TLAHUAC                                            "</f>
        <v xml:space="preserve">EMILIANO ZAPATA S/N ESQ. AV. TLAHUAC                                            </v>
      </c>
      <c r="F227" s="26" t="str">
        <f>"SANTA MARIA TOMATLAN                                                                                                                        "</f>
        <v xml:space="preserve">SANTA MARIA TOMATLAN                                                                                                                        </v>
      </c>
      <c r="G227" s="26" t="str">
        <f>"IZTAPALAPA                                                                      "</f>
        <v xml:space="preserve">IZTAPALAPA                                                                      </v>
      </c>
      <c r="H227" s="26" t="str">
        <f>"011"</f>
        <v>011</v>
      </c>
      <c r="I227" s="26" t="str">
        <f t="shared" si="37"/>
        <v>00</v>
      </c>
      <c r="J227" s="26" t="str">
        <f>"63 "</f>
        <v xml:space="preserve">63 </v>
      </c>
      <c r="K227" s="26" t="str">
        <f>"IZ"</f>
        <v>IZ</v>
      </c>
      <c r="L227" s="26" t="str">
        <f>"DGSEI"</f>
        <v>DGSEI</v>
      </c>
      <c r="M227" s="26" t="str">
        <f t="shared" si="38"/>
        <v>FEDERAL</v>
      </c>
      <c r="N227" s="26">
        <v>549</v>
      </c>
      <c r="O227" s="26">
        <v>260</v>
      </c>
      <c r="P227" s="26">
        <v>289</v>
      </c>
      <c r="Q227" s="26">
        <v>15</v>
      </c>
      <c r="R227" s="26">
        <v>2</v>
      </c>
      <c r="S227" s="26">
        <v>38</v>
      </c>
      <c r="T227" s="26">
        <v>22</v>
      </c>
      <c r="U227" s="26">
        <v>62</v>
      </c>
      <c r="V227" s="26">
        <v>1</v>
      </c>
      <c r="W227" s="26"/>
    </row>
    <row r="228" spans="1:23" x14ac:dyDescent="0.25">
      <c r="A228" s="26" t="str">
        <f t="shared" si="36"/>
        <v>SECUNDARIA</v>
      </c>
      <c r="B228" s="26" t="str">
        <f>"09DES0227M"</f>
        <v>09DES0227M</v>
      </c>
      <c r="C228" s="26" t="str">
        <f>"""SOUMAYA DOMIT GEMAYEL""                                                                             "</f>
        <v xml:space="preserve">"SOUMAYA DOMIT GEMAYEL"                                                                             </v>
      </c>
      <c r="D228" s="26" t="str">
        <f>"MATUTINO"</f>
        <v>MATUTINO</v>
      </c>
      <c r="E228" s="26" t="str">
        <f>"MAYA Y AZT SECT C-B INFONAVIT                                                   "</f>
        <v xml:space="preserve">MAYA Y AZT SECT C-B INFONAVIT                                                   </v>
      </c>
      <c r="F228" s="26" t="str">
        <f>"UNIDAD INFONAVIT EL ROSARIO                                                                                                                 "</f>
        <v xml:space="preserve">UNIDAD INFONAVIT EL ROSARIO                                                                                                                 </v>
      </c>
      <c r="G228" s="26" t="str">
        <f>"AZCAPOTZALCO                                                                    "</f>
        <v xml:space="preserve">AZCAPOTZALCO                                                                    </v>
      </c>
      <c r="H228" s="26" t="str">
        <f>"006"</f>
        <v>006</v>
      </c>
      <c r="I228" s="26" t="str">
        <f t="shared" si="37"/>
        <v>00</v>
      </c>
      <c r="J228" s="26" t="str">
        <f>"51 "</f>
        <v xml:space="preserve">51 </v>
      </c>
      <c r="K228" s="26" t="str">
        <f t="shared" ref="K228:K235" si="43">"SG"</f>
        <v>SG</v>
      </c>
      <c r="L228" s="26" t="str">
        <f t="shared" ref="L228:L235" si="44">"DGOSE"</f>
        <v>DGOSE</v>
      </c>
      <c r="M228" s="26" t="str">
        <f t="shared" si="38"/>
        <v>FEDERAL</v>
      </c>
      <c r="N228" s="26">
        <v>376</v>
      </c>
      <c r="O228" s="26">
        <v>203</v>
      </c>
      <c r="P228" s="26">
        <v>173</v>
      </c>
      <c r="Q228" s="26">
        <v>15</v>
      </c>
      <c r="R228" s="26">
        <v>2</v>
      </c>
      <c r="S228" s="26">
        <v>28</v>
      </c>
      <c r="T228" s="26">
        <v>21</v>
      </c>
      <c r="U228" s="26">
        <v>51</v>
      </c>
      <c r="V228" s="26">
        <v>1</v>
      </c>
      <c r="W228" s="26"/>
    </row>
    <row r="229" spans="1:23" x14ac:dyDescent="0.25">
      <c r="A229" s="26" t="str">
        <f t="shared" si="36"/>
        <v>SECUNDARIA</v>
      </c>
      <c r="B229" s="26" t="str">
        <f>"09DES0228L"</f>
        <v>09DES0228L</v>
      </c>
      <c r="C229" s="26" t="str">
        <f>""" EDMUNDO O' GORMAN""                                                                                "</f>
        <v xml:space="preserve">" EDMUNDO O' GORMAN"                                                                                </v>
      </c>
      <c r="D229" s="26" t="str">
        <f>"JORNADA AMPLIADA"</f>
        <v>JORNADA AMPLIADA</v>
      </c>
      <c r="E229" s="26" t="str">
        <f>"MERCEDES ABREGO S/N                                                             "</f>
        <v xml:space="preserve">MERCEDES ABREGO S/N                                                             </v>
      </c>
      <c r="F229" s="26" t="str">
        <f>"UNIDAD HABITACIONAL SAN FRANCISCO C                                                                                                         "</f>
        <v xml:space="preserve">UNIDAD HABITACIONAL SAN FRANCISCO C                                                                                                         </v>
      </c>
      <c r="G229" s="26" t="str">
        <f>"COYOACAN                                                                        "</f>
        <v xml:space="preserve">COYOACAN                                                                        </v>
      </c>
      <c r="H229" s="26" t="str">
        <f>"021"</f>
        <v>021</v>
      </c>
      <c r="I229" s="26" t="str">
        <f t="shared" si="37"/>
        <v>00</v>
      </c>
      <c r="J229" s="26" t="str">
        <f>"54 "</f>
        <v xml:space="preserve">54 </v>
      </c>
      <c r="K229" s="26" t="str">
        <f t="shared" si="43"/>
        <v>SG</v>
      </c>
      <c r="L229" s="26" t="str">
        <f t="shared" si="44"/>
        <v>DGOSE</v>
      </c>
      <c r="M229" s="26" t="str">
        <f t="shared" si="38"/>
        <v>FEDERAL</v>
      </c>
      <c r="N229" s="26">
        <v>567</v>
      </c>
      <c r="O229" s="26">
        <v>315</v>
      </c>
      <c r="P229" s="26">
        <v>252</v>
      </c>
      <c r="Q229" s="26">
        <v>15</v>
      </c>
      <c r="R229" s="26">
        <v>2</v>
      </c>
      <c r="S229" s="26">
        <v>36</v>
      </c>
      <c r="T229" s="26">
        <v>26</v>
      </c>
      <c r="U229" s="26">
        <v>64</v>
      </c>
      <c r="V229" s="26">
        <v>1</v>
      </c>
      <c r="W229" s="26" t="s">
        <v>2076</v>
      </c>
    </row>
    <row r="230" spans="1:23" x14ac:dyDescent="0.25">
      <c r="A230" s="26" t="str">
        <f t="shared" si="36"/>
        <v>SECUNDARIA</v>
      </c>
      <c r="B230" s="26" t="str">
        <f>"09DES0229K"</f>
        <v>09DES0229K</v>
      </c>
      <c r="C230" s="26" t="str">
        <f>"LUDMILA YIVKOVA                                                                                     "</f>
        <v xml:space="preserve">LUDMILA YIVKOVA                                                                                     </v>
      </c>
      <c r="D230" s="26" t="str">
        <f>"MATUTINO"</f>
        <v>MATUTINO</v>
      </c>
      <c r="E230" s="26" t="str">
        <f>"INF PEDREGAL DE CARRASCO 7TA SECC                                               "</f>
        <v xml:space="preserve">INF PEDREGAL DE CARRASCO 7TA SECC                                               </v>
      </c>
      <c r="F230" s="26" t="str">
        <f>"PEDREGAL DE CARRASCO                                                                                                                        "</f>
        <v xml:space="preserve">PEDREGAL DE CARRASCO                                                                                                                        </v>
      </c>
      <c r="G230" s="26" t="str">
        <f>"COYOACAN                                                                        "</f>
        <v xml:space="preserve">COYOACAN                                                                        </v>
      </c>
      <c r="H230" s="26" t="str">
        <f>"017"</f>
        <v>017</v>
      </c>
      <c r="I230" s="26" t="str">
        <f t="shared" si="37"/>
        <v>00</v>
      </c>
      <c r="J230" s="26" t="str">
        <f>"54 "</f>
        <v xml:space="preserve">54 </v>
      </c>
      <c r="K230" s="26" t="str">
        <f t="shared" si="43"/>
        <v>SG</v>
      </c>
      <c r="L230" s="26" t="str">
        <f t="shared" si="44"/>
        <v>DGOSE</v>
      </c>
      <c r="M230" s="26" t="str">
        <f t="shared" si="38"/>
        <v>FEDERAL</v>
      </c>
      <c r="N230" s="26">
        <v>575</v>
      </c>
      <c r="O230" s="26">
        <v>294</v>
      </c>
      <c r="P230" s="26">
        <v>281</v>
      </c>
      <c r="Q230" s="26">
        <v>12</v>
      </c>
      <c r="R230" s="26">
        <v>2</v>
      </c>
      <c r="S230" s="26">
        <v>26</v>
      </c>
      <c r="T230" s="26">
        <v>24</v>
      </c>
      <c r="U230" s="26">
        <v>52</v>
      </c>
      <c r="V230" s="26">
        <v>1</v>
      </c>
      <c r="W230" s="26"/>
    </row>
    <row r="231" spans="1:23" x14ac:dyDescent="0.25">
      <c r="A231" s="26" t="str">
        <f t="shared" si="36"/>
        <v>SECUNDARIA</v>
      </c>
      <c r="B231" s="26" t="str">
        <f>"09DES0230Z"</f>
        <v>09DES0230Z</v>
      </c>
      <c r="C231" s="26" t="str">
        <f>"JESUS MASTACHE ROMAN                                                                                "</f>
        <v xml:space="preserve">JESUS MASTACHE ROMAN                                                                                </v>
      </c>
      <c r="D231" s="26" t="str">
        <f>"MATUTINO"</f>
        <v>MATUTINO</v>
      </c>
      <c r="E231" s="26" t="str">
        <f>"ING JESUS GOMEZ GONZALEZ S/N                                                    "</f>
        <v xml:space="preserve">ING JESUS GOMEZ GONZALEZ S/N                                                    </v>
      </c>
      <c r="F231" s="26" t="str">
        <f>"PRADO COAPA                                                                                                                                 "</f>
        <v xml:space="preserve">PRADO COAPA                                                                                                                                 </v>
      </c>
      <c r="G231" s="26" t="str">
        <f>"TLALPAN                                                                         "</f>
        <v xml:space="preserve">TLALPAN                                                                         </v>
      </c>
      <c r="H231" s="26" t="str">
        <f>"070"</f>
        <v>070</v>
      </c>
      <c r="I231" s="26" t="str">
        <f t="shared" si="37"/>
        <v>00</v>
      </c>
      <c r="J231" s="26" t="str">
        <f>"55 "</f>
        <v xml:space="preserve">55 </v>
      </c>
      <c r="K231" s="26" t="str">
        <f t="shared" si="43"/>
        <v>SG</v>
      </c>
      <c r="L231" s="26" t="str">
        <f t="shared" si="44"/>
        <v>DGOSE</v>
      </c>
      <c r="M231" s="26" t="str">
        <f t="shared" si="38"/>
        <v>FEDERAL</v>
      </c>
      <c r="N231" s="26">
        <v>632</v>
      </c>
      <c r="O231" s="26">
        <v>313</v>
      </c>
      <c r="P231" s="26">
        <v>319</v>
      </c>
      <c r="Q231" s="26">
        <v>15</v>
      </c>
      <c r="R231" s="26">
        <v>2</v>
      </c>
      <c r="S231" s="26">
        <v>35</v>
      </c>
      <c r="T231" s="26">
        <v>22</v>
      </c>
      <c r="U231" s="26">
        <v>59</v>
      </c>
      <c r="V231" s="26">
        <v>1</v>
      </c>
      <c r="W231" s="26"/>
    </row>
    <row r="232" spans="1:23" x14ac:dyDescent="0.25">
      <c r="A232" s="26" t="str">
        <f t="shared" si="36"/>
        <v>SECUNDARIA</v>
      </c>
      <c r="B232" s="26" t="str">
        <f>"09DES0231Z"</f>
        <v>09DES0231Z</v>
      </c>
      <c r="C232" s="26" t="str">
        <f>"SIGMUND FREUD                                                                                       "</f>
        <v xml:space="preserve">SIGMUND FREUD                                                                                       </v>
      </c>
      <c r="D232" s="26" t="str">
        <f>"MATUTINO"</f>
        <v>MATUTINO</v>
      </c>
      <c r="E232" s="26" t="str">
        <f>"AV VASCO DE QUIROGA NO 1355                                                     "</f>
        <v xml:space="preserve">AV VASCO DE QUIROGA NO 1355                                                     </v>
      </c>
      <c r="F232" s="26" t="str">
        <f>"SANTA FE                                                                                                                                    "</f>
        <v xml:space="preserve">SANTA FE                                                                                                                                    </v>
      </c>
      <c r="G232" s="26" t="str">
        <f>"ALVARO OBREGON                                                                  "</f>
        <v xml:space="preserve">ALVARO OBREGON                                                                  </v>
      </c>
      <c r="H232" s="26" t="str">
        <f>"004"</f>
        <v>004</v>
      </c>
      <c r="I232" s="26" t="str">
        <f t="shared" si="37"/>
        <v>00</v>
      </c>
      <c r="J232" s="26" t="str">
        <f>"53 "</f>
        <v xml:space="preserve">53 </v>
      </c>
      <c r="K232" s="26" t="str">
        <f t="shared" si="43"/>
        <v>SG</v>
      </c>
      <c r="L232" s="26" t="str">
        <f t="shared" si="44"/>
        <v>DGOSE</v>
      </c>
      <c r="M232" s="26" t="str">
        <f t="shared" si="38"/>
        <v>FEDERAL</v>
      </c>
      <c r="N232" s="26">
        <v>638</v>
      </c>
      <c r="O232" s="26">
        <v>328</v>
      </c>
      <c r="P232" s="26">
        <v>310</v>
      </c>
      <c r="Q232" s="26">
        <v>15</v>
      </c>
      <c r="R232" s="26">
        <v>2</v>
      </c>
      <c r="S232" s="26">
        <v>31</v>
      </c>
      <c r="T232" s="26">
        <v>20</v>
      </c>
      <c r="U232" s="26">
        <v>53</v>
      </c>
      <c r="V232" s="26">
        <v>1</v>
      </c>
      <c r="W232" s="26"/>
    </row>
    <row r="233" spans="1:23" x14ac:dyDescent="0.25">
      <c r="A233" s="26" t="str">
        <f t="shared" si="36"/>
        <v>SECUNDARIA</v>
      </c>
      <c r="B233" s="26" t="str">
        <f>"09DES0232Y"</f>
        <v>09DES0232Y</v>
      </c>
      <c r="C233" s="26" t="str">
        <f>"VASCO DE QUIROGA                                                                                    "</f>
        <v xml:space="preserve">VASCO DE QUIROGA                                                                                    </v>
      </c>
      <c r="D233" s="26" t="str">
        <f>"JORNADA AMPLIADA"</f>
        <v>JORNADA AMPLIADA</v>
      </c>
      <c r="E233" s="26" t="str">
        <f>"AV VASCO DE QUIROGA NO 1562                                                     "</f>
        <v xml:space="preserve">AV VASCO DE QUIROGA NO 1562                                                     </v>
      </c>
      <c r="F233" s="26" t="str">
        <f>"SANTA FE                                                                                                                                    "</f>
        <v xml:space="preserve">SANTA FE                                                                                                                                    </v>
      </c>
      <c r="G233" s="26" t="str">
        <f>"ALVARO OBREGON                                                                  "</f>
        <v xml:space="preserve">ALVARO OBREGON                                                                  </v>
      </c>
      <c r="H233" s="26" t="str">
        <f>"004"</f>
        <v>004</v>
      </c>
      <c r="I233" s="26" t="str">
        <f t="shared" si="37"/>
        <v>00</v>
      </c>
      <c r="J233" s="26" t="str">
        <f>"53 "</f>
        <v xml:space="preserve">53 </v>
      </c>
      <c r="K233" s="26" t="str">
        <f t="shared" si="43"/>
        <v>SG</v>
      </c>
      <c r="L233" s="26" t="str">
        <f t="shared" si="44"/>
        <v>DGOSE</v>
      </c>
      <c r="M233" s="26" t="str">
        <f t="shared" si="38"/>
        <v>FEDERAL</v>
      </c>
      <c r="N233" s="26">
        <v>693</v>
      </c>
      <c r="O233" s="26">
        <v>360</v>
      </c>
      <c r="P233" s="26">
        <v>333</v>
      </c>
      <c r="Q233" s="26">
        <v>15</v>
      </c>
      <c r="R233" s="26">
        <v>1</v>
      </c>
      <c r="S233" s="26">
        <v>30</v>
      </c>
      <c r="T233" s="26">
        <v>21</v>
      </c>
      <c r="U233" s="26">
        <v>52</v>
      </c>
      <c r="V233" s="26">
        <v>1</v>
      </c>
      <c r="W233" s="26" t="s">
        <v>2076</v>
      </c>
    </row>
    <row r="234" spans="1:23" x14ac:dyDescent="0.25">
      <c r="A234" s="26" t="str">
        <f t="shared" si="36"/>
        <v>SECUNDARIA</v>
      </c>
      <c r="B234" s="26" t="str">
        <f>"09DES0233X"</f>
        <v>09DES0233X</v>
      </c>
      <c r="C234" s="26" t="str">
        <f>"""ALFONSO NORIEGA CANTU""                                                                             "</f>
        <v xml:space="preserve">"ALFONSO NORIEGA CANTU"                                                                             </v>
      </c>
      <c r="D234" s="26" t="str">
        <f>"JORNADA AMPLIADA"</f>
        <v>JORNADA AMPLIADA</v>
      </c>
      <c r="E234" s="26" t="str">
        <f>"GUADALUPE NO 29                                                                 "</f>
        <v xml:space="preserve">GUADALUPE NO 29                                                                 </v>
      </c>
      <c r="F234" s="26" t="str">
        <f>"CUCHILLA AGRICOLA PANTITLAN                                                                                                                 "</f>
        <v xml:space="preserve">CUCHILLA AGRICOLA PANTITLAN                                                                                                                 </v>
      </c>
      <c r="G234" s="26" t="str">
        <f>"IZTACALCO                                                                       "</f>
        <v xml:space="preserve">IZTACALCO                                                                       </v>
      </c>
      <c r="H234" s="26" t="str">
        <f>"046"</f>
        <v>046</v>
      </c>
      <c r="I234" s="26" t="str">
        <f t="shared" si="37"/>
        <v>00</v>
      </c>
      <c r="J234" s="26" t="str">
        <f>"54 "</f>
        <v xml:space="preserve">54 </v>
      </c>
      <c r="K234" s="26" t="str">
        <f t="shared" si="43"/>
        <v>SG</v>
      </c>
      <c r="L234" s="26" t="str">
        <f t="shared" si="44"/>
        <v>DGOSE</v>
      </c>
      <c r="M234" s="26" t="str">
        <f t="shared" si="38"/>
        <v>FEDERAL</v>
      </c>
      <c r="N234" s="26">
        <v>461</v>
      </c>
      <c r="O234" s="26">
        <v>261</v>
      </c>
      <c r="P234" s="26">
        <v>200</v>
      </c>
      <c r="Q234" s="26">
        <v>15</v>
      </c>
      <c r="R234" s="26">
        <v>2</v>
      </c>
      <c r="S234" s="26">
        <v>44</v>
      </c>
      <c r="T234" s="26">
        <v>22</v>
      </c>
      <c r="U234" s="26">
        <v>68</v>
      </c>
      <c r="V234" s="26">
        <v>1</v>
      </c>
      <c r="W234" s="26" t="s">
        <v>2076</v>
      </c>
    </row>
    <row r="235" spans="1:23" x14ac:dyDescent="0.25">
      <c r="A235" s="26" t="str">
        <f t="shared" si="36"/>
        <v>SECUNDARIA</v>
      </c>
      <c r="B235" s="26" t="str">
        <f>"09DES0234W"</f>
        <v>09DES0234W</v>
      </c>
      <c r="C235" s="26" t="str">
        <f>"JOSE MANCISIDOR                                                                                     "</f>
        <v xml:space="preserve">JOSE MANCISIDOR                                                                                     </v>
      </c>
      <c r="D235" s="26" t="str">
        <f>"JORNADA AMPLIADA"</f>
        <v>JORNADA AMPLIADA</v>
      </c>
      <c r="E235" s="26" t="str">
        <f>"BREA ENTRE AÑIL Y AVENA                                                         "</f>
        <v xml:space="preserve">BREA ENTRE AÑIL Y AVENA                                                         </v>
      </c>
      <c r="F235" s="26" t="str">
        <f>"GRANJAS MEXICO                                                                                                                              "</f>
        <v xml:space="preserve">GRANJAS MEXICO                                                                                                                              </v>
      </c>
      <c r="G235" s="26" t="str">
        <f>"IZTACALCO                                                                       "</f>
        <v xml:space="preserve">IZTACALCO                                                                       </v>
      </c>
      <c r="H235" s="26" t="str">
        <f>"045"</f>
        <v>045</v>
      </c>
      <c r="I235" s="26" t="str">
        <f t="shared" si="37"/>
        <v>00</v>
      </c>
      <c r="J235" s="26" t="str">
        <f>"54 "</f>
        <v xml:space="preserve">54 </v>
      </c>
      <c r="K235" s="26" t="str">
        <f t="shared" si="43"/>
        <v>SG</v>
      </c>
      <c r="L235" s="26" t="str">
        <f t="shared" si="44"/>
        <v>DGOSE</v>
      </c>
      <c r="M235" s="26" t="str">
        <f t="shared" si="38"/>
        <v>FEDERAL</v>
      </c>
      <c r="N235" s="26">
        <v>339</v>
      </c>
      <c r="O235" s="26">
        <v>188</v>
      </c>
      <c r="P235" s="26">
        <v>151</v>
      </c>
      <c r="Q235" s="26">
        <v>11</v>
      </c>
      <c r="R235" s="26">
        <v>2</v>
      </c>
      <c r="S235" s="26">
        <v>31</v>
      </c>
      <c r="T235" s="26">
        <v>20</v>
      </c>
      <c r="U235" s="26">
        <v>53</v>
      </c>
      <c r="V235" s="26">
        <v>1</v>
      </c>
      <c r="W235" s="26" t="s">
        <v>2076</v>
      </c>
    </row>
    <row r="236" spans="1:23" x14ac:dyDescent="0.25">
      <c r="A236" s="26" t="str">
        <f t="shared" si="36"/>
        <v>SECUNDARIA</v>
      </c>
      <c r="B236" s="26" t="str">
        <f>"09DES0235V"</f>
        <v>09DES0235V</v>
      </c>
      <c r="C236" s="26" t="str">
        <f>"JOSE CLEMENTE OROZCO                                                                                "</f>
        <v xml:space="preserve">JOSE CLEMENTE OROZCO                                                                                </v>
      </c>
      <c r="D236" s="26" t="str">
        <f>"MATUTINO"</f>
        <v>MATUTINO</v>
      </c>
      <c r="E236" s="26" t="str">
        <f>"AMERICA Y ESTEBAN CORONADO                                                      "</f>
        <v xml:space="preserve">AMERICA Y ESTEBAN CORONADO                                                      </v>
      </c>
      <c r="F236" s="26" t="str">
        <f>"LA REGADERA                                                                                                                                 "</f>
        <v xml:space="preserve">LA REGADERA                                                                                                                                 </v>
      </c>
      <c r="G236" s="26" t="str">
        <f>"IZTAPALAPA                                                                      "</f>
        <v xml:space="preserve">IZTAPALAPA                                                                      </v>
      </c>
      <c r="H236" s="26" t="str">
        <f>"008"</f>
        <v>008</v>
      </c>
      <c r="I236" s="26" t="str">
        <f t="shared" si="37"/>
        <v>00</v>
      </c>
      <c r="J236" s="26" t="str">
        <f>"62 "</f>
        <v xml:space="preserve">62 </v>
      </c>
      <c r="K236" s="26" t="str">
        <f>"IZ"</f>
        <v>IZ</v>
      </c>
      <c r="L236" s="26" t="str">
        <f>"DGSEI"</f>
        <v>DGSEI</v>
      </c>
      <c r="M236" s="26" t="str">
        <f t="shared" si="38"/>
        <v>FEDERAL</v>
      </c>
      <c r="N236" s="26">
        <v>578</v>
      </c>
      <c r="O236" s="26">
        <v>273</v>
      </c>
      <c r="P236" s="26">
        <v>305</v>
      </c>
      <c r="Q236" s="26">
        <v>15</v>
      </c>
      <c r="R236" s="26">
        <v>2</v>
      </c>
      <c r="S236" s="26">
        <v>39</v>
      </c>
      <c r="T236" s="26">
        <v>20</v>
      </c>
      <c r="U236" s="26">
        <v>61</v>
      </c>
      <c r="V236" s="26">
        <v>1</v>
      </c>
      <c r="W236" s="26"/>
    </row>
    <row r="237" spans="1:23" x14ac:dyDescent="0.25">
      <c r="A237" s="26" t="str">
        <f t="shared" si="36"/>
        <v>SECUNDARIA</v>
      </c>
      <c r="B237" s="26" t="str">
        <f>"09DES0236U"</f>
        <v>09DES0236U</v>
      </c>
      <c r="C237" s="26" t="str">
        <f>"IZTAPALAPA                                                                                          "</f>
        <v xml:space="preserve">IZTAPALAPA                                                                                          </v>
      </c>
      <c r="D237" s="26" t="str">
        <f>"MATUTINO"</f>
        <v>MATUTINO</v>
      </c>
      <c r="E237" s="26" t="str">
        <f>"GRAL. PABLO GARCIA Y TRINIDAD SALGADO NO. 20                                    "</f>
        <v xml:space="preserve">GRAL. PABLO GARCIA Y TRINIDAD SALGADO NO. 20                                    </v>
      </c>
      <c r="F237" s="26" t="str">
        <f>"JUAN ESCUTIA                                                                                                                                "</f>
        <v xml:space="preserve">JUAN ESCUTIA                                                                                                                                </v>
      </c>
      <c r="G237" s="26" t="str">
        <f>"IZTAPALAPA                                                                      "</f>
        <v xml:space="preserve">IZTAPALAPA                                                                      </v>
      </c>
      <c r="H237" s="26" t="str">
        <f>"005"</f>
        <v>005</v>
      </c>
      <c r="I237" s="26" t="str">
        <f t="shared" si="37"/>
        <v>00</v>
      </c>
      <c r="J237" s="26" t="str">
        <f>"62 "</f>
        <v xml:space="preserve">62 </v>
      </c>
      <c r="K237" s="26" t="str">
        <f>"IZ"</f>
        <v>IZ</v>
      </c>
      <c r="L237" s="26" t="str">
        <f>"DGSEI"</f>
        <v>DGSEI</v>
      </c>
      <c r="M237" s="26" t="str">
        <f t="shared" si="38"/>
        <v>FEDERAL</v>
      </c>
      <c r="N237" s="26">
        <v>628</v>
      </c>
      <c r="O237" s="26">
        <v>303</v>
      </c>
      <c r="P237" s="26">
        <v>325</v>
      </c>
      <c r="Q237" s="26">
        <v>15</v>
      </c>
      <c r="R237" s="26">
        <v>2</v>
      </c>
      <c r="S237" s="26">
        <v>46</v>
      </c>
      <c r="T237" s="26">
        <v>27</v>
      </c>
      <c r="U237" s="26">
        <v>75</v>
      </c>
      <c r="V237" s="26">
        <v>1</v>
      </c>
      <c r="W237" s="26"/>
    </row>
    <row r="238" spans="1:23" x14ac:dyDescent="0.25">
      <c r="A238" s="26" t="str">
        <f t="shared" si="36"/>
        <v>SECUNDARIA</v>
      </c>
      <c r="B238" s="26" t="str">
        <f>"09DES0237T"</f>
        <v>09DES0237T</v>
      </c>
      <c r="C238" s="26" t="str">
        <f>"""HERMANOS FLORES MAGON""                                                                             "</f>
        <v xml:space="preserve">"HERMANOS FLORES MAGON"                                                                             </v>
      </c>
      <c r="D238" s="26" t="str">
        <f>"MATUTINO"</f>
        <v>MATUTINO</v>
      </c>
      <c r="E238" s="26" t="str">
        <f>"SEGURO SOCIAL Y SRIA DEL TRABAJO                                                "</f>
        <v xml:space="preserve">SEGURO SOCIAL Y SRIA DEL TRABAJO                                                </v>
      </c>
      <c r="F238" s="26" t="str">
        <f>"CUATRO ARBOLES                                                                                                                              "</f>
        <v xml:space="preserve">CUATRO ARBOLES                                                                                                                              </v>
      </c>
      <c r="G238" s="26" t="str">
        <f>"VENUSTIANO CARRANZA                                                             "</f>
        <v xml:space="preserve">VENUSTIANO CARRANZA                                                             </v>
      </c>
      <c r="H238" s="26" t="str">
        <f>"077"</f>
        <v>077</v>
      </c>
      <c r="I238" s="26" t="str">
        <f t="shared" si="37"/>
        <v>00</v>
      </c>
      <c r="J238" s="26" t="str">
        <f>"54 "</f>
        <v xml:space="preserve">54 </v>
      </c>
      <c r="K238" s="26" t="str">
        <f>"SG"</f>
        <v>SG</v>
      </c>
      <c r="L238" s="26" t="str">
        <f>"DGOSE"</f>
        <v>DGOSE</v>
      </c>
      <c r="M238" s="26" t="str">
        <f t="shared" si="38"/>
        <v>FEDERAL</v>
      </c>
      <c r="N238" s="26">
        <v>459</v>
      </c>
      <c r="O238" s="26">
        <v>237</v>
      </c>
      <c r="P238" s="26">
        <v>222</v>
      </c>
      <c r="Q238" s="26">
        <v>15</v>
      </c>
      <c r="R238" s="26">
        <v>2</v>
      </c>
      <c r="S238" s="26">
        <v>35</v>
      </c>
      <c r="T238" s="26">
        <v>25</v>
      </c>
      <c r="U238" s="26">
        <v>62</v>
      </c>
      <c r="V238" s="26">
        <v>1</v>
      </c>
      <c r="W238" s="26"/>
    </row>
    <row r="239" spans="1:23" x14ac:dyDescent="0.25">
      <c r="A239" s="26" t="str">
        <f t="shared" si="36"/>
        <v>SECUNDARIA</v>
      </c>
      <c r="B239" s="26" t="str">
        <f>"09DES0238S"</f>
        <v>09DES0238S</v>
      </c>
      <c r="C239" s="26" t="str">
        <f>"RAMON BETETA                                                                                        "</f>
        <v xml:space="preserve">RAMON BETETA                                                                                        </v>
      </c>
      <c r="D239" s="26" t="str">
        <f>"MATUTINO"</f>
        <v>MATUTINO</v>
      </c>
      <c r="E239" s="26" t="str">
        <f>"OAXACA S/N ESQ YUCATAN                                                          "</f>
        <v xml:space="preserve">OAXACA S/N ESQ YUCATAN                                                          </v>
      </c>
      <c r="F239" s="26" t="str">
        <f>"SAN SEBASTIAN TECOLOXTITLAN                                                                                                                 "</f>
        <v xml:space="preserve">SAN SEBASTIAN TECOLOXTITLAN                                                                                                                 </v>
      </c>
      <c r="G239" s="26" t="str">
        <f>"IZTAPALAPA                                                                      "</f>
        <v xml:space="preserve">IZTAPALAPA                                                                      </v>
      </c>
      <c r="H239" s="26" t="str">
        <f>"006"</f>
        <v>006</v>
      </c>
      <c r="I239" s="26" t="str">
        <f t="shared" si="37"/>
        <v>00</v>
      </c>
      <c r="J239" s="26" t="str">
        <f>"62 "</f>
        <v xml:space="preserve">62 </v>
      </c>
      <c r="K239" s="26" t="str">
        <f>"IZ"</f>
        <v>IZ</v>
      </c>
      <c r="L239" s="26" t="str">
        <f>"DGSEI"</f>
        <v>DGSEI</v>
      </c>
      <c r="M239" s="26" t="str">
        <f t="shared" si="38"/>
        <v>FEDERAL</v>
      </c>
      <c r="N239" s="26">
        <v>639</v>
      </c>
      <c r="O239" s="26">
        <v>309</v>
      </c>
      <c r="P239" s="26">
        <v>330</v>
      </c>
      <c r="Q239" s="26">
        <v>15</v>
      </c>
      <c r="R239" s="26">
        <v>2</v>
      </c>
      <c r="S239" s="26">
        <v>41</v>
      </c>
      <c r="T239" s="26">
        <v>26</v>
      </c>
      <c r="U239" s="26">
        <v>69</v>
      </c>
      <c r="V239" s="26">
        <v>1</v>
      </c>
      <c r="W239" s="26"/>
    </row>
    <row r="240" spans="1:23" x14ac:dyDescent="0.25">
      <c r="A240" s="26" t="str">
        <f t="shared" si="36"/>
        <v>SECUNDARIA</v>
      </c>
      <c r="B240" s="26" t="str">
        <f>"09DES0239R"</f>
        <v>09DES0239R</v>
      </c>
      <c r="C240" s="26" t="str">
        <f>"PLUTARCO ELIAS CALLES                                                                               "</f>
        <v xml:space="preserve">PLUTARCO ELIAS CALLES                                                                               </v>
      </c>
      <c r="D240" s="26" t="str">
        <f>"TIEMPO COMPLETO"</f>
        <v>TIEMPO COMPLETO</v>
      </c>
      <c r="E240" s="26" t="str">
        <f>"COMBATE DE CELAYA Y CARLOS GRACIDAS S/N                                         "</f>
        <v xml:space="preserve">COMBATE DE CELAYA Y CARLOS GRACIDAS S/N                                         </v>
      </c>
      <c r="F240" s="26" t="str">
        <f>"UNIDAD HABITACIONAL VICENTE GUERRER                                                                                                         "</f>
        <v xml:space="preserve">UNIDAD HABITACIONAL VICENTE GUERRER                                                                                                         </v>
      </c>
      <c r="G240" s="26" t="str">
        <f>"IZTAPALAPA                                                                      "</f>
        <v xml:space="preserve">IZTAPALAPA                                                                      </v>
      </c>
      <c r="H240" s="26" t="str">
        <f>"004"</f>
        <v>004</v>
      </c>
      <c r="I240" s="26" t="str">
        <f t="shared" si="37"/>
        <v>00</v>
      </c>
      <c r="J240" s="26" t="str">
        <f>"61 "</f>
        <v xml:space="preserve">61 </v>
      </c>
      <c r="K240" s="26" t="str">
        <f>"IZ"</f>
        <v>IZ</v>
      </c>
      <c r="L240" s="26" t="str">
        <f>"DGSEI"</f>
        <v>DGSEI</v>
      </c>
      <c r="M240" s="26" t="str">
        <f t="shared" si="38"/>
        <v>FEDERAL</v>
      </c>
      <c r="N240" s="26">
        <v>551</v>
      </c>
      <c r="O240" s="26">
        <v>288</v>
      </c>
      <c r="P240" s="26">
        <v>263</v>
      </c>
      <c r="Q240" s="26">
        <v>15</v>
      </c>
      <c r="R240" s="26">
        <v>1</v>
      </c>
      <c r="S240" s="26">
        <v>56</v>
      </c>
      <c r="T240" s="26">
        <v>26</v>
      </c>
      <c r="U240" s="26">
        <v>83</v>
      </c>
      <c r="V240" s="26">
        <v>1</v>
      </c>
      <c r="W240" s="26" t="s">
        <v>218</v>
      </c>
    </row>
    <row r="241" spans="1:23" x14ac:dyDescent="0.25">
      <c r="A241" s="26" t="str">
        <f t="shared" si="36"/>
        <v>SECUNDARIA</v>
      </c>
      <c r="B241" s="26" t="str">
        <f>"09DES0240G"</f>
        <v>09DES0240G</v>
      </c>
      <c r="C241" s="26" t="str">
        <f>"REPUBLICA DE SUDÁFRICA                                                                              "</f>
        <v xml:space="preserve">REPUBLICA DE SUDÁFRICA                                                                              </v>
      </c>
      <c r="D241" s="26" t="str">
        <f>"MATUTINO"</f>
        <v>MATUTINO</v>
      </c>
      <c r="E241" s="26" t="str">
        <f>"CALLE 8 Y AV SANTIAGO                                                           "</f>
        <v xml:space="preserve">CALLE 8 Y AV SANTIAGO                                                           </v>
      </c>
      <c r="F241" s="26" t="str">
        <f>"GUADALUPE PROLETARIA                                                                                                                        "</f>
        <v xml:space="preserve">GUADALUPE PROLETARIA                                                                                                                        </v>
      </c>
      <c r="G241" s="26" t="str">
        <f>"GUSTAVO A. MADERO                                                               "</f>
        <v xml:space="preserve">GUSTAVO A. MADERO                                                               </v>
      </c>
      <c r="H241" s="26" t="str">
        <f>"032"</f>
        <v>032</v>
      </c>
      <c r="I241" s="26" t="str">
        <f t="shared" si="37"/>
        <v>00</v>
      </c>
      <c r="J241" s="26" t="str">
        <f>"52 "</f>
        <v xml:space="preserve">52 </v>
      </c>
      <c r="K241" s="26" t="str">
        <f t="shared" ref="K241:K249" si="45">"SG"</f>
        <v>SG</v>
      </c>
      <c r="L241" s="26" t="str">
        <f t="shared" ref="L241:L249" si="46">"DGOSE"</f>
        <v>DGOSE</v>
      </c>
      <c r="M241" s="26" t="str">
        <f t="shared" si="38"/>
        <v>FEDERAL</v>
      </c>
      <c r="N241" s="26">
        <v>504</v>
      </c>
      <c r="O241" s="26">
        <v>233</v>
      </c>
      <c r="P241" s="26">
        <v>271</v>
      </c>
      <c r="Q241" s="26">
        <v>15</v>
      </c>
      <c r="R241" s="26">
        <v>2</v>
      </c>
      <c r="S241" s="26">
        <v>28</v>
      </c>
      <c r="T241" s="26">
        <v>25</v>
      </c>
      <c r="U241" s="26">
        <v>55</v>
      </c>
      <c r="V241" s="26">
        <v>1</v>
      </c>
      <c r="W241" s="26"/>
    </row>
    <row r="242" spans="1:23" x14ac:dyDescent="0.25">
      <c r="A242" s="26" t="str">
        <f t="shared" si="36"/>
        <v>SECUNDARIA</v>
      </c>
      <c r="B242" s="26" t="str">
        <f>"09DES0241F"</f>
        <v>09DES0241F</v>
      </c>
      <c r="C242" s="26" t="str">
        <f>"""EMMA GODOY""                                                                                        "</f>
        <v xml:space="preserve">"EMMA GODOY"                                                                                        </v>
      </c>
      <c r="D242" s="26" t="str">
        <f>"JORNADA AMPLIADA"</f>
        <v>JORNADA AMPLIADA</v>
      </c>
      <c r="E242" s="26" t="str">
        <f>"AV GRAN CANAL ORIENTE NO 6900                                                   "</f>
        <v xml:space="preserve">AV GRAN CANAL ORIENTE NO 6900                                                   </v>
      </c>
      <c r="F242" s="26" t="str">
        <f>"UNIDAD HABITACIONAL LA ESMERALDA                                                                                                            "</f>
        <v xml:space="preserve">UNIDAD HABITACIONAL LA ESMERALDA                                                                                                            </v>
      </c>
      <c r="G242" s="26" t="str">
        <f>"GUSTAVO A. MADERO                                                               "</f>
        <v xml:space="preserve">GUSTAVO A. MADERO                                                               </v>
      </c>
      <c r="H242" s="26" t="str">
        <f>"039"</f>
        <v>039</v>
      </c>
      <c r="I242" s="26" t="str">
        <f t="shared" si="37"/>
        <v>00</v>
      </c>
      <c r="J242" s="26" t="str">
        <f>"52 "</f>
        <v xml:space="preserve">52 </v>
      </c>
      <c r="K242" s="26" t="str">
        <f t="shared" si="45"/>
        <v>SG</v>
      </c>
      <c r="L242" s="26" t="str">
        <f t="shared" si="46"/>
        <v>DGOSE</v>
      </c>
      <c r="M242" s="26" t="str">
        <f t="shared" si="38"/>
        <v>FEDERAL</v>
      </c>
      <c r="N242" s="26">
        <v>573</v>
      </c>
      <c r="O242" s="26">
        <v>271</v>
      </c>
      <c r="P242" s="26">
        <v>302</v>
      </c>
      <c r="Q242" s="26">
        <v>15</v>
      </c>
      <c r="R242" s="26">
        <v>2</v>
      </c>
      <c r="S242" s="26">
        <v>31</v>
      </c>
      <c r="T242" s="26">
        <v>28</v>
      </c>
      <c r="U242" s="26">
        <v>61</v>
      </c>
      <c r="V242" s="26">
        <v>1</v>
      </c>
      <c r="W242" s="26" t="s">
        <v>2076</v>
      </c>
    </row>
    <row r="243" spans="1:23" x14ac:dyDescent="0.25">
      <c r="A243" s="26" t="str">
        <f t="shared" si="36"/>
        <v>SECUNDARIA</v>
      </c>
      <c r="B243" s="26" t="str">
        <f>"09DES0242E"</f>
        <v>09DES0242E</v>
      </c>
      <c r="C243" s="26" t="str">
        <f>"""MARGARITA DE GORTARI CARVAJAL DE SALINAS""                                                          "</f>
        <v xml:space="preserve">"MARGARITA DE GORTARI CARVAJAL DE SALINAS"                                                          </v>
      </c>
      <c r="D243" s="26" t="str">
        <f>"JORNADA AMPLIADA"</f>
        <v>JORNADA AMPLIADA</v>
      </c>
      <c r="E243" s="26" t="str">
        <f>"BOULEVAR DE LOS FERROCARRILES S/N                                               "</f>
        <v xml:space="preserve">BOULEVAR DE LOS FERROCARRILES S/N                                               </v>
      </c>
      <c r="F243" s="26" t="str">
        <f>"EUZKADI                                                                                                                                     "</f>
        <v xml:space="preserve">EUZKADI                                                                                                                                     </v>
      </c>
      <c r="G243" s="26" t="str">
        <f>"AZCAPOTZALCO                                                                    "</f>
        <v xml:space="preserve">AZCAPOTZALCO                                                                    </v>
      </c>
      <c r="H243" s="26" t="str">
        <f>"010"</f>
        <v>010</v>
      </c>
      <c r="I243" s="26" t="str">
        <f t="shared" si="37"/>
        <v>00</v>
      </c>
      <c r="J243" s="26" t="str">
        <f>"51 "</f>
        <v xml:space="preserve">51 </v>
      </c>
      <c r="K243" s="26" t="str">
        <f t="shared" si="45"/>
        <v>SG</v>
      </c>
      <c r="L243" s="26" t="str">
        <f t="shared" si="46"/>
        <v>DGOSE</v>
      </c>
      <c r="M243" s="26" t="str">
        <f t="shared" si="38"/>
        <v>FEDERAL</v>
      </c>
      <c r="N243" s="26">
        <v>427</v>
      </c>
      <c r="O243" s="26">
        <v>232</v>
      </c>
      <c r="P243" s="26">
        <v>195</v>
      </c>
      <c r="Q243" s="26">
        <v>17</v>
      </c>
      <c r="R243" s="26">
        <v>2</v>
      </c>
      <c r="S243" s="26">
        <v>31</v>
      </c>
      <c r="T243" s="26">
        <v>24</v>
      </c>
      <c r="U243" s="26">
        <v>57</v>
      </c>
      <c r="V243" s="26">
        <v>1</v>
      </c>
      <c r="W243" s="26" t="s">
        <v>2076</v>
      </c>
    </row>
    <row r="244" spans="1:23" x14ac:dyDescent="0.25">
      <c r="A244" s="26" t="str">
        <f t="shared" si="36"/>
        <v>SECUNDARIA</v>
      </c>
      <c r="B244" s="26" t="str">
        <f>"09DES0243D"</f>
        <v>09DES0243D</v>
      </c>
      <c r="C244" s="26" t="str">
        <f>"SECUNDARIA FEDERAL                                                                                  "</f>
        <v xml:space="preserve">SECUNDARIA FEDERAL                                                                                  </v>
      </c>
      <c r="D244" s="26" t="str">
        <f>"MATUTINO"</f>
        <v>MATUTINO</v>
      </c>
      <c r="E244" s="26" t="str">
        <f>"CALZ CORCELES Y CORRIDO                                                         "</f>
        <v xml:space="preserve">CALZ CORCELES Y CORRIDO                                                         </v>
      </c>
      <c r="F244" s="26" t="str">
        <f>"COLINAS DEL SUR                                                                                                                             "</f>
        <v xml:space="preserve">COLINAS DEL SUR                                                                                                                             </v>
      </c>
      <c r="G244" s="26" t="str">
        <f>"ALVARO OBREGON                                                                  "</f>
        <v xml:space="preserve">ALVARO OBREGON                                                                  </v>
      </c>
      <c r="H244" s="26" t="str">
        <f>"004"</f>
        <v>004</v>
      </c>
      <c r="I244" s="26" t="str">
        <f t="shared" si="37"/>
        <v>00</v>
      </c>
      <c r="J244" s="26" t="str">
        <f>"53 "</f>
        <v xml:space="preserve">53 </v>
      </c>
      <c r="K244" s="26" t="str">
        <f t="shared" si="45"/>
        <v>SG</v>
      </c>
      <c r="L244" s="26" t="str">
        <f t="shared" si="46"/>
        <v>DGOSE</v>
      </c>
      <c r="M244" s="26" t="str">
        <f t="shared" si="38"/>
        <v>FEDERAL</v>
      </c>
      <c r="N244" s="26">
        <v>738</v>
      </c>
      <c r="O244" s="26">
        <v>372</v>
      </c>
      <c r="P244" s="26">
        <v>366</v>
      </c>
      <c r="Q244" s="26">
        <v>15</v>
      </c>
      <c r="R244" s="26">
        <v>2</v>
      </c>
      <c r="S244" s="26">
        <v>33</v>
      </c>
      <c r="T244" s="26">
        <v>21</v>
      </c>
      <c r="U244" s="26">
        <v>56</v>
      </c>
      <c r="V244" s="26">
        <v>1</v>
      </c>
      <c r="W244" s="26"/>
    </row>
    <row r="245" spans="1:23" x14ac:dyDescent="0.25">
      <c r="A245" s="26" t="str">
        <f t="shared" si="36"/>
        <v>SECUNDARIA</v>
      </c>
      <c r="B245" s="26" t="str">
        <f>"09DES0244C"</f>
        <v>09DES0244C</v>
      </c>
      <c r="C245" s="26" t="str">
        <f>"MIGUEL RAMOS ARIZPE                                                                                 "</f>
        <v xml:space="preserve">MIGUEL RAMOS ARIZPE                                                                                 </v>
      </c>
      <c r="D245" s="26" t="str">
        <f>"MATUTINO"</f>
        <v>MATUTINO</v>
      </c>
      <c r="E245" s="26" t="str">
        <f>"TEHUANTEPEC NO 240                                                              "</f>
        <v xml:space="preserve">TEHUANTEPEC NO 240                                                              </v>
      </c>
      <c r="F245" s="26" t="str">
        <f>"ROMA SUR                                                                                                                                    "</f>
        <v xml:space="preserve">ROMA SUR                                                                                                                                    </v>
      </c>
      <c r="G245" s="26" t="str">
        <f>"CUAUHTEMOC                                                                      "</f>
        <v xml:space="preserve">CUAUHTEMOC                                                                      </v>
      </c>
      <c r="H245" s="26" t="str">
        <f>"029"</f>
        <v>029</v>
      </c>
      <c r="I245" s="26" t="str">
        <f t="shared" si="37"/>
        <v>00</v>
      </c>
      <c r="J245" s="26" t="str">
        <f>"51 "</f>
        <v xml:space="preserve">51 </v>
      </c>
      <c r="K245" s="26" t="str">
        <f t="shared" si="45"/>
        <v>SG</v>
      </c>
      <c r="L245" s="26" t="str">
        <f t="shared" si="46"/>
        <v>DGOSE</v>
      </c>
      <c r="M245" s="26" t="str">
        <f t="shared" si="38"/>
        <v>FEDERAL</v>
      </c>
      <c r="N245" s="26">
        <v>116</v>
      </c>
      <c r="O245" s="26">
        <v>69</v>
      </c>
      <c r="P245" s="26">
        <v>47</v>
      </c>
      <c r="Q245" s="26">
        <v>3</v>
      </c>
      <c r="R245" s="26">
        <v>2</v>
      </c>
      <c r="S245" s="26">
        <v>11</v>
      </c>
      <c r="T245" s="26">
        <v>12</v>
      </c>
      <c r="U245" s="26">
        <v>25</v>
      </c>
      <c r="V245" s="26">
        <v>1</v>
      </c>
      <c r="W245" s="26"/>
    </row>
    <row r="246" spans="1:23" x14ac:dyDescent="0.25">
      <c r="A246" s="26" t="str">
        <f t="shared" si="36"/>
        <v>SECUNDARIA</v>
      </c>
      <c r="B246" s="26" t="str">
        <f>"09DES0245B"</f>
        <v>09DES0245B</v>
      </c>
      <c r="C246" s="26" t="str">
        <f>"ANGEL TRIAS ALVAREZ                                                                                 "</f>
        <v xml:space="preserve">ANGEL TRIAS ALVAREZ                                                                                 </v>
      </c>
      <c r="D246" s="26" t="str">
        <f>"TIEMPO COMPLETO"</f>
        <v>TIEMPO COMPLETO</v>
      </c>
      <c r="E246" s="26" t="str">
        <f>"REP DE ECUADOR Y REP DE BRASIL                                                  "</f>
        <v xml:space="preserve">REP DE ECUADOR Y REP DE BRASIL                                                  </v>
      </c>
      <c r="F246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246" s="26" t="str">
        <f>"CUAUHTEMOC                                                                      "</f>
        <v xml:space="preserve">CUAUHTEMOC                                                                      </v>
      </c>
      <c r="H246" s="26" t="str">
        <f>"026"</f>
        <v>026</v>
      </c>
      <c r="I246" s="26" t="str">
        <f t="shared" si="37"/>
        <v>00</v>
      </c>
      <c r="J246" s="26" t="str">
        <f>"51 "</f>
        <v xml:space="preserve">51 </v>
      </c>
      <c r="K246" s="26" t="str">
        <f t="shared" si="45"/>
        <v>SG</v>
      </c>
      <c r="L246" s="26" t="str">
        <f t="shared" si="46"/>
        <v>DGOSE</v>
      </c>
      <c r="M246" s="26" t="str">
        <f t="shared" si="38"/>
        <v>FEDERAL</v>
      </c>
      <c r="N246" s="26">
        <v>214</v>
      </c>
      <c r="O246" s="26">
        <v>116</v>
      </c>
      <c r="P246" s="26">
        <v>98</v>
      </c>
      <c r="Q246" s="26">
        <v>9</v>
      </c>
      <c r="R246" s="26">
        <v>2</v>
      </c>
      <c r="S246" s="26">
        <v>28</v>
      </c>
      <c r="T246" s="26">
        <v>28</v>
      </c>
      <c r="U246" s="26">
        <v>58</v>
      </c>
      <c r="V246" s="26">
        <v>1</v>
      </c>
      <c r="W246" s="26" t="s">
        <v>218</v>
      </c>
    </row>
    <row r="247" spans="1:23" x14ac:dyDescent="0.25">
      <c r="A247" s="26" t="str">
        <f t="shared" si="36"/>
        <v>SECUNDARIA</v>
      </c>
      <c r="B247" s="26" t="str">
        <f>"09DES0246A"</f>
        <v>09DES0246A</v>
      </c>
      <c r="C247" s="26" t="str">
        <f>"GERARDO MURILLO                                                                                     "</f>
        <v xml:space="preserve">GERARDO MURILLO                                                                                     </v>
      </c>
      <c r="D247" s="26" t="str">
        <f>"JORNADA AMPLIADA"</f>
        <v>JORNADA AMPLIADA</v>
      </c>
      <c r="E247" s="26" t="str">
        <f>"PROL ARTIFICIOS                                                                 "</f>
        <v xml:space="preserve">PROL ARTIFICIOS                                                                 </v>
      </c>
      <c r="F247" s="26" t="str">
        <f>"EL CAPULIN                                                                                                                                  "</f>
        <v xml:space="preserve">EL CAPULIN                                                                                                                                  </v>
      </c>
      <c r="G247" s="26" t="str">
        <f>"ALVARO OBREGON                                                                  "</f>
        <v xml:space="preserve">ALVARO OBREGON                                                                  </v>
      </c>
      <c r="H247" s="26" t="str">
        <f>"003"</f>
        <v>003</v>
      </c>
      <c r="I247" s="26" t="str">
        <f t="shared" si="37"/>
        <v>00</v>
      </c>
      <c r="J247" s="26" t="str">
        <f>"53 "</f>
        <v xml:space="preserve">53 </v>
      </c>
      <c r="K247" s="26" t="str">
        <f t="shared" si="45"/>
        <v>SG</v>
      </c>
      <c r="L247" s="26" t="str">
        <f t="shared" si="46"/>
        <v>DGOSE</v>
      </c>
      <c r="M247" s="26" t="str">
        <f t="shared" si="38"/>
        <v>FEDERAL</v>
      </c>
      <c r="N247" s="26">
        <v>259</v>
      </c>
      <c r="O247" s="26">
        <v>139</v>
      </c>
      <c r="P247" s="26">
        <v>120</v>
      </c>
      <c r="Q247" s="26">
        <v>11</v>
      </c>
      <c r="R247" s="26">
        <v>2</v>
      </c>
      <c r="S247" s="26">
        <v>23</v>
      </c>
      <c r="T247" s="26">
        <v>15</v>
      </c>
      <c r="U247" s="26">
        <v>40</v>
      </c>
      <c r="V247" s="26">
        <v>1</v>
      </c>
      <c r="W247" s="26" t="s">
        <v>2076</v>
      </c>
    </row>
    <row r="248" spans="1:23" x14ac:dyDescent="0.25">
      <c r="A248" s="26" t="str">
        <f t="shared" si="36"/>
        <v>SECUNDARIA</v>
      </c>
      <c r="B248" s="26" t="str">
        <f>"09DES0247Z"</f>
        <v>09DES0247Z</v>
      </c>
      <c r="C248" s="26" t="str">
        <f>"JESUS SILVA HERZOG                                                                                  "</f>
        <v xml:space="preserve">JESUS SILVA HERZOG                                                                                  </v>
      </c>
      <c r="D248" s="26" t="str">
        <f t="shared" ref="D248:D254" si="47">"MATUTINO"</f>
        <v>MATUTINO</v>
      </c>
      <c r="E248" s="26" t="str">
        <f>"AV 611 Y CDA 611                                                                "</f>
        <v xml:space="preserve">AV 611 Y CDA 611                                                                </v>
      </c>
      <c r="F248" s="26" t="str">
        <f>"SAN JUAN DE ARAGON                                                                                                                          "</f>
        <v xml:space="preserve">SAN JUAN DE ARAGON                                                                                                                          </v>
      </c>
      <c r="G248" s="26" t="str">
        <f>"GUSTAVO A. MADERO                                                               "</f>
        <v xml:space="preserve">GUSTAVO A. MADERO                                                               </v>
      </c>
      <c r="H248" s="26" t="str">
        <f>"042"</f>
        <v>042</v>
      </c>
      <c r="I248" s="26" t="str">
        <f t="shared" si="37"/>
        <v>00</v>
      </c>
      <c r="J248" s="26" t="str">
        <f>"52 "</f>
        <v xml:space="preserve">52 </v>
      </c>
      <c r="K248" s="26" t="str">
        <f t="shared" si="45"/>
        <v>SG</v>
      </c>
      <c r="L248" s="26" t="str">
        <f t="shared" si="46"/>
        <v>DGOSE</v>
      </c>
      <c r="M248" s="26" t="str">
        <f t="shared" si="38"/>
        <v>FEDERAL</v>
      </c>
      <c r="N248" s="26">
        <v>560</v>
      </c>
      <c r="O248" s="26">
        <v>277</v>
      </c>
      <c r="P248" s="26">
        <v>283</v>
      </c>
      <c r="Q248" s="26">
        <v>15</v>
      </c>
      <c r="R248" s="26">
        <v>2</v>
      </c>
      <c r="S248" s="26">
        <v>34</v>
      </c>
      <c r="T248" s="26">
        <v>23</v>
      </c>
      <c r="U248" s="26">
        <v>59</v>
      </c>
      <c r="V248" s="26">
        <v>1</v>
      </c>
      <c r="W248" s="26"/>
    </row>
    <row r="249" spans="1:23" x14ac:dyDescent="0.25">
      <c r="A249" s="26" t="str">
        <f t="shared" si="36"/>
        <v>SECUNDARIA</v>
      </c>
      <c r="B249" s="26" t="str">
        <f>"09DES0248Z"</f>
        <v>09DES0248Z</v>
      </c>
      <c r="C249" s="26" t="str">
        <f>"""CALMECAC""                                                                                          "</f>
        <v xml:space="preserve">"CALMECAC"                                                                                          </v>
      </c>
      <c r="D249" s="26" t="str">
        <f t="shared" si="47"/>
        <v>MATUTINO</v>
      </c>
      <c r="E249" s="26" t="str">
        <f>"GRANADOS ESQ CDA DE EUCALIPTO                                                   "</f>
        <v xml:space="preserve">GRANADOS ESQ CDA DE EUCALIPTO                                                   </v>
      </c>
      <c r="F249" s="26" t="str">
        <f>"GRANJAS DE NAVIDAD                                                                                                                          "</f>
        <v xml:space="preserve">GRANJAS DE NAVIDAD                                                                                                                          </v>
      </c>
      <c r="G249" s="26" t="str">
        <f>"CUAJIMALPA DE MORELOS                                                           "</f>
        <v xml:space="preserve">CUAJIMALPA DE MORELOS                                                           </v>
      </c>
      <c r="H249" s="26" t="str">
        <f>"023"</f>
        <v>023</v>
      </c>
      <c r="I249" s="26" t="str">
        <f t="shared" si="37"/>
        <v>00</v>
      </c>
      <c r="J249" s="26" t="str">
        <f>"53 "</f>
        <v xml:space="preserve">53 </v>
      </c>
      <c r="K249" s="26" t="str">
        <f t="shared" si="45"/>
        <v>SG</v>
      </c>
      <c r="L249" s="26" t="str">
        <f t="shared" si="46"/>
        <v>DGOSE</v>
      </c>
      <c r="M249" s="26" t="str">
        <f t="shared" si="38"/>
        <v>FEDERAL</v>
      </c>
      <c r="N249" s="26">
        <v>975</v>
      </c>
      <c r="O249" s="26">
        <v>504</v>
      </c>
      <c r="P249" s="26">
        <v>471</v>
      </c>
      <c r="Q249" s="26">
        <v>18</v>
      </c>
      <c r="R249" s="26">
        <v>2</v>
      </c>
      <c r="S249" s="26">
        <v>35</v>
      </c>
      <c r="T249" s="26">
        <v>22</v>
      </c>
      <c r="U249" s="26">
        <v>59</v>
      </c>
      <c r="V249" s="26">
        <v>1</v>
      </c>
      <c r="W249" s="26"/>
    </row>
    <row r="250" spans="1:23" x14ac:dyDescent="0.25">
      <c r="A250" s="26" t="str">
        <f t="shared" si="36"/>
        <v>SECUNDARIA</v>
      </c>
      <c r="B250" s="26" t="str">
        <f>"09DES0249Y"</f>
        <v>09DES0249Y</v>
      </c>
      <c r="C250" s="26" t="str">
        <f>"MEXICO TENOCHTITLAN                                                                                 "</f>
        <v xml:space="preserve">MEXICO TENOCHTITLAN                                                                                 </v>
      </c>
      <c r="D250" s="26" t="str">
        <f t="shared" si="47"/>
        <v>MATUTINO</v>
      </c>
      <c r="E250" s="26" t="str">
        <f>"MANUEL CAÑAS Y VILLA BRAS                                                       "</f>
        <v xml:space="preserve">MANUEL CAÑAS Y VILLA BRAS                                                       </v>
      </c>
      <c r="F250" s="26" t="str">
        <f>"DESARROLLO URBANO QUETZALCOATL                                                                                                              "</f>
        <v xml:space="preserve">DESARROLLO URBANO QUETZALCOATL                                                                                                              </v>
      </c>
      <c r="G250" s="26" t="str">
        <f>"IZTAPALAPA                                                                      "</f>
        <v xml:space="preserve">IZTAPALAPA                                                                      </v>
      </c>
      <c r="H250" s="26" t="str">
        <f>"013"</f>
        <v>013</v>
      </c>
      <c r="I250" s="26" t="str">
        <f t="shared" si="37"/>
        <v>00</v>
      </c>
      <c r="J250" s="26" t="str">
        <f>"64 "</f>
        <v xml:space="preserve">64 </v>
      </c>
      <c r="K250" s="26" t="str">
        <f>"IZ"</f>
        <v>IZ</v>
      </c>
      <c r="L250" s="26" t="str">
        <f>"DGSEI"</f>
        <v>DGSEI</v>
      </c>
      <c r="M250" s="26" t="str">
        <f t="shared" si="38"/>
        <v>FEDERAL</v>
      </c>
      <c r="N250" s="26">
        <v>814</v>
      </c>
      <c r="O250" s="26">
        <v>388</v>
      </c>
      <c r="P250" s="26">
        <v>426</v>
      </c>
      <c r="Q250" s="26">
        <v>18</v>
      </c>
      <c r="R250" s="26">
        <v>1</v>
      </c>
      <c r="S250" s="26">
        <v>45</v>
      </c>
      <c r="T250" s="26">
        <v>21</v>
      </c>
      <c r="U250" s="26">
        <v>67</v>
      </c>
      <c r="V250" s="26">
        <v>1</v>
      </c>
      <c r="W250" s="26"/>
    </row>
    <row r="251" spans="1:23" x14ac:dyDescent="0.25">
      <c r="A251" s="26" t="str">
        <f t="shared" si="36"/>
        <v>SECUNDARIA</v>
      </c>
      <c r="B251" s="26" t="str">
        <f>"09DES0250N"</f>
        <v>09DES0250N</v>
      </c>
      <c r="C251" s="26" t="str">
        <f>"JESUS M. SOTELO E INCLAN                                                                            "</f>
        <v xml:space="preserve">JESUS M. SOTELO E INCLAN                                                                            </v>
      </c>
      <c r="D251" s="26" t="str">
        <f t="shared" si="47"/>
        <v>MATUTINO</v>
      </c>
      <c r="E251" s="26" t="str">
        <f>"DE LA CRUZ Y AV JUAREZ                                                          "</f>
        <v xml:space="preserve">DE LA CRUZ Y AV JUAREZ                                                          </v>
      </c>
      <c r="F251" s="26" t="str">
        <f>"SANTA MARIA NATIVITAS                                                                                                                       "</f>
        <v xml:space="preserve">SANTA MARIA NATIVITAS                                                                                                                       </v>
      </c>
      <c r="G251" s="26" t="str">
        <f>"XOCHIMILCO                                                                      "</f>
        <v xml:space="preserve">XOCHIMILCO                                                                      </v>
      </c>
      <c r="H251" s="26" t="str">
        <f>"080"</f>
        <v>080</v>
      </c>
      <c r="I251" s="26" t="str">
        <f t="shared" si="37"/>
        <v>00</v>
      </c>
      <c r="J251" s="26" t="str">
        <f>"55 "</f>
        <v xml:space="preserve">55 </v>
      </c>
      <c r="K251" s="26" t="str">
        <f>"SG"</f>
        <v>SG</v>
      </c>
      <c r="L251" s="26" t="str">
        <f>"DGOSE"</f>
        <v>DGOSE</v>
      </c>
      <c r="M251" s="26" t="str">
        <f t="shared" si="38"/>
        <v>FEDERAL</v>
      </c>
      <c r="N251" s="26">
        <v>618</v>
      </c>
      <c r="O251" s="26">
        <v>323</v>
      </c>
      <c r="P251" s="26">
        <v>295</v>
      </c>
      <c r="Q251" s="26">
        <v>15</v>
      </c>
      <c r="R251" s="26">
        <v>2</v>
      </c>
      <c r="S251" s="26">
        <v>29</v>
      </c>
      <c r="T251" s="26">
        <v>20</v>
      </c>
      <c r="U251" s="26">
        <v>51</v>
      </c>
      <c r="V251" s="26">
        <v>1</v>
      </c>
      <c r="W251" s="26"/>
    </row>
    <row r="252" spans="1:23" x14ac:dyDescent="0.25">
      <c r="A252" s="26" t="str">
        <f t="shared" si="36"/>
        <v>SECUNDARIA</v>
      </c>
      <c r="B252" s="26" t="str">
        <f>"09DES0251M"</f>
        <v>09DES0251M</v>
      </c>
      <c r="C252" s="26" t="str">
        <f>"SECUNDARIA FEDERAL                                                                                  "</f>
        <v xml:space="preserve">SECUNDARIA FEDERAL                                                                                  </v>
      </c>
      <c r="D252" s="26" t="str">
        <f t="shared" si="47"/>
        <v>MATUTINO</v>
      </c>
      <c r="E252" s="26" t="str">
        <f>"EMILIANO ZAPATA Y G GUERRA                                                      "</f>
        <v xml:space="preserve">EMILIANO ZAPATA Y G GUERRA                                                      </v>
      </c>
      <c r="F252" s="26" t="str">
        <f>"CUAUTEPEC DE MADERO                                                                                                                         "</f>
        <v xml:space="preserve">CUAUTEPEC DE MADERO                                                                                                                         </v>
      </c>
      <c r="G252" s="26" t="str">
        <f>"GUSTAVO A. MADERO                                                               "</f>
        <v xml:space="preserve">GUSTAVO A. MADERO                                                               </v>
      </c>
      <c r="H252" s="26" t="str">
        <f>"031"</f>
        <v>031</v>
      </c>
      <c r="I252" s="26" t="str">
        <f t="shared" si="37"/>
        <v>00</v>
      </c>
      <c r="J252" s="26" t="str">
        <f>"52 "</f>
        <v xml:space="preserve">52 </v>
      </c>
      <c r="K252" s="26" t="str">
        <f>"SG"</f>
        <v>SG</v>
      </c>
      <c r="L252" s="26" t="str">
        <f>"DGOSE"</f>
        <v>DGOSE</v>
      </c>
      <c r="M252" s="26" t="str">
        <f t="shared" si="38"/>
        <v>FEDERAL</v>
      </c>
      <c r="N252" s="26">
        <v>609</v>
      </c>
      <c r="O252" s="26">
        <v>283</v>
      </c>
      <c r="P252" s="26">
        <v>326</v>
      </c>
      <c r="Q252" s="26">
        <v>15</v>
      </c>
      <c r="R252" s="26">
        <v>2</v>
      </c>
      <c r="S252" s="26">
        <v>32</v>
      </c>
      <c r="T252" s="26">
        <v>22</v>
      </c>
      <c r="U252" s="26">
        <v>56</v>
      </c>
      <c r="V252" s="26">
        <v>1</v>
      </c>
      <c r="W252" s="26"/>
    </row>
    <row r="253" spans="1:23" x14ac:dyDescent="0.25">
      <c r="A253" s="26" t="str">
        <f t="shared" si="36"/>
        <v>SECUNDARIA</v>
      </c>
      <c r="B253" s="26" t="str">
        <f>"09DES0252L"</f>
        <v>09DES0252L</v>
      </c>
      <c r="C253" s="26" t="str">
        <f>"AGUSTIN CUE CANOVAS                                                                                 "</f>
        <v xml:space="preserve">AGUSTIN CUE CANOVAS                                                                                 </v>
      </c>
      <c r="D253" s="26" t="str">
        <f t="shared" si="47"/>
        <v>MATUTINO</v>
      </c>
      <c r="E253" s="26" t="str">
        <f>"CALLE 65 Y CALLE 6 ESQ CALLE 69                                                 "</f>
        <v xml:space="preserve">CALLE 65 Y CALLE 6 ESQ CALLE 69                                                 </v>
      </c>
      <c r="F253" s="26" t="str">
        <f>"PUEBLA                                                                                                                                      "</f>
        <v xml:space="preserve">PUEBLA                                                                                                                                      </v>
      </c>
      <c r="G253" s="26" t="str">
        <f>"VENUSTIANO CARRANZA                                                             "</f>
        <v xml:space="preserve">VENUSTIANO CARRANZA                                                             </v>
      </c>
      <c r="H253" s="26" t="str">
        <f>"078"</f>
        <v>078</v>
      </c>
      <c r="I253" s="26" t="str">
        <f t="shared" si="37"/>
        <v>00</v>
      </c>
      <c r="J253" s="26" t="str">
        <f>"54 "</f>
        <v xml:space="preserve">54 </v>
      </c>
      <c r="K253" s="26" t="str">
        <f>"SG"</f>
        <v>SG</v>
      </c>
      <c r="L253" s="26" t="str">
        <f>"DGOSE"</f>
        <v>DGOSE</v>
      </c>
      <c r="M253" s="26" t="str">
        <f t="shared" si="38"/>
        <v>FEDERAL</v>
      </c>
      <c r="N253" s="26">
        <v>536</v>
      </c>
      <c r="O253" s="26">
        <v>260</v>
      </c>
      <c r="P253" s="26">
        <v>276</v>
      </c>
      <c r="Q253" s="26">
        <v>15</v>
      </c>
      <c r="R253" s="26">
        <v>2</v>
      </c>
      <c r="S253" s="26">
        <v>33</v>
      </c>
      <c r="T253" s="26">
        <v>27</v>
      </c>
      <c r="U253" s="26">
        <v>62</v>
      </c>
      <c r="V253" s="26">
        <v>1</v>
      </c>
      <c r="W253" s="26"/>
    </row>
    <row r="254" spans="1:23" x14ac:dyDescent="0.25">
      <c r="A254" s="26" t="str">
        <f t="shared" si="36"/>
        <v>SECUNDARIA</v>
      </c>
      <c r="B254" s="26" t="str">
        <f>"09DES0253K"</f>
        <v>09DES0253K</v>
      </c>
      <c r="C254" s="26" t="str">
        <f>"JOSE NATIVIDAD MACIAS                                                                               "</f>
        <v xml:space="preserve">JOSE NATIVIDAD MACIAS                                                                               </v>
      </c>
      <c r="D254" s="26" t="str">
        <f t="shared" si="47"/>
        <v>MATUTINO</v>
      </c>
      <c r="E254" s="26" t="str">
        <f>"LIC. NATIVIDAD Y FRANCISCO ANDRADE                                              "</f>
        <v xml:space="preserve">LIC. NATIVIDAD Y FRANCISCO ANDRADE                                              </v>
      </c>
      <c r="F254" s="26" t="str">
        <f>"SAN MIGUEL DE LAS SALERAS                                                                                                                   "</f>
        <v xml:space="preserve">SAN MIGUEL DE LAS SALERAS                                                                                                                   </v>
      </c>
      <c r="G254" s="26" t="str">
        <f>"IZTAPALAPA                                                                      "</f>
        <v xml:space="preserve">IZTAPALAPA                                                                      </v>
      </c>
      <c r="H254" s="26" t="str">
        <f>"008"</f>
        <v>008</v>
      </c>
      <c r="I254" s="26" t="str">
        <f t="shared" si="37"/>
        <v>00</v>
      </c>
      <c r="J254" s="26" t="str">
        <f>"62 "</f>
        <v xml:space="preserve">62 </v>
      </c>
      <c r="K254" s="26" t="str">
        <f>"IZ"</f>
        <v>IZ</v>
      </c>
      <c r="L254" s="26" t="str">
        <f>"DGSEI"</f>
        <v>DGSEI</v>
      </c>
      <c r="M254" s="26" t="str">
        <f t="shared" si="38"/>
        <v>FEDERAL</v>
      </c>
      <c r="N254" s="26">
        <v>665</v>
      </c>
      <c r="O254" s="26">
        <v>337</v>
      </c>
      <c r="P254" s="26">
        <v>328</v>
      </c>
      <c r="Q254" s="26">
        <v>15</v>
      </c>
      <c r="R254" s="26">
        <v>2</v>
      </c>
      <c r="S254" s="26">
        <v>38</v>
      </c>
      <c r="T254" s="26">
        <v>26</v>
      </c>
      <c r="U254" s="26">
        <v>66</v>
      </c>
      <c r="V254" s="26">
        <v>1</v>
      </c>
      <c r="W254" s="26"/>
    </row>
    <row r="255" spans="1:23" x14ac:dyDescent="0.25">
      <c r="A255" s="26" t="str">
        <f t="shared" si="36"/>
        <v>SECUNDARIA</v>
      </c>
      <c r="B255" s="26" t="str">
        <f>"09DES0254J"</f>
        <v>09DES0254J</v>
      </c>
      <c r="C255" s="26" t="str">
        <f>"NAGOYA                                                                                              "</f>
        <v xml:space="preserve">NAGOYA                                                                                              </v>
      </c>
      <c r="D255" s="26" t="str">
        <f>"JORNADA AMPLIADA"</f>
        <v>JORNADA AMPLIADA</v>
      </c>
      <c r="E255" s="26" t="str">
        <f>"MAR ROJO 87                                                                     "</f>
        <v xml:space="preserve">MAR ROJO 87                                                                     </v>
      </c>
      <c r="F255" s="26" t="str">
        <f>"POPOTLA                                                                                                                                     "</f>
        <v xml:space="preserve">POPOTLA                                                                                                                                     </v>
      </c>
      <c r="G255" s="26" t="str">
        <f>"MIGUEL HIDALGO                                                                  "</f>
        <v xml:space="preserve">MIGUEL HIDALGO                                                                  </v>
      </c>
      <c r="H255" s="26" t="str">
        <f>"064"</f>
        <v>064</v>
      </c>
      <c r="I255" s="26" t="str">
        <f t="shared" si="37"/>
        <v>00</v>
      </c>
      <c r="J255" s="26" t="str">
        <f>"51 "</f>
        <v xml:space="preserve">51 </v>
      </c>
      <c r="K255" s="26" t="str">
        <f>"SG"</f>
        <v>SG</v>
      </c>
      <c r="L255" s="26" t="str">
        <f>"DGOSE"</f>
        <v>DGOSE</v>
      </c>
      <c r="M255" s="26" t="str">
        <f t="shared" si="38"/>
        <v>FEDERAL</v>
      </c>
      <c r="N255" s="26">
        <v>518</v>
      </c>
      <c r="O255" s="26">
        <v>246</v>
      </c>
      <c r="P255" s="26">
        <v>272</v>
      </c>
      <c r="Q255" s="26">
        <v>15</v>
      </c>
      <c r="R255" s="26">
        <v>2</v>
      </c>
      <c r="S255" s="26">
        <v>37</v>
      </c>
      <c r="T255" s="26">
        <v>20</v>
      </c>
      <c r="U255" s="26">
        <v>59</v>
      </c>
      <c r="V255" s="26">
        <v>1</v>
      </c>
      <c r="W255" s="26" t="s">
        <v>2076</v>
      </c>
    </row>
    <row r="256" spans="1:23" x14ac:dyDescent="0.25">
      <c r="A256" s="26" t="str">
        <f t="shared" si="36"/>
        <v>SECUNDARIA</v>
      </c>
      <c r="B256" s="26" t="str">
        <f>"09DES0255I"</f>
        <v>09DES0255I</v>
      </c>
      <c r="C256" s="26" t="str">
        <f>"ANTONIO SEMIONOVICH MAKARENKO                                                                       "</f>
        <v xml:space="preserve">ANTONIO SEMIONOVICH MAKARENKO                                                                       </v>
      </c>
      <c r="D256" s="26" t="str">
        <f t="shared" ref="D256:D264" si="48">"MATUTINO"</f>
        <v>MATUTINO</v>
      </c>
      <c r="E256" s="26" t="str">
        <f>"AVENIDA 8 S/N                                                                   "</f>
        <v xml:space="preserve">AVENIDA 8 S/N                                                                   </v>
      </c>
      <c r="F256" s="26" t="str">
        <f>"JOSE LOPEZ PORTILLO                                                                                                                         "</f>
        <v xml:space="preserve">JOSE LOPEZ PORTILLO                                                                                                                         </v>
      </c>
      <c r="G256" s="26" t="str">
        <f>"IZTAPALAPA                                                                      "</f>
        <v xml:space="preserve">IZTAPALAPA                                                                      </v>
      </c>
      <c r="H256" s="26" t="str">
        <f>"011"</f>
        <v>011</v>
      </c>
      <c r="I256" s="26" t="str">
        <f t="shared" si="37"/>
        <v>00</v>
      </c>
      <c r="J256" s="26" t="str">
        <f>"63 "</f>
        <v xml:space="preserve">63 </v>
      </c>
      <c r="K256" s="26" t="str">
        <f>"IZ"</f>
        <v>IZ</v>
      </c>
      <c r="L256" s="26" t="str">
        <f>"DGSEI"</f>
        <v>DGSEI</v>
      </c>
      <c r="M256" s="26" t="str">
        <f t="shared" si="38"/>
        <v>FEDERAL</v>
      </c>
      <c r="N256" s="26">
        <v>586</v>
      </c>
      <c r="O256" s="26">
        <v>287</v>
      </c>
      <c r="P256" s="26">
        <v>299</v>
      </c>
      <c r="Q256" s="26">
        <v>15</v>
      </c>
      <c r="R256" s="26">
        <v>1</v>
      </c>
      <c r="S256" s="26">
        <v>30</v>
      </c>
      <c r="T256" s="26">
        <v>24</v>
      </c>
      <c r="U256" s="26">
        <v>55</v>
      </c>
      <c r="V256" s="26">
        <v>1</v>
      </c>
      <c r="W256" s="26"/>
    </row>
    <row r="257" spans="1:23" x14ac:dyDescent="0.25">
      <c r="A257" s="26" t="str">
        <f t="shared" si="36"/>
        <v>SECUNDARIA</v>
      </c>
      <c r="B257" s="26" t="str">
        <f>"09DES0256H"</f>
        <v>09DES0256H</v>
      </c>
      <c r="C257" s="26" t="str">
        <f>"""DELEGACION COYOACAN""                                                                               "</f>
        <v xml:space="preserve">"DELEGACION COYOACAN"                                                                               </v>
      </c>
      <c r="D257" s="26" t="str">
        <f t="shared" si="48"/>
        <v>MATUTINO</v>
      </c>
      <c r="E257" s="26" t="str">
        <f>"CERRO DEL AGUA Y AV LAS TORRES                                                  "</f>
        <v xml:space="preserve">CERRO DEL AGUA Y AV LAS TORRES                                                  </v>
      </c>
      <c r="F257" s="26" t="str">
        <f>"MANUEL ROMERO DE TERREROS                                                                                                                   "</f>
        <v xml:space="preserve">MANUEL ROMERO DE TERREROS                                                                                                                   </v>
      </c>
      <c r="G257" s="26" t="str">
        <f>"COYOACAN                                                                        "</f>
        <v xml:space="preserve">COYOACAN                                                                        </v>
      </c>
      <c r="H257" s="26" t="str">
        <f>"018"</f>
        <v>018</v>
      </c>
      <c r="I257" s="26" t="str">
        <f t="shared" si="37"/>
        <v>00</v>
      </c>
      <c r="J257" s="26" t="str">
        <f>"54 "</f>
        <v xml:space="preserve">54 </v>
      </c>
      <c r="K257" s="26" t="str">
        <f t="shared" ref="K257:K264" si="49">"SG"</f>
        <v>SG</v>
      </c>
      <c r="L257" s="26" t="str">
        <f t="shared" ref="L257:L264" si="50">"DGOSE"</f>
        <v>DGOSE</v>
      </c>
      <c r="M257" s="26" t="str">
        <f t="shared" si="38"/>
        <v>FEDERAL</v>
      </c>
      <c r="N257" s="26">
        <v>509</v>
      </c>
      <c r="O257" s="26">
        <v>246</v>
      </c>
      <c r="P257" s="26">
        <v>263</v>
      </c>
      <c r="Q257" s="26">
        <v>15</v>
      </c>
      <c r="R257" s="26">
        <v>2</v>
      </c>
      <c r="S257" s="26">
        <v>29</v>
      </c>
      <c r="T257" s="26">
        <v>20</v>
      </c>
      <c r="U257" s="26">
        <v>51</v>
      </c>
      <c r="V257" s="26">
        <v>1</v>
      </c>
      <c r="W257" s="26"/>
    </row>
    <row r="258" spans="1:23" x14ac:dyDescent="0.25">
      <c r="A258" s="26" t="str">
        <f t="shared" ref="A258:A321" si="51">"SECUNDARIA"</f>
        <v>SECUNDARIA</v>
      </c>
      <c r="B258" s="26" t="str">
        <f>"09DES0257G"</f>
        <v>09DES0257G</v>
      </c>
      <c r="C258" s="26" t="str">
        <f>"IZTACALCO                                                                                           "</f>
        <v xml:space="preserve">IZTACALCO                                                                                           </v>
      </c>
      <c r="D258" s="26" t="str">
        <f t="shared" si="48"/>
        <v>MATUTINO</v>
      </c>
      <c r="E258" s="26" t="str">
        <f>"ALDAMA NO 28                                                                    "</f>
        <v xml:space="preserve">ALDAMA NO 28                                                                    </v>
      </c>
      <c r="F258" s="26" t="str">
        <f>"SANTIAGO NORTE BARRIO                                                                                                                       "</f>
        <v xml:space="preserve">SANTIAGO NORTE BARRIO                                                                                                                       </v>
      </c>
      <c r="G258" s="26" t="str">
        <f>"IZTACALCO                                                                       "</f>
        <v xml:space="preserve">IZTACALCO                                                                       </v>
      </c>
      <c r="H258" s="26" t="str">
        <f>"045"</f>
        <v>045</v>
      </c>
      <c r="I258" s="26" t="str">
        <f t="shared" ref="I258:I325" si="52">"00"</f>
        <v>00</v>
      </c>
      <c r="J258" s="26" t="str">
        <f>"54 "</f>
        <v xml:space="preserve">54 </v>
      </c>
      <c r="K258" s="26" t="str">
        <f t="shared" si="49"/>
        <v>SG</v>
      </c>
      <c r="L258" s="26" t="str">
        <f t="shared" si="50"/>
        <v>DGOSE</v>
      </c>
      <c r="M258" s="26" t="str">
        <f t="shared" ref="M258:M321" si="53">"FEDERAL"</f>
        <v>FEDERAL</v>
      </c>
      <c r="N258" s="26">
        <v>361</v>
      </c>
      <c r="O258" s="26">
        <v>200</v>
      </c>
      <c r="P258" s="26">
        <v>161</v>
      </c>
      <c r="Q258" s="26">
        <v>12</v>
      </c>
      <c r="R258" s="26">
        <v>2</v>
      </c>
      <c r="S258" s="26">
        <v>29</v>
      </c>
      <c r="T258" s="26">
        <v>24</v>
      </c>
      <c r="U258" s="26">
        <v>55</v>
      </c>
      <c r="V258" s="26">
        <v>1</v>
      </c>
      <c r="W258" s="26"/>
    </row>
    <row r="259" spans="1:23" x14ac:dyDescent="0.25">
      <c r="A259" s="26" t="str">
        <f t="shared" si="51"/>
        <v>SECUNDARIA</v>
      </c>
      <c r="B259" s="26" t="str">
        <f>"09DES0258F"</f>
        <v>09DES0258F</v>
      </c>
      <c r="C259" s="26" t="str">
        <f>"LUIS ALVAREZ BARRET                                                                                 "</f>
        <v xml:space="preserve">LUIS ALVAREZ BARRET                                                                                 </v>
      </c>
      <c r="D259" s="26" t="str">
        <f t="shared" si="48"/>
        <v>MATUTINO</v>
      </c>
      <c r="E259" s="26" t="str">
        <f>"ORIENTE 245 ESQ SUR 20                                                          "</f>
        <v xml:space="preserve">ORIENTE 245 ESQ SUR 20                                                          </v>
      </c>
      <c r="F259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259" s="26" t="str">
        <f>"IZTACALCO                                                                       "</f>
        <v xml:space="preserve">IZTACALCO                                                                       </v>
      </c>
      <c r="H259" s="26" t="str">
        <f>"044"</f>
        <v>044</v>
      </c>
      <c r="I259" s="26" t="str">
        <f t="shared" si="52"/>
        <v>00</v>
      </c>
      <c r="J259" s="26" t="str">
        <f>"54 "</f>
        <v xml:space="preserve">54 </v>
      </c>
      <c r="K259" s="26" t="str">
        <f t="shared" si="49"/>
        <v>SG</v>
      </c>
      <c r="L259" s="26" t="str">
        <f t="shared" si="50"/>
        <v>DGOSE</v>
      </c>
      <c r="M259" s="26" t="str">
        <f t="shared" si="53"/>
        <v>FEDERAL</v>
      </c>
      <c r="N259" s="26">
        <v>520</v>
      </c>
      <c r="O259" s="26">
        <v>247</v>
      </c>
      <c r="P259" s="26">
        <v>273</v>
      </c>
      <c r="Q259" s="26">
        <v>15</v>
      </c>
      <c r="R259" s="26">
        <v>2</v>
      </c>
      <c r="S259" s="26">
        <v>32</v>
      </c>
      <c r="T259" s="26">
        <v>23</v>
      </c>
      <c r="U259" s="26">
        <v>57</v>
      </c>
      <c r="V259" s="26">
        <v>1</v>
      </c>
      <c r="W259" s="26"/>
    </row>
    <row r="260" spans="1:23" x14ac:dyDescent="0.25">
      <c r="A260" s="26" t="str">
        <f t="shared" si="51"/>
        <v>SECUNDARIA</v>
      </c>
      <c r="B260" s="26" t="str">
        <f>"09DES0259E"</f>
        <v>09DES0259E</v>
      </c>
      <c r="C260" s="26" t="str">
        <f>"GUSTAVO A MADERO                                                                                    "</f>
        <v xml:space="preserve">GUSTAVO A MADERO                                                                                    </v>
      </c>
      <c r="D260" s="26" t="str">
        <f t="shared" si="48"/>
        <v>MATUTINO</v>
      </c>
      <c r="E260" s="26" t="str">
        <f>"PUERTO MAZATLAN Y MOCTEZUMA                                                     "</f>
        <v xml:space="preserve">PUERTO MAZATLAN Y MOCTEZUMA                                                     </v>
      </c>
      <c r="F260" s="26" t="str">
        <f>"LA PASTORA                                                                                                                                  "</f>
        <v xml:space="preserve">LA PASTORA                                                                                                                                  </v>
      </c>
      <c r="G260" s="26" t="str">
        <f>"GUSTAVO A. MADERO                                                               "</f>
        <v xml:space="preserve">GUSTAVO A. MADERO                                                               </v>
      </c>
      <c r="H260" s="26" t="str">
        <f>"031"</f>
        <v>031</v>
      </c>
      <c r="I260" s="26" t="str">
        <f t="shared" si="52"/>
        <v>00</v>
      </c>
      <c r="J260" s="26" t="str">
        <f>"52 "</f>
        <v xml:space="preserve">52 </v>
      </c>
      <c r="K260" s="26" t="str">
        <f t="shared" si="49"/>
        <v>SG</v>
      </c>
      <c r="L260" s="26" t="str">
        <f t="shared" si="50"/>
        <v>DGOSE</v>
      </c>
      <c r="M260" s="26" t="str">
        <f t="shared" si="53"/>
        <v>FEDERAL</v>
      </c>
      <c r="N260" s="26">
        <v>505</v>
      </c>
      <c r="O260" s="26">
        <v>282</v>
      </c>
      <c r="P260" s="26">
        <v>223</v>
      </c>
      <c r="Q260" s="26">
        <v>15</v>
      </c>
      <c r="R260" s="26">
        <v>2</v>
      </c>
      <c r="S260" s="26">
        <v>36</v>
      </c>
      <c r="T260" s="26">
        <v>20</v>
      </c>
      <c r="U260" s="26">
        <v>58</v>
      </c>
      <c r="V260" s="26">
        <v>1</v>
      </c>
      <c r="W260" s="26"/>
    </row>
    <row r="261" spans="1:23" x14ac:dyDescent="0.25">
      <c r="A261" s="26" t="str">
        <f t="shared" si="51"/>
        <v>SECUNDARIA</v>
      </c>
      <c r="B261" s="26" t="str">
        <f>"09DES0260U"</f>
        <v>09DES0260U</v>
      </c>
      <c r="C261" s="26" t="str">
        <f>"IZKALOTZIN                                                                                          "</f>
        <v xml:space="preserve">IZKALOTZIN                                                                                          </v>
      </c>
      <c r="D261" s="26" t="str">
        <f t="shared" si="48"/>
        <v>MATUTINO</v>
      </c>
      <c r="E261" s="26" t="str">
        <f>"LAGO GINEBRA NO 47                                                              "</f>
        <v xml:space="preserve">LAGO GINEBRA NO 47                                                              </v>
      </c>
      <c r="F261" s="26" t="str">
        <f>"PENSIL                                                                                                                                      "</f>
        <v xml:space="preserve">PENSIL                                                                                                                                      </v>
      </c>
      <c r="G261" s="26" t="str">
        <f>"MIGUEL HIDALGO                                                                  "</f>
        <v xml:space="preserve">MIGUEL HIDALGO                                                                  </v>
      </c>
      <c r="H261" s="26" t="str">
        <f>"065"</f>
        <v>065</v>
      </c>
      <c r="I261" s="26" t="str">
        <f t="shared" si="52"/>
        <v>00</v>
      </c>
      <c r="J261" s="26" t="str">
        <f>"51 "</f>
        <v xml:space="preserve">51 </v>
      </c>
      <c r="K261" s="26" t="str">
        <f t="shared" si="49"/>
        <v>SG</v>
      </c>
      <c r="L261" s="26" t="str">
        <f t="shared" si="50"/>
        <v>DGOSE</v>
      </c>
      <c r="M261" s="26" t="str">
        <f t="shared" si="53"/>
        <v>FEDERAL</v>
      </c>
      <c r="N261" s="26">
        <v>530</v>
      </c>
      <c r="O261" s="26">
        <v>280</v>
      </c>
      <c r="P261" s="26">
        <v>250</v>
      </c>
      <c r="Q261" s="26">
        <v>15</v>
      </c>
      <c r="R261" s="26">
        <v>2</v>
      </c>
      <c r="S261" s="26">
        <v>34</v>
      </c>
      <c r="T261" s="26">
        <v>22</v>
      </c>
      <c r="U261" s="26">
        <v>58</v>
      </c>
      <c r="V261" s="26">
        <v>1</v>
      </c>
      <c r="W261" s="26"/>
    </row>
    <row r="262" spans="1:23" x14ac:dyDescent="0.25">
      <c r="A262" s="26" t="str">
        <f t="shared" si="51"/>
        <v>SECUNDARIA</v>
      </c>
      <c r="B262" s="26" t="str">
        <f>"09DES0261T"</f>
        <v>09DES0261T</v>
      </c>
      <c r="C262" s="26" t="str">
        <f>"SECUNDARIA FEDERAL                                                                                  "</f>
        <v xml:space="preserve">SECUNDARIA FEDERAL                                                                                  </v>
      </c>
      <c r="D262" s="26" t="str">
        <f t="shared" si="48"/>
        <v>MATUTINO</v>
      </c>
      <c r="E262" s="26" t="str">
        <f>"RANCHO DE LA PALMA Y FRONTERA                                                   "</f>
        <v xml:space="preserve">RANCHO DE LA PALMA Y FRONTERA                                                   </v>
      </c>
      <c r="F262" s="26" t="str">
        <f>"TIZAPAN                                                                                                                                     "</f>
        <v xml:space="preserve">TIZAPAN                                                                                                                                     </v>
      </c>
      <c r="G262" s="26" t="str">
        <f>"ALVARO OBREGON                                                                  "</f>
        <v xml:space="preserve">ALVARO OBREGON                                                                  </v>
      </c>
      <c r="H262" s="26" t="str">
        <f>"005"</f>
        <v>005</v>
      </c>
      <c r="I262" s="26" t="str">
        <f t="shared" si="52"/>
        <v>00</v>
      </c>
      <c r="J262" s="26" t="str">
        <f>"53 "</f>
        <v xml:space="preserve">53 </v>
      </c>
      <c r="K262" s="26" t="str">
        <f t="shared" si="49"/>
        <v>SG</v>
      </c>
      <c r="L262" s="26" t="str">
        <f t="shared" si="50"/>
        <v>DGOSE</v>
      </c>
      <c r="M262" s="26" t="str">
        <f t="shared" si="53"/>
        <v>FEDERAL</v>
      </c>
      <c r="N262" s="26">
        <v>651</v>
      </c>
      <c r="O262" s="26">
        <v>330</v>
      </c>
      <c r="P262" s="26">
        <v>321</v>
      </c>
      <c r="Q262" s="26">
        <v>15</v>
      </c>
      <c r="R262" s="26">
        <v>2</v>
      </c>
      <c r="S262" s="26">
        <v>30</v>
      </c>
      <c r="T262" s="26">
        <v>21</v>
      </c>
      <c r="U262" s="26">
        <v>53</v>
      </c>
      <c r="V262" s="26">
        <v>1</v>
      </c>
      <c r="W262" s="26"/>
    </row>
    <row r="263" spans="1:23" x14ac:dyDescent="0.25">
      <c r="A263" s="26" t="str">
        <f t="shared" si="51"/>
        <v>SECUNDARIA</v>
      </c>
      <c r="B263" s="26" t="str">
        <f>"09DES0262S"</f>
        <v>09DES0262S</v>
      </c>
      <c r="C263" s="26" t="str">
        <f>"""ITZJAK RABIN""                                                                                      "</f>
        <v xml:space="preserve">"ITZJAK RABIN"                                                                                      </v>
      </c>
      <c r="D263" s="26" t="str">
        <f t="shared" si="48"/>
        <v>MATUTINO</v>
      </c>
      <c r="E263" s="26" t="str">
        <f>"PIAZTIC S/N                                                                     "</f>
        <v xml:space="preserve">PIAZTIC S/N                                                                     </v>
      </c>
      <c r="F263" s="26" t="str">
        <f>"LAS PALMAS                                                                                                                                  "</f>
        <v xml:space="preserve">LAS PALMAS                                                                                                                                  </v>
      </c>
      <c r="G263" s="26" t="str">
        <f>"LA MAGDALENA CONTRERAS                                                          "</f>
        <v xml:space="preserve">LA MAGDALENA CONTRERAS                                                          </v>
      </c>
      <c r="H263" s="26" t="str">
        <f>"059"</f>
        <v>059</v>
      </c>
      <c r="I263" s="26" t="str">
        <f t="shared" si="52"/>
        <v>00</v>
      </c>
      <c r="J263" s="26" t="str">
        <f>"53 "</f>
        <v xml:space="preserve">53 </v>
      </c>
      <c r="K263" s="26" t="str">
        <f t="shared" si="49"/>
        <v>SG</v>
      </c>
      <c r="L263" s="26" t="str">
        <f t="shared" si="50"/>
        <v>DGOSE</v>
      </c>
      <c r="M263" s="26" t="str">
        <f t="shared" si="53"/>
        <v>FEDERAL</v>
      </c>
      <c r="N263" s="26">
        <v>733</v>
      </c>
      <c r="O263" s="26">
        <v>386</v>
      </c>
      <c r="P263" s="26">
        <v>347</v>
      </c>
      <c r="Q263" s="26">
        <v>15</v>
      </c>
      <c r="R263" s="26">
        <v>2</v>
      </c>
      <c r="S263" s="26">
        <v>38</v>
      </c>
      <c r="T263" s="26">
        <v>17</v>
      </c>
      <c r="U263" s="26">
        <v>57</v>
      </c>
      <c r="V263" s="26">
        <v>1</v>
      </c>
      <c r="W263" s="26"/>
    </row>
    <row r="264" spans="1:23" x14ac:dyDescent="0.25">
      <c r="A264" s="26" t="str">
        <f t="shared" si="51"/>
        <v>SECUNDARIA</v>
      </c>
      <c r="B264" s="26" t="str">
        <f>"09DES0263R"</f>
        <v>09DES0263R</v>
      </c>
      <c r="C264" s="26" t="str">
        <f>"DEPORTE PARA TODOS                                                                                  "</f>
        <v xml:space="preserve">DEPORTE PARA TODOS                                                                                  </v>
      </c>
      <c r="D264" s="26" t="str">
        <f t="shared" si="48"/>
        <v>MATUTINO</v>
      </c>
      <c r="E264" s="26" t="str">
        <f>"FFCC CUERNAVACA S/N                                                             "</f>
        <v xml:space="preserve">FFCC CUERNAVACA S/N                                                             </v>
      </c>
      <c r="F264" s="26" t="str">
        <f>"POPOTLA                                                                                                                                     "</f>
        <v xml:space="preserve">POPOTLA                                                                                                                                     </v>
      </c>
      <c r="G264" s="26" t="str">
        <f>"MIGUEL HIDALGO                                                                  "</f>
        <v xml:space="preserve">MIGUEL HIDALGO                                                                  </v>
      </c>
      <c r="H264" s="26" t="str">
        <f>"064"</f>
        <v>064</v>
      </c>
      <c r="I264" s="26" t="str">
        <f t="shared" si="52"/>
        <v>00</v>
      </c>
      <c r="J264" s="26" t="str">
        <f>"51 "</f>
        <v xml:space="preserve">51 </v>
      </c>
      <c r="K264" s="26" t="str">
        <f t="shared" si="49"/>
        <v>SG</v>
      </c>
      <c r="L264" s="26" t="str">
        <f t="shared" si="50"/>
        <v>DGOSE</v>
      </c>
      <c r="M264" s="26" t="str">
        <f t="shared" si="53"/>
        <v>FEDERAL</v>
      </c>
      <c r="N264" s="26">
        <v>199</v>
      </c>
      <c r="O264" s="26">
        <v>108</v>
      </c>
      <c r="P264" s="26">
        <v>91</v>
      </c>
      <c r="Q264" s="26">
        <v>6</v>
      </c>
      <c r="R264" s="26">
        <v>2</v>
      </c>
      <c r="S264" s="26">
        <v>15</v>
      </c>
      <c r="T264" s="26">
        <v>15</v>
      </c>
      <c r="U264" s="26">
        <v>32</v>
      </c>
      <c r="V264" s="26">
        <v>1</v>
      </c>
      <c r="W264" s="26"/>
    </row>
    <row r="265" spans="1:23" x14ac:dyDescent="0.25">
      <c r="A265" s="26" t="str">
        <f t="shared" si="51"/>
        <v>SECUNDARIA</v>
      </c>
      <c r="B265" s="26" t="str">
        <f>"09DES0264Q"</f>
        <v>09DES0264Q</v>
      </c>
      <c r="C265" s="26" t="str">
        <f>"MIGUEL SERVET                                                                                       "</f>
        <v xml:space="preserve">MIGUEL SERVET                                                                                       </v>
      </c>
      <c r="D265" s="26" t="str">
        <f>"JORNADA AMPLIADA"</f>
        <v>JORNADA AMPLIADA</v>
      </c>
      <c r="E265" s="26" t="str">
        <f>"CHILPANCINGO NORTE S/N                                                          "</f>
        <v xml:space="preserve">CHILPANCINGO NORTE S/N                                                          </v>
      </c>
      <c r="F265" s="26" t="str">
        <f>"CONJUNTO URBANO POPULAR ERMITA ZARA                                                                                                         "</f>
        <v xml:space="preserve">CONJUNTO URBANO POPULAR ERMITA ZARA                                                                                                         </v>
      </c>
      <c r="G265" s="26" t="str">
        <f>"IZTAPALAPA                                                                      "</f>
        <v xml:space="preserve">IZTAPALAPA                                                                      </v>
      </c>
      <c r="H265" s="26" t="str">
        <f>"004"</f>
        <v>004</v>
      </c>
      <c r="I265" s="26" t="str">
        <f t="shared" si="52"/>
        <v>00</v>
      </c>
      <c r="J265" s="26" t="str">
        <f>"61 "</f>
        <v xml:space="preserve">61 </v>
      </c>
      <c r="K265" s="26" t="str">
        <f>"IZ"</f>
        <v>IZ</v>
      </c>
      <c r="L265" s="26" t="str">
        <f>"DGSEI"</f>
        <v>DGSEI</v>
      </c>
      <c r="M265" s="26" t="str">
        <f t="shared" si="53"/>
        <v>FEDERAL</v>
      </c>
      <c r="N265" s="26">
        <v>498</v>
      </c>
      <c r="O265" s="26">
        <v>255</v>
      </c>
      <c r="P265" s="26">
        <v>243</v>
      </c>
      <c r="Q265" s="26">
        <v>15</v>
      </c>
      <c r="R265" s="26">
        <v>2</v>
      </c>
      <c r="S265" s="26">
        <v>50</v>
      </c>
      <c r="T265" s="26">
        <v>22</v>
      </c>
      <c r="U265" s="26">
        <v>74</v>
      </c>
      <c r="V265" s="26">
        <v>1</v>
      </c>
      <c r="W265" s="26" t="s">
        <v>2076</v>
      </c>
    </row>
    <row r="266" spans="1:23" x14ac:dyDescent="0.25">
      <c r="A266" s="26" t="str">
        <f t="shared" si="51"/>
        <v>SECUNDARIA</v>
      </c>
      <c r="B266" s="26" t="str">
        <f>"09DES0265P"</f>
        <v>09DES0265P</v>
      </c>
      <c r="C266" s="26" t="str">
        <f>"JOSE PEON Y CONTRERAS                                                                               "</f>
        <v xml:space="preserve">JOSE PEON Y CONTRERAS                                                                               </v>
      </c>
      <c r="D266" s="26" t="str">
        <f>"JORNADA AMPLIADA"</f>
        <v>JORNADA AMPLIADA</v>
      </c>
      <c r="E266" s="26" t="str">
        <f>"AV 414-A Y AV 481                                                               "</f>
        <v xml:space="preserve">AV 414-A Y AV 481                                                               </v>
      </c>
      <c r="F266" s="26" t="str">
        <f>"UNIDAD SAN JUAN DE ARAGON                                                                                                                   "</f>
        <v xml:space="preserve">UNIDAD SAN JUAN DE ARAGON                                                                                                                   </v>
      </c>
      <c r="G266" s="26" t="str">
        <f>"GUSTAVO A. MADERO                                                               "</f>
        <v xml:space="preserve">GUSTAVO A. MADERO                                                               </v>
      </c>
      <c r="H266" s="26" t="str">
        <f>"041"</f>
        <v>041</v>
      </c>
      <c r="I266" s="26" t="str">
        <f t="shared" si="52"/>
        <v>00</v>
      </c>
      <c r="J266" s="26" t="str">
        <f>"52 "</f>
        <v xml:space="preserve">52 </v>
      </c>
      <c r="K266" s="26" t="str">
        <f>"SG"</f>
        <v>SG</v>
      </c>
      <c r="L266" s="26" t="str">
        <f>"DGOSE"</f>
        <v>DGOSE</v>
      </c>
      <c r="M266" s="26" t="str">
        <f t="shared" si="53"/>
        <v>FEDERAL</v>
      </c>
      <c r="N266" s="26">
        <v>383</v>
      </c>
      <c r="O266" s="26">
        <v>183</v>
      </c>
      <c r="P266" s="26">
        <v>200</v>
      </c>
      <c r="Q266" s="26">
        <v>15</v>
      </c>
      <c r="R266" s="26">
        <v>2</v>
      </c>
      <c r="S266" s="26">
        <v>40</v>
      </c>
      <c r="T266" s="26">
        <v>27</v>
      </c>
      <c r="U266" s="26">
        <v>69</v>
      </c>
      <c r="V266" s="26">
        <v>1</v>
      </c>
      <c r="W266" s="26" t="s">
        <v>2076</v>
      </c>
    </row>
    <row r="267" spans="1:23" x14ac:dyDescent="0.25">
      <c r="A267" s="26" t="str">
        <f t="shared" si="51"/>
        <v>SECUNDARIA</v>
      </c>
      <c r="B267" s="26" t="str">
        <f>"09DES0266O"</f>
        <v>09DES0266O</v>
      </c>
      <c r="C267" s="26" t="str">
        <f>"TEOTIHUACAN                                                                                         "</f>
        <v xml:space="preserve">TEOTIHUACAN                                                                                         </v>
      </c>
      <c r="D267" s="26" t="str">
        <f>"MATUTINO"</f>
        <v>MATUTINO</v>
      </c>
      <c r="E267" s="26" t="str">
        <f>"BILBAO Y VERIN                                                                  "</f>
        <v xml:space="preserve">BILBAO Y VERIN                                                                  </v>
      </c>
      <c r="F267" s="26" t="str">
        <f>"CERRO DE LA ESTRELLA                                                                                                                        "</f>
        <v xml:space="preserve">CERRO DE LA ESTRELLA                                                                                                                        </v>
      </c>
      <c r="G267" s="26" t="str">
        <f>"IZTAPALAPA                                                                      "</f>
        <v xml:space="preserve">IZTAPALAPA                                                                      </v>
      </c>
      <c r="H267" s="26" t="str">
        <f>"011"</f>
        <v>011</v>
      </c>
      <c r="I267" s="26" t="str">
        <f t="shared" si="52"/>
        <v>00</v>
      </c>
      <c r="J267" s="26" t="str">
        <f>"63 "</f>
        <v xml:space="preserve">63 </v>
      </c>
      <c r="K267" s="26" t="str">
        <f>"IZ"</f>
        <v>IZ</v>
      </c>
      <c r="L267" s="26" t="str">
        <f>"DGSEI"</f>
        <v>DGSEI</v>
      </c>
      <c r="M267" s="26" t="str">
        <f t="shared" si="53"/>
        <v>FEDERAL</v>
      </c>
      <c r="N267" s="26">
        <v>525</v>
      </c>
      <c r="O267" s="26">
        <v>262</v>
      </c>
      <c r="P267" s="26">
        <v>263</v>
      </c>
      <c r="Q267" s="26">
        <v>15</v>
      </c>
      <c r="R267" s="26">
        <v>1</v>
      </c>
      <c r="S267" s="26">
        <v>33</v>
      </c>
      <c r="T267" s="26">
        <v>23</v>
      </c>
      <c r="U267" s="26">
        <v>57</v>
      </c>
      <c r="V267" s="26">
        <v>1</v>
      </c>
      <c r="W267" s="26"/>
    </row>
    <row r="268" spans="1:23" x14ac:dyDescent="0.25">
      <c r="A268" s="26" t="str">
        <f t="shared" si="51"/>
        <v>SECUNDARIA</v>
      </c>
      <c r="B268" s="26" t="str">
        <f>"09DES0267N"</f>
        <v>09DES0267N</v>
      </c>
      <c r="C268" s="26" t="str">
        <f>"TEODORO FLORES                                                                                      "</f>
        <v xml:space="preserve">TEODORO FLORES                                                                                      </v>
      </c>
      <c r="D268" s="26" t="str">
        <f>"JORNADA AMPLIADA"</f>
        <v>JORNADA AMPLIADA</v>
      </c>
      <c r="E268" s="26" t="s">
        <v>3988</v>
      </c>
      <c r="F268" s="26" t="str">
        <f>"SAN MIGUEL TEOTONGO                                                                                                                         "</f>
        <v xml:space="preserve">SAN MIGUEL TEOTONGO                                                                                                                         </v>
      </c>
      <c r="G268" s="26" t="str">
        <f>"IZTAPALAPA                                                                      "</f>
        <v xml:space="preserve">IZTAPALAPA                                                                      </v>
      </c>
      <c r="H268" s="26" t="str">
        <f>"004"</f>
        <v>004</v>
      </c>
      <c r="I268" s="26" t="str">
        <f t="shared" si="52"/>
        <v>00</v>
      </c>
      <c r="J268" s="26" t="str">
        <f>"61 "</f>
        <v xml:space="preserve">61 </v>
      </c>
      <c r="K268" s="26" t="str">
        <f>"IZ"</f>
        <v>IZ</v>
      </c>
      <c r="L268" s="26" t="str">
        <f>"DGSEI"</f>
        <v>DGSEI</v>
      </c>
      <c r="M268" s="26" t="str">
        <f t="shared" si="53"/>
        <v>FEDERAL</v>
      </c>
      <c r="N268" s="26">
        <v>599</v>
      </c>
      <c r="O268" s="26">
        <v>304</v>
      </c>
      <c r="P268" s="26">
        <v>295</v>
      </c>
      <c r="Q268" s="26">
        <v>15</v>
      </c>
      <c r="R268" s="26">
        <v>1</v>
      </c>
      <c r="S268" s="26">
        <v>43</v>
      </c>
      <c r="T268" s="26">
        <v>23</v>
      </c>
      <c r="U268" s="26">
        <v>67</v>
      </c>
      <c r="V268" s="26">
        <v>1</v>
      </c>
      <c r="W268" s="26" t="s">
        <v>2076</v>
      </c>
    </row>
    <row r="269" spans="1:23" x14ac:dyDescent="0.25">
      <c r="A269" s="26" t="str">
        <f t="shared" si="51"/>
        <v>SECUNDARIA</v>
      </c>
      <c r="B269" s="26" t="str">
        <f>"09DES0268M"</f>
        <v>09DES0268M</v>
      </c>
      <c r="C269" s="26" t="str">
        <f>"GUADALUPE VICTORIA                                                                                  "</f>
        <v xml:space="preserve">GUADALUPE VICTORIA                                                                                  </v>
      </c>
      <c r="D269" s="26" t="str">
        <f>"MATUTINO"</f>
        <v>MATUTINO</v>
      </c>
      <c r="E269" s="26" t="str">
        <f>"PASCUAL OROZCO RECREO Y FRANCISCO I MADERO                                      "</f>
        <v xml:space="preserve">PASCUAL OROZCO RECREO Y FRANCISCO I MADERO                                      </v>
      </c>
      <c r="F269" s="26" t="str">
        <f>"SAN MIGUEL BARRIO                                                                                                                           "</f>
        <v xml:space="preserve">SAN MIGUEL BARRIO                                                                                                                           </v>
      </c>
      <c r="G269" s="26" t="str">
        <f>"IZTACALCO                                                                       "</f>
        <v xml:space="preserve">IZTACALCO                                                                       </v>
      </c>
      <c r="H269" s="26" t="str">
        <f>"044"</f>
        <v>044</v>
      </c>
      <c r="I269" s="26" t="str">
        <f t="shared" si="52"/>
        <v>00</v>
      </c>
      <c r="J269" s="26" t="str">
        <f>"54 "</f>
        <v xml:space="preserve">54 </v>
      </c>
      <c r="K269" s="26" t="str">
        <f t="shared" ref="K269:K274" si="54">"SG"</f>
        <v>SG</v>
      </c>
      <c r="L269" s="26" t="str">
        <f t="shared" ref="L269:L274" si="55">"DGOSE"</f>
        <v>DGOSE</v>
      </c>
      <c r="M269" s="26" t="str">
        <f t="shared" si="53"/>
        <v>FEDERAL</v>
      </c>
      <c r="N269" s="26">
        <v>436</v>
      </c>
      <c r="O269" s="26">
        <v>231</v>
      </c>
      <c r="P269" s="26">
        <v>205</v>
      </c>
      <c r="Q269" s="26">
        <v>13</v>
      </c>
      <c r="R269" s="26">
        <v>2</v>
      </c>
      <c r="S269" s="26">
        <v>31</v>
      </c>
      <c r="T269" s="26">
        <v>22</v>
      </c>
      <c r="U269" s="26">
        <v>55</v>
      </c>
      <c r="V269" s="26">
        <v>1</v>
      </c>
      <c r="W269" s="26"/>
    </row>
    <row r="270" spans="1:23" x14ac:dyDescent="0.25">
      <c r="A270" s="26" t="str">
        <f t="shared" si="51"/>
        <v>SECUNDARIA</v>
      </c>
      <c r="B270" s="26" t="str">
        <f>"09DES0269L"</f>
        <v>09DES0269L</v>
      </c>
      <c r="C270" s="26" t="str">
        <f>""" MARCOS MOSHINSKY ""                                                                                "</f>
        <v xml:space="preserve">" MARCOS MOSHINSKY "                                                                                </v>
      </c>
      <c r="D270" s="26" t="str">
        <f>"JORNADA AMPLIADA"</f>
        <v>JORNADA AMPLIADA</v>
      </c>
      <c r="E270" s="26" t="str">
        <f>"ANENECUILCO NO 30                                                               "</f>
        <v xml:space="preserve">ANENECUILCO NO 30                                                               </v>
      </c>
      <c r="F270" s="26" t="str">
        <f>"EMILIANO ZAPATA                                                                                                                             "</f>
        <v xml:space="preserve">EMILIANO ZAPATA                                                                                                                             </v>
      </c>
      <c r="G270" s="26" t="str">
        <f>"COYOACAN                                                                        "</f>
        <v xml:space="preserve">COYOACAN                                                                        </v>
      </c>
      <c r="H270" s="26" t="str">
        <f>"021"</f>
        <v>021</v>
      </c>
      <c r="I270" s="26" t="str">
        <f t="shared" si="52"/>
        <v>00</v>
      </c>
      <c r="J270" s="26" t="str">
        <f>"54 "</f>
        <v xml:space="preserve">54 </v>
      </c>
      <c r="K270" s="26" t="str">
        <f t="shared" si="54"/>
        <v>SG</v>
      </c>
      <c r="L270" s="26" t="str">
        <f t="shared" si="55"/>
        <v>DGOSE</v>
      </c>
      <c r="M270" s="26" t="str">
        <f t="shared" si="53"/>
        <v>FEDERAL</v>
      </c>
      <c r="N270" s="26">
        <v>325</v>
      </c>
      <c r="O270" s="26">
        <v>174</v>
      </c>
      <c r="P270" s="26">
        <v>151</v>
      </c>
      <c r="Q270" s="26">
        <v>12</v>
      </c>
      <c r="R270" s="26">
        <v>2</v>
      </c>
      <c r="S270" s="26">
        <v>32</v>
      </c>
      <c r="T270" s="26">
        <v>19</v>
      </c>
      <c r="U270" s="26">
        <v>53</v>
      </c>
      <c r="V270" s="26">
        <v>1</v>
      </c>
      <c r="W270" s="26" t="s">
        <v>2076</v>
      </c>
    </row>
    <row r="271" spans="1:23" x14ac:dyDescent="0.25">
      <c r="A271" s="26" t="str">
        <f t="shared" si="51"/>
        <v>SECUNDARIA</v>
      </c>
      <c r="B271" s="26" t="str">
        <f>"09DES0270A"</f>
        <v>09DES0270A</v>
      </c>
      <c r="C271" s="26" t="str">
        <f>"""CELESTINO GOROSTIZA""                                                                               "</f>
        <v xml:space="preserve">"CELESTINO GOROSTIZA"                                                                               </v>
      </c>
      <c r="D271" s="26" t="str">
        <f>"JORNADA AMPLIADA"</f>
        <v>JORNADA AMPLIADA</v>
      </c>
      <c r="E271" s="26" t="str">
        <f>"GERANIO NO 151 Y CALZ SAN SIMON                                                 "</f>
        <v xml:space="preserve">GERANIO NO 151 Y CALZ SAN SIMON                                                 </v>
      </c>
      <c r="F271" s="26" t="str">
        <f>"ATLAMPA                                                                                                                                     "</f>
        <v xml:space="preserve">ATLAMPA                                                                                                                                     </v>
      </c>
      <c r="G271" s="26" t="str">
        <f>"CUAUHTEMOC                                                                      "</f>
        <v xml:space="preserve">CUAUHTEMOC                                                                      </v>
      </c>
      <c r="H271" s="26" t="str">
        <f>"027"</f>
        <v>027</v>
      </c>
      <c r="I271" s="26" t="str">
        <f t="shared" si="52"/>
        <v>00</v>
      </c>
      <c r="J271" s="26" t="str">
        <f>"51 "</f>
        <v xml:space="preserve">51 </v>
      </c>
      <c r="K271" s="26" t="str">
        <f t="shared" si="54"/>
        <v>SG</v>
      </c>
      <c r="L271" s="26" t="str">
        <f t="shared" si="55"/>
        <v>DGOSE</v>
      </c>
      <c r="M271" s="26" t="str">
        <f t="shared" si="53"/>
        <v>FEDERAL</v>
      </c>
      <c r="N271" s="26">
        <v>97</v>
      </c>
      <c r="O271" s="26">
        <v>53</v>
      </c>
      <c r="P271" s="26">
        <v>44</v>
      </c>
      <c r="Q271" s="26">
        <v>6</v>
      </c>
      <c r="R271" s="26">
        <v>2</v>
      </c>
      <c r="S271" s="26">
        <v>16</v>
      </c>
      <c r="T271" s="26">
        <v>13</v>
      </c>
      <c r="U271" s="26">
        <v>31</v>
      </c>
      <c r="V271" s="26">
        <v>1</v>
      </c>
      <c r="W271" s="26" t="s">
        <v>2076</v>
      </c>
    </row>
    <row r="272" spans="1:23" x14ac:dyDescent="0.25">
      <c r="A272" s="26" t="str">
        <f t="shared" si="51"/>
        <v>SECUNDARIA</v>
      </c>
      <c r="B272" s="26" t="str">
        <f>"09DES0271Z"</f>
        <v>09DES0271Z</v>
      </c>
      <c r="C272" s="26" t="str">
        <f>"""ALVARO OBREGON""                                                                                    "</f>
        <v xml:space="preserve">"ALVARO OBREGON"                                                                                    </v>
      </c>
      <c r="D272" s="26" t="str">
        <f>"MATUTINO"</f>
        <v>MATUTINO</v>
      </c>
      <c r="E272" s="26" t="str">
        <f>"AV EDUARDO MOLINA S/N Y C 314 Y 316                                             "</f>
        <v xml:space="preserve">AV EDUARDO MOLINA S/N Y C 314 Y 316                                             </v>
      </c>
      <c r="F272" s="26" t="str">
        <f>"NUEVA ATZACOALCO                                                                                                                            "</f>
        <v xml:space="preserve">NUEVA ATZACOALCO                                                                                                                            </v>
      </c>
      <c r="G272" s="26" t="str">
        <f>"GUSTAVO A. MADERO                                                               "</f>
        <v xml:space="preserve">GUSTAVO A. MADERO                                                               </v>
      </c>
      <c r="H272" s="26" t="str">
        <f>"038"</f>
        <v>038</v>
      </c>
      <c r="I272" s="26" t="str">
        <f t="shared" si="52"/>
        <v>00</v>
      </c>
      <c r="J272" s="26" t="str">
        <f>"52 "</f>
        <v xml:space="preserve">52 </v>
      </c>
      <c r="K272" s="26" t="str">
        <f t="shared" si="54"/>
        <v>SG</v>
      </c>
      <c r="L272" s="26" t="str">
        <f t="shared" si="55"/>
        <v>DGOSE</v>
      </c>
      <c r="M272" s="26" t="str">
        <f t="shared" si="53"/>
        <v>FEDERAL</v>
      </c>
      <c r="N272" s="26">
        <v>603</v>
      </c>
      <c r="O272" s="26">
        <v>279</v>
      </c>
      <c r="P272" s="26">
        <v>324</v>
      </c>
      <c r="Q272" s="26">
        <v>15</v>
      </c>
      <c r="R272" s="26">
        <v>1</v>
      </c>
      <c r="S272" s="26">
        <v>36</v>
      </c>
      <c r="T272" s="26">
        <v>34</v>
      </c>
      <c r="U272" s="26">
        <v>71</v>
      </c>
      <c r="V272" s="26">
        <v>1</v>
      </c>
      <c r="W272" s="26"/>
    </row>
    <row r="273" spans="1:23" x14ac:dyDescent="0.25">
      <c r="A273" s="26" t="str">
        <f t="shared" si="51"/>
        <v>SECUNDARIA</v>
      </c>
      <c r="B273" s="26" t="str">
        <f>"09DES0272Z"</f>
        <v>09DES0272Z</v>
      </c>
      <c r="C273" s="26" t="str">
        <f>"""RUFINO TAMAYO""                                                                                     "</f>
        <v xml:space="preserve">"RUFINO TAMAYO"                                                                                     </v>
      </c>
      <c r="D273" s="26" t="str">
        <f>"MATUTINO"</f>
        <v>MATUTINO</v>
      </c>
      <c r="E273" s="26" t="str">
        <f>"2DA CDA 633 ENTRE 641 Y 633                                                     "</f>
        <v xml:space="preserve">2DA CDA 633 ENTRE 641 Y 633                                                     </v>
      </c>
      <c r="F273" s="26" t="str">
        <f>"SAN JUAN DE ARAGON                                                                                                                          "</f>
        <v xml:space="preserve">SAN JUAN DE ARAGON                                                                                                                          </v>
      </c>
      <c r="G273" s="26" t="str">
        <f>"GUSTAVO A. MADERO                                                               "</f>
        <v xml:space="preserve">GUSTAVO A. MADERO                                                               </v>
      </c>
      <c r="H273" s="26" t="str">
        <f>"041"</f>
        <v>041</v>
      </c>
      <c r="I273" s="26" t="str">
        <f t="shared" si="52"/>
        <v>00</v>
      </c>
      <c r="J273" s="26" t="str">
        <f>"52 "</f>
        <v xml:space="preserve">52 </v>
      </c>
      <c r="K273" s="26" t="str">
        <f t="shared" si="54"/>
        <v>SG</v>
      </c>
      <c r="L273" s="26" t="str">
        <f t="shared" si="55"/>
        <v>DGOSE</v>
      </c>
      <c r="M273" s="26" t="str">
        <f t="shared" si="53"/>
        <v>FEDERAL</v>
      </c>
      <c r="N273" s="26">
        <v>619</v>
      </c>
      <c r="O273" s="26">
        <v>326</v>
      </c>
      <c r="P273" s="26">
        <v>293</v>
      </c>
      <c r="Q273" s="26">
        <v>15</v>
      </c>
      <c r="R273" s="26">
        <v>2</v>
      </c>
      <c r="S273" s="26">
        <v>37</v>
      </c>
      <c r="T273" s="26">
        <v>23</v>
      </c>
      <c r="U273" s="26">
        <v>62</v>
      </c>
      <c r="V273" s="26">
        <v>1</v>
      </c>
      <c r="W273" s="26"/>
    </row>
    <row r="274" spans="1:23" x14ac:dyDescent="0.25">
      <c r="A274" s="26" t="str">
        <f t="shared" si="51"/>
        <v>SECUNDARIA</v>
      </c>
      <c r="B274" s="26" t="str">
        <f>"09DES0273Y"</f>
        <v>09DES0273Y</v>
      </c>
      <c r="C274" s="26" t="str">
        <f>"""ALFONSO GARCIA ROBLES""                                                                             "</f>
        <v xml:space="preserve">"ALFONSO GARCIA ROBLES"                                                                             </v>
      </c>
      <c r="D274" s="26" t="str">
        <f>"MATUTINO"</f>
        <v>MATUTINO</v>
      </c>
      <c r="E274" s="26" t="str">
        <f>"PERIFERICO ENTRE R ZAPATA Y R MENDEZ                                            "</f>
        <v xml:space="preserve">PERIFERICO ENTRE R ZAPATA Y R MENDEZ                                            </v>
      </c>
      <c r="F274" s="26" t="str">
        <f>"GABRIEL HERNANDEZ AMPLIACION                                                                                                                "</f>
        <v xml:space="preserve">GABRIEL HERNANDEZ AMPLIACION                                                                                                                </v>
      </c>
      <c r="G274" s="26" t="str">
        <f>"GUSTAVO A. MADERO                                                               "</f>
        <v xml:space="preserve">GUSTAVO A. MADERO                                                               </v>
      </c>
      <c r="H274" s="26" t="str">
        <f>"038"</f>
        <v>038</v>
      </c>
      <c r="I274" s="26" t="str">
        <f t="shared" si="52"/>
        <v>00</v>
      </c>
      <c r="J274" s="26" t="str">
        <f>"52 "</f>
        <v xml:space="preserve">52 </v>
      </c>
      <c r="K274" s="26" t="str">
        <f t="shared" si="54"/>
        <v>SG</v>
      </c>
      <c r="L274" s="26" t="str">
        <f t="shared" si="55"/>
        <v>DGOSE</v>
      </c>
      <c r="M274" s="26" t="str">
        <f t="shared" si="53"/>
        <v>FEDERAL</v>
      </c>
      <c r="N274" s="26">
        <v>577</v>
      </c>
      <c r="O274" s="26">
        <v>278</v>
      </c>
      <c r="P274" s="26">
        <v>299</v>
      </c>
      <c r="Q274" s="26">
        <v>15</v>
      </c>
      <c r="R274" s="26">
        <v>2</v>
      </c>
      <c r="S274" s="26">
        <v>36</v>
      </c>
      <c r="T274" s="26">
        <v>21</v>
      </c>
      <c r="U274" s="26">
        <v>59</v>
      </c>
      <c r="V274" s="26">
        <v>1</v>
      </c>
      <c r="W274" s="26"/>
    </row>
    <row r="275" spans="1:23" x14ac:dyDescent="0.25">
      <c r="A275" s="26" t="str">
        <f t="shared" si="51"/>
        <v>SECUNDARIA</v>
      </c>
      <c r="B275" s="26" t="str">
        <f>"09DES0274X"</f>
        <v>09DES0274X</v>
      </c>
      <c r="C275" s="26" t="str">
        <f>"LIBRADO RIVERA GODINEZ                                                                              "</f>
        <v xml:space="preserve">LIBRADO RIVERA GODINEZ                                                                              </v>
      </c>
      <c r="D275" s="26" t="str">
        <f>"JORNADA AMPLIADA"</f>
        <v>JORNADA AMPLIADA</v>
      </c>
      <c r="E275" s="26" t="str">
        <f>"BATALLA DE OJITOS S/N                                                           "</f>
        <v xml:space="preserve">BATALLA DE OJITOS S/N                                                           </v>
      </c>
      <c r="F275" s="26" t="str">
        <f>"UNIDAD HABITACIONAL EJERCITO DE ORI                                                                                                         "</f>
        <v xml:space="preserve">UNIDAD HABITACIONAL EJERCITO DE ORI                                                                                                         </v>
      </c>
      <c r="G275" s="26" t="str">
        <f>"IZTAPALAPA                                                                      "</f>
        <v xml:space="preserve">IZTAPALAPA                                                                      </v>
      </c>
      <c r="H275" s="26" t="str">
        <f>"002"</f>
        <v>002</v>
      </c>
      <c r="I275" s="26" t="str">
        <f t="shared" si="52"/>
        <v>00</v>
      </c>
      <c r="J275" s="26" t="str">
        <f>"61 "</f>
        <v xml:space="preserve">61 </v>
      </c>
      <c r="K275" s="26" t="str">
        <f>"IZ"</f>
        <v>IZ</v>
      </c>
      <c r="L275" s="26" t="str">
        <f>"DGSEI"</f>
        <v>DGSEI</v>
      </c>
      <c r="M275" s="26" t="str">
        <f t="shared" si="53"/>
        <v>FEDERAL</v>
      </c>
      <c r="N275" s="26">
        <v>437</v>
      </c>
      <c r="O275" s="26">
        <v>232</v>
      </c>
      <c r="P275" s="26">
        <v>205</v>
      </c>
      <c r="Q275" s="26">
        <v>15</v>
      </c>
      <c r="R275" s="26">
        <v>1</v>
      </c>
      <c r="S275" s="26">
        <v>43</v>
      </c>
      <c r="T275" s="26">
        <v>33</v>
      </c>
      <c r="U275" s="26">
        <v>77</v>
      </c>
      <c r="V275" s="26">
        <v>1</v>
      </c>
      <c r="W275" s="26" t="s">
        <v>2076</v>
      </c>
    </row>
    <row r="276" spans="1:23" x14ac:dyDescent="0.25">
      <c r="A276" s="26" t="str">
        <f t="shared" si="51"/>
        <v>SECUNDARIA</v>
      </c>
      <c r="B276" s="26" t="str">
        <f>"09DES0275W"</f>
        <v>09DES0275W</v>
      </c>
      <c r="C276" s="26" t="str">
        <f>"JOSE MARIA VELASCO                                                                                  "</f>
        <v xml:space="preserve">JOSE MARIA VELASCO                                                                                  </v>
      </c>
      <c r="D276" s="26" t="str">
        <f>"MATUTINO"</f>
        <v>MATUTINO</v>
      </c>
      <c r="E276" s="26" t="str">
        <f>"JESUS GARIBAY Y PALMAS                                                          "</f>
        <v xml:space="preserve">JESUS GARIBAY Y PALMAS                                                          </v>
      </c>
      <c r="F276" s="26" t="str">
        <f>"CONSEJO AGRARISTA MEXICANO                                                                                                                  "</f>
        <v xml:space="preserve">CONSEJO AGRARISTA MEXICANO                                                                                                                  </v>
      </c>
      <c r="G276" s="26" t="str">
        <f>"IZTAPALAPA                                                                      "</f>
        <v xml:space="preserve">IZTAPALAPA                                                                      </v>
      </c>
      <c r="H276" s="26" t="str">
        <f>"012"</f>
        <v>012</v>
      </c>
      <c r="I276" s="26" t="str">
        <f t="shared" si="52"/>
        <v>00</v>
      </c>
      <c r="J276" s="26" t="str">
        <f>"63 "</f>
        <v xml:space="preserve">63 </v>
      </c>
      <c r="K276" s="26" t="str">
        <f>"IZ"</f>
        <v>IZ</v>
      </c>
      <c r="L276" s="26" t="str">
        <f>"DGSEI"</f>
        <v>DGSEI</v>
      </c>
      <c r="M276" s="26" t="str">
        <f t="shared" si="53"/>
        <v>FEDERAL</v>
      </c>
      <c r="N276" s="26">
        <v>708</v>
      </c>
      <c r="O276" s="26">
        <v>387</v>
      </c>
      <c r="P276" s="26">
        <v>321</v>
      </c>
      <c r="Q276" s="26">
        <v>15</v>
      </c>
      <c r="R276" s="26">
        <v>2</v>
      </c>
      <c r="S276" s="26">
        <v>31</v>
      </c>
      <c r="T276" s="26">
        <v>22</v>
      </c>
      <c r="U276" s="26">
        <v>55</v>
      </c>
      <c r="V276" s="26">
        <v>1</v>
      </c>
      <c r="W276" s="26"/>
    </row>
    <row r="277" spans="1:23" x14ac:dyDescent="0.25">
      <c r="A277" s="26" t="str">
        <f t="shared" si="51"/>
        <v>SECUNDARIA</v>
      </c>
      <c r="B277" s="26" t="str">
        <f>"09DES0276V"</f>
        <v>09DES0276V</v>
      </c>
      <c r="C277" s="26" t="str">
        <f>"""JUVENTINO ROSAS CADENAS""                                                                           "</f>
        <v xml:space="preserve">"JUVENTINO ROSAS CADENAS"                                                                           </v>
      </c>
      <c r="D277" s="26" t="str">
        <f>"MATUTINO"</f>
        <v>MATUTINO</v>
      </c>
      <c r="E277" s="26" t="str">
        <f>"TARASCOS FRENTE A CHONTALES                                                     "</f>
        <v xml:space="preserve">TARASCOS FRENTE A CHONTALES                                                     </v>
      </c>
      <c r="F277" s="26" t="str">
        <f>"TLALCOLIGIA                                                                                                                                 "</f>
        <v xml:space="preserve">TLALCOLIGIA                                                                                                                                 </v>
      </c>
      <c r="G277" s="26" t="str">
        <f>"TLALPAN                                                                         "</f>
        <v xml:space="preserve">TLALPAN                                                                         </v>
      </c>
      <c r="H277" s="26" t="str">
        <f>"073"</f>
        <v>073</v>
      </c>
      <c r="I277" s="26" t="str">
        <f t="shared" si="52"/>
        <v>00</v>
      </c>
      <c r="J277" s="26" t="str">
        <f>"55 "</f>
        <v xml:space="preserve">55 </v>
      </c>
      <c r="K277" s="26" t="str">
        <f t="shared" ref="K277:K286" si="56">"SG"</f>
        <v>SG</v>
      </c>
      <c r="L277" s="26" t="str">
        <f t="shared" ref="L277:L286" si="57">"DGOSE"</f>
        <v>DGOSE</v>
      </c>
      <c r="M277" s="26" t="str">
        <f t="shared" si="53"/>
        <v>FEDERAL</v>
      </c>
      <c r="N277" s="26">
        <v>767</v>
      </c>
      <c r="O277" s="26">
        <v>362</v>
      </c>
      <c r="P277" s="26">
        <v>405</v>
      </c>
      <c r="Q277" s="26">
        <v>18</v>
      </c>
      <c r="R277" s="26">
        <v>2</v>
      </c>
      <c r="S277" s="26">
        <v>35</v>
      </c>
      <c r="T277" s="26">
        <v>26</v>
      </c>
      <c r="U277" s="26">
        <v>63</v>
      </c>
      <c r="V277" s="26">
        <v>1</v>
      </c>
      <c r="W277" s="26"/>
    </row>
    <row r="278" spans="1:23" x14ac:dyDescent="0.25">
      <c r="A278" s="26" t="str">
        <f t="shared" si="51"/>
        <v>SECUNDARIA</v>
      </c>
      <c r="B278" s="26" t="str">
        <f>"09DES0277U"</f>
        <v>09DES0277U</v>
      </c>
      <c r="C278" s="26" t="str">
        <f>"SECUNDARIA FEDERAL                                                                                  "</f>
        <v xml:space="preserve">SECUNDARIA FEDERAL                                                                                  </v>
      </c>
      <c r="D278" s="26" t="str">
        <f>"MATUTINO"</f>
        <v>MATUTINO</v>
      </c>
      <c r="E278" s="26" t="str">
        <f>"EJE 1 NORTE Y H CONGRESO DE LA UNION                                            "</f>
        <v xml:space="preserve">EJE 1 NORTE Y H CONGRESO DE LA UNION                                            </v>
      </c>
      <c r="F278" s="26" t="str">
        <f>"MORELOS                                                                                                                                     "</f>
        <v xml:space="preserve">MORELOS                                                                                                                                     </v>
      </c>
      <c r="G278" s="26" t="str">
        <f>"VENUSTIANO CARRANZA                                                             "</f>
        <v xml:space="preserve">VENUSTIANO CARRANZA                                                             </v>
      </c>
      <c r="H278" s="26" t="str">
        <f>"074"</f>
        <v>074</v>
      </c>
      <c r="I278" s="26" t="str">
        <f t="shared" si="52"/>
        <v>00</v>
      </c>
      <c r="J278" s="26" t="str">
        <f>"54 "</f>
        <v xml:space="preserve">54 </v>
      </c>
      <c r="K278" s="26" t="str">
        <f t="shared" si="56"/>
        <v>SG</v>
      </c>
      <c r="L278" s="26" t="str">
        <f t="shared" si="57"/>
        <v>DGOSE</v>
      </c>
      <c r="M278" s="26" t="str">
        <f t="shared" si="53"/>
        <v>FEDERAL</v>
      </c>
      <c r="N278" s="26">
        <v>365</v>
      </c>
      <c r="O278" s="26">
        <v>185</v>
      </c>
      <c r="P278" s="26">
        <v>180</v>
      </c>
      <c r="Q278" s="26">
        <v>12</v>
      </c>
      <c r="R278" s="26">
        <v>2</v>
      </c>
      <c r="S278" s="26">
        <v>25</v>
      </c>
      <c r="T278" s="26">
        <v>20</v>
      </c>
      <c r="U278" s="26">
        <v>47</v>
      </c>
      <c r="V278" s="26">
        <v>1</v>
      </c>
      <c r="W278" s="26"/>
    </row>
    <row r="279" spans="1:23" x14ac:dyDescent="0.25">
      <c r="A279" s="26" t="str">
        <f t="shared" si="51"/>
        <v>SECUNDARIA</v>
      </c>
      <c r="B279" s="26" t="str">
        <f>"09DES0278T"</f>
        <v>09DES0278T</v>
      </c>
      <c r="C279" s="26" t="str">
        <f>"JAVIER BARROS SIERRA                                                                                "</f>
        <v xml:space="preserve">JAVIER BARROS SIERRA                                                                                </v>
      </c>
      <c r="D279" s="26" t="str">
        <f>"MATUTINO"</f>
        <v>MATUTINO</v>
      </c>
      <c r="E279" s="26" t="str">
        <f>"RIO FRIO Y 10 DE DICIEMBRE                                                      "</f>
        <v xml:space="preserve">RIO FRIO Y 10 DE DICIEMBRE                                                      </v>
      </c>
      <c r="F279" s="26" t="str">
        <f>"MAGDALENA MIXHUCA                                                                                                                           "</f>
        <v xml:space="preserve">MAGDALENA MIXHUCA                                                                                                                           </v>
      </c>
      <c r="G279" s="26" t="str">
        <f>"VENUSTIANO CARRANZA                                                             "</f>
        <v xml:space="preserve">VENUSTIANO CARRANZA                                                             </v>
      </c>
      <c r="H279" s="26" t="str">
        <f>"075"</f>
        <v>075</v>
      </c>
      <c r="I279" s="26" t="str">
        <f t="shared" si="52"/>
        <v>00</v>
      </c>
      <c r="J279" s="26" t="str">
        <f>"54 "</f>
        <v xml:space="preserve">54 </v>
      </c>
      <c r="K279" s="26" t="str">
        <f t="shared" si="56"/>
        <v>SG</v>
      </c>
      <c r="L279" s="26" t="str">
        <f t="shared" si="57"/>
        <v>DGOSE</v>
      </c>
      <c r="M279" s="26" t="str">
        <f t="shared" si="53"/>
        <v>FEDERAL</v>
      </c>
      <c r="N279" s="26">
        <v>258</v>
      </c>
      <c r="O279" s="26">
        <v>122</v>
      </c>
      <c r="P279" s="26">
        <v>136</v>
      </c>
      <c r="Q279" s="26">
        <v>9</v>
      </c>
      <c r="R279" s="26">
        <v>2</v>
      </c>
      <c r="S279" s="26">
        <v>26</v>
      </c>
      <c r="T279" s="26">
        <v>20</v>
      </c>
      <c r="U279" s="26">
        <v>48</v>
      </c>
      <c r="V279" s="26">
        <v>1</v>
      </c>
      <c r="W279" s="26"/>
    </row>
    <row r="280" spans="1:23" x14ac:dyDescent="0.25">
      <c r="A280" s="26" t="str">
        <f t="shared" si="51"/>
        <v>SECUNDARIA</v>
      </c>
      <c r="B280" s="26" t="str">
        <f>"09DES0279S"</f>
        <v>09DES0279S</v>
      </c>
      <c r="C280" s="26" t="str">
        <f>"JOHN DEWEY                                                                                          "</f>
        <v xml:space="preserve">JOHN DEWEY                                                                                          </v>
      </c>
      <c r="D280" s="26" t="str">
        <f>"MATUTINO"</f>
        <v>MATUTINO</v>
      </c>
      <c r="E280" s="26" t="str">
        <f>"AVENIDA 29 DE OCTUBRE SIN NUMERO                                                "</f>
        <v xml:space="preserve">AVENIDA 29 DE OCTUBRE SIN NUMERO                                                </v>
      </c>
      <c r="F280" s="26" t="str">
        <f>"LOMAS DE LA HERA                                                                                                                            "</f>
        <v xml:space="preserve">LOMAS DE LA HERA                                                                                                                            </v>
      </c>
      <c r="G280" s="26" t="str">
        <f>"ALVARO OBREGON                                                                  "</f>
        <v xml:space="preserve">ALVARO OBREGON                                                                  </v>
      </c>
      <c r="H280" s="26" t="str">
        <f>"005"</f>
        <v>005</v>
      </c>
      <c r="I280" s="26" t="str">
        <f t="shared" si="52"/>
        <v>00</v>
      </c>
      <c r="J280" s="26" t="str">
        <f>"53 "</f>
        <v xml:space="preserve">53 </v>
      </c>
      <c r="K280" s="26" t="str">
        <f t="shared" si="56"/>
        <v>SG</v>
      </c>
      <c r="L280" s="26" t="str">
        <f t="shared" si="57"/>
        <v>DGOSE</v>
      </c>
      <c r="M280" s="26" t="str">
        <f t="shared" si="53"/>
        <v>FEDERAL</v>
      </c>
      <c r="N280" s="26">
        <v>744</v>
      </c>
      <c r="O280" s="26">
        <v>365</v>
      </c>
      <c r="P280" s="26">
        <v>379</v>
      </c>
      <c r="Q280" s="26">
        <v>15</v>
      </c>
      <c r="R280" s="26">
        <v>1</v>
      </c>
      <c r="S280" s="26">
        <v>27</v>
      </c>
      <c r="T280" s="26">
        <v>14</v>
      </c>
      <c r="U280" s="26">
        <v>42</v>
      </c>
      <c r="V280" s="26">
        <v>1</v>
      </c>
      <c r="W280" s="26"/>
    </row>
    <row r="281" spans="1:23" x14ac:dyDescent="0.25">
      <c r="A281" s="26" t="str">
        <f t="shared" si="51"/>
        <v>SECUNDARIA</v>
      </c>
      <c r="B281" s="26" t="str">
        <f>"09DES0280H"</f>
        <v>09DES0280H</v>
      </c>
      <c r="C281" s="26" t="str">
        <f>"MAX SHEIN                                                                                           "</f>
        <v xml:space="preserve">MAX SHEIN                                                                                           </v>
      </c>
      <c r="D281" s="26" t="str">
        <f>"JORNADA AMPLIADA"</f>
        <v>JORNADA AMPLIADA</v>
      </c>
      <c r="E281" s="26" t="str">
        <f>"ROSA ZARAGOZA Y R M SIQUEIROS                                                   "</f>
        <v xml:space="preserve">ROSA ZARAGOZA Y R M SIQUEIROS                                                   </v>
      </c>
      <c r="F281" s="26" t="str">
        <f>"UNIDAD HABITACIONAL C T M                                                                                                                   "</f>
        <v xml:space="preserve">UNIDAD HABITACIONAL C T M                                                                                                                   </v>
      </c>
      <c r="G281" s="26" t="str">
        <f>"COYOACAN                                                                        "</f>
        <v xml:space="preserve">COYOACAN                                                                        </v>
      </c>
      <c r="H281" s="26" t="str">
        <f>"021"</f>
        <v>021</v>
      </c>
      <c r="I281" s="26" t="str">
        <f t="shared" si="52"/>
        <v>00</v>
      </c>
      <c r="J281" s="26" t="str">
        <f>"54 "</f>
        <v xml:space="preserve">54 </v>
      </c>
      <c r="K281" s="26" t="str">
        <f t="shared" si="56"/>
        <v>SG</v>
      </c>
      <c r="L281" s="26" t="str">
        <f t="shared" si="57"/>
        <v>DGOSE</v>
      </c>
      <c r="M281" s="26" t="str">
        <f t="shared" si="53"/>
        <v>FEDERAL</v>
      </c>
      <c r="N281" s="26">
        <v>580</v>
      </c>
      <c r="O281" s="26">
        <v>303</v>
      </c>
      <c r="P281" s="26">
        <v>277</v>
      </c>
      <c r="Q281" s="26">
        <v>15</v>
      </c>
      <c r="R281" s="26">
        <v>2</v>
      </c>
      <c r="S281" s="26">
        <v>37</v>
      </c>
      <c r="T281" s="26">
        <v>28</v>
      </c>
      <c r="U281" s="26">
        <v>67</v>
      </c>
      <c r="V281" s="26">
        <v>1</v>
      </c>
      <c r="W281" s="26" t="s">
        <v>2076</v>
      </c>
    </row>
    <row r="282" spans="1:23" x14ac:dyDescent="0.25">
      <c r="A282" s="26" t="str">
        <f t="shared" si="51"/>
        <v>SECUNDARIA</v>
      </c>
      <c r="B282" s="26" t="str">
        <f>"09DES0281G"</f>
        <v>09DES0281G</v>
      </c>
      <c r="C282" s="26" t="str">
        <f>"TLACOTALPAN                                                                                         "</f>
        <v xml:space="preserve">TLACOTALPAN                                                                                         </v>
      </c>
      <c r="D282" s="26" t="str">
        <f>"MATUTINO"</f>
        <v>MATUTINO</v>
      </c>
      <c r="E282" s="26" t="str">
        <f>"PROL CONTOY S/N                                                                 "</f>
        <v xml:space="preserve">PROL CONTOY S/N                                                                 </v>
      </c>
      <c r="F282" s="26" t="str">
        <f>"CUCHILLA DE PADIERNA                                                                                                                        "</f>
        <v xml:space="preserve">CUCHILLA DE PADIERNA                                                                                                                        </v>
      </c>
      <c r="G282" s="26" t="str">
        <f>"TLALPAN                                                                         "</f>
        <v xml:space="preserve">TLALPAN                                                                         </v>
      </c>
      <c r="H282" s="26" t="str">
        <f>"071"</f>
        <v>071</v>
      </c>
      <c r="I282" s="26" t="str">
        <f t="shared" si="52"/>
        <v>00</v>
      </c>
      <c r="J282" s="26" t="str">
        <f>"55 "</f>
        <v xml:space="preserve">55 </v>
      </c>
      <c r="K282" s="26" t="str">
        <f t="shared" si="56"/>
        <v>SG</v>
      </c>
      <c r="L282" s="26" t="str">
        <f t="shared" si="57"/>
        <v>DGOSE</v>
      </c>
      <c r="M282" s="26" t="str">
        <f t="shared" si="53"/>
        <v>FEDERAL</v>
      </c>
      <c r="N282" s="26">
        <v>598</v>
      </c>
      <c r="O282" s="26">
        <v>289</v>
      </c>
      <c r="P282" s="26">
        <v>309</v>
      </c>
      <c r="Q282" s="26">
        <v>15</v>
      </c>
      <c r="R282" s="26">
        <v>2</v>
      </c>
      <c r="S282" s="26">
        <v>27</v>
      </c>
      <c r="T282" s="26">
        <v>24</v>
      </c>
      <c r="U282" s="26">
        <v>53</v>
      </c>
      <c r="V282" s="26">
        <v>1</v>
      </c>
      <c r="W282" s="26"/>
    </row>
    <row r="283" spans="1:23" x14ac:dyDescent="0.25">
      <c r="A283" s="26" t="str">
        <f t="shared" si="51"/>
        <v>SECUNDARIA</v>
      </c>
      <c r="B283" s="26" t="str">
        <f>"09DES0282F"</f>
        <v>09DES0282F</v>
      </c>
      <c r="C283" s="26" t="str">
        <f>"GILBERTO BORJA NAVARRETE                                                                            "</f>
        <v xml:space="preserve">GILBERTO BORJA NAVARRETE                                                                            </v>
      </c>
      <c r="D283" s="26" t="str">
        <f>"JORNADA AMPLIADA"</f>
        <v>JORNADA AMPLIADA</v>
      </c>
      <c r="E283" s="26" t="str">
        <f>"AVENIDA 318 Y 329 S/N                                                           "</f>
        <v xml:space="preserve">AVENIDA 318 Y 329 S/N                                                           </v>
      </c>
      <c r="F283" s="26" t="str">
        <f>"NUEVA ATZACOALCO                                                                                                                            "</f>
        <v xml:space="preserve">NUEVA ATZACOALCO                                                                                                                            </v>
      </c>
      <c r="G283" s="26" t="str">
        <f>"GUSTAVO A. MADERO                                                               "</f>
        <v xml:space="preserve">GUSTAVO A. MADERO                                                               </v>
      </c>
      <c r="H283" s="26" t="str">
        <f>"040"</f>
        <v>040</v>
      </c>
      <c r="I283" s="26" t="str">
        <f t="shared" si="52"/>
        <v>00</v>
      </c>
      <c r="J283" s="26" t="str">
        <f>"52 "</f>
        <v xml:space="preserve">52 </v>
      </c>
      <c r="K283" s="26" t="str">
        <f t="shared" si="56"/>
        <v>SG</v>
      </c>
      <c r="L283" s="26" t="str">
        <f t="shared" si="57"/>
        <v>DGOSE</v>
      </c>
      <c r="M283" s="26" t="str">
        <f t="shared" si="53"/>
        <v>FEDERAL</v>
      </c>
      <c r="N283" s="26">
        <v>316</v>
      </c>
      <c r="O283" s="26">
        <v>170</v>
      </c>
      <c r="P283" s="26">
        <v>146</v>
      </c>
      <c r="Q283" s="26">
        <v>11</v>
      </c>
      <c r="R283" s="26">
        <v>2</v>
      </c>
      <c r="S283" s="26">
        <v>30</v>
      </c>
      <c r="T283" s="26">
        <v>18</v>
      </c>
      <c r="U283" s="26">
        <v>50</v>
      </c>
      <c r="V283" s="26">
        <v>1</v>
      </c>
      <c r="W283" s="26" t="s">
        <v>2076</v>
      </c>
    </row>
    <row r="284" spans="1:23" x14ac:dyDescent="0.25">
      <c r="A284" s="26" t="str">
        <f t="shared" si="51"/>
        <v>SECUNDARIA</v>
      </c>
      <c r="B284" s="26" t="str">
        <f>"09DES0283E"</f>
        <v>09DES0283E</v>
      </c>
      <c r="C284" s="26" t="str">
        <f>"LEYES DE REFORMA                                                                                    "</f>
        <v xml:space="preserve">LEYES DE REFORMA                                                                                    </v>
      </c>
      <c r="D284" s="26" t="str">
        <f t="shared" ref="D284:D292" si="58">"MATUTINO"</f>
        <v>MATUTINO</v>
      </c>
      <c r="E284" s="26" t="str">
        <f>"NORTE NO 70 Y HENRY FORD                                                        "</f>
        <v xml:space="preserve">NORTE NO 70 Y HENRY FORD                                                        </v>
      </c>
      <c r="F284" s="26" t="str">
        <f>"BONDOJITO                                                                                                                                   "</f>
        <v xml:space="preserve">BONDOJITO                                                                                                                                   </v>
      </c>
      <c r="G284" s="26" t="str">
        <f>"GUSTAVO A. MADERO                                                               "</f>
        <v xml:space="preserve">GUSTAVO A. MADERO                                                               </v>
      </c>
      <c r="H284" s="26" t="str">
        <f>"034"</f>
        <v>034</v>
      </c>
      <c r="I284" s="26" t="str">
        <f t="shared" si="52"/>
        <v>00</v>
      </c>
      <c r="J284" s="26" t="str">
        <f>"52 "</f>
        <v xml:space="preserve">52 </v>
      </c>
      <c r="K284" s="26" t="str">
        <f t="shared" si="56"/>
        <v>SG</v>
      </c>
      <c r="L284" s="26" t="str">
        <f t="shared" si="57"/>
        <v>DGOSE</v>
      </c>
      <c r="M284" s="26" t="str">
        <f t="shared" si="53"/>
        <v>FEDERAL</v>
      </c>
      <c r="N284" s="26">
        <v>528</v>
      </c>
      <c r="O284" s="26">
        <v>268</v>
      </c>
      <c r="P284" s="26">
        <v>260</v>
      </c>
      <c r="Q284" s="26">
        <v>15</v>
      </c>
      <c r="R284" s="26">
        <v>2</v>
      </c>
      <c r="S284" s="26">
        <v>43</v>
      </c>
      <c r="T284" s="26">
        <v>20</v>
      </c>
      <c r="U284" s="26">
        <v>65</v>
      </c>
      <c r="V284" s="26">
        <v>1</v>
      </c>
      <c r="W284" s="26"/>
    </row>
    <row r="285" spans="1:23" x14ac:dyDescent="0.25">
      <c r="A285" s="26" t="str">
        <f t="shared" si="51"/>
        <v>SECUNDARIA</v>
      </c>
      <c r="B285" s="26" t="str">
        <f>"09DES0284D"</f>
        <v>09DES0284D</v>
      </c>
      <c r="C285" s="26" t="str">
        <f>""" GUSTAVO CABRERA ACEVEDO ""                                                                         "</f>
        <v xml:space="preserve">" GUSTAVO CABRERA ACEVEDO "                                                                         </v>
      </c>
      <c r="D285" s="26" t="str">
        <f t="shared" si="58"/>
        <v>MATUTINO</v>
      </c>
      <c r="E285" s="26" t="str">
        <f>"CAMINO REAL AL AJUSCO  NO 24                                                    "</f>
        <v xml:space="preserve">CAMINO REAL AL AJUSCO  NO 24                                                    </v>
      </c>
      <c r="F285" s="26" t="str">
        <f>"SAN ANDRES TOTOLTEPEC                                                                                                                       "</f>
        <v xml:space="preserve">SAN ANDRES TOTOLTEPEC                                                                                                                       </v>
      </c>
      <c r="G285" s="26" t="str">
        <f>"TLALPAN                                                                         "</f>
        <v xml:space="preserve">TLALPAN                                                                         </v>
      </c>
      <c r="H285" s="26" t="str">
        <f>"072"</f>
        <v>072</v>
      </c>
      <c r="I285" s="26" t="str">
        <f t="shared" si="52"/>
        <v>00</v>
      </c>
      <c r="J285" s="26" t="str">
        <f>"55 "</f>
        <v xml:space="preserve">55 </v>
      </c>
      <c r="K285" s="26" t="str">
        <f t="shared" si="56"/>
        <v>SG</v>
      </c>
      <c r="L285" s="26" t="str">
        <f t="shared" si="57"/>
        <v>DGOSE</v>
      </c>
      <c r="M285" s="26" t="str">
        <f t="shared" si="53"/>
        <v>FEDERAL</v>
      </c>
      <c r="N285" s="26">
        <v>736</v>
      </c>
      <c r="O285" s="26">
        <v>351</v>
      </c>
      <c r="P285" s="26">
        <v>385</v>
      </c>
      <c r="Q285" s="26">
        <v>18</v>
      </c>
      <c r="R285" s="26">
        <v>2</v>
      </c>
      <c r="S285" s="26">
        <v>33</v>
      </c>
      <c r="T285" s="26">
        <v>20</v>
      </c>
      <c r="U285" s="26">
        <v>55</v>
      </c>
      <c r="V285" s="26">
        <v>1</v>
      </c>
      <c r="W285" s="26"/>
    </row>
    <row r="286" spans="1:23" x14ac:dyDescent="0.25">
      <c r="A286" s="26" t="str">
        <f t="shared" si="51"/>
        <v>SECUNDARIA</v>
      </c>
      <c r="B286" s="26" t="str">
        <f>"09DES0285C"</f>
        <v>09DES0285C</v>
      </c>
      <c r="C286" s="26" t="str">
        <f>"""XIPE TOTEC""                                                                                        "</f>
        <v xml:space="preserve">"XIPE TOTEC"                                                                                        </v>
      </c>
      <c r="D286" s="26" t="str">
        <f t="shared" si="58"/>
        <v>MATUTINO</v>
      </c>
      <c r="E286" s="26" t="str">
        <f>"PROL CENTRAL Y NORTE 94-A Y ORIENTE 173                                         "</f>
        <v xml:space="preserve">PROL CENTRAL Y NORTE 94-A Y ORIENTE 173                                         </v>
      </c>
      <c r="F286" s="26" t="str">
        <f>"UNIDAD HABITACIONAL LA ESMERALDA                                                                                                            "</f>
        <v xml:space="preserve">UNIDAD HABITACIONAL LA ESMERALDA                                                                                                            </v>
      </c>
      <c r="G286" s="26" t="str">
        <f>"GUSTAVO A. MADERO                                                               "</f>
        <v xml:space="preserve">GUSTAVO A. MADERO                                                               </v>
      </c>
      <c r="H286" s="26" t="str">
        <f>"039"</f>
        <v>039</v>
      </c>
      <c r="I286" s="26" t="str">
        <f t="shared" si="52"/>
        <v>00</v>
      </c>
      <c r="J286" s="26" t="str">
        <f>"52 "</f>
        <v xml:space="preserve">52 </v>
      </c>
      <c r="K286" s="26" t="str">
        <f t="shared" si="56"/>
        <v>SG</v>
      </c>
      <c r="L286" s="26" t="str">
        <f t="shared" si="57"/>
        <v>DGOSE</v>
      </c>
      <c r="M286" s="26" t="str">
        <f t="shared" si="53"/>
        <v>FEDERAL</v>
      </c>
      <c r="N286" s="26">
        <v>439</v>
      </c>
      <c r="O286" s="26">
        <v>228</v>
      </c>
      <c r="P286" s="26">
        <v>211</v>
      </c>
      <c r="Q286" s="26">
        <v>15</v>
      </c>
      <c r="R286" s="26">
        <v>2</v>
      </c>
      <c r="S286" s="26">
        <v>33</v>
      </c>
      <c r="T286" s="26">
        <v>22</v>
      </c>
      <c r="U286" s="26">
        <v>57</v>
      </c>
      <c r="V286" s="26">
        <v>1</v>
      </c>
      <c r="W286" s="26"/>
    </row>
    <row r="287" spans="1:23" x14ac:dyDescent="0.25">
      <c r="A287" s="26" t="str">
        <f t="shared" si="51"/>
        <v>SECUNDARIA</v>
      </c>
      <c r="B287" s="26" t="str">
        <f>"09DES0286B"</f>
        <v>09DES0286B</v>
      </c>
      <c r="C287" s="26" t="str">
        <f>"MAESTRO LAURO AGUIRRE                                                                               "</f>
        <v xml:space="preserve">MAESTRO LAURO AGUIRRE                                                                               </v>
      </c>
      <c r="D287" s="26" t="str">
        <f t="shared" si="58"/>
        <v>MATUTINO</v>
      </c>
      <c r="E287" s="26" t="str">
        <f>"GRAL. PABLO GARCIA NO. 140                                                      "</f>
        <v xml:space="preserve">GRAL. PABLO GARCIA NO. 140                                                      </v>
      </c>
      <c r="F287" s="26" t="str">
        <f>"JUAN ESCUTIA                                                                                                                                "</f>
        <v xml:space="preserve">JUAN ESCUTIA                                                                                                                                </v>
      </c>
      <c r="G287" s="26" t="str">
        <f>"IZTAPALAPA                                                                      "</f>
        <v xml:space="preserve">IZTAPALAPA                                                                      </v>
      </c>
      <c r="H287" s="26" t="str">
        <f>"005"</f>
        <v>005</v>
      </c>
      <c r="I287" s="26" t="str">
        <f t="shared" si="52"/>
        <v>00</v>
      </c>
      <c r="J287" s="26" t="str">
        <f>"62 "</f>
        <v xml:space="preserve">62 </v>
      </c>
      <c r="K287" s="26" t="str">
        <f>"IZ"</f>
        <v>IZ</v>
      </c>
      <c r="L287" s="26" t="str">
        <f>"DGSEI"</f>
        <v>DGSEI</v>
      </c>
      <c r="M287" s="26" t="str">
        <f t="shared" si="53"/>
        <v>FEDERAL</v>
      </c>
      <c r="N287" s="26">
        <v>574</v>
      </c>
      <c r="O287" s="26">
        <v>295</v>
      </c>
      <c r="P287" s="26">
        <v>279</v>
      </c>
      <c r="Q287" s="26">
        <v>15</v>
      </c>
      <c r="R287" s="26">
        <v>2</v>
      </c>
      <c r="S287" s="26">
        <v>43</v>
      </c>
      <c r="T287" s="26">
        <v>26</v>
      </c>
      <c r="U287" s="26">
        <v>71</v>
      </c>
      <c r="V287" s="26">
        <v>1</v>
      </c>
      <c r="W287" s="26"/>
    </row>
    <row r="288" spans="1:23" x14ac:dyDescent="0.25">
      <c r="A288" s="26" t="str">
        <f t="shared" si="51"/>
        <v>SECUNDARIA</v>
      </c>
      <c r="B288" s="26" t="str">
        <f>"09DES0287A"</f>
        <v>09DES0287A</v>
      </c>
      <c r="C288" s="26" t="str">
        <f>"JULIO VERNE                                                                                         "</f>
        <v xml:space="preserve">JULIO VERNE                                                                                         </v>
      </c>
      <c r="D288" s="26" t="str">
        <f t="shared" si="58"/>
        <v>MATUTINO</v>
      </c>
      <c r="E288" s="26" t="str">
        <f>"PLATON SANCHEZ Y  CLAVEL                                                        "</f>
        <v xml:space="preserve">PLATON SANCHEZ Y  CLAVEL                                                        </v>
      </c>
      <c r="F288" s="26" t="str">
        <f>"LAS PEÑAS                                                                                                                                   "</f>
        <v xml:space="preserve">LAS PEÑAS                                                                                                                                   </v>
      </c>
      <c r="G288" s="26" t="str">
        <f>"IZTAPALAPA                                                                      "</f>
        <v xml:space="preserve">IZTAPALAPA                                                                      </v>
      </c>
      <c r="H288" s="26" t="str">
        <f>"013"</f>
        <v>013</v>
      </c>
      <c r="I288" s="26" t="str">
        <f t="shared" si="52"/>
        <v>00</v>
      </c>
      <c r="J288" s="26" t="str">
        <f>"64 "</f>
        <v xml:space="preserve">64 </v>
      </c>
      <c r="K288" s="26" t="str">
        <f>"IZ"</f>
        <v>IZ</v>
      </c>
      <c r="L288" s="26" t="str">
        <f>"DGSEI"</f>
        <v>DGSEI</v>
      </c>
      <c r="M288" s="26" t="str">
        <f t="shared" si="53"/>
        <v>FEDERAL</v>
      </c>
      <c r="N288" s="26">
        <v>655</v>
      </c>
      <c r="O288" s="26">
        <v>330</v>
      </c>
      <c r="P288" s="26">
        <v>325</v>
      </c>
      <c r="Q288" s="26">
        <v>15</v>
      </c>
      <c r="R288" s="26">
        <v>2</v>
      </c>
      <c r="S288" s="26">
        <v>36</v>
      </c>
      <c r="T288" s="26">
        <v>26</v>
      </c>
      <c r="U288" s="26">
        <v>64</v>
      </c>
      <c r="V288" s="26">
        <v>1</v>
      </c>
      <c r="W288" s="26"/>
    </row>
    <row r="289" spans="1:23" x14ac:dyDescent="0.25">
      <c r="A289" s="26" t="str">
        <f t="shared" si="51"/>
        <v>SECUNDARIA</v>
      </c>
      <c r="B289" s="26" t="str">
        <f>"09DES0288Z"</f>
        <v>09DES0288Z</v>
      </c>
      <c r="C289" s="26" t="str">
        <f>"JOSE AZUETA                                                                                         "</f>
        <v xml:space="preserve">JOSE AZUETA                                                                                         </v>
      </c>
      <c r="D289" s="26" t="str">
        <f t="shared" si="58"/>
        <v>MATUTINO</v>
      </c>
      <c r="E289" s="26" t="str">
        <f>"2DA Y 3RA CDA DE HUAYAMILPA                                                     "</f>
        <v xml:space="preserve">2DA Y 3RA CDA DE HUAYAMILPA                                                     </v>
      </c>
      <c r="F289" s="26" t="str">
        <f>"NUEVA DIAZ ORDAZ                                                                                                                            "</f>
        <v xml:space="preserve">NUEVA DIAZ ORDAZ                                                                                                                            </v>
      </c>
      <c r="G289" s="26" t="str">
        <f>"COYOACAN                                                                        "</f>
        <v xml:space="preserve">COYOACAN                                                                        </v>
      </c>
      <c r="H289" s="26" t="str">
        <f>"022"</f>
        <v>022</v>
      </c>
      <c r="I289" s="26" t="str">
        <f t="shared" si="52"/>
        <v>00</v>
      </c>
      <c r="J289" s="26" t="str">
        <f>"54 "</f>
        <v xml:space="preserve">54 </v>
      </c>
      <c r="K289" s="26" t="str">
        <f>"SG"</f>
        <v>SG</v>
      </c>
      <c r="L289" s="26" t="str">
        <f>"DGOSE"</f>
        <v>DGOSE</v>
      </c>
      <c r="M289" s="26" t="str">
        <f t="shared" si="53"/>
        <v>FEDERAL</v>
      </c>
      <c r="N289" s="26">
        <v>468</v>
      </c>
      <c r="O289" s="26">
        <v>233</v>
      </c>
      <c r="P289" s="26">
        <v>235</v>
      </c>
      <c r="Q289" s="26">
        <v>15</v>
      </c>
      <c r="R289" s="26">
        <v>2</v>
      </c>
      <c r="S289" s="26">
        <v>29</v>
      </c>
      <c r="T289" s="26">
        <v>23</v>
      </c>
      <c r="U289" s="26">
        <v>54</v>
      </c>
      <c r="V289" s="26">
        <v>1</v>
      </c>
      <c r="W289" s="26"/>
    </row>
    <row r="290" spans="1:23" x14ac:dyDescent="0.25">
      <c r="A290" s="26" t="str">
        <f t="shared" si="51"/>
        <v>SECUNDARIA</v>
      </c>
      <c r="B290" s="26" t="str">
        <f>"09DES0289Z"</f>
        <v>09DES0289Z</v>
      </c>
      <c r="C290" s="26" t="str">
        <f>"ANTONIO CARRILLO FLORES                                                                             "</f>
        <v xml:space="preserve">ANTONIO CARRILLO FLORES                                                                             </v>
      </c>
      <c r="D290" s="26" t="str">
        <f t="shared" si="58"/>
        <v>MATUTINO</v>
      </c>
      <c r="E290" s="26" t="str">
        <f>"CARR TECNOLOGICO CHIMALPA                                                       "</f>
        <v xml:space="preserve">CARR TECNOLOGICO CHIMALPA                                                       </v>
      </c>
      <c r="F290" s="26" t="str">
        <f>"CHIMALPA                                                                                                                                    "</f>
        <v xml:space="preserve">CHIMALPA                                                                                                                                    </v>
      </c>
      <c r="G290" s="26" t="str">
        <f>"CUAJIMALPA DE MORELOS                                                           "</f>
        <v xml:space="preserve">CUAJIMALPA DE MORELOS                                                           </v>
      </c>
      <c r="H290" s="26" t="str">
        <f>"024"</f>
        <v>024</v>
      </c>
      <c r="I290" s="26" t="str">
        <f t="shared" si="52"/>
        <v>00</v>
      </c>
      <c r="J290" s="26" t="str">
        <f>"53 "</f>
        <v xml:space="preserve">53 </v>
      </c>
      <c r="K290" s="26" t="str">
        <f>"SG"</f>
        <v>SG</v>
      </c>
      <c r="L290" s="26" t="str">
        <f>"DGOSE"</f>
        <v>DGOSE</v>
      </c>
      <c r="M290" s="26" t="str">
        <f t="shared" si="53"/>
        <v>FEDERAL</v>
      </c>
      <c r="N290" s="26">
        <v>547</v>
      </c>
      <c r="O290" s="26">
        <v>283</v>
      </c>
      <c r="P290" s="26">
        <v>264</v>
      </c>
      <c r="Q290" s="26">
        <v>12</v>
      </c>
      <c r="R290" s="26">
        <v>2</v>
      </c>
      <c r="S290" s="26">
        <v>24</v>
      </c>
      <c r="T290" s="26">
        <v>16</v>
      </c>
      <c r="U290" s="26">
        <v>42</v>
      </c>
      <c r="V290" s="26">
        <v>1</v>
      </c>
      <c r="W290" s="26"/>
    </row>
    <row r="291" spans="1:23" x14ac:dyDescent="0.25">
      <c r="A291" s="26" t="str">
        <f t="shared" si="51"/>
        <v>SECUNDARIA</v>
      </c>
      <c r="B291" s="26" t="str">
        <f>"09DES0290O"</f>
        <v>09DES0290O</v>
      </c>
      <c r="C291" s="26" t="str">
        <f>"OCELOTL                                                                                             "</f>
        <v xml:space="preserve">OCELOTL                                                                                             </v>
      </c>
      <c r="D291" s="26" t="str">
        <f t="shared" si="58"/>
        <v>MATUTINO</v>
      </c>
      <c r="E291" s="26" t="str">
        <f>"PROL 2 DE ABRIL                                                                 "</f>
        <v xml:space="preserve">PROL 2 DE ABRIL                                                                 </v>
      </c>
      <c r="F291" s="26" t="str">
        <f>"SANTA CRUZ ACALPIXCA                                                                                                                        "</f>
        <v xml:space="preserve">SANTA CRUZ ACALPIXCA                                                                                                                        </v>
      </c>
      <c r="G291" s="26" t="str">
        <f>"XOCHIMILCO                                                                      "</f>
        <v xml:space="preserve">XOCHIMILCO                                                                      </v>
      </c>
      <c r="H291" s="26" t="str">
        <f>"081"</f>
        <v>081</v>
      </c>
      <c r="I291" s="26" t="str">
        <f t="shared" si="52"/>
        <v>00</v>
      </c>
      <c r="J291" s="26" t="str">
        <f>"55 "</f>
        <v xml:space="preserve">55 </v>
      </c>
      <c r="K291" s="26" t="str">
        <f>"SG"</f>
        <v>SG</v>
      </c>
      <c r="L291" s="26" t="str">
        <f>"DGOSE"</f>
        <v>DGOSE</v>
      </c>
      <c r="M291" s="26" t="str">
        <f t="shared" si="53"/>
        <v>FEDERAL</v>
      </c>
      <c r="N291" s="26">
        <v>614</v>
      </c>
      <c r="O291" s="26">
        <v>328</v>
      </c>
      <c r="P291" s="26">
        <v>286</v>
      </c>
      <c r="Q291" s="26">
        <v>15</v>
      </c>
      <c r="R291" s="26">
        <v>2</v>
      </c>
      <c r="S291" s="26">
        <v>34</v>
      </c>
      <c r="T291" s="26">
        <v>22</v>
      </c>
      <c r="U291" s="26">
        <v>58</v>
      </c>
      <c r="V291" s="26">
        <v>1</v>
      </c>
      <c r="W291" s="26"/>
    </row>
    <row r="292" spans="1:23" x14ac:dyDescent="0.25">
      <c r="A292" s="26" t="str">
        <f t="shared" si="51"/>
        <v>SECUNDARIA</v>
      </c>
      <c r="B292" s="26" t="str">
        <f>"09DES0291N"</f>
        <v>09DES0291N</v>
      </c>
      <c r="C292" s="26" t="str">
        <f>"ING. JAVIER BARROS SIERRA                                                                           "</f>
        <v xml:space="preserve">ING. JAVIER BARROS SIERRA                                                                           </v>
      </c>
      <c r="D292" s="26" t="str">
        <f t="shared" si="58"/>
        <v>MATUTINO</v>
      </c>
      <c r="E292" s="26" t="str">
        <f>"AV. CARLOS HANK GONZALEZ S/N                                                    "</f>
        <v xml:space="preserve">AV. CARLOS HANK GONZALEZ S/N                                                    </v>
      </c>
      <c r="F292" s="26" t="str">
        <f>"LOMAS DE LA ESTANCIA                                                                                                                        "</f>
        <v xml:space="preserve">LOMAS DE LA ESTANCIA                                                                                                                        </v>
      </c>
      <c r="G292" s="26" t="str">
        <f>"IZTAPALAPA                                                                      "</f>
        <v xml:space="preserve">IZTAPALAPA                                                                      </v>
      </c>
      <c r="H292" s="26" t="str">
        <f>"015"</f>
        <v>015</v>
      </c>
      <c r="I292" s="26" t="str">
        <f t="shared" si="52"/>
        <v>00</v>
      </c>
      <c r="J292" s="26" t="str">
        <f>"64 "</f>
        <v xml:space="preserve">64 </v>
      </c>
      <c r="K292" s="26" t="str">
        <f>"IZ"</f>
        <v>IZ</v>
      </c>
      <c r="L292" s="26" t="str">
        <f>"DGSEI"</f>
        <v>DGSEI</v>
      </c>
      <c r="M292" s="26" t="str">
        <f t="shared" si="53"/>
        <v>FEDERAL</v>
      </c>
      <c r="N292" s="26">
        <v>765</v>
      </c>
      <c r="O292" s="26">
        <v>377</v>
      </c>
      <c r="P292" s="26">
        <v>388</v>
      </c>
      <c r="Q292" s="26">
        <v>17</v>
      </c>
      <c r="R292" s="26">
        <v>2</v>
      </c>
      <c r="S292" s="26">
        <v>38</v>
      </c>
      <c r="T292" s="26">
        <v>18</v>
      </c>
      <c r="U292" s="26">
        <v>58</v>
      </c>
      <c r="V292" s="26">
        <v>1</v>
      </c>
      <c r="W292" s="26"/>
    </row>
    <row r="293" spans="1:23" x14ac:dyDescent="0.25">
      <c r="A293" s="26" t="str">
        <f t="shared" si="51"/>
        <v>SECUNDARIA</v>
      </c>
      <c r="B293" s="26" t="str">
        <f>"09DES0292M"</f>
        <v>09DES0292M</v>
      </c>
      <c r="C293" s="26" t="str">
        <f>"HERIBERTO JARA CORONA                                                                               "</f>
        <v xml:space="preserve">HERIBERTO JARA CORONA                                                                               </v>
      </c>
      <c r="D293" s="26" t="str">
        <f>"JORNADA AMPLIADA"</f>
        <v>JORNADA AMPLIADA</v>
      </c>
      <c r="E293" s="26" t="str">
        <f>"PLAZA MAYOR Y PLAZA VOLADOR                                                     "</f>
        <v xml:space="preserve">PLAZA MAYOR Y PLAZA VOLADOR                                                     </v>
      </c>
      <c r="F293" s="26" t="str">
        <f>"DOCTOR ALFONSO ORTIZ TIRADO                                                                                                                 "</f>
        <v xml:space="preserve">DOCTOR ALFONSO ORTIZ TIRADO                                                                                                                 </v>
      </c>
      <c r="G293" s="26" t="str">
        <f>"IZTAPALAPA                                                                      "</f>
        <v xml:space="preserve">IZTAPALAPA                                                                      </v>
      </c>
      <c r="H293" s="26" t="str">
        <f>"001"</f>
        <v>001</v>
      </c>
      <c r="I293" s="26" t="str">
        <f t="shared" si="52"/>
        <v>00</v>
      </c>
      <c r="J293" s="26" t="str">
        <f>"61 "</f>
        <v xml:space="preserve">61 </v>
      </c>
      <c r="K293" s="26" t="str">
        <f>"IZ"</f>
        <v>IZ</v>
      </c>
      <c r="L293" s="26" t="str">
        <f>"DGSEI"</f>
        <v>DGSEI</v>
      </c>
      <c r="M293" s="26" t="str">
        <f t="shared" si="53"/>
        <v>FEDERAL</v>
      </c>
      <c r="N293" s="26">
        <v>636</v>
      </c>
      <c r="O293" s="26">
        <v>294</v>
      </c>
      <c r="P293" s="26">
        <v>342</v>
      </c>
      <c r="Q293" s="26">
        <v>15</v>
      </c>
      <c r="R293" s="26">
        <v>2</v>
      </c>
      <c r="S293" s="26">
        <v>43</v>
      </c>
      <c r="T293" s="26">
        <v>26</v>
      </c>
      <c r="U293" s="26">
        <v>71</v>
      </c>
      <c r="V293" s="26">
        <v>1</v>
      </c>
      <c r="W293" s="26" t="s">
        <v>2076</v>
      </c>
    </row>
    <row r="294" spans="1:23" x14ac:dyDescent="0.25">
      <c r="A294" s="26" t="str">
        <f t="shared" si="51"/>
        <v>SECUNDARIA</v>
      </c>
      <c r="B294" s="26" t="str">
        <f>"09DES0293L"</f>
        <v>09DES0293L</v>
      </c>
      <c r="C294" s="26" t="str">
        <f>"ENRIQUE BELTRAN                                                                                     "</f>
        <v xml:space="preserve">ENRIQUE BELTRAN                                                                                     </v>
      </c>
      <c r="D294" s="26" t="str">
        <f>"JORNADA AMPLIADA"</f>
        <v>JORNADA AMPLIADA</v>
      </c>
      <c r="E294" s="26" t="str">
        <f>"SITIO CUAUTLA Y CERRO DEL VELADERO                                              "</f>
        <v xml:space="preserve">SITIO CUAUTLA Y CERRO DEL VELADERO                                              </v>
      </c>
      <c r="F294" s="26" t="str">
        <f>"CONJUNTO URBANO POPULAR ERMITA ZARA                                                                                                         "</f>
        <v xml:space="preserve">CONJUNTO URBANO POPULAR ERMITA ZARA                                                                                                         </v>
      </c>
      <c r="G294" s="26" t="str">
        <f>"IZTAPALAPA                                                                      "</f>
        <v xml:space="preserve">IZTAPALAPA                                                                      </v>
      </c>
      <c r="H294" s="26" t="str">
        <f>"004"</f>
        <v>004</v>
      </c>
      <c r="I294" s="26" t="str">
        <f t="shared" si="52"/>
        <v>00</v>
      </c>
      <c r="J294" s="26" t="str">
        <f>"61 "</f>
        <v xml:space="preserve">61 </v>
      </c>
      <c r="K294" s="26" t="str">
        <f>"IZ"</f>
        <v>IZ</v>
      </c>
      <c r="L294" s="26" t="str">
        <f>"DGSEI"</f>
        <v>DGSEI</v>
      </c>
      <c r="M294" s="26" t="str">
        <f t="shared" si="53"/>
        <v>FEDERAL</v>
      </c>
      <c r="N294" s="26">
        <v>236</v>
      </c>
      <c r="O294" s="26">
        <v>136</v>
      </c>
      <c r="P294" s="26">
        <v>100</v>
      </c>
      <c r="Q294" s="26">
        <v>10</v>
      </c>
      <c r="R294" s="26">
        <v>0</v>
      </c>
      <c r="S294" s="26">
        <v>29</v>
      </c>
      <c r="T294" s="26">
        <v>23</v>
      </c>
      <c r="U294" s="26">
        <v>52</v>
      </c>
      <c r="V294" s="26">
        <v>1</v>
      </c>
      <c r="W294" s="26" t="s">
        <v>2076</v>
      </c>
    </row>
    <row r="295" spans="1:23" x14ac:dyDescent="0.25">
      <c r="A295" s="26" t="str">
        <f t="shared" si="51"/>
        <v>SECUNDARIA</v>
      </c>
      <c r="B295" s="26" t="str">
        <f>"09DES0294K"</f>
        <v>09DES0294K</v>
      </c>
      <c r="C295" s="26" t="str">
        <f>"JOSE PAGES LLERGO                                                                                   "</f>
        <v xml:space="preserve">JOSE PAGES LLERGO                                                                                   </v>
      </c>
      <c r="D295" s="26" t="str">
        <f>"MATUTINO"</f>
        <v>MATUTINO</v>
      </c>
      <c r="E295" s="26" t="str">
        <f>"CALZ DE LA NARANJA NO 745                                                       "</f>
        <v xml:space="preserve">CALZ DE LA NARANJA NO 745                                                       </v>
      </c>
      <c r="F295" s="26" t="str">
        <f>"SANTIAGO AHUIZOTLA                                                                                                                          "</f>
        <v xml:space="preserve">SANTIAGO AHUIZOTLA                                                                                                                          </v>
      </c>
      <c r="G295" s="26" t="str">
        <f>"AZCAPOTZALCO                                                                    "</f>
        <v xml:space="preserve">AZCAPOTZALCO                                                                    </v>
      </c>
      <c r="H295" s="26" t="str">
        <f>"007"</f>
        <v>007</v>
      </c>
      <c r="I295" s="26" t="str">
        <f t="shared" si="52"/>
        <v>00</v>
      </c>
      <c r="J295" s="26" t="str">
        <f>"51 "</f>
        <v xml:space="preserve">51 </v>
      </c>
      <c r="K295" s="26" t="str">
        <f>"SG"</f>
        <v>SG</v>
      </c>
      <c r="L295" s="26" t="str">
        <f>"DGOSE"</f>
        <v>DGOSE</v>
      </c>
      <c r="M295" s="26" t="str">
        <f t="shared" si="53"/>
        <v>FEDERAL</v>
      </c>
      <c r="N295" s="26">
        <v>243</v>
      </c>
      <c r="O295" s="26">
        <v>135</v>
      </c>
      <c r="P295" s="26">
        <v>108</v>
      </c>
      <c r="Q295" s="26">
        <v>9</v>
      </c>
      <c r="R295" s="26">
        <v>2</v>
      </c>
      <c r="S295" s="26">
        <v>23</v>
      </c>
      <c r="T295" s="26">
        <v>17</v>
      </c>
      <c r="U295" s="26">
        <v>42</v>
      </c>
      <c r="V295" s="26">
        <v>1</v>
      </c>
      <c r="W295" s="26"/>
    </row>
    <row r="296" spans="1:23" x14ac:dyDescent="0.25">
      <c r="A296" s="26" t="str">
        <f t="shared" si="51"/>
        <v>SECUNDARIA</v>
      </c>
      <c r="B296" s="26" t="str">
        <f>"09DES0295J"</f>
        <v>09DES0295J</v>
      </c>
      <c r="C296" s="26" t="str">
        <f>"GUILLERMO PRIETO PRADILLO                                                                           "</f>
        <v xml:space="preserve">GUILLERMO PRIETO PRADILLO                                                                           </v>
      </c>
      <c r="D296" s="26" t="str">
        <f>"MATUTINO"</f>
        <v>MATUTINO</v>
      </c>
      <c r="E296" s="26" t="str">
        <f>"LADERA GRANDE CARR A STA CECILIA                                                "</f>
        <v xml:space="preserve">LADERA GRANDE CARR A STA CECILIA                                                </v>
      </c>
      <c r="F296" s="26" t="str">
        <f>"SANTA CECILIA TEPETLAPA                                                                                                                     "</f>
        <v xml:space="preserve">SANTA CECILIA TEPETLAPA                                                                                                                     </v>
      </c>
      <c r="G296" s="26" t="str">
        <f>"XOCHIMILCO                                                                      "</f>
        <v xml:space="preserve">XOCHIMILCO                                                                      </v>
      </c>
      <c r="H296" s="26" t="str">
        <f>"079"</f>
        <v>079</v>
      </c>
      <c r="I296" s="26" t="str">
        <f t="shared" si="52"/>
        <v>00</v>
      </c>
      <c r="J296" s="26" t="str">
        <f>"55 "</f>
        <v xml:space="preserve">55 </v>
      </c>
      <c r="K296" s="26" t="str">
        <f>"SG"</f>
        <v>SG</v>
      </c>
      <c r="L296" s="26" t="str">
        <f>"DGOSE"</f>
        <v>DGOSE</v>
      </c>
      <c r="M296" s="26" t="str">
        <f t="shared" si="53"/>
        <v>FEDERAL</v>
      </c>
      <c r="N296" s="26">
        <v>686</v>
      </c>
      <c r="O296" s="26">
        <v>328</v>
      </c>
      <c r="P296" s="26">
        <v>358</v>
      </c>
      <c r="Q296" s="26">
        <v>15</v>
      </c>
      <c r="R296" s="26">
        <v>3</v>
      </c>
      <c r="S296" s="26">
        <v>30</v>
      </c>
      <c r="T296" s="26">
        <v>20</v>
      </c>
      <c r="U296" s="26">
        <v>53</v>
      </c>
      <c r="V296" s="26">
        <v>1</v>
      </c>
      <c r="W296" s="26"/>
    </row>
    <row r="297" spans="1:23" x14ac:dyDescent="0.25">
      <c r="A297" s="26" t="str">
        <f t="shared" si="51"/>
        <v>SECUNDARIA</v>
      </c>
      <c r="B297" s="26" t="str">
        <f>"09DES0296I"</f>
        <v>09DES0296I</v>
      </c>
      <c r="C297" s="26" t="str">
        <f>"JUSTO SIERRA                                                                                        "</f>
        <v xml:space="preserve">JUSTO SIERRA                                                                                        </v>
      </c>
      <c r="D297" s="26" t="str">
        <f>"MATUTINO"</f>
        <v>MATUTINO</v>
      </c>
      <c r="E297" s="26" t="str">
        <f>"HERIBERTO JARA Y CIRILO ARENAS                                                  "</f>
        <v xml:space="preserve">HERIBERTO JARA Y CIRILO ARENAS                                                  </v>
      </c>
      <c r="F297" s="26" t="str">
        <f>"SANTA MARTHA ACATITLA                                                                                                                       "</f>
        <v xml:space="preserve">SANTA MARTHA ACATITLA                                                                                                                       </v>
      </c>
      <c r="G297" s="26" t="str">
        <f>"IZTAPALAPA                                                                      "</f>
        <v xml:space="preserve">IZTAPALAPA                                                                      </v>
      </c>
      <c r="H297" s="26" t="str">
        <f>"005"</f>
        <v>005</v>
      </c>
      <c r="I297" s="26" t="str">
        <f t="shared" si="52"/>
        <v>00</v>
      </c>
      <c r="J297" s="26" t="str">
        <f>"62 "</f>
        <v xml:space="preserve">62 </v>
      </c>
      <c r="K297" s="26" t="str">
        <f>"IZ"</f>
        <v>IZ</v>
      </c>
      <c r="L297" s="26" t="str">
        <f>"DGSEI"</f>
        <v>DGSEI</v>
      </c>
      <c r="M297" s="26" t="str">
        <f t="shared" si="53"/>
        <v>FEDERAL</v>
      </c>
      <c r="N297" s="26">
        <v>689</v>
      </c>
      <c r="O297" s="26">
        <v>328</v>
      </c>
      <c r="P297" s="26">
        <v>361</v>
      </c>
      <c r="Q297" s="26">
        <v>16</v>
      </c>
      <c r="R297" s="26">
        <v>2</v>
      </c>
      <c r="S297" s="26">
        <v>36</v>
      </c>
      <c r="T297" s="26">
        <v>29</v>
      </c>
      <c r="U297" s="26">
        <v>67</v>
      </c>
      <c r="V297" s="26">
        <v>1</v>
      </c>
      <c r="W297" s="26"/>
    </row>
    <row r="298" spans="1:23" x14ac:dyDescent="0.25">
      <c r="A298" s="26" t="str">
        <f t="shared" si="51"/>
        <v>SECUNDARIA</v>
      </c>
      <c r="B298" s="26" t="str">
        <f>"09DES0297H"</f>
        <v>09DES0297H</v>
      </c>
      <c r="C298" s="26" t="str">
        <f>"OSCAR SANCHEZ SANCHEZ                                                                               "</f>
        <v xml:space="preserve">OSCAR SANCHEZ SANCHEZ                                                                               </v>
      </c>
      <c r="D298" s="26" t="str">
        <f>"MATUTINO"</f>
        <v>MATUTINO</v>
      </c>
      <c r="E298" s="26" t="str">
        <f>"NORTE 178 NO 574 Y BOLIVARES                                                    "</f>
        <v xml:space="preserve">NORTE 178 NO 574 Y BOLIVARES                                                    </v>
      </c>
      <c r="F298" s="26" t="str">
        <f>"PENSADOR MEXICANO                                                                                                                           "</f>
        <v xml:space="preserve">PENSADOR MEXICANO                                                                                                                           </v>
      </c>
      <c r="G298" s="26" t="str">
        <f>"VENUSTIANO CARRANZA                                                             "</f>
        <v xml:space="preserve">VENUSTIANO CARRANZA                                                             </v>
      </c>
      <c r="H298" s="26" t="str">
        <f>"076"</f>
        <v>076</v>
      </c>
      <c r="I298" s="26" t="str">
        <f t="shared" si="52"/>
        <v>00</v>
      </c>
      <c r="J298" s="26" t="str">
        <f>"54 "</f>
        <v xml:space="preserve">54 </v>
      </c>
      <c r="K298" s="26" t="str">
        <f t="shared" ref="K298:K303" si="59">"SG"</f>
        <v>SG</v>
      </c>
      <c r="L298" s="26" t="str">
        <f t="shared" ref="L298:L303" si="60">"DGOSE"</f>
        <v>DGOSE</v>
      </c>
      <c r="M298" s="26" t="str">
        <f t="shared" si="53"/>
        <v>FEDERAL</v>
      </c>
      <c r="N298" s="26">
        <v>168</v>
      </c>
      <c r="O298" s="26">
        <v>99</v>
      </c>
      <c r="P298" s="26">
        <v>69</v>
      </c>
      <c r="Q298" s="26">
        <v>8</v>
      </c>
      <c r="R298" s="26">
        <v>2</v>
      </c>
      <c r="S298" s="26">
        <v>24</v>
      </c>
      <c r="T298" s="26">
        <v>21</v>
      </c>
      <c r="U298" s="26">
        <v>47</v>
      </c>
      <c r="V298" s="26">
        <v>1</v>
      </c>
      <c r="W298" s="26"/>
    </row>
    <row r="299" spans="1:23" x14ac:dyDescent="0.25">
      <c r="A299" s="26" t="str">
        <f t="shared" si="51"/>
        <v>SECUNDARIA</v>
      </c>
      <c r="B299" s="26" t="str">
        <f>"09DES0298G"</f>
        <v>09DES0298G</v>
      </c>
      <c r="C299" s="26" t="str">
        <f>"""MEXICO TENOCHTITLAN""                                                                               "</f>
        <v xml:space="preserve">"MEXICO TENOCHTITLAN"                                                                               </v>
      </c>
      <c r="D299" s="26" t="str">
        <f>"MATUTINO"</f>
        <v>MATUTINO</v>
      </c>
      <c r="E299" s="26" t="str">
        <f>"AV 412 Y AV 483                                                                 "</f>
        <v xml:space="preserve">AV 412 Y AV 483                                                                 </v>
      </c>
      <c r="F299" s="26" t="str">
        <f>"UNIDAD SAN JUAN DE ARAGON                                                                                                                   "</f>
        <v xml:space="preserve">UNIDAD SAN JUAN DE ARAGON                                                                                                                   </v>
      </c>
      <c r="G299" s="26" t="str">
        <f>"GUSTAVO A. MADERO                                                               "</f>
        <v xml:space="preserve">GUSTAVO A. MADERO                                                               </v>
      </c>
      <c r="H299" s="26" t="str">
        <f>"041"</f>
        <v>041</v>
      </c>
      <c r="I299" s="26" t="str">
        <f t="shared" si="52"/>
        <v>00</v>
      </c>
      <c r="J299" s="26" t="str">
        <f>"52 "</f>
        <v xml:space="preserve">52 </v>
      </c>
      <c r="K299" s="26" t="str">
        <f t="shared" si="59"/>
        <v>SG</v>
      </c>
      <c r="L299" s="26" t="str">
        <f t="shared" si="60"/>
        <v>DGOSE</v>
      </c>
      <c r="M299" s="26" t="str">
        <f t="shared" si="53"/>
        <v>FEDERAL</v>
      </c>
      <c r="N299" s="26">
        <v>483</v>
      </c>
      <c r="O299" s="26">
        <v>249</v>
      </c>
      <c r="P299" s="26">
        <v>234</v>
      </c>
      <c r="Q299" s="26">
        <v>15</v>
      </c>
      <c r="R299" s="26">
        <v>2</v>
      </c>
      <c r="S299" s="26">
        <v>31</v>
      </c>
      <c r="T299" s="26">
        <v>27</v>
      </c>
      <c r="U299" s="26">
        <v>60</v>
      </c>
      <c r="V299" s="26">
        <v>1</v>
      </c>
      <c r="W299" s="26"/>
    </row>
    <row r="300" spans="1:23" x14ac:dyDescent="0.25">
      <c r="A300" s="26" t="str">
        <f t="shared" si="51"/>
        <v>SECUNDARIA</v>
      </c>
      <c r="B300" s="26" t="str">
        <f>"09DES0299F"</f>
        <v>09DES0299F</v>
      </c>
      <c r="C300" s="26" t="str">
        <f>"CIRO E. GONZALEZ BLACKALLER                                                                         "</f>
        <v xml:space="preserve">CIRO E. GONZALEZ BLACKALLER                                                                         </v>
      </c>
      <c r="D300" s="26" t="str">
        <f>"JORNADA AMPLIADA"</f>
        <v>JORNADA AMPLIADA</v>
      </c>
      <c r="E300" s="26" t="str">
        <f>"DOLORES GUERRERO S/N                                                            "</f>
        <v xml:space="preserve">DOLORES GUERRERO S/N                                                            </v>
      </c>
      <c r="F300" s="26" t="str">
        <f>"UNIDAD HABITACIONAL SAN FRANCISCO C                                                                                                         "</f>
        <v xml:space="preserve">UNIDAD HABITACIONAL SAN FRANCISCO C                                                                                                         </v>
      </c>
      <c r="G300" s="26" t="str">
        <f>"COYOACAN                                                                        "</f>
        <v xml:space="preserve">COYOACAN                                                                        </v>
      </c>
      <c r="H300" s="26" t="str">
        <f>"021"</f>
        <v>021</v>
      </c>
      <c r="I300" s="26" t="str">
        <f t="shared" si="52"/>
        <v>00</v>
      </c>
      <c r="J300" s="26" t="str">
        <f>"54 "</f>
        <v xml:space="preserve">54 </v>
      </c>
      <c r="K300" s="26" t="str">
        <f t="shared" si="59"/>
        <v>SG</v>
      </c>
      <c r="L300" s="26" t="str">
        <f t="shared" si="60"/>
        <v>DGOSE</v>
      </c>
      <c r="M300" s="26" t="str">
        <f t="shared" si="53"/>
        <v>FEDERAL</v>
      </c>
      <c r="N300" s="26">
        <v>508</v>
      </c>
      <c r="O300" s="26">
        <v>238</v>
      </c>
      <c r="P300" s="26">
        <v>270</v>
      </c>
      <c r="Q300" s="26">
        <v>15</v>
      </c>
      <c r="R300" s="26">
        <v>1</v>
      </c>
      <c r="S300" s="26">
        <v>37</v>
      </c>
      <c r="T300" s="26">
        <v>31</v>
      </c>
      <c r="U300" s="26">
        <v>69</v>
      </c>
      <c r="V300" s="26">
        <v>1</v>
      </c>
      <c r="W300" s="26" t="s">
        <v>2076</v>
      </c>
    </row>
    <row r="301" spans="1:23" x14ac:dyDescent="0.25">
      <c r="A301" s="26" t="str">
        <f t="shared" si="51"/>
        <v>SECUNDARIA</v>
      </c>
      <c r="B301" s="26" t="str">
        <f>"09DES0300E"</f>
        <v>09DES0300E</v>
      </c>
      <c r="C301" s="26" t="str">
        <f>"""JESUS F. CONTRERAS""                                                                                "</f>
        <v xml:space="preserve">"JESUS F. CONTRERAS"                                                                                </v>
      </c>
      <c r="D301" s="26" t="str">
        <f t="shared" ref="D301:D311" si="61">"MATUTINO"</f>
        <v>MATUTINO</v>
      </c>
      <c r="E301" s="26" t="str">
        <f>"AV CEYLAN NO 1001 Y PONIENTE 146                                                "</f>
        <v xml:space="preserve">AV CEYLAN NO 1001 Y PONIENTE 146                                                </v>
      </c>
      <c r="F301" s="26" t="str">
        <f>"FERRERIA                                                                                                                                    "</f>
        <v xml:space="preserve">FERRERIA                                                                                                                                    </v>
      </c>
      <c r="G301" s="26" t="str">
        <f>"AZCAPOTZALCO                                                                    "</f>
        <v xml:space="preserve">AZCAPOTZALCO                                                                    </v>
      </c>
      <c r="H301" s="26" t="str">
        <f>"010"</f>
        <v>010</v>
      </c>
      <c r="I301" s="26" t="str">
        <f t="shared" si="52"/>
        <v>00</v>
      </c>
      <c r="J301" s="26" t="str">
        <f>"51 "</f>
        <v xml:space="preserve">51 </v>
      </c>
      <c r="K301" s="26" t="str">
        <f t="shared" si="59"/>
        <v>SG</v>
      </c>
      <c r="L301" s="26" t="str">
        <f t="shared" si="60"/>
        <v>DGOSE</v>
      </c>
      <c r="M301" s="26" t="str">
        <f t="shared" si="53"/>
        <v>FEDERAL</v>
      </c>
      <c r="N301" s="26">
        <v>272</v>
      </c>
      <c r="O301" s="26">
        <v>141</v>
      </c>
      <c r="P301" s="26">
        <v>131</v>
      </c>
      <c r="Q301" s="26">
        <v>9</v>
      </c>
      <c r="R301" s="26">
        <v>2</v>
      </c>
      <c r="S301" s="26">
        <v>29</v>
      </c>
      <c r="T301" s="26">
        <v>20</v>
      </c>
      <c r="U301" s="26">
        <v>51</v>
      </c>
      <c r="V301" s="26">
        <v>1</v>
      </c>
      <c r="W301" s="26"/>
    </row>
    <row r="302" spans="1:23" x14ac:dyDescent="0.25">
      <c r="A302" s="26" t="str">
        <f t="shared" si="51"/>
        <v>SECUNDARIA</v>
      </c>
      <c r="B302" s="26" t="str">
        <f>"09DES0301D"</f>
        <v>09DES0301D</v>
      </c>
      <c r="C302" s="26" t="str">
        <f>"GUILLERMO HARO                                                                                      "</f>
        <v xml:space="preserve">GUILLERMO HARO                                                                                      </v>
      </c>
      <c r="D302" s="26" t="str">
        <f t="shared" si="61"/>
        <v>MATUTINO</v>
      </c>
      <c r="E302" s="26" t="str">
        <f>"AV 604 Y AGRUPAMIENTO I                                                         "</f>
        <v xml:space="preserve">AV 604 Y AGRUPAMIENTO I                                                         </v>
      </c>
      <c r="F302" s="26" t="str">
        <f>"UNIDAD HABITACIONAL NARCISO BASSOLS                                                                                                         "</f>
        <v xml:space="preserve">UNIDAD HABITACIONAL NARCISO BASSOLS                                                                                                         </v>
      </c>
      <c r="G302" s="26" t="str">
        <f>"GUSTAVO A. MADERO                                                               "</f>
        <v xml:space="preserve">GUSTAVO A. MADERO                                                               </v>
      </c>
      <c r="H302" s="26" t="str">
        <f>"042"</f>
        <v>042</v>
      </c>
      <c r="I302" s="26" t="str">
        <f t="shared" si="52"/>
        <v>00</v>
      </c>
      <c r="J302" s="26" t="str">
        <f>"52 "</f>
        <v xml:space="preserve">52 </v>
      </c>
      <c r="K302" s="26" t="str">
        <f t="shared" si="59"/>
        <v>SG</v>
      </c>
      <c r="L302" s="26" t="str">
        <f t="shared" si="60"/>
        <v>DGOSE</v>
      </c>
      <c r="M302" s="26" t="str">
        <f t="shared" si="53"/>
        <v>FEDERAL</v>
      </c>
      <c r="N302" s="26">
        <v>543</v>
      </c>
      <c r="O302" s="26">
        <v>259</v>
      </c>
      <c r="P302" s="26">
        <v>284</v>
      </c>
      <c r="Q302" s="26">
        <v>15</v>
      </c>
      <c r="R302" s="26">
        <v>2</v>
      </c>
      <c r="S302" s="26">
        <v>39</v>
      </c>
      <c r="T302" s="26">
        <v>32</v>
      </c>
      <c r="U302" s="26">
        <v>73</v>
      </c>
      <c r="V302" s="26">
        <v>1</v>
      </c>
      <c r="W302" s="26"/>
    </row>
    <row r="303" spans="1:23" x14ac:dyDescent="0.25">
      <c r="A303" s="26" t="str">
        <f t="shared" si="51"/>
        <v>SECUNDARIA</v>
      </c>
      <c r="B303" s="26" t="str">
        <f>"09DES0302C"</f>
        <v>09DES0302C</v>
      </c>
      <c r="C303" s="26" t="str">
        <f>"""LUIS DONALDO COLOSIO MURRIETA""                                                                     "</f>
        <v xml:space="preserve">"LUIS DONALDO COLOSIO MURRIETA"                                                                     </v>
      </c>
      <c r="D303" s="26" t="str">
        <f t="shared" si="61"/>
        <v>MATUTINO</v>
      </c>
      <c r="E303" s="26" t="str">
        <f>"CDA DE NOGAL Y FCC DE CUERNAVACA                                                "</f>
        <v xml:space="preserve">CDA DE NOGAL Y FCC DE CUERNAVACA                                                </v>
      </c>
      <c r="F303" s="26" t="str">
        <f>"BARRANCA SECA                                                                                                                               "</f>
        <v xml:space="preserve">BARRANCA SECA                                                                                                                               </v>
      </c>
      <c r="G303" s="26" t="str">
        <f>"LA MAGDALENA CONTRERAS                                                          "</f>
        <v xml:space="preserve">LA MAGDALENA CONTRERAS                                                          </v>
      </c>
      <c r="H303" s="26" t="str">
        <f>"058"</f>
        <v>058</v>
      </c>
      <c r="I303" s="26" t="str">
        <f t="shared" si="52"/>
        <v>00</v>
      </c>
      <c r="J303" s="26" t="str">
        <f>"53 "</f>
        <v xml:space="preserve">53 </v>
      </c>
      <c r="K303" s="26" t="str">
        <f t="shared" si="59"/>
        <v>SG</v>
      </c>
      <c r="L303" s="26" t="str">
        <f t="shared" si="60"/>
        <v>DGOSE</v>
      </c>
      <c r="M303" s="26" t="str">
        <f t="shared" si="53"/>
        <v>FEDERAL</v>
      </c>
      <c r="N303" s="26">
        <v>773</v>
      </c>
      <c r="O303" s="26">
        <v>377</v>
      </c>
      <c r="P303" s="26">
        <v>396</v>
      </c>
      <c r="Q303" s="26">
        <v>15</v>
      </c>
      <c r="R303" s="26">
        <v>2</v>
      </c>
      <c r="S303" s="26">
        <v>36</v>
      </c>
      <c r="T303" s="26">
        <v>21</v>
      </c>
      <c r="U303" s="26">
        <v>59</v>
      </c>
      <c r="V303" s="26">
        <v>1</v>
      </c>
      <c r="W303" s="26"/>
    </row>
    <row r="304" spans="1:23" x14ac:dyDescent="0.25">
      <c r="A304" s="26" t="str">
        <f t="shared" si="51"/>
        <v>SECUNDARIA</v>
      </c>
      <c r="B304" s="26" t="str">
        <f>"09DES0303B"</f>
        <v>09DES0303B</v>
      </c>
      <c r="C304" s="26" t="str">
        <f>"FRIDA KAHLO                                                                                         "</f>
        <v xml:space="preserve">FRIDA KAHLO                                                                                         </v>
      </c>
      <c r="D304" s="26" t="str">
        <f t="shared" si="61"/>
        <v>MATUTINO</v>
      </c>
      <c r="E304" s="26" t="str">
        <f>"GRAN DECADA NACIONAL S/N                                                        "</f>
        <v xml:space="preserve">GRAN DECADA NACIONAL S/N                                                        </v>
      </c>
      <c r="F304" s="26" t="str">
        <f>"UNIDAD HABITACIONAL IGNACIO ZARAGOZ                                                                                                         "</f>
        <v xml:space="preserve">UNIDAD HABITACIONAL IGNACIO ZARAGOZ                                                                                                         </v>
      </c>
      <c r="G304" s="26" t="str">
        <f>"IZTAPALAPA                                                                      "</f>
        <v xml:space="preserve">IZTAPALAPA                                                                      </v>
      </c>
      <c r="H304" s="26" t="str">
        <f>"006"</f>
        <v>006</v>
      </c>
      <c r="I304" s="26" t="str">
        <f t="shared" si="52"/>
        <v>00</v>
      </c>
      <c r="J304" s="26" t="str">
        <f>"62 "</f>
        <v xml:space="preserve">62 </v>
      </c>
      <c r="K304" s="26" t="str">
        <f>"IZ"</f>
        <v>IZ</v>
      </c>
      <c r="L304" s="26" t="str">
        <f>"DGSEI"</f>
        <v>DGSEI</v>
      </c>
      <c r="M304" s="26" t="str">
        <f t="shared" si="53"/>
        <v>FEDERAL</v>
      </c>
      <c r="N304" s="26">
        <v>522</v>
      </c>
      <c r="O304" s="26">
        <v>251</v>
      </c>
      <c r="P304" s="26">
        <v>271</v>
      </c>
      <c r="Q304" s="26">
        <v>15</v>
      </c>
      <c r="R304" s="26">
        <v>2</v>
      </c>
      <c r="S304" s="26">
        <v>44</v>
      </c>
      <c r="T304" s="26">
        <v>25</v>
      </c>
      <c r="U304" s="26">
        <v>71</v>
      </c>
      <c r="V304" s="26">
        <v>1</v>
      </c>
      <c r="W304" s="26"/>
    </row>
    <row r="305" spans="1:23" x14ac:dyDescent="0.25">
      <c r="A305" s="26" t="str">
        <f t="shared" si="51"/>
        <v>SECUNDARIA</v>
      </c>
      <c r="B305" s="26" t="str">
        <f>"09DES0304A"</f>
        <v>09DES0304A</v>
      </c>
      <c r="C305" s="26" t="str">
        <f>"JUAN RULFO                                                                                          "</f>
        <v xml:space="preserve">JUAN RULFO                                                                                          </v>
      </c>
      <c r="D305" s="26" t="str">
        <f t="shared" si="61"/>
        <v>MATUTINO</v>
      </c>
      <c r="E305" s="26" t="str">
        <f>"MANUEL M LOPEZ Y FERROCARRIL                                                    "</f>
        <v xml:space="preserve">MANUEL M LOPEZ Y FERROCARRIL                                                    </v>
      </c>
      <c r="F305" s="26" t="str">
        <f>"ZAPOTITLA                                                                                                                                   "</f>
        <v xml:space="preserve">ZAPOTITLA                                                                                                                                   </v>
      </c>
      <c r="G305" s="26" t="str">
        <f>"TLAHUAC                                                                         "</f>
        <v xml:space="preserve">TLAHUAC                                                                         </v>
      </c>
      <c r="H305" s="26" t="str">
        <f>"067"</f>
        <v>067</v>
      </c>
      <c r="I305" s="26" t="str">
        <f t="shared" si="52"/>
        <v>00</v>
      </c>
      <c r="J305" s="26" t="str">
        <f>"55 "</f>
        <v xml:space="preserve">55 </v>
      </c>
      <c r="K305" s="26" t="str">
        <f>"SG"</f>
        <v>SG</v>
      </c>
      <c r="L305" s="26" t="str">
        <f>"DGOSE"</f>
        <v>DGOSE</v>
      </c>
      <c r="M305" s="26" t="str">
        <f t="shared" si="53"/>
        <v>FEDERAL</v>
      </c>
      <c r="N305" s="26">
        <v>668</v>
      </c>
      <c r="O305" s="26">
        <v>319</v>
      </c>
      <c r="P305" s="26">
        <v>349</v>
      </c>
      <c r="Q305" s="26">
        <v>16</v>
      </c>
      <c r="R305" s="26">
        <v>2</v>
      </c>
      <c r="S305" s="26">
        <v>36</v>
      </c>
      <c r="T305" s="26">
        <v>23</v>
      </c>
      <c r="U305" s="26">
        <v>61</v>
      </c>
      <c r="V305" s="26">
        <v>1</v>
      </c>
      <c r="W305" s="26"/>
    </row>
    <row r="306" spans="1:23" x14ac:dyDescent="0.25">
      <c r="A306" s="26" t="str">
        <f t="shared" si="51"/>
        <v>SECUNDARIA</v>
      </c>
      <c r="B306" s="26" t="str">
        <f>"09DES0305Z"</f>
        <v>09DES0305Z</v>
      </c>
      <c r="C306" s="26" t="str">
        <f>"""EMILIO ROSENBLUETH""                                                                                "</f>
        <v xml:space="preserve">"EMILIO ROSENBLUETH"                                                                                </v>
      </c>
      <c r="D306" s="26" t="str">
        <f t="shared" si="61"/>
        <v>MATUTINO</v>
      </c>
      <c r="E306" s="26" t="str">
        <f>"GUADALUPE I RAMIREZ S/N ENTRE NARDOS Y DIVISION DEL NORTE                       "</f>
        <v xml:space="preserve">GUADALUPE I RAMIREZ S/N ENTRE NARDOS Y DIVISION DEL NORTE                       </v>
      </c>
      <c r="F306" s="26" t="str">
        <f>"POTRERO DE SAN BERNARDINO                                                                                                                   "</f>
        <v xml:space="preserve">POTRERO DE SAN BERNARDINO                                                                                                                   </v>
      </c>
      <c r="G306" s="26" t="str">
        <f>"XOCHIMILCO                                                                      "</f>
        <v xml:space="preserve">XOCHIMILCO                                                                      </v>
      </c>
      <c r="H306" s="26" t="str">
        <f>"080"</f>
        <v>080</v>
      </c>
      <c r="I306" s="26" t="str">
        <f t="shared" si="52"/>
        <v>00</v>
      </c>
      <c r="J306" s="26" t="str">
        <f>"55 "</f>
        <v xml:space="preserve">55 </v>
      </c>
      <c r="K306" s="26" t="str">
        <f>"SG"</f>
        <v>SG</v>
      </c>
      <c r="L306" s="26" t="str">
        <f>"DGOSE"</f>
        <v>DGOSE</v>
      </c>
      <c r="M306" s="26" t="str">
        <f t="shared" si="53"/>
        <v>FEDERAL</v>
      </c>
      <c r="N306" s="26">
        <v>764</v>
      </c>
      <c r="O306" s="26">
        <v>381</v>
      </c>
      <c r="P306" s="26">
        <v>383</v>
      </c>
      <c r="Q306" s="26">
        <v>15</v>
      </c>
      <c r="R306" s="26">
        <v>1</v>
      </c>
      <c r="S306" s="26">
        <v>32</v>
      </c>
      <c r="T306" s="26">
        <v>25</v>
      </c>
      <c r="U306" s="26">
        <v>58</v>
      </c>
      <c r="V306" s="26">
        <v>1</v>
      </c>
      <c r="W306" s="26"/>
    </row>
    <row r="307" spans="1:23" x14ac:dyDescent="0.25">
      <c r="A307" s="26" t="str">
        <f t="shared" si="51"/>
        <v>SECUNDARIA</v>
      </c>
      <c r="B307" s="26" t="str">
        <f>"09DES0306Z"</f>
        <v>09DES0306Z</v>
      </c>
      <c r="C307" s="26" t="str">
        <f>"MANUEL ACUÑA                                                                                        "</f>
        <v xml:space="preserve">MANUEL ACUÑA                                                                                        </v>
      </c>
      <c r="D307" s="26" t="str">
        <f t="shared" si="61"/>
        <v>MATUTINO</v>
      </c>
      <c r="E307" s="26" t="str">
        <f>"MANUEL ACUÑA S/N                                                                "</f>
        <v xml:space="preserve">MANUEL ACUÑA S/N                                                                </v>
      </c>
      <c r="F307" s="26" t="str">
        <f>"PALMITAS                                                                                                                                    "</f>
        <v xml:space="preserve">PALMITAS                                                                                                                                    </v>
      </c>
      <c r="G307" s="26" t="str">
        <f>"IZTAPALAPA                                                                      "</f>
        <v xml:space="preserve">IZTAPALAPA                                                                      </v>
      </c>
      <c r="H307" s="26" t="str">
        <f>"015"</f>
        <v>015</v>
      </c>
      <c r="I307" s="26" t="str">
        <f t="shared" si="52"/>
        <v>00</v>
      </c>
      <c r="J307" s="26" t="str">
        <f>"64 "</f>
        <v xml:space="preserve">64 </v>
      </c>
      <c r="K307" s="26" t="str">
        <f>"IZ"</f>
        <v>IZ</v>
      </c>
      <c r="L307" s="26" t="str">
        <f>"DGSEI"</f>
        <v>DGSEI</v>
      </c>
      <c r="M307" s="26" t="str">
        <f t="shared" si="53"/>
        <v>FEDERAL</v>
      </c>
      <c r="N307" s="26">
        <v>583</v>
      </c>
      <c r="O307" s="26">
        <v>252</v>
      </c>
      <c r="P307" s="26">
        <v>331</v>
      </c>
      <c r="Q307" s="26">
        <v>15</v>
      </c>
      <c r="R307" s="26">
        <v>2</v>
      </c>
      <c r="S307" s="26">
        <v>36</v>
      </c>
      <c r="T307" s="26">
        <v>20</v>
      </c>
      <c r="U307" s="26">
        <v>58</v>
      </c>
      <c r="V307" s="26">
        <v>1</v>
      </c>
      <c r="W307" s="26"/>
    </row>
    <row r="308" spans="1:23" x14ac:dyDescent="0.25">
      <c r="A308" s="26" t="str">
        <f t="shared" si="51"/>
        <v>SECUNDARIA</v>
      </c>
      <c r="B308" s="26" t="str">
        <f>"09DES0307Y"</f>
        <v>09DES0307Y</v>
      </c>
      <c r="C308" s="26" t="str">
        <f>"CARLOS FUENTES MACIAS                                                                               "</f>
        <v xml:space="preserve">CARLOS FUENTES MACIAS                                                                               </v>
      </c>
      <c r="D308" s="26" t="str">
        <f t="shared" si="61"/>
        <v>MATUTINO</v>
      </c>
      <c r="E308" s="26" t="str">
        <f>"AV SAN MIGUEL                                                                   "</f>
        <v xml:space="preserve">AV SAN MIGUEL                                                                   </v>
      </c>
      <c r="F308" s="26" t="str">
        <f>"CUAUTEPEC EL ALTO                                                                                                                           "</f>
        <v xml:space="preserve">CUAUTEPEC EL ALTO                                                                                                                           </v>
      </c>
      <c r="G308" s="26" t="str">
        <f>"GUSTAVO A. MADERO                                                               "</f>
        <v xml:space="preserve">GUSTAVO A. MADERO                                                               </v>
      </c>
      <c r="H308" s="26" t="str">
        <f>"031"</f>
        <v>031</v>
      </c>
      <c r="I308" s="26" t="str">
        <f t="shared" si="52"/>
        <v>00</v>
      </c>
      <c r="J308" s="26" t="str">
        <f>"52 "</f>
        <v xml:space="preserve">52 </v>
      </c>
      <c r="K308" s="26" t="str">
        <f>"SG"</f>
        <v>SG</v>
      </c>
      <c r="L308" s="26" t="str">
        <f>"DGOSE"</f>
        <v>DGOSE</v>
      </c>
      <c r="M308" s="26" t="str">
        <f t="shared" si="53"/>
        <v>FEDERAL</v>
      </c>
      <c r="N308" s="26">
        <v>673</v>
      </c>
      <c r="O308" s="26">
        <v>335</v>
      </c>
      <c r="P308" s="26">
        <v>338</v>
      </c>
      <c r="Q308" s="26">
        <v>15</v>
      </c>
      <c r="R308" s="26">
        <v>2</v>
      </c>
      <c r="S308" s="26">
        <v>35</v>
      </c>
      <c r="T308" s="26">
        <v>21</v>
      </c>
      <c r="U308" s="26">
        <v>58</v>
      </c>
      <c r="V308" s="26">
        <v>1</v>
      </c>
      <c r="W308" s="26"/>
    </row>
    <row r="309" spans="1:23" x14ac:dyDescent="0.25">
      <c r="A309" s="26" t="str">
        <f t="shared" si="51"/>
        <v>SECUNDARIA</v>
      </c>
      <c r="B309" s="26" t="str">
        <f>"09DES0308X"</f>
        <v>09DES0308X</v>
      </c>
      <c r="C309" s="26" t="str">
        <f>"""NOCHCALCO""                                                                                         "</f>
        <v xml:space="preserve">"NOCHCALCO"                                                                                         </v>
      </c>
      <c r="D309" s="26" t="str">
        <f t="shared" si="61"/>
        <v>MATUTINO</v>
      </c>
      <c r="E309" s="26" t="str">
        <f>"SIMON BOLIVAR NO 180                                                            "</f>
        <v xml:space="preserve">SIMON BOLIVAR NO 180                                                            </v>
      </c>
      <c r="F309" s="26" t="str">
        <f>"SAN JERONIMO MIACATLAN                                                                                                                      "</f>
        <v xml:space="preserve">SAN JERONIMO MIACATLAN                                                                                                                      </v>
      </c>
      <c r="G309" s="26" t="str">
        <f>"MILPA ALTA                                                                      "</f>
        <v xml:space="preserve">MILPA ALTA                                                                      </v>
      </c>
      <c r="H309" s="26" t="str">
        <f>"066"</f>
        <v>066</v>
      </c>
      <c r="I309" s="26" t="str">
        <f t="shared" si="52"/>
        <v>00</v>
      </c>
      <c r="J309" s="26" t="str">
        <f>"55 "</f>
        <v xml:space="preserve">55 </v>
      </c>
      <c r="K309" s="26" t="str">
        <f>"SG"</f>
        <v>SG</v>
      </c>
      <c r="L309" s="26" t="str">
        <f>"DGOSE"</f>
        <v>DGOSE</v>
      </c>
      <c r="M309" s="26" t="str">
        <f t="shared" si="53"/>
        <v>FEDERAL</v>
      </c>
      <c r="N309" s="26">
        <v>698</v>
      </c>
      <c r="O309" s="26">
        <v>336</v>
      </c>
      <c r="P309" s="26">
        <v>362</v>
      </c>
      <c r="Q309" s="26">
        <v>15</v>
      </c>
      <c r="R309" s="26">
        <v>2</v>
      </c>
      <c r="S309" s="26">
        <v>30</v>
      </c>
      <c r="T309" s="26">
        <v>23</v>
      </c>
      <c r="U309" s="26">
        <v>55</v>
      </c>
      <c r="V309" s="26">
        <v>1</v>
      </c>
      <c r="W309" s="26"/>
    </row>
    <row r="310" spans="1:23" x14ac:dyDescent="0.25">
      <c r="A310" s="26" t="str">
        <f t="shared" si="51"/>
        <v>SECUNDARIA</v>
      </c>
      <c r="B310" s="26" t="str">
        <f>"09DES0309W"</f>
        <v>09DES0309W</v>
      </c>
      <c r="C310" s="26" t="str">
        <f>"JUAN JOSE ARREOLA ZUÑIGA                                                                            "</f>
        <v xml:space="preserve">JUAN JOSE ARREOLA ZUÑIGA                                                                            </v>
      </c>
      <c r="D310" s="26" t="str">
        <f t="shared" si="61"/>
        <v>MATUTINO</v>
      </c>
      <c r="E310" s="26" t="str">
        <f>"U HAB VILLA CENTROAMERICANA                                                     "</f>
        <v xml:space="preserve">U HAB VILLA CENTROAMERICANA                                                     </v>
      </c>
      <c r="F310" s="26" t="str">
        <f>"VILLA CENTROAMERICANA Y DEL CARIBE                                                                                                          "</f>
        <v xml:space="preserve">VILLA CENTROAMERICANA Y DEL CARIBE                                                                                                          </v>
      </c>
      <c r="G310" s="26" t="str">
        <f>"TLAHUAC                                                                         "</f>
        <v xml:space="preserve">TLAHUAC                                                                         </v>
      </c>
      <c r="H310" s="26" t="str">
        <f>"067"</f>
        <v>067</v>
      </c>
      <c r="I310" s="26" t="str">
        <f t="shared" si="52"/>
        <v>00</v>
      </c>
      <c r="J310" s="26" t="str">
        <f>"55 "</f>
        <v xml:space="preserve">55 </v>
      </c>
      <c r="K310" s="26" t="str">
        <f>"SG"</f>
        <v>SG</v>
      </c>
      <c r="L310" s="26" t="str">
        <f>"DGOSE"</f>
        <v>DGOSE</v>
      </c>
      <c r="M310" s="26" t="str">
        <f t="shared" si="53"/>
        <v>FEDERAL</v>
      </c>
      <c r="N310" s="26">
        <v>603</v>
      </c>
      <c r="O310" s="26">
        <v>300</v>
      </c>
      <c r="P310" s="26">
        <v>303</v>
      </c>
      <c r="Q310" s="26">
        <v>15</v>
      </c>
      <c r="R310" s="26">
        <v>2</v>
      </c>
      <c r="S310" s="26">
        <v>36</v>
      </c>
      <c r="T310" s="26">
        <v>23</v>
      </c>
      <c r="U310" s="26">
        <v>61</v>
      </c>
      <c r="V310" s="26">
        <v>1</v>
      </c>
      <c r="W310" s="26"/>
    </row>
    <row r="311" spans="1:23" x14ac:dyDescent="0.25">
      <c r="A311" s="26" t="str">
        <f t="shared" si="51"/>
        <v>SECUNDARIA</v>
      </c>
      <c r="B311" s="26" t="str">
        <f>"09DES0310L"</f>
        <v>09DES0310L</v>
      </c>
      <c r="C311" s="26" t="str">
        <f>"PRESIDENTES DE MEXICO                                                                               "</f>
        <v xml:space="preserve">PRESIDENTES DE MEXICO                                                                               </v>
      </c>
      <c r="D311" s="26" t="str">
        <f t="shared" si="61"/>
        <v>MATUTINO</v>
      </c>
      <c r="E311" s="26" t="str">
        <f>"CANAL DE PANAMA Y JAIME NUNO                                                    "</f>
        <v xml:space="preserve">CANAL DE PANAMA Y JAIME NUNO                                                    </v>
      </c>
      <c r="F311" s="26" t="str">
        <f>"INSURGENTES                                                                                                                                 "</f>
        <v xml:space="preserve">INSURGENTES                                                                                                                                 </v>
      </c>
      <c r="G311" s="26" t="str">
        <f>"IZTAPALAPA                                                                      "</f>
        <v xml:space="preserve">IZTAPALAPA                                                                      </v>
      </c>
      <c r="H311" s="26" t="str">
        <f>"013"</f>
        <v>013</v>
      </c>
      <c r="I311" s="26" t="str">
        <f t="shared" si="52"/>
        <v>00</v>
      </c>
      <c r="J311" s="26" t="str">
        <f>"64 "</f>
        <v xml:space="preserve">64 </v>
      </c>
      <c r="K311" s="26" t="str">
        <f>"IZ"</f>
        <v>IZ</v>
      </c>
      <c r="L311" s="26" t="str">
        <f>"DGSEI"</f>
        <v>DGSEI</v>
      </c>
      <c r="M311" s="26" t="str">
        <f t="shared" si="53"/>
        <v>FEDERAL</v>
      </c>
      <c r="N311" s="26">
        <v>560</v>
      </c>
      <c r="O311" s="26">
        <v>300</v>
      </c>
      <c r="P311" s="26">
        <v>260</v>
      </c>
      <c r="Q311" s="26">
        <v>12</v>
      </c>
      <c r="R311" s="26">
        <v>4</v>
      </c>
      <c r="S311" s="26">
        <v>58</v>
      </c>
      <c r="T311" s="26">
        <v>42</v>
      </c>
      <c r="U311" s="26">
        <v>104</v>
      </c>
      <c r="V311" s="26">
        <v>1</v>
      </c>
      <c r="W311" s="26"/>
    </row>
    <row r="312" spans="1:23" x14ac:dyDescent="0.25">
      <c r="A312" s="26" t="str">
        <f t="shared" si="51"/>
        <v>SECUNDARIA</v>
      </c>
      <c r="B312" s="26" t="str">
        <f>"09DES0311K"</f>
        <v>09DES0311K</v>
      </c>
      <c r="C312" s="26" t="str">
        <f>"FRANCISCO LARROYO                                                                                   "</f>
        <v xml:space="preserve">FRANCISCO LARROYO                                                                                   </v>
      </c>
      <c r="D312" s="26" t="str">
        <f>"JORNADA AMPLIADA"</f>
        <v>JORNADA AMPLIADA</v>
      </c>
      <c r="E312" s="26" t="str">
        <f>"TELECOMUNICACIONES S/N ESQ. EJE 5 SUR F-6 Y F-7                                 "</f>
        <v xml:space="preserve">TELECOMUNICACIONES S/N ESQ. EJE 5 SUR F-6 Y F-7                                 </v>
      </c>
      <c r="F312" s="26" t="str">
        <f>"CHINAMPAC DE JUAREZ                                                                                                                         "</f>
        <v xml:space="preserve">CHINAMPAC DE JUAREZ                                                                                                                         </v>
      </c>
      <c r="G312" s="26" t="str">
        <f>"IZTAPALAPA                                                                      "</f>
        <v xml:space="preserve">IZTAPALAPA                                                                      </v>
      </c>
      <c r="H312" s="26" t="str">
        <f>"002"</f>
        <v>002</v>
      </c>
      <c r="I312" s="26" t="str">
        <f t="shared" si="52"/>
        <v>00</v>
      </c>
      <c r="J312" s="26" t="str">
        <f>"61 "</f>
        <v xml:space="preserve">61 </v>
      </c>
      <c r="K312" s="26" t="str">
        <f>"IZ"</f>
        <v>IZ</v>
      </c>
      <c r="L312" s="26" t="str">
        <f>"DGSEI"</f>
        <v>DGSEI</v>
      </c>
      <c r="M312" s="26" t="str">
        <f t="shared" si="53"/>
        <v>FEDERAL</v>
      </c>
      <c r="N312" s="26">
        <v>638</v>
      </c>
      <c r="O312" s="26">
        <v>317</v>
      </c>
      <c r="P312" s="26">
        <v>321</v>
      </c>
      <c r="Q312" s="26">
        <v>15</v>
      </c>
      <c r="R312" s="26">
        <v>2</v>
      </c>
      <c r="S312" s="26">
        <v>46</v>
      </c>
      <c r="T312" s="26">
        <v>23</v>
      </c>
      <c r="U312" s="26">
        <v>71</v>
      </c>
      <c r="V312" s="26">
        <v>1</v>
      </c>
      <c r="W312" s="26" t="s">
        <v>2076</v>
      </c>
    </row>
    <row r="313" spans="1:23" x14ac:dyDescent="0.25">
      <c r="A313" s="26" t="str">
        <f t="shared" si="51"/>
        <v>SECUNDARIA</v>
      </c>
      <c r="B313" s="26" t="str">
        <f>"09DES0312J"</f>
        <v>09DES0312J</v>
      </c>
      <c r="C313" s="26" t="str">
        <f>""" ARQUIMEDES CABALLERO CABALLERO ""                                                                  "</f>
        <v xml:space="preserve">" ARQUIMEDES CABALLERO CABALLERO "                                                                  </v>
      </c>
      <c r="D313" s="26" t="str">
        <f>"JORNADA AMPLIADA"</f>
        <v>JORNADA AMPLIADA</v>
      </c>
      <c r="E313" s="26" t="str">
        <f>"ESPERANZA S/N                                                                   "</f>
        <v xml:space="preserve">ESPERANZA S/N                                                                   </v>
      </c>
      <c r="F313" s="26" t="str">
        <f>"HUAYATLA                                                                                                                                    "</f>
        <v xml:space="preserve">HUAYATLA                                                                                                                                    </v>
      </c>
      <c r="G313" s="26" t="str">
        <f>"LA MAGDALENA CONTRERAS                                                          "</f>
        <v xml:space="preserve">LA MAGDALENA CONTRERAS                                                          </v>
      </c>
      <c r="H313" s="26" t="str">
        <f>"058"</f>
        <v>058</v>
      </c>
      <c r="I313" s="26" t="str">
        <f t="shared" si="52"/>
        <v>00</v>
      </c>
      <c r="J313" s="26" t="str">
        <f>"53 "</f>
        <v xml:space="preserve">53 </v>
      </c>
      <c r="K313" s="26" t="str">
        <f>"SG"</f>
        <v>SG</v>
      </c>
      <c r="L313" s="26" t="str">
        <f>"DGOSE"</f>
        <v>DGOSE</v>
      </c>
      <c r="M313" s="26" t="str">
        <f t="shared" si="53"/>
        <v>FEDERAL</v>
      </c>
      <c r="N313" s="26">
        <v>820</v>
      </c>
      <c r="O313" s="26">
        <v>392</v>
      </c>
      <c r="P313" s="26">
        <v>428</v>
      </c>
      <c r="Q313" s="26">
        <v>18</v>
      </c>
      <c r="R313" s="26">
        <v>1</v>
      </c>
      <c r="S313" s="26">
        <v>30</v>
      </c>
      <c r="T313" s="26">
        <v>18</v>
      </c>
      <c r="U313" s="26">
        <v>49</v>
      </c>
      <c r="V313" s="26">
        <v>1</v>
      </c>
      <c r="W313" s="26" t="s">
        <v>2076</v>
      </c>
    </row>
    <row r="314" spans="1:23" x14ac:dyDescent="0.25">
      <c r="A314" s="26" t="str">
        <f t="shared" si="51"/>
        <v>SECUNDARIA</v>
      </c>
      <c r="B314" s="26" t="str">
        <f>"09DES0313I"</f>
        <v>09DES0313I</v>
      </c>
      <c r="C314" s="26" t="str">
        <f>"LAZARO CARDENAS DEL RIO                                                                             "</f>
        <v xml:space="preserve">LAZARO CARDENAS DEL RIO                                                                             </v>
      </c>
      <c r="D314" s="26" t="str">
        <f>"MATUTINO"</f>
        <v>MATUTINO</v>
      </c>
      <c r="E314" s="26" t="str">
        <f>"YURIRIA S/N Y CALLE SIETE                                                       "</f>
        <v xml:space="preserve">YURIRIA S/N Y CALLE SIETE                                                       </v>
      </c>
      <c r="F314" s="26" t="str">
        <f>"SANTIAGO ACAHUALTEPEC                                                                                                                       "</f>
        <v xml:space="preserve">SANTIAGO ACAHUALTEPEC                                                                                                                       </v>
      </c>
      <c r="G314" s="26" t="str">
        <f t="shared" ref="G314:G320" si="62">"IZTAPALAPA                                                                      "</f>
        <v xml:space="preserve">IZTAPALAPA                                                                      </v>
      </c>
      <c r="H314" s="26" t="str">
        <f>"015"</f>
        <v>015</v>
      </c>
      <c r="I314" s="26" t="str">
        <f t="shared" si="52"/>
        <v>00</v>
      </c>
      <c r="J314" s="26" t="str">
        <f>"64 "</f>
        <v xml:space="preserve">64 </v>
      </c>
      <c r="K314" s="26" t="str">
        <f t="shared" ref="K314:K320" si="63">"IZ"</f>
        <v>IZ</v>
      </c>
      <c r="L314" s="26" t="str">
        <f t="shared" ref="L314:L320" si="64">"DGSEI"</f>
        <v>DGSEI</v>
      </c>
      <c r="M314" s="26" t="str">
        <f t="shared" si="53"/>
        <v>FEDERAL</v>
      </c>
      <c r="N314" s="26">
        <v>691</v>
      </c>
      <c r="O314" s="26">
        <v>343</v>
      </c>
      <c r="P314" s="26">
        <v>348</v>
      </c>
      <c r="Q314" s="26">
        <v>15</v>
      </c>
      <c r="R314" s="26">
        <v>2</v>
      </c>
      <c r="S314" s="26">
        <v>34</v>
      </c>
      <c r="T314" s="26">
        <v>25</v>
      </c>
      <c r="U314" s="26">
        <v>61</v>
      </c>
      <c r="V314" s="26">
        <v>1</v>
      </c>
      <c r="W314" s="26"/>
    </row>
    <row r="315" spans="1:23" x14ac:dyDescent="0.25">
      <c r="A315" s="26" t="str">
        <f t="shared" si="51"/>
        <v>SECUNDARIA</v>
      </c>
      <c r="B315" s="26" t="str">
        <f>"09DES0314H"</f>
        <v>09DES0314H</v>
      </c>
      <c r="C315" s="26" t="str">
        <f>"BLAS GALINDO                                                                                        "</f>
        <v xml:space="preserve">BLAS GALINDO                                                                                        </v>
      </c>
      <c r="D315" s="26" t="str">
        <f>"JORNADA AMPLIADA"</f>
        <v>JORNADA AMPLIADA</v>
      </c>
      <c r="E315" s="26" t="str">
        <f>"RIO ATOYAC Y AV. 2                                                              "</f>
        <v xml:space="preserve">RIO ATOYAC Y AV. 2                                                              </v>
      </c>
      <c r="F315" s="26" t="str">
        <f>"EL TESORO INFONAVIT                                                                                                                         "</f>
        <v xml:space="preserve">EL TESORO INFONAVIT                                                                                                                         </v>
      </c>
      <c r="G315" s="26" t="str">
        <f t="shared" si="62"/>
        <v xml:space="preserve">IZTAPALAPA                                                                      </v>
      </c>
      <c r="H315" s="26" t="str">
        <f>"003"</f>
        <v>003</v>
      </c>
      <c r="I315" s="26" t="str">
        <f t="shared" si="52"/>
        <v>00</v>
      </c>
      <c r="J315" s="26" t="str">
        <f>"61 "</f>
        <v xml:space="preserve">61 </v>
      </c>
      <c r="K315" s="26" t="str">
        <f t="shared" si="63"/>
        <v>IZ</v>
      </c>
      <c r="L315" s="26" t="str">
        <f t="shared" si="64"/>
        <v>DGSEI</v>
      </c>
      <c r="M315" s="26" t="str">
        <f t="shared" si="53"/>
        <v>FEDERAL</v>
      </c>
      <c r="N315" s="26">
        <v>642</v>
      </c>
      <c r="O315" s="26">
        <v>317</v>
      </c>
      <c r="P315" s="26">
        <v>325</v>
      </c>
      <c r="Q315" s="26">
        <v>15</v>
      </c>
      <c r="R315" s="26">
        <v>2</v>
      </c>
      <c r="S315" s="26">
        <v>39</v>
      </c>
      <c r="T315" s="26">
        <v>19</v>
      </c>
      <c r="U315" s="26">
        <v>60</v>
      </c>
      <c r="V315" s="26">
        <v>1</v>
      </c>
      <c r="W315" s="26" t="s">
        <v>2076</v>
      </c>
    </row>
    <row r="316" spans="1:23" x14ac:dyDescent="0.25">
      <c r="A316" s="26" t="str">
        <f t="shared" si="51"/>
        <v>SECUNDARIA</v>
      </c>
      <c r="B316" s="26" t="str">
        <f>"09DES0315G"</f>
        <v>09DES0315G</v>
      </c>
      <c r="C316" s="26" t="str">
        <f>"JOSE VASCONCELOS                                                                                    "</f>
        <v xml:space="preserve">JOSE VASCONCELOS                                                                                    </v>
      </c>
      <c r="D316" s="26" t="str">
        <f>"JORNADA AMPLIADA"</f>
        <v>JORNADA AMPLIADA</v>
      </c>
      <c r="E316" s="26" t="str">
        <f>"SAN JUAN S/N                                                                    "</f>
        <v xml:space="preserve">SAN JUAN S/N                                                                    </v>
      </c>
      <c r="F316" s="26" t="str">
        <f>"SAN JUAN XALPA                                                                                                                              "</f>
        <v xml:space="preserve">SAN JUAN XALPA                                                                                                                              </v>
      </c>
      <c r="G316" s="26" t="str">
        <f t="shared" si="62"/>
        <v xml:space="preserve">IZTAPALAPA                                                                      </v>
      </c>
      <c r="H316" s="26" t="str">
        <f>"003"</f>
        <v>003</v>
      </c>
      <c r="I316" s="26" t="str">
        <f t="shared" si="52"/>
        <v>00</v>
      </c>
      <c r="J316" s="26" t="str">
        <f>"61 "</f>
        <v xml:space="preserve">61 </v>
      </c>
      <c r="K316" s="26" t="str">
        <f t="shared" si="63"/>
        <v>IZ</v>
      </c>
      <c r="L316" s="26" t="str">
        <f t="shared" si="64"/>
        <v>DGSEI</v>
      </c>
      <c r="M316" s="26" t="str">
        <f t="shared" si="53"/>
        <v>FEDERAL</v>
      </c>
      <c r="N316" s="26">
        <v>547</v>
      </c>
      <c r="O316" s="26">
        <v>285</v>
      </c>
      <c r="P316" s="26">
        <v>262</v>
      </c>
      <c r="Q316" s="26">
        <v>15</v>
      </c>
      <c r="R316" s="26">
        <v>2</v>
      </c>
      <c r="S316" s="26">
        <v>39</v>
      </c>
      <c r="T316" s="26">
        <v>26</v>
      </c>
      <c r="U316" s="26">
        <v>67</v>
      </c>
      <c r="V316" s="26">
        <v>1</v>
      </c>
      <c r="W316" s="26" t="s">
        <v>2076</v>
      </c>
    </row>
    <row r="317" spans="1:23" x14ac:dyDescent="0.25">
      <c r="A317" s="26" t="str">
        <f t="shared" si="51"/>
        <v>SECUNDARIA</v>
      </c>
      <c r="B317" s="26" t="str">
        <f>"09DES0316F"</f>
        <v>09DES0316F</v>
      </c>
      <c r="C317" s="26" t="str">
        <f>"FRANCISCO GONZALEZ BOCANEGRA                                                                        "</f>
        <v xml:space="preserve">FRANCISCO GONZALEZ BOCANEGRA                                                                        </v>
      </c>
      <c r="D317" s="26" t="str">
        <f>"MATUTINO"</f>
        <v>MATUTINO</v>
      </c>
      <c r="E317" s="26" t="str">
        <f>"JACARANDAS MZ.104 LT. 5                                                         "</f>
        <v xml:space="preserve">JACARANDAS MZ.104 LT. 5                                                         </v>
      </c>
      <c r="F317" s="26" t="str">
        <f>"TENORIOS                                                                                                                                    "</f>
        <v xml:space="preserve">TENORIOS                                                                                                                                    </v>
      </c>
      <c r="G317" s="26" t="str">
        <f t="shared" si="62"/>
        <v xml:space="preserve">IZTAPALAPA                                                                      </v>
      </c>
      <c r="H317" s="26" t="str">
        <f>"014"</f>
        <v>014</v>
      </c>
      <c r="I317" s="26" t="str">
        <f t="shared" si="52"/>
        <v>00</v>
      </c>
      <c r="J317" s="26" t="str">
        <f>"64 "</f>
        <v xml:space="preserve">64 </v>
      </c>
      <c r="K317" s="26" t="str">
        <f t="shared" si="63"/>
        <v>IZ</v>
      </c>
      <c r="L317" s="26" t="str">
        <f t="shared" si="64"/>
        <v>DGSEI</v>
      </c>
      <c r="M317" s="26" t="str">
        <f t="shared" si="53"/>
        <v>FEDERAL</v>
      </c>
      <c r="N317" s="26">
        <v>661</v>
      </c>
      <c r="O317" s="26">
        <v>326</v>
      </c>
      <c r="P317" s="26">
        <v>335</v>
      </c>
      <c r="Q317" s="26">
        <v>15</v>
      </c>
      <c r="R317" s="26">
        <v>2</v>
      </c>
      <c r="S317" s="26">
        <v>38</v>
      </c>
      <c r="T317" s="26">
        <v>20</v>
      </c>
      <c r="U317" s="26">
        <v>60</v>
      </c>
      <c r="V317" s="26">
        <v>1</v>
      </c>
      <c r="W317" s="26"/>
    </row>
    <row r="318" spans="1:23" x14ac:dyDescent="0.25">
      <c r="A318" s="26" t="str">
        <f t="shared" si="51"/>
        <v>SECUNDARIA</v>
      </c>
      <c r="B318" s="26" t="str">
        <f>"09DES0317E"</f>
        <v>09DES0317E</v>
      </c>
      <c r="C318" s="26" t="str">
        <f>"OCTAVIO PAZ                                                                                         "</f>
        <v xml:space="preserve">OCTAVIO PAZ                                                                                         </v>
      </c>
      <c r="D318" s="26" t="str">
        <f>"JORNADA AMPLIADA"</f>
        <v>JORNADA AMPLIADA</v>
      </c>
      <c r="E318" s="26" t="str">
        <f>"GUADALUPANA Y CALLE 1 S/N                                                       "</f>
        <v xml:space="preserve">GUADALUPANA Y CALLE 1 S/N                                                       </v>
      </c>
      <c r="F318" s="26" t="str">
        <f>"LOMAS DE LA ESTANCIA                                                                                                                        "</f>
        <v xml:space="preserve">LOMAS DE LA ESTANCIA                                                                                                                        </v>
      </c>
      <c r="G318" s="26" t="str">
        <f t="shared" si="62"/>
        <v xml:space="preserve">IZTAPALAPA                                                                      </v>
      </c>
      <c r="H318" s="26" t="str">
        <f>"004"</f>
        <v>004</v>
      </c>
      <c r="I318" s="26" t="str">
        <f t="shared" si="52"/>
        <v>00</v>
      </c>
      <c r="J318" s="26" t="str">
        <f>"61 "</f>
        <v xml:space="preserve">61 </v>
      </c>
      <c r="K318" s="26" t="str">
        <f t="shared" si="63"/>
        <v>IZ</v>
      </c>
      <c r="L318" s="26" t="str">
        <f t="shared" si="64"/>
        <v>DGSEI</v>
      </c>
      <c r="M318" s="26" t="str">
        <f t="shared" si="53"/>
        <v>FEDERAL</v>
      </c>
      <c r="N318" s="26">
        <v>723</v>
      </c>
      <c r="O318" s="26">
        <v>316</v>
      </c>
      <c r="P318" s="26">
        <v>407</v>
      </c>
      <c r="Q318" s="26">
        <v>17</v>
      </c>
      <c r="R318" s="26">
        <v>2</v>
      </c>
      <c r="S318" s="26">
        <v>35</v>
      </c>
      <c r="T318" s="26">
        <v>25</v>
      </c>
      <c r="U318" s="26">
        <v>62</v>
      </c>
      <c r="V318" s="26">
        <v>1</v>
      </c>
      <c r="W318" s="26" t="s">
        <v>2076</v>
      </c>
    </row>
    <row r="319" spans="1:23" x14ac:dyDescent="0.25">
      <c r="A319" s="26" t="str">
        <f t="shared" si="51"/>
        <v>SECUNDARIA</v>
      </c>
      <c r="B319" s="26" t="str">
        <f>"09DES0318D"</f>
        <v>09DES0318D</v>
      </c>
      <c r="C319" s="26" t="str">
        <f>"XALPA                                                                                               "</f>
        <v xml:space="preserve">XALPA                                                                                               </v>
      </c>
      <c r="D319" s="26" t="str">
        <f>"JORNADA AMPLIADA"</f>
        <v>JORNADA AMPLIADA</v>
      </c>
      <c r="E319" s="26" t="str">
        <f>"PISCIS Y LEMUS S/N                                                              "</f>
        <v xml:space="preserve">PISCIS Y LEMUS S/N                                                              </v>
      </c>
      <c r="F319" s="26" t="str">
        <f>"XALPA                                                                                                                                       "</f>
        <v xml:space="preserve">XALPA                                                                                                                                       </v>
      </c>
      <c r="G319" s="26" t="str">
        <f t="shared" si="62"/>
        <v xml:space="preserve">IZTAPALAPA                                                                      </v>
      </c>
      <c r="H319" s="26" t="str">
        <f>"003"</f>
        <v>003</v>
      </c>
      <c r="I319" s="26" t="str">
        <f t="shared" si="52"/>
        <v>00</v>
      </c>
      <c r="J319" s="26" t="str">
        <f>"61 "</f>
        <v xml:space="preserve">61 </v>
      </c>
      <c r="K319" s="26" t="str">
        <f t="shared" si="63"/>
        <v>IZ</v>
      </c>
      <c r="L319" s="26" t="str">
        <f t="shared" si="64"/>
        <v>DGSEI</v>
      </c>
      <c r="M319" s="26" t="str">
        <f t="shared" si="53"/>
        <v>FEDERAL</v>
      </c>
      <c r="N319" s="26">
        <v>563</v>
      </c>
      <c r="O319" s="26">
        <v>281</v>
      </c>
      <c r="P319" s="26">
        <v>282</v>
      </c>
      <c r="Q319" s="26">
        <v>12</v>
      </c>
      <c r="R319" s="26">
        <v>1</v>
      </c>
      <c r="S319" s="26">
        <v>34</v>
      </c>
      <c r="T319" s="26">
        <v>21</v>
      </c>
      <c r="U319" s="26">
        <v>56</v>
      </c>
      <c r="V319" s="26">
        <v>1</v>
      </c>
      <c r="W319" s="26" t="s">
        <v>2076</v>
      </c>
    </row>
    <row r="320" spans="1:23" x14ac:dyDescent="0.25">
      <c r="A320" s="26" t="str">
        <f t="shared" si="51"/>
        <v>SECUNDARIA</v>
      </c>
      <c r="B320" s="26" t="str">
        <f>"09DES0319C"</f>
        <v>09DES0319C</v>
      </c>
      <c r="C320" s="26" t="str">
        <f>"CUAUHTEMOC                                                                                          "</f>
        <v xml:space="preserve">CUAUHTEMOC                                                                                          </v>
      </c>
      <c r="D320" s="26" t="str">
        <f>"MATUTINO"</f>
        <v>MATUTINO</v>
      </c>
      <c r="E320" s="26" t="str">
        <f>"FRESNO Y JESUS GARIBAY S/N                                                      "</f>
        <v xml:space="preserve">FRESNO Y JESUS GARIBAY S/N                                                      </v>
      </c>
      <c r="F320" s="26" t="str">
        <f>"PUENTE BLANCO                                                                                                                               "</f>
        <v xml:space="preserve">PUENTE BLANCO                                                                                                                               </v>
      </c>
      <c r="G320" s="26" t="str">
        <f t="shared" si="62"/>
        <v xml:space="preserve">IZTAPALAPA                                                                      </v>
      </c>
      <c r="H320" s="26" t="str">
        <f>"012"</f>
        <v>012</v>
      </c>
      <c r="I320" s="26" t="str">
        <f t="shared" si="52"/>
        <v>00</v>
      </c>
      <c r="J320" s="26" t="str">
        <f>"63 "</f>
        <v xml:space="preserve">63 </v>
      </c>
      <c r="K320" s="26" t="str">
        <f t="shared" si="63"/>
        <v>IZ</v>
      </c>
      <c r="L320" s="26" t="str">
        <f t="shared" si="64"/>
        <v>DGSEI</v>
      </c>
      <c r="M320" s="26" t="str">
        <f t="shared" si="53"/>
        <v>FEDERAL</v>
      </c>
      <c r="N320" s="26">
        <v>670</v>
      </c>
      <c r="O320" s="26">
        <v>323</v>
      </c>
      <c r="P320" s="26">
        <v>347</v>
      </c>
      <c r="Q320" s="26">
        <v>15</v>
      </c>
      <c r="R320" s="26">
        <v>2</v>
      </c>
      <c r="S320" s="26">
        <v>35</v>
      </c>
      <c r="T320" s="26">
        <v>22</v>
      </c>
      <c r="U320" s="26">
        <v>59</v>
      </c>
      <c r="V320" s="26">
        <v>1</v>
      </c>
      <c r="W320" s="26"/>
    </row>
    <row r="321" spans="1:23" x14ac:dyDescent="0.25">
      <c r="A321" s="26" t="str">
        <f t="shared" si="51"/>
        <v>SECUNDARIA</v>
      </c>
      <c r="B321" s="26" t="str">
        <f>"09DES0320S"</f>
        <v>09DES0320S</v>
      </c>
      <c r="C321" s="26" t="str">
        <f>"IGNACIO LEON ROBLES ROBLES                                                                          "</f>
        <v xml:space="preserve">IGNACIO LEON ROBLES ROBLES                                                                          </v>
      </c>
      <c r="D321" s="26" t="str">
        <f>"MATUTINO"</f>
        <v>MATUTINO</v>
      </c>
      <c r="E321" s="26" t="str">
        <f>"VIENA NO 121                                                                    "</f>
        <v xml:space="preserve">VIENA NO 121                                                                    </v>
      </c>
      <c r="F321" s="26" t="str">
        <f>"DEL CARMEN                                                                                                                                  "</f>
        <v xml:space="preserve">DEL CARMEN                                                                                                                                  </v>
      </c>
      <c r="G321" s="26" t="str">
        <f>"COYOACAN                                                                        "</f>
        <v xml:space="preserve">COYOACAN                                                                        </v>
      </c>
      <c r="H321" s="26" t="str">
        <f>"018"</f>
        <v>018</v>
      </c>
      <c r="I321" s="26" t="str">
        <f t="shared" si="52"/>
        <v>00</v>
      </c>
      <c r="J321" s="26" t="str">
        <f>"54 "</f>
        <v xml:space="preserve">54 </v>
      </c>
      <c r="K321" s="26" t="str">
        <f>"SG"</f>
        <v>SG</v>
      </c>
      <c r="L321" s="26" t="str">
        <f>"DGOSE"</f>
        <v>DGOSE</v>
      </c>
      <c r="M321" s="26" t="str">
        <f t="shared" si="53"/>
        <v>FEDERAL</v>
      </c>
      <c r="N321" s="26">
        <v>60</v>
      </c>
      <c r="O321" s="26">
        <v>32</v>
      </c>
      <c r="P321" s="26">
        <v>28</v>
      </c>
      <c r="Q321" s="26">
        <v>6</v>
      </c>
      <c r="R321" s="26">
        <v>2</v>
      </c>
      <c r="S321" s="26">
        <v>13</v>
      </c>
      <c r="T321" s="26">
        <v>16</v>
      </c>
      <c r="U321" s="26">
        <v>31</v>
      </c>
      <c r="V321" s="26">
        <v>1</v>
      </c>
      <c r="W321" s="26"/>
    </row>
    <row r="322" spans="1:23" x14ac:dyDescent="0.25">
      <c r="A322" s="26" t="str">
        <f t="shared" ref="A322:A385" si="65">"SECUNDARIA"</f>
        <v>SECUNDARIA</v>
      </c>
      <c r="B322" s="26" t="str">
        <f>"09DES0321R"</f>
        <v>09DES0321R</v>
      </c>
      <c r="C322" s="26" t="str">
        <f>"ACAMAPICHTLI                                                                                        "</f>
        <v xml:space="preserve">ACAMAPICHTLI                                                                                        </v>
      </c>
      <c r="D322" s="26" t="str">
        <f>"TIEMPO COMPLETO"</f>
        <v>TIEMPO COMPLETO</v>
      </c>
      <c r="E322" s="26" t="str">
        <f>"IZTACIHUATL S/N FOVISSSTE                                                       "</f>
        <v xml:space="preserve">IZTACIHUATL S/N FOVISSSTE                                                       </v>
      </c>
      <c r="F322" s="26" t="str">
        <f>"PARAJE SAN JUAN                                                                                                                             "</f>
        <v xml:space="preserve">PARAJE SAN JUAN                                                                                                                             </v>
      </c>
      <c r="G322" s="26" t="str">
        <f>"IZTAPALAPA                                                                      "</f>
        <v xml:space="preserve">IZTAPALAPA                                                                      </v>
      </c>
      <c r="H322" s="26" t="str">
        <f>"003"</f>
        <v>003</v>
      </c>
      <c r="I322" s="26" t="str">
        <f t="shared" si="52"/>
        <v>00</v>
      </c>
      <c r="J322" s="26" t="str">
        <f>"61 "</f>
        <v xml:space="preserve">61 </v>
      </c>
      <c r="K322" s="26" t="str">
        <f>"IZ"</f>
        <v>IZ</v>
      </c>
      <c r="L322" s="26" t="str">
        <f>"DGSEI"</f>
        <v>DGSEI</v>
      </c>
      <c r="M322" s="26" t="str">
        <f t="shared" ref="M322:M385" si="66">"FEDERAL"</f>
        <v>FEDERAL</v>
      </c>
      <c r="N322" s="26">
        <v>596</v>
      </c>
      <c r="O322" s="26">
        <v>307</v>
      </c>
      <c r="P322" s="26">
        <v>289</v>
      </c>
      <c r="Q322" s="26">
        <v>15</v>
      </c>
      <c r="R322" s="26">
        <v>2</v>
      </c>
      <c r="S322" s="26">
        <v>31</v>
      </c>
      <c r="T322" s="26">
        <v>30</v>
      </c>
      <c r="U322" s="26">
        <v>63</v>
      </c>
      <c r="V322" s="26">
        <v>1</v>
      </c>
      <c r="W322" s="26" t="s">
        <v>218</v>
      </c>
    </row>
    <row r="323" spans="1:23" x14ac:dyDescent="0.25">
      <c r="A323" s="26" t="str">
        <f t="shared" si="65"/>
        <v>SECUNDARIA</v>
      </c>
      <c r="B323" s="26" t="str">
        <f>"09DES0322Q"</f>
        <v>09DES0322Q</v>
      </c>
      <c r="C323" s="26" t="str">
        <f>"QUAUCALLI                                                                                           "</f>
        <v xml:space="preserve">QUAUCALLI                                                                                           </v>
      </c>
      <c r="D323" s="26" t="str">
        <f>"JORNADA AMPLIADA"</f>
        <v>JORNADA AMPLIADA</v>
      </c>
      <c r="E323" s="26" t="str">
        <f>"ARROLLO LA ARMELLA Y DORADILLA S/N ESQUINA PASIONARIA                           "</f>
        <v xml:space="preserve">ARROLLO LA ARMELLA Y DORADILLA S/N ESQUINA PASIONARIA                           </v>
      </c>
      <c r="F323" s="26" t="str">
        <f>"LUIS DONALDO COLOSIO MURRIETA                                                                                                               "</f>
        <v xml:space="preserve">LUIS DONALDO COLOSIO MURRIETA                                                                                                               </v>
      </c>
      <c r="G323" s="26" t="str">
        <f>"GUSTAVO A. MADERO                                                               "</f>
        <v xml:space="preserve">GUSTAVO A. MADERO                                                               </v>
      </c>
      <c r="H323" s="26" t="str">
        <f>"032"</f>
        <v>032</v>
      </c>
      <c r="I323" s="26" t="str">
        <f t="shared" si="52"/>
        <v>00</v>
      </c>
      <c r="J323" s="26" t="str">
        <f>"52 "</f>
        <v xml:space="preserve">52 </v>
      </c>
      <c r="K323" s="26" t="str">
        <f t="shared" ref="K323:K332" si="67">"SG"</f>
        <v>SG</v>
      </c>
      <c r="L323" s="26" t="str">
        <f t="shared" ref="L323:L332" si="68">"DGOSE"</f>
        <v>DGOSE</v>
      </c>
      <c r="M323" s="26" t="str">
        <f t="shared" si="66"/>
        <v>FEDERAL</v>
      </c>
      <c r="N323" s="26">
        <v>232</v>
      </c>
      <c r="O323" s="26">
        <v>119</v>
      </c>
      <c r="P323" s="26">
        <v>113</v>
      </c>
      <c r="Q323" s="26">
        <v>6</v>
      </c>
      <c r="R323" s="26">
        <v>2</v>
      </c>
      <c r="S323" s="26">
        <v>17</v>
      </c>
      <c r="T323" s="26">
        <v>13</v>
      </c>
      <c r="U323" s="26">
        <v>32</v>
      </c>
      <c r="V323" s="26">
        <v>1</v>
      </c>
      <c r="W323" s="26" t="s">
        <v>2076</v>
      </c>
    </row>
    <row r="324" spans="1:23" x14ac:dyDescent="0.25">
      <c r="A324" s="26" t="str">
        <f t="shared" si="65"/>
        <v>SECUNDARIA</v>
      </c>
      <c r="B324" s="26" t="str">
        <f>"09DES0323P"</f>
        <v>09DES0323P</v>
      </c>
      <c r="C324" s="26" t="str">
        <f>"TLAMACHTILCALLI                                                                                     "</f>
        <v xml:space="preserve">TLAMACHTILCALLI                                                                                     </v>
      </c>
      <c r="D324" s="26" t="str">
        <f>"JORNADA AMPLIADA"</f>
        <v>JORNADA AMPLIADA</v>
      </c>
      <c r="E324" s="26" t="str">
        <f>"CERRADA SAN JOSE SIN NUMERO                                                     "</f>
        <v xml:space="preserve">CERRADA SAN JOSE SIN NUMERO                                                     </v>
      </c>
      <c r="F324" s="26" t="str">
        <f>"SANTIAGO TULYEHUALCO                                                                                                                        "</f>
        <v xml:space="preserve">SANTIAGO TULYEHUALCO                                                                                                                        </v>
      </c>
      <c r="G324" s="26" t="str">
        <f>"XOCHIMILCO                                                                      "</f>
        <v xml:space="preserve">XOCHIMILCO                                                                      </v>
      </c>
      <c r="H324" s="26" t="str">
        <f>"114"</f>
        <v>114</v>
      </c>
      <c r="I324" s="26" t="str">
        <f t="shared" si="52"/>
        <v>00</v>
      </c>
      <c r="J324" s="26" t="str">
        <f>"55 "</f>
        <v xml:space="preserve">55 </v>
      </c>
      <c r="K324" s="26" t="str">
        <f t="shared" si="67"/>
        <v>SG</v>
      </c>
      <c r="L324" s="26" t="str">
        <f t="shared" si="68"/>
        <v>DGOSE</v>
      </c>
      <c r="M324" s="26" t="str">
        <f t="shared" si="66"/>
        <v>FEDERAL</v>
      </c>
      <c r="N324" s="26">
        <v>523</v>
      </c>
      <c r="O324" s="26">
        <v>283</v>
      </c>
      <c r="P324" s="26">
        <v>240</v>
      </c>
      <c r="Q324" s="26">
        <v>13</v>
      </c>
      <c r="R324" s="26">
        <v>1</v>
      </c>
      <c r="S324" s="26">
        <v>38</v>
      </c>
      <c r="T324" s="26">
        <v>19</v>
      </c>
      <c r="U324" s="26">
        <v>58</v>
      </c>
      <c r="V324" s="26">
        <v>1</v>
      </c>
      <c r="W324" s="26" t="s">
        <v>2076</v>
      </c>
    </row>
    <row r="325" spans="1:23" x14ac:dyDescent="0.25">
      <c r="A325" s="26" t="str">
        <f t="shared" si="65"/>
        <v>SECUNDARIA</v>
      </c>
      <c r="B325" s="26" t="str">
        <f>"09DES0324O"</f>
        <v>09DES0324O</v>
      </c>
      <c r="C325" s="26" t="str">
        <f>"ALFONSO CASO ANDRADE                                                                                "</f>
        <v xml:space="preserve">ALFONSO CASO ANDRADE                                                                                </v>
      </c>
      <c r="D325" s="26" t="str">
        <f>"MATUTINO"</f>
        <v>MATUTINO</v>
      </c>
      <c r="E325" s="26" t="str">
        <f>"AV GUILLERMO PRIETO S/N                                                         "</f>
        <v xml:space="preserve">AV GUILLERMO PRIETO S/N                                                         </v>
      </c>
      <c r="F325" s="26" t="str">
        <f>"UNIDAD VILLAS LA DRAGA                                                                                                                      "</f>
        <v xml:space="preserve">UNIDAD VILLAS LA DRAGA                                                                                                                      </v>
      </c>
      <c r="G325" s="26" t="str">
        <f>"TLAHUAC                                                                         "</f>
        <v xml:space="preserve">TLAHUAC                                                                         </v>
      </c>
      <c r="H325" s="26" t="str">
        <f>"067"</f>
        <v>067</v>
      </c>
      <c r="I325" s="26" t="str">
        <f t="shared" si="52"/>
        <v>00</v>
      </c>
      <c r="J325" s="26" t="str">
        <f>"55 "</f>
        <v xml:space="preserve">55 </v>
      </c>
      <c r="K325" s="26" t="str">
        <f t="shared" si="67"/>
        <v>SG</v>
      </c>
      <c r="L325" s="26" t="str">
        <f t="shared" si="68"/>
        <v>DGOSE</v>
      </c>
      <c r="M325" s="26" t="str">
        <f t="shared" si="66"/>
        <v>FEDERAL</v>
      </c>
      <c r="N325" s="26">
        <v>602</v>
      </c>
      <c r="O325" s="26">
        <v>286</v>
      </c>
      <c r="P325" s="26">
        <v>316</v>
      </c>
      <c r="Q325" s="26">
        <v>15</v>
      </c>
      <c r="R325" s="26">
        <v>2</v>
      </c>
      <c r="S325" s="26">
        <v>29</v>
      </c>
      <c r="T325" s="26">
        <v>24</v>
      </c>
      <c r="U325" s="26">
        <v>55</v>
      </c>
      <c r="V325" s="26">
        <v>1</v>
      </c>
      <c r="W325" s="26"/>
    </row>
    <row r="326" spans="1:23" x14ac:dyDescent="0.25">
      <c r="A326" s="26" t="str">
        <f t="shared" si="65"/>
        <v>SECUNDARIA</v>
      </c>
      <c r="B326" s="26" t="str">
        <f>"09DES0325N"</f>
        <v>09DES0325N</v>
      </c>
      <c r="C326" s="26" t="str">
        <f>"TLACATECPAC                                                                                         "</f>
        <v xml:space="preserve">TLACATECPAC                                                                                         </v>
      </c>
      <c r="D326" s="26" t="str">
        <f>"JORNADA AMPLIADA"</f>
        <v>JORNADA AMPLIADA</v>
      </c>
      <c r="E326" s="26" t="str">
        <f>"CALLE TLACATECPAC S/N                                                           "</f>
        <v xml:space="preserve">CALLE TLACATECPAC S/N                                                           </v>
      </c>
      <c r="F326" s="26" t="str">
        <f>"SAN BARTOLOME XICOMULCO                                                                                                                     "</f>
        <v xml:space="preserve">SAN BARTOLOME XICOMULCO                                                                                                                     </v>
      </c>
      <c r="G326" s="26" t="str">
        <f>"MILPA ALTA                                                                      "</f>
        <v xml:space="preserve">MILPA ALTA                                                                      </v>
      </c>
      <c r="H326" s="26" t="str">
        <f>"066"</f>
        <v>066</v>
      </c>
      <c r="I326" s="26" t="str">
        <f>"  "</f>
        <v xml:space="preserve">  </v>
      </c>
      <c r="J326" s="26" t="str">
        <f>"55 "</f>
        <v xml:space="preserve">55 </v>
      </c>
      <c r="K326" s="26" t="str">
        <f t="shared" si="67"/>
        <v>SG</v>
      </c>
      <c r="L326" s="26" t="str">
        <f t="shared" si="68"/>
        <v>DGOSE</v>
      </c>
      <c r="M326" s="26" t="str">
        <f t="shared" si="66"/>
        <v>FEDERAL</v>
      </c>
      <c r="N326" s="26">
        <v>252</v>
      </c>
      <c r="O326" s="26">
        <v>131</v>
      </c>
      <c r="P326" s="26">
        <v>121</v>
      </c>
      <c r="Q326" s="26">
        <v>6</v>
      </c>
      <c r="R326" s="26">
        <v>2</v>
      </c>
      <c r="S326" s="26">
        <v>18</v>
      </c>
      <c r="T326" s="26">
        <v>11</v>
      </c>
      <c r="U326" s="26">
        <v>31</v>
      </c>
      <c r="V326" s="26">
        <v>1</v>
      </c>
      <c r="W326" s="26" t="s">
        <v>2076</v>
      </c>
    </row>
    <row r="327" spans="1:23" x14ac:dyDescent="0.25">
      <c r="A327" s="26" t="str">
        <f t="shared" si="65"/>
        <v>SECUNDARIA</v>
      </c>
      <c r="B327" s="26" t="str">
        <f>"09DES0326M"</f>
        <v>09DES0326M</v>
      </c>
      <c r="C327" s="26" t="str">
        <f>"ESCUELA SECUNDARIA DIURNA NO 326                                                                    "</f>
        <v xml:space="preserve">ESCUELA SECUNDARIA DIURNA NO 326                                                                    </v>
      </c>
      <c r="D327" s="26" t="str">
        <f>"TIEMPO COMPLETO"</f>
        <v>TIEMPO COMPLETO</v>
      </c>
      <c r="E327" s="26" t="str">
        <f>"VOLCAN JORULLO Y COFRE DE PEROE                                                 "</f>
        <v xml:space="preserve">VOLCAN JORULLO Y COFRE DE PEROE                                                 </v>
      </c>
      <c r="F327" s="26" t="str">
        <f>"LA PRADERA                                                                                                                                  "</f>
        <v xml:space="preserve">LA PRADERA                                                                                                                                  </v>
      </c>
      <c r="G327" s="26" t="str">
        <f>"GUSTAVO A. MADERO                                                               "</f>
        <v xml:space="preserve">GUSTAVO A. MADERO                                                               </v>
      </c>
      <c r="H327" s="26" t="str">
        <f>"041"</f>
        <v>041</v>
      </c>
      <c r="I327" s="26" t="str">
        <f t="shared" ref="I327:I390" si="69">"00"</f>
        <v>00</v>
      </c>
      <c r="J327" s="26" t="str">
        <f>"52 "</f>
        <v xml:space="preserve">52 </v>
      </c>
      <c r="K327" s="26" t="str">
        <f t="shared" si="67"/>
        <v>SG</v>
      </c>
      <c r="L327" s="26" t="str">
        <f t="shared" si="68"/>
        <v>DGOSE</v>
      </c>
      <c r="M327" s="26" t="str">
        <f t="shared" si="66"/>
        <v>FEDERAL</v>
      </c>
      <c r="N327" s="26">
        <v>542</v>
      </c>
      <c r="O327" s="26">
        <v>259</v>
      </c>
      <c r="P327" s="26">
        <v>283</v>
      </c>
      <c r="Q327" s="26">
        <v>18</v>
      </c>
      <c r="R327" s="26">
        <v>2</v>
      </c>
      <c r="S327" s="26">
        <v>51</v>
      </c>
      <c r="T327" s="26">
        <v>41</v>
      </c>
      <c r="U327" s="26">
        <v>94</v>
      </c>
      <c r="V327" s="26">
        <v>1</v>
      </c>
      <c r="W327" s="26" t="s">
        <v>218</v>
      </c>
    </row>
    <row r="328" spans="1:23" x14ac:dyDescent="0.25">
      <c r="A328" s="26" t="str">
        <f t="shared" si="65"/>
        <v>SECUNDARIA</v>
      </c>
      <c r="B328" s="26" t="str">
        <f>"09DES0327L"</f>
        <v>09DES0327L</v>
      </c>
      <c r="C328" s="26" t="str">
        <f>"SECUNDARIA FEDERAL                                                                                  "</f>
        <v xml:space="preserve">SECUNDARIA FEDERAL                                                                                  </v>
      </c>
      <c r="D328" s="26" t="str">
        <f>"JORNADA AMPLIADA"</f>
        <v>JORNADA AMPLIADA</v>
      </c>
      <c r="E328" s="26" t="str">
        <f>"AV CANAL DE CHALCO Y AV HEBERTO CASTILLO                                        "</f>
        <v xml:space="preserve">AV CANAL DE CHALCO Y AV HEBERTO CASTILLO                                        </v>
      </c>
      <c r="F328" s="26" t="str">
        <f>"TLAHUAC                                                                                                                                     "</f>
        <v xml:space="preserve">TLAHUAC                                                                                                                                     </v>
      </c>
      <c r="G328" s="26" t="str">
        <f>"TLAHUAC                                                                         "</f>
        <v xml:space="preserve">TLAHUAC                                                                         </v>
      </c>
      <c r="H328" s="26" t="str">
        <f>"000"</f>
        <v>000</v>
      </c>
      <c r="I328" s="26" t="str">
        <f t="shared" si="69"/>
        <v>00</v>
      </c>
      <c r="J328" s="26" t="str">
        <f>"55 "</f>
        <v xml:space="preserve">55 </v>
      </c>
      <c r="K328" s="26" t="str">
        <f t="shared" si="67"/>
        <v>SG</v>
      </c>
      <c r="L328" s="26" t="str">
        <f t="shared" si="68"/>
        <v>DGOSE</v>
      </c>
      <c r="M328" s="26" t="str">
        <f t="shared" si="66"/>
        <v>FEDERAL</v>
      </c>
      <c r="N328" s="26">
        <v>675</v>
      </c>
      <c r="O328" s="26">
        <v>339</v>
      </c>
      <c r="P328" s="26">
        <v>336</v>
      </c>
      <c r="Q328" s="26">
        <v>15</v>
      </c>
      <c r="R328" s="26">
        <v>2</v>
      </c>
      <c r="S328" s="26">
        <v>37</v>
      </c>
      <c r="T328" s="26">
        <v>21</v>
      </c>
      <c r="U328" s="26">
        <v>60</v>
      </c>
      <c r="V328" s="26">
        <v>1</v>
      </c>
      <c r="W328" s="26" t="s">
        <v>2076</v>
      </c>
    </row>
    <row r="329" spans="1:23" x14ac:dyDescent="0.25">
      <c r="A329" s="26" t="str">
        <f t="shared" si="65"/>
        <v>SECUNDARIA</v>
      </c>
      <c r="B329" s="26" t="str">
        <f>"09DES0328K"</f>
        <v>09DES0328K</v>
      </c>
      <c r="C329" s="26" t="str">
        <f>"SECUNDARIA FEDERAL                                                                                  "</f>
        <v xml:space="preserve">SECUNDARIA FEDERAL                                                                                  </v>
      </c>
      <c r="D329" s="26" t="str">
        <f>"JORNADA AMPLIADA"</f>
        <v>JORNADA AMPLIADA</v>
      </c>
      <c r="E329" s="26" t="str">
        <f>"CALLE MARCO POLO Y ROBLES S/N                                                   "</f>
        <v xml:space="preserve">CALLE MARCO POLO Y ROBLES S/N                                                   </v>
      </c>
      <c r="F329" s="26" t="str">
        <f>"DESARROLLO URBANO EL PIRU                                                                                                                   "</f>
        <v xml:space="preserve">DESARROLLO URBANO EL PIRU                                                                                                                   </v>
      </c>
      <c r="G329" s="26" t="str">
        <f>"ALVARO OBREGON                                                                  "</f>
        <v xml:space="preserve">ALVARO OBREGON                                                                  </v>
      </c>
      <c r="H329" s="26" t="str">
        <f>"004"</f>
        <v>004</v>
      </c>
      <c r="I329" s="26" t="str">
        <f t="shared" si="69"/>
        <v>00</v>
      </c>
      <c r="J329" s="26" t="str">
        <f>"53 "</f>
        <v xml:space="preserve">53 </v>
      </c>
      <c r="K329" s="26" t="str">
        <f t="shared" si="67"/>
        <v>SG</v>
      </c>
      <c r="L329" s="26" t="str">
        <f t="shared" si="68"/>
        <v>DGOSE</v>
      </c>
      <c r="M329" s="26" t="str">
        <f t="shared" si="66"/>
        <v>FEDERAL</v>
      </c>
      <c r="N329" s="26">
        <v>484</v>
      </c>
      <c r="O329" s="26">
        <v>220</v>
      </c>
      <c r="P329" s="26">
        <v>264</v>
      </c>
      <c r="Q329" s="26">
        <v>12</v>
      </c>
      <c r="R329" s="26">
        <v>2</v>
      </c>
      <c r="S329" s="26">
        <v>28</v>
      </c>
      <c r="T329" s="26">
        <v>13</v>
      </c>
      <c r="U329" s="26">
        <v>43</v>
      </c>
      <c r="V329" s="26">
        <v>1</v>
      </c>
      <c r="W329" s="26" t="s">
        <v>2076</v>
      </c>
    </row>
    <row r="330" spans="1:23" x14ac:dyDescent="0.25">
      <c r="A330" s="26" t="str">
        <f t="shared" si="65"/>
        <v>SECUNDARIA</v>
      </c>
      <c r="B330" s="26" t="str">
        <f>"09DES0329J"</f>
        <v>09DES0329J</v>
      </c>
      <c r="C330" s="26" t="str">
        <f>"TLACHTLI                                                                                            "</f>
        <v xml:space="preserve">TLACHTLI                                                                                            </v>
      </c>
      <c r="D330" s="26" t="str">
        <f>"MATUTINO"</f>
        <v>MATUTINO</v>
      </c>
      <c r="E330" s="26" t="str">
        <f>"AÑIL NO 550                                                                     "</f>
        <v xml:space="preserve">AÑIL NO 550                                                                     </v>
      </c>
      <c r="F330" s="26" t="str">
        <f>"GRANJAS MEXICO                                                                                                                              "</f>
        <v xml:space="preserve">GRANJAS MEXICO                                                                                                                              </v>
      </c>
      <c r="G330" s="26" t="str">
        <f>"IZTACALCO                                                                       "</f>
        <v xml:space="preserve">IZTACALCO                                                                       </v>
      </c>
      <c r="H330" s="26" t="str">
        <f>"044"</f>
        <v>044</v>
      </c>
      <c r="I330" s="26" t="str">
        <f t="shared" si="69"/>
        <v>00</v>
      </c>
      <c r="J330" s="26" t="str">
        <f>"54 "</f>
        <v xml:space="preserve">54 </v>
      </c>
      <c r="K330" s="26" t="str">
        <f t="shared" si="67"/>
        <v>SG</v>
      </c>
      <c r="L330" s="26" t="str">
        <f t="shared" si="68"/>
        <v>DGOSE</v>
      </c>
      <c r="M330" s="26" t="str">
        <f t="shared" si="66"/>
        <v>FEDERAL</v>
      </c>
      <c r="N330" s="26">
        <v>56</v>
      </c>
      <c r="O330" s="26">
        <v>33</v>
      </c>
      <c r="P330" s="26">
        <v>23</v>
      </c>
      <c r="Q330" s="26">
        <v>5</v>
      </c>
      <c r="R330" s="26">
        <v>1</v>
      </c>
      <c r="S330" s="26">
        <v>17</v>
      </c>
      <c r="T330" s="26">
        <v>7</v>
      </c>
      <c r="U330" s="26">
        <v>25</v>
      </c>
      <c r="V330" s="26">
        <v>1</v>
      </c>
      <c r="W330" s="26"/>
    </row>
    <row r="331" spans="1:23" x14ac:dyDescent="0.25">
      <c r="A331" s="26" t="str">
        <f t="shared" si="65"/>
        <v>SECUNDARIA</v>
      </c>
      <c r="B331" s="26" t="str">
        <f>"09DES0331Y"</f>
        <v>09DES0331Y</v>
      </c>
      <c r="C331" s="26" t="str">
        <f>"MARGARITA PAZ PAREDES                                                                               "</f>
        <v xml:space="preserve">MARGARITA PAZ PAREDES                                                                               </v>
      </c>
      <c r="D331" s="26" t="str">
        <f>"MATUTINO"</f>
        <v>MATUTINO</v>
      </c>
      <c r="E331" s="26" t="str">
        <f>"VIADUCTO MIGUEL ALEMAN NO 37                                                    "</f>
        <v xml:space="preserve">VIADUCTO MIGUEL ALEMAN NO 37                                                    </v>
      </c>
      <c r="F331" s="26" t="str">
        <f>"TACUBAYA                                                                                                                                    "</f>
        <v xml:space="preserve">TACUBAYA                                                                                                                                    </v>
      </c>
      <c r="G331" s="26" t="str">
        <f>"MIGUEL HIDALGO                                                                  "</f>
        <v xml:space="preserve">MIGUEL HIDALGO                                                                  </v>
      </c>
      <c r="H331" s="26" t="str">
        <f>"087"</f>
        <v>087</v>
      </c>
      <c r="I331" s="26" t="str">
        <f t="shared" si="69"/>
        <v>00</v>
      </c>
      <c r="J331" s="26" t="str">
        <f>"51 "</f>
        <v xml:space="preserve">51 </v>
      </c>
      <c r="K331" s="26" t="str">
        <f t="shared" si="67"/>
        <v>SG</v>
      </c>
      <c r="L331" s="26" t="str">
        <f t="shared" si="68"/>
        <v>DGOSE</v>
      </c>
      <c r="M331" s="26" t="str">
        <f t="shared" si="66"/>
        <v>FEDERAL</v>
      </c>
      <c r="N331" s="26">
        <v>179</v>
      </c>
      <c r="O331" s="26">
        <v>102</v>
      </c>
      <c r="P331" s="26">
        <v>77</v>
      </c>
      <c r="Q331" s="26">
        <v>9</v>
      </c>
      <c r="R331" s="26">
        <v>1</v>
      </c>
      <c r="S331" s="26">
        <v>20</v>
      </c>
      <c r="T331" s="26">
        <v>10</v>
      </c>
      <c r="U331" s="26">
        <v>31</v>
      </c>
      <c r="V331" s="26">
        <v>1</v>
      </c>
      <c r="W331" s="26"/>
    </row>
    <row r="332" spans="1:23" x14ac:dyDescent="0.25">
      <c r="A332" s="26" t="str">
        <f t="shared" si="65"/>
        <v>SECUNDARIA</v>
      </c>
      <c r="B332" s="26" t="str">
        <f>"09DES0333W"</f>
        <v>09DES0333W</v>
      </c>
      <c r="C332" s="26" t="str">
        <f>"MANUEL MARIO CERNA CASTELAZO                                                                        "</f>
        <v xml:space="preserve">MANUEL MARIO CERNA CASTELAZO                                                                        </v>
      </c>
      <c r="D332" s="26" t="str">
        <f>"MATUTINO"</f>
        <v>MATUTINO</v>
      </c>
      <c r="E332" s="26" t="str">
        <f>"AV JOSE VASCONCELOS NUM 115                                                     "</f>
        <v xml:space="preserve">AV JOSE VASCONCELOS NUM 115                                                     </v>
      </c>
      <c r="F332" s="26" t="str">
        <f>"HIPODROMO DE LA CONDESA                                                                                                                     "</f>
        <v xml:space="preserve">HIPODROMO DE LA CONDESA                                                                                                                     </v>
      </c>
      <c r="G332" s="26" t="str">
        <f>"CUAUHTEMOC                                                                      "</f>
        <v xml:space="preserve">CUAUHTEMOC                                                                      </v>
      </c>
      <c r="H332" s="26" t="str">
        <f>"029"</f>
        <v>029</v>
      </c>
      <c r="I332" s="26" t="str">
        <f t="shared" si="69"/>
        <v>00</v>
      </c>
      <c r="J332" s="26" t="str">
        <f>"51 "</f>
        <v xml:space="preserve">51 </v>
      </c>
      <c r="K332" s="26" t="str">
        <f t="shared" si="67"/>
        <v>SG</v>
      </c>
      <c r="L332" s="26" t="str">
        <f t="shared" si="68"/>
        <v>DGOSE</v>
      </c>
      <c r="M332" s="26" t="str">
        <f t="shared" si="66"/>
        <v>FEDERAL</v>
      </c>
      <c r="N332" s="26">
        <v>134</v>
      </c>
      <c r="O332" s="26">
        <v>78</v>
      </c>
      <c r="P332" s="26">
        <v>56</v>
      </c>
      <c r="Q332" s="26">
        <v>7</v>
      </c>
      <c r="R332" s="26">
        <v>2</v>
      </c>
      <c r="S332" s="26">
        <v>20</v>
      </c>
      <c r="T332" s="26">
        <v>16</v>
      </c>
      <c r="U332" s="26">
        <v>38</v>
      </c>
      <c r="V332" s="26">
        <v>1</v>
      </c>
      <c r="W332" s="26"/>
    </row>
    <row r="333" spans="1:23" x14ac:dyDescent="0.25">
      <c r="A333" s="26" t="str">
        <f t="shared" si="65"/>
        <v>SECUNDARIA</v>
      </c>
      <c r="B333" s="26" t="str">
        <f>"09DES1000O"</f>
        <v>09DES1000O</v>
      </c>
      <c r="C333" s="26" t="str">
        <f>"ESCUELA SECUNDARIA ANEXA A LA NORMAL SUPERIOR DE MÉXICO                                             "</f>
        <v xml:space="preserve">ESCUELA SECUNDARIA ANEXA A LA NORMAL SUPERIOR DE MÉXICO                                             </v>
      </c>
      <c r="D333" s="26" t="str">
        <f>"MATUTINO"</f>
        <v>MATUTINO</v>
      </c>
      <c r="E333" s="26" t="str">
        <f>"RIBERA DE SAN COSME NO 83                                                       "</f>
        <v xml:space="preserve">RIBERA DE SAN COSME NO 83                                                       </v>
      </c>
      <c r="F333" s="26" t="str">
        <f>"SANTA MARIA LA RIBERA                                                                                                                       "</f>
        <v xml:space="preserve">SANTA MARIA LA RIBERA                                                                                                                       </v>
      </c>
      <c r="G333" s="26" t="str">
        <f>"CUAUHTEMOC                                                                      "</f>
        <v xml:space="preserve">CUAUHTEMOC                                                                      </v>
      </c>
      <c r="H333" s="26" t="str">
        <f>"000"</f>
        <v>000</v>
      </c>
      <c r="I333" s="26" t="str">
        <f t="shared" si="69"/>
        <v>00</v>
      </c>
      <c r="J333" s="26" t="str">
        <f>"91 "</f>
        <v xml:space="preserve">91 </v>
      </c>
      <c r="K333" s="26" t="str">
        <f>"EN"</f>
        <v>EN</v>
      </c>
      <c r="L333" s="26" t="str">
        <f>"DGENAM"</f>
        <v>DGENAM</v>
      </c>
      <c r="M333" s="26" t="str">
        <f t="shared" si="66"/>
        <v>FEDERAL</v>
      </c>
      <c r="N333" s="26">
        <v>552</v>
      </c>
      <c r="O333" s="26">
        <v>291</v>
      </c>
      <c r="P333" s="26">
        <v>261</v>
      </c>
      <c r="Q333" s="26">
        <v>15</v>
      </c>
      <c r="R333" s="26">
        <v>2</v>
      </c>
      <c r="S333" s="26">
        <v>79</v>
      </c>
      <c r="T333" s="26">
        <v>34</v>
      </c>
      <c r="U333" s="26">
        <v>115</v>
      </c>
      <c r="V333" s="26">
        <v>1</v>
      </c>
      <c r="W333" s="26"/>
    </row>
    <row r="334" spans="1:23" x14ac:dyDescent="0.25">
      <c r="A334" s="26" t="str">
        <f t="shared" si="65"/>
        <v>SECUNDARIA</v>
      </c>
      <c r="B334" s="26" t="str">
        <f>"09DES1000O"</f>
        <v>09DES1000O</v>
      </c>
      <c r="C334" s="26" t="str">
        <f>"ESCUELA SECUNDARIA ANEXA A LA NORMAL SUPERIOR DE MÉXICO                                             "</f>
        <v xml:space="preserve">ESCUELA SECUNDARIA ANEXA A LA NORMAL SUPERIOR DE MÉXICO                                             </v>
      </c>
      <c r="D334" s="26" t="str">
        <f t="shared" ref="D334:D397" si="70">"VESPERTINO"</f>
        <v>VESPERTINO</v>
      </c>
      <c r="E334" s="26" t="str">
        <f>"RIBERA DE SAN COSME NO 83                                                       "</f>
        <v xml:space="preserve">RIBERA DE SAN COSME NO 83                                                       </v>
      </c>
      <c r="F334" s="26" t="str">
        <f>"SANTA MARIA LA RIBERA                                                                                                                       "</f>
        <v xml:space="preserve">SANTA MARIA LA RIBERA                                                                                                                       </v>
      </c>
      <c r="G334" s="26" t="str">
        <f>"CUAUHTEMOC                                                                      "</f>
        <v xml:space="preserve">CUAUHTEMOC                                                                      </v>
      </c>
      <c r="H334" s="26" t="str">
        <f>"000"</f>
        <v>000</v>
      </c>
      <c r="I334" s="26" t="str">
        <f t="shared" si="69"/>
        <v>00</v>
      </c>
      <c r="J334" s="26" t="str">
        <f>"91 "</f>
        <v xml:space="preserve">91 </v>
      </c>
      <c r="K334" s="26" t="str">
        <f>"EN"</f>
        <v>EN</v>
      </c>
      <c r="L334" s="26" t="str">
        <f>"DGENAM"</f>
        <v>DGENAM</v>
      </c>
      <c r="M334" s="26" t="str">
        <f t="shared" si="66"/>
        <v>FEDERAL</v>
      </c>
      <c r="N334" s="26">
        <v>554</v>
      </c>
      <c r="O334" s="26">
        <v>292</v>
      </c>
      <c r="P334" s="26">
        <v>262</v>
      </c>
      <c r="Q334" s="26">
        <v>15</v>
      </c>
      <c r="R334" s="26">
        <v>2</v>
      </c>
      <c r="S334" s="26">
        <v>87</v>
      </c>
      <c r="T334" s="26">
        <v>31</v>
      </c>
      <c r="U334" s="26">
        <v>120</v>
      </c>
      <c r="V334" s="26">
        <v>1</v>
      </c>
      <c r="W334" s="26"/>
    </row>
    <row r="335" spans="1:23" x14ac:dyDescent="0.25">
      <c r="A335" s="26" t="str">
        <f t="shared" si="65"/>
        <v>SECUNDARIA</v>
      </c>
      <c r="B335" s="26" t="str">
        <f>"09DES4002G"</f>
        <v>09DES4002G</v>
      </c>
      <c r="C335" s="26" t="str">
        <f>"ANA MARIA BERLANGA                                                                                  "</f>
        <v xml:space="preserve">ANA MARIA BERLANGA                                                                                  </v>
      </c>
      <c r="D335" s="26" t="str">
        <f t="shared" si="70"/>
        <v>VESPERTINO</v>
      </c>
      <c r="E335" s="26" t="str">
        <f>"FRESNO NO 45                                                                    "</f>
        <v xml:space="preserve">FRESNO NO 45                                                                    </v>
      </c>
      <c r="F335" s="26" t="str">
        <f>"SANTA MARIA LA RIBERA                                                                                                                       "</f>
        <v xml:space="preserve">SANTA MARIA LA RIBERA                                                                                                                       </v>
      </c>
      <c r="G335" s="26" t="str">
        <f>"CUAUHTEMOC                                                                      "</f>
        <v xml:space="preserve">CUAUHTEMOC                                                                      </v>
      </c>
      <c r="H335" s="26" t="str">
        <f>"027"</f>
        <v>027</v>
      </c>
      <c r="I335" s="26" t="str">
        <f t="shared" si="69"/>
        <v>00</v>
      </c>
      <c r="J335" s="26" t="str">
        <f>"51 "</f>
        <v xml:space="preserve">51 </v>
      </c>
      <c r="K335" s="26" t="str">
        <f t="shared" ref="K335:K345" si="71">"SG"</f>
        <v>SG</v>
      </c>
      <c r="L335" s="26" t="str">
        <f t="shared" ref="L335:L345" si="72">"DGOSE"</f>
        <v>DGOSE</v>
      </c>
      <c r="M335" s="26" t="str">
        <f t="shared" si="66"/>
        <v>FEDERAL</v>
      </c>
      <c r="N335" s="26">
        <v>474</v>
      </c>
      <c r="O335" s="26">
        <v>224</v>
      </c>
      <c r="P335" s="26">
        <v>250</v>
      </c>
      <c r="Q335" s="26">
        <v>18</v>
      </c>
      <c r="R335" s="26">
        <v>2</v>
      </c>
      <c r="S335" s="26">
        <v>46</v>
      </c>
      <c r="T335" s="26">
        <v>28</v>
      </c>
      <c r="U335" s="26">
        <v>76</v>
      </c>
      <c r="V335" s="26">
        <v>1</v>
      </c>
      <c r="W335" s="26"/>
    </row>
    <row r="336" spans="1:23" x14ac:dyDescent="0.25">
      <c r="A336" s="26" t="str">
        <f t="shared" si="65"/>
        <v>SECUNDARIA</v>
      </c>
      <c r="B336" s="26" t="str">
        <f>"09DES4004E"</f>
        <v>09DES4004E</v>
      </c>
      <c r="C336" s="26" t="str">
        <f>"MOISES SAENZ                                                                                        "</f>
        <v xml:space="preserve">MOISES SAENZ                                                                                        </v>
      </c>
      <c r="D336" s="26" t="str">
        <f t="shared" si="70"/>
        <v>VESPERTINO</v>
      </c>
      <c r="E336" s="26" t="str">
        <f>"RIVERA DE SAN COSME NO 61                                                       "</f>
        <v xml:space="preserve">RIVERA DE SAN COSME NO 61                                                       </v>
      </c>
      <c r="F336" s="26" t="str">
        <f>"SANTA MARIA LA RIBERA                                                                                                                       "</f>
        <v xml:space="preserve">SANTA MARIA LA RIBERA                                                                                                                       </v>
      </c>
      <c r="G336" s="26" t="str">
        <f>"CUAUHTEMOC                                                                      "</f>
        <v xml:space="preserve">CUAUHTEMOC                                                                      </v>
      </c>
      <c r="H336" s="26" t="str">
        <f>"028"</f>
        <v>028</v>
      </c>
      <c r="I336" s="26" t="str">
        <f t="shared" si="69"/>
        <v>00</v>
      </c>
      <c r="J336" s="26" t="str">
        <f>"51 "</f>
        <v xml:space="preserve">51 </v>
      </c>
      <c r="K336" s="26" t="str">
        <f t="shared" si="71"/>
        <v>SG</v>
      </c>
      <c r="L336" s="26" t="str">
        <f t="shared" si="72"/>
        <v>DGOSE</v>
      </c>
      <c r="M336" s="26" t="str">
        <f t="shared" si="66"/>
        <v>FEDERAL</v>
      </c>
      <c r="N336" s="26">
        <v>465</v>
      </c>
      <c r="O336" s="26">
        <v>261</v>
      </c>
      <c r="P336" s="26">
        <v>204</v>
      </c>
      <c r="Q336" s="26">
        <v>18</v>
      </c>
      <c r="R336" s="26">
        <v>2</v>
      </c>
      <c r="S336" s="26">
        <v>54</v>
      </c>
      <c r="T336" s="26">
        <v>23</v>
      </c>
      <c r="U336" s="26">
        <v>79</v>
      </c>
      <c r="V336" s="26">
        <v>1</v>
      </c>
      <c r="W336" s="26"/>
    </row>
    <row r="337" spans="1:23" x14ac:dyDescent="0.25">
      <c r="A337" s="26" t="str">
        <f t="shared" si="65"/>
        <v>SECUNDARIA</v>
      </c>
      <c r="B337" s="26" t="str">
        <f>"09DES4005D"</f>
        <v>09DES4005D</v>
      </c>
      <c r="C337" s="26" t="str">
        <f>"LAURO AGUIRRE                                                                                       "</f>
        <v xml:space="preserve">LAURO AGUIRRE                                                                                       </v>
      </c>
      <c r="D337" s="26" t="str">
        <f t="shared" si="70"/>
        <v>VESPERTINO</v>
      </c>
      <c r="E337" s="26" t="str">
        <f>"ORFEBRERIA S/N Y PELUQUEROS                                                     "</f>
        <v xml:space="preserve">ORFEBRERIA S/N Y PELUQUEROS                                                     </v>
      </c>
      <c r="F337" s="26" t="str">
        <f>"MICHOACANA                                                                                                                                  "</f>
        <v xml:space="preserve">MICHOACANA                                                                                                                                  </v>
      </c>
      <c r="G337" s="26" t="str">
        <f>"VENUSTIANO CARRANZA                                                             "</f>
        <v xml:space="preserve">VENUSTIANO CARRANZA                                                             </v>
      </c>
      <c r="H337" s="26" t="str">
        <f>"074"</f>
        <v>074</v>
      </c>
      <c r="I337" s="26" t="str">
        <f t="shared" si="69"/>
        <v>00</v>
      </c>
      <c r="J337" s="26" t="str">
        <f>"54 "</f>
        <v xml:space="preserve">54 </v>
      </c>
      <c r="K337" s="26" t="str">
        <f t="shared" si="71"/>
        <v>SG</v>
      </c>
      <c r="L337" s="26" t="str">
        <f t="shared" si="72"/>
        <v>DGOSE</v>
      </c>
      <c r="M337" s="26" t="str">
        <f t="shared" si="66"/>
        <v>FEDERAL</v>
      </c>
      <c r="N337" s="26">
        <v>100</v>
      </c>
      <c r="O337" s="26">
        <v>62</v>
      </c>
      <c r="P337" s="26">
        <v>38</v>
      </c>
      <c r="Q337" s="26">
        <v>4</v>
      </c>
      <c r="R337" s="26">
        <v>1</v>
      </c>
      <c r="S337" s="26">
        <v>17</v>
      </c>
      <c r="T337" s="26">
        <v>14</v>
      </c>
      <c r="U337" s="26">
        <v>32</v>
      </c>
      <c r="V337" s="26">
        <v>1</v>
      </c>
      <c r="W337" s="26"/>
    </row>
    <row r="338" spans="1:23" x14ac:dyDescent="0.25">
      <c r="A338" s="26" t="str">
        <f t="shared" si="65"/>
        <v>SECUNDARIA</v>
      </c>
      <c r="B338" s="26" t="str">
        <f>"09DES4006C"</f>
        <v>09DES4006C</v>
      </c>
      <c r="C338" s="26" t="str">
        <f>"CARLOTA JASO                                                                                        "</f>
        <v xml:space="preserve">CARLOTA JASO                                                                                        </v>
      </c>
      <c r="D338" s="26" t="str">
        <f t="shared" si="70"/>
        <v>VESPERTINO</v>
      </c>
      <c r="E338" s="26" t="str">
        <f>"SAN IDELFONSO NO 46                                                             "</f>
        <v xml:space="preserve">SAN IDELFONSO NO 46                                                             </v>
      </c>
      <c r="F338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338" s="26" t="str">
        <f>"CUAUHTEMOC                                                                      "</f>
        <v xml:space="preserve">CUAUHTEMOC                                                                      </v>
      </c>
      <c r="H338" s="26" t="str">
        <f>"026"</f>
        <v>026</v>
      </c>
      <c r="I338" s="26" t="str">
        <f t="shared" si="69"/>
        <v>00</v>
      </c>
      <c r="J338" s="26" t="str">
        <f>"51 "</f>
        <v xml:space="preserve">51 </v>
      </c>
      <c r="K338" s="26" t="str">
        <f t="shared" si="71"/>
        <v>SG</v>
      </c>
      <c r="L338" s="26" t="str">
        <f t="shared" si="72"/>
        <v>DGOSE</v>
      </c>
      <c r="M338" s="26" t="str">
        <f t="shared" si="66"/>
        <v>FEDERAL</v>
      </c>
      <c r="N338" s="26">
        <v>179</v>
      </c>
      <c r="O338" s="26">
        <v>110</v>
      </c>
      <c r="P338" s="26">
        <v>69</v>
      </c>
      <c r="Q338" s="26">
        <v>9</v>
      </c>
      <c r="R338" s="26">
        <v>2</v>
      </c>
      <c r="S338" s="26">
        <v>25</v>
      </c>
      <c r="T338" s="26">
        <v>15</v>
      </c>
      <c r="U338" s="26">
        <v>42</v>
      </c>
      <c r="V338" s="26">
        <v>1</v>
      </c>
      <c r="W338" s="26"/>
    </row>
    <row r="339" spans="1:23" x14ac:dyDescent="0.25">
      <c r="A339" s="26" t="str">
        <f t="shared" si="65"/>
        <v>SECUNDARIA</v>
      </c>
      <c r="B339" s="26" t="str">
        <f>"09DES4007B"</f>
        <v>09DES4007B</v>
      </c>
      <c r="C339" s="26" t="str">
        <f>"JOSE MANUEL RAMOS                                                                                   "</f>
        <v xml:space="preserve">JOSE MANUEL RAMOS                                                                                   </v>
      </c>
      <c r="D339" s="26" t="str">
        <f t="shared" si="70"/>
        <v>VESPERTINO</v>
      </c>
      <c r="E339" s="26" t="str">
        <f>"5 DE FEBRERO NO 90                                                              "</f>
        <v xml:space="preserve">5 DE FEBRERO NO 90                                                              </v>
      </c>
      <c r="F339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339" s="26" t="str">
        <f>"CUAUHTEMOC                                                                      "</f>
        <v xml:space="preserve">CUAUHTEMOC                                                                      </v>
      </c>
      <c r="H339" s="26" t="str">
        <f>"025"</f>
        <v>025</v>
      </c>
      <c r="I339" s="26" t="str">
        <f t="shared" si="69"/>
        <v>00</v>
      </c>
      <c r="J339" s="26" t="str">
        <f>"51 "</f>
        <v xml:space="preserve">51 </v>
      </c>
      <c r="K339" s="26" t="str">
        <f t="shared" si="71"/>
        <v>SG</v>
      </c>
      <c r="L339" s="26" t="str">
        <f t="shared" si="72"/>
        <v>DGOSE</v>
      </c>
      <c r="M339" s="26" t="str">
        <f t="shared" si="66"/>
        <v>FEDERAL</v>
      </c>
      <c r="N339" s="26">
        <v>152</v>
      </c>
      <c r="O339" s="26">
        <v>92</v>
      </c>
      <c r="P339" s="26">
        <v>60</v>
      </c>
      <c r="Q339" s="26">
        <v>9</v>
      </c>
      <c r="R339" s="26">
        <v>2</v>
      </c>
      <c r="S339" s="26">
        <v>27</v>
      </c>
      <c r="T339" s="26">
        <v>18</v>
      </c>
      <c r="U339" s="26">
        <v>47</v>
      </c>
      <c r="V339" s="26">
        <v>1</v>
      </c>
      <c r="W339" s="26"/>
    </row>
    <row r="340" spans="1:23" x14ac:dyDescent="0.25">
      <c r="A340" s="26" t="str">
        <f t="shared" si="65"/>
        <v>SECUNDARIA</v>
      </c>
      <c r="B340" s="26" t="str">
        <f>"09DES4008A"</f>
        <v>09DES4008A</v>
      </c>
      <c r="C340" s="26" t="str">
        <f>"TOMAS GARRIGUE MASARYK                                                                              "</f>
        <v xml:space="preserve">TOMAS GARRIGUE MASARYK                                                                              </v>
      </c>
      <c r="D340" s="26" t="str">
        <f t="shared" si="70"/>
        <v>VESPERTINO</v>
      </c>
      <c r="E340" s="26" t="str">
        <f>"AV PRIMERO DE MAYO NO 172 Y C 4                                                 "</f>
        <v xml:space="preserve">AV PRIMERO DE MAYO NO 172 Y C 4                                                 </v>
      </c>
      <c r="F340" s="26" t="str">
        <f>"SAN PEDRO DE LOS PINOS                                                                                                                      "</f>
        <v xml:space="preserve">SAN PEDRO DE LOS PINOS                                                                                                                      </v>
      </c>
      <c r="G340" s="26" t="str">
        <f>"BENITO JUAREZ                                                                   "</f>
        <v xml:space="preserve">BENITO JUAREZ                                                                   </v>
      </c>
      <c r="H340" s="26" t="str">
        <f>"011"</f>
        <v>011</v>
      </c>
      <c r="I340" s="26" t="str">
        <f t="shared" si="69"/>
        <v>00</v>
      </c>
      <c r="J340" s="26" t="str">
        <f>"53 "</f>
        <v xml:space="preserve">53 </v>
      </c>
      <c r="K340" s="26" t="str">
        <f t="shared" si="71"/>
        <v>SG</v>
      </c>
      <c r="L340" s="26" t="str">
        <f t="shared" si="72"/>
        <v>DGOSE</v>
      </c>
      <c r="M340" s="26" t="str">
        <f t="shared" si="66"/>
        <v>FEDERAL</v>
      </c>
      <c r="N340" s="26">
        <v>636</v>
      </c>
      <c r="O340" s="26">
        <v>0</v>
      </c>
      <c r="P340" s="26">
        <v>636</v>
      </c>
      <c r="Q340" s="26">
        <v>18</v>
      </c>
      <c r="R340" s="26">
        <v>2</v>
      </c>
      <c r="S340" s="26">
        <v>51</v>
      </c>
      <c r="T340" s="26">
        <v>21</v>
      </c>
      <c r="U340" s="26">
        <v>74</v>
      </c>
      <c r="V340" s="26">
        <v>1</v>
      </c>
      <c r="W340" s="26"/>
    </row>
    <row r="341" spans="1:23" x14ac:dyDescent="0.25">
      <c r="A341" s="26" t="str">
        <f t="shared" si="65"/>
        <v>SECUNDARIA</v>
      </c>
      <c r="B341" s="26" t="str">
        <f>"09DES4009Z"</f>
        <v>09DES4009Z</v>
      </c>
      <c r="C341" s="26" t="str">
        <f>"TEUTLI                                                                                              "</f>
        <v xml:space="preserve">TEUTLI                                                                                              </v>
      </c>
      <c r="D341" s="26" t="str">
        <f t="shared" si="70"/>
        <v>VESPERTINO</v>
      </c>
      <c r="E341" s="26" t="str">
        <f>"AV DE LAS PALMAS S/N                                                            "</f>
        <v xml:space="preserve">AV DE LAS PALMAS S/N                                                            </v>
      </c>
      <c r="F341" s="26" t="str">
        <f>"TENANTITLA TECOMITL BARRIO                                                                                                                  "</f>
        <v xml:space="preserve">TENANTITLA TECOMITL BARRIO                                                                                                                  </v>
      </c>
      <c r="G341" s="26" t="str">
        <f>"MILPA ALTA                                                                      "</f>
        <v xml:space="preserve">MILPA ALTA                                                                      </v>
      </c>
      <c r="H341" s="26" t="str">
        <f>"066"</f>
        <v>066</v>
      </c>
      <c r="I341" s="26" t="str">
        <f t="shared" si="69"/>
        <v>00</v>
      </c>
      <c r="J341" s="26" t="str">
        <f>"55 "</f>
        <v xml:space="preserve">55 </v>
      </c>
      <c r="K341" s="26" t="str">
        <f t="shared" si="71"/>
        <v>SG</v>
      </c>
      <c r="L341" s="26" t="str">
        <f t="shared" si="72"/>
        <v>DGOSE</v>
      </c>
      <c r="M341" s="26" t="str">
        <f t="shared" si="66"/>
        <v>FEDERAL</v>
      </c>
      <c r="N341" s="26">
        <v>949</v>
      </c>
      <c r="O341" s="26">
        <v>463</v>
      </c>
      <c r="P341" s="26">
        <v>486</v>
      </c>
      <c r="Q341" s="26">
        <v>20</v>
      </c>
      <c r="R341" s="26">
        <v>4</v>
      </c>
      <c r="S341" s="26">
        <v>100</v>
      </c>
      <c r="T341" s="26">
        <v>68</v>
      </c>
      <c r="U341" s="26">
        <v>172</v>
      </c>
      <c r="V341" s="26">
        <v>1</v>
      </c>
      <c r="W341" s="26"/>
    </row>
    <row r="342" spans="1:23" x14ac:dyDescent="0.25">
      <c r="A342" s="26" t="str">
        <f t="shared" si="65"/>
        <v>SECUNDARIA</v>
      </c>
      <c r="B342" s="26" t="str">
        <f>"09DES4010P"</f>
        <v>09DES4010P</v>
      </c>
      <c r="C342" s="26" t="str">
        <f>"LEOPOLDO AYALA                                                                                      "</f>
        <v xml:space="preserve">LEOPOLDO AYALA                                                                                      </v>
      </c>
      <c r="D342" s="26" t="str">
        <f t="shared" si="70"/>
        <v>VESPERTINO</v>
      </c>
      <c r="E342" s="26" t="str">
        <f>"GOYA NO 34                                                                      "</f>
        <v xml:space="preserve">GOYA NO 34                                                                      </v>
      </c>
      <c r="F342" s="26" t="str">
        <f>"INSURGENTES MIXCOAC                                                                                                                         "</f>
        <v xml:space="preserve">INSURGENTES MIXCOAC                                                                                                                         </v>
      </c>
      <c r="G342" s="26" t="str">
        <f>"BENITO JUAREZ                                                                   "</f>
        <v xml:space="preserve">BENITO JUAREZ                                                                   </v>
      </c>
      <c r="H342" s="26" t="str">
        <f>"011"</f>
        <v>011</v>
      </c>
      <c r="I342" s="26" t="str">
        <f t="shared" si="69"/>
        <v>00</v>
      </c>
      <c r="J342" s="26" t="str">
        <f>"53 "</f>
        <v xml:space="preserve">53 </v>
      </c>
      <c r="K342" s="26" t="str">
        <f t="shared" si="71"/>
        <v>SG</v>
      </c>
      <c r="L342" s="26" t="str">
        <f t="shared" si="72"/>
        <v>DGOSE</v>
      </c>
      <c r="M342" s="26" t="str">
        <f t="shared" si="66"/>
        <v>FEDERAL</v>
      </c>
      <c r="N342" s="26">
        <v>512</v>
      </c>
      <c r="O342" s="26">
        <v>272</v>
      </c>
      <c r="P342" s="26">
        <v>240</v>
      </c>
      <c r="Q342" s="26">
        <v>12</v>
      </c>
      <c r="R342" s="26">
        <v>2</v>
      </c>
      <c r="S342" s="26">
        <v>27</v>
      </c>
      <c r="T342" s="26">
        <v>18</v>
      </c>
      <c r="U342" s="26">
        <v>47</v>
      </c>
      <c r="V342" s="26">
        <v>1</v>
      </c>
      <c r="W342" s="26"/>
    </row>
    <row r="343" spans="1:23" x14ac:dyDescent="0.25">
      <c r="A343" s="26" t="str">
        <f t="shared" si="65"/>
        <v>SECUNDARIA</v>
      </c>
      <c r="B343" s="26" t="str">
        <f>"09DES4015K"</f>
        <v>09DES4015K</v>
      </c>
      <c r="C343" s="26" t="str">
        <f>"ALBERT EINSTEIN                                                                                     "</f>
        <v xml:space="preserve">ALBERT EINSTEIN                                                                                     </v>
      </c>
      <c r="D343" s="26" t="str">
        <f t="shared" si="70"/>
        <v>VESPERTINO</v>
      </c>
      <c r="E343" s="26" t="str">
        <f>"CALZ MEXICO TACUBA NO 215                                                       "</f>
        <v xml:space="preserve">CALZ MEXICO TACUBA NO 215                                                       </v>
      </c>
      <c r="F343" s="26" t="str">
        <f>"UN HOGAR PARA NOSOTROS                                                                                                                      "</f>
        <v xml:space="preserve">UN HOGAR PARA NOSOTROS                                                                                                                      </v>
      </c>
      <c r="G343" s="26" t="str">
        <f>"MIGUEL HIDALGO                                                                  "</f>
        <v xml:space="preserve">MIGUEL HIDALGO                                                                  </v>
      </c>
      <c r="H343" s="26" t="str">
        <f>"064"</f>
        <v>064</v>
      </c>
      <c r="I343" s="26" t="str">
        <f t="shared" si="69"/>
        <v>00</v>
      </c>
      <c r="J343" s="26" t="str">
        <f>"51 "</f>
        <v xml:space="preserve">51 </v>
      </c>
      <c r="K343" s="26" t="str">
        <f t="shared" si="71"/>
        <v>SG</v>
      </c>
      <c r="L343" s="26" t="str">
        <f t="shared" si="72"/>
        <v>DGOSE</v>
      </c>
      <c r="M343" s="26" t="str">
        <f t="shared" si="66"/>
        <v>FEDERAL</v>
      </c>
      <c r="N343" s="26">
        <v>315</v>
      </c>
      <c r="O343" s="26">
        <v>203</v>
      </c>
      <c r="P343" s="26">
        <v>112</v>
      </c>
      <c r="Q343" s="26">
        <v>20</v>
      </c>
      <c r="R343" s="26">
        <v>1</v>
      </c>
      <c r="S343" s="26">
        <v>60</v>
      </c>
      <c r="T343" s="26">
        <v>27</v>
      </c>
      <c r="U343" s="26">
        <v>88</v>
      </c>
      <c r="V343" s="26">
        <v>1</v>
      </c>
      <c r="W343" s="26"/>
    </row>
    <row r="344" spans="1:23" x14ac:dyDescent="0.25">
      <c r="A344" s="26" t="str">
        <f t="shared" si="65"/>
        <v>SECUNDARIA</v>
      </c>
      <c r="B344" s="26" t="str">
        <f>"09DES4018H"</f>
        <v>09DES4018H</v>
      </c>
      <c r="C344" s="26" t="str">
        <f>"SOLEDAD ANAYA SOLORZANO                                                                             "</f>
        <v xml:space="preserve">SOLEDAD ANAYA SOLORZANO                                                                             </v>
      </c>
      <c r="D344" s="26" t="str">
        <f t="shared" si="70"/>
        <v>VESPERTINO</v>
      </c>
      <c r="E344" s="26" t="str">
        <f>"CORDOBA NO 68                                                                   "</f>
        <v xml:space="preserve">CORDOBA NO 68                                                                   </v>
      </c>
      <c r="F344" s="26" t="str">
        <f>"ROMA NORTE                                                                                                                                  "</f>
        <v xml:space="preserve">ROMA NORTE                                                                                                                                  </v>
      </c>
      <c r="G344" s="26" t="str">
        <f>"CUAUHTEMOC                                                                      "</f>
        <v xml:space="preserve">CUAUHTEMOC                                                                      </v>
      </c>
      <c r="H344" s="26" t="str">
        <f>"030"</f>
        <v>030</v>
      </c>
      <c r="I344" s="26" t="str">
        <f t="shared" si="69"/>
        <v>00</v>
      </c>
      <c r="J344" s="26" t="str">
        <f>"51 "</f>
        <v xml:space="preserve">51 </v>
      </c>
      <c r="K344" s="26" t="str">
        <f t="shared" si="71"/>
        <v>SG</v>
      </c>
      <c r="L344" s="26" t="str">
        <f t="shared" si="72"/>
        <v>DGOSE</v>
      </c>
      <c r="M344" s="26" t="str">
        <f t="shared" si="66"/>
        <v>FEDERAL</v>
      </c>
      <c r="N344" s="26">
        <v>364</v>
      </c>
      <c r="O344" s="26">
        <v>213</v>
      </c>
      <c r="P344" s="26">
        <v>151</v>
      </c>
      <c r="Q344" s="26">
        <v>15</v>
      </c>
      <c r="R344" s="26">
        <v>2</v>
      </c>
      <c r="S344" s="26">
        <v>41</v>
      </c>
      <c r="T344" s="26">
        <v>16</v>
      </c>
      <c r="U344" s="26">
        <v>59</v>
      </c>
      <c r="V344" s="26">
        <v>1</v>
      </c>
      <c r="W344" s="26"/>
    </row>
    <row r="345" spans="1:23" x14ac:dyDescent="0.25">
      <c r="A345" s="26" t="str">
        <f t="shared" si="65"/>
        <v>SECUNDARIA</v>
      </c>
      <c r="B345" s="26" t="str">
        <f>"09DES4019G"</f>
        <v>09DES4019G</v>
      </c>
      <c r="C345" s="26" t="str">
        <f>"DOLORES ANGELA CASTILLO                                                                             "</f>
        <v xml:space="preserve">DOLORES ANGELA CASTILLO                                                                             </v>
      </c>
      <c r="D345" s="26" t="str">
        <f t="shared" si="70"/>
        <v>VESPERTINO</v>
      </c>
      <c r="E345" s="26" t="str">
        <f>"CDA DE JUAREZ NO 12                                                             "</f>
        <v xml:space="preserve">CDA DE JUAREZ NO 12                                                             </v>
      </c>
      <c r="F345" s="26" t="str">
        <f>"CUAJIMALPA                                                                                                                                  "</f>
        <v xml:space="preserve">CUAJIMALPA                                                                                                                                  </v>
      </c>
      <c r="G345" s="26" t="str">
        <f>"CUAJIMALPA DE MORELOS                                                           "</f>
        <v xml:space="preserve">CUAJIMALPA DE MORELOS                                                           </v>
      </c>
      <c r="H345" s="26" t="str">
        <f>"023"</f>
        <v>023</v>
      </c>
      <c r="I345" s="26" t="str">
        <f t="shared" si="69"/>
        <v>00</v>
      </c>
      <c r="J345" s="26" t="str">
        <f>"53 "</f>
        <v xml:space="preserve">53 </v>
      </c>
      <c r="K345" s="26" t="str">
        <f t="shared" si="71"/>
        <v>SG</v>
      </c>
      <c r="L345" s="26" t="str">
        <f t="shared" si="72"/>
        <v>DGOSE</v>
      </c>
      <c r="M345" s="26" t="str">
        <f t="shared" si="66"/>
        <v>FEDERAL</v>
      </c>
      <c r="N345" s="26">
        <v>1005</v>
      </c>
      <c r="O345" s="26">
        <v>513</v>
      </c>
      <c r="P345" s="26">
        <v>492</v>
      </c>
      <c r="Q345" s="26">
        <v>20</v>
      </c>
      <c r="R345" s="26">
        <v>1</v>
      </c>
      <c r="S345" s="26">
        <v>48</v>
      </c>
      <c r="T345" s="26">
        <v>23</v>
      </c>
      <c r="U345" s="26">
        <v>72</v>
      </c>
      <c r="V345" s="26">
        <v>1</v>
      </c>
      <c r="W345" s="26"/>
    </row>
    <row r="346" spans="1:23" x14ac:dyDescent="0.25">
      <c r="A346" s="26" t="str">
        <f t="shared" si="65"/>
        <v>SECUNDARIA</v>
      </c>
      <c r="B346" s="26" t="str">
        <f>"09DES4022U"</f>
        <v>09DES4022U</v>
      </c>
      <c r="C346" s="26" t="str">
        <f>"ENRIQUE O. ARAGON                                                                                   "</f>
        <v xml:space="preserve">ENRIQUE O. ARAGON                                                                                   </v>
      </c>
      <c r="D346" s="26" t="str">
        <f t="shared" si="70"/>
        <v>VESPERTINO</v>
      </c>
      <c r="E346" s="26" t="str">
        <f>"CDA. COMONFORT S/N                                                              "</f>
        <v xml:space="preserve">CDA. COMONFORT S/N                                                              </v>
      </c>
      <c r="F346" s="26" t="str">
        <f>"SAN LUCAS                                                                                                                                   "</f>
        <v xml:space="preserve">SAN LUCAS                                                                                                                                   </v>
      </c>
      <c r="G346" s="26" t="str">
        <f>"IZTAPALAPA                                                                      "</f>
        <v xml:space="preserve">IZTAPALAPA                                                                      </v>
      </c>
      <c r="H346" s="26" t="str">
        <f>"010"</f>
        <v>010</v>
      </c>
      <c r="I346" s="26" t="str">
        <f t="shared" si="69"/>
        <v>00</v>
      </c>
      <c r="J346" s="26" t="str">
        <f>"63 "</f>
        <v xml:space="preserve">63 </v>
      </c>
      <c r="K346" s="26" t="str">
        <f>"IZ"</f>
        <v>IZ</v>
      </c>
      <c r="L346" s="26" t="str">
        <f>"DGSEI"</f>
        <v>DGSEI</v>
      </c>
      <c r="M346" s="26" t="str">
        <f t="shared" si="66"/>
        <v>FEDERAL</v>
      </c>
      <c r="N346" s="26">
        <v>351</v>
      </c>
      <c r="O346" s="26">
        <v>189</v>
      </c>
      <c r="P346" s="26">
        <v>162</v>
      </c>
      <c r="Q346" s="26">
        <v>18</v>
      </c>
      <c r="R346" s="26">
        <v>2</v>
      </c>
      <c r="S346" s="26">
        <v>48</v>
      </c>
      <c r="T346" s="26">
        <v>22</v>
      </c>
      <c r="U346" s="26">
        <v>72</v>
      </c>
      <c r="V346" s="26">
        <v>1</v>
      </c>
      <c r="W346" s="26"/>
    </row>
    <row r="347" spans="1:23" x14ac:dyDescent="0.25">
      <c r="A347" s="26" t="str">
        <f t="shared" si="65"/>
        <v>SECUNDARIA</v>
      </c>
      <c r="B347" s="26" t="str">
        <f>"09DES4024S"</f>
        <v>09DES4024S</v>
      </c>
      <c r="C347" s="26" t="str">
        <f>"LEONA VICARIO                                                                                       "</f>
        <v xml:space="preserve">LEONA VICARIO                                                                                       </v>
      </c>
      <c r="D347" s="26" t="str">
        <f t="shared" si="70"/>
        <v>VESPERTINO</v>
      </c>
      <c r="E347" s="26" t="str">
        <f>"FORTUNA NO 45                                                                   "</f>
        <v xml:space="preserve">FORTUNA NO 45                                                                   </v>
      </c>
      <c r="F347" s="26" t="str">
        <f>"TEPEYAC INSURGENTES                                                                                                                         "</f>
        <v xml:space="preserve">TEPEYAC INSURGENTES                                                                                                                         </v>
      </c>
      <c r="G347" s="26" t="str">
        <f>"GUSTAVO A. MADERO                                                               "</f>
        <v xml:space="preserve">GUSTAVO A. MADERO                                                               </v>
      </c>
      <c r="H347" s="26" t="str">
        <f>"035"</f>
        <v>035</v>
      </c>
      <c r="I347" s="26" t="str">
        <f t="shared" si="69"/>
        <v>00</v>
      </c>
      <c r="J347" s="26" t="str">
        <f>"52 "</f>
        <v xml:space="preserve">52 </v>
      </c>
      <c r="K347" s="26" t="str">
        <f t="shared" ref="K347:K383" si="73">"SG"</f>
        <v>SG</v>
      </c>
      <c r="L347" s="26" t="str">
        <f t="shared" ref="L347:L383" si="74">"DGOSE"</f>
        <v>DGOSE</v>
      </c>
      <c r="M347" s="26" t="str">
        <f t="shared" si="66"/>
        <v>FEDERAL</v>
      </c>
      <c r="N347" s="26">
        <v>371</v>
      </c>
      <c r="O347" s="26">
        <v>183</v>
      </c>
      <c r="P347" s="26">
        <v>188</v>
      </c>
      <c r="Q347" s="26">
        <v>10</v>
      </c>
      <c r="R347" s="26">
        <v>2</v>
      </c>
      <c r="S347" s="26">
        <v>33</v>
      </c>
      <c r="T347" s="26">
        <v>20</v>
      </c>
      <c r="U347" s="26">
        <v>55</v>
      </c>
      <c r="V347" s="26">
        <v>1</v>
      </c>
      <c r="W347" s="26"/>
    </row>
    <row r="348" spans="1:23" x14ac:dyDescent="0.25">
      <c r="A348" s="26" t="str">
        <f t="shared" si="65"/>
        <v>SECUNDARIA</v>
      </c>
      <c r="B348" s="26" t="str">
        <f>"09DES4025R"</f>
        <v>09DES4025R</v>
      </c>
      <c r="C348" s="26" t="str">
        <f>"FERNANDO MONTES DE OCA                                                                              "</f>
        <v xml:space="preserve">FERNANDO MONTES DE OCA                                                                              </v>
      </c>
      <c r="D348" s="26" t="str">
        <f t="shared" si="70"/>
        <v>VESPERTINO</v>
      </c>
      <c r="E348" s="26" t="str">
        <f>"P DE GUERRA JACARANDAS Y FRESNO                                                 "</f>
        <v xml:space="preserve">P DE GUERRA JACARANDAS Y FRESNO                                                 </v>
      </c>
      <c r="F348" s="26" t="str">
        <f>"PASTEROS                                                                                                                                    "</f>
        <v xml:space="preserve">PASTEROS                                                                                                                                    </v>
      </c>
      <c r="G348" s="26" t="str">
        <f>"AZCAPOTZALCO                                                                    "</f>
        <v xml:space="preserve">AZCAPOTZALCO                                                                    </v>
      </c>
      <c r="H348" s="26" t="str">
        <f>"007"</f>
        <v>007</v>
      </c>
      <c r="I348" s="26" t="str">
        <f t="shared" si="69"/>
        <v>00</v>
      </c>
      <c r="J348" s="26" t="str">
        <f>"51 "</f>
        <v xml:space="preserve">51 </v>
      </c>
      <c r="K348" s="26" t="str">
        <f t="shared" si="73"/>
        <v>SG</v>
      </c>
      <c r="L348" s="26" t="str">
        <f t="shared" si="74"/>
        <v>DGOSE</v>
      </c>
      <c r="M348" s="26" t="str">
        <f t="shared" si="66"/>
        <v>FEDERAL</v>
      </c>
      <c r="N348" s="26">
        <v>51</v>
      </c>
      <c r="O348" s="26">
        <v>30</v>
      </c>
      <c r="P348" s="26">
        <v>21</v>
      </c>
      <c r="Q348" s="26">
        <v>3</v>
      </c>
      <c r="R348" s="26">
        <v>2</v>
      </c>
      <c r="S348" s="26">
        <v>15</v>
      </c>
      <c r="T348" s="26">
        <v>12</v>
      </c>
      <c r="U348" s="26">
        <v>29</v>
      </c>
      <c r="V348" s="26">
        <v>1</v>
      </c>
      <c r="W348" s="26"/>
    </row>
    <row r="349" spans="1:23" x14ac:dyDescent="0.25">
      <c r="A349" s="26" t="str">
        <f t="shared" si="65"/>
        <v>SECUNDARIA</v>
      </c>
      <c r="B349" s="26" t="str">
        <f>"09DES4026Q"</f>
        <v>09DES4026Q</v>
      </c>
      <c r="C349" s="26" t="str">
        <f>"FRANCISCO I. MADERO                                                                                 "</f>
        <v xml:space="preserve">FRANCISCO I. MADERO                                                                                 </v>
      </c>
      <c r="D349" s="26" t="str">
        <f t="shared" si="70"/>
        <v>VESPERTINO</v>
      </c>
      <c r="E349" s="26" t="str">
        <f>"ROSAS MORENO NO 64                                                              "</f>
        <v xml:space="preserve">ROSAS MORENO NO 64                                                              </v>
      </c>
      <c r="F349" s="26" t="str">
        <f>"SAN RAFAEL                                                                                                                                  "</f>
        <v xml:space="preserve">SAN RAFAEL                                                                                                                                  </v>
      </c>
      <c r="G349" s="26" t="str">
        <f>"CUAUHTEMOC                                                                      "</f>
        <v xml:space="preserve">CUAUHTEMOC                                                                      </v>
      </c>
      <c r="H349" s="26" t="str">
        <f>"027"</f>
        <v>027</v>
      </c>
      <c r="I349" s="26" t="str">
        <f t="shared" si="69"/>
        <v>00</v>
      </c>
      <c r="J349" s="26" t="str">
        <f>"51 "</f>
        <v xml:space="preserve">51 </v>
      </c>
      <c r="K349" s="26" t="str">
        <f t="shared" si="73"/>
        <v>SG</v>
      </c>
      <c r="L349" s="26" t="str">
        <f t="shared" si="74"/>
        <v>DGOSE</v>
      </c>
      <c r="M349" s="26" t="str">
        <f t="shared" si="66"/>
        <v>FEDERAL</v>
      </c>
      <c r="N349" s="26">
        <v>175</v>
      </c>
      <c r="O349" s="26">
        <v>119</v>
      </c>
      <c r="P349" s="26">
        <v>56</v>
      </c>
      <c r="Q349" s="26">
        <v>10</v>
      </c>
      <c r="R349" s="26">
        <v>1</v>
      </c>
      <c r="S349" s="26">
        <v>33</v>
      </c>
      <c r="T349" s="26">
        <v>23</v>
      </c>
      <c r="U349" s="26">
        <v>57</v>
      </c>
      <c r="V349" s="26">
        <v>1</v>
      </c>
      <c r="W349" s="26"/>
    </row>
    <row r="350" spans="1:23" x14ac:dyDescent="0.25">
      <c r="A350" s="26" t="str">
        <f t="shared" si="65"/>
        <v>SECUNDARIA</v>
      </c>
      <c r="B350" s="26" t="str">
        <f>"09DES4027P"</f>
        <v>09DES4027P</v>
      </c>
      <c r="C350" s="26" t="str">
        <f>"ALFREDO E. URUCHURTU                                                                                "</f>
        <v xml:space="preserve">ALFREDO E. URUCHURTU                                                                                </v>
      </c>
      <c r="D350" s="26" t="str">
        <f t="shared" si="70"/>
        <v>VESPERTINO</v>
      </c>
      <c r="E350" s="26" t="str">
        <f>"JOSE MORENO SALIDO NO 47                                                        "</f>
        <v xml:space="preserve">JOSE MORENO SALIDO NO 47                                                        </v>
      </c>
      <c r="F350" s="26" t="str">
        <f>"BARRANCA SECA                                                                                                                               "</f>
        <v xml:space="preserve">BARRANCA SECA                                                                                                                               </v>
      </c>
      <c r="G350" s="26" t="str">
        <f>"LA MAGDALENA CONTRERAS                                                          "</f>
        <v xml:space="preserve">LA MAGDALENA CONTRERAS                                                          </v>
      </c>
      <c r="H350" s="26" t="str">
        <f>"059"</f>
        <v>059</v>
      </c>
      <c r="I350" s="26" t="str">
        <f t="shared" si="69"/>
        <v>00</v>
      </c>
      <c r="J350" s="26" t="str">
        <f>"53 "</f>
        <v xml:space="preserve">53 </v>
      </c>
      <c r="K350" s="26" t="str">
        <f t="shared" si="73"/>
        <v>SG</v>
      </c>
      <c r="L350" s="26" t="str">
        <f t="shared" si="74"/>
        <v>DGOSE</v>
      </c>
      <c r="M350" s="26" t="str">
        <f t="shared" si="66"/>
        <v>FEDERAL</v>
      </c>
      <c r="N350" s="26">
        <v>539</v>
      </c>
      <c r="O350" s="26">
        <v>270</v>
      </c>
      <c r="P350" s="26">
        <v>269</v>
      </c>
      <c r="Q350" s="26">
        <v>11</v>
      </c>
      <c r="R350" s="26">
        <v>2</v>
      </c>
      <c r="S350" s="26">
        <v>30</v>
      </c>
      <c r="T350" s="26">
        <v>14</v>
      </c>
      <c r="U350" s="26">
        <v>46</v>
      </c>
      <c r="V350" s="26">
        <v>1</v>
      </c>
      <c r="W350" s="26"/>
    </row>
    <row r="351" spans="1:23" x14ac:dyDescent="0.25">
      <c r="A351" s="26" t="str">
        <f t="shared" si="65"/>
        <v>SECUNDARIA</v>
      </c>
      <c r="B351" s="26" t="str">
        <f>"09DES4028O"</f>
        <v>09DES4028O</v>
      </c>
      <c r="C351" s="26" t="str">
        <f>"DR. MANUEL BARRANCO                                                                                 "</f>
        <v xml:space="preserve">DR. MANUEL BARRANCO                                                                                 </v>
      </c>
      <c r="D351" s="26" t="str">
        <f t="shared" si="70"/>
        <v>VESPERTINO</v>
      </c>
      <c r="E351" s="26" t="str">
        <f>"AMADO NERVO NO 88                                                               "</f>
        <v xml:space="preserve">AMADO NERVO NO 88                                                               </v>
      </c>
      <c r="F351" s="26" t="str">
        <f>"SANTA MARIA LA RIBERA                                                                                                                       "</f>
        <v xml:space="preserve">SANTA MARIA LA RIBERA                                                                                                                       </v>
      </c>
      <c r="G351" s="26" t="str">
        <f>"CUAUHTEMOC                                                                      "</f>
        <v xml:space="preserve">CUAUHTEMOC                                                                      </v>
      </c>
      <c r="H351" s="26" t="str">
        <f>"027"</f>
        <v>027</v>
      </c>
      <c r="I351" s="26" t="str">
        <f t="shared" si="69"/>
        <v>00</v>
      </c>
      <c r="J351" s="26" t="str">
        <f>"51 "</f>
        <v xml:space="preserve">51 </v>
      </c>
      <c r="K351" s="26" t="str">
        <f t="shared" si="73"/>
        <v>SG</v>
      </c>
      <c r="L351" s="26" t="str">
        <f t="shared" si="74"/>
        <v>DGOSE</v>
      </c>
      <c r="M351" s="26" t="str">
        <f t="shared" si="66"/>
        <v>FEDERAL</v>
      </c>
      <c r="N351" s="26">
        <v>85</v>
      </c>
      <c r="O351" s="26">
        <v>58</v>
      </c>
      <c r="P351" s="26">
        <v>27</v>
      </c>
      <c r="Q351" s="26">
        <v>5</v>
      </c>
      <c r="R351" s="26">
        <v>2</v>
      </c>
      <c r="S351" s="26">
        <v>22</v>
      </c>
      <c r="T351" s="26">
        <v>14</v>
      </c>
      <c r="U351" s="26">
        <v>38</v>
      </c>
      <c r="V351" s="26">
        <v>1</v>
      </c>
      <c r="W351" s="26"/>
    </row>
    <row r="352" spans="1:23" x14ac:dyDescent="0.25">
      <c r="A352" s="26" t="str">
        <f t="shared" si="65"/>
        <v>SECUNDARIA</v>
      </c>
      <c r="B352" s="26" t="str">
        <f>"09DES4029N"</f>
        <v>09DES4029N</v>
      </c>
      <c r="C352" s="26" t="str">
        <f>"DON MIGUEL HIDALGO Y COSTILLA                                                                       "</f>
        <v xml:space="preserve">DON MIGUEL HIDALGO Y COSTILLA                                                                       </v>
      </c>
      <c r="D352" s="26" t="str">
        <f t="shared" si="70"/>
        <v>VESPERTINO</v>
      </c>
      <c r="E352" s="26" t="str">
        <f>"MONEDA NO 13                                                                    "</f>
        <v xml:space="preserve">MONEDA NO 13                                                                    </v>
      </c>
      <c r="F352" s="26" t="str">
        <f>"TLALPAN                                                                                                                                     "</f>
        <v xml:space="preserve">TLALPAN                                                                                                                                     </v>
      </c>
      <c r="G352" s="26" t="str">
        <f>"TLALPAN                                                                         "</f>
        <v xml:space="preserve">TLALPAN                                                                         </v>
      </c>
      <c r="H352" s="26" t="str">
        <f>"072"</f>
        <v>072</v>
      </c>
      <c r="I352" s="26" t="str">
        <f t="shared" si="69"/>
        <v>00</v>
      </c>
      <c r="J352" s="26" t="str">
        <f>"55 "</f>
        <v xml:space="preserve">55 </v>
      </c>
      <c r="K352" s="26" t="str">
        <f t="shared" si="73"/>
        <v>SG</v>
      </c>
      <c r="L352" s="26" t="str">
        <f t="shared" si="74"/>
        <v>DGOSE</v>
      </c>
      <c r="M352" s="26" t="str">
        <f t="shared" si="66"/>
        <v>FEDERAL</v>
      </c>
      <c r="N352" s="26">
        <v>396</v>
      </c>
      <c r="O352" s="26">
        <v>202</v>
      </c>
      <c r="P352" s="26">
        <v>194</v>
      </c>
      <c r="Q352" s="26">
        <v>9</v>
      </c>
      <c r="R352" s="26">
        <v>2</v>
      </c>
      <c r="S352" s="26">
        <v>28</v>
      </c>
      <c r="T352" s="26">
        <v>18</v>
      </c>
      <c r="U352" s="26">
        <v>48</v>
      </c>
      <c r="V352" s="26">
        <v>1</v>
      </c>
      <c r="W352" s="26"/>
    </row>
    <row r="353" spans="1:23" x14ac:dyDescent="0.25">
      <c r="A353" s="26" t="str">
        <f t="shared" si="65"/>
        <v>SECUNDARIA</v>
      </c>
      <c r="B353" s="26" t="str">
        <f>"09DES4031B"</f>
        <v>09DES4031B</v>
      </c>
      <c r="C353" s="26" t="str">
        <f>"DR. ALFONSO PRUNEDA                                                                                 "</f>
        <v xml:space="preserve">DR. ALFONSO PRUNEDA                                                                                 </v>
      </c>
      <c r="D353" s="26" t="str">
        <f t="shared" si="70"/>
        <v>VESPERTINO</v>
      </c>
      <c r="E353" s="26" t="str">
        <f>"AV CHAPULTEPEC S/N                                                              "</f>
        <v xml:space="preserve">AV CHAPULTEPEC S/N                                                              </v>
      </c>
      <c r="F353" s="26" t="str">
        <f>"SAN GREGORIO ATLAPULCO                                                                                                                      "</f>
        <v xml:space="preserve">SAN GREGORIO ATLAPULCO                                                                                                                      </v>
      </c>
      <c r="G353" s="26" t="str">
        <f>"XOCHIMILCO                                                                      "</f>
        <v xml:space="preserve">XOCHIMILCO                                                                      </v>
      </c>
      <c r="H353" s="26" t="str">
        <f>"081"</f>
        <v>081</v>
      </c>
      <c r="I353" s="26" t="str">
        <f t="shared" si="69"/>
        <v>00</v>
      </c>
      <c r="J353" s="26" t="str">
        <f>"55 "</f>
        <v xml:space="preserve">55 </v>
      </c>
      <c r="K353" s="26" t="str">
        <f t="shared" si="73"/>
        <v>SG</v>
      </c>
      <c r="L353" s="26" t="str">
        <f t="shared" si="74"/>
        <v>DGOSE</v>
      </c>
      <c r="M353" s="26" t="str">
        <f t="shared" si="66"/>
        <v>FEDERAL</v>
      </c>
      <c r="N353" s="26">
        <v>868</v>
      </c>
      <c r="O353" s="26">
        <v>425</v>
      </c>
      <c r="P353" s="26">
        <v>443</v>
      </c>
      <c r="Q353" s="26">
        <v>19</v>
      </c>
      <c r="R353" s="26">
        <v>2</v>
      </c>
      <c r="S353" s="26">
        <v>44</v>
      </c>
      <c r="T353" s="26">
        <v>29</v>
      </c>
      <c r="U353" s="26">
        <v>75</v>
      </c>
      <c r="V353" s="26">
        <v>1</v>
      </c>
      <c r="W353" s="26"/>
    </row>
    <row r="354" spans="1:23" x14ac:dyDescent="0.25">
      <c r="A354" s="26" t="str">
        <f t="shared" si="65"/>
        <v>SECUNDARIA</v>
      </c>
      <c r="B354" s="26" t="str">
        <f>"09DES4033Z"</f>
        <v>09DES4033Z</v>
      </c>
      <c r="C354" s="26" t="str">
        <f>"SR. DN. VENUSTIANO CARRANZA                                                                         "</f>
        <v xml:space="preserve">SR. DN. VENUSTIANO CARRANZA                                                                         </v>
      </c>
      <c r="D354" s="26" t="str">
        <f t="shared" si="70"/>
        <v>VESPERTINO</v>
      </c>
      <c r="E354" s="26" t="str">
        <f>"AV CUITLAHUAC Y CEYLAN                                                          "</f>
        <v xml:space="preserve">AV CUITLAHUAC Y CEYLAN                                                          </v>
      </c>
      <c r="F354" s="26" t="str">
        <f>"COSMOPOLITA                                                                                                                                 "</f>
        <v xml:space="preserve">COSMOPOLITA                                                                                                                                 </v>
      </c>
      <c r="G354" s="26" t="str">
        <f>"AZCAPOTZALCO                                                                    "</f>
        <v xml:space="preserve">AZCAPOTZALCO                                                                    </v>
      </c>
      <c r="H354" s="26" t="str">
        <f>"009"</f>
        <v>009</v>
      </c>
      <c r="I354" s="26" t="str">
        <f t="shared" si="69"/>
        <v>00</v>
      </c>
      <c r="J354" s="26" t="str">
        <f>"51 "</f>
        <v xml:space="preserve">51 </v>
      </c>
      <c r="K354" s="26" t="str">
        <f t="shared" si="73"/>
        <v>SG</v>
      </c>
      <c r="L354" s="26" t="str">
        <f t="shared" si="74"/>
        <v>DGOSE</v>
      </c>
      <c r="M354" s="26" t="str">
        <f t="shared" si="66"/>
        <v>FEDERAL</v>
      </c>
      <c r="N354" s="26">
        <v>115</v>
      </c>
      <c r="O354" s="26">
        <v>73</v>
      </c>
      <c r="P354" s="26">
        <v>42</v>
      </c>
      <c r="Q354" s="26">
        <v>5</v>
      </c>
      <c r="R354" s="26">
        <v>2</v>
      </c>
      <c r="S354" s="26">
        <v>26</v>
      </c>
      <c r="T354" s="26">
        <v>13</v>
      </c>
      <c r="U354" s="26">
        <v>41</v>
      </c>
      <c r="V354" s="26">
        <v>1</v>
      </c>
      <c r="W354" s="26"/>
    </row>
    <row r="355" spans="1:23" x14ac:dyDescent="0.25">
      <c r="A355" s="26" t="str">
        <f t="shared" si="65"/>
        <v>SECUNDARIA</v>
      </c>
      <c r="B355" s="26" t="str">
        <f>"09DES4035Y"</f>
        <v>09DES4035Y</v>
      </c>
      <c r="C355" s="26" t="str">
        <f>"VICENTE GUERRERO                                                                                    "</f>
        <v xml:space="preserve">VICENTE GUERRERO                                                                                    </v>
      </c>
      <c r="D355" s="26" t="str">
        <f t="shared" si="70"/>
        <v>VESPERTINO</v>
      </c>
      <c r="E355" s="26" t="str">
        <f>"CORINA NO 95                                                                    "</f>
        <v xml:space="preserve">CORINA NO 95                                                                    </v>
      </c>
      <c r="F355" s="26" t="str">
        <f>"DEL CARMEN                                                                                                                                  "</f>
        <v xml:space="preserve">DEL CARMEN                                                                                                                                  </v>
      </c>
      <c r="G355" s="26" t="str">
        <f>"COYOACAN                                                                        "</f>
        <v xml:space="preserve">COYOACAN                                                                        </v>
      </c>
      <c r="H355" s="26" t="str">
        <f>"018"</f>
        <v>018</v>
      </c>
      <c r="I355" s="26" t="str">
        <f t="shared" si="69"/>
        <v>00</v>
      </c>
      <c r="J355" s="26" t="str">
        <f>"54 "</f>
        <v xml:space="preserve">54 </v>
      </c>
      <c r="K355" s="26" t="str">
        <f t="shared" si="73"/>
        <v>SG</v>
      </c>
      <c r="L355" s="26" t="str">
        <f t="shared" si="74"/>
        <v>DGOSE</v>
      </c>
      <c r="M355" s="26" t="str">
        <f t="shared" si="66"/>
        <v>FEDERAL</v>
      </c>
      <c r="N355" s="26">
        <v>583</v>
      </c>
      <c r="O355" s="26">
        <v>271</v>
      </c>
      <c r="P355" s="26">
        <v>312</v>
      </c>
      <c r="Q355" s="26">
        <v>18</v>
      </c>
      <c r="R355" s="26">
        <v>2</v>
      </c>
      <c r="S355" s="26">
        <v>42</v>
      </c>
      <c r="T355" s="26">
        <v>24</v>
      </c>
      <c r="U355" s="26">
        <v>68</v>
      </c>
      <c r="V355" s="26">
        <v>1</v>
      </c>
      <c r="W355" s="26"/>
    </row>
    <row r="356" spans="1:23" x14ac:dyDescent="0.25">
      <c r="A356" s="26" t="str">
        <f t="shared" si="65"/>
        <v>SECUNDARIA</v>
      </c>
      <c r="B356" s="26" t="str">
        <f>"09DES4036X"</f>
        <v>09DES4036X</v>
      </c>
      <c r="C356" s="26" t="str">
        <f>"CUAUHTEMOC                                                                                          "</f>
        <v xml:space="preserve">CUAUHTEMOC                                                                                          </v>
      </c>
      <c r="D356" s="26" t="str">
        <f t="shared" si="70"/>
        <v>VESPERTINO</v>
      </c>
      <c r="E356" s="26" t="str">
        <f>"AV HIDALGO NO 21                                                                "</f>
        <v xml:space="preserve">AV HIDALGO NO 21                                                                </v>
      </c>
      <c r="F356" s="26" t="str">
        <f>"LA ASUNCION                                                                                                                                 "</f>
        <v xml:space="preserve">LA ASUNCION                                                                                                                                 </v>
      </c>
      <c r="G356" s="26" t="str">
        <f>"XOCHIMILCO                                                                      "</f>
        <v xml:space="preserve">XOCHIMILCO                                                                      </v>
      </c>
      <c r="H356" s="26" t="str">
        <f>"081"</f>
        <v>081</v>
      </c>
      <c r="I356" s="26" t="str">
        <f t="shared" si="69"/>
        <v>00</v>
      </c>
      <c r="J356" s="26" t="str">
        <f>"55 "</f>
        <v xml:space="preserve">55 </v>
      </c>
      <c r="K356" s="26" t="str">
        <f t="shared" si="73"/>
        <v>SG</v>
      </c>
      <c r="L356" s="26" t="str">
        <f t="shared" si="74"/>
        <v>DGOSE</v>
      </c>
      <c r="M356" s="26" t="str">
        <f t="shared" si="66"/>
        <v>FEDERAL</v>
      </c>
      <c r="N356" s="26">
        <v>808</v>
      </c>
      <c r="O356" s="26">
        <v>391</v>
      </c>
      <c r="P356" s="26">
        <v>417</v>
      </c>
      <c r="Q356" s="26">
        <v>18</v>
      </c>
      <c r="R356" s="26">
        <v>2</v>
      </c>
      <c r="S356" s="26">
        <v>48</v>
      </c>
      <c r="T356" s="26">
        <v>25</v>
      </c>
      <c r="U356" s="26">
        <v>75</v>
      </c>
      <c r="V356" s="26">
        <v>1</v>
      </c>
      <c r="W356" s="26"/>
    </row>
    <row r="357" spans="1:23" x14ac:dyDescent="0.25">
      <c r="A357" s="26" t="str">
        <f t="shared" si="65"/>
        <v>SECUNDARIA</v>
      </c>
      <c r="B357" s="26" t="str">
        <f>"09DES4037W"</f>
        <v>09DES4037W</v>
      </c>
      <c r="C357" s="26" t="str">
        <f>"EMILIANO ZAPATA                                                                                     "</f>
        <v xml:space="preserve">EMILIANO ZAPATA                                                                                     </v>
      </c>
      <c r="D357" s="26" t="str">
        <f t="shared" si="70"/>
        <v>VESPERTINO</v>
      </c>
      <c r="E357" s="26" t="str">
        <f>"AV MEXICO SUR S/N                                                               "</f>
        <v xml:space="preserve">AV MEXICO SUR S/N                                                               </v>
      </c>
      <c r="F357" s="26" t="str">
        <f>"LA LUZ VILLA BARRIO                                                                                                                         "</f>
        <v xml:space="preserve">LA LUZ VILLA BARRIO                                                                                                                         </v>
      </c>
      <c r="G357" s="26" t="str">
        <f>"MILPA ALTA                                                                      "</f>
        <v xml:space="preserve">MILPA ALTA                                                                      </v>
      </c>
      <c r="H357" s="26" t="str">
        <f>"066"</f>
        <v>066</v>
      </c>
      <c r="I357" s="26" t="str">
        <f t="shared" si="69"/>
        <v>00</v>
      </c>
      <c r="J357" s="26" t="str">
        <f>"55 "</f>
        <v xml:space="preserve">55 </v>
      </c>
      <c r="K357" s="26" t="str">
        <f t="shared" si="73"/>
        <v>SG</v>
      </c>
      <c r="L357" s="26" t="str">
        <f t="shared" si="74"/>
        <v>DGOSE</v>
      </c>
      <c r="M357" s="26" t="str">
        <f t="shared" si="66"/>
        <v>FEDERAL</v>
      </c>
      <c r="N357" s="26">
        <v>631</v>
      </c>
      <c r="O357" s="26">
        <v>338</v>
      </c>
      <c r="P357" s="26">
        <v>293</v>
      </c>
      <c r="Q357" s="26">
        <v>16</v>
      </c>
      <c r="R357" s="26">
        <v>2</v>
      </c>
      <c r="S357" s="26">
        <v>34</v>
      </c>
      <c r="T357" s="26">
        <v>26</v>
      </c>
      <c r="U357" s="26">
        <v>62</v>
      </c>
      <c r="V357" s="26">
        <v>1</v>
      </c>
      <c r="W357" s="26"/>
    </row>
    <row r="358" spans="1:23" x14ac:dyDescent="0.25">
      <c r="A358" s="26" t="str">
        <f t="shared" si="65"/>
        <v>SECUNDARIA</v>
      </c>
      <c r="B358" s="26" t="str">
        <f>"09DES4038V"</f>
        <v>09DES4038V</v>
      </c>
      <c r="C358" s="26" t="str">
        <f>"JOSEFA ORTIZ DE DOMINGUEZ                                                                           "</f>
        <v xml:space="preserve">JOSEFA ORTIZ DE DOMINGUEZ                                                                           </v>
      </c>
      <c r="D358" s="26" t="str">
        <f t="shared" si="70"/>
        <v>VESPERTINO</v>
      </c>
      <c r="E358" s="26" t="str">
        <f>"AV COYOACAN Y SAN BORJA                                                         "</f>
        <v xml:space="preserve">AV COYOACAN Y SAN BORJA                                                         </v>
      </c>
      <c r="F358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358" s="26" t="str">
        <f>"BENITO JUAREZ                                                                   "</f>
        <v xml:space="preserve">BENITO JUAREZ                                                                   </v>
      </c>
      <c r="H358" s="26" t="str">
        <f>"014"</f>
        <v>014</v>
      </c>
      <c r="I358" s="26" t="str">
        <f t="shared" si="69"/>
        <v>00</v>
      </c>
      <c r="J358" s="26" t="str">
        <f>"53 "</f>
        <v xml:space="preserve">53 </v>
      </c>
      <c r="K358" s="26" t="str">
        <f t="shared" si="73"/>
        <v>SG</v>
      </c>
      <c r="L358" s="26" t="str">
        <f t="shared" si="74"/>
        <v>DGOSE</v>
      </c>
      <c r="M358" s="26" t="str">
        <f t="shared" si="66"/>
        <v>FEDERAL</v>
      </c>
      <c r="N358" s="26">
        <v>321</v>
      </c>
      <c r="O358" s="26">
        <v>174</v>
      </c>
      <c r="P358" s="26">
        <v>147</v>
      </c>
      <c r="Q358" s="26">
        <v>12</v>
      </c>
      <c r="R358" s="26">
        <v>2</v>
      </c>
      <c r="S358" s="26">
        <v>37</v>
      </c>
      <c r="T358" s="26">
        <v>21</v>
      </c>
      <c r="U358" s="26">
        <v>60</v>
      </c>
      <c r="V358" s="26">
        <v>1</v>
      </c>
      <c r="W358" s="26"/>
    </row>
    <row r="359" spans="1:23" x14ac:dyDescent="0.25">
      <c r="A359" s="26" t="str">
        <f t="shared" si="65"/>
        <v>SECUNDARIA</v>
      </c>
      <c r="B359" s="26" t="str">
        <f>"09DES4039U"</f>
        <v>09DES4039U</v>
      </c>
      <c r="C359" s="26" t="str">
        <f>"RAMON DOMINGUEZ RAMON                                                                               "</f>
        <v xml:space="preserve">RAMON DOMINGUEZ RAMON                                                                               </v>
      </c>
      <c r="D359" s="26" t="str">
        <f t="shared" si="70"/>
        <v>VESPERTINO</v>
      </c>
      <c r="E359" s="26" t="str">
        <f>"TACUBA NO 19                                                                    "</f>
        <v xml:space="preserve">TACUBA NO 19                                                                    </v>
      </c>
      <c r="F359" s="26" t="str">
        <f>"MERCED GOMEZ                                                                                                                                "</f>
        <v xml:space="preserve">MERCED GOMEZ                                                                                                                                </v>
      </c>
      <c r="G359" s="26" t="str">
        <f>"ALVARO OBREGON                                                                  "</f>
        <v xml:space="preserve">ALVARO OBREGON                                                                  </v>
      </c>
      <c r="H359" s="26" t="str">
        <f>"002"</f>
        <v>002</v>
      </c>
      <c r="I359" s="26" t="str">
        <f t="shared" si="69"/>
        <v>00</v>
      </c>
      <c r="J359" s="26" t="str">
        <f>"53 "</f>
        <v xml:space="preserve">53 </v>
      </c>
      <c r="K359" s="26" t="str">
        <f t="shared" si="73"/>
        <v>SG</v>
      </c>
      <c r="L359" s="26" t="str">
        <f t="shared" si="74"/>
        <v>DGOSE</v>
      </c>
      <c r="M359" s="26" t="str">
        <f t="shared" si="66"/>
        <v>FEDERAL</v>
      </c>
      <c r="N359" s="26">
        <v>316</v>
      </c>
      <c r="O359" s="26">
        <v>160</v>
      </c>
      <c r="P359" s="26">
        <v>156</v>
      </c>
      <c r="Q359" s="26">
        <v>7</v>
      </c>
      <c r="R359" s="26">
        <v>2</v>
      </c>
      <c r="S359" s="26">
        <v>24</v>
      </c>
      <c r="T359" s="26">
        <v>14</v>
      </c>
      <c r="U359" s="26">
        <v>40</v>
      </c>
      <c r="V359" s="26">
        <v>1</v>
      </c>
      <c r="W359" s="26"/>
    </row>
    <row r="360" spans="1:23" x14ac:dyDescent="0.25">
      <c r="A360" s="26" t="str">
        <f t="shared" si="65"/>
        <v>SECUNDARIA</v>
      </c>
      <c r="B360" s="26" t="str">
        <f>"09DES4040J"</f>
        <v>09DES4040J</v>
      </c>
      <c r="C360" s="26" t="str">
        <f>"DON MELCHOR OCAMPO                                                                                  "</f>
        <v xml:space="preserve">DON MELCHOR OCAMPO                                                                                  </v>
      </c>
      <c r="D360" s="26" t="str">
        <f t="shared" si="70"/>
        <v>VESPERTINO</v>
      </c>
      <c r="E360" s="26" t="str">
        <f>"NORTE 29 NO 63 Y ORIENTE 164                                                    "</f>
        <v xml:space="preserve">NORTE 29 NO 63 Y ORIENTE 164                                                    </v>
      </c>
      <c r="F360" s="26" t="str">
        <f>"MOCTEZUMA 2A SECCION                                                                                                                        "</f>
        <v xml:space="preserve">MOCTEZUMA 2A SECCION                                                                                                                        </v>
      </c>
      <c r="G360" s="26" t="str">
        <f>"VENUSTIANO CARRANZA                                                             "</f>
        <v xml:space="preserve">VENUSTIANO CARRANZA                                                             </v>
      </c>
      <c r="H360" s="26" t="str">
        <f>"076"</f>
        <v>076</v>
      </c>
      <c r="I360" s="26" t="str">
        <f t="shared" si="69"/>
        <v>00</v>
      </c>
      <c r="J360" s="26" t="str">
        <f>"54 "</f>
        <v xml:space="preserve">54 </v>
      </c>
      <c r="K360" s="26" t="str">
        <f t="shared" si="73"/>
        <v>SG</v>
      </c>
      <c r="L360" s="26" t="str">
        <f t="shared" si="74"/>
        <v>DGOSE</v>
      </c>
      <c r="M360" s="26" t="str">
        <f t="shared" si="66"/>
        <v>FEDERAL</v>
      </c>
      <c r="N360" s="26">
        <v>150</v>
      </c>
      <c r="O360" s="26">
        <v>100</v>
      </c>
      <c r="P360" s="26">
        <v>50</v>
      </c>
      <c r="Q360" s="26">
        <v>8</v>
      </c>
      <c r="R360" s="26">
        <v>1</v>
      </c>
      <c r="S360" s="26">
        <v>36</v>
      </c>
      <c r="T360" s="26">
        <v>21</v>
      </c>
      <c r="U360" s="26">
        <v>58</v>
      </c>
      <c r="V360" s="26">
        <v>1</v>
      </c>
      <c r="W360" s="26"/>
    </row>
    <row r="361" spans="1:23" x14ac:dyDescent="0.25">
      <c r="A361" s="26" t="str">
        <f t="shared" si="65"/>
        <v>SECUNDARIA</v>
      </c>
      <c r="B361" s="26" t="str">
        <f>"09DES4041I"</f>
        <v>09DES4041I</v>
      </c>
      <c r="C361" s="26" t="str">
        <f>"SOR JUANA INES DE LA CRUZ                                                                           "</f>
        <v xml:space="preserve">SOR JUANA INES DE LA CRUZ                                                                           </v>
      </c>
      <c r="D361" s="26" t="str">
        <f t="shared" si="70"/>
        <v>VESPERTINO</v>
      </c>
      <c r="E361" s="26" t="str">
        <f>"SUR 103 NO 1034                                                                 "</f>
        <v xml:space="preserve">SUR 103 NO 1034                                                                 </v>
      </c>
      <c r="F361" s="26" t="str">
        <f>"AERONAUTICA MILITAR                                                                                                                         "</f>
        <v xml:space="preserve">AERONAUTICA MILITAR                                                                                                                         </v>
      </c>
      <c r="G361" s="26" t="str">
        <f>"VENUSTIANO CARRANZA                                                             "</f>
        <v xml:space="preserve">VENUSTIANO CARRANZA                                                             </v>
      </c>
      <c r="H361" s="26" t="str">
        <f>"075"</f>
        <v>075</v>
      </c>
      <c r="I361" s="26" t="str">
        <f t="shared" si="69"/>
        <v>00</v>
      </c>
      <c r="J361" s="26" t="str">
        <f>"54 "</f>
        <v xml:space="preserve">54 </v>
      </c>
      <c r="K361" s="26" t="str">
        <f t="shared" si="73"/>
        <v>SG</v>
      </c>
      <c r="L361" s="26" t="str">
        <f t="shared" si="74"/>
        <v>DGOSE</v>
      </c>
      <c r="M361" s="26" t="str">
        <f t="shared" si="66"/>
        <v>FEDERAL</v>
      </c>
      <c r="N361" s="26">
        <v>151</v>
      </c>
      <c r="O361" s="26">
        <v>84</v>
      </c>
      <c r="P361" s="26">
        <v>67</v>
      </c>
      <c r="Q361" s="26">
        <v>9</v>
      </c>
      <c r="R361" s="26">
        <v>2</v>
      </c>
      <c r="S361" s="26">
        <v>38</v>
      </c>
      <c r="T361" s="26">
        <v>20</v>
      </c>
      <c r="U361" s="26">
        <v>60</v>
      </c>
      <c r="V361" s="26">
        <v>1</v>
      </c>
      <c r="W361" s="26"/>
    </row>
    <row r="362" spans="1:23" x14ac:dyDescent="0.25">
      <c r="A362" s="26" t="str">
        <f t="shared" si="65"/>
        <v>SECUNDARIA</v>
      </c>
      <c r="B362" s="26" t="str">
        <f>"09DES4042H"</f>
        <v>09DES4042H</v>
      </c>
      <c r="C362" s="26" t="str">
        <f>"IGNACIO MANUEL ALTAMIRANO                                                                           "</f>
        <v xml:space="preserve">IGNACIO MANUEL ALTAMIRANO                                                                           </v>
      </c>
      <c r="D362" s="26" t="str">
        <f t="shared" si="70"/>
        <v>VESPERTINO</v>
      </c>
      <c r="E362" s="26" t="str">
        <f>"CARLOS B ZETINA NO 109 ESQ MARTI                                                "</f>
        <v xml:space="preserve">CARLOS B ZETINA NO 109 ESQ MARTI                                                </v>
      </c>
      <c r="F362" s="26" t="str">
        <f>"ESCANDON                                                                                                                                    "</f>
        <v xml:space="preserve">ESCANDON                                                                                                                                    </v>
      </c>
      <c r="G362" s="26" t="str">
        <f>"MIGUEL HIDALGO                                                                  "</f>
        <v xml:space="preserve">MIGUEL HIDALGO                                                                  </v>
      </c>
      <c r="H362" s="26" t="str">
        <f>"060"</f>
        <v>060</v>
      </c>
      <c r="I362" s="26" t="str">
        <f t="shared" si="69"/>
        <v>00</v>
      </c>
      <c r="J362" s="26" t="str">
        <f>"51 "</f>
        <v xml:space="preserve">51 </v>
      </c>
      <c r="K362" s="26" t="str">
        <f t="shared" si="73"/>
        <v>SG</v>
      </c>
      <c r="L362" s="26" t="str">
        <f t="shared" si="74"/>
        <v>DGOSE</v>
      </c>
      <c r="M362" s="26" t="str">
        <f t="shared" si="66"/>
        <v>FEDERAL</v>
      </c>
      <c r="N362" s="26">
        <v>160</v>
      </c>
      <c r="O362" s="26">
        <v>104</v>
      </c>
      <c r="P362" s="26">
        <v>56</v>
      </c>
      <c r="Q362" s="26">
        <v>7</v>
      </c>
      <c r="R362" s="26">
        <v>2</v>
      </c>
      <c r="S362" s="26">
        <v>19</v>
      </c>
      <c r="T362" s="26">
        <v>13</v>
      </c>
      <c r="U362" s="26">
        <v>34</v>
      </c>
      <c r="V362" s="26">
        <v>1</v>
      </c>
      <c r="W362" s="26"/>
    </row>
    <row r="363" spans="1:23" x14ac:dyDescent="0.25">
      <c r="A363" s="26" t="str">
        <f t="shared" si="65"/>
        <v>SECUNDARIA</v>
      </c>
      <c r="B363" s="26" t="str">
        <f>"09DES4044F"</f>
        <v>09DES4044F</v>
      </c>
      <c r="C363" s="26" t="str">
        <f>"ROSARIO GUTIERREZ ESKILDSEN                                                                         "</f>
        <v xml:space="preserve">ROSARIO GUTIERREZ ESKILDSEN                                                                         </v>
      </c>
      <c r="D363" s="26" t="str">
        <f t="shared" si="70"/>
        <v>VESPERTINO</v>
      </c>
      <c r="E363" s="26" t="str">
        <f>"MELCHOR OCAMPO NO 13                                                            "</f>
        <v xml:space="preserve">MELCHOR OCAMPO NO 13                                                            </v>
      </c>
      <c r="F363" s="26" t="str">
        <f>"SANTIAGO TULYEHUALCO                                                                                                                        "</f>
        <v xml:space="preserve">SANTIAGO TULYEHUALCO                                                                                                                        </v>
      </c>
      <c r="G363" s="26" t="str">
        <f>"XOCHIMILCO                                                                      "</f>
        <v xml:space="preserve">XOCHIMILCO                                                                      </v>
      </c>
      <c r="H363" s="26" t="str">
        <f>"114"</f>
        <v>114</v>
      </c>
      <c r="I363" s="26" t="str">
        <f t="shared" si="69"/>
        <v>00</v>
      </c>
      <c r="J363" s="26" t="str">
        <f>"55 "</f>
        <v xml:space="preserve">55 </v>
      </c>
      <c r="K363" s="26" t="str">
        <f t="shared" si="73"/>
        <v>SG</v>
      </c>
      <c r="L363" s="26" t="str">
        <f t="shared" si="74"/>
        <v>DGOSE</v>
      </c>
      <c r="M363" s="26" t="str">
        <f t="shared" si="66"/>
        <v>FEDERAL</v>
      </c>
      <c r="N363" s="26">
        <v>772</v>
      </c>
      <c r="O363" s="26">
        <v>373</v>
      </c>
      <c r="P363" s="26">
        <v>399</v>
      </c>
      <c r="Q363" s="26">
        <v>18</v>
      </c>
      <c r="R363" s="26">
        <v>4</v>
      </c>
      <c r="S363" s="26">
        <v>82</v>
      </c>
      <c r="T363" s="26">
        <v>50</v>
      </c>
      <c r="U363" s="26">
        <v>136</v>
      </c>
      <c r="V363" s="26">
        <v>1</v>
      </c>
      <c r="W363" s="26"/>
    </row>
    <row r="364" spans="1:23" x14ac:dyDescent="0.25">
      <c r="A364" s="26" t="str">
        <f t="shared" si="65"/>
        <v>SECUNDARIA</v>
      </c>
      <c r="B364" s="26" t="str">
        <f>"09DES4045E"</f>
        <v>09DES4045E</v>
      </c>
      <c r="C364" s="26" t="str">
        <f>"MARIA ENRIQUETA CAMARILLO                                                                           "</f>
        <v xml:space="preserve">MARIA ENRIQUETA CAMARILLO                                                                           </v>
      </c>
      <c r="D364" s="26" t="str">
        <f t="shared" si="70"/>
        <v>VESPERTINO</v>
      </c>
      <c r="E364" s="26" t="str">
        <f>"ESPERANZA ESQ CUAUHTEMOC                                                        "</f>
        <v xml:space="preserve">ESPERANZA ESQ CUAUHTEMOC                                                        </v>
      </c>
      <c r="F364" s="26" t="str">
        <f>"NARVARTE                                                                                                                                    "</f>
        <v xml:space="preserve">NARVARTE                                                                                                                                    </v>
      </c>
      <c r="G364" s="26" t="str">
        <f>"BENITO JUAREZ                                                                   "</f>
        <v xml:space="preserve">BENITO JUAREZ                                                                   </v>
      </c>
      <c r="H364" s="26" t="str">
        <f>"012"</f>
        <v>012</v>
      </c>
      <c r="I364" s="26" t="str">
        <f t="shared" si="69"/>
        <v>00</v>
      </c>
      <c r="J364" s="26" t="str">
        <f>"53 "</f>
        <v xml:space="preserve">53 </v>
      </c>
      <c r="K364" s="26" t="str">
        <f t="shared" si="73"/>
        <v>SG</v>
      </c>
      <c r="L364" s="26" t="str">
        <f t="shared" si="74"/>
        <v>DGOSE</v>
      </c>
      <c r="M364" s="26" t="str">
        <f t="shared" si="66"/>
        <v>FEDERAL</v>
      </c>
      <c r="N364" s="26">
        <v>227</v>
      </c>
      <c r="O364" s="26">
        <v>115</v>
      </c>
      <c r="P364" s="26">
        <v>112</v>
      </c>
      <c r="Q364" s="26">
        <v>11</v>
      </c>
      <c r="R364" s="26">
        <v>2</v>
      </c>
      <c r="S364" s="26">
        <v>33</v>
      </c>
      <c r="T364" s="26">
        <v>24</v>
      </c>
      <c r="U364" s="26">
        <v>59</v>
      </c>
      <c r="V364" s="26">
        <v>1</v>
      </c>
      <c r="W364" s="26"/>
    </row>
    <row r="365" spans="1:23" x14ac:dyDescent="0.25">
      <c r="A365" s="26" t="str">
        <f t="shared" si="65"/>
        <v>SECUNDARIA</v>
      </c>
      <c r="B365" s="26" t="str">
        <f>"09DES4047C"</f>
        <v>09DES4047C</v>
      </c>
      <c r="C365" s="26" t="str">
        <f>"QUETZALCOATL                                                                                        "</f>
        <v xml:space="preserve">QUETZALCOATL                                                                                        </v>
      </c>
      <c r="D365" s="26" t="str">
        <f t="shared" si="70"/>
        <v>VESPERTINO</v>
      </c>
      <c r="E365" s="26" t="str">
        <f>"DIEGO RIVERA Y PONIENTE 4                                                       "</f>
        <v xml:space="preserve">DIEGO RIVERA Y PONIENTE 4                                                       </v>
      </c>
      <c r="F365" s="26" t="str">
        <f>"SAN JOSE                                                                                                                                    "</f>
        <v xml:space="preserve">SAN JOSE                                                                                                                                    </v>
      </c>
      <c r="G365" s="26" t="str">
        <f>"TLAHUAC                                                                         "</f>
        <v xml:space="preserve">TLAHUAC                                                                         </v>
      </c>
      <c r="H365" s="26" t="str">
        <f>"068"</f>
        <v>068</v>
      </c>
      <c r="I365" s="26" t="str">
        <f t="shared" si="69"/>
        <v>00</v>
      </c>
      <c r="J365" s="26" t="str">
        <f>"55 "</f>
        <v xml:space="preserve">55 </v>
      </c>
      <c r="K365" s="26" t="str">
        <f t="shared" si="73"/>
        <v>SG</v>
      </c>
      <c r="L365" s="26" t="str">
        <f t="shared" si="74"/>
        <v>DGOSE</v>
      </c>
      <c r="M365" s="26" t="str">
        <f t="shared" si="66"/>
        <v>FEDERAL</v>
      </c>
      <c r="N365" s="26">
        <v>624</v>
      </c>
      <c r="O365" s="26">
        <v>335</v>
      </c>
      <c r="P365" s="26">
        <v>289</v>
      </c>
      <c r="Q365" s="26">
        <v>18</v>
      </c>
      <c r="R365" s="26">
        <v>2</v>
      </c>
      <c r="S365" s="26">
        <v>48</v>
      </c>
      <c r="T365" s="26">
        <v>24</v>
      </c>
      <c r="U365" s="26">
        <v>74</v>
      </c>
      <c r="V365" s="26">
        <v>1</v>
      </c>
      <c r="W365" s="26"/>
    </row>
    <row r="366" spans="1:23" x14ac:dyDescent="0.25">
      <c r="A366" s="26" t="str">
        <f t="shared" si="65"/>
        <v>SECUNDARIA</v>
      </c>
      <c r="B366" s="26" t="str">
        <f>"09DES4053N"</f>
        <v>09DES4053N</v>
      </c>
      <c r="C366" s="26" t="str">
        <f>"MANUEL DELFIN FIGUEROA                                                                              "</f>
        <v xml:space="preserve">MANUEL DELFIN FIGUEROA                                                                              </v>
      </c>
      <c r="D366" s="26" t="str">
        <f t="shared" si="70"/>
        <v>VESPERTINO</v>
      </c>
      <c r="E366" s="26" t="str">
        <f>"DR PALLARES Y PORTILLO NO 82                                                    "</f>
        <v xml:space="preserve">DR PALLARES Y PORTILLO NO 82                                                    </v>
      </c>
      <c r="F366" s="26" t="str">
        <f>"PARQUE SAN ANDRES                                                                                                                           "</f>
        <v xml:space="preserve">PARQUE SAN ANDRES                                                                                                                           </v>
      </c>
      <c r="G366" s="26" t="str">
        <f>"COYOACAN                                                                        "</f>
        <v xml:space="preserve">COYOACAN                                                                        </v>
      </c>
      <c r="H366" s="26" t="str">
        <f>"019"</f>
        <v>019</v>
      </c>
      <c r="I366" s="26" t="str">
        <f t="shared" si="69"/>
        <v>00</v>
      </c>
      <c r="J366" s="26" t="str">
        <f>"54 "</f>
        <v xml:space="preserve">54 </v>
      </c>
      <c r="K366" s="26" t="str">
        <f t="shared" si="73"/>
        <v>SG</v>
      </c>
      <c r="L366" s="26" t="str">
        <f t="shared" si="74"/>
        <v>DGOSE</v>
      </c>
      <c r="M366" s="26" t="str">
        <f t="shared" si="66"/>
        <v>FEDERAL</v>
      </c>
      <c r="N366" s="26">
        <v>276</v>
      </c>
      <c r="O366" s="26">
        <v>130</v>
      </c>
      <c r="P366" s="26">
        <v>146</v>
      </c>
      <c r="Q366" s="26">
        <v>13</v>
      </c>
      <c r="R366" s="26">
        <v>1</v>
      </c>
      <c r="S366" s="26">
        <v>36</v>
      </c>
      <c r="T366" s="26">
        <v>20</v>
      </c>
      <c r="U366" s="26">
        <v>57</v>
      </c>
      <c r="V366" s="26">
        <v>1</v>
      </c>
      <c r="W366" s="26"/>
    </row>
    <row r="367" spans="1:23" x14ac:dyDescent="0.25">
      <c r="A367" s="26" t="str">
        <f t="shared" si="65"/>
        <v>SECUNDARIA</v>
      </c>
      <c r="B367" s="26" t="str">
        <f>"09DES4054M"</f>
        <v>09DES4054M</v>
      </c>
      <c r="C367" s="26" t="str">
        <f>"REPUBLICA DE BOLIVIA                                                                                "</f>
        <v xml:space="preserve">REPUBLICA DE BOLIVIA                                                                                </v>
      </c>
      <c r="D367" s="26" t="str">
        <f t="shared" si="70"/>
        <v>VESPERTINO</v>
      </c>
      <c r="E367" s="26" t="str">
        <f>"PROL 22 DE FEBRERO Y JERUSALEN                                                  "</f>
        <v xml:space="preserve">PROL 22 DE FEBRERO Y JERUSALEN                                                  </v>
      </c>
      <c r="F367" s="26" t="str">
        <f>"AZCAPOTZALCO                                                                                                                                "</f>
        <v xml:space="preserve">AZCAPOTZALCO                                                                                                                                </v>
      </c>
      <c r="G367" s="26" t="str">
        <f>"AZCAPOTZALCO                                                                    "</f>
        <v xml:space="preserve">AZCAPOTZALCO                                                                    </v>
      </c>
      <c r="H367" s="26" t="str">
        <f>"008"</f>
        <v>008</v>
      </c>
      <c r="I367" s="26" t="str">
        <f t="shared" si="69"/>
        <v>00</v>
      </c>
      <c r="J367" s="26" t="str">
        <f>"51 "</f>
        <v xml:space="preserve">51 </v>
      </c>
      <c r="K367" s="26" t="str">
        <f t="shared" si="73"/>
        <v>SG</v>
      </c>
      <c r="L367" s="26" t="str">
        <f t="shared" si="74"/>
        <v>DGOSE</v>
      </c>
      <c r="M367" s="26" t="str">
        <f t="shared" si="66"/>
        <v>FEDERAL</v>
      </c>
      <c r="N367" s="26">
        <v>647</v>
      </c>
      <c r="O367" s="26">
        <v>295</v>
      </c>
      <c r="P367" s="26">
        <v>352</v>
      </c>
      <c r="Q367" s="26">
        <v>18</v>
      </c>
      <c r="R367" s="26">
        <v>2</v>
      </c>
      <c r="S367" s="26">
        <v>51</v>
      </c>
      <c r="T367" s="26">
        <v>25</v>
      </c>
      <c r="U367" s="26">
        <v>78</v>
      </c>
      <c r="V367" s="26">
        <v>1</v>
      </c>
      <c r="W367" s="26"/>
    </row>
    <row r="368" spans="1:23" x14ac:dyDescent="0.25">
      <c r="A368" s="26" t="str">
        <f t="shared" si="65"/>
        <v>SECUNDARIA</v>
      </c>
      <c r="B368" s="26" t="str">
        <f>"09DES4055L"</f>
        <v>09DES4055L</v>
      </c>
      <c r="C368" s="26" t="str">
        <f>"REPUBLICA DE EL SALVADOR                                                                            "</f>
        <v xml:space="preserve">REPUBLICA DE EL SALVADOR                                                                            </v>
      </c>
      <c r="D368" s="26" t="str">
        <f t="shared" si="70"/>
        <v>VESPERTINO</v>
      </c>
      <c r="E368" s="26" t="str">
        <f>"NORTE 87 Y ASPIROS                                                              "</f>
        <v xml:space="preserve">NORTE 87 Y ASPIROS                                                              </v>
      </c>
      <c r="F368" s="26" t="str">
        <f>"SINDICATO MEXICANO DE ELECTRICISTAS                                                                                                         "</f>
        <v xml:space="preserve">SINDICATO MEXICANO DE ELECTRICISTAS                                                                                                         </v>
      </c>
      <c r="G368" s="26" t="str">
        <f>"AZCAPOTZALCO                                                                    "</f>
        <v xml:space="preserve">AZCAPOTZALCO                                                                    </v>
      </c>
      <c r="H368" s="26" t="str">
        <f>"008"</f>
        <v>008</v>
      </c>
      <c r="I368" s="26" t="str">
        <f t="shared" si="69"/>
        <v>00</v>
      </c>
      <c r="J368" s="26" t="str">
        <f>"51 "</f>
        <v xml:space="preserve">51 </v>
      </c>
      <c r="K368" s="26" t="str">
        <f t="shared" si="73"/>
        <v>SG</v>
      </c>
      <c r="L368" s="26" t="str">
        <f t="shared" si="74"/>
        <v>DGOSE</v>
      </c>
      <c r="M368" s="26" t="str">
        <f t="shared" si="66"/>
        <v>FEDERAL</v>
      </c>
      <c r="N368" s="26">
        <v>91</v>
      </c>
      <c r="O368" s="26">
        <v>50</v>
      </c>
      <c r="P368" s="26">
        <v>41</v>
      </c>
      <c r="Q368" s="26">
        <v>5</v>
      </c>
      <c r="R368" s="26">
        <v>1</v>
      </c>
      <c r="S368" s="26">
        <v>24</v>
      </c>
      <c r="T368" s="26">
        <v>13</v>
      </c>
      <c r="U368" s="26">
        <v>38</v>
      </c>
      <c r="V368" s="26">
        <v>1</v>
      </c>
      <c r="W368" s="26"/>
    </row>
    <row r="369" spans="1:23" x14ac:dyDescent="0.25">
      <c r="A369" s="26" t="str">
        <f t="shared" si="65"/>
        <v>SECUNDARIA</v>
      </c>
      <c r="B369" s="26" t="str">
        <f>"09DES4056K"</f>
        <v>09DES4056K</v>
      </c>
      <c r="C369" s="26" t="str">
        <f>"MARCELINO MENENDEZ Y PELAYO                                                                         "</f>
        <v xml:space="preserve">MARCELINO MENENDEZ Y PELAYO                                                                         </v>
      </c>
      <c r="D369" s="26" t="str">
        <f t="shared" si="70"/>
        <v>VESPERTINO</v>
      </c>
      <c r="E369" s="26" t="str">
        <f>"SUR 16 NO 216                                                                   "</f>
        <v xml:space="preserve">SUR 16 NO 216                                                                   </v>
      </c>
      <c r="F369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369" s="26" t="str">
        <f>"IZTACALCO                                                                       "</f>
        <v xml:space="preserve">IZTACALCO                                                                       </v>
      </c>
      <c r="H369" s="26" t="str">
        <f>"044"</f>
        <v>044</v>
      </c>
      <c r="I369" s="26" t="str">
        <f t="shared" si="69"/>
        <v>00</v>
      </c>
      <c r="J369" s="26" t="str">
        <f>"54 "</f>
        <v xml:space="preserve">54 </v>
      </c>
      <c r="K369" s="26" t="str">
        <f t="shared" si="73"/>
        <v>SG</v>
      </c>
      <c r="L369" s="26" t="str">
        <f t="shared" si="74"/>
        <v>DGOSE</v>
      </c>
      <c r="M369" s="26" t="str">
        <f t="shared" si="66"/>
        <v>FEDERAL</v>
      </c>
      <c r="N369" s="26">
        <v>117</v>
      </c>
      <c r="O369" s="26">
        <v>73</v>
      </c>
      <c r="P369" s="26">
        <v>44</v>
      </c>
      <c r="Q369" s="26">
        <v>7</v>
      </c>
      <c r="R369" s="26">
        <v>2</v>
      </c>
      <c r="S369" s="26">
        <v>30</v>
      </c>
      <c r="T369" s="26">
        <v>19</v>
      </c>
      <c r="U369" s="26">
        <v>51</v>
      </c>
      <c r="V369" s="26">
        <v>1</v>
      </c>
      <c r="W369" s="26"/>
    </row>
    <row r="370" spans="1:23" x14ac:dyDescent="0.25">
      <c r="A370" s="26" t="str">
        <f t="shared" si="65"/>
        <v>SECUNDARIA</v>
      </c>
      <c r="B370" s="26" t="str">
        <f>"09DES4059H"</f>
        <v>09DES4059H</v>
      </c>
      <c r="C370" s="26" t="str">
        <f>"RENE CASSIN                                                                                         "</f>
        <v xml:space="preserve">RENE CASSIN                                                                                         </v>
      </c>
      <c r="D370" s="26" t="str">
        <f t="shared" si="70"/>
        <v>VESPERTINO</v>
      </c>
      <c r="E370" s="26" t="str">
        <f>"ANDRES MOLINA ENRIQUEZ NO 4433                                                  "</f>
        <v xml:space="preserve">ANDRES MOLINA ENRIQUEZ NO 4433                                                  </v>
      </c>
      <c r="F370" s="26" t="str">
        <f>"VIADUCTO PIEDAD                                                                                                                             "</f>
        <v xml:space="preserve">VIADUCTO PIEDAD                                                                                                                             </v>
      </c>
      <c r="G370" s="26" t="str">
        <f>"IZTACALCO                                                                       "</f>
        <v xml:space="preserve">IZTACALCO                                                                       </v>
      </c>
      <c r="H370" s="26" t="str">
        <f>"043"</f>
        <v>043</v>
      </c>
      <c r="I370" s="26" t="str">
        <f t="shared" si="69"/>
        <v>00</v>
      </c>
      <c r="J370" s="26" t="str">
        <f>"54 "</f>
        <v xml:space="preserve">54 </v>
      </c>
      <c r="K370" s="26" t="str">
        <f t="shared" si="73"/>
        <v>SG</v>
      </c>
      <c r="L370" s="26" t="str">
        <f t="shared" si="74"/>
        <v>DGOSE</v>
      </c>
      <c r="M370" s="26" t="str">
        <f t="shared" si="66"/>
        <v>FEDERAL</v>
      </c>
      <c r="N370" s="26">
        <v>590</v>
      </c>
      <c r="O370" s="26">
        <v>295</v>
      </c>
      <c r="P370" s="26">
        <v>295</v>
      </c>
      <c r="Q370" s="26">
        <v>16</v>
      </c>
      <c r="R370" s="26">
        <v>1</v>
      </c>
      <c r="S370" s="26">
        <v>51</v>
      </c>
      <c r="T370" s="26">
        <v>28</v>
      </c>
      <c r="U370" s="26">
        <v>80</v>
      </c>
      <c r="V370" s="26">
        <v>1</v>
      </c>
      <c r="W370" s="26"/>
    </row>
    <row r="371" spans="1:23" x14ac:dyDescent="0.25">
      <c r="A371" s="26" t="str">
        <f t="shared" si="65"/>
        <v>SECUNDARIA</v>
      </c>
      <c r="B371" s="26" t="str">
        <f>"09DES4060X"</f>
        <v>09DES4060X</v>
      </c>
      <c r="C371" s="26" t="str">
        <f>"REPUBLICA DE HONDURAS                                                                               "</f>
        <v xml:space="preserve">REPUBLICA DE HONDURAS                                                                               </v>
      </c>
      <c r="D371" s="26" t="str">
        <f t="shared" si="70"/>
        <v>VESPERTINO</v>
      </c>
      <c r="E371" s="26" t="str">
        <f>"AV NORTE Y CALLE 4                                                              "</f>
        <v xml:space="preserve">AV NORTE Y CALLE 4                                                              </v>
      </c>
      <c r="F371" s="26" t="str">
        <f>"CUCHILLA AGRICOLA PANTITLAN                                                                                                                 "</f>
        <v xml:space="preserve">CUCHILLA AGRICOLA PANTITLAN                                                                                                                 </v>
      </c>
      <c r="G371" s="26" t="str">
        <f>"IZTACALCO                                                                       "</f>
        <v xml:space="preserve">IZTACALCO                                                                       </v>
      </c>
      <c r="H371" s="26" t="str">
        <f>"046"</f>
        <v>046</v>
      </c>
      <c r="I371" s="26" t="str">
        <f t="shared" si="69"/>
        <v>00</v>
      </c>
      <c r="J371" s="26" t="str">
        <f>"54 "</f>
        <v xml:space="preserve">54 </v>
      </c>
      <c r="K371" s="26" t="str">
        <f t="shared" si="73"/>
        <v>SG</v>
      </c>
      <c r="L371" s="26" t="str">
        <f t="shared" si="74"/>
        <v>DGOSE</v>
      </c>
      <c r="M371" s="26" t="str">
        <f t="shared" si="66"/>
        <v>FEDERAL</v>
      </c>
      <c r="N371" s="26">
        <v>203</v>
      </c>
      <c r="O371" s="26">
        <v>115</v>
      </c>
      <c r="P371" s="26">
        <v>88</v>
      </c>
      <c r="Q371" s="26">
        <v>11</v>
      </c>
      <c r="R371" s="26">
        <v>1</v>
      </c>
      <c r="S371" s="26">
        <v>43</v>
      </c>
      <c r="T371" s="26">
        <v>22</v>
      </c>
      <c r="U371" s="26">
        <v>66</v>
      </c>
      <c r="V371" s="26">
        <v>1</v>
      </c>
      <c r="W371" s="26"/>
    </row>
    <row r="372" spans="1:23" x14ac:dyDescent="0.25">
      <c r="A372" s="26" t="str">
        <f t="shared" si="65"/>
        <v>SECUNDARIA</v>
      </c>
      <c r="B372" s="26" t="str">
        <f>"09DES4061W"</f>
        <v>09DES4061W</v>
      </c>
      <c r="C372" s="26" t="str">
        <f>"OLGA ESQUIVEL MOLINA                                                                                "</f>
        <v xml:space="preserve">OLGA ESQUIVEL MOLINA                                                                                </v>
      </c>
      <c r="D372" s="26" t="str">
        <f t="shared" si="70"/>
        <v>VESPERTINO</v>
      </c>
      <c r="E372" s="26" t="str">
        <f>"ORIENTE 102 NO 1825                                                             "</f>
        <v xml:space="preserve">ORIENTE 102 NO 1825                                                             </v>
      </c>
      <c r="F372" s="26" t="str">
        <f>"GABRIEL RAMOS MILLAN AMPLIACION                                                                                                             "</f>
        <v xml:space="preserve">GABRIEL RAMOS MILLAN AMPLIACION                                                                                                             </v>
      </c>
      <c r="G372" s="26" t="str">
        <f>"IZTACALCO                                                                       "</f>
        <v xml:space="preserve">IZTACALCO                                                                       </v>
      </c>
      <c r="H372" s="26" t="str">
        <f>"045"</f>
        <v>045</v>
      </c>
      <c r="I372" s="26" t="str">
        <f t="shared" si="69"/>
        <v>00</v>
      </c>
      <c r="J372" s="26" t="str">
        <f>"54 "</f>
        <v xml:space="preserve">54 </v>
      </c>
      <c r="K372" s="26" t="str">
        <f t="shared" si="73"/>
        <v>SG</v>
      </c>
      <c r="L372" s="26" t="str">
        <f t="shared" si="74"/>
        <v>DGOSE</v>
      </c>
      <c r="M372" s="26" t="str">
        <f t="shared" si="66"/>
        <v>FEDERAL</v>
      </c>
      <c r="N372" s="26">
        <v>94</v>
      </c>
      <c r="O372" s="26">
        <v>54</v>
      </c>
      <c r="P372" s="26">
        <v>40</v>
      </c>
      <c r="Q372" s="26">
        <v>5</v>
      </c>
      <c r="R372" s="26">
        <v>1</v>
      </c>
      <c r="S372" s="26">
        <v>20</v>
      </c>
      <c r="T372" s="26">
        <v>14</v>
      </c>
      <c r="U372" s="26">
        <v>35</v>
      </c>
      <c r="V372" s="26">
        <v>1</v>
      </c>
      <c r="W372" s="26"/>
    </row>
    <row r="373" spans="1:23" x14ac:dyDescent="0.25">
      <c r="A373" s="26" t="str">
        <f t="shared" si="65"/>
        <v>SECUNDARIA</v>
      </c>
      <c r="B373" s="26" t="str">
        <f>"09DES4063U"</f>
        <v>09DES4063U</v>
      </c>
      <c r="C373" s="26" t="str">
        <f>"ANGEL MIRANDA BASURTO                                                                               "</f>
        <v xml:space="preserve">ANGEL MIRANDA BASURTO                                                                               </v>
      </c>
      <c r="D373" s="26" t="str">
        <f t="shared" si="70"/>
        <v>VESPERTINO</v>
      </c>
      <c r="E373" s="26" t="str">
        <f>"BLAS BALCARCEL Y LUIS DE LA ROSA                                                "</f>
        <v xml:space="preserve">BLAS BALCARCEL Y LUIS DE LA ROSA                                                </v>
      </c>
      <c r="F373" s="26" t="str">
        <f>"CONSTITUCION DE LA REPUBLICA                                                                                                                "</f>
        <v xml:space="preserve">CONSTITUCION DE LA REPUBLICA                                                                                                                </v>
      </c>
      <c r="G373" s="26" t="str">
        <f>"GUSTAVO A. MADERO                                                               "</f>
        <v xml:space="preserve">GUSTAVO A. MADERO                                                               </v>
      </c>
      <c r="H373" s="26" t="str">
        <f>"037"</f>
        <v>037</v>
      </c>
      <c r="I373" s="26" t="str">
        <f t="shared" si="69"/>
        <v>00</v>
      </c>
      <c r="J373" s="26" t="str">
        <f>"52 "</f>
        <v xml:space="preserve">52 </v>
      </c>
      <c r="K373" s="26" t="str">
        <f t="shared" si="73"/>
        <v>SG</v>
      </c>
      <c r="L373" s="26" t="str">
        <f t="shared" si="74"/>
        <v>DGOSE</v>
      </c>
      <c r="M373" s="26" t="str">
        <f t="shared" si="66"/>
        <v>FEDERAL</v>
      </c>
      <c r="N373" s="26">
        <v>32</v>
      </c>
      <c r="O373" s="26">
        <v>26</v>
      </c>
      <c r="P373" s="26">
        <v>6</v>
      </c>
      <c r="Q373" s="26">
        <v>2</v>
      </c>
      <c r="R373" s="26">
        <v>1</v>
      </c>
      <c r="S373" s="26">
        <v>15</v>
      </c>
      <c r="T373" s="26">
        <v>13</v>
      </c>
      <c r="U373" s="26">
        <v>29</v>
      </c>
      <c r="V373" s="26">
        <v>1</v>
      </c>
      <c r="W373" s="26"/>
    </row>
    <row r="374" spans="1:23" x14ac:dyDescent="0.25">
      <c r="A374" s="26" t="str">
        <f t="shared" si="65"/>
        <v>SECUNDARIA</v>
      </c>
      <c r="B374" s="26" t="str">
        <f>"09DES4064T"</f>
        <v>09DES4064T</v>
      </c>
      <c r="C374" s="26" t="str">
        <f>"JOSE CALVO SAUCEDO                                                                                  "</f>
        <v xml:space="preserve">JOSE CALVO SAUCEDO                                                                                  </v>
      </c>
      <c r="D374" s="26" t="str">
        <f t="shared" si="70"/>
        <v>VESPERTINO</v>
      </c>
      <c r="E374" s="26" t="str">
        <f>"ESTAÑO Y SORPRESA                                                               "</f>
        <v xml:space="preserve">ESTAÑO Y SORPRESA                                                               </v>
      </c>
      <c r="F374" s="26" t="str">
        <f>"FELIPE ANGELES                                                                                                                              "</f>
        <v xml:space="preserve">FELIPE ANGELES                                                                                                                              </v>
      </c>
      <c r="G374" s="26" t="str">
        <f>"VENUSTIANO CARRANZA                                                             "</f>
        <v xml:space="preserve">VENUSTIANO CARRANZA                                                             </v>
      </c>
      <c r="H374" s="26" t="str">
        <f>"074"</f>
        <v>074</v>
      </c>
      <c r="I374" s="26" t="str">
        <f t="shared" si="69"/>
        <v>00</v>
      </c>
      <c r="J374" s="26" t="str">
        <f>"54 "</f>
        <v xml:space="preserve">54 </v>
      </c>
      <c r="K374" s="26" t="str">
        <f t="shared" si="73"/>
        <v>SG</v>
      </c>
      <c r="L374" s="26" t="str">
        <f t="shared" si="74"/>
        <v>DGOSE</v>
      </c>
      <c r="M374" s="26" t="str">
        <f t="shared" si="66"/>
        <v>FEDERAL</v>
      </c>
      <c r="N374" s="26">
        <v>133</v>
      </c>
      <c r="O374" s="26">
        <v>96</v>
      </c>
      <c r="P374" s="26">
        <v>37</v>
      </c>
      <c r="Q374" s="26">
        <v>8</v>
      </c>
      <c r="R374" s="26">
        <v>2</v>
      </c>
      <c r="S374" s="26">
        <v>31</v>
      </c>
      <c r="T374" s="26">
        <v>24</v>
      </c>
      <c r="U374" s="26">
        <v>57</v>
      </c>
      <c r="V374" s="26">
        <v>1</v>
      </c>
      <c r="W374" s="26"/>
    </row>
    <row r="375" spans="1:23" x14ac:dyDescent="0.25">
      <c r="A375" s="26" t="str">
        <f t="shared" si="65"/>
        <v>SECUNDARIA</v>
      </c>
      <c r="B375" s="26" t="str">
        <f>"09DES4066R"</f>
        <v>09DES4066R</v>
      </c>
      <c r="C375" s="26" t="str">
        <f>"IDA APPENDINI DAGASSO                                                                               "</f>
        <v xml:space="preserve">IDA APPENDINI DAGASSO                                                                               </v>
      </c>
      <c r="D375" s="26" t="str">
        <f t="shared" si="70"/>
        <v>VESPERTINO</v>
      </c>
      <c r="E375" s="26" t="str">
        <f>"BERNARD SHAW NO 25 Y MASARYK                                                    "</f>
        <v xml:space="preserve">BERNARD SHAW NO 25 Y MASARYK                                                    </v>
      </c>
      <c r="F375" s="26" t="str">
        <f>"POLANCO REFORMA                                                                                                                             "</f>
        <v xml:space="preserve">POLANCO REFORMA                                                                                                                             </v>
      </c>
      <c r="G375" s="26" t="str">
        <f>"MIGUEL HIDALGO                                                                  "</f>
        <v xml:space="preserve">MIGUEL HIDALGO                                                                  </v>
      </c>
      <c r="H375" s="26" t="str">
        <f>"062"</f>
        <v>062</v>
      </c>
      <c r="I375" s="26" t="str">
        <f t="shared" si="69"/>
        <v>00</v>
      </c>
      <c r="J375" s="26" t="str">
        <f>"51 "</f>
        <v xml:space="preserve">51 </v>
      </c>
      <c r="K375" s="26" t="str">
        <f t="shared" si="73"/>
        <v>SG</v>
      </c>
      <c r="L375" s="26" t="str">
        <f t="shared" si="74"/>
        <v>DGOSE</v>
      </c>
      <c r="M375" s="26" t="str">
        <f t="shared" si="66"/>
        <v>FEDERAL</v>
      </c>
      <c r="N375" s="26">
        <v>641</v>
      </c>
      <c r="O375" s="26">
        <v>301</v>
      </c>
      <c r="P375" s="26">
        <v>340</v>
      </c>
      <c r="Q375" s="26">
        <v>18</v>
      </c>
      <c r="R375" s="26">
        <v>1</v>
      </c>
      <c r="S375" s="26">
        <v>40</v>
      </c>
      <c r="T375" s="26">
        <v>20</v>
      </c>
      <c r="U375" s="26">
        <v>61</v>
      </c>
      <c r="V375" s="26">
        <v>1</v>
      </c>
      <c r="W375" s="26"/>
    </row>
    <row r="376" spans="1:23" x14ac:dyDescent="0.25">
      <c r="A376" s="26" t="str">
        <f t="shared" si="65"/>
        <v>SECUNDARIA</v>
      </c>
      <c r="B376" s="26" t="str">
        <f>"09DES4067Q"</f>
        <v>09DES4067Q</v>
      </c>
      <c r="C376" s="26" t="str">
        <f>"JOHN F. KENNEDY                                                                                     "</f>
        <v xml:space="preserve">JOHN F. KENNEDY                                                                                     </v>
      </c>
      <c r="D376" s="26" t="str">
        <f t="shared" si="70"/>
        <v>VESPERTINO</v>
      </c>
      <c r="E376" s="26" t="str">
        <f>"FRANCITA Y EBANO                                                                "</f>
        <v xml:space="preserve">FRANCITA Y EBANO                                                                </v>
      </c>
      <c r="F376" s="26" t="str">
        <f>"PETROLERA                                                                                                                                   "</f>
        <v xml:space="preserve">PETROLERA                                                                                                                                   </v>
      </c>
      <c r="G376" s="26" t="str">
        <f>"AZCAPOTZALCO                                                                    "</f>
        <v xml:space="preserve">AZCAPOTZALCO                                                                    </v>
      </c>
      <c r="H376" s="26" t="str">
        <f>"008"</f>
        <v>008</v>
      </c>
      <c r="I376" s="26" t="str">
        <f t="shared" si="69"/>
        <v>00</v>
      </c>
      <c r="J376" s="26" t="str">
        <f>"51 "</f>
        <v xml:space="preserve">51 </v>
      </c>
      <c r="K376" s="26" t="str">
        <f t="shared" si="73"/>
        <v>SG</v>
      </c>
      <c r="L376" s="26" t="str">
        <f t="shared" si="74"/>
        <v>DGOSE</v>
      </c>
      <c r="M376" s="26" t="str">
        <f t="shared" si="66"/>
        <v>FEDERAL</v>
      </c>
      <c r="N376" s="26">
        <v>78</v>
      </c>
      <c r="O376" s="26">
        <v>48</v>
      </c>
      <c r="P376" s="26">
        <v>30</v>
      </c>
      <c r="Q376" s="26">
        <v>4</v>
      </c>
      <c r="R376" s="26">
        <v>2</v>
      </c>
      <c r="S376" s="26">
        <v>16</v>
      </c>
      <c r="T376" s="26">
        <v>15</v>
      </c>
      <c r="U376" s="26">
        <v>33</v>
      </c>
      <c r="V376" s="26">
        <v>1</v>
      </c>
      <c r="W376" s="26"/>
    </row>
    <row r="377" spans="1:23" x14ac:dyDescent="0.25">
      <c r="A377" s="26" t="str">
        <f t="shared" si="65"/>
        <v>SECUNDARIA</v>
      </c>
      <c r="B377" s="26" t="str">
        <f>"09DES4068P"</f>
        <v>09DES4068P</v>
      </c>
      <c r="C377" s="26" t="str">
        <f>"PROFR. GABINO A. PALMA                                                                              "</f>
        <v xml:space="preserve">PROFR. GABINO A. PALMA                                                                              </v>
      </c>
      <c r="D377" s="26" t="str">
        <f t="shared" si="70"/>
        <v>VESPERTINO</v>
      </c>
      <c r="E377" s="26" t="str">
        <f>"CORREGIDORA MADERO Y CORTES                                                     "</f>
        <v xml:space="preserve">CORREGIDORA MADERO Y CORTES                                                     </v>
      </c>
      <c r="F377" s="26" t="str">
        <f>"TLACOPAC                                                                                                                                    "</f>
        <v xml:space="preserve">TLACOPAC                                                                                                                                    </v>
      </c>
      <c r="G377" s="26" t="str">
        <f>"ALVARO OBREGON                                                                  "</f>
        <v xml:space="preserve">ALVARO OBREGON                                                                  </v>
      </c>
      <c r="H377" s="26" t="str">
        <f>"001"</f>
        <v>001</v>
      </c>
      <c r="I377" s="26" t="str">
        <f t="shared" si="69"/>
        <v>00</v>
      </c>
      <c r="J377" s="26" t="str">
        <f>"53 "</f>
        <v xml:space="preserve">53 </v>
      </c>
      <c r="K377" s="26" t="str">
        <f t="shared" si="73"/>
        <v>SG</v>
      </c>
      <c r="L377" s="26" t="str">
        <f t="shared" si="74"/>
        <v>DGOSE</v>
      </c>
      <c r="M377" s="26" t="str">
        <f t="shared" si="66"/>
        <v>FEDERAL</v>
      </c>
      <c r="N377" s="26">
        <v>769</v>
      </c>
      <c r="O377" s="26">
        <v>398</v>
      </c>
      <c r="P377" s="26">
        <v>371</v>
      </c>
      <c r="Q377" s="26">
        <v>18</v>
      </c>
      <c r="R377" s="26">
        <v>2</v>
      </c>
      <c r="S377" s="26">
        <v>44</v>
      </c>
      <c r="T377" s="26">
        <v>20</v>
      </c>
      <c r="U377" s="26">
        <v>66</v>
      </c>
      <c r="V377" s="26">
        <v>1</v>
      </c>
      <c r="W377" s="26"/>
    </row>
    <row r="378" spans="1:23" x14ac:dyDescent="0.25">
      <c r="A378" s="26" t="str">
        <f t="shared" si="65"/>
        <v>SECUNDARIA</v>
      </c>
      <c r="B378" s="26" t="str">
        <f>"09DES4069O"</f>
        <v>09DES4069O</v>
      </c>
      <c r="C378" s="26" t="str">
        <f>"MARTIN V. GONZALEZ                                                                                  "</f>
        <v xml:space="preserve">MARTIN V. GONZALEZ                                                                                  </v>
      </c>
      <c r="D378" s="26" t="str">
        <f t="shared" si="70"/>
        <v>VESPERTINO</v>
      </c>
      <c r="E378" s="26" t="str">
        <f>"PLAZA B JUAREZ Y RIO CHURUBUSCO                                                 "</f>
        <v xml:space="preserve">PLAZA B JUAREZ Y RIO CHURUBUSCO                                                 </v>
      </c>
      <c r="F378" s="26" t="str">
        <f>"GABRIEL RAMOS MILLAN                                                                                                                        "</f>
        <v xml:space="preserve">GABRIEL RAMOS MILLAN                                                                                                                        </v>
      </c>
      <c r="G378" s="26" t="str">
        <f>"IZTACALCO                                                                       "</f>
        <v xml:space="preserve">IZTACALCO                                                                       </v>
      </c>
      <c r="H378" s="26" t="str">
        <f>"045"</f>
        <v>045</v>
      </c>
      <c r="I378" s="26" t="str">
        <f t="shared" si="69"/>
        <v>00</v>
      </c>
      <c r="J378" s="26" t="str">
        <f>"54 "</f>
        <v xml:space="preserve">54 </v>
      </c>
      <c r="K378" s="26" t="str">
        <f t="shared" si="73"/>
        <v>SG</v>
      </c>
      <c r="L378" s="26" t="str">
        <f t="shared" si="74"/>
        <v>DGOSE</v>
      </c>
      <c r="M378" s="26" t="str">
        <f t="shared" si="66"/>
        <v>FEDERAL</v>
      </c>
      <c r="N378" s="26">
        <v>584</v>
      </c>
      <c r="O378" s="26">
        <v>306</v>
      </c>
      <c r="P378" s="26">
        <v>278</v>
      </c>
      <c r="Q378" s="26">
        <v>18</v>
      </c>
      <c r="R378" s="26">
        <v>2</v>
      </c>
      <c r="S378" s="26">
        <v>49</v>
      </c>
      <c r="T378" s="26">
        <v>32</v>
      </c>
      <c r="U378" s="26">
        <v>83</v>
      </c>
      <c r="V378" s="26">
        <v>1</v>
      </c>
      <c r="W378" s="26"/>
    </row>
    <row r="379" spans="1:23" x14ac:dyDescent="0.25">
      <c r="A379" s="26" t="str">
        <f t="shared" si="65"/>
        <v>SECUNDARIA</v>
      </c>
      <c r="B379" s="26" t="str">
        <f>"09DES4070D"</f>
        <v>09DES4070D</v>
      </c>
      <c r="C379" s="26" t="str">
        <f>"MAHATMA MOHANDAS GANDHI                                                                             "</f>
        <v xml:space="preserve">MAHATMA MOHANDAS GANDHI                                                                             </v>
      </c>
      <c r="D379" s="26" t="str">
        <f t="shared" si="70"/>
        <v>VESPERTINO</v>
      </c>
      <c r="E379" s="26" t="str">
        <f>"AV MARRUECOS Y L TROTSKY                                                        "</f>
        <v xml:space="preserve">AV MARRUECOS Y L TROTSKY                                                        </v>
      </c>
      <c r="F379" s="26" t="str">
        <f>"PRIMERO DE MAYO                                                                                                                             "</f>
        <v xml:space="preserve">PRIMERO DE MAYO                                                                                                                             </v>
      </c>
      <c r="G379" s="26" t="str">
        <f>"VENUSTIANO CARRANZA                                                             "</f>
        <v xml:space="preserve">VENUSTIANO CARRANZA                                                             </v>
      </c>
      <c r="H379" s="26" t="str">
        <f>"076"</f>
        <v>076</v>
      </c>
      <c r="I379" s="26" t="str">
        <f t="shared" si="69"/>
        <v>00</v>
      </c>
      <c r="J379" s="26" t="str">
        <f>"54 "</f>
        <v xml:space="preserve">54 </v>
      </c>
      <c r="K379" s="26" t="str">
        <f t="shared" si="73"/>
        <v>SG</v>
      </c>
      <c r="L379" s="26" t="str">
        <f t="shared" si="74"/>
        <v>DGOSE</v>
      </c>
      <c r="M379" s="26" t="str">
        <f t="shared" si="66"/>
        <v>FEDERAL</v>
      </c>
      <c r="N379" s="26">
        <v>70</v>
      </c>
      <c r="O379" s="26">
        <v>46</v>
      </c>
      <c r="P379" s="26">
        <v>24</v>
      </c>
      <c r="Q379" s="26">
        <v>4</v>
      </c>
      <c r="R379" s="26">
        <v>1</v>
      </c>
      <c r="S379" s="26">
        <v>17</v>
      </c>
      <c r="T379" s="26">
        <v>13</v>
      </c>
      <c r="U379" s="26">
        <v>31</v>
      </c>
      <c r="V379" s="26">
        <v>1</v>
      </c>
      <c r="W379" s="26"/>
    </row>
    <row r="380" spans="1:23" x14ac:dyDescent="0.25">
      <c r="A380" s="26" t="str">
        <f t="shared" si="65"/>
        <v>SECUNDARIA</v>
      </c>
      <c r="B380" s="26" t="str">
        <f>"09DES4071C"</f>
        <v>09DES4071C</v>
      </c>
      <c r="C380" s="26" t="str">
        <f>"NARCISO BASSOLS                                                                                     "</f>
        <v xml:space="preserve">NARCISO BASSOLS                                                                                     </v>
      </c>
      <c r="D380" s="26" t="str">
        <f t="shared" si="70"/>
        <v>VESPERTINO</v>
      </c>
      <c r="E380" s="26" t="str">
        <f>"PLAYA COPACABANA NO 169                                                         "</f>
        <v xml:space="preserve">PLAYA COPACABANA NO 169                                                         </v>
      </c>
      <c r="F380" s="26" t="str">
        <f>"MILITAR MARTE                                                                                                                               "</f>
        <v xml:space="preserve">MILITAR MARTE                                                                                                                               </v>
      </c>
      <c r="G380" s="26" t="str">
        <f>"IZTACALCO                                                                       "</f>
        <v xml:space="preserve">IZTACALCO                                                                       </v>
      </c>
      <c r="H380" s="26" t="str">
        <f>"043"</f>
        <v>043</v>
      </c>
      <c r="I380" s="26" t="str">
        <f t="shared" si="69"/>
        <v>00</v>
      </c>
      <c r="J380" s="26" t="str">
        <f>"54 "</f>
        <v xml:space="preserve">54 </v>
      </c>
      <c r="K380" s="26" t="str">
        <f t="shared" si="73"/>
        <v>SG</v>
      </c>
      <c r="L380" s="26" t="str">
        <f t="shared" si="74"/>
        <v>DGOSE</v>
      </c>
      <c r="M380" s="26" t="str">
        <f t="shared" si="66"/>
        <v>FEDERAL</v>
      </c>
      <c r="N380" s="26">
        <v>280</v>
      </c>
      <c r="O380" s="26">
        <v>133</v>
      </c>
      <c r="P380" s="26">
        <v>147</v>
      </c>
      <c r="Q380" s="26">
        <v>9</v>
      </c>
      <c r="R380" s="26">
        <v>2</v>
      </c>
      <c r="S380" s="26">
        <v>25</v>
      </c>
      <c r="T380" s="26">
        <v>22</v>
      </c>
      <c r="U380" s="26">
        <v>49</v>
      </c>
      <c r="V380" s="26">
        <v>1</v>
      </c>
      <c r="W380" s="26"/>
    </row>
    <row r="381" spans="1:23" x14ac:dyDescent="0.25">
      <c r="A381" s="26" t="str">
        <f t="shared" si="65"/>
        <v>SECUNDARIA</v>
      </c>
      <c r="B381" s="26" t="str">
        <f>"09DES4072B"</f>
        <v>09DES4072B</v>
      </c>
      <c r="C381" s="26" t="str">
        <f>"DIEGO RIVERA                                                                                        "</f>
        <v xml:space="preserve">DIEGO RIVERA                                                                                        </v>
      </c>
      <c r="D381" s="26" t="str">
        <f t="shared" si="70"/>
        <v>VESPERTINO</v>
      </c>
      <c r="E381" s="26" t="str">
        <f>"CDA POPOCATEPETL NO 56                                                          "</f>
        <v xml:space="preserve">CDA POPOCATEPETL NO 56                                                          </v>
      </c>
      <c r="F381" s="26" t="str">
        <f>"XOCO                                                                                                                                        "</f>
        <v xml:space="preserve">XOCO                                                                                                                                        </v>
      </c>
      <c r="G381" s="26" t="str">
        <f>"BENITO JUAREZ                                                                   "</f>
        <v xml:space="preserve">BENITO JUAREZ                                                                   </v>
      </c>
      <c r="H381" s="26" t="str">
        <f>"016"</f>
        <v>016</v>
      </c>
      <c r="I381" s="26" t="str">
        <f t="shared" si="69"/>
        <v>00</v>
      </c>
      <c r="J381" s="26" t="str">
        <f>"53 "</f>
        <v xml:space="preserve">53 </v>
      </c>
      <c r="K381" s="26" t="str">
        <f t="shared" si="73"/>
        <v>SG</v>
      </c>
      <c r="L381" s="26" t="str">
        <f t="shared" si="74"/>
        <v>DGOSE</v>
      </c>
      <c r="M381" s="26" t="str">
        <f t="shared" si="66"/>
        <v>FEDERAL</v>
      </c>
      <c r="N381" s="26">
        <v>336</v>
      </c>
      <c r="O381" s="26">
        <v>160</v>
      </c>
      <c r="P381" s="26">
        <v>176</v>
      </c>
      <c r="Q381" s="26">
        <v>15</v>
      </c>
      <c r="R381" s="26">
        <v>2</v>
      </c>
      <c r="S381" s="26">
        <v>35</v>
      </c>
      <c r="T381" s="26">
        <v>18</v>
      </c>
      <c r="U381" s="26">
        <v>55</v>
      </c>
      <c r="V381" s="26">
        <v>1</v>
      </c>
      <c r="W381" s="26"/>
    </row>
    <row r="382" spans="1:23" x14ac:dyDescent="0.25">
      <c r="A382" s="26" t="str">
        <f t="shared" si="65"/>
        <v>SECUNDARIA</v>
      </c>
      <c r="B382" s="26" t="str">
        <f>"09DES4074Z"</f>
        <v>09DES4074Z</v>
      </c>
      <c r="C382" s="26" t="str">
        <f>"REPUBLICA DE NICARAGUA                                                                              "</f>
        <v xml:space="preserve">REPUBLICA DE NICARAGUA                                                                              </v>
      </c>
      <c r="D382" s="26" t="str">
        <f t="shared" si="70"/>
        <v>VESPERTINO</v>
      </c>
      <c r="E382" s="26" t="str">
        <f>"CDA VASCO DE QUIROGA  Y 16 DE SEPTIEMBRE S/N                                    "</f>
        <v xml:space="preserve">CDA VASCO DE QUIROGA  Y 16 DE SEPTIEMBRE S/N                                    </v>
      </c>
      <c r="F382" s="26" t="str">
        <f>"ATZACOALCO                                                                                                                                  "</f>
        <v xml:space="preserve">ATZACOALCO                                                                                                                                  </v>
      </c>
      <c r="G382" s="26" t="str">
        <f>"GUSTAVO A. MADERO                                                               "</f>
        <v xml:space="preserve">GUSTAVO A. MADERO                                                               </v>
      </c>
      <c r="H382" s="26" t="str">
        <f>"038"</f>
        <v>038</v>
      </c>
      <c r="I382" s="26" t="str">
        <f t="shared" si="69"/>
        <v>00</v>
      </c>
      <c r="J382" s="26" t="str">
        <f>"52 "</f>
        <v xml:space="preserve">52 </v>
      </c>
      <c r="K382" s="26" t="str">
        <f t="shared" si="73"/>
        <v>SG</v>
      </c>
      <c r="L382" s="26" t="str">
        <f t="shared" si="74"/>
        <v>DGOSE</v>
      </c>
      <c r="M382" s="26" t="str">
        <f t="shared" si="66"/>
        <v>FEDERAL</v>
      </c>
      <c r="N382" s="26">
        <v>94</v>
      </c>
      <c r="O382" s="26">
        <v>57</v>
      </c>
      <c r="P382" s="26">
        <v>37</v>
      </c>
      <c r="Q382" s="26">
        <v>5</v>
      </c>
      <c r="R382" s="26">
        <v>2</v>
      </c>
      <c r="S382" s="26">
        <v>19</v>
      </c>
      <c r="T382" s="26">
        <v>17</v>
      </c>
      <c r="U382" s="26">
        <v>38</v>
      </c>
      <c r="V382" s="26">
        <v>1</v>
      </c>
      <c r="W382" s="26"/>
    </row>
    <row r="383" spans="1:23" x14ac:dyDescent="0.25">
      <c r="A383" s="26" t="str">
        <f t="shared" si="65"/>
        <v>SECUNDARIA</v>
      </c>
      <c r="B383" s="26" t="str">
        <f>"09DES4078W"</f>
        <v>09DES4078W</v>
      </c>
      <c r="C383" s="26" t="str">
        <f>"REPUBLICA DE PARAGUAY                                                                               "</f>
        <v xml:space="preserve">REPUBLICA DE PARAGUAY                                                                               </v>
      </c>
      <c r="D383" s="26" t="str">
        <f t="shared" si="70"/>
        <v>VESPERTINO</v>
      </c>
      <c r="E383" s="26" t="str">
        <f>"EJE NORTE 4 Y PROL RIO BAMBA                                                    "</f>
        <v xml:space="preserve">EJE NORTE 4 Y PROL RIO BAMBA                                                    </v>
      </c>
      <c r="F383" s="26" t="str">
        <f>"CAPULTITLAN                                                                                                                                 "</f>
        <v xml:space="preserve">CAPULTITLAN                                                                                                                                 </v>
      </c>
      <c r="G383" s="26" t="str">
        <f>"GUSTAVO A. MADERO                                                               "</f>
        <v xml:space="preserve">GUSTAVO A. MADERO                                                               </v>
      </c>
      <c r="H383" s="26" t="str">
        <f>"033"</f>
        <v>033</v>
      </c>
      <c r="I383" s="26" t="str">
        <f t="shared" si="69"/>
        <v>00</v>
      </c>
      <c r="J383" s="26" t="str">
        <f>"52 "</f>
        <v xml:space="preserve">52 </v>
      </c>
      <c r="K383" s="26" t="str">
        <f t="shared" si="73"/>
        <v>SG</v>
      </c>
      <c r="L383" s="26" t="str">
        <f t="shared" si="74"/>
        <v>DGOSE</v>
      </c>
      <c r="M383" s="26" t="str">
        <f t="shared" si="66"/>
        <v>FEDERAL</v>
      </c>
      <c r="N383" s="26">
        <v>362</v>
      </c>
      <c r="O383" s="26">
        <v>196</v>
      </c>
      <c r="P383" s="26">
        <v>166</v>
      </c>
      <c r="Q383" s="26">
        <v>18</v>
      </c>
      <c r="R383" s="26">
        <v>2</v>
      </c>
      <c r="S383" s="26">
        <v>49</v>
      </c>
      <c r="T383" s="26">
        <v>29</v>
      </c>
      <c r="U383" s="26">
        <v>80</v>
      </c>
      <c r="V383" s="26">
        <v>1</v>
      </c>
      <c r="W383" s="26"/>
    </row>
    <row r="384" spans="1:23" x14ac:dyDescent="0.25">
      <c r="A384" s="26" t="str">
        <f t="shared" si="65"/>
        <v>SECUNDARIA</v>
      </c>
      <c r="B384" s="26" t="str">
        <f>"09DES4079V"</f>
        <v>09DES4079V</v>
      </c>
      <c r="C384" s="26" t="str">
        <f>"REPUBLICA DE CHILE                                                                                  "</f>
        <v xml:space="preserve">REPUBLICA DE CHILE                                                                                  </v>
      </c>
      <c r="D384" s="26" t="str">
        <f t="shared" si="70"/>
        <v>VESPERTINO</v>
      </c>
      <c r="E384" s="26" t="str">
        <f>"CALZ. DE LA VIGA NO. 1916                                                       "</f>
        <v xml:space="preserve">CALZ. DE LA VIGA NO. 1916                                                       </v>
      </c>
      <c r="F384" s="26" t="str">
        <f>"MEXICALTZINGO                                                                                                                               "</f>
        <v xml:space="preserve">MEXICALTZINGO                                                                                                                               </v>
      </c>
      <c r="G384" s="26" t="str">
        <f>"IZTAPALAPA                                                                      "</f>
        <v xml:space="preserve">IZTAPALAPA                                                                      </v>
      </c>
      <c r="H384" s="26" t="str">
        <f>"009"</f>
        <v>009</v>
      </c>
      <c r="I384" s="26" t="str">
        <f t="shared" si="69"/>
        <v>00</v>
      </c>
      <c r="J384" s="26" t="str">
        <f>"63 "</f>
        <v xml:space="preserve">63 </v>
      </c>
      <c r="K384" s="26" t="str">
        <f>"IZ"</f>
        <v>IZ</v>
      </c>
      <c r="L384" s="26" t="str">
        <f>"DGSEI"</f>
        <v>DGSEI</v>
      </c>
      <c r="M384" s="26" t="str">
        <f t="shared" si="66"/>
        <v>FEDERAL</v>
      </c>
      <c r="N384" s="26">
        <v>605</v>
      </c>
      <c r="O384" s="26">
        <v>285</v>
      </c>
      <c r="P384" s="26">
        <v>320</v>
      </c>
      <c r="Q384" s="26">
        <v>18</v>
      </c>
      <c r="R384" s="26">
        <v>2</v>
      </c>
      <c r="S384" s="26">
        <v>53</v>
      </c>
      <c r="T384" s="26">
        <v>23</v>
      </c>
      <c r="U384" s="26">
        <v>78</v>
      </c>
      <c r="V384" s="26">
        <v>1</v>
      </c>
      <c r="W384" s="26"/>
    </row>
    <row r="385" spans="1:23" x14ac:dyDescent="0.25">
      <c r="A385" s="26" t="str">
        <f t="shared" si="65"/>
        <v>SECUNDARIA</v>
      </c>
      <c r="B385" s="26" t="str">
        <f>"09DES4082I"</f>
        <v>09DES4082I</v>
      </c>
      <c r="C385" s="26" t="str">
        <f>"ABRAHAM LINCOLN                                                                                     "</f>
        <v xml:space="preserve">ABRAHAM LINCOLN                                                                                     </v>
      </c>
      <c r="D385" s="26" t="str">
        <f t="shared" si="70"/>
        <v>VESPERTINO</v>
      </c>
      <c r="E385" s="26" t="str">
        <f>"FERNANDO DE ALVA IXTLIXOCHITL NO 172                                            "</f>
        <v xml:space="preserve">FERNANDO DE ALVA IXTLIXOCHITL NO 172                                            </v>
      </c>
      <c r="F385" s="26" t="str">
        <f>"OBRERA                                                                                                                                      "</f>
        <v xml:space="preserve">OBRERA                                                                                                                                      </v>
      </c>
      <c r="G385" s="26" t="str">
        <f>"CUAUHTEMOC                                                                      "</f>
        <v xml:space="preserve">CUAUHTEMOC                                                                      </v>
      </c>
      <c r="H385" s="26" t="str">
        <f>"025"</f>
        <v>025</v>
      </c>
      <c r="I385" s="26" t="str">
        <f t="shared" si="69"/>
        <v>00</v>
      </c>
      <c r="J385" s="26" t="str">
        <f>"51 "</f>
        <v xml:space="preserve">51 </v>
      </c>
      <c r="K385" s="26" t="str">
        <f>"SG"</f>
        <v>SG</v>
      </c>
      <c r="L385" s="26" t="str">
        <f>"DGOSE"</f>
        <v>DGOSE</v>
      </c>
      <c r="M385" s="26" t="str">
        <f t="shared" si="66"/>
        <v>FEDERAL</v>
      </c>
      <c r="N385" s="26">
        <v>64</v>
      </c>
      <c r="O385" s="26">
        <v>37</v>
      </c>
      <c r="P385" s="26">
        <v>27</v>
      </c>
      <c r="Q385" s="26">
        <v>3</v>
      </c>
      <c r="R385" s="26">
        <v>1</v>
      </c>
      <c r="S385" s="26">
        <v>21</v>
      </c>
      <c r="T385" s="26">
        <v>14</v>
      </c>
      <c r="U385" s="26">
        <v>36</v>
      </c>
      <c r="V385" s="26">
        <v>1</v>
      </c>
      <c r="W385" s="26"/>
    </row>
    <row r="386" spans="1:23" x14ac:dyDescent="0.25">
      <c r="A386" s="26" t="str">
        <f t="shared" ref="A386:A449" si="75">"SECUNDARIA"</f>
        <v>SECUNDARIA</v>
      </c>
      <c r="B386" s="26" t="str">
        <f>"09DES4083H"</f>
        <v>09DES4083H</v>
      </c>
      <c r="C386" s="26" t="str">
        <f>"PRESIDENTE VALENTIN GOMEZ FARIAS                                                                    "</f>
        <v xml:space="preserve">PRESIDENTE VALENTIN GOMEZ FARIAS                                                                    </v>
      </c>
      <c r="D386" s="26" t="str">
        <f t="shared" si="70"/>
        <v>VESPERTINO</v>
      </c>
      <c r="E386" s="26" t="str">
        <f>"LERDO NO 242                                                                    "</f>
        <v xml:space="preserve">LERDO NO 242                                                                    </v>
      </c>
      <c r="F386" s="26" t="str">
        <f>"UNIDAD NONOALCO TLATELOLCO                                                                                                                  "</f>
        <v xml:space="preserve">UNIDAD NONOALCO TLATELOLCO                                                                                                                  </v>
      </c>
      <c r="G386" s="26" t="str">
        <f>"CUAUHTEMOC                                                                      "</f>
        <v xml:space="preserve">CUAUHTEMOC                                                                      </v>
      </c>
      <c r="H386" s="26" t="str">
        <f>"026"</f>
        <v>026</v>
      </c>
      <c r="I386" s="26" t="str">
        <f t="shared" si="69"/>
        <v>00</v>
      </c>
      <c r="J386" s="26" t="str">
        <f>"51 "</f>
        <v xml:space="preserve">51 </v>
      </c>
      <c r="K386" s="26" t="str">
        <f>"SG"</f>
        <v>SG</v>
      </c>
      <c r="L386" s="26" t="str">
        <f>"DGOSE"</f>
        <v>DGOSE</v>
      </c>
      <c r="M386" s="26" t="str">
        <f t="shared" ref="M386:M449" si="76">"FEDERAL"</f>
        <v>FEDERAL</v>
      </c>
      <c r="N386" s="26">
        <v>119</v>
      </c>
      <c r="O386" s="26">
        <v>69</v>
      </c>
      <c r="P386" s="26">
        <v>50</v>
      </c>
      <c r="Q386" s="26">
        <v>6</v>
      </c>
      <c r="R386" s="26">
        <v>2</v>
      </c>
      <c r="S386" s="26">
        <v>12</v>
      </c>
      <c r="T386" s="26">
        <v>16</v>
      </c>
      <c r="U386" s="26">
        <v>30</v>
      </c>
      <c r="V386" s="26">
        <v>1</v>
      </c>
      <c r="W386" s="26"/>
    </row>
    <row r="387" spans="1:23" x14ac:dyDescent="0.25">
      <c r="A387" s="26" t="str">
        <f t="shared" si="75"/>
        <v>SECUNDARIA</v>
      </c>
      <c r="B387" s="26" t="str">
        <f>"09DES4084G"</f>
        <v>09DES4084G</v>
      </c>
      <c r="C387" s="26" t="str">
        <f>"JOSE MARTI                                                                                          "</f>
        <v xml:space="preserve">JOSE MARTI                                                                                          </v>
      </c>
      <c r="D387" s="26" t="str">
        <f t="shared" si="70"/>
        <v>VESPERTINO</v>
      </c>
      <c r="E387" s="26" t="str">
        <f>"CALZ. TULYEHUALCO Y CUITLAHUAC S/N                                              "</f>
        <v xml:space="preserve">CALZ. TULYEHUALCO Y CUITLAHUAC S/N                                              </v>
      </c>
      <c r="F387" s="26" t="str">
        <f>"LOS REYES                                                                                                                                   "</f>
        <v xml:space="preserve">LOS REYES                                                                                                                                   </v>
      </c>
      <c r="G387" s="26" t="str">
        <f>"IZTAPALAPA                                                                      "</f>
        <v xml:space="preserve">IZTAPALAPA                                                                      </v>
      </c>
      <c r="H387" s="26" t="str">
        <f>"009"</f>
        <v>009</v>
      </c>
      <c r="I387" s="26" t="str">
        <f t="shared" si="69"/>
        <v>00</v>
      </c>
      <c r="J387" s="26" t="str">
        <f>"63 "</f>
        <v xml:space="preserve">63 </v>
      </c>
      <c r="K387" s="26" t="str">
        <f>"IZ"</f>
        <v>IZ</v>
      </c>
      <c r="L387" s="26" t="str">
        <f>"DGSEI"</f>
        <v>DGSEI</v>
      </c>
      <c r="M387" s="26" t="str">
        <f t="shared" si="76"/>
        <v>FEDERAL</v>
      </c>
      <c r="N387" s="26">
        <v>435</v>
      </c>
      <c r="O387" s="26">
        <v>227</v>
      </c>
      <c r="P387" s="26">
        <v>208</v>
      </c>
      <c r="Q387" s="26">
        <v>18</v>
      </c>
      <c r="R387" s="26">
        <v>2</v>
      </c>
      <c r="S387" s="26">
        <v>59</v>
      </c>
      <c r="T387" s="26">
        <v>18</v>
      </c>
      <c r="U387" s="26">
        <v>79</v>
      </c>
      <c r="V387" s="26">
        <v>1</v>
      </c>
      <c r="W387" s="26"/>
    </row>
    <row r="388" spans="1:23" x14ac:dyDescent="0.25">
      <c r="A388" s="26" t="str">
        <f t="shared" si="75"/>
        <v>SECUNDARIA</v>
      </c>
      <c r="B388" s="26" t="str">
        <f>"09DES4085F"</f>
        <v>09DES4085F</v>
      </c>
      <c r="C388" s="26" t="str">
        <f>"REPUBLICA DE FRANCIA                                                                                "</f>
        <v xml:space="preserve">REPUBLICA DE FRANCIA                                                                                </v>
      </c>
      <c r="D388" s="26" t="str">
        <f t="shared" si="70"/>
        <v>VESPERTINO</v>
      </c>
      <c r="E388" s="26" t="str">
        <f>"AV OCEANIA Y AV 567                                                             "</f>
        <v xml:space="preserve">AV OCEANIA Y AV 567                                                             </v>
      </c>
      <c r="F388" s="26" t="str">
        <f>"UNIDAD SAN JUAN DE ARAGON                                                                                                                   "</f>
        <v xml:space="preserve">UNIDAD SAN JUAN DE ARAGON                                                                                                                   </v>
      </c>
      <c r="G388" s="26" t="str">
        <f>"GUSTAVO A. MADERO                                                               "</f>
        <v xml:space="preserve">GUSTAVO A. MADERO                                                               </v>
      </c>
      <c r="H388" s="26" t="str">
        <f>"042"</f>
        <v>042</v>
      </c>
      <c r="I388" s="26" t="str">
        <f t="shared" si="69"/>
        <v>00</v>
      </c>
      <c r="J388" s="26" t="str">
        <f>"52 "</f>
        <v xml:space="preserve">52 </v>
      </c>
      <c r="K388" s="26" t="str">
        <f>"SG"</f>
        <v>SG</v>
      </c>
      <c r="L388" s="26" t="str">
        <f>"DGOSE"</f>
        <v>DGOSE</v>
      </c>
      <c r="M388" s="26" t="str">
        <f t="shared" si="76"/>
        <v>FEDERAL</v>
      </c>
      <c r="N388" s="26">
        <v>698</v>
      </c>
      <c r="O388" s="26">
        <v>346</v>
      </c>
      <c r="P388" s="26">
        <v>352</v>
      </c>
      <c r="Q388" s="26">
        <v>18</v>
      </c>
      <c r="R388" s="26">
        <v>2</v>
      </c>
      <c r="S388" s="26">
        <v>60</v>
      </c>
      <c r="T388" s="26">
        <v>31</v>
      </c>
      <c r="U388" s="26">
        <v>93</v>
      </c>
      <c r="V388" s="26">
        <v>1</v>
      </c>
      <c r="W388" s="26"/>
    </row>
    <row r="389" spans="1:23" x14ac:dyDescent="0.25">
      <c r="A389" s="26" t="str">
        <f t="shared" si="75"/>
        <v>SECUNDARIA</v>
      </c>
      <c r="B389" s="26" t="str">
        <f>"09DES4086E"</f>
        <v>09DES4086E</v>
      </c>
      <c r="C389" s="26" t="str">
        <f>"REPUBLICA DE VENEZUELA                                                                              "</f>
        <v xml:space="preserve">REPUBLICA DE VENEZUELA                                                                              </v>
      </c>
      <c r="D389" s="26" t="str">
        <f t="shared" si="70"/>
        <v>VESPERTINO</v>
      </c>
      <c r="E389" s="26" t="str">
        <f>"PROL. ERMITA IZTAPALAPA Y AYUNTAMIENTO                                          "</f>
        <v xml:space="preserve">PROL. ERMITA IZTAPALAPA Y AYUNTAMIENTO                                          </v>
      </c>
      <c r="F389" s="26" t="str">
        <f>"EL SANTUARIO                                                                                                                                "</f>
        <v xml:space="preserve">EL SANTUARIO                                                                                                                                </v>
      </c>
      <c r="G389" s="26" t="str">
        <f>"IZTAPALAPA                                                                      "</f>
        <v xml:space="preserve">IZTAPALAPA                                                                      </v>
      </c>
      <c r="H389" s="26" t="str">
        <f>"010"</f>
        <v>010</v>
      </c>
      <c r="I389" s="26" t="str">
        <f t="shared" si="69"/>
        <v>00</v>
      </c>
      <c r="J389" s="26" t="str">
        <f>"63 "</f>
        <v xml:space="preserve">63 </v>
      </c>
      <c r="K389" s="26" t="str">
        <f>"IZ"</f>
        <v>IZ</v>
      </c>
      <c r="L389" s="26" t="str">
        <f>"DGSEI"</f>
        <v>DGSEI</v>
      </c>
      <c r="M389" s="26" t="str">
        <f t="shared" si="76"/>
        <v>FEDERAL</v>
      </c>
      <c r="N389" s="26">
        <v>579</v>
      </c>
      <c r="O389" s="26">
        <v>286</v>
      </c>
      <c r="P389" s="26">
        <v>293</v>
      </c>
      <c r="Q389" s="26">
        <v>15</v>
      </c>
      <c r="R389" s="26">
        <v>2</v>
      </c>
      <c r="S389" s="26">
        <v>46</v>
      </c>
      <c r="T389" s="26">
        <v>28</v>
      </c>
      <c r="U389" s="26">
        <v>76</v>
      </c>
      <c r="V389" s="26">
        <v>1</v>
      </c>
      <c r="W389" s="26"/>
    </row>
    <row r="390" spans="1:23" x14ac:dyDescent="0.25">
      <c r="A390" s="26" t="str">
        <f t="shared" si="75"/>
        <v>SECUNDARIA</v>
      </c>
      <c r="B390" s="26" t="str">
        <f>"09DES4087D"</f>
        <v>09DES4087D</v>
      </c>
      <c r="C390" s="26" t="str">
        <f>"REPUBLICA DE FILIPINAS                                                                              "</f>
        <v xml:space="preserve">REPUBLICA DE FILIPINAS                                                                              </v>
      </c>
      <c r="D390" s="26" t="str">
        <f t="shared" si="70"/>
        <v>VESPERTINO</v>
      </c>
      <c r="E390" s="26" t="str">
        <f>"CALZ VALLEJO NO 2421                                                            "</f>
        <v xml:space="preserve">CALZ VALLEJO NO 2421                                                            </v>
      </c>
      <c r="F390" s="26" t="str">
        <f>"NUEVA INDUSTRIAL VALLEJO                                                                                                                    "</f>
        <v xml:space="preserve">NUEVA INDUSTRIAL VALLEJO                                                                                                                    </v>
      </c>
      <c r="G390" s="26" t="str">
        <f>"GUSTAVO A. MADERO                                                               "</f>
        <v xml:space="preserve">GUSTAVO A. MADERO                                                               </v>
      </c>
      <c r="H390" s="26" t="str">
        <f>"032"</f>
        <v>032</v>
      </c>
      <c r="I390" s="26" t="str">
        <f t="shared" si="69"/>
        <v>00</v>
      </c>
      <c r="J390" s="26" t="str">
        <f>"52 "</f>
        <v xml:space="preserve">52 </v>
      </c>
      <c r="K390" s="26" t="str">
        <f>"SG"</f>
        <v>SG</v>
      </c>
      <c r="L390" s="26" t="str">
        <f>"DGOSE"</f>
        <v>DGOSE</v>
      </c>
      <c r="M390" s="26" t="str">
        <f t="shared" si="76"/>
        <v>FEDERAL</v>
      </c>
      <c r="N390" s="26">
        <v>156</v>
      </c>
      <c r="O390" s="26">
        <v>89</v>
      </c>
      <c r="P390" s="26">
        <v>67</v>
      </c>
      <c r="Q390" s="26">
        <v>8</v>
      </c>
      <c r="R390" s="26">
        <v>2</v>
      </c>
      <c r="S390" s="26">
        <v>19</v>
      </c>
      <c r="T390" s="26">
        <v>16</v>
      </c>
      <c r="U390" s="26">
        <v>37</v>
      </c>
      <c r="V390" s="26">
        <v>1</v>
      </c>
      <c r="W390" s="26"/>
    </row>
    <row r="391" spans="1:23" x14ac:dyDescent="0.25">
      <c r="A391" s="26" t="str">
        <f t="shared" si="75"/>
        <v>SECUNDARIA</v>
      </c>
      <c r="B391" s="26" t="str">
        <f>"09DES4088C"</f>
        <v>09DES4088C</v>
      </c>
      <c r="C391" s="26" t="str">
        <f>"DR. NABOR CARRILLO FLORES                                                                           "</f>
        <v xml:space="preserve">DR. NABOR CARRILLO FLORES                                                                           </v>
      </c>
      <c r="D391" s="26" t="str">
        <f t="shared" si="70"/>
        <v>VESPERTINO</v>
      </c>
      <c r="E391" s="26" t="str">
        <f>"TALLER Y RETORNO 52                                                             "</f>
        <v xml:space="preserve">TALLER Y RETORNO 52                                                             </v>
      </c>
      <c r="F391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391" s="26" t="str">
        <f>"VENUSTIANO CARRANZA                                                             "</f>
        <v xml:space="preserve">VENUSTIANO CARRANZA                                                             </v>
      </c>
      <c r="H391" s="26" t="str">
        <f>"078"</f>
        <v>078</v>
      </c>
      <c r="I391" s="26" t="str">
        <f t="shared" ref="I391:I454" si="77">"00"</f>
        <v>00</v>
      </c>
      <c r="J391" s="26" t="str">
        <f>"54 "</f>
        <v xml:space="preserve">54 </v>
      </c>
      <c r="K391" s="26" t="str">
        <f>"SG"</f>
        <v>SG</v>
      </c>
      <c r="L391" s="26" t="str">
        <f>"DGOSE"</f>
        <v>DGOSE</v>
      </c>
      <c r="M391" s="26" t="str">
        <f t="shared" si="76"/>
        <v>FEDERAL</v>
      </c>
      <c r="N391" s="26">
        <v>80</v>
      </c>
      <c r="O391" s="26">
        <v>55</v>
      </c>
      <c r="P391" s="26">
        <v>25</v>
      </c>
      <c r="Q391" s="26">
        <v>3</v>
      </c>
      <c r="R391" s="26">
        <v>1</v>
      </c>
      <c r="S391" s="26">
        <v>21</v>
      </c>
      <c r="T391" s="26">
        <v>15</v>
      </c>
      <c r="U391" s="26">
        <v>37</v>
      </c>
      <c r="V391" s="26">
        <v>1</v>
      </c>
      <c r="W391" s="26"/>
    </row>
    <row r="392" spans="1:23" x14ac:dyDescent="0.25">
      <c r="A392" s="26" t="str">
        <f t="shared" si="75"/>
        <v>SECUNDARIA</v>
      </c>
      <c r="B392" s="26" t="str">
        <f>"09DES4090R"</f>
        <v>09DES4090R</v>
      </c>
      <c r="C392" s="26" t="str">
        <f>"ING. JUAN GUILLERMO VILLASANA                                                                       "</f>
        <v xml:space="preserve">ING. JUAN GUILLERMO VILLASANA                                                                       </v>
      </c>
      <c r="D392" s="26" t="str">
        <f t="shared" si="70"/>
        <v>VESPERTINO</v>
      </c>
      <c r="E392" s="26" t="str">
        <f>"NORTE 33 Y ORIENTE 158                                                          "</f>
        <v xml:space="preserve">NORTE 33 Y ORIENTE 158                                                          </v>
      </c>
      <c r="F392" s="26" t="str">
        <f>"MOCTEZUMA 2A SECCION                                                                                                                        "</f>
        <v xml:space="preserve">MOCTEZUMA 2A SECCION                                                                                                                        </v>
      </c>
      <c r="G392" s="26" t="str">
        <f>"VENUSTIANO CARRANZA                                                             "</f>
        <v xml:space="preserve">VENUSTIANO CARRANZA                                                             </v>
      </c>
      <c r="H392" s="26" t="str">
        <f>"076"</f>
        <v>076</v>
      </c>
      <c r="I392" s="26" t="str">
        <f t="shared" si="77"/>
        <v>00</v>
      </c>
      <c r="J392" s="26" t="str">
        <f>"54 "</f>
        <v xml:space="preserve">54 </v>
      </c>
      <c r="K392" s="26" t="str">
        <f>"SG"</f>
        <v>SG</v>
      </c>
      <c r="L392" s="26" t="str">
        <f>"DGOSE"</f>
        <v>DGOSE</v>
      </c>
      <c r="M392" s="26" t="str">
        <f t="shared" si="76"/>
        <v>FEDERAL</v>
      </c>
      <c r="N392" s="26">
        <v>139</v>
      </c>
      <c r="O392" s="26">
        <v>85</v>
      </c>
      <c r="P392" s="26">
        <v>54</v>
      </c>
      <c r="Q392" s="26">
        <v>9</v>
      </c>
      <c r="R392" s="26">
        <v>2</v>
      </c>
      <c r="S392" s="26">
        <v>40</v>
      </c>
      <c r="T392" s="26">
        <v>27</v>
      </c>
      <c r="U392" s="26">
        <v>69</v>
      </c>
      <c r="V392" s="26">
        <v>1</v>
      </c>
      <c r="W392" s="26"/>
    </row>
    <row r="393" spans="1:23" x14ac:dyDescent="0.25">
      <c r="A393" s="26" t="str">
        <f t="shared" si="75"/>
        <v>SECUNDARIA</v>
      </c>
      <c r="B393" s="26" t="str">
        <f>"09DES4091Q"</f>
        <v>09DES4091Q</v>
      </c>
      <c r="C393" s="26" t="str">
        <f>"REPUBLICA DEL PERU                                                                                  "</f>
        <v xml:space="preserve">REPUBLICA DEL PERU                                                                                  </v>
      </c>
      <c r="D393" s="26" t="str">
        <f t="shared" si="70"/>
        <v>VESPERTINO</v>
      </c>
      <c r="E393" s="26" t="str">
        <f>"EMILIANO ZAPATA Y JALAPA S/N                                                    "</f>
        <v xml:space="preserve">EMILIANO ZAPATA Y JALAPA S/N                                                    </v>
      </c>
      <c r="F393" s="26" t="str">
        <f>"SAN JERONIMO LIDICE                                                                                                                         "</f>
        <v xml:space="preserve">SAN JERONIMO LIDICE                                                                                                                         </v>
      </c>
      <c r="G393" s="26" t="str">
        <f>"LA MAGDALENA CONTRERAS                                                          "</f>
        <v xml:space="preserve">LA MAGDALENA CONTRERAS                                                          </v>
      </c>
      <c r="H393" s="26" t="str">
        <f>"059"</f>
        <v>059</v>
      </c>
      <c r="I393" s="26" t="str">
        <f t="shared" si="77"/>
        <v>00</v>
      </c>
      <c r="J393" s="26" t="str">
        <f>"53 "</f>
        <v xml:space="preserve">53 </v>
      </c>
      <c r="K393" s="26" t="str">
        <f>"SG"</f>
        <v>SG</v>
      </c>
      <c r="L393" s="26" t="str">
        <f>"DGOSE"</f>
        <v>DGOSE</v>
      </c>
      <c r="M393" s="26" t="str">
        <f t="shared" si="76"/>
        <v>FEDERAL</v>
      </c>
      <c r="N393" s="26">
        <v>811</v>
      </c>
      <c r="O393" s="26">
        <v>410</v>
      </c>
      <c r="P393" s="26">
        <v>401</v>
      </c>
      <c r="Q393" s="26">
        <v>18</v>
      </c>
      <c r="R393" s="26">
        <v>2</v>
      </c>
      <c r="S393" s="26">
        <v>44</v>
      </c>
      <c r="T393" s="26">
        <v>17</v>
      </c>
      <c r="U393" s="26">
        <v>63</v>
      </c>
      <c r="V393" s="26">
        <v>1</v>
      </c>
      <c r="W393" s="26"/>
    </row>
    <row r="394" spans="1:23" x14ac:dyDescent="0.25">
      <c r="A394" s="26" t="str">
        <f t="shared" si="75"/>
        <v>SECUNDARIA</v>
      </c>
      <c r="B394" s="26" t="str">
        <f>"09DES4094N"</f>
        <v>09DES4094N</v>
      </c>
      <c r="C394" s="26" t="str">
        <f>"GIUSSEPPE GARIBALDI                                                                                 "</f>
        <v xml:space="preserve">GIUSSEPPE GARIBALDI                                                                                 </v>
      </c>
      <c r="D394" s="26" t="str">
        <f t="shared" si="70"/>
        <v>VESPERTINO</v>
      </c>
      <c r="E394" s="26" t="str">
        <f>"PRESA SALINILLAS Y P  VALSEQUILLO                                               "</f>
        <v xml:space="preserve">PRESA SALINILLAS Y P  VALSEQUILLO                                               </v>
      </c>
      <c r="F394" s="26" t="str">
        <f>"IRRIGACION                                                                                                                                  "</f>
        <v xml:space="preserve">IRRIGACION                                                                                                                                  </v>
      </c>
      <c r="G394" s="26" t="str">
        <f>"MIGUEL HIDALGO                                                                  "</f>
        <v xml:space="preserve">MIGUEL HIDALGO                                                                  </v>
      </c>
      <c r="H394" s="26" t="str">
        <f>"063"</f>
        <v>063</v>
      </c>
      <c r="I394" s="26" t="str">
        <f t="shared" si="77"/>
        <v>00</v>
      </c>
      <c r="J394" s="26" t="str">
        <f>"51 "</f>
        <v xml:space="preserve">51 </v>
      </c>
      <c r="K394" s="26" t="str">
        <f>"SG"</f>
        <v>SG</v>
      </c>
      <c r="L394" s="26" t="str">
        <f>"DGOSE"</f>
        <v>DGOSE</v>
      </c>
      <c r="M394" s="26" t="str">
        <f t="shared" si="76"/>
        <v>FEDERAL</v>
      </c>
      <c r="N394" s="26">
        <v>760</v>
      </c>
      <c r="O394" s="26">
        <v>371</v>
      </c>
      <c r="P394" s="26">
        <v>389</v>
      </c>
      <c r="Q394" s="26">
        <v>18</v>
      </c>
      <c r="R394" s="26">
        <v>2</v>
      </c>
      <c r="S394" s="26">
        <v>49</v>
      </c>
      <c r="T394" s="26">
        <v>26</v>
      </c>
      <c r="U394" s="26">
        <v>77</v>
      </c>
      <c r="V394" s="26">
        <v>1</v>
      </c>
      <c r="W394" s="26"/>
    </row>
    <row r="395" spans="1:23" x14ac:dyDescent="0.25">
      <c r="A395" s="26" t="str">
        <f t="shared" si="75"/>
        <v>SECUNDARIA</v>
      </c>
      <c r="B395" s="26" t="str">
        <f>"09DES4098J"</f>
        <v>09DES4098J</v>
      </c>
      <c r="C395" s="26" t="str">
        <f>"FEDERICO FROEBEL                                                                                    "</f>
        <v xml:space="preserve">FEDERICO FROEBEL                                                                                    </v>
      </c>
      <c r="D395" s="26" t="str">
        <f t="shared" si="70"/>
        <v>VESPERTINO</v>
      </c>
      <c r="E395" s="26" t="str">
        <f>"AV. 6 Y CALLE 55                                                                "</f>
        <v xml:space="preserve">AV. 6 Y CALLE 55                                                                </v>
      </c>
      <c r="F395" s="26" t="str">
        <f>"SANTA CRUZ MEYEHUALCO                                                                                                                       "</f>
        <v xml:space="preserve">SANTA CRUZ MEYEHUALCO                                                                                                                       </v>
      </c>
      <c r="G395" s="26" t="str">
        <f>"IZTAPALAPA                                                                      "</f>
        <v xml:space="preserve">IZTAPALAPA                                                                      </v>
      </c>
      <c r="H395" s="26" t="str">
        <f>"014"</f>
        <v>014</v>
      </c>
      <c r="I395" s="26" t="str">
        <f t="shared" si="77"/>
        <v>00</v>
      </c>
      <c r="J395" s="26" t="str">
        <f>"64 "</f>
        <v xml:space="preserve">64 </v>
      </c>
      <c r="K395" s="26" t="str">
        <f>"IZ"</f>
        <v>IZ</v>
      </c>
      <c r="L395" s="26" t="str">
        <f>"DGSEI"</f>
        <v>DGSEI</v>
      </c>
      <c r="M395" s="26" t="str">
        <f t="shared" si="76"/>
        <v>FEDERAL</v>
      </c>
      <c r="N395" s="26">
        <v>699</v>
      </c>
      <c r="O395" s="26">
        <v>341</v>
      </c>
      <c r="P395" s="26">
        <v>358</v>
      </c>
      <c r="Q395" s="26">
        <v>18</v>
      </c>
      <c r="R395" s="26">
        <v>1</v>
      </c>
      <c r="S395" s="26">
        <v>49</v>
      </c>
      <c r="T395" s="26">
        <v>21</v>
      </c>
      <c r="U395" s="26">
        <v>71</v>
      </c>
      <c r="V395" s="26">
        <v>1</v>
      </c>
      <c r="W395" s="26"/>
    </row>
    <row r="396" spans="1:23" x14ac:dyDescent="0.25">
      <c r="A396" s="26" t="str">
        <f t="shared" si="75"/>
        <v>SECUNDARIA</v>
      </c>
      <c r="B396" s="26" t="str">
        <f>"09DES4099I"</f>
        <v>09DES4099I</v>
      </c>
      <c r="C396" s="26" t="str">
        <f>"MARGARITA MAZA DE JUAREZ                                                                            "</f>
        <v xml:space="preserve">MARGARITA MAZA DE JUAREZ                                                                            </v>
      </c>
      <c r="D396" s="26" t="str">
        <f t="shared" si="70"/>
        <v>VESPERTINO</v>
      </c>
      <c r="E396" s="26" t="str">
        <f>"INDEPENDENCIA Y GUADALUPE VICTORIA                                              "</f>
        <v xml:space="preserve">INDEPENDENCIA Y GUADALUPE VICTORIA                                              </v>
      </c>
      <c r="F396" s="26" t="str">
        <f>"SAN FELIPE DE JESUS                                                                                                                         "</f>
        <v xml:space="preserve">SAN FELIPE DE JESUS                                                                                                                         </v>
      </c>
      <c r="G396" s="26" t="str">
        <f>"GUSTAVO A. MADERO                                                               "</f>
        <v xml:space="preserve">GUSTAVO A. MADERO                                                               </v>
      </c>
      <c r="H396" s="26" t="str">
        <f>"040"</f>
        <v>040</v>
      </c>
      <c r="I396" s="26" t="str">
        <f t="shared" si="77"/>
        <v>00</v>
      </c>
      <c r="J396" s="26" t="str">
        <f>"52 "</f>
        <v xml:space="preserve">52 </v>
      </c>
      <c r="K396" s="26" t="str">
        <f t="shared" ref="K396:K405" si="78">"SG"</f>
        <v>SG</v>
      </c>
      <c r="L396" s="26" t="str">
        <f t="shared" ref="L396:L405" si="79">"DGOSE"</f>
        <v>DGOSE</v>
      </c>
      <c r="M396" s="26" t="str">
        <f t="shared" si="76"/>
        <v>FEDERAL</v>
      </c>
      <c r="N396" s="26">
        <v>528</v>
      </c>
      <c r="O396" s="26">
        <v>303</v>
      </c>
      <c r="P396" s="26">
        <v>225</v>
      </c>
      <c r="Q396" s="26">
        <v>18</v>
      </c>
      <c r="R396" s="26">
        <v>2</v>
      </c>
      <c r="S396" s="26">
        <v>46</v>
      </c>
      <c r="T396" s="26">
        <v>27</v>
      </c>
      <c r="U396" s="26">
        <v>75</v>
      </c>
      <c r="V396" s="26">
        <v>1</v>
      </c>
      <c r="W396" s="26"/>
    </row>
    <row r="397" spans="1:23" x14ac:dyDescent="0.25">
      <c r="A397" s="26" t="str">
        <f t="shared" si="75"/>
        <v>SECUNDARIA</v>
      </c>
      <c r="B397" s="26" t="str">
        <f>"09DES4100H"</f>
        <v>09DES4100H</v>
      </c>
      <c r="C397" s="26" t="str">
        <f>"LUIS DE CAMOENS                                                                                     "</f>
        <v xml:space="preserve">LUIS DE CAMOENS                                                                                     </v>
      </c>
      <c r="D397" s="26" t="str">
        <f t="shared" si="70"/>
        <v>VESPERTINO</v>
      </c>
      <c r="E397" s="26" t="str">
        <f>"AV  RIO CONSULADO NO 1553                                                       "</f>
        <v xml:space="preserve">AV  RIO CONSULADO NO 1553                                                       </v>
      </c>
      <c r="F397" s="26" t="str">
        <f>"PERALVILLO                                                                                                                                  "</f>
        <v xml:space="preserve">PERALVILLO                                                                                                                                  </v>
      </c>
      <c r="G397" s="26" t="str">
        <f>"CUAUHTEMOC                                                                      "</f>
        <v xml:space="preserve">CUAUHTEMOC                                                                      </v>
      </c>
      <c r="H397" s="26" t="str">
        <f>"026"</f>
        <v>026</v>
      </c>
      <c r="I397" s="26" t="str">
        <f t="shared" si="77"/>
        <v>00</v>
      </c>
      <c r="J397" s="26" t="str">
        <f>"51 "</f>
        <v xml:space="preserve">51 </v>
      </c>
      <c r="K397" s="26" t="str">
        <f t="shared" si="78"/>
        <v>SG</v>
      </c>
      <c r="L397" s="26" t="str">
        <f t="shared" si="79"/>
        <v>DGOSE</v>
      </c>
      <c r="M397" s="26" t="str">
        <f t="shared" si="76"/>
        <v>FEDERAL</v>
      </c>
      <c r="N397" s="26">
        <v>111</v>
      </c>
      <c r="O397" s="26">
        <v>65</v>
      </c>
      <c r="P397" s="26">
        <v>46</v>
      </c>
      <c r="Q397" s="26">
        <v>6</v>
      </c>
      <c r="R397" s="26">
        <v>1</v>
      </c>
      <c r="S397" s="26">
        <v>24</v>
      </c>
      <c r="T397" s="26">
        <v>16</v>
      </c>
      <c r="U397" s="26">
        <v>41</v>
      </c>
      <c r="V397" s="26">
        <v>1</v>
      </c>
      <c r="W397" s="26"/>
    </row>
    <row r="398" spans="1:23" x14ac:dyDescent="0.25">
      <c r="A398" s="26" t="str">
        <f t="shared" si="75"/>
        <v>SECUNDARIA</v>
      </c>
      <c r="B398" s="26" t="str">
        <f>"09DES4101G"</f>
        <v>09DES4101G</v>
      </c>
      <c r="C398" s="26" t="str">
        <f>"LUDWIG VAN BEETHOVEN                                                                                "</f>
        <v xml:space="preserve">LUDWIG VAN BEETHOVEN                                                                                </v>
      </c>
      <c r="D398" s="26" t="str">
        <f t="shared" ref="D398:D461" si="80">"VESPERTINO"</f>
        <v>VESPERTINO</v>
      </c>
      <c r="E398" s="26" t="str">
        <f>"CALZ SANTANA Y CANAL MIRAMONTES                                                 "</f>
        <v xml:space="preserve">CALZ SANTANA Y CANAL MIRAMONTES                                                 </v>
      </c>
      <c r="F398" s="26" t="str">
        <f>"AVANTE                                                                                                                                      "</f>
        <v xml:space="preserve">AVANTE                                                                                                                                      </v>
      </c>
      <c r="G398" s="26" t="str">
        <f>"COYOACAN                                                                        "</f>
        <v xml:space="preserve">COYOACAN                                                                        </v>
      </c>
      <c r="H398" s="26" t="str">
        <f>"020"</f>
        <v>020</v>
      </c>
      <c r="I398" s="26" t="str">
        <f t="shared" si="77"/>
        <v>00</v>
      </c>
      <c r="J398" s="26" t="str">
        <f>"54 "</f>
        <v xml:space="preserve">54 </v>
      </c>
      <c r="K398" s="26" t="str">
        <f t="shared" si="78"/>
        <v>SG</v>
      </c>
      <c r="L398" s="26" t="str">
        <f t="shared" si="79"/>
        <v>DGOSE</v>
      </c>
      <c r="M398" s="26" t="str">
        <f t="shared" si="76"/>
        <v>FEDERAL</v>
      </c>
      <c r="N398" s="26">
        <v>390</v>
      </c>
      <c r="O398" s="26">
        <v>196</v>
      </c>
      <c r="P398" s="26">
        <v>194</v>
      </c>
      <c r="Q398" s="26">
        <v>12</v>
      </c>
      <c r="R398" s="26">
        <v>3</v>
      </c>
      <c r="S398" s="26">
        <v>31</v>
      </c>
      <c r="T398" s="26">
        <v>18</v>
      </c>
      <c r="U398" s="26">
        <v>52</v>
      </c>
      <c r="V398" s="26">
        <v>1</v>
      </c>
      <c r="W398" s="26"/>
    </row>
    <row r="399" spans="1:23" x14ac:dyDescent="0.25">
      <c r="A399" s="26" t="str">
        <f t="shared" si="75"/>
        <v>SECUNDARIA</v>
      </c>
      <c r="B399" s="26" t="str">
        <f>"09DES4105C"</f>
        <v>09DES4105C</v>
      </c>
      <c r="C399" s="26" t="str">
        <f>"JOSE GUADALUPE POSADA                                                                               "</f>
        <v xml:space="preserve">JOSE GUADALUPE POSADA                                                                               </v>
      </c>
      <c r="D399" s="26" t="str">
        <f t="shared" si="80"/>
        <v>VESPERTINO</v>
      </c>
      <c r="E399" s="26" t="str">
        <f>"CARR SANTA ROSA SAN MATEO S/N                                                   "</f>
        <v xml:space="preserve">CARR SANTA ROSA SAN MATEO S/N                                                   </v>
      </c>
      <c r="F399" s="26" t="str">
        <f>"SANTA ROSA XOCHIAC                                                                                                                          "</f>
        <v xml:space="preserve">SANTA ROSA XOCHIAC                                                                                                                          </v>
      </c>
      <c r="G399" s="26" t="str">
        <f>"ALVARO OBREGON                                                                  "</f>
        <v xml:space="preserve">ALVARO OBREGON                                                                  </v>
      </c>
      <c r="H399" s="26" t="str">
        <f>"004"</f>
        <v>004</v>
      </c>
      <c r="I399" s="26" t="str">
        <f t="shared" si="77"/>
        <v>00</v>
      </c>
      <c r="J399" s="26" t="str">
        <f>"53 "</f>
        <v xml:space="preserve">53 </v>
      </c>
      <c r="K399" s="26" t="str">
        <f t="shared" si="78"/>
        <v>SG</v>
      </c>
      <c r="L399" s="26" t="str">
        <f t="shared" si="79"/>
        <v>DGOSE</v>
      </c>
      <c r="M399" s="26" t="str">
        <f t="shared" si="76"/>
        <v>FEDERAL</v>
      </c>
      <c r="N399" s="26">
        <v>425</v>
      </c>
      <c r="O399" s="26">
        <v>220</v>
      </c>
      <c r="P399" s="26">
        <v>205</v>
      </c>
      <c r="Q399" s="26">
        <v>12</v>
      </c>
      <c r="R399" s="26">
        <v>1</v>
      </c>
      <c r="S399" s="26">
        <v>33</v>
      </c>
      <c r="T399" s="26">
        <v>20</v>
      </c>
      <c r="U399" s="26">
        <v>54</v>
      </c>
      <c r="V399" s="26">
        <v>1</v>
      </c>
      <c r="W399" s="26"/>
    </row>
    <row r="400" spans="1:23" x14ac:dyDescent="0.25">
      <c r="A400" s="26" t="str">
        <f t="shared" si="75"/>
        <v>SECUNDARIA</v>
      </c>
      <c r="B400" s="26" t="str">
        <f>"09DES4106B"</f>
        <v>09DES4106B</v>
      </c>
      <c r="C400" s="26" t="str">
        <f>"ANTONIO BALLESTEROS USANO                                                                           "</f>
        <v xml:space="preserve">ANTONIO BALLESTEROS USANO                                                                           </v>
      </c>
      <c r="D400" s="26" t="str">
        <f t="shared" si="80"/>
        <v>VESPERTINO</v>
      </c>
      <c r="E400" s="26" t="str">
        <f>"MANUEL GONZALEZ NO 32                                                           "</f>
        <v xml:space="preserve">MANUEL GONZALEZ NO 32                                                           </v>
      </c>
      <c r="F400" s="26" t="str">
        <f>"UNIDAD NONOALCO TLATELOLCO                                                                                                                  "</f>
        <v xml:space="preserve">UNIDAD NONOALCO TLATELOLCO                                                                                                                  </v>
      </c>
      <c r="G400" s="26" t="str">
        <f>"CUAUHTEMOC                                                                      "</f>
        <v xml:space="preserve">CUAUHTEMOC                                                                      </v>
      </c>
      <c r="H400" s="26" t="str">
        <f>"026"</f>
        <v>026</v>
      </c>
      <c r="I400" s="26" t="str">
        <f t="shared" si="77"/>
        <v>00</v>
      </c>
      <c r="J400" s="26" t="str">
        <f>"51 "</f>
        <v xml:space="preserve">51 </v>
      </c>
      <c r="K400" s="26" t="str">
        <f t="shared" si="78"/>
        <v>SG</v>
      </c>
      <c r="L400" s="26" t="str">
        <f t="shared" si="79"/>
        <v>DGOSE</v>
      </c>
      <c r="M400" s="26" t="str">
        <f t="shared" si="76"/>
        <v>FEDERAL</v>
      </c>
      <c r="N400" s="26">
        <v>135</v>
      </c>
      <c r="O400" s="26">
        <v>79</v>
      </c>
      <c r="P400" s="26">
        <v>56</v>
      </c>
      <c r="Q400" s="26">
        <v>6</v>
      </c>
      <c r="R400" s="26">
        <v>2</v>
      </c>
      <c r="S400" s="26">
        <v>19</v>
      </c>
      <c r="T400" s="26">
        <v>17</v>
      </c>
      <c r="U400" s="26">
        <v>38</v>
      </c>
      <c r="V400" s="26">
        <v>1</v>
      </c>
      <c r="W400" s="26"/>
    </row>
    <row r="401" spans="1:23" x14ac:dyDescent="0.25">
      <c r="A401" s="26" t="str">
        <f t="shared" si="75"/>
        <v>SECUNDARIA</v>
      </c>
      <c r="B401" s="26" t="str">
        <f>"09DES4107A"</f>
        <v>09DES4107A</v>
      </c>
      <c r="C401" s="26" t="str">
        <f>"XOCHIMILCO                                                                                          "</f>
        <v xml:space="preserve">XOCHIMILCO                                                                                          </v>
      </c>
      <c r="D401" s="26" t="str">
        <f t="shared" si="80"/>
        <v>VESPERTINO</v>
      </c>
      <c r="E401" s="26" t="str">
        <f>"CUITLAHUAC Y MORELOS                                                            "</f>
        <v xml:space="preserve">CUITLAHUAC Y MORELOS                                                            </v>
      </c>
      <c r="F401" s="26" t="str">
        <f>"XALTOCAN                                                                                                                                    "</f>
        <v xml:space="preserve">XALTOCAN                                                                                                                                    </v>
      </c>
      <c r="G401" s="26" t="str">
        <f>"XOCHIMILCO                                                                      "</f>
        <v xml:space="preserve">XOCHIMILCO                                                                      </v>
      </c>
      <c r="H401" s="26" t="str">
        <f>"079"</f>
        <v>079</v>
      </c>
      <c r="I401" s="26" t="str">
        <f t="shared" si="77"/>
        <v>00</v>
      </c>
      <c r="J401" s="26" t="str">
        <f>"55 "</f>
        <v xml:space="preserve">55 </v>
      </c>
      <c r="K401" s="26" t="str">
        <f t="shared" si="78"/>
        <v>SG</v>
      </c>
      <c r="L401" s="26" t="str">
        <f t="shared" si="79"/>
        <v>DGOSE</v>
      </c>
      <c r="M401" s="26" t="str">
        <f t="shared" si="76"/>
        <v>FEDERAL</v>
      </c>
      <c r="N401" s="26">
        <v>863</v>
      </c>
      <c r="O401" s="26">
        <v>417</v>
      </c>
      <c r="P401" s="26">
        <v>446</v>
      </c>
      <c r="Q401" s="26">
        <v>19</v>
      </c>
      <c r="R401" s="26">
        <v>1</v>
      </c>
      <c r="S401" s="26">
        <v>49</v>
      </c>
      <c r="T401" s="26">
        <v>28</v>
      </c>
      <c r="U401" s="26">
        <v>78</v>
      </c>
      <c r="V401" s="26">
        <v>1</v>
      </c>
      <c r="W401" s="26"/>
    </row>
    <row r="402" spans="1:23" x14ac:dyDescent="0.25">
      <c r="A402" s="26" t="str">
        <f t="shared" si="75"/>
        <v>SECUNDARIA</v>
      </c>
      <c r="B402" s="26" t="str">
        <f>"09DES4108Z"</f>
        <v>09DES4108Z</v>
      </c>
      <c r="C402" s="26" t="str">
        <f>"BERTRAND RUSSELL                                                                                    "</f>
        <v xml:space="preserve">BERTRAND RUSSELL                                                                                    </v>
      </c>
      <c r="D402" s="26" t="str">
        <f t="shared" si="80"/>
        <v>VESPERTINO</v>
      </c>
      <c r="E402" s="26" t="str">
        <f>"CAMPOS IDOLOS Y FORTUNA NACIONAL                                                "</f>
        <v xml:space="preserve">CAMPOS IDOLOS Y FORTUNA NACIONAL                                                </v>
      </c>
      <c r="F402" s="26" t="str">
        <f>"PETROLERA AMPLIACION                                                                                                                        "</f>
        <v xml:space="preserve">PETROLERA AMPLIACION                                                                                                                        </v>
      </c>
      <c r="G402" s="26" t="str">
        <f>"AZCAPOTZALCO                                                                    "</f>
        <v xml:space="preserve">AZCAPOTZALCO                                                                    </v>
      </c>
      <c r="H402" s="26" t="str">
        <f>"007"</f>
        <v>007</v>
      </c>
      <c r="I402" s="26" t="str">
        <f t="shared" si="77"/>
        <v>00</v>
      </c>
      <c r="J402" s="26" t="str">
        <f>"51 "</f>
        <v xml:space="preserve">51 </v>
      </c>
      <c r="K402" s="26" t="str">
        <f t="shared" si="78"/>
        <v>SG</v>
      </c>
      <c r="L402" s="26" t="str">
        <f t="shared" si="79"/>
        <v>DGOSE</v>
      </c>
      <c r="M402" s="26" t="str">
        <f t="shared" si="76"/>
        <v>FEDERAL</v>
      </c>
      <c r="N402" s="26">
        <v>191</v>
      </c>
      <c r="O402" s="26">
        <v>118</v>
      </c>
      <c r="P402" s="26">
        <v>73</v>
      </c>
      <c r="Q402" s="26">
        <v>12</v>
      </c>
      <c r="R402" s="26">
        <v>2</v>
      </c>
      <c r="S402" s="26">
        <v>33</v>
      </c>
      <c r="T402" s="26">
        <v>23</v>
      </c>
      <c r="U402" s="26">
        <v>58</v>
      </c>
      <c r="V402" s="26">
        <v>1</v>
      </c>
      <c r="W402" s="26"/>
    </row>
    <row r="403" spans="1:23" x14ac:dyDescent="0.25">
      <c r="A403" s="26" t="str">
        <f t="shared" si="75"/>
        <v>SECUNDARIA</v>
      </c>
      <c r="B403" s="26" t="str">
        <f>"09DES4109Z"</f>
        <v>09DES4109Z</v>
      </c>
      <c r="C403" s="26" t="str">
        <f>"LEON FELIPE                                                                                         "</f>
        <v xml:space="preserve">LEON FELIPE                                                                                         </v>
      </c>
      <c r="D403" s="26" t="str">
        <f t="shared" si="80"/>
        <v>VESPERTINO</v>
      </c>
      <c r="E403" s="26" t="str">
        <f>"CALZ SAN BARTOLO NAUCALPAN Y R URUGUAY                                          "</f>
        <v xml:space="preserve">CALZ SAN BARTOLO NAUCALPAN Y R URUGUAY                                          </v>
      </c>
      <c r="F403" s="26" t="str">
        <f>"ARGENTINA PONIENTE                                                                                                                          "</f>
        <v xml:space="preserve">ARGENTINA PONIENTE                                                                                                                          </v>
      </c>
      <c r="G403" s="26" t="str">
        <f>"MIGUEL HIDALGO                                                                  "</f>
        <v xml:space="preserve">MIGUEL HIDALGO                                                                  </v>
      </c>
      <c r="H403" s="26" t="str">
        <f>"063"</f>
        <v>063</v>
      </c>
      <c r="I403" s="26" t="str">
        <f t="shared" si="77"/>
        <v>00</v>
      </c>
      <c r="J403" s="26" t="str">
        <f>"51 "</f>
        <v xml:space="preserve">51 </v>
      </c>
      <c r="K403" s="26" t="str">
        <f t="shared" si="78"/>
        <v>SG</v>
      </c>
      <c r="L403" s="26" t="str">
        <f t="shared" si="79"/>
        <v>DGOSE</v>
      </c>
      <c r="M403" s="26" t="str">
        <f t="shared" si="76"/>
        <v>FEDERAL</v>
      </c>
      <c r="N403" s="26">
        <v>269</v>
      </c>
      <c r="O403" s="26">
        <v>174</v>
      </c>
      <c r="P403" s="26">
        <v>95</v>
      </c>
      <c r="Q403" s="26">
        <v>10</v>
      </c>
      <c r="R403" s="26">
        <v>2</v>
      </c>
      <c r="S403" s="26">
        <v>35</v>
      </c>
      <c r="T403" s="26">
        <v>16</v>
      </c>
      <c r="U403" s="26">
        <v>53</v>
      </c>
      <c r="V403" s="26">
        <v>1</v>
      </c>
      <c r="W403" s="26"/>
    </row>
    <row r="404" spans="1:23" x14ac:dyDescent="0.25">
      <c r="A404" s="26" t="str">
        <f t="shared" si="75"/>
        <v>SECUNDARIA</v>
      </c>
      <c r="B404" s="26" t="str">
        <f>"09DES4110O"</f>
        <v>09DES4110O</v>
      </c>
      <c r="C404" s="26" t="str">
        <f>"MAXIMO GORKI                                                                                        "</f>
        <v xml:space="preserve">MAXIMO GORKI                                                                                        </v>
      </c>
      <c r="D404" s="26" t="str">
        <f t="shared" si="80"/>
        <v>VESPERTINO</v>
      </c>
      <c r="E404" s="26" t="str">
        <f>"AV PAIS Y ESCUADRON 201                                                         "</f>
        <v xml:space="preserve">AV PAIS Y ESCUADRON 201                                                         </v>
      </c>
      <c r="F404" s="26" t="str">
        <f>"TICOMAN                                                                                                                                     "</f>
        <v xml:space="preserve">TICOMAN                                                                                                                                     </v>
      </c>
      <c r="G404" s="26" t="str">
        <f>"GUSTAVO A. MADERO                                                               "</f>
        <v xml:space="preserve">GUSTAVO A. MADERO                                                               </v>
      </c>
      <c r="H404" s="26" t="str">
        <f>"035"</f>
        <v>035</v>
      </c>
      <c r="I404" s="26" t="str">
        <f t="shared" si="77"/>
        <v>00</v>
      </c>
      <c r="J404" s="26" t="str">
        <f>"52 "</f>
        <v xml:space="preserve">52 </v>
      </c>
      <c r="K404" s="26" t="str">
        <f t="shared" si="78"/>
        <v>SG</v>
      </c>
      <c r="L404" s="26" t="str">
        <f t="shared" si="79"/>
        <v>DGOSE</v>
      </c>
      <c r="M404" s="26" t="str">
        <f t="shared" si="76"/>
        <v>FEDERAL</v>
      </c>
      <c r="N404" s="26">
        <v>206</v>
      </c>
      <c r="O404" s="26">
        <v>141</v>
      </c>
      <c r="P404" s="26">
        <v>65</v>
      </c>
      <c r="Q404" s="26">
        <v>11</v>
      </c>
      <c r="R404" s="26">
        <v>2</v>
      </c>
      <c r="S404" s="26">
        <v>29</v>
      </c>
      <c r="T404" s="26">
        <v>23</v>
      </c>
      <c r="U404" s="26">
        <v>54</v>
      </c>
      <c r="V404" s="26">
        <v>1</v>
      </c>
      <c r="W404" s="26"/>
    </row>
    <row r="405" spans="1:23" x14ac:dyDescent="0.25">
      <c r="A405" s="26" t="str">
        <f t="shared" si="75"/>
        <v>SECUNDARIA</v>
      </c>
      <c r="B405" s="26" t="str">
        <f>"09DES4111N"</f>
        <v>09DES4111N</v>
      </c>
      <c r="C405" s="26" t="str">
        <f>"ALEJANDRO VON HUMBOLDT                                                                              "</f>
        <v xml:space="preserve">ALEJANDRO VON HUMBOLDT                                                                              </v>
      </c>
      <c r="D405" s="26" t="str">
        <f t="shared" si="80"/>
        <v>VESPERTINO</v>
      </c>
      <c r="E405" s="26" t="str">
        <f>"AV STA LUCIA Y CALLE 27                                                         "</f>
        <v xml:space="preserve">AV STA LUCIA Y CALLE 27                                                         </v>
      </c>
      <c r="F405" s="26" t="str">
        <f>"OLIVAR DEL CONDE 1A SECCION                                                                                                                 "</f>
        <v xml:space="preserve">OLIVAR DEL CONDE 1A SECCION                                                                                                                 </v>
      </c>
      <c r="G405" s="26" t="str">
        <f>"ALVARO OBREGON                                                                  "</f>
        <v xml:space="preserve">ALVARO OBREGON                                                                  </v>
      </c>
      <c r="H405" s="26" t="str">
        <f>"003"</f>
        <v>003</v>
      </c>
      <c r="I405" s="26" t="str">
        <f t="shared" si="77"/>
        <v>00</v>
      </c>
      <c r="J405" s="26" t="str">
        <f>"53 "</f>
        <v xml:space="preserve">53 </v>
      </c>
      <c r="K405" s="26" t="str">
        <f t="shared" si="78"/>
        <v>SG</v>
      </c>
      <c r="L405" s="26" t="str">
        <f t="shared" si="79"/>
        <v>DGOSE</v>
      </c>
      <c r="M405" s="26" t="str">
        <f t="shared" si="76"/>
        <v>FEDERAL</v>
      </c>
      <c r="N405" s="26">
        <v>722</v>
      </c>
      <c r="O405" s="26">
        <v>359</v>
      </c>
      <c r="P405" s="26">
        <v>363</v>
      </c>
      <c r="Q405" s="26">
        <v>18</v>
      </c>
      <c r="R405" s="26">
        <v>2</v>
      </c>
      <c r="S405" s="26">
        <v>36</v>
      </c>
      <c r="T405" s="26">
        <v>26</v>
      </c>
      <c r="U405" s="26">
        <v>64</v>
      </c>
      <c r="V405" s="26">
        <v>1</v>
      </c>
      <c r="W405" s="26"/>
    </row>
    <row r="406" spans="1:23" x14ac:dyDescent="0.25">
      <c r="A406" s="26" t="str">
        <f t="shared" si="75"/>
        <v>SECUNDARIA</v>
      </c>
      <c r="B406" s="26" t="str">
        <f>"09DES4117H"</f>
        <v>09DES4117H</v>
      </c>
      <c r="C406" s="26" t="str">
        <f>"GABRIELA MISTRAL                                                                                    "</f>
        <v xml:space="preserve">GABRIELA MISTRAL                                                                                    </v>
      </c>
      <c r="D406" s="26" t="str">
        <f t="shared" si="80"/>
        <v>VESPERTINO</v>
      </c>
      <c r="E406" s="26" t="str">
        <f>"JOSE ZUBIETA NO. 54                                                             "</f>
        <v xml:space="preserve">JOSE ZUBIETA NO. 54                                                             </v>
      </c>
      <c r="F406" s="26" t="str">
        <f>"JUAN ESCUTIA                                                                                                                                "</f>
        <v xml:space="preserve">JUAN ESCUTIA                                                                                                                                </v>
      </c>
      <c r="G406" s="26" t="str">
        <f>"IZTAPALAPA                                                                      "</f>
        <v xml:space="preserve">IZTAPALAPA                                                                      </v>
      </c>
      <c r="H406" s="26" t="str">
        <f>"005"</f>
        <v>005</v>
      </c>
      <c r="I406" s="26" t="str">
        <f t="shared" si="77"/>
        <v>00</v>
      </c>
      <c r="J406" s="26" t="str">
        <f>"62 "</f>
        <v xml:space="preserve">62 </v>
      </c>
      <c r="K406" s="26" t="str">
        <f>"IZ"</f>
        <v>IZ</v>
      </c>
      <c r="L406" s="26" t="str">
        <f>"DGSEI"</f>
        <v>DGSEI</v>
      </c>
      <c r="M406" s="26" t="str">
        <f t="shared" si="76"/>
        <v>FEDERAL</v>
      </c>
      <c r="N406" s="26">
        <v>733</v>
      </c>
      <c r="O406" s="26">
        <v>344</v>
      </c>
      <c r="P406" s="26">
        <v>389</v>
      </c>
      <c r="Q406" s="26">
        <v>18</v>
      </c>
      <c r="R406" s="26">
        <v>2</v>
      </c>
      <c r="S406" s="26">
        <v>48</v>
      </c>
      <c r="T406" s="26">
        <v>28</v>
      </c>
      <c r="U406" s="26">
        <v>78</v>
      </c>
      <c r="V406" s="26">
        <v>1</v>
      </c>
      <c r="W406" s="26"/>
    </row>
    <row r="407" spans="1:23" x14ac:dyDescent="0.25">
      <c r="A407" s="26" t="str">
        <f t="shared" si="75"/>
        <v>SECUNDARIA</v>
      </c>
      <c r="B407" s="26" t="str">
        <f>"09DES4118G"</f>
        <v>09DES4118G</v>
      </c>
      <c r="C407" s="26" t="str">
        <f>"REPUBLICA POPULAR CHINA                                                                             "</f>
        <v xml:space="preserve">REPUBLICA POPULAR CHINA                                                                             </v>
      </c>
      <c r="D407" s="26" t="str">
        <f t="shared" si="80"/>
        <v>VESPERTINO</v>
      </c>
      <c r="E407" s="26" t="str">
        <f>"AV. SAN LORENZO Y PROGRESO                                                      "</f>
        <v xml:space="preserve">AV. SAN LORENZO Y PROGRESO                                                      </v>
      </c>
      <c r="F407" s="26" t="str">
        <f>"SAN LORENZO TEZONCO                                                                                                                         "</f>
        <v xml:space="preserve">SAN LORENZO TEZONCO                                                                                                                         </v>
      </c>
      <c r="G407" s="26" t="str">
        <f>"IZTAPALAPA                                                                      "</f>
        <v xml:space="preserve">IZTAPALAPA                                                                      </v>
      </c>
      <c r="H407" s="26" t="str">
        <f>"012"</f>
        <v>012</v>
      </c>
      <c r="I407" s="26" t="str">
        <f t="shared" si="77"/>
        <v>00</v>
      </c>
      <c r="J407" s="26" t="str">
        <f>"63 "</f>
        <v xml:space="preserve">63 </v>
      </c>
      <c r="K407" s="26" t="str">
        <f>"IZ"</f>
        <v>IZ</v>
      </c>
      <c r="L407" s="26" t="str">
        <f>"DGSEI"</f>
        <v>DGSEI</v>
      </c>
      <c r="M407" s="26" t="str">
        <f t="shared" si="76"/>
        <v>FEDERAL</v>
      </c>
      <c r="N407" s="26">
        <v>420</v>
      </c>
      <c r="O407" s="26">
        <v>238</v>
      </c>
      <c r="P407" s="26">
        <v>182</v>
      </c>
      <c r="Q407" s="26">
        <v>17</v>
      </c>
      <c r="R407" s="26">
        <v>2</v>
      </c>
      <c r="S407" s="26">
        <v>40</v>
      </c>
      <c r="T407" s="26">
        <v>26</v>
      </c>
      <c r="U407" s="26">
        <v>68</v>
      </c>
      <c r="V407" s="26">
        <v>1</v>
      </c>
      <c r="W407" s="26"/>
    </row>
    <row r="408" spans="1:23" x14ac:dyDescent="0.25">
      <c r="A408" s="26" t="str">
        <f t="shared" si="75"/>
        <v>SECUNDARIA</v>
      </c>
      <c r="B408" s="26" t="str">
        <f>"09DES4120V"</f>
        <v>09DES4120V</v>
      </c>
      <c r="C408" s="26" t="str">
        <f>"ROSARIO CASTELLANOS                                                                                 "</f>
        <v xml:space="preserve">ROSARIO CASTELLANOS                                                                                 </v>
      </c>
      <c r="D408" s="26" t="str">
        <f t="shared" si="80"/>
        <v>VESPERTINO</v>
      </c>
      <c r="E408" s="26" t="str">
        <f>"CALZ MAESTRO RURAL NO 57                                                        "</f>
        <v xml:space="preserve">CALZ MAESTRO RURAL NO 57                                                        </v>
      </c>
      <c r="F408" s="26" t="str">
        <f>"SANTO TOMAS                                                                                                                                 "</f>
        <v xml:space="preserve">SANTO TOMAS                                                                                                                                 </v>
      </c>
      <c r="G408" s="26" t="str">
        <f>"MIGUEL HIDALGO                                                                  "</f>
        <v xml:space="preserve">MIGUEL HIDALGO                                                                  </v>
      </c>
      <c r="H408" s="26" t="str">
        <f>"064"</f>
        <v>064</v>
      </c>
      <c r="I408" s="26" t="str">
        <f t="shared" si="77"/>
        <v>00</v>
      </c>
      <c r="J408" s="26" t="str">
        <f>"51 "</f>
        <v xml:space="preserve">51 </v>
      </c>
      <c r="K408" s="26" t="str">
        <f t="shared" ref="K408:K416" si="81">"SG"</f>
        <v>SG</v>
      </c>
      <c r="L408" s="26" t="str">
        <f t="shared" ref="L408:L416" si="82">"DGOSE"</f>
        <v>DGOSE</v>
      </c>
      <c r="M408" s="26" t="str">
        <f t="shared" si="76"/>
        <v>FEDERAL</v>
      </c>
      <c r="N408" s="26">
        <v>131</v>
      </c>
      <c r="O408" s="26">
        <v>77</v>
      </c>
      <c r="P408" s="26">
        <v>54</v>
      </c>
      <c r="Q408" s="26">
        <v>6</v>
      </c>
      <c r="R408" s="26">
        <v>2</v>
      </c>
      <c r="S408" s="26">
        <v>27</v>
      </c>
      <c r="T408" s="26">
        <v>15</v>
      </c>
      <c r="U408" s="26">
        <v>44</v>
      </c>
      <c r="V408" s="26">
        <v>1</v>
      </c>
      <c r="W408" s="26"/>
    </row>
    <row r="409" spans="1:23" x14ac:dyDescent="0.25">
      <c r="A409" s="26" t="str">
        <f t="shared" si="75"/>
        <v>SECUNDARIA</v>
      </c>
      <c r="B409" s="26" t="str">
        <f>"09DES4121U"</f>
        <v>09DES4121U</v>
      </c>
      <c r="C409" s="26" t="str">
        <f>"RABINDRANATH TAGORE                                                                                 "</f>
        <v xml:space="preserve">RABINDRANATH TAGORE                                                                                 </v>
      </c>
      <c r="D409" s="26" t="str">
        <f t="shared" si="80"/>
        <v>VESPERTINO</v>
      </c>
      <c r="E409" s="26" t="str">
        <f>"AV DE LOS MAESTROS NO 100                                                       "</f>
        <v xml:space="preserve">AV DE LOS MAESTROS NO 100                                                       </v>
      </c>
      <c r="F409" s="26" t="str">
        <f>"SANTO TOMAS                                                                                                                                 "</f>
        <v xml:space="preserve">SANTO TOMAS                                                                                                                                 </v>
      </c>
      <c r="G409" s="26" t="str">
        <f>"MIGUEL HIDALGO                                                                  "</f>
        <v xml:space="preserve">MIGUEL HIDALGO                                                                  </v>
      </c>
      <c r="H409" s="26" t="str">
        <f>"064"</f>
        <v>064</v>
      </c>
      <c r="I409" s="26" t="str">
        <f t="shared" si="77"/>
        <v>00</v>
      </c>
      <c r="J409" s="26" t="str">
        <f>"51 "</f>
        <v xml:space="preserve">51 </v>
      </c>
      <c r="K409" s="26" t="str">
        <f t="shared" si="81"/>
        <v>SG</v>
      </c>
      <c r="L409" s="26" t="str">
        <f t="shared" si="82"/>
        <v>DGOSE</v>
      </c>
      <c r="M409" s="26" t="str">
        <f t="shared" si="76"/>
        <v>FEDERAL</v>
      </c>
      <c r="N409" s="26">
        <v>205</v>
      </c>
      <c r="O409" s="26">
        <v>117</v>
      </c>
      <c r="P409" s="26">
        <v>88</v>
      </c>
      <c r="Q409" s="26">
        <v>12</v>
      </c>
      <c r="R409" s="26">
        <v>2</v>
      </c>
      <c r="S409" s="26">
        <v>42</v>
      </c>
      <c r="T409" s="26">
        <v>19</v>
      </c>
      <c r="U409" s="26">
        <v>63</v>
      </c>
      <c r="V409" s="26">
        <v>1</v>
      </c>
      <c r="W409" s="26"/>
    </row>
    <row r="410" spans="1:23" x14ac:dyDescent="0.25">
      <c r="A410" s="26" t="str">
        <f t="shared" si="75"/>
        <v>SECUNDARIA</v>
      </c>
      <c r="B410" s="26" t="str">
        <f>"09DES4124R"</f>
        <v>09DES4124R</v>
      </c>
      <c r="C410" s="26" t="str">
        <f>"MEXICO                                                                                              "</f>
        <v xml:space="preserve">MEXICO                                                                                              </v>
      </c>
      <c r="D410" s="26" t="str">
        <f t="shared" si="80"/>
        <v>VESPERTINO</v>
      </c>
      <c r="E410" s="26" t="str">
        <f>"AV BIOLOGOS ESQ MAXIMINO MARTINEZ Y NORTE 57                                    "</f>
        <v xml:space="preserve">AV BIOLOGOS ESQ MAXIMINO MARTINEZ Y NORTE 57                                    </v>
      </c>
      <c r="F410" s="26" t="str">
        <f>"OBRERO POPULAR                                                                                                                              "</f>
        <v xml:space="preserve">OBRERO POPULAR                                                                                                                              </v>
      </c>
      <c r="G410" s="26" t="str">
        <f>"AZCAPOTZALCO                                                                    "</f>
        <v xml:space="preserve">AZCAPOTZALCO                                                                    </v>
      </c>
      <c r="H410" s="26" t="str">
        <f>"009"</f>
        <v>009</v>
      </c>
      <c r="I410" s="26" t="str">
        <f t="shared" si="77"/>
        <v>00</v>
      </c>
      <c r="J410" s="26" t="str">
        <f>"51 "</f>
        <v xml:space="preserve">51 </v>
      </c>
      <c r="K410" s="26" t="str">
        <f t="shared" si="81"/>
        <v>SG</v>
      </c>
      <c r="L410" s="26" t="str">
        <f t="shared" si="82"/>
        <v>DGOSE</v>
      </c>
      <c r="M410" s="26" t="str">
        <f t="shared" si="76"/>
        <v>FEDERAL</v>
      </c>
      <c r="N410" s="26">
        <v>121</v>
      </c>
      <c r="O410" s="26">
        <v>65</v>
      </c>
      <c r="P410" s="26">
        <v>56</v>
      </c>
      <c r="Q410" s="26">
        <v>6</v>
      </c>
      <c r="R410" s="26">
        <v>2</v>
      </c>
      <c r="S410" s="26">
        <v>30</v>
      </c>
      <c r="T410" s="26">
        <v>17</v>
      </c>
      <c r="U410" s="26">
        <v>49</v>
      </c>
      <c r="V410" s="26">
        <v>1</v>
      </c>
      <c r="W410" s="26"/>
    </row>
    <row r="411" spans="1:23" x14ac:dyDescent="0.25">
      <c r="A411" s="26" t="str">
        <f t="shared" si="75"/>
        <v>SECUNDARIA</v>
      </c>
      <c r="B411" s="26" t="str">
        <f>"09DES4125Q"</f>
        <v>09DES4125Q</v>
      </c>
      <c r="C411" s="26" t="str">
        <f>"PABLO CASALS                                                                                        "</f>
        <v xml:space="preserve">PABLO CASALS                                                                                        </v>
      </c>
      <c r="D411" s="26" t="str">
        <f t="shared" si="80"/>
        <v>VESPERTINO</v>
      </c>
      <c r="E411" s="26" t="str">
        <f>"VIADUCTO TLALPAN Y CAMINO A TEPEPAN                                             "</f>
        <v xml:space="preserve">VIADUCTO TLALPAN Y CAMINO A TEPEPAN                                             </v>
      </c>
      <c r="F411" s="26" t="str">
        <f>"EL ARENAL TEPEPAN                                                                                                                           "</f>
        <v xml:space="preserve">EL ARENAL TEPEPAN                                                                                                                           </v>
      </c>
      <c r="G411" s="26" t="str">
        <f>"TLALPAN                                                                         "</f>
        <v xml:space="preserve">TLALPAN                                                                         </v>
      </c>
      <c r="H411" s="26" t="str">
        <f>"069"</f>
        <v>069</v>
      </c>
      <c r="I411" s="26" t="str">
        <f t="shared" si="77"/>
        <v>00</v>
      </c>
      <c r="J411" s="26" t="str">
        <f>"55 "</f>
        <v xml:space="preserve">55 </v>
      </c>
      <c r="K411" s="26" t="str">
        <f t="shared" si="81"/>
        <v>SG</v>
      </c>
      <c r="L411" s="26" t="str">
        <f t="shared" si="82"/>
        <v>DGOSE</v>
      </c>
      <c r="M411" s="26" t="str">
        <f t="shared" si="76"/>
        <v>FEDERAL</v>
      </c>
      <c r="N411" s="26">
        <v>729</v>
      </c>
      <c r="O411" s="26">
        <v>408</v>
      </c>
      <c r="P411" s="26">
        <v>321</v>
      </c>
      <c r="Q411" s="26">
        <v>18</v>
      </c>
      <c r="R411" s="26">
        <v>1</v>
      </c>
      <c r="S411" s="26">
        <v>46</v>
      </c>
      <c r="T411" s="26">
        <v>22</v>
      </c>
      <c r="U411" s="26">
        <v>69</v>
      </c>
      <c r="V411" s="26">
        <v>1</v>
      </c>
      <c r="W411" s="26"/>
    </row>
    <row r="412" spans="1:23" x14ac:dyDescent="0.25">
      <c r="A412" s="26" t="str">
        <f t="shared" si="75"/>
        <v>SECUNDARIA</v>
      </c>
      <c r="B412" s="26" t="str">
        <f>"09DES4126P"</f>
        <v>09DES4126P</v>
      </c>
      <c r="C412" s="26" t="str">
        <f>"TLAHUIZCALLI                                                                                        "</f>
        <v xml:space="preserve">TLAHUIZCALLI                                                                                        </v>
      </c>
      <c r="D412" s="26" t="str">
        <f t="shared" si="80"/>
        <v>VESPERTINO</v>
      </c>
      <c r="E412" s="26" t="str">
        <f>"AV TLAHUAC Y AQUILES SERDAN                                                     "</f>
        <v xml:space="preserve">AV TLAHUAC Y AQUILES SERDAN                                                     </v>
      </c>
      <c r="F412" s="26" t="str">
        <f>"SANTIAGO ZAPOTITLAN                                                                                                                         "</f>
        <v xml:space="preserve">SANTIAGO ZAPOTITLAN                                                                                                                         </v>
      </c>
      <c r="G412" s="26" t="str">
        <f>"TLAHUAC                                                                         "</f>
        <v xml:space="preserve">TLAHUAC                                                                         </v>
      </c>
      <c r="H412" s="26" t="str">
        <f>"067"</f>
        <v>067</v>
      </c>
      <c r="I412" s="26" t="str">
        <f t="shared" si="77"/>
        <v>00</v>
      </c>
      <c r="J412" s="26" t="str">
        <f>"55 "</f>
        <v xml:space="preserve">55 </v>
      </c>
      <c r="K412" s="26" t="str">
        <f t="shared" si="81"/>
        <v>SG</v>
      </c>
      <c r="L412" s="26" t="str">
        <f t="shared" si="82"/>
        <v>DGOSE</v>
      </c>
      <c r="M412" s="26" t="str">
        <f t="shared" si="76"/>
        <v>FEDERAL</v>
      </c>
      <c r="N412" s="26">
        <v>561</v>
      </c>
      <c r="O412" s="26">
        <v>309</v>
      </c>
      <c r="P412" s="26">
        <v>252</v>
      </c>
      <c r="Q412" s="26">
        <v>18</v>
      </c>
      <c r="R412" s="26">
        <v>2</v>
      </c>
      <c r="S412" s="26">
        <v>44</v>
      </c>
      <c r="T412" s="26">
        <v>26</v>
      </c>
      <c r="U412" s="26">
        <v>72</v>
      </c>
      <c r="V412" s="26">
        <v>1</v>
      </c>
      <c r="W412" s="26"/>
    </row>
    <row r="413" spans="1:23" x14ac:dyDescent="0.25">
      <c r="A413" s="26" t="str">
        <f t="shared" si="75"/>
        <v>SECUNDARIA</v>
      </c>
      <c r="B413" s="26" t="str">
        <f>"09DES4128N"</f>
        <v>09DES4128N</v>
      </c>
      <c r="C413" s="26" t="str">
        <f>"JOSE MA. LUIS MORA                                                                                  "</f>
        <v xml:space="preserve">JOSE MA. LUIS MORA                                                                                  </v>
      </c>
      <c r="D413" s="26" t="str">
        <f t="shared" si="80"/>
        <v>VESPERTINO</v>
      </c>
      <c r="E413" s="26" t="str">
        <f>"TERMINACION ACOLHUACAN S/N                                                      "</f>
        <v xml:space="preserve">TERMINACION ACOLHUACAN S/N                                                      </v>
      </c>
      <c r="F413" s="26" t="str">
        <f>"ARENAL 4A SECCION                                                                                                                           "</f>
        <v xml:space="preserve">ARENAL 4A SECCION                                                                                                                           </v>
      </c>
      <c r="G413" s="26" t="str">
        <f>"VENUSTIANO CARRANZA                                                             "</f>
        <v xml:space="preserve">VENUSTIANO CARRANZA                                                             </v>
      </c>
      <c r="H413" s="26" t="str">
        <f>"077"</f>
        <v>077</v>
      </c>
      <c r="I413" s="26" t="str">
        <f t="shared" si="77"/>
        <v>00</v>
      </c>
      <c r="J413" s="26" t="str">
        <f>"54 "</f>
        <v xml:space="preserve">54 </v>
      </c>
      <c r="K413" s="26" t="str">
        <f t="shared" si="81"/>
        <v>SG</v>
      </c>
      <c r="L413" s="26" t="str">
        <f t="shared" si="82"/>
        <v>DGOSE</v>
      </c>
      <c r="M413" s="26" t="str">
        <f t="shared" si="76"/>
        <v>FEDERAL</v>
      </c>
      <c r="N413" s="26">
        <v>52</v>
      </c>
      <c r="O413" s="26">
        <v>29</v>
      </c>
      <c r="P413" s="26">
        <v>23</v>
      </c>
      <c r="Q413" s="26">
        <v>2</v>
      </c>
      <c r="R413" s="26">
        <v>1</v>
      </c>
      <c r="S413" s="26">
        <v>12</v>
      </c>
      <c r="T413" s="26">
        <v>13</v>
      </c>
      <c r="U413" s="26">
        <v>26</v>
      </c>
      <c r="V413" s="26">
        <v>1</v>
      </c>
      <c r="W413" s="26"/>
    </row>
    <row r="414" spans="1:23" x14ac:dyDescent="0.25">
      <c r="A414" s="26" t="str">
        <f t="shared" si="75"/>
        <v>SECUNDARIA</v>
      </c>
      <c r="B414" s="26" t="str">
        <f>"09DES4130B"</f>
        <v>09DES4130B</v>
      </c>
      <c r="C414" s="26" t="str">
        <f>"GUADALUPE CENICEROS DE ZAVALETA                                                                     "</f>
        <v xml:space="preserve">GUADALUPE CENICEROS DE ZAVALETA                                                                     </v>
      </c>
      <c r="D414" s="26" t="str">
        <f t="shared" si="80"/>
        <v>VESPERTINO</v>
      </c>
      <c r="E414" s="26" t="str">
        <f>"REY MECONETZIN ESQ CON MIXTECAS                                                 "</f>
        <v xml:space="preserve">REY MECONETZIN ESQ CON MIXTECAS                                                 </v>
      </c>
      <c r="F414" s="26" t="str">
        <f>"AJUSCO                                                                                                                                      "</f>
        <v xml:space="preserve">AJUSCO                                                                                                                                      </v>
      </c>
      <c r="G414" s="26" t="str">
        <f>"COYOACAN                                                                        "</f>
        <v xml:space="preserve">COYOACAN                                                                        </v>
      </c>
      <c r="H414" s="26" t="str">
        <f>"017"</f>
        <v>017</v>
      </c>
      <c r="I414" s="26" t="str">
        <f t="shared" si="77"/>
        <v>00</v>
      </c>
      <c r="J414" s="26" t="str">
        <f>"54 "</f>
        <v xml:space="preserve">54 </v>
      </c>
      <c r="K414" s="26" t="str">
        <f t="shared" si="81"/>
        <v>SG</v>
      </c>
      <c r="L414" s="26" t="str">
        <f t="shared" si="82"/>
        <v>DGOSE</v>
      </c>
      <c r="M414" s="26" t="str">
        <f t="shared" si="76"/>
        <v>FEDERAL</v>
      </c>
      <c r="N414" s="26">
        <v>285</v>
      </c>
      <c r="O414" s="26">
        <v>181</v>
      </c>
      <c r="P414" s="26">
        <v>104</v>
      </c>
      <c r="Q414" s="26">
        <v>18</v>
      </c>
      <c r="R414" s="26">
        <v>2</v>
      </c>
      <c r="S414" s="26">
        <v>42</v>
      </c>
      <c r="T414" s="26">
        <v>28</v>
      </c>
      <c r="U414" s="26">
        <v>72</v>
      </c>
      <c r="V414" s="26">
        <v>1</v>
      </c>
      <c r="W414" s="26"/>
    </row>
    <row r="415" spans="1:23" x14ac:dyDescent="0.25">
      <c r="A415" s="26" t="str">
        <f t="shared" si="75"/>
        <v>SECUNDARIA</v>
      </c>
      <c r="B415" s="26" t="str">
        <f>"09DES4135X"</f>
        <v>09DES4135X</v>
      </c>
      <c r="C415" s="26" t="str">
        <f>"UNION DE REPUBLICAS SOCIALISTAS SOVIETICAS                                                          "</f>
        <v xml:space="preserve">UNION DE REPUBLICAS SOCIALISTAS SOVIETICAS                                                          </v>
      </c>
      <c r="D415" s="26" t="str">
        <f t="shared" si="80"/>
        <v>VESPERTINO</v>
      </c>
      <c r="E415" s="26" t="str">
        <f>"CIENFUEGOS NO 1069                                                              "</f>
        <v xml:space="preserve">CIENFUEGOS NO 1069                                                              </v>
      </c>
      <c r="F415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415" s="26" t="str">
        <f>"GUSTAVO A. MADERO                                                               "</f>
        <v xml:space="preserve">GUSTAVO A. MADERO                                                               </v>
      </c>
      <c r="H415" s="26" t="str">
        <f>"035"</f>
        <v>035</v>
      </c>
      <c r="I415" s="26" t="str">
        <f t="shared" si="77"/>
        <v>00</v>
      </c>
      <c r="J415" s="26" t="str">
        <f>"52 "</f>
        <v xml:space="preserve">52 </v>
      </c>
      <c r="K415" s="26" t="str">
        <f t="shared" si="81"/>
        <v>SG</v>
      </c>
      <c r="L415" s="26" t="str">
        <f t="shared" si="82"/>
        <v>DGOSE</v>
      </c>
      <c r="M415" s="26" t="str">
        <f t="shared" si="76"/>
        <v>FEDERAL</v>
      </c>
      <c r="N415" s="26">
        <v>513</v>
      </c>
      <c r="O415" s="26">
        <v>264</v>
      </c>
      <c r="P415" s="26">
        <v>249</v>
      </c>
      <c r="Q415" s="26">
        <v>18</v>
      </c>
      <c r="R415" s="26">
        <v>2</v>
      </c>
      <c r="S415" s="26">
        <v>37</v>
      </c>
      <c r="T415" s="26">
        <v>25</v>
      </c>
      <c r="U415" s="26">
        <v>64</v>
      </c>
      <c r="V415" s="26">
        <v>1</v>
      </c>
      <c r="W415" s="26"/>
    </row>
    <row r="416" spans="1:23" x14ac:dyDescent="0.25">
      <c r="A416" s="26" t="str">
        <f t="shared" si="75"/>
        <v>SECUNDARIA</v>
      </c>
      <c r="B416" s="26" t="str">
        <f>"09DES4136W"</f>
        <v>09DES4136W</v>
      </c>
      <c r="C416" s="26" t="str">
        <f>"DR. ENRIQUE GONZALEZ MARTINEZ                                                                       "</f>
        <v xml:space="preserve">DR. ENRIQUE GONZALEZ MARTINEZ                                                                       </v>
      </c>
      <c r="D416" s="26" t="str">
        <f t="shared" si="80"/>
        <v>VESPERTINO</v>
      </c>
      <c r="E416" s="26" t="str">
        <f>"AV SAN JUAN Y TALISMAN                                                          "</f>
        <v xml:space="preserve">AV SAN JUAN Y TALISMAN                                                          </v>
      </c>
      <c r="F416" s="26" t="str">
        <f>"INDUSTRIAL                                                                                                                                  "</f>
        <v xml:space="preserve">INDUSTRIAL                                                                                                                                  </v>
      </c>
      <c r="G416" s="26" t="str">
        <f>"GUSTAVO A. MADERO                                                               "</f>
        <v xml:space="preserve">GUSTAVO A. MADERO                                                               </v>
      </c>
      <c r="H416" s="26" t="str">
        <f>"037"</f>
        <v>037</v>
      </c>
      <c r="I416" s="26" t="str">
        <f t="shared" si="77"/>
        <v>00</v>
      </c>
      <c r="J416" s="26" t="str">
        <f>"52 "</f>
        <v xml:space="preserve">52 </v>
      </c>
      <c r="K416" s="26" t="str">
        <f t="shared" si="81"/>
        <v>SG</v>
      </c>
      <c r="L416" s="26" t="str">
        <f t="shared" si="82"/>
        <v>DGOSE</v>
      </c>
      <c r="M416" s="26" t="str">
        <f t="shared" si="76"/>
        <v>FEDERAL</v>
      </c>
      <c r="N416" s="26">
        <v>103</v>
      </c>
      <c r="O416" s="26">
        <v>54</v>
      </c>
      <c r="P416" s="26">
        <v>49</v>
      </c>
      <c r="Q416" s="26">
        <v>5</v>
      </c>
      <c r="R416" s="26">
        <v>1</v>
      </c>
      <c r="S416" s="26">
        <v>23</v>
      </c>
      <c r="T416" s="26">
        <v>13</v>
      </c>
      <c r="U416" s="26">
        <v>37</v>
      </c>
      <c r="V416" s="26">
        <v>1</v>
      </c>
      <c r="W416" s="26"/>
    </row>
    <row r="417" spans="1:23" x14ac:dyDescent="0.25">
      <c r="A417" s="26" t="str">
        <f t="shared" si="75"/>
        <v>SECUNDARIA</v>
      </c>
      <c r="B417" s="26" t="str">
        <f>"09DES4137V"</f>
        <v>09DES4137V</v>
      </c>
      <c r="C417" s="26" t="str">
        <f>"DELFINA HUERTA LOPEZ                                                                                "</f>
        <v xml:space="preserve">DELFINA HUERTA LOPEZ                                                                                </v>
      </c>
      <c r="D417" s="26" t="str">
        <f t="shared" si="80"/>
        <v>VESPERTINO</v>
      </c>
      <c r="E417" s="26" t="str">
        <f>"GERSAYN UGARTE Y DONATO BRAVO                                                   "</f>
        <v xml:space="preserve">GERSAYN UGARTE Y DONATO BRAVO                                                   </v>
      </c>
      <c r="F417" s="26" t="str">
        <f>"CONSTITUCION 1917                                                                                                                           "</f>
        <v xml:space="preserve">CONSTITUCION 1917                                                                                                                           </v>
      </c>
      <c r="G417" s="26" t="str">
        <f>"IZTAPALAPA                                                                      "</f>
        <v xml:space="preserve">IZTAPALAPA                                                                      </v>
      </c>
      <c r="H417" s="26" t="str">
        <f>"007"</f>
        <v>007</v>
      </c>
      <c r="I417" s="26" t="str">
        <f t="shared" si="77"/>
        <v>00</v>
      </c>
      <c r="J417" s="26" t="str">
        <f>"62 "</f>
        <v xml:space="preserve">62 </v>
      </c>
      <c r="K417" s="26" t="str">
        <f>"IZ"</f>
        <v>IZ</v>
      </c>
      <c r="L417" s="26" t="str">
        <f>"DGSEI"</f>
        <v>DGSEI</v>
      </c>
      <c r="M417" s="26" t="str">
        <f t="shared" si="76"/>
        <v>FEDERAL</v>
      </c>
      <c r="N417" s="26">
        <v>346</v>
      </c>
      <c r="O417" s="26">
        <v>190</v>
      </c>
      <c r="P417" s="26">
        <v>156</v>
      </c>
      <c r="Q417" s="26">
        <v>14</v>
      </c>
      <c r="R417" s="26">
        <v>0</v>
      </c>
      <c r="S417" s="26">
        <v>33</v>
      </c>
      <c r="T417" s="26">
        <v>21</v>
      </c>
      <c r="U417" s="26">
        <v>54</v>
      </c>
      <c r="V417" s="26">
        <v>1</v>
      </c>
      <c r="W417" s="26"/>
    </row>
    <row r="418" spans="1:23" x14ac:dyDescent="0.25">
      <c r="A418" s="26" t="str">
        <f t="shared" si="75"/>
        <v>SECUNDARIA</v>
      </c>
      <c r="B418" s="26" t="str">
        <f>"09DES4138U"</f>
        <v>09DES4138U</v>
      </c>
      <c r="C418" s="26" t="str">
        <f>"ANGEL MA. GARIBAY K.                                                                                "</f>
        <v xml:space="preserve">ANGEL MA. GARIBAY K.                                                                                </v>
      </c>
      <c r="D418" s="26" t="str">
        <f t="shared" si="80"/>
        <v>VESPERTINO</v>
      </c>
      <c r="E418" s="26" t="str">
        <f>"PUERTO COZUMEL Y SALINA CRUZ                                                    "</f>
        <v xml:space="preserve">PUERTO COZUMEL Y SALINA CRUZ                                                    </v>
      </c>
      <c r="F418" s="26" t="str">
        <f>"CASAS ALEMAN AMPLIACION                                                                                                                     "</f>
        <v xml:space="preserve">CASAS ALEMAN AMPLIACION                                                                                                                     </v>
      </c>
      <c r="G418" s="26" t="str">
        <f>"GUSTAVO A. MADERO                                                               "</f>
        <v xml:space="preserve">GUSTAVO A. MADERO                                                               </v>
      </c>
      <c r="H418" s="26" t="str">
        <f>"039"</f>
        <v>039</v>
      </c>
      <c r="I418" s="26" t="str">
        <f t="shared" si="77"/>
        <v>00</v>
      </c>
      <c r="J418" s="26" t="str">
        <f>"52 "</f>
        <v xml:space="preserve">52 </v>
      </c>
      <c r="K418" s="26" t="str">
        <f t="shared" ref="K418:K427" si="83">"SG"</f>
        <v>SG</v>
      </c>
      <c r="L418" s="26" t="str">
        <f t="shared" ref="L418:L427" si="84">"DGOSE"</f>
        <v>DGOSE</v>
      </c>
      <c r="M418" s="26" t="str">
        <f t="shared" si="76"/>
        <v>FEDERAL</v>
      </c>
      <c r="N418" s="26">
        <v>175</v>
      </c>
      <c r="O418" s="26">
        <v>99</v>
      </c>
      <c r="P418" s="26">
        <v>76</v>
      </c>
      <c r="Q418" s="26">
        <v>9</v>
      </c>
      <c r="R418" s="26">
        <v>2</v>
      </c>
      <c r="S418" s="26">
        <v>35</v>
      </c>
      <c r="T418" s="26">
        <v>22</v>
      </c>
      <c r="U418" s="26">
        <v>59</v>
      </c>
      <c r="V418" s="26">
        <v>1</v>
      </c>
      <c r="W418" s="26"/>
    </row>
    <row r="419" spans="1:23" x14ac:dyDescent="0.25">
      <c r="A419" s="26" t="str">
        <f t="shared" si="75"/>
        <v>SECUNDARIA</v>
      </c>
      <c r="B419" s="26" t="str">
        <f>"09DES4139T"</f>
        <v>09DES4139T</v>
      </c>
      <c r="C419" s="26" t="str">
        <f>"JOSE ENRIQUE RODO                                                                                   "</f>
        <v xml:space="preserve">JOSE ENRIQUE RODO                                                                                   </v>
      </c>
      <c r="D419" s="26" t="str">
        <f t="shared" si="80"/>
        <v>VESPERTINO</v>
      </c>
      <c r="E419" s="26" t="str">
        <f>"SELVA S/N                                                                       "</f>
        <v xml:space="preserve">SELVA S/N                                                                       </v>
      </c>
      <c r="F419" s="26" t="str">
        <f>"INSURGENTES CUICUILCO                                                                                                                       "</f>
        <v xml:space="preserve">INSURGENTES CUICUILCO                                                                                                                       </v>
      </c>
      <c r="G419" s="26" t="str">
        <f>"COYOACAN                                                                        "</f>
        <v xml:space="preserve">COYOACAN                                                                        </v>
      </c>
      <c r="H419" s="26" t="str">
        <f>"017"</f>
        <v>017</v>
      </c>
      <c r="I419" s="26" t="str">
        <f t="shared" si="77"/>
        <v>00</v>
      </c>
      <c r="J419" s="26" t="str">
        <f>"54 "</f>
        <v xml:space="preserve">54 </v>
      </c>
      <c r="K419" s="26" t="str">
        <f t="shared" si="83"/>
        <v>SG</v>
      </c>
      <c r="L419" s="26" t="str">
        <f t="shared" si="84"/>
        <v>DGOSE</v>
      </c>
      <c r="M419" s="26" t="str">
        <f t="shared" si="76"/>
        <v>FEDERAL</v>
      </c>
      <c r="N419" s="26">
        <v>610</v>
      </c>
      <c r="O419" s="26">
        <v>305</v>
      </c>
      <c r="P419" s="26">
        <v>305</v>
      </c>
      <c r="Q419" s="26">
        <v>15</v>
      </c>
      <c r="R419" s="26">
        <v>2</v>
      </c>
      <c r="S419" s="26">
        <v>44</v>
      </c>
      <c r="T419" s="26">
        <v>25</v>
      </c>
      <c r="U419" s="26">
        <v>71</v>
      </c>
      <c r="V419" s="26">
        <v>1</v>
      </c>
      <c r="W419" s="26"/>
    </row>
    <row r="420" spans="1:23" x14ac:dyDescent="0.25">
      <c r="A420" s="26" t="str">
        <f t="shared" si="75"/>
        <v>SECUNDARIA</v>
      </c>
      <c r="B420" s="26" t="str">
        <f>"09DES4140I"</f>
        <v>09DES4140I</v>
      </c>
      <c r="C420" s="26" t="str">
        <f>"NETZAHUALCOYOTL                                                                                     "</f>
        <v xml:space="preserve">NETZAHUALCOYOTL                                                                                     </v>
      </c>
      <c r="D420" s="26" t="str">
        <f t="shared" si="80"/>
        <v>VESPERTINO</v>
      </c>
      <c r="E420" s="26" t="str">
        <f>"AV AQUILES SERDAN Y 1RA AQUILES SERDAN                                          "</f>
        <v xml:space="preserve">AV AQUILES SERDAN Y 1RA AQUILES SERDAN                                          </v>
      </c>
      <c r="F420" s="26" t="str">
        <f>"SANTO DOMINGO                                                                                                                               "</f>
        <v xml:space="preserve">SANTO DOMINGO                                                                                                                               </v>
      </c>
      <c r="G420" s="26" t="str">
        <f>"AZCAPOTZALCO                                                                    "</f>
        <v xml:space="preserve">AZCAPOTZALCO                                                                    </v>
      </c>
      <c r="H420" s="26" t="str">
        <f>"008"</f>
        <v>008</v>
      </c>
      <c r="I420" s="26" t="str">
        <f t="shared" si="77"/>
        <v>00</v>
      </c>
      <c r="J420" s="26" t="str">
        <f>"51 "</f>
        <v xml:space="preserve">51 </v>
      </c>
      <c r="K420" s="26" t="str">
        <f t="shared" si="83"/>
        <v>SG</v>
      </c>
      <c r="L420" s="26" t="str">
        <f t="shared" si="84"/>
        <v>DGOSE</v>
      </c>
      <c r="M420" s="26" t="str">
        <f t="shared" si="76"/>
        <v>FEDERAL</v>
      </c>
      <c r="N420" s="26">
        <v>51</v>
      </c>
      <c r="O420" s="26">
        <v>35</v>
      </c>
      <c r="P420" s="26">
        <v>16</v>
      </c>
      <c r="Q420" s="26">
        <v>3</v>
      </c>
      <c r="R420" s="26">
        <v>1</v>
      </c>
      <c r="S420" s="26">
        <v>17</v>
      </c>
      <c r="T420" s="26">
        <v>15</v>
      </c>
      <c r="U420" s="26">
        <v>33</v>
      </c>
      <c r="V420" s="26">
        <v>1</v>
      </c>
      <c r="W420" s="26"/>
    </row>
    <row r="421" spans="1:23" x14ac:dyDescent="0.25">
      <c r="A421" s="26" t="str">
        <f t="shared" si="75"/>
        <v>SECUNDARIA</v>
      </c>
      <c r="B421" s="26" t="str">
        <f>"09DES4141H"</f>
        <v>09DES4141H</v>
      </c>
      <c r="C421" s="26" t="str">
        <f>"GUILLERMO GONZALEZ CAMARENA                                                                         "</f>
        <v xml:space="preserve">GUILLERMO GONZALEZ CAMARENA                                                                         </v>
      </c>
      <c r="D421" s="26" t="str">
        <f t="shared" si="80"/>
        <v>VESPERTINO</v>
      </c>
      <c r="E421" s="26" t="str">
        <f>"AV 1525 Y 1527 Y CALLE 414                                                      "</f>
        <v xml:space="preserve">AV 1525 Y 1527 Y CALLE 414                                                      </v>
      </c>
      <c r="F421" s="26" t="str">
        <f>"UNIDAD SAN JUAN DE ARAGON                                                                                                                   "</f>
        <v xml:space="preserve">UNIDAD SAN JUAN DE ARAGON                                                                                                                   </v>
      </c>
      <c r="G421" s="26" t="str">
        <f>"GUSTAVO A. MADERO                                                               "</f>
        <v xml:space="preserve">GUSTAVO A. MADERO                                                               </v>
      </c>
      <c r="H421" s="26" t="str">
        <f>"042"</f>
        <v>042</v>
      </c>
      <c r="I421" s="26" t="str">
        <f t="shared" si="77"/>
        <v>00</v>
      </c>
      <c r="J421" s="26" t="str">
        <f>"52 "</f>
        <v xml:space="preserve">52 </v>
      </c>
      <c r="K421" s="26" t="str">
        <f t="shared" si="83"/>
        <v>SG</v>
      </c>
      <c r="L421" s="26" t="str">
        <f t="shared" si="84"/>
        <v>DGOSE</v>
      </c>
      <c r="M421" s="26" t="str">
        <f t="shared" si="76"/>
        <v>FEDERAL</v>
      </c>
      <c r="N421" s="26">
        <v>66</v>
      </c>
      <c r="O421" s="26">
        <v>43</v>
      </c>
      <c r="P421" s="26">
        <v>23</v>
      </c>
      <c r="Q421" s="26">
        <v>4</v>
      </c>
      <c r="R421" s="26">
        <v>1</v>
      </c>
      <c r="S421" s="26">
        <v>18</v>
      </c>
      <c r="T421" s="26">
        <v>11</v>
      </c>
      <c r="U421" s="26">
        <v>30</v>
      </c>
      <c r="V421" s="26">
        <v>1</v>
      </c>
      <c r="W421" s="26"/>
    </row>
    <row r="422" spans="1:23" x14ac:dyDescent="0.25">
      <c r="A422" s="26" t="str">
        <f t="shared" si="75"/>
        <v>SECUNDARIA</v>
      </c>
      <c r="B422" s="26" t="str">
        <f>"09DES4144E"</f>
        <v>09DES4144E</v>
      </c>
      <c r="C422" s="26" t="str">
        <f>"LIC. ADOLFO LOPEZ MATEOS                                                                            "</f>
        <v xml:space="preserve">LIC. ADOLFO LOPEZ MATEOS                                                                            </v>
      </c>
      <c r="D422" s="26" t="str">
        <f t="shared" si="80"/>
        <v>VESPERTINO</v>
      </c>
      <c r="E422" s="26" t="str">
        <f>"AV EMILIANO ZAPATA S/N                                                          "</f>
        <v xml:space="preserve">AV EMILIANO ZAPATA S/N                                                          </v>
      </c>
      <c r="F422" s="26" t="str">
        <f>"CUAUTEPEC DE MADERO                                                                                                                         "</f>
        <v xml:space="preserve">CUAUTEPEC DE MADERO                                                                                                                         </v>
      </c>
      <c r="G422" s="26" t="str">
        <f>"GUSTAVO A. MADERO                                                               "</f>
        <v xml:space="preserve">GUSTAVO A. MADERO                                                               </v>
      </c>
      <c r="H422" s="26" t="str">
        <f>"031"</f>
        <v>031</v>
      </c>
      <c r="I422" s="26" t="str">
        <f t="shared" si="77"/>
        <v>00</v>
      </c>
      <c r="J422" s="26" t="str">
        <f>"52 "</f>
        <v xml:space="preserve">52 </v>
      </c>
      <c r="K422" s="26" t="str">
        <f t="shared" si="83"/>
        <v>SG</v>
      </c>
      <c r="L422" s="26" t="str">
        <f t="shared" si="84"/>
        <v>DGOSE</v>
      </c>
      <c r="M422" s="26" t="str">
        <f t="shared" si="76"/>
        <v>FEDERAL</v>
      </c>
      <c r="N422" s="26">
        <v>687</v>
      </c>
      <c r="O422" s="26">
        <v>350</v>
      </c>
      <c r="P422" s="26">
        <v>337</v>
      </c>
      <c r="Q422" s="26">
        <v>18</v>
      </c>
      <c r="R422" s="26">
        <v>2</v>
      </c>
      <c r="S422" s="26">
        <v>44</v>
      </c>
      <c r="T422" s="26">
        <v>25</v>
      </c>
      <c r="U422" s="26">
        <v>71</v>
      </c>
      <c r="V422" s="26">
        <v>1</v>
      </c>
      <c r="W422" s="26"/>
    </row>
    <row r="423" spans="1:23" x14ac:dyDescent="0.25">
      <c r="A423" s="26" t="str">
        <f t="shared" si="75"/>
        <v>SECUNDARIA</v>
      </c>
      <c r="B423" s="26" t="str">
        <f>"09DES4145D"</f>
        <v>09DES4145D</v>
      </c>
      <c r="C423" s="26" t="str">
        <f>"JOSE GUADALUPE NAJERA JIMENEZ                                                                       "</f>
        <v xml:space="preserve">JOSE GUADALUPE NAJERA JIMENEZ                                                                       </v>
      </c>
      <c r="D423" s="26" t="str">
        <f t="shared" si="80"/>
        <v>VESPERTINO</v>
      </c>
      <c r="E423" s="26" t="str">
        <f>"CERRO MODO CERRO SAN FRANCISCO NO 263                                           "</f>
        <v xml:space="preserve">CERRO MODO CERRO SAN FRANCISCO NO 263                                           </v>
      </c>
      <c r="F423" s="26" t="str">
        <f>"CAMPESTRE CHURUBUSCO                                                                                                                        "</f>
        <v xml:space="preserve">CAMPESTRE CHURUBUSCO                                                                                                                        </v>
      </c>
      <c r="G423" s="26" t="str">
        <f>"COYOACAN                                                                        "</f>
        <v xml:space="preserve">COYOACAN                                                                        </v>
      </c>
      <c r="H423" s="26" t="str">
        <f>"020"</f>
        <v>020</v>
      </c>
      <c r="I423" s="26" t="str">
        <f t="shared" si="77"/>
        <v>00</v>
      </c>
      <c r="J423" s="26" t="str">
        <f>"54 "</f>
        <v xml:space="preserve">54 </v>
      </c>
      <c r="K423" s="26" t="str">
        <f t="shared" si="83"/>
        <v>SG</v>
      </c>
      <c r="L423" s="26" t="str">
        <f t="shared" si="84"/>
        <v>DGOSE</v>
      </c>
      <c r="M423" s="26" t="str">
        <f t="shared" si="76"/>
        <v>FEDERAL</v>
      </c>
      <c r="N423" s="26">
        <v>314</v>
      </c>
      <c r="O423" s="26">
        <v>181</v>
      </c>
      <c r="P423" s="26">
        <v>133</v>
      </c>
      <c r="Q423" s="26">
        <v>9</v>
      </c>
      <c r="R423" s="26">
        <v>2</v>
      </c>
      <c r="S423" s="26">
        <v>33</v>
      </c>
      <c r="T423" s="26">
        <v>19</v>
      </c>
      <c r="U423" s="26">
        <v>54</v>
      </c>
      <c r="V423" s="26">
        <v>1</v>
      </c>
      <c r="W423" s="26"/>
    </row>
    <row r="424" spans="1:23" x14ac:dyDescent="0.25">
      <c r="A424" s="26" t="str">
        <f t="shared" si="75"/>
        <v>SECUNDARIA</v>
      </c>
      <c r="B424" s="26" t="str">
        <f>"09DES4146C"</f>
        <v>09DES4146C</v>
      </c>
      <c r="C424" s="26" t="str">
        <f>"MAX PLANCK                                                                                          "</f>
        <v xml:space="preserve">MAX PLANCK                                                                                          </v>
      </c>
      <c r="D424" s="26" t="str">
        <f t="shared" si="80"/>
        <v>VESPERTINO</v>
      </c>
      <c r="E424" s="26" t="str">
        <f>"NORTE Y 72 ORIENTE 153-A Y NORTE 72-B                                           "</f>
        <v xml:space="preserve">NORTE Y 72 ORIENTE 153-A Y NORTE 72-B                                           </v>
      </c>
      <c r="F424" s="26" t="str">
        <f>"SALVADOR DIAZ MIRON                                                                                                                         "</f>
        <v xml:space="preserve">SALVADOR DIAZ MIRON                                                                                                                         </v>
      </c>
      <c r="G424" s="26" t="str">
        <f>"GUSTAVO A. MADERO                                                               "</f>
        <v xml:space="preserve">GUSTAVO A. MADERO                                                               </v>
      </c>
      <c r="H424" s="26" t="str">
        <f>"038"</f>
        <v>038</v>
      </c>
      <c r="I424" s="26" t="str">
        <f t="shared" si="77"/>
        <v>00</v>
      </c>
      <c r="J424" s="26" t="str">
        <f>"52 "</f>
        <v xml:space="preserve">52 </v>
      </c>
      <c r="K424" s="26" t="str">
        <f t="shared" si="83"/>
        <v>SG</v>
      </c>
      <c r="L424" s="26" t="str">
        <f t="shared" si="84"/>
        <v>DGOSE</v>
      </c>
      <c r="M424" s="26" t="str">
        <f t="shared" si="76"/>
        <v>FEDERAL</v>
      </c>
      <c r="N424" s="26">
        <v>168</v>
      </c>
      <c r="O424" s="26">
        <v>104</v>
      </c>
      <c r="P424" s="26">
        <v>64</v>
      </c>
      <c r="Q424" s="26">
        <v>9</v>
      </c>
      <c r="R424" s="26">
        <v>2</v>
      </c>
      <c r="S424" s="26">
        <v>33</v>
      </c>
      <c r="T424" s="26">
        <v>21</v>
      </c>
      <c r="U424" s="26">
        <v>56</v>
      </c>
      <c r="V424" s="26">
        <v>1</v>
      </c>
      <c r="W424" s="26"/>
    </row>
    <row r="425" spans="1:23" x14ac:dyDescent="0.25">
      <c r="A425" s="26" t="str">
        <f t="shared" si="75"/>
        <v>SECUNDARIA</v>
      </c>
      <c r="B425" s="26" t="str">
        <f>"09DES4147B"</f>
        <v>09DES4147B</v>
      </c>
      <c r="C425" s="26" t="str">
        <f>"OTILIO EDMUNDO MONTAÑO SANCHEZ                                                                      "</f>
        <v xml:space="preserve">OTILIO EDMUNDO MONTAÑO SANCHEZ                                                                      </v>
      </c>
      <c r="D425" s="26" t="str">
        <f t="shared" si="80"/>
        <v>VESPERTINO</v>
      </c>
      <c r="E425" s="26" t="str">
        <f>"AVENIDA CONSTITUCION DE LA REPUBLICA NUM. 1                                     "</f>
        <v xml:space="preserve">AVENIDA CONSTITUCION DE LA REPUBLICA NUM. 1                                     </v>
      </c>
      <c r="F425" s="26" t="str">
        <f>"PROVIDENCIA                                                                                                                                 "</f>
        <v xml:space="preserve">PROVIDENCIA                                                                                                                                 </v>
      </c>
      <c r="G425" s="26" t="str">
        <f>"GUSTAVO A. MADERO                                                               "</f>
        <v xml:space="preserve">GUSTAVO A. MADERO                                                               </v>
      </c>
      <c r="H425" s="26" t="str">
        <f>"037"</f>
        <v>037</v>
      </c>
      <c r="I425" s="26" t="str">
        <f t="shared" si="77"/>
        <v>00</v>
      </c>
      <c r="J425" s="26" t="str">
        <f>"52 "</f>
        <v xml:space="preserve">52 </v>
      </c>
      <c r="K425" s="26" t="str">
        <f t="shared" si="83"/>
        <v>SG</v>
      </c>
      <c r="L425" s="26" t="str">
        <f t="shared" si="84"/>
        <v>DGOSE</v>
      </c>
      <c r="M425" s="26" t="str">
        <f t="shared" si="76"/>
        <v>FEDERAL</v>
      </c>
      <c r="N425" s="26">
        <v>204</v>
      </c>
      <c r="O425" s="26">
        <v>118</v>
      </c>
      <c r="P425" s="26">
        <v>86</v>
      </c>
      <c r="Q425" s="26">
        <v>9</v>
      </c>
      <c r="R425" s="26">
        <v>1</v>
      </c>
      <c r="S425" s="26">
        <v>25</v>
      </c>
      <c r="T425" s="26">
        <v>21</v>
      </c>
      <c r="U425" s="26">
        <v>47</v>
      </c>
      <c r="V425" s="26">
        <v>1</v>
      </c>
      <c r="W425" s="26"/>
    </row>
    <row r="426" spans="1:23" x14ac:dyDescent="0.25">
      <c r="A426" s="26" t="str">
        <f t="shared" si="75"/>
        <v>SECUNDARIA</v>
      </c>
      <c r="B426" s="26" t="str">
        <f>"09DES4148A"</f>
        <v>09DES4148A</v>
      </c>
      <c r="C426" s="26" t="str">
        <f>"LAO-TSE                                                                                             "</f>
        <v xml:space="preserve">LAO-TSE                                                                                             </v>
      </c>
      <c r="D426" s="26" t="str">
        <f t="shared" si="80"/>
        <v>VESPERTINO</v>
      </c>
      <c r="E426" s="26" t="str">
        <f>"AV RIO CHURUBUSCO Y TEZONTLE                                                    "</f>
        <v xml:space="preserve">AV RIO CHURUBUSCO Y TEZONTLE                                                    </v>
      </c>
      <c r="F426" s="26" t="str">
        <f>"JUVENTINO ROSAS                                                                                                                             "</f>
        <v xml:space="preserve">JUVENTINO ROSAS                                                                                                                             </v>
      </c>
      <c r="G426" s="26" t="str">
        <f>"IZTACALCO                                                                       "</f>
        <v xml:space="preserve">IZTACALCO                                                                       </v>
      </c>
      <c r="H426" s="26" t="str">
        <f>"044"</f>
        <v>044</v>
      </c>
      <c r="I426" s="26" t="str">
        <f t="shared" si="77"/>
        <v>00</v>
      </c>
      <c r="J426" s="26" t="str">
        <f>"54 "</f>
        <v xml:space="preserve">54 </v>
      </c>
      <c r="K426" s="26" t="str">
        <f t="shared" si="83"/>
        <v>SG</v>
      </c>
      <c r="L426" s="26" t="str">
        <f t="shared" si="84"/>
        <v>DGOSE</v>
      </c>
      <c r="M426" s="26" t="str">
        <f t="shared" si="76"/>
        <v>FEDERAL</v>
      </c>
      <c r="N426" s="26">
        <v>373</v>
      </c>
      <c r="O426" s="26">
        <v>196</v>
      </c>
      <c r="P426" s="26">
        <v>177</v>
      </c>
      <c r="Q426" s="26">
        <v>18</v>
      </c>
      <c r="R426" s="26">
        <v>2</v>
      </c>
      <c r="S426" s="26">
        <v>47</v>
      </c>
      <c r="T426" s="26">
        <v>27</v>
      </c>
      <c r="U426" s="26">
        <v>76</v>
      </c>
      <c r="V426" s="26">
        <v>1</v>
      </c>
      <c r="W426" s="26"/>
    </row>
    <row r="427" spans="1:23" x14ac:dyDescent="0.25">
      <c r="A427" s="26" t="str">
        <f t="shared" si="75"/>
        <v>SECUNDARIA</v>
      </c>
      <c r="B427" s="26" t="str">
        <f>"09DES4151O"</f>
        <v>09DES4151O</v>
      </c>
      <c r="C427" s="26" t="str">
        <f>"""ESTADO DE QUINTANA ROO""                                                                            "</f>
        <v xml:space="preserve">"ESTADO DE QUINTANA ROO"                                                                            </v>
      </c>
      <c r="D427" s="26" t="str">
        <f t="shared" si="80"/>
        <v>VESPERTINO</v>
      </c>
      <c r="E427" s="26" t="str">
        <f>"AV MEXICO AJUSCO S/N                                                            "</f>
        <v xml:space="preserve">AV MEXICO AJUSCO S/N                                                            </v>
      </c>
      <c r="F427" s="26" t="str">
        <f>"MAGDALENA PETLACALCO                                                                                                                        "</f>
        <v xml:space="preserve">MAGDALENA PETLACALCO                                                                                                                        </v>
      </c>
      <c r="G427" s="26" t="str">
        <f>"TLALPAN                                                                         "</f>
        <v xml:space="preserve">TLALPAN                                                                         </v>
      </c>
      <c r="H427" s="26" t="str">
        <f>"072"</f>
        <v>072</v>
      </c>
      <c r="I427" s="26" t="str">
        <f t="shared" si="77"/>
        <v>00</v>
      </c>
      <c r="J427" s="26" t="str">
        <f>"55 "</f>
        <v xml:space="preserve">55 </v>
      </c>
      <c r="K427" s="26" t="str">
        <f t="shared" si="83"/>
        <v>SG</v>
      </c>
      <c r="L427" s="26" t="str">
        <f t="shared" si="84"/>
        <v>DGOSE</v>
      </c>
      <c r="M427" s="26" t="str">
        <f t="shared" si="76"/>
        <v>FEDERAL</v>
      </c>
      <c r="N427" s="26">
        <v>779</v>
      </c>
      <c r="O427" s="26">
        <v>397</v>
      </c>
      <c r="P427" s="26">
        <v>382</v>
      </c>
      <c r="Q427" s="26">
        <v>18</v>
      </c>
      <c r="R427" s="26">
        <v>1</v>
      </c>
      <c r="S427" s="26">
        <v>40</v>
      </c>
      <c r="T427" s="26">
        <v>18</v>
      </c>
      <c r="U427" s="26">
        <v>59</v>
      </c>
      <c r="V427" s="26">
        <v>1</v>
      </c>
      <c r="W427" s="26"/>
    </row>
    <row r="428" spans="1:23" x14ac:dyDescent="0.25">
      <c r="A428" s="26" t="str">
        <f t="shared" si="75"/>
        <v>SECUNDARIA</v>
      </c>
      <c r="B428" s="26" t="str">
        <f>"09DES4152N"</f>
        <v>09DES4152N</v>
      </c>
      <c r="C428" s="26" t="str">
        <f>"VICENTE SUAREZ                                                                                      "</f>
        <v xml:space="preserve">VICENTE SUAREZ                                                                                      </v>
      </c>
      <c r="D428" s="26" t="str">
        <f t="shared" si="80"/>
        <v>VESPERTINO</v>
      </c>
      <c r="E428" s="26" t="str">
        <f>"MANUEL CALERO Y FRANCISCO NOBLE                                                 "</f>
        <v xml:space="preserve">MANUEL CALERO Y FRANCISCO NOBLE                                                 </v>
      </c>
      <c r="F428" s="26" t="str">
        <f>"SANTA MARTHA ACATITLA                                                                                                                       "</f>
        <v xml:space="preserve">SANTA MARTHA ACATITLA                                                                                                                       </v>
      </c>
      <c r="G428" s="26" t="str">
        <f>"IZTAPALAPA                                                                      "</f>
        <v xml:space="preserve">IZTAPALAPA                                                                      </v>
      </c>
      <c r="H428" s="26" t="str">
        <f>"006"</f>
        <v>006</v>
      </c>
      <c r="I428" s="26" t="str">
        <f t="shared" si="77"/>
        <v>00</v>
      </c>
      <c r="J428" s="26" t="str">
        <f>"62 "</f>
        <v xml:space="preserve">62 </v>
      </c>
      <c r="K428" s="26" t="str">
        <f>"IZ"</f>
        <v>IZ</v>
      </c>
      <c r="L428" s="26" t="str">
        <f>"DGSEI"</f>
        <v>DGSEI</v>
      </c>
      <c r="M428" s="26" t="str">
        <f t="shared" si="76"/>
        <v>FEDERAL</v>
      </c>
      <c r="N428" s="26">
        <v>215</v>
      </c>
      <c r="O428" s="26">
        <v>133</v>
      </c>
      <c r="P428" s="26">
        <v>82</v>
      </c>
      <c r="Q428" s="26">
        <v>10</v>
      </c>
      <c r="R428" s="26">
        <v>3</v>
      </c>
      <c r="S428" s="26">
        <v>37</v>
      </c>
      <c r="T428" s="26">
        <v>13</v>
      </c>
      <c r="U428" s="26">
        <v>53</v>
      </c>
      <c r="V428" s="26">
        <v>1</v>
      </c>
      <c r="W428" s="26"/>
    </row>
    <row r="429" spans="1:23" x14ac:dyDescent="0.25">
      <c r="A429" s="26" t="str">
        <f t="shared" si="75"/>
        <v>SECUNDARIA</v>
      </c>
      <c r="B429" s="26" t="str">
        <f>"09DES4154L"</f>
        <v>09DES4154L</v>
      </c>
      <c r="C429" s="26" t="str">
        <f>"REPUBLICA DE CUBA                                                                                   "</f>
        <v xml:space="preserve">REPUBLICA DE CUBA                                                                                   </v>
      </c>
      <c r="D429" s="26" t="str">
        <f t="shared" si="80"/>
        <v>VESPERTINO</v>
      </c>
      <c r="E429" s="26" t="str">
        <f>"OJO DE AGUA Y ALVARO OBREGON                                                    "</f>
        <v xml:space="preserve">OJO DE AGUA Y ALVARO OBREGON                                                    </v>
      </c>
      <c r="F429" s="26" t="str">
        <f>"GUADALUPE TLALTENCO                                                                                                                         "</f>
        <v xml:space="preserve">GUADALUPE TLALTENCO                                                                                                                         </v>
      </c>
      <c r="G429" s="26" t="str">
        <f>"TLAHUAC                                                                         "</f>
        <v xml:space="preserve">TLAHUAC                                                                         </v>
      </c>
      <c r="H429" s="26" t="str">
        <f>"068"</f>
        <v>068</v>
      </c>
      <c r="I429" s="26" t="str">
        <f t="shared" si="77"/>
        <v>00</v>
      </c>
      <c r="J429" s="26" t="str">
        <f>"55 "</f>
        <v xml:space="preserve">55 </v>
      </c>
      <c r="K429" s="26" t="str">
        <f t="shared" ref="K429:K434" si="85">"SG"</f>
        <v>SG</v>
      </c>
      <c r="L429" s="26" t="str">
        <f t="shared" ref="L429:L434" si="86">"DGOSE"</f>
        <v>DGOSE</v>
      </c>
      <c r="M429" s="26" t="str">
        <f t="shared" si="76"/>
        <v>FEDERAL</v>
      </c>
      <c r="N429" s="26">
        <v>386</v>
      </c>
      <c r="O429" s="26">
        <v>244</v>
      </c>
      <c r="P429" s="26">
        <v>142</v>
      </c>
      <c r="Q429" s="26">
        <v>18</v>
      </c>
      <c r="R429" s="26">
        <v>2</v>
      </c>
      <c r="S429" s="26">
        <v>45</v>
      </c>
      <c r="T429" s="26">
        <v>29</v>
      </c>
      <c r="U429" s="26">
        <v>76</v>
      </c>
      <c r="V429" s="26">
        <v>1</v>
      </c>
      <c r="W429" s="26"/>
    </row>
    <row r="430" spans="1:23" x14ac:dyDescent="0.25">
      <c r="A430" s="26" t="str">
        <f t="shared" si="75"/>
        <v>SECUNDARIA</v>
      </c>
      <c r="B430" s="26" t="str">
        <f>"09DES4155K"</f>
        <v>09DES4155K</v>
      </c>
      <c r="C430" s="26" t="str">
        <f>"""MAXIMINO MARTINEZ""                                                                                 "</f>
        <v xml:space="preserve">"MAXIMINO MARTINEZ"                                                                                 </v>
      </c>
      <c r="D430" s="26" t="str">
        <f t="shared" si="80"/>
        <v>VESPERTINO</v>
      </c>
      <c r="E430" s="26" t="str">
        <f>"CALLEJON DEL ZAPOTE NO 48                                                       "</f>
        <v xml:space="preserve">CALLEJON DEL ZAPOTE NO 48                                                       </v>
      </c>
      <c r="F430" s="26" t="str">
        <f>"ISIDRO FABELA                                                                                                                               "</f>
        <v xml:space="preserve">ISIDRO FABELA                                                                                                                               </v>
      </c>
      <c r="G430" s="26" t="str">
        <f>"TLALPAN                                                                         "</f>
        <v xml:space="preserve">TLALPAN                                                                         </v>
      </c>
      <c r="H430" s="26" t="str">
        <f>"073"</f>
        <v>073</v>
      </c>
      <c r="I430" s="26" t="str">
        <f t="shared" si="77"/>
        <v>00</v>
      </c>
      <c r="J430" s="26" t="str">
        <f>"55 "</f>
        <v xml:space="preserve">55 </v>
      </c>
      <c r="K430" s="26" t="str">
        <f t="shared" si="85"/>
        <v>SG</v>
      </c>
      <c r="L430" s="26" t="str">
        <f t="shared" si="86"/>
        <v>DGOSE</v>
      </c>
      <c r="M430" s="26" t="str">
        <f t="shared" si="76"/>
        <v>FEDERAL</v>
      </c>
      <c r="N430" s="26">
        <v>202</v>
      </c>
      <c r="O430" s="26">
        <v>111</v>
      </c>
      <c r="P430" s="26">
        <v>91</v>
      </c>
      <c r="Q430" s="26">
        <v>8</v>
      </c>
      <c r="R430" s="26">
        <v>2</v>
      </c>
      <c r="S430" s="26">
        <v>25</v>
      </c>
      <c r="T430" s="26">
        <v>20</v>
      </c>
      <c r="U430" s="26">
        <v>47</v>
      </c>
      <c r="V430" s="26">
        <v>1</v>
      </c>
      <c r="W430" s="26"/>
    </row>
    <row r="431" spans="1:23" x14ac:dyDescent="0.25">
      <c r="A431" s="26" t="str">
        <f t="shared" si="75"/>
        <v>SECUNDARIA</v>
      </c>
      <c r="B431" s="26" t="str">
        <f>"09DES4157I"</f>
        <v>09DES4157I</v>
      </c>
      <c r="C431" s="26" t="str">
        <f>"JUAN AMOS COMENIO                                                                                   "</f>
        <v xml:space="preserve">JUAN AMOS COMENIO                                                                                   </v>
      </c>
      <c r="D431" s="26" t="str">
        <f t="shared" si="80"/>
        <v>VESPERTINO</v>
      </c>
      <c r="E431" s="26" t="str">
        <f>"SAN RAUL Y SAN CASTULO                                                          "</f>
        <v xml:space="preserve">SAN RAUL Y SAN CASTULO                                                          </v>
      </c>
      <c r="F431" s="26" t="str">
        <f>"SANTA URSULA COAPA                                                                                                                          "</f>
        <v xml:space="preserve">SANTA URSULA COAPA                                                                                                                          </v>
      </c>
      <c r="G431" s="26" t="str">
        <f>"COYOACAN                                                                        "</f>
        <v xml:space="preserve">COYOACAN                                                                        </v>
      </c>
      <c r="H431" s="26" t="str">
        <f>"017"</f>
        <v>017</v>
      </c>
      <c r="I431" s="26" t="str">
        <f t="shared" si="77"/>
        <v>00</v>
      </c>
      <c r="J431" s="26" t="str">
        <f>"54 "</f>
        <v xml:space="preserve">54 </v>
      </c>
      <c r="K431" s="26" t="str">
        <f t="shared" si="85"/>
        <v>SG</v>
      </c>
      <c r="L431" s="26" t="str">
        <f t="shared" si="86"/>
        <v>DGOSE</v>
      </c>
      <c r="M431" s="26" t="str">
        <f t="shared" si="76"/>
        <v>FEDERAL</v>
      </c>
      <c r="N431" s="26">
        <v>284</v>
      </c>
      <c r="O431" s="26">
        <v>144</v>
      </c>
      <c r="P431" s="26">
        <v>140</v>
      </c>
      <c r="Q431" s="26">
        <v>12</v>
      </c>
      <c r="R431" s="26">
        <v>2</v>
      </c>
      <c r="S431" s="26">
        <v>33</v>
      </c>
      <c r="T431" s="26">
        <v>19</v>
      </c>
      <c r="U431" s="26">
        <v>54</v>
      </c>
      <c r="V431" s="26">
        <v>1</v>
      </c>
      <c r="W431" s="26"/>
    </row>
    <row r="432" spans="1:23" x14ac:dyDescent="0.25">
      <c r="A432" s="26" t="str">
        <f t="shared" si="75"/>
        <v>SECUNDARIA</v>
      </c>
      <c r="B432" s="26" t="str">
        <f>"09DES4158H"</f>
        <v>09DES4158H</v>
      </c>
      <c r="C432" s="26" t="str">
        <f>"GABINO BARREDA                                                                                      "</f>
        <v xml:space="preserve">GABINO BARREDA                                                                                      </v>
      </c>
      <c r="D432" s="26" t="str">
        <f t="shared" si="80"/>
        <v>VESPERTINO</v>
      </c>
      <c r="E432" s="26" t="str">
        <f>"SUPER MANZANA 17 2DA CDA 637 Y 641                                              "</f>
        <v xml:space="preserve">SUPER MANZANA 17 2DA CDA 637 Y 641                                              </v>
      </c>
      <c r="F432" s="26" t="str">
        <f>"UNIDAD SAN JUAN DE ARAGON                                                                                                                   "</f>
        <v xml:space="preserve">UNIDAD SAN JUAN DE ARAGON                                                                                                                   </v>
      </c>
      <c r="G432" s="26" t="str">
        <f>"GUSTAVO A. MADERO                                                               "</f>
        <v xml:space="preserve">GUSTAVO A. MADERO                                                               </v>
      </c>
      <c r="H432" s="26" t="str">
        <f>"042"</f>
        <v>042</v>
      </c>
      <c r="I432" s="26" t="str">
        <f t="shared" si="77"/>
        <v>00</v>
      </c>
      <c r="J432" s="26" t="str">
        <f>"52 "</f>
        <v xml:space="preserve">52 </v>
      </c>
      <c r="K432" s="26" t="str">
        <f t="shared" si="85"/>
        <v>SG</v>
      </c>
      <c r="L432" s="26" t="str">
        <f t="shared" si="86"/>
        <v>DGOSE</v>
      </c>
      <c r="M432" s="26" t="str">
        <f t="shared" si="76"/>
        <v>FEDERAL</v>
      </c>
      <c r="N432" s="26">
        <v>133</v>
      </c>
      <c r="O432" s="26">
        <v>78</v>
      </c>
      <c r="P432" s="26">
        <v>55</v>
      </c>
      <c r="Q432" s="26">
        <v>6</v>
      </c>
      <c r="R432" s="26">
        <v>2</v>
      </c>
      <c r="S432" s="26">
        <v>24</v>
      </c>
      <c r="T432" s="26">
        <v>18</v>
      </c>
      <c r="U432" s="26">
        <v>44</v>
      </c>
      <c r="V432" s="26">
        <v>1</v>
      </c>
      <c r="W432" s="26"/>
    </row>
    <row r="433" spans="1:23" x14ac:dyDescent="0.25">
      <c r="A433" s="26" t="str">
        <f t="shared" si="75"/>
        <v>SECUNDARIA</v>
      </c>
      <c r="B433" s="26" t="str">
        <f>"09DES4160W"</f>
        <v>09DES4160W</v>
      </c>
      <c r="C433" s="26" t="str">
        <f>"ANA MARIA GALLAGA MANDARTE Y VILLASEÑOR                                                             "</f>
        <v xml:space="preserve">ANA MARIA GALLAGA MANDARTE Y VILLASEÑOR                                                             </v>
      </c>
      <c r="D433" s="26" t="str">
        <f t="shared" si="80"/>
        <v>VESPERTINO</v>
      </c>
      <c r="E433" s="26" t="str">
        <f>"AVENIDA VENUSTIANO CARRANZA NO 121                                              "</f>
        <v xml:space="preserve">AVENIDA VENUSTIANO CARRANZA NO 121                                              </v>
      </c>
      <c r="F433" s="26" t="str">
        <f>"VALLE MADERO                                                                                                                                "</f>
        <v xml:space="preserve">VALLE MADERO                                                                                                                                </v>
      </c>
      <c r="G433" s="26" t="str">
        <f>"GUSTAVO A. MADERO                                                               "</f>
        <v xml:space="preserve">GUSTAVO A. MADERO                                                               </v>
      </c>
      <c r="H433" s="26" t="str">
        <f>"031"</f>
        <v>031</v>
      </c>
      <c r="I433" s="26" t="str">
        <f t="shared" si="77"/>
        <v>00</v>
      </c>
      <c r="J433" s="26" t="str">
        <f>"52 "</f>
        <v xml:space="preserve">52 </v>
      </c>
      <c r="K433" s="26" t="str">
        <f t="shared" si="85"/>
        <v>SG</v>
      </c>
      <c r="L433" s="26" t="str">
        <f t="shared" si="86"/>
        <v>DGOSE</v>
      </c>
      <c r="M433" s="26" t="str">
        <f t="shared" si="76"/>
        <v>FEDERAL</v>
      </c>
      <c r="N433" s="26">
        <v>445</v>
      </c>
      <c r="O433" s="26">
        <v>228</v>
      </c>
      <c r="P433" s="26">
        <v>217</v>
      </c>
      <c r="Q433" s="26">
        <v>12</v>
      </c>
      <c r="R433" s="26">
        <v>1</v>
      </c>
      <c r="S433" s="26">
        <v>30</v>
      </c>
      <c r="T433" s="26">
        <v>23</v>
      </c>
      <c r="U433" s="26">
        <v>54</v>
      </c>
      <c r="V433" s="26">
        <v>1</v>
      </c>
      <c r="W433" s="26"/>
    </row>
    <row r="434" spans="1:23" x14ac:dyDescent="0.25">
      <c r="A434" s="26" t="str">
        <f t="shared" si="75"/>
        <v>SECUNDARIA</v>
      </c>
      <c r="B434" s="26" t="str">
        <f>"09DES4162U"</f>
        <v>09DES4162U</v>
      </c>
      <c r="C434" s="26" t="str">
        <f>"FRANCISCO MONTERDE                                                                                  "</f>
        <v xml:space="preserve">FRANCISCO MONTERDE                                                                                  </v>
      </c>
      <c r="D434" s="26" t="str">
        <f t="shared" si="80"/>
        <v>VESPERTINO</v>
      </c>
      <c r="E434" s="26" t="str">
        <f>"ALVARO OBREGON Y NUEVA                                                          "</f>
        <v xml:space="preserve">ALVARO OBREGON Y NUEVA                                                          </v>
      </c>
      <c r="F434" s="26" t="str">
        <f>"SAN JUAN IXTAYOPAN                                                                                                                          "</f>
        <v xml:space="preserve">SAN JUAN IXTAYOPAN                                                                                                                          </v>
      </c>
      <c r="G434" s="26" t="str">
        <f>"TLAHUAC                                                                         "</f>
        <v xml:space="preserve">TLAHUAC                                                                         </v>
      </c>
      <c r="H434" s="26" t="str">
        <f>"068"</f>
        <v>068</v>
      </c>
      <c r="I434" s="26" t="str">
        <f t="shared" si="77"/>
        <v>00</v>
      </c>
      <c r="J434" s="26" t="str">
        <f>"55 "</f>
        <v xml:space="preserve">55 </v>
      </c>
      <c r="K434" s="26" t="str">
        <f t="shared" si="85"/>
        <v>SG</v>
      </c>
      <c r="L434" s="26" t="str">
        <f t="shared" si="86"/>
        <v>DGOSE</v>
      </c>
      <c r="M434" s="26" t="str">
        <f t="shared" si="76"/>
        <v>FEDERAL</v>
      </c>
      <c r="N434" s="26">
        <v>533</v>
      </c>
      <c r="O434" s="26">
        <v>300</v>
      </c>
      <c r="P434" s="26">
        <v>233</v>
      </c>
      <c r="Q434" s="26">
        <v>18</v>
      </c>
      <c r="R434" s="26">
        <v>4</v>
      </c>
      <c r="S434" s="26">
        <v>94</v>
      </c>
      <c r="T434" s="26">
        <v>52</v>
      </c>
      <c r="U434" s="26">
        <v>150</v>
      </c>
      <c r="V434" s="26">
        <v>1</v>
      </c>
      <c r="W434" s="26"/>
    </row>
    <row r="435" spans="1:23" x14ac:dyDescent="0.25">
      <c r="A435" s="26" t="str">
        <f t="shared" si="75"/>
        <v>SECUNDARIA</v>
      </c>
      <c r="B435" s="26" t="str">
        <f>"09DES4163T"</f>
        <v>09DES4163T</v>
      </c>
      <c r="C435" s="26" t="str">
        <f>"FRANCISCO JAVIER MINA                                                                               "</f>
        <v xml:space="preserve">FRANCISCO JAVIER MINA                                                                               </v>
      </c>
      <c r="D435" s="26" t="str">
        <f t="shared" si="80"/>
        <v>VESPERTINO</v>
      </c>
      <c r="E435" s="26" t="str">
        <f>"LEYES DE REFORMA Y GUERRA DE REFORMA                                            "</f>
        <v xml:space="preserve">LEYES DE REFORMA Y GUERRA DE REFORMA                                            </v>
      </c>
      <c r="F435" s="26" t="str">
        <f>"LEYES DE REFORMA                                                                                                                            "</f>
        <v xml:space="preserve">LEYES DE REFORMA                                                                                                                            </v>
      </c>
      <c r="G435" s="26" t="str">
        <f>"IZTAPALAPA                                                                      "</f>
        <v xml:space="preserve">IZTAPALAPA                                                                      </v>
      </c>
      <c r="H435" s="26" t="str">
        <f>"008"</f>
        <v>008</v>
      </c>
      <c r="I435" s="26" t="str">
        <f t="shared" si="77"/>
        <v>00</v>
      </c>
      <c r="J435" s="26" t="str">
        <f>"62 "</f>
        <v xml:space="preserve">62 </v>
      </c>
      <c r="K435" s="26" t="str">
        <f>"IZ"</f>
        <v>IZ</v>
      </c>
      <c r="L435" s="26" t="str">
        <f>"DGSEI"</f>
        <v>DGSEI</v>
      </c>
      <c r="M435" s="26" t="str">
        <f t="shared" si="76"/>
        <v>FEDERAL</v>
      </c>
      <c r="N435" s="26">
        <v>365</v>
      </c>
      <c r="O435" s="26">
        <v>208</v>
      </c>
      <c r="P435" s="26">
        <v>157</v>
      </c>
      <c r="Q435" s="26">
        <v>17</v>
      </c>
      <c r="R435" s="26">
        <v>2</v>
      </c>
      <c r="S435" s="26">
        <v>44</v>
      </c>
      <c r="T435" s="26">
        <v>25</v>
      </c>
      <c r="U435" s="26">
        <v>71</v>
      </c>
      <c r="V435" s="26">
        <v>1</v>
      </c>
      <c r="W435" s="26"/>
    </row>
    <row r="436" spans="1:23" x14ac:dyDescent="0.25">
      <c r="A436" s="26" t="str">
        <f t="shared" si="75"/>
        <v>SECUNDARIA</v>
      </c>
      <c r="B436" s="26" t="str">
        <f>"09DES4164S"</f>
        <v>09DES4164S</v>
      </c>
      <c r="C436" s="26" t="str">
        <f>"RUMANIA                                                                                             "</f>
        <v xml:space="preserve">RUMANIA                                                                                             </v>
      </c>
      <c r="D436" s="26" t="str">
        <f t="shared" si="80"/>
        <v>VESPERTINO</v>
      </c>
      <c r="E436" s="26" t="str">
        <f>"AV. SINATEL ESQ. ANDRES MOLINA ENRIQUEZ                                         "</f>
        <v xml:space="preserve">AV. SINATEL ESQ. ANDRES MOLINA ENRIQUEZ                                         </v>
      </c>
      <c r="F436" s="26" t="str">
        <f>"SINATEL AMPLIACION                                                                                                                          "</f>
        <v xml:space="preserve">SINATEL AMPLIACION                                                                                                                          </v>
      </c>
      <c r="G436" s="26" t="str">
        <f>"IZTAPALAPA                                                                      "</f>
        <v xml:space="preserve">IZTAPALAPA                                                                      </v>
      </c>
      <c r="H436" s="26" t="str">
        <f>"009"</f>
        <v>009</v>
      </c>
      <c r="I436" s="26" t="str">
        <f t="shared" si="77"/>
        <v>00</v>
      </c>
      <c r="J436" s="26" t="str">
        <f>"63 "</f>
        <v xml:space="preserve">63 </v>
      </c>
      <c r="K436" s="26" t="str">
        <f>"IZ"</f>
        <v>IZ</v>
      </c>
      <c r="L436" s="26" t="str">
        <f>"DGSEI"</f>
        <v>DGSEI</v>
      </c>
      <c r="M436" s="26" t="str">
        <f t="shared" si="76"/>
        <v>FEDERAL</v>
      </c>
      <c r="N436" s="26">
        <v>115</v>
      </c>
      <c r="O436" s="26">
        <v>75</v>
      </c>
      <c r="P436" s="26">
        <v>40</v>
      </c>
      <c r="Q436" s="26">
        <v>5</v>
      </c>
      <c r="R436" s="26">
        <v>1</v>
      </c>
      <c r="S436" s="26">
        <v>30</v>
      </c>
      <c r="T436" s="26">
        <v>17</v>
      </c>
      <c r="U436" s="26">
        <v>48</v>
      </c>
      <c r="V436" s="26">
        <v>1</v>
      </c>
      <c r="W436" s="26"/>
    </row>
    <row r="437" spans="1:23" x14ac:dyDescent="0.25">
      <c r="A437" s="26" t="str">
        <f t="shared" si="75"/>
        <v>SECUNDARIA</v>
      </c>
      <c r="B437" s="26" t="str">
        <f>"09DES4165R"</f>
        <v>09DES4165R</v>
      </c>
      <c r="C437" s="26" t="str">
        <f>"PRESIDENTE SALVADOR ALLENDE                                                                         "</f>
        <v xml:space="preserve">PRESIDENTE SALVADOR ALLENDE                                                                         </v>
      </c>
      <c r="D437" s="26" t="str">
        <f t="shared" si="80"/>
        <v>VESPERTINO</v>
      </c>
      <c r="E437" s="26" t="str">
        <f>"AV. SOTO Y GAMA S/N ESQ. GENARO ESTRADA                                         "</f>
        <v xml:space="preserve">AV. SOTO Y GAMA S/N ESQ. GENARO ESTRADA                                         </v>
      </c>
      <c r="F437" s="26" t="str">
        <f>"UNIDAD HABITACIONAL VICENTE GUERRER                                                                                                         "</f>
        <v xml:space="preserve">UNIDAD HABITACIONAL VICENTE GUERRER                                                                                                         </v>
      </c>
      <c r="G437" s="26" t="str">
        <f>"IZTAPALAPA                                                                      "</f>
        <v xml:space="preserve">IZTAPALAPA                                                                      </v>
      </c>
      <c r="H437" s="26" t="str">
        <f>"007"</f>
        <v>007</v>
      </c>
      <c r="I437" s="26" t="str">
        <f t="shared" si="77"/>
        <v>00</v>
      </c>
      <c r="J437" s="26" t="str">
        <f>"62 "</f>
        <v xml:space="preserve">62 </v>
      </c>
      <c r="K437" s="26" t="str">
        <f>"IZ"</f>
        <v>IZ</v>
      </c>
      <c r="L437" s="26" t="str">
        <f>"DGSEI"</f>
        <v>DGSEI</v>
      </c>
      <c r="M437" s="26" t="str">
        <f t="shared" si="76"/>
        <v>FEDERAL</v>
      </c>
      <c r="N437" s="26">
        <v>211</v>
      </c>
      <c r="O437" s="26">
        <v>117</v>
      </c>
      <c r="P437" s="26">
        <v>94</v>
      </c>
      <c r="Q437" s="26">
        <v>9</v>
      </c>
      <c r="R437" s="26">
        <v>1</v>
      </c>
      <c r="S437" s="26">
        <v>39</v>
      </c>
      <c r="T437" s="26">
        <v>15</v>
      </c>
      <c r="U437" s="26">
        <v>55</v>
      </c>
      <c r="V437" s="26">
        <v>1</v>
      </c>
      <c r="W437" s="26"/>
    </row>
    <row r="438" spans="1:23" x14ac:dyDescent="0.25">
      <c r="A438" s="26" t="str">
        <f t="shared" si="75"/>
        <v>SECUNDARIA</v>
      </c>
      <c r="B438" s="26" t="str">
        <f>"09DES4166Q"</f>
        <v>09DES4166Q</v>
      </c>
      <c r="C438" s="26" t="str">
        <f>"""ALFONSO REYES""                                                                                     "</f>
        <v xml:space="preserve">"ALFONSO REYES"                                                                                     </v>
      </c>
      <c r="D438" s="26" t="str">
        <f t="shared" si="80"/>
        <v>VESPERTINO</v>
      </c>
      <c r="E438" s="26" t="str">
        <f>"CALLE ALVARO OBREGON NO 26                                                      "</f>
        <v xml:space="preserve">CALLE ALVARO OBREGON NO 26                                                      </v>
      </c>
      <c r="F438" s="26" t="str">
        <f>"SAN BERNABE OCOTEPEC                                                                                                                        "</f>
        <v xml:space="preserve">SAN BERNABE OCOTEPEC                                                                                                                        </v>
      </c>
      <c r="G438" s="26" t="str">
        <f>"LA MAGDALENA CONTRERAS                                                          "</f>
        <v xml:space="preserve">LA MAGDALENA CONTRERAS                                                          </v>
      </c>
      <c r="H438" s="26" t="str">
        <f>"059"</f>
        <v>059</v>
      </c>
      <c r="I438" s="26" t="str">
        <f t="shared" si="77"/>
        <v>00</v>
      </c>
      <c r="J438" s="26" t="str">
        <f>"53 "</f>
        <v xml:space="preserve">53 </v>
      </c>
      <c r="K438" s="26" t="str">
        <f>"SG"</f>
        <v>SG</v>
      </c>
      <c r="L438" s="26" t="str">
        <f>"DGOSE"</f>
        <v>DGOSE</v>
      </c>
      <c r="M438" s="26" t="str">
        <f t="shared" si="76"/>
        <v>FEDERAL</v>
      </c>
      <c r="N438" s="26">
        <v>207</v>
      </c>
      <c r="O438" s="26">
        <v>119</v>
      </c>
      <c r="P438" s="26">
        <v>88</v>
      </c>
      <c r="Q438" s="26">
        <v>6</v>
      </c>
      <c r="R438" s="26">
        <v>1</v>
      </c>
      <c r="S438" s="26">
        <v>21</v>
      </c>
      <c r="T438" s="26">
        <v>9</v>
      </c>
      <c r="U438" s="26">
        <v>31</v>
      </c>
      <c r="V438" s="26">
        <v>1</v>
      </c>
      <c r="W438" s="26"/>
    </row>
    <row r="439" spans="1:23" x14ac:dyDescent="0.25">
      <c r="A439" s="26" t="str">
        <f t="shared" si="75"/>
        <v>SECUNDARIA</v>
      </c>
      <c r="B439" s="26" t="str">
        <f>"09DES4170C"</f>
        <v>09DES4170C</v>
      </c>
      <c r="C439" s="26" t="str">
        <f>""" HEBERTO CASTILLO ""                                                                                "</f>
        <v xml:space="preserve">" HEBERTO CASTILLO "                                                                                </v>
      </c>
      <c r="D439" s="26" t="str">
        <f t="shared" si="80"/>
        <v>VESPERTINO</v>
      </c>
      <c r="E439" s="26" t="str">
        <f>"ROSA CHINA Y ALTA TENSION                                                       "</f>
        <v xml:space="preserve">ROSA CHINA Y ALTA TENSION                                                       </v>
      </c>
      <c r="F439" s="26" t="str">
        <f>"MOLINO DE ROSAS                                                                                                                             "</f>
        <v xml:space="preserve">MOLINO DE ROSAS                                                                                                                             </v>
      </c>
      <c r="G439" s="26" t="str">
        <f>"ALVARO OBREGON                                                                  "</f>
        <v xml:space="preserve">ALVARO OBREGON                                                                  </v>
      </c>
      <c r="H439" s="26" t="str">
        <f>"002"</f>
        <v>002</v>
      </c>
      <c r="I439" s="26" t="str">
        <f t="shared" si="77"/>
        <v>00</v>
      </c>
      <c r="J439" s="26" t="str">
        <f>"53 "</f>
        <v xml:space="preserve">53 </v>
      </c>
      <c r="K439" s="26" t="str">
        <f>"SG"</f>
        <v>SG</v>
      </c>
      <c r="L439" s="26" t="str">
        <f>"DGOSE"</f>
        <v>DGOSE</v>
      </c>
      <c r="M439" s="26" t="str">
        <f t="shared" si="76"/>
        <v>FEDERAL</v>
      </c>
      <c r="N439" s="26">
        <v>473</v>
      </c>
      <c r="O439" s="26">
        <v>253</v>
      </c>
      <c r="P439" s="26">
        <v>220</v>
      </c>
      <c r="Q439" s="26">
        <v>12</v>
      </c>
      <c r="R439" s="26">
        <v>2</v>
      </c>
      <c r="S439" s="26">
        <v>31</v>
      </c>
      <c r="T439" s="26">
        <v>15</v>
      </c>
      <c r="U439" s="26">
        <v>48</v>
      </c>
      <c r="V439" s="26">
        <v>1</v>
      </c>
      <c r="W439" s="26"/>
    </row>
    <row r="440" spans="1:23" x14ac:dyDescent="0.25">
      <c r="A440" s="26" t="str">
        <f t="shared" si="75"/>
        <v>SECUNDARIA</v>
      </c>
      <c r="B440" s="26" t="str">
        <f>"09DES4171B"</f>
        <v>09DES4171B</v>
      </c>
      <c r="C440" s="26" t="str">
        <f>"FRIDA KAHLO                                                                                         "</f>
        <v xml:space="preserve">FRIDA KAHLO                                                                                         </v>
      </c>
      <c r="D440" s="26" t="str">
        <f t="shared" si="80"/>
        <v>VESPERTINO</v>
      </c>
      <c r="E440" s="26" t="str">
        <f>"SAN JUANICO Y PERIFERICO                                                        "</f>
        <v xml:space="preserve">SAN JUANICO Y PERIFERICO                                                        </v>
      </c>
      <c r="F440" s="26" t="str">
        <f>"GABRIEL HERNANDEZ AMPLIACION                                                                                                                "</f>
        <v xml:space="preserve">GABRIEL HERNANDEZ AMPLIACION                                                                                                                </v>
      </c>
      <c r="G440" s="26" t="str">
        <f>"GUSTAVO A. MADERO                                                               "</f>
        <v xml:space="preserve">GUSTAVO A. MADERO                                                               </v>
      </c>
      <c r="H440" s="26" t="str">
        <f>"038"</f>
        <v>038</v>
      </c>
      <c r="I440" s="26" t="str">
        <f t="shared" si="77"/>
        <v>00</v>
      </c>
      <c r="J440" s="26" t="str">
        <f>"52 "</f>
        <v xml:space="preserve">52 </v>
      </c>
      <c r="K440" s="26" t="str">
        <f>"SG"</f>
        <v>SG</v>
      </c>
      <c r="L440" s="26" t="str">
        <f>"DGOSE"</f>
        <v>DGOSE</v>
      </c>
      <c r="M440" s="26" t="str">
        <f t="shared" si="76"/>
        <v>FEDERAL</v>
      </c>
      <c r="N440" s="26">
        <v>159</v>
      </c>
      <c r="O440" s="26">
        <v>90</v>
      </c>
      <c r="P440" s="26">
        <v>69</v>
      </c>
      <c r="Q440" s="26">
        <v>9</v>
      </c>
      <c r="R440" s="26">
        <v>2</v>
      </c>
      <c r="S440" s="26">
        <v>23</v>
      </c>
      <c r="T440" s="26">
        <v>20</v>
      </c>
      <c r="U440" s="26">
        <v>45</v>
      </c>
      <c r="V440" s="26">
        <v>1</v>
      </c>
      <c r="W440" s="26"/>
    </row>
    <row r="441" spans="1:23" x14ac:dyDescent="0.25">
      <c r="A441" s="26" t="str">
        <f t="shared" si="75"/>
        <v>SECUNDARIA</v>
      </c>
      <c r="B441" s="26" t="str">
        <f>"09DES4173Z"</f>
        <v>09DES4173Z</v>
      </c>
      <c r="C441" s="26" t="str">
        <f>"YURI A. GAGARIN                                                                                     "</f>
        <v xml:space="preserve">YURI A. GAGARIN                                                                                     </v>
      </c>
      <c r="D441" s="26" t="str">
        <f t="shared" si="80"/>
        <v>VESPERTINO</v>
      </c>
      <c r="E441" s="26" t="str">
        <f>"QUERETARO Y GUADALAJARA S/N                                                     "</f>
        <v xml:space="preserve">QUERETARO Y GUADALAJARA S/N                                                     </v>
      </c>
      <c r="F441" s="26" t="str">
        <f>"MIGUEL HIDALGO                                                                                                                              "</f>
        <v xml:space="preserve">MIGUEL HIDALGO                                                                                                                              </v>
      </c>
      <c r="G441" s="26" t="str">
        <f>"TLALPAN                                                                         "</f>
        <v xml:space="preserve">TLALPAN                                                                         </v>
      </c>
      <c r="H441" s="26" t="str">
        <f>"069"</f>
        <v>069</v>
      </c>
      <c r="I441" s="26" t="str">
        <f t="shared" si="77"/>
        <v>00</v>
      </c>
      <c r="J441" s="26" t="str">
        <f>"55 "</f>
        <v xml:space="preserve">55 </v>
      </c>
      <c r="K441" s="26" t="str">
        <f>"SG"</f>
        <v>SG</v>
      </c>
      <c r="L441" s="26" t="str">
        <f>"DGOSE"</f>
        <v>DGOSE</v>
      </c>
      <c r="M441" s="26" t="str">
        <f t="shared" si="76"/>
        <v>FEDERAL</v>
      </c>
      <c r="N441" s="26">
        <v>269</v>
      </c>
      <c r="O441" s="26">
        <v>157</v>
      </c>
      <c r="P441" s="26">
        <v>112</v>
      </c>
      <c r="Q441" s="26">
        <v>15</v>
      </c>
      <c r="R441" s="26">
        <v>2</v>
      </c>
      <c r="S441" s="26">
        <v>41</v>
      </c>
      <c r="T441" s="26">
        <v>22</v>
      </c>
      <c r="U441" s="26">
        <v>65</v>
      </c>
      <c r="V441" s="26">
        <v>1</v>
      </c>
      <c r="W441" s="26"/>
    </row>
    <row r="442" spans="1:23" x14ac:dyDescent="0.25">
      <c r="A442" s="26" t="str">
        <f t="shared" si="75"/>
        <v>SECUNDARIA</v>
      </c>
      <c r="B442" s="26" t="str">
        <f>"09DES4175Y"</f>
        <v>09DES4175Y</v>
      </c>
      <c r="C442" s="26" t="str">
        <f>"""PONCIANO ARRIAGA""                                                                                  "</f>
        <v xml:space="preserve">"PONCIANO ARRIAGA"                                                                                  </v>
      </c>
      <c r="D442" s="26" t="str">
        <f t="shared" si="80"/>
        <v>VESPERTINO</v>
      </c>
      <c r="E442" s="26" t="str">
        <f>"AV MICHOACAN S/N                                                                "</f>
        <v xml:space="preserve">AV MICHOACAN S/N                                                                </v>
      </c>
      <c r="F442" s="26" t="str">
        <f>"CHALMA DE GUADALUPE                                                                                                                         "</f>
        <v xml:space="preserve">CHALMA DE GUADALUPE                                                                                                                         </v>
      </c>
      <c r="G442" s="26" t="str">
        <f>"GUSTAVO A. MADERO                                                               "</f>
        <v xml:space="preserve">GUSTAVO A. MADERO                                                               </v>
      </c>
      <c r="H442" s="26" t="str">
        <f>"032"</f>
        <v>032</v>
      </c>
      <c r="I442" s="26" t="str">
        <f t="shared" si="77"/>
        <v>00</v>
      </c>
      <c r="J442" s="26" t="str">
        <f>"52 "</f>
        <v xml:space="preserve">52 </v>
      </c>
      <c r="K442" s="26" t="str">
        <f>"SG"</f>
        <v>SG</v>
      </c>
      <c r="L442" s="26" t="str">
        <f>"DGOSE"</f>
        <v>DGOSE</v>
      </c>
      <c r="M442" s="26" t="str">
        <f t="shared" si="76"/>
        <v>FEDERAL</v>
      </c>
      <c r="N442" s="26">
        <v>439</v>
      </c>
      <c r="O442" s="26">
        <v>253</v>
      </c>
      <c r="P442" s="26">
        <v>186</v>
      </c>
      <c r="Q442" s="26">
        <v>15</v>
      </c>
      <c r="R442" s="26">
        <v>2</v>
      </c>
      <c r="S442" s="26">
        <v>37</v>
      </c>
      <c r="T442" s="26">
        <v>22</v>
      </c>
      <c r="U442" s="26">
        <v>61</v>
      </c>
      <c r="V442" s="26">
        <v>1</v>
      </c>
      <c r="W442" s="26"/>
    </row>
    <row r="443" spans="1:23" x14ac:dyDescent="0.25">
      <c r="A443" s="26" t="str">
        <f t="shared" si="75"/>
        <v>SECUNDARIA</v>
      </c>
      <c r="B443" s="26" t="str">
        <f>"09DES4179U"</f>
        <v>09DES4179U</v>
      </c>
      <c r="C443" s="26" t="str">
        <f>"MOTECUZOMA ILHUICAMINA                                                                              "</f>
        <v xml:space="preserve">MOTECUZOMA ILHUICAMINA                                                                              </v>
      </c>
      <c r="D443" s="26" t="str">
        <f t="shared" si="80"/>
        <v>VESPERTINO</v>
      </c>
      <c r="E443" s="26" t="str">
        <f>"FERNANDO URRUTIA Y HERIBERTO JARA S/N                                           "</f>
        <v xml:space="preserve">FERNANDO URRUTIA Y HERIBERTO JARA S/N                                           </v>
      </c>
      <c r="F443" s="26" t="str">
        <f>"SANTA MARTHA ACATITLA                                                                                                                       "</f>
        <v xml:space="preserve">SANTA MARTHA ACATITLA                                                                                                                       </v>
      </c>
      <c r="G443" s="26" t="str">
        <f>"IZTAPALAPA                                                                      "</f>
        <v xml:space="preserve">IZTAPALAPA                                                                      </v>
      </c>
      <c r="H443" s="26" t="str">
        <f>"005"</f>
        <v>005</v>
      </c>
      <c r="I443" s="26" t="str">
        <f t="shared" si="77"/>
        <v>00</v>
      </c>
      <c r="J443" s="26" t="str">
        <f>"62 "</f>
        <v xml:space="preserve">62 </v>
      </c>
      <c r="K443" s="26" t="str">
        <f>"IZ"</f>
        <v>IZ</v>
      </c>
      <c r="L443" s="26" t="str">
        <f>"DGSEI"</f>
        <v>DGSEI</v>
      </c>
      <c r="M443" s="26" t="str">
        <f t="shared" si="76"/>
        <v>FEDERAL</v>
      </c>
      <c r="N443" s="26">
        <v>452</v>
      </c>
      <c r="O443" s="26">
        <v>234</v>
      </c>
      <c r="P443" s="26">
        <v>218</v>
      </c>
      <c r="Q443" s="26">
        <v>12</v>
      </c>
      <c r="R443" s="26">
        <v>2</v>
      </c>
      <c r="S443" s="26">
        <v>39</v>
      </c>
      <c r="T443" s="26">
        <v>23</v>
      </c>
      <c r="U443" s="26">
        <v>64</v>
      </c>
      <c r="V443" s="26">
        <v>1</v>
      </c>
      <c r="W443" s="26"/>
    </row>
    <row r="444" spans="1:23" x14ac:dyDescent="0.25">
      <c r="A444" s="26" t="str">
        <f t="shared" si="75"/>
        <v>SECUNDARIA</v>
      </c>
      <c r="B444" s="26" t="str">
        <f>"09DES4180J"</f>
        <v>09DES4180J</v>
      </c>
      <c r="C444" s="26" t="str">
        <f>""" OCTAVIO PAZ ""                                                                                     "</f>
        <v xml:space="preserve">" OCTAVIO PAZ "                                                                                     </v>
      </c>
      <c r="D444" s="26" t="str">
        <f t="shared" si="80"/>
        <v>VESPERTINO</v>
      </c>
      <c r="E444" s="26" t="str">
        <f>"CAMINO REAL SN MATEO Y AV ACUEDUCTO                                             "</f>
        <v xml:space="preserve">CAMINO REAL SN MATEO Y AV ACUEDUCTO                                             </v>
      </c>
      <c r="F444" s="26" t="str">
        <f>"SAN LUCAS XOCHIMANCA                                                                                                                        "</f>
        <v xml:space="preserve">SAN LUCAS XOCHIMANCA                                                                                                                        </v>
      </c>
      <c r="G444" s="26" t="str">
        <f>"XOCHIMILCO                                                                      "</f>
        <v xml:space="preserve">XOCHIMILCO                                                                      </v>
      </c>
      <c r="H444" s="26" t="str">
        <f>"080"</f>
        <v>080</v>
      </c>
      <c r="I444" s="26" t="str">
        <f t="shared" si="77"/>
        <v>00</v>
      </c>
      <c r="J444" s="26" t="str">
        <f>"55 "</f>
        <v xml:space="preserve">55 </v>
      </c>
      <c r="K444" s="26" t="str">
        <f>"SG"</f>
        <v>SG</v>
      </c>
      <c r="L444" s="26" t="str">
        <f>"DGOSE"</f>
        <v>DGOSE</v>
      </c>
      <c r="M444" s="26" t="str">
        <f t="shared" si="76"/>
        <v>FEDERAL</v>
      </c>
      <c r="N444" s="26">
        <v>587</v>
      </c>
      <c r="O444" s="26">
        <v>307</v>
      </c>
      <c r="P444" s="26">
        <v>280</v>
      </c>
      <c r="Q444" s="26">
        <v>16</v>
      </c>
      <c r="R444" s="26">
        <v>2</v>
      </c>
      <c r="S444" s="26">
        <v>35</v>
      </c>
      <c r="T444" s="26">
        <v>26</v>
      </c>
      <c r="U444" s="26">
        <v>63</v>
      </c>
      <c r="V444" s="26">
        <v>1</v>
      </c>
      <c r="W444" s="26"/>
    </row>
    <row r="445" spans="1:23" x14ac:dyDescent="0.25">
      <c r="A445" s="26" t="str">
        <f t="shared" si="75"/>
        <v>SECUNDARIA</v>
      </c>
      <c r="B445" s="26" t="str">
        <f>"09DES4181I"</f>
        <v>09DES4181I</v>
      </c>
      <c r="C445" s="26" t="str">
        <f>"PUERTO DE ALVARADO                                                                                  "</f>
        <v xml:space="preserve">PUERTO DE ALVARADO                                                                                  </v>
      </c>
      <c r="D445" s="26" t="str">
        <f t="shared" si="80"/>
        <v>VESPERTINO</v>
      </c>
      <c r="E445" s="26" t="str">
        <f>"KANTUNIL Y TIXMEHUAC                                                            "</f>
        <v xml:space="preserve">KANTUNIL Y TIXMEHUAC                                                            </v>
      </c>
      <c r="F445" s="26" t="str">
        <f>"PEDREGAL DE SAN NICOLAS                                                                                                                     "</f>
        <v xml:space="preserve">PEDREGAL DE SAN NICOLAS                                                                                                                     </v>
      </c>
      <c r="G445" s="26" t="str">
        <f>"TLALPAN                                                                         "</f>
        <v xml:space="preserve">TLALPAN                                                                         </v>
      </c>
      <c r="H445" s="26" t="str">
        <f>"071"</f>
        <v>071</v>
      </c>
      <c r="I445" s="26" t="str">
        <f t="shared" si="77"/>
        <v>00</v>
      </c>
      <c r="J445" s="26" t="str">
        <f>"55 "</f>
        <v xml:space="preserve">55 </v>
      </c>
      <c r="K445" s="26" t="str">
        <f>"SG"</f>
        <v>SG</v>
      </c>
      <c r="L445" s="26" t="str">
        <f>"DGOSE"</f>
        <v>DGOSE</v>
      </c>
      <c r="M445" s="26" t="str">
        <f t="shared" si="76"/>
        <v>FEDERAL</v>
      </c>
      <c r="N445" s="26">
        <v>684</v>
      </c>
      <c r="O445" s="26">
        <v>336</v>
      </c>
      <c r="P445" s="26">
        <v>348</v>
      </c>
      <c r="Q445" s="26">
        <v>15</v>
      </c>
      <c r="R445" s="26">
        <v>1</v>
      </c>
      <c r="S445" s="26">
        <v>30</v>
      </c>
      <c r="T445" s="26">
        <v>19</v>
      </c>
      <c r="U445" s="26">
        <v>50</v>
      </c>
      <c r="V445" s="26">
        <v>1</v>
      </c>
      <c r="W445" s="26"/>
    </row>
    <row r="446" spans="1:23" x14ac:dyDescent="0.25">
      <c r="A446" s="26" t="str">
        <f t="shared" si="75"/>
        <v>SECUNDARIA</v>
      </c>
      <c r="B446" s="26" t="str">
        <f>"09DES4182H"</f>
        <v>09DES4182H</v>
      </c>
      <c r="C446" s="26" t="str">
        <f>"ALEXIS CARRELL                                                                                      "</f>
        <v xml:space="preserve">ALEXIS CARRELL                                                                                      </v>
      </c>
      <c r="D446" s="26" t="str">
        <f t="shared" si="80"/>
        <v>VESPERTINO</v>
      </c>
      <c r="E446" s="26" t="str">
        <f>"ING. GONZALEZ CAMARENA NO. 103                                                  "</f>
        <v xml:space="preserve">ING. GONZALEZ CAMARENA NO. 103                                                  </v>
      </c>
      <c r="F446" s="26" t="str">
        <f>"JACARANDAS                                                                                                                                  "</f>
        <v xml:space="preserve">JACARANDAS                                                                                                                                  </v>
      </c>
      <c r="G446" s="26" t="str">
        <f>"IZTAPALAPA                                                                      "</f>
        <v xml:space="preserve">IZTAPALAPA                                                                      </v>
      </c>
      <c r="H446" s="26" t="str">
        <f>"007"</f>
        <v>007</v>
      </c>
      <c r="I446" s="26" t="str">
        <f t="shared" si="77"/>
        <v>00</v>
      </c>
      <c r="J446" s="26" t="str">
        <f>"62 "</f>
        <v xml:space="preserve">62 </v>
      </c>
      <c r="K446" s="26" t="str">
        <f>"IZ"</f>
        <v>IZ</v>
      </c>
      <c r="L446" s="26" t="str">
        <f>"DGSEI"</f>
        <v>DGSEI</v>
      </c>
      <c r="M446" s="26" t="str">
        <f t="shared" si="76"/>
        <v>FEDERAL</v>
      </c>
      <c r="N446" s="26">
        <v>469</v>
      </c>
      <c r="O446" s="26">
        <v>257</v>
      </c>
      <c r="P446" s="26">
        <v>212</v>
      </c>
      <c r="Q446" s="26">
        <v>18</v>
      </c>
      <c r="R446" s="26">
        <v>2</v>
      </c>
      <c r="S446" s="26">
        <v>32</v>
      </c>
      <c r="T446" s="26">
        <v>27</v>
      </c>
      <c r="U446" s="26">
        <v>61</v>
      </c>
      <c r="V446" s="26">
        <v>1</v>
      </c>
      <c r="W446" s="26"/>
    </row>
    <row r="447" spans="1:23" x14ac:dyDescent="0.25">
      <c r="A447" s="26" t="str">
        <f t="shared" si="75"/>
        <v>SECUNDARIA</v>
      </c>
      <c r="B447" s="26" t="str">
        <f>"09DES4184F"</f>
        <v>09DES4184F</v>
      </c>
      <c r="C447" s="26" t="str">
        <f>"EULALIA GUZMAN                                                                                      "</f>
        <v xml:space="preserve">EULALIA GUZMAN                                                                                      </v>
      </c>
      <c r="D447" s="26" t="str">
        <f t="shared" si="80"/>
        <v>VESPERTINO</v>
      </c>
      <c r="E447" s="26" t="str">
        <f>"BORRASCA Y BLVD TEMOLUCO                                                        "</f>
        <v xml:space="preserve">BORRASCA Y BLVD TEMOLUCO                                                        </v>
      </c>
      <c r="F447" s="26" t="str">
        <f>"UNIDAD ACUEDUCTO DE GUADALUPE                                                                                                               "</f>
        <v xml:space="preserve">UNIDAD ACUEDUCTO DE GUADALUPE                                                                                                               </v>
      </c>
      <c r="G447" s="26" t="str">
        <f>"GUSTAVO A. MADERO                                                               "</f>
        <v xml:space="preserve">GUSTAVO A. MADERO                                                               </v>
      </c>
      <c r="H447" s="26" t="str">
        <f>"035"</f>
        <v>035</v>
      </c>
      <c r="I447" s="26" t="str">
        <f t="shared" si="77"/>
        <v>00</v>
      </c>
      <c r="J447" s="26" t="str">
        <f>"52 "</f>
        <v xml:space="preserve">52 </v>
      </c>
      <c r="K447" s="26" t="str">
        <f t="shared" ref="K447:K454" si="87">"SG"</f>
        <v>SG</v>
      </c>
      <c r="L447" s="26" t="str">
        <f t="shared" ref="L447:L454" si="88">"DGOSE"</f>
        <v>DGOSE</v>
      </c>
      <c r="M447" s="26" t="str">
        <f t="shared" si="76"/>
        <v>FEDERAL</v>
      </c>
      <c r="N447" s="26">
        <v>391</v>
      </c>
      <c r="O447" s="26">
        <v>207</v>
      </c>
      <c r="P447" s="26">
        <v>184</v>
      </c>
      <c r="Q447" s="26">
        <v>15</v>
      </c>
      <c r="R447" s="26">
        <v>2</v>
      </c>
      <c r="S447" s="26">
        <v>39</v>
      </c>
      <c r="T447" s="26">
        <v>23</v>
      </c>
      <c r="U447" s="26">
        <v>64</v>
      </c>
      <c r="V447" s="26">
        <v>1</v>
      </c>
      <c r="W447" s="26"/>
    </row>
    <row r="448" spans="1:23" x14ac:dyDescent="0.25">
      <c r="A448" s="26" t="str">
        <f t="shared" si="75"/>
        <v>SECUNDARIA</v>
      </c>
      <c r="B448" s="26" t="str">
        <f>"09DES4185E"</f>
        <v>09DES4185E</v>
      </c>
      <c r="C448" s="26" t="str">
        <f>"JOSE REVUELTAS                                                                                      "</f>
        <v xml:space="preserve">JOSE REVUELTAS                                                                                      </v>
      </c>
      <c r="D448" s="26" t="str">
        <f t="shared" si="80"/>
        <v>VESPERTINO</v>
      </c>
      <c r="E448" s="26" t="str">
        <f>"ESTADO DE VERACRUZ Y CAMINO VOLUNTAD                                            "</f>
        <v xml:space="preserve">ESTADO DE VERACRUZ Y CAMINO VOLUNTAD                                            </v>
      </c>
      <c r="F448" s="26" t="str">
        <f>"CAMPESTRE ARAGON                                                                                                                            "</f>
        <v xml:space="preserve">CAMPESTRE ARAGON                                                                                                                            </v>
      </c>
      <c r="G448" s="26" t="str">
        <f>"GUSTAVO A. MADERO                                                               "</f>
        <v xml:space="preserve">GUSTAVO A. MADERO                                                               </v>
      </c>
      <c r="H448" s="26" t="str">
        <f>"040"</f>
        <v>040</v>
      </c>
      <c r="I448" s="26" t="str">
        <f t="shared" si="77"/>
        <v>00</v>
      </c>
      <c r="J448" s="26" t="str">
        <f>"52 "</f>
        <v xml:space="preserve">52 </v>
      </c>
      <c r="K448" s="26" t="str">
        <f t="shared" si="87"/>
        <v>SG</v>
      </c>
      <c r="L448" s="26" t="str">
        <f t="shared" si="88"/>
        <v>DGOSE</v>
      </c>
      <c r="M448" s="26" t="str">
        <f t="shared" si="76"/>
        <v>FEDERAL</v>
      </c>
      <c r="N448" s="26">
        <v>159</v>
      </c>
      <c r="O448" s="26">
        <v>81</v>
      </c>
      <c r="P448" s="26">
        <v>78</v>
      </c>
      <c r="Q448" s="26">
        <v>7</v>
      </c>
      <c r="R448" s="26">
        <v>2</v>
      </c>
      <c r="S448" s="26">
        <v>22</v>
      </c>
      <c r="T448" s="26">
        <v>17</v>
      </c>
      <c r="U448" s="26">
        <v>41</v>
      </c>
      <c r="V448" s="26">
        <v>1</v>
      </c>
      <c r="W448" s="26"/>
    </row>
    <row r="449" spans="1:23" x14ac:dyDescent="0.25">
      <c r="A449" s="26" t="str">
        <f t="shared" si="75"/>
        <v>SECUNDARIA</v>
      </c>
      <c r="B449" s="26" t="str">
        <f>"09DES4188B"</f>
        <v>09DES4188B</v>
      </c>
      <c r="C449" s="26" t="str">
        <f>"""AZTECAS""                                                                                           "</f>
        <v xml:space="preserve">"AZTECAS"                                                                                           </v>
      </c>
      <c r="D449" s="26" t="str">
        <f t="shared" si="80"/>
        <v>VESPERTINO</v>
      </c>
      <c r="E449" s="26" t="str">
        <f>"AMATL S/N ESQ XOCHIAPAN                                                         "</f>
        <v xml:space="preserve">AMATL S/N ESQ XOCHIAPAN                                                         </v>
      </c>
      <c r="F449" s="26" t="str">
        <f>"PEDREGAL DE SANTO DOMINGO                                                                                                                   "</f>
        <v xml:space="preserve">PEDREGAL DE SANTO DOMINGO                                                                                                                   </v>
      </c>
      <c r="G449" s="26" t="str">
        <f>"COYOACAN                                                                        "</f>
        <v xml:space="preserve">COYOACAN                                                                        </v>
      </c>
      <c r="H449" s="26" t="str">
        <f>"022"</f>
        <v>022</v>
      </c>
      <c r="I449" s="26" t="str">
        <f t="shared" si="77"/>
        <v>00</v>
      </c>
      <c r="J449" s="26" t="str">
        <f>"54 "</f>
        <v xml:space="preserve">54 </v>
      </c>
      <c r="K449" s="26" t="str">
        <f t="shared" si="87"/>
        <v>SG</v>
      </c>
      <c r="L449" s="26" t="str">
        <f t="shared" si="88"/>
        <v>DGOSE</v>
      </c>
      <c r="M449" s="26" t="str">
        <f t="shared" si="76"/>
        <v>FEDERAL</v>
      </c>
      <c r="N449" s="26">
        <v>390</v>
      </c>
      <c r="O449" s="26">
        <v>216</v>
      </c>
      <c r="P449" s="26">
        <v>174</v>
      </c>
      <c r="Q449" s="26">
        <v>14</v>
      </c>
      <c r="R449" s="26">
        <v>1</v>
      </c>
      <c r="S449" s="26">
        <v>32</v>
      </c>
      <c r="T449" s="26">
        <v>22</v>
      </c>
      <c r="U449" s="26">
        <v>55</v>
      </c>
      <c r="V449" s="26">
        <v>1</v>
      </c>
      <c r="W449" s="26"/>
    </row>
    <row r="450" spans="1:23" x14ac:dyDescent="0.25">
      <c r="A450" s="26" t="str">
        <f t="shared" ref="A450:A513" si="89">"SECUNDARIA"</f>
        <v>SECUNDARIA</v>
      </c>
      <c r="B450" s="26" t="str">
        <f>"09DES4189A"</f>
        <v>09DES4189A</v>
      </c>
      <c r="C450" s="26" t="str">
        <f>"OLOF PALME                                                                                          "</f>
        <v xml:space="preserve">OLOF PALME                                                                                          </v>
      </c>
      <c r="D450" s="26" t="str">
        <f t="shared" si="80"/>
        <v>VESPERTINO</v>
      </c>
      <c r="E450" s="26" t="str">
        <f>"PROL CUAUHTEMOC Y AV ATZAYACATL                                                 "</f>
        <v xml:space="preserve">PROL CUAUHTEMOC Y AV ATZAYACATL                                                 </v>
      </c>
      <c r="F450" s="26" t="str">
        <f>"SANTA ISABEL TOLA                                                                                                                           "</f>
        <v xml:space="preserve">SANTA ISABEL TOLA                                                                                                                           </v>
      </c>
      <c r="G450" s="26" t="str">
        <f>"GUSTAVO A. MADERO                                                               "</f>
        <v xml:space="preserve">GUSTAVO A. MADERO                                                               </v>
      </c>
      <c r="H450" s="26" t="str">
        <f>"033"</f>
        <v>033</v>
      </c>
      <c r="I450" s="26" t="str">
        <f t="shared" si="77"/>
        <v>00</v>
      </c>
      <c r="J450" s="26" t="str">
        <f>"52 "</f>
        <v xml:space="preserve">52 </v>
      </c>
      <c r="K450" s="26" t="str">
        <f t="shared" si="87"/>
        <v>SG</v>
      </c>
      <c r="L450" s="26" t="str">
        <f t="shared" si="88"/>
        <v>DGOSE</v>
      </c>
      <c r="M450" s="26" t="str">
        <f t="shared" ref="M450:M513" si="90">"FEDERAL"</f>
        <v>FEDERAL</v>
      </c>
      <c r="N450" s="26">
        <v>155</v>
      </c>
      <c r="O450" s="26">
        <v>81</v>
      </c>
      <c r="P450" s="26">
        <v>74</v>
      </c>
      <c r="Q450" s="26">
        <v>8</v>
      </c>
      <c r="R450" s="26">
        <v>2</v>
      </c>
      <c r="S450" s="26">
        <v>27</v>
      </c>
      <c r="T450" s="26">
        <v>15</v>
      </c>
      <c r="U450" s="26">
        <v>44</v>
      </c>
      <c r="V450" s="26">
        <v>1</v>
      </c>
      <c r="W450" s="26"/>
    </row>
    <row r="451" spans="1:23" x14ac:dyDescent="0.25">
      <c r="A451" s="26" t="str">
        <f t="shared" si="89"/>
        <v>SECUNDARIA</v>
      </c>
      <c r="B451" s="26" t="str">
        <f>"09DES4190Q"</f>
        <v>09DES4190Q</v>
      </c>
      <c r="C451" s="26" t="str">
        <f>"CARLOS PELLICER                                                                                     "</f>
        <v xml:space="preserve">CARLOS PELLICER                                                                                     </v>
      </c>
      <c r="D451" s="26" t="str">
        <f t="shared" si="80"/>
        <v>VESPERTINO</v>
      </c>
      <c r="E451" s="26" t="str">
        <f>"PROL PLAZUELA REAL DE LOS REYES                                                 "</f>
        <v xml:space="preserve">PROL PLAZUELA REAL DE LOS REYES                                                 </v>
      </c>
      <c r="F451" s="26" t="str">
        <f>"LOS REYES                                                                                                                                   "</f>
        <v xml:space="preserve">LOS REYES                                                                                                                                   </v>
      </c>
      <c r="G451" s="26" t="str">
        <f>"COYOACAN                                                                        "</f>
        <v xml:space="preserve">COYOACAN                                                                        </v>
      </c>
      <c r="H451" s="26" t="str">
        <f>"019"</f>
        <v>019</v>
      </c>
      <c r="I451" s="26" t="str">
        <f t="shared" si="77"/>
        <v>00</v>
      </c>
      <c r="J451" s="26" t="str">
        <f>"54 "</f>
        <v xml:space="preserve">54 </v>
      </c>
      <c r="K451" s="26" t="str">
        <f t="shared" si="87"/>
        <v>SG</v>
      </c>
      <c r="L451" s="26" t="str">
        <f t="shared" si="88"/>
        <v>DGOSE</v>
      </c>
      <c r="M451" s="26" t="str">
        <f t="shared" si="90"/>
        <v>FEDERAL</v>
      </c>
      <c r="N451" s="26">
        <v>67</v>
      </c>
      <c r="O451" s="26">
        <v>45</v>
      </c>
      <c r="P451" s="26">
        <v>22</v>
      </c>
      <c r="Q451" s="26">
        <v>2</v>
      </c>
      <c r="R451" s="26">
        <v>2</v>
      </c>
      <c r="S451" s="26">
        <v>17</v>
      </c>
      <c r="T451" s="26">
        <v>15</v>
      </c>
      <c r="U451" s="26">
        <v>34</v>
      </c>
      <c r="V451" s="26">
        <v>1</v>
      </c>
      <c r="W451" s="26"/>
    </row>
    <row r="452" spans="1:23" x14ac:dyDescent="0.25">
      <c r="A452" s="26" t="str">
        <f t="shared" si="89"/>
        <v>SECUNDARIA</v>
      </c>
      <c r="B452" s="26" t="str">
        <f>"09DES4191P"</f>
        <v>09DES4191P</v>
      </c>
      <c r="C452" s="26" t="str">
        <f>"SILVESTRE REVUELTAS                                                                                 "</f>
        <v xml:space="preserve">SILVESTRE REVUELTAS                                                                                 </v>
      </c>
      <c r="D452" s="26" t="str">
        <f t="shared" si="80"/>
        <v>VESPERTINO</v>
      </c>
      <c r="E452" s="26" t="str">
        <f>"VILLA CUAUHTEMOC Y MOTOLINIA                                                    "</f>
        <v xml:space="preserve">VILLA CUAUHTEMOC Y MOTOLINIA                                                    </v>
      </c>
      <c r="F452" s="26" t="str">
        <f>"VILLA DE ARAGON                                                                                                                             "</f>
        <v xml:space="preserve">VILLA DE ARAGON                                                                                                                             </v>
      </c>
      <c r="G452" s="26" t="str">
        <f>"GUSTAVO A. MADERO                                                               "</f>
        <v xml:space="preserve">GUSTAVO A. MADERO                                                               </v>
      </c>
      <c r="H452" s="26" t="str">
        <f>"041"</f>
        <v>041</v>
      </c>
      <c r="I452" s="26" t="str">
        <f t="shared" si="77"/>
        <v>00</v>
      </c>
      <c r="J452" s="26" t="str">
        <f>"52 "</f>
        <v xml:space="preserve">52 </v>
      </c>
      <c r="K452" s="26" t="str">
        <f t="shared" si="87"/>
        <v>SG</v>
      </c>
      <c r="L452" s="26" t="str">
        <f t="shared" si="88"/>
        <v>DGOSE</v>
      </c>
      <c r="M452" s="26" t="str">
        <f t="shared" si="90"/>
        <v>FEDERAL</v>
      </c>
      <c r="N452" s="26">
        <v>177</v>
      </c>
      <c r="O452" s="26">
        <v>99</v>
      </c>
      <c r="P452" s="26">
        <v>78</v>
      </c>
      <c r="Q452" s="26">
        <v>7</v>
      </c>
      <c r="R452" s="26">
        <v>2</v>
      </c>
      <c r="S452" s="26">
        <v>26</v>
      </c>
      <c r="T452" s="26">
        <v>20</v>
      </c>
      <c r="U452" s="26">
        <v>48</v>
      </c>
      <c r="V452" s="26">
        <v>1</v>
      </c>
      <c r="W452" s="26"/>
    </row>
    <row r="453" spans="1:23" x14ac:dyDescent="0.25">
      <c r="A453" s="26" t="str">
        <f t="shared" si="89"/>
        <v>SECUNDARIA</v>
      </c>
      <c r="B453" s="26" t="str">
        <f>"09DES4192O"</f>
        <v>09DES4192O</v>
      </c>
      <c r="C453" s="26" t="str">
        <f>"VICENTE RIVA PALACIO GUERRERO                                                                       "</f>
        <v xml:space="preserve">VICENTE RIVA PALACIO GUERRERO                                                                       </v>
      </c>
      <c r="D453" s="26" t="str">
        <f t="shared" si="80"/>
        <v>VESPERTINO</v>
      </c>
      <c r="E453" s="26" t="str">
        <f>"AV CIVILIZACIONES Y ALDEBARRAN                                                  "</f>
        <v xml:space="preserve">AV CIVILIZACIONES Y ALDEBARRAN                                                  </v>
      </c>
      <c r="F453" s="26" t="str">
        <f>"UNIDAD INFONAVIT EL ROSARIO                                                                                                                 "</f>
        <v xml:space="preserve">UNIDAD INFONAVIT EL ROSARIO                                                                                                                 </v>
      </c>
      <c r="G453" s="26" t="str">
        <f>"AZCAPOTZALCO                                                                    "</f>
        <v xml:space="preserve">AZCAPOTZALCO                                                                    </v>
      </c>
      <c r="H453" s="26" t="str">
        <f>"006"</f>
        <v>006</v>
      </c>
      <c r="I453" s="26" t="str">
        <f t="shared" si="77"/>
        <v>00</v>
      </c>
      <c r="J453" s="26" t="str">
        <f>"51 "</f>
        <v xml:space="preserve">51 </v>
      </c>
      <c r="K453" s="26" t="str">
        <f t="shared" si="87"/>
        <v>SG</v>
      </c>
      <c r="L453" s="26" t="str">
        <f t="shared" si="88"/>
        <v>DGOSE</v>
      </c>
      <c r="M453" s="26" t="str">
        <f t="shared" si="90"/>
        <v>FEDERAL</v>
      </c>
      <c r="N453" s="26">
        <v>62</v>
      </c>
      <c r="O453" s="26">
        <v>35</v>
      </c>
      <c r="P453" s="26">
        <v>27</v>
      </c>
      <c r="Q453" s="26">
        <v>3</v>
      </c>
      <c r="R453" s="26">
        <v>1</v>
      </c>
      <c r="S453" s="26">
        <v>15</v>
      </c>
      <c r="T453" s="26">
        <v>10</v>
      </c>
      <c r="U453" s="26">
        <v>26</v>
      </c>
      <c r="V453" s="26">
        <v>1</v>
      </c>
      <c r="W453" s="26"/>
    </row>
    <row r="454" spans="1:23" x14ac:dyDescent="0.25">
      <c r="A454" s="26" t="str">
        <f t="shared" si="89"/>
        <v>SECUNDARIA</v>
      </c>
      <c r="B454" s="26" t="str">
        <f>"09DES4193N"</f>
        <v>09DES4193N</v>
      </c>
      <c r="C454" s="26" t="str">
        <f>"JULIAN CARRILLO                                                                                     "</f>
        <v xml:space="preserve">JULIAN CARRILLO                                                                                     </v>
      </c>
      <c r="D454" s="26" t="str">
        <f t="shared" si="80"/>
        <v>VESPERTINO</v>
      </c>
      <c r="E454" s="26" t="s">
        <v>4130</v>
      </c>
      <c r="F454" s="26" t="str">
        <f>"UNIDAD INFONAVIT EL ROSARIO                                                                                                                 "</f>
        <v xml:space="preserve">UNIDAD INFONAVIT EL ROSARIO                                                                                                                 </v>
      </c>
      <c r="G454" s="26" t="str">
        <f>"AZCAPOTZALCO                                                                    "</f>
        <v xml:space="preserve">AZCAPOTZALCO                                                                    </v>
      </c>
      <c r="H454" s="26" t="str">
        <f>"006"</f>
        <v>006</v>
      </c>
      <c r="I454" s="26" t="str">
        <f t="shared" si="77"/>
        <v>00</v>
      </c>
      <c r="J454" s="26" t="str">
        <f>"51 "</f>
        <v xml:space="preserve">51 </v>
      </c>
      <c r="K454" s="26" t="str">
        <f t="shared" si="87"/>
        <v>SG</v>
      </c>
      <c r="L454" s="26" t="str">
        <f t="shared" si="88"/>
        <v>DGOSE</v>
      </c>
      <c r="M454" s="26" t="str">
        <f t="shared" si="90"/>
        <v>FEDERAL</v>
      </c>
      <c r="N454" s="26">
        <v>85</v>
      </c>
      <c r="O454" s="26">
        <v>53</v>
      </c>
      <c r="P454" s="26">
        <v>32</v>
      </c>
      <c r="Q454" s="26">
        <v>4</v>
      </c>
      <c r="R454" s="26">
        <v>1</v>
      </c>
      <c r="S454" s="26">
        <v>25</v>
      </c>
      <c r="T454" s="26">
        <v>14</v>
      </c>
      <c r="U454" s="26">
        <v>40</v>
      </c>
      <c r="V454" s="26">
        <v>1</v>
      </c>
      <c r="W454" s="26"/>
    </row>
    <row r="455" spans="1:23" x14ac:dyDescent="0.25">
      <c r="A455" s="26" t="str">
        <f t="shared" si="89"/>
        <v>SECUNDARIA</v>
      </c>
      <c r="B455" s="26" t="str">
        <f>"09DES4194M"</f>
        <v>09DES4194M</v>
      </c>
      <c r="C455" s="26" t="str">
        <f>"NICOLAS COPERNICO                                                                                   "</f>
        <v xml:space="preserve">NICOLAS COPERNICO                                                                                   </v>
      </c>
      <c r="D455" s="26" t="str">
        <f t="shared" si="80"/>
        <v>VESPERTINO</v>
      </c>
      <c r="E455" s="26" t="str">
        <f>"CINE MEXICANO S/N ENTRE TECNICOS Y MANUALES                                     "</f>
        <v xml:space="preserve">CINE MEXICANO S/N ENTRE TECNICOS Y MANUALES                                     </v>
      </c>
      <c r="F455" s="26" t="str">
        <f>"LOMAS ESTRELLA                                                                                                                              "</f>
        <v xml:space="preserve">LOMAS ESTRELLA                                                                                                                              </v>
      </c>
      <c r="G455" s="26" t="str">
        <f>"IZTAPALAPA                                                                      "</f>
        <v xml:space="preserve">IZTAPALAPA                                                                      </v>
      </c>
      <c r="H455" s="26" t="str">
        <f>"011"</f>
        <v>011</v>
      </c>
      <c r="I455" s="26" t="str">
        <f t="shared" ref="I455:I518" si="91">"00"</f>
        <v>00</v>
      </c>
      <c r="J455" s="26" t="str">
        <f>"63 "</f>
        <v xml:space="preserve">63 </v>
      </c>
      <c r="K455" s="26" t="str">
        <f>"IZ"</f>
        <v>IZ</v>
      </c>
      <c r="L455" s="26" t="str">
        <f>"DGSEI"</f>
        <v>DGSEI</v>
      </c>
      <c r="M455" s="26" t="str">
        <f t="shared" si="90"/>
        <v>FEDERAL</v>
      </c>
      <c r="N455" s="26">
        <v>398</v>
      </c>
      <c r="O455" s="26">
        <v>211</v>
      </c>
      <c r="P455" s="26">
        <v>187</v>
      </c>
      <c r="Q455" s="26">
        <v>15</v>
      </c>
      <c r="R455" s="26">
        <v>2</v>
      </c>
      <c r="S455" s="26">
        <v>40</v>
      </c>
      <c r="T455" s="26">
        <v>19</v>
      </c>
      <c r="U455" s="26">
        <v>61</v>
      </c>
      <c r="V455" s="26">
        <v>1</v>
      </c>
      <c r="W455" s="26"/>
    </row>
    <row r="456" spans="1:23" x14ac:dyDescent="0.25">
      <c r="A456" s="26" t="str">
        <f t="shared" si="89"/>
        <v>SECUNDARIA</v>
      </c>
      <c r="B456" s="26" t="str">
        <f>"09DES4195L"</f>
        <v>09DES4195L</v>
      </c>
      <c r="C456" s="26" t="str">
        <f>"""TLAMACHIHUAPAN""                                                                                    "</f>
        <v xml:space="preserve">"TLAMACHIHUAPAN"                                                                                    </v>
      </c>
      <c r="D456" s="26" t="str">
        <f t="shared" si="80"/>
        <v>VESPERTINO</v>
      </c>
      <c r="E456" s="26" t="str">
        <f>"TIZIMIN Y CELESTUN S/N                                                          "</f>
        <v xml:space="preserve">TIZIMIN Y CELESTUN S/N                                                          </v>
      </c>
      <c r="F456" s="26" t="str">
        <f>"ZONA EJIDOS DE PADIERNA                                                                                                                     "</f>
        <v xml:space="preserve">ZONA EJIDOS DE PADIERNA                                                                                                                     </v>
      </c>
      <c r="G456" s="26" t="str">
        <f>"TLALPAN                                                                         "</f>
        <v xml:space="preserve">TLALPAN                                                                         </v>
      </c>
      <c r="H456" s="26" t="str">
        <f>"071"</f>
        <v>071</v>
      </c>
      <c r="I456" s="26" t="str">
        <f t="shared" si="91"/>
        <v>00</v>
      </c>
      <c r="J456" s="26" t="str">
        <f>"55 "</f>
        <v xml:space="preserve">55 </v>
      </c>
      <c r="K456" s="26" t="str">
        <f>"SG"</f>
        <v>SG</v>
      </c>
      <c r="L456" s="26" t="str">
        <f>"DGOSE"</f>
        <v>DGOSE</v>
      </c>
      <c r="M456" s="26" t="str">
        <f t="shared" si="90"/>
        <v>FEDERAL</v>
      </c>
      <c r="N456" s="26">
        <v>553</v>
      </c>
      <c r="O456" s="26">
        <v>261</v>
      </c>
      <c r="P456" s="26">
        <v>292</v>
      </c>
      <c r="Q456" s="26">
        <v>15</v>
      </c>
      <c r="R456" s="26">
        <v>1</v>
      </c>
      <c r="S456" s="26">
        <v>32</v>
      </c>
      <c r="T456" s="26">
        <v>23</v>
      </c>
      <c r="U456" s="26">
        <v>56</v>
      </c>
      <c r="V456" s="26">
        <v>1</v>
      </c>
      <c r="W456" s="26"/>
    </row>
    <row r="457" spans="1:23" x14ac:dyDescent="0.25">
      <c r="A457" s="26" t="str">
        <f t="shared" si="89"/>
        <v>SECUNDARIA</v>
      </c>
      <c r="B457" s="26" t="str">
        <f>"09DES4196K"</f>
        <v>09DES4196K</v>
      </c>
      <c r="C457" s="26" t="str">
        <f>""" JUSTO A. ZAMUDIO VARGAS ""                                                                         "</f>
        <v xml:space="preserve">" JUSTO A. ZAMUDIO VARGAS "                                                                         </v>
      </c>
      <c r="D457" s="26" t="str">
        <f t="shared" si="80"/>
        <v>VESPERTINO</v>
      </c>
      <c r="E457" s="26" t="str">
        <f>"1RA CDA DE AQUILES ELORDUY                                                      "</f>
        <v xml:space="preserve">1RA CDA DE AQUILES ELORDUY                                                      </v>
      </c>
      <c r="F457" s="26" t="str">
        <f>"EL RECREO                                                                                                                                   "</f>
        <v xml:space="preserve">EL RECREO                                                                                                                                   </v>
      </c>
      <c r="G457" s="26" t="str">
        <f>"AZCAPOTZALCO                                                                    "</f>
        <v xml:space="preserve">AZCAPOTZALCO                                                                    </v>
      </c>
      <c r="H457" s="26" t="str">
        <f>"009"</f>
        <v>009</v>
      </c>
      <c r="I457" s="26" t="str">
        <f t="shared" si="91"/>
        <v>00</v>
      </c>
      <c r="J457" s="26" t="str">
        <f>"51 "</f>
        <v xml:space="preserve">51 </v>
      </c>
      <c r="K457" s="26" t="str">
        <f>"SG"</f>
        <v>SG</v>
      </c>
      <c r="L457" s="26" t="str">
        <f>"DGOSE"</f>
        <v>DGOSE</v>
      </c>
      <c r="M457" s="26" t="str">
        <f t="shared" si="90"/>
        <v>FEDERAL</v>
      </c>
      <c r="N457" s="26">
        <v>69</v>
      </c>
      <c r="O457" s="26">
        <v>42</v>
      </c>
      <c r="P457" s="26">
        <v>27</v>
      </c>
      <c r="Q457" s="26">
        <v>3</v>
      </c>
      <c r="R457" s="26">
        <v>1</v>
      </c>
      <c r="S457" s="26">
        <v>15</v>
      </c>
      <c r="T457" s="26">
        <v>12</v>
      </c>
      <c r="U457" s="26">
        <v>28</v>
      </c>
      <c r="V457" s="26">
        <v>1</v>
      </c>
      <c r="W457" s="26"/>
    </row>
    <row r="458" spans="1:23" x14ac:dyDescent="0.25">
      <c r="A458" s="26" t="str">
        <f t="shared" si="89"/>
        <v>SECUNDARIA</v>
      </c>
      <c r="B458" s="26" t="str">
        <f>"09DES4197J"</f>
        <v>09DES4197J</v>
      </c>
      <c r="C458" s="26" t="str">
        <f>"CANADA                                                                                              "</f>
        <v xml:space="preserve">CANADA                                                                                              </v>
      </c>
      <c r="D458" s="26" t="str">
        <f t="shared" si="80"/>
        <v>VESPERTINO</v>
      </c>
      <c r="E458" s="26" t="str">
        <f>"NUEVA YORK Y PROL FILADELFIA                                                    "</f>
        <v xml:space="preserve">NUEVA YORK Y PROL FILADELFIA                                                    </v>
      </c>
      <c r="F458" s="26" t="str">
        <f>"NAPOLES                                                                                                                                     "</f>
        <v xml:space="preserve">NAPOLES                                                                                                                                     </v>
      </c>
      <c r="G458" s="26" t="str">
        <f>"BENITO JUAREZ                                                                   "</f>
        <v xml:space="preserve">BENITO JUAREZ                                                                   </v>
      </c>
      <c r="H458" s="26" t="str">
        <f>"011"</f>
        <v>011</v>
      </c>
      <c r="I458" s="26" t="str">
        <f t="shared" si="91"/>
        <v>00</v>
      </c>
      <c r="J458" s="26" t="str">
        <f>"53 "</f>
        <v xml:space="preserve">53 </v>
      </c>
      <c r="K458" s="26" t="str">
        <f>"SG"</f>
        <v>SG</v>
      </c>
      <c r="L458" s="26" t="str">
        <f>"DGOSE"</f>
        <v>DGOSE</v>
      </c>
      <c r="M458" s="26" t="str">
        <f t="shared" si="90"/>
        <v>FEDERAL</v>
      </c>
      <c r="N458" s="26">
        <v>501</v>
      </c>
      <c r="O458" s="26">
        <v>296</v>
      </c>
      <c r="P458" s="26">
        <v>205</v>
      </c>
      <c r="Q458" s="26">
        <v>15</v>
      </c>
      <c r="R458" s="26">
        <v>2</v>
      </c>
      <c r="S458" s="26">
        <v>40</v>
      </c>
      <c r="T458" s="26">
        <v>23</v>
      </c>
      <c r="U458" s="26">
        <v>65</v>
      </c>
      <c r="V458" s="26">
        <v>1</v>
      </c>
      <c r="W458" s="26"/>
    </row>
    <row r="459" spans="1:23" x14ac:dyDescent="0.25">
      <c r="A459" s="26" t="str">
        <f t="shared" si="89"/>
        <v>SECUNDARIA</v>
      </c>
      <c r="B459" s="26" t="str">
        <f>"09DES4198I"</f>
        <v>09DES4198I</v>
      </c>
      <c r="C459" s="26" t="str">
        <f>"LUIS PASTEUR                                                                                        "</f>
        <v xml:space="preserve">LUIS PASTEUR                                                                                        </v>
      </c>
      <c r="D459" s="26" t="str">
        <f t="shared" si="80"/>
        <v>VESPERTINO</v>
      </c>
      <c r="E459" s="26" t="str">
        <f>"PLAN DE AYALA Y HERMINIO CHAVARRIA                                              "</f>
        <v xml:space="preserve">PLAN DE AYALA Y HERMINIO CHAVARRIA                                              </v>
      </c>
      <c r="F459" s="26" t="str">
        <f>"SANTA MARIA AZTAHUACAN                                                                                                                      "</f>
        <v xml:space="preserve">SANTA MARIA AZTAHUACAN                                                                                                                      </v>
      </c>
      <c r="G459" s="26" t="str">
        <f>"IZTAPALAPA                                                                      "</f>
        <v xml:space="preserve">IZTAPALAPA                                                                      </v>
      </c>
      <c r="H459" s="26" t="str">
        <f>"014"</f>
        <v>014</v>
      </c>
      <c r="I459" s="26" t="str">
        <f t="shared" si="91"/>
        <v>00</v>
      </c>
      <c r="J459" s="26" t="str">
        <f>"64 "</f>
        <v xml:space="preserve">64 </v>
      </c>
      <c r="K459" s="26" t="str">
        <f>"IZ"</f>
        <v>IZ</v>
      </c>
      <c r="L459" s="26" t="str">
        <f>"DGSEI"</f>
        <v>DGSEI</v>
      </c>
      <c r="M459" s="26" t="str">
        <f t="shared" si="90"/>
        <v>FEDERAL</v>
      </c>
      <c r="N459" s="26">
        <v>638</v>
      </c>
      <c r="O459" s="26">
        <v>321</v>
      </c>
      <c r="P459" s="26">
        <v>317</v>
      </c>
      <c r="Q459" s="26">
        <v>15</v>
      </c>
      <c r="R459" s="26">
        <v>2</v>
      </c>
      <c r="S459" s="26">
        <v>39</v>
      </c>
      <c r="T459" s="26">
        <v>19</v>
      </c>
      <c r="U459" s="26">
        <v>60</v>
      </c>
      <c r="V459" s="26">
        <v>1</v>
      </c>
      <c r="W459" s="26"/>
    </row>
    <row r="460" spans="1:23" x14ac:dyDescent="0.25">
      <c r="A460" s="26" t="str">
        <f t="shared" si="89"/>
        <v>SECUNDARIA</v>
      </c>
      <c r="B460" s="26" t="str">
        <f>"09DES4199H"</f>
        <v>09DES4199H</v>
      </c>
      <c r="C460" s="26" t="str">
        <f>"JOSE LOPEZ PORTILLO Y WEBER                                                                         "</f>
        <v xml:space="preserve">JOSE LOPEZ PORTILLO Y WEBER                                                                         </v>
      </c>
      <c r="D460" s="26" t="str">
        <f t="shared" si="80"/>
        <v>VESPERTINO</v>
      </c>
      <c r="E460" s="26" t="str">
        <f>"TACANA Y MONTE DE LAS CRUCES                                                    "</f>
        <v xml:space="preserve">TACANA Y MONTE DE LAS CRUCES                                                    </v>
      </c>
      <c r="F460" s="26" t="str">
        <f>"LA PRADERA                                                                                                                                  "</f>
        <v xml:space="preserve">LA PRADERA                                                                                                                                  </v>
      </c>
      <c r="G460" s="26" t="str">
        <f>"GUSTAVO A. MADERO                                                               "</f>
        <v xml:space="preserve">GUSTAVO A. MADERO                                                               </v>
      </c>
      <c r="H460" s="26" t="str">
        <f>"042"</f>
        <v>042</v>
      </c>
      <c r="I460" s="26" t="str">
        <f t="shared" si="91"/>
        <v>00</v>
      </c>
      <c r="J460" s="26" t="str">
        <f>"52 "</f>
        <v xml:space="preserve">52 </v>
      </c>
      <c r="K460" s="26" t="str">
        <f>"SG"</f>
        <v>SG</v>
      </c>
      <c r="L460" s="26" t="str">
        <f>"DGOSE"</f>
        <v>DGOSE</v>
      </c>
      <c r="M460" s="26" t="str">
        <f t="shared" si="90"/>
        <v>FEDERAL</v>
      </c>
      <c r="N460" s="26">
        <v>183</v>
      </c>
      <c r="O460" s="26">
        <v>99</v>
      </c>
      <c r="P460" s="26">
        <v>84</v>
      </c>
      <c r="Q460" s="26">
        <v>8</v>
      </c>
      <c r="R460" s="26">
        <v>2</v>
      </c>
      <c r="S460" s="26">
        <v>23</v>
      </c>
      <c r="T460" s="26">
        <v>14</v>
      </c>
      <c r="U460" s="26">
        <v>39</v>
      </c>
      <c r="V460" s="26">
        <v>1</v>
      </c>
      <c r="W460" s="26"/>
    </row>
    <row r="461" spans="1:23" x14ac:dyDescent="0.25">
      <c r="A461" s="26" t="str">
        <f t="shared" si="89"/>
        <v>SECUNDARIA</v>
      </c>
      <c r="B461" s="26" t="str">
        <f>"09DES4202E"</f>
        <v>09DES4202E</v>
      </c>
      <c r="C461" s="26" t="str">
        <f>"TEMACHTIANI                                                                                         "</f>
        <v xml:space="preserve">TEMACHTIANI                                                                                         </v>
      </c>
      <c r="D461" s="26" t="str">
        <f t="shared" si="80"/>
        <v>VESPERTINO</v>
      </c>
      <c r="E461" s="26" t="str">
        <f>"C H LOMAS DE BECERRA                                                            "</f>
        <v xml:space="preserve">C H LOMAS DE BECERRA                                                            </v>
      </c>
      <c r="F461" s="26" t="str">
        <f>"LOMAS DE BECERRA                                                                                                                            "</f>
        <v xml:space="preserve">LOMAS DE BECERRA                                                                                                                            </v>
      </c>
      <c r="G461" s="26" t="str">
        <f>"ALVARO OBREGON                                                                  "</f>
        <v xml:space="preserve">ALVARO OBREGON                                                                  </v>
      </c>
      <c r="H461" s="26" t="str">
        <f>"003"</f>
        <v>003</v>
      </c>
      <c r="I461" s="26" t="str">
        <f t="shared" si="91"/>
        <v>00</v>
      </c>
      <c r="J461" s="26" t="str">
        <f>"53 "</f>
        <v xml:space="preserve">53 </v>
      </c>
      <c r="K461" s="26" t="str">
        <f>"SG"</f>
        <v>SG</v>
      </c>
      <c r="L461" s="26" t="str">
        <f>"DGOSE"</f>
        <v>DGOSE</v>
      </c>
      <c r="M461" s="26" t="str">
        <f t="shared" si="90"/>
        <v>FEDERAL</v>
      </c>
      <c r="N461" s="26">
        <v>202</v>
      </c>
      <c r="O461" s="26">
        <v>109</v>
      </c>
      <c r="P461" s="26">
        <v>93</v>
      </c>
      <c r="Q461" s="26">
        <v>6</v>
      </c>
      <c r="R461" s="26">
        <v>2</v>
      </c>
      <c r="S461" s="26">
        <v>20</v>
      </c>
      <c r="T461" s="26">
        <v>9</v>
      </c>
      <c r="U461" s="26">
        <v>31</v>
      </c>
      <c r="V461" s="26">
        <v>1</v>
      </c>
      <c r="W461" s="26"/>
    </row>
    <row r="462" spans="1:23" x14ac:dyDescent="0.25">
      <c r="A462" s="26" t="str">
        <f t="shared" si="89"/>
        <v>SECUNDARIA</v>
      </c>
      <c r="B462" s="26" t="str">
        <f>"09DES4204C"</f>
        <v>09DES4204C</v>
      </c>
      <c r="C462" s="26" t="str">
        <f>"HERMILO NOVELO TORRES                                                                               "</f>
        <v xml:space="preserve">HERMILO NOVELO TORRES                                                                               </v>
      </c>
      <c r="D462" s="26" t="str">
        <f t="shared" ref="D462:D525" si="92">"VESPERTINO"</f>
        <v>VESPERTINO</v>
      </c>
      <c r="E462" s="26" t="str">
        <f>"CIRCUITO 1 APOLO 11 1RA. Y 2DA. CDA.                                            "</f>
        <v xml:space="preserve">CIRCUITO 1 APOLO 11 1RA. Y 2DA. CDA.                                            </v>
      </c>
      <c r="F462" s="26" t="str">
        <f>"XALPA                                                                                                                                       "</f>
        <v xml:space="preserve">XALPA                                                                                                                                       </v>
      </c>
      <c r="G462" s="26" t="str">
        <f>"IZTAPALAPA                                                                      "</f>
        <v xml:space="preserve">IZTAPALAPA                                                                      </v>
      </c>
      <c r="H462" s="26" t="str">
        <f>"015"</f>
        <v>015</v>
      </c>
      <c r="I462" s="26" t="str">
        <f t="shared" si="91"/>
        <v>00</v>
      </c>
      <c r="J462" s="26" t="str">
        <f>"64 "</f>
        <v xml:space="preserve">64 </v>
      </c>
      <c r="K462" s="26" t="str">
        <f>"IZ"</f>
        <v>IZ</v>
      </c>
      <c r="L462" s="26" t="str">
        <f>"DGSEI"</f>
        <v>DGSEI</v>
      </c>
      <c r="M462" s="26" t="str">
        <f t="shared" si="90"/>
        <v>FEDERAL</v>
      </c>
      <c r="N462" s="26">
        <v>594</v>
      </c>
      <c r="O462" s="26">
        <v>314</v>
      </c>
      <c r="P462" s="26">
        <v>280</v>
      </c>
      <c r="Q462" s="26">
        <v>15</v>
      </c>
      <c r="R462" s="26">
        <v>2</v>
      </c>
      <c r="S462" s="26">
        <v>42</v>
      </c>
      <c r="T462" s="26">
        <v>22</v>
      </c>
      <c r="U462" s="26">
        <v>66</v>
      </c>
      <c r="V462" s="26">
        <v>1</v>
      </c>
      <c r="W462" s="26"/>
    </row>
    <row r="463" spans="1:23" x14ac:dyDescent="0.25">
      <c r="A463" s="26" t="str">
        <f t="shared" si="89"/>
        <v>SECUNDARIA</v>
      </c>
      <c r="B463" s="26" t="str">
        <f>"09DES4205B"</f>
        <v>09DES4205B</v>
      </c>
      <c r="C463" s="26" t="str">
        <f>"ALEJANDRO GRAHAM BELL                                                                               "</f>
        <v xml:space="preserve">ALEJANDRO GRAHAM BELL                                                                               </v>
      </c>
      <c r="D463" s="26" t="str">
        <f t="shared" si="92"/>
        <v>VESPERTINO</v>
      </c>
      <c r="E463" s="26" t="str">
        <f>"GITANA LAGO Y FRANCISCO I MADERO                                                "</f>
        <v xml:space="preserve">GITANA LAGO Y FRANCISCO I MADERO                                                </v>
      </c>
      <c r="F463" s="26" t="str">
        <f>"LA NOPALERA                                                                                                                                 "</f>
        <v xml:space="preserve">LA NOPALERA                                                                                                                                 </v>
      </c>
      <c r="G463" s="26" t="str">
        <f>"TLAHUAC                                                                         "</f>
        <v xml:space="preserve">TLAHUAC                                                                         </v>
      </c>
      <c r="H463" s="26" t="str">
        <f>"067"</f>
        <v>067</v>
      </c>
      <c r="I463" s="26" t="str">
        <f t="shared" si="91"/>
        <v>00</v>
      </c>
      <c r="J463" s="26" t="str">
        <f>"55 "</f>
        <v xml:space="preserve">55 </v>
      </c>
      <c r="K463" s="26" t="str">
        <f>"SG"</f>
        <v>SG</v>
      </c>
      <c r="L463" s="26" t="str">
        <f>"DGOSE"</f>
        <v>DGOSE</v>
      </c>
      <c r="M463" s="26" t="str">
        <f t="shared" si="90"/>
        <v>FEDERAL</v>
      </c>
      <c r="N463" s="26">
        <v>642</v>
      </c>
      <c r="O463" s="26">
        <v>335</v>
      </c>
      <c r="P463" s="26">
        <v>307</v>
      </c>
      <c r="Q463" s="26">
        <v>15</v>
      </c>
      <c r="R463" s="26">
        <v>2</v>
      </c>
      <c r="S463" s="26">
        <v>42</v>
      </c>
      <c r="T463" s="26">
        <v>18</v>
      </c>
      <c r="U463" s="26">
        <v>62</v>
      </c>
      <c r="V463" s="26">
        <v>1</v>
      </c>
      <c r="W463" s="26"/>
    </row>
    <row r="464" spans="1:23" x14ac:dyDescent="0.25">
      <c r="A464" s="26" t="str">
        <f t="shared" si="89"/>
        <v>SECUNDARIA</v>
      </c>
      <c r="B464" s="26" t="str">
        <f>"09DES4206A"</f>
        <v>09DES4206A</v>
      </c>
      <c r="C464" s="26" t="str">
        <f>"ROBERTO KOCH                                                                                        "</f>
        <v xml:space="preserve">ROBERTO KOCH                                                                                        </v>
      </c>
      <c r="D464" s="26" t="str">
        <f t="shared" si="92"/>
        <v>VESPERTINO</v>
      </c>
      <c r="E464" s="26" t="str">
        <f>"BENITO JUAREZ Y CANAL NACIONAL S/N                                              "</f>
        <v xml:space="preserve">BENITO JUAREZ Y CANAL NACIONAL S/N                                              </v>
      </c>
      <c r="F464" s="26" t="str">
        <f>"SAN FRANCISCO CULHUACAN                                                                                                                     "</f>
        <v xml:space="preserve">SAN FRANCISCO CULHUACAN                                                                                                                     </v>
      </c>
      <c r="G464" s="26" t="str">
        <f>"IZTAPALAPA                                                                      "</f>
        <v xml:space="preserve">IZTAPALAPA                                                                      </v>
      </c>
      <c r="H464" s="26" t="str">
        <f>"009"</f>
        <v>009</v>
      </c>
      <c r="I464" s="26" t="str">
        <f t="shared" si="91"/>
        <v>00</v>
      </c>
      <c r="J464" s="26" t="str">
        <f>"63 "</f>
        <v xml:space="preserve">63 </v>
      </c>
      <c r="K464" s="26" t="str">
        <f>"IZ"</f>
        <v>IZ</v>
      </c>
      <c r="L464" s="26" t="str">
        <f>"DGSEI"</f>
        <v>DGSEI</v>
      </c>
      <c r="M464" s="26" t="str">
        <f t="shared" si="90"/>
        <v>FEDERAL</v>
      </c>
      <c r="N464" s="26">
        <v>140</v>
      </c>
      <c r="O464" s="26">
        <v>77</v>
      </c>
      <c r="P464" s="26">
        <v>63</v>
      </c>
      <c r="Q464" s="26">
        <v>7</v>
      </c>
      <c r="R464" s="26">
        <v>1</v>
      </c>
      <c r="S464" s="26">
        <v>18</v>
      </c>
      <c r="T464" s="26">
        <v>11</v>
      </c>
      <c r="U464" s="26">
        <v>30</v>
      </c>
      <c r="V464" s="26">
        <v>1</v>
      </c>
      <c r="W464" s="26"/>
    </row>
    <row r="465" spans="1:23" x14ac:dyDescent="0.25">
      <c r="A465" s="26" t="str">
        <f t="shared" si="89"/>
        <v>SECUNDARIA</v>
      </c>
      <c r="B465" s="26" t="str">
        <f>"09DES4207Z"</f>
        <v>09DES4207Z</v>
      </c>
      <c r="C465" s="26" t="str">
        <f>"ESTADO DE ISRAEL                                                                                    "</f>
        <v xml:space="preserve">ESTADO DE ISRAEL                                                                                    </v>
      </c>
      <c r="D465" s="26" t="str">
        <f t="shared" si="92"/>
        <v>VESPERTINO</v>
      </c>
      <c r="E465" s="26" t="str">
        <f>"HDA CLAVERIA S/N                                                                "</f>
        <v xml:space="preserve">HDA CLAVERIA S/N                                                                </v>
      </c>
      <c r="F465" s="26" t="str">
        <f>"PRADOS DEL ROSARIO                                                                                                                          "</f>
        <v xml:space="preserve">PRADOS DEL ROSARIO                                                                                                                          </v>
      </c>
      <c r="G465" s="26" t="str">
        <f>"AZCAPOTZALCO                                                                    "</f>
        <v xml:space="preserve">AZCAPOTZALCO                                                                    </v>
      </c>
      <c r="H465" s="26" t="str">
        <f>"006"</f>
        <v>006</v>
      </c>
      <c r="I465" s="26" t="str">
        <f t="shared" si="91"/>
        <v>00</v>
      </c>
      <c r="J465" s="26" t="str">
        <f>"51 "</f>
        <v xml:space="preserve">51 </v>
      </c>
      <c r="K465" s="26" t="str">
        <f t="shared" ref="K465:K476" si="93">"SG"</f>
        <v>SG</v>
      </c>
      <c r="L465" s="26" t="str">
        <f t="shared" ref="L465:L476" si="94">"DGOSE"</f>
        <v>DGOSE</v>
      </c>
      <c r="M465" s="26" t="str">
        <f t="shared" si="90"/>
        <v>FEDERAL</v>
      </c>
      <c r="N465" s="26">
        <v>130</v>
      </c>
      <c r="O465" s="26">
        <v>80</v>
      </c>
      <c r="P465" s="26">
        <v>50</v>
      </c>
      <c r="Q465" s="26">
        <v>8</v>
      </c>
      <c r="R465" s="26">
        <v>2</v>
      </c>
      <c r="S465" s="26">
        <v>17</v>
      </c>
      <c r="T465" s="26">
        <v>8</v>
      </c>
      <c r="U465" s="26">
        <v>27</v>
      </c>
      <c r="V465" s="26">
        <v>1</v>
      </c>
      <c r="W465" s="26"/>
    </row>
    <row r="466" spans="1:23" x14ac:dyDescent="0.25">
      <c r="A466" s="26" t="str">
        <f t="shared" si="89"/>
        <v>SECUNDARIA</v>
      </c>
      <c r="B466" s="26" t="str">
        <f>"09DES4209Y"</f>
        <v>09DES4209Y</v>
      </c>
      <c r="C466" s="26" t="str">
        <f>"FRANCISCO VILLA                                                                                     "</f>
        <v xml:space="preserve">FRANCISCO VILLA                                                                                     </v>
      </c>
      <c r="D466" s="26" t="str">
        <f t="shared" si="92"/>
        <v>VESPERTINO</v>
      </c>
      <c r="E466" s="26" t="str">
        <f>"TEZONTLE Y PLAZA SIRENAS S/N                                                    "</f>
        <v xml:space="preserve">TEZONTLE Y PLAZA SIRENAS S/N                                                    </v>
      </c>
      <c r="F466" s="26" t="str">
        <f>"UNIDAD HABITACIONAL INFONAVIT                                                                                                               "</f>
        <v xml:space="preserve">UNIDAD HABITACIONAL INFONAVIT                                                                                                               </v>
      </c>
      <c r="G466" s="26" t="str">
        <f>"IZTACALCO                                                                       "</f>
        <v xml:space="preserve">IZTACALCO                                                                       </v>
      </c>
      <c r="H466" s="26" t="str">
        <f>"044"</f>
        <v>044</v>
      </c>
      <c r="I466" s="26" t="str">
        <f t="shared" si="91"/>
        <v>00</v>
      </c>
      <c r="J466" s="26" t="str">
        <f>"54 "</f>
        <v xml:space="preserve">54 </v>
      </c>
      <c r="K466" s="26" t="str">
        <f t="shared" si="93"/>
        <v>SG</v>
      </c>
      <c r="L466" s="26" t="str">
        <f t="shared" si="94"/>
        <v>DGOSE</v>
      </c>
      <c r="M466" s="26" t="str">
        <f t="shared" si="90"/>
        <v>FEDERAL</v>
      </c>
      <c r="N466" s="26">
        <v>526</v>
      </c>
      <c r="O466" s="26">
        <v>253</v>
      </c>
      <c r="P466" s="26">
        <v>273</v>
      </c>
      <c r="Q466" s="26">
        <v>15</v>
      </c>
      <c r="R466" s="26">
        <v>2</v>
      </c>
      <c r="S466" s="26">
        <v>44</v>
      </c>
      <c r="T466" s="26">
        <v>24</v>
      </c>
      <c r="U466" s="26">
        <v>70</v>
      </c>
      <c r="V466" s="26">
        <v>1</v>
      </c>
      <c r="W466" s="26"/>
    </row>
    <row r="467" spans="1:23" x14ac:dyDescent="0.25">
      <c r="A467" s="26" t="str">
        <f t="shared" si="89"/>
        <v>SECUNDARIA</v>
      </c>
      <c r="B467" s="26" t="str">
        <f>"09DES4211M"</f>
        <v>09DES4211M</v>
      </c>
      <c r="C467" s="26" t="str">
        <f>"ANTONIO CASTRO LEAL                                                                                 "</f>
        <v xml:space="preserve">ANTONIO CASTRO LEAL                                                                                 </v>
      </c>
      <c r="D467" s="26" t="str">
        <f t="shared" si="92"/>
        <v>VESPERTINO</v>
      </c>
      <c r="E467" s="26" t="str">
        <f>"AV 16 DE SEPTIEMBRE NO 51                                                       "</f>
        <v xml:space="preserve">AV 16 DE SEPTIEMBRE NO 51                                                       </v>
      </c>
      <c r="F467" s="26" t="str">
        <f>"CONTADERO                                                                                                                                   "</f>
        <v xml:space="preserve">CONTADERO                                                                                                                                   </v>
      </c>
      <c r="G467" s="26" t="str">
        <f>"CUAJIMALPA DE MORELOS                                                           "</f>
        <v xml:space="preserve">CUAJIMALPA DE MORELOS                                                           </v>
      </c>
      <c r="H467" s="26" t="str">
        <f>"024"</f>
        <v>024</v>
      </c>
      <c r="I467" s="26" t="str">
        <f t="shared" si="91"/>
        <v>00</v>
      </c>
      <c r="J467" s="26" t="str">
        <f>"53 "</f>
        <v xml:space="preserve">53 </v>
      </c>
      <c r="K467" s="26" t="str">
        <f t="shared" si="93"/>
        <v>SG</v>
      </c>
      <c r="L467" s="26" t="str">
        <f t="shared" si="94"/>
        <v>DGOSE</v>
      </c>
      <c r="M467" s="26" t="str">
        <f t="shared" si="90"/>
        <v>FEDERAL</v>
      </c>
      <c r="N467" s="26">
        <v>927</v>
      </c>
      <c r="O467" s="26">
        <v>496</v>
      </c>
      <c r="P467" s="26">
        <v>431</v>
      </c>
      <c r="Q467" s="26">
        <v>19</v>
      </c>
      <c r="R467" s="26">
        <v>2</v>
      </c>
      <c r="S467" s="26">
        <v>35</v>
      </c>
      <c r="T467" s="26">
        <v>20</v>
      </c>
      <c r="U467" s="26">
        <v>57</v>
      </c>
      <c r="V467" s="26">
        <v>1</v>
      </c>
      <c r="W467" s="26"/>
    </row>
    <row r="468" spans="1:23" x14ac:dyDescent="0.25">
      <c r="A468" s="26" t="str">
        <f t="shared" si="89"/>
        <v>SECUNDARIA</v>
      </c>
      <c r="B468" s="26" t="str">
        <f>"09DES4213K"</f>
        <v>09DES4213K</v>
      </c>
      <c r="C468" s="26" t="str">
        <f>"CARLOS A. CARRILLO                                                                                  "</f>
        <v xml:space="preserve">CARLOS A. CARRILLO                                                                                  </v>
      </c>
      <c r="D468" s="26" t="str">
        <f t="shared" si="92"/>
        <v>VESPERTINO</v>
      </c>
      <c r="E468" s="26" t="str">
        <f>"CALLE 6 Y RIO CHURUBUSCO                                                        "</f>
        <v xml:space="preserve">CALLE 6 Y RIO CHURUBUSCO                                                        </v>
      </c>
      <c r="F468" s="26" t="str">
        <f>"CUCHILLA PANTITLAN                                                                                                                          "</f>
        <v xml:space="preserve">CUCHILLA PANTITLAN                                                                                                                          </v>
      </c>
      <c r="G468" s="26" t="str">
        <f>"VENUSTIANO CARRANZA                                                             "</f>
        <v xml:space="preserve">VENUSTIANO CARRANZA                                                             </v>
      </c>
      <c r="H468" s="26" t="str">
        <f>"077"</f>
        <v>077</v>
      </c>
      <c r="I468" s="26" t="str">
        <f t="shared" si="91"/>
        <v>00</v>
      </c>
      <c r="J468" s="26" t="str">
        <f>"54 "</f>
        <v xml:space="preserve">54 </v>
      </c>
      <c r="K468" s="26" t="str">
        <f t="shared" si="93"/>
        <v>SG</v>
      </c>
      <c r="L468" s="26" t="str">
        <f t="shared" si="94"/>
        <v>DGOSE</v>
      </c>
      <c r="M468" s="26" t="str">
        <f t="shared" si="90"/>
        <v>FEDERAL</v>
      </c>
      <c r="N468" s="26">
        <v>87</v>
      </c>
      <c r="O468" s="26">
        <v>56</v>
      </c>
      <c r="P468" s="26">
        <v>31</v>
      </c>
      <c r="Q468" s="26">
        <v>3</v>
      </c>
      <c r="R468" s="26">
        <v>2</v>
      </c>
      <c r="S468" s="26">
        <v>18</v>
      </c>
      <c r="T468" s="26">
        <v>14</v>
      </c>
      <c r="U468" s="26">
        <v>34</v>
      </c>
      <c r="V468" s="26">
        <v>1</v>
      </c>
      <c r="W468" s="26"/>
    </row>
    <row r="469" spans="1:23" x14ac:dyDescent="0.25">
      <c r="A469" s="26" t="str">
        <f t="shared" si="89"/>
        <v>SECUNDARIA</v>
      </c>
      <c r="B469" s="26" t="str">
        <f>"09DES4217G"</f>
        <v>09DES4217G</v>
      </c>
      <c r="C469" s="26" t="str">
        <f>"CARLOS CASAS CAMPILLO                                                                               "</f>
        <v xml:space="preserve">CARLOS CASAS CAMPILLO                                                                               </v>
      </c>
      <c r="D469" s="26" t="str">
        <f t="shared" si="92"/>
        <v>VESPERTINO</v>
      </c>
      <c r="E469" s="26" t="str">
        <f>"CALZADA VALLEJO Y  100 METROS SUR S/N                                           "</f>
        <v xml:space="preserve">CALZADA VALLEJO Y  100 METROS SUR S/N                                           </v>
      </c>
      <c r="F469" s="26" t="str">
        <f>"MAGDALENA DE LAS SALINAS                                                                                                                    "</f>
        <v xml:space="preserve">MAGDALENA DE LAS SALINAS                                                                                                                    </v>
      </c>
      <c r="G469" s="26" t="str">
        <f>"GUSTAVO A. MADERO                                                               "</f>
        <v xml:space="preserve">GUSTAVO A. MADERO                                                               </v>
      </c>
      <c r="H469" s="26" t="str">
        <f>"033"</f>
        <v>033</v>
      </c>
      <c r="I469" s="26" t="str">
        <f t="shared" si="91"/>
        <v>00</v>
      </c>
      <c r="J469" s="26" t="str">
        <f>"52 "</f>
        <v xml:space="preserve">52 </v>
      </c>
      <c r="K469" s="26" t="str">
        <f t="shared" si="93"/>
        <v>SG</v>
      </c>
      <c r="L469" s="26" t="str">
        <f t="shared" si="94"/>
        <v>DGOSE</v>
      </c>
      <c r="M469" s="26" t="str">
        <f t="shared" si="90"/>
        <v>FEDERAL</v>
      </c>
      <c r="N469" s="26">
        <v>112</v>
      </c>
      <c r="O469" s="26">
        <v>70</v>
      </c>
      <c r="P469" s="26">
        <v>42</v>
      </c>
      <c r="Q469" s="26">
        <v>6</v>
      </c>
      <c r="R469" s="26">
        <v>2</v>
      </c>
      <c r="S469" s="26">
        <v>19</v>
      </c>
      <c r="T469" s="26">
        <v>11</v>
      </c>
      <c r="U469" s="26">
        <v>32</v>
      </c>
      <c r="V469" s="26">
        <v>1</v>
      </c>
      <c r="W469" s="26"/>
    </row>
    <row r="470" spans="1:23" x14ac:dyDescent="0.25">
      <c r="A470" s="26" t="str">
        <f t="shared" si="89"/>
        <v>SECUNDARIA</v>
      </c>
      <c r="B470" s="26" t="str">
        <f>"09DES4218F"</f>
        <v>09DES4218F</v>
      </c>
      <c r="C470" s="26" t="str">
        <f>"REPUBLICA DE ITALIA                                                                                 "</f>
        <v xml:space="preserve">REPUBLICA DE ITALIA                                                                                 </v>
      </c>
      <c r="D470" s="26" t="str">
        <f t="shared" si="92"/>
        <v>VESPERTINO</v>
      </c>
      <c r="E470" s="26" t="str">
        <f>"CDA BOLIVARES S/N                                                               "</f>
        <v xml:space="preserve">CDA BOLIVARES S/N                                                               </v>
      </c>
      <c r="F470" s="26" t="str">
        <f>"SIMON BOLIVAR                                                                                                                               "</f>
        <v xml:space="preserve">SIMON BOLIVAR                                                                                                                               </v>
      </c>
      <c r="G470" s="26" t="str">
        <f>"VENUSTIANO CARRANZA                                                             "</f>
        <v xml:space="preserve">VENUSTIANO CARRANZA                                                             </v>
      </c>
      <c r="H470" s="26" t="str">
        <f>"076"</f>
        <v>076</v>
      </c>
      <c r="I470" s="26" t="str">
        <f t="shared" si="91"/>
        <v>00</v>
      </c>
      <c r="J470" s="26" t="str">
        <f>"54 "</f>
        <v xml:space="preserve">54 </v>
      </c>
      <c r="K470" s="26" t="str">
        <f t="shared" si="93"/>
        <v>SG</v>
      </c>
      <c r="L470" s="26" t="str">
        <f t="shared" si="94"/>
        <v>DGOSE</v>
      </c>
      <c r="M470" s="26" t="str">
        <f t="shared" si="90"/>
        <v>FEDERAL</v>
      </c>
      <c r="N470" s="26">
        <v>176</v>
      </c>
      <c r="O470" s="26">
        <v>101</v>
      </c>
      <c r="P470" s="26">
        <v>75</v>
      </c>
      <c r="Q470" s="26">
        <v>7</v>
      </c>
      <c r="R470" s="26">
        <v>2</v>
      </c>
      <c r="S470" s="26">
        <v>24</v>
      </c>
      <c r="T470" s="26">
        <v>14</v>
      </c>
      <c r="U470" s="26">
        <v>40</v>
      </c>
      <c r="V470" s="26">
        <v>1</v>
      </c>
      <c r="W470" s="26"/>
    </row>
    <row r="471" spans="1:23" x14ac:dyDescent="0.25">
      <c r="A471" s="26" t="str">
        <f t="shared" si="89"/>
        <v>SECUNDARIA</v>
      </c>
      <c r="B471" s="26" t="str">
        <f>"09DES4219E"</f>
        <v>09DES4219E</v>
      </c>
      <c r="C471" s="26" t="str">
        <f>"IGNACIO CHAVEZ                                                                                      "</f>
        <v xml:space="preserve">IGNACIO CHAVEZ                                                                                      </v>
      </c>
      <c r="D471" s="26" t="str">
        <f t="shared" si="92"/>
        <v>VESPERTINO</v>
      </c>
      <c r="E471" s="26" t="str">
        <f>"ORIENTE 118 Y SUR 173                                                           "</f>
        <v xml:space="preserve">ORIENTE 118 Y SUR 173                                                           </v>
      </c>
      <c r="F471" s="26" t="str">
        <f>"GABRIEL RAMOS MILLAN                                                                                                                        "</f>
        <v xml:space="preserve">GABRIEL RAMOS MILLAN                                                                                                                        </v>
      </c>
      <c r="G471" s="26" t="str">
        <f>"IZTACALCO                                                                       "</f>
        <v xml:space="preserve">IZTACALCO                                                                       </v>
      </c>
      <c r="H471" s="26" t="str">
        <f>"044"</f>
        <v>044</v>
      </c>
      <c r="I471" s="26" t="str">
        <f t="shared" si="91"/>
        <v>00</v>
      </c>
      <c r="J471" s="26" t="str">
        <f>"54 "</f>
        <v xml:space="preserve">54 </v>
      </c>
      <c r="K471" s="26" t="str">
        <f t="shared" si="93"/>
        <v>SG</v>
      </c>
      <c r="L471" s="26" t="str">
        <f t="shared" si="94"/>
        <v>DGOSE</v>
      </c>
      <c r="M471" s="26" t="str">
        <f t="shared" si="90"/>
        <v>FEDERAL</v>
      </c>
      <c r="N471" s="26">
        <v>104</v>
      </c>
      <c r="O471" s="26">
        <v>60</v>
      </c>
      <c r="P471" s="26">
        <v>44</v>
      </c>
      <c r="Q471" s="26">
        <v>6</v>
      </c>
      <c r="R471" s="26">
        <v>1</v>
      </c>
      <c r="S471" s="26">
        <v>21</v>
      </c>
      <c r="T471" s="26">
        <v>13</v>
      </c>
      <c r="U471" s="26">
        <v>35</v>
      </c>
      <c r="V471" s="26">
        <v>1</v>
      </c>
      <c r="W471" s="26"/>
    </row>
    <row r="472" spans="1:23" x14ac:dyDescent="0.25">
      <c r="A472" s="26" t="str">
        <f t="shared" si="89"/>
        <v>SECUNDARIA</v>
      </c>
      <c r="B472" s="26" t="str">
        <f>"09DES4220U"</f>
        <v>09DES4220U</v>
      </c>
      <c r="C472" s="26" t="str">
        <f>"AGUSTIN YAÑEZ                                                                                       "</f>
        <v xml:space="preserve">AGUSTIN YAÑEZ                                                                                       </v>
      </c>
      <c r="D472" s="26" t="str">
        <f t="shared" si="92"/>
        <v>VESPERTINO</v>
      </c>
      <c r="E472" s="26" t="str">
        <f>"ORIENTE 233 NO 398                                                              "</f>
        <v xml:space="preserve">ORIENTE 233 NO 398                                                              </v>
      </c>
      <c r="F472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472" s="26" t="str">
        <f>"IZTACALCO                                                                       "</f>
        <v xml:space="preserve">IZTACALCO                                                                       </v>
      </c>
      <c r="H472" s="26" t="str">
        <f>"046"</f>
        <v>046</v>
      </c>
      <c r="I472" s="26" t="str">
        <f t="shared" si="91"/>
        <v>00</v>
      </c>
      <c r="J472" s="26" t="str">
        <f>"54 "</f>
        <v xml:space="preserve">54 </v>
      </c>
      <c r="K472" s="26" t="str">
        <f t="shared" si="93"/>
        <v>SG</v>
      </c>
      <c r="L472" s="26" t="str">
        <f t="shared" si="94"/>
        <v>DGOSE</v>
      </c>
      <c r="M472" s="26" t="str">
        <f t="shared" si="90"/>
        <v>FEDERAL</v>
      </c>
      <c r="N472" s="26">
        <v>403</v>
      </c>
      <c r="O472" s="26">
        <v>205</v>
      </c>
      <c r="P472" s="26">
        <v>198</v>
      </c>
      <c r="Q472" s="26">
        <v>15</v>
      </c>
      <c r="R472" s="26">
        <v>2</v>
      </c>
      <c r="S472" s="26">
        <v>39</v>
      </c>
      <c r="T472" s="26">
        <v>24</v>
      </c>
      <c r="U472" s="26">
        <v>65</v>
      </c>
      <c r="V472" s="26">
        <v>1</v>
      </c>
      <c r="W472" s="26"/>
    </row>
    <row r="473" spans="1:23" x14ac:dyDescent="0.25">
      <c r="A473" s="26" t="str">
        <f t="shared" si="89"/>
        <v>SECUNDARIA</v>
      </c>
      <c r="B473" s="26" t="str">
        <f>"09DES4221T"</f>
        <v>09DES4221T</v>
      </c>
      <c r="C473" s="26" t="str">
        <f>"""TLACAELEL""                                                                                         "</f>
        <v xml:space="preserve">"TLACAELEL"                                                                                         </v>
      </c>
      <c r="D473" s="26" t="str">
        <f t="shared" si="92"/>
        <v>VESPERTINO</v>
      </c>
      <c r="E473" s="26" t="str">
        <f>"PRESA SALINILLA FRENTE A NO 390                                                 "</f>
        <v xml:space="preserve">PRESA SALINILLA FRENTE A NO 390                                                 </v>
      </c>
      <c r="F473" s="26" t="str">
        <f>"IRRIGACION                                                                                                                                  "</f>
        <v xml:space="preserve">IRRIGACION                                                                                                                                  </v>
      </c>
      <c r="G473" s="26" t="str">
        <f>"MIGUEL HIDALGO                                                                  "</f>
        <v xml:space="preserve">MIGUEL HIDALGO                                                                  </v>
      </c>
      <c r="H473" s="26" t="str">
        <f>"063"</f>
        <v>063</v>
      </c>
      <c r="I473" s="26" t="str">
        <f t="shared" si="91"/>
        <v>00</v>
      </c>
      <c r="J473" s="26" t="str">
        <f>"51 "</f>
        <v xml:space="preserve">51 </v>
      </c>
      <c r="K473" s="26" t="str">
        <f t="shared" si="93"/>
        <v>SG</v>
      </c>
      <c r="L473" s="26" t="str">
        <f t="shared" si="94"/>
        <v>DGOSE</v>
      </c>
      <c r="M473" s="26" t="str">
        <f t="shared" si="90"/>
        <v>FEDERAL</v>
      </c>
      <c r="N473" s="26">
        <v>484</v>
      </c>
      <c r="O473" s="26">
        <v>265</v>
      </c>
      <c r="P473" s="26">
        <v>219</v>
      </c>
      <c r="Q473" s="26">
        <v>15</v>
      </c>
      <c r="R473" s="26">
        <v>1</v>
      </c>
      <c r="S473" s="26">
        <v>35</v>
      </c>
      <c r="T473" s="26">
        <v>19</v>
      </c>
      <c r="U473" s="26">
        <v>55</v>
      </c>
      <c r="V473" s="26">
        <v>1</v>
      </c>
      <c r="W473" s="26"/>
    </row>
    <row r="474" spans="1:23" x14ac:dyDescent="0.25">
      <c r="A474" s="26" t="str">
        <f t="shared" si="89"/>
        <v>SECUNDARIA</v>
      </c>
      <c r="B474" s="26" t="str">
        <f>"09DES4222S"</f>
        <v>09DES4222S</v>
      </c>
      <c r="C474" s="26" t="str">
        <f>"TLALOC                                                                                              "</f>
        <v xml:space="preserve">TLALOC                                                                                              </v>
      </c>
      <c r="D474" s="26" t="str">
        <f t="shared" si="92"/>
        <v>VESPERTINO</v>
      </c>
      <c r="E474" s="26" t="str">
        <f>"CALZ DE LAS AGUILAS S/N                                                         "</f>
        <v xml:space="preserve">CALZ DE LAS AGUILAS S/N                                                         </v>
      </c>
      <c r="F474" s="26" t="str">
        <f>"LAS AGUILAS AMPLIACION                                                                                                                      "</f>
        <v xml:space="preserve">LAS AGUILAS AMPLIACION                                                                                                                      </v>
      </c>
      <c r="G474" s="26" t="str">
        <f>"ALVARO OBREGON                                                                  "</f>
        <v xml:space="preserve">ALVARO OBREGON                                                                  </v>
      </c>
      <c r="H474" s="26" t="str">
        <f>"001"</f>
        <v>001</v>
      </c>
      <c r="I474" s="26" t="str">
        <f t="shared" si="91"/>
        <v>00</v>
      </c>
      <c r="J474" s="26" t="str">
        <f>"53 "</f>
        <v xml:space="preserve">53 </v>
      </c>
      <c r="K474" s="26" t="str">
        <f t="shared" si="93"/>
        <v>SG</v>
      </c>
      <c r="L474" s="26" t="str">
        <f t="shared" si="94"/>
        <v>DGOSE</v>
      </c>
      <c r="M474" s="26" t="str">
        <f t="shared" si="90"/>
        <v>FEDERAL</v>
      </c>
      <c r="N474" s="26">
        <v>244</v>
      </c>
      <c r="O474" s="26">
        <v>138</v>
      </c>
      <c r="P474" s="26">
        <v>106</v>
      </c>
      <c r="Q474" s="26">
        <v>12</v>
      </c>
      <c r="R474" s="26">
        <v>2</v>
      </c>
      <c r="S474" s="26">
        <v>28</v>
      </c>
      <c r="T474" s="26">
        <v>13</v>
      </c>
      <c r="U474" s="26">
        <v>43</v>
      </c>
      <c r="V474" s="26">
        <v>1</v>
      </c>
      <c r="W474" s="26"/>
    </row>
    <row r="475" spans="1:23" x14ac:dyDescent="0.25">
      <c r="A475" s="26" t="str">
        <f t="shared" si="89"/>
        <v>SECUNDARIA</v>
      </c>
      <c r="B475" s="26" t="str">
        <f>"09DES4223R"</f>
        <v>09DES4223R</v>
      </c>
      <c r="C475" s="26" t="str">
        <f>"JOSE MARIA VELASCO                                                                                  "</f>
        <v xml:space="preserve">JOSE MARIA VELASCO                                                                                  </v>
      </c>
      <c r="D475" s="26" t="str">
        <f t="shared" si="92"/>
        <v>VESPERTINO</v>
      </c>
      <c r="E475" s="26" t="str">
        <f>"AV SAN JERONIMO NO 1706                                                         "</f>
        <v xml:space="preserve">AV SAN JERONIMO NO 1706                                                         </v>
      </c>
      <c r="F475" s="26" t="str">
        <f>"LOMAS QUEBRADAS                                                                                                                             "</f>
        <v xml:space="preserve">LOMAS QUEBRADAS                                                                                                                             </v>
      </c>
      <c r="G475" s="26" t="str">
        <f>"LA MAGDALENA CONTRERAS                                                          "</f>
        <v xml:space="preserve">LA MAGDALENA CONTRERAS                                                          </v>
      </c>
      <c r="H475" s="26" t="str">
        <f>"058"</f>
        <v>058</v>
      </c>
      <c r="I475" s="26" t="str">
        <f t="shared" si="91"/>
        <v>00</v>
      </c>
      <c r="J475" s="26" t="str">
        <f>"53 "</f>
        <v xml:space="preserve">53 </v>
      </c>
      <c r="K475" s="26" t="str">
        <f t="shared" si="93"/>
        <v>SG</v>
      </c>
      <c r="L475" s="26" t="str">
        <f t="shared" si="94"/>
        <v>DGOSE</v>
      </c>
      <c r="M475" s="26" t="str">
        <f t="shared" si="90"/>
        <v>FEDERAL</v>
      </c>
      <c r="N475" s="26">
        <v>672</v>
      </c>
      <c r="O475" s="26">
        <v>340</v>
      </c>
      <c r="P475" s="26">
        <v>332</v>
      </c>
      <c r="Q475" s="26">
        <v>15</v>
      </c>
      <c r="R475" s="26">
        <v>1</v>
      </c>
      <c r="S475" s="26">
        <v>41</v>
      </c>
      <c r="T475" s="26">
        <v>16</v>
      </c>
      <c r="U475" s="26">
        <v>58</v>
      </c>
      <c r="V475" s="26">
        <v>1</v>
      </c>
      <c r="W475" s="26"/>
    </row>
    <row r="476" spans="1:23" x14ac:dyDescent="0.25">
      <c r="A476" s="26" t="str">
        <f t="shared" si="89"/>
        <v>SECUNDARIA</v>
      </c>
      <c r="B476" s="26" t="str">
        <f>"09DES4224Q"</f>
        <v>09DES4224Q</v>
      </c>
      <c r="C476" s="26" t="str">
        <f>"""HUETZALIN""                                                                                         "</f>
        <v xml:space="preserve">"HUETZALIN"                                                                                         </v>
      </c>
      <c r="D476" s="26" t="str">
        <f t="shared" si="92"/>
        <v>VESPERTINO</v>
      </c>
      <c r="E476" s="26" t="str">
        <f>"PINO S/N                                                                        "</f>
        <v xml:space="preserve">PINO S/N                                                                        </v>
      </c>
      <c r="F476" s="26" t="str">
        <f>"GUADALUPE                                                                                                                                   "</f>
        <v xml:space="preserve">GUADALUPE                                                                                                                                   </v>
      </c>
      <c r="G476" s="26" t="str">
        <f>"XOCHIMILCO                                                                      "</f>
        <v xml:space="preserve">XOCHIMILCO                                                                      </v>
      </c>
      <c r="H476" s="26" t="str">
        <f>"079"</f>
        <v>079</v>
      </c>
      <c r="I476" s="26" t="str">
        <f t="shared" si="91"/>
        <v>00</v>
      </c>
      <c r="J476" s="26" t="str">
        <f>"55 "</f>
        <v xml:space="preserve">55 </v>
      </c>
      <c r="K476" s="26" t="str">
        <f t="shared" si="93"/>
        <v>SG</v>
      </c>
      <c r="L476" s="26" t="str">
        <f t="shared" si="94"/>
        <v>DGOSE</v>
      </c>
      <c r="M476" s="26" t="str">
        <f t="shared" si="90"/>
        <v>FEDERAL</v>
      </c>
      <c r="N476" s="26">
        <v>452</v>
      </c>
      <c r="O476" s="26">
        <v>266</v>
      </c>
      <c r="P476" s="26">
        <v>186</v>
      </c>
      <c r="Q476" s="26">
        <v>15</v>
      </c>
      <c r="R476" s="26">
        <v>2</v>
      </c>
      <c r="S476" s="26">
        <v>36</v>
      </c>
      <c r="T476" s="26">
        <v>21</v>
      </c>
      <c r="U476" s="26">
        <v>59</v>
      </c>
      <c r="V476" s="26">
        <v>1</v>
      </c>
      <c r="W476" s="26"/>
    </row>
    <row r="477" spans="1:23" x14ac:dyDescent="0.25">
      <c r="A477" s="26" t="str">
        <f t="shared" si="89"/>
        <v>SECUNDARIA</v>
      </c>
      <c r="B477" s="26" t="str">
        <f>"09DES4226O"</f>
        <v>09DES4226O</v>
      </c>
      <c r="C477" s="26" t="str">
        <f>"ESTADO DE VERACRUZ                                                                                  "</f>
        <v xml:space="preserve">ESTADO DE VERACRUZ                                                                                  </v>
      </c>
      <c r="D477" s="26" t="str">
        <f t="shared" si="92"/>
        <v>VESPERTINO</v>
      </c>
      <c r="E477" s="26" t="str">
        <f>"EMILIANO ZAPATA S/N ESQ. AV. TLAHUAC                                            "</f>
        <v xml:space="preserve">EMILIANO ZAPATA S/N ESQ. AV. TLAHUAC                                            </v>
      </c>
      <c r="F477" s="26" t="str">
        <f>"SANTA MARIA TOMATLAN                                                                                                                        "</f>
        <v xml:space="preserve">SANTA MARIA TOMATLAN                                                                                                                        </v>
      </c>
      <c r="G477" s="26" t="str">
        <f>"IZTAPALAPA                                                                      "</f>
        <v xml:space="preserve">IZTAPALAPA                                                                      </v>
      </c>
      <c r="H477" s="26" t="str">
        <f>"011"</f>
        <v>011</v>
      </c>
      <c r="I477" s="26" t="str">
        <f t="shared" si="91"/>
        <v>00</v>
      </c>
      <c r="J477" s="26" t="str">
        <f>"63 "</f>
        <v xml:space="preserve">63 </v>
      </c>
      <c r="K477" s="26" t="str">
        <f>"IZ"</f>
        <v>IZ</v>
      </c>
      <c r="L477" s="26" t="str">
        <f>"DGSEI"</f>
        <v>DGSEI</v>
      </c>
      <c r="M477" s="26" t="str">
        <f t="shared" si="90"/>
        <v>FEDERAL</v>
      </c>
      <c r="N477" s="26">
        <v>220</v>
      </c>
      <c r="O477" s="26">
        <v>120</v>
      </c>
      <c r="P477" s="26">
        <v>100</v>
      </c>
      <c r="Q477" s="26">
        <v>11</v>
      </c>
      <c r="R477" s="26">
        <v>2</v>
      </c>
      <c r="S477" s="26">
        <v>34</v>
      </c>
      <c r="T477" s="26">
        <v>19</v>
      </c>
      <c r="U477" s="26">
        <v>55</v>
      </c>
      <c r="V477" s="26">
        <v>1</v>
      </c>
      <c r="W477" s="26"/>
    </row>
    <row r="478" spans="1:23" x14ac:dyDescent="0.25">
      <c r="A478" s="26" t="str">
        <f t="shared" si="89"/>
        <v>SECUNDARIA</v>
      </c>
      <c r="B478" s="26" t="str">
        <f>"09DES4227N"</f>
        <v>09DES4227N</v>
      </c>
      <c r="C478" s="26" t="str">
        <f>"""SOUMAYA DOMIT GEMAYEL""                                                                             "</f>
        <v xml:space="preserve">"SOUMAYA DOMIT GEMAYEL"                                                                             </v>
      </c>
      <c r="D478" s="26" t="str">
        <f t="shared" si="92"/>
        <v>VESPERTINO</v>
      </c>
      <c r="E478" s="26" t="str">
        <f>"MAYA Y AZT SECT C-8 INFONAVIT                                                   "</f>
        <v xml:space="preserve">MAYA Y AZT SECT C-8 INFONAVIT                                                   </v>
      </c>
      <c r="F478" s="26" t="str">
        <f>"UNIDAD INFONAVIT EL ROSARIO                                                                                                                 "</f>
        <v xml:space="preserve">UNIDAD INFONAVIT EL ROSARIO                                                                                                                 </v>
      </c>
      <c r="G478" s="26" t="str">
        <f>"AZCAPOTZALCO                                                                    "</f>
        <v xml:space="preserve">AZCAPOTZALCO                                                                    </v>
      </c>
      <c r="H478" s="26" t="str">
        <f>"006"</f>
        <v>006</v>
      </c>
      <c r="I478" s="26" t="str">
        <f t="shared" si="91"/>
        <v>00</v>
      </c>
      <c r="J478" s="26" t="str">
        <f>"51 "</f>
        <v xml:space="preserve">51 </v>
      </c>
      <c r="K478" s="26" t="str">
        <f>"SG"</f>
        <v>SG</v>
      </c>
      <c r="L478" s="26" t="str">
        <f>"DGOSE"</f>
        <v>DGOSE</v>
      </c>
      <c r="M478" s="26" t="str">
        <f t="shared" si="90"/>
        <v>FEDERAL</v>
      </c>
      <c r="N478" s="26">
        <v>65</v>
      </c>
      <c r="O478" s="26">
        <v>42</v>
      </c>
      <c r="P478" s="26">
        <v>23</v>
      </c>
      <c r="Q478" s="26">
        <v>3</v>
      </c>
      <c r="R478" s="26">
        <v>2</v>
      </c>
      <c r="S478" s="26">
        <v>13</v>
      </c>
      <c r="T478" s="26">
        <v>8</v>
      </c>
      <c r="U478" s="26">
        <v>23</v>
      </c>
      <c r="V478" s="26">
        <v>1</v>
      </c>
      <c r="W478" s="26"/>
    </row>
    <row r="479" spans="1:23" x14ac:dyDescent="0.25">
      <c r="A479" s="26" t="str">
        <f t="shared" si="89"/>
        <v>SECUNDARIA</v>
      </c>
      <c r="B479" s="26" t="str">
        <f>"09DES4229L"</f>
        <v>09DES4229L</v>
      </c>
      <c r="C479" s="26" t="str">
        <f>"LUDMILA YIVKOVA                                                                                     "</f>
        <v xml:space="preserve">LUDMILA YIVKOVA                                                                                     </v>
      </c>
      <c r="D479" s="26" t="str">
        <f t="shared" si="92"/>
        <v>VESPERTINO</v>
      </c>
      <c r="E479" s="26" t="str">
        <f>"INF PEDREGAL DE CARRASCO 7TA SECC                                               "</f>
        <v xml:space="preserve">INF PEDREGAL DE CARRASCO 7TA SECC                                               </v>
      </c>
      <c r="F479" s="26" t="str">
        <f>"PEDREGAL DE CARRASCO                                                                                                                        "</f>
        <v xml:space="preserve">PEDREGAL DE CARRASCO                                                                                                                        </v>
      </c>
      <c r="G479" s="26" t="str">
        <f>"COYOACAN                                                                        "</f>
        <v xml:space="preserve">COYOACAN                                                                        </v>
      </c>
      <c r="H479" s="26" t="str">
        <f>"017"</f>
        <v>017</v>
      </c>
      <c r="I479" s="26" t="str">
        <f t="shared" si="91"/>
        <v>00</v>
      </c>
      <c r="J479" s="26" t="str">
        <f>"54 "</f>
        <v xml:space="preserve">54 </v>
      </c>
      <c r="K479" s="26" t="str">
        <f>"SG"</f>
        <v>SG</v>
      </c>
      <c r="L479" s="26" t="str">
        <f>"DGOSE"</f>
        <v>DGOSE</v>
      </c>
      <c r="M479" s="26" t="str">
        <f t="shared" si="90"/>
        <v>FEDERAL</v>
      </c>
      <c r="N479" s="26">
        <v>539</v>
      </c>
      <c r="O479" s="26">
        <v>274</v>
      </c>
      <c r="P479" s="26">
        <v>265</v>
      </c>
      <c r="Q479" s="26">
        <v>12</v>
      </c>
      <c r="R479" s="26">
        <v>2</v>
      </c>
      <c r="S479" s="26">
        <v>31</v>
      </c>
      <c r="T479" s="26">
        <v>24</v>
      </c>
      <c r="U479" s="26">
        <v>57</v>
      </c>
      <c r="V479" s="26">
        <v>1</v>
      </c>
      <c r="W479" s="26"/>
    </row>
    <row r="480" spans="1:23" x14ac:dyDescent="0.25">
      <c r="A480" s="26" t="str">
        <f t="shared" si="89"/>
        <v>SECUNDARIA</v>
      </c>
      <c r="B480" s="26" t="str">
        <f>"09DES4230A"</f>
        <v>09DES4230A</v>
      </c>
      <c r="C480" s="26" t="str">
        <f>"JESUS MASTACHE ROMAN                                                                                "</f>
        <v xml:space="preserve">JESUS MASTACHE ROMAN                                                                                </v>
      </c>
      <c r="D480" s="26" t="str">
        <f t="shared" si="92"/>
        <v>VESPERTINO</v>
      </c>
      <c r="E480" s="26" t="str">
        <f>"ING JESUS GOMEZ GONZALEZ S/N                                                    "</f>
        <v xml:space="preserve">ING JESUS GOMEZ GONZALEZ S/N                                                    </v>
      </c>
      <c r="F480" s="26" t="str">
        <f>"PRADO COAPA                                                                                                                                 "</f>
        <v xml:space="preserve">PRADO COAPA                                                                                                                                 </v>
      </c>
      <c r="G480" s="26" t="str">
        <f>"TLALPAN                                                                         "</f>
        <v xml:space="preserve">TLALPAN                                                                         </v>
      </c>
      <c r="H480" s="26" t="str">
        <f>"070"</f>
        <v>070</v>
      </c>
      <c r="I480" s="26" t="str">
        <f t="shared" si="91"/>
        <v>00</v>
      </c>
      <c r="J480" s="26" t="str">
        <f>"55 "</f>
        <v xml:space="preserve">55 </v>
      </c>
      <c r="K480" s="26" t="str">
        <f>"SG"</f>
        <v>SG</v>
      </c>
      <c r="L480" s="26" t="str">
        <f>"DGOSE"</f>
        <v>DGOSE</v>
      </c>
      <c r="M480" s="26" t="str">
        <f t="shared" si="90"/>
        <v>FEDERAL</v>
      </c>
      <c r="N480" s="26">
        <v>377</v>
      </c>
      <c r="O480" s="26">
        <v>198</v>
      </c>
      <c r="P480" s="26">
        <v>179</v>
      </c>
      <c r="Q480" s="26">
        <v>15</v>
      </c>
      <c r="R480" s="26">
        <v>2</v>
      </c>
      <c r="S480" s="26">
        <v>37</v>
      </c>
      <c r="T480" s="26">
        <v>21</v>
      </c>
      <c r="U480" s="26">
        <v>60</v>
      </c>
      <c r="V480" s="26">
        <v>1</v>
      </c>
      <c r="W480" s="26"/>
    </row>
    <row r="481" spans="1:23" x14ac:dyDescent="0.25">
      <c r="A481" s="26" t="str">
        <f t="shared" si="89"/>
        <v>SECUNDARIA</v>
      </c>
      <c r="B481" s="26" t="str">
        <f>"09DES4231Z"</f>
        <v>09DES4231Z</v>
      </c>
      <c r="C481" s="26" t="str">
        <f>"SIGMUND FREUD                                                                                       "</f>
        <v xml:space="preserve">SIGMUND FREUD                                                                                       </v>
      </c>
      <c r="D481" s="26" t="str">
        <f t="shared" si="92"/>
        <v>VESPERTINO</v>
      </c>
      <c r="E481" s="26" t="str">
        <f>"AV VASCO DE QUIROGA NO 1355                                                     "</f>
        <v xml:space="preserve">AV VASCO DE QUIROGA NO 1355                                                     </v>
      </c>
      <c r="F481" s="26" t="str">
        <f>"SANTA FE                                                                                                                                    "</f>
        <v xml:space="preserve">SANTA FE                                                                                                                                    </v>
      </c>
      <c r="G481" s="26" t="str">
        <f>"ALVARO OBREGON                                                                  "</f>
        <v xml:space="preserve">ALVARO OBREGON                                                                  </v>
      </c>
      <c r="H481" s="26" t="str">
        <f>"004"</f>
        <v>004</v>
      </c>
      <c r="I481" s="26" t="str">
        <f t="shared" si="91"/>
        <v>00</v>
      </c>
      <c r="J481" s="26" t="str">
        <f>"53 "</f>
        <v xml:space="preserve">53 </v>
      </c>
      <c r="K481" s="26" t="str">
        <f>"SG"</f>
        <v>SG</v>
      </c>
      <c r="L481" s="26" t="str">
        <f>"DGOSE"</f>
        <v>DGOSE</v>
      </c>
      <c r="M481" s="26" t="str">
        <f t="shared" si="90"/>
        <v>FEDERAL</v>
      </c>
      <c r="N481" s="26">
        <v>217</v>
      </c>
      <c r="O481" s="26">
        <v>122</v>
      </c>
      <c r="P481" s="26">
        <v>95</v>
      </c>
      <c r="Q481" s="26">
        <v>6</v>
      </c>
      <c r="R481" s="26">
        <v>1</v>
      </c>
      <c r="S481" s="26">
        <v>17</v>
      </c>
      <c r="T481" s="26">
        <v>8</v>
      </c>
      <c r="U481" s="26">
        <v>26</v>
      </c>
      <c r="V481" s="26">
        <v>1</v>
      </c>
      <c r="W481" s="26"/>
    </row>
    <row r="482" spans="1:23" x14ac:dyDescent="0.25">
      <c r="A482" s="26" t="str">
        <f t="shared" si="89"/>
        <v>SECUNDARIA</v>
      </c>
      <c r="B482" s="26" t="str">
        <f>"09DES4235W"</f>
        <v>09DES4235W</v>
      </c>
      <c r="C482" s="26" t="str">
        <f>"JOSE CLEMENTE OROZCO                                                                                "</f>
        <v xml:space="preserve">JOSE CLEMENTE OROZCO                                                                                </v>
      </c>
      <c r="D482" s="26" t="str">
        <f t="shared" si="92"/>
        <v>VESPERTINO</v>
      </c>
      <c r="E482" s="26" t="str">
        <f>"AMERICA Y ESTEBAN CORONADO                                                      "</f>
        <v xml:space="preserve">AMERICA Y ESTEBAN CORONADO                                                      </v>
      </c>
      <c r="F482" s="26" t="str">
        <f>"LA REGADERA                                                                                                                                 "</f>
        <v xml:space="preserve">LA REGADERA                                                                                                                                 </v>
      </c>
      <c r="G482" s="26" t="str">
        <f>"IZTAPALAPA                                                                      "</f>
        <v xml:space="preserve">IZTAPALAPA                                                                      </v>
      </c>
      <c r="H482" s="26" t="str">
        <f>"008"</f>
        <v>008</v>
      </c>
      <c r="I482" s="26" t="str">
        <f t="shared" si="91"/>
        <v>00</v>
      </c>
      <c r="J482" s="26" t="str">
        <f>"62 "</f>
        <v xml:space="preserve">62 </v>
      </c>
      <c r="K482" s="26" t="str">
        <f>"IZ"</f>
        <v>IZ</v>
      </c>
      <c r="L482" s="26" t="str">
        <f>"DGSEI"</f>
        <v>DGSEI</v>
      </c>
      <c r="M482" s="26" t="str">
        <f t="shared" si="90"/>
        <v>FEDERAL</v>
      </c>
      <c r="N482" s="26">
        <v>258</v>
      </c>
      <c r="O482" s="26">
        <v>160</v>
      </c>
      <c r="P482" s="26">
        <v>98</v>
      </c>
      <c r="Q482" s="26">
        <v>12</v>
      </c>
      <c r="R482" s="26">
        <v>2</v>
      </c>
      <c r="S482" s="26">
        <v>33</v>
      </c>
      <c r="T482" s="26">
        <v>19</v>
      </c>
      <c r="U482" s="26">
        <v>54</v>
      </c>
      <c r="V482" s="26">
        <v>1</v>
      </c>
      <c r="W482" s="26"/>
    </row>
    <row r="483" spans="1:23" x14ac:dyDescent="0.25">
      <c r="A483" s="26" t="str">
        <f t="shared" si="89"/>
        <v>SECUNDARIA</v>
      </c>
      <c r="B483" s="26" t="str">
        <f>"09DES4236V"</f>
        <v>09DES4236V</v>
      </c>
      <c r="C483" s="26" t="str">
        <f>"IZTAPALAPA                                                                                          "</f>
        <v xml:space="preserve">IZTAPALAPA                                                                                          </v>
      </c>
      <c r="D483" s="26" t="str">
        <f t="shared" si="92"/>
        <v>VESPERTINO</v>
      </c>
      <c r="E483" s="26" t="str">
        <f>"GRAL. PABLO GARCIA Y TRINIDAD SALGADO NO. 20                                    "</f>
        <v xml:space="preserve">GRAL. PABLO GARCIA Y TRINIDAD SALGADO NO. 20                                    </v>
      </c>
      <c r="F483" s="26" t="str">
        <f>"JUAN ESCUTIA                                                                                                                                "</f>
        <v xml:space="preserve">JUAN ESCUTIA                                                                                                                                </v>
      </c>
      <c r="G483" s="26" t="str">
        <f>"IZTAPALAPA                                                                      "</f>
        <v xml:space="preserve">IZTAPALAPA                                                                      </v>
      </c>
      <c r="H483" s="26" t="str">
        <f>"005"</f>
        <v>005</v>
      </c>
      <c r="I483" s="26" t="str">
        <f t="shared" si="91"/>
        <v>00</v>
      </c>
      <c r="J483" s="26" t="str">
        <f>"62 "</f>
        <v xml:space="preserve">62 </v>
      </c>
      <c r="K483" s="26" t="str">
        <f>"IZ"</f>
        <v>IZ</v>
      </c>
      <c r="L483" s="26" t="str">
        <f>"DGSEI"</f>
        <v>DGSEI</v>
      </c>
      <c r="M483" s="26" t="str">
        <f t="shared" si="90"/>
        <v>FEDERAL</v>
      </c>
      <c r="N483" s="26">
        <v>631</v>
      </c>
      <c r="O483" s="26">
        <v>292</v>
      </c>
      <c r="P483" s="26">
        <v>339</v>
      </c>
      <c r="Q483" s="26">
        <v>15</v>
      </c>
      <c r="R483" s="26">
        <v>2</v>
      </c>
      <c r="S483" s="26">
        <v>44</v>
      </c>
      <c r="T483" s="26">
        <v>26</v>
      </c>
      <c r="U483" s="26">
        <v>72</v>
      </c>
      <c r="V483" s="26">
        <v>1</v>
      </c>
      <c r="W483" s="26"/>
    </row>
    <row r="484" spans="1:23" x14ac:dyDescent="0.25">
      <c r="A484" s="26" t="str">
        <f t="shared" si="89"/>
        <v>SECUNDARIA</v>
      </c>
      <c r="B484" s="26" t="str">
        <f>"09DES4237U"</f>
        <v>09DES4237U</v>
      </c>
      <c r="C484" s="26" t="str">
        <f>"""HERMANOS FLORES MAGON""                                                                             "</f>
        <v xml:space="preserve">"HERMANOS FLORES MAGON"                                                                             </v>
      </c>
      <c r="D484" s="26" t="str">
        <f t="shared" si="92"/>
        <v>VESPERTINO</v>
      </c>
      <c r="E484" s="26" t="str">
        <f>"SEGURO SOCIAL Y SRIA DEL TRABAJO                                                "</f>
        <v xml:space="preserve">SEGURO SOCIAL Y SRIA DEL TRABAJO                                                </v>
      </c>
      <c r="F484" s="26" t="str">
        <f>"CUATRO ARBOLES                                                                                                                              "</f>
        <v xml:space="preserve">CUATRO ARBOLES                                                                                                                              </v>
      </c>
      <c r="G484" s="26" t="str">
        <f>"VENUSTIANO CARRANZA                                                             "</f>
        <v xml:space="preserve">VENUSTIANO CARRANZA                                                             </v>
      </c>
      <c r="H484" s="26" t="str">
        <f>"077"</f>
        <v>077</v>
      </c>
      <c r="I484" s="26" t="str">
        <f t="shared" si="91"/>
        <v>00</v>
      </c>
      <c r="J484" s="26" t="str">
        <f>"54 "</f>
        <v xml:space="preserve">54 </v>
      </c>
      <c r="K484" s="26" t="str">
        <f>"SG"</f>
        <v>SG</v>
      </c>
      <c r="L484" s="26" t="str">
        <f>"DGOSE"</f>
        <v>DGOSE</v>
      </c>
      <c r="M484" s="26" t="str">
        <f t="shared" si="90"/>
        <v>FEDERAL</v>
      </c>
      <c r="N484" s="26">
        <v>82</v>
      </c>
      <c r="O484" s="26">
        <v>45</v>
      </c>
      <c r="P484" s="26">
        <v>37</v>
      </c>
      <c r="Q484" s="26">
        <v>4</v>
      </c>
      <c r="R484" s="26">
        <v>2</v>
      </c>
      <c r="S484" s="26">
        <v>22</v>
      </c>
      <c r="T484" s="26">
        <v>13</v>
      </c>
      <c r="U484" s="26">
        <v>37</v>
      </c>
      <c r="V484" s="26">
        <v>1</v>
      </c>
      <c r="W484" s="26"/>
    </row>
    <row r="485" spans="1:23" x14ac:dyDescent="0.25">
      <c r="A485" s="26" t="str">
        <f t="shared" si="89"/>
        <v>SECUNDARIA</v>
      </c>
      <c r="B485" s="26" t="str">
        <f>"09DES4238T"</f>
        <v>09DES4238T</v>
      </c>
      <c r="C485" s="26" t="str">
        <f>"RAMON BETETA                                                                                        "</f>
        <v xml:space="preserve">RAMON BETETA                                                                                        </v>
      </c>
      <c r="D485" s="26" t="str">
        <f t="shared" si="92"/>
        <v>VESPERTINO</v>
      </c>
      <c r="E485" s="26" t="str">
        <f>"OAXACA S/N ESQ YUCATAN                                                          "</f>
        <v xml:space="preserve">OAXACA S/N ESQ YUCATAN                                                          </v>
      </c>
      <c r="F485" s="26" t="str">
        <f>"SAN SEBASTIAN TECOLOXTITLAN                                                                                                                 "</f>
        <v xml:space="preserve">SAN SEBASTIAN TECOLOXTITLAN                                                                                                                 </v>
      </c>
      <c r="G485" s="26" t="str">
        <f>"IZTAPALAPA                                                                      "</f>
        <v xml:space="preserve">IZTAPALAPA                                                                      </v>
      </c>
      <c r="H485" s="26" t="str">
        <f>"006"</f>
        <v>006</v>
      </c>
      <c r="I485" s="26" t="str">
        <f t="shared" si="91"/>
        <v>00</v>
      </c>
      <c r="J485" s="26" t="str">
        <f>"62 "</f>
        <v xml:space="preserve">62 </v>
      </c>
      <c r="K485" s="26" t="str">
        <f>"IZ"</f>
        <v>IZ</v>
      </c>
      <c r="L485" s="26" t="str">
        <f>"DGSEI"</f>
        <v>DGSEI</v>
      </c>
      <c r="M485" s="26" t="str">
        <f t="shared" si="90"/>
        <v>FEDERAL</v>
      </c>
      <c r="N485" s="26">
        <v>398</v>
      </c>
      <c r="O485" s="26">
        <v>205</v>
      </c>
      <c r="P485" s="26">
        <v>193</v>
      </c>
      <c r="Q485" s="26">
        <v>11</v>
      </c>
      <c r="R485" s="26">
        <v>2</v>
      </c>
      <c r="S485" s="26">
        <v>34</v>
      </c>
      <c r="T485" s="26">
        <v>22</v>
      </c>
      <c r="U485" s="26">
        <v>58</v>
      </c>
      <c r="V485" s="26">
        <v>1</v>
      </c>
      <c r="W485" s="26"/>
    </row>
    <row r="486" spans="1:23" x14ac:dyDescent="0.25">
      <c r="A486" s="26" t="str">
        <f t="shared" si="89"/>
        <v>SECUNDARIA</v>
      </c>
      <c r="B486" s="26" t="str">
        <f>"09DES4240H"</f>
        <v>09DES4240H</v>
      </c>
      <c r="C486" s="26" t="str">
        <f>"REPUBLICA DE SUDÁFRICA                                                                              "</f>
        <v xml:space="preserve">REPUBLICA DE SUDÁFRICA                                                                              </v>
      </c>
      <c r="D486" s="26" t="str">
        <f t="shared" si="92"/>
        <v>VESPERTINO</v>
      </c>
      <c r="E486" s="26" t="str">
        <f>"CALLE 8 Y AV SANTIAGO                                                           "</f>
        <v xml:space="preserve">CALLE 8 Y AV SANTIAGO                                                           </v>
      </c>
      <c r="F486" s="26" t="str">
        <f>"GUADALUPE PROLETARIA                                                                                                                        "</f>
        <v xml:space="preserve">GUADALUPE PROLETARIA                                                                                                                        </v>
      </c>
      <c r="G486" s="26" t="str">
        <f>"GUSTAVO A. MADERO                                                               "</f>
        <v xml:space="preserve">GUSTAVO A. MADERO                                                               </v>
      </c>
      <c r="H486" s="26" t="str">
        <f>"032"</f>
        <v>032</v>
      </c>
      <c r="I486" s="26" t="str">
        <f t="shared" si="91"/>
        <v>00</v>
      </c>
      <c r="J486" s="26" t="str">
        <f>"52 "</f>
        <v xml:space="preserve">52 </v>
      </c>
      <c r="K486" s="26" t="str">
        <f>"SG"</f>
        <v>SG</v>
      </c>
      <c r="L486" s="26" t="str">
        <f>"DGOSE"</f>
        <v>DGOSE</v>
      </c>
      <c r="M486" s="26" t="str">
        <f t="shared" si="90"/>
        <v>FEDERAL</v>
      </c>
      <c r="N486" s="26">
        <v>127</v>
      </c>
      <c r="O486" s="26">
        <v>72</v>
      </c>
      <c r="P486" s="26">
        <v>55</v>
      </c>
      <c r="Q486" s="26">
        <v>7</v>
      </c>
      <c r="R486" s="26">
        <v>2</v>
      </c>
      <c r="S486" s="26">
        <v>18</v>
      </c>
      <c r="T486" s="26">
        <v>13</v>
      </c>
      <c r="U486" s="26">
        <v>33</v>
      </c>
      <c r="V486" s="26">
        <v>1</v>
      </c>
      <c r="W486" s="26"/>
    </row>
    <row r="487" spans="1:23" x14ac:dyDescent="0.25">
      <c r="A487" s="26" t="str">
        <f t="shared" si="89"/>
        <v>SECUNDARIA</v>
      </c>
      <c r="B487" s="26" t="str">
        <f>"09DES4243E"</f>
        <v>09DES4243E</v>
      </c>
      <c r="C487" s="26" t="str">
        <f>"SECUNDARIA FEDERAL                                                                                  "</f>
        <v xml:space="preserve">SECUNDARIA FEDERAL                                                                                  </v>
      </c>
      <c r="D487" s="26" t="str">
        <f t="shared" si="92"/>
        <v>VESPERTINO</v>
      </c>
      <c r="E487" s="26" t="str">
        <f>"CALZ CORCELES Y CORRIDO                                                         "</f>
        <v xml:space="preserve">CALZ CORCELES Y CORRIDO                                                         </v>
      </c>
      <c r="F487" s="26" t="str">
        <f>"COLINAS DEL SUR                                                                                                                             "</f>
        <v xml:space="preserve">COLINAS DEL SUR                                                                                                                             </v>
      </c>
      <c r="G487" s="26" t="str">
        <f>"ALVARO OBREGON                                                                  "</f>
        <v xml:space="preserve">ALVARO OBREGON                                                                  </v>
      </c>
      <c r="H487" s="26" t="str">
        <f>"004"</f>
        <v>004</v>
      </c>
      <c r="I487" s="26" t="str">
        <f t="shared" si="91"/>
        <v>00</v>
      </c>
      <c r="J487" s="26" t="str">
        <f>"53 "</f>
        <v xml:space="preserve">53 </v>
      </c>
      <c r="K487" s="26" t="str">
        <f>"SG"</f>
        <v>SG</v>
      </c>
      <c r="L487" s="26" t="str">
        <f>"DGOSE"</f>
        <v>DGOSE</v>
      </c>
      <c r="M487" s="26" t="str">
        <f t="shared" si="90"/>
        <v>FEDERAL</v>
      </c>
      <c r="N487" s="26">
        <v>656</v>
      </c>
      <c r="O487" s="26">
        <v>329</v>
      </c>
      <c r="P487" s="26">
        <v>327</v>
      </c>
      <c r="Q487" s="26">
        <v>15</v>
      </c>
      <c r="R487" s="26">
        <v>1</v>
      </c>
      <c r="S487" s="26">
        <v>36</v>
      </c>
      <c r="T487" s="26">
        <v>15</v>
      </c>
      <c r="U487" s="26">
        <v>52</v>
      </c>
      <c r="V487" s="26">
        <v>1</v>
      </c>
      <c r="W487" s="26"/>
    </row>
    <row r="488" spans="1:23" x14ac:dyDescent="0.25">
      <c r="A488" s="26" t="str">
        <f t="shared" si="89"/>
        <v>SECUNDARIA</v>
      </c>
      <c r="B488" s="26" t="str">
        <f>"09DES4247A"</f>
        <v>09DES4247A</v>
      </c>
      <c r="C488" s="26" t="str">
        <f>"JESUS SILVA HERZOG                                                                                  "</f>
        <v xml:space="preserve">JESUS SILVA HERZOG                                                                                  </v>
      </c>
      <c r="D488" s="26" t="str">
        <f t="shared" si="92"/>
        <v>VESPERTINO</v>
      </c>
      <c r="E488" s="26" t="str">
        <f>"AV 611 Y CDA 611                                                                "</f>
        <v xml:space="preserve">AV 611 Y CDA 611                                                                </v>
      </c>
      <c r="F488" s="26" t="str">
        <f>"SAN JUAN DE ARAGON                                                                                                                          "</f>
        <v xml:space="preserve">SAN JUAN DE ARAGON                                                                                                                          </v>
      </c>
      <c r="G488" s="26" t="str">
        <f>"GUSTAVO A. MADERO                                                               "</f>
        <v xml:space="preserve">GUSTAVO A. MADERO                                                               </v>
      </c>
      <c r="H488" s="26" t="str">
        <f>"042"</f>
        <v>042</v>
      </c>
      <c r="I488" s="26" t="str">
        <f t="shared" si="91"/>
        <v>00</v>
      </c>
      <c r="J488" s="26" t="str">
        <f>"52 "</f>
        <v xml:space="preserve">52 </v>
      </c>
      <c r="K488" s="26" t="str">
        <f>"SG"</f>
        <v>SG</v>
      </c>
      <c r="L488" s="26" t="str">
        <f>"DGOSE"</f>
        <v>DGOSE</v>
      </c>
      <c r="M488" s="26" t="str">
        <f t="shared" si="90"/>
        <v>FEDERAL</v>
      </c>
      <c r="N488" s="26">
        <v>220</v>
      </c>
      <c r="O488" s="26">
        <v>120</v>
      </c>
      <c r="P488" s="26">
        <v>100</v>
      </c>
      <c r="Q488" s="26">
        <v>8</v>
      </c>
      <c r="R488" s="26">
        <v>1</v>
      </c>
      <c r="S488" s="26">
        <v>30</v>
      </c>
      <c r="T488" s="26">
        <v>17</v>
      </c>
      <c r="U488" s="26">
        <v>48</v>
      </c>
      <c r="V488" s="26">
        <v>1</v>
      </c>
      <c r="W488" s="26"/>
    </row>
    <row r="489" spans="1:23" x14ac:dyDescent="0.25">
      <c r="A489" s="26" t="str">
        <f t="shared" si="89"/>
        <v>SECUNDARIA</v>
      </c>
      <c r="B489" s="26" t="str">
        <f>"09DES4248Z"</f>
        <v>09DES4248Z</v>
      </c>
      <c r="C489" s="26" t="str">
        <f>"""CALMECAC""                                                                                          "</f>
        <v xml:space="preserve">"CALMECAC"                                                                                          </v>
      </c>
      <c r="D489" s="26" t="str">
        <f t="shared" si="92"/>
        <v>VESPERTINO</v>
      </c>
      <c r="E489" s="26" t="str">
        <f>"GRANADOS ESQ CDA DE EUCALIPTO                                                   "</f>
        <v xml:space="preserve">GRANADOS ESQ CDA DE EUCALIPTO                                                   </v>
      </c>
      <c r="F489" s="26" t="str">
        <f>"GRANJAS DE NAVIDAD                                                                                                                          "</f>
        <v xml:space="preserve">GRANJAS DE NAVIDAD                                                                                                                          </v>
      </c>
      <c r="G489" s="26" t="str">
        <f>"CUAJIMALPA DE MORELOS                                                           "</f>
        <v xml:space="preserve">CUAJIMALPA DE MORELOS                                                           </v>
      </c>
      <c r="H489" s="26" t="str">
        <f>"023"</f>
        <v>023</v>
      </c>
      <c r="I489" s="26" t="str">
        <f t="shared" si="91"/>
        <v>00</v>
      </c>
      <c r="J489" s="26" t="str">
        <f>"53 "</f>
        <v xml:space="preserve">53 </v>
      </c>
      <c r="K489" s="26" t="str">
        <f>"SG"</f>
        <v>SG</v>
      </c>
      <c r="L489" s="26" t="str">
        <f>"DGOSE"</f>
        <v>DGOSE</v>
      </c>
      <c r="M489" s="26" t="str">
        <f t="shared" si="90"/>
        <v>FEDERAL</v>
      </c>
      <c r="N489" s="26">
        <v>840</v>
      </c>
      <c r="O489" s="26">
        <v>410</v>
      </c>
      <c r="P489" s="26">
        <v>430</v>
      </c>
      <c r="Q489" s="26">
        <v>18</v>
      </c>
      <c r="R489" s="26">
        <v>2</v>
      </c>
      <c r="S489" s="26">
        <v>43</v>
      </c>
      <c r="T489" s="26">
        <v>20</v>
      </c>
      <c r="U489" s="26">
        <v>65</v>
      </c>
      <c r="V489" s="26">
        <v>1</v>
      </c>
      <c r="W489" s="26"/>
    </row>
    <row r="490" spans="1:23" x14ac:dyDescent="0.25">
      <c r="A490" s="26" t="str">
        <f t="shared" si="89"/>
        <v>SECUNDARIA</v>
      </c>
      <c r="B490" s="26" t="str">
        <f>"09DES4249Z"</f>
        <v>09DES4249Z</v>
      </c>
      <c r="C490" s="26" t="str">
        <f>"MEXICO TENOCHTITLAN                                                                                 "</f>
        <v xml:space="preserve">MEXICO TENOCHTITLAN                                                                                 </v>
      </c>
      <c r="D490" s="26" t="str">
        <f t="shared" si="92"/>
        <v>VESPERTINO</v>
      </c>
      <c r="E490" s="26" t="str">
        <f>"MANUEL CAÑAS Y VILLA BRAS                                                       "</f>
        <v xml:space="preserve">MANUEL CAÑAS Y VILLA BRAS                                                       </v>
      </c>
      <c r="F490" s="26" t="str">
        <f>"DESARROLLO URBANO QUETZALCOATL                                                                                                              "</f>
        <v xml:space="preserve">DESARROLLO URBANO QUETZALCOATL                                                                                                              </v>
      </c>
      <c r="G490" s="26" t="str">
        <f>"IZTAPALAPA                                                                      "</f>
        <v xml:space="preserve">IZTAPALAPA                                                                      </v>
      </c>
      <c r="H490" s="26" t="str">
        <f>"013"</f>
        <v>013</v>
      </c>
      <c r="I490" s="26" t="str">
        <f t="shared" si="91"/>
        <v>00</v>
      </c>
      <c r="J490" s="26" t="str">
        <f>"64 "</f>
        <v xml:space="preserve">64 </v>
      </c>
      <c r="K490" s="26" t="str">
        <f>"IZ"</f>
        <v>IZ</v>
      </c>
      <c r="L490" s="26" t="str">
        <f>"DGSEI"</f>
        <v>DGSEI</v>
      </c>
      <c r="M490" s="26" t="str">
        <f t="shared" si="90"/>
        <v>FEDERAL</v>
      </c>
      <c r="N490" s="26">
        <v>746</v>
      </c>
      <c r="O490" s="26">
        <v>387</v>
      </c>
      <c r="P490" s="26">
        <v>359</v>
      </c>
      <c r="Q490" s="26">
        <v>18</v>
      </c>
      <c r="R490" s="26">
        <v>2</v>
      </c>
      <c r="S490" s="26">
        <v>43</v>
      </c>
      <c r="T490" s="26">
        <v>29</v>
      </c>
      <c r="U490" s="26">
        <v>74</v>
      </c>
      <c r="V490" s="26">
        <v>1</v>
      </c>
      <c r="W490" s="26"/>
    </row>
    <row r="491" spans="1:23" x14ac:dyDescent="0.25">
      <c r="A491" s="26" t="str">
        <f t="shared" si="89"/>
        <v>SECUNDARIA</v>
      </c>
      <c r="B491" s="26" t="str">
        <f>"09DES4250O"</f>
        <v>09DES4250O</v>
      </c>
      <c r="C491" s="26" t="str">
        <f>"JESUS M. SOTELO E INCLAN                                                                            "</f>
        <v xml:space="preserve">JESUS M. SOTELO E INCLAN                                                                            </v>
      </c>
      <c r="D491" s="26" t="str">
        <f t="shared" si="92"/>
        <v>VESPERTINO</v>
      </c>
      <c r="E491" s="26" t="str">
        <f>"DE LA CRUZ Y AV JUAREZ                                                          "</f>
        <v xml:space="preserve">DE LA CRUZ Y AV JUAREZ                                                          </v>
      </c>
      <c r="F491" s="26" t="str">
        <f>"SANTA MARIA NATIVITAS                                                                                                                       "</f>
        <v xml:space="preserve">SANTA MARIA NATIVITAS                                                                                                                       </v>
      </c>
      <c r="G491" s="26" t="str">
        <f>"XOCHIMILCO                                                                      "</f>
        <v xml:space="preserve">XOCHIMILCO                                                                      </v>
      </c>
      <c r="H491" s="26" t="str">
        <f>"080"</f>
        <v>080</v>
      </c>
      <c r="I491" s="26" t="str">
        <f t="shared" si="91"/>
        <v>00</v>
      </c>
      <c r="J491" s="26" t="str">
        <f>"55 "</f>
        <v xml:space="preserve">55 </v>
      </c>
      <c r="K491" s="26" t="str">
        <f>"SG"</f>
        <v>SG</v>
      </c>
      <c r="L491" s="26" t="str">
        <f>"DGOSE"</f>
        <v>DGOSE</v>
      </c>
      <c r="M491" s="26" t="str">
        <f t="shared" si="90"/>
        <v>FEDERAL</v>
      </c>
      <c r="N491" s="26">
        <v>470</v>
      </c>
      <c r="O491" s="26">
        <v>254</v>
      </c>
      <c r="P491" s="26">
        <v>216</v>
      </c>
      <c r="Q491" s="26">
        <v>15</v>
      </c>
      <c r="R491" s="26">
        <v>2</v>
      </c>
      <c r="S491" s="26">
        <v>34</v>
      </c>
      <c r="T491" s="26">
        <v>22</v>
      </c>
      <c r="U491" s="26">
        <v>58</v>
      </c>
      <c r="V491" s="26">
        <v>1</v>
      </c>
      <c r="W491" s="26"/>
    </row>
    <row r="492" spans="1:23" x14ac:dyDescent="0.25">
      <c r="A492" s="26" t="str">
        <f t="shared" si="89"/>
        <v>SECUNDARIA</v>
      </c>
      <c r="B492" s="26" t="str">
        <f>"09DES4251N"</f>
        <v>09DES4251N</v>
      </c>
      <c r="C492" s="26" t="str">
        <f>"SECUNDARIA FEDERAL                                                                                  "</f>
        <v xml:space="preserve">SECUNDARIA FEDERAL                                                                                  </v>
      </c>
      <c r="D492" s="26" t="str">
        <f t="shared" si="92"/>
        <v>VESPERTINO</v>
      </c>
      <c r="E492" s="26" t="str">
        <f>"EMILIANO ZAPATA Y G GUERRA                                                      "</f>
        <v xml:space="preserve">EMILIANO ZAPATA Y G GUERRA                                                      </v>
      </c>
      <c r="F492" s="26" t="str">
        <f>"CUAUTEPEC DE MADERO                                                                                                                         "</f>
        <v xml:space="preserve">CUAUTEPEC DE MADERO                                                                                                                         </v>
      </c>
      <c r="G492" s="26" t="str">
        <f>"GUSTAVO A. MADERO                                                               "</f>
        <v xml:space="preserve">GUSTAVO A. MADERO                                                               </v>
      </c>
      <c r="H492" s="26" t="str">
        <f>"031"</f>
        <v>031</v>
      </c>
      <c r="I492" s="26" t="str">
        <f t="shared" si="91"/>
        <v>00</v>
      </c>
      <c r="J492" s="26" t="str">
        <f>"52 "</f>
        <v xml:space="preserve">52 </v>
      </c>
      <c r="K492" s="26" t="str">
        <f>"SG"</f>
        <v>SG</v>
      </c>
      <c r="L492" s="26" t="str">
        <f>"DGOSE"</f>
        <v>DGOSE</v>
      </c>
      <c r="M492" s="26" t="str">
        <f t="shared" si="90"/>
        <v>FEDERAL</v>
      </c>
      <c r="N492" s="26">
        <v>584</v>
      </c>
      <c r="O492" s="26">
        <v>292</v>
      </c>
      <c r="P492" s="26">
        <v>292</v>
      </c>
      <c r="Q492" s="26">
        <v>15</v>
      </c>
      <c r="R492" s="26">
        <v>2</v>
      </c>
      <c r="S492" s="26">
        <v>38</v>
      </c>
      <c r="T492" s="26">
        <v>21</v>
      </c>
      <c r="U492" s="26">
        <v>61</v>
      </c>
      <c r="V492" s="26">
        <v>1</v>
      </c>
      <c r="W492" s="26"/>
    </row>
    <row r="493" spans="1:23" x14ac:dyDescent="0.25">
      <c r="A493" s="26" t="str">
        <f t="shared" si="89"/>
        <v>SECUNDARIA</v>
      </c>
      <c r="B493" s="26" t="str">
        <f>"09DES4253L"</f>
        <v>09DES4253L</v>
      </c>
      <c r="C493" s="26" t="str">
        <f>"JOSE NATIVIDAD MACIAS                                                                               "</f>
        <v xml:space="preserve">JOSE NATIVIDAD MACIAS                                                                               </v>
      </c>
      <c r="D493" s="26" t="str">
        <f t="shared" si="92"/>
        <v>VESPERTINO</v>
      </c>
      <c r="E493" s="26" t="str">
        <f>"LIC NATIVIDAD Y FRANCISCO ANDRADE                                               "</f>
        <v xml:space="preserve">LIC NATIVIDAD Y FRANCISCO ANDRADE                                               </v>
      </c>
      <c r="F493" s="26" t="str">
        <f>"SAN MIGUEL DE LAS SALERAS                                                                                                                   "</f>
        <v xml:space="preserve">SAN MIGUEL DE LAS SALERAS                                                                                                                   </v>
      </c>
      <c r="G493" s="26" t="str">
        <f>"IZTAPALAPA                                                                      "</f>
        <v xml:space="preserve">IZTAPALAPA                                                                      </v>
      </c>
      <c r="H493" s="26" t="str">
        <f>"008"</f>
        <v>008</v>
      </c>
      <c r="I493" s="26" t="str">
        <f t="shared" si="91"/>
        <v>00</v>
      </c>
      <c r="J493" s="26" t="str">
        <f>"62 "</f>
        <v xml:space="preserve">62 </v>
      </c>
      <c r="K493" s="26" t="str">
        <f>"IZ"</f>
        <v>IZ</v>
      </c>
      <c r="L493" s="26" t="str">
        <f>"DGSEI"</f>
        <v>DGSEI</v>
      </c>
      <c r="M493" s="26" t="str">
        <f t="shared" si="90"/>
        <v>FEDERAL</v>
      </c>
      <c r="N493" s="26">
        <v>441</v>
      </c>
      <c r="O493" s="26">
        <v>226</v>
      </c>
      <c r="P493" s="26">
        <v>215</v>
      </c>
      <c r="Q493" s="26">
        <v>13</v>
      </c>
      <c r="R493" s="26">
        <v>4</v>
      </c>
      <c r="S493" s="26">
        <v>82</v>
      </c>
      <c r="T493" s="26">
        <v>44</v>
      </c>
      <c r="U493" s="26">
        <v>130</v>
      </c>
      <c r="V493" s="26">
        <v>1</v>
      </c>
      <c r="W493" s="26"/>
    </row>
    <row r="494" spans="1:23" x14ac:dyDescent="0.25">
      <c r="A494" s="26" t="str">
        <f t="shared" si="89"/>
        <v>SECUNDARIA</v>
      </c>
      <c r="B494" s="26" t="str">
        <f>"09DES4255J"</f>
        <v>09DES4255J</v>
      </c>
      <c r="C494" s="26" t="str">
        <f>"ANTONIO SEMIONOVICH MAKARENKO                                                                       "</f>
        <v xml:space="preserve">ANTONIO SEMIONOVICH MAKARENKO                                                                       </v>
      </c>
      <c r="D494" s="26" t="str">
        <f t="shared" si="92"/>
        <v>VESPERTINO</v>
      </c>
      <c r="E494" s="26" t="str">
        <f>"AVENIDA 8 S/N                                                                   "</f>
        <v xml:space="preserve">AVENIDA 8 S/N                                                                   </v>
      </c>
      <c r="F494" s="26" t="str">
        <f>"JOSE LOPEZ PORTILLO                                                                                                                         "</f>
        <v xml:space="preserve">JOSE LOPEZ PORTILLO                                                                                                                         </v>
      </c>
      <c r="G494" s="26" t="str">
        <f>"IZTAPALAPA                                                                      "</f>
        <v xml:space="preserve">IZTAPALAPA                                                                      </v>
      </c>
      <c r="H494" s="26" t="str">
        <f>"011"</f>
        <v>011</v>
      </c>
      <c r="I494" s="26" t="str">
        <f t="shared" si="91"/>
        <v>00</v>
      </c>
      <c r="J494" s="26" t="str">
        <f>"63 "</f>
        <v xml:space="preserve">63 </v>
      </c>
      <c r="K494" s="26" t="str">
        <f>"IZ"</f>
        <v>IZ</v>
      </c>
      <c r="L494" s="26" t="str">
        <f>"DGSEI"</f>
        <v>DGSEI</v>
      </c>
      <c r="M494" s="26" t="str">
        <f t="shared" si="90"/>
        <v>FEDERAL</v>
      </c>
      <c r="N494" s="26">
        <v>256</v>
      </c>
      <c r="O494" s="26">
        <v>159</v>
      </c>
      <c r="P494" s="26">
        <v>97</v>
      </c>
      <c r="Q494" s="26">
        <v>8</v>
      </c>
      <c r="R494" s="26">
        <v>1</v>
      </c>
      <c r="S494" s="26">
        <v>20</v>
      </c>
      <c r="T494" s="26">
        <v>16</v>
      </c>
      <c r="U494" s="26">
        <v>37</v>
      </c>
      <c r="V494" s="26">
        <v>1</v>
      </c>
      <c r="W494" s="26"/>
    </row>
    <row r="495" spans="1:23" x14ac:dyDescent="0.25">
      <c r="A495" s="26" t="str">
        <f t="shared" si="89"/>
        <v>SECUNDARIA</v>
      </c>
      <c r="B495" s="26" t="str">
        <f>"09DES4258G"</f>
        <v>09DES4258G</v>
      </c>
      <c r="C495" s="26" t="str">
        <f>"LUIS ALVAREZ BARRET                                                                                 "</f>
        <v xml:space="preserve">LUIS ALVAREZ BARRET                                                                                 </v>
      </c>
      <c r="D495" s="26" t="str">
        <f t="shared" si="92"/>
        <v>VESPERTINO</v>
      </c>
      <c r="E495" s="26" t="str">
        <f>"ORIENTE 245 ESQ SUR 20                                                          "</f>
        <v xml:space="preserve">ORIENTE 245 ESQ SUR 20                                                          </v>
      </c>
      <c r="F495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495" s="26" t="str">
        <f>"IZTACALCO                                                                       "</f>
        <v xml:space="preserve">IZTACALCO                                                                       </v>
      </c>
      <c r="H495" s="26" t="str">
        <f>"044"</f>
        <v>044</v>
      </c>
      <c r="I495" s="26" t="str">
        <f t="shared" si="91"/>
        <v>00</v>
      </c>
      <c r="J495" s="26" t="str">
        <f>"54 "</f>
        <v xml:space="preserve">54 </v>
      </c>
      <c r="K495" s="26" t="str">
        <f>"SG"</f>
        <v>SG</v>
      </c>
      <c r="L495" s="26" t="str">
        <f>"DGOSE"</f>
        <v>DGOSE</v>
      </c>
      <c r="M495" s="26" t="str">
        <f t="shared" si="90"/>
        <v>FEDERAL</v>
      </c>
      <c r="N495" s="26">
        <v>106</v>
      </c>
      <c r="O495" s="26">
        <v>69</v>
      </c>
      <c r="P495" s="26">
        <v>37</v>
      </c>
      <c r="Q495" s="26">
        <v>3</v>
      </c>
      <c r="R495" s="26">
        <v>1</v>
      </c>
      <c r="S495" s="26">
        <v>12</v>
      </c>
      <c r="T495" s="26">
        <v>12</v>
      </c>
      <c r="U495" s="26">
        <v>25</v>
      </c>
      <c r="V495" s="26">
        <v>1</v>
      </c>
      <c r="W495" s="26"/>
    </row>
    <row r="496" spans="1:23" x14ac:dyDescent="0.25">
      <c r="A496" s="26" t="str">
        <f t="shared" si="89"/>
        <v>SECUNDARIA</v>
      </c>
      <c r="B496" s="26" t="str">
        <f>"09DES4259F"</f>
        <v>09DES4259F</v>
      </c>
      <c r="C496" s="26" t="str">
        <f>"GUSTAVO A. MADERO                                                                                   "</f>
        <v xml:space="preserve">GUSTAVO A. MADERO                                                                                   </v>
      </c>
      <c r="D496" s="26" t="str">
        <f t="shared" si="92"/>
        <v>VESPERTINO</v>
      </c>
      <c r="E496" s="26" t="str">
        <f>"PUERTO MAZATLAN Y MOCTEZUMA                                                     "</f>
        <v xml:space="preserve">PUERTO MAZATLAN Y MOCTEZUMA                                                     </v>
      </c>
      <c r="F496" s="26" t="str">
        <f>"LA PASTORA                                                                                                                                  "</f>
        <v xml:space="preserve">LA PASTORA                                                                                                                                  </v>
      </c>
      <c r="G496" s="26" t="str">
        <f>"GUSTAVO A. MADERO                                                               "</f>
        <v xml:space="preserve">GUSTAVO A. MADERO                                                               </v>
      </c>
      <c r="H496" s="26" t="str">
        <f>"031"</f>
        <v>031</v>
      </c>
      <c r="I496" s="26" t="str">
        <f t="shared" si="91"/>
        <v>00</v>
      </c>
      <c r="J496" s="26" t="str">
        <f>"52 "</f>
        <v xml:space="preserve">52 </v>
      </c>
      <c r="K496" s="26" t="str">
        <f>"SG"</f>
        <v>SG</v>
      </c>
      <c r="L496" s="26" t="str">
        <f>"DGOSE"</f>
        <v>DGOSE</v>
      </c>
      <c r="M496" s="26" t="str">
        <f t="shared" si="90"/>
        <v>FEDERAL</v>
      </c>
      <c r="N496" s="26">
        <v>312</v>
      </c>
      <c r="O496" s="26">
        <v>196</v>
      </c>
      <c r="P496" s="26">
        <v>116</v>
      </c>
      <c r="Q496" s="26">
        <v>12</v>
      </c>
      <c r="R496" s="26">
        <v>2</v>
      </c>
      <c r="S496" s="26">
        <v>34</v>
      </c>
      <c r="T496" s="26">
        <v>18</v>
      </c>
      <c r="U496" s="26">
        <v>54</v>
      </c>
      <c r="V496" s="26">
        <v>1</v>
      </c>
      <c r="W496" s="26"/>
    </row>
    <row r="497" spans="1:23" x14ac:dyDescent="0.25">
      <c r="A497" s="26" t="str">
        <f t="shared" si="89"/>
        <v>SECUNDARIA</v>
      </c>
      <c r="B497" s="26" t="str">
        <f>"09DES4260V"</f>
        <v>09DES4260V</v>
      </c>
      <c r="C497" s="26" t="str">
        <f>"IZKALOTZIN                                                                                          "</f>
        <v xml:space="preserve">IZKALOTZIN                                                                                          </v>
      </c>
      <c r="D497" s="26" t="str">
        <f t="shared" si="92"/>
        <v>VESPERTINO</v>
      </c>
      <c r="E497" s="26" t="str">
        <f>"LAGO GINEBRA NO 47                                                              "</f>
        <v xml:space="preserve">LAGO GINEBRA NO 47                                                              </v>
      </c>
      <c r="F497" s="26" t="str">
        <f>"PENSIL                                                                                                                                      "</f>
        <v xml:space="preserve">PENSIL                                                                                                                                      </v>
      </c>
      <c r="G497" s="26" t="str">
        <f>"MIGUEL HIDALGO                                                                  "</f>
        <v xml:space="preserve">MIGUEL HIDALGO                                                                  </v>
      </c>
      <c r="H497" s="26" t="str">
        <f>"065"</f>
        <v>065</v>
      </c>
      <c r="I497" s="26" t="str">
        <f t="shared" si="91"/>
        <v>00</v>
      </c>
      <c r="J497" s="26" t="str">
        <f>"51 "</f>
        <v xml:space="preserve">51 </v>
      </c>
      <c r="K497" s="26" t="str">
        <f>"SG"</f>
        <v>SG</v>
      </c>
      <c r="L497" s="26" t="str">
        <f>"DGOSE"</f>
        <v>DGOSE</v>
      </c>
      <c r="M497" s="26" t="str">
        <f t="shared" si="90"/>
        <v>FEDERAL</v>
      </c>
      <c r="N497" s="26">
        <v>168</v>
      </c>
      <c r="O497" s="26">
        <v>91</v>
      </c>
      <c r="P497" s="26">
        <v>77</v>
      </c>
      <c r="Q497" s="26">
        <v>6</v>
      </c>
      <c r="R497" s="26">
        <v>2</v>
      </c>
      <c r="S497" s="26">
        <v>18</v>
      </c>
      <c r="T497" s="26">
        <v>9</v>
      </c>
      <c r="U497" s="26">
        <v>29</v>
      </c>
      <c r="V497" s="26">
        <v>1</v>
      </c>
      <c r="W497" s="26"/>
    </row>
    <row r="498" spans="1:23" x14ac:dyDescent="0.25">
      <c r="A498" s="26" t="str">
        <f t="shared" si="89"/>
        <v>SECUNDARIA</v>
      </c>
      <c r="B498" s="26" t="str">
        <f>"09DES4261U"</f>
        <v>09DES4261U</v>
      </c>
      <c r="C498" s="26" t="str">
        <f>"SECUNDARIA FEDERAL                                                                                  "</f>
        <v xml:space="preserve">SECUNDARIA FEDERAL                                                                                  </v>
      </c>
      <c r="D498" s="26" t="str">
        <f t="shared" si="92"/>
        <v>VESPERTINO</v>
      </c>
      <c r="E498" s="26" t="str">
        <f>"RANCHO DE LA PALMA Y FRONTERA                                                   "</f>
        <v xml:space="preserve">RANCHO DE LA PALMA Y FRONTERA                                                   </v>
      </c>
      <c r="F498" s="26" t="str">
        <f>"TIZAPAN                                                                                                                                     "</f>
        <v xml:space="preserve">TIZAPAN                                                                                                                                     </v>
      </c>
      <c r="G498" s="26" t="str">
        <f>"ALVARO OBREGON                                                                  "</f>
        <v xml:space="preserve">ALVARO OBREGON                                                                  </v>
      </c>
      <c r="H498" s="26" t="str">
        <f>"005"</f>
        <v>005</v>
      </c>
      <c r="I498" s="26" t="str">
        <f t="shared" si="91"/>
        <v>00</v>
      </c>
      <c r="J498" s="26" t="str">
        <f>"53 "</f>
        <v xml:space="preserve">53 </v>
      </c>
      <c r="K498" s="26" t="str">
        <f>"SG"</f>
        <v>SG</v>
      </c>
      <c r="L498" s="26" t="str">
        <f>"DGOSE"</f>
        <v>DGOSE</v>
      </c>
      <c r="M498" s="26" t="str">
        <f t="shared" si="90"/>
        <v>FEDERAL</v>
      </c>
      <c r="N498" s="26">
        <v>435</v>
      </c>
      <c r="O498" s="26">
        <v>232</v>
      </c>
      <c r="P498" s="26">
        <v>203</v>
      </c>
      <c r="Q498" s="26">
        <v>15</v>
      </c>
      <c r="R498" s="26">
        <v>2</v>
      </c>
      <c r="S498" s="26">
        <v>34</v>
      </c>
      <c r="T498" s="26">
        <v>18</v>
      </c>
      <c r="U498" s="26">
        <v>54</v>
      </c>
      <c r="V498" s="26">
        <v>1</v>
      </c>
      <c r="W498" s="26"/>
    </row>
    <row r="499" spans="1:23" x14ac:dyDescent="0.25">
      <c r="A499" s="26" t="str">
        <f t="shared" si="89"/>
        <v>SECUNDARIA</v>
      </c>
      <c r="B499" s="26" t="str">
        <f>"09DES4262T"</f>
        <v>09DES4262T</v>
      </c>
      <c r="C499" s="26" t="str">
        <f>"""ITZJAK RABIN""                                                                                      "</f>
        <v xml:space="preserve">"ITZJAK RABIN"                                                                                      </v>
      </c>
      <c r="D499" s="26" t="str">
        <f t="shared" si="92"/>
        <v>VESPERTINO</v>
      </c>
      <c r="E499" s="26" t="str">
        <f>"PIAZTIC S/N                                                                     "</f>
        <v xml:space="preserve">PIAZTIC S/N                                                                     </v>
      </c>
      <c r="F499" s="26" t="str">
        <f>"LAS PALMAS                                                                                                                                  "</f>
        <v xml:space="preserve">LAS PALMAS                                                                                                                                  </v>
      </c>
      <c r="G499" s="26" t="str">
        <f>"LA MAGDALENA CONTRERAS                                                          "</f>
        <v xml:space="preserve">LA MAGDALENA CONTRERAS                                                          </v>
      </c>
      <c r="H499" s="26" t="str">
        <f>"021"</f>
        <v>021</v>
      </c>
      <c r="I499" s="26" t="str">
        <f t="shared" si="91"/>
        <v>00</v>
      </c>
      <c r="J499" s="26" t="str">
        <f>"53 "</f>
        <v xml:space="preserve">53 </v>
      </c>
      <c r="K499" s="26" t="str">
        <f>"SG"</f>
        <v>SG</v>
      </c>
      <c r="L499" s="26" t="str">
        <f>"DGOSE"</f>
        <v>DGOSE</v>
      </c>
      <c r="M499" s="26" t="str">
        <f t="shared" si="90"/>
        <v>FEDERAL</v>
      </c>
      <c r="N499" s="26">
        <v>581</v>
      </c>
      <c r="O499" s="26">
        <v>303</v>
      </c>
      <c r="P499" s="26">
        <v>278</v>
      </c>
      <c r="Q499" s="26">
        <v>15</v>
      </c>
      <c r="R499" s="26">
        <v>0</v>
      </c>
      <c r="S499" s="26">
        <v>28</v>
      </c>
      <c r="T499" s="26">
        <v>18</v>
      </c>
      <c r="U499" s="26">
        <v>46</v>
      </c>
      <c r="V499" s="26">
        <v>1</v>
      </c>
      <c r="W499" s="26"/>
    </row>
    <row r="500" spans="1:23" x14ac:dyDescent="0.25">
      <c r="A500" s="26" t="str">
        <f t="shared" si="89"/>
        <v>SECUNDARIA</v>
      </c>
      <c r="B500" s="26" t="str">
        <f>"09DES4266P"</f>
        <v>09DES4266P</v>
      </c>
      <c r="C500" s="26" t="str">
        <f>"TEOTIHUACAN                                                                                         "</f>
        <v xml:space="preserve">TEOTIHUACAN                                                                                         </v>
      </c>
      <c r="D500" s="26" t="str">
        <f t="shared" si="92"/>
        <v>VESPERTINO</v>
      </c>
      <c r="E500" s="26" t="str">
        <f>"BILBAO Y VERIN                                                                  "</f>
        <v xml:space="preserve">BILBAO Y VERIN                                                                  </v>
      </c>
      <c r="F500" s="26" t="str">
        <f>"CERRO DE LA ESTRELLA                                                                                                                        "</f>
        <v xml:space="preserve">CERRO DE LA ESTRELLA                                                                                                                        </v>
      </c>
      <c r="G500" s="26" t="str">
        <f>"IZTAPALAPA                                                                      "</f>
        <v xml:space="preserve">IZTAPALAPA                                                                      </v>
      </c>
      <c r="H500" s="26" t="str">
        <f>"011"</f>
        <v>011</v>
      </c>
      <c r="I500" s="26" t="str">
        <f t="shared" si="91"/>
        <v>00</v>
      </c>
      <c r="J500" s="26" t="str">
        <f>"63 "</f>
        <v xml:space="preserve">63 </v>
      </c>
      <c r="K500" s="26" t="str">
        <f>"IZ"</f>
        <v>IZ</v>
      </c>
      <c r="L500" s="26" t="str">
        <f>"DGSEI"</f>
        <v>DGSEI</v>
      </c>
      <c r="M500" s="26" t="str">
        <f t="shared" si="90"/>
        <v>FEDERAL</v>
      </c>
      <c r="N500" s="26">
        <v>271</v>
      </c>
      <c r="O500" s="26">
        <v>153</v>
      </c>
      <c r="P500" s="26">
        <v>118</v>
      </c>
      <c r="Q500" s="26">
        <v>14</v>
      </c>
      <c r="R500" s="26">
        <v>2</v>
      </c>
      <c r="S500" s="26">
        <v>39</v>
      </c>
      <c r="T500" s="26">
        <v>18</v>
      </c>
      <c r="U500" s="26">
        <v>59</v>
      </c>
      <c r="V500" s="26">
        <v>1</v>
      </c>
      <c r="W500" s="26"/>
    </row>
    <row r="501" spans="1:23" x14ac:dyDescent="0.25">
      <c r="A501" s="26" t="str">
        <f t="shared" si="89"/>
        <v>SECUNDARIA</v>
      </c>
      <c r="B501" s="26" t="str">
        <f>"09DES4271A"</f>
        <v>09DES4271A</v>
      </c>
      <c r="C501" s="26" t="str">
        <f>"""ALVARO OBREGON""                                                                                    "</f>
        <v xml:space="preserve">"ALVARO OBREGON"                                                                                    </v>
      </c>
      <c r="D501" s="26" t="str">
        <f t="shared" si="92"/>
        <v>VESPERTINO</v>
      </c>
      <c r="E501" s="26" t="str">
        <f>"AV EDUARDO MOLINA S/N Y C 314 Y 316                                             "</f>
        <v xml:space="preserve">AV EDUARDO MOLINA S/N Y C 314 Y 316                                             </v>
      </c>
      <c r="F501" s="26" t="str">
        <f>"NUEVA ATZACOALCO                                                                                                                            "</f>
        <v xml:space="preserve">NUEVA ATZACOALCO                                                                                                                            </v>
      </c>
      <c r="G501" s="26" t="str">
        <f>"GUSTAVO A. MADERO                                                               "</f>
        <v xml:space="preserve">GUSTAVO A. MADERO                                                               </v>
      </c>
      <c r="H501" s="26" t="str">
        <f>"038"</f>
        <v>038</v>
      </c>
      <c r="I501" s="26" t="str">
        <f t="shared" si="91"/>
        <v>00</v>
      </c>
      <c r="J501" s="26" t="str">
        <f>"52 "</f>
        <v xml:space="preserve">52 </v>
      </c>
      <c r="K501" s="26" t="str">
        <f>"SG"</f>
        <v>SG</v>
      </c>
      <c r="L501" s="26" t="str">
        <f>"DGOSE"</f>
        <v>DGOSE</v>
      </c>
      <c r="M501" s="26" t="str">
        <f t="shared" si="90"/>
        <v>FEDERAL</v>
      </c>
      <c r="N501" s="26">
        <v>536</v>
      </c>
      <c r="O501" s="26">
        <v>266</v>
      </c>
      <c r="P501" s="26">
        <v>270</v>
      </c>
      <c r="Q501" s="26">
        <v>15</v>
      </c>
      <c r="R501" s="26">
        <v>2</v>
      </c>
      <c r="S501" s="26">
        <v>46</v>
      </c>
      <c r="T501" s="26">
        <v>25</v>
      </c>
      <c r="U501" s="26">
        <v>73</v>
      </c>
      <c r="V501" s="26">
        <v>1</v>
      </c>
      <c r="W501" s="26"/>
    </row>
    <row r="502" spans="1:23" x14ac:dyDescent="0.25">
      <c r="A502" s="26" t="str">
        <f t="shared" si="89"/>
        <v>SECUNDARIA</v>
      </c>
      <c r="B502" s="26" t="str">
        <f>"09DES4272Z"</f>
        <v>09DES4272Z</v>
      </c>
      <c r="C502" s="26" t="str">
        <f>"""RUFINO TAMAYO""                                                                                     "</f>
        <v xml:space="preserve">"RUFINO TAMAYO"                                                                                     </v>
      </c>
      <c r="D502" s="26" t="str">
        <f t="shared" si="92"/>
        <v>VESPERTINO</v>
      </c>
      <c r="E502" s="26" t="str">
        <f>"2DA CDA 633 ENTRE 641 Y 633                                                     "</f>
        <v xml:space="preserve">2DA CDA 633 ENTRE 641 Y 633                                                     </v>
      </c>
      <c r="F502" s="26" t="str">
        <f>"SAN JUAN DE ARAGON                                                                                                                          "</f>
        <v xml:space="preserve">SAN JUAN DE ARAGON                                                                                                                          </v>
      </c>
      <c r="G502" s="26" t="str">
        <f>"GUSTAVO A. MADERO                                                               "</f>
        <v xml:space="preserve">GUSTAVO A. MADERO                                                               </v>
      </c>
      <c r="H502" s="26" t="str">
        <f>"041"</f>
        <v>041</v>
      </c>
      <c r="I502" s="26" t="str">
        <f t="shared" si="91"/>
        <v>00</v>
      </c>
      <c r="J502" s="26" t="str">
        <f>"52 "</f>
        <v xml:space="preserve">52 </v>
      </c>
      <c r="K502" s="26" t="str">
        <f>"SG"</f>
        <v>SG</v>
      </c>
      <c r="L502" s="26" t="str">
        <f>"DGOSE"</f>
        <v>DGOSE</v>
      </c>
      <c r="M502" s="26" t="str">
        <f t="shared" si="90"/>
        <v>FEDERAL</v>
      </c>
      <c r="N502" s="26">
        <v>394</v>
      </c>
      <c r="O502" s="26">
        <v>222</v>
      </c>
      <c r="P502" s="26">
        <v>172</v>
      </c>
      <c r="Q502" s="26">
        <v>14</v>
      </c>
      <c r="R502" s="26">
        <v>2</v>
      </c>
      <c r="S502" s="26">
        <v>35</v>
      </c>
      <c r="T502" s="26">
        <v>26</v>
      </c>
      <c r="U502" s="26">
        <v>63</v>
      </c>
      <c r="V502" s="26">
        <v>1</v>
      </c>
      <c r="W502" s="26"/>
    </row>
    <row r="503" spans="1:23" x14ac:dyDescent="0.25">
      <c r="A503" s="26" t="str">
        <f t="shared" si="89"/>
        <v>SECUNDARIA</v>
      </c>
      <c r="B503" s="26" t="str">
        <f>"09DES4273Z"</f>
        <v>09DES4273Z</v>
      </c>
      <c r="C503" s="26" t="str">
        <f>"""ALFONSO GARCIA ROBLES""                                                                             "</f>
        <v xml:space="preserve">"ALFONSO GARCIA ROBLES"                                                                             </v>
      </c>
      <c r="D503" s="26" t="str">
        <f t="shared" si="92"/>
        <v>VESPERTINO</v>
      </c>
      <c r="E503" s="26" t="str">
        <f>"PERIFERICO  ENTRE R ZAPATA Y R MENDEZ                                           "</f>
        <v xml:space="preserve">PERIFERICO  ENTRE R ZAPATA Y R MENDEZ                                           </v>
      </c>
      <c r="F503" s="26" t="str">
        <f>"GABRIEL HERNANDEZ AMPLIACION                                                                                                                "</f>
        <v xml:space="preserve">GABRIEL HERNANDEZ AMPLIACION                                                                                                                </v>
      </c>
      <c r="G503" s="26" t="str">
        <f>"GUSTAVO A. MADERO                                                               "</f>
        <v xml:space="preserve">GUSTAVO A. MADERO                                                               </v>
      </c>
      <c r="H503" s="26" t="str">
        <f>"038"</f>
        <v>038</v>
      </c>
      <c r="I503" s="26" t="str">
        <f t="shared" si="91"/>
        <v>00</v>
      </c>
      <c r="J503" s="26" t="str">
        <f>"52 "</f>
        <v xml:space="preserve">52 </v>
      </c>
      <c r="K503" s="26" t="str">
        <f>"SG"</f>
        <v>SG</v>
      </c>
      <c r="L503" s="26" t="str">
        <f>"DGOSE"</f>
        <v>DGOSE</v>
      </c>
      <c r="M503" s="26" t="str">
        <f t="shared" si="90"/>
        <v>FEDERAL</v>
      </c>
      <c r="N503" s="26">
        <v>186</v>
      </c>
      <c r="O503" s="26">
        <v>123</v>
      </c>
      <c r="P503" s="26">
        <v>63</v>
      </c>
      <c r="Q503" s="26">
        <v>8</v>
      </c>
      <c r="R503" s="26">
        <v>2</v>
      </c>
      <c r="S503" s="26">
        <v>27</v>
      </c>
      <c r="T503" s="26">
        <v>14</v>
      </c>
      <c r="U503" s="26">
        <v>43</v>
      </c>
      <c r="V503" s="26">
        <v>1</v>
      </c>
      <c r="W503" s="26"/>
    </row>
    <row r="504" spans="1:23" x14ac:dyDescent="0.25">
      <c r="A504" s="26" t="str">
        <f t="shared" si="89"/>
        <v>SECUNDARIA</v>
      </c>
      <c r="B504" s="26" t="str">
        <f>"09DES4275X"</f>
        <v>09DES4275X</v>
      </c>
      <c r="C504" s="26" t="str">
        <f>"JOSE MARIA VELASCO                                                                                  "</f>
        <v xml:space="preserve">JOSE MARIA VELASCO                                                                                  </v>
      </c>
      <c r="D504" s="26" t="str">
        <f t="shared" si="92"/>
        <v>VESPERTINO</v>
      </c>
      <c r="E504" s="26" t="str">
        <f>"JESUS GARIBAY Y PALMAS                                                          "</f>
        <v xml:space="preserve">JESUS GARIBAY Y PALMAS                                                          </v>
      </c>
      <c r="F504" s="26" t="str">
        <f>"CONSEJO AGRARISTA MEXICANO                                                                                                                  "</f>
        <v xml:space="preserve">CONSEJO AGRARISTA MEXICANO                                                                                                                  </v>
      </c>
      <c r="G504" s="26" t="str">
        <f>"IZTAPALAPA                                                                      "</f>
        <v xml:space="preserve">IZTAPALAPA                                                                      </v>
      </c>
      <c r="H504" s="26" t="str">
        <f>"012"</f>
        <v>012</v>
      </c>
      <c r="I504" s="26" t="str">
        <f t="shared" si="91"/>
        <v>00</v>
      </c>
      <c r="J504" s="26" t="str">
        <f>"63 "</f>
        <v xml:space="preserve">63 </v>
      </c>
      <c r="K504" s="26" t="str">
        <f>"IZ"</f>
        <v>IZ</v>
      </c>
      <c r="L504" s="26" t="str">
        <f>"DGSEI"</f>
        <v>DGSEI</v>
      </c>
      <c r="M504" s="26" t="str">
        <f t="shared" si="90"/>
        <v>FEDERAL</v>
      </c>
      <c r="N504" s="26">
        <v>520</v>
      </c>
      <c r="O504" s="26">
        <v>300</v>
      </c>
      <c r="P504" s="26">
        <v>220</v>
      </c>
      <c r="Q504" s="26">
        <v>13</v>
      </c>
      <c r="R504" s="26">
        <v>2</v>
      </c>
      <c r="S504" s="26">
        <v>33</v>
      </c>
      <c r="T504" s="26">
        <v>24</v>
      </c>
      <c r="U504" s="26">
        <v>59</v>
      </c>
      <c r="V504" s="26">
        <v>1</v>
      </c>
      <c r="W504" s="26"/>
    </row>
    <row r="505" spans="1:23" x14ac:dyDescent="0.25">
      <c r="A505" s="26" t="str">
        <f t="shared" si="89"/>
        <v>SECUNDARIA</v>
      </c>
      <c r="B505" s="26" t="str">
        <f>"09DES4276W"</f>
        <v>09DES4276W</v>
      </c>
      <c r="C505" s="26" t="str">
        <f>"JUVENTINO ROSAS CADENAS                                                                             "</f>
        <v xml:space="preserve">JUVENTINO ROSAS CADENAS                                                                             </v>
      </c>
      <c r="D505" s="26" t="str">
        <f t="shared" si="92"/>
        <v>VESPERTINO</v>
      </c>
      <c r="E505" s="26" t="str">
        <f>"TARASCOS                                                                        "</f>
        <v xml:space="preserve">TARASCOS                                                                        </v>
      </c>
      <c r="F505" s="26" t="str">
        <f>"TLALCOLIGIA                                                                                                                                 "</f>
        <v xml:space="preserve">TLALCOLIGIA                                                                                                                                 </v>
      </c>
      <c r="G505" s="26" t="str">
        <f>"TLALPAN                                                                         "</f>
        <v xml:space="preserve">TLALPAN                                                                         </v>
      </c>
      <c r="H505" s="26" t="str">
        <f>"073"</f>
        <v>073</v>
      </c>
      <c r="I505" s="26" t="str">
        <f t="shared" si="91"/>
        <v>00</v>
      </c>
      <c r="J505" s="26" t="str">
        <f>"55 "</f>
        <v xml:space="preserve">55 </v>
      </c>
      <c r="K505" s="26" t="str">
        <f t="shared" ref="K505:K510" si="95">"SG"</f>
        <v>SG</v>
      </c>
      <c r="L505" s="26" t="str">
        <f t="shared" ref="L505:L510" si="96">"DGOSE"</f>
        <v>DGOSE</v>
      </c>
      <c r="M505" s="26" t="str">
        <f t="shared" si="90"/>
        <v>FEDERAL</v>
      </c>
      <c r="N505" s="26">
        <v>281</v>
      </c>
      <c r="O505" s="26">
        <v>178</v>
      </c>
      <c r="P505" s="26">
        <v>103</v>
      </c>
      <c r="Q505" s="26">
        <v>7</v>
      </c>
      <c r="R505" s="26">
        <v>1</v>
      </c>
      <c r="S505" s="26">
        <v>18</v>
      </c>
      <c r="T505" s="26">
        <v>10</v>
      </c>
      <c r="U505" s="26">
        <v>29</v>
      </c>
      <c r="V505" s="26">
        <v>1</v>
      </c>
      <c r="W505" s="26"/>
    </row>
    <row r="506" spans="1:23" x14ac:dyDescent="0.25">
      <c r="A506" s="26" t="str">
        <f t="shared" si="89"/>
        <v>SECUNDARIA</v>
      </c>
      <c r="B506" s="26" t="str">
        <f>"09DES4279T"</f>
        <v>09DES4279T</v>
      </c>
      <c r="C506" s="26" t="str">
        <f>"JOHN DEWEY                                                                                          "</f>
        <v xml:space="preserve">JOHN DEWEY                                                                                          </v>
      </c>
      <c r="D506" s="26" t="str">
        <f t="shared" si="92"/>
        <v>VESPERTINO</v>
      </c>
      <c r="E506" s="26" t="str">
        <f>"AVENIDA 29 DE OCTUBRE S/N                                                       "</f>
        <v xml:space="preserve">AVENIDA 29 DE OCTUBRE S/N                                                       </v>
      </c>
      <c r="F506" s="26" t="str">
        <f>"LOMAS DE LA HERA                                                                                                                            "</f>
        <v xml:space="preserve">LOMAS DE LA HERA                                                                                                                            </v>
      </c>
      <c r="G506" s="26" t="str">
        <f>"ALVARO OBREGON                                                                  "</f>
        <v xml:space="preserve">ALVARO OBREGON                                                                  </v>
      </c>
      <c r="H506" s="26" t="str">
        <f>"005"</f>
        <v>005</v>
      </c>
      <c r="I506" s="26" t="str">
        <f t="shared" si="91"/>
        <v>00</v>
      </c>
      <c r="J506" s="26" t="str">
        <f>"53 "</f>
        <v xml:space="preserve">53 </v>
      </c>
      <c r="K506" s="26" t="str">
        <f t="shared" si="95"/>
        <v>SG</v>
      </c>
      <c r="L506" s="26" t="str">
        <f t="shared" si="96"/>
        <v>DGOSE</v>
      </c>
      <c r="M506" s="26" t="str">
        <f t="shared" si="90"/>
        <v>FEDERAL</v>
      </c>
      <c r="N506" s="26">
        <v>724</v>
      </c>
      <c r="O506" s="26">
        <v>364</v>
      </c>
      <c r="P506" s="26">
        <v>360</v>
      </c>
      <c r="Q506" s="26">
        <v>15</v>
      </c>
      <c r="R506" s="26">
        <v>1</v>
      </c>
      <c r="S506" s="26">
        <v>24</v>
      </c>
      <c r="T506" s="26">
        <v>15</v>
      </c>
      <c r="U506" s="26">
        <v>40</v>
      </c>
      <c r="V506" s="26">
        <v>1</v>
      </c>
      <c r="W506" s="26"/>
    </row>
    <row r="507" spans="1:23" x14ac:dyDescent="0.25">
      <c r="A507" s="26" t="str">
        <f t="shared" si="89"/>
        <v>SECUNDARIA</v>
      </c>
      <c r="B507" s="26" t="str">
        <f>"09DES4281H"</f>
        <v>09DES4281H</v>
      </c>
      <c r="C507" s="26" t="str">
        <f>"TLACOTALPAN                                                                                         "</f>
        <v xml:space="preserve">TLACOTALPAN                                                                                         </v>
      </c>
      <c r="D507" s="26" t="str">
        <f t="shared" si="92"/>
        <v>VESPERTINO</v>
      </c>
      <c r="E507" s="26" t="str">
        <f>"PROLONGACION CONTOY S/N                                                         "</f>
        <v xml:space="preserve">PROLONGACION CONTOY S/N                                                         </v>
      </c>
      <c r="F507" s="26" t="str">
        <f>"CUCHILLA DE PADIERNA                                                                                                                        "</f>
        <v xml:space="preserve">CUCHILLA DE PADIERNA                                                                                                                        </v>
      </c>
      <c r="G507" s="26" t="str">
        <f>"TLALPAN                                                                         "</f>
        <v xml:space="preserve">TLALPAN                                                                         </v>
      </c>
      <c r="H507" s="26" t="str">
        <f>"071"</f>
        <v>071</v>
      </c>
      <c r="I507" s="26" t="str">
        <f t="shared" si="91"/>
        <v>00</v>
      </c>
      <c r="J507" s="26" t="str">
        <f>"55 "</f>
        <v xml:space="preserve">55 </v>
      </c>
      <c r="K507" s="26" t="str">
        <f t="shared" si="95"/>
        <v>SG</v>
      </c>
      <c r="L507" s="26" t="str">
        <f t="shared" si="96"/>
        <v>DGOSE</v>
      </c>
      <c r="M507" s="26" t="str">
        <f t="shared" si="90"/>
        <v>FEDERAL</v>
      </c>
      <c r="N507" s="26">
        <v>469</v>
      </c>
      <c r="O507" s="26">
        <v>266</v>
      </c>
      <c r="P507" s="26">
        <v>203</v>
      </c>
      <c r="Q507" s="26">
        <v>14</v>
      </c>
      <c r="R507" s="26">
        <v>2</v>
      </c>
      <c r="S507" s="26">
        <v>30</v>
      </c>
      <c r="T507" s="26">
        <v>18</v>
      </c>
      <c r="U507" s="26">
        <v>50</v>
      </c>
      <c r="V507" s="26">
        <v>1</v>
      </c>
      <c r="W507" s="26"/>
    </row>
    <row r="508" spans="1:23" x14ac:dyDescent="0.25">
      <c r="A508" s="26" t="str">
        <f t="shared" si="89"/>
        <v>SECUNDARIA</v>
      </c>
      <c r="B508" s="26" t="str">
        <f>"09DES4283F"</f>
        <v>09DES4283F</v>
      </c>
      <c r="C508" s="26" t="str">
        <f>"LEYES DE REFORMA                                                                                    "</f>
        <v xml:space="preserve">LEYES DE REFORMA                                                                                    </v>
      </c>
      <c r="D508" s="26" t="str">
        <f t="shared" si="92"/>
        <v>VESPERTINO</v>
      </c>
      <c r="E508" s="26" t="str">
        <f>"NORTE NO 70 Y HENRY FORD                                                        "</f>
        <v xml:space="preserve">NORTE NO 70 Y HENRY FORD                                                        </v>
      </c>
      <c r="F508" s="26" t="str">
        <f>"BONDOJITO                                                                                                                                   "</f>
        <v xml:space="preserve">BONDOJITO                                                                                                                                   </v>
      </c>
      <c r="G508" s="26" t="str">
        <f>"GUSTAVO A. MADERO                                                               "</f>
        <v xml:space="preserve">GUSTAVO A. MADERO                                                               </v>
      </c>
      <c r="H508" s="26" t="str">
        <f>"034"</f>
        <v>034</v>
      </c>
      <c r="I508" s="26" t="str">
        <f t="shared" si="91"/>
        <v>00</v>
      </c>
      <c r="J508" s="26" t="str">
        <f>"52 "</f>
        <v xml:space="preserve">52 </v>
      </c>
      <c r="K508" s="26" t="str">
        <f t="shared" si="95"/>
        <v>SG</v>
      </c>
      <c r="L508" s="26" t="str">
        <f t="shared" si="96"/>
        <v>DGOSE</v>
      </c>
      <c r="M508" s="26" t="str">
        <f t="shared" si="90"/>
        <v>FEDERAL</v>
      </c>
      <c r="N508" s="26">
        <v>177</v>
      </c>
      <c r="O508" s="26">
        <v>111</v>
      </c>
      <c r="P508" s="26">
        <v>66</v>
      </c>
      <c r="Q508" s="26">
        <v>9</v>
      </c>
      <c r="R508" s="26">
        <v>2</v>
      </c>
      <c r="S508" s="26">
        <v>33</v>
      </c>
      <c r="T508" s="26">
        <v>18</v>
      </c>
      <c r="U508" s="26">
        <v>53</v>
      </c>
      <c r="V508" s="26">
        <v>1</v>
      </c>
      <c r="W508" s="26"/>
    </row>
    <row r="509" spans="1:23" x14ac:dyDescent="0.25">
      <c r="A509" s="26" t="str">
        <f t="shared" si="89"/>
        <v>SECUNDARIA</v>
      </c>
      <c r="B509" s="26" t="str">
        <f>"09DES4284E"</f>
        <v>09DES4284E</v>
      </c>
      <c r="C509" s="26" t="str">
        <f>""" GUSTAVO CABRERA ACEVEDO ""                                                                         "</f>
        <v xml:space="preserve">" GUSTAVO CABRERA ACEVEDO "                                                                         </v>
      </c>
      <c r="D509" s="26" t="str">
        <f t="shared" si="92"/>
        <v>VESPERTINO</v>
      </c>
      <c r="E509" s="26" t="str">
        <f>"CAMINO REAL AL AJUSCO NUM 24                                                    "</f>
        <v xml:space="preserve">CAMINO REAL AL AJUSCO NUM 24                                                    </v>
      </c>
      <c r="F509" s="26" t="str">
        <f>"SAN ANDRES TOTOLTEPEC                                                                                                                       "</f>
        <v xml:space="preserve">SAN ANDRES TOTOLTEPEC                                                                                                                       </v>
      </c>
      <c r="G509" s="26" t="str">
        <f>"TLALPAN                                                                         "</f>
        <v xml:space="preserve">TLALPAN                                                                         </v>
      </c>
      <c r="H509" s="26" t="str">
        <f>"072"</f>
        <v>072</v>
      </c>
      <c r="I509" s="26" t="str">
        <f t="shared" si="91"/>
        <v>00</v>
      </c>
      <c r="J509" s="26" t="str">
        <f>"55 "</f>
        <v xml:space="preserve">55 </v>
      </c>
      <c r="K509" s="26" t="str">
        <f t="shared" si="95"/>
        <v>SG</v>
      </c>
      <c r="L509" s="26" t="str">
        <f t="shared" si="96"/>
        <v>DGOSE</v>
      </c>
      <c r="M509" s="26" t="str">
        <f t="shared" si="90"/>
        <v>FEDERAL</v>
      </c>
      <c r="N509" s="26">
        <v>481</v>
      </c>
      <c r="O509" s="26">
        <v>277</v>
      </c>
      <c r="P509" s="26">
        <v>204</v>
      </c>
      <c r="Q509" s="26">
        <v>15</v>
      </c>
      <c r="R509" s="26">
        <v>1</v>
      </c>
      <c r="S509" s="26">
        <v>28</v>
      </c>
      <c r="T509" s="26">
        <v>15</v>
      </c>
      <c r="U509" s="26">
        <v>44</v>
      </c>
      <c r="V509" s="26">
        <v>1</v>
      </c>
      <c r="W509" s="26"/>
    </row>
    <row r="510" spans="1:23" x14ac:dyDescent="0.25">
      <c r="A510" s="26" t="str">
        <f t="shared" si="89"/>
        <v>SECUNDARIA</v>
      </c>
      <c r="B510" s="26" t="str">
        <f>"09DES4285D"</f>
        <v>09DES4285D</v>
      </c>
      <c r="C510" s="26" t="str">
        <f>"""XIPE TOTEC""                                                                                        "</f>
        <v xml:space="preserve">"XIPE TOTEC"                                                                                        </v>
      </c>
      <c r="D510" s="26" t="str">
        <f t="shared" si="92"/>
        <v>VESPERTINO</v>
      </c>
      <c r="E510" s="26" t="str">
        <f>"PROL P CENTRAL Y NORTE 94-A Y ORIENTE 173                                       "</f>
        <v xml:space="preserve">PROL P CENTRAL Y NORTE 94-A Y ORIENTE 173                                       </v>
      </c>
      <c r="F510" s="26" t="str">
        <f>"UNIDAD HABITACIONAL LA ESMERALDA                                                                                                            "</f>
        <v xml:space="preserve">UNIDAD HABITACIONAL LA ESMERALDA                                                                                                            </v>
      </c>
      <c r="G510" s="26" t="str">
        <f>"GUSTAVO A. MADERO                                                               "</f>
        <v xml:space="preserve">GUSTAVO A. MADERO                                                               </v>
      </c>
      <c r="H510" s="26" t="str">
        <f>"039"</f>
        <v>039</v>
      </c>
      <c r="I510" s="26" t="str">
        <f t="shared" si="91"/>
        <v>00</v>
      </c>
      <c r="J510" s="26" t="str">
        <f>"52 "</f>
        <v xml:space="preserve">52 </v>
      </c>
      <c r="K510" s="26" t="str">
        <f t="shared" si="95"/>
        <v>SG</v>
      </c>
      <c r="L510" s="26" t="str">
        <f t="shared" si="96"/>
        <v>DGOSE</v>
      </c>
      <c r="M510" s="26" t="str">
        <f t="shared" si="90"/>
        <v>FEDERAL</v>
      </c>
      <c r="N510" s="26">
        <v>155</v>
      </c>
      <c r="O510" s="26">
        <v>92</v>
      </c>
      <c r="P510" s="26">
        <v>63</v>
      </c>
      <c r="Q510" s="26">
        <v>8</v>
      </c>
      <c r="R510" s="26">
        <v>1</v>
      </c>
      <c r="S510" s="26">
        <v>25</v>
      </c>
      <c r="T510" s="26">
        <v>17</v>
      </c>
      <c r="U510" s="26">
        <v>43</v>
      </c>
      <c r="V510" s="26">
        <v>1</v>
      </c>
      <c r="W510" s="26"/>
    </row>
    <row r="511" spans="1:23" x14ac:dyDescent="0.25">
      <c r="A511" s="26" t="str">
        <f t="shared" si="89"/>
        <v>SECUNDARIA</v>
      </c>
      <c r="B511" s="26" t="str">
        <f>"09DES4286C"</f>
        <v>09DES4286C</v>
      </c>
      <c r="C511" s="26" t="str">
        <f>"MAESTRO LAURO AGUIRRE                                                                               "</f>
        <v xml:space="preserve">MAESTRO LAURO AGUIRRE                                                                               </v>
      </c>
      <c r="D511" s="26" t="str">
        <f t="shared" si="92"/>
        <v>VESPERTINO</v>
      </c>
      <c r="E511" s="26" t="str">
        <f>"GRAL. PABLO GARCIA NO. 140                                                      "</f>
        <v xml:space="preserve">GRAL. PABLO GARCIA NO. 140                                                      </v>
      </c>
      <c r="F511" s="26" t="str">
        <f>"JUAN ESCUTIA                                                                                                                                "</f>
        <v xml:space="preserve">JUAN ESCUTIA                                                                                                                                </v>
      </c>
      <c r="G511" s="26" t="str">
        <f>"IZTAPALAPA                                                                      "</f>
        <v xml:space="preserve">IZTAPALAPA                                                                      </v>
      </c>
      <c r="H511" s="26" t="str">
        <f>"005"</f>
        <v>005</v>
      </c>
      <c r="I511" s="26" t="str">
        <f t="shared" si="91"/>
        <v>00</v>
      </c>
      <c r="J511" s="26" t="str">
        <f>"62 "</f>
        <v xml:space="preserve">62 </v>
      </c>
      <c r="K511" s="26" t="str">
        <f>"IZ"</f>
        <v>IZ</v>
      </c>
      <c r="L511" s="26" t="str">
        <f>"DGSEI"</f>
        <v>DGSEI</v>
      </c>
      <c r="M511" s="26" t="str">
        <f t="shared" si="90"/>
        <v>FEDERAL</v>
      </c>
      <c r="N511" s="26">
        <v>588</v>
      </c>
      <c r="O511" s="26">
        <v>298</v>
      </c>
      <c r="P511" s="26">
        <v>290</v>
      </c>
      <c r="Q511" s="26">
        <v>15</v>
      </c>
      <c r="R511" s="26">
        <v>2</v>
      </c>
      <c r="S511" s="26">
        <v>37</v>
      </c>
      <c r="T511" s="26">
        <v>27</v>
      </c>
      <c r="U511" s="26">
        <v>66</v>
      </c>
      <c r="V511" s="26">
        <v>1</v>
      </c>
      <c r="W511" s="26"/>
    </row>
    <row r="512" spans="1:23" x14ac:dyDescent="0.25">
      <c r="A512" s="26" t="str">
        <f t="shared" si="89"/>
        <v>SECUNDARIA</v>
      </c>
      <c r="B512" s="26" t="str">
        <f>"09DES4287B"</f>
        <v>09DES4287B</v>
      </c>
      <c r="C512" s="26" t="str">
        <f>"JULIO VERNE                                                                                         "</f>
        <v xml:space="preserve">JULIO VERNE                                                                                         </v>
      </c>
      <c r="D512" s="26" t="str">
        <f t="shared" si="92"/>
        <v>VESPERTINO</v>
      </c>
      <c r="E512" s="26" t="str">
        <f>"PLATON SANCHEZ Y CLAVEL                                                         "</f>
        <v xml:space="preserve">PLATON SANCHEZ Y CLAVEL                                                         </v>
      </c>
      <c r="F512" s="26" t="str">
        <f>"LAS PEÑAS                                                                                                                                   "</f>
        <v xml:space="preserve">LAS PEÑAS                                                                                                                                   </v>
      </c>
      <c r="G512" s="26" t="str">
        <f>"IZTAPALAPA                                                                      "</f>
        <v xml:space="preserve">IZTAPALAPA                                                                      </v>
      </c>
      <c r="H512" s="26" t="str">
        <f>"013"</f>
        <v>013</v>
      </c>
      <c r="I512" s="26" t="str">
        <f t="shared" si="91"/>
        <v>00</v>
      </c>
      <c r="J512" s="26" t="str">
        <f>"64 "</f>
        <v xml:space="preserve">64 </v>
      </c>
      <c r="K512" s="26" t="str">
        <f>"IZ"</f>
        <v>IZ</v>
      </c>
      <c r="L512" s="26" t="str">
        <f>"DGSEI"</f>
        <v>DGSEI</v>
      </c>
      <c r="M512" s="26" t="str">
        <f t="shared" si="90"/>
        <v>FEDERAL</v>
      </c>
      <c r="N512" s="26">
        <v>528</v>
      </c>
      <c r="O512" s="26">
        <v>285</v>
      </c>
      <c r="P512" s="26">
        <v>243</v>
      </c>
      <c r="Q512" s="26">
        <v>15</v>
      </c>
      <c r="R512" s="26">
        <v>2</v>
      </c>
      <c r="S512" s="26">
        <v>45</v>
      </c>
      <c r="T512" s="26">
        <v>19</v>
      </c>
      <c r="U512" s="26">
        <v>66</v>
      </c>
      <c r="V512" s="26">
        <v>1</v>
      </c>
      <c r="W512" s="26"/>
    </row>
    <row r="513" spans="1:23" x14ac:dyDescent="0.25">
      <c r="A513" s="26" t="str">
        <f t="shared" si="89"/>
        <v>SECUNDARIA</v>
      </c>
      <c r="B513" s="26" t="str">
        <f>"09DES4289Z"</f>
        <v>09DES4289Z</v>
      </c>
      <c r="C513" s="26" t="str">
        <f>"ANTONIO CARRILLO FLORES                                                                             "</f>
        <v xml:space="preserve">ANTONIO CARRILLO FLORES                                                                             </v>
      </c>
      <c r="D513" s="26" t="str">
        <f t="shared" si="92"/>
        <v>VESPERTINO</v>
      </c>
      <c r="E513" s="26" t="str">
        <f>"CARR TECNOLOGICO CHIMALPA                                                       "</f>
        <v xml:space="preserve">CARR TECNOLOGICO CHIMALPA                                                       </v>
      </c>
      <c r="F513" s="26" t="str">
        <f>"CHIMALPA                                                                                                                                    "</f>
        <v xml:space="preserve">CHIMALPA                                                                                                                                    </v>
      </c>
      <c r="G513" s="26" t="str">
        <f>"CUAJIMALPA DE MORELOS                                                           "</f>
        <v xml:space="preserve">CUAJIMALPA DE MORELOS                                                           </v>
      </c>
      <c r="H513" s="26" t="str">
        <f>"024"</f>
        <v>024</v>
      </c>
      <c r="I513" s="26" t="str">
        <f t="shared" si="91"/>
        <v>00</v>
      </c>
      <c r="J513" s="26" t="str">
        <f>"53 "</f>
        <v xml:space="preserve">53 </v>
      </c>
      <c r="K513" s="26" t="str">
        <f>"SG"</f>
        <v>SG</v>
      </c>
      <c r="L513" s="26" t="str">
        <f>"DGOSE"</f>
        <v>DGOSE</v>
      </c>
      <c r="M513" s="26" t="str">
        <f t="shared" si="90"/>
        <v>FEDERAL</v>
      </c>
      <c r="N513" s="26">
        <v>442</v>
      </c>
      <c r="O513" s="26">
        <v>246</v>
      </c>
      <c r="P513" s="26">
        <v>196</v>
      </c>
      <c r="Q513" s="26">
        <v>12</v>
      </c>
      <c r="R513" s="26">
        <v>2</v>
      </c>
      <c r="S513" s="26">
        <v>22</v>
      </c>
      <c r="T513" s="26">
        <v>11</v>
      </c>
      <c r="U513" s="26">
        <v>35</v>
      </c>
      <c r="V513" s="26">
        <v>1</v>
      </c>
      <c r="W513" s="26"/>
    </row>
    <row r="514" spans="1:23" x14ac:dyDescent="0.25">
      <c r="A514" s="26" t="str">
        <f t="shared" ref="A514:A577" si="97">"SECUNDARIA"</f>
        <v>SECUNDARIA</v>
      </c>
      <c r="B514" s="26" t="str">
        <f>"09DES4290P"</f>
        <v>09DES4290P</v>
      </c>
      <c r="C514" s="26" t="str">
        <f>"OCELOTL                                                                                             "</f>
        <v xml:space="preserve">OCELOTL                                                                                             </v>
      </c>
      <c r="D514" s="26" t="str">
        <f t="shared" si="92"/>
        <v>VESPERTINO</v>
      </c>
      <c r="E514" s="26" t="str">
        <f>"PROL 2 DE ABRIL SANTA CRUZ APAL                                                 "</f>
        <v xml:space="preserve">PROL 2 DE ABRIL SANTA CRUZ APAL                                                 </v>
      </c>
      <c r="F514" s="26" t="str">
        <f>"SANTA CRUZ ACALPIXCA                                                                                                                        "</f>
        <v xml:space="preserve">SANTA CRUZ ACALPIXCA                                                                                                                        </v>
      </c>
      <c r="G514" s="26" t="str">
        <f>"XOCHIMILCO                                                                      "</f>
        <v xml:space="preserve">XOCHIMILCO                                                                      </v>
      </c>
      <c r="H514" s="26" t="str">
        <f>"081"</f>
        <v>081</v>
      </c>
      <c r="I514" s="26" t="str">
        <f t="shared" si="91"/>
        <v>00</v>
      </c>
      <c r="J514" s="26" t="str">
        <f>"55 "</f>
        <v xml:space="preserve">55 </v>
      </c>
      <c r="K514" s="26" t="str">
        <f>"SG"</f>
        <v>SG</v>
      </c>
      <c r="L514" s="26" t="str">
        <f>"DGOSE"</f>
        <v>DGOSE</v>
      </c>
      <c r="M514" s="26" t="str">
        <f t="shared" ref="M514:M577" si="98">"FEDERAL"</f>
        <v>FEDERAL</v>
      </c>
      <c r="N514" s="26">
        <v>354</v>
      </c>
      <c r="O514" s="26">
        <v>200</v>
      </c>
      <c r="P514" s="26">
        <v>154</v>
      </c>
      <c r="Q514" s="26">
        <v>13</v>
      </c>
      <c r="R514" s="26">
        <v>2</v>
      </c>
      <c r="S514" s="26">
        <v>33</v>
      </c>
      <c r="T514" s="26">
        <v>19</v>
      </c>
      <c r="U514" s="26">
        <v>54</v>
      </c>
      <c r="V514" s="26">
        <v>1</v>
      </c>
      <c r="W514" s="26"/>
    </row>
    <row r="515" spans="1:23" x14ac:dyDescent="0.25">
      <c r="A515" s="26" t="str">
        <f t="shared" si="97"/>
        <v>SECUNDARIA</v>
      </c>
      <c r="B515" s="26" t="str">
        <f>"09DES4291O"</f>
        <v>09DES4291O</v>
      </c>
      <c r="C515" s="26" t="str">
        <f>"ING. JAVIER BARROS SIERRA                                                                           "</f>
        <v xml:space="preserve">ING. JAVIER BARROS SIERRA                                                                           </v>
      </c>
      <c r="D515" s="26" t="str">
        <f t="shared" si="92"/>
        <v>VESPERTINO</v>
      </c>
      <c r="E515" s="26" t="str">
        <f>"AV. CARLOS HANK GONZALEZ S/N                                                    "</f>
        <v xml:space="preserve">AV. CARLOS HANK GONZALEZ S/N                                                    </v>
      </c>
      <c r="F515" s="26" t="str">
        <f>"LOMAS DE LA ESTANCIA                                                                                                                        "</f>
        <v xml:space="preserve">LOMAS DE LA ESTANCIA                                                                                                                        </v>
      </c>
      <c r="G515" s="26" t="str">
        <f>"IZTAPALAPA                                                                      "</f>
        <v xml:space="preserve">IZTAPALAPA                                                                      </v>
      </c>
      <c r="H515" s="26" t="str">
        <f>"015"</f>
        <v>015</v>
      </c>
      <c r="I515" s="26" t="str">
        <f t="shared" si="91"/>
        <v>00</v>
      </c>
      <c r="J515" s="26" t="str">
        <f>"64 "</f>
        <v xml:space="preserve">64 </v>
      </c>
      <c r="K515" s="26" t="str">
        <f>"IZ"</f>
        <v>IZ</v>
      </c>
      <c r="L515" s="26" t="str">
        <f>"DGSEI"</f>
        <v>DGSEI</v>
      </c>
      <c r="M515" s="26" t="str">
        <f t="shared" si="98"/>
        <v>FEDERAL</v>
      </c>
      <c r="N515" s="26">
        <v>652</v>
      </c>
      <c r="O515" s="26">
        <v>311</v>
      </c>
      <c r="P515" s="26">
        <v>341</v>
      </c>
      <c r="Q515" s="26">
        <v>15</v>
      </c>
      <c r="R515" s="26">
        <v>1</v>
      </c>
      <c r="S515" s="26">
        <v>35</v>
      </c>
      <c r="T515" s="26">
        <v>21</v>
      </c>
      <c r="U515" s="26">
        <v>57</v>
      </c>
      <c r="V515" s="26">
        <v>1</v>
      </c>
      <c r="W515" s="26"/>
    </row>
    <row r="516" spans="1:23" x14ac:dyDescent="0.25">
      <c r="A516" s="26" t="str">
        <f t="shared" si="97"/>
        <v>SECUNDARIA</v>
      </c>
      <c r="B516" s="26" t="str">
        <f>"09DES4294L"</f>
        <v>09DES4294L</v>
      </c>
      <c r="C516" s="26" t="str">
        <f>"JOSE PAGES LLERGO                                                                                   "</f>
        <v xml:space="preserve">JOSE PAGES LLERGO                                                                                   </v>
      </c>
      <c r="D516" s="26" t="str">
        <f t="shared" si="92"/>
        <v>VESPERTINO</v>
      </c>
      <c r="E516" s="26" t="str">
        <f>"CALZ DE LA NARANJA NO 745                                                       "</f>
        <v xml:space="preserve">CALZ DE LA NARANJA NO 745                                                       </v>
      </c>
      <c r="F516" s="26" t="str">
        <f>"SANTIAGO AHUIZOTLA                                                                                                                          "</f>
        <v xml:space="preserve">SANTIAGO AHUIZOTLA                                                                                                                          </v>
      </c>
      <c r="G516" s="26" t="str">
        <f>"AZCAPOTZALCO                                                                    "</f>
        <v xml:space="preserve">AZCAPOTZALCO                                                                    </v>
      </c>
      <c r="H516" s="26" t="str">
        <f>"007"</f>
        <v>007</v>
      </c>
      <c r="I516" s="26" t="str">
        <f t="shared" si="91"/>
        <v>00</v>
      </c>
      <c r="J516" s="26" t="str">
        <f>"51 "</f>
        <v xml:space="preserve">51 </v>
      </c>
      <c r="K516" s="26" t="str">
        <f>"SG"</f>
        <v>SG</v>
      </c>
      <c r="L516" s="26" t="str">
        <f>"DGOSE"</f>
        <v>DGOSE</v>
      </c>
      <c r="M516" s="26" t="str">
        <f t="shared" si="98"/>
        <v>FEDERAL</v>
      </c>
      <c r="N516" s="26">
        <v>50</v>
      </c>
      <c r="O516" s="26">
        <v>31</v>
      </c>
      <c r="P516" s="26">
        <v>19</v>
      </c>
      <c r="Q516" s="26">
        <v>3</v>
      </c>
      <c r="R516" s="26">
        <v>1</v>
      </c>
      <c r="S516" s="26">
        <v>15</v>
      </c>
      <c r="T516" s="26">
        <v>10</v>
      </c>
      <c r="U516" s="26">
        <v>26</v>
      </c>
      <c r="V516" s="26">
        <v>1</v>
      </c>
      <c r="W516" s="26"/>
    </row>
    <row r="517" spans="1:23" x14ac:dyDescent="0.25">
      <c r="A517" s="26" t="str">
        <f t="shared" si="97"/>
        <v>SECUNDARIA</v>
      </c>
      <c r="B517" s="26" t="str">
        <f>"09DES4295K"</f>
        <v>09DES4295K</v>
      </c>
      <c r="C517" s="26" t="str">
        <f>"GUILLERMO PRIETO PRADILLO                                                                           "</f>
        <v xml:space="preserve">GUILLERMO PRIETO PRADILLO                                                                           </v>
      </c>
      <c r="D517" s="26" t="str">
        <f t="shared" si="92"/>
        <v>VESPERTINO</v>
      </c>
      <c r="E517" s="26" t="str">
        <f>"LADERA GRANDE CARR A SANTA CECILIA                                              "</f>
        <v xml:space="preserve">LADERA GRANDE CARR A SANTA CECILIA                                              </v>
      </c>
      <c r="F517" s="26" t="str">
        <f>"SANTA CECILIA TEPETLAPA                                                                                                                     "</f>
        <v xml:space="preserve">SANTA CECILIA TEPETLAPA                                                                                                                     </v>
      </c>
      <c r="G517" s="26" t="str">
        <f>"XOCHIMILCO                                                                      "</f>
        <v xml:space="preserve">XOCHIMILCO                                                                      </v>
      </c>
      <c r="H517" s="26" t="str">
        <f>"079"</f>
        <v>079</v>
      </c>
      <c r="I517" s="26" t="str">
        <f t="shared" si="91"/>
        <v>00</v>
      </c>
      <c r="J517" s="26" t="str">
        <f>"55 "</f>
        <v xml:space="preserve">55 </v>
      </c>
      <c r="K517" s="26" t="str">
        <f>"SG"</f>
        <v>SG</v>
      </c>
      <c r="L517" s="26" t="str">
        <f>"DGOSE"</f>
        <v>DGOSE</v>
      </c>
      <c r="M517" s="26" t="str">
        <f t="shared" si="98"/>
        <v>FEDERAL</v>
      </c>
      <c r="N517" s="26">
        <v>491</v>
      </c>
      <c r="O517" s="26">
        <v>253</v>
      </c>
      <c r="P517" s="26">
        <v>238</v>
      </c>
      <c r="Q517" s="26">
        <v>15</v>
      </c>
      <c r="R517" s="26">
        <v>2</v>
      </c>
      <c r="S517" s="26">
        <v>36</v>
      </c>
      <c r="T517" s="26">
        <v>22</v>
      </c>
      <c r="U517" s="26">
        <v>60</v>
      </c>
      <c r="V517" s="26">
        <v>1</v>
      </c>
      <c r="W517" s="26"/>
    </row>
    <row r="518" spans="1:23" x14ac:dyDescent="0.25">
      <c r="A518" s="26" t="str">
        <f t="shared" si="97"/>
        <v>SECUNDARIA</v>
      </c>
      <c r="B518" s="26" t="str">
        <f>"09DES4296J"</f>
        <v>09DES4296J</v>
      </c>
      <c r="C518" s="26" t="str">
        <f>"JUSTO SIERRA                                                                                        "</f>
        <v xml:space="preserve">JUSTO SIERRA                                                                                        </v>
      </c>
      <c r="D518" s="26" t="str">
        <f t="shared" si="92"/>
        <v>VESPERTINO</v>
      </c>
      <c r="E518" s="26" t="str">
        <f>"HERIBERTO JARA Y CIRILO ARENAS                                                  "</f>
        <v xml:space="preserve">HERIBERTO JARA Y CIRILO ARENAS                                                  </v>
      </c>
      <c r="F518" s="26" t="str">
        <f>"SANTA MARTHA ACATITLA                                                                                                                       "</f>
        <v xml:space="preserve">SANTA MARTHA ACATITLA                                                                                                                       </v>
      </c>
      <c r="G518" s="26" t="str">
        <f>"IZTAPALAPA                                                                      "</f>
        <v xml:space="preserve">IZTAPALAPA                                                                      </v>
      </c>
      <c r="H518" s="26" t="str">
        <f>"005"</f>
        <v>005</v>
      </c>
      <c r="I518" s="26" t="str">
        <f t="shared" si="91"/>
        <v>00</v>
      </c>
      <c r="J518" s="26" t="str">
        <f>"62 "</f>
        <v xml:space="preserve">62 </v>
      </c>
      <c r="K518" s="26" t="str">
        <f>"IZ"</f>
        <v>IZ</v>
      </c>
      <c r="L518" s="26" t="str">
        <f>"DGSEI"</f>
        <v>DGSEI</v>
      </c>
      <c r="M518" s="26" t="str">
        <f t="shared" si="98"/>
        <v>FEDERAL</v>
      </c>
      <c r="N518" s="26">
        <v>497</v>
      </c>
      <c r="O518" s="26">
        <v>245</v>
      </c>
      <c r="P518" s="26">
        <v>252</v>
      </c>
      <c r="Q518" s="26">
        <v>13</v>
      </c>
      <c r="R518" s="26">
        <v>3</v>
      </c>
      <c r="S518" s="26">
        <v>37</v>
      </c>
      <c r="T518" s="26">
        <v>30</v>
      </c>
      <c r="U518" s="26">
        <v>70</v>
      </c>
      <c r="V518" s="26">
        <v>1</v>
      </c>
      <c r="W518" s="26"/>
    </row>
    <row r="519" spans="1:23" x14ac:dyDescent="0.25">
      <c r="A519" s="26" t="str">
        <f t="shared" si="97"/>
        <v>SECUNDARIA</v>
      </c>
      <c r="B519" s="26" t="str">
        <f>"09DES4297I"</f>
        <v>09DES4297I</v>
      </c>
      <c r="C519" s="26" t="str">
        <f>"OSCAR SANCHEZ SANCHEZ                                                                               "</f>
        <v xml:space="preserve">OSCAR SANCHEZ SANCHEZ                                                                               </v>
      </c>
      <c r="D519" s="26" t="str">
        <f t="shared" si="92"/>
        <v>VESPERTINO</v>
      </c>
      <c r="E519" s="26" t="str">
        <f>"NORTE 178 NO 574 Y BOLIVARES                                                    "</f>
        <v xml:space="preserve">NORTE 178 NO 574 Y BOLIVARES                                                    </v>
      </c>
      <c r="F519" s="26" t="str">
        <f>"PENSADOR MEXICANO                                                                                                                           "</f>
        <v xml:space="preserve">PENSADOR MEXICANO                                                                                                                           </v>
      </c>
      <c r="G519" s="26" t="str">
        <f>"VENUSTIANO CARRANZA                                                             "</f>
        <v xml:space="preserve">VENUSTIANO CARRANZA                                                             </v>
      </c>
      <c r="H519" s="26" t="str">
        <f>"076"</f>
        <v>076</v>
      </c>
      <c r="I519" s="26" t="str">
        <f t="shared" ref="I519:I582" si="99">"00"</f>
        <v>00</v>
      </c>
      <c r="J519" s="26" t="str">
        <f>"54 "</f>
        <v xml:space="preserve">54 </v>
      </c>
      <c r="K519" s="26" t="str">
        <f>"SG"</f>
        <v>SG</v>
      </c>
      <c r="L519" s="26" t="str">
        <f>"DGOSE"</f>
        <v>DGOSE</v>
      </c>
      <c r="M519" s="26" t="str">
        <f t="shared" si="98"/>
        <v>FEDERAL</v>
      </c>
      <c r="N519" s="26">
        <v>35</v>
      </c>
      <c r="O519" s="26">
        <v>26</v>
      </c>
      <c r="P519" s="26">
        <v>9</v>
      </c>
      <c r="Q519" s="26">
        <v>2</v>
      </c>
      <c r="R519" s="26">
        <v>1</v>
      </c>
      <c r="S519" s="26">
        <v>12</v>
      </c>
      <c r="T519" s="26">
        <v>12</v>
      </c>
      <c r="U519" s="26">
        <v>25</v>
      </c>
      <c r="V519" s="26">
        <v>1</v>
      </c>
      <c r="W519" s="26"/>
    </row>
    <row r="520" spans="1:23" x14ac:dyDescent="0.25">
      <c r="A520" s="26" t="str">
        <f t="shared" si="97"/>
        <v>SECUNDARIA</v>
      </c>
      <c r="B520" s="26" t="str">
        <f>"09DES4298H"</f>
        <v>09DES4298H</v>
      </c>
      <c r="C520" s="26" t="str">
        <f>"""MEXICO TENOCHTITLAN""                                                                               "</f>
        <v xml:space="preserve">"MEXICO TENOCHTITLAN"                                                                               </v>
      </c>
      <c r="D520" s="26" t="str">
        <f t="shared" si="92"/>
        <v>VESPERTINO</v>
      </c>
      <c r="E520" s="26" t="str">
        <f>"AV 412 Y AV 483                                                                 "</f>
        <v xml:space="preserve">AV 412 Y AV 483                                                                 </v>
      </c>
      <c r="F520" s="26" t="str">
        <f>"UNIDAD SAN JUAN DE ARAGON                                                                                                                   "</f>
        <v xml:space="preserve">UNIDAD SAN JUAN DE ARAGON                                                                                                                   </v>
      </c>
      <c r="G520" s="26" t="str">
        <f>"GUSTAVO A. MADERO                                                               "</f>
        <v xml:space="preserve">GUSTAVO A. MADERO                                                               </v>
      </c>
      <c r="H520" s="26" t="str">
        <f>"041"</f>
        <v>041</v>
      </c>
      <c r="I520" s="26" t="str">
        <f t="shared" si="99"/>
        <v>00</v>
      </c>
      <c r="J520" s="26" t="str">
        <f>"52 "</f>
        <v xml:space="preserve">52 </v>
      </c>
      <c r="K520" s="26" t="str">
        <f>"SG"</f>
        <v>SG</v>
      </c>
      <c r="L520" s="26" t="str">
        <f>"DGOSE"</f>
        <v>DGOSE</v>
      </c>
      <c r="M520" s="26" t="str">
        <f t="shared" si="98"/>
        <v>FEDERAL</v>
      </c>
      <c r="N520" s="26">
        <v>76</v>
      </c>
      <c r="O520" s="26">
        <v>46</v>
      </c>
      <c r="P520" s="26">
        <v>30</v>
      </c>
      <c r="Q520" s="26">
        <v>3</v>
      </c>
      <c r="R520" s="26">
        <v>1</v>
      </c>
      <c r="S520" s="26">
        <v>20</v>
      </c>
      <c r="T520" s="26">
        <v>14</v>
      </c>
      <c r="U520" s="26">
        <v>35</v>
      </c>
      <c r="V520" s="26">
        <v>1</v>
      </c>
      <c r="W520" s="26"/>
    </row>
    <row r="521" spans="1:23" x14ac:dyDescent="0.25">
      <c r="A521" s="26" t="str">
        <f t="shared" si="97"/>
        <v>SECUNDARIA</v>
      </c>
      <c r="B521" s="26" t="str">
        <f>"09DES4300F"</f>
        <v>09DES4300F</v>
      </c>
      <c r="C521" s="26" t="str">
        <f>"""JESUS F. CONTRERAS""                                                                                "</f>
        <v xml:space="preserve">"JESUS F. CONTRERAS"                                                                                </v>
      </c>
      <c r="D521" s="26" t="str">
        <f t="shared" si="92"/>
        <v>VESPERTINO</v>
      </c>
      <c r="E521" s="26" t="str">
        <f>"AV CEYLAN NO 1001 Y PONIENTE 146                                                "</f>
        <v xml:space="preserve">AV CEYLAN NO 1001 Y PONIENTE 146                                                </v>
      </c>
      <c r="F521" s="26" t="str">
        <f>"FERRERIA                                                                                                                                    "</f>
        <v xml:space="preserve">FERRERIA                                                                                                                                    </v>
      </c>
      <c r="G521" s="26" t="str">
        <f>"AZCAPOTZALCO                                                                    "</f>
        <v xml:space="preserve">AZCAPOTZALCO                                                                    </v>
      </c>
      <c r="H521" s="26" t="str">
        <f>"010"</f>
        <v>010</v>
      </c>
      <c r="I521" s="26" t="str">
        <f t="shared" si="99"/>
        <v>00</v>
      </c>
      <c r="J521" s="26" t="str">
        <f>"51 "</f>
        <v xml:space="preserve">51 </v>
      </c>
      <c r="K521" s="26" t="str">
        <f>"SG"</f>
        <v>SG</v>
      </c>
      <c r="L521" s="26" t="str">
        <f>"DGOSE"</f>
        <v>DGOSE</v>
      </c>
      <c r="M521" s="26" t="str">
        <f t="shared" si="98"/>
        <v>FEDERAL</v>
      </c>
      <c r="N521" s="26">
        <v>58</v>
      </c>
      <c r="O521" s="26">
        <v>36</v>
      </c>
      <c r="P521" s="26">
        <v>22</v>
      </c>
      <c r="Q521" s="26">
        <v>3</v>
      </c>
      <c r="R521" s="26">
        <v>1</v>
      </c>
      <c r="S521" s="26">
        <v>13</v>
      </c>
      <c r="T521" s="26">
        <v>6</v>
      </c>
      <c r="U521" s="26">
        <v>20</v>
      </c>
      <c r="V521" s="26">
        <v>1</v>
      </c>
      <c r="W521" s="26"/>
    </row>
    <row r="522" spans="1:23" x14ac:dyDescent="0.25">
      <c r="A522" s="26" t="str">
        <f t="shared" si="97"/>
        <v>SECUNDARIA</v>
      </c>
      <c r="B522" s="26" t="str">
        <f>"09DES4301E"</f>
        <v>09DES4301E</v>
      </c>
      <c r="C522" s="26" t="str">
        <f>"GUILLERMO HARO                                                                                      "</f>
        <v xml:space="preserve">GUILLERMO HARO                                                                                      </v>
      </c>
      <c r="D522" s="26" t="str">
        <f t="shared" si="92"/>
        <v>VESPERTINO</v>
      </c>
      <c r="E522" s="26" t="str">
        <f>"AV 604 Y AGRUPAMIENTO I                                                         "</f>
        <v xml:space="preserve">AV 604 Y AGRUPAMIENTO I                                                         </v>
      </c>
      <c r="F522" s="26" t="str">
        <f>"UNIDAD HABITACIONAL NARCISO BASSOLS                                                                                                         "</f>
        <v xml:space="preserve">UNIDAD HABITACIONAL NARCISO BASSOLS                                                                                                         </v>
      </c>
      <c r="G522" s="26" t="str">
        <f>"GUSTAVO A. MADERO                                                               "</f>
        <v xml:space="preserve">GUSTAVO A. MADERO                                                               </v>
      </c>
      <c r="H522" s="26" t="str">
        <f>"041"</f>
        <v>041</v>
      </c>
      <c r="I522" s="26" t="str">
        <f t="shared" si="99"/>
        <v>00</v>
      </c>
      <c r="J522" s="26" t="str">
        <f>"52 "</f>
        <v xml:space="preserve">52 </v>
      </c>
      <c r="K522" s="26" t="str">
        <f>"SG"</f>
        <v>SG</v>
      </c>
      <c r="L522" s="26" t="str">
        <f>"DGOSE"</f>
        <v>DGOSE</v>
      </c>
      <c r="M522" s="26" t="str">
        <f t="shared" si="98"/>
        <v>FEDERAL</v>
      </c>
      <c r="N522" s="26">
        <v>126</v>
      </c>
      <c r="O522" s="26">
        <v>67</v>
      </c>
      <c r="P522" s="26">
        <v>59</v>
      </c>
      <c r="Q522" s="26">
        <v>8</v>
      </c>
      <c r="R522" s="26">
        <v>2</v>
      </c>
      <c r="S522" s="26">
        <v>29</v>
      </c>
      <c r="T522" s="26">
        <v>16</v>
      </c>
      <c r="U522" s="26">
        <v>47</v>
      </c>
      <c r="V522" s="26">
        <v>1</v>
      </c>
      <c r="W522" s="26"/>
    </row>
    <row r="523" spans="1:23" x14ac:dyDescent="0.25">
      <c r="A523" s="26" t="str">
        <f t="shared" si="97"/>
        <v>SECUNDARIA</v>
      </c>
      <c r="B523" s="26" t="str">
        <f>"09DES4302D"</f>
        <v>09DES4302D</v>
      </c>
      <c r="C523" s="26" t="str">
        <f>"""LUIS DONALDO COLOSIO MURRIETA""                                                                     "</f>
        <v xml:space="preserve">"LUIS DONALDO COLOSIO MURRIETA"                                                                     </v>
      </c>
      <c r="D523" s="26" t="str">
        <f t="shared" si="92"/>
        <v>VESPERTINO</v>
      </c>
      <c r="E523" s="26" t="str">
        <f>"CDA DE NOGAL Y FCC DE CUERNAVACA                                                "</f>
        <v xml:space="preserve">CDA DE NOGAL Y FCC DE CUERNAVACA                                                </v>
      </c>
      <c r="F523" s="26" t="str">
        <f>"BARRANCA SECA                                                                                                                               "</f>
        <v xml:space="preserve">BARRANCA SECA                                                                                                                               </v>
      </c>
      <c r="G523" s="26" t="str">
        <f>"LA MAGDALENA CONTRERAS                                                          "</f>
        <v xml:space="preserve">LA MAGDALENA CONTRERAS                                                          </v>
      </c>
      <c r="H523" s="26" t="str">
        <f>"058"</f>
        <v>058</v>
      </c>
      <c r="I523" s="26" t="str">
        <f t="shared" si="99"/>
        <v>00</v>
      </c>
      <c r="J523" s="26" t="str">
        <f>"53 "</f>
        <v xml:space="preserve">53 </v>
      </c>
      <c r="K523" s="26" t="str">
        <f>"SG"</f>
        <v>SG</v>
      </c>
      <c r="L523" s="26" t="str">
        <f>"DGOSE"</f>
        <v>DGOSE</v>
      </c>
      <c r="M523" s="26" t="str">
        <f t="shared" si="98"/>
        <v>FEDERAL</v>
      </c>
      <c r="N523" s="26">
        <v>724</v>
      </c>
      <c r="O523" s="26">
        <v>353</v>
      </c>
      <c r="P523" s="26">
        <v>371</v>
      </c>
      <c r="Q523" s="26">
        <v>15</v>
      </c>
      <c r="R523" s="26">
        <v>1</v>
      </c>
      <c r="S523" s="26">
        <v>37</v>
      </c>
      <c r="T523" s="26">
        <v>18</v>
      </c>
      <c r="U523" s="26">
        <v>56</v>
      </c>
      <c r="V523" s="26">
        <v>1</v>
      </c>
      <c r="W523" s="26"/>
    </row>
    <row r="524" spans="1:23" x14ac:dyDescent="0.25">
      <c r="A524" s="26" t="str">
        <f t="shared" si="97"/>
        <v>SECUNDARIA</v>
      </c>
      <c r="B524" s="26" t="str">
        <f>"09DES4303C"</f>
        <v>09DES4303C</v>
      </c>
      <c r="C524" s="26" t="str">
        <f>"FRIDA KAHLO                                                                                         "</f>
        <v xml:space="preserve">FRIDA KAHLO                                                                                         </v>
      </c>
      <c r="D524" s="26" t="str">
        <f t="shared" si="92"/>
        <v>VESPERTINO</v>
      </c>
      <c r="E524" s="26" t="str">
        <f>"GRAN DECADA NACIONAL S/N                                                        "</f>
        <v xml:space="preserve">GRAN DECADA NACIONAL S/N                                                        </v>
      </c>
      <c r="F524" s="26" t="str">
        <f>"UNIDAD HABITACIONAL IGNACIO ZARAGOZ                                                                                                         "</f>
        <v xml:space="preserve">UNIDAD HABITACIONAL IGNACIO ZARAGOZ                                                                                                         </v>
      </c>
      <c r="G524" s="26" t="str">
        <f>"IZTAPALAPA                                                                      "</f>
        <v xml:space="preserve">IZTAPALAPA                                                                      </v>
      </c>
      <c r="H524" s="26" t="str">
        <f>"006"</f>
        <v>006</v>
      </c>
      <c r="I524" s="26" t="str">
        <f t="shared" si="99"/>
        <v>00</v>
      </c>
      <c r="J524" s="26" t="str">
        <f>"62 "</f>
        <v xml:space="preserve">62 </v>
      </c>
      <c r="K524" s="26" t="str">
        <f>"IZ"</f>
        <v>IZ</v>
      </c>
      <c r="L524" s="26" t="str">
        <f>"DGSEI"</f>
        <v>DGSEI</v>
      </c>
      <c r="M524" s="26" t="str">
        <f t="shared" si="98"/>
        <v>FEDERAL</v>
      </c>
      <c r="N524" s="26">
        <v>275</v>
      </c>
      <c r="O524" s="26">
        <v>151</v>
      </c>
      <c r="P524" s="26">
        <v>124</v>
      </c>
      <c r="Q524" s="26">
        <v>13</v>
      </c>
      <c r="R524" s="26">
        <v>2</v>
      </c>
      <c r="S524" s="26">
        <v>40</v>
      </c>
      <c r="T524" s="26">
        <v>24</v>
      </c>
      <c r="U524" s="26">
        <v>66</v>
      </c>
      <c r="V524" s="26">
        <v>1</v>
      </c>
      <c r="W524" s="26"/>
    </row>
    <row r="525" spans="1:23" x14ac:dyDescent="0.25">
      <c r="A525" s="26" t="str">
        <f t="shared" si="97"/>
        <v>SECUNDARIA</v>
      </c>
      <c r="B525" s="26" t="str">
        <f>"09DES4304B"</f>
        <v>09DES4304B</v>
      </c>
      <c r="C525" s="26" t="str">
        <f>"JUAN RULFO                                                                                          "</f>
        <v xml:space="preserve">JUAN RULFO                                                                                          </v>
      </c>
      <c r="D525" s="26" t="str">
        <f t="shared" si="92"/>
        <v>VESPERTINO</v>
      </c>
      <c r="E525" s="26" t="str">
        <f>"MANUEL M LOPEZ Y FFCC                                                           "</f>
        <v xml:space="preserve">MANUEL M LOPEZ Y FFCC                                                           </v>
      </c>
      <c r="F525" s="26" t="str">
        <f>"ZAPOTITLA                                                                                                                                   "</f>
        <v xml:space="preserve">ZAPOTITLA                                                                                                                                   </v>
      </c>
      <c r="G525" s="26" t="str">
        <f>"TLAHUAC                                                                         "</f>
        <v xml:space="preserve">TLAHUAC                                                                         </v>
      </c>
      <c r="H525" s="26" t="str">
        <f>"067"</f>
        <v>067</v>
      </c>
      <c r="I525" s="26" t="str">
        <f t="shared" si="99"/>
        <v>00</v>
      </c>
      <c r="J525" s="26" t="str">
        <f>"55 "</f>
        <v xml:space="preserve">55 </v>
      </c>
      <c r="K525" s="26" t="str">
        <f>"SG"</f>
        <v>SG</v>
      </c>
      <c r="L525" s="26" t="str">
        <f>"DGOSE"</f>
        <v>DGOSE</v>
      </c>
      <c r="M525" s="26" t="str">
        <f t="shared" si="98"/>
        <v>FEDERAL</v>
      </c>
      <c r="N525" s="26">
        <v>465</v>
      </c>
      <c r="O525" s="26">
        <v>248</v>
      </c>
      <c r="P525" s="26">
        <v>217</v>
      </c>
      <c r="Q525" s="26">
        <v>15</v>
      </c>
      <c r="R525" s="26">
        <v>2</v>
      </c>
      <c r="S525" s="26">
        <v>40</v>
      </c>
      <c r="T525" s="26">
        <v>24</v>
      </c>
      <c r="U525" s="26">
        <v>66</v>
      </c>
      <c r="V525" s="26">
        <v>1</v>
      </c>
      <c r="W525" s="26"/>
    </row>
    <row r="526" spans="1:23" x14ac:dyDescent="0.25">
      <c r="A526" s="26" t="str">
        <f t="shared" si="97"/>
        <v>SECUNDARIA</v>
      </c>
      <c r="B526" s="26" t="str">
        <f>"09DES4305A"</f>
        <v>09DES4305A</v>
      </c>
      <c r="C526" s="26" t="str">
        <f>"""EMILIO ROSENBLUETH""                                                                                "</f>
        <v xml:space="preserve">"EMILIO ROSENBLUETH"                                                                                </v>
      </c>
      <c r="D526" s="26" t="str">
        <f t="shared" ref="D526:D535" si="100">"VESPERTINO"</f>
        <v>VESPERTINO</v>
      </c>
      <c r="E526" s="26" t="str">
        <f>"GUADALUPE I RAMIREZ S/N ENTRE NARDOS Y DIVISION DEL NORTE                       "</f>
        <v xml:space="preserve">GUADALUPE I RAMIREZ S/N ENTRE NARDOS Y DIVISION DEL NORTE                       </v>
      </c>
      <c r="F526" s="26" t="str">
        <f>"POTRERO DE SAN BERNARDINO                                                                                                                   "</f>
        <v xml:space="preserve">POTRERO DE SAN BERNARDINO                                                                                                                   </v>
      </c>
      <c r="G526" s="26" t="str">
        <f>"XOCHIMILCO                                                                      "</f>
        <v xml:space="preserve">XOCHIMILCO                                                                      </v>
      </c>
      <c r="H526" s="26" t="str">
        <f>"080"</f>
        <v>080</v>
      </c>
      <c r="I526" s="26" t="str">
        <f t="shared" si="99"/>
        <v>00</v>
      </c>
      <c r="J526" s="26" t="str">
        <f>"55 "</f>
        <v xml:space="preserve">55 </v>
      </c>
      <c r="K526" s="26" t="str">
        <f>"SG"</f>
        <v>SG</v>
      </c>
      <c r="L526" s="26" t="str">
        <f>"DGOSE"</f>
        <v>DGOSE</v>
      </c>
      <c r="M526" s="26" t="str">
        <f t="shared" si="98"/>
        <v>FEDERAL</v>
      </c>
      <c r="N526" s="26">
        <v>662</v>
      </c>
      <c r="O526" s="26">
        <v>345</v>
      </c>
      <c r="P526" s="26">
        <v>317</v>
      </c>
      <c r="Q526" s="26">
        <v>15</v>
      </c>
      <c r="R526" s="26">
        <v>1</v>
      </c>
      <c r="S526" s="26">
        <v>44</v>
      </c>
      <c r="T526" s="26">
        <v>25</v>
      </c>
      <c r="U526" s="26">
        <v>70</v>
      </c>
      <c r="V526" s="26">
        <v>1</v>
      </c>
      <c r="W526" s="26"/>
    </row>
    <row r="527" spans="1:23" x14ac:dyDescent="0.25">
      <c r="A527" s="26" t="str">
        <f t="shared" si="97"/>
        <v>SECUNDARIA</v>
      </c>
      <c r="B527" s="26" t="str">
        <f>"09DES4306Z"</f>
        <v>09DES4306Z</v>
      </c>
      <c r="C527" s="26" t="str">
        <f>"MANUEL ACUÑA                                                                                        "</f>
        <v xml:space="preserve">MANUEL ACUÑA                                                                                        </v>
      </c>
      <c r="D527" s="26" t="str">
        <f t="shared" si="100"/>
        <v>VESPERTINO</v>
      </c>
      <c r="E527" s="26" t="str">
        <f>"MANUEL ACUÑA S/N                                                                "</f>
        <v xml:space="preserve">MANUEL ACUÑA S/N                                                                </v>
      </c>
      <c r="F527" s="26" t="str">
        <f>"PALMITAS                                                                                                                                    "</f>
        <v xml:space="preserve">PALMITAS                                                                                                                                    </v>
      </c>
      <c r="G527" s="26" t="str">
        <f>"IZTAPALAPA                                                                      "</f>
        <v xml:space="preserve">IZTAPALAPA                                                                      </v>
      </c>
      <c r="H527" s="26" t="str">
        <f>"015"</f>
        <v>015</v>
      </c>
      <c r="I527" s="26" t="str">
        <f t="shared" si="99"/>
        <v>00</v>
      </c>
      <c r="J527" s="26" t="str">
        <f>"64 "</f>
        <v xml:space="preserve">64 </v>
      </c>
      <c r="K527" s="26" t="str">
        <f>"IZ"</f>
        <v>IZ</v>
      </c>
      <c r="L527" s="26" t="str">
        <f>"DGSEI"</f>
        <v>DGSEI</v>
      </c>
      <c r="M527" s="26" t="str">
        <f t="shared" si="98"/>
        <v>FEDERAL</v>
      </c>
      <c r="N527" s="26">
        <v>294</v>
      </c>
      <c r="O527" s="26">
        <v>178</v>
      </c>
      <c r="P527" s="26">
        <v>116</v>
      </c>
      <c r="Q527" s="26">
        <v>7</v>
      </c>
      <c r="R527" s="26">
        <v>2</v>
      </c>
      <c r="S527" s="26">
        <v>23</v>
      </c>
      <c r="T527" s="26">
        <v>13</v>
      </c>
      <c r="U527" s="26">
        <v>38</v>
      </c>
      <c r="V527" s="26">
        <v>1</v>
      </c>
      <c r="W527" s="26"/>
    </row>
    <row r="528" spans="1:23" x14ac:dyDescent="0.25">
      <c r="A528" s="26" t="str">
        <f t="shared" si="97"/>
        <v>SECUNDARIA</v>
      </c>
      <c r="B528" s="26" t="str">
        <f>"09DES4307Z"</f>
        <v>09DES4307Z</v>
      </c>
      <c r="C528" s="26" t="str">
        <f>"SECUNDARIA FEDERAL                                                                                  "</f>
        <v xml:space="preserve">SECUNDARIA FEDERAL                                                                                  </v>
      </c>
      <c r="D528" s="26" t="str">
        <f t="shared" si="100"/>
        <v>VESPERTINO</v>
      </c>
      <c r="E528" s="26" t="str">
        <f>"AV SAN MIGUEL ENTRE 1RA Y 2DA CDA NORTE                                         "</f>
        <v xml:space="preserve">AV SAN MIGUEL ENTRE 1RA Y 2DA CDA NORTE                                         </v>
      </c>
      <c r="F528" s="26" t="str">
        <f>"CUAUTEPEC EL ALTO                                                                                                                           "</f>
        <v xml:space="preserve">CUAUTEPEC EL ALTO                                                                                                                           </v>
      </c>
      <c r="G528" s="26" t="str">
        <f>"GUSTAVO A. MADERO                                                               "</f>
        <v xml:space="preserve">GUSTAVO A. MADERO                                                               </v>
      </c>
      <c r="H528" s="26" t="str">
        <f>"031"</f>
        <v>031</v>
      </c>
      <c r="I528" s="26" t="str">
        <f t="shared" si="99"/>
        <v>00</v>
      </c>
      <c r="J528" s="26" t="str">
        <f>"52 "</f>
        <v xml:space="preserve">52 </v>
      </c>
      <c r="K528" s="26" t="str">
        <f>"SG"</f>
        <v>SG</v>
      </c>
      <c r="L528" s="26" t="str">
        <f>"DGOSE"</f>
        <v>DGOSE</v>
      </c>
      <c r="M528" s="26" t="str">
        <f t="shared" si="98"/>
        <v>FEDERAL</v>
      </c>
      <c r="N528" s="26">
        <v>728</v>
      </c>
      <c r="O528" s="26">
        <v>370</v>
      </c>
      <c r="P528" s="26">
        <v>358</v>
      </c>
      <c r="Q528" s="26">
        <v>15</v>
      </c>
      <c r="R528" s="26">
        <v>2</v>
      </c>
      <c r="S528" s="26">
        <v>36</v>
      </c>
      <c r="T528" s="26">
        <v>20</v>
      </c>
      <c r="U528" s="26">
        <v>58</v>
      </c>
      <c r="V528" s="26">
        <v>1</v>
      </c>
      <c r="W528" s="26"/>
    </row>
    <row r="529" spans="1:23" x14ac:dyDescent="0.25">
      <c r="A529" s="26" t="str">
        <f t="shared" si="97"/>
        <v>SECUNDARIA</v>
      </c>
      <c r="B529" s="26" t="str">
        <f>"09DES4308Y"</f>
        <v>09DES4308Y</v>
      </c>
      <c r="C529" s="26" t="str">
        <f>"""NOCHCALCO""                                                                                         "</f>
        <v xml:space="preserve">"NOCHCALCO"                                                                                         </v>
      </c>
      <c r="D529" s="26" t="str">
        <f t="shared" si="100"/>
        <v>VESPERTINO</v>
      </c>
      <c r="E529" s="26" t="str">
        <f>"SIMON BOLIVAR NO 180                                                            "</f>
        <v xml:space="preserve">SIMON BOLIVAR NO 180                                                            </v>
      </c>
      <c r="F529" s="26" t="str">
        <f>"SAN JERONIMO MIACATLAN                                                                                                                      "</f>
        <v xml:space="preserve">SAN JERONIMO MIACATLAN                                                                                                                      </v>
      </c>
      <c r="G529" s="26" t="str">
        <f>"MILPA ALTA                                                                      "</f>
        <v xml:space="preserve">MILPA ALTA                                                                      </v>
      </c>
      <c r="H529" s="26" t="str">
        <f>"066"</f>
        <v>066</v>
      </c>
      <c r="I529" s="26" t="str">
        <f t="shared" si="99"/>
        <v>00</v>
      </c>
      <c r="J529" s="26" t="str">
        <f>"55 "</f>
        <v xml:space="preserve">55 </v>
      </c>
      <c r="K529" s="26" t="str">
        <f>"SG"</f>
        <v>SG</v>
      </c>
      <c r="L529" s="26" t="str">
        <f>"DGOSE"</f>
        <v>DGOSE</v>
      </c>
      <c r="M529" s="26" t="str">
        <f t="shared" si="98"/>
        <v>FEDERAL</v>
      </c>
      <c r="N529" s="26">
        <v>308</v>
      </c>
      <c r="O529" s="26">
        <v>182</v>
      </c>
      <c r="P529" s="26">
        <v>126</v>
      </c>
      <c r="Q529" s="26">
        <v>9</v>
      </c>
      <c r="R529" s="26">
        <v>1</v>
      </c>
      <c r="S529" s="26">
        <v>24</v>
      </c>
      <c r="T529" s="26">
        <v>17</v>
      </c>
      <c r="U529" s="26">
        <v>42</v>
      </c>
      <c r="V529" s="26">
        <v>1</v>
      </c>
      <c r="W529" s="26"/>
    </row>
    <row r="530" spans="1:23" x14ac:dyDescent="0.25">
      <c r="A530" s="26" t="str">
        <f t="shared" si="97"/>
        <v>SECUNDARIA</v>
      </c>
      <c r="B530" s="26" t="str">
        <f>"09DES4309X"</f>
        <v>09DES4309X</v>
      </c>
      <c r="C530" s="26" t="str">
        <f>"JUAN JOSE ARREOLA ZUÑIGA                                                                            "</f>
        <v xml:space="preserve">JUAN JOSE ARREOLA ZUÑIGA                                                                            </v>
      </c>
      <c r="D530" s="26" t="str">
        <f t="shared" si="100"/>
        <v>VESPERTINO</v>
      </c>
      <c r="E530" s="26" t="str">
        <f>"U HAB VILLA CENTRO AMERICANA                                                    "</f>
        <v xml:space="preserve">U HAB VILLA CENTRO AMERICANA                                                    </v>
      </c>
      <c r="F530" s="26" t="str">
        <f>"VILLA CENTROAMERICANA Y DEL CARIBE                                                                                                          "</f>
        <v xml:space="preserve">VILLA CENTROAMERICANA Y DEL CARIBE                                                                                                          </v>
      </c>
      <c r="G530" s="26" t="str">
        <f>"TLAHUAC                                                                         "</f>
        <v xml:space="preserve">TLAHUAC                                                                         </v>
      </c>
      <c r="H530" s="26" t="str">
        <f>"067"</f>
        <v>067</v>
      </c>
      <c r="I530" s="26" t="str">
        <f t="shared" si="99"/>
        <v>00</v>
      </c>
      <c r="J530" s="26" t="str">
        <f>"55 "</f>
        <v xml:space="preserve">55 </v>
      </c>
      <c r="K530" s="26" t="str">
        <f>"SG"</f>
        <v>SG</v>
      </c>
      <c r="L530" s="26" t="str">
        <f>"DGOSE"</f>
        <v>DGOSE</v>
      </c>
      <c r="M530" s="26" t="str">
        <f t="shared" si="98"/>
        <v>FEDERAL</v>
      </c>
      <c r="N530" s="26">
        <v>385</v>
      </c>
      <c r="O530" s="26">
        <v>217</v>
      </c>
      <c r="P530" s="26">
        <v>168</v>
      </c>
      <c r="Q530" s="26">
        <v>12</v>
      </c>
      <c r="R530" s="26">
        <v>3</v>
      </c>
      <c r="S530" s="26">
        <v>30</v>
      </c>
      <c r="T530" s="26">
        <v>18</v>
      </c>
      <c r="U530" s="26">
        <v>51</v>
      </c>
      <c r="V530" s="26">
        <v>1</v>
      </c>
      <c r="W530" s="26"/>
    </row>
    <row r="531" spans="1:23" x14ac:dyDescent="0.25">
      <c r="A531" s="26" t="str">
        <f t="shared" si="97"/>
        <v>SECUNDARIA</v>
      </c>
      <c r="B531" s="26" t="str">
        <f>"09DES4310M"</f>
        <v>09DES4310M</v>
      </c>
      <c r="C531" s="26" t="str">
        <f>"PRESIDENTES DE MEXICO                                                                               "</f>
        <v xml:space="preserve">PRESIDENTES DE MEXICO                                                                               </v>
      </c>
      <c r="D531" s="26" t="str">
        <f t="shared" si="100"/>
        <v>VESPERTINO</v>
      </c>
      <c r="E531" s="26" t="str">
        <f>"CANAL DE PANAMA Y JAIME NUNO                                                    "</f>
        <v xml:space="preserve">CANAL DE PANAMA Y JAIME NUNO                                                    </v>
      </c>
      <c r="F531" s="26" t="str">
        <f>"INSURGENTES                                                                                                                                 "</f>
        <v xml:space="preserve">INSURGENTES                                                                                                                                 </v>
      </c>
      <c r="G531" s="26" t="str">
        <f>"IZTAPALAPA                                                                      "</f>
        <v xml:space="preserve">IZTAPALAPA                                                                      </v>
      </c>
      <c r="H531" s="26" t="str">
        <f>"013"</f>
        <v>013</v>
      </c>
      <c r="I531" s="26" t="str">
        <f t="shared" si="99"/>
        <v>00</v>
      </c>
      <c r="J531" s="26" t="str">
        <f>"64 "</f>
        <v xml:space="preserve">64 </v>
      </c>
      <c r="K531" s="26" t="str">
        <f>"IZ"</f>
        <v>IZ</v>
      </c>
      <c r="L531" s="26" t="str">
        <f>"DGSEI"</f>
        <v>DGSEI</v>
      </c>
      <c r="M531" s="26" t="str">
        <f t="shared" si="98"/>
        <v>FEDERAL</v>
      </c>
      <c r="N531" s="26">
        <v>479</v>
      </c>
      <c r="O531" s="26">
        <v>244</v>
      </c>
      <c r="P531" s="26">
        <v>235</v>
      </c>
      <c r="Q531" s="26">
        <v>12</v>
      </c>
      <c r="R531" s="26">
        <v>2</v>
      </c>
      <c r="S531" s="26">
        <v>32</v>
      </c>
      <c r="T531" s="26">
        <v>20</v>
      </c>
      <c r="U531" s="26">
        <v>54</v>
      </c>
      <c r="V531" s="26">
        <v>1</v>
      </c>
      <c r="W531" s="26"/>
    </row>
    <row r="532" spans="1:23" x14ac:dyDescent="0.25">
      <c r="A532" s="26" t="str">
        <f t="shared" si="97"/>
        <v>SECUNDARIA</v>
      </c>
      <c r="B532" s="26" t="str">
        <f>"09DES4313J"</f>
        <v>09DES4313J</v>
      </c>
      <c r="C532" s="26" t="str">
        <f>"LAZARO CARDENAS DEL RIO                                                                             "</f>
        <v xml:space="preserve">LAZARO CARDENAS DEL RIO                                                                             </v>
      </c>
      <c r="D532" s="26" t="str">
        <f t="shared" si="100"/>
        <v>VESPERTINO</v>
      </c>
      <c r="E532" s="26" t="str">
        <f>"YURIRIA S/N Y CALLE SIETE                                                       "</f>
        <v xml:space="preserve">YURIRIA S/N Y CALLE SIETE                                                       </v>
      </c>
      <c r="F532" s="26" t="str">
        <f>"SANTIAGO ACAHUALTEPEC                                                                                                                       "</f>
        <v xml:space="preserve">SANTIAGO ACAHUALTEPEC                                                                                                                       </v>
      </c>
      <c r="G532" s="26" t="str">
        <f>"IZTAPALAPA                                                                      "</f>
        <v xml:space="preserve">IZTAPALAPA                                                                      </v>
      </c>
      <c r="H532" s="26" t="str">
        <f>"015"</f>
        <v>015</v>
      </c>
      <c r="I532" s="26" t="str">
        <f t="shared" si="99"/>
        <v>00</v>
      </c>
      <c r="J532" s="26" t="str">
        <f>"64 "</f>
        <v xml:space="preserve">64 </v>
      </c>
      <c r="K532" s="26" t="str">
        <f>"IZ"</f>
        <v>IZ</v>
      </c>
      <c r="L532" s="26" t="str">
        <f>"DGSEI"</f>
        <v>DGSEI</v>
      </c>
      <c r="M532" s="26" t="str">
        <f t="shared" si="98"/>
        <v>FEDERAL</v>
      </c>
      <c r="N532" s="26">
        <v>630</v>
      </c>
      <c r="O532" s="26">
        <v>320</v>
      </c>
      <c r="P532" s="26">
        <v>310</v>
      </c>
      <c r="Q532" s="26">
        <v>15</v>
      </c>
      <c r="R532" s="26">
        <v>2</v>
      </c>
      <c r="S532" s="26">
        <v>40</v>
      </c>
      <c r="T532" s="26">
        <v>18</v>
      </c>
      <c r="U532" s="26">
        <v>60</v>
      </c>
      <c r="V532" s="26">
        <v>1</v>
      </c>
      <c r="W532" s="26"/>
    </row>
    <row r="533" spans="1:23" x14ac:dyDescent="0.25">
      <c r="A533" s="26" t="str">
        <f t="shared" si="97"/>
        <v>SECUNDARIA</v>
      </c>
      <c r="B533" s="26" t="str">
        <f>"09DES4316G"</f>
        <v>09DES4316G</v>
      </c>
      <c r="C533" s="26" t="str">
        <f>"FRANCISCO GONZALEZ BOCANEGRA                                                                        "</f>
        <v xml:space="preserve">FRANCISCO GONZALEZ BOCANEGRA                                                                        </v>
      </c>
      <c r="D533" s="26" t="str">
        <f t="shared" si="100"/>
        <v>VESPERTINO</v>
      </c>
      <c r="E533" s="26" t="str">
        <f>"JACARANDAS MZ.104 LT. 5                                                         "</f>
        <v xml:space="preserve">JACARANDAS MZ.104 LT. 5                                                         </v>
      </c>
      <c r="F533" s="26" t="str">
        <f>"TENORIOS                                                                                                                                    "</f>
        <v xml:space="preserve">TENORIOS                                                                                                                                    </v>
      </c>
      <c r="G533" s="26" t="str">
        <f>"IZTAPALAPA                                                                      "</f>
        <v xml:space="preserve">IZTAPALAPA                                                                      </v>
      </c>
      <c r="H533" s="26" t="str">
        <f>"014"</f>
        <v>014</v>
      </c>
      <c r="I533" s="26" t="str">
        <f t="shared" si="99"/>
        <v>00</v>
      </c>
      <c r="J533" s="26" t="str">
        <f>"64 "</f>
        <v xml:space="preserve">64 </v>
      </c>
      <c r="K533" s="26" t="str">
        <f>"IZ"</f>
        <v>IZ</v>
      </c>
      <c r="L533" s="26" t="str">
        <f>"DGSEI"</f>
        <v>DGSEI</v>
      </c>
      <c r="M533" s="26" t="str">
        <f t="shared" si="98"/>
        <v>FEDERAL</v>
      </c>
      <c r="N533" s="26">
        <v>268</v>
      </c>
      <c r="O533" s="26">
        <v>138</v>
      </c>
      <c r="P533" s="26">
        <v>130</v>
      </c>
      <c r="Q533" s="26">
        <v>7</v>
      </c>
      <c r="R533" s="26">
        <v>1</v>
      </c>
      <c r="S533" s="26">
        <v>24</v>
      </c>
      <c r="T533" s="26">
        <v>12</v>
      </c>
      <c r="U533" s="26">
        <v>37</v>
      </c>
      <c r="V533" s="26">
        <v>1</v>
      </c>
      <c r="W533" s="26"/>
    </row>
    <row r="534" spans="1:23" x14ac:dyDescent="0.25">
      <c r="A534" s="26" t="str">
        <f t="shared" si="97"/>
        <v>SECUNDARIA</v>
      </c>
      <c r="B534" s="26" t="str">
        <f>"09DES4319D"</f>
        <v>09DES4319D</v>
      </c>
      <c r="C534" s="26" t="str">
        <f>"CUAUHTEMOC                                                                                          "</f>
        <v xml:space="preserve">CUAUHTEMOC                                                                                          </v>
      </c>
      <c r="D534" s="26" t="str">
        <f t="shared" si="100"/>
        <v>VESPERTINO</v>
      </c>
      <c r="E534" s="26" t="str">
        <f>"FRESNO Y JESUS GARIBAY S/N                                                      "</f>
        <v xml:space="preserve">FRESNO Y JESUS GARIBAY S/N                                                      </v>
      </c>
      <c r="F534" s="26" t="str">
        <f>"PUENTE BLANCO                                                                                                                               "</f>
        <v xml:space="preserve">PUENTE BLANCO                                                                                                                               </v>
      </c>
      <c r="G534" s="26" t="str">
        <f>"IZTAPALAPA                                                                      "</f>
        <v xml:space="preserve">IZTAPALAPA                                                                      </v>
      </c>
      <c r="H534" s="26" t="str">
        <f>"012"</f>
        <v>012</v>
      </c>
      <c r="I534" s="26" t="str">
        <f t="shared" si="99"/>
        <v>00</v>
      </c>
      <c r="J534" s="26" t="str">
        <f>"63 "</f>
        <v xml:space="preserve">63 </v>
      </c>
      <c r="K534" s="26" t="str">
        <f>"IZ"</f>
        <v>IZ</v>
      </c>
      <c r="L534" s="26" t="str">
        <f>"DGSEI"</f>
        <v>DGSEI</v>
      </c>
      <c r="M534" s="26" t="str">
        <f t="shared" si="98"/>
        <v>FEDERAL</v>
      </c>
      <c r="N534" s="26">
        <v>552</v>
      </c>
      <c r="O534" s="26">
        <v>286</v>
      </c>
      <c r="P534" s="26">
        <v>266</v>
      </c>
      <c r="Q534" s="26">
        <v>15</v>
      </c>
      <c r="R534" s="26">
        <v>2</v>
      </c>
      <c r="S534" s="26">
        <v>37</v>
      </c>
      <c r="T534" s="26">
        <v>20</v>
      </c>
      <c r="U534" s="26">
        <v>59</v>
      </c>
      <c r="V534" s="26">
        <v>1</v>
      </c>
      <c r="W534" s="26"/>
    </row>
    <row r="535" spans="1:23" x14ac:dyDescent="0.25">
      <c r="A535" s="26" t="str">
        <f t="shared" si="97"/>
        <v>SECUNDARIA</v>
      </c>
      <c r="B535" s="26" t="str">
        <f>"09DES4324P"</f>
        <v>09DES4324P</v>
      </c>
      <c r="C535" s="26" t="str">
        <f>"SECUNDARIA FEDERAL                                                                                  "</f>
        <v xml:space="preserve">SECUNDARIA FEDERAL                                                                                  </v>
      </c>
      <c r="D535" s="26" t="str">
        <f t="shared" si="100"/>
        <v>VESPERTINO</v>
      </c>
      <c r="E535" s="26" t="str">
        <f>"GUILLERMO PRIETO S/N ESQUINA AV DE LA TURBA                                     "</f>
        <v xml:space="preserve">GUILLERMO PRIETO S/N ESQUINA AV DE LA TURBA                                     </v>
      </c>
      <c r="F535" s="26" t="str">
        <f>"UNIDAD VILLAS LA DRAGA                                                                                                                      "</f>
        <v xml:space="preserve">UNIDAD VILLAS LA DRAGA                                                                                                                      </v>
      </c>
      <c r="G535" s="26" t="str">
        <f>"TLAHUAC                                                                         "</f>
        <v xml:space="preserve">TLAHUAC                                                                         </v>
      </c>
      <c r="H535" s="26" t="str">
        <f>"000"</f>
        <v>000</v>
      </c>
      <c r="I535" s="26" t="str">
        <f t="shared" si="99"/>
        <v>00</v>
      </c>
      <c r="J535" s="26" t="str">
        <f>"55 "</f>
        <v xml:space="preserve">55 </v>
      </c>
      <c r="K535" s="26" t="str">
        <f t="shared" ref="K535:K555" si="101">"SG"</f>
        <v>SG</v>
      </c>
      <c r="L535" s="26" t="str">
        <f t="shared" ref="L535:L555" si="102">"DGOSE"</f>
        <v>DGOSE</v>
      </c>
      <c r="M535" s="26" t="str">
        <f t="shared" si="98"/>
        <v>FEDERAL</v>
      </c>
      <c r="N535" s="26">
        <v>423</v>
      </c>
      <c r="O535" s="26">
        <v>250</v>
      </c>
      <c r="P535" s="26">
        <v>173</v>
      </c>
      <c r="Q535" s="26">
        <v>15</v>
      </c>
      <c r="R535" s="26">
        <v>2</v>
      </c>
      <c r="S535" s="26">
        <v>34</v>
      </c>
      <c r="T535" s="26">
        <v>21</v>
      </c>
      <c r="U535" s="26">
        <v>57</v>
      </c>
      <c r="V535" s="26">
        <v>1</v>
      </c>
      <c r="W535" s="26"/>
    </row>
    <row r="536" spans="1:23" x14ac:dyDescent="0.25">
      <c r="A536" s="26" t="str">
        <f t="shared" si="97"/>
        <v>SECUNDARIA</v>
      </c>
      <c r="B536" s="26" t="str">
        <f>"09DSN0002N"</f>
        <v>09DSN0002N</v>
      </c>
      <c r="C536" s="26" t="str">
        <f>"GUADALUPE RUSS MONDRAGON                                                                            "</f>
        <v xml:space="preserve">GUADALUPE RUSS MONDRAGON                                                                            </v>
      </c>
      <c r="D536" s="26" t="str">
        <f t="shared" ref="D536:D541" si="103">"NOCTURNO"</f>
        <v>NOCTURNO</v>
      </c>
      <c r="E536" s="26" t="str">
        <f>"LIVERPOOL 40                                                                    "</f>
        <v xml:space="preserve">LIVERPOOL 40                                                                    </v>
      </c>
      <c r="F536" s="26" t="str">
        <f>"JUAREZ                                                                                                                                      "</f>
        <v xml:space="preserve">JUAREZ                                                                                                                                      </v>
      </c>
      <c r="G536" s="26" t="str">
        <f>"CUAUHTEMOC                                                                      "</f>
        <v xml:space="preserve">CUAUHTEMOC                                                                      </v>
      </c>
      <c r="H536" s="26" t="str">
        <f>"084"</f>
        <v>084</v>
      </c>
      <c r="I536" s="26" t="str">
        <f t="shared" si="99"/>
        <v>00</v>
      </c>
      <c r="J536" s="26" t="str">
        <f>"71 "</f>
        <v xml:space="preserve">71 </v>
      </c>
      <c r="K536" s="26" t="str">
        <f t="shared" si="101"/>
        <v>SG</v>
      </c>
      <c r="L536" s="26" t="str">
        <f t="shared" si="102"/>
        <v>DGOSE</v>
      </c>
      <c r="M536" s="26" t="str">
        <f t="shared" si="98"/>
        <v>FEDERAL</v>
      </c>
      <c r="N536" s="26">
        <v>39</v>
      </c>
      <c r="O536" s="26">
        <v>22</v>
      </c>
      <c r="P536" s="26">
        <v>17</v>
      </c>
      <c r="Q536" s="26">
        <v>3</v>
      </c>
      <c r="R536" s="26">
        <v>1</v>
      </c>
      <c r="S536" s="26">
        <v>9</v>
      </c>
      <c r="T536" s="26">
        <v>8</v>
      </c>
      <c r="U536" s="26">
        <v>18</v>
      </c>
      <c r="V536" s="26">
        <v>1</v>
      </c>
      <c r="W536" s="26"/>
    </row>
    <row r="537" spans="1:23" x14ac:dyDescent="0.25">
      <c r="A537" s="26" t="str">
        <f t="shared" si="97"/>
        <v>SECUNDARIA</v>
      </c>
      <c r="B537" s="26" t="str">
        <f>"09DSN0003M"</f>
        <v>09DSN0003M</v>
      </c>
      <c r="C537" s="26" t="str">
        <f>"BATALLON DE SAN PATRICIO                                                                            "</f>
        <v xml:space="preserve">BATALLON DE SAN PATRICIO                                                                            </v>
      </c>
      <c r="D537" s="26" t="str">
        <f t="shared" si="103"/>
        <v>NOCTURNO</v>
      </c>
      <c r="E537" s="26" t="str">
        <f>"AV. CHAPULTEPEC NUM 183                                                         "</f>
        <v xml:space="preserve">AV. CHAPULTEPEC NUM 183                                                         </v>
      </c>
      <c r="F537" s="26" t="str">
        <f>"JUAREZ                                                                                                                                      "</f>
        <v xml:space="preserve">JUAREZ                                                                                                                                      </v>
      </c>
      <c r="G537" s="26" t="str">
        <f>"CUAUHTEMOC                                                                      "</f>
        <v xml:space="preserve">CUAUHTEMOC                                                                      </v>
      </c>
      <c r="H537" s="26" t="str">
        <f>"085"</f>
        <v>085</v>
      </c>
      <c r="I537" s="26" t="str">
        <f t="shared" si="99"/>
        <v>00</v>
      </c>
      <c r="J537" s="26" t="str">
        <f>"71 "</f>
        <v xml:space="preserve">71 </v>
      </c>
      <c r="K537" s="26" t="str">
        <f t="shared" si="101"/>
        <v>SG</v>
      </c>
      <c r="L537" s="26" t="str">
        <f t="shared" si="102"/>
        <v>DGOSE</v>
      </c>
      <c r="M537" s="26" t="str">
        <f t="shared" si="98"/>
        <v>FEDERAL</v>
      </c>
      <c r="N537" s="26">
        <v>55</v>
      </c>
      <c r="O537" s="26">
        <v>30</v>
      </c>
      <c r="P537" s="26">
        <v>25</v>
      </c>
      <c r="Q537" s="26">
        <v>3</v>
      </c>
      <c r="R537" s="26">
        <v>2</v>
      </c>
      <c r="S537" s="26">
        <v>11</v>
      </c>
      <c r="T537" s="26">
        <v>14</v>
      </c>
      <c r="U537" s="26">
        <v>27</v>
      </c>
      <c r="V537" s="26">
        <v>1</v>
      </c>
      <c r="W537" s="26"/>
    </row>
    <row r="538" spans="1:23" x14ac:dyDescent="0.25">
      <c r="A538" s="26" t="str">
        <f t="shared" si="97"/>
        <v>SECUNDARIA</v>
      </c>
      <c r="B538" s="26" t="str">
        <f>"09DSN0004L"</f>
        <v>09DSN0004L</v>
      </c>
      <c r="C538" s="26" t="str">
        <f>"FELIPE CARRILLO PUERTO                                                                              "</f>
        <v xml:space="preserve">FELIPE CARRILLO PUERTO                                                                              </v>
      </c>
      <c r="D538" s="26" t="str">
        <f t="shared" si="103"/>
        <v>NOCTURNO</v>
      </c>
      <c r="E538" s="26" t="str">
        <f>"SAN COSME 61                                                                    "</f>
        <v xml:space="preserve">SAN COSME 61                                                                    </v>
      </c>
      <c r="F538" s="26" t="str">
        <f>"SANTA MARIA LA RIBERA                                                                                                                       "</f>
        <v xml:space="preserve">SANTA MARIA LA RIBERA                                                                                                                       </v>
      </c>
      <c r="G538" s="26" t="str">
        <f>"CUAUHTEMOC                                                                      "</f>
        <v xml:space="preserve">CUAUHTEMOC                                                                      </v>
      </c>
      <c r="H538" s="26" t="str">
        <f>"083"</f>
        <v>083</v>
      </c>
      <c r="I538" s="26" t="str">
        <f t="shared" si="99"/>
        <v>00</v>
      </c>
      <c r="J538" s="26" t="str">
        <f>"71 "</f>
        <v xml:space="preserve">71 </v>
      </c>
      <c r="K538" s="26" t="str">
        <f t="shared" si="101"/>
        <v>SG</v>
      </c>
      <c r="L538" s="26" t="str">
        <f t="shared" si="102"/>
        <v>DGOSE</v>
      </c>
      <c r="M538" s="26" t="str">
        <f t="shared" si="98"/>
        <v>FEDERAL</v>
      </c>
      <c r="N538" s="26">
        <v>89</v>
      </c>
      <c r="O538" s="26">
        <v>53</v>
      </c>
      <c r="P538" s="26">
        <v>36</v>
      </c>
      <c r="Q538" s="26">
        <v>5</v>
      </c>
      <c r="R538" s="26">
        <v>3</v>
      </c>
      <c r="S538" s="26">
        <v>27</v>
      </c>
      <c r="T538" s="26">
        <v>24</v>
      </c>
      <c r="U538" s="26">
        <v>54</v>
      </c>
      <c r="V538" s="26">
        <v>1</v>
      </c>
      <c r="W538" s="26"/>
    </row>
    <row r="539" spans="1:23" x14ac:dyDescent="0.25">
      <c r="A539" s="26" t="str">
        <f t="shared" si="97"/>
        <v>SECUNDARIA</v>
      </c>
      <c r="B539" s="26" t="str">
        <f>"09DSN0005K"</f>
        <v>09DSN0005K</v>
      </c>
      <c r="C539" s="26" t="str">
        <f>"MARINA NACIONAL                                                                                     "</f>
        <v xml:space="preserve">MARINA NACIONAL                                                                                     </v>
      </c>
      <c r="D539" s="26" t="str">
        <f t="shared" si="103"/>
        <v>NOCTURNO</v>
      </c>
      <c r="E539" s="26" t="str">
        <f>"REP. DE BOLIVIA NUM 33                                                          "</f>
        <v xml:space="preserve">REP. DE BOLIVIA NUM 33                                                          </v>
      </c>
      <c r="F539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539" s="26" t="str">
        <f>"CUAUHTEMOC                                                                      "</f>
        <v xml:space="preserve">CUAUHTEMOC                                                                      </v>
      </c>
      <c r="H539" s="26" t="str">
        <f>"084"</f>
        <v>084</v>
      </c>
      <c r="I539" s="26" t="str">
        <f t="shared" si="99"/>
        <v>00</v>
      </c>
      <c r="J539" s="26" t="str">
        <f>"71 "</f>
        <v xml:space="preserve">71 </v>
      </c>
      <c r="K539" s="26" t="str">
        <f t="shared" si="101"/>
        <v>SG</v>
      </c>
      <c r="L539" s="26" t="str">
        <f t="shared" si="102"/>
        <v>DGOSE</v>
      </c>
      <c r="M539" s="26" t="str">
        <f t="shared" si="98"/>
        <v>FEDERAL</v>
      </c>
      <c r="N539" s="26">
        <v>62</v>
      </c>
      <c r="O539" s="26">
        <v>42</v>
      </c>
      <c r="P539" s="26">
        <v>20</v>
      </c>
      <c r="Q539" s="26">
        <v>3</v>
      </c>
      <c r="R539" s="26">
        <v>2</v>
      </c>
      <c r="S539" s="26">
        <v>16</v>
      </c>
      <c r="T539" s="26">
        <v>20</v>
      </c>
      <c r="U539" s="26">
        <v>38</v>
      </c>
      <c r="V539" s="26">
        <v>1</v>
      </c>
      <c r="W539" s="26"/>
    </row>
    <row r="540" spans="1:23" x14ac:dyDescent="0.25">
      <c r="A540" s="26" t="str">
        <f t="shared" si="97"/>
        <v>SECUNDARIA</v>
      </c>
      <c r="B540" s="26" t="str">
        <f>"09DSN0006J"</f>
        <v>09DSN0006J</v>
      </c>
      <c r="C540" s="26" t="str">
        <f>"JOSE MARIA DE LOS REYES                                                                             "</f>
        <v xml:space="preserve">JOSE MARIA DE LOS REYES                                                                             </v>
      </c>
      <c r="D540" s="26" t="str">
        <f t="shared" si="103"/>
        <v>NOCTURNO</v>
      </c>
      <c r="E540" s="26" t="str">
        <f>"SAN IDELFONSO 46                                                                "</f>
        <v xml:space="preserve">SAN IDELFONSO 46                                                                </v>
      </c>
      <c r="F540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540" s="26" t="str">
        <f>"CUAUHTEMOC                                                                      "</f>
        <v xml:space="preserve">CUAUHTEMOC                                                                      </v>
      </c>
      <c r="H540" s="26" t="str">
        <f>"084"</f>
        <v>084</v>
      </c>
      <c r="I540" s="26" t="str">
        <f t="shared" si="99"/>
        <v>00</v>
      </c>
      <c r="J540" s="26" t="str">
        <f>"71 "</f>
        <v xml:space="preserve">71 </v>
      </c>
      <c r="K540" s="26" t="str">
        <f t="shared" si="101"/>
        <v>SG</v>
      </c>
      <c r="L540" s="26" t="str">
        <f t="shared" si="102"/>
        <v>DGOSE</v>
      </c>
      <c r="M540" s="26" t="str">
        <f t="shared" si="98"/>
        <v>FEDERAL</v>
      </c>
      <c r="N540" s="26">
        <v>64</v>
      </c>
      <c r="O540" s="26">
        <v>46</v>
      </c>
      <c r="P540" s="26">
        <v>18</v>
      </c>
      <c r="Q540" s="26">
        <v>3</v>
      </c>
      <c r="R540" s="26">
        <v>1</v>
      </c>
      <c r="S540" s="26">
        <v>11</v>
      </c>
      <c r="T540" s="26">
        <v>8</v>
      </c>
      <c r="U540" s="26">
        <v>20</v>
      </c>
      <c r="V540" s="26">
        <v>1</v>
      </c>
      <c r="W540" s="26"/>
    </row>
    <row r="541" spans="1:23" x14ac:dyDescent="0.25">
      <c r="A541" s="26" t="str">
        <f t="shared" si="97"/>
        <v>SECUNDARIA</v>
      </c>
      <c r="B541" s="26" t="str">
        <f>"09DSN0007I"</f>
        <v>09DSN0007I</v>
      </c>
      <c r="C541" s="26" t="str">
        <f>""" JOSE PABLO MONCAYO ""                                                                              "</f>
        <v xml:space="preserve">" JOSE PABLO MONCAYO "                                                                              </v>
      </c>
      <c r="D541" s="26" t="str">
        <f t="shared" si="103"/>
        <v>NOCTURNO</v>
      </c>
      <c r="E541" s="26" t="str">
        <f>"ORFEBRERIA S/N Y PELUQUEROS                                                     "</f>
        <v xml:space="preserve">ORFEBRERIA S/N Y PELUQUEROS                                                     </v>
      </c>
      <c r="F541" s="26" t="str">
        <f>"MICHOACANA                                                                                                                                  "</f>
        <v xml:space="preserve">MICHOACANA                                                                                                                                  </v>
      </c>
      <c r="G541" s="26" t="str">
        <f>"VENUSTIANO CARRANZA                                                             "</f>
        <v xml:space="preserve">VENUSTIANO CARRANZA                                                             </v>
      </c>
      <c r="H541" s="26" t="str">
        <f>"091"</f>
        <v>091</v>
      </c>
      <c r="I541" s="26" t="str">
        <f t="shared" si="99"/>
        <v>00</v>
      </c>
      <c r="J541" s="26" t="str">
        <f>"74 "</f>
        <v xml:space="preserve">74 </v>
      </c>
      <c r="K541" s="26" t="str">
        <f t="shared" si="101"/>
        <v>SG</v>
      </c>
      <c r="L541" s="26" t="str">
        <f t="shared" si="102"/>
        <v>DGOSE</v>
      </c>
      <c r="M541" s="26" t="str">
        <f t="shared" si="98"/>
        <v>FEDERAL</v>
      </c>
      <c r="N541" s="26">
        <v>54</v>
      </c>
      <c r="O541" s="26">
        <v>41</v>
      </c>
      <c r="P541" s="26">
        <v>13</v>
      </c>
      <c r="Q541" s="26">
        <v>3</v>
      </c>
      <c r="R541" s="26">
        <v>2</v>
      </c>
      <c r="S541" s="26">
        <v>14</v>
      </c>
      <c r="T541" s="26">
        <v>13</v>
      </c>
      <c r="U541" s="26">
        <v>29</v>
      </c>
      <c r="V541" s="26">
        <v>1</v>
      </c>
      <c r="W541" s="26"/>
    </row>
    <row r="542" spans="1:23" x14ac:dyDescent="0.25">
      <c r="A542" s="26" t="str">
        <f t="shared" si="97"/>
        <v>SECUNDARIA</v>
      </c>
      <c r="B542" s="26" t="str">
        <f>"09DSN0009G"</f>
        <v>09DSN0009G</v>
      </c>
      <c r="C542" s="26" t="str">
        <f>"PROFR. JOSE GARCIA FABREGAT                                                                         "</f>
        <v xml:space="preserve">PROFR. JOSE GARCIA FABREGAT                                                                         </v>
      </c>
      <c r="D542" s="26" t="str">
        <f>"VESPERTINO"</f>
        <v>VESPERTINO</v>
      </c>
      <c r="E542" s="26" t="str">
        <f>"JOSEFA ORTIZ DE DOMINGUEZ S/N                                                   "</f>
        <v xml:space="preserve">JOSEFA ORTIZ DE DOMINGUEZ S/N                                                   </v>
      </c>
      <c r="F542" s="26" t="str">
        <f>"LA GUADALUPITA                                                                                                                              "</f>
        <v xml:space="preserve">LA GUADALUPITA                                                                                                                              </v>
      </c>
      <c r="G542" s="26" t="str">
        <f>"XOCHIMILCO                                                                      "</f>
        <v xml:space="preserve">XOCHIMILCO                                                                      </v>
      </c>
      <c r="H542" s="26" t="str">
        <f>"093"</f>
        <v>093</v>
      </c>
      <c r="I542" s="26" t="str">
        <f t="shared" si="99"/>
        <v>00</v>
      </c>
      <c r="J542" s="26" t="str">
        <f>"75 "</f>
        <v xml:space="preserve">75 </v>
      </c>
      <c r="K542" s="26" t="str">
        <f t="shared" si="101"/>
        <v>SG</v>
      </c>
      <c r="L542" s="26" t="str">
        <f t="shared" si="102"/>
        <v>DGOSE</v>
      </c>
      <c r="M542" s="26" t="str">
        <f t="shared" si="98"/>
        <v>FEDERAL</v>
      </c>
      <c r="N542" s="26">
        <v>445</v>
      </c>
      <c r="O542" s="26">
        <v>224</v>
      </c>
      <c r="P542" s="26">
        <v>221</v>
      </c>
      <c r="Q542" s="26">
        <v>13</v>
      </c>
      <c r="R542" s="26">
        <v>2</v>
      </c>
      <c r="S542" s="26">
        <v>26</v>
      </c>
      <c r="T542" s="26">
        <v>17</v>
      </c>
      <c r="U542" s="26">
        <v>45</v>
      </c>
      <c r="V542" s="26">
        <v>1</v>
      </c>
      <c r="W542" s="26"/>
    </row>
    <row r="543" spans="1:23" x14ac:dyDescent="0.25">
      <c r="A543" s="26" t="str">
        <f t="shared" si="97"/>
        <v>SECUNDARIA</v>
      </c>
      <c r="B543" s="26" t="str">
        <f>"09DSN0010W"</f>
        <v>09DSN0010W</v>
      </c>
      <c r="C543" s="26" t="str">
        <f>"JACQUES COUSTEAU                                                                                    "</f>
        <v xml:space="preserve">JACQUES COUSTEAU                                                                                    </v>
      </c>
      <c r="D543" s="26" t="str">
        <f t="shared" ref="D543:D560" si="104">"NOCTURNO"</f>
        <v>NOCTURNO</v>
      </c>
      <c r="E543" s="26" t="str">
        <f>"MIRAVALLE 918                                                                   "</f>
        <v xml:space="preserve">MIRAVALLE 918                                                                   </v>
      </c>
      <c r="F543" s="26" t="str">
        <f>"MIRAVALLE                                                                                                                                   "</f>
        <v xml:space="preserve">MIRAVALLE                                                                                                                                   </v>
      </c>
      <c r="G543" s="26" t="str">
        <f>"BENITO JUAREZ                                                                   "</f>
        <v xml:space="preserve">BENITO JUAREZ                                                                   </v>
      </c>
      <c r="H543" s="26" t="str">
        <f>"086"</f>
        <v>086</v>
      </c>
      <c r="I543" s="26" t="str">
        <f t="shared" si="99"/>
        <v>00</v>
      </c>
      <c r="J543" s="26" t="str">
        <f>"73 "</f>
        <v xml:space="preserve">73 </v>
      </c>
      <c r="K543" s="26" t="str">
        <f t="shared" si="101"/>
        <v>SG</v>
      </c>
      <c r="L543" s="26" t="str">
        <f t="shared" si="102"/>
        <v>DGOSE</v>
      </c>
      <c r="M543" s="26" t="str">
        <f t="shared" si="98"/>
        <v>FEDERAL</v>
      </c>
      <c r="N543" s="26">
        <v>44</v>
      </c>
      <c r="O543" s="26">
        <v>29</v>
      </c>
      <c r="P543" s="26">
        <v>15</v>
      </c>
      <c r="Q543" s="26">
        <v>3</v>
      </c>
      <c r="R543" s="26">
        <v>1</v>
      </c>
      <c r="S543" s="26">
        <v>13</v>
      </c>
      <c r="T543" s="26">
        <v>13</v>
      </c>
      <c r="U543" s="26">
        <v>27</v>
      </c>
      <c r="V543" s="26">
        <v>1</v>
      </c>
      <c r="W543" s="26"/>
    </row>
    <row r="544" spans="1:23" x14ac:dyDescent="0.25">
      <c r="A544" s="26" t="str">
        <f t="shared" si="97"/>
        <v>SECUNDARIA</v>
      </c>
      <c r="B544" s="26" t="str">
        <f>"09DSN0011V"</f>
        <v>09DSN0011V</v>
      </c>
      <c r="C544" s="26" t="str">
        <f>"RODOLFO PIÑA SORIA                                                                                  "</f>
        <v xml:space="preserve">RODOLFO PIÑA SORIA                                                                                  </v>
      </c>
      <c r="D544" s="26" t="str">
        <f t="shared" si="104"/>
        <v>NOCTURNO</v>
      </c>
      <c r="E544" s="26" t="str">
        <f>"NORTE 3 S/N                                                                     "</f>
        <v xml:space="preserve">NORTE 3 S/N                                                                     </v>
      </c>
      <c r="F544" s="26" t="str">
        <f>"DEFENSORES DE LA REPUBLICA                                                                                                                  "</f>
        <v xml:space="preserve">DEFENSORES DE LA REPUBLICA                                                                                                                  </v>
      </c>
      <c r="G544" s="26" t="str">
        <f>"GUSTAVO A. MADERO                                                               "</f>
        <v xml:space="preserve">GUSTAVO A. MADERO                                                               </v>
      </c>
      <c r="H544" s="26" t="str">
        <f>"089"</f>
        <v>089</v>
      </c>
      <c r="I544" s="26" t="str">
        <f t="shared" si="99"/>
        <v>00</v>
      </c>
      <c r="J544" s="26" t="str">
        <f>"72 "</f>
        <v xml:space="preserve">72 </v>
      </c>
      <c r="K544" s="26" t="str">
        <f t="shared" si="101"/>
        <v>SG</v>
      </c>
      <c r="L544" s="26" t="str">
        <f t="shared" si="102"/>
        <v>DGOSE</v>
      </c>
      <c r="M544" s="26" t="str">
        <f t="shared" si="98"/>
        <v>FEDERAL</v>
      </c>
      <c r="N544" s="26">
        <v>49</v>
      </c>
      <c r="O544" s="26">
        <v>32</v>
      </c>
      <c r="P544" s="26">
        <v>17</v>
      </c>
      <c r="Q544" s="26">
        <v>3</v>
      </c>
      <c r="R544" s="26">
        <v>2</v>
      </c>
      <c r="S544" s="26">
        <v>12</v>
      </c>
      <c r="T544" s="26">
        <v>13</v>
      </c>
      <c r="U544" s="26">
        <v>27</v>
      </c>
      <c r="V544" s="26">
        <v>1</v>
      </c>
      <c r="W544" s="26"/>
    </row>
    <row r="545" spans="1:23" x14ac:dyDescent="0.25">
      <c r="A545" s="26" t="str">
        <f t="shared" si="97"/>
        <v>SECUNDARIA</v>
      </c>
      <c r="B545" s="26" t="str">
        <f>"09DSN0013T"</f>
        <v>09DSN0013T</v>
      </c>
      <c r="C545" s="26" t="str">
        <f>"CONSTITUYENTES DE 1917                                                                              "</f>
        <v xml:space="preserve">CONSTITUYENTES DE 1917                                                                              </v>
      </c>
      <c r="D545" s="26" t="str">
        <f t="shared" si="104"/>
        <v>NOCTURNO</v>
      </c>
      <c r="E545" s="26" t="str">
        <f>"CALZ TLALPAN Y MUNICIPIO LIBRE                                                  "</f>
        <v xml:space="preserve">CALZ TLALPAN Y MUNICIPIO LIBRE                                                  </v>
      </c>
      <c r="F545" s="26" t="str">
        <f>"PORTALES                                                                                                                                    "</f>
        <v xml:space="preserve">PORTALES                                                                                                                                    </v>
      </c>
      <c r="G545" s="26" t="str">
        <f>"BENITO JUAREZ                                                                   "</f>
        <v xml:space="preserve">BENITO JUAREZ                                                                   </v>
      </c>
      <c r="H545" s="26" t="str">
        <f>"086"</f>
        <v>086</v>
      </c>
      <c r="I545" s="26" t="str">
        <f t="shared" si="99"/>
        <v>00</v>
      </c>
      <c r="J545" s="26" t="str">
        <f>"73 "</f>
        <v xml:space="preserve">73 </v>
      </c>
      <c r="K545" s="26" t="str">
        <f t="shared" si="101"/>
        <v>SG</v>
      </c>
      <c r="L545" s="26" t="str">
        <f t="shared" si="102"/>
        <v>DGOSE</v>
      </c>
      <c r="M545" s="26" t="str">
        <f t="shared" si="98"/>
        <v>FEDERAL</v>
      </c>
      <c r="N545" s="26">
        <v>101</v>
      </c>
      <c r="O545" s="26">
        <v>66</v>
      </c>
      <c r="P545" s="26">
        <v>35</v>
      </c>
      <c r="Q545" s="26">
        <v>6</v>
      </c>
      <c r="R545" s="26">
        <v>2</v>
      </c>
      <c r="S545" s="26">
        <v>14</v>
      </c>
      <c r="T545" s="26">
        <v>10</v>
      </c>
      <c r="U545" s="26">
        <v>26</v>
      </c>
      <c r="V545" s="26">
        <v>1</v>
      </c>
      <c r="W545" s="26"/>
    </row>
    <row r="546" spans="1:23" x14ac:dyDescent="0.25">
      <c r="A546" s="26" t="str">
        <f t="shared" si="97"/>
        <v>SECUNDARIA</v>
      </c>
      <c r="B546" s="26" t="str">
        <f>"09DSN0015R"</f>
        <v>09DSN0015R</v>
      </c>
      <c r="C546" s="26" t="str">
        <f>"PROFR. DN. DAVID PROSPERO CARDONA                                                                   "</f>
        <v xml:space="preserve">PROFR. DN. DAVID PROSPERO CARDONA                                                                   </v>
      </c>
      <c r="D546" s="26" t="str">
        <f t="shared" si="104"/>
        <v>NOCTURNO</v>
      </c>
      <c r="E546" s="26" t="str">
        <f>"LAGO AMER Y LAGO ERNE                                                           "</f>
        <v xml:space="preserve">LAGO AMER Y LAGO ERNE                                                           </v>
      </c>
      <c r="F546" s="26" t="str">
        <f>"PENSIL NORTE                                                                                                                                "</f>
        <v xml:space="preserve">PENSIL NORTE                                                                                                                                </v>
      </c>
      <c r="G546" s="26" t="str">
        <f>"MIGUEL HIDALGO                                                                  "</f>
        <v xml:space="preserve">MIGUEL HIDALGO                                                                  </v>
      </c>
      <c r="H546" s="26" t="str">
        <f>"087"</f>
        <v>087</v>
      </c>
      <c r="I546" s="26" t="str">
        <f t="shared" si="99"/>
        <v>00</v>
      </c>
      <c r="J546" s="26" t="str">
        <f>"71 "</f>
        <v xml:space="preserve">71 </v>
      </c>
      <c r="K546" s="26" t="str">
        <f t="shared" si="101"/>
        <v>SG</v>
      </c>
      <c r="L546" s="26" t="str">
        <f t="shared" si="102"/>
        <v>DGOSE</v>
      </c>
      <c r="M546" s="26" t="str">
        <f t="shared" si="98"/>
        <v>FEDERAL</v>
      </c>
      <c r="N546" s="26">
        <v>73</v>
      </c>
      <c r="O546" s="26">
        <v>47</v>
      </c>
      <c r="P546" s="26">
        <v>26</v>
      </c>
      <c r="Q546" s="26">
        <v>6</v>
      </c>
      <c r="R546" s="26">
        <v>1</v>
      </c>
      <c r="S546" s="26">
        <v>13</v>
      </c>
      <c r="T546" s="26">
        <v>9</v>
      </c>
      <c r="U546" s="26">
        <v>23</v>
      </c>
      <c r="V546" s="26">
        <v>1</v>
      </c>
      <c r="W546" s="26"/>
    </row>
    <row r="547" spans="1:23" x14ac:dyDescent="0.25">
      <c r="A547" s="26" t="str">
        <f t="shared" si="97"/>
        <v>SECUNDARIA</v>
      </c>
      <c r="B547" s="26" t="str">
        <f>"09DSN0016Q"</f>
        <v>09DSN0016Q</v>
      </c>
      <c r="C547" s="26" t="str">
        <f>"CEDROS DEL LIBANO                                                                                   "</f>
        <v xml:space="preserve">CEDROS DEL LIBANO                                                                                   </v>
      </c>
      <c r="D547" s="26" t="str">
        <f t="shared" si="104"/>
        <v>NOCTURNO</v>
      </c>
      <c r="E547" s="26" t="str">
        <f>"EJE CENTRAL LAZARO CARDENAS 302                                                 "</f>
        <v xml:space="preserve">EJE CENTRAL LAZARO CARDENAS 302                                                 </v>
      </c>
      <c r="F547" s="26" t="str">
        <f>"UNIDAD NONOALCO TLATELOLCO                                                                                                                  "</f>
        <v xml:space="preserve">UNIDAD NONOALCO TLATELOLCO                                                                                                                  </v>
      </c>
      <c r="G547" s="26" t="str">
        <f>"CUAUHTEMOC                                                                      "</f>
        <v xml:space="preserve">CUAUHTEMOC                                                                      </v>
      </c>
      <c r="H547" s="26" t="str">
        <f>"083"</f>
        <v>083</v>
      </c>
      <c r="I547" s="26" t="str">
        <f t="shared" si="99"/>
        <v>00</v>
      </c>
      <c r="J547" s="26" t="str">
        <f>"71 "</f>
        <v xml:space="preserve">71 </v>
      </c>
      <c r="K547" s="26" t="str">
        <f t="shared" si="101"/>
        <v>SG</v>
      </c>
      <c r="L547" s="26" t="str">
        <f t="shared" si="102"/>
        <v>DGOSE</v>
      </c>
      <c r="M547" s="26" t="str">
        <f t="shared" si="98"/>
        <v>FEDERAL</v>
      </c>
      <c r="N547" s="26">
        <v>79</v>
      </c>
      <c r="O547" s="26">
        <v>42</v>
      </c>
      <c r="P547" s="26">
        <v>37</v>
      </c>
      <c r="Q547" s="26">
        <v>6</v>
      </c>
      <c r="R547" s="26">
        <v>1</v>
      </c>
      <c r="S547" s="26">
        <v>13</v>
      </c>
      <c r="T547" s="26">
        <v>13</v>
      </c>
      <c r="U547" s="26">
        <v>27</v>
      </c>
      <c r="V547" s="26">
        <v>1</v>
      </c>
      <c r="W547" s="26"/>
    </row>
    <row r="548" spans="1:23" x14ac:dyDescent="0.25">
      <c r="A548" s="26" t="str">
        <f t="shared" si="97"/>
        <v>SECUNDARIA</v>
      </c>
      <c r="B548" s="26" t="str">
        <f>"09DSN0017P"</f>
        <v>09DSN0017P</v>
      </c>
      <c r="C548" s="26" t="str">
        <f>"PROFESOR FELIX ZURITA                                                                               "</f>
        <v xml:space="preserve">PROFESOR FELIX ZURITA                                                                               </v>
      </c>
      <c r="D548" s="26" t="str">
        <f t="shared" si="104"/>
        <v>NOCTURNO</v>
      </c>
      <c r="E548" s="26" t="str">
        <f>"VIADUCTO MIGUEL ALEMAN 37                                                       "</f>
        <v xml:space="preserve">VIADUCTO MIGUEL ALEMAN 37                                                       </v>
      </c>
      <c r="F548" s="26" t="str">
        <f>"TACUBAYA                                                                                                                                    "</f>
        <v xml:space="preserve">TACUBAYA                                                                                                                                    </v>
      </c>
      <c r="G548" s="26" t="str">
        <f>"MIGUEL HIDALGO                                                                  "</f>
        <v xml:space="preserve">MIGUEL HIDALGO                                                                  </v>
      </c>
      <c r="H548" s="26" t="str">
        <f>"087"</f>
        <v>087</v>
      </c>
      <c r="I548" s="26" t="str">
        <f t="shared" si="99"/>
        <v>00</v>
      </c>
      <c r="J548" s="26" t="str">
        <f>"71 "</f>
        <v xml:space="preserve">71 </v>
      </c>
      <c r="K548" s="26" t="str">
        <f t="shared" si="101"/>
        <v>SG</v>
      </c>
      <c r="L548" s="26" t="str">
        <f t="shared" si="102"/>
        <v>DGOSE</v>
      </c>
      <c r="M548" s="26" t="str">
        <f t="shared" si="98"/>
        <v>FEDERAL</v>
      </c>
      <c r="N548" s="26">
        <v>80</v>
      </c>
      <c r="O548" s="26">
        <v>51</v>
      </c>
      <c r="P548" s="26">
        <v>29</v>
      </c>
      <c r="Q548" s="26">
        <v>6</v>
      </c>
      <c r="R548" s="26">
        <v>1</v>
      </c>
      <c r="S548" s="26">
        <v>17</v>
      </c>
      <c r="T548" s="26">
        <v>13</v>
      </c>
      <c r="U548" s="26">
        <v>31</v>
      </c>
      <c r="V548" s="26">
        <v>1</v>
      </c>
      <c r="W548" s="26"/>
    </row>
    <row r="549" spans="1:23" x14ac:dyDescent="0.25">
      <c r="A549" s="26" t="str">
        <f t="shared" si="97"/>
        <v>SECUNDARIA</v>
      </c>
      <c r="B549" s="26" t="str">
        <f>"09DSN0019N"</f>
        <v>09DSN0019N</v>
      </c>
      <c r="C549" s="26" t="str">
        <f>"PLAN DE AYUTLA                                                                                      "</f>
        <v xml:space="preserve">PLAN DE AYUTLA                                                                                      </v>
      </c>
      <c r="D549" s="26" t="str">
        <f t="shared" si="104"/>
        <v>NOCTURNO</v>
      </c>
      <c r="E549" s="26" t="str">
        <f>"5 DE FEBRERO 214                                                                "</f>
        <v xml:space="preserve">5 DE FEBRERO 214                                                                </v>
      </c>
      <c r="F549" s="26" t="str">
        <f>"GUSTAVO A. MADERO                                                                                                                           "</f>
        <v xml:space="preserve">GUSTAVO A. MADERO                                                                                                                           </v>
      </c>
      <c r="G549" s="26" t="str">
        <f>"GUSTAVO A. MADERO                                                               "</f>
        <v xml:space="preserve">GUSTAVO A. MADERO                                                               </v>
      </c>
      <c r="H549" s="26" t="str">
        <f>"089"</f>
        <v>089</v>
      </c>
      <c r="I549" s="26" t="str">
        <f t="shared" si="99"/>
        <v>00</v>
      </c>
      <c r="J549" s="26" t="str">
        <f>"72 "</f>
        <v xml:space="preserve">72 </v>
      </c>
      <c r="K549" s="26" t="str">
        <f t="shared" si="101"/>
        <v>SG</v>
      </c>
      <c r="L549" s="26" t="str">
        <f t="shared" si="102"/>
        <v>DGOSE</v>
      </c>
      <c r="M549" s="26" t="str">
        <f t="shared" si="98"/>
        <v>FEDERAL</v>
      </c>
      <c r="N549" s="26">
        <v>133</v>
      </c>
      <c r="O549" s="26">
        <v>85</v>
      </c>
      <c r="P549" s="26">
        <v>48</v>
      </c>
      <c r="Q549" s="26">
        <v>6</v>
      </c>
      <c r="R549" s="26">
        <v>2</v>
      </c>
      <c r="S549" s="26">
        <v>14</v>
      </c>
      <c r="T549" s="26">
        <v>13</v>
      </c>
      <c r="U549" s="26">
        <v>29</v>
      </c>
      <c r="V549" s="26">
        <v>1</v>
      </c>
      <c r="W549" s="26"/>
    </row>
    <row r="550" spans="1:23" x14ac:dyDescent="0.25">
      <c r="A550" s="26" t="str">
        <f t="shared" si="97"/>
        <v>SECUNDARIA</v>
      </c>
      <c r="B550" s="26" t="str">
        <f>"09DSN0020C"</f>
        <v>09DSN0020C</v>
      </c>
      <c r="C550" s="26" t="str">
        <f>"PIONEROS DEL COOPERATIVISMO                                                                         "</f>
        <v xml:space="preserve">PIONEROS DEL COOPERATIVISMO                                                                         </v>
      </c>
      <c r="D550" s="26" t="str">
        <f t="shared" si="104"/>
        <v>NOCTURNO</v>
      </c>
      <c r="E550" s="26" t="str">
        <f>"CAMINO DE RECREO 40                                                             "</f>
        <v xml:space="preserve">CAMINO DE RECREO 40                                                             </v>
      </c>
      <c r="F550" s="26" t="str">
        <f>"EL RECREO                                                                                                                                   "</f>
        <v xml:space="preserve">EL RECREO                                                                                                                                   </v>
      </c>
      <c r="G550" s="26" t="str">
        <f>"AZCAPOTZALCO                                                                    "</f>
        <v xml:space="preserve">AZCAPOTZALCO                                                                    </v>
      </c>
      <c r="H550" s="26" t="str">
        <f>"083"</f>
        <v>083</v>
      </c>
      <c r="I550" s="26" t="str">
        <f t="shared" si="99"/>
        <v>00</v>
      </c>
      <c r="J550" s="26" t="str">
        <f>"71 "</f>
        <v xml:space="preserve">71 </v>
      </c>
      <c r="K550" s="26" t="str">
        <f t="shared" si="101"/>
        <v>SG</v>
      </c>
      <c r="L550" s="26" t="str">
        <f t="shared" si="102"/>
        <v>DGOSE</v>
      </c>
      <c r="M550" s="26" t="str">
        <f t="shared" si="98"/>
        <v>FEDERAL</v>
      </c>
      <c r="N550" s="26">
        <v>54</v>
      </c>
      <c r="O550" s="26">
        <v>38</v>
      </c>
      <c r="P550" s="26">
        <v>16</v>
      </c>
      <c r="Q550" s="26">
        <v>3</v>
      </c>
      <c r="R550" s="26">
        <v>1</v>
      </c>
      <c r="S550" s="26">
        <v>8</v>
      </c>
      <c r="T550" s="26">
        <v>9</v>
      </c>
      <c r="U550" s="26">
        <v>18</v>
      </c>
      <c r="V550" s="26">
        <v>1</v>
      </c>
      <c r="W550" s="26"/>
    </row>
    <row r="551" spans="1:23" x14ac:dyDescent="0.25">
      <c r="A551" s="26" t="str">
        <f t="shared" si="97"/>
        <v>SECUNDARIA</v>
      </c>
      <c r="B551" s="26" t="str">
        <f>"09DSN0022A"</f>
        <v>09DSN0022A</v>
      </c>
      <c r="C551" s="26" t="str">
        <f>"ATLITIC                                                                                             "</f>
        <v xml:space="preserve">ATLITIC                                                                                             </v>
      </c>
      <c r="D551" s="26" t="str">
        <f t="shared" si="104"/>
        <v>NOCTURNO</v>
      </c>
      <c r="E551" s="26" t="str">
        <f>"AV CONTRERAS Y TARASQUILLO PTE                                                  "</f>
        <v xml:space="preserve">AV CONTRERAS Y TARASQUILLO PTE                                                  </v>
      </c>
      <c r="F551" s="26" t="str">
        <f>"PUENTE SIERRA                                                                                                                               "</f>
        <v xml:space="preserve">PUENTE SIERRA                                                                                                                               </v>
      </c>
      <c r="G551" s="26" t="str">
        <f>"LA MAGDALENA CONTRERAS                                                          "</f>
        <v xml:space="preserve">LA MAGDALENA CONTRERAS                                                          </v>
      </c>
      <c r="H551" s="26" t="str">
        <f>"094"</f>
        <v>094</v>
      </c>
      <c r="I551" s="26" t="str">
        <f t="shared" si="99"/>
        <v>00</v>
      </c>
      <c r="J551" s="26" t="str">
        <f>"73 "</f>
        <v xml:space="preserve">73 </v>
      </c>
      <c r="K551" s="26" t="str">
        <f t="shared" si="101"/>
        <v>SG</v>
      </c>
      <c r="L551" s="26" t="str">
        <f t="shared" si="102"/>
        <v>DGOSE</v>
      </c>
      <c r="M551" s="26" t="str">
        <f t="shared" si="98"/>
        <v>FEDERAL</v>
      </c>
      <c r="N551" s="26">
        <v>127</v>
      </c>
      <c r="O551" s="26">
        <v>77</v>
      </c>
      <c r="P551" s="26">
        <v>50</v>
      </c>
      <c r="Q551" s="26">
        <v>6</v>
      </c>
      <c r="R551" s="26">
        <v>1</v>
      </c>
      <c r="S551" s="26">
        <v>15</v>
      </c>
      <c r="T551" s="26">
        <v>14</v>
      </c>
      <c r="U551" s="26">
        <v>30</v>
      </c>
      <c r="V551" s="26">
        <v>1</v>
      </c>
      <c r="W551" s="26"/>
    </row>
    <row r="552" spans="1:23" x14ac:dyDescent="0.25">
      <c r="A552" s="26" t="str">
        <f t="shared" si="97"/>
        <v>SECUNDARIA</v>
      </c>
      <c r="B552" s="26" t="str">
        <f>"09DSN0023Z"</f>
        <v>09DSN0023Z</v>
      </c>
      <c r="C552" s="26" t="str">
        <f>"SANTIAGO GALAS ARCE                                                                                 "</f>
        <v xml:space="preserve">SANTIAGO GALAS ARCE                                                                                 </v>
      </c>
      <c r="D552" s="26" t="str">
        <f t="shared" si="104"/>
        <v>NOCTURNO</v>
      </c>
      <c r="E552" s="26" t="str">
        <f>"MONEDA 13                                                                       "</f>
        <v xml:space="preserve">MONEDA 13                                                                       </v>
      </c>
      <c r="F552" s="26" t="str">
        <f>"TLALPAN                                                                                                                                     "</f>
        <v xml:space="preserve">TLALPAN                                                                                                                                     </v>
      </c>
      <c r="G552" s="26" t="str">
        <f>"TLALPAN                                                                         "</f>
        <v xml:space="preserve">TLALPAN                                                                         </v>
      </c>
      <c r="H552" s="26" t="str">
        <f>"095"</f>
        <v>095</v>
      </c>
      <c r="I552" s="26" t="str">
        <f t="shared" si="99"/>
        <v>00</v>
      </c>
      <c r="J552" s="26" t="str">
        <f>"75 "</f>
        <v xml:space="preserve">75 </v>
      </c>
      <c r="K552" s="26" t="str">
        <f t="shared" si="101"/>
        <v>SG</v>
      </c>
      <c r="L552" s="26" t="str">
        <f t="shared" si="102"/>
        <v>DGOSE</v>
      </c>
      <c r="M552" s="26" t="str">
        <f t="shared" si="98"/>
        <v>FEDERAL</v>
      </c>
      <c r="N552" s="26">
        <v>178</v>
      </c>
      <c r="O552" s="26">
        <v>116</v>
      </c>
      <c r="P552" s="26">
        <v>62</v>
      </c>
      <c r="Q552" s="26">
        <v>9</v>
      </c>
      <c r="R552" s="26">
        <v>1</v>
      </c>
      <c r="S552" s="26">
        <v>16</v>
      </c>
      <c r="T552" s="26">
        <v>13</v>
      </c>
      <c r="U552" s="26">
        <v>30</v>
      </c>
      <c r="V552" s="26">
        <v>1</v>
      </c>
      <c r="W552" s="26"/>
    </row>
    <row r="553" spans="1:23" x14ac:dyDescent="0.25">
      <c r="A553" s="26" t="str">
        <f t="shared" si="97"/>
        <v>SECUNDARIA</v>
      </c>
      <c r="B553" s="26" t="str">
        <f>"09DSN0024Z"</f>
        <v>09DSN0024Z</v>
      </c>
      <c r="C553" s="26" t="str">
        <f>"FRANCISCO SOSA                                                                                      "</f>
        <v xml:space="preserve">FRANCISCO SOSA                                                                                      </v>
      </c>
      <c r="D553" s="26" t="str">
        <f t="shared" si="104"/>
        <v>NOCTURNO</v>
      </c>
      <c r="E553" s="26" t="str">
        <f>"CORINA NO 95                                                                    "</f>
        <v xml:space="preserve">CORINA NO 95                                                                    </v>
      </c>
      <c r="F553" s="26" t="str">
        <f>"DEL CARMEN                                                                                                                                  "</f>
        <v xml:space="preserve">DEL CARMEN                                                                                                                                  </v>
      </c>
      <c r="G553" s="26" t="str">
        <f>"COYOACAN                                                                        "</f>
        <v xml:space="preserve">COYOACAN                                                                        </v>
      </c>
      <c r="H553" s="26" t="str">
        <f>"095"</f>
        <v>095</v>
      </c>
      <c r="I553" s="26" t="str">
        <f t="shared" si="99"/>
        <v>00</v>
      </c>
      <c r="J553" s="26" t="str">
        <f>"74 "</f>
        <v xml:space="preserve">74 </v>
      </c>
      <c r="K553" s="26" t="str">
        <f t="shared" si="101"/>
        <v>SG</v>
      </c>
      <c r="L553" s="26" t="str">
        <f t="shared" si="102"/>
        <v>DGOSE</v>
      </c>
      <c r="M553" s="26" t="str">
        <f t="shared" si="98"/>
        <v>FEDERAL</v>
      </c>
      <c r="N553" s="26">
        <v>54</v>
      </c>
      <c r="O553" s="26">
        <v>29</v>
      </c>
      <c r="P553" s="26">
        <v>25</v>
      </c>
      <c r="Q553" s="26">
        <v>3</v>
      </c>
      <c r="R553" s="26">
        <v>2</v>
      </c>
      <c r="S553" s="26">
        <v>9</v>
      </c>
      <c r="T553" s="26">
        <v>12</v>
      </c>
      <c r="U553" s="26">
        <v>23</v>
      </c>
      <c r="V553" s="26">
        <v>1</v>
      </c>
      <c r="W553" s="26"/>
    </row>
    <row r="554" spans="1:23" x14ac:dyDescent="0.25">
      <c r="A554" s="26" t="str">
        <f t="shared" si="97"/>
        <v>SECUNDARIA</v>
      </c>
      <c r="B554" s="26" t="str">
        <f>"09DSN0025Y"</f>
        <v>09DSN0025Y</v>
      </c>
      <c r="C554" s="26" t="str">
        <f>"SECUNDARIA PARA TRABAJADORES 25                                                                     "</f>
        <v xml:space="preserve">SECUNDARIA PARA TRABAJADORES 25                                                                     </v>
      </c>
      <c r="D554" s="26" t="str">
        <f t="shared" si="104"/>
        <v>NOCTURNO</v>
      </c>
      <c r="E554" s="26" t="str">
        <f>"CDA VASCO DE QUIROGA Y 16 DE SEPTIEMBRE                                         "</f>
        <v xml:space="preserve">CDA VASCO DE QUIROGA Y 16 DE SEPTIEMBRE                                         </v>
      </c>
      <c r="F554" s="26" t="str">
        <f>"ATZACOALCO                                                                                                                                  "</f>
        <v xml:space="preserve">ATZACOALCO                                                                                                                                  </v>
      </c>
      <c r="G554" s="26" t="str">
        <f>"GUSTAVO A. MADERO                                                               "</f>
        <v xml:space="preserve">GUSTAVO A. MADERO                                                               </v>
      </c>
      <c r="H554" s="26" t="str">
        <f>"089"</f>
        <v>089</v>
      </c>
      <c r="I554" s="26" t="str">
        <f t="shared" si="99"/>
        <v>00</v>
      </c>
      <c r="J554" s="26" t="str">
        <f>"72 "</f>
        <v xml:space="preserve">72 </v>
      </c>
      <c r="K554" s="26" t="str">
        <f t="shared" si="101"/>
        <v>SG</v>
      </c>
      <c r="L554" s="26" t="str">
        <f t="shared" si="102"/>
        <v>DGOSE</v>
      </c>
      <c r="M554" s="26" t="str">
        <f t="shared" si="98"/>
        <v>FEDERAL</v>
      </c>
      <c r="N554" s="26">
        <v>59</v>
      </c>
      <c r="O554" s="26">
        <v>44</v>
      </c>
      <c r="P554" s="26">
        <v>15</v>
      </c>
      <c r="Q554" s="26">
        <v>3</v>
      </c>
      <c r="R554" s="26">
        <v>2</v>
      </c>
      <c r="S554" s="26">
        <v>9</v>
      </c>
      <c r="T554" s="26">
        <v>12</v>
      </c>
      <c r="U554" s="26">
        <v>23</v>
      </c>
      <c r="V554" s="26">
        <v>1</v>
      </c>
      <c r="W554" s="26"/>
    </row>
    <row r="555" spans="1:23" x14ac:dyDescent="0.25">
      <c r="A555" s="26" t="str">
        <f t="shared" si="97"/>
        <v>SECUNDARIA</v>
      </c>
      <c r="B555" s="26" t="str">
        <f>"09DSN0026X"</f>
        <v>09DSN0026X</v>
      </c>
      <c r="C555" s="26" t="str">
        <f>"ANGELA PERALTA                                                                                      "</f>
        <v xml:space="preserve">ANGELA PERALTA                                                                                      </v>
      </c>
      <c r="D555" s="26" t="str">
        <f t="shared" si="104"/>
        <v>NOCTURNO</v>
      </c>
      <c r="E555" s="26" t="str">
        <f>"AV COYOACAN Y SAN BORJA                                                         "</f>
        <v xml:space="preserve">AV COYOACAN Y SAN BORJA                                                         </v>
      </c>
      <c r="F555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555" s="26" t="str">
        <f>"BENITO JUAREZ                                                                   "</f>
        <v xml:space="preserve">BENITO JUAREZ                                                                   </v>
      </c>
      <c r="H555" s="26" t="str">
        <f>"086"</f>
        <v>086</v>
      </c>
      <c r="I555" s="26" t="str">
        <f t="shared" si="99"/>
        <v>00</v>
      </c>
      <c r="J555" s="26" t="str">
        <f>"73 "</f>
        <v xml:space="preserve">73 </v>
      </c>
      <c r="K555" s="26" t="str">
        <f t="shared" si="101"/>
        <v>SG</v>
      </c>
      <c r="L555" s="26" t="str">
        <f t="shared" si="102"/>
        <v>DGOSE</v>
      </c>
      <c r="M555" s="26" t="str">
        <f t="shared" si="98"/>
        <v>FEDERAL</v>
      </c>
      <c r="N555" s="26">
        <v>78</v>
      </c>
      <c r="O555" s="26">
        <v>58</v>
      </c>
      <c r="P555" s="26">
        <v>20</v>
      </c>
      <c r="Q555" s="26">
        <v>5</v>
      </c>
      <c r="R555" s="26">
        <v>0</v>
      </c>
      <c r="S555" s="26">
        <v>10</v>
      </c>
      <c r="T555" s="26">
        <v>13</v>
      </c>
      <c r="U555" s="26">
        <v>23</v>
      </c>
      <c r="V555" s="26">
        <v>1</v>
      </c>
      <c r="W555" s="26"/>
    </row>
    <row r="556" spans="1:23" x14ac:dyDescent="0.25">
      <c r="A556" s="26" t="str">
        <f t="shared" si="97"/>
        <v>SECUNDARIA</v>
      </c>
      <c r="B556" s="26" t="str">
        <f>"09DSN0028V"</f>
        <v>09DSN0028V</v>
      </c>
      <c r="C556" s="26" t="str">
        <f>"AGUSTIN MELGAR                                                                                      "</f>
        <v xml:space="preserve">AGUSTIN MELGAR                                                                                      </v>
      </c>
      <c r="D556" s="26" t="str">
        <f t="shared" si="104"/>
        <v>NOCTURNO</v>
      </c>
      <c r="E556" s="26" t="str">
        <f>"CALZ.ERMITA IZTAPALAPA NO.1220                                                  "</f>
        <v xml:space="preserve">CALZ.ERMITA IZTAPALAPA NO.1220                                                  </v>
      </c>
      <c r="F556" s="26" t="str">
        <f>"SAN LUCAS                                                                                                                                   "</f>
        <v xml:space="preserve">SAN LUCAS                                                                                                                                   </v>
      </c>
      <c r="G556" s="26" t="str">
        <f>"IZTAPALAPA                                                                      "</f>
        <v xml:space="preserve">IZTAPALAPA                                                                      </v>
      </c>
      <c r="H556" s="26" t="str">
        <f>"010"</f>
        <v>010</v>
      </c>
      <c r="I556" s="26" t="str">
        <f t="shared" si="99"/>
        <v>00</v>
      </c>
      <c r="J556" s="26" t="str">
        <f>"63 "</f>
        <v xml:space="preserve">63 </v>
      </c>
      <c r="K556" s="26" t="str">
        <f>"IZ"</f>
        <v>IZ</v>
      </c>
      <c r="L556" s="26" t="str">
        <f>"DGSEI"</f>
        <v>DGSEI</v>
      </c>
      <c r="M556" s="26" t="str">
        <f t="shared" si="98"/>
        <v>FEDERAL</v>
      </c>
      <c r="N556" s="26">
        <v>113</v>
      </c>
      <c r="O556" s="26">
        <v>71</v>
      </c>
      <c r="P556" s="26">
        <v>42</v>
      </c>
      <c r="Q556" s="26">
        <v>7</v>
      </c>
      <c r="R556" s="26">
        <v>2</v>
      </c>
      <c r="S556" s="26">
        <v>22</v>
      </c>
      <c r="T556" s="26">
        <v>18</v>
      </c>
      <c r="U556" s="26">
        <v>42</v>
      </c>
      <c r="V556" s="26">
        <v>1</v>
      </c>
      <c r="W556" s="26"/>
    </row>
    <row r="557" spans="1:23" x14ac:dyDescent="0.25">
      <c r="A557" s="26" t="str">
        <f t="shared" si="97"/>
        <v>SECUNDARIA</v>
      </c>
      <c r="B557" s="26" t="str">
        <f>"09DSN0029U"</f>
        <v>09DSN0029U</v>
      </c>
      <c r="C557" s="26" t="str">
        <f>"MARIANO ESCOBEDO                                                                                    "</f>
        <v xml:space="preserve">MARIANO ESCOBEDO                                                                                    </v>
      </c>
      <c r="D557" s="26" t="str">
        <f t="shared" si="104"/>
        <v>NOCTURNO</v>
      </c>
      <c r="E557" s="26" t="str">
        <f>"SABINO NUM 135                                                                  "</f>
        <v xml:space="preserve">SABINO NUM 135                                                                  </v>
      </c>
      <c r="F557" s="26" t="str">
        <f>"SANTA MARIA LA RIBERA                                                                                                                       "</f>
        <v xml:space="preserve">SANTA MARIA LA RIBERA                                                                                                                       </v>
      </c>
      <c r="G557" s="26" t="str">
        <f>"CUAUHTEMOC                                                                      "</f>
        <v xml:space="preserve">CUAUHTEMOC                                                                      </v>
      </c>
      <c r="H557" s="26" t="str">
        <f>"082"</f>
        <v>082</v>
      </c>
      <c r="I557" s="26" t="str">
        <f t="shared" si="99"/>
        <v>00</v>
      </c>
      <c r="J557" s="26" t="str">
        <f>"71 "</f>
        <v xml:space="preserve">71 </v>
      </c>
      <c r="K557" s="26" t="str">
        <f t="shared" ref="K557:K570" si="105">"SG"</f>
        <v>SG</v>
      </c>
      <c r="L557" s="26" t="str">
        <f t="shared" ref="L557:L570" si="106">"DGOSE"</f>
        <v>DGOSE</v>
      </c>
      <c r="M557" s="26" t="str">
        <f t="shared" si="98"/>
        <v>FEDERAL</v>
      </c>
      <c r="N557" s="26">
        <v>78</v>
      </c>
      <c r="O557" s="26">
        <v>52</v>
      </c>
      <c r="P557" s="26">
        <v>26</v>
      </c>
      <c r="Q557" s="26">
        <v>7</v>
      </c>
      <c r="R557" s="26">
        <v>2</v>
      </c>
      <c r="S557" s="26">
        <v>22</v>
      </c>
      <c r="T557" s="26">
        <v>17</v>
      </c>
      <c r="U557" s="26">
        <v>41</v>
      </c>
      <c r="V557" s="26">
        <v>1</v>
      </c>
      <c r="W557" s="26"/>
    </row>
    <row r="558" spans="1:23" x14ac:dyDescent="0.25">
      <c r="A558" s="26" t="str">
        <f t="shared" si="97"/>
        <v>SECUNDARIA</v>
      </c>
      <c r="B558" s="26" t="str">
        <f>"09DSN0030J"</f>
        <v>09DSN0030J</v>
      </c>
      <c r="C558" s="26" t="str">
        <f>"FRAY JOSE SERVANDO TERESA DE MIER N. Y G.                                                           "</f>
        <v xml:space="preserve">FRAY JOSE SERVANDO TERESA DE MIER N. Y G.                                                           </v>
      </c>
      <c r="D558" s="26" t="str">
        <f t="shared" si="104"/>
        <v>NOCTURNO</v>
      </c>
      <c r="E558" s="26" t="str">
        <f>"SUR 103 NUM 1034                                                                "</f>
        <v xml:space="preserve">SUR 103 NUM 1034                                                                </v>
      </c>
      <c r="F558" s="26" t="str">
        <f>"AERONAUTICA MILITAR                                                                                                                         "</f>
        <v xml:space="preserve">AERONAUTICA MILITAR                                                                                                                         </v>
      </c>
      <c r="G558" s="26" t="str">
        <f>"VENUSTIANO CARRANZA                                                             "</f>
        <v xml:space="preserve">VENUSTIANO CARRANZA                                                             </v>
      </c>
      <c r="H558" s="26" t="str">
        <f>"091"</f>
        <v>091</v>
      </c>
      <c r="I558" s="26" t="str">
        <f t="shared" si="99"/>
        <v>00</v>
      </c>
      <c r="J558" s="26" t="str">
        <f>"74 "</f>
        <v xml:space="preserve">74 </v>
      </c>
      <c r="K558" s="26" t="str">
        <f t="shared" si="105"/>
        <v>SG</v>
      </c>
      <c r="L558" s="26" t="str">
        <f t="shared" si="106"/>
        <v>DGOSE</v>
      </c>
      <c r="M558" s="26" t="str">
        <f t="shared" si="98"/>
        <v>FEDERAL</v>
      </c>
      <c r="N558" s="26">
        <v>107</v>
      </c>
      <c r="O558" s="26">
        <v>66</v>
      </c>
      <c r="P558" s="26">
        <v>41</v>
      </c>
      <c r="Q558" s="26">
        <v>3</v>
      </c>
      <c r="R558" s="26">
        <v>1</v>
      </c>
      <c r="S558" s="26">
        <v>11</v>
      </c>
      <c r="T558" s="26">
        <v>14</v>
      </c>
      <c r="U558" s="26">
        <v>26</v>
      </c>
      <c r="V558" s="26">
        <v>1</v>
      </c>
      <c r="W558" s="26"/>
    </row>
    <row r="559" spans="1:23" x14ac:dyDescent="0.25">
      <c r="A559" s="26" t="str">
        <f t="shared" si="97"/>
        <v>SECUNDARIA</v>
      </c>
      <c r="B559" s="26" t="str">
        <f>"09DSN0033G"</f>
        <v>09DSN0033G</v>
      </c>
      <c r="C559" s="26" t="str">
        <f>"SECUNDARIA PARA TRABAJADORES 33                                                                     "</f>
        <v xml:space="preserve">SECUNDARIA PARA TRABAJADORES 33                                                                     </v>
      </c>
      <c r="D559" s="26" t="str">
        <f t="shared" si="104"/>
        <v>NOCTURNO</v>
      </c>
      <c r="E559" s="26" t="str">
        <f>"AV CUITLAHUAC Y CEYLAN                                                          "</f>
        <v xml:space="preserve">AV CUITLAHUAC Y CEYLAN                                                          </v>
      </c>
      <c r="F559" s="26" t="str">
        <f>"COSMOPOLITA                                                                                                                                 "</f>
        <v xml:space="preserve">COSMOPOLITA                                                                                                                                 </v>
      </c>
      <c r="G559" s="26" t="str">
        <f>"AZCAPOTZALCO                                                                    "</f>
        <v xml:space="preserve">AZCAPOTZALCO                                                                    </v>
      </c>
      <c r="H559" s="26" t="str">
        <f>"082"</f>
        <v>082</v>
      </c>
      <c r="I559" s="26" t="str">
        <f t="shared" si="99"/>
        <v>00</v>
      </c>
      <c r="J559" s="26" t="str">
        <f>"71 "</f>
        <v xml:space="preserve">71 </v>
      </c>
      <c r="K559" s="26" t="str">
        <f t="shared" si="105"/>
        <v>SG</v>
      </c>
      <c r="L559" s="26" t="str">
        <f t="shared" si="106"/>
        <v>DGOSE</v>
      </c>
      <c r="M559" s="26" t="str">
        <f t="shared" si="98"/>
        <v>FEDERAL</v>
      </c>
      <c r="N559" s="26">
        <v>50</v>
      </c>
      <c r="O559" s="26">
        <v>30</v>
      </c>
      <c r="P559" s="26">
        <v>20</v>
      </c>
      <c r="Q559" s="26">
        <v>3</v>
      </c>
      <c r="R559" s="26">
        <v>1</v>
      </c>
      <c r="S559" s="26">
        <v>8</v>
      </c>
      <c r="T559" s="26">
        <v>7</v>
      </c>
      <c r="U559" s="26">
        <v>16</v>
      </c>
      <c r="V559" s="26">
        <v>1</v>
      </c>
      <c r="W559" s="26"/>
    </row>
    <row r="560" spans="1:23" x14ac:dyDescent="0.25">
      <c r="A560" s="26" t="str">
        <f t="shared" si="97"/>
        <v>SECUNDARIA</v>
      </c>
      <c r="B560" s="26" t="str">
        <f>"09DSN0035E"</f>
        <v>09DSN0035E</v>
      </c>
      <c r="C560" s="26" t="str">
        <f>"SECUNDARIA PARA TRABAJADORES 35                                                                     "</f>
        <v xml:space="preserve">SECUNDARIA PARA TRABAJADORES 35                                                                     </v>
      </c>
      <c r="D560" s="26" t="str">
        <f t="shared" si="104"/>
        <v>NOCTURNO</v>
      </c>
      <c r="E560" s="26" t="str">
        <f>"AV 16 DE SEPT Y BUENAVISTA                                                      "</f>
        <v xml:space="preserve">AV 16 DE SEPT Y BUENAVISTA                                                      </v>
      </c>
      <c r="F560" s="26" t="str">
        <f>"SAN BARTOLO ATEPEHUACAN                                                                                                                     "</f>
        <v xml:space="preserve">SAN BARTOLO ATEPEHUACAN                                                                                                                     </v>
      </c>
      <c r="G560" s="26" t="str">
        <f>"GUSTAVO A. MADERO                                                               "</f>
        <v xml:space="preserve">GUSTAVO A. MADERO                                                               </v>
      </c>
      <c r="H560" s="26" t="str">
        <f>"088"</f>
        <v>088</v>
      </c>
      <c r="I560" s="26" t="str">
        <f t="shared" si="99"/>
        <v>00</v>
      </c>
      <c r="J560" s="26" t="str">
        <f>"72 "</f>
        <v xml:space="preserve">72 </v>
      </c>
      <c r="K560" s="26" t="str">
        <f t="shared" si="105"/>
        <v>SG</v>
      </c>
      <c r="L560" s="26" t="str">
        <f t="shared" si="106"/>
        <v>DGOSE</v>
      </c>
      <c r="M560" s="26" t="str">
        <f t="shared" si="98"/>
        <v>FEDERAL</v>
      </c>
      <c r="N560" s="26">
        <v>39</v>
      </c>
      <c r="O560" s="26">
        <v>27</v>
      </c>
      <c r="P560" s="26">
        <v>12</v>
      </c>
      <c r="Q560" s="26">
        <v>3</v>
      </c>
      <c r="R560" s="26">
        <v>2</v>
      </c>
      <c r="S560" s="26">
        <v>11</v>
      </c>
      <c r="T560" s="26">
        <v>10</v>
      </c>
      <c r="U560" s="26">
        <v>23</v>
      </c>
      <c r="V560" s="26">
        <v>1</v>
      </c>
      <c r="W560" s="26"/>
    </row>
    <row r="561" spans="1:23" x14ac:dyDescent="0.25">
      <c r="A561" s="26" t="str">
        <f t="shared" si="97"/>
        <v>SECUNDARIA</v>
      </c>
      <c r="B561" s="26" t="str">
        <f>"09DSN0037C"</f>
        <v>09DSN0037C</v>
      </c>
      <c r="C561" s="26" t="str">
        <f>"MARIANO AZUELA                                                                                      "</f>
        <v xml:space="preserve">MARIANO AZUELA                                                                                      </v>
      </c>
      <c r="D561" s="26" t="str">
        <f>"MATUTINO"</f>
        <v>MATUTINO</v>
      </c>
      <c r="E561" s="26" t="str">
        <f>"WISCONSIN 110                                                                   "</f>
        <v xml:space="preserve">WISCONSIN 110                                                                   </v>
      </c>
      <c r="F561" s="26" t="str">
        <f>"NAPOLES                                                                                                                                     "</f>
        <v xml:space="preserve">NAPOLES                                                                                                                                     </v>
      </c>
      <c r="G561" s="26" t="str">
        <f>"BENITO JUAREZ                                                                   "</f>
        <v xml:space="preserve">BENITO JUAREZ                                                                   </v>
      </c>
      <c r="H561" s="26" t="str">
        <f>"086"</f>
        <v>086</v>
      </c>
      <c r="I561" s="26" t="str">
        <f t="shared" si="99"/>
        <v>00</v>
      </c>
      <c r="J561" s="26" t="str">
        <f>"73 "</f>
        <v xml:space="preserve">73 </v>
      </c>
      <c r="K561" s="26" t="str">
        <f t="shared" si="105"/>
        <v>SG</v>
      </c>
      <c r="L561" s="26" t="str">
        <f t="shared" si="106"/>
        <v>DGOSE</v>
      </c>
      <c r="M561" s="26" t="str">
        <f t="shared" si="98"/>
        <v>FEDERAL</v>
      </c>
      <c r="N561" s="26">
        <v>160</v>
      </c>
      <c r="O561" s="26">
        <v>108</v>
      </c>
      <c r="P561" s="26">
        <v>52</v>
      </c>
      <c r="Q561" s="26">
        <v>8</v>
      </c>
      <c r="R561" s="26">
        <v>2</v>
      </c>
      <c r="S561" s="26">
        <v>15</v>
      </c>
      <c r="T561" s="26">
        <v>16</v>
      </c>
      <c r="U561" s="26">
        <v>33</v>
      </c>
      <c r="V561" s="26">
        <v>1</v>
      </c>
      <c r="W561" s="26"/>
    </row>
    <row r="562" spans="1:23" x14ac:dyDescent="0.25">
      <c r="A562" s="26" t="str">
        <f t="shared" si="97"/>
        <v>SECUNDARIA</v>
      </c>
      <c r="B562" s="26" t="str">
        <f>"09DSN0038B"</f>
        <v>09DSN0038B</v>
      </c>
      <c r="C562" s="26" t="str">
        <f>"SECUNDARIA PARA TRABAJADORES 38                                                                     "</f>
        <v xml:space="preserve">SECUNDARIA PARA TRABAJADORES 38                                                                     </v>
      </c>
      <c r="D562" s="26" t="str">
        <f>"NOCTURNO"</f>
        <v>NOCTURNO</v>
      </c>
      <c r="E562" s="26" t="str">
        <f>"CALZ DE GUADALUPE 424                                                           "</f>
        <v xml:space="preserve">CALZ DE GUADALUPE 424                                                           </v>
      </c>
      <c r="F562" s="26" t="str">
        <f>"INDUSTRIAL                                                                                                                                  "</f>
        <v xml:space="preserve">INDUSTRIAL                                                                                                                                  </v>
      </c>
      <c r="G562" s="26" t="str">
        <f>"GUSTAVO A. MADERO                                                               "</f>
        <v xml:space="preserve">GUSTAVO A. MADERO                                                               </v>
      </c>
      <c r="H562" s="26" t="str">
        <f>"089"</f>
        <v>089</v>
      </c>
      <c r="I562" s="26" t="str">
        <f t="shared" si="99"/>
        <v>00</v>
      </c>
      <c r="J562" s="26" t="str">
        <f>"72 "</f>
        <v xml:space="preserve">72 </v>
      </c>
      <c r="K562" s="26" t="str">
        <f t="shared" si="105"/>
        <v>SG</v>
      </c>
      <c r="L562" s="26" t="str">
        <f t="shared" si="106"/>
        <v>DGOSE</v>
      </c>
      <c r="M562" s="26" t="str">
        <f t="shared" si="98"/>
        <v>FEDERAL</v>
      </c>
      <c r="N562" s="26">
        <v>94</v>
      </c>
      <c r="O562" s="26">
        <v>64</v>
      </c>
      <c r="P562" s="26">
        <v>30</v>
      </c>
      <c r="Q562" s="26">
        <v>6</v>
      </c>
      <c r="R562" s="26">
        <v>2</v>
      </c>
      <c r="S562" s="26">
        <v>14</v>
      </c>
      <c r="T562" s="26">
        <v>12</v>
      </c>
      <c r="U562" s="26">
        <v>28</v>
      </c>
      <c r="V562" s="26">
        <v>1</v>
      </c>
      <c r="W562" s="26"/>
    </row>
    <row r="563" spans="1:23" x14ac:dyDescent="0.25">
      <c r="A563" s="26" t="str">
        <f t="shared" si="97"/>
        <v>SECUNDARIA</v>
      </c>
      <c r="B563" s="26" t="str">
        <f>"09DSN0039A"</f>
        <v>09DSN0039A</v>
      </c>
      <c r="C563" s="26" t="str">
        <f>"SECUNDARIA PARA TRABAJADORES 39                                                                     "</f>
        <v xml:space="preserve">SECUNDARIA PARA TRABAJADORES 39                                                                     </v>
      </c>
      <c r="D563" s="26" t="str">
        <f>"MATUTINO"</f>
        <v>MATUTINO</v>
      </c>
      <c r="E563" s="26" t="str">
        <f>"CALZ DE GUADALUPE 424                                                           "</f>
        <v xml:space="preserve">CALZ DE GUADALUPE 424                                                           </v>
      </c>
      <c r="F563" s="26" t="str">
        <f>"INDUSTRIAL                                                                                                                                  "</f>
        <v xml:space="preserve">INDUSTRIAL                                                                                                                                  </v>
      </c>
      <c r="G563" s="26" t="str">
        <f>"GUSTAVO A. MADERO                                                               "</f>
        <v xml:space="preserve">GUSTAVO A. MADERO                                                               </v>
      </c>
      <c r="H563" s="26" t="str">
        <f>"089"</f>
        <v>089</v>
      </c>
      <c r="I563" s="26" t="str">
        <f t="shared" si="99"/>
        <v>00</v>
      </c>
      <c r="J563" s="26" t="str">
        <f>"72 "</f>
        <v xml:space="preserve">72 </v>
      </c>
      <c r="K563" s="26" t="str">
        <f t="shared" si="105"/>
        <v>SG</v>
      </c>
      <c r="L563" s="26" t="str">
        <f t="shared" si="106"/>
        <v>DGOSE</v>
      </c>
      <c r="M563" s="26" t="str">
        <f t="shared" si="98"/>
        <v>FEDERAL</v>
      </c>
      <c r="N563" s="26">
        <v>170</v>
      </c>
      <c r="O563" s="26">
        <v>98</v>
      </c>
      <c r="P563" s="26">
        <v>72</v>
      </c>
      <c r="Q563" s="26">
        <v>8</v>
      </c>
      <c r="R563" s="26">
        <v>2</v>
      </c>
      <c r="S563" s="26">
        <v>17</v>
      </c>
      <c r="T563" s="26">
        <v>14</v>
      </c>
      <c r="U563" s="26">
        <v>33</v>
      </c>
      <c r="V563" s="26">
        <v>1</v>
      </c>
      <c r="W563" s="26"/>
    </row>
    <row r="564" spans="1:23" x14ac:dyDescent="0.25">
      <c r="A564" s="26" t="str">
        <f t="shared" si="97"/>
        <v>SECUNDARIA</v>
      </c>
      <c r="B564" s="26" t="str">
        <f>"09DSN0041P"</f>
        <v>09DSN0041P</v>
      </c>
      <c r="C564" s="26" t="str">
        <f>"MARTIRES DE RIO BLANCO                                                                              "</f>
        <v xml:space="preserve">MARTIRES DE RIO BLANCO                                                                              </v>
      </c>
      <c r="D564" s="26" t="str">
        <f t="shared" ref="D564:D571" si="107">"NOCTURNO"</f>
        <v>NOCTURNO</v>
      </c>
      <c r="E564" s="26" t="str">
        <f>"AV APATLACO NUM 700                                                             "</f>
        <v xml:space="preserve">AV APATLACO NUM 700                                                             </v>
      </c>
      <c r="F564" s="26" t="str">
        <f>"CAMPAMENTO 2 DE OCTUBRE                                                                                                                     "</f>
        <v xml:space="preserve">CAMPAMENTO 2 DE OCTUBRE                                                                                                                     </v>
      </c>
      <c r="G564" s="26" t="str">
        <f>"IZTACALCO                                                                       "</f>
        <v xml:space="preserve">IZTACALCO                                                                       </v>
      </c>
      <c r="H564" s="26" t="str">
        <f>"090"</f>
        <v>090</v>
      </c>
      <c r="I564" s="26" t="str">
        <f t="shared" si="99"/>
        <v>00</v>
      </c>
      <c r="J564" s="26" t="str">
        <f>"74 "</f>
        <v xml:space="preserve">74 </v>
      </c>
      <c r="K564" s="26" t="str">
        <f t="shared" si="105"/>
        <v>SG</v>
      </c>
      <c r="L564" s="26" t="str">
        <f t="shared" si="106"/>
        <v>DGOSE</v>
      </c>
      <c r="M564" s="26" t="str">
        <f t="shared" si="98"/>
        <v>FEDERAL</v>
      </c>
      <c r="N564" s="26">
        <v>88</v>
      </c>
      <c r="O564" s="26">
        <v>58</v>
      </c>
      <c r="P564" s="26">
        <v>30</v>
      </c>
      <c r="Q564" s="26">
        <v>3</v>
      </c>
      <c r="R564" s="26">
        <v>2</v>
      </c>
      <c r="S564" s="26">
        <v>7</v>
      </c>
      <c r="T564" s="26">
        <v>11</v>
      </c>
      <c r="U564" s="26">
        <v>20</v>
      </c>
      <c r="V564" s="26">
        <v>1</v>
      </c>
      <c r="W564" s="26"/>
    </row>
    <row r="565" spans="1:23" x14ac:dyDescent="0.25">
      <c r="A565" s="26" t="str">
        <f t="shared" si="97"/>
        <v>SECUNDARIA</v>
      </c>
      <c r="B565" s="26" t="str">
        <f>"09DSN0042O"</f>
        <v>09DSN0042O</v>
      </c>
      <c r="C565" s="26" t="str">
        <f>"JESUS ROMERO FLORES                                                                                 "</f>
        <v xml:space="preserve">JESUS ROMERO FLORES                                                                                 </v>
      </c>
      <c r="D565" s="26" t="str">
        <f t="shared" si="107"/>
        <v>NOCTURNO</v>
      </c>
      <c r="E565" s="26" t="str">
        <f>"AVENIDA GRAN CANAL DE ORIENTE NO 6900                                           "</f>
        <v xml:space="preserve">AVENIDA GRAN CANAL DE ORIENTE NO 6900                                           </v>
      </c>
      <c r="F565" s="26" t="str">
        <f>"LA ESMERALDA I                                                                                                                              "</f>
        <v xml:space="preserve">LA ESMERALDA I                                                                                                                              </v>
      </c>
      <c r="G565" s="26" t="str">
        <f>"GUSTAVO A. MADERO                                                               "</f>
        <v xml:space="preserve">GUSTAVO A. MADERO                                                               </v>
      </c>
      <c r="H565" s="26" t="str">
        <f>"089"</f>
        <v>089</v>
      </c>
      <c r="I565" s="26" t="str">
        <f t="shared" si="99"/>
        <v>00</v>
      </c>
      <c r="J565" s="26" t="str">
        <f>"72 "</f>
        <v xml:space="preserve">72 </v>
      </c>
      <c r="K565" s="26" t="str">
        <f t="shared" si="105"/>
        <v>SG</v>
      </c>
      <c r="L565" s="26" t="str">
        <f t="shared" si="106"/>
        <v>DGOSE</v>
      </c>
      <c r="M565" s="26" t="str">
        <f t="shared" si="98"/>
        <v>FEDERAL</v>
      </c>
      <c r="N565" s="26">
        <v>67</v>
      </c>
      <c r="O565" s="26">
        <v>41</v>
      </c>
      <c r="P565" s="26">
        <v>26</v>
      </c>
      <c r="Q565" s="26">
        <v>3</v>
      </c>
      <c r="R565" s="26">
        <v>2</v>
      </c>
      <c r="S565" s="26">
        <v>7</v>
      </c>
      <c r="T565" s="26">
        <v>11</v>
      </c>
      <c r="U565" s="26">
        <v>20</v>
      </c>
      <c r="V565" s="26">
        <v>1</v>
      </c>
      <c r="W565" s="26"/>
    </row>
    <row r="566" spans="1:23" x14ac:dyDescent="0.25">
      <c r="A566" s="26" t="str">
        <f t="shared" si="97"/>
        <v>SECUNDARIA</v>
      </c>
      <c r="B566" s="26" t="str">
        <f>"09DSN0043N"</f>
        <v>09DSN0043N</v>
      </c>
      <c r="C566" s="26" t="str">
        <f>"MANUEL BERNAL                                                                                       "</f>
        <v xml:space="preserve">MANUEL BERNAL                                                                                       </v>
      </c>
      <c r="D566" s="26" t="str">
        <f t="shared" si="107"/>
        <v>NOCTURNO</v>
      </c>
      <c r="E566" s="26" t="str">
        <f>"20 DE AGOSTO NUM 51                                                             "</f>
        <v xml:space="preserve">20 DE AGOSTO NUM 51                                                             </v>
      </c>
      <c r="F566" s="26" t="str">
        <f>"CHURUBUSCO                                                                                                                                  "</f>
        <v xml:space="preserve">CHURUBUSCO                                                                                                                                  </v>
      </c>
      <c r="G566" s="26" t="str">
        <f>"COYOACAN                                                                        "</f>
        <v xml:space="preserve">COYOACAN                                                                        </v>
      </c>
      <c r="H566" s="26" t="str">
        <f>"095"</f>
        <v>095</v>
      </c>
      <c r="I566" s="26" t="str">
        <f t="shared" si="99"/>
        <v>00</v>
      </c>
      <c r="J566" s="26" t="str">
        <f>"74 "</f>
        <v xml:space="preserve">74 </v>
      </c>
      <c r="K566" s="26" t="str">
        <f t="shared" si="105"/>
        <v>SG</v>
      </c>
      <c r="L566" s="26" t="str">
        <f t="shared" si="106"/>
        <v>DGOSE</v>
      </c>
      <c r="M566" s="26" t="str">
        <f t="shared" si="98"/>
        <v>FEDERAL</v>
      </c>
      <c r="N566" s="26">
        <v>81</v>
      </c>
      <c r="O566" s="26">
        <v>46</v>
      </c>
      <c r="P566" s="26">
        <v>35</v>
      </c>
      <c r="Q566" s="26">
        <v>3</v>
      </c>
      <c r="R566" s="26">
        <v>1</v>
      </c>
      <c r="S566" s="26">
        <v>6</v>
      </c>
      <c r="T566" s="26">
        <v>9</v>
      </c>
      <c r="U566" s="26">
        <v>16</v>
      </c>
      <c r="V566" s="26">
        <v>1</v>
      </c>
      <c r="W566" s="26"/>
    </row>
    <row r="567" spans="1:23" x14ac:dyDescent="0.25">
      <c r="A567" s="26" t="str">
        <f t="shared" si="97"/>
        <v>SECUNDARIA</v>
      </c>
      <c r="B567" s="26" t="str">
        <f>"09DSN0044M"</f>
        <v>09DSN0044M</v>
      </c>
      <c r="C567" s="26" t="str">
        <f>"SECUNDARIA PARA TRABAJADORES 44                                                                     "</f>
        <v xml:space="preserve">SECUNDARIA PARA TRABAJADORES 44                                                                     </v>
      </c>
      <c r="D567" s="26" t="str">
        <f t="shared" si="107"/>
        <v>NOCTURNO</v>
      </c>
      <c r="E567" s="26" t="str">
        <f>"CALLE 2 NUM 44                                                                  "</f>
        <v xml:space="preserve">CALLE 2 NUM 44                                                                  </v>
      </c>
      <c r="F567" s="26" t="str">
        <f>"CUCHILLA AGRICOLA PANTITLAN                                                                                                                 "</f>
        <v xml:space="preserve">CUCHILLA AGRICOLA PANTITLAN                                                                                                                 </v>
      </c>
      <c r="G567" s="26" t="str">
        <f>"IZTACALCO                                                                       "</f>
        <v xml:space="preserve">IZTACALCO                                                                       </v>
      </c>
      <c r="H567" s="26" t="str">
        <f>"090"</f>
        <v>090</v>
      </c>
      <c r="I567" s="26" t="str">
        <f t="shared" si="99"/>
        <v>00</v>
      </c>
      <c r="J567" s="26" t="str">
        <f>"74 "</f>
        <v xml:space="preserve">74 </v>
      </c>
      <c r="K567" s="26" t="str">
        <f t="shared" si="105"/>
        <v>SG</v>
      </c>
      <c r="L567" s="26" t="str">
        <f t="shared" si="106"/>
        <v>DGOSE</v>
      </c>
      <c r="M567" s="26" t="str">
        <f t="shared" si="98"/>
        <v>FEDERAL</v>
      </c>
      <c r="N567" s="26">
        <v>69</v>
      </c>
      <c r="O567" s="26">
        <v>45</v>
      </c>
      <c r="P567" s="26">
        <v>24</v>
      </c>
      <c r="Q567" s="26">
        <v>3</v>
      </c>
      <c r="R567" s="26">
        <v>2</v>
      </c>
      <c r="S567" s="26">
        <v>13</v>
      </c>
      <c r="T567" s="26">
        <v>15</v>
      </c>
      <c r="U567" s="26">
        <v>30</v>
      </c>
      <c r="V567" s="26">
        <v>1</v>
      </c>
      <c r="W567" s="26"/>
    </row>
    <row r="568" spans="1:23" x14ac:dyDescent="0.25">
      <c r="A568" s="26" t="str">
        <f t="shared" si="97"/>
        <v>SECUNDARIA</v>
      </c>
      <c r="B568" s="26" t="str">
        <f>"09DSN0046K"</f>
        <v>09DSN0046K</v>
      </c>
      <c r="C568" s="26" t="str">
        <f>"VALERIO TRUJANO                                                                                     "</f>
        <v xml:space="preserve">VALERIO TRUJANO                                                                                     </v>
      </c>
      <c r="D568" s="26" t="str">
        <f t="shared" si="107"/>
        <v>NOCTURNO</v>
      </c>
      <c r="E568" s="26" t="str">
        <f>"MARCOS H PULIDO S/N                                                             "</f>
        <v xml:space="preserve">MARCOS H PULIDO S/N                                                             </v>
      </c>
      <c r="F568" s="26" t="str">
        <f>"AVANTE                                                                                                                                      "</f>
        <v xml:space="preserve">AVANTE                                                                                                                                      </v>
      </c>
      <c r="G568" s="26" t="str">
        <f>"COYOACAN                                                                        "</f>
        <v xml:space="preserve">COYOACAN                                                                        </v>
      </c>
      <c r="H568" s="26" t="str">
        <f>"095"</f>
        <v>095</v>
      </c>
      <c r="I568" s="26" t="str">
        <f t="shared" si="99"/>
        <v>00</v>
      </c>
      <c r="J568" s="26" t="str">
        <f>"74 "</f>
        <v xml:space="preserve">74 </v>
      </c>
      <c r="K568" s="26" t="str">
        <f t="shared" si="105"/>
        <v>SG</v>
      </c>
      <c r="L568" s="26" t="str">
        <f t="shared" si="106"/>
        <v>DGOSE</v>
      </c>
      <c r="M568" s="26" t="str">
        <f t="shared" si="98"/>
        <v>FEDERAL</v>
      </c>
      <c r="N568" s="26">
        <v>58</v>
      </c>
      <c r="O568" s="26">
        <v>37</v>
      </c>
      <c r="P568" s="26">
        <v>21</v>
      </c>
      <c r="Q568" s="26">
        <v>3</v>
      </c>
      <c r="R568" s="26">
        <v>1</v>
      </c>
      <c r="S568" s="26">
        <v>10</v>
      </c>
      <c r="T568" s="26">
        <v>8</v>
      </c>
      <c r="U568" s="26">
        <v>19</v>
      </c>
      <c r="V568" s="26">
        <v>1</v>
      </c>
      <c r="W568" s="26"/>
    </row>
    <row r="569" spans="1:23" x14ac:dyDescent="0.25">
      <c r="A569" s="26" t="str">
        <f t="shared" si="97"/>
        <v>SECUNDARIA</v>
      </c>
      <c r="B569" s="26" t="str">
        <f>"09DSN0047J"</f>
        <v>09DSN0047J</v>
      </c>
      <c r="C569" s="26" t="str">
        <f>"TENOCHTITLAN                                                                                        "</f>
        <v xml:space="preserve">TENOCHTITLAN                                                                                        </v>
      </c>
      <c r="D569" s="26" t="str">
        <f t="shared" si="107"/>
        <v>NOCTURNO</v>
      </c>
      <c r="E569" s="26" t="str">
        <f>"ANAXAGORAS NO 324                                                               "</f>
        <v xml:space="preserve">ANAXAGORAS NO 324                                                               </v>
      </c>
      <c r="F569" s="26" t="str">
        <f>"NARVARTE                                                                                                                                    "</f>
        <v xml:space="preserve">NARVARTE                                                                                                                                    </v>
      </c>
      <c r="G569" s="26" t="str">
        <f>"BENITO JUAREZ                                                                   "</f>
        <v xml:space="preserve">BENITO JUAREZ                                                                   </v>
      </c>
      <c r="H569" s="26" t="str">
        <f>"086"</f>
        <v>086</v>
      </c>
      <c r="I569" s="26" t="str">
        <f t="shared" si="99"/>
        <v>00</v>
      </c>
      <c r="J569" s="26" t="str">
        <f>"73 "</f>
        <v xml:space="preserve">73 </v>
      </c>
      <c r="K569" s="26" t="str">
        <f t="shared" si="105"/>
        <v>SG</v>
      </c>
      <c r="L569" s="26" t="str">
        <f t="shared" si="106"/>
        <v>DGOSE</v>
      </c>
      <c r="M569" s="26" t="str">
        <f t="shared" si="98"/>
        <v>FEDERAL</v>
      </c>
      <c r="N569" s="26">
        <v>34</v>
      </c>
      <c r="O569" s="26">
        <v>18</v>
      </c>
      <c r="P569" s="26">
        <v>16</v>
      </c>
      <c r="Q569" s="26">
        <v>3</v>
      </c>
      <c r="R569" s="26">
        <v>2</v>
      </c>
      <c r="S569" s="26">
        <v>10</v>
      </c>
      <c r="T569" s="26">
        <v>9</v>
      </c>
      <c r="U569" s="26">
        <v>21</v>
      </c>
      <c r="V569" s="26">
        <v>1</v>
      </c>
      <c r="W569" s="26"/>
    </row>
    <row r="570" spans="1:23" x14ac:dyDescent="0.25">
      <c r="A570" s="26" t="str">
        <f t="shared" si="97"/>
        <v>SECUNDARIA</v>
      </c>
      <c r="B570" s="26" t="str">
        <f>"09DSN0048I"</f>
        <v>09DSN0048I</v>
      </c>
      <c r="C570" s="26" t="str">
        <f>"GUSTAVO DIAZ ORDAZ                                                                                  "</f>
        <v xml:space="preserve">GUSTAVO DIAZ ORDAZ                                                                                  </v>
      </c>
      <c r="D570" s="26" t="str">
        <f t="shared" si="107"/>
        <v>NOCTURNO</v>
      </c>
      <c r="E570" s="26" t="str">
        <f>"MONTE CAUCASO 935                                                               "</f>
        <v xml:space="preserve">MONTE CAUCASO 935                                                               </v>
      </c>
      <c r="F570" s="26" t="str">
        <f>"LOMAS DE CHAPULTEPEC                                                                                                                        "</f>
        <v xml:space="preserve">LOMAS DE CHAPULTEPEC                                                                                                                        </v>
      </c>
      <c r="G570" s="26" t="str">
        <f>"MIGUEL HIDALGO                                                                  "</f>
        <v xml:space="preserve">MIGUEL HIDALGO                                                                  </v>
      </c>
      <c r="H570" s="26" t="str">
        <f>"087"</f>
        <v>087</v>
      </c>
      <c r="I570" s="26" t="str">
        <f t="shared" si="99"/>
        <v>00</v>
      </c>
      <c r="J570" s="26" t="str">
        <f>"71 "</f>
        <v xml:space="preserve">71 </v>
      </c>
      <c r="K570" s="26" t="str">
        <f t="shared" si="105"/>
        <v>SG</v>
      </c>
      <c r="L570" s="26" t="str">
        <f t="shared" si="106"/>
        <v>DGOSE</v>
      </c>
      <c r="M570" s="26" t="str">
        <f t="shared" si="98"/>
        <v>FEDERAL</v>
      </c>
      <c r="N570" s="26">
        <v>47</v>
      </c>
      <c r="O570" s="26">
        <v>28</v>
      </c>
      <c r="P570" s="26">
        <v>19</v>
      </c>
      <c r="Q570" s="26">
        <v>3</v>
      </c>
      <c r="R570" s="26">
        <v>2</v>
      </c>
      <c r="S570" s="26">
        <v>11</v>
      </c>
      <c r="T570" s="26">
        <v>8</v>
      </c>
      <c r="U570" s="26">
        <v>21</v>
      </c>
      <c r="V570" s="26">
        <v>1</v>
      </c>
      <c r="W570" s="26"/>
    </row>
    <row r="571" spans="1:23" x14ac:dyDescent="0.25">
      <c r="A571" s="26" t="str">
        <f t="shared" si="97"/>
        <v>SECUNDARIA</v>
      </c>
      <c r="B571" s="26" t="str">
        <f>"09DSN0049H"</f>
        <v>09DSN0049H</v>
      </c>
      <c r="C571" s="26" t="str">
        <f>"IGNACIO ALLENDE                                                                                     "</f>
        <v xml:space="preserve">IGNACIO ALLENDE                                                                                     </v>
      </c>
      <c r="D571" s="26" t="str">
        <f t="shared" si="107"/>
        <v>NOCTURNO</v>
      </c>
      <c r="E571" s="26" t="str">
        <f>"GERSAYN UGARTE Y DONATO BRAVO                                                   "</f>
        <v xml:space="preserve">GERSAYN UGARTE Y DONATO BRAVO                                                   </v>
      </c>
      <c r="F571" s="26" t="str">
        <f>"CONSTITUCION 1917                                                                                                                           "</f>
        <v xml:space="preserve">CONSTITUCION 1917                                                                                                                           </v>
      </c>
      <c r="G571" s="26" t="str">
        <f>"IZTAPALAPA                                                                      "</f>
        <v xml:space="preserve">IZTAPALAPA                                                                      </v>
      </c>
      <c r="H571" s="26" t="str">
        <f>"007"</f>
        <v>007</v>
      </c>
      <c r="I571" s="26" t="str">
        <f t="shared" si="99"/>
        <v>00</v>
      </c>
      <c r="J571" s="26" t="str">
        <f>"62 "</f>
        <v xml:space="preserve">62 </v>
      </c>
      <c r="K571" s="26" t="str">
        <f>"IZ"</f>
        <v>IZ</v>
      </c>
      <c r="L571" s="26" t="str">
        <f>"DGSEI"</f>
        <v>DGSEI</v>
      </c>
      <c r="M571" s="26" t="str">
        <f t="shared" si="98"/>
        <v>FEDERAL</v>
      </c>
      <c r="N571" s="26">
        <v>95</v>
      </c>
      <c r="O571" s="26">
        <v>64</v>
      </c>
      <c r="P571" s="26">
        <v>31</v>
      </c>
      <c r="Q571" s="26">
        <v>9</v>
      </c>
      <c r="R571" s="26">
        <v>2</v>
      </c>
      <c r="S571" s="26">
        <v>14</v>
      </c>
      <c r="T571" s="26">
        <v>10</v>
      </c>
      <c r="U571" s="26">
        <v>26</v>
      </c>
      <c r="V571" s="26">
        <v>1</v>
      </c>
      <c r="W571" s="26"/>
    </row>
    <row r="572" spans="1:23" x14ac:dyDescent="0.25">
      <c r="A572" s="26" t="str">
        <f t="shared" si="97"/>
        <v>SECUNDARIA</v>
      </c>
      <c r="B572" s="26" t="str">
        <f>"09DSN0051W"</f>
        <v>09DSN0051W</v>
      </c>
      <c r="C572" s="26" t="str">
        <f>"QUIRINO MENDOZA CORTES                                                                              "</f>
        <v xml:space="preserve">QUIRINO MENDOZA CORTES                                                                              </v>
      </c>
      <c r="D572" s="26" t="str">
        <f>"MATUTINO"</f>
        <v>MATUTINO</v>
      </c>
      <c r="E572" s="26" t="str">
        <f>"ISIDRO TAPIA ESQ MATIAS ENRIQUEZ                                                "</f>
        <v xml:space="preserve">ISIDRO TAPIA ESQ MATIAS ENRIQUEZ                                                </v>
      </c>
      <c r="F572" s="26" t="str">
        <f>"SAN SEBASTIAN                                                                                                                               "</f>
        <v xml:space="preserve">SAN SEBASTIAN                                                                                                                               </v>
      </c>
      <c r="G572" s="26" t="str">
        <f>"XOCHIMILCO                                                                      "</f>
        <v xml:space="preserve">XOCHIMILCO                                                                      </v>
      </c>
      <c r="H572" s="26" t="str">
        <f>"093"</f>
        <v>093</v>
      </c>
      <c r="I572" s="26" t="str">
        <f t="shared" si="99"/>
        <v>00</v>
      </c>
      <c r="J572" s="26" t="str">
        <f>"75 "</f>
        <v xml:space="preserve">75 </v>
      </c>
      <c r="K572" s="26" t="str">
        <f t="shared" ref="K572:K581" si="108">"SG"</f>
        <v>SG</v>
      </c>
      <c r="L572" s="26" t="str">
        <f t="shared" ref="L572:L581" si="109">"DGOSE"</f>
        <v>DGOSE</v>
      </c>
      <c r="M572" s="26" t="str">
        <f t="shared" si="98"/>
        <v>FEDERAL</v>
      </c>
      <c r="N572" s="26">
        <v>510</v>
      </c>
      <c r="O572" s="26">
        <v>249</v>
      </c>
      <c r="P572" s="26">
        <v>261</v>
      </c>
      <c r="Q572" s="26">
        <v>12</v>
      </c>
      <c r="R572" s="26">
        <v>2</v>
      </c>
      <c r="S572" s="26">
        <v>21</v>
      </c>
      <c r="T572" s="26">
        <v>18</v>
      </c>
      <c r="U572" s="26">
        <v>41</v>
      </c>
      <c r="V572" s="26">
        <v>1</v>
      </c>
      <c r="W572" s="26"/>
    </row>
    <row r="573" spans="1:23" x14ac:dyDescent="0.25">
      <c r="A573" s="26" t="str">
        <f t="shared" si="97"/>
        <v>SECUNDARIA</v>
      </c>
      <c r="B573" s="26" t="str">
        <f>"09DSN0052V"</f>
        <v>09DSN0052V</v>
      </c>
      <c r="C573" s="26" t="str">
        <f>"NORMALISMO MEXICANO                                                                                 "</f>
        <v xml:space="preserve">NORMALISMO MEXICANO                                                                                 </v>
      </c>
      <c r="D573" s="26" t="str">
        <f>"NOCTURNO"</f>
        <v>NOCTURNO</v>
      </c>
      <c r="E573" s="26" t="str">
        <f>"SAN RAUL Y SAN CASTULO                                                          "</f>
        <v xml:space="preserve">SAN RAUL Y SAN CASTULO                                                          </v>
      </c>
      <c r="F573" s="26" t="str">
        <f>"SANTA URSULA COAPA                                                                                                                          "</f>
        <v xml:space="preserve">SANTA URSULA COAPA                                                                                                                          </v>
      </c>
      <c r="G573" s="26" t="str">
        <f>"COYOACAN                                                                        "</f>
        <v xml:space="preserve">COYOACAN                                                                        </v>
      </c>
      <c r="H573" s="26" t="str">
        <f>"095"</f>
        <v>095</v>
      </c>
      <c r="I573" s="26" t="str">
        <f t="shared" si="99"/>
        <v>00</v>
      </c>
      <c r="J573" s="26" t="str">
        <f>"74 "</f>
        <v xml:space="preserve">74 </v>
      </c>
      <c r="K573" s="26" t="str">
        <f t="shared" si="108"/>
        <v>SG</v>
      </c>
      <c r="L573" s="26" t="str">
        <f t="shared" si="109"/>
        <v>DGOSE</v>
      </c>
      <c r="M573" s="26" t="str">
        <f t="shared" si="98"/>
        <v>FEDERAL</v>
      </c>
      <c r="N573" s="26">
        <v>58</v>
      </c>
      <c r="O573" s="26">
        <v>35</v>
      </c>
      <c r="P573" s="26">
        <v>23</v>
      </c>
      <c r="Q573" s="26">
        <v>3</v>
      </c>
      <c r="R573" s="26">
        <v>2</v>
      </c>
      <c r="S573" s="26">
        <v>8</v>
      </c>
      <c r="T573" s="26">
        <v>6</v>
      </c>
      <c r="U573" s="26">
        <v>16</v>
      </c>
      <c r="V573" s="26">
        <v>1</v>
      </c>
      <c r="W573" s="26"/>
    </row>
    <row r="574" spans="1:23" x14ac:dyDescent="0.25">
      <c r="A574" s="26" t="str">
        <f t="shared" si="97"/>
        <v>SECUNDARIA</v>
      </c>
      <c r="B574" s="26" t="str">
        <f>"09DSN0053U"</f>
        <v>09DSN0053U</v>
      </c>
      <c r="C574" s="26" t="str">
        <f>"ANDRES HENESTROSA                                                                                   "</f>
        <v xml:space="preserve">ANDRES HENESTROSA                                                                                   </v>
      </c>
      <c r="D574" s="26" t="str">
        <f>"NOCTURNO"</f>
        <v>NOCTURNO</v>
      </c>
      <c r="E574" s="26" t="str">
        <f>"AVENIDA NUEVO LEON NO 178                                                       "</f>
        <v xml:space="preserve">AVENIDA NUEVO LEON NO 178                                                       </v>
      </c>
      <c r="F574" s="26" t="str">
        <f>"HIPODROMO DE LA CONDESA                                                                                                                     "</f>
        <v xml:space="preserve">HIPODROMO DE LA CONDESA                                                                                                                     </v>
      </c>
      <c r="G574" s="26" t="str">
        <f>"CUAUHTEMOC                                                                      "</f>
        <v xml:space="preserve">CUAUHTEMOC                                                                      </v>
      </c>
      <c r="H574" s="26" t="str">
        <f>"085"</f>
        <v>085</v>
      </c>
      <c r="I574" s="26" t="str">
        <f t="shared" si="99"/>
        <v>00</v>
      </c>
      <c r="J574" s="26" t="str">
        <f>"71 "</f>
        <v xml:space="preserve">71 </v>
      </c>
      <c r="K574" s="26" t="str">
        <f t="shared" si="108"/>
        <v>SG</v>
      </c>
      <c r="L574" s="26" t="str">
        <f t="shared" si="109"/>
        <v>DGOSE</v>
      </c>
      <c r="M574" s="26" t="str">
        <f t="shared" si="98"/>
        <v>FEDERAL</v>
      </c>
      <c r="N574" s="26">
        <v>48</v>
      </c>
      <c r="O574" s="26">
        <v>26</v>
      </c>
      <c r="P574" s="26">
        <v>22</v>
      </c>
      <c r="Q574" s="26">
        <v>3</v>
      </c>
      <c r="R574" s="26">
        <v>2</v>
      </c>
      <c r="S574" s="26">
        <v>9</v>
      </c>
      <c r="T574" s="26">
        <v>11</v>
      </c>
      <c r="U574" s="26">
        <v>22</v>
      </c>
      <c r="V574" s="26">
        <v>1</v>
      </c>
      <c r="W574" s="26"/>
    </row>
    <row r="575" spans="1:23" x14ac:dyDescent="0.25">
      <c r="A575" s="26" t="str">
        <f t="shared" si="97"/>
        <v>SECUNDARIA</v>
      </c>
      <c r="B575" s="26" t="str">
        <f>"09DSN0054T"</f>
        <v>09DSN0054T</v>
      </c>
      <c r="C575" s="26" t="str">
        <f>"BICENTENARIO DE LA INDEPENDENCIA                                                                    "</f>
        <v xml:space="preserve">BICENTENARIO DE LA INDEPENDENCIA                                                                    </v>
      </c>
      <c r="D575" s="26" t="str">
        <f>"JORNADA AMPLIADA"</f>
        <v>JORNADA AMPLIADA</v>
      </c>
      <c r="E575" s="26" t="str">
        <f>"JUAREZ NUM 38                                                                   "</f>
        <v xml:space="preserve">JUAREZ NUM 38                                                                   </v>
      </c>
      <c r="F575" s="26" t="str">
        <f>"TIZAPAN                                                                                                                                     "</f>
        <v xml:space="preserve">TIZAPAN                                                                                                                                     </v>
      </c>
      <c r="G575" s="26" t="str">
        <f>"ALVARO OBREGON                                                                  "</f>
        <v xml:space="preserve">ALVARO OBREGON                                                                  </v>
      </c>
      <c r="H575" s="26" t="str">
        <f>"094"</f>
        <v>094</v>
      </c>
      <c r="I575" s="26" t="str">
        <f t="shared" si="99"/>
        <v>00</v>
      </c>
      <c r="J575" s="26" t="str">
        <f>"73 "</f>
        <v xml:space="preserve">73 </v>
      </c>
      <c r="K575" s="26" t="str">
        <f t="shared" si="108"/>
        <v>SG</v>
      </c>
      <c r="L575" s="26" t="str">
        <f t="shared" si="109"/>
        <v>DGOSE</v>
      </c>
      <c r="M575" s="26" t="str">
        <f t="shared" si="98"/>
        <v>FEDERAL</v>
      </c>
      <c r="N575" s="26">
        <v>273</v>
      </c>
      <c r="O575" s="26">
        <v>157</v>
      </c>
      <c r="P575" s="26">
        <v>116</v>
      </c>
      <c r="Q575" s="26">
        <v>9</v>
      </c>
      <c r="R575" s="26">
        <v>2</v>
      </c>
      <c r="S575" s="26">
        <v>23</v>
      </c>
      <c r="T575" s="26">
        <v>12</v>
      </c>
      <c r="U575" s="26">
        <v>37</v>
      </c>
      <c r="V575" s="26">
        <v>1</v>
      </c>
      <c r="W575" s="26" t="s">
        <v>2076</v>
      </c>
    </row>
    <row r="576" spans="1:23" x14ac:dyDescent="0.25">
      <c r="A576" s="26" t="str">
        <f t="shared" si="97"/>
        <v>SECUNDARIA</v>
      </c>
      <c r="B576" s="26" t="str">
        <f>"09DSN0055S"</f>
        <v>09DSN0055S</v>
      </c>
      <c r="C576" s="26" t="str">
        <f>"PROVENIENTE DE AZTLAN                                                                               "</f>
        <v xml:space="preserve">PROVENIENTE DE AZTLAN                                                                               </v>
      </c>
      <c r="D576" s="26" t="str">
        <f t="shared" ref="D576:D583" si="110">"NOCTURNO"</f>
        <v>NOCTURNO</v>
      </c>
      <c r="E576" s="26" t="str">
        <f>"JUAREZ NUM 38                                                                   "</f>
        <v xml:space="preserve">JUAREZ NUM 38                                                                   </v>
      </c>
      <c r="F576" s="26" t="str">
        <f>"TIZAPAN                                                                                                                                     "</f>
        <v xml:space="preserve">TIZAPAN                                                                                                                                     </v>
      </c>
      <c r="G576" s="26" t="str">
        <f>"ALVARO OBREGON                                                                  "</f>
        <v xml:space="preserve">ALVARO OBREGON                                                                  </v>
      </c>
      <c r="H576" s="26" t="str">
        <f>"094"</f>
        <v>094</v>
      </c>
      <c r="I576" s="26" t="str">
        <f t="shared" si="99"/>
        <v>00</v>
      </c>
      <c r="J576" s="26" t="str">
        <f>"73 "</f>
        <v xml:space="preserve">73 </v>
      </c>
      <c r="K576" s="26" t="str">
        <f t="shared" si="108"/>
        <v>SG</v>
      </c>
      <c r="L576" s="26" t="str">
        <f t="shared" si="109"/>
        <v>DGOSE</v>
      </c>
      <c r="M576" s="26" t="str">
        <f t="shared" si="98"/>
        <v>FEDERAL</v>
      </c>
      <c r="N576" s="26">
        <v>63</v>
      </c>
      <c r="O576" s="26">
        <v>46</v>
      </c>
      <c r="P576" s="26">
        <v>17</v>
      </c>
      <c r="Q576" s="26">
        <v>3</v>
      </c>
      <c r="R576" s="26">
        <v>1</v>
      </c>
      <c r="S576" s="26">
        <v>9</v>
      </c>
      <c r="T576" s="26">
        <v>10</v>
      </c>
      <c r="U576" s="26">
        <v>20</v>
      </c>
      <c r="V576" s="26">
        <v>1</v>
      </c>
      <c r="W576" s="26"/>
    </row>
    <row r="577" spans="1:23" x14ac:dyDescent="0.25">
      <c r="A577" s="26" t="str">
        <f t="shared" si="97"/>
        <v>SECUNDARIA</v>
      </c>
      <c r="B577" s="26" t="str">
        <f>"09DSN0056R"</f>
        <v>09DSN0056R</v>
      </c>
      <c r="C577" s="26" t="str">
        <f>"FRANCISCO JOSE MUJICA VELAZQUEZ                                                                     "</f>
        <v xml:space="preserve">FRANCISCO JOSE MUJICA VELAZQUEZ                                                                     </v>
      </c>
      <c r="D577" s="26" t="str">
        <f t="shared" si="110"/>
        <v>NOCTURNO</v>
      </c>
      <c r="E577" s="26" t="str">
        <f>"VENUSTIANO CARRANZA 121                                                         "</f>
        <v xml:space="preserve">VENUSTIANO CARRANZA 121                                                         </v>
      </c>
      <c r="F577" s="26" t="str">
        <f>"CUAUTEPEC DE MADERO                                                                                                                         "</f>
        <v xml:space="preserve">CUAUTEPEC DE MADERO                                                                                                                         </v>
      </c>
      <c r="G577" s="26" t="str">
        <f>"GUSTAVO A. MADERO                                                               "</f>
        <v xml:space="preserve">GUSTAVO A. MADERO                                                               </v>
      </c>
      <c r="H577" s="26" t="str">
        <f>"088"</f>
        <v>088</v>
      </c>
      <c r="I577" s="26" t="str">
        <f t="shared" si="99"/>
        <v>00</v>
      </c>
      <c r="J577" s="26" t="str">
        <f>"72 "</f>
        <v xml:space="preserve">72 </v>
      </c>
      <c r="K577" s="26" t="str">
        <f t="shared" si="108"/>
        <v>SG</v>
      </c>
      <c r="L577" s="26" t="str">
        <f t="shared" si="109"/>
        <v>DGOSE</v>
      </c>
      <c r="M577" s="26" t="str">
        <f t="shared" si="98"/>
        <v>FEDERAL</v>
      </c>
      <c r="N577" s="26">
        <v>152</v>
      </c>
      <c r="O577" s="26">
        <v>96</v>
      </c>
      <c r="P577" s="26">
        <v>56</v>
      </c>
      <c r="Q577" s="26">
        <v>8</v>
      </c>
      <c r="R577" s="26">
        <v>1</v>
      </c>
      <c r="S577" s="26">
        <v>16</v>
      </c>
      <c r="T577" s="26">
        <v>10</v>
      </c>
      <c r="U577" s="26">
        <v>27</v>
      </c>
      <c r="V577" s="26">
        <v>1</v>
      </c>
      <c r="W577" s="26"/>
    </row>
    <row r="578" spans="1:23" x14ac:dyDescent="0.25">
      <c r="A578" s="26" t="str">
        <f t="shared" ref="A578:A641" si="111">"SECUNDARIA"</f>
        <v>SECUNDARIA</v>
      </c>
      <c r="B578" s="26" t="str">
        <f>"09DSN0057Q"</f>
        <v>09DSN0057Q</v>
      </c>
      <c r="C578" s="26" t="str">
        <f>"VITO ALESSIO ROBLES                                                                                 "</f>
        <v xml:space="preserve">VITO ALESSIO ROBLES                                                                                 </v>
      </c>
      <c r="D578" s="26" t="str">
        <f t="shared" si="110"/>
        <v>NOCTURNO</v>
      </c>
      <c r="E578" s="26" t="str">
        <f>"OBREGON Y ALUMNOS S/N                                                           "</f>
        <v xml:space="preserve">OBREGON Y ALUMNOS S/N                                                           </v>
      </c>
      <c r="F578" s="26" t="str">
        <f>"SAN BERNABE OCOTEPEC                                                                                                                        "</f>
        <v xml:space="preserve">SAN BERNABE OCOTEPEC                                                                                                                        </v>
      </c>
      <c r="G578" s="26" t="str">
        <f>"LA MAGDALENA CONTRERAS                                                          "</f>
        <v xml:space="preserve">LA MAGDALENA CONTRERAS                                                          </v>
      </c>
      <c r="H578" s="26" t="str">
        <f>"094"</f>
        <v>094</v>
      </c>
      <c r="I578" s="26" t="str">
        <f t="shared" si="99"/>
        <v>00</v>
      </c>
      <c r="J578" s="26" t="str">
        <f>"73 "</f>
        <v xml:space="preserve">73 </v>
      </c>
      <c r="K578" s="26" t="str">
        <f t="shared" si="108"/>
        <v>SG</v>
      </c>
      <c r="L578" s="26" t="str">
        <f t="shared" si="109"/>
        <v>DGOSE</v>
      </c>
      <c r="M578" s="26" t="str">
        <f t="shared" ref="M578:M641" si="112">"FEDERAL"</f>
        <v>FEDERAL</v>
      </c>
      <c r="N578" s="26">
        <v>154</v>
      </c>
      <c r="O578" s="26">
        <v>93</v>
      </c>
      <c r="P578" s="26">
        <v>61</v>
      </c>
      <c r="Q578" s="26">
        <v>9</v>
      </c>
      <c r="R578" s="26">
        <v>2</v>
      </c>
      <c r="S578" s="26">
        <v>14</v>
      </c>
      <c r="T578" s="26">
        <v>11</v>
      </c>
      <c r="U578" s="26">
        <v>27</v>
      </c>
      <c r="V578" s="26">
        <v>1</v>
      </c>
      <c r="W578" s="26"/>
    </row>
    <row r="579" spans="1:23" x14ac:dyDescent="0.25">
      <c r="A579" s="26" t="str">
        <f t="shared" si="111"/>
        <v>SECUNDARIA</v>
      </c>
      <c r="B579" s="26" t="str">
        <f>"09DSN0059O"</f>
        <v>09DSN0059O</v>
      </c>
      <c r="C579" s="26" t="str">
        <f>"ENRIQUE CONRADO REBSAMEN                                                                            "</f>
        <v xml:space="preserve">ENRIQUE CONRADO REBSAMEN                                                                            </v>
      </c>
      <c r="D579" s="26" t="str">
        <f t="shared" si="110"/>
        <v>NOCTURNO</v>
      </c>
      <c r="E579" s="26" t="str">
        <f>"ROSA CHINA Y ALTA TENSION                                                       "</f>
        <v xml:space="preserve">ROSA CHINA Y ALTA TENSION                                                       </v>
      </c>
      <c r="F579" s="26" t="str">
        <f>"MOLINO DE ROSAS                                                                                                                             "</f>
        <v xml:space="preserve">MOLINO DE ROSAS                                                                                                                             </v>
      </c>
      <c r="G579" s="26" t="str">
        <f>"ALVARO OBREGON                                                                  "</f>
        <v xml:space="preserve">ALVARO OBREGON                                                                  </v>
      </c>
      <c r="H579" s="26" t="str">
        <f>"094"</f>
        <v>094</v>
      </c>
      <c r="I579" s="26" t="str">
        <f t="shared" si="99"/>
        <v>00</v>
      </c>
      <c r="J579" s="26" t="str">
        <f>"73 "</f>
        <v xml:space="preserve">73 </v>
      </c>
      <c r="K579" s="26" t="str">
        <f t="shared" si="108"/>
        <v>SG</v>
      </c>
      <c r="L579" s="26" t="str">
        <f t="shared" si="109"/>
        <v>DGOSE</v>
      </c>
      <c r="M579" s="26" t="str">
        <f t="shared" si="112"/>
        <v>FEDERAL</v>
      </c>
      <c r="N579" s="26">
        <v>78</v>
      </c>
      <c r="O579" s="26">
        <v>52</v>
      </c>
      <c r="P579" s="26">
        <v>26</v>
      </c>
      <c r="Q579" s="26">
        <v>5</v>
      </c>
      <c r="R579" s="26">
        <v>2</v>
      </c>
      <c r="S579" s="26">
        <v>17</v>
      </c>
      <c r="T579" s="26">
        <v>7</v>
      </c>
      <c r="U579" s="26">
        <v>26</v>
      </c>
      <c r="V579" s="26">
        <v>1</v>
      </c>
      <c r="W579" s="26"/>
    </row>
    <row r="580" spans="1:23" x14ac:dyDescent="0.25">
      <c r="A580" s="26" t="str">
        <f t="shared" si="111"/>
        <v>SECUNDARIA</v>
      </c>
      <c r="B580" s="26" t="str">
        <f>"09DSN0060D"</f>
        <v>09DSN0060D</v>
      </c>
      <c r="C580" s="26" t="str">
        <f>"JUAN RULFO                                                                                          "</f>
        <v xml:space="preserve">JUAN RULFO                                                                                          </v>
      </c>
      <c r="D580" s="26" t="str">
        <f t="shared" si="110"/>
        <v>NOCTURNO</v>
      </c>
      <c r="E580" s="26" t="str">
        <f>"ENRIQUE AÑORVE NUM 50                                                           "</f>
        <v xml:space="preserve">ENRIQUE AÑORVE NUM 50                                                           </v>
      </c>
      <c r="F580" s="26" t="str">
        <f>"SAN PEDRO XALPA                                                                                                                             "</f>
        <v xml:space="preserve">SAN PEDRO XALPA                                                                                                                             </v>
      </c>
      <c r="G580" s="26" t="str">
        <f>"AZCAPOTZALCO                                                                    "</f>
        <v xml:space="preserve">AZCAPOTZALCO                                                                    </v>
      </c>
      <c r="H580" s="26" t="str">
        <f>"082"</f>
        <v>082</v>
      </c>
      <c r="I580" s="26" t="str">
        <f t="shared" si="99"/>
        <v>00</v>
      </c>
      <c r="J580" s="26" t="str">
        <f>"71 "</f>
        <v xml:space="preserve">71 </v>
      </c>
      <c r="K580" s="26" t="str">
        <f t="shared" si="108"/>
        <v>SG</v>
      </c>
      <c r="L580" s="26" t="str">
        <f t="shared" si="109"/>
        <v>DGOSE</v>
      </c>
      <c r="M580" s="26" t="str">
        <f t="shared" si="112"/>
        <v>FEDERAL</v>
      </c>
      <c r="N580" s="26">
        <v>69</v>
      </c>
      <c r="O580" s="26">
        <v>44</v>
      </c>
      <c r="P580" s="26">
        <v>25</v>
      </c>
      <c r="Q580" s="26">
        <v>3</v>
      </c>
      <c r="R580" s="26">
        <v>1</v>
      </c>
      <c r="S580" s="26">
        <v>9</v>
      </c>
      <c r="T580" s="26">
        <v>8</v>
      </c>
      <c r="U580" s="26">
        <v>18</v>
      </c>
      <c r="V580" s="26">
        <v>1</v>
      </c>
      <c r="W580" s="26"/>
    </row>
    <row r="581" spans="1:23" x14ac:dyDescent="0.25">
      <c r="A581" s="26" t="str">
        <f t="shared" si="111"/>
        <v>SECUNDARIA</v>
      </c>
      <c r="B581" s="26" t="str">
        <f>"09DSN0061C"</f>
        <v>09DSN0061C</v>
      </c>
      <c r="C581" s="26" t="str">
        <f>"LUIS ENRIQUE ERRO                                                                                   "</f>
        <v xml:space="preserve">LUIS ENRIQUE ERRO                                                                                   </v>
      </c>
      <c r="D581" s="26" t="str">
        <f t="shared" si="110"/>
        <v>NOCTURNO</v>
      </c>
      <c r="E581" s="26" t="str">
        <f>"CALLE 300 Y 309 Y AV 298-A                                                      "</f>
        <v xml:space="preserve">CALLE 300 Y 309 Y AV 298-A                                                      </v>
      </c>
      <c r="F581" s="26" t="str">
        <f>"UNIDAD HABITACIONAL EL COYOL                                                                                                                "</f>
        <v xml:space="preserve">UNIDAD HABITACIONAL EL COYOL                                                                                                                </v>
      </c>
      <c r="G581" s="26" t="str">
        <f>"GUSTAVO A. MADERO                                                               "</f>
        <v xml:space="preserve">GUSTAVO A. MADERO                                                               </v>
      </c>
      <c r="H581" s="26" t="str">
        <f>"089"</f>
        <v>089</v>
      </c>
      <c r="I581" s="26" t="str">
        <f t="shared" si="99"/>
        <v>00</v>
      </c>
      <c r="J581" s="26" t="str">
        <f>"72 "</f>
        <v xml:space="preserve">72 </v>
      </c>
      <c r="K581" s="26" t="str">
        <f t="shared" si="108"/>
        <v>SG</v>
      </c>
      <c r="L581" s="26" t="str">
        <f t="shared" si="109"/>
        <v>DGOSE</v>
      </c>
      <c r="M581" s="26" t="str">
        <f t="shared" si="112"/>
        <v>FEDERAL</v>
      </c>
      <c r="N581" s="26">
        <v>69</v>
      </c>
      <c r="O581" s="26">
        <v>42</v>
      </c>
      <c r="P581" s="26">
        <v>27</v>
      </c>
      <c r="Q581" s="26">
        <v>3</v>
      </c>
      <c r="R581" s="26">
        <v>2</v>
      </c>
      <c r="S581" s="26">
        <v>8</v>
      </c>
      <c r="T581" s="26">
        <v>6</v>
      </c>
      <c r="U581" s="26">
        <v>16</v>
      </c>
      <c r="V581" s="26">
        <v>1</v>
      </c>
      <c r="W581" s="26"/>
    </row>
    <row r="582" spans="1:23" x14ac:dyDescent="0.25">
      <c r="A582" s="26" t="str">
        <f t="shared" si="111"/>
        <v>SECUNDARIA</v>
      </c>
      <c r="B582" s="26" t="str">
        <f>"09DSN0062B"</f>
        <v>09DSN0062B</v>
      </c>
      <c r="C582" s="26" t="str">
        <f>"JOSE MURO MENDEZ                                                                                    "</f>
        <v xml:space="preserve">JOSE MURO MENDEZ                                                                                    </v>
      </c>
      <c r="D582" s="26" t="str">
        <f t="shared" si="110"/>
        <v>NOCTURNO</v>
      </c>
      <c r="E582" s="26" t="str">
        <f>"AV. UNIVERSIDAD S/N                                                             "</f>
        <v xml:space="preserve">AV. UNIVERSIDAD S/N                                                             </v>
      </c>
      <c r="F582" s="26" t="str">
        <f>"UNIDAD HABITACIONAL EJERCITO CONSTI                                                                                                         "</f>
        <v xml:space="preserve">UNIDAD HABITACIONAL EJERCITO CONSTI                                                                                                         </v>
      </c>
      <c r="G582" s="26" t="str">
        <f>"IZTAPALAPA                                                                      "</f>
        <v xml:space="preserve">IZTAPALAPA                                                                      </v>
      </c>
      <c r="H582" s="26" t="str">
        <f>"008"</f>
        <v>008</v>
      </c>
      <c r="I582" s="26" t="str">
        <f t="shared" si="99"/>
        <v>00</v>
      </c>
      <c r="J582" s="26" t="str">
        <f>"62 "</f>
        <v xml:space="preserve">62 </v>
      </c>
      <c r="K582" s="26" t="str">
        <f>"IZ"</f>
        <v>IZ</v>
      </c>
      <c r="L582" s="26" t="str">
        <f>"DGSEI"</f>
        <v>DGSEI</v>
      </c>
      <c r="M582" s="26" t="str">
        <f t="shared" si="112"/>
        <v>FEDERAL</v>
      </c>
      <c r="N582" s="26">
        <v>80</v>
      </c>
      <c r="O582" s="26">
        <v>52</v>
      </c>
      <c r="P582" s="26">
        <v>28</v>
      </c>
      <c r="Q582" s="26">
        <v>5</v>
      </c>
      <c r="R582" s="26">
        <v>2</v>
      </c>
      <c r="S582" s="26">
        <v>15</v>
      </c>
      <c r="T582" s="26">
        <v>17</v>
      </c>
      <c r="U582" s="26">
        <v>34</v>
      </c>
      <c r="V582" s="26">
        <v>1</v>
      </c>
      <c r="W582" s="26"/>
    </row>
    <row r="583" spans="1:23" x14ac:dyDescent="0.25">
      <c r="A583" s="26" t="str">
        <f t="shared" si="111"/>
        <v>SECUNDARIA</v>
      </c>
      <c r="B583" s="26" t="str">
        <f>"09DSN0063A"</f>
        <v>09DSN0063A</v>
      </c>
      <c r="C583" s="26" t="str">
        <f>"PROFRA. DOLORES CASTARRICA ALBARRAN                                                                 "</f>
        <v xml:space="preserve">PROFRA. DOLORES CASTARRICA ALBARRAN                                                                 </v>
      </c>
      <c r="D583" s="26" t="str">
        <f t="shared" si="110"/>
        <v>NOCTURNO</v>
      </c>
      <c r="E583" s="26" t="str">
        <f>"CERRADA DE MINA S/N                                                             "</f>
        <v xml:space="preserve">CERRADA DE MINA S/N                                                             </v>
      </c>
      <c r="F583" s="26" t="str">
        <f>"SAN MATEO TLALTENANGO                                                                                                                       "</f>
        <v xml:space="preserve">SAN MATEO TLALTENANGO                                                                                                                       </v>
      </c>
      <c r="G583" s="26" t="str">
        <f>"CUAJIMALPA DE MORELOS                                                           "</f>
        <v xml:space="preserve">CUAJIMALPA DE MORELOS                                                           </v>
      </c>
      <c r="H583" s="26" t="str">
        <f>"094"</f>
        <v>094</v>
      </c>
      <c r="I583" s="26" t="str">
        <f t="shared" ref="I583:I646" si="113">"00"</f>
        <v>00</v>
      </c>
      <c r="J583" s="26" t="str">
        <f>"73 "</f>
        <v xml:space="preserve">73 </v>
      </c>
      <c r="K583" s="26" t="str">
        <f>"SG"</f>
        <v>SG</v>
      </c>
      <c r="L583" s="26" t="str">
        <f>"DGOSE"</f>
        <v>DGOSE</v>
      </c>
      <c r="M583" s="26" t="str">
        <f t="shared" si="112"/>
        <v>FEDERAL</v>
      </c>
      <c r="N583" s="26">
        <v>181</v>
      </c>
      <c r="O583" s="26">
        <v>97</v>
      </c>
      <c r="P583" s="26">
        <v>84</v>
      </c>
      <c r="Q583" s="26">
        <v>9</v>
      </c>
      <c r="R583" s="26">
        <v>2</v>
      </c>
      <c r="S583" s="26">
        <v>16</v>
      </c>
      <c r="T583" s="26">
        <v>7</v>
      </c>
      <c r="U583" s="26">
        <v>25</v>
      </c>
      <c r="V583" s="26">
        <v>1</v>
      </c>
      <c r="W583" s="26"/>
    </row>
    <row r="584" spans="1:23" x14ac:dyDescent="0.25">
      <c r="A584" s="26" t="str">
        <f t="shared" si="111"/>
        <v>SECUNDARIA</v>
      </c>
      <c r="B584" s="26" t="str">
        <f>"09DSN0064Z"</f>
        <v>09DSN0064Z</v>
      </c>
      <c r="C584" s="26" t="str">
        <f>"FELIPE ALEJANDRO NAVA GARCIA                                                                        "</f>
        <v xml:space="preserve">FELIPE ALEJANDRO NAVA GARCIA                                                                        </v>
      </c>
      <c r="D584" s="26" t="str">
        <f>"MATUTINO"</f>
        <v>MATUTINO</v>
      </c>
      <c r="E584" s="26" t="str">
        <f>"CERRADA DE MINA S/N                                                             "</f>
        <v xml:space="preserve">CERRADA DE MINA S/N                                                             </v>
      </c>
      <c r="F584" s="26" t="str">
        <f>"SAN MATEO TLALTENANGO                                                                                                                       "</f>
        <v xml:space="preserve">SAN MATEO TLALTENANGO                                                                                                                       </v>
      </c>
      <c r="G584" s="26" t="str">
        <f>"CUAJIMALPA DE MORELOS                                                           "</f>
        <v xml:space="preserve">CUAJIMALPA DE MORELOS                                                           </v>
      </c>
      <c r="H584" s="26" t="str">
        <f>"094"</f>
        <v>094</v>
      </c>
      <c r="I584" s="26" t="str">
        <f t="shared" si="113"/>
        <v>00</v>
      </c>
      <c r="J584" s="26" t="str">
        <f>"73 "</f>
        <v xml:space="preserve">73 </v>
      </c>
      <c r="K584" s="26" t="str">
        <f>"SG"</f>
        <v>SG</v>
      </c>
      <c r="L584" s="26" t="str">
        <f>"DGOSE"</f>
        <v>DGOSE</v>
      </c>
      <c r="M584" s="26" t="str">
        <f t="shared" si="112"/>
        <v>FEDERAL</v>
      </c>
      <c r="N584" s="26">
        <v>348</v>
      </c>
      <c r="O584" s="26">
        <v>186</v>
      </c>
      <c r="P584" s="26">
        <v>162</v>
      </c>
      <c r="Q584" s="26">
        <v>9</v>
      </c>
      <c r="R584" s="26">
        <v>2</v>
      </c>
      <c r="S584" s="26">
        <v>14</v>
      </c>
      <c r="T584" s="26">
        <v>13</v>
      </c>
      <c r="U584" s="26">
        <v>29</v>
      </c>
      <c r="V584" s="26">
        <v>1</v>
      </c>
      <c r="W584" s="26"/>
    </row>
    <row r="585" spans="1:23" x14ac:dyDescent="0.25">
      <c r="A585" s="26" t="str">
        <f t="shared" si="111"/>
        <v>SECUNDARIA</v>
      </c>
      <c r="B585" s="26" t="str">
        <f>"09DSN0065Z"</f>
        <v>09DSN0065Z</v>
      </c>
      <c r="C585" s="26" t="str">
        <f>"MANUEL SANDOVAL VALLARTA                                                                            "</f>
        <v xml:space="preserve">MANUEL SANDOVAL VALLARTA                                                                            </v>
      </c>
      <c r="D585" s="26" t="str">
        <f>"NOCTURNO"</f>
        <v>NOCTURNO</v>
      </c>
      <c r="E585" s="26" t="str">
        <f>"AV MORELOS NUM 639 Y FERNANDO IGLESIAS                                          "</f>
        <v xml:space="preserve">AV MORELOS NUM 639 Y FERNANDO IGLESIAS                                          </v>
      </c>
      <c r="F585" s="26" t="str">
        <f>"MAGDALENA MIXHUCA                                                                                                                           "</f>
        <v xml:space="preserve">MAGDALENA MIXHUCA                                                                                                                           </v>
      </c>
      <c r="G585" s="26" t="str">
        <f>"VENUSTIANO CARRANZA                                                             "</f>
        <v xml:space="preserve">VENUSTIANO CARRANZA                                                             </v>
      </c>
      <c r="H585" s="26" t="str">
        <f>"091"</f>
        <v>091</v>
      </c>
      <c r="I585" s="26" t="str">
        <f t="shared" si="113"/>
        <v>00</v>
      </c>
      <c r="J585" s="26" t="str">
        <f>"74 "</f>
        <v xml:space="preserve">74 </v>
      </c>
      <c r="K585" s="26" t="str">
        <f>"SG"</f>
        <v>SG</v>
      </c>
      <c r="L585" s="26" t="str">
        <f>"DGOSE"</f>
        <v>DGOSE</v>
      </c>
      <c r="M585" s="26" t="str">
        <f t="shared" si="112"/>
        <v>FEDERAL</v>
      </c>
      <c r="N585" s="26">
        <v>67</v>
      </c>
      <c r="O585" s="26">
        <v>36</v>
      </c>
      <c r="P585" s="26">
        <v>31</v>
      </c>
      <c r="Q585" s="26">
        <v>3</v>
      </c>
      <c r="R585" s="26">
        <v>1</v>
      </c>
      <c r="S585" s="26">
        <v>13</v>
      </c>
      <c r="T585" s="26">
        <v>9</v>
      </c>
      <c r="U585" s="26">
        <v>23</v>
      </c>
      <c r="V585" s="26">
        <v>1</v>
      </c>
      <c r="W585" s="26"/>
    </row>
    <row r="586" spans="1:23" x14ac:dyDescent="0.25">
      <c r="A586" s="26" t="str">
        <f t="shared" si="111"/>
        <v>SECUNDARIA</v>
      </c>
      <c r="B586" s="26" t="str">
        <f>"09DSN0069V"</f>
        <v>09DSN0069V</v>
      </c>
      <c r="C586" s="26" t="str">
        <f>"HEROES NAVALES MEXICANOS                                                                            "</f>
        <v xml:space="preserve">HEROES NAVALES MEXICANOS                                                                            </v>
      </c>
      <c r="D586" s="26" t="str">
        <f>"MATUTINO"</f>
        <v>MATUTINO</v>
      </c>
      <c r="E586" s="26" t="str">
        <f>"ENRIQUE PESTALOZZI NUM 216                                                      "</f>
        <v xml:space="preserve">ENRIQUE PESTALOZZI NUM 216                                                      </v>
      </c>
      <c r="F586" s="26" t="str">
        <f>"NARVARTE                                                                                                                                    "</f>
        <v xml:space="preserve">NARVARTE                                                                                                                                    </v>
      </c>
      <c r="G586" s="26" t="str">
        <f>"BENITO JUAREZ                                                                   "</f>
        <v xml:space="preserve">BENITO JUAREZ                                                                   </v>
      </c>
      <c r="H586" s="26" t="str">
        <f>"086"</f>
        <v>086</v>
      </c>
      <c r="I586" s="26" t="str">
        <f t="shared" si="113"/>
        <v>00</v>
      </c>
      <c r="J586" s="26" t="str">
        <f>"73 "</f>
        <v xml:space="preserve">73 </v>
      </c>
      <c r="K586" s="26" t="str">
        <f>"SG"</f>
        <v>SG</v>
      </c>
      <c r="L586" s="26" t="str">
        <f>"DGOSE"</f>
        <v>DGOSE</v>
      </c>
      <c r="M586" s="26" t="str">
        <f t="shared" si="112"/>
        <v>FEDERAL</v>
      </c>
      <c r="N586" s="26">
        <v>121</v>
      </c>
      <c r="O586" s="26">
        <v>75</v>
      </c>
      <c r="P586" s="26">
        <v>46</v>
      </c>
      <c r="Q586" s="26">
        <v>7</v>
      </c>
      <c r="R586" s="26">
        <v>2</v>
      </c>
      <c r="S586" s="26">
        <v>12</v>
      </c>
      <c r="T586" s="26">
        <v>13</v>
      </c>
      <c r="U586" s="26">
        <v>27</v>
      </c>
      <c r="V586" s="26">
        <v>1</v>
      </c>
      <c r="W586" s="26"/>
    </row>
    <row r="587" spans="1:23" x14ac:dyDescent="0.25">
      <c r="A587" s="26" t="str">
        <f t="shared" si="111"/>
        <v>SECUNDARIA</v>
      </c>
      <c r="B587" s="26" t="str">
        <f>"09DSN0073H"</f>
        <v>09DSN0073H</v>
      </c>
      <c r="C587" s="26" t="str">
        <f>"ERNEST RUTHERFORD                                                                                   "</f>
        <v xml:space="preserve">ERNEST RUTHERFORD                                                                                   </v>
      </c>
      <c r="D587" s="26" t="str">
        <f>"NOCTURNO"</f>
        <v>NOCTURNO</v>
      </c>
      <c r="E587" s="26" t="str">
        <f>"PLAZA TORRES QUINTERO 40                                                        "</f>
        <v xml:space="preserve">PLAZA TORRES QUINTERO 40                                                        </v>
      </c>
      <c r="F587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587" s="26" t="str">
        <f>"CUAUHTEMOC                                                                      "</f>
        <v xml:space="preserve">CUAUHTEMOC                                                                      </v>
      </c>
      <c r="H587" s="26" t="str">
        <f>"084"</f>
        <v>084</v>
      </c>
      <c r="I587" s="26" t="str">
        <f t="shared" si="113"/>
        <v>00</v>
      </c>
      <c r="J587" s="26" t="str">
        <f>"71 "</f>
        <v xml:space="preserve">71 </v>
      </c>
      <c r="K587" s="26" t="str">
        <f>"SG"</f>
        <v>SG</v>
      </c>
      <c r="L587" s="26" t="str">
        <f>"DGOSE"</f>
        <v>DGOSE</v>
      </c>
      <c r="M587" s="26" t="str">
        <f t="shared" si="112"/>
        <v>FEDERAL</v>
      </c>
      <c r="N587" s="26">
        <v>87</v>
      </c>
      <c r="O587" s="26">
        <v>51</v>
      </c>
      <c r="P587" s="26">
        <v>36</v>
      </c>
      <c r="Q587" s="26">
        <v>5</v>
      </c>
      <c r="R587" s="26">
        <v>1</v>
      </c>
      <c r="S587" s="26">
        <v>11</v>
      </c>
      <c r="T587" s="26">
        <v>18</v>
      </c>
      <c r="U587" s="26">
        <v>30</v>
      </c>
      <c r="V587" s="26">
        <v>1</v>
      </c>
      <c r="W587" s="26"/>
    </row>
    <row r="588" spans="1:23" x14ac:dyDescent="0.25">
      <c r="A588" s="26" t="str">
        <f t="shared" si="111"/>
        <v>SECUNDARIA</v>
      </c>
      <c r="B588" s="26" t="str">
        <f>"09DSN0076E"</f>
        <v>09DSN0076E</v>
      </c>
      <c r="C588" s="26" t="str">
        <f>"MANUEL GAMIO                                                                                        "</f>
        <v xml:space="preserve">MANUEL GAMIO                                                                                        </v>
      </c>
      <c r="D588" s="26" t="str">
        <f>"MATUTINO"</f>
        <v>MATUTINO</v>
      </c>
      <c r="E588" s="26" t="str">
        <f>"CALZ.ERMITA IZTAPALAPA NO.1220                                                  "</f>
        <v xml:space="preserve">CALZ.ERMITA IZTAPALAPA NO.1220                                                  </v>
      </c>
      <c r="F588" s="26" t="str">
        <f>"SAN LUCAS                                                                                                                                   "</f>
        <v xml:space="preserve">SAN LUCAS                                                                                                                                   </v>
      </c>
      <c r="G588" s="26" t="str">
        <f>"IZTAPALAPA                                                                      "</f>
        <v xml:space="preserve">IZTAPALAPA                                                                      </v>
      </c>
      <c r="H588" s="26" t="str">
        <f>"010"</f>
        <v>010</v>
      </c>
      <c r="I588" s="26" t="str">
        <f t="shared" si="113"/>
        <v>00</v>
      </c>
      <c r="J588" s="26" t="str">
        <f>"63 "</f>
        <v xml:space="preserve">63 </v>
      </c>
      <c r="K588" s="26" t="str">
        <f>"IZ"</f>
        <v>IZ</v>
      </c>
      <c r="L588" s="26" t="str">
        <f>"DGSEI"</f>
        <v>DGSEI</v>
      </c>
      <c r="M588" s="26" t="str">
        <f t="shared" si="112"/>
        <v>FEDERAL</v>
      </c>
      <c r="N588" s="26">
        <v>202</v>
      </c>
      <c r="O588" s="26">
        <v>139</v>
      </c>
      <c r="P588" s="26">
        <v>63</v>
      </c>
      <c r="Q588" s="26">
        <v>13</v>
      </c>
      <c r="R588" s="26">
        <v>1</v>
      </c>
      <c r="S588" s="26">
        <v>24</v>
      </c>
      <c r="T588" s="26">
        <v>26</v>
      </c>
      <c r="U588" s="26">
        <v>51</v>
      </c>
      <c r="V588" s="26">
        <v>1</v>
      </c>
      <c r="W588" s="26"/>
    </row>
    <row r="589" spans="1:23" x14ac:dyDescent="0.25">
      <c r="A589" s="26" t="str">
        <f t="shared" si="111"/>
        <v>SECUNDARIA</v>
      </c>
      <c r="B589" s="26" t="str">
        <f>"09DSN0077D"</f>
        <v>09DSN0077D</v>
      </c>
      <c r="C589" s="26" t="str">
        <f>"""CANDELARIO HUIZAR GARCIA""                                                                          "</f>
        <v xml:space="preserve">"CANDELARIO HUIZAR GARCIA"                                                                          </v>
      </c>
      <c r="D589" s="26" t="str">
        <f>"NOCTURNO"</f>
        <v>NOCTURNO</v>
      </c>
      <c r="E589" s="26" t="str">
        <f>"AV VASCO DE QUIROGA NUM 1562                                                    "</f>
        <v xml:space="preserve">AV VASCO DE QUIROGA NUM 1562                                                    </v>
      </c>
      <c r="F589" s="26" t="str">
        <f>"SANTA FE                                                                                                                                    "</f>
        <v xml:space="preserve">SANTA FE                                                                                                                                    </v>
      </c>
      <c r="G589" s="26" t="str">
        <f>"ALVARO OBREGON                                                                  "</f>
        <v xml:space="preserve">ALVARO OBREGON                                                                  </v>
      </c>
      <c r="H589" s="26" t="str">
        <f>"094"</f>
        <v>094</v>
      </c>
      <c r="I589" s="26" t="str">
        <f t="shared" si="113"/>
        <v>00</v>
      </c>
      <c r="J589" s="26" t="str">
        <f>"73 "</f>
        <v xml:space="preserve">73 </v>
      </c>
      <c r="K589" s="26" t="str">
        <f t="shared" ref="K589:K599" si="114">"SG"</f>
        <v>SG</v>
      </c>
      <c r="L589" s="26" t="str">
        <f t="shared" ref="L589:L599" si="115">"DGOSE"</f>
        <v>DGOSE</v>
      </c>
      <c r="M589" s="26" t="str">
        <f t="shared" si="112"/>
        <v>FEDERAL</v>
      </c>
      <c r="N589" s="26">
        <v>130</v>
      </c>
      <c r="O589" s="26">
        <v>68</v>
      </c>
      <c r="P589" s="26">
        <v>62</v>
      </c>
      <c r="Q589" s="26">
        <v>8</v>
      </c>
      <c r="R589" s="26">
        <v>1</v>
      </c>
      <c r="S589" s="26">
        <v>15</v>
      </c>
      <c r="T589" s="26">
        <v>11</v>
      </c>
      <c r="U589" s="26">
        <v>27</v>
      </c>
      <c r="V589" s="26">
        <v>1</v>
      </c>
      <c r="W589" s="26"/>
    </row>
    <row r="590" spans="1:23" x14ac:dyDescent="0.25">
      <c r="A590" s="26" t="str">
        <f t="shared" si="111"/>
        <v>SECUNDARIA</v>
      </c>
      <c r="B590" s="26" t="str">
        <f>"09DSN0080R"</f>
        <v>09DSN0080R</v>
      </c>
      <c r="C590" s="26" t="str">
        <f>"""NICOLAS BRAVO""                                                                                     "</f>
        <v xml:space="preserve">"NICOLAS BRAVO"                                                                                     </v>
      </c>
      <c r="D590" s="26" t="str">
        <f>"VESPERTINO"</f>
        <v>VESPERTINO</v>
      </c>
      <c r="E590" s="26" t="str">
        <f>"ISIDRO TAPIA Y MATIAS ENRIQUEZ S/N                                              "</f>
        <v xml:space="preserve">ISIDRO TAPIA Y MATIAS ENRIQUEZ S/N                                              </v>
      </c>
      <c r="F590" s="26" t="str">
        <f>"SAN SEBASTIAN                                                                                                                               "</f>
        <v xml:space="preserve">SAN SEBASTIAN                                                                                                                               </v>
      </c>
      <c r="G590" s="26" t="str">
        <f>"XOCHIMILCO                                                                      "</f>
        <v xml:space="preserve">XOCHIMILCO                                                                      </v>
      </c>
      <c r="H590" s="26" t="str">
        <f>"093"</f>
        <v>093</v>
      </c>
      <c r="I590" s="26" t="str">
        <f t="shared" si="113"/>
        <v>00</v>
      </c>
      <c r="J590" s="26" t="str">
        <f>"75 "</f>
        <v xml:space="preserve">75 </v>
      </c>
      <c r="K590" s="26" t="str">
        <f t="shared" si="114"/>
        <v>SG</v>
      </c>
      <c r="L590" s="26" t="str">
        <f t="shared" si="115"/>
        <v>DGOSE</v>
      </c>
      <c r="M590" s="26" t="str">
        <f t="shared" si="112"/>
        <v>FEDERAL</v>
      </c>
      <c r="N590" s="26">
        <v>235</v>
      </c>
      <c r="O590" s="26">
        <v>122</v>
      </c>
      <c r="P590" s="26">
        <v>113</v>
      </c>
      <c r="Q590" s="26">
        <v>9</v>
      </c>
      <c r="R590" s="26">
        <v>2</v>
      </c>
      <c r="S590" s="26">
        <v>19</v>
      </c>
      <c r="T590" s="26">
        <v>17</v>
      </c>
      <c r="U590" s="26">
        <v>38</v>
      </c>
      <c r="V590" s="26">
        <v>1</v>
      </c>
      <c r="W590" s="26"/>
    </row>
    <row r="591" spans="1:23" x14ac:dyDescent="0.25">
      <c r="A591" s="26" t="str">
        <f t="shared" si="111"/>
        <v>SECUNDARIA</v>
      </c>
      <c r="B591" s="26" t="str">
        <f>"09DSN0081Q"</f>
        <v>09DSN0081Q</v>
      </c>
      <c r="C591" s="26" t="str">
        <f>"XOLOTL                                                                                              "</f>
        <v xml:space="preserve">XOLOTL                                                                                              </v>
      </c>
      <c r="D591" s="26" t="str">
        <f>"JORNADA AMPLIADA"</f>
        <v>JORNADA AMPLIADA</v>
      </c>
      <c r="E591" s="26" t="str">
        <f>"PLAZA JUAREZ S/N                                                                "</f>
        <v xml:space="preserve">PLAZA JUAREZ S/N                                                                </v>
      </c>
      <c r="F591" s="26" t="str">
        <f>"PANCHIMALCO ATOCPAN BARRIO                                                                                                                  "</f>
        <v xml:space="preserve">PANCHIMALCO ATOCPAN BARRIO                                                                                                                  </v>
      </c>
      <c r="G591" s="26" t="str">
        <f>"MILPA ALTA                                                                      "</f>
        <v xml:space="preserve">MILPA ALTA                                                                      </v>
      </c>
      <c r="H591" s="26" t="str">
        <f>"092"</f>
        <v>092</v>
      </c>
      <c r="I591" s="26" t="str">
        <f t="shared" si="113"/>
        <v>00</v>
      </c>
      <c r="J591" s="26" t="str">
        <f>"75 "</f>
        <v xml:space="preserve">75 </v>
      </c>
      <c r="K591" s="26" t="str">
        <f t="shared" si="114"/>
        <v>SG</v>
      </c>
      <c r="L591" s="26" t="str">
        <f t="shared" si="115"/>
        <v>DGOSE</v>
      </c>
      <c r="M591" s="26" t="str">
        <f t="shared" si="112"/>
        <v>FEDERAL</v>
      </c>
      <c r="N591" s="26">
        <v>265</v>
      </c>
      <c r="O591" s="26">
        <v>122</v>
      </c>
      <c r="P591" s="26">
        <v>143</v>
      </c>
      <c r="Q591" s="26">
        <v>9</v>
      </c>
      <c r="R591" s="26">
        <v>2</v>
      </c>
      <c r="S591" s="26">
        <v>21</v>
      </c>
      <c r="T591" s="26">
        <v>13</v>
      </c>
      <c r="U591" s="26">
        <v>36</v>
      </c>
      <c r="V591" s="26">
        <v>1</v>
      </c>
      <c r="W591" s="26" t="s">
        <v>2076</v>
      </c>
    </row>
    <row r="592" spans="1:23" x14ac:dyDescent="0.25">
      <c r="A592" s="26" t="str">
        <f t="shared" si="111"/>
        <v>SECUNDARIA</v>
      </c>
      <c r="B592" s="26" t="str">
        <f>"09DSN0082P"</f>
        <v>09DSN0082P</v>
      </c>
      <c r="C592" s="26" t="str">
        <f>"ALTEPECALLI                                                                                         "</f>
        <v xml:space="preserve">ALTEPECALLI                                                                                         </v>
      </c>
      <c r="D592" s="26" t="str">
        <f>"JORNADA AMPLIADA"</f>
        <v>JORNADA AMPLIADA</v>
      </c>
      <c r="E592" s="26" t="str">
        <f>"PROLONGACION MADERO S/N                                                         "</f>
        <v xml:space="preserve">PROLONGACION MADERO S/N                                                         </v>
      </c>
      <c r="F592" s="26" t="str">
        <f>"SANTA ANA TLACOTENCO                                                                                                                        "</f>
        <v xml:space="preserve">SANTA ANA TLACOTENCO                                                                                                                        </v>
      </c>
      <c r="G592" s="26" t="str">
        <f>"MILPA ALTA                                                                      "</f>
        <v xml:space="preserve">MILPA ALTA                                                                      </v>
      </c>
      <c r="H592" s="26" t="str">
        <f>"092"</f>
        <v>092</v>
      </c>
      <c r="I592" s="26" t="str">
        <f t="shared" si="113"/>
        <v>00</v>
      </c>
      <c r="J592" s="26" t="str">
        <f>"75 "</f>
        <v xml:space="preserve">75 </v>
      </c>
      <c r="K592" s="26" t="str">
        <f t="shared" si="114"/>
        <v>SG</v>
      </c>
      <c r="L592" s="26" t="str">
        <f t="shared" si="115"/>
        <v>DGOSE</v>
      </c>
      <c r="M592" s="26" t="str">
        <f t="shared" si="112"/>
        <v>FEDERAL</v>
      </c>
      <c r="N592" s="26">
        <v>647</v>
      </c>
      <c r="O592" s="26">
        <v>327</v>
      </c>
      <c r="P592" s="26">
        <v>320</v>
      </c>
      <c r="Q592" s="26">
        <v>17</v>
      </c>
      <c r="R592" s="26">
        <v>2</v>
      </c>
      <c r="S592" s="26">
        <v>28</v>
      </c>
      <c r="T592" s="26">
        <v>20</v>
      </c>
      <c r="U592" s="26">
        <v>50</v>
      </c>
      <c r="V592" s="26">
        <v>1</v>
      </c>
      <c r="W592" s="26" t="s">
        <v>2076</v>
      </c>
    </row>
    <row r="593" spans="1:23" x14ac:dyDescent="0.25">
      <c r="A593" s="26" t="str">
        <f t="shared" si="111"/>
        <v>SECUNDARIA</v>
      </c>
      <c r="B593" s="26" t="str">
        <f>"09DSN0083O"</f>
        <v>09DSN0083O</v>
      </c>
      <c r="C593" s="26" t="str">
        <f>"JUAN ALVAREZ                                                                                        "</f>
        <v xml:space="preserve">JUAN ALVAREZ                                                                                        </v>
      </c>
      <c r="D593" s="26" t="str">
        <f>"NOCTURNO"</f>
        <v>NOCTURNO</v>
      </c>
      <c r="E593" s="26" t="str">
        <f>"GUSTAVO D O ESQ CON EMILIANO Z                                                  "</f>
        <v xml:space="preserve">GUSTAVO D O ESQ CON EMILIANO Z                                                  </v>
      </c>
      <c r="F593" s="26" t="str">
        <f>"SAN GREGORIO ATLAPULCO                                                                                                                      "</f>
        <v xml:space="preserve">SAN GREGORIO ATLAPULCO                                                                                                                      </v>
      </c>
      <c r="G593" s="26" t="str">
        <f>"XOCHIMILCO                                                                      "</f>
        <v xml:space="preserve">XOCHIMILCO                                                                      </v>
      </c>
      <c r="H593" s="26" t="str">
        <f>"093"</f>
        <v>093</v>
      </c>
      <c r="I593" s="26" t="str">
        <f t="shared" si="113"/>
        <v>00</v>
      </c>
      <c r="J593" s="26" t="str">
        <f>"75 "</f>
        <v xml:space="preserve">75 </v>
      </c>
      <c r="K593" s="26" t="str">
        <f t="shared" si="114"/>
        <v>SG</v>
      </c>
      <c r="L593" s="26" t="str">
        <f t="shared" si="115"/>
        <v>DGOSE</v>
      </c>
      <c r="M593" s="26" t="str">
        <f t="shared" si="112"/>
        <v>FEDERAL</v>
      </c>
      <c r="N593" s="26">
        <v>163</v>
      </c>
      <c r="O593" s="26">
        <v>111</v>
      </c>
      <c r="P593" s="26">
        <v>52</v>
      </c>
      <c r="Q593" s="26">
        <v>7</v>
      </c>
      <c r="R593" s="26">
        <v>1</v>
      </c>
      <c r="S593" s="26">
        <v>13</v>
      </c>
      <c r="T593" s="26">
        <v>16</v>
      </c>
      <c r="U593" s="26">
        <v>30</v>
      </c>
      <c r="V593" s="26">
        <v>1</v>
      </c>
      <c r="W593" s="26"/>
    </row>
    <row r="594" spans="1:23" x14ac:dyDescent="0.25">
      <c r="A594" s="26" t="str">
        <f t="shared" si="111"/>
        <v>SECUNDARIA</v>
      </c>
      <c r="B594" s="26" t="str">
        <f>"09DSN0084N"</f>
        <v>09DSN0084N</v>
      </c>
      <c r="C594" s="26" t="str">
        <f>"JUAN PALOMO MARTINEZ                                                                                "</f>
        <v xml:space="preserve">JUAN PALOMO MARTINEZ                                                                                </v>
      </c>
      <c r="D594" s="26" t="str">
        <f>"VESPERTINO"</f>
        <v>VESPERTINO</v>
      </c>
      <c r="E594" s="26" t="str">
        <f>"EJE 10 SUR S/N ESQ ESTANISLAO RAMIREZ                                           "</f>
        <v xml:space="preserve">EJE 10 SUR S/N ESQ ESTANISLAO RAMIREZ                                           </v>
      </c>
      <c r="F594" s="26" t="str">
        <f>"SELENE AMPLIACION                                                                                                                           "</f>
        <v xml:space="preserve">SELENE AMPLIACION                                                                                                                           </v>
      </c>
      <c r="G594" s="26" t="str">
        <f>"TLAHUAC                                                                         "</f>
        <v xml:space="preserve">TLAHUAC                                                                         </v>
      </c>
      <c r="H594" s="26" t="str">
        <f>"092"</f>
        <v>092</v>
      </c>
      <c r="I594" s="26" t="str">
        <f t="shared" si="113"/>
        <v>00</v>
      </c>
      <c r="J594" s="26" t="str">
        <f>"75 "</f>
        <v xml:space="preserve">75 </v>
      </c>
      <c r="K594" s="26" t="str">
        <f t="shared" si="114"/>
        <v>SG</v>
      </c>
      <c r="L594" s="26" t="str">
        <f t="shared" si="115"/>
        <v>DGOSE</v>
      </c>
      <c r="M594" s="26" t="str">
        <f t="shared" si="112"/>
        <v>FEDERAL</v>
      </c>
      <c r="N594" s="26">
        <v>135</v>
      </c>
      <c r="O594" s="26">
        <v>90</v>
      </c>
      <c r="P594" s="26">
        <v>45</v>
      </c>
      <c r="Q594" s="26">
        <v>8</v>
      </c>
      <c r="R594" s="26">
        <v>1</v>
      </c>
      <c r="S594" s="26">
        <v>18</v>
      </c>
      <c r="T594" s="26">
        <v>17</v>
      </c>
      <c r="U594" s="26">
        <v>36</v>
      </c>
      <c r="V594" s="26">
        <v>1</v>
      </c>
      <c r="W594" s="26"/>
    </row>
    <row r="595" spans="1:23" x14ac:dyDescent="0.25">
      <c r="A595" s="26" t="str">
        <f t="shared" si="111"/>
        <v>SECUNDARIA</v>
      </c>
      <c r="B595" s="26" t="str">
        <f>"09DSN0087K"</f>
        <v>09DSN0087K</v>
      </c>
      <c r="C595" s="26" t="str">
        <f>"PAULO FREIRE                                                                                        "</f>
        <v xml:space="preserve">PAULO FREIRE                                                                                        </v>
      </c>
      <c r="D595" s="26" t="str">
        <f>"NOCTURNO"</f>
        <v>NOCTURNO</v>
      </c>
      <c r="E595" s="26" t="str">
        <f>"NORTE 23-A S/N                                                                  "</f>
        <v xml:space="preserve">NORTE 23-A S/N                                                                  </v>
      </c>
      <c r="F595" s="26" t="str">
        <f>"UNIDAD LINDAVISTA VALLEJO                                                                                                                   "</f>
        <v xml:space="preserve">UNIDAD LINDAVISTA VALLEJO                                                                                                                   </v>
      </c>
      <c r="G595" s="26" t="str">
        <f>"GUSTAVO A. MADERO                                                               "</f>
        <v xml:space="preserve">GUSTAVO A. MADERO                                                               </v>
      </c>
      <c r="H595" s="26" t="str">
        <f>"089"</f>
        <v>089</v>
      </c>
      <c r="I595" s="26" t="str">
        <f t="shared" si="113"/>
        <v>00</v>
      </c>
      <c r="J595" s="26" t="str">
        <f>"72 "</f>
        <v xml:space="preserve">72 </v>
      </c>
      <c r="K595" s="26" t="str">
        <f t="shared" si="114"/>
        <v>SG</v>
      </c>
      <c r="L595" s="26" t="str">
        <f t="shared" si="115"/>
        <v>DGOSE</v>
      </c>
      <c r="M595" s="26" t="str">
        <f t="shared" si="112"/>
        <v>FEDERAL</v>
      </c>
      <c r="N595" s="26">
        <v>23</v>
      </c>
      <c r="O595" s="26">
        <v>18</v>
      </c>
      <c r="P595" s="26">
        <v>5</v>
      </c>
      <c r="Q595" s="26">
        <v>3</v>
      </c>
      <c r="R595" s="26">
        <v>2</v>
      </c>
      <c r="S595" s="26">
        <v>8</v>
      </c>
      <c r="T595" s="26">
        <v>6</v>
      </c>
      <c r="U595" s="26">
        <v>16</v>
      </c>
      <c r="V595" s="26">
        <v>1</v>
      </c>
      <c r="W595" s="26"/>
    </row>
    <row r="596" spans="1:23" x14ac:dyDescent="0.25">
      <c r="A596" s="26" t="str">
        <f t="shared" si="111"/>
        <v>SECUNDARIA</v>
      </c>
      <c r="B596" s="26" t="str">
        <f>"09DSN0089I"</f>
        <v>09DSN0089I</v>
      </c>
      <c r="C596" s="26" t="str">
        <f>"ESTADO DE GUERRERO                                                                                  "</f>
        <v xml:space="preserve">ESTADO DE GUERRERO                                                                                  </v>
      </c>
      <c r="D596" s="26" t="str">
        <f>"MATUTINO"</f>
        <v>MATUTINO</v>
      </c>
      <c r="E596" s="26" t="str">
        <f>"AV HIDALGO Y JOSEFA ORTIZ DE DOMINGUEZ S/N                                      "</f>
        <v xml:space="preserve">AV HIDALGO Y JOSEFA ORTIZ DE DOMINGUEZ S/N                                      </v>
      </c>
      <c r="F596" s="26" t="str">
        <f>"LA GUADALUPITA                                                                                                                              "</f>
        <v xml:space="preserve">LA GUADALUPITA                                                                                                                              </v>
      </c>
      <c r="G596" s="26" t="str">
        <f>"XOCHIMILCO                                                                      "</f>
        <v xml:space="preserve">XOCHIMILCO                                                                      </v>
      </c>
      <c r="H596" s="26" t="str">
        <f>"093"</f>
        <v>093</v>
      </c>
      <c r="I596" s="26" t="str">
        <f t="shared" si="113"/>
        <v>00</v>
      </c>
      <c r="J596" s="26" t="str">
        <f>"75 "</f>
        <v xml:space="preserve">75 </v>
      </c>
      <c r="K596" s="26" t="str">
        <f t="shared" si="114"/>
        <v>SG</v>
      </c>
      <c r="L596" s="26" t="str">
        <f t="shared" si="115"/>
        <v>DGOSE</v>
      </c>
      <c r="M596" s="26" t="str">
        <f t="shared" si="112"/>
        <v>FEDERAL</v>
      </c>
      <c r="N596" s="26">
        <v>458</v>
      </c>
      <c r="O596" s="26">
        <v>259</v>
      </c>
      <c r="P596" s="26">
        <v>199</v>
      </c>
      <c r="Q596" s="26">
        <v>13</v>
      </c>
      <c r="R596" s="26">
        <v>2</v>
      </c>
      <c r="S596" s="26">
        <v>23</v>
      </c>
      <c r="T596" s="26">
        <v>16</v>
      </c>
      <c r="U596" s="26">
        <v>41</v>
      </c>
      <c r="V596" s="26">
        <v>1</v>
      </c>
      <c r="W596" s="26"/>
    </row>
    <row r="597" spans="1:23" x14ac:dyDescent="0.25">
      <c r="A597" s="26" t="str">
        <f t="shared" si="111"/>
        <v>SECUNDARIA</v>
      </c>
      <c r="B597" s="26" t="str">
        <f>"09DSN0090Y"</f>
        <v>09DSN0090Y</v>
      </c>
      <c r="C597" s="26" t="str">
        <f>"SECUNDARIA PARA TRABAJADORES 90                                                                     "</f>
        <v xml:space="preserve">SECUNDARIA PARA TRABAJADORES 90                                                                     </v>
      </c>
      <c r="D597" s="26" t="str">
        <f>"NOCTURNO"</f>
        <v>NOCTURNO</v>
      </c>
      <c r="E597" s="26" t="str">
        <f>"CALZADA DE TLALPAN NUM 2822                                                     "</f>
        <v xml:space="preserve">CALZADA DE TLALPAN NUM 2822                                                     </v>
      </c>
      <c r="F597" s="26" t="str">
        <f>"SAN PABLO TEPETLAPA PUEBLO                                                                                                                  "</f>
        <v xml:space="preserve">SAN PABLO TEPETLAPA PUEBLO                                                                                                                  </v>
      </c>
      <c r="G597" s="26" t="str">
        <f>"COYOACAN                                                                        "</f>
        <v xml:space="preserve">COYOACAN                                                                        </v>
      </c>
      <c r="H597" s="26" t="str">
        <f>"095"</f>
        <v>095</v>
      </c>
      <c r="I597" s="26" t="str">
        <f t="shared" si="113"/>
        <v>00</v>
      </c>
      <c r="J597" s="26" t="str">
        <f>"74 "</f>
        <v xml:space="preserve">74 </v>
      </c>
      <c r="K597" s="26" t="str">
        <f t="shared" si="114"/>
        <v>SG</v>
      </c>
      <c r="L597" s="26" t="str">
        <f t="shared" si="115"/>
        <v>DGOSE</v>
      </c>
      <c r="M597" s="26" t="str">
        <f t="shared" si="112"/>
        <v>FEDERAL</v>
      </c>
      <c r="N597" s="26">
        <v>80</v>
      </c>
      <c r="O597" s="26">
        <v>54</v>
      </c>
      <c r="P597" s="26">
        <v>26</v>
      </c>
      <c r="Q597" s="26">
        <v>3</v>
      </c>
      <c r="R597" s="26">
        <v>2</v>
      </c>
      <c r="S597" s="26">
        <v>10</v>
      </c>
      <c r="T597" s="26">
        <v>12</v>
      </c>
      <c r="U597" s="26">
        <v>24</v>
      </c>
      <c r="V597" s="26">
        <v>1</v>
      </c>
      <c r="W597" s="26"/>
    </row>
    <row r="598" spans="1:23" x14ac:dyDescent="0.25">
      <c r="A598" s="26" t="str">
        <f t="shared" si="111"/>
        <v>SECUNDARIA</v>
      </c>
      <c r="B598" s="26" t="str">
        <f>"09DSN0091X"</f>
        <v>09DSN0091X</v>
      </c>
      <c r="C598" s="26" t="str">
        <f>"AQUILES SERDAN                                                                                      "</f>
        <v xml:space="preserve">AQUILES SERDAN                                                                                      </v>
      </c>
      <c r="D598" s="26" t="str">
        <f>"NOCTURNO"</f>
        <v>NOCTURNO</v>
      </c>
      <c r="E598" s="26" t="str">
        <f>"PASCUAL OROZCO ENT RECREO F I M                                                 "</f>
        <v xml:space="preserve">PASCUAL OROZCO ENT RECREO F I M                                                 </v>
      </c>
      <c r="F598" s="26" t="str">
        <f>"SAN MIGUEL BARRIO                                                                                                                           "</f>
        <v xml:space="preserve">SAN MIGUEL BARRIO                                                                                                                           </v>
      </c>
      <c r="G598" s="26" t="str">
        <f>"IZTACALCO                                                                       "</f>
        <v xml:space="preserve">IZTACALCO                                                                       </v>
      </c>
      <c r="H598" s="26" t="str">
        <f>"090"</f>
        <v>090</v>
      </c>
      <c r="I598" s="26" t="str">
        <f t="shared" si="113"/>
        <v>00</v>
      </c>
      <c r="J598" s="26" t="str">
        <f>"74 "</f>
        <v xml:space="preserve">74 </v>
      </c>
      <c r="K598" s="26" t="str">
        <f t="shared" si="114"/>
        <v>SG</v>
      </c>
      <c r="L598" s="26" t="str">
        <f t="shared" si="115"/>
        <v>DGOSE</v>
      </c>
      <c r="M598" s="26" t="str">
        <f t="shared" si="112"/>
        <v>FEDERAL</v>
      </c>
      <c r="N598" s="26">
        <v>98</v>
      </c>
      <c r="O598" s="26">
        <v>61</v>
      </c>
      <c r="P598" s="26">
        <v>37</v>
      </c>
      <c r="Q598" s="26">
        <v>6</v>
      </c>
      <c r="R598" s="26">
        <v>1</v>
      </c>
      <c r="S598" s="26">
        <v>16</v>
      </c>
      <c r="T598" s="26">
        <v>12</v>
      </c>
      <c r="U598" s="26">
        <v>29</v>
      </c>
      <c r="V598" s="26">
        <v>1</v>
      </c>
      <c r="W598" s="26"/>
    </row>
    <row r="599" spans="1:23" x14ac:dyDescent="0.25">
      <c r="A599" s="26" t="str">
        <f t="shared" si="111"/>
        <v>SECUNDARIA</v>
      </c>
      <c r="B599" s="26" t="str">
        <f>"09DSN0092W"</f>
        <v>09DSN0092W</v>
      </c>
      <c r="C599" s="26" t="str">
        <f>"JUAN RAMIREZ MARQUEZ                                                                                "</f>
        <v xml:space="preserve">JUAN RAMIREZ MARQUEZ                                                                                </v>
      </c>
      <c r="D599" s="26" t="str">
        <f>"JORNADA AMPLIADA"</f>
        <v>JORNADA AMPLIADA</v>
      </c>
      <c r="E599" s="26" t="str">
        <f>"CERRADA PLAYA ICACOS S/N ENTRE ALLENDE Y CUYUTLAN                               "</f>
        <v xml:space="preserve">CERRADA PLAYA ICACOS S/N ENTRE ALLENDE Y CUYUTLAN                               </v>
      </c>
      <c r="F599" s="26" t="str">
        <f>"MILITAR MARTE                                                                                                                               "</f>
        <v xml:space="preserve">MILITAR MARTE                                                                                                                               </v>
      </c>
      <c r="G599" s="26" t="str">
        <f>"IZTACALCO                                                                       "</f>
        <v xml:space="preserve">IZTACALCO                                                                       </v>
      </c>
      <c r="H599" s="26" t="str">
        <f>"090"</f>
        <v>090</v>
      </c>
      <c r="I599" s="26" t="str">
        <f t="shared" si="113"/>
        <v>00</v>
      </c>
      <c r="J599" s="26" t="str">
        <f>"74 "</f>
        <v xml:space="preserve">74 </v>
      </c>
      <c r="K599" s="26" t="str">
        <f t="shared" si="114"/>
        <v>SG</v>
      </c>
      <c r="L599" s="26" t="str">
        <f t="shared" si="115"/>
        <v>DGOSE</v>
      </c>
      <c r="M599" s="26" t="str">
        <f t="shared" si="112"/>
        <v>FEDERAL</v>
      </c>
      <c r="N599" s="26">
        <v>180</v>
      </c>
      <c r="O599" s="26">
        <v>115</v>
      </c>
      <c r="P599" s="26">
        <v>65</v>
      </c>
      <c r="Q599" s="26">
        <v>9</v>
      </c>
      <c r="R599" s="26">
        <v>2</v>
      </c>
      <c r="S599" s="26">
        <v>22</v>
      </c>
      <c r="T599" s="26">
        <v>20</v>
      </c>
      <c r="U599" s="26">
        <v>44</v>
      </c>
      <c r="V599" s="26">
        <v>1</v>
      </c>
      <c r="W599" s="26" t="s">
        <v>2076</v>
      </c>
    </row>
    <row r="600" spans="1:23" x14ac:dyDescent="0.25">
      <c r="A600" s="26" t="str">
        <f t="shared" si="111"/>
        <v>SECUNDARIA</v>
      </c>
      <c r="B600" s="26" t="str">
        <f>"09DSN0093V"</f>
        <v>09DSN0093V</v>
      </c>
      <c r="C600" s="26" t="str">
        <f>"ARQUELES VELA                                                                                       "</f>
        <v xml:space="preserve">ARQUELES VELA                                                                                       </v>
      </c>
      <c r="D600" s="26" t="str">
        <f>"MATUTINO"</f>
        <v>MATUTINO</v>
      </c>
      <c r="E600" s="26" t="str">
        <f>"AV. SAMUEL GOMPERS Y CALLE 71                                                   "</f>
        <v xml:space="preserve">AV. SAMUEL GOMPERS Y CALLE 71                                                   </v>
      </c>
      <c r="F600" s="26" t="str">
        <f>"SANTA CRUZ MEYEHUALCO                                                                                                                       "</f>
        <v xml:space="preserve">SANTA CRUZ MEYEHUALCO                                                                                                                       </v>
      </c>
      <c r="G600" s="26" t="str">
        <f>"IZTAPALAPA                                                                      "</f>
        <v xml:space="preserve">IZTAPALAPA                                                                      </v>
      </c>
      <c r="H600" s="26" t="str">
        <f>"014"</f>
        <v>014</v>
      </c>
      <c r="I600" s="26" t="str">
        <f t="shared" si="113"/>
        <v>00</v>
      </c>
      <c r="J600" s="26" t="str">
        <f>"64 "</f>
        <v xml:space="preserve">64 </v>
      </c>
      <c r="K600" s="26" t="str">
        <f>"IZ"</f>
        <v>IZ</v>
      </c>
      <c r="L600" s="26" t="str">
        <f>"DGSEI"</f>
        <v>DGSEI</v>
      </c>
      <c r="M600" s="26" t="str">
        <f t="shared" si="112"/>
        <v>FEDERAL</v>
      </c>
      <c r="N600" s="26">
        <v>137</v>
      </c>
      <c r="O600" s="26">
        <v>91</v>
      </c>
      <c r="P600" s="26">
        <v>46</v>
      </c>
      <c r="Q600" s="26">
        <v>8</v>
      </c>
      <c r="R600" s="26">
        <v>2</v>
      </c>
      <c r="S600" s="26">
        <v>17</v>
      </c>
      <c r="T600" s="26">
        <v>15</v>
      </c>
      <c r="U600" s="26">
        <v>34</v>
      </c>
      <c r="V600" s="26">
        <v>1</v>
      </c>
      <c r="W600" s="26"/>
    </row>
    <row r="601" spans="1:23" x14ac:dyDescent="0.25">
      <c r="A601" s="26" t="str">
        <f t="shared" si="111"/>
        <v>SECUNDARIA</v>
      </c>
      <c r="B601" s="26" t="str">
        <f>"09DSN0094U"</f>
        <v>09DSN0094U</v>
      </c>
      <c r="C601" s="26" t="str">
        <f>"ARQUELES VELA                                                                                       "</f>
        <v xml:space="preserve">ARQUELES VELA                                                                                       </v>
      </c>
      <c r="D601" s="26" t="str">
        <f>"NOCTURNO"</f>
        <v>NOCTURNO</v>
      </c>
      <c r="E601" s="26" t="str">
        <f>"AV. SAMUEL GOMPERS Y CALLE 71                                                   "</f>
        <v xml:space="preserve">AV. SAMUEL GOMPERS Y CALLE 71                                                   </v>
      </c>
      <c r="F601" s="26" t="str">
        <f>"SANTA CRUZ MEYEHUALCO                                                                                                                       "</f>
        <v xml:space="preserve">SANTA CRUZ MEYEHUALCO                                                                                                                       </v>
      </c>
      <c r="G601" s="26" t="str">
        <f>"IZTAPALAPA                                                                      "</f>
        <v xml:space="preserve">IZTAPALAPA                                                                      </v>
      </c>
      <c r="H601" s="26" t="str">
        <f>"014"</f>
        <v>014</v>
      </c>
      <c r="I601" s="26" t="str">
        <f t="shared" si="113"/>
        <v>00</v>
      </c>
      <c r="J601" s="26" t="str">
        <f>"64 "</f>
        <v xml:space="preserve">64 </v>
      </c>
      <c r="K601" s="26" t="str">
        <f>"IZ"</f>
        <v>IZ</v>
      </c>
      <c r="L601" s="26" t="str">
        <f>"DGSEI"</f>
        <v>DGSEI</v>
      </c>
      <c r="M601" s="26" t="str">
        <f t="shared" si="112"/>
        <v>FEDERAL</v>
      </c>
      <c r="N601" s="26">
        <v>105</v>
      </c>
      <c r="O601" s="26">
        <v>73</v>
      </c>
      <c r="P601" s="26">
        <v>32</v>
      </c>
      <c r="Q601" s="26">
        <v>8</v>
      </c>
      <c r="R601" s="26">
        <v>2</v>
      </c>
      <c r="S601" s="26">
        <v>18</v>
      </c>
      <c r="T601" s="26">
        <v>11</v>
      </c>
      <c r="U601" s="26">
        <v>31</v>
      </c>
      <c r="V601" s="26">
        <v>1</v>
      </c>
      <c r="W601" s="26"/>
    </row>
    <row r="602" spans="1:23" x14ac:dyDescent="0.25">
      <c r="A602" s="26" t="str">
        <f t="shared" si="111"/>
        <v>SECUNDARIA</v>
      </c>
      <c r="B602" s="26" t="str">
        <f>"09DSN0095T"</f>
        <v>09DSN0095T</v>
      </c>
      <c r="C602" s="26" t="str">
        <f>"SECUNDARIA PARA TRABAJADORES 95                                                                     "</f>
        <v xml:space="preserve">SECUNDARIA PARA TRABAJADORES 95                                                                     </v>
      </c>
      <c r="D602" s="26" t="str">
        <f>"MATUTINO"</f>
        <v>MATUTINO</v>
      </c>
      <c r="E602" s="26" t="str">
        <f>"AV MARGARITA MAZA DE JUAREZ NO 150                                              "</f>
        <v xml:space="preserve">AV MARGARITA MAZA DE JUAREZ NO 150                                              </v>
      </c>
      <c r="F602" s="26" t="str">
        <f>"LA PATERA VALLEJO                                                                                                                           "</f>
        <v xml:space="preserve">LA PATERA VALLEJO                                                                                                                           </v>
      </c>
      <c r="G602" s="26" t="str">
        <f>"GUSTAVO A. MADERO                                                               "</f>
        <v xml:space="preserve">GUSTAVO A. MADERO                                                               </v>
      </c>
      <c r="H602" s="26" t="str">
        <f>"089"</f>
        <v>089</v>
      </c>
      <c r="I602" s="26" t="str">
        <f t="shared" si="113"/>
        <v>00</v>
      </c>
      <c r="J602" s="26" t="str">
        <f>"72 "</f>
        <v xml:space="preserve">72 </v>
      </c>
      <c r="K602" s="26" t="str">
        <f>"SG"</f>
        <v>SG</v>
      </c>
      <c r="L602" s="26" t="str">
        <f>"DGOSE"</f>
        <v>DGOSE</v>
      </c>
      <c r="M602" s="26" t="str">
        <f t="shared" si="112"/>
        <v>FEDERAL</v>
      </c>
      <c r="N602" s="26">
        <v>46</v>
      </c>
      <c r="O602" s="26">
        <v>30</v>
      </c>
      <c r="P602" s="26">
        <v>16</v>
      </c>
      <c r="Q602" s="26">
        <v>3</v>
      </c>
      <c r="R602" s="26">
        <v>2</v>
      </c>
      <c r="S602" s="26">
        <v>9</v>
      </c>
      <c r="T602" s="26">
        <v>7</v>
      </c>
      <c r="U602" s="26">
        <v>18</v>
      </c>
      <c r="V602" s="26">
        <v>1</v>
      </c>
      <c r="W602" s="26"/>
    </row>
    <row r="603" spans="1:23" x14ac:dyDescent="0.25">
      <c r="A603" s="26" t="str">
        <f t="shared" si="111"/>
        <v>SECUNDARIA</v>
      </c>
      <c r="B603" s="26" t="str">
        <f>"09DST0001Z"</f>
        <v>09DST0001Z</v>
      </c>
      <c r="C603" s="26" t="str">
        <f>"ESCUELA SECUNDARIA TECNICA 1                                                                        "</f>
        <v xml:space="preserve">ESCUELA SECUNDARIA TECNICA 1                                                                        </v>
      </c>
      <c r="D603" s="26" t="str">
        <f>"JORNADA AMPLIADA"</f>
        <v>JORNADA AMPLIADA</v>
      </c>
      <c r="E603" s="26" t="str">
        <f>"SABINOS 47                                                                      "</f>
        <v xml:space="preserve">SABINOS 47                                                                      </v>
      </c>
      <c r="F603" s="26" t="str">
        <f>"SANTA ANITA                                                                                                                                 "</f>
        <v xml:space="preserve">SANTA ANITA                                                                                                                                 </v>
      </c>
      <c r="G603" s="26" t="str">
        <f>"IZTACALCO                                                                       "</f>
        <v xml:space="preserve">IZTACALCO                                                                       </v>
      </c>
      <c r="H603" s="26" t="str">
        <f>"003"</f>
        <v>003</v>
      </c>
      <c r="I603" s="26" t="str">
        <f t="shared" si="113"/>
        <v>00</v>
      </c>
      <c r="J603" s="26" t="str">
        <f t="shared" ref="J603:J666" si="116">"06 "</f>
        <v xml:space="preserve">06 </v>
      </c>
      <c r="K603" s="26" t="str">
        <f t="shared" ref="K603:K666" si="117">"TE"</f>
        <v>TE</v>
      </c>
      <c r="L603" s="26" t="str">
        <f t="shared" ref="L603:L666" si="118">"DGEST"</f>
        <v>DGEST</v>
      </c>
      <c r="M603" s="26" t="str">
        <f t="shared" si="112"/>
        <v>FEDERAL</v>
      </c>
      <c r="N603" s="26">
        <v>714</v>
      </c>
      <c r="O603" s="26">
        <v>358</v>
      </c>
      <c r="P603" s="26">
        <v>356</v>
      </c>
      <c r="Q603" s="26">
        <v>27</v>
      </c>
      <c r="R603" s="26">
        <v>2</v>
      </c>
      <c r="S603" s="26">
        <v>46</v>
      </c>
      <c r="T603" s="26">
        <v>39</v>
      </c>
      <c r="U603" s="26">
        <v>87</v>
      </c>
      <c r="V603" s="26">
        <v>1</v>
      </c>
      <c r="W603" s="26" t="s">
        <v>2076</v>
      </c>
    </row>
    <row r="604" spans="1:23" x14ac:dyDescent="0.25">
      <c r="A604" s="26" t="str">
        <f t="shared" si="111"/>
        <v>SECUNDARIA</v>
      </c>
      <c r="B604" s="26" t="str">
        <f>"09DST0002Y"</f>
        <v>09DST0002Y</v>
      </c>
      <c r="C604" s="26" t="str">
        <f>"ESCUELA SECUNDARIA TECNICA 2                                                                        "</f>
        <v xml:space="preserve">ESCUELA SECUNDARIA TECNICA 2                                                                        </v>
      </c>
      <c r="D604" s="26" t="str">
        <f>"MATUTINO"</f>
        <v>MATUTINO</v>
      </c>
      <c r="E604" s="26" t="str">
        <f>"EJE CENTRAL LAZARO CARDENAS NO. 10                                              "</f>
        <v xml:space="preserve">EJE CENTRAL LAZARO CARDENAS NO. 10                                              </v>
      </c>
      <c r="F604" s="26" t="str">
        <f>"JUAREZ                                                                                                                                      "</f>
        <v xml:space="preserve">JUAREZ                                                                                                                                      </v>
      </c>
      <c r="G604" s="26" t="str">
        <f>"CUAUHTEMOC                                                                      "</f>
        <v xml:space="preserve">CUAUHTEMOC                                                                      </v>
      </c>
      <c r="H604" s="26" t="str">
        <f>"001"</f>
        <v>001</v>
      </c>
      <c r="I604" s="26" t="str">
        <f t="shared" si="113"/>
        <v>00</v>
      </c>
      <c r="J604" s="26" t="str">
        <f t="shared" si="116"/>
        <v xml:space="preserve">06 </v>
      </c>
      <c r="K604" s="26" t="str">
        <f t="shared" si="117"/>
        <v>TE</v>
      </c>
      <c r="L604" s="26" t="str">
        <f t="shared" si="118"/>
        <v>DGEST</v>
      </c>
      <c r="M604" s="26" t="str">
        <f t="shared" si="112"/>
        <v>FEDERAL</v>
      </c>
      <c r="N604" s="26">
        <v>495</v>
      </c>
      <c r="O604" s="26">
        <v>229</v>
      </c>
      <c r="P604" s="26">
        <v>266</v>
      </c>
      <c r="Q604" s="26">
        <v>15</v>
      </c>
      <c r="R604" s="26">
        <v>2</v>
      </c>
      <c r="S604" s="26">
        <v>26</v>
      </c>
      <c r="T604" s="26">
        <v>31</v>
      </c>
      <c r="U604" s="26">
        <v>59</v>
      </c>
      <c r="V604" s="26">
        <v>1</v>
      </c>
      <c r="W604" s="26"/>
    </row>
    <row r="605" spans="1:23" x14ac:dyDescent="0.25">
      <c r="A605" s="26" t="str">
        <f t="shared" si="111"/>
        <v>SECUNDARIA</v>
      </c>
      <c r="B605" s="26" t="str">
        <f>"09DST0003X"</f>
        <v>09DST0003X</v>
      </c>
      <c r="C605" s="26" t="str">
        <f>"ESCUELA SECUNDARIA TECNICA 3                                                                        "</f>
        <v xml:space="preserve">ESCUELA SECUNDARIA TECNICA 3                                                                        </v>
      </c>
      <c r="D605" s="26" t="str">
        <f>"JORNADA AMPLIADA"</f>
        <v>JORNADA AMPLIADA</v>
      </c>
      <c r="E605" s="26" t="str">
        <f>"CALLE AZTECAS NUM 1                                                             "</f>
        <v xml:space="preserve">CALLE AZTECAS NUM 1                                                             </v>
      </c>
      <c r="F605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605" s="26" t="str">
        <f>"CUAUHTEMOC                                                                      "</f>
        <v xml:space="preserve">CUAUHTEMOC                                                                      </v>
      </c>
      <c r="H605" s="26" t="str">
        <f>"001"</f>
        <v>001</v>
      </c>
      <c r="I605" s="26" t="str">
        <f t="shared" si="113"/>
        <v>00</v>
      </c>
      <c r="J605" s="26" t="str">
        <f t="shared" si="116"/>
        <v xml:space="preserve">06 </v>
      </c>
      <c r="K605" s="26" t="str">
        <f t="shared" si="117"/>
        <v>TE</v>
      </c>
      <c r="L605" s="26" t="str">
        <f t="shared" si="118"/>
        <v>DGEST</v>
      </c>
      <c r="M605" s="26" t="str">
        <f t="shared" si="112"/>
        <v>FEDERAL</v>
      </c>
      <c r="N605" s="26">
        <v>155</v>
      </c>
      <c r="O605" s="26">
        <v>74</v>
      </c>
      <c r="P605" s="26">
        <v>81</v>
      </c>
      <c r="Q605" s="26">
        <v>6</v>
      </c>
      <c r="R605" s="26">
        <v>2</v>
      </c>
      <c r="S605" s="26">
        <v>12</v>
      </c>
      <c r="T605" s="26">
        <v>19</v>
      </c>
      <c r="U605" s="26">
        <v>33</v>
      </c>
      <c r="V605" s="26">
        <v>1</v>
      </c>
      <c r="W605" s="26" t="s">
        <v>2076</v>
      </c>
    </row>
    <row r="606" spans="1:23" x14ac:dyDescent="0.25">
      <c r="A606" s="26" t="str">
        <f t="shared" si="111"/>
        <v>SECUNDARIA</v>
      </c>
      <c r="B606" s="26" t="str">
        <f>"09DST0004W"</f>
        <v>09DST0004W</v>
      </c>
      <c r="C606" s="26" t="str">
        <f>"ESCUELA SECUNDARIA TECNICA 4                                                                        "</f>
        <v xml:space="preserve">ESCUELA SECUNDARIA TECNICA 4                                                                        </v>
      </c>
      <c r="D606" s="26" t="str">
        <f>"JORNADA AMPLIADA"</f>
        <v>JORNADA AMPLIADA</v>
      </c>
      <c r="E606" s="26" t="str">
        <f>"VICENTE EGUIA NUM 31                                                            "</f>
        <v xml:space="preserve">VICENTE EGUIA NUM 31                                                            </v>
      </c>
      <c r="F606" s="26" t="str">
        <f>"TACUBAYA                                                                                                                                    "</f>
        <v xml:space="preserve">TACUBAYA                                                                                                                                    </v>
      </c>
      <c r="G606" s="26" t="str">
        <f>"MIGUEL HIDALGO                                                                  "</f>
        <v xml:space="preserve">MIGUEL HIDALGO                                                                  </v>
      </c>
      <c r="H606" s="26" t="str">
        <f>"001"</f>
        <v>001</v>
      </c>
      <c r="I606" s="26" t="str">
        <f t="shared" si="113"/>
        <v>00</v>
      </c>
      <c r="J606" s="26" t="str">
        <f t="shared" si="116"/>
        <v xml:space="preserve">06 </v>
      </c>
      <c r="K606" s="26" t="str">
        <f t="shared" si="117"/>
        <v>TE</v>
      </c>
      <c r="L606" s="26" t="str">
        <f t="shared" si="118"/>
        <v>DGEST</v>
      </c>
      <c r="M606" s="26" t="str">
        <f t="shared" si="112"/>
        <v>FEDERAL</v>
      </c>
      <c r="N606" s="26">
        <v>885</v>
      </c>
      <c r="O606" s="26">
        <v>461</v>
      </c>
      <c r="P606" s="26">
        <v>424</v>
      </c>
      <c r="Q606" s="26">
        <v>20</v>
      </c>
      <c r="R606" s="26">
        <v>2</v>
      </c>
      <c r="S606" s="26">
        <v>39</v>
      </c>
      <c r="T606" s="26">
        <v>27</v>
      </c>
      <c r="U606" s="26">
        <v>68</v>
      </c>
      <c r="V606" s="26">
        <v>1</v>
      </c>
      <c r="W606" s="26" t="s">
        <v>2076</v>
      </c>
    </row>
    <row r="607" spans="1:23" x14ac:dyDescent="0.25">
      <c r="A607" s="26" t="str">
        <f t="shared" si="111"/>
        <v>SECUNDARIA</v>
      </c>
      <c r="B607" s="26" t="str">
        <f>"09DST0005V"</f>
        <v>09DST0005V</v>
      </c>
      <c r="C607" s="26" t="str">
        <f>"ESCUELA SECUNDARIA TECNICA 5                                                                        "</f>
        <v xml:space="preserve">ESCUELA SECUNDARIA TECNICA 5                                                                        </v>
      </c>
      <c r="D607" s="26" t="str">
        <f>"MATUTINO"</f>
        <v>MATUTINO</v>
      </c>
      <c r="E607" s="26" t="str">
        <f>"LAGO ALBERTO NUM 431                                                            "</f>
        <v xml:space="preserve">LAGO ALBERTO NUM 431                                                            </v>
      </c>
      <c r="F607" s="26" t="str">
        <f>"ANAHUAC I                                                                                                                                   "</f>
        <v xml:space="preserve">ANAHUAC I                                                                                                                                   </v>
      </c>
      <c r="G607" s="26" t="str">
        <f>"MIGUEL HIDALGO                                                                  "</f>
        <v xml:space="preserve">MIGUEL HIDALGO                                                                  </v>
      </c>
      <c r="H607" s="26" t="str">
        <f>"001"</f>
        <v>001</v>
      </c>
      <c r="I607" s="26" t="str">
        <f t="shared" si="113"/>
        <v>00</v>
      </c>
      <c r="J607" s="26" t="str">
        <f t="shared" si="116"/>
        <v xml:space="preserve">06 </v>
      </c>
      <c r="K607" s="26" t="str">
        <f t="shared" si="117"/>
        <v>TE</v>
      </c>
      <c r="L607" s="26" t="str">
        <f t="shared" si="118"/>
        <v>DGEST</v>
      </c>
      <c r="M607" s="26" t="str">
        <f t="shared" si="112"/>
        <v>FEDERAL</v>
      </c>
      <c r="N607" s="26">
        <v>1398</v>
      </c>
      <c r="O607" s="26">
        <v>723</v>
      </c>
      <c r="P607" s="26">
        <v>675</v>
      </c>
      <c r="Q607" s="26">
        <v>30</v>
      </c>
      <c r="R607" s="26">
        <v>3</v>
      </c>
      <c r="S607" s="26">
        <v>51</v>
      </c>
      <c r="T607" s="26">
        <v>64</v>
      </c>
      <c r="U607" s="26">
        <v>118</v>
      </c>
      <c r="V607" s="26">
        <v>1</v>
      </c>
      <c r="W607" s="26"/>
    </row>
    <row r="608" spans="1:23" x14ac:dyDescent="0.25">
      <c r="A608" s="26" t="str">
        <f t="shared" si="111"/>
        <v>SECUNDARIA</v>
      </c>
      <c r="B608" s="26" t="str">
        <f>"09DST0006U"</f>
        <v>09DST0006U</v>
      </c>
      <c r="C608" s="26" t="str">
        <f>"ESCUELA SECUNDARIA TECNICA 6                                                                        "</f>
        <v xml:space="preserve">ESCUELA SECUNDARIA TECNICA 6                                                                        </v>
      </c>
      <c r="D608" s="26" t="str">
        <f>"MATUTINO"</f>
        <v>MATUTINO</v>
      </c>
      <c r="E608" s="26" t="str">
        <f>"ENRICO MARTINEZ NUM 25                                                          "</f>
        <v xml:space="preserve">ENRICO MARTINEZ NUM 25                                                          </v>
      </c>
      <c r="F608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608" s="26" t="str">
        <f>"CUAUHTEMOC                                                                      "</f>
        <v xml:space="preserve">CUAUHTEMOC                                                                      </v>
      </c>
      <c r="H608" s="26" t="str">
        <f>"001"</f>
        <v>001</v>
      </c>
      <c r="I608" s="26" t="str">
        <f t="shared" si="113"/>
        <v>00</v>
      </c>
      <c r="J608" s="26" t="str">
        <f t="shared" si="116"/>
        <v xml:space="preserve">06 </v>
      </c>
      <c r="K608" s="26" t="str">
        <f t="shared" si="117"/>
        <v>TE</v>
      </c>
      <c r="L608" s="26" t="str">
        <f t="shared" si="118"/>
        <v>DGEST</v>
      </c>
      <c r="M608" s="26" t="str">
        <f t="shared" si="112"/>
        <v>FEDERAL</v>
      </c>
      <c r="N608" s="26">
        <v>891</v>
      </c>
      <c r="O608" s="26">
        <v>481</v>
      </c>
      <c r="P608" s="26">
        <v>410</v>
      </c>
      <c r="Q608" s="26">
        <v>24</v>
      </c>
      <c r="R608" s="26">
        <v>2</v>
      </c>
      <c r="S608" s="26">
        <v>41</v>
      </c>
      <c r="T608" s="26">
        <v>42</v>
      </c>
      <c r="U608" s="26">
        <v>85</v>
      </c>
      <c r="V608" s="26">
        <v>1</v>
      </c>
      <c r="W608" s="26"/>
    </row>
    <row r="609" spans="1:23" x14ac:dyDescent="0.25">
      <c r="A609" s="26" t="str">
        <f t="shared" si="111"/>
        <v>SECUNDARIA</v>
      </c>
      <c r="B609" s="26" t="str">
        <f>"09DST0007T"</f>
        <v>09DST0007T</v>
      </c>
      <c r="C609" s="26" t="str">
        <f>"ESCUELA SECUNDARIA TECNICA 7                                                                        "</f>
        <v xml:space="preserve">ESCUELA SECUNDARIA TECNICA 7                                                                        </v>
      </c>
      <c r="D609" s="26" t="str">
        <f>"JORNADA AMPLIADA"</f>
        <v>JORNADA AMPLIADA</v>
      </c>
      <c r="E609" s="26" t="str">
        <f>"FERROCARRIL DE CINTURA NUM 85                                                   "</f>
        <v xml:space="preserve">FERROCARRIL DE CINTURA NUM 85                                                   </v>
      </c>
      <c r="F609" s="26" t="str">
        <f>"MORELOS                                                                                                                                     "</f>
        <v xml:space="preserve">MORELOS                                                                                                                                     </v>
      </c>
      <c r="G609" s="26" t="str">
        <f>"VENUSTIANO CARRANZA                                                             "</f>
        <v xml:space="preserve">VENUSTIANO CARRANZA                                                             </v>
      </c>
      <c r="H609" s="26" t="str">
        <f>"002"</f>
        <v>002</v>
      </c>
      <c r="I609" s="26" t="str">
        <f t="shared" si="113"/>
        <v>00</v>
      </c>
      <c r="J609" s="26" t="str">
        <f t="shared" si="116"/>
        <v xml:space="preserve">06 </v>
      </c>
      <c r="K609" s="26" t="str">
        <f t="shared" si="117"/>
        <v>TE</v>
      </c>
      <c r="L609" s="26" t="str">
        <f t="shared" si="118"/>
        <v>DGEST</v>
      </c>
      <c r="M609" s="26" t="str">
        <f t="shared" si="112"/>
        <v>FEDERAL</v>
      </c>
      <c r="N609" s="26">
        <v>490</v>
      </c>
      <c r="O609" s="26">
        <v>255</v>
      </c>
      <c r="P609" s="26">
        <v>235</v>
      </c>
      <c r="Q609" s="26">
        <v>18</v>
      </c>
      <c r="R609" s="26">
        <v>2</v>
      </c>
      <c r="S609" s="26">
        <v>36</v>
      </c>
      <c r="T609" s="26">
        <v>28</v>
      </c>
      <c r="U609" s="26">
        <v>66</v>
      </c>
      <c r="V609" s="26">
        <v>1</v>
      </c>
      <c r="W609" s="26" t="s">
        <v>2076</v>
      </c>
    </row>
    <row r="610" spans="1:23" x14ac:dyDescent="0.25">
      <c r="A610" s="26" t="str">
        <f t="shared" si="111"/>
        <v>SECUNDARIA</v>
      </c>
      <c r="B610" s="26" t="str">
        <f>"09DST0008S"</f>
        <v>09DST0008S</v>
      </c>
      <c r="C610" s="26" t="str">
        <f>"ESCUELA SECUNDARIA TECNICA 8                                                                        "</f>
        <v xml:space="preserve">ESCUELA SECUNDARIA TECNICA 8                                                                        </v>
      </c>
      <c r="D610" s="26" t="str">
        <f>"JORNADA AMPLIADA"</f>
        <v>JORNADA AMPLIADA</v>
      </c>
      <c r="E610" s="26" t="str">
        <f>"CARLOS B. ZETINA NO. 32                                                         "</f>
        <v xml:space="preserve">CARLOS B. ZETINA NO. 32                                                         </v>
      </c>
      <c r="F610" s="26" t="str">
        <f>"HIPODROMO DE LA CONDESA                                                                                                                     "</f>
        <v xml:space="preserve">HIPODROMO DE LA CONDESA                                                                                                                     </v>
      </c>
      <c r="G610" s="26" t="str">
        <f>"CUAUHTEMOC                                                                      "</f>
        <v xml:space="preserve">CUAUHTEMOC                                                                      </v>
      </c>
      <c r="H610" s="26" t="str">
        <f>"001"</f>
        <v>001</v>
      </c>
      <c r="I610" s="26" t="str">
        <f t="shared" si="113"/>
        <v>00</v>
      </c>
      <c r="J610" s="26" t="str">
        <f t="shared" si="116"/>
        <v xml:space="preserve">06 </v>
      </c>
      <c r="K610" s="26" t="str">
        <f t="shared" si="117"/>
        <v>TE</v>
      </c>
      <c r="L610" s="26" t="str">
        <f t="shared" si="118"/>
        <v>DGEST</v>
      </c>
      <c r="M610" s="26" t="str">
        <f t="shared" si="112"/>
        <v>FEDERAL</v>
      </c>
      <c r="N610" s="26">
        <v>692</v>
      </c>
      <c r="O610" s="26">
        <v>381</v>
      </c>
      <c r="P610" s="26">
        <v>311</v>
      </c>
      <c r="Q610" s="26">
        <v>18</v>
      </c>
      <c r="R610" s="26">
        <v>2</v>
      </c>
      <c r="S610" s="26">
        <v>38</v>
      </c>
      <c r="T610" s="26">
        <v>29</v>
      </c>
      <c r="U610" s="26">
        <v>69</v>
      </c>
      <c r="V610" s="26">
        <v>1</v>
      </c>
      <c r="W610" s="26" t="s">
        <v>2076</v>
      </c>
    </row>
    <row r="611" spans="1:23" x14ac:dyDescent="0.25">
      <c r="A611" s="26" t="str">
        <f t="shared" si="111"/>
        <v>SECUNDARIA</v>
      </c>
      <c r="B611" s="26" t="str">
        <f>"09DST0009R"</f>
        <v>09DST0009R</v>
      </c>
      <c r="C611" s="26" t="str">
        <f>"ESCUELA SECUNDARIA TECNICA 9                                                                        "</f>
        <v xml:space="preserve">ESCUELA SECUNDARIA TECNICA 9                                                                        </v>
      </c>
      <c r="D611" s="26" t="str">
        <f>"MATUTINO"</f>
        <v>MATUTINO</v>
      </c>
      <c r="E611" s="26" t="str">
        <f>"5 DE FEBRERO Y MOCTEZUMA                                                        "</f>
        <v xml:space="preserve">5 DE FEBRERO Y MOCTEZUMA                                                        </v>
      </c>
      <c r="F611" s="26" t="str">
        <f>"ARAGON                                                                                                                                      "</f>
        <v xml:space="preserve">ARAGON                                                                                                                                      </v>
      </c>
      <c r="G611" s="26" t="str">
        <f>"GUSTAVO A. MADERO                                                               "</f>
        <v xml:space="preserve">GUSTAVO A. MADERO                                                               </v>
      </c>
      <c r="H611" s="26" t="str">
        <f>"002"</f>
        <v>002</v>
      </c>
      <c r="I611" s="26" t="str">
        <f t="shared" si="113"/>
        <v>00</v>
      </c>
      <c r="J611" s="26" t="str">
        <f t="shared" si="116"/>
        <v xml:space="preserve">06 </v>
      </c>
      <c r="K611" s="26" t="str">
        <f t="shared" si="117"/>
        <v>TE</v>
      </c>
      <c r="L611" s="26" t="str">
        <f t="shared" si="118"/>
        <v>DGEST</v>
      </c>
      <c r="M611" s="26" t="str">
        <f t="shared" si="112"/>
        <v>FEDERAL</v>
      </c>
      <c r="N611" s="26">
        <v>790</v>
      </c>
      <c r="O611" s="26">
        <v>396</v>
      </c>
      <c r="P611" s="26">
        <v>394</v>
      </c>
      <c r="Q611" s="26">
        <v>18</v>
      </c>
      <c r="R611" s="26">
        <v>2</v>
      </c>
      <c r="S611" s="26">
        <v>29</v>
      </c>
      <c r="T611" s="26">
        <v>41</v>
      </c>
      <c r="U611" s="26">
        <v>72</v>
      </c>
      <c r="V611" s="26">
        <v>1</v>
      </c>
      <c r="W611" s="26"/>
    </row>
    <row r="612" spans="1:23" x14ac:dyDescent="0.25">
      <c r="A612" s="26" t="str">
        <f t="shared" si="111"/>
        <v>SECUNDARIA</v>
      </c>
      <c r="B612" s="26" t="str">
        <f>"09DST0009R"</f>
        <v>09DST0009R</v>
      </c>
      <c r="C612" s="26" t="str">
        <f>"ESCUELA SECUNDARIA TECNICA 9                                                                        "</f>
        <v xml:space="preserve">ESCUELA SECUNDARIA TECNICA 9                                                                        </v>
      </c>
      <c r="D612" s="26" t="str">
        <f>"VESPERTINO"</f>
        <v>VESPERTINO</v>
      </c>
      <c r="E612" s="26" t="str">
        <f>"5 DE FEBRERO Y MOCTEZUMA                                                        "</f>
        <v xml:space="preserve">5 DE FEBRERO Y MOCTEZUMA                                                        </v>
      </c>
      <c r="F612" s="26" t="str">
        <f>"ARAGON                                                                                                                                      "</f>
        <v xml:space="preserve">ARAGON                                                                                                                                      </v>
      </c>
      <c r="G612" s="26" t="str">
        <f>"GUSTAVO A. MADERO                                                               "</f>
        <v xml:space="preserve">GUSTAVO A. MADERO                                                               </v>
      </c>
      <c r="H612" s="26" t="str">
        <f>"002"</f>
        <v>002</v>
      </c>
      <c r="I612" s="26" t="str">
        <f t="shared" si="113"/>
        <v>00</v>
      </c>
      <c r="J612" s="26" t="str">
        <f t="shared" si="116"/>
        <v xml:space="preserve">06 </v>
      </c>
      <c r="K612" s="26" t="str">
        <f t="shared" si="117"/>
        <v>TE</v>
      </c>
      <c r="L612" s="26" t="str">
        <f t="shared" si="118"/>
        <v>DGEST</v>
      </c>
      <c r="M612" s="26" t="str">
        <f t="shared" si="112"/>
        <v>FEDERAL</v>
      </c>
      <c r="N612" s="26">
        <v>544</v>
      </c>
      <c r="O612" s="26">
        <v>275</v>
      </c>
      <c r="P612" s="26">
        <v>269</v>
      </c>
      <c r="Q612" s="26">
        <v>18</v>
      </c>
      <c r="R612" s="26">
        <v>1</v>
      </c>
      <c r="S612" s="26">
        <v>31</v>
      </c>
      <c r="T612" s="26">
        <v>28</v>
      </c>
      <c r="U612" s="26">
        <v>60</v>
      </c>
      <c r="V612" s="26">
        <v>1</v>
      </c>
      <c r="W612" s="26"/>
    </row>
    <row r="613" spans="1:23" x14ac:dyDescent="0.25">
      <c r="A613" s="26" t="str">
        <f t="shared" si="111"/>
        <v>SECUNDARIA</v>
      </c>
      <c r="B613" s="26" t="str">
        <f>"09DST0010G"</f>
        <v>09DST0010G</v>
      </c>
      <c r="C613" s="26" t="str">
        <f>"ESCUELA SECUNDARIA TECNICA 10                                                                       "</f>
        <v xml:space="preserve">ESCUELA SECUNDARIA TECNICA 10                                                                       </v>
      </c>
      <c r="D613" s="26" t="str">
        <f>"JORNADA AMPLIADA"</f>
        <v>JORNADA AMPLIADA</v>
      </c>
      <c r="E613" s="26" t="str">
        <f>"DR. RIO DE LA LOZA ESQ. CON JOSE MARIA VERTIZ                                   "</f>
        <v xml:space="preserve">DR. RIO DE LA LOZA ESQ. CON JOSE MARIA VERTIZ                                   </v>
      </c>
      <c r="F613" s="26" t="str">
        <f>"DOCTORES                                                                                                                                    "</f>
        <v xml:space="preserve">DOCTORES                                                                                                                                    </v>
      </c>
      <c r="G613" s="26" t="str">
        <f>"CUAUHTEMOC                                                                      "</f>
        <v xml:space="preserve">CUAUHTEMOC                                                                      </v>
      </c>
      <c r="H613" s="26" t="str">
        <f t="shared" ref="H613:H620" si="119">"001"</f>
        <v>001</v>
      </c>
      <c r="I613" s="26" t="str">
        <f t="shared" si="113"/>
        <v>00</v>
      </c>
      <c r="J613" s="26" t="str">
        <f t="shared" si="116"/>
        <v xml:space="preserve">06 </v>
      </c>
      <c r="K613" s="26" t="str">
        <f t="shared" si="117"/>
        <v>TE</v>
      </c>
      <c r="L613" s="26" t="str">
        <f t="shared" si="118"/>
        <v>DGEST</v>
      </c>
      <c r="M613" s="26" t="str">
        <f t="shared" si="112"/>
        <v>FEDERAL</v>
      </c>
      <c r="N613" s="26">
        <v>492</v>
      </c>
      <c r="O613" s="26">
        <v>240</v>
      </c>
      <c r="P613" s="26">
        <v>252</v>
      </c>
      <c r="Q613" s="26">
        <v>15</v>
      </c>
      <c r="R613" s="26">
        <v>2</v>
      </c>
      <c r="S613" s="26">
        <v>36</v>
      </c>
      <c r="T613" s="26">
        <v>28</v>
      </c>
      <c r="U613" s="26">
        <v>66</v>
      </c>
      <c r="V613" s="26">
        <v>1</v>
      </c>
      <c r="W613" s="26" t="s">
        <v>2076</v>
      </c>
    </row>
    <row r="614" spans="1:23" x14ac:dyDescent="0.25">
      <c r="A614" s="26" t="str">
        <f t="shared" si="111"/>
        <v>SECUNDARIA</v>
      </c>
      <c r="B614" s="26" t="str">
        <f>"09DST0011F"</f>
        <v>09DST0011F</v>
      </c>
      <c r="C614" s="26" t="str">
        <f>"ESCUELA SECUNDARIA TECNICA 11                                                                       "</f>
        <v xml:space="preserve">ESCUELA SECUNDARIA TECNICA 11                                                                       </v>
      </c>
      <c r="D614" s="26" t="str">
        <f>"MATUTINO"</f>
        <v>MATUTINO</v>
      </c>
      <c r="E614" s="26" t="str">
        <f>"MICHOACAN NUM 21                                                                "</f>
        <v xml:space="preserve">MICHOACAN NUM 21                                                                </v>
      </c>
      <c r="F614" s="26" t="str">
        <f>"TIZAPAN                                                                                                                                     "</f>
        <v xml:space="preserve">TIZAPAN                                                                                                                                     </v>
      </c>
      <c r="G614" s="26" t="str">
        <f>"ALVARO OBREGON                                                                  "</f>
        <v xml:space="preserve">ALVARO OBREGON                                                                  </v>
      </c>
      <c r="H614" s="26" t="str">
        <f t="shared" si="119"/>
        <v>001</v>
      </c>
      <c r="I614" s="26" t="str">
        <f t="shared" si="113"/>
        <v>00</v>
      </c>
      <c r="J614" s="26" t="str">
        <f t="shared" si="116"/>
        <v xml:space="preserve">06 </v>
      </c>
      <c r="K614" s="26" t="str">
        <f t="shared" si="117"/>
        <v>TE</v>
      </c>
      <c r="L614" s="26" t="str">
        <f t="shared" si="118"/>
        <v>DGEST</v>
      </c>
      <c r="M614" s="26" t="str">
        <f t="shared" si="112"/>
        <v>FEDERAL</v>
      </c>
      <c r="N614" s="26">
        <v>838</v>
      </c>
      <c r="O614" s="26">
        <v>414</v>
      </c>
      <c r="P614" s="26">
        <v>424</v>
      </c>
      <c r="Q614" s="26">
        <v>17</v>
      </c>
      <c r="R614" s="26">
        <v>2</v>
      </c>
      <c r="S614" s="26">
        <v>30</v>
      </c>
      <c r="T614" s="26">
        <v>30</v>
      </c>
      <c r="U614" s="26">
        <v>62</v>
      </c>
      <c r="V614" s="26">
        <v>1</v>
      </c>
      <c r="W614" s="26"/>
    </row>
    <row r="615" spans="1:23" x14ac:dyDescent="0.25">
      <c r="A615" s="26" t="str">
        <f t="shared" si="111"/>
        <v>SECUNDARIA</v>
      </c>
      <c r="B615" s="26" t="str">
        <f>"09DST0011F"</f>
        <v>09DST0011F</v>
      </c>
      <c r="C615" s="26" t="str">
        <f>"ESCUELA SECUNDARIA TECNICA 11                                                                       "</f>
        <v xml:space="preserve">ESCUELA SECUNDARIA TECNICA 11                                                                       </v>
      </c>
      <c r="D615" s="26" t="str">
        <f>"VESPERTINO"</f>
        <v>VESPERTINO</v>
      </c>
      <c r="E615" s="26" t="str">
        <f>"MICHOACAN NUM 21                                                                "</f>
        <v xml:space="preserve">MICHOACAN NUM 21                                                                </v>
      </c>
      <c r="F615" s="26" t="str">
        <f>"TIZAPAN                                                                                                                                     "</f>
        <v xml:space="preserve">TIZAPAN                                                                                                                                     </v>
      </c>
      <c r="G615" s="26" t="str">
        <f>"ALVARO OBREGON                                                                  "</f>
        <v xml:space="preserve">ALVARO OBREGON                                                                  </v>
      </c>
      <c r="H615" s="26" t="str">
        <f t="shared" si="119"/>
        <v>001</v>
      </c>
      <c r="I615" s="26" t="str">
        <f t="shared" si="113"/>
        <v>00</v>
      </c>
      <c r="J615" s="26" t="str">
        <f t="shared" si="116"/>
        <v xml:space="preserve">06 </v>
      </c>
      <c r="K615" s="26" t="str">
        <f t="shared" si="117"/>
        <v>TE</v>
      </c>
      <c r="L615" s="26" t="str">
        <f t="shared" si="118"/>
        <v>DGEST</v>
      </c>
      <c r="M615" s="26" t="str">
        <f t="shared" si="112"/>
        <v>FEDERAL</v>
      </c>
      <c r="N615" s="26">
        <v>708</v>
      </c>
      <c r="O615" s="26">
        <v>359</v>
      </c>
      <c r="P615" s="26">
        <v>349</v>
      </c>
      <c r="Q615" s="26">
        <v>16</v>
      </c>
      <c r="R615" s="26">
        <v>1</v>
      </c>
      <c r="S615" s="26">
        <v>31</v>
      </c>
      <c r="T615" s="26">
        <v>28</v>
      </c>
      <c r="U615" s="26">
        <v>60</v>
      </c>
      <c r="V615" s="26">
        <v>1</v>
      </c>
      <c r="W615" s="26"/>
    </row>
    <row r="616" spans="1:23" x14ac:dyDescent="0.25">
      <c r="A616" s="26" t="str">
        <f t="shared" si="111"/>
        <v>SECUNDARIA</v>
      </c>
      <c r="B616" s="26" t="str">
        <f>"09DST0012E"</f>
        <v>09DST0012E</v>
      </c>
      <c r="C616" s="26" t="str">
        <f>"ESCUELA SECUNDARIA TECNICA 12                                                                       "</f>
        <v xml:space="preserve">ESCUELA SECUNDARIA TECNICA 12                                                                       </v>
      </c>
      <c r="D616" s="26" t="str">
        <f>"JORNADA AMPLIADA"</f>
        <v>JORNADA AMPLIADA</v>
      </c>
      <c r="E616" s="26" t="str">
        <f>"MANUEL GONZALEZ NUM 318                                                         "</f>
        <v xml:space="preserve">MANUEL GONZALEZ NUM 318                                                         </v>
      </c>
      <c r="F616" s="26" t="str">
        <f>"UNIDAD NONOALCO TLATELOLCO                                                                                                                  "</f>
        <v xml:space="preserve">UNIDAD NONOALCO TLATELOLCO                                                                                                                  </v>
      </c>
      <c r="G616" s="26" t="str">
        <f>"CUAUHTEMOC                                                                      "</f>
        <v xml:space="preserve">CUAUHTEMOC                                                                      </v>
      </c>
      <c r="H616" s="26" t="str">
        <f t="shared" si="119"/>
        <v>001</v>
      </c>
      <c r="I616" s="26" t="str">
        <f t="shared" si="113"/>
        <v>00</v>
      </c>
      <c r="J616" s="26" t="str">
        <f t="shared" si="116"/>
        <v xml:space="preserve">06 </v>
      </c>
      <c r="K616" s="26" t="str">
        <f t="shared" si="117"/>
        <v>TE</v>
      </c>
      <c r="L616" s="26" t="str">
        <f t="shared" si="118"/>
        <v>DGEST</v>
      </c>
      <c r="M616" s="26" t="str">
        <f t="shared" si="112"/>
        <v>FEDERAL</v>
      </c>
      <c r="N616" s="26">
        <v>676</v>
      </c>
      <c r="O616" s="26">
        <v>336</v>
      </c>
      <c r="P616" s="26">
        <v>340</v>
      </c>
      <c r="Q616" s="26">
        <v>17</v>
      </c>
      <c r="R616" s="26">
        <v>2</v>
      </c>
      <c r="S616" s="26">
        <v>32</v>
      </c>
      <c r="T616" s="26">
        <v>35</v>
      </c>
      <c r="U616" s="26">
        <v>69</v>
      </c>
      <c r="V616" s="26">
        <v>1</v>
      </c>
      <c r="W616" s="26" t="s">
        <v>2076</v>
      </c>
    </row>
    <row r="617" spans="1:23" x14ac:dyDescent="0.25">
      <c r="A617" s="26" t="str">
        <f t="shared" si="111"/>
        <v>SECUNDARIA</v>
      </c>
      <c r="B617" s="26" t="str">
        <f>"09DST0013D"</f>
        <v>09DST0013D</v>
      </c>
      <c r="C617" s="26" t="str">
        <f>"ESCUELA SECUNDARIA TECNICA 13                                                                       "</f>
        <v xml:space="preserve">ESCUELA SECUNDARIA TECNICA 13                                                                       </v>
      </c>
      <c r="D617" s="26" t="str">
        <f>"MATUTINO"</f>
        <v>MATUTINO</v>
      </c>
      <c r="E617" s="26" t="str">
        <f>"JUAN DE DIOS ARIAS S/N ENTRE CHABACANO Y GUMERSINDO E.                          "</f>
        <v xml:space="preserve">JUAN DE DIOS ARIAS S/N ENTRE CHABACANO Y GUMERSINDO E.                          </v>
      </c>
      <c r="F617" s="26" t="str">
        <f>"ASTURIAS AMPLIACION                                                                                                                         "</f>
        <v xml:space="preserve">ASTURIAS AMPLIACION                                                                                                                         </v>
      </c>
      <c r="G617" s="26" t="str">
        <f>"CUAUHTEMOC                                                                      "</f>
        <v xml:space="preserve">CUAUHTEMOC                                                                      </v>
      </c>
      <c r="H617" s="26" t="str">
        <f t="shared" si="119"/>
        <v>001</v>
      </c>
      <c r="I617" s="26" t="str">
        <f t="shared" si="113"/>
        <v>00</v>
      </c>
      <c r="J617" s="26" t="str">
        <f t="shared" si="116"/>
        <v xml:space="preserve">06 </v>
      </c>
      <c r="K617" s="26" t="str">
        <f t="shared" si="117"/>
        <v>TE</v>
      </c>
      <c r="L617" s="26" t="str">
        <f t="shared" si="118"/>
        <v>DGEST</v>
      </c>
      <c r="M617" s="26" t="str">
        <f t="shared" si="112"/>
        <v>FEDERAL</v>
      </c>
      <c r="N617" s="26">
        <v>640</v>
      </c>
      <c r="O617" s="26">
        <v>331</v>
      </c>
      <c r="P617" s="26">
        <v>309</v>
      </c>
      <c r="Q617" s="26">
        <v>15</v>
      </c>
      <c r="R617" s="26">
        <v>2</v>
      </c>
      <c r="S617" s="26">
        <v>31</v>
      </c>
      <c r="T617" s="26">
        <v>29</v>
      </c>
      <c r="U617" s="26">
        <v>62</v>
      </c>
      <c r="V617" s="26">
        <v>1</v>
      </c>
      <c r="W617" s="26"/>
    </row>
    <row r="618" spans="1:23" x14ac:dyDescent="0.25">
      <c r="A618" s="26" t="str">
        <f t="shared" si="111"/>
        <v>SECUNDARIA</v>
      </c>
      <c r="B618" s="26" t="str">
        <f>"09DST0013D"</f>
        <v>09DST0013D</v>
      </c>
      <c r="C618" s="26" t="str">
        <f>"ESCUELA SECUNDARIA TECNICA 13                                                                       "</f>
        <v xml:space="preserve">ESCUELA SECUNDARIA TECNICA 13                                                                       </v>
      </c>
      <c r="D618" s="26" t="str">
        <f>"VESPERTINO"</f>
        <v>VESPERTINO</v>
      </c>
      <c r="E618" s="26" t="str">
        <f>"JUAN DE DIOS ARIAS S/N ENTRE CHABACANO Y GUMERSINDO E.                          "</f>
        <v xml:space="preserve">JUAN DE DIOS ARIAS S/N ENTRE CHABACANO Y GUMERSINDO E.                          </v>
      </c>
      <c r="F618" s="26" t="str">
        <f>"ASTURIAS AMPLIACION                                                                                                                         "</f>
        <v xml:space="preserve">ASTURIAS AMPLIACION                                                                                                                         </v>
      </c>
      <c r="G618" s="26" t="str">
        <f>"CUAUHTEMOC                                                                      "</f>
        <v xml:space="preserve">CUAUHTEMOC                                                                      </v>
      </c>
      <c r="H618" s="26" t="str">
        <f t="shared" si="119"/>
        <v>001</v>
      </c>
      <c r="I618" s="26" t="str">
        <f t="shared" si="113"/>
        <v>00</v>
      </c>
      <c r="J618" s="26" t="str">
        <f t="shared" si="116"/>
        <v xml:space="preserve">06 </v>
      </c>
      <c r="K618" s="26" t="str">
        <f t="shared" si="117"/>
        <v>TE</v>
      </c>
      <c r="L618" s="26" t="str">
        <f t="shared" si="118"/>
        <v>DGEST</v>
      </c>
      <c r="M618" s="26" t="str">
        <f t="shared" si="112"/>
        <v>FEDERAL</v>
      </c>
      <c r="N618" s="26">
        <v>391</v>
      </c>
      <c r="O618" s="26">
        <v>224</v>
      </c>
      <c r="P618" s="26">
        <v>167</v>
      </c>
      <c r="Q618" s="26">
        <v>15</v>
      </c>
      <c r="R618" s="26">
        <v>1</v>
      </c>
      <c r="S618" s="26">
        <v>31</v>
      </c>
      <c r="T618" s="26">
        <v>27</v>
      </c>
      <c r="U618" s="26">
        <v>59</v>
      </c>
      <c r="V618" s="26">
        <v>1</v>
      </c>
      <c r="W618" s="26"/>
    </row>
    <row r="619" spans="1:23" x14ac:dyDescent="0.25">
      <c r="A619" s="26" t="str">
        <f t="shared" si="111"/>
        <v>SECUNDARIA</v>
      </c>
      <c r="B619" s="26" t="str">
        <f>"09DST0014C"</f>
        <v>09DST0014C</v>
      </c>
      <c r="C619" s="26" t="str">
        <f>"ESCUELA SECUNDARIA TECNICA 14                                                                       "</f>
        <v xml:space="preserve">ESCUELA SECUNDARIA TECNICA 14                                                                       </v>
      </c>
      <c r="D619" s="26" t="str">
        <f>"MATUTINO"</f>
        <v>MATUTINO</v>
      </c>
      <c r="E619" s="26" t="str">
        <f>"AV. COYOACAN Y ANGEL URRAZA                                                     "</f>
        <v xml:space="preserve">AV. COYOACAN Y ANGEL URRAZA                                                     </v>
      </c>
      <c r="F619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619" s="26" t="str">
        <f>"BENITO JUAREZ                                                                   "</f>
        <v xml:space="preserve">BENITO JUAREZ                                                                   </v>
      </c>
      <c r="H619" s="26" t="str">
        <f t="shared" si="119"/>
        <v>001</v>
      </c>
      <c r="I619" s="26" t="str">
        <f t="shared" si="113"/>
        <v>00</v>
      </c>
      <c r="J619" s="26" t="str">
        <f t="shared" si="116"/>
        <v xml:space="preserve">06 </v>
      </c>
      <c r="K619" s="26" t="str">
        <f t="shared" si="117"/>
        <v>TE</v>
      </c>
      <c r="L619" s="26" t="str">
        <f t="shared" si="118"/>
        <v>DGEST</v>
      </c>
      <c r="M619" s="26" t="str">
        <f t="shared" si="112"/>
        <v>FEDERAL</v>
      </c>
      <c r="N619" s="26">
        <v>868</v>
      </c>
      <c r="O619" s="26">
        <v>452</v>
      </c>
      <c r="P619" s="26">
        <v>416</v>
      </c>
      <c r="Q619" s="26">
        <v>18</v>
      </c>
      <c r="R619" s="26">
        <v>2</v>
      </c>
      <c r="S619" s="26">
        <v>35</v>
      </c>
      <c r="T619" s="26">
        <v>31</v>
      </c>
      <c r="U619" s="26">
        <v>68</v>
      </c>
      <c r="V619" s="26">
        <v>1</v>
      </c>
      <c r="W619" s="26"/>
    </row>
    <row r="620" spans="1:23" x14ac:dyDescent="0.25">
      <c r="A620" s="26" t="str">
        <f t="shared" si="111"/>
        <v>SECUNDARIA</v>
      </c>
      <c r="B620" s="26" t="str">
        <f>"09DST0014C"</f>
        <v>09DST0014C</v>
      </c>
      <c r="C620" s="26" t="str">
        <f>"ESCUELA SECUNDARIA TECNICA 14                                                                       "</f>
        <v xml:space="preserve">ESCUELA SECUNDARIA TECNICA 14                                                                       </v>
      </c>
      <c r="D620" s="26" t="str">
        <f>"VESPERTINO"</f>
        <v>VESPERTINO</v>
      </c>
      <c r="E620" s="26" t="str">
        <f>"AV. COYOACAN Y ANGEL URRAZA                                                     "</f>
        <v xml:space="preserve">AV. COYOACAN Y ANGEL URRAZA                                                     </v>
      </c>
      <c r="F620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620" s="26" t="str">
        <f>"BENITO JUAREZ                                                                   "</f>
        <v xml:space="preserve">BENITO JUAREZ                                                                   </v>
      </c>
      <c r="H620" s="26" t="str">
        <f t="shared" si="119"/>
        <v>001</v>
      </c>
      <c r="I620" s="26" t="str">
        <f t="shared" si="113"/>
        <v>00</v>
      </c>
      <c r="J620" s="26" t="str">
        <f t="shared" si="116"/>
        <v xml:space="preserve">06 </v>
      </c>
      <c r="K620" s="26" t="str">
        <f t="shared" si="117"/>
        <v>TE</v>
      </c>
      <c r="L620" s="26" t="str">
        <f t="shared" si="118"/>
        <v>DGEST</v>
      </c>
      <c r="M620" s="26" t="str">
        <f t="shared" si="112"/>
        <v>FEDERAL</v>
      </c>
      <c r="N620" s="26">
        <v>567</v>
      </c>
      <c r="O620" s="26">
        <v>299</v>
      </c>
      <c r="P620" s="26">
        <v>268</v>
      </c>
      <c r="Q620" s="26">
        <v>17</v>
      </c>
      <c r="R620" s="26">
        <v>1</v>
      </c>
      <c r="S620" s="26">
        <v>34</v>
      </c>
      <c r="T620" s="26">
        <v>20</v>
      </c>
      <c r="U620" s="26">
        <v>55</v>
      </c>
      <c r="V620" s="26">
        <v>1</v>
      </c>
      <c r="W620" s="26"/>
    </row>
    <row r="621" spans="1:23" x14ac:dyDescent="0.25">
      <c r="A621" s="26" t="str">
        <f t="shared" si="111"/>
        <v>SECUNDARIA</v>
      </c>
      <c r="B621" s="26" t="str">
        <f>"09DST0015B"</f>
        <v>09DST0015B</v>
      </c>
      <c r="C621" s="26" t="str">
        <f>"ESCUELA SECUNDARIA TECNICA 15                                                                       "</f>
        <v xml:space="preserve">ESCUELA SECUNDARIA TECNICA 15                                                                       </v>
      </c>
      <c r="D621" s="26" t="str">
        <f>"MATUTINO"</f>
        <v>MATUTINO</v>
      </c>
      <c r="E621" s="26" t="str">
        <f>"CALZADA AZCAPOTZALCO LA VILLA NO. 259                                           "</f>
        <v xml:space="preserve">CALZADA AZCAPOTZALCO LA VILLA NO. 259                                           </v>
      </c>
      <c r="F621" s="26" t="str">
        <f>"SANTA CATARINA                                                                                                                              "</f>
        <v xml:space="preserve">SANTA CATARINA                                                                                                                              </v>
      </c>
      <c r="G621" s="26" t="str">
        <f>"AZCAPOTZALCO                                                                    "</f>
        <v xml:space="preserve">AZCAPOTZALCO                                                                    </v>
      </c>
      <c r="H621" s="26" t="str">
        <f>"002"</f>
        <v>002</v>
      </c>
      <c r="I621" s="26" t="str">
        <f t="shared" si="113"/>
        <v>00</v>
      </c>
      <c r="J621" s="26" t="str">
        <f t="shared" si="116"/>
        <v xml:space="preserve">06 </v>
      </c>
      <c r="K621" s="26" t="str">
        <f t="shared" si="117"/>
        <v>TE</v>
      </c>
      <c r="L621" s="26" t="str">
        <f t="shared" si="118"/>
        <v>DGEST</v>
      </c>
      <c r="M621" s="26" t="str">
        <f t="shared" si="112"/>
        <v>FEDERAL</v>
      </c>
      <c r="N621" s="26">
        <v>792</v>
      </c>
      <c r="O621" s="26">
        <v>410</v>
      </c>
      <c r="P621" s="26">
        <v>382</v>
      </c>
      <c r="Q621" s="26">
        <v>18</v>
      </c>
      <c r="R621" s="26">
        <v>2</v>
      </c>
      <c r="S621" s="26">
        <v>34</v>
      </c>
      <c r="T621" s="26">
        <v>38</v>
      </c>
      <c r="U621" s="26">
        <v>74</v>
      </c>
      <c r="V621" s="26">
        <v>1</v>
      </c>
      <c r="W621" s="26"/>
    </row>
    <row r="622" spans="1:23" x14ac:dyDescent="0.25">
      <c r="A622" s="26" t="str">
        <f t="shared" si="111"/>
        <v>SECUNDARIA</v>
      </c>
      <c r="B622" s="26" t="str">
        <f>"09DST0015B"</f>
        <v>09DST0015B</v>
      </c>
      <c r="C622" s="26" t="str">
        <f>"ESCUELA SECUNDARIA TECNICA 15                                                                       "</f>
        <v xml:space="preserve">ESCUELA SECUNDARIA TECNICA 15                                                                       </v>
      </c>
      <c r="D622" s="26" t="str">
        <f>"VESPERTINO"</f>
        <v>VESPERTINO</v>
      </c>
      <c r="E622" s="26" t="str">
        <f>"CALZADA AZCAPOTZALCO LA VILLA NO. 259                                           "</f>
        <v xml:space="preserve">CALZADA AZCAPOTZALCO LA VILLA NO. 259                                           </v>
      </c>
      <c r="F622" s="26" t="str">
        <f>"SANTA CATARINA                                                                                                                              "</f>
        <v xml:space="preserve">SANTA CATARINA                                                                                                                              </v>
      </c>
      <c r="G622" s="26" t="str">
        <f>"AZCAPOTZALCO                                                                    "</f>
        <v xml:space="preserve">AZCAPOTZALCO                                                                    </v>
      </c>
      <c r="H622" s="26" t="str">
        <f>"002"</f>
        <v>002</v>
      </c>
      <c r="I622" s="26" t="str">
        <f t="shared" si="113"/>
        <v>00</v>
      </c>
      <c r="J622" s="26" t="str">
        <f t="shared" si="116"/>
        <v xml:space="preserve">06 </v>
      </c>
      <c r="K622" s="26" t="str">
        <f t="shared" si="117"/>
        <v>TE</v>
      </c>
      <c r="L622" s="26" t="str">
        <f t="shared" si="118"/>
        <v>DGEST</v>
      </c>
      <c r="M622" s="26" t="str">
        <f t="shared" si="112"/>
        <v>FEDERAL</v>
      </c>
      <c r="N622" s="26">
        <v>199</v>
      </c>
      <c r="O622" s="26">
        <v>130</v>
      </c>
      <c r="P622" s="26">
        <v>69</v>
      </c>
      <c r="Q622" s="26">
        <v>8</v>
      </c>
      <c r="R622" s="26">
        <v>1</v>
      </c>
      <c r="S622" s="26">
        <v>20</v>
      </c>
      <c r="T622" s="26">
        <v>21</v>
      </c>
      <c r="U622" s="26">
        <v>42</v>
      </c>
      <c r="V622" s="26">
        <v>1</v>
      </c>
      <c r="W622" s="26"/>
    </row>
    <row r="623" spans="1:23" x14ac:dyDescent="0.25">
      <c r="A623" s="26" t="str">
        <f t="shared" si="111"/>
        <v>SECUNDARIA</v>
      </c>
      <c r="B623" s="26" t="str">
        <f>"09DST0016A"</f>
        <v>09DST0016A</v>
      </c>
      <c r="C623" s="26" t="str">
        <f>"ESCUELA SECUNDARIA TECNICA 16                                                                       "</f>
        <v xml:space="preserve">ESCUELA SECUNDARIA TECNICA 16                                                                       </v>
      </c>
      <c r="D623" s="26" t="str">
        <f>"MATUTINO"</f>
        <v>MATUTINO</v>
      </c>
      <c r="E623" s="26" t="str">
        <f>"SALAVERRY NO. 1132 ESQUINA LA RIOJA                                             "</f>
        <v xml:space="preserve">SALAVERRY NO. 1132 ESQUINA LA RIOJA                                             </v>
      </c>
      <c r="F623" s="26" t="str">
        <f>"SAN PEDRO ZACATENCO                                                                                                                         "</f>
        <v xml:space="preserve">SAN PEDRO ZACATENCO                                                                                                                         </v>
      </c>
      <c r="G623" s="26" t="str">
        <f>"GUSTAVO A. MADERO                                                               "</f>
        <v xml:space="preserve">GUSTAVO A. MADERO                                                               </v>
      </c>
      <c r="H623" s="26" t="str">
        <f>"002"</f>
        <v>002</v>
      </c>
      <c r="I623" s="26" t="str">
        <f t="shared" si="113"/>
        <v>00</v>
      </c>
      <c r="J623" s="26" t="str">
        <f t="shared" si="116"/>
        <v xml:space="preserve">06 </v>
      </c>
      <c r="K623" s="26" t="str">
        <f t="shared" si="117"/>
        <v>TE</v>
      </c>
      <c r="L623" s="26" t="str">
        <f t="shared" si="118"/>
        <v>DGEST</v>
      </c>
      <c r="M623" s="26" t="str">
        <f t="shared" si="112"/>
        <v>FEDERAL</v>
      </c>
      <c r="N623" s="26">
        <v>890</v>
      </c>
      <c r="O623" s="26">
        <v>445</v>
      </c>
      <c r="P623" s="26">
        <v>445</v>
      </c>
      <c r="Q623" s="26">
        <v>18</v>
      </c>
      <c r="R623" s="26">
        <v>2</v>
      </c>
      <c r="S623" s="26">
        <v>29</v>
      </c>
      <c r="T623" s="26">
        <v>38</v>
      </c>
      <c r="U623" s="26">
        <v>69</v>
      </c>
      <c r="V623" s="26">
        <v>1</v>
      </c>
      <c r="W623" s="26"/>
    </row>
    <row r="624" spans="1:23" x14ac:dyDescent="0.25">
      <c r="A624" s="26" t="str">
        <f t="shared" si="111"/>
        <v>SECUNDARIA</v>
      </c>
      <c r="B624" s="26" t="str">
        <f>"09DST0016A"</f>
        <v>09DST0016A</v>
      </c>
      <c r="C624" s="26" t="str">
        <f>"ESCUELA SECUNDARIA TECNICA 16                                                                       "</f>
        <v xml:space="preserve">ESCUELA SECUNDARIA TECNICA 16                                                                       </v>
      </c>
      <c r="D624" s="26" t="str">
        <f>"VESPERTINO"</f>
        <v>VESPERTINO</v>
      </c>
      <c r="E624" s="26" t="str">
        <f>"SALAVERRY NO. 1132 ESQUINA LA RIOJA                                             "</f>
        <v xml:space="preserve">SALAVERRY NO. 1132 ESQUINA LA RIOJA                                             </v>
      </c>
      <c r="F624" s="26" t="str">
        <f>"SAN PEDRO ZACATENCO                                                                                                                         "</f>
        <v xml:space="preserve">SAN PEDRO ZACATENCO                                                                                                                         </v>
      </c>
      <c r="G624" s="26" t="str">
        <f>"GUSTAVO A. MADERO                                                               "</f>
        <v xml:space="preserve">GUSTAVO A. MADERO                                                               </v>
      </c>
      <c r="H624" s="26" t="str">
        <f>"002"</f>
        <v>002</v>
      </c>
      <c r="I624" s="26" t="str">
        <f t="shared" si="113"/>
        <v>00</v>
      </c>
      <c r="J624" s="26" t="str">
        <f t="shared" si="116"/>
        <v xml:space="preserve">06 </v>
      </c>
      <c r="K624" s="26" t="str">
        <f t="shared" si="117"/>
        <v>TE</v>
      </c>
      <c r="L624" s="26" t="str">
        <f t="shared" si="118"/>
        <v>DGEST</v>
      </c>
      <c r="M624" s="26" t="str">
        <f t="shared" si="112"/>
        <v>FEDERAL</v>
      </c>
      <c r="N624" s="26">
        <v>779</v>
      </c>
      <c r="O624" s="26">
        <v>377</v>
      </c>
      <c r="P624" s="26">
        <v>402</v>
      </c>
      <c r="Q624" s="26">
        <v>17</v>
      </c>
      <c r="R624" s="26">
        <v>1</v>
      </c>
      <c r="S624" s="26">
        <v>41</v>
      </c>
      <c r="T624" s="26">
        <v>24</v>
      </c>
      <c r="U624" s="26">
        <v>66</v>
      </c>
      <c r="V624" s="26">
        <v>1</v>
      </c>
      <c r="W624" s="26"/>
    </row>
    <row r="625" spans="1:23" x14ac:dyDescent="0.25">
      <c r="A625" s="26" t="str">
        <f t="shared" si="111"/>
        <v>SECUNDARIA</v>
      </c>
      <c r="B625" s="26" t="str">
        <f>"09DST0017Z"</f>
        <v>09DST0017Z</v>
      </c>
      <c r="C625" s="26" t="str">
        <f>"ESCUELA SECUNDARIA TECNICA 17                                                                       "</f>
        <v xml:space="preserve">ESCUELA SECUNDARIA TECNICA 17                                                                       </v>
      </c>
      <c r="D625" s="26" t="str">
        <f>"JORNADA AMPLIADA"</f>
        <v>JORNADA AMPLIADA</v>
      </c>
      <c r="E625" s="26" t="str">
        <f>"AV MIGUEL HIDALGO NUM 62                                                        "</f>
        <v xml:space="preserve">AV MIGUEL HIDALGO NUM 62                                                        </v>
      </c>
      <c r="F625" s="26" t="str">
        <f>"COYOACAN                                                                                                                                    "</f>
        <v xml:space="preserve">COYOACAN                                                                                                                                    </v>
      </c>
      <c r="G625" s="26" t="str">
        <f>"COYOACAN                                                                        "</f>
        <v xml:space="preserve">COYOACAN                                                                        </v>
      </c>
      <c r="H625" s="26" t="str">
        <f>"004"</f>
        <v>004</v>
      </c>
      <c r="I625" s="26" t="str">
        <f t="shared" si="113"/>
        <v>00</v>
      </c>
      <c r="J625" s="26" t="str">
        <f t="shared" si="116"/>
        <v xml:space="preserve">06 </v>
      </c>
      <c r="K625" s="26" t="str">
        <f t="shared" si="117"/>
        <v>TE</v>
      </c>
      <c r="L625" s="26" t="str">
        <f t="shared" si="118"/>
        <v>DGEST</v>
      </c>
      <c r="M625" s="26" t="str">
        <f t="shared" si="112"/>
        <v>FEDERAL</v>
      </c>
      <c r="N625" s="26">
        <v>921</v>
      </c>
      <c r="O625" s="26">
        <v>427</v>
      </c>
      <c r="P625" s="26">
        <v>494</v>
      </c>
      <c r="Q625" s="26">
        <v>17</v>
      </c>
      <c r="R625" s="26">
        <v>2</v>
      </c>
      <c r="S625" s="26">
        <v>34</v>
      </c>
      <c r="T625" s="26">
        <v>43</v>
      </c>
      <c r="U625" s="26">
        <v>79</v>
      </c>
      <c r="V625" s="26">
        <v>1</v>
      </c>
      <c r="W625" s="26" t="s">
        <v>2076</v>
      </c>
    </row>
    <row r="626" spans="1:23" x14ac:dyDescent="0.25">
      <c r="A626" s="26" t="str">
        <f t="shared" si="111"/>
        <v>SECUNDARIA</v>
      </c>
      <c r="B626" s="26" t="str">
        <f>"09DST0018Z"</f>
        <v>09DST0018Z</v>
      </c>
      <c r="C626" s="26" t="str">
        <f>"ESCUELA SECUNDARIA TECNICA 18                                                                       "</f>
        <v xml:space="preserve">ESCUELA SECUNDARIA TECNICA 18                                                                       </v>
      </c>
      <c r="D626" s="26" t="str">
        <f>"MATUTINO"</f>
        <v>MATUTINO</v>
      </c>
      <c r="E626" s="26" t="str">
        <f>"PROL GUERRERO S/N                                                               "</f>
        <v xml:space="preserve">PROL GUERRERO S/N                                                               </v>
      </c>
      <c r="F626" s="26" t="str">
        <f>"SAN PABLO OZTOTEPEC                                                                                                                         "</f>
        <v xml:space="preserve">SAN PABLO OZTOTEPEC                                                                                                                         </v>
      </c>
      <c r="G626" s="26" t="str">
        <f>"MILPA ALTA                                                                      "</f>
        <v xml:space="preserve">MILPA ALTA                                                                      </v>
      </c>
      <c r="H626" s="26" t="str">
        <f>"004"</f>
        <v>004</v>
      </c>
      <c r="I626" s="26" t="str">
        <f t="shared" si="113"/>
        <v>00</v>
      </c>
      <c r="J626" s="26" t="str">
        <f t="shared" si="116"/>
        <v xml:space="preserve">06 </v>
      </c>
      <c r="K626" s="26" t="str">
        <f t="shared" si="117"/>
        <v>TE</v>
      </c>
      <c r="L626" s="26" t="str">
        <f t="shared" si="118"/>
        <v>DGEST</v>
      </c>
      <c r="M626" s="26" t="str">
        <f t="shared" si="112"/>
        <v>FEDERAL</v>
      </c>
      <c r="N626" s="26">
        <v>830</v>
      </c>
      <c r="O626" s="26">
        <v>416</v>
      </c>
      <c r="P626" s="26">
        <v>414</v>
      </c>
      <c r="Q626" s="26">
        <v>18</v>
      </c>
      <c r="R626" s="26">
        <v>2</v>
      </c>
      <c r="S626" s="26">
        <v>28</v>
      </c>
      <c r="T626" s="26">
        <v>30</v>
      </c>
      <c r="U626" s="26">
        <v>60</v>
      </c>
      <c r="V626" s="26">
        <v>1</v>
      </c>
      <c r="W626" s="26"/>
    </row>
    <row r="627" spans="1:23" x14ac:dyDescent="0.25">
      <c r="A627" s="26" t="str">
        <f t="shared" si="111"/>
        <v>SECUNDARIA</v>
      </c>
      <c r="B627" s="26" t="str">
        <f>"09DST0018Z"</f>
        <v>09DST0018Z</v>
      </c>
      <c r="C627" s="26" t="str">
        <f>"ESCUELA SECUNDARIA TECNICA 18                                                                       "</f>
        <v xml:space="preserve">ESCUELA SECUNDARIA TECNICA 18                                                                       </v>
      </c>
      <c r="D627" s="26" t="str">
        <f>"VESPERTINO"</f>
        <v>VESPERTINO</v>
      </c>
      <c r="E627" s="26" t="str">
        <f>"PROL GUERRERO S/N                                                               "</f>
        <v xml:space="preserve">PROL GUERRERO S/N                                                               </v>
      </c>
      <c r="F627" s="26" t="str">
        <f>"SAN PABLO OZTOTEPEC                                                                                                                         "</f>
        <v xml:space="preserve">SAN PABLO OZTOTEPEC                                                                                                                         </v>
      </c>
      <c r="G627" s="26" t="str">
        <f>"MILPA ALTA                                                                      "</f>
        <v xml:space="preserve">MILPA ALTA                                                                      </v>
      </c>
      <c r="H627" s="26" t="str">
        <f>"004"</f>
        <v>004</v>
      </c>
      <c r="I627" s="26" t="str">
        <f t="shared" si="113"/>
        <v>00</v>
      </c>
      <c r="J627" s="26" t="str">
        <f t="shared" si="116"/>
        <v xml:space="preserve">06 </v>
      </c>
      <c r="K627" s="26" t="str">
        <f t="shared" si="117"/>
        <v>TE</v>
      </c>
      <c r="L627" s="26" t="str">
        <f t="shared" si="118"/>
        <v>DGEST</v>
      </c>
      <c r="M627" s="26" t="str">
        <f t="shared" si="112"/>
        <v>FEDERAL</v>
      </c>
      <c r="N627" s="26">
        <v>593</v>
      </c>
      <c r="O627" s="26">
        <v>294</v>
      </c>
      <c r="P627" s="26">
        <v>299</v>
      </c>
      <c r="Q627" s="26">
        <v>16</v>
      </c>
      <c r="R627" s="26">
        <v>1</v>
      </c>
      <c r="S627" s="26">
        <v>26</v>
      </c>
      <c r="T627" s="26">
        <v>29</v>
      </c>
      <c r="U627" s="26">
        <v>56</v>
      </c>
      <c r="V627" s="26">
        <v>1</v>
      </c>
      <c r="W627" s="26"/>
    </row>
    <row r="628" spans="1:23" x14ac:dyDescent="0.25">
      <c r="A628" s="26" t="str">
        <f t="shared" si="111"/>
        <v>SECUNDARIA</v>
      </c>
      <c r="B628" s="26" t="str">
        <f>"09DST0019Y"</f>
        <v>09DST0019Y</v>
      </c>
      <c r="C628" s="26" t="str">
        <f>"ESCUELA SECUNDARIA TECNICA 19                                                                       "</f>
        <v xml:space="preserve">ESCUELA SECUNDARIA TECNICA 19                                                                       </v>
      </c>
      <c r="D628" s="26" t="str">
        <f>"JORNADA AMPLIADA"</f>
        <v>JORNADA AMPLIADA</v>
      </c>
      <c r="E628" s="26" t="str">
        <f>"CALLE CUERVO S/N ENTRE EMILIANO ZAPATA Y JOSE MA. MORELOS                       "</f>
        <v xml:space="preserve">CALLE CUERVO S/N ENTRE EMILIANO ZAPATA Y JOSE MA. MORELOS                       </v>
      </c>
      <c r="F628" s="26" t="str">
        <f>"MIRADOR 2                                                                                                                                   "</f>
        <v xml:space="preserve">MIRADOR 2                                                                                                                                   </v>
      </c>
      <c r="G628" s="26" t="str">
        <f>"TLALPAN                                                                         "</f>
        <v xml:space="preserve">TLALPAN                                                                         </v>
      </c>
      <c r="H628" s="26" t="str">
        <f>"004"</f>
        <v>004</v>
      </c>
      <c r="I628" s="26" t="str">
        <f t="shared" si="113"/>
        <v>00</v>
      </c>
      <c r="J628" s="26" t="str">
        <f t="shared" si="116"/>
        <v xml:space="preserve">06 </v>
      </c>
      <c r="K628" s="26" t="str">
        <f t="shared" si="117"/>
        <v>TE</v>
      </c>
      <c r="L628" s="26" t="str">
        <f t="shared" si="118"/>
        <v>DGEST</v>
      </c>
      <c r="M628" s="26" t="str">
        <f t="shared" si="112"/>
        <v>FEDERAL</v>
      </c>
      <c r="N628" s="26">
        <v>744</v>
      </c>
      <c r="O628" s="26">
        <v>365</v>
      </c>
      <c r="P628" s="26">
        <v>379</v>
      </c>
      <c r="Q628" s="26">
        <v>18</v>
      </c>
      <c r="R628" s="26">
        <v>2</v>
      </c>
      <c r="S628" s="26">
        <v>30</v>
      </c>
      <c r="T628" s="26">
        <v>28</v>
      </c>
      <c r="U628" s="26">
        <v>60</v>
      </c>
      <c r="V628" s="26">
        <v>1</v>
      </c>
      <c r="W628" s="26" t="s">
        <v>2076</v>
      </c>
    </row>
    <row r="629" spans="1:23" x14ac:dyDescent="0.25">
      <c r="A629" s="26" t="str">
        <f t="shared" si="111"/>
        <v>SECUNDARIA</v>
      </c>
      <c r="B629" s="26" t="str">
        <f>"09DST0020N"</f>
        <v>09DST0020N</v>
      </c>
      <c r="C629" s="26" t="str">
        <f>"ESCUELA SECUNDARIA TECNICA 20                                                                       "</f>
        <v xml:space="preserve">ESCUELA SECUNDARIA TECNICA 20                                                                       </v>
      </c>
      <c r="D629" s="26" t="str">
        <f>"MATUTINO"</f>
        <v>MATUTINO</v>
      </c>
      <c r="E629" s="26" t="str">
        <f>"CALLE 5 ESQUINA GUADALUPE S/N                                                   "</f>
        <v xml:space="preserve">CALLE 5 ESQUINA GUADALUPE S/N                                                   </v>
      </c>
      <c r="F629" s="26" t="str">
        <f>"AGRICOLA PANTITLAN                                                                                                                          "</f>
        <v xml:space="preserve">AGRICOLA PANTITLAN                                                                                                                          </v>
      </c>
      <c r="G629" s="26" t="str">
        <f>"IZTACALCO                                                                       "</f>
        <v xml:space="preserve">IZTACALCO                                                                       </v>
      </c>
      <c r="H629" s="26" t="str">
        <f>"003"</f>
        <v>003</v>
      </c>
      <c r="I629" s="26" t="str">
        <f t="shared" si="113"/>
        <v>00</v>
      </c>
      <c r="J629" s="26" t="str">
        <f t="shared" si="116"/>
        <v xml:space="preserve">06 </v>
      </c>
      <c r="K629" s="26" t="str">
        <f t="shared" si="117"/>
        <v>TE</v>
      </c>
      <c r="L629" s="26" t="str">
        <f t="shared" si="118"/>
        <v>DGEST</v>
      </c>
      <c r="M629" s="26" t="str">
        <f t="shared" si="112"/>
        <v>FEDERAL</v>
      </c>
      <c r="N629" s="26">
        <v>897</v>
      </c>
      <c r="O629" s="26">
        <v>428</v>
      </c>
      <c r="P629" s="26">
        <v>469</v>
      </c>
      <c r="Q629" s="26">
        <v>18</v>
      </c>
      <c r="R629" s="26">
        <v>2</v>
      </c>
      <c r="S629" s="26">
        <v>31</v>
      </c>
      <c r="T629" s="26">
        <v>32</v>
      </c>
      <c r="U629" s="26">
        <v>65</v>
      </c>
      <c r="V629" s="26">
        <v>1</v>
      </c>
      <c r="W629" s="26"/>
    </row>
    <row r="630" spans="1:23" x14ac:dyDescent="0.25">
      <c r="A630" s="26" t="str">
        <f t="shared" si="111"/>
        <v>SECUNDARIA</v>
      </c>
      <c r="B630" s="26" t="str">
        <f>"09DST0020N"</f>
        <v>09DST0020N</v>
      </c>
      <c r="C630" s="26" t="str">
        <f>"ESCUELA SECUNDARIA TECNICA 20                                                                       "</f>
        <v xml:space="preserve">ESCUELA SECUNDARIA TECNICA 20                                                                       </v>
      </c>
      <c r="D630" s="26" t="str">
        <f>"VESPERTINO"</f>
        <v>VESPERTINO</v>
      </c>
      <c r="E630" s="26" t="str">
        <f>"CALLE 5 ESQUINA GUADALUPE S/N                                                   "</f>
        <v xml:space="preserve">CALLE 5 ESQUINA GUADALUPE S/N                                                   </v>
      </c>
      <c r="F630" s="26" t="str">
        <f>"AGRICOLA PANTITLAN                                                                                                                          "</f>
        <v xml:space="preserve">AGRICOLA PANTITLAN                                                                                                                          </v>
      </c>
      <c r="G630" s="26" t="str">
        <f>"IZTACALCO                                                                       "</f>
        <v xml:space="preserve">IZTACALCO                                                                       </v>
      </c>
      <c r="H630" s="26" t="str">
        <f>"003"</f>
        <v>003</v>
      </c>
      <c r="I630" s="26" t="str">
        <f t="shared" si="113"/>
        <v>00</v>
      </c>
      <c r="J630" s="26" t="str">
        <f t="shared" si="116"/>
        <v xml:space="preserve">06 </v>
      </c>
      <c r="K630" s="26" t="str">
        <f t="shared" si="117"/>
        <v>TE</v>
      </c>
      <c r="L630" s="26" t="str">
        <f t="shared" si="118"/>
        <v>DGEST</v>
      </c>
      <c r="M630" s="26" t="str">
        <f t="shared" si="112"/>
        <v>FEDERAL</v>
      </c>
      <c r="N630" s="26">
        <v>694</v>
      </c>
      <c r="O630" s="26">
        <v>312</v>
      </c>
      <c r="P630" s="26">
        <v>382</v>
      </c>
      <c r="Q630" s="26">
        <v>18</v>
      </c>
      <c r="R630" s="26">
        <v>1</v>
      </c>
      <c r="S630" s="26">
        <v>35</v>
      </c>
      <c r="T630" s="26">
        <v>27</v>
      </c>
      <c r="U630" s="26">
        <v>63</v>
      </c>
      <c r="V630" s="26">
        <v>1</v>
      </c>
      <c r="W630" s="26"/>
    </row>
    <row r="631" spans="1:23" x14ac:dyDescent="0.25">
      <c r="A631" s="26" t="str">
        <f t="shared" si="111"/>
        <v>SECUNDARIA</v>
      </c>
      <c r="B631" s="26" t="str">
        <f>"09DST0021M"</f>
        <v>09DST0021M</v>
      </c>
      <c r="C631" s="26" t="str">
        <f>"ESCUELA SECUNDARIA TECNICA 21                                                                       "</f>
        <v xml:space="preserve">ESCUELA SECUNDARIA TECNICA 21                                                                       </v>
      </c>
      <c r="D631" s="26" t="str">
        <f>"MATUTINO"</f>
        <v>MATUTINO</v>
      </c>
      <c r="E631" s="26" t="str">
        <f>"ROSA BLANCA NO. 18                                                              "</f>
        <v xml:space="preserve">ROSA BLANCA NO. 18                                                              </v>
      </c>
      <c r="F631" s="26" t="str">
        <f>"ALFONSO XIII                                                                                                                                "</f>
        <v xml:space="preserve">ALFONSO XIII                                                                                                                                </v>
      </c>
      <c r="G631" s="26" t="str">
        <f>"ALVARO OBREGON                                                                  "</f>
        <v xml:space="preserve">ALVARO OBREGON                                                                  </v>
      </c>
      <c r="H631" s="26" t="str">
        <f>"001"</f>
        <v>001</v>
      </c>
      <c r="I631" s="26" t="str">
        <f t="shared" si="113"/>
        <v>00</v>
      </c>
      <c r="J631" s="26" t="str">
        <f t="shared" si="116"/>
        <v xml:space="preserve">06 </v>
      </c>
      <c r="K631" s="26" t="str">
        <f t="shared" si="117"/>
        <v>TE</v>
      </c>
      <c r="L631" s="26" t="str">
        <f t="shared" si="118"/>
        <v>DGEST</v>
      </c>
      <c r="M631" s="26" t="str">
        <f t="shared" si="112"/>
        <v>FEDERAL</v>
      </c>
      <c r="N631" s="26">
        <v>617</v>
      </c>
      <c r="O631" s="26">
        <v>347</v>
      </c>
      <c r="P631" s="26">
        <v>270</v>
      </c>
      <c r="Q631" s="26">
        <v>16</v>
      </c>
      <c r="R631" s="26">
        <v>2</v>
      </c>
      <c r="S631" s="26">
        <v>32</v>
      </c>
      <c r="T631" s="26">
        <v>28</v>
      </c>
      <c r="U631" s="26">
        <v>62</v>
      </c>
      <c r="V631" s="26">
        <v>1</v>
      </c>
      <c r="W631" s="26"/>
    </row>
    <row r="632" spans="1:23" x14ac:dyDescent="0.25">
      <c r="A632" s="26" t="str">
        <f t="shared" si="111"/>
        <v>SECUNDARIA</v>
      </c>
      <c r="B632" s="26" t="str">
        <f>"09DST0021M"</f>
        <v>09DST0021M</v>
      </c>
      <c r="C632" s="26" t="str">
        <f>"ESCUELA SECUNDARIA TECNICA 21                                                                       "</f>
        <v xml:space="preserve">ESCUELA SECUNDARIA TECNICA 21                                                                       </v>
      </c>
      <c r="D632" s="26" t="str">
        <f>"VESPERTINO"</f>
        <v>VESPERTINO</v>
      </c>
      <c r="E632" s="26" t="str">
        <f>"ROSA BLANCA NO. 18                                                              "</f>
        <v xml:space="preserve">ROSA BLANCA NO. 18                                                              </v>
      </c>
      <c r="F632" s="26" t="str">
        <f>"ALFONSO XIII                                                                                                                                "</f>
        <v xml:space="preserve">ALFONSO XIII                                                                                                                                </v>
      </c>
      <c r="G632" s="26" t="str">
        <f>"ALVARO OBREGON                                                                  "</f>
        <v xml:space="preserve">ALVARO OBREGON                                                                  </v>
      </c>
      <c r="H632" s="26" t="str">
        <f>"001"</f>
        <v>001</v>
      </c>
      <c r="I632" s="26" t="str">
        <f t="shared" si="113"/>
        <v>00</v>
      </c>
      <c r="J632" s="26" t="str">
        <f t="shared" si="116"/>
        <v xml:space="preserve">06 </v>
      </c>
      <c r="K632" s="26" t="str">
        <f t="shared" si="117"/>
        <v>TE</v>
      </c>
      <c r="L632" s="26" t="str">
        <f t="shared" si="118"/>
        <v>DGEST</v>
      </c>
      <c r="M632" s="26" t="str">
        <f t="shared" si="112"/>
        <v>FEDERAL</v>
      </c>
      <c r="N632" s="26">
        <v>195</v>
      </c>
      <c r="O632" s="26">
        <v>120</v>
      </c>
      <c r="P632" s="26">
        <v>75</v>
      </c>
      <c r="Q632" s="26">
        <v>6</v>
      </c>
      <c r="R632" s="26">
        <v>1</v>
      </c>
      <c r="S632" s="26">
        <v>17</v>
      </c>
      <c r="T632" s="26">
        <v>18</v>
      </c>
      <c r="U632" s="26">
        <v>36</v>
      </c>
      <c r="V632" s="26">
        <v>1</v>
      </c>
      <c r="W632" s="26"/>
    </row>
    <row r="633" spans="1:23" x14ac:dyDescent="0.25">
      <c r="A633" s="26" t="str">
        <f t="shared" si="111"/>
        <v>SECUNDARIA</v>
      </c>
      <c r="B633" s="26" t="str">
        <f>"09DST0022L"</f>
        <v>09DST0022L</v>
      </c>
      <c r="C633" s="26" t="str">
        <f>"ESCUELA SECUNDARIA TECNICA 22                                                                       "</f>
        <v xml:space="preserve">ESCUELA SECUNDARIA TECNICA 22                                                                       </v>
      </c>
      <c r="D633" s="26" t="str">
        <f>"JORNADA AMPLIADA"</f>
        <v>JORNADA AMPLIADA</v>
      </c>
      <c r="E633" s="26" t="str">
        <f>"AÑIL NUM 154                                                                    "</f>
        <v xml:space="preserve">AÑIL NUM 154                                                                    </v>
      </c>
      <c r="F633" s="26" t="str">
        <f>"GRANJAS MEXICO                                                                                                                              "</f>
        <v xml:space="preserve">GRANJAS MEXICO                                                                                                                              </v>
      </c>
      <c r="G633" s="26" t="str">
        <f>"IZTACALCO                                                                       "</f>
        <v xml:space="preserve">IZTACALCO                                                                       </v>
      </c>
      <c r="H633" s="26" t="str">
        <f>"003"</f>
        <v>003</v>
      </c>
      <c r="I633" s="26" t="str">
        <f t="shared" si="113"/>
        <v>00</v>
      </c>
      <c r="J633" s="26" t="str">
        <f t="shared" si="116"/>
        <v xml:space="preserve">06 </v>
      </c>
      <c r="K633" s="26" t="str">
        <f t="shared" si="117"/>
        <v>TE</v>
      </c>
      <c r="L633" s="26" t="str">
        <f t="shared" si="118"/>
        <v>DGEST</v>
      </c>
      <c r="M633" s="26" t="str">
        <f t="shared" si="112"/>
        <v>FEDERAL</v>
      </c>
      <c r="N633" s="26">
        <v>733</v>
      </c>
      <c r="O633" s="26">
        <v>356</v>
      </c>
      <c r="P633" s="26">
        <v>377</v>
      </c>
      <c r="Q633" s="26">
        <v>18</v>
      </c>
      <c r="R633" s="26">
        <v>2</v>
      </c>
      <c r="S633" s="26">
        <v>37</v>
      </c>
      <c r="T633" s="26">
        <v>36</v>
      </c>
      <c r="U633" s="26">
        <v>75</v>
      </c>
      <c r="V633" s="26">
        <v>1</v>
      </c>
      <c r="W633" s="26" t="s">
        <v>2076</v>
      </c>
    </row>
    <row r="634" spans="1:23" x14ac:dyDescent="0.25">
      <c r="A634" s="26" t="str">
        <f t="shared" si="111"/>
        <v>SECUNDARIA</v>
      </c>
      <c r="B634" s="26" t="str">
        <f>"09DST0023K"</f>
        <v>09DST0023K</v>
      </c>
      <c r="C634" s="26" t="str">
        <f>"ESCUELA SECUNDARIA TECNICA 23                                                                       "</f>
        <v xml:space="preserve">ESCUELA SECUNDARIA TECNICA 23                                                                       </v>
      </c>
      <c r="D634" s="26" t="str">
        <f>"JORNADA AMPLIADA"</f>
        <v>JORNADA AMPLIADA</v>
      </c>
      <c r="E634" s="26" t="str">
        <f>"ESTRELLA NO 27                                                                  "</f>
        <v xml:space="preserve">ESTRELLA NO 27                                                                  </v>
      </c>
      <c r="F634" s="26" t="str">
        <f>"GUERRERO                                                                                                                                    "</f>
        <v xml:space="preserve">GUERRERO                                                                                                                                    </v>
      </c>
      <c r="G634" s="26" t="str">
        <f>"CUAUHTEMOC                                                                      "</f>
        <v xml:space="preserve">CUAUHTEMOC                                                                      </v>
      </c>
      <c r="H634" s="26" t="str">
        <f>"001"</f>
        <v>001</v>
      </c>
      <c r="I634" s="26" t="str">
        <f t="shared" si="113"/>
        <v>00</v>
      </c>
      <c r="J634" s="26" t="str">
        <f t="shared" si="116"/>
        <v xml:space="preserve">06 </v>
      </c>
      <c r="K634" s="26" t="str">
        <f t="shared" si="117"/>
        <v>TE</v>
      </c>
      <c r="L634" s="26" t="str">
        <f t="shared" si="118"/>
        <v>DGEST</v>
      </c>
      <c r="M634" s="26" t="str">
        <f t="shared" si="112"/>
        <v>FEDERAL</v>
      </c>
      <c r="N634" s="26">
        <v>305</v>
      </c>
      <c r="O634" s="26">
        <v>166</v>
      </c>
      <c r="P634" s="26">
        <v>139</v>
      </c>
      <c r="Q634" s="26">
        <v>10</v>
      </c>
      <c r="R634" s="26">
        <v>2</v>
      </c>
      <c r="S634" s="26">
        <v>29</v>
      </c>
      <c r="T634" s="26">
        <v>22</v>
      </c>
      <c r="U634" s="26">
        <v>53</v>
      </c>
      <c r="V634" s="26">
        <v>1</v>
      </c>
      <c r="W634" s="26" t="s">
        <v>2076</v>
      </c>
    </row>
    <row r="635" spans="1:23" x14ac:dyDescent="0.25">
      <c r="A635" s="26" t="str">
        <f t="shared" si="111"/>
        <v>SECUNDARIA</v>
      </c>
      <c r="B635" s="26" t="str">
        <f>"09DST0024J"</f>
        <v>09DST0024J</v>
      </c>
      <c r="C635" s="26" t="str">
        <f>"ESCUELA SECUNDARIA TECNICA 24                                                                       "</f>
        <v xml:space="preserve">ESCUELA SECUNDARIA TECNICA 24                                                                       </v>
      </c>
      <c r="D635" s="26" t="str">
        <f>"MATUTINO"</f>
        <v>MATUTINO</v>
      </c>
      <c r="E635" s="26" t="str">
        <f>"NORTE 33 S/N                                                                    "</f>
        <v xml:space="preserve">NORTE 33 S/N                                                                    </v>
      </c>
      <c r="F635" s="26" t="str">
        <f>"MOCTEZUMA 2A SECCION                                                                                                                        "</f>
        <v xml:space="preserve">MOCTEZUMA 2A SECCION                                                                                                                        </v>
      </c>
      <c r="G635" s="26" t="str">
        <f>"VENUSTIANO CARRANZA                                                             "</f>
        <v xml:space="preserve">VENUSTIANO CARRANZA                                                             </v>
      </c>
      <c r="H635" s="26" t="str">
        <f>"002"</f>
        <v>002</v>
      </c>
      <c r="I635" s="26" t="str">
        <f t="shared" si="113"/>
        <v>00</v>
      </c>
      <c r="J635" s="26" t="str">
        <f t="shared" si="116"/>
        <v xml:space="preserve">06 </v>
      </c>
      <c r="K635" s="26" t="str">
        <f t="shared" si="117"/>
        <v>TE</v>
      </c>
      <c r="L635" s="26" t="str">
        <f t="shared" si="118"/>
        <v>DGEST</v>
      </c>
      <c r="M635" s="26" t="str">
        <f t="shared" si="112"/>
        <v>FEDERAL</v>
      </c>
      <c r="N635" s="26">
        <v>774</v>
      </c>
      <c r="O635" s="26">
        <v>425</v>
      </c>
      <c r="P635" s="26">
        <v>349</v>
      </c>
      <c r="Q635" s="26">
        <v>18</v>
      </c>
      <c r="R635" s="26">
        <v>2</v>
      </c>
      <c r="S635" s="26">
        <v>30</v>
      </c>
      <c r="T635" s="26">
        <v>38</v>
      </c>
      <c r="U635" s="26">
        <v>70</v>
      </c>
      <c r="V635" s="26">
        <v>1</v>
      </c>
      <c r="W635" s="26"/>
    </row>
    <row r="636" spans="1:23" x14ac:dyDescent="0.25">
      <c r="A636" s="26" t="str">
        <f t="shared" si="111"/>
        <v>SECUNDARIA</v>
      </c>
      <c r="B636" s="26" t="str">
        <f>"09DST0024J"</f>
        <v>09DST0024J</v>
      </c>
      <c r="C636" s="26" t="str">
        <f>"ESCUELA SECUNDARIA TECNICA 24                                                                       "</f>
        <v xml:space="preserve">ESCUELA SECUNDARIA TECNICA 24                                                                       </v>
      </c>
      <c r="D636" s="26" t="str">
        <f>"VESPERTINO"</f>
        <v>VESPERTINO</v>
      </c>
      <c r="E636" s="26" t="str">
        <f>"NORTE 33 S/N                                                                    "</f>
        <v xml:space="preserve">NORTE 33 S/N                                                                    </v>
      </c>
      <c r="F636" s="26" t="str">
        <f>"MOCTEZUMA 2A SECCION                                                                                                                        "</f>
        <v xml:space="preserve">MOCTEZUMA 2A SECCION                                                                                                                        </v>
      </c>
      <c r="G636" s="26" t="str">
        <f>"VENUSTIANO CARRANZA                                                             "</f>
        <v xml:space="preserve">VENUSTIANO CARRANZA                                                             </v>
      </c>
      <c r="H636" s="26" t="str">
        <f>"002"</f>
        <v>002</v>
      </c>
      <c r="I636" s="26" t="str">
        <f t="shared" si="113"/>
        <v>00</v>
      </c>
      <c r="J636" s="26" t="str">
        <f t="shared" si="116"/>
        <v xml:space="preserve">06 </v>
      </c>
      <c r="K636" s="26" t="str">
        <f t="shared" si="117"/>
        <v>TE</v>
      </c>
      <c r="L636" s="26" t="str">
        <f t="shared" si="118"/>
        <v>DGEST</v>
      </c>
      <c r="M636" s="26" t="str">
        <f t="shared" si="112"/>
        <v>FEDERAL</v>
      </c>
      <c r="N636" s="26">
        <v>408</v>
      </c>
      <c r="O636" s="26">
        <v>238</v>
      </c>
      <c r="P636" s="26">
        <v>170</v>
      </c>
      <c r="Q636" s="26">
        <v>14</v>
      </c>
      <c r="R636" s="26">
        <v>1</v>
      </c>
      <c r="S636" s="26">
        <v>26</v>
      </c>
      <c r="T636" s="26">
        <v>27</v>
      </c>
      <c r="U636" s="26">
        <v>54</v>
      </c>
      <c r="V636" s="26">
        <v>1</v>
      </c>
      <c r="W636" s="26"/>
    </row>
    <row r="637" spans="1:23" x14ac:dyDescent="0.25">
      <c r="A637" s="26" t="str">
        <f t="shared" si="111"/>
        <v>SECUNDARIA</v>
      </c>
      <c r="B637" s="26" t="str">
        <f>"09DST0025I"</f>
        <v>09DST0025I</v>
      </c>
      <c r="C637" s="26" t="str">
        <f>"ESCUELA SECUNDARIA TECNICA 25                                                                       "</f>
        <v xml:space="preserve">ESCUELA SECUNDARIA TECNICA 25                                                                       </v>
      </c>
      <c r="D637" s="26" t="str">
        <f>"TIEMPO COMPLETO"</f>
        <v>TIEMPO COMPLETO</v>
      </c>
      <c r="E637" s="26" t="str">
        <f>"GRAN BRETAÑA NO. 147                                                            "</f>
        <v xml:space="preserve">GRAN BRETAÑA NO. 147                                                            </v>
      </c>
      <c r="F637" s="26" t="str">
        <f>"SAN ANDRES TETEPILCO                                                                                                                        "</f>
        <v xml:space="preserve">SAN ANDRES TETEPILCO                                                                                                                        </v>
      </c>
      <c r="G637" s="26" t="str">
        <f>"IZTAPALAPA                                                                      "</f>
        <v xml:space="preserve">IZTAPALAPA                                                                      </v>
      </c>
      <c r="H637" s="26" t="str">
        <f>"003"</f>
        <v>003</v>
      </c>
      <c r="I637" s="26" t="str">
        <f t="shared" si="113"/>
        <v>00</v>
      </c>
      <c r="J637" s="26" t="str">
        <f t="shared" si="116"/>
        <v xml:space="preserve">06 </v>
      </c>
      <c r="K637" s="26" t="str">
        <f t="shared" si="117"/>
        <v>TE</v>
      </c>
      <c r="L637" s="26" t="str">
        <f t="shared" si="118"/>
        <v>DGEST</v>
      </c>
      <c r="M637" s="26" t="str">
        <f t="shared" si="112"/>
        <v>FEDERAL</v>
      </c>
      <c r="N637" s="26">
        <v>709</v>
      </c>
      <c r="O637" s="26">
        <v>328</v>
      </c>
      <c r="P637" s="26">
        <v>381</v>
      </c>
      <c r="Q637" s="26">
        <v>16</v>
      </c>
      <c r="R637" s="26">
        <v>2</v>
      </c>
      <c r="S637" s="26">
        <v>38</v>
      </c>
      <c r="T637" s="26">
        <v>45</v>
      </c>
      <c r="U637" s="26">
        <v>85</v>
      </c>
      <c r="V637" s="26">
        <v>1</v>
      </c>
      <c r="W637" s="26" t="s">
        <v>218</v>
      </c>
    </row>
    <row r="638" spans="1:23" x14ac:dyDescent="0.25">
      <c r="A638" s="26" t="str">
        <f t="shared" si="111"/>
        <v>SECUNDARIA</v>
      </c>
      <c r="B638" s="26" t="str">
        <f>"09DST0026H"</f>
        <v>09DST0026H</v>
      </c>
      <c r="C638" s="26" t="str">
        <f>"ESCUELA SECUNDARIA TECNICA 26                                                                       "</f>
        <v xml:space="preserve">ESCUELA SECUNDARIA TECNICA 26                                                                       </v>
      </c>
      <c r="D638" s="26" t="str">
        <f>"JORNADA AMPLIADA"</f>
        <v>JORNADA AMPLIADA</v>
      </c>
      <c r="E638" s="26" t="str">
        <f>"LAGO NESS NUM 9                                                                 "</f>
        <v xml:space="preserve">LAGO NESS NUM 9                                                                 </v>
      </c>
      <c r="F638" s="26" t="str">
        <f>"PENSIL NORTE                                                                                                                                "</f>
        <v xml:space="preserve">PENSIL NORTE                                                                                                                                </v>
      </c>
      <c r="G638" s="26" t="str">
        <f>"MIGUEL HIDALGO                                                                  "</f>
        <v xml:space="preserve">MIGUEL HIDALGO                                                                  </v>
      </c>
      <c r="H638" s="26" t="str">
        <f>"001"</f>
        <v>001</v>
      </c>
      <c r="I638" s="26" t="str">
        <f t="shared" si="113"/>
        <v>00</v>
      </c>
      <c r="J638" s="26" t="str">
        <f t="shared" si="116"/>
        <v xml:space="preserve">06 </v>
      </c>
      <c r="K638" s="26" t="str">
        <f t="shared" si="117"/>
        <v>TE</v>
      </c>
      <c r="L638" s="26" t="str">
        <f t="shared" si="118"/>
        <v>DGEST</v>
      </c>
      <c r="M638" s="26" t="str">
        <f t="shared" si="112"/>
        <v>FEDERAL</v>
      </c>
      <c r="N638" s="26">
        <v>405</v>
      </c>
      <c r="O638" s="26">
        <v>240</v>
      </c>
      <c r="P638" s="26">
        <v>165</v>
      </c>
      <c r="Q638" s="26">
        <v>15</v>
      </c>
      <c r="R638" s="26">
        <v>2</v>
      </c>
      <c r="S638" s="26">
        <v>30</v>
      </c>
      <c r="T638" s="26">
        <v>28</v>
      </c>
      <c r="U638" s="26">
        <v>60</v>
      </c>
      <c r="V638" s="26">
        <v>1</v>
      </c>
      <c r="W638" s="26" t="s">
        <v>2076</v>
      </c>
    </row>
    <row r="639" spans="1:23" x14ac:dyDescent="0.25">
      <c r="A639" s="26" t="str">
        <f t="shared" si="111"/>
        <v>SECUNDARIA</v>
      </c>
      <c r="B639" s="26" t="str">
        <f>"09DST0027G"</f>
        <v>09DST0027G</v>
      </c>
      <c r="C639" s="26" t="str">
        <f>"ESCUELA SECUNDARIA TECNICA 27                                                                       "</f>
        <v xml:space="preserve">ESCUELA SECUNDARIA TECNICA 27                                                                       </v>
      </c>
      <c r="D639" s="26" t="str">
        <f>"MATUTINO"</f>
        <v>MATUTINO</v>
      </c>
      <c r="E639" s="26" t="str">
        <f>"GERTRUDIS SANCHEZ NO. 33 Y CANDIDO NAVARRO                                      "</f>
        <v xml:space="preserve">GERTRUDIS SANCHEZ NO. 33 Y CANDIDO NAVARRO                                      </v>
      </c>
      <c r="F639" s="26" t="str">
        <f>"SAN JUAN TLIHUACA                                                                                                                           "</f>
        <v xml:space="preserve">SAN JUAN TLIHUACA                                                                                                                           </v>
      </c>
      <c r="G639" s="26" t="str">
        <f>"AZCAPOTZALCO                                                                    "</f>
        <v xml:space="preserve">AZCAPOTZALCO                                                                    </v>
      </c>
      <c r="H639" s="26" t="str">
        <f>"002"</f>
        <v>002</v>
      </c>
      <c r="I639" s="26" t="str">
        <f t="shared" si="113"/>
        <v>00</v>
      </c>
      <c r="J639" s="26" t="str">
        <f t="shared" si="116"/>
        <v xml:space="preserve">06 </v>
      </c>
      <c r="K639" s="26" t="str">
        <f t="shared" si="117"/>
        <v>TE</v>
      </c>
      <c r="L639" s="26" t="str">
        <f t="shared" si="118"/>
        <v>DGEST</v>
      </c>
      <c r="M639" s="26" t="str">
        <f t="shared" si="112"/>
        <v>FEDERAL</v>
      </c>
      <c r="N639" s="26">
        <v>807</v>
      </c>
      <c r="O639" s="26">
        <v>422</v>
      </c>
      <c r="P639" s="26">
        <v>385</v>
      </c>
      <c r="Q639" s="26">
        <v>18</v>
      </c>
      <c r="R639" s="26">
        <v>2</v>
      </c>
      <c r="S639" s="26">
        <v>33</v>
      </c>
      <c r="T639" s="26">
        <v>34</v>
      </c>
      <c r="U639" s="26">
        <v>69</v>
      </c>
      <c r="V639" s="26">
        <v>1</v>
      </c>
      <c r="W639" s="26"/>
    </row>
    <row r="640" spans="1:23" x14ac:dyDescent="0.25">
      <c r="A640" s="26" t="str">
        <f t="shared" si="111"/>
        <v>SECUNDARIA</v>
      </c>
      <c r="B640" s="26" t="str">
        <f>"09DST0027G"</f>
        <v>09DST0027G</v>
      </c>
      <c r="C640" s="26" t="str">
        <f>"ESCUELA SECUNDARIA TECNICA 27                                                                       "</f>
        <v xml:space="preserve">ESCUELA SECUNDARIA TECNICA 27                                                                       </v>
      </c>
      <c r="D640" s="26" t="str">
        <f>"VESPERTINO"</f>
        <v>VESPERTINO</v>
      </c>
      <c r="E640" s="26" t="str">
        <f>"GERTRUDIS SANCHEZ NO. 33 Y CANDIDO NAVARRO                                      "</f>
        <v xml:space="preserve">GERTRUDIS SANCHEZ NO. 33 Y CANDIDO NAVARRO                                      </v>
      </c>
      <c r="F640" s="26" t="str">
        <f>"SAN JUAN TLIHUACA                                                                                                                           "</f>
        <v xml:space="preserve">SAN JUAN TLIHUACA                                                                                                                           </v>
      </c>
      <c r="G640" s="26" t="str">
        <f>"AZCAPOTZALCO                                                                    "</f>
        <v xml:space="preserve">AZCAPOTZALCO                                                                    </v>
      </c>
      <c r="H640" s="26" t="str">
        <f>"002"</f>
        <v>002</v>
      </c>
      <c r="I640" s="26" t="str">
        <f t="shared" si="113"/>
        <v>00</v>
      </c>
      <c r="J640" s="26" t="str">
        <f t="shared" si="116"/>
        <v xml:space="preserve">06 </v>
      </c>
      <c r="K640" s="26" t="str">
        <f t="shared" si="117"/>
        <v>TE</v>
      </c>
      <c r="L640" s="26" t="str">
        <f t="shared" si="118"/>
        <v>DGEST</v>
      </c>
      <c r="M640" s="26" t="str">
        <f t="shared" si="112"/>
        <v>FEDERAL</v>
      </c>
      <c r="N640" s="26">
        <v>263</v>
      </c>
      <c r="O640" s="26">
        <v>126</v>
      </c>
      <c r="P640" s="26">
        <v>137</v>
      </c>
      <c r="Q640" s="26">
        <v>15</v>
      </c>
      <c r="R640" s="26">
        <v>1</v>
      </c>
      <c r="S640" s="26">
        <v>30</v>
      </c>
      <c r="T640" s="26">
        <v>26</v>
      </c>
      <c r="U640" s="26">
        <v>57</v>
      </c>
      <c r="V640" s="26">
        <v>1</v>
      </c>
      <c r="W640" s="26"/>
    </row>
    <row r="641" spans="1:23" x14ac:dyDescent="0.25">
      <c r="A641" s="26" t="str">
        <f t="shared" si="111"/>
        <v>SECUNDARIA</v>
      </c>
      <c r="B641" s="26" t="str">
        <f>"09DST0028F"</f>
        <v>09DST0028F</v>
      </c>
      <c r="C641" s="26" t="str">
        <f>"ESCUELA SECUNDARIA TECNICA 28                                                                       "</f>
        <v xml:space="preserve">ESCUELA SECUNDARIA TECNICA 28                                                                       </v>
      </c>
      <c r="D641" s="26" t="str">
        <f>"MATUTINO"</f>
        <v>MATUTINO</v>
      </c>
      <c r="E641" s="26" t="str">
        <f>"AV MEXICO NUM 6242                                                              "</f>
        <v xml:space="preserve">AV MEXICO NUM 6242                                                              </v>
      </c>
      <c r="F641" s="26" t="str">
        <f>"TIERRA NUEVA                                                                                                                                "</f>
        <v xml:space="preserve">TIERRA NUEVA                                                                                                                                </v>
      </c>
      <c r="G641" s="26" t="str">
        <f>"XOCHIMILCO                                                                      "</f>
        <v xml:space="preserve">XOCHIMILCO                                                                      </v>
      </c>
      <c r="H641" s="26" t="str">
        <f>"004"</f>
        <v>004</v>
      </c>
      <c r="I641" s="26" t="str">
        <f t="shared" si="113"/>
        <v>00</v>
      </c>
      <c r="J641" s="26" t="str">
        <f t="shared" si="116"/>
        <v xml:space="preserve">06 </v>
      </c>
      <c r="K641" s="26" t="str">
        <f t="shared" si="117"/>
        <v>TE</v>
      </c>
      <c r="L641" s="26" t="str">
        <f t="shared" si="118"/>
        <v>DGEST</v>
      </c>
      <c r="M641" s="26" t="str">
        <f t="shared" si="112"/>
        <v>FEDERAL</v>
      </c>
      <c r="N641" s="26">
        <v>798</v>
      </c>
      <c r="O641" s="26">
        <v>391</v>
      </c>
      <c r="P641" s="26">
        <v>407</v>
      </c>
      <c r="Q641" s="26">
        <v>18</v>
      </c>
      <c r="R641" s="26">
        <v>2</v>
      </c>
      <c r="S641" s="26">
        <v>36</v>
      </c>
      <c r="T641" s="26">
        <v>32</v>
      </c>
      <c r="U641" s="26">
        <v>70</v>
      </c>
      <c r="V641" s="26">
        <v>1</v>
      </c>
      <c r="W641" s="26"/>
    </row>
    <row r="642" spans="1:23" x14ac:dyDescent="0.25">
      <c r="A642" s="26" t="str">
        <f t="shared" ref="A642:A705" si="120">"SECUNDARIA"</f>
        <v>SECUNDARIA</v>
      </c>
      <c r="B642" s="26" t="str">
        <f>"09DST0028F"</f>
        <v>09DST0028F</v>
      </c>
      <c r="C642" s="26" t="str">
        <f>"ESCUELA SECUNDARIA TECNICA 28                                                                       "</f>
        <v xml:space="preserve">ESCUELA SECUNDARIA TECNICA 28                                                                       </v>
      </c>
      <c r="D642" s="26" t="str">
        <f>"VESPERTINO"</f>
        <v>VESPERTINO</v>
      </c>
      <c r="E642" s="26" t="str">
        <f>"AV MEXICO NUM 6242                                                              "</f>
        <v xml:space="preserve">AV MEXICO NUM 6242                                                              </v>
      </c>
      <c r="F642" s="26" t="str">
        <f>"TIERRA NUEVA                                                                                                                                "</f>
        <v xml:space="preserve">TIERRA NUEVA                                                                                                                                </v>
      </c>
      <c r="G642" s="26" t="str">
        <f>"XOCHIMILCO                                                                      "</f>
        <v xml:space="preserve">XOCHIMILCO                                                                      </v>
      </c>
      <c r="H642" s="26" t="str">
        <f>"004"</f>
        <v>004</v>
      </c>
      <c r="I642" s="26" t="str">
        <f t="shared" si="113"/>
        <v>00</v>
      </c>
      <c r="J642" s="26" t="str">
        <f t="shared" si="116"/>
        <v xml:space="preserve">06 </v>
      </c>
      <c r="K642" s="26" t="str">
        <f t="shared" si="117"/>
        <v>TE</v>
      </c>
      <c r="L642" s="26" t="str">
        <f t="shared" si="118"/>
        <v>DGEST</v>
      </c>
      <c r="M642" s="26" t="str">
        <f t="shared" ref="M642:M705" si="121">"FEDERAL"</f>
        <v>FEDERAL</v>
      </c>
      <c r="N642" s="26">
        <v>667</v>
      </c>
      <c r="O642" s="26">
        <v>356</v>
      </c>
      <c r="P642" s="26">
        <v>311</v>
      </c>
      <c r="Q642" s="26">
        <v>18</v>
      </c>
      <c r="R642" s="26">
        <v>1</v>
      </c>
      <c r="S642" s="26">
        <v>35</v>
      </c>
      <c r="T642" s="26">
        <v>31</v>
      </c>
      <c r="U642" s="26">
        <v>67</v>
      </c>
      <c r="V642" s="26">
        <v>1</v>
      </c>
      <c r="W642" s="26"/>
    </row>
    <row r="643" spans="1:23" x14ac:dyDescent="0.25">
      <c r="A643" s="26" t="str">
        <f t="shared" si="120"/>
        <v>SECUNDARIA</v>
      </c>
      <c r="B643" s="26" t="str">
        <f>"09DST0029E"</f>
        <v>09DST0029E</v>
      </c>
      <c r="C643" s="26" t="str">
        <f>"ESCUELA SECUNDARIA TECNICA 29                                                                       "</f>
        <v xml:space="preserve">ESCUELA SECUNDARIA TECNICA 29                                                                       </v>
      </c>
      <c r="D643" s="26" t="str">
        <f>"MATUTINO"</f>
        <v>MATUTINO</v>
      </c>
      <c r="E643" s="26" t="str">
        <f>"AV JAVIER ROJO GOMEZ NUM 27                                                     "</f>
        <v xml:space="preserve">AV JAVIER ROJO GOMEZ NUM 27                                                     </v>
      </c>
      <c r="F643" s="26" t="str">
        <f>"SAN MIGUEL DE LAS SALERAS                                                                                                                   "</f>
        <v xml:space="preserve">SAN MIGUEL DE LAS SALERAS                                                                                                                   </v>
      </c>
      <c r="G643" s="26" t="str">
        <f>"IZTAPALAPA                                                                      "</f>
        <v xml:space="preserve">IZTAPALAPA                                                                      </v>
      </c>
      <c r="H643" s="26" t="str">
        <f>"003"</f>
        <v>003</v>
      </c>
      <c r="I643" s="26" t="str">
        <f t="shared" si="113"/>
        <v>00</v>
      </c>
      <c r="J643" s="26" t="str">
        <f t="shared" si="116"/>
        <v xml:space="preserve">06 </v>
      </c>
      <c r="K643" s="26" t="str">
        <f t="shared" si="117"/>
        <v>TE</v>
      </c>
      <c r="L643" s="26" t="str">
        <f t="shared" si="118"/>
        <v>DGEST</v>
      </c>
      <c r="M643" s="26" t="str">
        <f t="shared" si="121"/>
        <v>FEDERAL</v>
      </c>
      <c r="N643" s="26">
        <v>961</v>
      </c>
      <c r="O643" s="26">
        <v>463</v>
      </c>
      <c r="P643" s="26">
        <v>498</v>
      </c>
      <c r="Q643" s="26">
        <v>18</v>
      </c>
      <c r="R643" s="26">
        <v>2</v>
      </c>
      <c r="S643" s="26">
        <v>39</v>
      </c>
      <c r="T643" s="26">
        <v>32</v>
      </c>
      <c r="U643" s="26">
        <v>73</v>
      </c>
      <c r="V643" s="26">
        <v>1</v>
      </c>
      <c r="W643" s="26"/>
    </row>
    <row r="644" spans="1:23" x14ac:dyDescent="0.25">
      <c r="A644" s="26" t="str">
        <f t="shared" si="120"/>
        <v>SECUNDARIA</v>
      </c>
      <c r="B644" s="26" t="str">
        <f>"09DST0029E"</f>
        <v>09DST0029E</v>
      </c>
      <c r="C644" s="26" t="str">
        <f>"ESCUELA SECUNDARIA TECNICA 29                                                                       "</f>
        <v xml:space="preserve">ESCUELA SECUNDARIA TECNICA 29                                                                       </v>
      </c>
      <c r="D644" s="26" t="str">
        <f>"VESPERTINO"</f>
        <v>VESPERTINO</v>
      </c>
      <c r="E644" s="26" t="str">
        <f>"AV JAVIER ROJO GOMEZ NUM 27                                                     "</f>
        <v xml:space="preserve">AV JAVIER ROJO GOMEZ NUM 27                                                     </v>
      </c>
      <c r="F644" s="26" t="str">
        <f>"SAN MIGUEL DE LAS SALERAS                                                                                                                   "</f>
        <v xml:space="preserve">SAN MIGUEL DE LAS SALERAS                                                                                                                   </v>
      </c>
      <c r="G644" s="26" t="str">
        <f>"IZTAPALAPA                                                                      "</f>
        <v xml:space="preserve">IZTAPALAPA                                                                      </v>
      </c>
      <c r="H644" s="26" t="str">
        <f>"003"</f>
        <v>003</v>
      </c>
      <c r="I644" s="26" t="str">
        <f t="shared" si="113"/>
        <v>00</v>
      </c>
      <c r="J644" s="26" t="str">
        <f t="shared" si="116"/>
        <v xml:space="preserve">06 </v>
      </c>
      <c r="K644" s="26" t="str">
        <f t="shared" si="117"/>
        <v>TE</v>
      </c>
      <c r="L644" s="26" t="str">
        <f t="shared" si="118"/>
        <v>DGEST</v>
      </c>
      <c r="M644" s="26" t="str">
        <f t="shared" si="121"/>
        <v>FEDERAL</v>
      </c>
      <c r="N644" s="26">
        <v>812</v>
      </c>
      <c r="O644" s="26">
        <v>376</v>
      </c>
      <c r="P644" s="26">
        <v>436</v>
      </c>
      <c r="Q644" s="26">
        <v>16</v>
      </c>
      <c r="R644" s="26">
        <v>1</v>
      </c>
      <c r="S644" s="26">
        <v>42</v>
      </c>
      <c r="T644" s="26">
        <v>26</v>
      </c>
      <c r="U644" s="26">
        <v>69</v>
      </c>
      <c r="V644" s="26">
        <v>1</v>
      </c>
      <c r="W644" s="26"/>
    </row>
    <row r="645" spans="1:23" x14ac:dyDescent="0.25">
      <c r="A645" s="26" t="str">
        <f t="shared" si="120"/>
        <v>SECUNDARIA</v>
      </c>
      <c r="B645" s="26" t="str">
        <f>"09DST0030U"</f>
        <v>09DST0030U</v>
      </c>
      <c r="C645" s="26" t="str">
        <f>"ESCUELA SECUNDARIA TECNICA 30                                                                       "</f>
        <v xml:space="preserve">ESCUELA SECUNDARIA TECNICA 30                                                                       </v>
      </c>
      <c r="D645" s="26" t="str">
        <f>"MATUTINO"</f>
        <v>MATUTINO</v>
      </c>
      <c r="E645" s="26" t="str">
        <f>"VILLA DE AYALA  Y CDA.DE EMILIANO ZAPATA S/N                                    "</f>
        <v xml:space="preserve">VILLA DE AYALA  Y CDA.DE EMILIANO ZAPATA S/N                                    </v>
      </c>
      <c r="F645" s="26" t="str">
        <f>"SAN FELIPE DE JESUS                                                                                                                         "</f>
        <v xml:space="preserve">SAN FELIPE DE JESUS                                                                                                                         </v>
      </c>
      <c r="G645" s="26" t="str">
        <f>"GUSTAVO A. MADERO                                                               "</f>
        <v xml:space="preserve">GUSTAVO A. MADERO                                                               </v>
      </c>
      <c r="H645" s="26" t="str">
        <f>"002"</f>
        <v>002</v>
      </c>
      <c r="I645" s="26" t="str">
        <f t="shared" si="113"/>
        <v>00</v>
      </c>
      <c r="J645" s="26" t="str">
        <f t="shared" si="116"/>
        <v xml:space="preserve">06 </v>
      </c>
      <c r="K645" s="26" t="str">
        <f t="shared" si="117"/>
        <v>TE</v>
      </c>
      <c r="L645" s="26" t="str">
        <f t="shared" si="118"/>
        <v>DGEST</v>
      </c>
      <c r="M645" s="26" t="str">
        <f t="shared" si="121"/>
        <v>FEDERAL</v>
      </c>
      <c r="N645" s="26">
        <v>838</v>
      </c>
      <c r="O645" s="26">
        <v>439</v>
      </c>
      <c r="P645" s="26">
        <v>399</v>
      </c>
      <c r="Q645" s="26">
        <v>18</v>
      </c>
      <c r="R645" s="26">
        <v>2</v>
      </c>
      <c r="S645" s="26">
        <v>33</v>
      </c>
      <c r="T645" s="26">
        <v>38</v>
      </c>
      <c r="U645" s="26">
        <v>73</v>
      </c>
      <c r="V645" s="26">
        <v>1</v>
      </c>
      <c r="W645" s="26"/>
    </row>
    <row r="646" spans="1:23" x14ac:dyDescent="0.25">
      <c r="A646" s="26" t="str">
        <f t="shared" si="120"/>
        <v>SECUNDARIA</v>
      </c>
      <c r="B646" s="26" t="str">
        <f>"09DST0030U"</f>
        <v>09DST0030U</v>
      </c>
      <c r="C646" s="26" t="str">
        <f>"ESCUELA SECUNDARIA TECNICA 30                                                                       "</f>
        <v xml:space="preserve">ESCUELA SECUNDARIA TECNICA 30                                                                       </v>
      </c>
      <c r="D646" s="26" t="str">
        <f>"VESPERTINO"</f>
        <v>VESPERTINO</v>
      </c>
      <c r="E646" s="26" t="str">
        <f>"VILLA DE AYALA  Y CDA.DE EMILIANO ZAPATA S/N                                    "</f>
        <v xml:space="preserve">VILLA DE AYALA  Y CDA.DE EMILIANO ZAPATA S/N                                    </v>
      </c>
      <c r="F646" s="26" t="str">
        <f>"SAN FELIPE DE JESUS                                                                                                                         "</f>
        <v xml:space="preserve">SAN FELIPE DE JESUS                                                                                                                         </v>
      </c>
      <c r="G646" s="26" t="str">
        <f>"GUSTAVO A. MADERO                                                               "</f>
        <v xml:space="preserve">GUSTAVO A. MADERO                                                               </v>
      </c>
      <c r="H646" s="26" t="str">
        <f>"002"</f>
        <v>002</v>
      </c>
      <c r="I646" s="26" t="str">
        <f t="shared" si="113"/>
        <v>00</v>
      </c>
      <c r="J646" s="26" t="str">
        <f t="shared" si="116"/>
        <v xml:space="preserve">06 </v>
      </c>
      <c r="K646" s="26" t="str">
        <f t="shared" si="117"/>
        <v>TE</v>
      </c>
      <c r="L646" s="26" t="str">
        <f t="shared" si="118"/>
        <v>DGEST</v>
      </c>
      <c r="M646" s="26" t="str">
        <f t="shared" si="121"/>
        <v>FEDERAL</v>
      </c>
      <c r="N646" s="26">
        <v>844</v>
      </c>
      <c r="O646" s="26">
        <v>421</v>
      </c>
      <c r="P646" s="26">
        <v>423</v>
      </c>
      <c r="Q646" s="26">
        <v>18</v>
      </c>
      <c r="R646" s="26">
        <v>1</v>
      </c>
      <c r="S646" s="26">
        <v>41</v>
      </c>
      <c r="T646" s="26">
        <v>24</v>
      </c>
      <c r="U646" s="26">
        <v>66</v>
      </c>
      <c r="V646" s="26">
        <v>1</v>
      </c>
      <c r="W646" s="26"/>
    </row>
    <row r="647" spans="1:23" x14ac:dyDescent="0.25">
      <c r="A647" s="26" t="str">
        <f t="shared" si="120"/>
        <v>SECUNDARIA</v>
      </c>
      <c r="B647" s="26" t="str">
        <f>"09DST0031T"</f>
        <v>09DST0031T</v>
      </c>
      <c r="C647" s="26" t="str">
        <f>"ESCUELA SECUNDARIA TECNICA 31                                                                       "</f>
        <v xml:space="preserve">ESCUELA SECUNDARIA TECNICA 31                                                                       </v>
      </c>
      <c r="D647" s="26" t="str">
        <f>"JORNADA AMPLIADA"</f>
        <v>JORNADA AMPLIADA</v>
      </c>
      <c r="E647" s="26" t="str">
        <f>"PONIENTE 134 Y CALLE 17-A                                                       "</f>
        <v xml:space="preserve">PONIENTE 134 Y CALLE 17-A                                                       </v>
      </c>
      <c r="F647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647" s="26" t="str">
        <f>"GUSTAVO A. MADERO                                                               "</f>
        <v xml:space="preserve">GUSTAVO A. MADERO                                                               </v>
      </c>
      <c r="H647" s="26" t="str">
        <f>"002"</f>
        <v>002</v>
      </c>
      <c r="I647" s="26" t="str">
        <f t="shared" ref="I647:I710" si="122">"00"</f>
        <v>00</v>
      </c>
      <c r="J647" s="26" t="str">
        <f t="shared" si="116"/>
        <v xml:space="preserve">06 </v>
      </c>
      <c r="K647" s="26" t="str">
        <f t="shared" si="117"/>
        <v>TE</v>
      </c>
      <c r="L647" s="26" t="str">
        <f t="shared" si="118"/>
        <v>DGEST</v>
      </c>
      <c r="M647" s="26" t="str">
        <f t="shared" si="121"/>
        <v>FEDERAL</v>
      </c>
      <c r="N647" s="26">
        <v>885</v>
      </c>
      <c r="O647" s="26">
        <v>461</v>
      </c>
      <c r="P647" s="26">
        <v>424</v>
      </c>
      <c r="Q647" s="26">
        <v>19</v>
      </c>
      <c r="R647" s="26">
        <v>2</v>
      </c>
      <c r="S647" s="26">
        <v>44</v>
      </c>
      <c r="T647" s="26">
        <v>38</v>
      </c>
      <c r="U647" s="26">
        <v>84</v>
      </c>
      <c r="V647" s="26">
        <v>1</v>
      </c>
      <c r="W647" s="26" t="s">
        <v>2076</v>
      </c>
    </row>
    <row r="648" spans="1:23" x14ac:dyDescent="0.25">
      <c r="A648" s="26" t="str">
        <f t="shared" si="120"/>
        <v>SECUNDARIA</v>
      </c>
      <c r="B648" s="26" t="str">
        <f>"09DST0032S"</f>
        <v>09DST0032S</v>
      </c>
      <c r="C648" s="26" t="str">
        <f>"ESCUELA SECUNDARIA TECNICA 32                                                                       "</f>
        <v xml:space="preserve">ESCUELA SECUNDARIA TECNICA 32                                                                       </v>
      </c>
      <c r="D648" s="26" t="str">
        <f>"MATUTINO"</f>
        <v>MATUTINO</v>
      </c>
      <c r="E648" s="26" t="str">
        <f>"BONAO S/N ESQUINA JUAN DE DIOS BATIZ                                            "</f>
        <v xml:space="preserve">BONAO S/N ESQUINA JUAN DE DIOS BATIZ                                            </v>
      </c>
      <c r="F648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648" s="26" t="str">
        <f>"GUSTAVO A. MADERO                                                               "</f>
        <v xml:space="preserve">GUSTAVO A. MADERO                                                               </v>
      </c>
      <c r="H648" s="26" t="str">
        <f>"002"</f>
        <v>002</v>
      </c>
      <c r="I648" s="26" t="str">
        <f t="shared" si="122"/>
        <v>00</v>
      </c>
      <c r="J648" s="26" t="str">
        <f t="shared" si="116"/>
        <v xml:space="preserve">06 </v>
      </c>
      <c r="K648" s="26" t="str">
        <f t="shared" si="117"/>
        <v>TE</v>
      </c>
      <c r="L648" s="26" t="str">
        <f t="shared" si="118"/>
        <v>DGEST</v>
      </c>
      <c r="M648" s="26" t="str">
        <f t="shared" si="121"/>
        <v>FEDERAL</v>
      </c>
      <c r="N648" s="26">
        <v>869</v>
      </c>
      <c r="O648" s="26">
        <v>428</v>
      </c>
      <c r="P648" s="26">
        <v>441</v>
      </c>
      <c r="Q648" s="26">
        <v>18</v>
      </c>
      <c r="R648" s="26">
        <v>2</v>
      </c>
      <c r="S648" s="26">
        <v>37</v>
      </c>
      <c r="T648" s="26">
        <v>32</v>
      </c>
      <c r="U648" s="26">
        <v>71</v>
      </c>
      <c r="V648" s="26">
        <v>1</v>
      </c>
      <c r="W648" s="26"/>
    </row>
    <row r="649" spans="1:23" x14ac:dyDescent="0.25">
      <c r="A649" s="26" t="str">
        <f t="shared" si="120"/>
        <v>SECUNDARIA</v>
      </c>
      <c r="B649" s="26" t="str">
        <f>"09DST0032S"</f>
        <v>09DST0032S</v>
      </c>
      <c r="C649" s="26" t="str">
        <f>"ESCUELA SECUNDARIA TECNICA 32                                                                       "</f>
        <v xml:space="preserve">ESCUELA SECUNDARIA TECNICA 32                                                                       </v>
      </c>
      <c r="D649" s="26" t="str">
        <f>"VESPERTINO"</f>
        <v>VESPERTINO</v>
      </c>
      <c r="E649" s="26" t="str">
        <f>"BONAO S/N ESQUINA JUAN DE DIOS BATIZ                                            "</f>
        <v xml:space="preserve">BONAO S/N ESQUINA JUAN DE DIOS BATIZ                                            </v>
      </c>
      <c r="F649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649" s="26" t="str">
        <f>"GUSTAVO A. MADERO                                                               "</f>
        <v xml:space="preserve">GUSTAVO A. MADERO                                                               </v>
      </c>
      <c r="H649" s="26" t="str">
        <f>"002"</f>
        <v>002</v>
      </c>
      <c r="I649" s="26" t="str">
        <f t="shared" si="122"/>
        <v>00</v>
      </c>
      <c r="J649" s="26" t="str">
        <f t="shared" si="116"/>
        <v xml:space="preserve">06 </v>
      </c>
      <c r="K649" s="26" t="str">
        <f t="shared" si="117"/>
        <v>TE</v>
      </c>
      <c r="L649" s="26" t="str">
        <f t="shared" si="118"/>
        <v>DGEST</v>
      </c>
      <c r="M649" s="26" t="str">
        <f t="shared" si="121"/>
        <v>FEDERAL</v>
      </c>
      <c r="N649" s="26">
        <v>616</v>
      </c>
      <c r="O649" s="26">
        <v>332</v>
      </c>
      <c r="P649" s="26">
        <v>284</v>
      </c>
      <c r="Q649" s="26">
        <v>14</v>
      </c>
      <c r="R649" s="26">
        <v>1</v>
      </c>
      <c r="S649" s="26">
        <v>36</v>
      </c>
      <c r="T649" s="26">
        <v>26</v>
      </c>
      <c r="U649" s="26">
        <v>63</v>
      </c>
      <c r="V649" s="26">
        <v>1</v>
      </c>
      <c r="W649" s="26"/>
    </row>
    <row r="650" spans="1:23" x14ac:dyDescent="0.25">
      <c r="A650" s="26" t="str">
        <f t="shared" si="120"/>
        <v>SECUNDARIA</v>
      </c>
      <c r="B650" s="26" t="str">
        <f>"09DST0033R"</f>
        <v>09DST0033R</v>
      </c>
      <c r="C650" s="26" t="str">
        <f>"ESCUELA SECUNDARIA TECNICA 33                                                                       "</f>
        <v xml:space="preserve">ESCUELA SECUNDARIA TECNICA 33                                                                       </v>
      </c>
      <c r="D650" s="26" t="str">
        <f>"TIEMPO COMPLETO"</f>
        <v>TIEMPO COMPLETO</v>
      </c>
      <c r="E650" s="26" t="str">
        <f>"ORIENTE 112 SUR 183                                                             "</f>
        <v xml:space="preserve">ORIENTE 112 SUR 183                                                             </v>
      </c>
      <c r="F650" s="26" t="str">
        <f>"GABRIEL RAMOS MILLAN                                                                                                                        "</f>
        <v xml:space="preserve">GABRIEL RAMOS MILLAN                                                                                                                        </v>
      </c>
      <c r="G650" s="26" t="str">
        <f>"IZTACALCO                                                                       "</f>
        <v xml:space="preserve">IZTACALCO                                                                       </v>
      </c>
      <c r="H650" s="26" t="str">
        <f>"003"</f>
        <v>003</v>
      </c>
      <c r="I650" s="26" t="str">
        <f t="shared" si="122"/>
        <v>00</v>
      </c>
      <c r="J650" s="26" t="str">
        <f t="shared" si="116"/>
        <v xml:space="preserve">06 </v>
      </c>
      <c r="K650" s="26" t="str">
        <f t="shared" si="117"/>
        <v>TE</v>
      </c>
      <c r="L650" s="26" t="str">
        <f t="shared" si="118"/>
        <v>DGEST</v>
      </c>
      <c r="M650" s="26" t="str">
        <f t="shared" si="121"/>
        <v>FEDERAL</v>
      </c>
      <c r="N650" s="26">
        <v>597</v>
      </c>
      <c r="O650" s="26">
        <v>311</v>
      </c>
      <c r="P650" s="26">
        <v>286</v>
      </c>
      <c r="Q650" s="26">
        <v>18</v>
      </c>
      <c r="R650" s="26">
        <v>2</v>
      </c>
      <c r="S650" s="26">
        <v>41</v>
      </c>
      <c r="T650" s="26">
        <v>40</v>
      </c>
      <c r="U650" s="26">
        <v>83</v>
      </c>
      <c r="V650" s="26">
        <v>1</v>
      </c>
      <c r="W650" s="26" t="s">
        <v>218</v>
      </c>
    </row>
    <row r="651" spans="1:23" x14ac:dyDescent="0.25">
      <c r="A651" s="26" t="str">
        <f t="shared" si="120"/>
        <v>SECUNDARIA</v>
      </c>
      <c r="B651" s="26" t="str">
        <f>"09DST0034Q"</f>
        <v>09DST0034Q</v>
      </c>
      <c r="C651" s="26" t="str">
        <f>"ESCUELA SECUNDARIA TECNICA 34                                                                       "</f>
        <v xml:space="preserve">ESCUELA SECUNDARIA TECNICA 34                                                                       </v>
      </c>
      <c r="D651" s="26" t="str">
        <f>"JORNADA AMPLIADA"</f>
        <v>JORNADA AMPLIADA</v>
      </c>
      <c r="E651" s="26" t="str">
        <f>" CARRETERA MIXQUIC CHALCO S/N                                                   "</f>
        <v xml:space="preserve"> CARRETERA MIXQUIC CHALCO S/N                                                   </v>
      </c>
      <c r="F651" s="26" t="str">
        <f>"SAN ANDRES MIXQUIC                                                                                                                          "</f>
        <v xml:space="preserve">SAN ANDRES MIXQUIC                                                                                                                          </v>
      </c>
      <c r="G651" s="26" t="str">
        <f>"TLAHUAC                                                                         "</f>
        <v xml:space="preserve">TLAHUAC                                                                         </v>
      </c>
      <c r="H651" s="26" t="str">
        <f>"004"</f>
        <v>004</v>
      </c>
      <c r="I651" s="26" t="str">
        <f t="shared" si="122"/>
        <v>00</v>
      </c>
      <c r="J651" s="26" t="str">
        <f t="shared" si="116"/>
        <v xml:space="preserve">06 </v>
      </c>
      <c r="K651" s="26" t="str">
        <f t="shared" si="117"/>
        <v>TE</v>
      </c>
      <c r="L651" s="26" t="str">
        <f t="shared" si="118"/>
        <v>DGEST</v>
      </c>
      <c r="M651" s="26" t="str">
        <f t="shared" si="121"/>
        <v>FEDERAL</v>
      </c>
      <c r="N651" s="26">
        <v>921</v>
      </c>
      <c r="O651" s="26">
        <v>445</v>
      </c>
      <c r="P651" s="26">
        <v>476</v>
      </c>
      <c r="Q651" s="26">
        <v>18</v>
      </c>
      <c r="R651" s="26">
        <v>2</v>
      </c>
      <c r="S651" s="26">
        <v>36</v>
      </c>
      <c r="T651" s="26">
        <v>43</v>
      </c>
      <c r="U651" s="26">
        <v>81</v>
      </c>
      <c r="V651" s="26">
        <v>1</v>
      </c>
      <c r="W651" s="26" t="s">
        <v>2076</v>
      </c>
    </row>
    <row r="652" spans="1:23" x14ac:dyDescent="0.25">
      <c r="A652" s="26" t="str">
        <f t="shared" si="120"/>
        <v>SECUNDARIA</v>
      </c>
      <c r="B652" s="26" t="str">
        <f>"09DST0035P"</f>
        <v>09DST0035P</v>
      </c>
      <c r="C652" s="26" t="str">
        <f>"ESCUELA SECUNDARIA TECNICA 35                                                                       "</f>
        <v xml:space="preserve">ESCUELA SECUNDARIA TECNICA 35                                                                       </v>
      </c>
      <c r="D652" s="26" t="str">
        <f>"MATUTINO"</f>
        <v>MATUTINO</v>
      </c>
      <c r="E652" s="26" t="str">
        <f>"PONIENTE 118 NUM 309                                                            "</f>
        <v xml:space="preserve">PONIENTE 118 NUM 309                                                            </v>
      </c>
      <c r="F652" s="26" t="str">
        <f>"CAPULTITLAN                                                                                                                                 "</f>
        <v xml:space="preserve">CAPULTITLAN                                                                                                                                 </v>
      </c>
      <c r="G652" s="26" t="str">
        <f>"GUSTAVO A. MADERO                                                               "</f>
        <v xml:space="preserve">GUSTAVO A. MADERO                                                               </v>
      </c>
      <c r="H652" s="26" t="str">
        <f>"002"</f>
        <v>002</v>
      </c>
      <c r="I652" s="26" t="str">
        <f t="shared" si="122"/>
        <v>00</v>
      </c>
      <c r="J652" s="26" t="str">
        <f t="shared" si="116"/>
        <v xml:space="preserve">06 </v>
      </c>
      <c r="K652" s="26" t="str">
        <f t="shared" si="117"/>
        <v>TE</v>
      </c>
      <c r="L652" s="26" t="str">
        <f t="shared" si="118"/>
        <v>DGEST</v>
      </c>
      <c r="M652" s="26" t="str">
        <f t="shared" si="121"/>
        <v>FEDERAL</v>
      </c>
      <c r="N652" s="26">
        <v>652</v>
      </c>
      <c r="O652" s="26">
        <v>322</v>
      </c>
      <c r="P652" s="26">
        <v>330</v>
      </c>
      <c r="Q652" s="26">
        <v>15</v>
      </c>
      <c r="R652" s="26">
        <v>2</v>
      </c>
      <c r="S652" s="26">
        <v>24</v>
      </c>
      <c r="T652" s="26">
        <v>32</v>
      </c>
      <c r="U652" s="26">
        <v>58</v>
      </c>
      <c r="V652" s="26">
        <v>1</v>
      </c>
      <c r="W652" s="26"/>
    </row>
    <row r="653" spans="1:23" x14ac:dyDescent="0.25">
      <c r="A653" s="26" t="str">
        <f t="shared" si="120"/>
        <v>SECUNDARIA</v>
      </c>
      <c r="B653" s="26" t="str">
        <f>"09DST0035P"</f>
        <v>09DST0035P</v>
      </c>
      <c r="C653" s="26" t="str">
        <f>"ESCUELA SECUNDARIA TECNICA 35                                                                       "</f>
        <v xml:space="preserve">ESCUELA SECUNDARIA TECNICA 35                                                                       </v>
      </c>
      <c r="D653" s="26" t="str">
        <f>"VESPERTINO"</f>
        <v>VESPERTINO</v>
      </c>
      <c r="E653" s="26" t="str">
        <f>"PONIENTE 118 NUM 309                                                            "</f>
        <v xml:space="preserve">PONIENTE 118 NUM 309                                                            </v>
      </c>
      <c r="F653" s="26" t="str">
        <f>"CAPULTITLAN                                                                                                                                 "</f>
        <v xml:space="preserve">CAPULTITLAN                                                                                                                                 </v>
      </c>
      <c r="G653" s="26" t="str">
        <f>"GUSTAVO A. MADERO                                                               "</f>
        <v xml:space="preserve">GUSTAVO A. MADERO                                                               </v>
      </c>
      <c r="H653" s="26" t="str">
        <f>"002"</f>
        <v>002</v>
      </c>
      <c r="I653" s="26" t="str">
        <f t="shared" si="122"/>
        <v>00</v>
      </c>
      <c r="J653" s="26" t="str">
        <f t="shared" si="116"/>
        <v xml:space="preserve">06 </v>
      </c>
      <c r="K653" s="26" t="str">
        <f t="shared" si="117"/>
        <v>TE</v>
      </c>
      <c r="L653" s="26" t="str">
        <f t="shared" si="118"/>
        <v>DGEST</v>
      </c>
      <c r="M653" s="26" t="str">
        <f t="shared" si="121"/>
        <v>FEDERAL</v>
      </c>
      <c r="N653" s="26">
        <v>516</v>
      </c>
      <c r="O653" s="26">
        <v>273</v>
      </c>
      <c r="P653" s="26">
        <v>243</v>
      </c>
      <c r="Q653" s="26">
        <v>14</v>
      </c>
      <c r="R653" s="26">
        <v>1</v>
      </c>
      <c r="S653" s="26">
        <v>29</v>
      </c>
      <c r="T653" s="26">
        <v>22</v>
      </c>
      <c r="U653" s="26">
        <v>52</v>
      </c>
      <c r="V653" s="26">
        <v>1</v>
      </c>
      <c r="W653" s="26"/>
    </row>
    <row r="654" spans="1:23" x14ac:dyDescent="0.25">
      <c r="A654" s="26" t="str">
        <f t="shared" si="120"/>
        <v>SECUNDARIA</v>
      </c>
      <c r="B654" s="26" t="str">
        <f>"09DST0036O"</f>
        <v>09DST0036O</v>
      </c>
      <c r="C654" s="26" t="str">
        <f>"ESCUELA SECUNDARIA TECNICA 36                                                                       "</f>
        <v xml:space="preserve">ESCUELA SECUNDARIA TECNICA 36                                                                       </v>
      </c>
      <c r="D654" s="26" t="str">
        <f>"MATUTINO"</f>
        <v>MATUTINO</v>
      </c>
      <c r="E654" s="26" t="str">
        <f>" RETORNO 8 Y 10 FRAY SERVANDO TERESA DE MIER                                    "</f>
        <v xml:space="preserve"> RETORNO 8 Y 10 FRAY SERVANDO TERESA DE MIER                                    </v>
      </c>
      <c r="F654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654" s="26" t="str">
        <f>"VENUSTIANO CARRANZA                                                             "</f>
        <v xml:space="preserve">VENUSTIANO CARRANZA                                                             </v>
      </c>
      <c r="H654" s="26" t="str">
        <f>"002"</f>
        <v>002</v>
      </c>
      <c r="I654" s="26" t="str">
        <f t="shared" si="122"/>
        <v>00</v>
      </c>
      <c r="J654" s="26" t="str">
        <f t="shared" si="116"/>
        <v xml:space="preserve">06 </v>
      </c>
      <c r="K654" s="26" t="str">
        <f t="shared" si="117"/>
        <v>TE</v>
      </c>
      <c r="L654" s="26" t="str">
        <f t="shared" si="118"/>
        <v>DGEST</v>
      </c>
      <c r="M654" s="26" t="str">
        <f t="shared" si="121"/>
        <v>FEDERAL</v>
      </c>
      <c r="N654" s="26">
        <v>1020</v>
      </c>
      <c r="O654" s="26">
        <v>538</v>
      </c>
      <c r="P654" s="26">
        <v>482</v>
      </c>
      <c r="Q654" s="26">
        <v>20</v>
      </c>
      <c r="R654" s="26">
        <v>2</v>
      </c>
      <c r="S654" s="26">
        <v>38</v>
      </c>
      <c r="T654" s="26">
        <v>27</v>
      </c>
      <c r="U654" s="26">
        <v>67</v>
      </c>
      <c r="V654" s="26">
        <v>1</v>
      </c>
      <c r="W654" s="26"/>
    </row>
    <row r="655" spans="1:23" x14ac:dyDescent="0.25">
      <c r="A655" s="26" t="str">
        <f t="shared" si="120"/>
        <v>SECUNDARIA</v>
      </c>
      <c r="B655" s="26" t="str">
        <f>"09DST0036O"</f>
        <v>09DST0036O</v>
      </c>
      <c r="C655" s="26" t="str">
        <f>"ESCUELA SECUNDARIA TECNICA 36                                                                       "</f>
        <v xml:space="preserve">ESCUELA SECUNDARIA TECNICA 36                                                                       </v>
      </c>
      <c r="D655" s="26" t="str">
        <f>"VESPERTINO"</f>
        <v>VESPERTINO</v>
      </c>
      <c r="E655" s="26" t="str">
        <f>" RETORNO 8 Y 10 FRAY SERVANDO TERESA DE MIER                                    "</f>
        <v xml:space="preserve"> RETORNO 8 Y 10 FRAY SERVANDO TERESA DE MIER                                    </v>
      </c>
      <c r="F655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655" s="26" t="str">
        <f>"VENUSTIANO CARRANZA                                                             "</f>
        <v xml:space="preserve">VENUSTIANO CARRANZA                                                             </v>
      </c>
      <c r="H655" s="26" t="str">
        <f>"002"</f>
        <v>002</v>
      </c>
      <c r="I655" s="26" t="str">
        <f t="shared" si="122"/>
        <v>00</v>
      </c>
      <c r="J655" s="26" t="str">
        <f t="shared" si="116"/>
        <v xml:space="preserve">06 </v>
      </c>
      <c r="K655" s="26" t="str">
        <f t="shared" si="117"/>
        <v>TE</v>
      </c>
      <c r="L655" s="26" t="str">
        <f t="shared" si="118"/>
        <v>DGEST</v>
      </c>
      <c r="M655" s="26" t="str">
        <f t="shared" si="121"/>
        <v>FEDERAL</v>
      </c>
      <c r="N655" s="26">
        <v>901</v>
      </c>
      <c r="O655" s="26">
        <v>471</v>
      </c>
      <c r="P655" s="26">
        <v>430</v>
      </c>
      <c r="Q655" s="26">
        <v>20</v>
      </c>
      <c r="R655" s="26">
        <v>1</v>
      </c>
      <c r="S655" s="26">
        <v>39</v>
      </c>
      <c r="T655" s="26">
        <v>34</v>
      </c>
      <c r="U655" s="26">
        <v>74</v>
      </c>
      <c r="V655" s="26">
        <v>1</v>
      </c>
      <c r="W655" s="26"/>
    </row>
    <row r="656" spans="1:23" x14ac:dyDescent="0.25">
      <c r="A656" s="26" t="str">
        <f t="shared" si="120"/>
        <v>SECUNDARIA</v>
      </c>
      <c r="B656" s="26" t="str">
        <f>"09DST0037N"</f>
        <v>09DST0037N</v>
      </c>
      <c r="C656" s="26" t="str">
        <f>"ESCUELA SECUNDARIA TECNICA 37                                                                       "</f>
        <v xml:space="preserve">ESCUELA SECUNDARIA TECNICA 37                                                                       </v>
      </c>
      <c r="D656" s="26" t="str">
        <f>"MATUTINO"</f>
        <v>MATUTINO</v>
      </c>
      <c r="E656" s="26" t="str">
        <f>"RODOLFO USIGLI ESQ LA VIGA                                                      "</f>
        <v xml:space="preserve">RODOLFO USIGLI ESQ LA VIGA                                                      </v>
      </c>
      <c r="F656" s="26" t="str">
        <f>"SECTOR POPULAR                                                                                                                              "</f>
        <v xml:space="preserve">SECTOR POPULAR                                                                                                                              </v>
      </c>
      <c r="G656" s="26" t="str">
        <f>"IZTAPALAPA                                                                      "</f>
        <v xml:space="preserve">IZTAPALAPA                                                                      </v>
      </c>
      <c r="H656" s="26" t="str">
        <f>"003"</f>
        <v>003</v>
      </c>
      <c r="I656" s="26" t="str">
        <f t="shared" si="122"/>
        <v>00</v>
      </c>
      <c r="J656" s="26" t="str">
        <f t="shared" si="116"/>
        <v xml:space="preserve">06 </v>
      </c>
      <c r="K656" s="26" t="str">
        <f t="shared" si="117"/>
        <v>TE</v>
      </c>
      <c r="L656" s="26" t="str">
        <f t="shared" si="118"/>
        <v>DGEST</v>
      </c>
      <c r="M656" s="26" t="str">
        <f t="shared" si="121"/>
        <v>FEDERAL</v>
      </c>
      <c r="N656" s="26">
        <v>886</v>
      </c>
      <c r="O656" s="26">
        <v>465</v>
      </c>
      <c r="P656" s="26">
        <v>421</v>
      </c>
      <c r="Q656" s="26">
        <v>18</v>
      </c>
      <c r="R656" s="26">
        <v>2</v>
      </c>
      <c r="S656" s="26">
        <v>32</v>
      </c>
      <c r="T656" s="26">
        <v>30</v>
      </c>
      <c r="U656" s="26">
        <v>64</v>
      </c>
      <c r="V656" s="26">
        <v>1</v>
      </c>
      <c r="W656" s="26"/>
    </row>
    <row r="657" spans="1:23" x14ac:dyDescent="0.25">
      <c r="A657" s="26" t="str">
        <f t="shared" si="120"/>
        <v>SECUNDARIA</v>
      </c>
      <c r="B657" s="26" t="str">
        <f>"09DST0037N"</f>
        <v>09DST0037N</v>
      </c>
      <c r="C657" s="26" t="str">
        <f>"ESCUELA SECUNDARIA TECNICA 37                                                                       "</f>
        <v xml:space="preserve">ESCUELA SECUNDARIA TECNICA 37                                                                       </v>
      </c>
      <c r="D657" s="26" t="str">
        <f>"VESPERTINO"</f>
        <v>VESPERTINO</v>
      </c>
      <c r="E657" s="26" t="str">
        <f>"RODOLFO USIGLI ESQ LA VIGA                                                      "</f>
        <v xml:space="preserve">RODOLFO USIGLI ESQ LA VIGA                                                      </v>
      </c>
      <c r="F657" s="26" t="str">
        <f>"SECTOR POPULAR                                                                                                                              "</f>
        <v xml:space="preserve">SECTOR POPULAR                                                                                                                              </v>
      </c>
      <c r="G657" s="26" t="str">
        <f>"IZTAPALAPA                                                                      "</f>
        <v xml:space="preserve">IZTAPALAPA                                                                      </v>
      </c>
      <c r="H657" s="26" t="str">
        <f>"003"</f>
        <v>003</v>
      </c>
      <c r="I657" s="26" t="str">
        <f t="shared" si="122"/>
        <v>00</v>
      </c>
      <c r="J657" s="26" t="str">
        <f t="shared" si="116"/>
        <v xml:space="preserve">06 </v>
      </c>
      <c r="K657" s="26" t="str">
        <f t="shared" si="117"/>
        <v>TE</v>
      </c>
      <c r="L657" s="26" t="str">
        <f t="shared" si="118"/>
        <v>DGEST</v>
      </c>
      <c r="M657" s="26" t="str">
        <f t="shared" si="121"/>
        <v>FEDERAL</v>
      </c>
      <c r="N657" s="26">
        <v>609</v>
      </c>
      <c r="O657" s="26">
        <v>294</v>
      </c>
      <c r="P657" s="26">
        <v>315</v>
      </c>
      <c r="Q657" s="26">
        <v>18</v>
      </c>
      <c r="R657" s="26">
        <v>1</v>
      </c>
      <c r="S657" s="26">
        <v>35</v>
      </c>
      <c r="T657" s="26">
        <v>31</v>
      </c>
      <c r="U657" s="26">
        <v>67</v>
      </c>
      <c r="V657" s="26">
        <v>1</v>
      </c>
      <c r="W657" s="26"/>
    </row>
    <row r="658" spans="1:23" x14ac:dyDescent="0.25">
      <c r="A658" s="26" t="str">
        <f t="shared" si="120"/>
        <v>SECUNDARIA</v>
      </c>
      <c r="B658" s="26" t="str">
        <f>"09DST0038M"</f>
        <v>09DST0038M</v>
      </c>
      <c r="C658" s="26" t="str">
        <f>"ESCUELA SECUNDARIA TECNICA 38                                                                       "</f>
        <v xml:space="preserve">ESCUELA SECUNDARIA TECNICA 38                                                                       </v>
      </c>
      <c r="D658" s="26" t="str">
        <f>"MATUTINO"</f>
        <v>MATUTINO</v>
      </c>
      <c r="E658" s="26" t="str">
        <f>"PROL SABINO ESQ CALLE 4                                                         "</f>
        <v xml:space="preserve">PROL SABINO ESQ CALLE 4                                                         </v>
      </c>
      <c r="F658" s="26" t="str">
        <f>"DEL GAS                                                                                                                                     "</f>
        <v xml:space="preserve">DEL GAS                                                                                                                                     </v>
      </c>
      <c r="G658" s="26" t="str">
        <f>"AZCAPOTZALCO                                                                    "</f>
        <v xml:space="preserve">AZCAPOTZALCO                                                                    </v>
      </c>
      <c r="H658" s="26" t="str">
        <f>"002"</f>
        <v>002</v>
      </c>
      <c r="I658" s="26" t="str">
        <f t="shared" si="122"/>
        <v>00</v>
      </c>
      <c r="J658" s="26" t="str">
        <f t="shared" si="116"/>
        <v xml:space="preserve">06 </v>
      </c>
      <c r="K658" s="26" t="str">
        <f t="shared" si="117"/>
        <v>TE</v>
      </c>
      <c r="L658" s="26" t="str">
        <f t="shared" si="118"/>
        <v>DGEST</v>
      </c>
      <c r="M658" s="26" t="str">
        <f t="shared" si="121"/>
        <v>FEDERAL</v>
      </c>
      <c r="N658" s="26">
        <v>566</v>
      </c>
      <c r="O658" s="26">
        <v>306</v>
      </c>
      <c r="P658" s="26">
        <v>260</v>
      </c>
      <c r="Q658" s="26">
        <v>15</v>
      </c>
      <c r="R658" s="26">
        <v>2</v>
      </c>
      <c r="S658" s="26">
        <v>32</v>
      </c>
      <c r="T658" s="26">
        <v>26</v>
      </c>
      <c r="U658" s="26">
        <v>60</v>
      </c>
      <c r="V658" s="26">
        <v>1</v>
      </c>
      <c r="W658" s="26"/>
    </row>
    <row r="659" spans="1:23" x14ac:dyDescent="0.25">
      <c r="A659" s="26" t="str">
        <f t="shared" si="120"/>
        <v>SECUNDARIA</v>
      </c>
      <c r="B659" s="26" t="str">
        <f>"09DST0038M"</f>
        <v>09DST0038M</v>
      </c>
      <c r="C659" s="26" t="str">
        <f>"ESCUELA SECUNDARIA TECNICA 38                                                                       "</f>
        <v xml:space="preserve">ESCUELA SECUNDARIA TECNICA 38                                                                       </v>
      </c>
      <c r="D659" s="26" t="str">
        <f>"VESPERTINO"</f>
        <v>VESPERTINO</v>
      </c>
      <c r="E659" s="26" t="str">
        <f>"PROL SABINO ESQ CALLE 4                                                         "</f>
        <v xml:space="preserve">PROL SABINO ESQ CALLE 4                                                         </v>
      </c>
      <c r="F659" s="26" t="str">
        <f>"DEL GAS                                                                                                                                     "</f>
        <v xml:space="preserve">DEL GAS                                                                                                                                     </v>
      </c>
      <c r="G659" s="26" t="str">
        <f>"AZCAPOTZALCO                                                                    "</f>
        <v xml:space="preserve">AZCAPOTZALCO                                                                    </v>
      </c>
      <c r="H659" s="26" t="str">
        <f>"002"</f>
        <v>002</v>
      </c>
      <c r="I659" s="26" t="str">
        <f t="shared" si="122"/>
        <v>00</v>
      </c>
      <c r="J659" s="26" t="str">
        <f t="shared" si="116"/>
        <v xml:space="preserve">06 </v>
      </c>
      <c r="K659" s="26" t="str">
        <f t="shared" si="117"/>
        <v>TE</v>
      </c>
      <c r="L659" s="26" t="str">
        <f t="shared" si="118"/>
        <v>DGEST</v>
      </c>
      <c r="M659" s="26" t="str">
        <f t="shared" si="121"/>
        <v>FEDERAL</v>
      </c>
      <c r="N659" s="26">
        <v>87</v>
      </c>
      <c r="O659" s="26">
        <v>48</v>
      </c>
      <c r="P659" s="26">
        <v>39</v>
      </c>
      <c r="Q659" s="26">
        <v>3</v>
      </c>
      <c r="R659" s="26">
        <v>1</v>
      </c>
      <c r="S659" s="26">
        <v>16</v>
      </c>
      <c r="T659" s="26">
        <v>12</v>
      </c>
      <c r="U659" s="26">
        <v>29</v>
      </c>
      <c r="V659" s="26">
        <v>1</v>
      </c>
      <c r="W659" s="26"/>
    </row>
    <row r="660" spans="1:23" x14ac:dyDescent="0.25">
      <c r="A660" s="26" t="str">
        <f t="shared" si="120"/>
        <v>SECUNDARIA</v>
      </c>
      <c r="B660" s="26" t="str">
        <f>"09DST0039L"</f>
        <v>09DST0039L</v>
      </c>
      <c r="C660" s="26" t="str">
        <f>"ESCUELA SECUNDARIA TECNICA 39                                                                       "</f>
        <v xml:space="preserve">ESCUELA SECUNDARIA TECNICA 39                                                                       </v>
      </c>
      <c r="D660" s="26" t="str">
        <f>"MATUTINO"</f>
        <v>MATUTINO</v>
      </c>
      <c r="E660" s="26" t="str">
        <f>"CALLE ALLENDE FRENTE AL 392                                                     "</f>
        <v xml:space="preserve">CALLE ALLENDE FRENTE AL 392                                                     </v>
      </c>
      <c r="F660" s="26" t="str">
        <f>"SAN FERNANDO                                                                                                                                "</f>
        <v xml:space="preserve">SAN FERNANDO                                                                                                                                </v>
      </c>
      <c r="G660" s="26" t="str">
        <f>"TLALPAN                                                                         "</f>
        <v xml:space="preserve">TLALPAN                                                                         </v>
      </c>
      <c r="H660" s="26" t="str">
        <f>"004"</f>
        <v>004</v>
      </c>
      <c r="I660" s="26" t="str">
        <f t="shared" si="122"/>
        <v>00</v>
      </c>
      <c r="J660" s="26" t="str">
        <f t="shared" si="116"/>
        <v xml:space="preserve">06 </v>
      </c>
      <c r="K660" s="26" t="str">
        <f t="shared" si="117"/>
        <v>TE</v>
      </c>
      <c r="L660" s="26" t="str">
        <f t="shared" si="118"/>
        <v>DGEST</v>
      </c>
      <c r="M660" s="26" t="str">
        <f t="shared" si="121"/>
        <v>FEDERAL</v>
      </c>
      <c r="N660" s="26">
        <v>835</v>
      </c>
      <c r="O660" s="26">
        <v>424</v>
      </c>
      <c r="P660" s="26">
        <v>411</v>
      </c>
      <c r="Q660" s="26">
        <v>18</v>
      </c>
      <c r="R660" s="26">
        <v>1</v>
      </c>
      <c r="S660" s="26">
        <v>27</v>
      </c>
      <c r="T660" s="26">
        <v>32</v>
      </c>
      <c r="U660" s="26">
        <v>60</v>
      </c>
      <c r="V660" s="26">
        <v>1</v>
      </c>
      <c r="W660" s="26"/>
    </row>
    <row r="661" spans="1:23" x14ac:dyDescent="0.25">
      <c r="A661" s="26" t="str">
        <f t="shared" si="120"/>
        <v>SECUNDARIA</v>
      </c>
      <c r="B661" s="26" t="str">
        <f>"09DST0039L"</f>
        <v>09DST0039L</v>
      </c>
      <c r="C661" s="26" t="str">
        <f>"ESCUELA SECUNDARIA TECNICA 39                                                                       "</f>
        <v xml:space="preserve">ESCUELA SECUNDARIA TECNICA 39                                                                       </v>
      </c>
      <c r="D661" s="26" t="str">
        <f>"VESPERTINO"</f>
        <v>VESPERTINO</v>
      </c>
      <c r="E661" s="26" t="str">
        <f>"CALLE ALLENDE FRENTE AL 392                                                     "</f>
        <v xml:space="preserve">CALLE ALLENDE FRENTE AL 392                                                     </v>
      </c>
      <c r="F661" s="26" t="str">
        <f>"SAN FERNANDO                                                                                                                                "</f>
        <v xml:space="preserve">SAN FERNANDO                                                                                                                                </v>
      </c>
      <c r="G661" s="26" t="str">
        <f>"TLALPAN                                                                         "</f>
        <v xml:space="preserve">TLALPAN                                                                         </v>
      </c>
      <c r="H661" s="26" t="str">
        <f>"004"</f>
        <v>004</v>
      </c>
      <c r="I661" s="26" t="str">
        <f t="shared" si="122"/>
        <v>00</v>
      </c>
      <c r="J661" s="26" t="str">
        <f t="shared" si="116"/>
        <v xml:space="preserve">06 </v>
      </c>
      <c r="K661" s="26" t="str">
        <f t="shared" si="117"/>
        <v>TE</v>
      </c>
      <c r="L661" s="26" t="str">
        <f t="shared" si="118"/>
        <v>DGEST</v>
      </c>
      <c r="M661" s="26" t="str">
        <f t="shared" si="121"/>
        <v>FEDERAL</v>
      </c>
      <c r="N661" s="26">
        <v>461</v>
      </c>
      <c r="O661" s="26">
        <v>246</v>
      </c>
      <c r="P661" s="26">
        <v>215</v>
      </c>
      <c r="Q661" s="26">
        <v>15</v>
      </c>
      <c r="R661" s="26">
        <v>1</v>
      </c>
      <c r="S661" s="26">
        <v>26</v>
      </c>
      <c r="T661" s="26">
        <v>22</v>
      </c>
      <c r="U661" s="26">
        <v>49</v>
      </c>
      <c r="V661" s="26">
        <v>1</v>
      </c>
      <c r="W661" s="26"/>
    </row>
    <row r="662" spans="1:23" x14ac:dyDescent="0.25">
      <c r="A662" s="26" t="str">
        <f t="shared" si="120"/>
        <v>SECUNDARIA</v>
      </c>
      <c r="B662" s="26" t="str">
        <f>"09DST0040A"</f>
        <v>09DST0040A</v>
      </c>
      <c r="C662" s="26" t="str">
        <f>"ESCUELA SECUNDARIA TECNICA 40                                                                       "</f>
        <v xml:space="preserve">ESCUELA SECUNDARIA TECNICA 40                                                                       </v>
      </c>
      <c r="D662" s="26" t="str">
        <f>"MATUTINO"</f>
        <v>MATUTINO</v>
      </c>
      <c r="E662" s="26" t="str">
        <f>"AV DEL RIEGO S/N                                                                "</f>
        <v xml:space="preserve">AV DEL RIEGO S/N                                                                </v>
      </c>
      <c r="F662" s="26" t="str">
        <f>"VILLA COAPA                                                                                                                                 "</f>
        <v xml:space="preserve">VILLA COAPA                                                                                                                                 </v>
      </c>
      <c r="G662" s="26" t="str">
        <f>"TLALPAN                                                                         "</f>
        <v xml:space="preserve">TLALPAN                                                                         </v>
      </c>
      <c r="H662" s="26" t="str">
        <f>"004"</f>
        <v>004</v>
      </c>
      <c r="I662" s="26" t="str">
        <f t="shared" si="122"/>
        <v>00</v>
      </c>
      <c r="J662" s="26" t="str">
        <f t="shared" si="116"/>
        <v xml:space="preserve">06 </v>
      </c>
      <c r="K662" s="26" t="str">
        <f t="shared" si="117"/>
        <v>TE</v>
      </c>
      <c r="L662" s="26" t="str">
        <f t="shared" si="118"/>
        <v>DGEST</v>
      </c>
      <c r="M662" s="26" t="str">
        <f t="shared" si="121"/>
        <v>FEDERAL</v>
      </c>
      <c r="N662" s="26">
        <v>893</v>
      </c>
      <c r="O662" s="26">
        <v>453</v>
      </c>
      <c r="P662" s="26">
        <v>440</v>
      </c>
      <c r="Q662" s="26">
        <v>18</v>
      </c>
      <c r="R662" s="26">
        <v>2</v>
      </c>
      <c r="S662" s="26">
        <v>30</v>
      </c>
      <c r="T662" s="26">
        <v>37</v>
      </c>
      <c r="U662" s="26">
        <v>69</v>
      </c>
      <c r="V662" s="26">
        <v>1</v>
      </c>
      <c r="W662" s="26"/>
    </row>
    <row r="663" spans="1:23" x14ac:dyDescent="0.25">
      <c r="A663" s="26" t="str">
        <f t="shared" si="120"/>
        <v>SECUNDARIA</v>
      </c>
      <c r="B663" s="26" t="str">
        <f>"09DST0040A"</f>
        <v>09DST0040A</v>
      </c>
      <c r="C663" s="26" t="str">
        <f>"ESCUELA SECUNDARIA TECNICA 40                                                                       "</f>
        <v xml:space="preserve">ESCUELA SECUNDARIA TECNICA 40                                                                       </v>
      </c>
      <c r="D663" s="26" t="str">
        <f>"VESPERTINO"</f>
        <v>VESPERTINO</v>
      </c>
      <c r="E663" s="26" t="str">
        <f>"AV DEL RIEGO S/N                                                                "</f>
        <v xml:space="preserve">AV DEL RIEGO S/N                                                                </v>
      </c>
      <c r="F663" s="26" t="str">
        <f>"VILLA COAPA                                                                                                                                 "</f>
        <v xml:space="preserve">VILLA COAPA                                                                                                                                 </v>
      </c>
      <c r="G663" s="26" t="str">
        <f>"TLALPAN                                                                         "</f>
        <v xml:space="preserve">TLALPAN                                                                         </v>
      </c>
      <c r="H663" s="26" t="str">
        <f>"004"</f>
        <v>004</v>
      </c>
      <c r="I663" s="26" t="str">
        <f t="shared" si="122"/>
        <v>00</v>
      </c>
      <c r="J663" s="26" t="str">
        <f t="shared" si="116"/>
        <v xml:space="preserve">06 </v>
      </c>
      <c r="K663" s="26" t="str">
        <f t="shared" si="117"/>
        <v>TE</v>
      </c>
      <c r="L663" s="26" t="str">
        <f t="shared" si="118"/>
        <v>DGEST</v>
      </c>
      <c r="M663" s="26" t="str">
        <f t="shared" si="121"/>
        <v>FEDERAL</v>
      </c>
      <c r="N663" s="26">
        <v>632</v>
      </c>
      <c r="O663" s="26">
        <v>319</v>
      </c>
      <c r="P663" s="26">
        <v>313</v>
      </c>
      <c r="Q663" s="26">
        <v>15</v>
      </c>
      <c r="R663" s="26">
        <v>1</v>
      </c>
      <c r="S663" s="26">
        <v>30</v>
      </c>
      <c r="T663" s="26">
        <v>27</v>
      </c>
      <c r="U663" s="26">
        <v>58</v>
      </c>
      <c r="V663" s="26">
        <v>1</v>
      </c>
      <c r="W663" s="26"/>
    </row>
    <row r="664" spans="1:23" x14ac:dyDescent="0.25">
      <c r="A664" s="26" t="str">
        <f t="shared" si="120"/>
        <v>SECUNDARIA</v>
      </c>
      <c r="B664" s="26" t="str">
        <f>"09DST0041Z"</f>
        <v>09DST0041Z</v>
      </c>
      <c r="C664" s="26" t="str">
        <f>"ESCUELA SECUNDARIA TECNICA 41                                                                       "</f>
        <v xml:space="preserve">ESCUELA SECUNDARIA TECNICA 41                                                                       </v>
      </c>
      <c r="D664" s="26" t="str">
        <f>"MATUTINO"</f>
        <v>MATUTINO</v>
      </c>
      <c r="E664" s="26" t="s">
        <v>3989</v>
      </c>
      <c r="F664" s="26" t="str">
        <f>"SAN JUAN DE ARAGON                                                                                                                          "</f>
        <v xml:space="preserve">SAN JUAN DE ARAGON                                                                                                                          </v>
      </c>
      <c r="G664" s="26" t="str">
        <f>"GUSTAVO A. MADERO                                                               "</f>
        <v xml:space="preserve">GUSTAVO A. MADERO                                                               </v>
      </c>
      <c r="H664" s="26" t="str">
        <f>"002"</f>
        <v>002</v>
      </c>
      <c r="I664" s="26" t="str">
        <f t="shared" si="122"/>
        <v>00</v>
      </c>
      <c r="J664" s="26" t="str">
        <f t="shared" si="116"/>
        <v xml:space="preserve">06 </v>
      </c>
      <c r="K664" s="26" t="str">
        <f t="shared" si="117"/>
        <v>TE</v>
      </c>
      <c r="L664" s="26" t="str">
        <f t="shared" si="118"/>
        <v>DGEST</v>
      </c>
      <c r="M664" s="26" t="str">
        <f t="shared" si="121"/>
        <v>FEDERAL</v>
      </c>
      <c r="N664" s="26">
        <v>774</v>
      </c>
      <c r="O664" s="26">
        <v>404</v>
      </c>
      <c r="P664" s="26">
        <v>370</v>
      </c>
      <c r="Q664" s="26">
        <v>17</v>
      </c>
      <c r="R664" s="26">
        <v>2</v>
      </c>
      <c r="S664" s="26">
        <v>33</v>
      </c>
      <c r="T664" s="26">
        <v>38</v>
      </c>
      <c r="U664" s="26">
        <v>73</v>
      </c>
      <c r="V664" s="26">
        <v>1</v>
      </c>
      <c r="W664" s="26"/>
    </row>
    <row r="665" spans="1:23" x14ac:dyDescent="0.25">
      <c r="A665" s="26" t="str">
        <f t="shared" si="120"/>
        <v>SECUNDARIA</v>
      </c>
      <c r="B665" s="26" t="str">
        <f>"09DST0041Z"</f>
        <v>09DST0041Z</v>
      </c>
      <c r="C665" s="26" t="str">
        <f>"ESCUELA SECUNDARIA TECNICA 41                                                                       "</f>
        <v xml:space="preserve">ESCUELA SECUNDARIA TECNICA 41                                                                       </v>
      </c>
      <c r="D665" s="26" t="str">
        <f>"VESPERTINO"</f>
        <v>VESPERTINO</v>
      </c>
      <c r="E665" s="26" t="s">
        <v>3989</v>
      </c>
      <c r="F665" s="26" t="str">
        <f>"SAN JUAN DE ARAGON                                                                                                                          "</f>
        <v xml:space="preserve">SAN JUAN DE ARAGON                                                                                                                          </v>
      </c>
      <c r="G665" s="26" t="str">
        <f>"GUSTAVO A. MADERO                                                               "</f>
        <v xml:space="preserve">GUSTAVO A. MADERO                                                               </v>
      </c>
      <c r="H665" s="26" t="str">
        <f>"002"</f>
        <v>002</v>
      </c>
      <c r="I665" s="26" t="str">
        <f t="shared" si="122"/>
        <v>00</v>
      </c>
      <c r="J665" s="26" t="str">
        <f t="shared" si="116"/>
        <v xml:space="preserve">06 </v>
      </c>
      <c r="K665" s="26" t="str">
        <f t="shared" si="117"/>
        <v>TE</v>
      </c>
      <c r="L665" s="26" t="str">
        <f t="shared" si="118"/>
        <v>DGEST</v>
      </c>
      <c r="M665" s="26" t="str">
        <f t="shared" si="121"/>
        <v>FEDERAL</v>
      </c>
      <c r="N665" s="26">
        <v>383</v>
      </c>
      <c r="O665" s="26">
        <v>178</v>
      </c>
      <c r="P665" s="26">
        <v>205</v>
      </c>
      <c r="Q665" s="26">
        <v>13</v>
      </c>
      <c r="R665" s="26">
        <v>1</v>
      </c>
      <c r="S665" s="26">
        <v>28</v>
      </c>
      <c r="T665" s="26">
        <v>26</v>
      </c>
      <c r="U665" s="26">
        <v>55</v>
      </c>
      <c r="V665" s="26">
        <v>1</v>
      </c>
      <c r="W665" s="26"/>
    </row>
    <row r="666" spans="1:23" x14ac:dyDescent="0.25">
      <c r="A666" s="26" t="str">
        <f t="shared" si="120"/>
        <v>SECUNDARIA</v>
      </c>
      <c r="B666" s="26" t="str">
        <f>"09DST0042Z"</f>
        <v>09DST0042Z</v>
      </c>
      <c r="C666" s="26" t="str">
        <f>"ESCUELA SECUNDARIA TECNICA 42                                                                       "</f>
        <v xml:space="preserve">ESCUELA SECUNDARIA TECNICA 42                                                                       </v>
      </c>
      <c r="D666" s="26" t="str">
        <f>"JORNADA AMPLIADA"</f>
        <v>JORNADA AMPLIADA</v>
      </c>
      <c r="E666" s="26" t="str">
        <f>"GOROSTIZA ESQUINA TENOCHTITLAN S/N                                              "</f>
        <v xml:space="preserve">GOROSTIZA ESQUINA TENOCHTITLAN S/N                                              </v>
      </c>
      <c r="F666" s="26" t="str">
        <f>"MORELOS                                                                                                                                     "</f>
        <v xml:space="preserve">MORELOS                                                                                                                                     </v>
      </c>
      <c r="G666" s="26" t="str">
        <f>"CUAUHTEMOC                                                                      "</f>
        <v xml:space="preserve">CUAUHTEMOC                                                                      </v>
      </c>
      <c r="H666" s="26" t="str">
        <f>"001"</f>
        <v>001</v>
      </c>
      <c r="I666" s="26" t="str">
        <f t="shared" si="122"/>
        <v>00</v>
      </c>
      <c r="J666" s="26" t="str">
        <f t="shared" si="116"/>
        <v xml:space="preserve">06 </v>
      </c>
      <c r="K666" s="26" t="str">
        <f t="shared" si="117"/>
        <v>TE</v>
      </c>
      <c r="L666" s="26" t="str">
        <f t="shared" si="118"/>
        <v>DGEST</v>
      </c>
      <c r="M666" s="26" t="str">
        <f t="shared" si="121"/>
        <v>FEDERAL</v>
      </c>
      <c r="N666" s="26">
        <v>456</v>
      </c>
      <c r="O666" s="26">
        <v>234</v>
      </c>
      <c r="P666" s="26">
        <v>222</v>
      </c>
      <c r="Q666" s="26">
        <v>18</v>
      </c>
      <c r="R666" s="26">
        <v>2</v>
      </c>
      <c r="S666" s="26">
        <v>40</v>
      </c>
      <c r="T666" s="26">
        <v>30</v>
      </c>
      <c r="U666" s="26">
        <v>72</v>
      </c>
      <c r="V666" s="26">
        <v>1</v>
      </c>
      <c r="W666" s="26" t="s">
        <v>2076</v>
      </c>
    </row>
    <row r="667" spans="1:23" x14ac:dyDescent="0.25">
      <c r="A667" s="26" t="str">
        <f t="shared" si="120"/>
        <v>SECUNDARIA</v>
      </c>
      <c r="B667" s="26" t="str">
        <f>"09DST0043Y"</f>
        <v>09DST0043Y</v>
      </c>
      <c r="C667" s="26" t="str">
        <f>"ESCUELA SECUNDARIA TECNICA 43                                                                       "</f>
        <v xml:space="preserve">ESCUELA SECUNDARIA TECNICA 43                                                                       </v>
      </c>
      <c r="D667" s="26" t="str">
        <f>"MATUTINO"</f>
        <v>MATUTINO</v>
      </c>
      <c r="E667" s="26" t="str">
        <f>"GUSTAVO SALAZAR BEJARANO ESQ. PEDRO SAINZ DE BARANDA                            "</f>
        <v xml:space="preserve">GUSTAVO SALAZAR BEJARANO ESQ. PEDRO SAINZ DE BARANDA                            </v>
      </c>
      <c r="F667" s="26" t="str">
        <f>"LOS CIPRESES                                                                                                                                "</f>
        <v xml:space="preserve">LOS CIPRESES                                                                                                                                </v>
      </c>
      <c r="G667" s="26" t="str">
        <f>"COYOACAN                                                                        "</f>
        <v xml:space="preserve">COYOACAN                                                                        </v>
      </c>
      <c r="H667" s="26" t="str">
        <f>"004"</f>
        <v>004</v>
      </c>
      <c r="I667" s="26" t="str">
        <f t="shared" si="122"/>
        <v>00</v>
      </c>
      <c r="J667" s="26" t="str">
        <f t="shared" ref="J667:J730" si="123">"06 "</f>
        <v xml:space="preserve">06 </v>
      </c>
      <c r="K667" s="26" t="str">
        <f t="shared" ref="K667:K730" si="124">"TE"</f>
        <v>TE</v>
      </c>
      <c r="L667" s="26" t="str">
        <f t="shared" ref="L667:L730" si="125">"DGEST"</f>
        <v>DGEST</v>
      </c>
      <c r="M667" s="26" t="str">
        <f t="shared" si="121"/>
        <v>FEDERAL</v>
      </c>
      <c r="N667" s="26">
        <v>981</v>
      </c>
      <c r="O667" s="26">
        <v>498</v>
      </c>
      <c r="P667" s="26">
        <v>483</v>
      </c>
      <c r="Q667" s="26">
        <v>19</v>
      </c>
      <c r="R667" s="26">
        <v>2</v>
      </c>
      <c r="S667" s="26">
        <v>33</v>
      </c>
      <c r="T667" s="26">
        <v>29</v>
      </c>
      <c r="U667" s="26">
        <v>64</v>
      </c>
      <c r="V667" s="26">
        <v>1</v>
      </c>
      <c r="W667" s="26"/>
    </row>
    <row r="668" spans="1:23" x14ac:dyDescent="0.25">
      <c r="A668" s="26" t="str">
        <f t="shared" si="120"/>
        <v>SECUNDARIA</v>
      </c>
      <c r="B668" s="26" t="str">
        <f>"09DST0043Y"</f>
        <v>09DST0043Y</v>
      </c>
      <c r="C668" s="26" t="str">
        <f>"ESCUELA SECUNDARIA TECNICA 43                                                                       "</f>
        <v xml:space="preserve">ESCUELA SECUNDARIA TECNICA 43                                                                       </v>
      </c>
      <c r="D668" s="26" t="str">
        <f>"VESPERTINO"</f>
        <v>VESPERTINO</v>
      </c>
      <c r="E668" s="26" t="str">
        <f>"GUSTAVO SALAZAR BEJARANO ESQ. PEDRO SAINZ DE BARANDA                            "</f>
        <v xml:space="preserve">GUSTAVO SALAZAR BEJARANO ESQ. PEDRO SAINZ DE BARANDA                            </v>
      </c>
      <c r="F668" s="26" t="str">
        <f>"LOS CIPRESES                                                                                                                                "</f>
        <v xml:space="preserve">LOS CIPRESES                                                                                                                                </v>
      </c>
      <c r="G668" s="26" t="str">
        <f>"COYOACAN                                                                        "</f>
        <v xml:space="preserve">COYOACAN                                                                        </v>
      </c>
      <c r="H668" s="26" t="str">
        <f>"004"</f>
        <v>004</v>
      </c>
      <c r="I668" s="26" t="str">
        <f t="shared" si="122"/>
        <v>00</v>
      </c>
      <c r="J668" s="26" t="str">
        <f t="shared" si="123"/>
        <v xml:space="preserve">06 </v>
      </c>
      <c r="K668" s="26" t="str">
        <f t="shared" si="124"/>
        <v>TE</v>
      </c>
      <c r="L668" s="26" t="str">
        <f t="shared" si="125"/>
        <v>DGEST</v>
      </c>
      <c r="M668" s="26" t="str">
        <f t="shared" si="121"/>
        <v>FEDERAL</v>
      </c>
      <c r="N668" s="26">
        <v>888</v>
      </c>
      <c r="O668" s="26">
        <v>426</v>
      </c>
      <c r="P668" s="26">
        <v>462</v>
      </c>
      <c r="Q668" s="26">
        <v>18</v>
      </c>
      <c r="R668" s="26">
        <v>1</v>
      </c>
      <c r="S668" s="26">
        <v>35</v>
      </c>
      <c r="T668" s="26">
        <v>24</v>
      </c>
      <c r="U668" s="26">
        <v>60</v>
      </c>
      <c r="V668" s="26">
        <v>1</v>
      </c>
      <c r="W668" s="26"/>
    </row>
    <row r="669" spans="1:23" x14ac:dyDescent="0.25">
      <c r="A669" s="26" t="str">
        <f t="shared" si="120"/>
        <v>SECUNDARIA</v>
      </c>
      <c r="B669" s="26" t="str">
        <f>"09DST0044X"</f>
        <v>09DST0044X</v>
      </c>
      <c r="C669" s="26" t="str">
        <f>"ESCUELA SECUNDARIA TECNICA 44                                                                       "</f>
        <v xml:space="preserve">ESCUELA SECUNDARIA TECNICA 44                                                                       </v>
      </c>
      <c r="D669" s="26" t="str">
        <f>"MATUTINO"</f>
        <v>MATUTINO</v>
      </c>
      <c r="E669" s="26" t="str">
        <f>"FRANCISCO DEL PASO Y TRONCOSO Y CALLE DEL ROSAL S/N                             "</f>
        <v xml:space="preserve">FRANCISCO DEL PASO Y TRONCOSO Y CALLE DEL ROSAL S/N                             </v>
      </c>
      <c r="F669" s="26" t="str">
        <f>"MAGDALENA ATLAZOLPA                                                                                                                         "</f>
        <v xml:space="preserve">MAGDALENA ATLAZOLPA                                                                                                                         </v>
      </c>
      <c r="G669" s="26" t="str">
        <f>"IZTAPALAPA                                                                      "</f>
        <v xml:space="preserve">IZTAPALAPA                                                                      </v>
      </c>
      <c r="H669" s="26" t="str">
        <f>"003"</f>
        <v>003</v>
      </c>
      <c r="I669" s="26" t="str">
        <f t="shared" si="122"/>
        <v>00</v>
      </c>
      <c r="J669" s="26" t="str">
        <f t="shared" si="123"/>
        <v xml:space="preserve">06 </v>
      </c>
      <c r="K669" s="26" t="str">
        <f t="shared" si="124"/>
        <v>TE</v>
      </c>
      <c r="L669" s="26" t="str">
        <f t="shared" si="125"/>
        <v>DGEST</v>
      </c>
      <c r="M669" s="26" t="str">
        <f t="shared" si="121"/>
        <v>FEDERAL</v>
      </c>
      <c r="N669" s="26">
        <v>785</v>
      </c>
      <c r="O669" s="26">
        <v>409</v>
      </c>
      <c r="P669" s="26">
        <v>376</v>
      </c>
      <c r="Q669" s="26">
        <v>18</v>
      </c>
      <c r="R669" s="26">
        <v>2</v>
      </c>
      <c r="S669" s="26">
        <v>39</v>
      </c>
      <c r="T669" s="26">
        <v>32</v>
      </c>
      <c r="U669" s="26">
        <v>73</v>
      </c>
      <c r="V669" s="26">
        <v>1</v>
      </c>
      <c r="W669" s="26"/>
    </row>
    <row r="670" spans="1:23" x14ac:dyDescent="0.25">
      <c r="A670" s="26" t="str">
        <f t="shared" si="120"/>
        <v>SECUNDARIA</v>
      </c>
      <c r="B670" s="26" t="str">
        <f>"09DST0044X"</f>
        <v>09DST0044X</v>
      </c>
      <c r="C670" s="26" t="str">
        <f>"ESCUELA SECUNDARIA TECNICA 44                                                                       "</f>
        <v xml:space="preserve">ESCUELA SECUNDARIA TECNICA 44                                                                       </v>
      </c>
      <c r="D670" s="26" t="str">
        <f>"VESPERTINO"</f>
        <v>VESPERTINO</v>
      </c>
      <c r="E670" s="26" t="str">
        <f>"FRANCISCO DEL PASO Y TRONCOSO Y CALLE DEL ROSAL S/N                             "</f>
        <v xml:space="preserve">FRANCISCO DEL PASO Y TRONCOSO Y CALLE DEL ROSAL S/N                             </v>
      </c>
      <c r="F670" s="26" t="str">
        <f>"MAGDALENA ATLAZOLPA                                                                                                                         "</f>
        <v xml:space="preserve">MAGDALENA ATLAZOLPA                                                                                                                         </v>
      </c>
      <c r="G670" s="26" t="str">
        <f>"IZTAPALAPA                                                                      "</f>
        <v xml:space="preserve">IZTAPALAPA                                                                      </v>
      </c>
      <c r="H670" s="26" t="str">
        <f>"003"</f>
        <v>003</v>
      </c>
      <c r="I670" s="26" t="str">
        <f t="shared" si="122"/>
        <v>00</v>
      </c>
      <c r="J670" s="26" t="str">
        <f t="shared" si="123"/>
        <v xml:space="preserve">06 </v>
      </c>
      <c r="K670" s="26" t="str">
        <f t="shared" si="124"/>
        <v>TE</v>
      </c>
      <c r="L670" s="26" t="str">
        <f t="shared" si="125"/>
        <v>DGEST</v>
      </c>
      <c r="M670" s="26" t="str">
        <f t="shared" si="121"/>
        <v>FEDERAL</v>
      </c>
      <c r="N670" s="26">
        <v>523</v>
      </c>
      <c r="O670" s="26">
        <v>249</v>
      </c>
      <c r="P670" s="26">
        <v>274</v>
      </c>
      <c r="Q670" s="26">
        <v>15</v>
      </c>
      <c r="R670" s="26">
        <v>1</v>
      </c>
      <c r="S670" s="26">
        <v>30</v>
      </c>
      <c r="T670" s="26">
        <v>28</v>
      </c>
      <c r="U670" s="26">
        <v>59</v>
      </c>
      <c r="V670" s="26">
        <v>1</v>
      </c>
      <c r="W670" s="26"/>
    </row>
    <row r="671" spans="1:23" x14ac:dyDescent="0.25">
      <c r="A671" s="26" t="str">
        <f t="shared" si="120"/>
        <v>SECUNDARIA</v>
      </c>
      <c r="B671" s="26" t="str">
        <f>"09DST0045W"</f>
        <v>09DST0045W</v>
      </c>
      <c r="C671" s="26" t="str">
        <f>"ESCUELA SECUNDARIA TECNICA 45                                                                       "</f>
        <v xml:space="preserve">ESCUELA SECUNDARIA TECNICA 45                                                                       </v>
      </c>
      <c r="D671" s="26" t="str">
        <f>"MATUTINO"</f>
        <v>MATUTINO</v>
      </c>
      <c r="E671" s="26" t="str">
        <f>"PUENTE DE CUADRITOS S/N                                                         "</f>
        <v xml:space="preserve">PUENTE DE CUADRITOS S/N                                                         </v>
      </c>
      <c r="F671" s="26" t="str">
        <f>"SAN NICOLAS TOTOLAPAN                                                                                                                       "</f>
        <v xml:space="preserve">SAN NICOLAS TOTOLAPAN                                                                                                                       </v>
      </c>
      <c r="G671" s="26" t="str">
        <f>"LA MAGDALENA CONTRERAS                                                          "</f>
        <v xml:space="preserve">LA MAGDALENA CONTRERAS                                                          </v>
      </c>
      <c r="H671" s="26" t="str">
        <f>"001"</f>
        <v>001</v>
      </c>
      <c r="I671" s="26" t="str">
        <f t="shared" si="122"/>
        <v>00</v>
      </c>
      <c r="J671" s="26" t="str">
        <f t="shared" si="123"/>
        <v xml:space="preserve">06 </v>
      </c>
      <c r="K671" s="26" t="str">
        <f t="shared" si="124"/>
        <v>TE</v>
      </c>
      <c r="L671" s="26" t="str">
        <f t="shared" si="125"/>
        <v>DGEST</v>
      </c>
      <c r="M671" s="26" t="str">
        <f t="shared" si="121"/>
        <v>FEDERAL</v>
      </c>
      <c r="N671" s="26">
        <v>726</v>
      </c>
      <c r="O671" s="26">
        <v>364</v>
      </c>
      <c r="P671" s="26">
        <v>362</v>
      </c>
      <c r="Q671" s="26">
        <v>15</v>
      </c>
      <c r="R671" s="26">
        <v>2</v>
      </c>
      <c r="S671" s="26">
        <v>26</v>
      </c>
      <c r="T671" s="26">
        <v>26</v>
      </c>
      <c r="U671" s="26">
        <v>54</v>
      </c>
      <c r="V671" s="26">
        <v>1</v>
      </c>
      <c r="W671" s="26"/>
    </row>
    <row r="672" spans="1:23" x14ac:dyDescent="0.25">
      <c r="A672" s="26" t="str">
        <f t="shared" si="120"/>
        <v>SECUNDARIA</v>
      </c>
      <c r="B672" s="26" t="str">
        <f>"09DST0045W"</f>
        <v>09DST0045W</v>
      </c>
      <c r="C672" s="26" t="str">
        <f>"ESCUELA SECUNDARIA TECNICA 45                                                                       "</f>
        <v xml:space="preserve">ESCUELA SECUNDARIA TECNICA 45                                                                       </v>
      </c>
      <c r="D672" s="26" t="str">
        <f>"VESPERTINO"</f>
        <v>VESPERTINO</v>
      </c>
      <c r="E672" s="26" t="str">
        <f>"PUENTE DE CUADRITOS S/N                                                         "</f>
        <v xml:space="preserve">PUENTE DE CUADRITOS S/N                                                         </v>
      </c>
      <c r="F672" s="26" t="str">
        <f>"SAN NICOLAS TOTOLAPAN                                                                                                                       "</f>
        <v xml:space="preserve">SAN NICOLAS TOTOLAPAN                                                                                                                       </v>
      </c>
      <c r="G672" s="26" t="str">
        <f>"LA MAGDALENA CONTRERAS                                                          "</f>
        <v xml:space="preserve">LA MAGDALENA CONTRERAS                                                          </v>
      </c>
      <c r="H672" s="26" t="str">
        <f>"001"</f>
        <v>001</v>
      </c>
      <c r="I672" s="26" t="str">
        <f t="shared" si="122"/>
        <v>00</v>
      </c>
      <c r="J672" s="26" t="str">
        <f t="shared" si="123"/>
        <v xml:space="preserve">06 </v>
      </c>
      <c r="K672" s="26" t="str">
        <f t="shared" si="124"/>
        <v>TE</v>
      </c>
      <c r="L672" s="26" t="str">
        <f t="shared" si="125"/>
        <v>DGEST</v>
      </c>
      <c r="M672" s="26" t="str">
        <f t="shared" si="121"/>
        <v>FEDERAL</v>
      </c>
      <c r="N672" s="26">
        <v>551</v>
      </c>
      <c r="O672" s="26">
        <v>298</v>
      </c>
      <c r="P672" s="26">
        <v>253</v>
      </c>
      <c r="Q672" s="26">
        <v>14</v>
      </c>
      <c r="R672" s="26">
        <v>1</v>
      </c>
      <c r="S672" s="26">
        <v>27</v>
      </c>
      <c r="T672" s="26">
        <v>16</v>
      </c>
      <c r="U672" s="26">
        <v>44</v>
      </c>
      <c r="V672" s="26">
        <v>1</v>
      </c>
      <c r="W672" s="26"/>
    </row>
    <row r="673" spans="1:23" x14ac:dyDescent="0.25">
      <c r="A673" s="26" t="str">
        <f t="shared" si="120"/>
        <v>SECUNDARIA</v>
      </c>
      <c r="B673" s="26" t="str">
        <f>"09DST0046V"</f>
        <v>09DST0046V</v>
      </c>
      <c r="C673" s="26" t="str">
        <f>"ESCUELA SECUNDARIA TECNICA 46                                                                       "</f>
        <v xml:space="preserve">ESCUELA SECUNDARIA TECNICA 46                                                                       </v>
      </c>
      <c r="D673" s="26" t="str">
        <f>"MATUTINO"</f>
        <v>MATUTINO</v>
      </c>
      <c r="E673" s="26" t="str">
        <f>"KM 26.5 CARR MEXICO-TULYEHUALCO                                                 "</f>
        <v xml:space="preserve">KM 26.5 CARR MEXICO-TULYEHUALCO                                                 </v>
      </c>
      <c r="F673" s="26" t="str">
        <f>"SANTA CECILIA                                                                                                                               "</f>
        <v xml:space="preserve">SANTA CECILIA                                                                                                                               </v>
      </c>
      <c r="G673" s="26" t="str">
        <f>"TLAHUAC                                                                         "</f>
        <v xml:space="preserve">TLAHUAC                                                                         </v>
      </c>
      <c r="H673" s="26" t="str">
        <f>"004"</f>
        <v>004</v>
      </c>
      <c r="I673" s="26" t="str">
        <f t="shared" si="122"/>
        <v>00</v>
      </c>
      <c r="J673" s="26" t="str">
        <f t="shared" si="123"/>
        <v xml:space="preserve">06 </v>
      </c>
      <c r="K673" s="26" t="str">
        <f t="shared" si="124"/>
        <v>TE</v>
      </c>
      <c r="L673" s="26" t="str">
        <f t="shared" si="125"/>
        <v>DGEST</v>
      </c>
      <c r="M673" s="26" t="str">
        <f t="shared" si="121"/>
        <v>FEDERAL</v>
      </c>
      <c r="N673" s="26">
        <v>918</v>
      </c>
      <c r="O673" s="26">
        <v>459</v>
      </c>
      <c r="P673" s="26">
        <v>459</v>
      </c>
      <c r="Q673" s="26">
        <v>19</v>
      </c>
      <c r="R673" s="26">
        <v>2</v>
      </c>
      <c r="S673" s="26">
        <v>33</v>
      </c>
      <c r="T673" s="26">
        <v>38</v>
      </c>
      <c r="U673" s="26">
        <v>73</v>
      </c>
      <c r="V673" s="26">
        <v>1</v>
      </c>
      <c r="W673" s="26"/>
    </row>
    <row r="674" spans="1:23" x14ac:dyDescent="0.25">
      <c r="A674" s="26" t="str">
        <f t="shared" si="120"/>
        <v>SECUNDARIA</v>
      </c>
      <c r="B674" s="26" t="str">
        <f>"09DST0046V"</f>
        <v>09DST0046V</v>
      </c>
      <c r="C674" s="26" t="str">
        <f>"ESCUELA SECUNDARIA TECNICA 46                                                                       "</f>
        <v xml:space="preserve">ESCUELA SECUNDARIA TECNICA 46                                                                       </v>
      </c>
      <c r="D674" s="26" t="str">
        <f>"VESPERTINO"</f>
        <v>VESPERTINO</v>
      </c>
      <c r="E674" s="26" t="str">
        <f>"KM 26.5 CARR MEXICO-TULYEHUALCO                                                 "</f>
        <v xml:space="preserve">KM 26.5 CARR MEXICO-TULYEHUALCO                                                 </v>
      </c>
      <c r="F674" s="26" t="str">
        <f>"SANTA CECILIA                                                                                                                               "</f>
        <v xml:space="preserve">SANTA CECILIA                                                                                                                               </v>
      </c>
      <c r="G674" s="26" t="str">
        <f>"TLAHUAC                                                                         "</f>
        <v xml:space="preserve">TLAHUAC                                                                         </v>
      </c>
      <c r="H674" s="26" t="str">
        <f>"004"</f>
        <v>004</v>
      </c>
      <c r="I674" s="26" t="str">
        <f t="shared" si="122"/>
        <v>00</v>
      </c>
      <c r="J674" s="26" t="str">
        <f t="shared" si="123"/>
        <v xml:space="preserve">06 </v>
      </c>
      <c r="K674" s="26" t="str">
        <f t="shared" si="124"/>
        <v>TE</v>
      </c>
      <c r="L674" s="26" t="str">
        <f t="shared" si="125"/>
        <v>DGEST</v>
      </c>
      <c r="M674" s="26" t="str">
        <f t="shared" si="121"/>
        <v>FEDERAL</v>
      </c>
      <c r="N674" s="26">
        <v>866</v>
      </c>
      <c r="O674" s="26">
        <v>484</v>
      </c>
      <c r="P674" s="26">
        <v>382</v>
      </c>
      <c r="Q674" s="26">
        <v>19</v>
      </c>
      <c r="R674" s="26">
        <v>1</v>
      </c>
      <c r="S674" s="26">
        <v>39</v>
      </c>
      <c r="T674" s="26">
        <v>27</v>
      </c>
      <c r="U674" s="26">
        <v>67</v>
      </c>
      <c r="V674" s="26">
        <v>1</v>
      </c>
      <c r="W674" s="26"/>
    </row>
    <row r="675" spans="1:23" x14ac:dyDescent="0.25">
      <c r="A675" s="26" t="str">
        <f t="shared" si="120"/>
        <v>SECUNDARIA</v>
      </c>
      <c r="B675" s="26" t="str">
        <f>"09DST0047U"</f>
        <v>09DST0047U</v>
      </c>
      <c r="C675" s="26" t="str">
        <f>"ESCUELA SECUNDARIA TECNICA 47                                                                       "</f>
        <v xml:space="preserve">ESCUELA SECUNDARIA TECNICA 47                                                                       </v>
      </c>
      <c r="D675" s="26" t="str">
        <f>"MATUTINO"</f>
        <v>MATUTINO</v>
      </c>
      <c r="E675" s="26" t="str">
        <f>"AV INSURGENTES NORTE 1114                                                       "</f>
        <v xml:space="preserve">AV INSURGENTES NORTE 1114                                                       </v>
      </c>
      <c r="F675" s="26" t="str">
        <f>"TLACAMACA                                                                                                                                   "</f>
        <v xml:space="preserve">TLACAMACA                                                                                                                                   </v>
      </c>
      <c r="G675" s="26" t="str">
        <f>"GUSTAVO A. MADERO                                                               "</f>
        <v xml:space="preserve">GUSTAVO A. MADERO                                                               </v>
      </c>
      <c r="H675" s="26" t="str">
        <f>"002"</f>
        <v>002</v>
      </c>
      <c r="I675" s="26" t="str">
        <f t="shared" si="122"/>
        <v>00</v>
      </c>
      <c r="J675" s="26" t="str">
        <f t="shared" si="123"/>
        <v xml:space="preserve">06 </v>
      </c>
      <c r="K675" s="26" t="str">
        <f t="shared" si="124"/>
        <v>TE</v>
      </c>
      <c r="L675" s="26" t="str">
        <f t="shared" si="125"/>
        <v>DGEST</v>
      </c>
      <c r="M675" s="26" t="str">
        <f t="shared" si="121"/>
        <v>FEDERAL</v>
      </c>
      <c r="N675" s="26">
        <v>707</v>
      </c>
      <c r="O675" s="26">
        <v>351</v>
      </c>
      <c r="P675" s="26">
        <v>356</v>
      </c>
      <c r="Q675" s="26">
        <v>15</v>
      </c>
      <c r="R675" s="26">
        <v>2</v>
      </c>
      <c r="S675" s="26">
        <v>27</v>
      </c>
      <c r="T675" s="26">
        <v>35</v>
      </c>
      <c r="U675" s="26">
        <v>64</v>
      </c>
      <c r="V675" s="26">
        <v>1</v>
      </c>
      <c r="W675" s="26"/>
    </row>
    <row r="676" spans="1:23" x14ac:dyDescent="0.25">
      <c r="A676" s="26" t="str">
        <f t="shared" si="120"/>
        <v>SECUNDARIA</v>
      </c>
      <c r="B676" s="26" t="str">
        <f>"09DST0047U"</f>
        <v>09DST0047U</v>
      </c>
      <c r="C676" s="26" t="str">
        <f>"ESCUELA SECUNDARIA TECNICA 47                                                                       "</f>
        <v xml:space="preserve">ESCUELA SECUNDARIA TECNICA 47                                                                       </v>
      </c>
      <c r="D676" s="26" t="str">
        <f>"VESPERTINO"</f>
        <v>VESPERTINO</v>
      </c>
      <c r="E676" s="26" t="str">
        <f>"AV INSURGENTES NORTE 1114                                                       "</f>
        <v xml:space="preserve">AV INSURGENTES NORTE 1114                                                       </v>
      </c>
      <c r="F676" s="26" t="str">
        <f>"TLACAMACA                                                                                                                                   "</f>
        <v xml:space="preserve">TLACAMACA                                                                                                                                   </v>
      </c>
      <c r="G676" s="26" t="str">
        <f>"GUSTAVO A. MADERO                                                               "</f>
        <v xml:space="preserve">GUSTAVO A. MADERO                                                               </v>
      </c>
      <c r="H676" s="26" t="str">
        <f>"002"</f>
        <v>002</v>
      </c>
      <c r="I676" s="26" t="str">
        <f t="shared" si="122"/>
        <v>00</v>
      </c>
      <c r="J676" s="26" t="str">
        <f t="shared" si="123"/>
        <v xml:space="preserve">06 </v>
      </c>
      <c r="K676" s="26" t="str">
        <f t="shared" si="124"/>
        <v>TE</v>
      </c>
      <c r="L676" s="26" t="str">
        <f t="shared" si="125"/>
        <v>DGEST</v>
      </c>
      <c r="M676" s="26" t="str">
        <f t="shared" si="121"/>
        <v>FEDERAL</v>
      </c>
      <c r="N676" s="26">
        <v>403</v>
      </c>
      <c r="O676" s="26">
        <v>213</v>
      </c>
      <c r="P676" s="26">
        <v>190</v>
      </c>
      <c r="Q676" s="26">
        <v>10</v>
      </c>
      <c r="R676" s="26">
        <v>1</v>
      </c>
      <c r="S676" s="26">
        <v>26</v>
      </c>
      <c r="T676" s="26">
        <v>22</v>
      </c>
      <c r="U676" s="26">
        <v>49</v>
      </c>
      <c r="V676" s="26">
        <v>1</v>
      </c>
      <c r="W676" s="26"/>
    </row>
    <row r="677" spans="1:23" x14ac:dyDescent="0.25">
      <c r="A677" s="26" t="str">
        <f t="shared" si="120"/>
        <v>SECUNDARIA</v>
      </c>
      <c r="B677" s="26" t="str">
        <f>"09DST0048T"</f>
        <v>09DST0048T</v>
      </c>
      <c r="C677" s="26" t="str">
        <f>"ESCUELA SECUNDARIA TECNICA 48                                                                       "</f>
        <v xml:space="preserve">ESCUELA SECUNDARIA TECNICA 48                                                                       </v>
      </c>
      <c r="D677" s="26" t="str">
        <f>"MATUTINO"</f>
        <v>MATUTINO</v>
      </c>
      <c r="E677" s="26" t="str">
        <f>"HERMANDAD Y EBANO                                                               "</f>
        <v xml:space="preserve">HERMANDAD Y EBANO                                                               </v>
      </c>
      <c r="F677" s="26" t="str">
        <f>"GRANJAS DE NAVIDAD                                                                                                                          "</f>
        <v xml:space="preserve">GRANJAS DE NAVIDAD                                                                                                                          </v>
      </c>
      <c r="G677" s="26" t="str">
        <f>"CUAJIMALPA DE MORELOS                                                           "</f>
        <v xml:space="preserve">CUAJIMALPA DE MORELOS                                                           </v>
      </c>
      <c r="H677" s="26" t="str">
        <f>"001"</f>
        <v>001</v>
      </c>
      <c r="I677" s="26" t="str">
        <f t="shared" si="122"/>
        <v>00</v>
      </c>
      <c r="J677" s="26" t="str">
        <f t="shared" si="123"/>
        <v xml:space="preserve">06 </v>
      </c>
      <c r="K677" s="26" t="str">
        <f t="shared" si="124"/>
        <v>TE</v>
      </c>
      <c r="L677" s="26" t="str">
        <f t="shared" si="125"/>
        <v>DGEST</v>
      </c>
      <c r="M677" s="26" t="str">
        <f t="shared" si="121"/>
        <v>FEDERAL</v>
      </c>
      <c r="N677" s="26">
        <v>805</v>
      </c>
      <c r="O677" s="26">
        <v>428</v>
      </c>
      <c r="P677" s="26">
        <v>377</v>
      </c>
      <c r="Q677" s="26">
        <v>18</v>
      </c>
      <c r="R677" s="26">
        <v>2</v>
      </c>
      <c r="S677" s="26">
        <v>33</v>
      </c>
      <c r="T677" s="26">
        <v>26</v>
      </c>
      <c r="U677" s="26">
        <v>61</v>
      </c>
      <c r="V677" s="26">
        <v>1</v>
      </c>
      <c r="W677" s="26"/>
    </row>
    <row r="678" spans="1:23" x14ac:dyDescent="0.25">
      <c r="A678" s="26" t="str">
        <f t="shared" si="120"/>
        <v>SECUNDARIA</v>
      </c>
      <c r="B678" s="26" t="str">
        <f>"09DST0048T"</f>
        <v>09DST0048T</v>
      </c>
      <c r="C678" s="26" t="str">
        <f>"ESCUELA SECUNDARIA TECNICA 48                                                                       "</f>
        <v xml:space="preserve">ESCUELA SECUNDARIA TECNICA 48                                                                       </v>
      </c>
      <c r="D678" s="26" t="str">
        <f>"VESPERTINO"</f>
        <v>VESPERTINO</v>
      </c>
      <c r="E678" s="26" t="str">
        <f>"HERMANDAD Y EBANO                                                               "</f>
        <v xml:space="preserve">HERMANDAD Y EBANO                                                               </v>
      </c>
      <c r="F678" s="26" t="str">
        <f>"GRANJAS DE NAVIDAD                                                                                                                          "</f>
        <v xml:space="preserve">GRANJAS DE NAVIDAD                                                                                                                          </v>
      </c>
      <c r="G678" s="26" t="str">
        <f>"CUAJIMALPA DE MORELOS                                                           "</f>
        <v xml:space="preserve">CUAJIMALPA DE MORELOS                                                           </v>
      </c>
      <c r="H678" s="26" t="str">
        <f>"001"</f>
        <v>001</v>
      </c>
      <c r="I678" s="26" t="str">
        <f t="shared" si="122"/>
        <v>00</v>
      </c>
      <c r="J678" s="26" t="str">
        <f t="shared" si="123"/>
        <v xml:space="preserve">06 </v>
      </c>
      <c r="K678" s="26" t="str">
        <f t="shared" si="124"/>
        <v>TE</v>
      </c>
      <c r="L678" s="26" t="str">
        <f t="shared" si="125"/>
        <v>DGEST</v>
      </c>
      <c r="M678" s="26" t="str">
        <f t="shared" si="121"/>
        <v>FEDERAL</v>
      </c>
      <c r="N678" s="26">
        <v>707</v>
      </c>
      <c r="O678" s="26">
        <v>354</v>
      </c>
      <c r="P678" s="26">
        <v>353</v>
      </c>
      <c r="Q678" s="26">
        <v>18</v>
      </c>
      <c r="R678" s="26">
        <v>1</v>
      </c>
      <c r="S678" s="26">
        <v>31</v>
      </c>
      <c r="T678" s="26">
        <v>24</v>
      </c>
      <c r="U678" s="26">
        <v>56</v>
      </c>
      <c r="V678" s="26">
        <v>1</v>
      </c>
      <c r="W678" s="26"/>
    </row>
    <row r="679" spans="1:23" x14ac:dyDescent="0.25">
      <c r="A679" s="26" t="str">
        <f t="shared" si="120"/>
        <v>SECUNDARIA</v>
      </c>
      <c r="B679" s="26" t="str">
        <f>"09DST0049S"</f>
        <v>09DST0049S</v>
      </c>
      <c r="C679" s="26" t="str">
        <f>"ESCUELA SECUNDARIA TECNICA 49                                                                       "</f>
        <v xml:space="preserve">ESCUELA SECUNDARIA TECNICA 49                                                                       </v>
      </c>
      <c r="D679" s="26" t="str">
        <f>"MATUTINO"</f>
        <v>MATUTINO</v>
      </c>
      <c r="E679" s="26" t="str">
        <f>"AV. ESCUINAPA Y PAPALOTL S/N                                                    "</f>
        <v xml:space="preserve">AV. ESCUINAPA Y PAPALOTL S/N                                                    </v>
      </c>
      <c r="F679" s="26" t="str">
        <f>"PEDREGAL DE SANTO DOMINGO                                                                                                                   "</f>
        <v xml:space="preserve">PEDREGAL DE SANTO DOMINGO                                                                                                                   </v>
      </c>
      <c r="G679" s="26" t="str">
        <f>"COYOACAN                                                                        "</f>
        <v xml:space="preserve">COYOACAN                                                                        </v>
      </c>
      <c r="H679" s="26" t="str">
        <f>"004"</f>
        <v>004</v>
      </c>
      <c r="I679" s="26" t="str">
        <f t="shared" si="122"/>
        <v>00</v>
      </c>
      <c r="J679" s="26" t="str">
        <f t="shared" si="123"/>
        <v xml:space="preserve">06 </v>
      </c>
      <c r="K679" s="26" t="str">
        <f t="shared" si="124"/>
        <v>TE</v>
      </c>
      <c r="L679" s="26" t="str">
        <f t="shared" si="125"/>
        <v>DGEST</v>
      </c>
      <c r="M679" s="26" t="str">
        <f t="shared" si="121"/>
        <v>FEDERAL</v>
      </c>
      <c r="N679" s="26">
        <v>725</v>
      </c>
      <c r="O679" s="26">
        <v>369</v>
      </c>
      <c r="P679" s="26">
        <v>356</v>
      </c>
      <c r="Q679" s="26">
        <v>15</v>
      </c>
      <c r="R679" s="26">
        <v>2</v>
      </c>
      <c r="S679" s="26">
        <v>26</v>
      </c>
      <c r="T679" s="26">
        <v>31</v>
      </c>
      <c r="U679" s="26">
        <v>59</v>
      </c>
      <c r="V679" s="26">
        <v>1</v>
      </c>
      <c r="W679" s="26"/>
    </row>
    <row r="680" spans="1:23" x14ac:dyDescent="0.25">
      <c r="A680" s="26" t="str">
        <f t="shared" si="120"/>
        <v>SECUNDARIA</v>
      </c>
      <c r="B680" s="26" t="str">
        <f>"09DST0049S"</f>
        <v>09DST0049S</v>
      </c>
      <c r="C680" s="26" t="str">
        <f>"ESCUELA SECUNDARIA TECNICA 49                                                                       "</f>
        <v xml:space="preserve">ESCUELA SECUNDARIA TECNICA 49                                                                       </v>
      </c>
      <c r="D680" s="26" t="str">
        <f>"VESPERTINO"</f>
        <v>VESPERTINO</v>
      </c>
      <c r="E680" s="26" t="str">
        <f>"AV. ESCUINAPA Y PAPALOTL S/N                                                    "</f>
        <v xml:space="preserve">AV. ESCUINAPA Y PAPALOTL S/N                                                    </v>
      </c>
      <c r="F680" s="26" t="str">
        <f>"PEDREGAL DE SANTO DOMINGO                                                                                                                   "</f>
        <v xml:space="preserve">PEDREGAL DE SANTO DOMINGO                                                                                                                   </v>
      </c>
      <c r="G680" s="26" t="str">
        <f>"COYOACAN                                                                        "</f>
        <v xml:space="preserve">COYOACAN                                                                        </v>
      </c>
      <c r="H680" s="26" t="str">
        <f>"004"</f>
        <v>004</v>
      </c>
      <c r="I680" s="26" t="str">
        <f t="shared" si="122"/>
        <v>00</v>
      </c>
      <c r="J680" s="26" t="str">
        <f t="shared" si="123"/>
        <v xml:space="preserve">06 </v>
      </c>
      <c r="K680" s="26" t="str">
        <f t="shared" si="124"/>
        <v>TE</v>
      </c>
      <c r="L680" s="26" t="str">
        <f t="shared" si="125"/>
        <v>DGEST</v>
      </c>
      <c r="M680" s="26" t="str">
        <f t="shared" si="121"/>
        <v>FEDERAL</v>
      </c>
      <c r="N680" s="26">
        <v>672</v>
      </c>
      <c r="O680" s="26">
        <v>370</v>
      </c>
      <c r="P680" s="26">
        <v>302</v>
      </c>
      <c r="Q680" s="26">
        <v>14</v>
      </c>
      <c r="R680" s="26">
        <v>1</v>
      </c>
      <c r="S680" s="26">
        <v>30</v>
      </c>
      <c r="T680" s="26">
        <v>26</v>
      </c>
      <c r="U680" s="26">
        <v>57</v>
      </c>
      <c r="V680" s="26">
        <v>1</v>
      </c>
      <c r="W680" s="26"/>
    </row>
    <row r="681" spans="1:23" x14ac:dyDescent="0.25">
      <c r="A681" s="26" t="str">
        <f t="shared" si="120"/>
        <v>SECUNDARIA</v>
      </c>
      <c r="B681" s="26" t="str">
        <f>"09DST0050H"</f>
        <v>09DST0050H</v>
      </c>
      <c r="C681" s="26" t="str">
        <f>"ESCUELA SECUNDARIA TECNICA 50                                                                       "</f>
        <v xml:space="preserve">ESCUELA SECUNDARIA TECNICA 50                                                                       </v>
      </c>
      <c r="D681" s="26" t="str">
        <f>"JORNADA AMPLIADA"</f>
        <v>JORNADA AMPLIADA</v>
      </c>
      <c r="E681" s="26" t="str">
        <f>"CALLE 7 ENTRE AVENIDA CORONA DEL ROSAL Y SANTIAGO                               "</f>
        <v xml:space="preserve">CALLE 7 ENTRE AVENIDA CORONA DEL ROSAL Y SANTIAGO                               </v>
      </c>
      <c r="F681" s="26" t="str">
        <f>"GUADALUPE PROLETARIA                                                                                                                        "</f>
        <v xml:space="preserve">GUADALUPE PROLETARIA                                                                                                                        </v>
      </c>
      <c r="G681" s="26" t="str">
        <f>"GUSTAVO A. MADERO                                                               "</f>
        <v xml:space="preserve">GUSTAVO A. MADERO                                                               </v>
      </c>
      <c r="H681" s="26" t="str">
        <f>"002"</f>
        <v>002</v>
      </c>
      <c r="I681" s="26" t="str">
        <f t="shared" si="122"/>
        <v>00</v>
      </c>
      <c r="J681" s="26" t="str">
        <f t="shared" si="123"/>
        <v xml:space="preserve">06 </v>
      </c>
      <c r="K681" s="26" t="str">
        <f t="shared" si="124"/>
        <v>TE</v>
      </c>
      <c r="L681" s="26" t="str">
        <f t="shared" si="125"/>
        <v>DGEST</v>
      </c>
      <c r="M681" s="26" t="str">
        <f t="shared" si="121"/>
        <v>FEDERAL</v>
      </c>
      <c r="N681" s="26">
        <v>599</v>
      </c>
      <c r="O681" s="26">
        <v>353</v>
      </c>
      <c r="P681" s="26">
        <v>246</v>
      </c>
      <c r="Q681" s="26">
        <v>17</v>
      </c>
      <c r="R681" s="26">
        <v>2</v>
      </c>
      <c r="S681" s="26">
        <v>39</v>
      </c>
      <c r="T681" s="26">
        <v>29</v>
      </c>
      <c r="U681" s="26">
        <v>70</v>
      </c>
      <c r="V681" s="26">
        <v>1</v>
      </c>
      <c r="W681" s="26" t="s">
        <v>2076</v>
      </c>
    </row>
    <row r="682" spans="1:23" x14ac:dyDescent="0.25">
      <c r="A682" s="26" t="str">
        <f t="shared" si="120"/>
        <v>SECUNDARIA</v>
      </c>
      <c r="B682" s="26" t="str">
        <f>"09DST0051G"</f>
        <v>09DST0051G</v>
      </c>
      <c r="C682" s="26" t="str">
        <f>"ESCUELA SECUNDARIA TECNICA 51                                                                       "</f>
        <v xml:space="preserve">ESCUELA SECUNDARIA TECNICA 51                                                                       </v>
      </c>
      <c r="D682" s="26" t="str">
        <f>"MATUTINO"</f>
        <v>MATUTINO</v>
      </c>
      <c r="E682" s="26" t="str">
        <f>"CIRCUITO RIO PIAXTLA NO. 30                                                     "</f>
        <v xml:space="preserve">CIRCUITO RIO PIAXTLA NO. 30                                                     </v>
      </c>
      <c r="F682" s="26" t="str">
        <f>"REAL DEL MORAL                                                                                                                              "</f>
        <v xml:space="preserve">REAL DEL MORAL                                                                                                                              </v>
      </c>
      <c r="G682" s="26" t="str">
        <f t="shared" ref="G682:G687" si="126">"IZTAPALAPA                                                                      "</f>
        <v xml:space="preserve">IZTAPALAPA                                                                      </v>
      </c>
      <c r="H682" s="26" t="str">
        <f t="shared" ref="H682:H687" si="127">"003"</f>
        <v>003</v>
      </c>
      <c r="I682" s="26" t="str">
        <f t="shared" si="122"/>
        <v>00</v>
      </c>
      <c r="J682" s="26" t="str">
        <f t="shared" si="123"/>
        <v xml:space="preserve">06 </v>
      </c>
      <c r="K682" s="26" t="str">
        <f t="shared" si="124"/>
        <v>TE</v>
      </c>
      <c r="L682" s="26" t="str">
        <f t="shared" si="125"/>
        <v>DGEST</v>
      </c>
      <c r="M682" s="26" t="str">
        <f t="shared" si="121"/>
        <v>FEDERAL</v>
      </c>
      <c r="N682" s="26">
        <v>722</v>
      </c>
      <c r="O682" s="26">
        <v>353</v>
      </c>
      <c r="P682" s="26">
        <v>369</v>
      </c>
      <c r="Q682" s="26">
        <v>15</v>
      </c>
      <c r="R682" s="26">
        <v>2</v>
      </c>
      <c r="S682" s="26">
        <v>30</v>
      </c>
      <c r="T682" s="26">
        <v>30</v>
      </c>
      <c r="U682" s="26">
        <v>62</v>
      </c>
      <c r="V682" s="26">
        <v>1</v>
      </c>
      <c r="W682" s="26"/>
    </row>
    <row r="683" spans="1:23" x14ac:dyDescent="0.25">
      <c r="A683" s="26" t="str">
        <f t="shared" si="120"/>
        <v>SECUNDARIA</v>
      </c>
      <c r="B683" s="26" t="str">
        <f>"09DST0051G"</f>
        <v>09DST0051G</v>
      </c>
      <c r="C683" s="26" t="str">
        <f>"ESCUELA SECUNDARIA TECNICA 51                                                                       "</f>
        <v xml:space="preserve">ESCUELA SECUNDARIA TECNICA 51                                                                       </v>
      </c>
      <c r="D683" s="26" t="str">
        <f>"VESPERTINO"</f>
        <v>VESPERTINO</v>
      </c>
      <c r="E683" s="26" t="str">
        <f>"CIRCUITO RIO PIAXTLA NO. 30                                                     "</f>
        <v xml:space="preserve">CIRCUITO RIO PIAXTLA NO. 30                                                     </v>
      </c>
      <c r="F683" s="26" t="str">
        <f>"REAL DEL MORAL                                                                                                                              "</f>
        <v xml:space="preserve">REAL DEL MORAL                                                                                                                              </v>
      </c>
      <c r="G683" s="26" t="str">
        <f t="shared" si="126"/>
        <v xml:space="preserve">IZTAPALAPA                                                                      </v>
      </c>
      <c r="H683" s="26" t="str">
        <f t="shared" si="127"/>
        <v>003</v>
      </c>
      <c r="I683" s="26" t="str">
        <f t="shared" si="122"/>
        <v>00</v>
      </c>
      <c r="J683" s="26" t="str">
        <f t="shared" si="123"/>
        <v xml:space="preserve">06 </v>
      </c>
      <c r="K683" s="26" t="str">
        <f t="shared" si="124"/>
        <v>TE</v>
      </c>
      <c r="L683" s="26" t="str">
        <f t="shared" si="125"/>
        <v>DGEST</v>
      </c>
      <c r="M683" s="26" t="str">
        <f t="shared" si="121"/>
        <v>FEDERAL</v>
      </c>
      <c r="N683" s="26">
        <v>443</v>
      </c>
      <c r="O683" s="26">
        <v>210</v>
      </c>
      <c r="P683" s="26">
        <v>233</v>
      </c>
      <c r="Q683" s="26">
        <v>12</v>
      </c>
      <c r="R683" s="26">
        <v>1</v>
      </c>
      <c r="S683" s="26">
        <v>27</v>
      </c>
      <c r="T683" s="26">
        <v>20</v>
      </c>
      <c r="U683" s="26">
        <v>48</v>
      </c>
      <c r="V683" s="26">
        <v>1</v>
      </c>
      <c r="W683" s="26"/>
    </row>
    <row r="684" spans="1:23" x14ac:dyDescent="0.25">
      <c r="A684" s="26" t="str">
        <f t="shared" si="120"/>
        <v>SECUNDARIA</v>
      </c>
      <c r="B684" s="26" t="str">
        <f>"09DST0052F"</f>
        <v>09DST0052F</v>
      </c>
      <c r="C684" s="26" t="str">
        <f>"ESCUELA SECUNDARIA TECNICA 52                                                                       "</f>
        <v xml:space="preserve">ESCUELA SECUNDARIA TECNICA 52                                                                       </v>
      </c>
      <c r="D684" s="26" t="str">
        <f>"MATUTINO"</f>
        <v>MATUTINO</v>
      </c>
      <c r="E684" s="26" t="str">
        <f>"CHILPANCINGO SUR S/N                                                            "</f>
        <v xml:space="preserve">CHILPANCINGO SUR S/N                                                            </v>
      </c>
      <c r="F684" s="26" t="str">
        <f>"CONJUNTO URBANO POPULAR ERMITA ZARA                                                                                                         "</f>
        <v xml:space="preserve">CONJUNTO URBANO POPULAR ERMITA ZARA                                                                                                         </v>
      </c>
      <c r="G684" s="26" t="str">
        <f t="shared" si="126"/>
        <v xml:space="preserve">IZTAPALAPA                                                                      </v>
      </c>
      <c r="H684" s="26" t="str">
        <f t="shared" si="127"/>
        <v>003</v>
      </c>
      <c r="I684" s="26" t="str">
        <f t="shared" si="122"/>
        <v>00</v>
      </c>
      <c r="J684" s="26" t="str">
        <f t="shared" si="123"/>
        <v xml:space="preserve">06 </v>
      </c>
      <c r="K684" s="26" t="str">
        <f t="shared" si="124"/>
        <v>TE</v>
      </c>
      <c r="L684" s="26" t="str">
        <f t="shared" si="125"/>
        <v>DGEST</v>
      </c>
      <c r="M684" s="26" t="str">
        <f t="shared" si="121"/>
        <v>FEDERAL</v>
      </c>
      <c r="N684" s="26">
        <v>692</v>
      </c>
      <c r="O684" s="26">
        <v>329</v>
      </c>
      <c r="P684" s="26">
        <v>363</v>
      </c>
      <c r="Q684" s="26">
        <v>18</v>
      </c>
      <c r="R684" s="26">
        <v>2</v>
      </c>
      <c r="S684" s="26">
        <v>28</v>
      </c>
      <c r="T684" s="26">
        <v>27</v>
      </c>
      <c r="U684" s="26">
        <v>57</v>
      </c>
      <c r="V684" s="26">
        <v>1</v>
      </c>
      <c r="W684" s="26"/>
    </row>
    <row r="685" spans="1:23" x14ac:dyDescent="0.25">
      <c r="A685" s="26" t="str">
        <f t="shared" si="120"/>
        <v>SECUNDARIA</v>
      </c>
      <c r="B685" s="26" t="str">
        <f>"09DST0052F"</f>
        <v>09DST0052F</v>
      </c>
      <c r="C685" s="26" t="str">
        <f>"ESCUELA SECUNDARIA TECNICA 52                                                                       "</f>
        <v xml:space="preserve">ESCUELA SECUNDARIA TECNICA 52                                                                       </v>
      </c>
      <c r="D685" s="26" t="str">
        <f>"VESPERTINO"</f>
        <v>VESPERTINO</v>
      </c>
      <c r="E685" s="26" t="str">
        <f>"CHILPANCINGO SUR S/N                                                            "</f>
        <v xml:space="preserve">CHILPANCINGO SUR S/N                                                            </v>
      </c>
      <c r="F685" s="26" t="str">
        <f>"CONJUNTO URBANO POPULAR ERMITA ZARA                                                                                                         "</f>
        <v xml:space="preserve">CONJUNTO URBANO POPULAR ERMITA ZARA                                                                                                         </v>
      </c>
      <c r="G685" s="26" t="str">
        <f t="shared" si="126"/>
        <v xml:space="preserve">IZTAPALAPA                                                                      </v>
      </c>
      <c r="H685" s="26" t="str">
        <f t="shared" si="127"/>
        <v>003</v>
      </c>
      <c r="I685" s="26" t="str">
        <f t="shared" si="122"/>
        <v>00</v>
      </c>
      <c r="J685" s="26" t="str">
        <f t="shared" si="123"/>
        <v xml:space="preserve">06 </v>
      </c>
      <c r="K685" s="26" t="str">
        <f t="shared" si="124"/>
        <v>TE</v>
      </c>
      <c r="L685" s="26" t="str">
        <f t="shared" si="125"/>
        <v>DGEST</v>
      </c>
      <c r="M685" s="26" t="str">
        <f t="shared" si="121"/>
        <v>FEDERAL</v>
      </c>
      <c r="N685" s="26">
        <v>235</v>
      </c>
      <c r="O685" s="26">
        <v>122</v>
      </c>
      <c r="P685" s="26">
        <v>113</v>
      </c>
      <c r="Q685" s="26">
        <v>7</v>
      </c>
      <c r="R685" s="26">
        <v>1</v>
      </c>
      <c r="S685" s="26">
        <v>13</v>
      </c>
      <c r="T685" s="26">
        <v>21</v>
      </c>
      <c r="U685" s="26">
        <v>35</v>
      </c>
      <c r="V685" s="26">
        <v>1</v>
      </c>
      <c r="W685" s="26"/>
    </row>
    <row r="686" spans="1:23" x14ac:dyDescent="0.25">
      <c r="A686" s="26" t="str">
        <f t="shared" si="120"/>
        <v>SECUNDARIA</v>
      </c>
      <c r="B686" s="26" t="str">
        <f>"09DST0053E"</f>
        <v>09DST0053E</v>
      </c>
      <c r="C686" s="26" t="str">
        <f>"ESCUELA SECUNDARIA TECNICA 53                                                                       "</f>
        <v xml:space="preserve">ESCUELA SECUNDARIA TECNICA 53                                                                       </v>
      </c>
      <c r="D686" s="26" t="str">
        <f>"MATUTINO"</f>
        <v>MATUTINO</v>
      </c>
      <c r="E686" s="26" t="s">
        <v>3990</v>
      </c>
      <c r="F686" s="26" t="str">
        <f>"SANTA CRUZ MEYEHUALCO                                                                                                                       "</f>
        <v xml:space="preserve">SANTA CRUZ MEYEHUALCO                                                                                                                       </v>
      </c>
      <c r="G686" s="26" t="str">
        <f t="shared" si="126"/>
        <v xml:space="preserve">IZTAPALAPA                                                                      </v>
      </c>
      <c r="H686" s="26" t="str">
        <f t="shared" si="127"/>
        <v>003</v>
      </c>
      <c r="I686" s="26" t="str">
        <f t="shared" si="122"/>
        <v>00</v>
      </c>
      <c r="J686" s="26" t="str">
        <f t="shared" si="123"/>
        <v xml:space="preserve">06 </v>
      </c>
      <c r="K686" s="26" t="str">
        <f t="shared" si="124"/>
        <v>TE</v>
      </c>
      <c r="L686" s="26" t="str">
        <f t="shared" si="125"/>
        <v>DGEST</v>
      </c>
      <c r="M686" s="26" t="str">
        <f t="shared" si="121"/>
        <v>FEDERAL</v>
      </c>
      <c r="N686" s="26">
        <v>782</v>
      </c>
      <c r="O686" s="26">
        <v>370</v>
      </c>
      <c r="P686" s="26">
        <v>412</v>
      </c>
      <c r="Q686" s="26">
        <v>18</v>
      </c>
      <c r="R686" s="26">
        <v>2</v>
      </c>
      <c r="S686" s="26">
        <v>32</v>
      </c>
      <c r="T686" s="26">
        <v>34</v>
      </c>
      <c r="U686" s="26">
        <v>68</v>
      </c>
      <c r="V686" s="26">
        <v>1</v>
      </c>
      <c r="W686" s="26"/>
    </row>
    <row r="687" spans="1:23" x14ac:dyDescent="0.25">
      <c r="A687" s="26" t="str">
        <f t="shared" si="120"/>
        <v>SECUNDARIA</v>
      </c>
      <c r="B687" s="26" t="str">
        <f>"09DST0053E"</f>
        <v>09DST0053E</v>
      </c>
      <c r="C687" s="26" t="str">
        <f>"ESCUELA SECUNDARIA TECNICA 53                                                                       "</f>
        <v xml:space="preserve">ESCUELA SECUNDARIA TECNICA 53                                                                       </v>
      </c>
      <c r="D687" s="26" t="str">
        <f>"VESPERTINO"</f>
        <v>VESPERTINO</v>
      </c>
      <c r="E687" s="26" t="s">
        <v>3990</v>
      </c>
      <c r="F687" s="26" t="str">
        <f>"SANTA CRUZ MEYEHUALCO                                                                                                                       "</f>
        <v xml:space="preserve">SANTA CRUZ MEYEHUALCO                                                                                                                       </v>
      </c>
      <c r="G687" s="26" t="str">
        <f t="shared" si="126"/>
        <v xml:space="preserve">IZTAPALAPA                                                                      </v>
      </c>
      <c r="H687" s="26" t="str">
        <f t="shared" si="127"/>
        <v>003</v>
      </c>
      <c r="I687" s="26" t="str">
        <f t="shared" si="122"/>
        <v>00</v>
      </c>
      <c r="J687" s="26" t="str">
        <f t="shared" si="123"/>
        <v xml:space="preserve">06 </v>
      </c>
      <c r="K687" s="26" t="str">
        <f t="shared" si="124"/>
        <v>TE</v>
      </c>
      <c r="L687" s="26" t="str">
        <f t="shared" si="125"/>
        <v>DGEST</v>
      </c>
      <c r="M687" s="26" t="str">
        <f t="shared" si="121"/>
        <v>FEDERAL</v>
      </c>
      <c r="N687" s="26">
        <v>575</v>
      </c>
      <c r="O687" s="26">
        <v>290</v>
      </c>
      <c r="P687" s="26">
        <v>285</v>
      </c>
      <c r="Q687" s="26">
        <v>15</v>
      </c>
      <c r="R687" s="26">
        <v>1</v>
      </c>
      <c r="S687" s="26">
        <v>25</v>
      </c>
      <c r="T687" s="26">
        <v>29</v>
      </c>
      <c r="U687" s="26">
        <v>55</v>
      </c>
      <c r="V687" s="26">
        <v>1</v>
      </c>
      <c r="W687" s="26"/>
    </row>
    <row r="688" spans="1:23" x14ac:dyDescent="0.25">
      <c r="A688" s="26" t="str">
        <f t="shared" si="120"/>
        <v>SECUNDARIA</v>
      </c>
      <c r="B688" s="26" t="str">
        <f>"09DST0054D"</f>
        <v>09DST0054D</v>
      </c>
      <c r="C688" s="26" t="str">
        <f>"ESCUELA SECUNDARIA TECNICA 54                                                                       "</f>
        <v xml:space="preserve">ESCUELA SECUNDARIA TECNICA 54                                                                       </v>
      </c>
      <c r="D688" s="26" t="str">
        <f>"MATUTINO"</f>
        <v>MATUTINO</v>
      </c>
      <c r="E688" s="26" t="str">
        <f>"CALLE DILIGENCIAS Y VIOLETA CARRETERA FEDERAL A CUERNAVACA                      "</f>
        <v xml:space="preserve">CALLE DILIGENCIAS Y VIOLETA CARRETERA FEDERAL A CUERNAVACA                      </v>
      </c>
      <c r="F688" s="26" t="str">
        <f>"SAN PEDRO MARTIR                                                                                                                            "</f>
        <v xml:space="preserve">SAN PEDRO MARTIR                                                                                                                            </v>
      </c>
      <c r="G688" s="26" t="str">
        <f>"TLALPAN                                                                         "</f>
        <v xml:space="preserve">TLALPAN                                                                         </v>
      </c>
      <c r="H688" s="26" t="str">
        <f>"004"</f>
        <v>004</v>
      </c>
      <c r="I688" s="26" t="str">
        <f t="shared" si="122"/>
        <v>00</v>
      </c>
      <c r="J688" s="26" t="str">
        <f t="shared" si="123"/>
        <v xml:space="preserve">06 </v>
      </c>
      <c r="K688" s="26" t="str">
        <f t="shared" si="124"/>
        <v>TE</v>
      </c>
      <c r="L688" s="26" t="str">
        <f t="shared" si="125"/>
        <v>DGEST</v>
      </c>
      <c r="M688" s="26" t="str">
        <f t="shared" si="121"/>
        <v>FEDERAL</v>
      </c>
      <c r="N688" s="26">
        <v>880</v>
      </c>
      <c r="O688" s="26">
        <v>436</v>
      </c>
      <c r="P688" s="26">
        <v>444</v>
      </c>
      <c r="Q688" s="26">
        <v>17</v>
      </c>
      <c r="R688" s="26">
        <v>2</v>
      </c>
      <c r="S688" s="26">
        <v>30</v>
      </c>
      <c r="T688" s="26">
        <v>27</v>
      </c>
      <c r="U688" s="26">
        <v>59</v>
      </c>
      <c r="V688" s="26">
        <v>1</v>
      </c>
      <c r="W688" s="26"/>
    </row>
    <row r="689" spans="1:23" x14ac:dyDescent="0.25">
      <c r="A689" s="26" t="str">
        <f t="shared" si="120"/>
        <v>SECUNDARIA</v>
      </c>
      <c r="B689" s="26" t="str">
        <f>"09DST0054D"</f>
        <v>09DST0054D</v>
      </c>
      <c r="C689" s="26" t="str">
        <f>"ESCUELA SECUNDARIA TECNICA 54                                                                       "</f>
        <v xml:space="preserve">ESCUELA SECUNDARIA TECNICA 54                                                                       </v>
      </c>
      <c r="D689" s="26" t="str">
        <f>"VESPERTINO"</f>
        <v>VESPERTINO</v>
      </c>
      <c r="E689" s="26" t="str">
        <f>"CALLE DILIGENCIAS Y VIOLETA CARRETERA FEDERAL A CUERNAVACA                      "</f>
        <v xml:space="preserve">CALLE DILIGENCIAS Y VIOLETA CARRETERA FEDERAL A CUERNAVACA                      </v>
      </c>
      <c r="F689" s="26" t="str">
        <f>"SAN PEDRO MARTIR                                                                                                                            "</f>
        <v xml:space="preserve">SAN PEDRO MARTIR                                                                                                                            </v>
      </c>
      <c r="G689" s="26" t="str">
        <f>"TLALPAN                                                                         "</f>
        <v xml:space="preserve">TLALPAN                                                                         </v>
      </c>
      <c r="H689" s="26" t="str">
        <f>"004"</f>
        <v>004</v>
      </c>
      <c r="I689" s="26" t="str">
        <f t="shared" si="122"/>
        <v>00</v>
      </c>
      <c r="J689" s="26" t="str">
        <f t="shared" si="123"/>
        <v xml:space="preserve">06 </v>
      </c>
      <c r="K689" s="26" t="str">
        <f t="shared" si="124"/>
        <v>TE</v>
      </c>
      <c r="L689" s="26" t="str">
        <f t="shared" si="125"/>
        <v>DGEST</v>
      </c>
      <c r="M689" s="26" t="str">
        <f t="shared" si="121"/>
        <v>FEDERAL</v>
      </c>
      <c r="N689" s="26">
        <v>668</v>
      </c>
      <c r="O689" s="26">
        <v>345</v>
      </c>
      <c r="P689" s="26">
        <v>323</v>
      </c>
      <c r="Q689" s="26">
        <v>13</v>
      </c>
      <c r="R689" s="26">
        <v>1</v>
      </c>
      <c r="S689" s="26">
        <v>25</v>
      </c>
      <c r="T689" s="26">
        <v>17</v>
      </c>
      <c r="U689" s="26">
        <v>43</v>
      </c>
      <c r="V689" s="26">
        <v>1</v>
      </c>
      <c r="W689" s="26"/>
    </row>
    <row r="690" spans="1:23" x14ac:dyDescent="0.25">
      <c r="A690" s="26" t="str">
        <f t="shared" si="120"/>
        <v>SECUNDARIA</v>
      </c>
      <c r="B690" s="26" t="str">
        <f>"09DST0055C"</f>
        <v>09DST0055C</v>
      </c>
      <c r="C690" s="26" t="str">
        <f>"ESCUELA SECUNDARIA TECNICA 55                                                                       "</f>
        <v xml:space="preserve">ESCUELA SECUNDARIA TECNICA 55                                                                       </v>
      </c>
      <c r="D690" s="26" t="str">
        <f>"MATUTINO"</f>
        <v>MATUTINO</v>
      </c>
      <c r="E690" s="26" t="str">
        <f>"CALLE SUR 28 ESQUINA 259                                                        "</f>
        <v xml:space="preserve">CALLE SUR 28 ESQUINA 259                                                        </v>
      </c>
      <c r="F690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690" s="26" t="str">
        <f>"IZTACALCO                                                                       "</f>
        <v xml:space="preserve">IZTACALCO                                                                       </v>
      </c>
      <c r="H690" s="26" t="str">
        <f>"003"</f>
        <v>003</v>
      </c>
      <c r="I690" s="26" t="str">
        <f t="shared" si="122"/>
        <v>00</v>
      </c>
      <c r="J690" s="26" t="str">
        <f t="shared" si="123"/>
        <v xml:space="preserve">06 </v>
      </c>
      <c r="K690" s="26" t="str">
        <f t="shared" si="124"/>
        <v>TE</v>
      </c>
      <c r="L690" s="26" t="str">
        <f t="shared" si="125"/>
        <v>DGEST</v>
      </c>
      <c r="M690" s="26" t="str">
        <f t="shared" si="121"/>
        <v>FEDERAL</v>
      </c>
      <c r="N690" s="26">
        <v>823</v>
      </c>
      <c r="O690" s="26">
        <v>396</v>
      </c>
      <c r="P690" s="26">
        <v>427</v>
      </c>
      <c r="Q690" s="26">
        <v>18</v>
      </c>
      <c r="R690" s="26">
        <v>2</v>
      </c>
      <c r="S690" s="26">
        <v>31</v>
      </c>
      <c r="T690" s="26">
        <v>40</v>
      </c>
      <c r="U690" s="26">
        <v>73</v>
      </c>
      <c r="V690" s="26">
        <v>1</v>
      </c>
      <c r="W690" s="26"/>
    </row>
    <row r="691" spans="1:23" x14ac:dyDescent="0.25">
      <c r="A691" s="26" t="str">
        <f t="shared" si="120"/>
        <v>SECUNDARIA</v>
      </c>
      <c r="B691" s="26" t="str">
        <f>"09DST0055C"</f>
        <v>09DST0055C</v>
      </c>
      <c r="C691" s="26" t="str">
        <f>"ESCUELA SECUNDARIA TECNICA 55                                                                       "</f>
        <v xml:space="preserve">ESCUELA SECUNDARIA TECNICA 55                                                                       </v>
      </c>
      <c r="D691" s="26" t="str">
        <f>"VESPERTINO"</f>
        <v>VESPERTINO</v>
      </c>
      <c r="E691" s="26" t="str">
        <f>"CALLE SUR 28 ESQUINA 259                                                        "</f>
        <v xml:space="preserve">CALLE SUR 28 ESQUINA 259                                                        </v>
      </c>
      <c r="F691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691" s="26" t="str">
        <f>"IZTACALCO                                                                       "</f>
        <v xml:space="preserve">IZTACALCO                                                                       </v>
      </c>
      <c r="H691" s="26" t="str">
        <f>"003"</f>
        <v>003</v>
      </c>
      <c r="I691" s="26" t="str">
        <f t="shared" si="122"/>
        <v>00</v>
      </c>
      <c r="J691" s="26" t="str">
        <f t="shared" si="123"/>
        <v xml:space="preserve">06 </v>
      </c>
      <c r="K691" s="26" t="str">
        <f t="shared" si="124"/>
        <v>TE</v>
      </c>
      <c r="L691" s="26" t="str">
        <f t="shared" si="125"/>
        <v>DGEST</v>
      </c>
      <c r="M691" s="26" t="str">
        <f t="shared" si="121"/>
        <v>FEDERAL</v>
      </c>
      <c r="N691" s="26">
        <v>405</v>
      </c>
      <c r="O691" s="26">
        <v>215</v>
      </c>
      <c r="P691" s="26">
        <v>190</v>
      </c>
      <c r="Q691" s="26">
        <v>16</v>
      </c>
      <c r="R691" s="26">
        <v>1</v>
      </c>
      <c r="S691" s="26">
        <v>33</v>
      </c>
      <c r="T691" s="26">
        <v>25</v>
      </c>
      <c r="U691" s="26">
        <v>59</v>
      </c>
      <c r="V691" s="26">
        <v>1</v>
      </c>
      <c r="W691" s="26"/>
    </row>
    <row r="692" spans="1:23" x14ac:dyDescent="0.25">
      <c r="A692" s="26" t="str">
        <f t="shared" si="120"/>
        <v>SECUNDARIA</v>
      </c>
      <c r="B692" s="26" t="str">
        <f>"09DST0056B"</f>
        <v>09DST0056B</v>
      </c>
      <c r="C692" s="26" t="str">
        <f>"ESCUELA SECUNDARIA TECNICA 56                                                                       "</f>
        <v xml:space="preserve">ESCUELA SECUNDARIA TECNICA 56                                                                       </v>
      </c>
      <c r="D692" s="26" t="str">
        <f>"JORNADA AMPLIADA"</f>
        <v>JORNADA AMPLIADA</v>
      </c>
      <c r="E692" s="26" t="str">
        <f>"AV SANTA CRUZ S/N                                                               "</f>
        <v xml:space="preserve">AV SANTA CRUZ S/N                                                               </v>
      </c>
      <c r="F692" s="26" t="str">
        <f>"SAN MIGUEL TOPILEJO                                                                                                                         "</f>
        <v xml:space="preserve">SAN MIGUEL TOPILEJO                                                                                                                         </v>
      </c>
      <c r="G692" s="26" t="str">
        <f>"TLALPAN                                                                         "</f>
        <v xml:space="preserve">TLALPAN                                                                         </v>
      </c>
      <c r="H692" s="26" t="str">
        <f>"004"</f>
        <v>004</v>
      </c>
      <c r="I692" s="26" t="str">
        <f t="shared" si="122"/>
        <v>00</v>
      </c>
      <c r="J692" s="26" t="str">
        <f t="shared" si="123"/>
        <v xml:space="preserve">06 </v>
      </c>
      <c r="K692" s="26" t="str">
        <f t="shared" si="124"/>
        <v>TE</v>
      </c>
      <c r="L692" s="26" t="str">
        <f t="shared" si="125"/>
        <v>DGEST</v>
      </c>
      <c r="M692" s="26" t="str">
        <f t="shared" si="121"/>
        <v>FEDERAL</v>
      </c>
      <c r="N692" s="26">
        <v>795</v>
      </c>
      <c r="O692" s="26">
        <v>387</v>
      </c>
      <c r="P692" s="26">
        <v>408</v>
      </c>
      <c r="Q692" s="26">
        <v>18</v>
      </c>
      <c r="R692" s="26">
        <v>2</v>
      </c>
      <c r="S692" s="26">
        <v>40</v>
      </c>
      <c r="T692" s="26">
        <v>34</v>
      </c>
      <c r="U692" s="26">
        <v>76</v>
      </c>
      <c r="V692" s="26">
        <v>1</v>
      </c>
      <c r="W692" s="26" t="s">
        <v>2076</v>
      </c>
    </row>
    <row r="693" spans="1:23" x14ac:dyDescent="0.25">
      <c r="A693" s="26" t="str">
        <f t="shared" si="120"/>
        <v>SECUNDARIA</v>
      </c>
      <c r="B693" s="26" t="str">
        <f>"09DST0057A"</f>
        <v>09DST0057A</v>
      </c>
      <c r="C693" s="26" t="str">
        <f>"ESCUELA SECUNDARIA TECNICA 57                                                                       "</f>
        <v xml:space="preserve">ESCUELA SECUNDARIA TECNICA 57                                                                       </v>
      </c>
      <c r="D693" s="26" t="str">
        <f>"MATUTINO"</f>
        <v>MATUTINO</v>
      </c>
      <c r="E693" s="26" t="str">
        <f>"AV PARAISO E ITALIANOS S/N                                                      "</f>
        <v xml:space="preserve">AV PARAISO E ITALIANOS S/N                                                      </v>
      </c>
      <c r="F693" s="26" t="str">
        <f>"EL PARAISO                                                                                                                                  "</f>
        <v xml:space="preserve">EL PARAISO                                                                                                                                  </v>
      </c>
      <c r="G693" s="26" t="str">
        <f>"ALVARO OBREGON                                                                  "</f>
        <v xml:space="preserve">ALVARO OBREGON                                                                  </v>
      </c>
      <c r="H693" s="26" t="str">
        <f>"001"</f>
        <v>001</v>
      </c>
      <c r="I693" s="26" t="str">
        <f t="shared" si="122"/>
        <v>00</v>
      </c>
      <c r="J693" s="26" t="str">
        <f t="shared" si="123"/>
        <v xml:space="preserve">06 </v>
      </c>
      <c r="K693" s="26" t="str">
        <f t="shared" si="124"/>
        <v>TE</v>
      </c>
      <c r="L693" s="26" t="str">
        <f t="shared" si="125"/>
        <v>DGEST</v>
      </c>
      <c r="M693" s="26" t="str">
        <f t="shared" si="121"/>
        <v>FEDERAL</v>
      </c>
      <c r="N693" s="26">
        <v>544</v>
      </c>
      <c r="O693" s="26">
        <v>307</v>
      </c>
      <c r="P693" s="26">
        <v>237</v>
      </c>
      <c r="Q693" s="26">
        <v>15</v>
      </c>
      <c r="R693" s="26">
        <v>2</v>
      </c>
      <c r="S693" s="26">
        <v>33</v>
      </c>
      <c r="T693" s="26">
        <v>19</v>
      </c>
      <c r="U693" s="26">
        <v>54</v>
      </c>
      <c r="V693" s="26">
        <v>1</v>
      </c>
      <c r="W693" s="26"/>
    </row>
    <row r="694" spans="1:23" x14ac:dyDescent="0.25">
      <c r="A694" s="26" t="str">
        <f t="shared" si="120"/>
        <v>SECUNDARIA</v>
      </c>
      <c r="B694" s="26" t="str">
        <f>"09DST0057A"</f>
        <v>09DST0057A</v>
      </c>
      <c r="C694" s="26" t="str">
        <f>"ESCUELA SECUNDARIA TECNICA 57                                                                       "</f>
        <v xml:space="preserve">ESCUELA SECUNDARIA TECNICA 57                                                                       </v>
      </c>
      <c r="D694" s="26" t="str">
        <f>"VESPERTINO"</f>
        <v>VESPERTINO</v>
      </c>
      <c r="E694" s="26" t="str">
        <f>"AV PARAISO E ITALIANOS S/N                                                      "</f>
        <v xml:space="preserve">AV PARAISO E ITALIANOS S/N                                                      </v>
      </c>
      <c r="F694" s="26" t="str">
        <f>"EL PARAISO                                                                                                                                  "</f>
        <v xml:space="preserve">EL PARAISO                                                                                                                                  </v>
      </c>
      <c r="G694" s="26" t="str">
        <f>"ALVARO OBREGON                                                                  "</f>
        <v xml:space="preserve">ALVARO OBREGON                                                                  </v>
      </c>
      <c r="H694" s="26" t="str">
        <f>"001"</f>
        <v>001</v>
      </c>
      <c r="I694" s="26" t="str">
        <f t="shared" si="122"/>
        <v>00</v>
      </c>
      <c r="J694" s="26" t="str">
        <f t="shared" si="123"/>
        <v xml:space="preserve">06 </v>
      </c>
      <c r="K694" s="26" t="str">
        <f t="shared" si="124"/>
        <v>TE</v>
      </c>
      <c r="L694" s="26" t="str">
        <f t="shared" si="125"/>
        <v>DGEST</v>
      </c>
      <c r="M694" s="26" t="str">
        <f t="shared" si="121"/>
        <v>FEDERAL</v>
      </c>
      <c r="N694" s="26">
        <v>273</v>
      </c>
      <c r="O694" s="26">
        <v>168</v>
      </c>
      <c r="P694" s="26">
        <v>105</v>
      </c>
      <c r="Q694" s="26">
        <v>7</v>
      </c>
      <c r="R694" s="26">
        <v>1</v>
      </c>
      <c r="S694" s="26">
        <v>25</v>
      </c>
      <c r="T694" s="26">
        <v>9</v>
      </c>
      <c r="U694" s="26">
        <v>35</v>
      </c>
      <c r="V694" s="26">
        <v>1</v>
      </c>
      <c r="W694" s="26"/>
    </row>
    <row r="695" spans="1:23" x14ac:dyDescent="0.25">
      <c r="A695" s="26" t="str">
        <f t="shared" si="120"/>
        <v>SECUNDARIA</v>
      </c>
      <c r="B695" s="26" t="str">
        <f>"09DST0058Z"</f>
        <v>09DST0058Z</v>
      </c>
      <c r="C695" s="26" t="str">
        <f>"ESCUELA SECUNDARIA TECNICA 58                                                                       "</f>
        <v xml:space="preserve">ESCUELA SECUNDARIA TECNICA 58                                                                       </v>
      </c>
      <c r="D695" s="26" t="str">
        <f>"MATUTINO"</f>
        <v>MATUTINO</v>
      </c>
      <c r="E695" s="26" t="str">
        <f>"LUIS M. MORONES Y AVENIDA DIAZ SOTO Y GAMA                                      "</f>
        <v xml:space="preserve">LUIS M. MORONES Y AVENIDA DIAZ SOTO Y GAMA                                      </v>
      </c>
      <c r="F695" s="26" t="str">
        <f>"UNIDAD HABITACIONAL VICENTE GUERRER                                                                                                         "</f>
        <v xml:space="preserve">UNIDAD HABITACIONAL VICENTE GUERRER                                                                                                         </v>
      </c>
      <c r="G695" s="26" t="str">
        <f>"IZTAPALAPA                                                                      "</f>
        <v xml:space="preserve">IZTAPALAPA                                                                      </v>
      </c>
      <c r="H695" s="26" t="str">
        <f>"003"</f>
        <v>003</v>
      </c>
      <c r="I695" s="26" t="str">
        <f t="shared" si="122"/>
        <v>00</v>
      </c>
      <c r="J695" s="26" t="str">
        <f t="shared" si="123"/>
        <v xml:space="preserve">06 </v>
      </c>
      <c r="K695" s="26" t="str">
        <f t="shared" si="124"/>
        <v>TE</v>
      </c>
      <c r="L695" s="26" t="str">
        <f t="shared" si="125"/>
        <v>DGEST</v>
      </c>
      <c r="M695" s="26" t="str">
        <f t="shared" si="121"/>
        <v>FEDERAL</v>
      </c>
      <c r="N695" s="26">
        <v>744</v>
      </c>
      <c r="O695" s="26">
        <v>356</v>
      </c>
      <c r="P695" s="26">
        <v>388</v>
      </c>
      <c r="Q695" s="26">
        <v>15</v>
      </c>
      <c r="R695" s="26">
        <v>2</v>
      </c>
      <c r="S695" s="26">
        <v>23</v>
      </c>
      <c r="T695" s="26">
        <v>30</v>
      </c>
      <c r="U695" s="26">
        <v>55</v>
      </c>
      <c r="V695" s="26">
        <v>1</v>
      </c>
      <c r="W695" s="26"/>
    </row>
    <row r="696" spans="1:23" x14ac:dyDescent="0.25">
      <c r="A696" s="26" t="str">
        <f t="shared" si="120"/>
        <v>SECUNDARIA</v>
      </c>
      <c r="B696" s="26" t="str">
        <f>"09DST0058Z"</f>
        <v>09DST0058Z</v>
      </c>
      <c r="C696" s="26" t="str">
        <f>"ESCUELA SECUNDARIA TECNICA 58                                                                       "</f>
        <v xml:space="preserve">ESCUELA SECUNDARIA TECNICA 58                                                                       </v>
      </c>
      <c r="D696" s="26" t="str">
        <f>"VESPERTINO"</f>
        <v>VESPERTINO</v>
      </c>
      <c r="E696" s="26" t="str">
        <f>"LUIS M. MORONES Y AVENIDA DIAZ SOTO Y GAMA                                      "</f>
        <v xml:space="preserve">LUIS M. MORONES Y AVENIDA DIAZ SOTO Y GAMA                                      </v>
      </c>
      <c r="F696" s="26" t="str">
        <f>"UNIDAD HABITACIONAL VICENTE GUERRER                                                                                                         "</f>
        <v xml:space="preserve">UNIDAD HABITACIONAL VICENTE GUERRER                                                                                                         </v>
      </c>
      <c r="G696" s="26" t="str">
        <f>"IZTAPALAPA                                                                      "</f>
        <v xml:space="preserve">IZTAPALAPA                                                                      </v>
      </c>
      <c r="H696" s="26" t="str">
        <f>"003"</f>
        <v>003</v>
      </c>
      <c r="I696" s="26" t="str">
        <f t="shared" si="122"/>
        <v>00</v>
      </c>
      <c r="J696" s="26" t="str">
        <f t="shared" si="123"/>
        <v xml:space="preserve">06 </v>
      </c>
      <c r="K696" s="26" t="str">
        <f t="shared" si="124"/>
        <v>TE</v>
      </c>
      <c r="L696" s="26" t="str">
        <f t="shared" si="125"/>
        <v>DGEST</v>
      </c>
      <c r="M696" s="26" t="str">
        <f t="shared" si="121"/>
        <v>FEDERAL</v>
      </c>
      <c r="N696" s="26">
        <v>625</v>
      </c>
      <c r="O696" s="26">
        <v>321</v>
      </c>
      <c r="P696" s="26">
        <v>304</v>
      </c>
      <c r="Q696" s="26">
        <v>15</v>
      </c>
      <c r="R696" s="26">
        <v>1</v>
      </c>
      <c r="S696" s="26">
        <v>27</v>
      </c>
      <c r="T696" s="26">
        <v>22</v>
      </c>
      <c r="U696" s="26">
        <v>50</v>
      </c>
      <c r="V696" s="26">
        <v>1</v>
      </c>
      <c r="W696" s="26"/>
    </row>
    <row r="697" spans="1:23" x14ac:dyDescent="0.25">
      <c r="A697" s="26" t="str">
        <f t="shared" si="120"/>
        <v>SECUNDARIA</v>
      </c>
      <c r="B697" s="26" t="str">
        <f>"09DST0060O"</f>
        <v>09DST0060O</v>
      </c>
      <c r="C697" s="26" t="str">
        <f>"ESCUELA SECUNDARIA TECNICA 60                                                                       "</f>
        <v xml:space="preserve">ESCUELA SECUNDARIA TECNICA 60                                                                       </v>
      </c>
      <c r="D697" s="26" t="str">
        <f>"MATUTINO"</f>
        <v>MATUTINO</v>
      </c>
      <c r="E697" s="26" t="str">
        <f>"PROLONGACION AV. CENTENARIO S/N                                                 "</f>
        <v xml:space="preserve">PROLONGACION AV. CENTENARIO S/N                                                 </v>
      </c>
      <c r="F697" s="26" t="str">
        <f>"LOMAS DE PLATEROS                                                                                                                           "</f>
        <v xml:space="preserve">LOMAS DE PLATEROS                                                                                                                           </v>
      </c>
      <c r="G697" s="26" t="str">
        <f>"ALVARO OBREGON                                                                  "</f>
        <v xml:space="preserve">ALVARO OBREGON                                                                  </v>
      </c>
      <c r="H697" s="26" t="str">
        <f>"001"</f>
        <v>001</v>
      </c>
      <c r="I697" s="26" t="str">
        <f t="shared" si="122"/>
        <v>00</v>
      </c>
      <c r="J697" s="26" t="str">
        <f t="shared" si="123"/>
        <v xml:space="preserve">06 </v>
      </c>
      <c r="K697" s="26" t="str">
        <f t="shared" si="124"/>
        <v>TE</v>
      </c>
      <c r="L697" s="26" t="str">
        <f t="shared" si="125"/>
        <v>DGEST</v>
      </c>
      <c r="M697" s="26" t="str">
        <f t="shared" si="121"/>
        <v>FEDERAL</v>
      </c>
      <c r="N697" s="26">
        <v>786</v>
      </c>
      <c r="O697" s="26">
        <v>401</v>
      </c>
      <c r="P697" s="26">
        <v>385</v>
      </c>
      <c r="Q697" s="26">
        <v>18</v>
      </c>
      <c r="R697" s="26">
        <v>2</v>
      </c>
      <c r="S697" s="26">
        <v>35</v>
      </c>
      <c r="T697" s="26">
        <v>28</v>
      </c>
      <c r="U697" s="26">
        <v>65</v>
      </c>
      <c r="V697" s="26">
        <v>1</v>
      </c>
      <c r="W697" s="26"/>
    </row>
    <row r="698" spans="1:23" x14ac:dyDescent="0.25">
      <c r="A698" s="26" t="str">
        <f t="shared" si="120"/>
        <v>SECUNDARIA</v>
      </c>
      <c r="B698" s="26" t="str">
        <f>"09DST0060O"</f>
        <v>09DST0060O</v>
      </c>
      <c r="C698" s="26" t="str">
        <f>"ESCUELA SECUNDARIA TECNICA 60                                                                       "</f>
        <v xml:space="preserve">ESCUELA SECUNDARIA TECNICA 60                                                                       </v>
      </c>
      <c r="D698" s="26" t="str">
        <f>"VESPERTINO"</f>
        <v>VESPERTINO</v>
      </c>
      <c r="E698" s="26" t="str">
        <f>"PROLONGACION AV. CENTENARIO S/N                                                 "</f>
        <v xml:space="preserve">PROLONGACION AV. CENTENARIO S/N                                                 </v>
      </c>
      <c r="F698" s="26" t="str">
        <f>"LOMAS DE PLATEROS                                                                                                                           "</f>
        <v xml:space="preserve">LOMAS DE PLATEROS                                                                                                                           </v>
      </c>
      <c r="G698" s="26" t="str">
        <f>"ALVARO OBREGON                                                                  "</f>
        <v xml:space="preserve">ALVARO OBREGON                                                                  </v>
      </c>
      <c r="H698" s="26" t="str">
        <f>"001"</f>
        <v>001</v>
      </c>
      <c r="I698" s="26" t="str">
        <f t="shared" si="122"/>
        <v>00</v>
      </c>
      <c r="J698" s="26" t="str">
        <f t="shared" si="123"/>
        <v xml:space="preserve">06 </v>
      </c>
      <c r="K698" s="26" t="str">
        <f t="shared" si="124"/>
        <v>TE</v>
      </c>
      <c r="L698" s="26" t="str">
        <f t="shared" si="125"/>
        <v>DGEST</v>
      </c>
      <c r="M698" s="26" t="str">
        <f t="shared" si="121"/>
        <v>FEDERAL</v>
      </c>
      <c r="N698" s="26">
        <v>380</v>
      </c>
      <c r="O698" s="26">
        <v>209</v>
      </c>
      <c r="P698" s="26">
        <v>171</v>
      </c>
      <c r="Q698" s="26">
        <v>14</v>
      </c>
      <c r="R698" s="26">
        <v>1</v>
      </c>
      <c r="S698" s="26">
        <v>24</v>
      </c>
      <c r="T698" s="26">
        <v>22</v>
      </c>
      <c r="U698" s="26">
        <v>47</v>
      </c>
      <c r="V698" s="26">
        <v>1</v>
      </c>
      <c r="W698" s="26"/>
    </row>
    <row r="699" spans="1:23" x14ac:dyDescent="0.25">
      <c r="A699" s="26" t="str">
        <f t="shared" si="120"/>
        <v>SECUNDARIA</v>
      </c>
      <c r="B699" s="26" t="str">
        <f>"09DST0061N"</f>
        <v>09DST0061N</v>
      </c>
      <c r="C699" s="26" t="str">
        <f>"ESCUELA SECUNDARIA TECNICA 61                                                                       "</f>
        <v xml:space="preserve">ESCUELA SECUNDARIA TECNICA 61                                                                       </v>
      </c>
      <c r="D699" s="26" t="str">
        <f>"MATUTINO"</f>
        <v>MATUTINO</v>
      </c>
      <c r="E699" s="26" t="str">
        <f>" CALLE MANUEL ESPERON Y ABEL DOMINGUEZ                                          "</f>
        <v xml:space="preserve"> CALLE MANUEL ESPERON Y ABEL DOMINGUEZ                                          </v>
      </c>
      <c r="F699" s="26" t="str">
        <f>"EL TEPETATAL                                                                                                                                "</f>
        <v xml:space="preserve">EL TEPETATAL                                                                                                                                </v>
      </c>
      <c r="G699" s="26" t="str">
        <f>"GUSTAVO A. MADERO                                                               "</f>
        <v xml:space="preserve">GUSTAVO A. MADERO                                                               </v>
      </c>
      <c r="H699" s="26" t="str">
        <f>"002"</f>
        <v>002</v>
      </c>
      <c r="I699" s="26" t="str">
        <f t="shared" si="122"/>
        <v>00</v>
      </c>
      <c r="J699" s="26" t="str">
        <f t="shared" si="123"/>
        <v xml:space="preserve">06 </v>
      </c>
      <c r="K699" s="26" t="str">
        <f t="shared" si="124"/>
        <v>TE</v>
      </c>
      <c r="L699" s="26" t="str">
        <f t="shared" si="125"/>
        <v>DGEST</v>
      </c>
      <c r="M699" s="26" t="str">
        <f t="shared" si="121"/>
        <v>FEDERAL</v>
      </c>
      <c r="N699" s="26">
        <v>788</v>
      </c>
      <c r="O699" s="26">
        <v>389</v>
      </c>
      <c r="P699" s="26">
        <v>399</v>
      </c>
      <c r="Q699" s="26">
        <v>18</v>
      </c>
      <c r="R699" s="26">
        <v>2</v>
      </c>
      <c r="S699" s="26">
        <v>32</v>
      </c>
      <c r="T699" s="26">
        <v>32</v>
      </c>
      <c r="U699" s="26">
        <v>66</v>
      </c>
      <c r="V699" s="26">
        <v>1</v>
      </c>
      <c r="W699" s="26"/>
    </row>
    <row r="700" spans="1:23" x14ac:dyDescent="0.25">
      <c r="A700" s="26" t="str">
        <f t="shared" si="120"/>
        <v>SECUNDARIA</v>
      </c>
      <c r="B700" s="26" t="str">
        <f>"09DST0061N"</f>
        <v>09DST0061N</v>
      </c>
      <c r="C700" s="26" t="str">
        <f>"ESCUELA SECUNDARIA TECNICA 61                                                                       "</f>
        <v xml:space="preserve">ESCUELA SECUNDARIA TECNICA 61                                                                       </v>
      </c>
      <c r="D700" s="26" t="str">
        <f>"VESPERTINO"</f>
        <v>VESPERTINO</v>
      </c>
      <c r="E700" s="26" t="str">
        <f>" CALLE MANUEL ESPERON Y ABEL DOMINGUEZ                                          "</f>
        <v xml:space="preserve"> CALLE MANUEL ESPERON Y ABEL DOMINGUEZ                                          </v>
      </c>
      <c r="F700" s="26" t="str">
        <f>"EL TEPETATAL                                                                                                                                "</f>
        <v xml:space="preserve">EL TEPETATAL                                                                                                                                </v>
      </c>
      <c r="G700" s="26" t="str">
        <f>"GUSTAVO A. MADERO                                                               "</f>
        <v xml:space="preserve">GUSTAVO A. MADERO                                                               </v>
      </c>
      <c r="H700" s="26" t="str">
        <f>"002"</f>
        <v>002</v>
      </c>
      <c r="I700" s="26" t="str">
        <f t="shared" si="122"/>
        <v>00</v>
      </c>
      <c r="J700" s="26" t="str">
        <f t="shared" si="123"/>
        <v xml:space="preserve">06 </v>
      </c>
      <c r="K700" s="26" t="str">
        <f t="shared" si="124"/>
        <v>TE</v>
      </c>
      <c r="L700" s="26" t="str">
        <f t="shared" si="125"/>
        <v>DGEST</v>
      </c>
      <c r="M700" s="26" t="str">
        <f t="shared" si="121"/>
        <v>FEDERAL</v>
      </c>
      <c r="N700" s="26">
        <v>652</v>
      </c>
      <c r="O700" s="26">
        <v>352</v>
      </c>
      <c r="P700" s="26">
        <v>300</v>
      </c>
      <c r="Q700" s="26">
        <v>15</v>
      </c>
      <c r="R700" s="26">
        <v>1</v>
      </c>
      <c r="S700" s="26">
        <v>29</v>
      </c>
      <c r="T700" s="26">
        <v>27</v>
      </c>
      <c r="U700" s="26">
        <v>57</v>
      </c>
      <c r="V700" s="26">
        <v>1</v>
      </c>
      <c r="W700" s="26"/>
    </row>
    <row r="701" spans="1:23" x14ac:dyDescent="0.25">
      <c r="A701" s="26" t="str">
        <f t="shared" si="120"/>
        <v>SECUNDARIA</v>
      </c>
      <c r="B701" s="26" t="str">
        <f>"09DST0062M"</f>
        <v>09DST0062M</v>
      </c>
      <c r="C701" s="26" t="str">
        <f>"ESCUELA SECUNDARIA TECNICA 62                                                                       "</f>
        <v xml:space="preserve">ESCUELA SECUNDARIA TECNICA 62                                                                       </v>
      </c>
      <c r="D701" s="26" t="str">
        <f>"JORNADA AMPLIADA"</f>
        <v>JORNADA AMPLIADA</v>
      </c>
      <c r="E701" s="26" t="str">
        <f>"PRIVADA DE LOS ANGELES NO. 42                                                   "</f>
        <v xml:space="preserve">PRIVADA DE LOS ANGELES NO. 42                                                   </v>
      </c>
      <c r="F701" s="26" t="str">
        <f>"SANTA BARBARA                                                                                                                               "</f>
        <v xml:space="preserve">SANTA BARBARA                                                                                                                               </v>
      </c>
      <c r="G701" s="26" t="str">
        <f>"AZCAPOTZALCO                                                                    "</f>
        <v xml:space="preserve">AZCAPOTZALCO                                                                    </v>
      </c>
      <c r="H701" s="26" t="str">
        <f>"002"</f>
        <v>002</v>
      </c>
      <c r="I701" s="26" t="str">
        <f t="shared" si="122"/>
        <v>00</v>
      </c>
      <c r="J701" s="26" t="str">
        <f t="shared" si="123"/>
        <v xml:space="preserve">06 </v>
      </c>
      <c r="K701" s="26" t="str">
        <f t="shared" si="124"/>
        <v>TE</v>
      </c>
      <c r="L701" s="26" t="str">
        <f t="shared" si="125"/>
        <v>DGEST</v>
      </c>
      <c r="M701" s="26" t="str">
        <f t="shared" si="121"/>
        <v>FEDERAL</v>
      </c>
      <c r="N701" s="26">
        <v>543</v>
      </c>
      <c r="O701" s="26">
        <v>289</v>
      </c>
      <c r="P701" s="26">
        <v>254</v>
      </c>
      <c r="Q701" s="26">
        <v>15</v>
      </c>
      <c r="R701" s="26">
        <v>2</v>
      </c>
      <c r="S701" s="26">
        <v>31</v>
      </c>
      <c r="T701" s="26">
        <v>28</v>
      </c>
      <c r="U701" s="26">
        <v>61</v>
      </c>
      <c r="V701" s="26">
        <v>1</v>
      </c>
      <c r="W701" s="26" t="s">
        <v>2076</v>
      </c>
    </row>
    <row r="702" spans="1:23" x14ac:dyDescent="0.25">
      <c r="A702" s="26" t="str">
        <f t="shared" si="120"/>
        <v>SECUNDARIA</v>
      </c>
      <c r="B702" s="26" t="str">
        <f>"09DST0063L"</f>
        <v>09DST0063L</v>
      </c>
      <c r="C702" s="26" t="str">
        <f>"ESCUELA SECUNDARIA TECNICA 63                                                                       "</f>
        <v xml:space="preserve">ESCUELA SECUNDARIA TECNICA 63                                                                       </v>
      </c>
      <c r="D702" s="26" t="str">
        <f>"JORNADA AMPLIADA"</f>
        <v>JORNADA AMPLIADA</v>
      </c>
      <c r="E702" s="26" t="str">
        <f>" GUATEMALA NO. 64                                                               "</f>
        <v xml:space="preserve"> GUATEMALA NO. 64                                                               </v>
      </c>
      <c r="F702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702" s="26" t="str">
        <f>"CUAUHTEMOC                                                                      "</f>
        <v xml:space="preserve">CUAUHTEMOC                                                                      </v>
      </c>
      <c r="H702" s="26" t="str">
        <f>"001"</f>
        <v>001</v>
      </c>
      <c r="I702" s="26" t="str">
        <f t="shared" si="122"/>
        <v>00</v>
      </c>
      <c r="J702" s="26" t="str">
        <f t="shared" si="123"/>
        <v xml:space="preserve">06 </v>
      </c>
      <c r="K702" s="26" t="str">
        <f t="shared" si="124"/>
        <v>TE</v>
      </c>
      <c r="L702" s="26" t="str">
        <f t="shared" si="125"/>
        <v>DGEST</v>
      </c>
      <c r="M702" s="26" t="str">
        <f t="shared" si="121"/>
        <v>FEDERAL</v>
      </c>
      <c r="N702" s="26">
        <v>285</v>
      </c>
      <c r="O702" s="26">
        <v>155</v>
      </c>
      <c r="P702" s="26">
        <v>130</v>
      </c>
      <c r="Q702" s="26">
        <v>11</v>
      </c>
      <c r="R702" s="26">
        <v>2</v>
      </c>
      <c r="S702" s="26">
        <v>22</v>
      </c>
      <c r="T702" s="26">
        <v>29</v>
      </c>
      <c r="U702" s="26">
        <v>53</v>
      </c>
      <c r="V702" s="26">
        <v>1</v>
      </c>
      <c r="W702" s="26" t="s">
        <v>2076</v>
      </c>
    </row>
    <row r="703" spans="1:23" x14ac:dyDescent="0.25">
      <c r="A703" s="26" t="str">
        <f t="shared" si="120"/>
        <v>SECUNDARIA</v>
      </c>
      <c r="B703" s="26" t="str">
        <f>"09DST0064K"</f>
        <v>09DST0064K</v>
      </c>
      <c r="C703" s="26" t="str">
        <f>"ESCUELA SECUNDARIA TECNICA 64                                                                       "</f>
        <v xml:space="preserve">ESCUELA SECUNDARIA TECNICA 64                                                                       </v>
      </c>
      <c r="D703" s="26" t="str">
        <f>"JORNADA AMPLIADA"</f>
        <v>JORNADA AMPLIADA</v>
      </c>
      <c r="E703" s="26" t="str">
        <f>"SEGUNDA Y TERCERA CERRADA DE MOCTEZUMA S/N                                      "</f>
        <v xml:space="preserve">SEGUNDA Y TERCERA CERRADA DE MOCTEZUMA S/N                                      </v>
      </c>
      <c r="F703" s="26" t="str">
        <f>"MANUEL ROMERO DE TERREROS                                                                                                                   "</f>
        <v xml:space="preserve">MANUEL ROMERO DE TERREROS                                                                                                                   </v>
      </c>
      <c r="G703" s="26" t="str">
        <f>"COYOACAN                                                                        "</f>
        <v xml:space="preserve">COYOACAN                                                                        </v>
      </c>
      <c r="H703" s="26" t="str">
        <f>"004"</f>
        <v>004</v>
      </c>
      <c r="I703" s="26" t="str">
        <f t="shared" si="122"/>
        <v>00</v>
      </c>
      <c r="J703" s="26" t="str">
        <f t="shared" si="123"/>
        <v xml:space="preserve">06 </v>
      </c>
      <c r="K703" s="26" t="str">
        <f t="shared" si="124"/>
        <v>TE</v>
      </c>
      <c r="L703" s="26" t="str">
        <f t="shared" si="125"/>
        <v>DGEST</v>
      </c>
      <c r="M703" s="26" t="str">
        <f t="shared" si="121"/>
        <v>FEDERAL</v>
      </c>
      <c r="N703" s="26">
        <v>632</v>
      </c>
      <c r="O703" s="26">
        <v>343</v>
      </c>
      <c r="P703" s="26">
        <v>289</v>
      </c>
      <c r="Q703" s="26">
        <v>15</v>
      </c>
      <c r="R703" s="26">
        <v>2</v>
      </c>
      <c r="S703" s="26">
        <v>29</v>
      </c>
      <c r="T703" s="26">
        <v>32</v>
      </c>
      <c r="U703" s="26">
        <v>63</v>
      </c>
      <c r="V703" s="26">
        <v>1</v>
      </c>
      <c r="W703" s="26" t="s">
        <v>2076</v>
      </c>
    </row>
    <row r="704" spans="1:23" x14ac:dyDescent="0.25">
      <c r="A704" s="26" t="str">
        <f t="shared" si="120"/>
        <v>SECUNDARIA</v>
      </c>
      <c r="B704" s="26" t="str">
        <f>"09DST0065J"</f>
        <v>09DST0065J</v>
      </c>
      <c r="C704" s="26" t="str">
        <f>"ESCUELA SECUNDARIA TECNICA 65                                                                       "</f>
        <v xml:space="preserve">ESCUELA SECUNDARIA TECNICA 65                                                                       </v>
      </c>
      <c r="D704" s="26" t="str">
        <f>"TIEMPO COMPLETO"</f>
        <v>TIEMPO COMPLETO</v>
      </c>
      <c r="E704" s="26" t="str">
        <f>"AV. SUR DE LOS 100 METROS S/N ENTRE NORTE 19 Y NORTE 19-A                       "</f>
        <v xml:space="preserve">AV. SUR DE LOS 100 METROS S/N ENTRE NORTE 19 Y NORTE 19-A                       </v>
      </c>
      <c r="F704" s="26" t="str">
        <f>"MAGDALENA DE LAS SALINAS                                                                                                                    "</f>
        <v xml:space="preserve">MAGDALENA DE LAS SALINAS                                                                                                                    </v>
      </c>
      <c r="G704" s="26" t="str">
        <f>"GUSTAVO A. MADERO                                                               "</f>
        <v xml:space="preserve">GUSTAVO A. MADERO                                                               </v>
      </c>
      <c r="H704" s="26" t="str">
        <f>"002"</f>
        <v>002</v>
      </c>
      <c r="I704" s="26" t="str">
        <f t="shared" si="122"/>
        <v>00</v>
      </c>
      <c r="J704" s="26" t="str">
        <f t="shared" si="123"/>
        <v xml:space="preserve">06 </v>
      </c>
      <c r="K704" s="26" t="str">
        <f t="shared" si="124"/>
        <v>TE</v>
      </c>
      <c r="L704" s="26" t="str">
        <f t="shared" si="125"/>
        <v>DGEST</v>
      </c>
      <c r="M704" s="26" t="str">
        <f t="shared" si="121"/>
        <v>FEDERAL</v>
      </c>
      <c r="N704" s="26">
        <v>669</v>
      </c>
      <c r="O704" s="26">
        <v>345</v>
      </c>
      <c r="P704" s="26">
        <v>324</v>
      </c>
      <c r="Q704" s="26">
        <v>15</v>
      </c>
      <c r="R704" s="26">
        <v>2</v>
      </c>
      <c r="S704" s="26">
        <v>37</v>
      </c>
      <c r="T704" s="26">
        <v>35</v>
      </c>
      <c r="U704" s="26">
        <v>74</v>
      </c>
      <c r="V704" s="26">
        <v>1</v>
      </c>
      <c r="W704" s="26" t="s">
        <v>218</v>
      </c>
    </row>
    <row r="705" spans="1:23" x14ac:dyDescent="0.25">
      <c r="A705" s="26" t="str">
        <f t="shared" si="120"/>
        <v>SECUNDARIA</v>
      </c>
      <c r="B705" s="26" t="str">
        <f>"09DST0066I"</f>
        <v>09DST0066I</v>
      </c>
      <c r="C705" s="26" t="str">
        <f>"ESCUELA SECUNDARIA TECNICA 66                                                                       "</f>
        <v xml:space="preserve">ESCUELA SECUNDARIA TECNICA 66                                                                       </v>
      </c>
      <c r="D705" s="26" t="str">
        <f>"MATUTINO"</f>
        <v>MATUTINO</v>
      </c>
      <c r="E705" s="26" t="str">
        <f>"CALLE 6 S/N Y CIRCUNVALACION                                                    "</f>
        <v xml:space="preserve">CALLE 6 S/N Y CIRCUNVALACION                                                    </v>
      </c>
      <c r="F705" s="26" t="str">
        <f>"CUCHILLA PANTITLAN                                                                                                                          "</f>
        <v xml:space="preserve">CUCHILLA PANTITLAN                                                                                                                          </v>
      </c>
      <c r="G705" s="26" t="str">
        <f>"VENUSTIANO CARRANZA                                                             "</f>
        <v xml:space="preserve">VENUSTIANO CARRANZA                                                             </v>
      </c>
      <c r="H705" s="26" t="str">
        <f>"002"</f>
        <v>002</v>
      </c>
      <c r="I705" s="26" t="str">
        <f t="shared" si="122"/>
        <v>00</v>
      </c>
      <c r="J705" s="26" t="str">
        <f t="shared" si="123"/>
        <v xml:space="preserve">06 </v>
      </c>
      <c r="K705" s="26" t="str">
        <f t="shared" si="124"/>
        <v>TE</v>
      </c>
      <c r="L705" s="26" t="str">
        <f t="shared" si="125"/>
        <v>DGEST</v>
      </c>
      <c r="M705" s="26" t="str">
        <f t="shared" si="121"/>
        <v>FEDERAL</v>
      </c>
      <c r="N705" s="26">
        <v>931</v>
      </c>
      <c r="O705" s="26">
        <v>461</v>
      </c>
      <c r="P705" s="26">
        <v>470</v>
      </c>
      <c r="Q705" s="26">
        <v>19</v>
      </c>
      <c r="R705" s="26">
        <v>2</v>
      </c>
      <c r="S705" s="26">
        <v>33</v>
      </c>
      <c r="T705" s="26">
        <v>31</v>
      </c>
      <c r="U705" s="26">
        <v>66</v>
      </c>
      <c r="V705" s="26">
        <v>1</v>
      </c>
      <c r="W705" s="26"/>
    </row>
    <row r="706" spans="1:23" x14ac:dyDescent="0.25">
      <c r="A706" s="26" t="str">
        <f t="shared" ref="A706:A769" si="128">"SECUNDARIA"</f>
        <v>SECUNDARIA</v>
      </c>
      <c r="B706" s="26" t="str">
        <f>"09DST0066I"</f>
        <v>09DST0066I</v>
      </c>
      <c r="C706" s="26" t="str">
        <f>"ESCUELA SECUNDARIA TECNICA 66                                                                       "</f>
        <v xml:space="preserve">ESCUELA SECUNDARIA TECNICA 66                                                                       </v>
      </c>
      <c r="D706" s="26" t="str">
        <f>"VESPERTINO"</f>
        <v>VESPERTINO</v>
      </c>
      <c r="E706" s="26" t="str">
        <f>"CALLE 6 S/N Y CIRCUNVALACION                                                    "</f>
        <v xml:space="preserve">CALLE 6 S/N Y CIRCUNVALACION                                                    </v>
      </c>
      <c r="F706" s="26" t="str">
        <f>"CUCHILLA PANTITLAN                                                                                                                          "</f>
        <v xml:space="preserve">CUCHILLA PANTITLAN                                                                                                                          </v>
      </c>
      <c r="G706" s="26" t="str">
        <f>"VENUSTIANO CARRANZA                                                             "</f>
        <v xml:space="preserve">VENUSTIANO CARRANZA                                                             </v>
      </c>
      <c r="H706" s="26" t="str">
        <f>"002"</f>
        <v>002</v>
      </c>
      <c r="I706" s="26" t="str">
        <f t="shared" si="122"/>
        <v>00</v>
      </c>
      <c r="J706" s="26" t="str">
        <f t="shared" si="123"/>
        <v xml:space="preserve">06 </v>
      </c>
      <c r="K706" s="26" t="str">
        <f t="shared" si="124"/>
        <v>TE</v>
      </c>
      <c r="L706" s="26" t="str">
        <f t="shared" si="125"/>
        <v>DGEST</v>
      </c>
      <c r="M706" s="26" t="str">
        <f t="shared" ref="M706:M769" si="129">"FEDERAL"</f>
        <v>FEDERAL</v>
      </c>
      <c r="N706" s="26">
        <v>865</v>
      </c>
      <c r="O706" s="26">
        <v>432</v>
      </c>
      <c r="P706" s="26">
        <v>433</v>
      </c>
      <c r="Q706" s="26">
        <v>18</v>
      </c>
      <c r="R706" s="26">
        <v>1</v>
      </c>
      <c r="S706" s="26">
        <v>32</v>
      </c>
      <c r="T706" s="26">
        <v>27</v>
      </c>
      <c r="U706" s="26">
        <v>60</v>
      </c>
      <c r="V706" s="26">
        <v>1</v>
      </c>
      <c r="W706" s="26"/>
    </row>
    <row r="707" spans="1:23" x14ac:dyDescent="0.25">
      <c r="A707" s="26" t="str">
        <f t="shared" si="128"/>
        <v>SECUNDARIA</v>
      </c>
      <c r="B707" s="26" t="str">
        <f>"09DST0067H"</f>
        <v>09DST0067H</v>
      </c>
      <c r="C707" s="26" t="str">
        <f>"ESCUELA SECUNDARIA TECNICA 67                                                                       "</f>
        <v xml:space="preserve">ESCUELA SECUNDARIA TECNICA 67                                                                       </v>
      </c>
      <c r="D707" s="26" t="str">
        <f>"MATUTINO"</f>
        <v>MATUTINO</v>
      </c>
      <c r="E707" s="26" t="str">
        <f>"SAN ALEJANDRO ESQ. SAN JORGE Y SAN EMETERIO                                     "</f>
        <v xml:space="preserve">SAN ALEJANDRO ESQ. SAN JORGE Y SAN EMETERIO                                     </v>
      </c>
      <c r="F707" s="26" t="str">
        <f>"PEDREGAL DE SANTA URSULA                                                                                                                    "</f>
        <v xml:space="preserve">PEDREGAL DE SANTA URSULA                                                                                                                    </v>
      </c>
      <c r="G707" s="26" t="str">
        <f>"COYOACAN                                                                        "</f>
        <v xml:space="preserve">COYOACAN                                                                        </v>
      </c>
      <c r="H707" s="26" t="str">
        <f>"004"</f>
        <v>004</v>
      </c>
      <c r="I707" s="26" t="str">
        <f t="shared" si="122"/>
        <v>00</v>
      </c>
      <c r="J707" s="26" t="str">
        <f t="shared" si="123"/>
        <v xml:space="preserve">06 </v>
      </c>
      <c r="K707" s="26" t="str">
        <f t="shared" si="124"/>
        <v>TE</v>
      </c>
      <c r="L707" s="26" t="str">
        <f t="shared" si="125"/>
        <v>DGEST</v>
      </c>
      <c r="M707" s="26" t="str">
        <f t="shared" si="129"/>
        <v>FEDERAL</v>
      </c>
      <c r="N707" s="26">
        <v>680</v>
      </c>
      <c r="O707" s="26">
        <v>326</v>
      </c>
      <c r="P707" s="26">
        <v>354</v>
      </c>
      <c r="Q707" s="26">
        <v>15</v>
      </c>
      <c r="R707" s="26">
        <v>2</v>
      </c>
      <c r="S707" s="26">
        <v>26</v>
      </c>
      <c r="T707" s="26">
        <v>30</v>
      </c>
      <c r="U707" s="26">
        <v>58</v>
      </c>
      <c r="V707" s="26">
        <v>1</v>
      </c>
      <c r="W707" s="26"/>
    </row>
    <row r="708" spans="1:23" x14ac:dyDescent="0.25">
      <c r="A708" s="26" t="str">
        <f t="shared" si="128"/>
        <v>SECUNDARIA</v>
      </c>
      <c r="B708" s="26" t="str">
        <f>"09DST0067H"</f>
        <v>09DST0067H</v>
      </c>
      <c r="C708" s="26" t="str">
        <f>"ESCUELA SECUNDARIA TECNICA 67                                                                       "</f>
        <v xml:space="preserve">ESCUELA SECUNDARIA TECNICA 67                                                                       </v>
      </c>
      <c r="D708" s="26" t="str">
        <f>"VESPERTINO"</f>
        <v>VESPERTINO</v>
      </c>
      <c r="E708" s="26" t="str">
        <f>"SAN ALEJANDRO ESQ. SAN JORGE Y SAN EMETERIO                                     "</f>
        <v xml:space="preserve">SAN ALEJANDRO ESQ. SAN JORGE Y SAN EMETERIO                                     </v>
      </c>
      <c r="F708" s="26" t="str">
        <f>"PEDREGAL DE SANTA URSULA                                                                                                                    "</f>
        <v xml:space="preserve">PEDREGAL DE SANTA URSULA                                                                                                                    </v>
      </c>
      <c r="G708" s="26" t="str">
        <f>"COYOACAN                                                                        "</f>
        <v xml:space="preserve">COYOACAN                                                                        </v>
      </c>
      <c r="H708" s="26" t="str">
        <f>"004"</f>
        <v>004</v>
      </c>
      <c r="I708" s="26" t="str">
        <f t="shared" si="122"/>
        <v>00</v>
      </c>
      <c r="J708" s="26" t="str">
        <f t="shared" si="123"/>
        <v xml:space="preserve">06 </v>
      </c>
      <c r="K708" s="26" t="str">
        <f t="shared" si="124"/>
        <v>TE</v>
      </c>
      <c r="L708" s="26" t="str">
        <f t="shared" si="125"/>
        <v>DGEST</v>
      </c>
      <c r="M708" s="26" t="str">
        <f t="shared" si="129"/>
        <v>FEDERAL</v>
      </c>
      <c r="N708" s="26">
        <v>367</v>
      </c>
      <c r="O708" s="26">
        <v>205</v>
      </c>
      <c r="P708" s="26">
        <v>162</v>
      </c>
      <c r="Q708" s="26">
        <v>9</v>
      </c>
      <c r="R708" s="26">
        <v>1</v>
      </c>
      <c r="S708" s="26">
        <v>15</v>
      </c>
      <c r="T708" s="26">
        <v>25</v>
      </c>
      <c r="U708" s="26">
        <v>41</v>
      </c>
      <c r="V708" s="26">
        <v>1</v>
      </c>
      <c r="W708" s="26"/>
    </row>
    <row r="709" spans="1:23" x14ac:dyDescent="0.25">
      <c r="A709" s="26" t="str">
        <f t="shared" si="128"/>
        <v>SECUNDARIA</v>
      </c>
      <c r="B709" s="26" t="str">
        <f>"09DST0068G"</f>
        <v>09DST0068G</v>
      </c>
      <c r="C709" s="26" t="str">
        <f>"ESCUELA SECUNDARIA TECNICA 68                                                                       "</f>
        <v xml:space="preserve">ESCUELA SECUNDARIA TECNICA 68                                                                       </v>
      </c>
      <c r="D709" s="26" t="str">
        <f>"TIEMPO COMPLETO"</f>
        <v>TIEMPO COMPLETO</v>
      </c>
      <c r="E709" s="26" t="str">
        <f>"PURISIMA S/N                                                                    "</f>
        <v xml:space="preserve">PURISIMA S/N                                                                    </v>
      </c>
      <c r="F709" s="26" t="str">
        <f>"SAN BARTOLO AMEYALCO                                                                                                                        "</f>
        <v xml:space="preserve">SAN BARTOLO AMEYALCO                                                                                                                        </v>
      </c>
      <c r="G709" s="26" t="str">
        <f>"ALVARO OBREGON                                                                  "</f>
        <v xml:space="preserve">ALVARO OBREGON                                                                  </v>
      </c>
      <c r="H709" s="26" t="str">
        <f>"001"</f>
        <v>001</v>
      </c>
      <c r="I709" s="26" t="str">
        <f t="shared" si="122"/>
        <v>00</v>
      </c>
      <c r="J709" s="26" t="str">
        <f t="shared" si="123"/>
        <v xml:space="preserve">06 </v>
      </c>
      <c r="K709" s="26" t="str">
        <f t="shared" si="124"/>
        <v>TE</v>
      </c>
      <c r="L709" s="26" t="str">
        <f t="shared" si="125"/>
        <v>DGEST</v>
      </c>
      <c r="M709" s="26" t="str">
        <f t="shared" si="129"/>
        <v>FEDERAL</v>
      </c>
      <c r="N709" s="26">
        <v>913</v>
      </c>
      <c r="O709" s="26">
        <v>453</v>
      </c>
      <c r="P709" s="26">
        <v>460</v>
      </c>
      <c r="Q709" s="26">
        <v>18</v>
      </c>
      <c r="R709" s="26">
        <v>2</v>
      </c>
      <c r="S709" s="26">
        <v>38</v>
      </c>
      <c r="T709" s="26">
        <v>23</v>
      </c>
      <c r="U709" s="26">
        <v>63</v>
      </c>
      <c r="V709" s="26">
        <v>1</v>
      </c>
      <c r="W709" s="26" t="s">
        <v>218</v>
      </c>
    </row>
    <row r="710" spans="1:23" x14ac:dyDescent="0.25">
      <c r="A710" s="26" t="str">
        <f t="shared" si="128"/>
        <v>SECUNDARIA</v>
      </c>
      <c r="B710" s="26" t="str">
        <f>"09DST0069F"</f>
        <v>09DST0069F</v>
      </c>
      <c r="C710" s="26" t="str">
        <f>"ESCUELA SECUNDARIA TECNICA 69                                                                       "</f>
        <v xml:space="preserve">ESCUELA SECUNDARIA TECNICA 69                                                                       </v>
      </c>
      <c r="D710" s="26" t="str">
        <f>"MATUTINO"</f>
        <v>MATUTINO</v>
      </c>
      <c r="E710" s="26" t="str">
        <f>" CALLE AZTECA Y MEZTLI                                                          "</f>
        <v xml:space="preserve"> CALLE AZTECA Y MEZTLI                                                          </v>
      </c>
      <c r="F710" s="26" t="str">
        <f>"ARENAL 2A SECCION                                                                                                                           "</f>
        <v xml:space="preserve">ARENAL 2A SECCION                                                                                                                           </v>
      </c>
      <c r="G710" s="26" t="str">
        <f>"VENUSTIANO CARRANZA                                                             "</f>
        <v xml:space="preserve">VENUSTIANO CARRANZA                                                             </v>
      </c>
      <c r="H710" s="26" t="str">
        <f>"002"</f>
        <v>002</v>
      </c>
      <c r="I710" s="26" t="str">
        <f t="shared" si="122"/>
        <v>00</v>
      </c>
      <c r="J710" s="26" t="str">
        <f t="shared" si="123"/>
        <v xml:space="preserve">06 </v>
      </c>
      <c r="K710" s="26" t="str">
        <f t="shared" si="124"/>
        <v>TE</v>
      </c>
      <c r="L710" s="26" t="str">
        <f t="shared" si="125"/>
        <v>DGEST</v>
      </c>
      <c r="M710" s="26" t="str">
        <f t="shared" si="129"/>
        <v>FEDERAL</v>
      </c>
      <c r="N710" s="26">
        <v>752</v>
      </c>
      <c r="O710" s="26">
        <v>380</v>
      </c>
      <c r="P710" s="26">
        <v>372</v>
      </c>
      <c r="Q710" s="26">
        <v>18</v>
      </c>
      <c r="R710" s="26">
        <v>2</v>
      </c>
      <c r="S710" s="26">
        <v>26</v>
      </c>
      <c r="T710" s="26">
        <v>32</v>
      </c>
      <c r="U710" s="26">
        <v>60</v>
      </c>
      <c r="V710" s="26">
        <v>1</v>
      </c>
      <c r="W710" s="26"/>
    </row>
    <row r="711" spans="1:23" x14ac:dyDescent="0.25">
      <c r="A711" s="26" t="str">
        <f t="shared" si="128"/>
        <v>SECUNDARIA</v>
      </c>
      <c r="B711" s="26" t="str">
        <f>"09DST0069F"</f>
        <v>09DST0069F</v>
      </c>
      <c r="C711" s="26" t="str">
        <f>"ESCUELA SECUNDARIA TECNICA 69                                                                       "</f>
        <v xml:space="preserve">ESCUELA SECUNDARIA TECNICA 69                                                                       </v>
      </c>
      <c r="D711" s="26" t="str">
        <f>"VESPERTINO"</f>
        <v>VESPERTINO</v>
      </c>
      <c r="E711" s="26" t="str">
        <f>" CALLE AZTECA Y MEZTLI                                                          "</f>
        <v xml:space="preserve"> CALLE AZTECA Y MEZTLI                                                          </v>
      </c>
      <c r="F711" s="26" t="str">
        <f>"ARENAL 2A SECCION                                                                                                                           "</f>
        <v xml:space="preserve">ARENAL 2A SECCION                                                                                                                           </v>
      </c>
      <c r="G711" s="26" t="str">
        <f>"VENUSTIANO CARRANZA                                                             "</f>
        <v xml:space="preserve">VENUSTIANO CARRANZA                                                             </v>
      </c>
      <c r="H711" s="26" t="str">
        <f>"002"</f>
        <v>002</v>
      </c>
      <c r="I711" s="26" t="str">
        <f t="shared" ref="I711:I774" si="130">"00"</f>
        <v>00</v>
      </c>
      <c r="J711" s="26" t="str">
        <f t="shared" si="123"/>
        <v xml:space="preserve">06 </v>
      </c>
      <c r="K711" s="26" t="str">
        <f t="shared" si="124"/>
        <v>TE</v>
      </c>
      <c r="L711" s="26" t="str">
        <f t="shared" si="125"/>
        <v>DGEST</v>
      </c>
      <c r="M711" s="26" t="str">
        <f t="shared" si="129"/>
        <v>FEDERAL</v>
      </c>
      <c r="N711" s="26">
        <v>290</v>
      </c>
      <c r="O711" s="26">
        <v>167</v>
      </c>
      <c r="P711" s="26">
        <v>123</v>
      </c>
      <c r="Q711" s="26">
        <v>9</v>
      </c>
      <c r="R711" s="26">
        <v>1</v>
      </c>
      <c r="S711" s="26">
        <v>17</v>
      </c>
      <c r="T711" s="26">
        <v>19</v>
      </c>
      <c r="U711" s="26">
        <v>37</v>
      </c>
      <c r="V711" s="26">
        <v>1</v>
      </c>
      <c r="W711" s="26"/>
    </row>
    <row r="712" spans="1:23" x14ac:dyDescent="0.25">
      <c r="A712" s="26" t="str">
        <f t="shared" si="128"/>
        <v>SECUNDARIA</v>
      </c>
      <c r="B712" s="26" t="str">
        <f>"09DST0070V"</f>
        <v>09DST0070V</v>
      </c>
      <c r="C712" s="26" t="str">
        <f>"ESCUELA SECUNDARIA TECNICA 70                                                                       "</f>
        <v xml:space="preserve">ESCUELA SECUNDARIA TECNICA 70                                                                       </v>
      </c>
      <c r="D712" s="26" t="str">
        <f>"MATUTINO"</f>
        <v>MATUTINO</v>
      </c>
      <c r="E712" s="26" t="str">
        <f>" FRANCISCO SARABIA Y 20 DE NOVIEMBRE                                            "</f>
        <v xml:space="preserve"> FRANCISCO SARABIA Y 20 DE NOVIEMBRE                                            </v>
      </c>
      <c r="F712" s="26" t="str">
        <f>"SANTA MARTHA ACATITLA                                                                                                                       "</f>
        <v xml:space="preserve">SANTA MARTHA ACATITLA                                                                                                                       </v>
      </c>
      <c r="G712" s="26" t="str">
        <f>"IZTAPALAPA                                                                      "</f>
        <v xml:space="preserve">IZTAPALAPA                                                                      </v>
      </c>
      <c r="H712" s="26" t="str">
        <f>"003"</f>
        <v>003</v>
      </c>
      <c r="I712" s="26" t="str">
        <f t="shared" si="130"/>
        <v>00</v>
      </c>
      <c r="J712" s="26" t="str">
        <f t="shared" si="123"/>
        <v xml:space="preserve">06 </v>
      </c>
      <c r="K712" s="26" t="str">
        <f t="shared" si="124"/>
        <v>TE</v>
      </c>
      <c r="L712" s="26" t="str">
        <f t="shared" si="125"/>
        <v>DGEST</v>
      </c>
      <c r="M712" s="26" t="str">
        <f t="shared" si="129"/>
        <v>FEDERAL</v>
      </c>
      <c r="N712" s="26">
        <v>676</v>
      </c>
      <c r="O712" s="26">
        <v>338</v>
      </c>
      <c r="P712" s="26">
        <v>338</v>
      </c>
      <c r="Q712" s="26">
        <v>15</v>
      </c>
      <c r="R712" s="26">
        <v>2</v>
      </c>
      <c r="S712" s="26">
        <v>28</v>
      </c>
      <c r="T712" s="26">
        <v>30</v>
      </c>
      <c r="U712" s="26">
        <v>60</v>
      </c>
      <c r="V712" s="26">
        <v>1</v>
      </c>
      <c r="W712" s="26"/>
    </row>
    <row r="713" spans="1:23" x14ac:dyDescent="0.25">
      <c r="A713" s="26" t="str">
        <f t="shared" si="128"/>
        <v>SECUNDARIA</v>
      </c>
      <c r="B713" s="26" t="str">
        <f>"09DST0070V"</f>
        <v>09DST0070V</v>
      </c>
      <c r="C713" s="26" t="str">
        <f>"ESCUELA SECUNDARIA TECNICA 70                                                                       "</f>
        <v xml:space="preserve">ESCUELA SECUNDARIA TECNICA 70                                                                       </v>
      </c>
      <c r="D713" s="26" t="str">
        <f>"VESPERTINO"</f>
        <v>VESPERTINO</v>
      </c>
      <c r="E713" s="26" t="str">
        <f>" FRANCISCO SARABIA Y 20 DE NOVIEMBRE                                            "</f>
        <v xml:space="preserve"> FRANCISCO SARABIA Y 20 DE NOVIEMBRE                                            </v>
      </c>
      <c r="F713" s="26" t="str">
        <f>"SANTA MARTHA ACATITLA                                                                                                                       "</f>
        <v xml:space="preserve">SANTA MARTHA ACATITLA                                                                                                                       </v>
      </c>
      <c r="G713" s="26" t="str">
        <f>"IZTAPALAPA                                                                      "</f>
        <v xml:space="preserve">IZTAPALAPA                                                                      </v>
      </c>
      <c r="H713" s="26" t="str">
        <f>"003"</f>
        <v>003</v>
      </c>
      <c r="I713" s="26" t="str">
        <f t="shared" si="130"/>
        <v>00</v>
      </c>
      <c r="J713" s="26" t="str">
        <f t="shared" si="123"/>
        <v xml:space="preserve">06 </v>
      </c>
      <c r="K713" s="26" t="str">
        <f t="shared" si="124"/>
        <v>TE</v>
      </c>
      <c r="L713" s="26" t="str">
        <f t="shared" si="125"/>
        <v>DGEST</v>
      </c>
      <c r="M713" s="26" t="str">
        <f t="shared" si="129"/>
        <v>FEDERAL</v>
      </c>
      <c r="N713" s="26">
        <v>378</v>
      </c>
      <c r="O713" s="26">
        <v>191</v>
      </c>
      <c r="P713" s="26">
        <v>187</v>
      </c>
      <c r="Q713" s="26">
        <v>9</v>
      </c>
      <c r="R713" s="26">
        <v>1</v>
      </c>
      <c r="S713" s="26">
        <v>23</v>
      </c>
      <c r="T713" s="26">
        <v>26</v>
      </c>
      <c r="U713" s="26">
        <v>50</v>
      </c>
      <c r="V713" s="26">
        <v>1</v>
      </c>
      <c r="W713" s="26"/>
    </row>
    <row r="714" spans="1:23" x14ac:dyDescent="0.25">
      <c r="A714" s="26" t="str">
        <f t="shared" si="128"/>
        <v>SECUNDARIA</v>
      </c>
      <c r="B714" s="26" t="str">
        <f>"09DST0071U"</f>
        <v>09DST0071U</v>
      </c>
      <c r="C714" s="26" t="str">
        <f>"ESCUELA SECUNDARIA TECNICA 71                                                                       "</f>
        <v xml:space="preserve">ESCUELA SECUNDARIA TECNICA 71                                                                       </v>
      </c>
      <c r="D714" s="26" t="str">
        <f>"MATUTINO"</f>
        <v>MATUTINO</v>
      </c>
      <c r="E714" s="26" t="str">
        <f>"AV. 414 ""A"" CALLE 1537 Y 1543                                                   "</f>
        <v xml:space="preserve">AV. 414 "A" CALLE 1537 Y 1543                                                   </v>
      </c>
      <c r="F714" s="26" t="str">
        <f>"UNIDAD SAN JUAN DE ARAGON 6A SECCIO                                                                                                         "</f>
        <v xml:space="preserve">UNIDAD SAN JUAN DE ARAGON 6A SECCIO                                                                                                         </v>
      </c>
      <c r="G714" s="26" t="str">
        <f>"GUSTAVO A. MADERO                                                               "</f>
        <v xml:space="preserve">GUSTAVO A. MADERO                                                               </v>
      </c>
      <c r="H714" s="26" t="str">
        <f>"002"</f>
        <v>002</v>
      </c>
      <c r="I714" s="26" t="str">
        <f t="shared" si="130"/>
        <v>00</v>
      </c>
      <c r="J714" s="26" t="str">
        <f t="shared" si="123"/>
        <v xml:space="preserve">06 </v>
      </c>
      <c r="K714" s="26" t="str">
        <f t="shared" si="124"/>
        <v>TE</v>
      </c>
      <c r="L714" s="26" t="str">
        <f t="shared" si="125"/>
        <v>DGEST</v>
      </c>
      <c r="M714" s="26" t="str">
        <f t="shared" si="129"/>
        <v>FEDERAL</v>
      </c>
      <c r="N714" s="26">
        <v>652</v>
      </c>
      <c r="O714" s="26">
        <v>371</v>
      </c>
      <c r="P714" s="26">
        <v>281</v>
      </c>
      <c r="Q714" s="26">
        <v>15</v>
      </c>
      <c r="R714" s="26">
        <v>2</v>
      </c>
      <c r="S714" s="26">
        <v>22</v>
      </c>
      <c r="T714" s="26">
        <v>40</v>
      </c>
      <c r="U714" s="26">
        <v>64</v>
      </c>
      <c r="V714" s="26">
        <v>1</v>
      </c>
      <c r="W714" s="26"/>
    </row>
    <row r="715" spans="1:23" x14ac:dyDescent="0.25">
      <c r="A715" s="26" t="str">
        <f t="shared" si="128"/>
        <v>SECUNDARIA</v>
      </c>
      <c r="B715" s="26" t="str">
        <f>"09DST0071U"</f>
        <v>09DST0071U</v>
      </c>
      <c r="C715" s="26" t="str">
        <f>"ESCUELA SECUNDARIA TECNICA 71                                                                       "</f>
        <v xml:space="preserve">ESCUELA SECUNDARIA TECNICA 71                                                                       </v>
      </c>
      <c r="D715" s="26" t="str">
        <f>"VESPERTINO"</f>
        <v>VESPERTINO</v>
      </c>
      <c r="E715" s="26" t="str">
        <f>"AV. 414 ""A"" CALLE 1537 Y 1543                                                   "</f>
        <v xml:space="preserve">AV. 414 "A" CALLE 1537 Y 1543                                                   </v>
      </c>
      <c r="F715" s="26" t="str">
        <f>"UNIDAD SAN JUAN DE ARAGON 6A SECCIO                                                                                                         "</f>
        <v xml:space="preserve">UNIDAD SAN JUAN DE ARAGON 6A SECCIO                                                                                                         </v>
      </c>
      <c r="G715" s="26" t="str">
        <f>"GUSTAVO A. MADERO                                                               "</f>
        <v xml:space="preserve">GUSTAVO A. MADERO                                                               </v>
      </c>
      <c r="H715" s="26" t="str">
        <f>"002"</f>
        <v>002</v>
      </c>
      <c r="I715" s="26" t="str">
        <f t="shared" si="130"/>
        <v>00</v>
      </c>
      <c r="J715" s="26" t="str">
        <f t="shared" si="123"/>
        <v xml:space="preserve">06 </v>
      </c>
      <c r="K715" s="26" t="str">
        <f t="shared" si="124"/>
        <v>TE</v>
      </c>
      <c r="L715" s="26" t="str">
        <f t="shared" si="125"/>
        <v>DGEST</v>
      </c>
      <c r="M715" s="26" t="str">
        <f t="shared" si="129"/>
        <v>FEDERAL</v>
      </c>
      <c r="N715" s="26">
        <v>252</v>
      </c>
      <c r="O715" s="26">
        <v>144</v>
      </c>
      <c r="P715" s="26">
        <v>108</v>
      </c>
      <c r="Q715" s="26">
        <v>12</v>
      </c>
      <c r="R715" s="26">
        <v>1</v>
      </c>
      <c r="S715" s="26">
        <v>28</v>
      </c>
      <c r="T715" s="26">
        <v>24</v>
      </c>
      <c r="U715" s="26">
        <v>53</v>
      </c>
      <c r="V715" s="26">
        <v>1</v>
      </c>
      <c r="W715" s="26"/>
    </row>
    <row r="716" spans="1:23" x14ac:dyDescent="0.25">
      <c r="A716" s="26" t="str">
        <f t="shared" si="128"/>
        <v>SECUNDARIA</v>
      </c>
      <c r="B716" s="26" t="str">
        <f>"09DST0072T"</f>
        <v>09DST0072T</v>
      </c>
      <c r="C716" s="26" t="str">
        <f>"ESCUELA SECUNDARIA TECNICA 72                                                                       "</f>
        <v xml:space="preserve">ESCUELA SECUNDARIA TECNICA 72                                                                       </v>
      </c>
      <c r="D716" s="26" t="str">
        <f>"MATUTINO"</f>
        <v>MATUTINO</v>
      </c>
      <c r="E716" s="26" t="str">
        <f>" CALLE DE LA PARCELA S/N ESQ. CARBONERA                                         "</f>
        <v xml:space="preserve"> CALLE DE LA PARCELA S/N ESQ. CARBONERA                                         </v>
      </c>
      <c r="F716" s="26" t="str">
        <f>"LOMAS DE SAN BERNABE                                                                                                                        "</f>
        <v xml:space="preserve">LOMAS DE SAN BERNABE                                                                                                                        </v>
      </c>
      <c r="G716" s="26" t="str">
        <f>"LA MAGDALENA CONTRERAS                                                          "</f>
        <v xml:space="preserve">LA MAGDALENA CONTRERAS                                                          </v>
      </c>
      <c r="H716" s="26" t="str">
        <f>"001"</f>
        <v>001</v>
      </c>
      <c r="I716" s="26" t="str">
        <f t="shared" si="130"/>
        <v>00</v>
      </c>
      <c r="J716" s="26" t="str">
        <f t="shared" si="123"/>
        <v xml:space="preserve">06 </v>
      </c>
      <c r="K716" s="26" t="str">
        <f t="shared" si="124"/>
        <v>TE</v>
      </c>
      <c r="L716" s="26" t="str">
        <f t="shared" si="125"/>
        <v>DGEST</v>
      </c>
      <c r="M716" s="26" t="str">
        <f t="shared" si="129"/>
        <v>FEDERAL</v>
      </c>
      <c r="N716" s="26">
        <v>739</v>
      </c>
      <c r="O716" s="26">
        <v>362</v>
      </c>
      <c r="P716" s="26">
        <v>377</v>
      </c>
      <c r="Q716" s="26">
        <v>15</v>
      </c>
      <c r="R716" s="26">
        <v>1</v>
      </c>
      <c r="S716" s="26">
        <v>24</v>
      </c>
      <c r="T716" s="26">
        <v>24</v>
      </c>
      <c r="U716" s="26">
        <v>49</v>
      </c>
      <c r="V716" s="26">
        <v>1</v>
      </c>
      <c r="W716" s="26"/>
    </row>
    <row r="717" spans="1:23" x14ac:dyDescent="0.25">
      <c r="A717" s="26" t="str">
        <f t="shared" si="128"/>
        <v>SECUNDARIA</v>
      </c>
      <c r="B717" s="26" t="str">
        <f>"09DST0072T"</f>
        <v>09DST0072T</v>
      </c>
      <c r="C717" s="26" t="str">
        <f>"ESCUELA SECUNDARIA TECNICA 72                                                                       "</f>
        <v xml:space="preserve">ESCUELA SECUNDARIA TECNICA 72                                                                       </v>
      </c>
      <c r="D717" s="26" t="str">
        <f>"VESPERTINO"</f>
        <v>VESPERTINO</v>
      </c>
      <c r="E717" s="26" t="str">
        <f>" CALLE DE LA PARCELA S/N ESQ. CARBONERA                                         "</f>
        <v xml:space="preserve"> CALLE DE LA PARCELA S/N ESQ. CARBONERA                                         </v>
      </c>
      <c r="F717" s="26" t="str">
        <f>"LOMAS DE SAN BERNABE                                                                                                                        "</f>
        <v xml:space="preserve">LOMAS DE SAN BERNABE                                                                                                                        </v>
      </c>
      <c r="G717" s="26" t="str">
        <f>"LA MAGDALENA CONTRERAS                                                          "</f>
        <v xml:space="preserve">LA MAGDALENA CONTRERAS                                                          </v>
      </c>
      <c r="H717" s="26" t="str">
        <f>"001"</f>
        <v>001</v>
      </c>
      <c r="I717" s="26" t="str">
        <f t="shared" si="130"/>
        <v>00</v>
      </c>
      <c r="J717" s="26" t="str">
        <f t="shared" si="123"/>
        <v xml:space="preserve">06 </v>
      </c>
      <c r="K717" s="26" t="str">
        <f t="shared" si="124"/>
        <v>TE</v>
      </c>
      <c r="L717" s="26" t="str">
        <f t="shared" si="125"/>
        <v>DGEST</v>
      </c>
      <c r="M717" s="26" t="str">
        <f t="shared" si="129"/>
        <v>FEDERAL</v>
      </c>
      <c r="N717" s="26">
        <v>569</v>
      </c>
      <c r="O717" s="26">
        <v>291</v>
      </c>
      <c r="P717" s="26">
        <v>278</v>
      </c>
      <c r="Q717" s="26">
        <v>14</v>
      </c>
      <c r="R717" s="26">
        <v>1</v>
      </c>
      <c r="S717" s="26">
        <v>21</v>
      </c>
      <c r="T717" s="26">
        <v>17</v>
      </c>
      <c r="U717" s="26">
        <v>39</v>
      </c>
      <c r="V717" s="26">
        <v>1</v>
      </c>
      <c r="W717" s="26"/>
    </row>
    <row r="718" spans="1:23" x14ac:dyDescent="0.25">
      <c r="A718" s="26" t="str">
        <f t="shared" si="128"/>
        <v>SECUNDARIA</v>
      </c>
      <c r="B718" s="26" t="str">
        <f>"09DST0073S"</f>
        <v>09DST0073S</v>
      </c>
      <c r="C718" s="26" t="str">
        <f>"ESCUELA SECUNDARIA TECNICA 73                                                                       "</f>
        <v xml:space="preserve">ESCUELA SECUNDARIA TECNICA 73                                                                       </v>
      </c>
      <c r="D718" s="26" t="str">
        <f>"JORNADA AMPLIADA"</f>
        <v>JORNADA AMPLIADA</v>
      </c>
      <c r="E718" s="26" t="str">
        <f>" PROL.  LEANDRO VALLE S/N CASI ESQ. CAMINO A TEOPAZULCO                         "</f>
        <v xml:space="preserve"> PROL.  LEANDRO VALLE S/N CASI ESQ. CAMINO A TEOPAZULCO                         </v>
      </c>
      <c r="F718" s="26" t="str">
        <f>"SAN LORENZO ACOPILCO                                                                                                                        "</f>
        <v xml:space="preserve">SAN LORENZO ACOPILCO                                                                                                                        </v>
      </c>
      <c r="G718" s="26" t="str">
        <f>"CUAJIMALPA DE MORELOS                                                           "</f>
        <v xml:space="preserve">CUAJIMALPA DE MORELOS                                                           </v>
      </c>
      <c r="H718" s="26" t="str">
        <f>"001"</f>
        <v>001</v>
      </c>
      <c r="I718" s="26" t="str">
        <f t="shared" si="130"/>
        <v>00</v>
      </c>
      <c r="J718" s="26" t="str">
        <f t="shared" si="123"/>
        <v xml:space="preserve">06 </v>
      </c>
      <c r="K718" s="26" t="str">
        <f t="shared" si="124"/>
        <v>TE</v>
      </c>
      <c r="L718" s="26" t="str">
        <f t="shared" si="125"/>
        <v>DGEST</v>
      </c>
      <c r="M718" s="26" t="str">
        <f t="shared" si="129"/>
        <v>FEDERAL</v>
      </c>
      <c r="N718" s="26">
        <v>673</v>
      </c>
      <c r="O718" s="26">
        <v>369</v>
      </c>
      <c r="P718" s="26">
        <v>304</v>
      </c>
      <c r="Q718" s="26">
        <v>18</v>
      </c>
      <c r="R718" s="26">
        <v>2</v>
      </c>
      <c r="S718" s="26">
        <v>36</v>
      </c>
      <c r="T718" s="26">
        <v>22</v>
      </c>
      <c r="U718" s="26">
        <v>60</v>
      </c>
      <c r="V718" s="26">
        <v>1</v>
      </c>
      <c r="W718" s="26" t="s">
        <v>2076</v>
      </c>
    </row>
    <row r="719" spans="1:23" x14ac:dyDescent="0.25">
      <c r="A719" s="26" t="str">
        <f t="shared" si="128"/>
        <v>SECUNDARIA</v>
      </c>
      <c r="B719" s="26" t="str">
        <f>"09DST0074R"</f>
        <v>09DST0074R</v>
      </c>
      <c r="C719" s="26" t="str">
        <f>"ESCUELA SECUNDARIA TECNICA 74                                                                       "</f>
        <v xml:space="preserve">ESCUELA SECUNDARIA TECNICA 74                                                                       </v>
      </c>
      <c r="D719" s="26" t="str">
        <f>"JORNADA AMPLIADA"</f>
        <v>JORNADA AMPLIADA</v>
      </c>
      <c r="E719" s="26" t="str">
        <f>"AV JUAN ALVAREZ Y CDA MARTIN CARRERA S/N                                        "</f>
        <v xml:space="preserve">AV JUAN ALVAREZ Y CDA MARTIN CARRERA S/N                                        </v>
      </c>
      <c r="F719" s="26" t="str">
        <f>"CAMPAMENTO 2 DE OCTUBRE                                                                                                                     "</f>
        <v xml:space="preserve">CAMPAMENTO 2 DE OCTUBRE                                                                                                                     </v>
      </c>
      <c r="G719" s="26" t="str">
        <f>"IZTACALCO                                                                       "</f>
        <v xml:space="preserve">IZTACALCO                                                                       </v>
      </c>
      <c r="H719" s="26" t="str">
        <f>"003"</f>
        <v>003</v>
      </c>
      <c r="I719" s="26" t="str">
        <f t="shared" si="130"/>
        <v>00</v>
      </c>
      <c r="J719" s="26" t="str">
        <f t="shared" si="123"/>
        <v xml:space="preserve">06 </v>
      </c>
      <c r="K719" s="26" t="str">
        <f t="shared" si="124"/>
        <v>TE</v>
      </c>
      <c r="L719" s="26" t="str">
        <f t="shared" si="125"/>
        <v>DGEST</v>
      </c>
      <c r="M719" s="26" t="str">
        <f t="shared" si="129"/>
        <v>FEDERAL</v>
      </c>
      <c r="N719" s="26">
        <v>420</v>
      </c>
      <c r="O719" s="26">
        <v>199</v>
      </c>
      <c r="P719" s="26">
        <v>221</v>
      </c>
      <c r="Q719" s="26">
        <v>15</v>
      </c>
      <c r="R719" s="26">
        <v>2</v>
      </c>
      <c r="S719" s="26">
        <v>32</v>
      </c>
      <c r="T719" s="26">
        <v>30</v>
      </c>
      <c r="U719" s="26">
        <v>64</v>
      </c>
      <c r="V719" s="26">
        <v>1</v>
      </c>
      <c r="W719" s="26" t="s">
        <v>2076</v>
      </c>
    </row>
    <row r="720" spans="1:23" x14ac:dyDescent="0.25">
      <c r="A720" s="26" t="str">
        <f t="shared" si="128"/>
        <v>SECUNDARIA</v>
      </c>
      <c r="B720" s="26" t="str">
        <f>"09DST0075Q"</f>
        <v>09DST0075Q</v>
      </c>
      <c r="C720" s="26" t="str">
        <f>"ESCUELA SECUNDARIA TECNICA 75                                                                       "</f>
        <v xml:space="preserve">ESCUELA SECUNDARIA TECNICA 75                                                                       </v>
      </c>
      <c r="D720" s="26" t="str">
        <f>"MATUTINO"</f>
        <v>MATUTINO</v>
      </c>
      <c r="E720" s="26" t="str">
        <f>"CALLE 15 DE SEPTIEMBRE Y LA BANDERA S/N                                         "</f>
        <v xml:space="preserve">CALLE 15 DE SEPTIEMBRE Y LA BANDERA S/N                                         </v>
      </c>
      <c r="F720" s="26" t="str">
        <f>"LOMAS DE ZARAGOZA                                                                                                                           "</f>
        <v xml:space="preserve">LOMAS DE ZARAGOZA                                                                                                                           </v>
      </c>
      <c r="G720" s="26" t="str">
        <f>"IZTAPALAPA                                                                      "</f>
        <v xml:space="preserve">IZTAPALAPA                                                                      </v>
      </c>
      <c r="H720" s="26" t="str">
        <f>"003"</f>
        <v>003</v>
      </c>
      <c r="I720" s="26" t="str">
        <f t="shared" si="130"/>
        <v>00</v>
      </c>
      <c r="J720" s="26" t="str">
        <f t="shared" si="123"/>
        <v xml:space="preserve">06 </v>
      </c>
      <c r="K720" s="26" t="str">
        <f t="shared" si="124"/>
        <v>TE</v>
      </c>
      <c r="L720" s="26" t="str">
        <f t="shared" si="125"/>
        <v>DGEST</v>
      </c>
      <c r="M720" s="26" t="str">
        <f t="shared" si="129"/>
        <v>FEDERAL</v>
      </c>
      <c r="N720" s="26">
        <v>933</v>
      </c>
      <c r="O720" s="26">
        <v>499</v>
      </c>
      <c r="P720" s="26">
        <v>434</v>
      </c>
      <c r="Q720" s="26">
        <v>18</v>
      </c>
      <c r="R720" s="26">
        <v>2</v>
      </c>
      <c r="S720" s="26">
        <v>29</v>
      </c>
      <c r="T720" s="26">
        <v>30</v>
      </c>
      <c r="U720" s="26">
        <v>61</v>
      </c>
      <c r="V720" s="26">
        <v>1</v>
      </c>
      <c r="W720" s="26"/>
    </row>
    <row r="721" spans="1:23" x14ac:dyDescent="0.25">
      <c r="A721" s="26" t="str">
        <f t="shared" si="128"/>
        <v>SECUNDARIA</v>
      </c>
      <c r="B721" s="26" t="str">
        <f>"09DST0075Q"</f>
        <v>09DST0075Q</v>
      </c>
      <c r="C721" s="26" t="str">
        <f>"ESCUELA SECUNDARIA TECNICA 75                                                                       "</f>
        <v xml:space="preserve">ESCUELA SECUNDARIA TECNICA 75                                                                       </v>
      </c>
      <c r="D721" s="26" t="str">
        <f>"VESPERTINO"</f>
        <v>VESPERTINO</v>
      </c>
      <c r="E721" s="26" t="str">
        <f>"CALLE 15 DE SEPTIEMBRE Y LA BANDERA S/N                                         "</f>
        <v xml:space="preserve">CALLE 15 DE SEPTIEMBRE Y LA BANDERA S/N                                         </v>
      </c>
      <c r="F721" s="26" t="str">
        <f>"LOMAS DE ZARAGOZA                                                                                                                           "</f>
        <v xml:space="preserve">LOMAS DE ZARAGOZA                                                                                                                           </v>
      </c>
      <c r="G721" s="26" t="str">
        <f>"IZTAPALAPA                                                                      "</f>
        <v xml:space="preserve">IZTAPALAPA                                                                      </v>
      </c>
      <c r="H721" s="26" t="str">
        <f>"003"</f>
        <v>003</v>
      </c>
      <c r="I721" s="26" t="str">
        <f t="shared" si="130"/>
        <v>00</v>
      </c>
      <c r="J721" s="26" t="str">
        <f t="shared" si="123"/>
        <v xml:space="preserve">06 </v>
      </c>
      <c r="K721" s="26" t="str">
        <f t="shared" si="124"/>
        <v>TE</v>
      </c>
      <c r="L721" s="26" t="str">
        <f t="shared" si="125"/>
        <v>DGEST</v>
      </c>
      <c r="M721" s="26" t="str">
        <f t="shared" si="129"/>
        <v>FEDERAL</v>
      </c>
      <c r="N721" s="26">
        <v>909</v>
      </c>
      <c r="O721" s="26">
        <v>416</v>
      </c>
      <c r="P721" s="26">
        <v>493</v>
      </c>
      <c r="Q721" s="26">
        <v>18</v>
      </c>
      <c r="R721" s="26">
        <v>1</v>
      </c>
      <c r="S721" s="26">
        <v>30</v>
      </c>
      <c r="T721" s="26">
        <v>25</v>
      </c>
      <c r="U721" s="26">
        <v>56</v>
      </c>
      <c r="V721" s="26">
        <v>1</v>
      </c>
      <c r="W721" s="26"/>
    </row>
    <row r="722" spans="1:23" x14ac:dyDescent="0.25">
      <c r="A722" s="26" t="str">
        <f t="shared" si="128"/>
        <v>SECUNDARIA</v>
      </c>
      <c r="B722" s="26" t="str">
        <f>"09DST0076P"</f>
        <v>09DST0076P</v>
      </c>
      <c r="C722" s="26" t="str">
        <f>"ESCUELA SECUNDARIA TECNICA 76                                                                       "</f>
        <v xml:space="preserve">ESCUELA SECUNDARIA TECNICA 76                                                                       </v>
      </c>
      <c r="D722" s="26" t="str">
        <f>"MATUTINO"</f>
        <v>MATUTINO</v>
      </c>
      <c r="E722" s="26" t="str">
        <f>"CALLE PLAN DE SAN LUIS S/N                                                      "</f>
        <v xml:space="preserve">CALLE PLAN DE SAN LUIS S/N                                                      </v>
      </c>
      <c r="F722" s="26" t="str">
        <f>"TICOMAN                                                                                                                                     "</f>
        <v xml:space="preserve">TICOMAN                                                                                                                                     </v>
      </c>
      <c r="G722" s="26" t="str">
        <f>"GUSTAVO A. MADERO                                                               "</f>
        <v xml:space="preserve">GUSTAVO A. MADERO                                                               </v>
      </c>
      <c r="H722" s="26" t="str">
        <f t="shared" ref="H722:H727" si="131">"002"</f>
        <v>002</v>
      </c>
      <c r="I722" s="26" t="str">
        <f t="shared" si="130"/>
        <v>00</v>
      </c>
      <c r="J722" s="26" t="str">
        <f t="shared" si="123"/>
        <v xml:space="preserve">06 </v>
      </c>
      <c r="K722" s="26" t="str">
        <f t="shared" si="124"/>
        <v>TE</v>
      </c>
      <c r="L722" s="26" t="str">
        <f t="shared" si="125"/>
        <v>DGEST</v>
      </c>
      <c r="M722" s="26" t="str">
        <f t="shared" si="129"/>
        <v>FEDERAL</v>
      </c>
      <c r="N722" s="26">
        <v>645</v>
      </c>
      <c r="O722" s="26">
        <v>338</v>
      </c>
      <c r="P722" s="26">
        <v>307</v>
      </c>
      <c r="Q722" s="26">
        <v>15</v>
      </c>
      <c r="R722" s="26">
        <v>2</v>
      </c>
      <c r="S722" s="26">
        <v>33</v>
      </c>
      <c r="T722" s="26">
        <v>35</v>
      </c>
      <c r="U722" s="26">
        <v>70</v>
      </c>
      <c r="V722" s="26">
        <v>1</v>
      </c>
      <c r="W722" s="26"/>
    </row>
    <row r="723" spans="1:23" x14ac:dyDescent="0.25">
      <c r="A723" s="26" t="str">
        <f t="shared" si="128"/>
        <v>SECUNDARIA</v>
      </c>
      <c r="B723" s="26" t="str">
        <f>"09DST0076P"</f>
        <v>09DST0076P</v>
      </c>
      <c r="C723" s="26" t="str">
        <f>"ESCUELA SECUNDARIA TECNICA 76                                                                       "</f>
        <v xml:space="preserve">ESCUELA SECUNDARIA TECNICA 76                                                                       </v>
      </c>
      <c r="D723" s="26" t="str">
        <f>"VESPERTINO"</f>
        <v>VESPERTINO</v>
      </c>
      <c r="E723" s="26" t="str">
        <f>"CALLE PLAN DE SAN LUIS S/N                                                      "</f>
        <v xml:space="preserve">CALLE PLAN DE SAN LUIS S/N                                                      </v>
      </c>
      <c r="F723" s="26" t="str">
        <f>"TICOMAN                                                                                                                                     "</f>
        <v xml:space="preserve">TICOMAN                                                                                                                                     </v>
      </c>
      <c r="G723" s="26" t="str">
        <f>"GUSTAVO A. MADERO                                                               "</f>
        <v xml:space="preserve">GUSTAVO A. MADERO                                                               </v>
      </c>
      <c r="H723" s="26" t="str">
        <f t="shared" si="131"/>
        <v>002</v>
      </c>
      <c r="I723" s="26" t="str">
        <f t="shared" si="130"/>
        <v>00</v>
      </c>
      <c r="J723" s="26" t="str">
        <f t="shared" si="123"/>
        <v xml:space="preserve">06 </v>
      </c>
      <c r="K723" s="26" t="str">
        <f t="shared" si="124"/>
        <v>TE</v>
      </c>
      <c r="L723" s="26" t="str">
        <f t="shared" si="125"/>
        <v>DGEST</v>
      </c>
      <c r="M723" s="26" t="str">
        <f t="shared" si="129"/>
        <v>FEDERAL</v>
      </c>
      <c r="N723" s="26">
        <v>514</v>
      </c>
      <c r="O723" s="26">
        <v>254</v>
      </c>
      <c r="P723" s="26">
        <v>260</v>
      </c>
      <c r="Q723" s="26">
        <v>14</v>
      </c>
      <c r="R723" s="26">
        <v>1</v>
      </c>
      <c r="S723" s="26">
        <v>33</v>
      </c>
      <c r="T723" s="26">
        <v>25</v>
      </c>
      <c r="U723" s="26">
        <v>59</v>
      </c>
      <c r="V723" s="26">
        <v>1</v>
      </c>
      <c r="W723" s="26"/>
    </row>
    <row r="724" spans="1:23" x14ac:dyDescent="0.25">
      <c r="A724" s="26" t="str">
        <f t="shared" si="128"/>
        <v>SECUNDARIA</v>
      </c>
      <c r="B724" s="26" t="str">
        <f>"09DST0077O"</f>
        <v>09DST0077O</v>
      </c>
      <c r="C724" s="26" t="str">
        <f>"ESCUELA SECUNDARIA TECNICA 77                                                                       "</f>
        <v xml:space="preserve">ESCUELA SECUNDARIA TECNICA 77                                                                       </v>
      </c>
      <c r="D724" s="26" t="str">
        <f>"MATUTINO"</f>
        <v>MATUTINO</v>
      </c>
      <c r="E724" s="26" t="str">
        <f>"CECILIO ROBELO S/N ENTRE TRONCOSO Y NICOLAS LEON                                "</f>
        <v xml:space="preserve">CECILIO ROBELO S/N ENTRE TRONCOSO Y NICOLAS LEON                                </v>
      </c>
      <c r="F724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724" s="26" t="str">
        <f>"VENUSTIANO CARRANZA                                                             "</f>
        <v xml:space="preserve">VENUSTIANO CARRANZA                                                             </v>
      </c>
      <c r="H724" s="26" t="str">
        <f t="shared" si="131"/>
        <v>002</v>
      </c>
      <c r="I724" s="26" t="str">
        <f t="shared" si="130"/>
        <v>00</v>
      </c>
      <c r="J724" s="26" t="str">
        <f t="shared" si="123"/>
        <v xml:space="preserve">06 </v>
      </c>
      <c r="K724" s="26" t="str">
        <f t="shared" si="124"/>
        <v>TE</v>
      </c>
      <c r="L724" s="26" t="str">
        <f t="shared" si="125"/>
        <v>DGEST</v>
      </c>
      <c r="M724" s="26" t="str">
        <f t="shared" si="129"/>
        <v>FEDERAL</v>
      </c>
      <c r="N724" s="26">
        <v>580</v>
      </c>
      <c r="O724" s="26">
        <v>300</v>
      </c>
      <c r="P724" s="26">
        <v>280</v>
      </c>
      <c r="Q724" s="26">
        <v>12</v>
      </c>
      <c r="R724" s="26">
        <v>2</v>
      </c>
      <c r="S724" s="26">
        <v>25</v>
      </c>
      <c r="T724" s="26">
        <v>28</v>
      </c>
      <c r="U724" s="26">
        <v>55</v>
      </c>
      <c r="V724" s="26">
        <v>1</v>
      </c>
      <c r="W724" s="26"/>
    </row>
    <row r="725" spans="1:23" x14ac:dyDescent="0.25">
      <c r="A725" s="26" t="str">
        <f t="shared" si="128"/>
        <v>SECUNDARIA</v>
      </c>
      <c r="B725" s="26" t="str">
        <f>"09DST0077O"</f>
        <v>09DST0077O</v>
      </c>
      <c r="C725" s="26" t="str">
        <f>"ESCUELA SECUNDARIA TECNICA 77                                                                       "</f>
        <v xml:space="preserve">ESCUELA SECUNDARIA TECNICA 77                                                                       </v>
      </c>
      <c r="D725" s="26" t="str">
        <f>"VESPERTINO"</f>
        <v>VESPERTINO</v>
      </c>
      <c r="E725" s="26" t="str">
        <f>"CECILIO ROBELO S/N ENTRE TRONCOSO Y NICOLAS LEON                                "</f>
        <v xml:space="preserve">CECILIO ROBELO S/N ENTRE TRONCOSO Y NICOLAS LEON                                </v>
      </c>
      <c r="F725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725" s="26" t="str">
        <f>"VENUSTIANO CARRANZA                                                             "</f>
        <v xml:space="preserve">VENUSTIANO CARRANZA                                                             </v>
      </c>
      <c r="H725" s="26" t="str">
        <f t="shared" si="131"/>
        <v>002</v>
      </c>
      <c r="I725" s="26" t="str">
        <f t="shared" si="130"/>
        <v>00</v>
      </c>
      <c r="J725" s="26" t="str">
        <f t="shared" si="123"/>
        <v xml:space="preserve">06 </v>
      </c>
      <c r="K725" s="26" t="str">
        <f t="shared" si="124"/>
        <v>TE</v>
      </c>
      <c r="L725" s="26" t="str">
        <f t="shared" si="125"/>
        <v>DGEST</v>
      </c>
      <c r="M725" s="26" t="str">
        <f t="shared" si="129"/>
        <v>FEDERAL</v>
      </c>
      <c r="N725" s="26">
        <v>390</v>
      </c>
      <c r="O725" s="26">
        <v>216</v>
      </c>
      <c r="P725" s="26">
        <v>174</v>
      </c>
      <c r="Q725" s="26">
        <v>10</v>
      </c>
      <c r="R725" s="26">
        <v>1</v>
      </c>
      <c r="S725" s="26">
        <v>20</v>
      </c>
      <c r="T725" s="26">
        <v>28</v>
      </c>
      <c r="U725" s="26">
        <v>49</v>
      </c>
      <c r="V725" s="26">
        <v>1</v>
      </c>
      <c r="W725" s="26"/>
    </row>
    <row r="726" spans="1:23" x14ac:dyDescent="0.25">
      <c r="A726" s="26" t="str">
        <f t="shared" si="128"/>
        <v>SECUNDARIA</v>
      </c>
      <c r="B726" s="26" t="str">
        <f>"09DST0078N"</f>
        <v>09DST0078N</v>
      </c>
      <c r="C726" s="26" t="str">
        <f>"ESCUELA SECUNDARIA TECNICA 78                                                                       "</f>
        <v xml:space="preserve">ESCUELA SECUNDARIA TECNICA 78                                                                       </v>
      </c>
      <c r="D726" s="26" t="str">
        <f>"MATUTINO"</f>
        <v>MATUTINO</v>
      </c>
      <c r="E726" s="26" t="str">
        <f>"CAMPO MOLUCO ESQUINA CAMPO VERDE                                                "</f>
        <v xml:space="preserve">CAMPO MOLUCO ESQUINA CAMPO VERDE                                                </v>
      </c>
      <c r="F726" s="26" t="str">
        <f>"SAN BARTOLO CACAHUALTONGO                                                                                                                   "</f>
        <v xml:space="preserve">SAN BARTOLO CACAHUALTONGO                                                                                                                   </v>
      </c>
      <c r="G726" s="26" t="str">
        <f>"AZCAPOTZALCO                                                                    "</f>
        <v xml:space="preserve">AZCAPOTZALCO                                                                    </v>
      </c>
      <c r="H726" s="26" t="str">
        <f t="shared" si="131"/>
        <v>002</v>
      </c>
      <c r="I726" s="26" t="str">
        <f t="shared" si="130"/>
        <v>00</v>
      </c>
      <c r="J726" s="26" t="str">
        <f t="shared" si="123"/>
        <v xml:space="preserve">06 </v>
      </c>
      <c r="K726" s="26" t="str">
        <f t="shared" si="124"/>
        <v>TE</v>
      </c>
      <c r="L726" s="26" t="str">
        <f t="shared" si="125"/>
        <v>DGEST</v>
      </c>
      <c r="M726" s="26" t="str">
        <f t="shared" si="129"/>
        <v>FEDERAL</v>
      </c>
      <c r="N726" s="26">
        <v>888</v>
      </c>
      <c r="O726" s="26">
        <v>410</v>
      </c>
      <c r="P726" s="26">
        <v>478</v>
      </c>
      <c r="Q726" s="26">
        <v>21</v>
      </c>
      <c r="R726" s="26">
        <v>2</v>
      </c>
      <c r="S726" s="26">
        <v>46</v>
      </c>
      <c r="T726" s="26">
        <v>29</v>
      </c>
      <c r="U726" s="26">
        <v>77</v>
      </c>
      <c r="V726" s="26">
        <v>1</v>
      </c>
      <c r="W726" s="26"/>
    </row>
    <row r="727" spans="1:23" x14ac:dyDescent="0.25">
      <c r="A727" s="26" t="str">
        <f t="shared" si="128"/>
        <v>SECUNDARIA</v>
      </c>
      <c r="B727" s="26" t="str">
        <f>"09DST0078N"</f>
        <v>09DST0078N</v>
      </c>
      <c r="C727" s="26" t="str">
        <f>"ESCUELA SECUNDARIA TECNICA 78                                                                       "</f>
        <v xml:space="preserve">ESCUELA SECUNDARIA TECNICA 78                                                                       </v>
      </c>
      <c r="D727" s="26" t="str">
        <f>"VESPERTINO"</f>
        <v>VESPERTINO</v>
      </c>
      <c r="E727" s="26" t="str">
        <f>"CAMPO MOLUCO ESQUINA CAMPO VERDE                                                "</f>
        <v xml:space="preserve">CAMPO MOLUCO ESQUINA CAMPO VERDE                                                </v>
      </c>
      <c r="F727" s="26" t="str">
        <f>"SAN BARTOLO CACAHUALTONGO                                                                                                                   "</f>
        <v xml:space="preserve">SAN BARTOLO CACAHUALTONGO                                                                                                                   </v>
      </c>
      <c r="G727" s="26" t="str">
        <f>"AZCAPOTZALCO                                                                    "</f>
        <v xml:space="preserve">AZCAPOTZALCO                                                                    </v>
      </c>
      <c r="H727" s="26" t="str">
        <f t="shared" si="131"/>
        <v>002</v>
      </c>
      <c r="I727" s="26" t="str">
        <f t="shared" si="130"/>
        <v>00</v>
      </c>
      <c r="J727" s="26" t="str">
        <f t="shared" si="123"/>
        <v xml:space="preserve">06 </v>
      </c>
      <c r="K727" s="26" t="str">
        <f t="shared" si="124"/>
        <v>TE</v>
      </c>
      <c r="L727" s="26" t="str">
        <f t="shared" si="125"/>
        <v>DGEST</v>
      </c>
      <c r="M727" s="26" t="str">
        <f t="shared" si="129"/>
        <v>FEDERAL</v>
      </c>
      <c r="N727" s="26">
        <v>482</v>
      </c>
      <c r="O727" s="26">
        <v>239</v>
      </c>
      <c r="P727" s="26">
        <v>243</v>
      </c>
      <c r="Q727" s="26">
        <v>14</v>
      </c>
      <c r="R727" s="26">
        <v>1</v>
      </c>
      <c r="S727" s="26">
        <v>32</v>
      </c>
      <c r="T727" s="26">
        <v>25</v>
      </c>
      <c r="U727" s="26">
        <v>58</v>
      </c>
      <c r="V727" s="26">
        <v>1</v>
      </c>
      <c r="W727" s="26"/>
    </row>
    <row r="728" spans="1:23" x14ac:dyDescent="0.25">
      <c r="A728" s="26" t="str">
        <f t="shared" si="128"/>
        <v>SECUNDARIA</v>
      </c>
      <c r="B728" s="26" t="str">
        <f>"09DST0079M"</f>
        <v>09DST0079M</v>
      </c>
      <c r="C728" s="26" t="str">
        <f>"ESCUELA SECUNDARIA TECNICA 79                                                                       "</f>
        <v xml:space="preserve">ESCUELA SECUNDARIA TECNICA 79                                                                       </v>
      </c>
      <c r="D728" s="26" t="str">
        <f>"JORNADA AMPLIADA"</f>
        <v>JORNADA AMPLIADA</v>
      </c>
      <c r="E728" s="26" t="str">
        <f>"AV. 5 DE MAYO Y EL CALVARIO S/N                                                 "</f>
        <v xml:space="preserve">AV. 5 DE MAYO Y EL CALVARIO S/N                                                 </v>
      </c>
      <c r="F728" s="26" t="str">
        <f>"SAN LUIS TLAXIALTEMALCO                                                                                                                     "</f>
        <v xml:space="preserve">SAN LUIS TLAXIALTEMALCO                                                                                                                     </v>
      </c>
      <c r="G728" s="26" t="str">
        <f>"XOCHIMILCO                                                                      "</f>
        <v xml:space="preserve">XOCHIMILCO                                                                      </v>
      </c>
      <c r="H728" s="26" t="str">
        <f>"004"</f>
        <v>004</v>
      </c>
      <c r="I728" s="26" t="str">
        <f t="shared" si="130"/>
        <v>00</v>
      </c>
      <c r="J728" s="26" t="str">
        <f t="shared" si="123"/>
        <v xml:space="preserve">06 </v>
      </c>
      <c r="K728" s="26" t="str">
        <f t="shared" si="124"/>
        <v>TE</v>
      </c>
      <c r="L728" s="26" t="str">
        <f t="shared" si="125"/>
        <v>DGEST</v>
      </c>
      <c r="M728" s="26" t="str">
        <f t="shared" si="129"/>
        <v>FEDERAL</v>
      </c>
      <c r="N728" s="26">
        <v>903</v>
      </c>
      <c r="O728" s="26">
        <v>499</v>
      </c>
      <c r="P728" s="26">
        <v>404</v>
      </c>
      <c r="Q728" s="26">
        <v>18</v>
      </c>
      <c r="R728" s="26">
        <v>2</v>
      </c>
      <c r="S728" s="26">
        <v>40</v>
      </c>
      <c r="T728" s="26">
        <v>39</v>
      </c>
      <c r="U728" s="26">
        <v>81</v>
      </c>
      <c r="V728" s="26">
        <v>1</v>
      </c>
      <c r="W728" s="26" t="s">
        <v>2076</v>
      </c>
    </row>
    <row r="729" spans="1:23" x14ac:dyDescent="0.25">
      <c r="A729" s="26" t="str">
        <f t="shared" si="128"/>
        <v>SECUNDARIA</v>
      </c>
      <c r="B729" s="26" t="str">
        <f>"09DST0080B"</f>
        <v>09DST0080B</v>
      </c>
      <c r="C729" s="26" t="str">
        <f>"ESCUELA SECUNDARIA TECNICA 80                                                                       "</f>
        <v xml:space="preserve">ESCUELA SECUNDARIA TECNICA 80                                                                       </v>
      </c>
      <c r="D729" s="26" t="str">
        <f>"MATUTINO"</f>
        <v>MATUTINO</v>
      </c>
      <c r="E729" s="26" t="str">
        <f>"CALLE MUZIO CLEMENTE ESQ. ERNANI S/N                                            "</f>
        <v xml:space="preserve">CALLE MUZIO CLEMENTE ESQ. ERNANI S/N                                            </v>
      </c>
      <c r="F729" s="26" t="str">
        <f>"MIGUEL HIDALGO                                                                                                                              "</f>
        <v xml:space="preserve">MIGUEL HIDALGO                                                                                                                              </v>
      </c>
      <c r="G729" s="26" t="str">
        <f>"TLAHUAC                                                                         "</f>
        <v xml:space="preserve">TLAHUAC                                                                         </v>
      </c>
      <c r="H729" s="26" t="str">
        <f>"004"</f>
        <v>004</v>
      </c>
      <c r="I729" s="26" t="str">
        <f t="shared" si="130"/>
        <v>00</v>
      </c>
      <c r="J729" s="26" t="str">
        <f t="shared" si="123"/>
        <v xml:space="preserve">06 </v>
      </c>
      <c r="K729" s="26" t="str">
        <f t="shared" si="124"/>
        <v>TE</v>
      </c>
      <c r="L729" s="26" t="str">
        <f t="shared" si="125"/>
        <v>DGEST</v>
      </c>
      <c r="M729" s="26" t="str">
        <f t="shared" si="129"/>
        <v>FEDERAL</v>
      </c>
      <c r="N729" s="26">
        <v>930</v>
      </c>
      <c r="O729" s="26">
        <v>431</v>
      </c>
      <c r="P729" s="26">
        <v>499</v>
      </c>
      <c r="Q729" s="26">
        <v>18</v>
      </c>
      <c r="R729" s="26">
        <v>2</v>
      </c>
      <c r="S729" s="26">
        <v>33</v>
      </c>
      <c r="T729" s="26">
        <v>30</v>
      </c>
      <c r="U729" s="26">
        <v>65</v>
      </c>
      <c r="V729" s="26">
        <v>1</v>
      </c>
      <c r="W729" s="26"/>
    </row>
    <row r="730" spans="1:23" x14ac:dyDescent="0.25">
      <c r="A730" s="26" t="str">
        <f t="shared" si="128"/>
        <v>SECUNDARIA</v>
      </c>
      <c r="B730" s="26" t="str">
        <f>"09DST0080B"</f>
        <v>09DST0080B</v>
      </c>
      <c r="C730" s="26" t="str">
        <f>"ESCUELA SECUNDARIA TECNICA 80                                                                       "</f>
        <v xml:space="preserve">ESCUELA SECUNDARIA TECNICA 80                                                                       </v>
      </c>
      <c r="D730" s="26" t="str">
        <f>"VESPERTINO"</f>
        <v>VESPERTINO</v>
      </c>
      <c r="E730" s="26" t="str">
        <f>"CALLE MUZIO CLEMENTE ESQ. ERNANI S/N                                            "</f>
        <v xml:space="preserve">CALLE MUZIO CLEMENTE ESQ. ERNANI S/N                                            </v>
      </c>
      <c r="F730" s="26" t="str">
        <f>"MIGUEL HIDALGO                                                                                                                              "</f>
        <v xml:space="preserve">MIGUEL HIDALGO                                                                                                                              </v>
      </c>
      <c r="G730" s="26" t="str">
        <f>"TLAHUAC                                                                         "</f>
        <v xml:space="preserve">TLAHUAC                                                                         </v>
      </c>
      <c r="H730" s="26" t="str">
        <f>"004"</f>
        <v>004</v>
      </c>
      <c r="I730" s="26" t="str">
        <f t="shared" si="130"/>
        <v>00</v>
      </c>
      <c r="J730" s="26" t="str">
        <f t="shared" si="123"/>
        <v xml:space="preserve">06 </v>
      </c>
      <c r="K730" s="26" t="str">
        <f t="shared" si="124"/>
        <v>TE</v>
      </c>
      <c r="L730" s="26" t="str">
        <f t="shared" si="125"/>
        <v>DGEST</v>
      </c>
      <c r="M730" s="26" t="str">
        <f t="shared" si="129"/>
        <v>FEDERAL</v>
      </c>
      <c r="N730" s="26">
        <v>861</v>
      </c>
      <c r="O730" s="26">
        <v>428</v>
      </c>
      <c r="P730" s="26">
        <v>433</v>
      </c>
      <c r="Q730" s="26">
        <v>18</v>
      </c>
      <c r="R730" s="26">
        <v>1</v>
      </c>
      <c r="S730" s="26">
        <v>26</v>
      </c>
      <c r="T730" s="26">
        <v>26</v>
      </c>
      <c r="U730" s="26">
        <v>53</v>
      </c>
      <c r="V730" s="26">
        <v>1</v>
      </c>
      <c r="W730" s="26"/>
    </row>
    <row r="731" spans="1:23" x14ac:dyDescent="0.25">
      <c r="A731" s="26" t="str">
        <f t="shared" si="128"/>
        <v>SECUNDARIA</v>
      </c>
      <c r="B731" s="26" t="str">
        <f>"09DST0081A"</f>
        <v>09DST0081A</v>
      </c>
      <c r="C731" s="26" t="str">
        <f>"ESCUELA SECUNDARIA TECNICA 81                                                                       "</f>
        <v xml:space="preserve">ESCUELA SECUNDARIA TECNICA 81                                                                       </v>
      </c>
      <c r="D731" s="26" t="str">
        <f>"MATUTINO"</f>
        <v>MATUTINO</v>
      </c>
      <c r="E731" s="26" t="str">
        <f>"AV MEXICO ESQUINA  AV. DE LAS TORRES                                            "</f>
        <v xml:space="preserve">AV MEXICO ESQUINA  AV. DE LAS TORRES                                            </v>
      </c>
      <c r="F731" s="26" t="str">
        <f>"SANTA MARIA AZTAHUACAN                                                                                                                      "</f>
        <v xml:space="preserve">SANTA MARIA AZTAHUACAN                                                                                                                      </v>
      </c>
      <c r="G731" s="26" t="str">
        <f>"IZTAPALAPA                                                                      "</f>
        <v xml:space="preserve">IZTAPALAPA                                                                      </v>
      </c>
      <c r="H731" s="26" t="str">
        <f>"003"</f>
        <v>003</v>
      </c>
      <c r="I731" s="26" t="str">
        <f t="shared" si="130"/>
        <v>00</v>
      </c>
      <c r="J731" s="26" t="str">
        <f t="shared" ref="J731:J794" si="132">"06 "</f>
        <v xml:space="preserve">06 </v>
      </c>
      <c r="K731" s="26" t="str">
        <f t="shared" ref="K731:K794" si="133">"TE"</f>
        <v>TE</v>
      </c>
      <c r="L731" s="26" t="str">
        <f t="shared" ref="L731:L794" si="134">"DGEST"</f>
        <v>DGEST</v>
      </c>
      <c r="M731" s="26" t="str">
        <f t="shared" si="129"/>
        <v>FEDERAL</v>
      </c>
      <c r="N731" s="26">
        <v>862</v>
      </c>
      <c r="O731" s="26">
        <v>435</v>
      </c>
      <c r="P731" s="26">
        <v>427</v>
      </c>
      <c r="Q731" s="26">
        <v>18</v>
      </c>
      <c r="R731" s="26">
        <v>2</v>
      </c>
      <c r="S731" s="26">
        <v>31</v>
      </c>
      <c r="T731" s="26">
        <v>35</v>
      </c>
      <c r="U731" s="26">
        <v>68</v>
      </c>
      <c r="V731" s="26">
        <v>1</v>
      </c>
      <c r="W731" s="26"/>
    </row>
    <row r="732" spans="1:23" x14ac:dyDescent="0.25">
      <c r="A732" s="26" t="str">
        <f t="shared" si="128"/>
        <v>SECUNDARIA</v>
      </c>
      <c r="B732" s="26" t="str">
        <f>"09DST0081A"</f>
        <v>09DST0081A</v>
      </c>
      <c r="C732" s="26" t="str">
        <f>"ESCUELA SECUNDARIA TECNICA 81                                                                       "</f>
        <v xml:space="preserve">ESCUELA SECUNDARIA TECNICA 81                                                                       </v>
      </c>
      <c r="D732" s="26" t="str">
        <f>"VESPERTINO"</f>
        <v>VESPERTINO</v>
      </c>
      <c r="E732" s="26" t="str">
        <f>"AV MEXICO ESQUINA  AV. DE LAS TORRES                                            "</f>
        <v xml:space="preserve">AV MEXICO ESQUINA  AV. DE LAS TORRES                                            </v>
      </c>
      <c r="F732" s="26" t="str">
        <f>"SANTA MARIA AZTAHUACAN                                                                                                                      "</f>
        <v xml:space="preserve">SANTA MARIA AZTAHUACAN                                                                                                                      </v>
      </c>
      <c r="G732" s="26" t="str">
        <f>"IZTAPALAPA                                                                      "</f>
        <v xml:space="preserve">IZTAPALAPA                                                                      </v>
      </c>
      <c r="H732" s="26" t="str">
        <f>"003"</f>
        <v>003</v>
      </c>
      <c r="I732" s="26" t="str">
        <f t="shared" si="130"/>
        <v>00</v>
      </c>
      <c r="J732" s="26" t="str">
        <f t="shared" si="132"/>
        <v xml:space="preserve">06 </v>
      </c>
      <c r="K732" s="26" t="str">
        <f t="shared" si="133"/>
        <v>TE</v>
      </c>
      <c r="L732" s="26" t="str">
        <f t="shared" si="134"/>
        <v>DGEST</v>
      </c>
      <c r="M732" s="26" t="str">
        <f t="shared" si="129"/>
        <v>FEDERAL</v>
      </c>
      <c r="N732" s="26">
        <v>714</v>
      </c>
      <c r="O732" s="26">
        <v>367</v>
      </c>
      <c r="P732" s="26">
        <v>347</v>
      </c>
      <c r="Q732" s="26">
        <v>17</v>
      </c>
      <c r="R732" s="26">
        <v>1</v>
      </c>
      <c r="S732" s="26">
        <v>33</v>
      </c>
      <c r="T732" s="26">
        <v>23</v>
      </c>
      <c r="U732" s="26">
        <v>57</v>
      </c>
      <c r="V732" s="26">
        <v>1</v>
      </c>
      <c r="W732" s="26"/>
    </row>
    <row r="733" spans="1:23" x14ac:dyDescent="0.25">
      <c r="A733" s="26" t="str">
        <f t="shared" si="128"/>
        <v>SECUNDARIA</v>
      </c>
      <c r="B733" s="26" t="str">
        <f>"09DST0082Z"</f>
        <v>09DST0082Z</v>
      </c>
      <c r="C733" s="26" t="str">
        <f>"ESCUELA SECUNDARIA TECNICA 82                                                                       "</f>
        <v xml:space="preserve">ESCUELA SECUNDARIA TECNICA 82                                                                       </v>
      </c>
      <c r="D733" s="26" t="str">
        <f>"MATUTINO"</f>
        <v>MATUTINO</v>
      </c>
      <c r="E733" s="26" t="str">
        <f>"FELIPE ANGELES Y JERONIMO DE LAS CASAS                                          "</f>
        <v xml:space="preserve">FELIPE ANGELES Y JERONIMO DE LAS CASAS                                          </v>
      </c>
      <c r="F733" s="26" t="str">
        <f>"ARBOLEDAS DE CUAUTEPEC EL ALTO                                                                                                              "</f>
        <v xml:space="preserve">ARBOLEDAS DE CUAUTEPEC EL ALTO                                                                                                              </v>
      </c>
      <c r="G733" s="26" t="str">
        <f>"GUSTAVO A. MADERO                                                               "</f>
        <v xml:space="preserve">GUSTAVO A. MADERO                                                               </v>
      </c>
      <c r="H733" s="26" t="str">
        <f>"002"</f>
        <v>002</v>
      </c>
      <c r="I733" s="26" t="str">
        <f t="shared" si="130"/>
        <v>00</v>
      </c>
      <c r="J733" s="26" t="str">
        <f t="shared" si="132"/>
        <v xml:space="preserve">06 </v>
      </c>
      <c r="K733" s="26" t="str">
        <f t="shared" si="133"/>
        <v>TE</v>
      </c>
      <c r="L733" s="26" t="str">
        <f t="shared" si="134"/>
        <v>DGEST</v>
      </c>
      <c r="M733" s="26" t="str">
        <f t="shared" si="129"/>
        <v>FEDERAL</v>
      </c>
      <c r="N733" s="26">
        <v>718</v>
      </c>
      <c r="O733" s="26">
        <v>354</v>
      </c>
      <c r="P733" s="26">
        <v>364</v>
      </c>
      <c r="Q733" s="26">
        <v>15</v>
      </c>
      <c r="R733" s="26">
        <v>2</v>
      </c>
      <c r="S733" s="26">
        <v>25</v>
      </c>
      <c r="T733" s="26">
        <v>27</v>
      </c>
      <c r="U733" s="26">
        <v>54</v>
      </c>
      <c r="V733" s="26">
        <v>1</v>
      </c>
      <c r="W733" s="26"/>
    </row>
    <row r="734" spans="1:23" x14ac:dyDescent="0.25">
      <c r="A734" s="26" t="str">
        <f t="shared" si="128"/>
        <v>SECUNDARIA</v>
      </c>
      <c r="B734" s="26" t="str">
        <f>"09DST0082Z"</f>
        <v>09DST0082Z</v>
      </c>
      <c r="C734" s="26" t="str">
        <f>"ESCUELA SECUNDARIA TECNICA 82                                                                       "</f>
        <v xml:space="preserve">ESCUELA SECUNDARIA TECNICA 82                                                                       </v>
      </c>
      <c r="D734" s="26" t="str">
        <f>"VESPERTINO"</f>
        <v>VESPERTINO</v>
      </c>
      <c r="E734" s="26" t="str">
        <f>"FELIPE ANGELES Y JERONIMO DE LAS CASAS                                          "</f>
        <v xml:space="preserve">FELIPE ANGELES Y JERONIMO DE LAS CASAS                                          </v>
      </c>
      <c r="F734" s="26" t="str">
        <f>"ARBOLEDAS DE CUAUTEPEC EL ALTO                                                                                                              "</f>
        <v xml:space="preserve">ARBOLEDAS DE CUAUTEPEC EL ALTO                                                                                                              </v>
      </c>
      <c r="G734" s="26" t="str">
        <f>"GUSTAVO A. MADERO                                                               "</f>
        <v xml:space="preserve">GUSTAVO A. MADERO                                                               </v>
      </c>
      <c r="H734" s="26" t="str">
        <f>"002"</f>
        <v>002</v>
      </c>
      <c r="I734" s="26" t="str">
        <f t="shared" si="130"/>
        <v>00</v>
      </c>
      <c r="J734" s="26" t="str">
        <f t="shared" si="132"/>
        <v xml:space="preserve">06 </v>
      </c>
      <c r="K734" s="26" t="str">
        <f t="shared" si="133"/>
        <v>TE</v>
      </c>
      <c r="L734" s="26" t="str">
        <f t="shared" si="134"/>
        <v>DGEST</v>
      </c>
      <c r="M734" s="26" t="str">
        <f t="shared" si="129"/>
        <v>FEDERAL</v>
      </c>
      <c r="N734" s="26">
        <v>667</v>
      </c>
      <c r="O734" s="26">
        <v>301</v>
      </c>
      <c r="P734" s="26">
        <v>366</v>
      </c>
      <c r="Q734" s="26">
        <v>15</v>
      </c>
      <c r="R734" s="26">
        <v>1</v>
      </c>
      <c r="S734" s="26">
        <v>27</v>
      </c>
      <c r="T734" s="26">
        <v>23</v>
      </c>
      <c r="U734" s="26">
        <v>51</v>
      </c>
      <c r="V734" s="26">
        <v>1</v>
      </c>
      <c r="W734" s="26"/>
    </row>
    <row r="735" spans="1:23" x14ac:dyDescent="0.25">
      <c r="A735" s="26" t="str">
        <f t="shared" si="128"/>
        <v>SECUNDARIA</v>
      </c>
      <c r="B735" s="26" t="str">
        <f>"09DST0083Z"</f>
        <v>09DST0083Z</v>
      </c>
      <c r="C735" s="26" t="str">
        <f>"ESCUELA SECUNDARIA TECNICA 83                                                                       "</f>
        <v xml:space="preserve">ESCUELA SECUNDARIA TECNICA 83                                                                       </v>
      </c>
      <c r="D735" s="26" t="str">
        <f>"MATUTINO"</f>
        <v>MATUTINO</v>
      </c>
      <c r="E735" s="26" t="str">
        <f>"CALLE 6 Y AVENIDA PUEBLA S/N                                                    "</f>
        <v xml:space="preserve">CALLE 6 Y AVENIDA PUEBLA S/N                                                    </v>
      </c>
      <c r="F735" s="26" t="str">
        <f>"CUCHILLA AGRICOLA PANTITLAN                                                                                                                 "</f>
        <v xml:space="preserve">CUCHILLA AGRICOLA PANTITLAN                                                                                                                 </v>
      </c>
      <c r="G735" s="26" t="str">
        <f>"IZTACALCO                                                                       "</f>
        <v xml:space="preserve">IZTACALCO                                                                       </v>
      </c>
      <c r="H735" s="26" t="str">
        <f>"003"</f>
        <v>003</v>
      </c>
      <c r="I735" s="26" t="str">
        <f t="shared" si="130"/>
        <v>00</v>
      </c>
      <c r="J735" s="26" t="str">
        <f t="shared" si="132"/>
        <v xml:space="preserve">06 </v>
      </c>
      <c r="K735" s="26" t="str">
        <f t="shared" si="133"/>
        <v>TE</v>
      </c>
      <c r="L735" s="26" t="str">
        <f t="shared" si="134"/>
        <v>DGEST</v>
      </c>
      <c r="M735" s="26" t="str">
        <f t="shared" si="129"/>
        <v>FEDERAL</v>
      </c>
      <c r="N735" s="26">
        <v>819</v>
      </c>
      <c r="O735" s="26">
        <v>422</v>
      </c>
      <c r="P735" s="26">
        <v>397</v>
      </c>
      <c r="Q735" s="26">
        <v>16</v>
      </c>
      <c r="R735" s="26">
        <v>2</v>
      </c>
      <c r="S735" s="26">
        <v>28</v>
      </c>
      <c r="T735" s="26">
        <v>31</v>
      </c>
      <c r="U735" s="26">
        <v>61</v>
      </c>
      <c r="V735" s="26">
        <v>1</v>
      </c>
      <c r="W735" s="26"/>
    </row>
    <row r="736" spans="1:23" x14ac:dyDescent="0.25">
      <c r="A736" s="26" t="str">
        <f t="shared" si="128"/>
        <v>SECUNDARIA</v>
      </c>
      <c r="B736" s="26" t="str">
        <f>"09DST0083Z"</f>
        <v>09DST0083Z</v>
      </c>
      <c r="C736" s="26" t="str">
        <f>"ESCUELA SECUNDARIA TECNICA 83                                                                       "</f>
        <v xml:space="preserve">ESCUELA SECUNDARIA TECNICA 83                                                                       </v>
      </c>
      <c r="D736" s="26" t="str">
        <f>"VESPERTINO"</f>
        <v>VESPERTINO</v>
      </c>
      <c r="E736" s="26" t="str">
        <f>"CALLE 6 Y AVENIDA PUEBLA S/N                                                    "</f>
        <v xml:space="preserve">CALLE 6 Y AVENIDA PUEBLA S/N                                                    </v>
      </c>
      <c r="F736" s="26" t="str">
        <f>"CUCHILLA AGRICOLA PANTITLAN                                                                                                                 "</f>
        <v xml:space="preserve">CUCHILLA AGRICOLA PANTITLAN                                                                                                                 </v>
      </c>
      <c r="G736" s="26" t="str">
        <f>"IZTACALCO                                                                       "</f>
        <v xml:space="preserve">IZTACALCO                                                                       </v>
      </c>
      <c r="H736" s="26" t="str">
        <f>"003"</f>
        <v>003</v>
      </c>
      <c r="I736" s="26" t="str">
        <f t="shared" si="130"/>
        <v>00</v>
      </c>
      <c r="J736" s="26" t="str">
        <f t="shared" si="132"/>
        <v xml:space="preserve">06 </v>
      </c>
      <c r="K736" s="26" t="str">
        <f t="shared" si="133"/>
        <v>TE</v>
      </c>
      <c r="L736" s="26" t="str">
        <f t="shared" si="134"/>
        <v>DGEST</v>
      </c>
      <c r="M736" s="26" t="str">
        <f t="shared" si="129"/>
        <v>FEDERAL</v>
      </c>
      <c r="N736" s="26">
        <v>499</v>
      </c>
      <c r="O736" s="26">
        <v>261</v>
      </c>
      <c r="P736" s="26">
        <v>238</v>
      </c>
      <c r="Q736" s="26">
        <v>15</v>
      </c>
      <c r="R736" s="26">
        <v>1</v>
      </c>
      <c r="S736" s="26">
        <v>30</v>
      </c>
      <c r="T736" s="26">
        <v>24</v>
      </c>
      <c r="U736" s="26">
        <v>55</v>
      </c>
      <c r="V736" s="26">
        <v>1</v>
      </c>
      <c r="W736" s="26"/>
    </row>
    <row r="737" spans="1:23" x14ac:dyDescent="0.25">
      <c r="A737" s="26" t="str">
        <f t="shared" si="128"/>
        <v>SECUNDARIA</v>
      </c>
      <c r="B737" s="26" t="str">
        <f>"09DST0084Y"</f>
        <v>09DST0084Y</v>
      </c>
      <c r="C737" s="26" t="str">
        <f>"ESCUELA SECUNDARIA TECNICA 84                                                                       "</f>
        <v xml:space="preserve">ESCUELA SECUNDARIA TECNICA 84                                                                       </v>
      </c>
      <c r="D737" s="26" t="str">
        <f>"MATUTINO"</f>
        <v>MATUTINO</v>
      </c>
      <c r="E737" s="26" t="str">
        <f>"CALZADA DE LAS BOMBAS ESQUINA CON CAFETALES                                     "</f>
        <v xml:space="preserve">CALZADA DE LAS BOMBAS ESQUINA CON CAFETALES                                     </v>
      </c>
      <c r="F737" s="26" t="str">
        <f>"UNIDAD OBRERO HABITACIONAL CTM CULH                                                                                                         "</f>
        <v xml:space="preserve">UNIDAD OBRERO HABITACIONAL CTM CULH                                                                                                         </v>
      </c>
      <c r="G737" s="26" t="str">
        <f>"COYOACAN                                                                        "</f>
        <v xml:space="preserve">COYOACAN                                                                        </v>
      </c>
      <c r="H737" s="26" t="str">
        <f>"004"</f>
        <v>004</v>
      </c>
      <c r="I737" s="26" t="str">
        <f t="shared" si="130"/>
        <v>00</v>
      </c>
      <c r="J737" s="26" t="str">
        <f t="shared" si="132"/>
        <v xml:space="preserve">06 </v>
      </c>
      <c r="K737" s="26" t="str">
        <f t="shared" si="133"/>
        <v>TE</v>
      </c>
      <c r="L737" s="26" t="str">
        <f t="shared" si="134"/>
        <v>DGEST</v>
      </c>
      <c r="M737" s="26" t="str">
        <f t="shared" si="129"/>
        <v>FEDERAL</v>
      </c>
      <c r="N737" s="26">
        <v>732</v>
      </c>
      <c r="O737" s="26">
        <v>351</v>
      </c>
      <c r="P737" s="26">
        <v>381</v>
      </c>
      <c r="Q737" s="26">
        <v>18</v>
      </c>
      <c r="R737" s="26">
        <v>2</v>
      </c>
      <c r="S737" s="26">
        <v>32</v>
      </c>
      <c r="T737" s="26">
        <v>34</v>
      </c>
      <c r="U737" s="26">
        <v>68</v>
      </c>
      <c r="V737" s="26">
        <v>1</v>
      </c>
      <c r="W737" s="26"/>
    </row>
    <row r="738" spans="1:23" x14ac:dyDescent="0.25">
      <c r="A738" s="26" t="str">
        <f t="shared" si="128"/>
        <v>SECUNDARIA</v>
      </c>
      <c r="B738" s="26" t="str">
        <f>"09DST0084Y"</f>
        <v>09DST0084Y</v>
      </c>
      <c r="C738" s="26" t="str">
        <f>"ESCUELA SECUNDARIA TECNICA 84                                                                       "</f>
        <v xml:space="preserve">ESCUELA SECUNDARIA TECNICA 84                                                                       </v>
      </c>
      <c r="D738" s="26" t="str">
        <f>"VESPERTINO"</f>
        <v>VESPERTINO</v>
      </c>
      <c r="E738" s="26" t="str">
        <f>"CALZADA DE LAS BOMBAS ESQUINA CON CAFETALES                                     "</f>
        <v xml:space="preserve">CALZADA DE LAS BOMBAS ESQUINA CON CAFETALES                                     </v>
      </c>
      <c r="F738" s="26" t="str">
        <f>"UNIDAD OBRERO HABITACIONAL CTM CULH                                                                                                         "</f>
        <v xml:space="preserve">UNIDAD OBRERO HABITACIONAL CTM CULH                                                                                                         </v>
      </c>
      <c r="G738" s="26" t="str">
        <f>"COYOACAN                                                                        "</f>
        <v xml:space="preserve">COYOACAN                                                                        </v>
      </c>
      <c r="H738" s="26" t="str">
        <f>"004"</f>
        <v>004</v>
      </c>
      <c r="I738" s="26" t="str">
        <f t="shared" si="130"/>
        <v>00</v>
      </c>
      <c r="J738" s="26" t="str">
        <f t="shared" si="132"/>
        <v xml:space="preserve">06 </v>
      </c>
      <c r="K738" s="26" t="str">
        <f t="shared" si="133"/>
        <v>TE</v>
      </c>
      <c r="L738" s="26" t="str">
        <f t="shared" si="134"/>
        <v>DGEST</v>
      </c>
      <c r="M738" s="26" t="str">
        <f t="shared" si="129"/>
        <v>FEDERAL</v>
      </c>
      <c r="N738" s="26">
        <v>492</v>
      </c>
      <c r="O738" s="26">
        <v>243</v>
      </c>
      <c r="P738" s="26">
        <v>249</v>
      </c>
      <c r="Q738" s="26">
        <v>15</v>
      </c>
      <c r="R738" s="26">
        <v>1</v>
      </c>
      <c r="S738" s="26">
        <v>30</v>
      </c>
      <c r="T738" s="26">
        <v>20</v>
      </c>
      <c r="U738" s="26">
        <v>51</v>
      </c>
      <c r="V738" s="26">
        <v>1</v>
      </c>
      <c r="W738" s="26"/>
    </row>
    <row r="739" spans="1:23" x14ac:dyDescent="0.25">
      <c r="A739" s="26" t="str">
        <f t="shared" si="128"/>
        <v>SECUNDARIA</v>
      </c>
      <c r="B739" s="26" t="str">
        <f>"09DST0085X"</f>
        <v>09DST0085X</v>
      </c>
      <c r="C739" s="26" t="str">
        <f>"ESCUELA SECUNDARIA TECNICA 85                                                                       "</f>
        <v xml:space="preserve">ESCUELA SECUNDARIA TECNICA 85                                                                       </v>
      </c>
      <c r="D739" s="26" t="str">
        <f>"MATUTINO"</f>
        <v>MATUTINO</v>
      </c>
      <c r="E739" s="26" t="str">
        <f>"CAMINO A CUAUTEPEC Y CHALMITA                                                   "</f>
        <v xml:space="preserve">CAMINO A CUAUTEPEC Y CHALMITA                                                   </v>
      </c>
      <c r="F739" s="26" t="str">
        <f>"UNIDAD HABITACIONAL EL ARBOLILLO I                                                                                                          "</f>
        <v xml:space="preserve">UNIDAD HABITACIONAL EL ARBOLILLO I                                                                                                          </v>
      </c>
      <c r="G739" s="26" t="str">
        <f>"GUSTAVO A. MADERO                                                               "</f>
        <v xml:space="preserve">GUSTAVO A. MADERO                                                               </v>
      </c>
      <c r="H739" s="26" t="str">
        <f>"002"</f>
        <v>002</v>
      </c>
      <c r="I739" s="26" t="str">
        <f t="shared" si="130"/>
        <v>00</v>
      </c>
      <c r="J739" s="26" t="str">
        <f t="shared" si="132"/>
        <v xml:space="preserve">06 </v>
      </c>
      <c r="K739" s="26" t="str">
        <f t="shared" si="133"/>
        <v>TE</v>
      </c>
      <c r="L739" s="26" t="str">
        <f t="shared" si="134"/>
        <v>DGEST</v>
      </c>
      <c r="M739" s="26" t="str">
        <f t="shared" si="129"/>
        <v>FEDERAL</v>
      </c>
      <c r="N739" s="26">
        <v>773</v>
      </c>
      <c r="O739" s="26">
        <v>386</v>
      </c>
      <c r="P739" s="26">
        <v>387</v>
      </c>
      <c r="Q739" s="26">
        <v>18</v>
      </c>
      <c r="R739" s="26">
        <v>2</v>
      </c>
      <c r="S739" s="26">
        <v>27</v>
      </c>
      <c r="T739" s="26">
        <v>27</v>
      </c>
      <c r="U739" s="26">
        <v>56</v>
      </c>
      <c r="V739" s="26">
        <v>1</v>
      </c>
      <c r="W739" s="26"/>
    </row>
    <row r="740" spans="1:23" x14ac:dyDescent="0.25">
      <c r="A740" s="26" t="str">
        <f t="shared" si="128"/>
        <v>SECUNDARIA</v>
      </c>
      <c r="B740" s="26" t="str">
        <f>"09DST0085X"</f>
        <v>09DST0085X</v>
      </c>
      <c r="C740" s="26" t="str">
        <f>"ESCUELA SECUNDARIA TECNICA 85                                                                       "</f>
        <v xml:space="preserve">ESCUELA SECUNDARIA TECNICA 85                                                                       </v>
      </c>
      <c r="D740" s="26" t="str">
        <f>"VESPERTINO"</f>
        <v>VESPERTINO</v>
      </c>
      <c r="E740" s="26" t="str">
        <f>"CAMINO A CUAUTEPEC Y CHALMITA                                                   "</f>
        <v xml:space="preserve">CAMINO A CUAUTEPEC Y CHALMITA                                                   </v>
      </c>
      <c r="F740" s="26" t="str">
        <f>"UNIDAD HABITACIONAL EL ARBOLILLO I                                                                                                          "</f>
        <v xml:space="preserve">UNIDAD HABITACIONAL EL ARBOLILLO I                                                                                                          </v>
      </c>
      <c r="G740" s="26" t="str">
        <f>"GUSTAVO A. MADERO                                                               "</f>
        <v xml:space="preserve">GUSTAVO A. MADERO                                                               </v>
      </c>
      <c r="H740" s="26" t="str">
        <f>"002"</f>
        <v>002</v>
      </c>
      <c r="I740" s="26" t="str">
        <f t="shared" si="130"/>
        <v>00</v>
      </c>
      <c r="J740" s="26" t="str">
        <f t="shared" si="132"/>
        <v xml:space="preserve">06 </v>
      </c>
      <c r="K740" s="26" t="str">
        <f t="shared" si="133"/>
        <v>TE</v>
      </c>
      <c r="L740" s="26" t="str">
        <f t="shared" si="134"/>
        <v>DGEST</v>
      </c>
      <c r="M740" s="26" t="str">
        <f t="shared" si="129"/>
        <v>FEDERAL</v>
      </c>
      <c r="N740" s="26">
        <v>556</v>
      </c>
      <c r="O740" s="26">
        <v>285</v>
      </c>
      <c r="P740" s="26">
        <v>271</v>
      </c>
      <c r="Q740" s="26">
        <v>15</v>
      </c>
      <c r="R740" s="26">
        <v>1</v>
      </c>
      <c r="S740" s="26">
        <v>32</v>
      </c>
      <c r="T740" s="26">
        <v>24</v>
      </c>
      <c r="U740" s="26">
        <v>57</v>
      </c>
      <c r="V740" s="26">
        <v>1</v>
      </c>
      <c r="W740" s="26"/>
    </row>
    <row r="741" spans="1:23" x14ac:dyDescent="0.25">
      <c r="A741" s="26" t="str">
        <f t="shared" si="128"/>
        <v>SECUNDARIA</v>
      </c>
      <c r="B741" s="26" t="str">
        <f>"09DST0086W"</f>
        <v>09DST0086W</v>
      </c>
      <c r="C741" s="26" t="str">
        <f>"ESCUELA SECUNDARIA TECNICA 86                                                                       "</f>
        <v xml:space="preserve">ESCUELA SECUNDARIA TECNICA 86                                                                       </v>
      </c>
      <c r="D741" s="26" t="str">
        <f>"MATUTINO"</f>
        <v>MATUTINO</v>
      </c>
      <c r="E741" s="26" t="str">
        <f>"CARACOL Y PROLONGACION RIO CHURUBUSCO 1A SECC.                                  "</f>
        <v xml:space="preserve">CARACOL Y PROLONGACION RIO CHURUBUSCO 1A SECC.                                  </v>
      </c>
      <c r="F741" s="26" t="str">
        <f>"ARENAL 1A SECCION                                                                                                                           "</f>
        <v xml:space="preserve">ARENAL 1A SECCION                                                                                                                           </v>
      </c>
      <c r="G741" s="26" t="str">
        <f>"VENUSTIANO CARRANZA                                                             "</f>
        <v xml:space="preserve">VENUSTIANO CARRANZA                                                             </v>
      </c>
      <c r="H741" s="26" t="str">
        <f>"002"</f>
        <v>002</v>
      </c>
      <c r="I741" s="26" t="str">
        <f t="shared" si="130"/>
        <v>00</v>
      </c>
      <c r="J741" s="26" t="str">
        <f t="shared" si="132"/>
        <v xml:space="preserve">06 </v>
      </c>
      <c r="K741" s="26" t="str">
        <f t="shared" si="133"/>
        <v>TE</v>
      </c>
      <c r="L741" s="26" t="str">
        <f t="shared" si="134"/>
        <v>DGEST</v>
      </c>
      <c r="M741" s="26" t="str">
        <f t="shared" si="129"/>
        <v>FEDERAL</v>
      </c>
      <c r="N741" s="26">
        <v>710</v>
      </c>
      <c r="O741" s="26">
        <v>374</v>
      </c>
      <c r="P741" s="26">
        <v>336</v>
      </c>
      <c r="Q741" s="26">
        <v>15</v>
      </c>
      <c r="R741" s="26">
        <v>2</v>
      </c>
      <c r="S741" s="26">
        <v>29</v>
      </c>
      <c r="T741" s="26">
        <v>31</v>
      </c>
      <c r="U741" s="26">
        <v>62</v>
      </c>
      <c r="V741" s="26">
        <v>1</v>
      </c>
      <c r="W741" s="26"/>
    </row>
    <row r="742" spans="1:23" x14ac:dyDescent="0.25">
      <c r="A742" s="26" t="str">
        <f t="shared" si="128"/>
        <v>SECUNDARIA</v>
      </c>
      <c r="B742" s="26" t="str">
        <f>"09DST0086W"</f>
        <v>09DST0086W</v>
      </c>
      <c r="C742" s="26" t="str">
        <f>"ESCUELA SECUNDARIA TECNICA 86                                                                       "</f>
        <v xml:space="preserve">ESCUELA SECUNDARIA TECNICA 86                                                                       </v>
      </c>
      <c r="D742" s="26" t="str">
        <f>"VESPERTINO"</f>
        <v>VESPERTINO</v>
      </c>
      <c r="E742" s="26" t="str">
        <f>"CARACOL Y PROLONGACION RIO CHURUBUSCO 1A SECC.                                  "</f>
        <v xml:space="preserve">CARACOL Y PROLONGACION RIO CHURUBUSCO 1A SECC.                                  </v>
      </c>
      <c r="F742" s="26" t="str">
        <f>"ARENAL 1A SECCION                                                                                                                           "</f>
        <v xml:space="preserve">ARENAL 1A SECCION                                                                                                                           </v>
      </c>
      <c r="G742" s="26" t="str">
        <f>"VENUSTIANO CARRANZA                                                             "</f>
        <v xml:space="preserve">VENUSTIANO CARRANZA                                                             </v>
      </c>
      <c r="H742" s="26" t="str">
        <f>"002"</f>
        <v>002</v>
      </c>
      <c r="I742" s="26" t="str">
        <f t="shared" si="130"/>
        <v>00</v>
      </c>
      <c r="J742" s="26" t="str">
        <f t="shared" si="132"/>
        <v xml:space="preserve">06 </v>
      </c>
      <c r="K742" s="26" t="str">
        <f t="shared" si="133"/>
        <v>TE</v>
      </c>
      <c r="L742" s="26" t="str">
        <f t="shared" si="134"/>
        <v>DGEST</v>
      </c>
      <c r="M742" s="26" t="str">
        <f t="shared" si="129"/>
        <v>FEDERAL</v>
      </c>
      <c r="N742" s="26">
        <v>477</v>
      </c>
      <c r="O742" s="26">
        <v>241</v>
      </c>
      <c r="P742" s="26">
        <v>236</v>
      </c>
      <c r="Q742" s="26">
        <v>11</v>
      </c>
      <c r="R742" s="26">
        <v>1</v>
      </c>
      <c r="S742" s="26">
        <v>18</v>
      </c>
      <c r="T742" s="26">
        <v>23</v>
      </c>
      <c r="U742" s="26">
        <v>42</v>
      </c>
      <c r="V742" s="26">
        <v>1</v>
      </c>
      <c r="W742" s="26"/>
    </row>
    <row r="743" spans="1:23" x14ac:dyDescent="0.25">
      <c r="A743" s="26" t="str">
        <f t="shared" si="128"/>
        <v>SECUNDARIA</v>
      </c>
      <c r="B743" s="26" t="str">
        <f>"09DST0087V"</f>
        <v>09DST0087V</v>
      </c>
      <c r="C743" s="26" t="str">
        <f>"ESCUELA SECUNDARIA TECNICA 87                                                                       "</f>
        <v xml:space="preserve">ESCUELA SECUNDARIA TECNICA 87                                                                       </v>
      </c>
      <c r="D743" s="26" t="str">
        <f>"MATUTINO"</f>
        <v>MATUTINO</v>
      </c>
      <c r="E743" s="26" t="str">
        <f>"ELOY CABAZOS S/N                                                                "</f>
        <v xml:space="preserve">ELOY CABAZOS S/N                                                                </v>
      </c>
      <c r="F743" s="26" t="str">
        <f>"SAN MIGUEL TEOTONGO                                                                                                                         "</f>
        <v xml:space="preserve">SAN MIGUEL TEOTONGO                                                                                                                         </v>
      </c>
      <c r="G743" s="26" t="str">
        <f>"IZTAPALAPA                                                                      "</f>
        <v xml:space="preserve">IZTAPALAPA                                                                      </v>
      </c>
      <c r="H743" s="26" t="str">
        <f>"003"</f>
        <v>003</v>
      </c>
      <c r="I743" s="26" t="str">
        <f t="shared" si="130"/>
        <v>00</v>
      </c>
      <c r="J743" s="26" t="str">
        <f t="shared" si="132"/>
        <v xml:space="preserve">06 </v>
      </c>
      <c r="K743" s="26" t="str">
        <f t="shared" si="133"/>
        <v>TE</v>
      </c>
      <c r="L743" s="26" t="str">
        <f t="shared" si="134"/>
        <v>DGEST</v>
      </c>
      <c r="M743" s="26" t="str">
        <f t="shared" si="129"/>
        <v>FEDERAL</v>
      </c>
      <c r="N743" s="26">
        <v>865</v>
      </c>
      <c r="O743" s="26">
        <v>391</v>
      </c>
      <c r="P743" s="26">
        <v>474</v>
      </c>
      <c r="Q743" s="26">
        <v>17</v>
      </c>
      <c r="R743" s="26">
        <v>2</v>
      </c>
      <c r="S743" s="26">
        <v>26</v>
      </c>
      <c r="T743" s="26">
        <v>31</v>
      </c>
      <c r="U743" s="26">
        <v>59</v>
      </c>
      <c r="V743" s="26">
        <v>1</v>
      </c>
      <c r="W743" s="26"/>
    </row>
    <row r="744" spans="1:23" x14ac:dyDescent="0.25">
      <c r="A744" s="26" t="str">
        <f t="shared" si="128"/>
        <v>SECUNDARIA</v>
      </c>
      <c r="B744" s="26" t="str">
        <f>"09DST0087V"</f>
        <v>09DST0087V</v>
      </c>
      <c r="C744" s="26" t="str">
        <f>"ESCUELA SECUNDARIA TECNICA 87                                                                       "</f>
        <v xml:space="preserve">ESCUELA SECUNDARIA TECNICA 87                                                                       </v>
      </c>
      <c r="D744" s="26" t="str">
        <f>"VESPERTINO"</f>
        <v>VESPERTINO</v>
      </c>
      <c r="E744" s="26" t="str">
        <f>"ELOY CABAZOS S/N                                                                "</f>
        <v xml:space="preserve">ELOY CABAZOS S/N                                                                </v>
      </c>
      <c r="F744" s="26" t="str">
        <f>"SAN MIGUEL TEOTONGO                                                                                                                         "</f>
        <v xml:space="preserve">SAN MIGUEL TEOTONGO                                                                                                                         </v>
      </c>
      <c r="G744" s="26" t="str">
        <f>"IZTAPALAPA                                                                      "</f>
        <v xml:space="preserve">IZTAPALAPA                                                                      </v>
      </c>
      <c r="H744" s="26" t="str">
        <f>"003"</f>
        <v>003</v>
      </c>
      <c r="I744" s="26" t="str">
        <f t="shared" si="130"/>
        <v>00</v>
      </c>
      <c r="J744" s="26" t="str">
        <f t="shared" si="132"/>
        <v xml:space="preserve">06 </v>
      </c>
      <c r="K744" s="26" t="str">
        <f t="shared" si="133"/>
        <v>TE</v>
      </c>
      <c r="L744" s="26" t="str">
        <f t="shared" si="134"/>
        <v>DGEST</v>
      </c>
      <c r="M744" s="26" t="str">
        <f t="shared" si="129"/>
        <v>FEDERAL</v>
      </c>
      <c r="N744" s="26">
        <v>507</v>
      </c>
      <c r="O744" s="26">
        <v>277</v>
      </c>
      <c r="P744" s="26">
        <v>230</v>
      </c>
      <c r="Q744" s="26">
        <v>11</v>
      </c>
      <c r="R744" s="26">
        <v>1</v>
      </c>
      <c r="S744" s="26">
        <v>22</v>
      </c>
      <c r="T744" s="26">
        <v>20</v>
      </c>
      <c r="U744" s="26">
        <v>43</v>
      </c>
      <c r="V744" s="26">
        <v>1</v>
      </c>
      <c r="W744" s="26"/>
    </row>
    <row r="745" spans="1:23" x14ac:dyDescent="0.25">
      <c r="A745" s="26" t="str">
        <f t="shared" si="128"/>
        <v>SECUNDARIA</v>
      </c>
      <c r="B745" s="26" t="str">
        <f>"09DST0088U"</f>
        <v>09DST0088U</v>
      </c>
      <c r="C745" s="26" t="str">
        <f>"ESCUELA SECUNDARIA TECNICA 88                                                                       "</f>
        <v xml:space="preserve">ESCUELA SECUNDARIA TECNICA 88                                                                       </v>
      </c>
      <c r="D745" s="26" t="str">
        <f>"JORNADA AMPLIADA"</f>
        <v>JORNADA AMPLIADA</v>
      </c>
      <c r="E745" s="26" t="str">
        <f>"CALLE PUERTO SAN BLAS No. 59 CASI ESQ. CON PUERTO KINO                          "</f>
        <v xml:space="preserve">CALLE PUERTO SAN BLAS No. 59 CASI ESQ. CON PUERTO KINO                          </v>
      </c>
      <c r="F745" s="26" t="str">
        <f>"PILOTO ADOLFO LOPEZ MATEOS                                                                                                                  "</f>
        <v xml:space="preserve">PILOTO ADOLFO LOPEZ MATEOS                                                                                                                  </v>
      </c>
      <c r="G745" s="26" t="str">
        <f>"ALVARO OBREGON                                                                  "</f>
        <v xml:space="preserve">ALVARO OBREGON                                                                  </v>
      </c>
      <c r="H745" s="26" t="str">
        <f>"001"</f>
        <v>001</v>
      </c>
      <c r="I745" s="26" t="str">
        <f t="shared" si="130"/>
        <v>00</v>
      </c>
      <c r="J745" s="26" t="str">
        <f t="shared" si="132"/>
        <v xml:space="preserve">06 </v>
      </c>
      <c r="K745" s="26" t="str">
        <f t="shared" si="133"/>
        <v>TE</v>
      </c>
      <c r="L745" s="26" t="str">
        <f t="shared" si="134"/>
        <v>DGEST</v>
      </c>
      <c r="M745" s="26" t="str">
        <f t="shared" si="129"/>
        <v>FEDERAL</v>
      </c>
      <c r="N745" s="26">
        <v>763</v>
      </c>
      <c r="O745" s="26">
        <v>403</v>
      </c>
      <c r="P745" s="26">
        <v>360</v>
      </c>
      <c r="Q745" s="26">
        <v>18</v>
      </c>
      <c r="R745" s="26">
        <v>2</v>
      </c>
      <c r="S745" s="26">
        <v>37</v>
      </c>
      <c r="T745" s="26">
        <v>33</v>
      </c>
      <c r="U745" s="26">
        <v>72</v>
      </c>
      <c r="V745" s="26">
        <v>1</v>
      </c>
      <c r="W745" s="26" t="s">
        <v>2076</v>
      </c>
    </row>
    <row r="746" spans="1:23" x14ac:dyDescent="0.25">
      <c r="A746" s="26" t="str">
        <f t="shared" si="128"/>
        <v>SECUNDARIA</v>
      </c>
      <c r="B746" s="26" t="str">
        <f>"09DST0089T"</f>
        <v>09DST0089T</v>
      </c>
      <c r="C746" s="26" t="str">
        <f>"ESCUELA SECUNDARIA TECNICA 89                                                                       "</f>
        <v xml:space="preserve">ESCUELA SECUNDARIA TECNICA 89                                                                       </v>
      </c>
      <c r="D746" s="26" t="str">
        <f>"MATUTINO"</f>
        <v>MATUTINO</v>
      </c>
      <c r="E746" s="26" t="str">
        <f>"PROL HORTENCIAS Y PIRUL S/N                                                     "</f>
        <v xml:space="preserve">PROL HORTENCIAS Y PIRUL S/N                                                     </v>
      </c>
      <c r="F746" s="26" t="str">
        <f>"JARDINES SAN LORENZO TEZONCO                                                                                                                "</f>
        <v xml:space="preserve">JARDINES SAN LORENZO TEZONCO                                                                                                                </v>
      </c>
      <c r="G746" s="26" t="str">
        <f>"IZTAPALAPA                                                                      "</f>
        <v xml:space="preserve">IZTAPALAPA                                                                      </v>
      </c>
      <c r="H746" s="26" t="str">
        <f>"003"</f>
        <v>003</v>
      </c>
      <c r="I746" s="26" t="str">
        <f t="shared" si="130"/>
        <v>00</v>
      </c>
      <c r="J746" s="26" t="str">
        <f t="shared" si="132"/>
        <v xml:space="preserve">06 </v>
      </c>
      <c r="K746" s="26" t="str">
        <f t="shared" si="133"/>
        <v>TE</v>
      </c>
      <c r="L746" s="26" t="str">
        <f t="shared" si="134"/>
        <v>DGEST</v>
      </c>
      <c r="M746" s="26" t="str">
        <f t="shared" si="129"/>
        <v>FEDERAL</v>
      </c>
      <c r="N746" s="26">
        <v>806</v>
      </c>
      <c r="O746" s="26">
        <v>393</v>
      </c>
      <c r="P746" s="26">
        <v>413</v>
      </c>
      <c r="Q746" s="26">
        <v>18</v>
      </c>
      <c r="R746" s="26">
        <v>2</v>
      </c>
      <c r="S746" s="26">
        <v>33</v>
      </c>
      <c r="T746" s="26">
        <v>25</v>
      </c>
      <c r="U746" s="26">
        <v>60</v>
      </c>
      <c r="V746" s="26">
        <v>1</v>
      </c>
      <c r="W746" s="26"/>
    </row>
    <row r="747" spans="1:23" x14ac:dyDescent="0.25">
      <c r="A747" s="26" t="str">
        <f t="shared" si="128"/>
        <v>SECUNDARIA</v>
      </c>
      <c r="B747" s="26" t="str">
        <f>"09DST0089T"</f>
        <v>09DST0089T</v>
      </c>
      <c r="C747" s="26" t="str">
        <f>"ESCUELA SECUNDARIA TECNICA 89                                                                       "</f>
        <v xml:space="preserve">ESCUELA SECUNDARIA TECNICA 89                                                                       </v>
      </c>
      <c r="D747" s="26" t="str">
        <f>"VESPERTINO"</f>
        <v>VESPERTINO</v>
      </c>
      <c r="E747" s="26" t="str">
        <f>"PROL HORTENCIAS Y PIRUL S/N                                                     "</f>
        <v xml:space="preserve">PROL HORTENCIAS Y PIRUL S/N                                                     </v>
      </c>
      <c r="F747" s="26" t="str">
        <f>"JARDINES SAN LORENZO TEZONCO                                                                                                                "</f>
        <v xml:space="preserve">JARDINES SAN LORENZO TEZONCO                                                                                                                </v>
      </c>
      <c r="G747" s="26" t="str">
        <f>"IZTAPALAPA                                                                      "</f>
        <v xml:space="preserve">IZTAPALAPA                                                                      </v>
      </c>
      <c r="H747" s="26" t="str">
        <f>"003"</f>
        <v>003</v>
      </c>
      <c r="I747" s="26" t="str">
        <f t="shared" si="130"/>
        <v>00</v>
      </c>
      <c r="J747" s="26" t="str">
        <f t="shared" si="132"/>
        <v xml:space="preserve">06 </v>
      </c>
      <c r="K747" s="26" t="str">
        <f t="shared" si="133"/>
        <v>TE</v>
      </c>
      <c r="L747" s="26" t="str">
        <f t="shared" si="134"/>
        <v>DGEST</v>
      </c>
      <c r="M747" s="26" t="str">
        <f t="shared" si="129"/>
        <v>FEDERAL</v>
      </c>
      <c r="N747" s="26">
        <v>707</v>
      </c>
      <c r="O747" s="26">
        <v>342</v>
      </c>
      <c r="P747" s="26">
        <v>365</v>
      </c>
      <c r="Q747" s="26">
        <v>17</v>
      </c>
      <c r="R747" s="26">
        <v>1</v>
      </c>
      <c r="S747" s="26">
        <v>33</v>
      </c>
      <c r="T747" s="26">
        <v>26</v>
      </c>
      <c r="U747" s="26">
        <v>60</v>
      </c>
      <c r="V747" s="26">
        <v>1</v>
      </c>
      <c r="W747" s="26"/>
    </row>
    <row r="748" spans="1:23" x14ac:dyDescent="0.25">
      <c r="A748" s="26" t="str">
        <f t="shared" si="128"/>
        <v>SECUNDARIA</v>
      </c>
      <c r="B748" s="26" t="str">
        <f>"09DST0090I"</f>
        <v>09DST0090I</v>
      </c>
      <c r="C748" s="26" t="str">
        <f>"ESCUELA SECUNDARIA TECNICA 90                                                                       "</f>
        <v xml:space="preserve">ESCUELA SECUNDARIA TECNICA 90                                                                       </v>
      </c>
      <c r="D748" s="26" t="str">
        <f>"MATUTINO"</f>
        <v>MATUTINO</v>
      </c>
      <c r="E748" s="26" t="str">
        <f>"AV. 606 Y ESQUINA 661                                                           "</f>
        <v xml:space="preserve">AV. 606 Y ESQUINA 661                                                           </v>
      </c>
      <c r="F748" s="26" t="str">
        <f>"CTM SAN JUAN DE ARAGON                                                                                                                      "</f>
        <v xml:space="preserve">CTM SAN JUAN DE ARAGON                                                                                                                      </v>
      </c>
      <c r="G748" s="26" t="str">
        <f>"GUSTAVO A. MADERO                                                               "</f>
        <v xml:space="preserve">GUSTAVO A. MADERO                                                               </v>
      </c>
      <c r="H748" s="26" t="str">
        <f>"002"</f>
        <v>002</v>
      </c>
      <c r="I748" s="26" t="str">
        <f t="shared" si="130"/>
        <v>00</v>
      </c>
      <c r="J748" s="26" t="str">
        <f t="shared" si="132"/>
        <v xml:space="preserve">06 </v>
      </c>
      <c r="K748" s="26" t="str">
        <f t="shared" si="133"/>
        <v>TE</v>
      </c>
      <c r="L748" s="26" t="str">
        <f t="shared" si="134"/>
        <v>DGEST</v>
      </c>
      <c r="M748" s="26" t="str">
        <f t="shared" si="129"/>
        <v>FEDERAL</v>
      </c>
      <c r="N748" s="26">
        <v>815</v>
      </c>
      <c r="O748" s="26">
        <v>428</v>
      </c>
      <c r="P748" s="26">
        <v>387</v>
      </c>
      <c r="Q748" s="26">
        <v>18</v>
      </c>
      <c r="R748" s="26">
        <v>2</v>
      </c>
      <c r="S748" s="26">
        <v>32</v>
      </c>
      <c r="T748" s="26">
        <v>37</v>
      </c>
      <c r="U748" s="26">
        <v>71</v>
      </c>
      <c r="V748" s="26">
        <v>1</v>
      </c>
      <c r="W748" s="26"/>
    </row>
    <row r="749" spans="1:23" x14ac:dyDescent="0.25">
      <c r="A749" s="26" t="str">
        <f t="shared" si="128"/>
        <v>SECUNDARIA</v>
      </c>
      <c r="B749" s="26" t="str">
        <f>"09DST0090I"</f>
        <v>09DST0090I</v>
      </c>
      <c r="C749" s="26" t="str">
        <f>"ESCUELA SECUNDARIA TECNICA 90                                                                       "</f>
        <v xml:space="preserve">ESCUELA SECUNDARIA TECNICA 90                                                                       </v>
      </c>
      <c r="D749" s="26" t="str">
        <f>"VESPERTINO"</f>
        <v>VESPERTINO</v>
      </c>
      <c r="E749" s="26" t="str">
        <f>"AV. 606 Y ESQUINA 661                                                           "</f>
        <v xml:space="preserve">AV. 606 Y ESQUINA 661                                                           </v>
      </c>
      <c r="F749" s="26" t="str">
        <f>"CTM SAN JUAN DE ARAGON                                                                                                                      "</f>
        <v xml:space="preserve">CTM SAN JUAN DE ARAGON                                                                                                                      </v>
      </c>
      <c r="G749" s="26" t="str">
        <f>"GUSTAVO A. MADERO                                                               "</f>
        <v xml:space="preserve">GUSTAVO A. MADERO                                                               </v>
      </c>
      <c r="H749" s="26" t="str">
        <f>"002"</f>
        <v>002</v>
      </c>
      <c r="I749" s="26" t="str">
        <f t="shared" si="130"/>
        <v>00</v>
      </c>
      <c r="J749" s="26" t="str">
        <f t="shared" si="132"/>
        <v xml:space="preserve">06 </v>
      </c>
      <c r="K749" s="26" t="str">
        <f t="shared" si="133"/>
        <v>TE</v>
      </c>
      <c r="L749" s="26" t="str">
        <f t="shared" si="134"/>
        <v>DGEST</v>
      </c>
      <c r="M749" s="26" t="str">
        <f t="shared" si="129"/>
        <v>FEDERAL</v>
      </c>
      <c r="N749" s="26">
        <v>386</v>
      </c>
      <c r="O749" s="26">
        <v>207</v>
      </c>
      <c r="P749" s="26">
        <v>179</v>
      </c>
      <c r="Q749" s="26">
        <v>12</v>
      </c>
      <c r="R749" s="26">
        <v>1</v>
      </c>
      <c r="S749" s="26">
        <v>27</v>
      </c>
      <c r="T749" s="26">
        <v>29</v>
      </c>
      <c r="U749" s="26">
        <v>57</v>
      </c>
      <c r="V749" s="26">
        <v>1</v>
      </c>
      <c r="W749" s="26"/>
    </row>
    <row r="750" spans="1:23" x14ac:dyDescent="0.25">
      <c r="A750" s="26" t="str">
        <f t="shared" si="128"/>
        <v>SECUNDARIA</v>
      </c>
      <c r="B750" s="26" t="str">
        <f>"09DST0091H"</f>
        <v>09DST0091H</v>
      </c>
      <c r="C750" s="26" t="str">
        <f>"ESCUELA SECUNDARIA TECNICA 91                                                                       "</f>
        <v xml:space="preserve">ESCUELA SECUNDARIA TECNICA 91                                                                       </v>
      </c>
      <c r="D750" s="26" t="str">
        <f>"MATUTINO"</f>
        <v>MATUTINO</v>
      </c>
      <c r="E750" s="26" t="str">
        <f>"CALLE MIGUEL ALEMAN ESQ. ALBARRADA                                              "</f>
        <v xml:space="preserve">CALLE MIGUEL ALEMAN ESQ. ALBARRADA                                              </v>
      </c>
      <c r="F750" s="26" t="str">
        <f>"PROGRESISTA                                                                                                                                 "</f>
        <v xml:space="preserve">PROGRESISTA                                                                                                                                 </v>
      </c>
      <c r="G750" s="26" t="str">
        <f>"IZTAPALAPA                                                                      "</f>
        <v xml:space="preserve">IZTAPALAPA                                                                      </v>
      </c>
      <c r="H750" s="26" t="str">
        <f>"003"</f>
        <v>003</v>
      </c>
      <c r="I750" s="26" t="str">
        <f t="shared" si="130"/>
        <v>00</v>
      </c>
      <c r="J750" s="26" t="str">
        <f t="shared" si="132"/>
        <v xml:space="preserve">06 </v>
      </c>
      <c r="K750" s="26" t="str">
        <f t="shared" si="133"/>
        <v>TE</v>
      </c>
      <c r="L750" s="26" t="str">
        <f t="shared" si="134"/>
        <v>DGEST</v>
      </c>
      <c r="M750" s="26" t="str">
        <f t="shared" si="129"/>
        <v>FEDERAL</v>
      </c>
      <c r="N750" s="26">
        <v>826</v>
      </c>
      <c r="O750" s="26">
        <v>412</v>
      </c>
      <c r="P750" s="26">
        <v>414</v>
      </c>
      <c r="Q750" s="26">
        <v>18</v>
      </c>
      <c r="R750" s="26">
        <v>2</v>
      </c>
      <c r="S750" s="26">
        <v>32</v>
      </c>
      <c r="T750" s="26">
        <v>31</v>
      </c>
      <c r="U750" s="26">
        <v>65</v>
      </c>
      <c r="V750" s="26">
        <v>1</v>
      </c>
      <c r="W750" s="26"/>
    </row>
    <row r="751" spans="1:23" x14ac:dyDescent="0.25">
      <c r="A751" s="26" t="str">
        <f t="shared" si="128"/>
        <v>SECUNDARIA</v>
      </c>
      <c r="B751" s="26" t="str">
        <f>"09DST0091H"</f>
        <v>09DST0091H</v>
      </c>
      <c r="C751" s="26" t="str">
        <f>"ESCUELA SECUNDARIA TECNICA 91                                                                       "</f>
        <v xml:space="preserve">ESCUELA SECUNDARIA TECNICA 91                                                                       </v>
      </c>
      <c r="D751" s="26" t="str">
        <f>"VESPERTINO"</f>
        <v>VESPERTINO</v>
      </c>
      <c r="E751" s="26" t="str">
        <f>"CALLE MIGUEL ALEMAN ESQ. ALBARRADA                                              "</f>
        <v xml:space="preserve">CALLE MIGUEL ALEMAN ESQ. ALBARRADA                                              </v>
      </c>
      <c r="F751" s="26" t="str">
        <f>"PROGRESISTA                                                                                                                                 "</f>
        <v xml:space="preserve">PROGRESISTA                                                                                                                                 </v>
      </c>
      <c r="G751" s="26" t="str">
        <f>"IZTAPALAPA                                                                      "</f>
        <v xml:space="preserve">IZTAPALAPA                                                                      </v>
      </c>
      <c r="H751" s="26" t="str">
        <f>"003"</f>
        <v>003</v>
      </c>
      <c r="I751" s="26" t="str">
        <f t="shared" si="130"/>
        <v>00</v>
      </c>
      <c r="J751" s="26" t="str">
        <f t="shared" si="132"/>
        <v xml:space="preserve">06 </v>
      </c>
      <c r="K751" s="26" t="str">
        <f t="shared" si="133"/>
        <v>TE</v>
      </c>
      <c r="L751" s="26" t="str">
        <f t="shared" si="134"/>
        <v>DGEST</v>
      </c>
      <c r="M751" s="26" t="str">
        <f t="shared" si="129"/>
        <v>FEDERAL</v>
      </c>
      <c r="N751" s="26">
        <v>470</v>
      </c>
      <c r="O751" s="26">
        <v>242</v>
      </c>
      <c r="P751" s="26">
        <v>228</v>
      </c>
      <c r="Q751" s="26">
        <v>12</v>
      </c>
      <c r="R751" s="26">
        <v>1</v>
      </c>
      <c r="S751" s="26">
        <v>21</v>
      </c>
      <c r="T751" s="26">
        <v>20</v>
      </c>
      <c r="U751" s="26">
        <v>42</v>
      </c>
      <c r="V751" s="26">
        <v>1</v>
      </c>
      <c r="W751" s="26"/>
    </row>
    <row r="752" spans="1:23" x14ac:dyDescent="0.25">
      <c r="A752" s="26" t="str">
        <f t="shared" si="128"/>
        <v>SECUNDARIA</v>
      </c>
      <c r="B752" s="26" t="str">
        <f>"09DST0092G"</f>
        <v>09DST0092G</v>
      </c>
      <c r="C752" s="26" t="str">
        <f>"ESCUELA SECUNDARIA TECNICA 92                                                                       "</f>
        <v xml:space="preserve">ESCUELA SECUNDARIA TECNICA 92                                                                       </v>
      </c>
      <c r="D752" s="26" t="str">
        <f>"MATUTINO"</f>
        <v>MATUTINO</v>
      </c>
      <c r="E752" s="26" t="str">
        <f>"COLORINES S/N ESQUINA MIGUEL HIDALGO Y 5 DE MAYO                                "</f>
        <v xml:space="preserve">COLORINES S/N ESQUINA MIGUEL HIDALGO Y 5 DE MAYO                                </v>
      </c>
      <c r="F752" s="26" t="str">
        <f>"IXTLAHUACAN                                                                                                                                 "</f>
        <v xml:space="preserve">IXTLAHUACAN                                                                                                                                 </v>
      </c>
      <c r="G752" s="26" t="str">
        <f>"IZTAPALAPA                                                                      "</f>
        <v xml:space="preserve">IZTAPALAPA                                                                      </v>
      </c>
      <c r="H752" s="26" t="str">
        <f>"003"</f>
        <v>003</v>
      </c>
      <c r="I752" s="26" t="str">
        <f t="shared" si="130"/>
        <v>00</v>
      </c>
      <c r="J752" s="26" t="str">
        <f t="shared" si="132"/>
        <v xml:space="preserve">06 </v>
      </c>
      <c r="K752" s="26" t="str">
        <f t="shared" si="133"/>
        <v>TE</v>
      </c>
      <c r="L752" s="26" t="str">
        <f t="shared" si="134"/>
        <v>DGEST</v>
      </c>
      <c r="M752" s="26" t="str">
        <f t="shared" si="129"/>
        <v>FEDERAL</v>
      </c>
      <c r="N752" s="26">
        <v>740</v>
      </c>
      <c r="O752" s="26">
        <v>345</v>
      </c>
      <c r="P752" s="26">
        <v>395</v>
      </c>
      <c r="Q752" s="26">
        <v>18</v>
      </c>
      <c r="R752" s="26">
        <v>2</v>
      </c>
      <c r="S752" s="26">
        <v>29</v>
      </c>
      <c r="T752" s="26">
        <v>33</v>
      </c>
      <c r="U752" s="26">
        <v>64</v>
      </c>
      <c r="V752" s="26">
        <v>1</v>
      </c>
      <c r="W752" s="26"/>
    </row>
    <row r="753" spans="1:23" x14ac:dyDescent="0.25">
      <c r="A753" s="26" t="str">
        <f t="shared" si="128"/>
        <v>SECUNDARIA</v>
      </c>
      <c r="B753" s="26" t="str">
        <f>"09DST0092G"</f>
        <v>09DST0092G</v>
      </c>
      <c r="C753" s="26" t="str">
        <f>"ESCUELA SECUNDARIA TECNICA 92                                                                       "</f>
        <v xml:space="preserve">ESCUELA SECUNDARIA TECNICA 92                                                                       </v>
      </c>
      <c r="D753" s="26" t="str">
        <f>"VESPERTINO"</f>
        <v>VESPERTINO</v>
      </c>
      <c r="E753" s="26" t="str">
        <f>"COLORINES S/N ESQUINA MIGUEL HIDALGO Y 5 DE MAYO                                "</f>
        <v xml:space="preserve">COLORINES S/N ESQUINA MIGUEL HIDALGO Y 5 DE MAYO                                </v>
      </c>
      <c r="F753" s="26" t="str">
        <f>"IXTLAHUACAN                                                                                                                                 "</f>
        <v xml:space="preserve">IXTLAHUACAN                                                                                                                                 </v>
      </c>
      <c r="G753" s="26" t="str">
        <f>"IZTAPALAPA                                                                      "</f>
        <v xml:space="preserve">IZTAPALAPA                                                                      </v>
      </c>
      <c r="H753" s="26" t="str">
        <f>"003"</f>
        <v>003</v>
      </c>
      <c r="I753" s="26" t="str">
        <f t="shared" si="130"/>
        <v>00</v>
      </c>
      <c r="J753" s="26" t="str">
        <f t="shared" si="132"/>
        <v xml:space="preserve">06 </v>
      </c>
      <c r="K753" s="26" t="str">
        <f t="shared" si="133"/>
        <v>TE</v>
      </c>
      <c r="L753" s="26" t="str">
        <f t="shared" si="134"/>
        <v>DGEST</v>
      </c>
      <c r="M753" s="26" t="str">
        <f t="shared" si="129"/>
        <v>FEDERAL</v>
      </c>
      <c r="N753" s="26">
        <v>311</v>
      </c>
      <c r="O753" s="26">
        <v>173</v>
      </c>
      <c r="P753" s="26">
        <v>138</v>
      </c>
      <c r="Q753" s="26">
        <v>8</v>
      </c>
      <c r="R753" s="26">
        <v>1</v>
      </c>
      <c r="S753" s="26">
        <v>13</v>
      </c>
      <c r="T753" s="26">
        <v>15</v>
      </c>
      <c r="U753" s="26">
        <v>29</v>
      </c>
      <c r="V753" s="26">
        <v>1</v>
      </c>
      <c r="W753" s="26"/>
    </row>
    <row r="754" spans="1:23" x14ac:dyDescent="0.25">
      <c r="A754" s="26" t="str">
        <f t="shared" si="128"/>
        <v>SECUNDARIA</v>
      </c>
      <c r="B754" s="26" t="str">
        <f>"09DST0093F"</f>
        <v>09DST0093F</v>
      </c>
      <c r="C754" s="26" t="str">
        <f>"ESCUELA SECUNDARIA TECNICA 93                                                                       "</f>
        <v xml:space="preserve">ESCUELA SECUNDARIA TECNICA 93                                                                       </v>
      </c>
      <c r="D754" s="26" t="str">
        <f>"MATUTINO"</f>
        <v>MATUTINO</v>
      </c>
      <c r="E754" s="26" t="str">
        <f>"CALLE TAITZA S/N                                                                "</f>
        <v xml:space="preserve">CALLE TAITZA S/N                                                                </v>
      </c>
      <c r="F754" s="26" t="str">
        <f>"UNIDAD HABITACIONAL PEMEX                                                                                                                   "</f>
        <v xml:space="preserve">UNIDAD HABITACIONAL PEMEX                                                                                                                   </v>
      </c>
      <c r="G754" s="26" t="str">
        <f>"TLALPAN                                                                         "</f>
        <v xml:space="preserve">TLALPAN                                                                         </v>
      </c>
      <c r="H754" s="26" t="str">
        <f t="shared" ref="H754:H760" si="135">"004"</f>
        <v>004</v>
      </c>
      <c r="I754" s="26" t="str">
        <f t="shared" si="130"/>
        <v>00</v>
      </c>
      <c r="J754" s="26" t="str">
        <f t="shared" si="132"/>
        <v xml:space="preserve">06 </v>
      </c>
      <c r="K754" s="26" t="str">
        <f t="shared" si="133"/>
        <v>TE</v>
      </c>
      <c r="L754" s="26" t="str">
        <f t="shared" si="134"/>
        <v>DGEST</v>
      </c>
      <c r="M754" s="26" t="str">
        <f t="shared" si="129"/>
        <v>FEDERAL</v>
      </c>
      <c r="N754" s="26">
        <v>716</v>
      </c>
      <c r="O754" s="26">
        <v>359</v>
      </c>
      <c r="P754" s="26">
        <v>357</v>
      </c>
      <c r="Q754" s="26">
        <v>15</v>
      </c>
      <c r="R754" s="26">
        <v>2</v>
      </c>
      <c r="S754" s="26">
        <v>26</v>
      </c>
      <c r="T754" s="26">
        <v>26</v>
      </c>
      <c r="U754" s="26">
        <v>54</v>
      </c>
      <c r="V754" s="26">
        <v>1</v>
      </c>
      <c r="W754" s="26"/>
    </row>
    <row r="755" spans="1:23" x14ac:dyDescent="0.25">
      <c r="A755" s="26" t="str">
        <f t="shared" si="128"/>
        <v>SECUNDARIA</v>
      </c>
      <c r="B755" s="26" t="str">
        <f>"09DST0093F"</f>
        <v>09DST0093F</v>
      </c>
      <c r="C755" s="26" t="str">
        <f>"ESCUELA SECUNDARIA TECNICA 93                                                                       "</f>
        <v xml:space="preserve">ESCUELA SECUNDARIA TECNICA 93                                                                       </v>
      </c>
      <c r="D755" s="26" t="str">
        <f>"VESPERTINO"</f>
        <v>VESPERTINO</v>
      </c>
      <c r="E755" s="26" t="str">
        <f>"CALLE TAITZA S/N                                                                "</f>
        <v xml:space="preserve">CALLE TAITZA S/N                                                                </v>
      </c>
      <c r="F755" s="26" t="str">
        <f>"UNIDAD HABITACIONAL PEMEX                                                                                                                   "</f>
        <v xml:space="preserve">UNIDAD HABITACIONAL PEMEX                                                                                                                   </v>
      </c>
      <c r="G755" s="26" t="str">
        <f>"TLALPAN                                                                         "</f>
        <v xml:space="preserve">TLALPAN                                                                         </v>
      </c>
      <c r="H755" s="26" t="str">
        <f t="shared" si="135"/>
        <v>004</v>
      </c>
      <c r="I755" s="26" t="str">
        <f t="shared" si="130"/>
        <v>00</v>
      </c>
      <c r="J755" s="26" t="str">
        <f t="shared" si="132"/>
        <v xml:space="preserve">06 </v>
      </c>
      <c r="K755" s="26" t="str">
        <f t="shared" si="133"/>
        <v>TE</v>
      </c>
      <c r="L755" s="26" t="str">
        <f t="shared" si="134"/>
        <v>DGEST</v>
      </c>
      <c r="M755" s="26" t="str">
        <f t="shared" si="129"/>
        <v>FEDERAL</v>
      </c>
      <c r="N755" s="26">
        <v>379</v>
      </c>
      <c r="O755" s="26">
        <v>192</v>
      </c>
      <c r="P755" s="26">
        <v>187</v>
      </c>
      <c r="Q755" s="26">
        <v>12</v>
      </c>
      <c r="R755" s="26">
        <v>1</v>
      </c>
      <c r="S755" s="26">
        <v>18</v>
      </c>
      <c r="T755" s="26">
        <v>21</v>
      </c>
      <c r="U755" s="26">
        <v>40</v>
      </c>
      <c r="V755" s="26">
        <v>1</v>
      </c>
      <c r="W755" s="26"/>
    </row>
    <row r="756" spans="1:23" x14ac:dyDescent="0.25">
      <c r="A756" s="26" t="str">
        <f t="shared" si="128"/>
        <v>SECUNDARIA</v>
      </c>
      <c r="B756" s="26" t="str">
        <f>"09DST0094E"</f>
        <v>09DST0094E</v>
      </c>
      <c r="C756" s="26" t="str">
        <f>"ESCUELA SECUNDARIA TECNICA 94                                                                       "</f>
        <v xml:space="preserve">ESCUELA SECUNDARIA TECNICA 94                                                                       </v>
      </c>
      <c r="D756" s="26" t="str">
        <f>"MATUTINO"</f>
        <v>MATUTINO</v>
      </c>
      <c r="E756" s="26" t="str">
        <f>"CAMINO A LA CANTERA Y CDA. S/N PREDIO XACANTITLA                                "</f>
        <v xml:space="preserve">CAMINO A LA CANTERA Y CDA. S/N PREDIO XACANTITLA                                </v>
      </c>
      <c r="F756" s="26" t="str">
        <f>"SANTIAGO TEPALCATLAPAN                                                                                                                      "</f>
        <v xml:space="preserve">SANTIAGO TEPALCATLAPAN                                                                                                                      </v>
      </c>
      <c r="G756" s="26" t="str">
        <f>"XOCHIMILCO                                                                      "</f>
        <v xml:space="preserve">XOCHIMILCO                                                                      </v>
      </c>
      <c r="H756" s="26" t="str">
        <f t="shared" si="135"/>
        <v>004</v>
      </c>
      <c r="I756" s="26" t="str">
        <f t="shared" si="130"/>
        <v>00</v>
      </c>
      <c r="J756" s="26" t="str">
        <f t="shared" si="132"/>
        <v xml:space="preserve">06 </v>
      </c>
      <c r="K756" s="26" t="str">
        <f t="shared" si="133"/>
        <v>TE</v>
      </c>
      <c r="L756" s="26" t="str">
        <f t="shared" si="134"/>
        <v>DGEST</v>
      </c>
      <c r="M756" s="26" t="str">
        <f t="shared" si="129"/>
        <v>FEDERAL</v>
      </c>
      <c r="N756" s="26">
        <v>700</v>
      </c>
      <c r="O756" s="26">
        <v>362</v>
      </c>
      <c r="P756" s="26">
        <v>338</v>
      </c>
      <c r="Q756" s="26">
        <v>16</v>
      </c>
      <c r="R756" s="26">
        <v>2</v>
      </c>
      <c r="S756" s="26">
        <v>26</v>
      </c>
      <c r="T756" s="26">
        <v>31</v>
      </c>
      <c r="U756" s="26">
        <v>59</v>
      </c>
      <c r="V756" s="26">
        <v>1</v>
      </c>
      <c r="W756" s="26"/>
    </row>
    <row r="757" spans="1:23" x14ac:dyDescent="0.25">
      <c r="A757" s="26" t="str">
        <f t="shared" si="128"/>
        <v>SECUNDARIA</v>
      </c>
      <c r="B757" s="26" t="str">
        <f>"09DST0094E"</f>
        <v>09DST0094E</v>
      </c>
      <c r="C757" s="26" t="str">
        <f>"ESCUELA SECUNDARIA TECNICA 94                                                                       "</f>
        <v xml:space="preserve">ESCUELA SECUNDARIA TECNICA 94                                                                       </v>
      </c>
      <c r="D757" s="26" t="str">
        <f>"VESPERTINO"</f>
        <v>VESPERTINO</v>
      </c>
      <c r="E757" s="26" t="str">
        <f>"CAMINO A LA CANTERA Y CDA. S/N PREDIO XACANTITLA                                "</f>
        <v xml:space="preserve">CAMINO A LA CANTERA Y CDA. S/N PREDIO XACANTITLA                                </v>
      </c>
      <c r="F757" s="26" t="str">
        <f>"SANTIAGO TEPALCATLAPAN                                                                                                                      "</f>
        <v xml:space="preserve">SANTIAGO TEPALCATLAPAN                                                                                                                      </v>
      </c>
      <c r="G757" s="26" t="str">
        <f>"XOCHIMILCO                                                                      "</f>
        <v xml:space="preserve">XOCHIMILCO                                                                      </v>
      </c>
      <c r="H757" s="26" t="str">
        <f t="shared" si="135"/>
        <v>004</v>
      </c>
      <c r="I757" s="26" t="str">
        <f t="shared" si="130"/>
        <v>00</v>
      </c>
      <c r="J757" s="26" t="str">
        <f t="shared" si="132"/>
        <v xml:space="preserve">06 </v>
      </c>
      <c r="K757" s="26" t="str">
        <f t="shared" si="133"/>
        <v>TE</v>
      </c>
      <c r="L757" s="26" t="str">
        <f t="shared" si="134"/>
        <v>DGEST</v>
      </c>
      <c r="M757" s="26" t="str">
        <f t="shared" si="129"/>
        <v>FEDERAL</v>
      </c>
      <c r="N757" s="26">
        <v>210</v>
      </c>
      <c r="O757" s="26">
        <v>124</v>
      </c>
      <c r="P757" s="26">
        <v>86</v>
      </c>
      <c r="Q757" s="26">
        <v>6</v>
      </c>
      <c r="R757" s="26">
        <v>1</v>
      </c>
      <c r="S757" s="26">
        <v>14</v>
      </c>
      <c r="T757" s="26">
        <v>20</v>
      </c>
      <c r="U757" s="26">
        <v>35</v>
      </c>
      <c r="V757" s="26">
        <v>1</v>
      </c>
      <c r="W757" s="26"/>
    </row>
    <row r="758" spans="1:23" x14ac:dyDescent="0.25">
      <c r="A758" s="26" t="str">
        <f t="shared" si="128"/>
        <v>SECUNDARIA</v>
      </c>
      <c r="B758" s="26" t="str">
        <f>"09DST0095D"</f>
        <v>09DST0095D</v>
      </c>
      <c r="C758" s="26" t="str">
        <f>"ESCUELA SECUNDARIA TECNICA 95                                                                       "</f>
        <v xml:space="preserve">ESCUELA SECUNDARIA TECNICA 95                                                                       </v>
      </c>
      <c r="D758" s="26" t="str">
        <f>"MATUTINO"</f>
        <v>MATUTINO</v>
      </c>
      <c r="E758" s="26" t="str">
        <f>"CALLE 6 ENTRE CALLE 9 Y CALLE 11                                                "</f>
        <v xml:space="preserve">CALLE 6 ENTRE CALLE 9 Y CALLE 11                                                </v>
      </c>
      <c r="F758" s="26" t="str">
        <f>"SANTA CATARINA YECAHUIZOTL PUEBLO                                                                                                           "</f>
        <v xml:space="preserve">SANTA CATARINA YECAHUIZOTL PUEBLO                                                                                                           </v>
      </c>
      <c r="G758" s="26" t="str">
        <f>"TLAHUAC                                                                         "</f>
        <v xml:space="preserve">TLAHUAC                                                                         </v>
      </c>
      <c r="H758" s="26" t="str">
        <f t="shared" si="135"/>
        <v>004</v>
      </c>
      <c r="I758" s="26" t="str">
        <f t="shared" si="130"/>
        <v>00</v>
      </c>
      <c r="J758" s="26" t="str">
        <f t="shared" si="132"/>
        <v xml:space="preserve">06 </v>
      </c>
      <c r="K758" s="26" t="str">
        <f t="shared" si="133"/>
        <v>TE</v>
      </c>
      <c r="L758" s="26" t="str">
        <f t="shared" si="134"/>
        <v>DGEST</v>
      </c>
      <c r="M758" s="26" t="str">
        <f t="shared" si="129"/>
        <v>FEDERAL</v>
      </c>
      <c r="N758" s="26">
        <v>924</v>
      </c>
      <c r="O758" s="26">
        <v>487</v>
      </c>
      <c r="P758" s="26">
        <v>437</v>
      </c>
      <c r="Q758" s="26">
        <v>18</v>
      </c>
      <c r="R758" s="26">
        <v>2</v>
      </c>
      <c r="S758" s="26">
        <v>35</v>
      </c>
      <c r="T758" s="26">
        <v>30</v>
      </c>
      <c r="U758" s="26">
        <v>67</v>
      </c>
      <c r="V758" s="26">
        <v>1</v>
      </c>
      <c r="W758" s="26"/>
    </row>
    <row r="759" spans="1:23" x14ac:dyDescent="0.25">
      <c r="A759" s="26" t="str">
        <f t="shared" si="128"/>
        <v>SECUNDARIA</v>
      </c>
      <c r="B759" s="26" t="str">
        <f>"09DST0095D"</f>
        <v>09DST0095D</v>
      </c>
      <c r="C759" s="26" t="str">
        <f>"ESCUELA SECUNDARIA TECNICA 95                                                                       "</f>
        <v xml:space="preserve">ESCUELA SECUNDARIA TECNICA 95                                                                       </v>
      </c>
      <c r="D759" s="26" t="str">
        <f>"VESPERTINO"</f>
        <v>VESPERTINO</v>
      </c>
      <c r="E759" s="26" t="str">
        <f>"CALLE 6 ENTRE CALLE 9 Y CALLE 11                                                "</f>
        <v xml:space="preserve">CALLE 6 ENTRE CALLE 9 Y CALLE 11                                                </v>
      </c>
      <c r="F759" s="26" t="str">
        <f>"SANTA CATARINA YECAHUIZOTL PUEBLO                                                                                                           "</f>
        <v xml:space="preserve">SANTA CATARINA YECAHUIZOTL PUEBLO                                                                                                           </v>
      </c>
      <c r="G759" s="26" t="str">
        <f>"TLAHUAC                                                                         "</f>
        <v xml:space="preserve">TLAHUAC                                                                         </v>
      </c>
      <c r="H759" s="26" t="str">
        <f t="shared" si="135"/>
        <v>004</v>
      </c>
      <c r="I759" s="26" t="str">
        <f t="shared" si="130"/>
        <v>00</v>
      </c>
      <c r="J759" s="26" t="str">
        <f t="shared" si="132"/>
        <v xml:space="preserve">06 </v>
      </c>
      <c r="K759" s="26" t="str">
        <f t="shared" si="133"/>
        <v>TE</v>
      </c>
      <c r="L759" s="26" t="str">
        <f t="shared" si="134"/>
        <v>DGEST</v>
      </c>
      <c r="M759" s="26" t="str">
        <f t="shared" si="129"/>
        <v>FEDERAL</v>
      </c>
      <c r="N759" s="26">
        <v>861</v>
      </c>
      <c r="O759" s="26">
        <v>441</v>
      </c>
      <c r="P759" s="26">
        <v>420</v>
      </c>
      <c r="Q759" s="26">
        <v>17</v>
      </c>
      <c r="R759" s="26">
        <v>1</v>
      </c>
      <c r="S759" s="26">
        <v>31</v>
      </c>
      <c r="T759" s="26">
        <v>24</v>
      </c>
      <c r="U759" s="26">
        <v>56</v>
      </c>
      <c r="V759" s="26">
        <v>1</v>
      </c>
      <c r="W759" s="26"/>
    </row>
    <row r="760" spans="1:23" x14ac:dyDescent="0.25">
      <c r="A760" s="26" t="str">
        <f t="shared" si="128"/>
        <v>SECUNDARIA</v>
      </c>
      <c r="B760" s="26" t="str">
        <f>"09DST0096C"</f>
        <v>09DST0096C</v>
      </c>
      <c r="C760" s="26" t="str">
        <f>"ESCUELA SECUNDARIA TECNICA 96                                                                       "</f>
        <v xml:space="preserve">ESCUELA SECUNDARIA TECNICA 96                                                                       </v>
      </c>
      <c r="D760" s="26" t="str">
        <f>"TIEMPO COMPLETO"</f>
        <v>TIEMPO COMPLETO</v>
      </c>
      <c r="E760" s="26" t="str">
        <f>"GUADALUPE VICTORIA S/N                                                          "</f>
        <v xml:space="preserve">GUADALUPE VICTORIA S/N                                                          </v>
      </c>
      <c r="F760" s="26" t="str">
        <f>"SANTO TOMAS AJUSCO                                                                                                                          "</f>
        <v xml:space="preserve">SANTO TOMAS AJUSCO                                                                                                                          </v>
      </c>
      <c r="G760" s="26" t="str">
        <f>"TLALPAN                                                                         "</f>
        <v xml:space="preserve">TLALPAN                                                                         </v>
      </c>
      <c r="H760" s="26" t="str">
        <f t="shared" si="135"/>
        <v>004</v>
      </c>
      <c r="I760" s="26" t="str">
        <f t="shared" si="130"/>
        <v>00</v>
      </c>
      <c r="J760" s="26" t="str">
        <f t="shared" si="132"/>
        <v xml:space="preserve">06 </v>
      </c>
      <c r="K760" s="26" t="str">
        <f t="shared" si="133"/>
        <v>TE</v>
      </c>
      <c r="L760" s="26" t="str">
        <f t="shared" si="134"/>
        <v>DGEST</v>
      </c>
      <c r="M760" s="26" t="str">
        <f t="shared" si="129"/>
        <v>FEDERAL</v>
      </c>
      <c r="N760" s="26">
        <v>708</v>
      </c>
      <c r="O760" s="26">
        <v>362</v>
      </c>
      <c r="P760" s="26">
        <v>346</v>
      </c>
      <c r="Q760" s="26">
        <v>15</v>
      </c>
      <c r="R760" s="26">
        <v>2</v>
      </c>
      <c r="S760" s="26">
        <v>33</v>
      </c>
      <c r="T760" s="26">
        <v>33</v>
      </c>
      <c r="U760" s="26">
        <v>68</v>
      </c>
      <c r="V760" s="26">
        <v>1</v>
      </c>
      <c r="W760" s="26" t="s">
        <v>218</v>
      </c>
    </row>
    <row r="761" spans="1:23" x14ac:dyDescent="0.25">
      <c r="A761" s="26" t="str">
        <f t="shared" si="128"/>
        <v>SECUNDARIA</v>
      </c>
      <c r="B761" s="26" t="str">
        <f>"09DST0097B"</f>
        <v>09DST0097B</v>
      </c>
      <c r="C761" s="26" t="str">
        <f>"ESCUELA SECUNDARIA TECNICA 97                                                                       "</f>
        <v xml:space="preserve">ESCUELA SECUNDARIA TECNICA 97                                                                       </v>
      </c>
      <c r="D761" s="26" t="str">
        <f>"MATUTINO"</f>
        <v>MATUTINO</v>
      </c>
      <c r="E761" s="26" t="str">
        <f>"ESTRELLA NUM 11                                                                 "</f>
        <v xml:space="preserve">ESTRELLA NUM 11                                                                 </v>
      </c>
      <c r="F761" s="26" t="str">
        <f>"SAN JUAN XALPA                                                                                                                              "</f>
        <v xml:space="preserve">SAN JUAN XALPA                                                                                                                              </v>
      </c>
      <c r="G761" s="26" t="str">
        <f>"IZTAPALAPA                                                                      "</f>
        <v xml:space="preserve">IZTAPALAPA                                                                      </v>
      </c>
      <c r="H761" s="26" t="str">
        <f>"003"</f>
        <v>003</v>
      </c>
      <c r="I761" s="26" t="str">
        <f t="shared" si="130"/>
        <v>00</v>
      </c>
      <c r="J761" s="26" t="str">
        <f t="shared" si="132"/>
        <v xml:space="preserve">06 </v>
      </c>
      <c r="K761" s="26" t="str">
        <f t="shared" si="133"/>
        <v>TE</v>
      </c>
      <c r="L761" s="26" t="str">
        <f t="shared" si="134"/>
        <v>DGEST</v>
      </c>
      <c r="M761" s="26" t="str">
        <f t="shared" si="129"/>
        <v>FEDERAL</v>
      </c>
      <c r="N761" s="26">
        <v>945</v>
      </c>
      <c r="O761" s="26">
        <v>477</v>
      </c>
      <c r="P761" s="26">
        <v>468</v>
      </c>
      <c r="Q761" s="26">
        <v>18</v>
      </c>
      <c r="R761" s="26">
        <v>2</v>
      </c>
      <c r="S761" s="26">
        <v>24</v>
      </c>
      <c r="T761" s="26">
        <v>24</v>
      </c>
      <c r="U761" s="26">
        <v>50</v>
      </c>
      <c r="V761" s="26">
        <v>1</v>
      </c>
      <c r="W761" s="26"/>
    </row>
    <row r="762" spans="1:23" x14ac:dyDescent="0.25">
      <c r="A762" s="26" t="str">
        <f t="shared" si="128"/>
        <v>SECUNDARIA</v>
      </c>
      <c r="B762" s="26" t="str">
        <f>"09DST0097B"</f>
        <v>09DST0097B</v>
      </c>
      <c r="C762" s="26" t="str">
        <f>"ESCUELA SECUNDARIA TECNICA 97                                                                       "</f>
        <v xml:space="preserve">ESCUELA SECUNDARIA TECNICA 97                                                                       </v>
      </c>
      <c r="D762" s="26" t="str">
        <f>"VESPERTINO"</f>
        <v>VESPERTINO</v>
      </c>
      <c r="E762" s="26" t="str">
        <f>"ESTRELLA NUM 11                                                                 "</f>
        <v xml:space="preserve">ESTRELLA NUM 11                                                                 </v>
      </c>
      <c r="F762" s="26" t="str">
        <f>"SAN JUAN XALPA                                                                                                                              "</f>
        <v xml:space="preserve">SAN JUAN XALPA                                                                                                                              </v>
      </c>
      <c r="G762" s="26" t="str">
        <f>"IZTAPALAPA                                                                      "</f>
        <v xml:space="preserve">IZTAPALAPA                                                                      </v>
      </c>
      <c r="H762" s="26" t="str">
        <f>"003"</f>
        <v>003</v>
      </c>
      <c r="I762" s="26" t="str">
        <f t="shared" si="130"/>
        <v>00</v>
      </c>
      <c r="J762" s="26" t="str">
        <f t="shared" si="132"/>
        <v xml:space="preserve">06 </v>
      </c>
      <c r="K762" s="26" t="str">
        <f t="shared" si="133"/>
        <v>TE</v>
      </c>
      <c r="L762" s="26" t="str">
        <f t="shared" si="134"/>
        <v>DGEST</v>
      </c>
      <c r="M762" s="26" t="str">
        <f t="shared" si="129"/>
        <v>FEDERAL</v>
      </c>
      <c r="N762" s="26">
        <v>788</v>
      </c>
      <c r="O762" s="26">
        <v>366</v>
      </c>
      <c r="P762" s="26">
        <v>422</v>
      </c>
      <c r="Q762" s="26">
        <v>18</v>
      </c>
      <c r="R762" s="26">
        <v>1</v>
      </c>
      <c r="S762" s="26">
        <v>32</v>
      </c>
      <c r="T762" s="26">
        <v>18</v>
      </c>
      <c r="U762" s="26">
        <v>51</v>
      </c>
      <c r="V762" s="26">
        <v>1</v>
      </c>
      <c r="W762" s="26"/>
    </row>
    <row r="763" spans="1:23" x14ac:dyDescent="0.25">
      <c r="A763" s="26" t="str">
        <f t="shared" si="128"/>
        <v>SECUNDARIA</v>
      </c>
      <c r="B763" s="26" t="str">
        <f>"09DST0098A"</f>
        <v>09DST0098A</v>
      </c>
      <c r="C763" s="26" t="str">
        <f>"ESCUELA SECUNDARIA TECNICA 98                                                                       "</f>
        <v xml:space="preserve">ESCUELA SECUNDARIA TECNICA 98                                                                       </v>
      </c>
      <c r="D763" s="26" t="str">
        <f>"JORNADA AMPLIADA"</f>
        <v>JORNADA AMPLIADA</v>
      </c>
      <c r="E763" s="26" t="str">
        <f>"CALLE SAN PABLO XALPA NUM 434                                                   "</f>
        <v xml:space="preserve">CALLE SAN PABLO XALPA NUM 434                                                   </v>
      </c>
      <c r="F763" s="26" t="str">
        <f>"UNIDAD HABITACIONAL SAN PABLO XALPA                                                                                                         "</f>
        <v xml:space="preserve">UNIDAD HABITACIONAL SAN PABLO XALPA                                                                                                         </v>
      </c>
      <c r="G763" s="26" t="str">
        <f>"AZCAPOTZALCO                                                                    "</f>
        <v xml:space="preserve">AZCAPOTZALCO                                                                    </v>
      </c>
      <c r="H763" s="26" t="str">
        <f>"002"</f>
        <v>002</v>
      </c>
      <c r="I763" s="26" t="str">
        <f t="shared" si="130"/>
        <v>00</v>
      </c>
      <c r="J763" s="26" t="str">
        <f t="shared" si="132"/>
        <v xml:space="preserve">06 </v>
      </c>
      <c r="K763" s="26" t="str">
        <f t="shared" si="133"/>
        <v>TE</v>
      </c>
      <c r="L763" s="26" t="str">
        <f t="shared" si="134"/>
        <v>DGEST</v>
      </c>
      <c r="M763" s="26" t="str">
        <f t="shared" si="129"/>
        <v>FEDERAL</v>
      </c>
      <c r="N763" s="26">
        <v>966</v>
      </c>
      <c r="O763" s="26">
        <v>462</v>
      </c>
      <c r="P763" s="26">
        <v>504</v>
      </c>
      <c r="Q763" s="26">
        <v>21</v>
      </c>
      <c r="R763" s="26">
        <v>2</v>
      </c>
      <c r="S763" s="26">
        <v>40</v>
      </c>
      <c r="T763" s="26">
        <v>35</v>
      </c>
      <c r="U763" s="26">
        <v>77</v>
      </c>
      <c r="V763" s="26">
        <v>1</v>
      </c>
      <c r="W763" s="26" t="s">
        <v>2076</v>
      </c>
    </row>
    <row r="764" spans="1:23" x14ac:dyDescent="0.25">
      <c r="A764" s="26" t="str">
        <f t="shared" si="128"/>
        <v>SECUNDARIA</v>
      </c>
      <c r="B764" s="26" t="str">
        <f>"09DST0099Z"</f>
        <v>09DST0099Z</v>
      </c>
      <c r="C764" s="26" t="str">
        <f>"ESCUELA SECUNDARIA TECNICA 99                                                                       "</f>
        <v xml:space="preserve">ESCUELA SECUNDARIA TECNICA 99                                                                       </v>
      </c>
      <c r="D764" s="26" t="str">
        <f>"MATUTINO"</f>
        <v>MATUTINO</v>
      </c>
      <c r="E764" s="26" t="str">
        <f>"CONGRESO DE LA UNION Y ENRIQUETA                                                "</f>
        <v xml:space="preserve">CONGRESO DE LA UNION Y ENRIQUETA                                                </v>
      </c>
      <c r="F764" s="26" t="str">
        <f>"BONDOJITO                                                                                                                                   "</f>
        <v xml:space="preserve">BONDOJITO                                                                                                                                   </v>
      </c>
      <c r="G764" s="26" t="str">
        <f>"GUSTAVO A. MADERO                                                               "</f>
        <v xml:space="preserve">GUSTAVO A. MADERO                                                               </v>
      </c>
      <c r="H764" s="26" t="str">
        <f>"002"</f>
        <v>002</v>
      </c>
      <c r="I764" s="26" t="str">
        <f t="shared" si="130"/>
        <v>00</v>
      </c>
      <c r="J764" s="26" t="str">
        <f t="shared" si="132"/>
        <v xml:space="preserve">06 </v>
      </c>
      <c r="K764" s="26" t="str">
        <f t="shared" si="133"/>
        <v>TE</v>
      </c>
      <c r="L764" s="26" t="str">
        <f t="shared" si="134"/>
        <v>DGEST</v>
      </c>
      <c r="M764" s="26" t="str">
        <f t="shared" si="129"/>
        <v>FEDERAL</v>
      </c>
      <c r="N764" s="26">
        <v>988</v>
      </c>
      <c r="O764" s="26">
        <v>518</v>
      </c>
      <c r="P764" s="26">
        <v>470</v>
      </c>
      <c r="Q764" s="26">
        <v>21</v>
      </c>
      <c r="R764" s="26">
        <v>1</v>
      </c>
      <c r="S764" s="26">
        <v>32</v>
      </c>
      <c r="T764" s="26">
        <v>38</v>
      </c>
      <c r="U764" s="26">
        <v>71</v>
      </c>
      <c r="V764" s="26">
        <v>1</v>
      </c>
      <c r="W764" s="26"/>
    </row>
    <row r="765" spans="1:23" x14ac:dyDescent="0.25">
      <c r="A765" s="26" t="str">
        <f t="shared" si="128"/>
        <v>SECUNDARIA</v>
      </c>
      <c r="B765" s="26" t="str">
        <f>"09DST0099Z"</f>
        <v>09DST0099Z</v>
      </c>
      <c r="C765" s="26" t="str">
        <f>"ESCUELA SECUNDARIA TECNICA 99                                                                       "</f>
        <v xml:space="preserve">ESCUELA SECUNDARIA TECNICA 99                                                                       </v>
      </c>
      <c r="D765" s="26" t="str">
        <f>"VESPERTINO"</f>
        <v>VESPERTINO</v>
      </c>
      <c r="E765" s="26" t="str">
        <f>"CONGRESO DE LA UNION Y ENRIQUETA                                                "</f>
        <v xml:space="preserve">CONGRESO DE LA UNION Y ENRIQUETA                                                </v>
      </c>
      <c r="F765" s="26" t="str">
        <f>"BONDOJITO                                                                                                                                   "</f>
        <v xml:space="preserve">BONDOJITO                                                                                                                                   </v>
      </c>
      <c r="G765" s="26" t="str">
        <f>"GUSTAVO A. MADERO                                                               "</f>
        <v xml:space="preserve">GUSTAVO A. MADERO                                                               </v>
      </c>
      <c r="H765" s="26" t="str">
        <f>"002"</f>
        <v>002</v>
      </c>
      <c r="I765" s="26" t="str">
        <f t="shared" si="130"/>
        <v>00</v>
      </c>
      <c r="J765" s="26" t="str">
        <f t="shared" si="132"/>
        <v xml:space="preserve">06 </v>
      </c>
      <c r="K765" s="26" t="str">
        <f t="shared" si="133"/>
        <v>TE</v>
      </c>
      <c r="L765" s="26" t="str">
        <f t="shared" si="134"/>
        <v>DGEST</v>
      </c>
      <c r="M765" s="26" t="str">
        <f t="shared" si="129"/>
        <v>FEDERAL</v>
      </c>
      <c r="N765" s="26">
        <v>892</v>
      </c>
      <c r="O765" s="26">
        <v>459</v>
      </c>
      <c r="P765" s="26">
        <v>433</v>
      </c>
      <c r="Q765" s="26">
        <v>20</v>
      </c>
      <c r="R765" s="26">
        <v>1</v>
      </c>
      <c r="S765" s="26">
        <v>32</v>
      </c>
      <c r="T765" s="26">
        <v>29</v>
      </c>
      <c r="U765" s="26">
        <v>62</v>
      </c>
      <c r="V765" s="26">
        <v>1</v>
      </c>
      <c r="W765" s="26"/>
    </row>
    <row r="766" spans="1:23" x14ac:dyDescent="0.25">
      <c r="A766" s="26" t="str">
        <f t="shared" si="128"/>
        <v>SECUNDARIA</v>
      </c>
      <c r="B766" s="26" t="str">
        <f>"09DST0100Z"</f>
        <v>09DST0100Z</v>
      </c>
      <c r="C766" s="26" t="str">
        <f>"ESCUELA SECUNDARIA TECNICA 100                                                                      "</f>
        <v xml:space="preserve">ESCUELA SECUNDARIA TECNICA 100                                                                      </v>
      </c>
      <c r="D766" s="26" t="str">
        <f>"MATUTINO"</f>
        <v>MATUTINO</v>
      </c>
      <c r="E766" s="26" t="str">
        <f>"AV. GUSTAVO DIAZ ORDAZ S/N                                                      "</f>
        <v xml:space="preserve">AV. GUSTAVO DIAZ ORDAZ S/N                                                      </v>
      </c>
      <c r="F766" s="26" t="str">
        <f>"JALALPA                                                                                                                                     "</f>
        <v xml:space="preserve">JALALPA                                                                                                                                     </v>
      </c>
      <c r="G766" s="26" t="str">
        <f>"ALVARO OBREGON                                                                  "</f>
        <v xml:space="preserve">ALVARO OBREGON                                                                  </v>
      </c>
      <c r="H766" s="26" t="str">
        <f>"001"</f>
        <v>001</v>
      </c>
      <c r="I766" s="26" t="str">
        <f t="shared" si="130"/>
        <v>00</v>
      </c>
      <c r="J766" s="26" t="str">
        <f t="shared" si="132"/>
        <v xml:space="preserve">06 </v>
      </c>
      <c r="K766" s="26" t="str">
        <f t="shared" si="133"/>
        <v>TE</v>
      </c>
      <c r="L766" s="26" t="str">
        <f t="shared" si="134"/>
        <v>DGEST</v>
      </c>
      <c r="M766" s="26" t="str">
        <f t="shared" si="129"/>
        <v>FEDERAL</v>
      </c>
      <c r="N766" s="26">
        <v>726</v>
      </c>
      <c r="O766" s="26">
        <v>349</v>
      </c>
      <c r="P766" s="26">
        <v>377</v>
      </c>
      <c r="Q766" s="26">
        <v>18</v>
      </c>
      <c r="R766" s="26">
        <v>2</v>
      </c>
      <c r="S766" s="26">
        <v>33</v>
      </c>
      <c r="T766" s="26">
        <v>28</v>
      </c>
      <c r="U766" s="26">
        <v>63</v>
      </c>
      <c r="V766" s="26">
        <v>1</v>
      </c>
      <c r="W766" s="26"/>
    </row>
    <row r="767" spans="1:23" x14ac:dyDescent="0.25">
      <c r="A767" s="26" t="str">
        <f t="shared" si="128"/>
        <v>SECUNDARIA</v>
      </c>
      <c r="B767" s="26" t="str">
        <f>"09DST0100Z"</f>
        <v>09DST0100Z</v>
      </c>
      <c r="C767" s="26" t="str">
        <f>"ESCUELA SECUNDARIA TECNICA 100                                                                      "</f>
        <v xml:space="preserve">ESCUELA SECUNDARIA TECNICA 100                                                                      </v>
      </c>
      <c r="D767" s="26" t="str">
        <f>"VESPERTINO"</f>
        <v>VESPERTINO</v>
      </c>
      <c r="E767" s="26" t="str">
        <f>"AV. GUSTAVO DIAZ ORDAZ S/N                                                      "</f>
        <v xml:space="preserve">AV. GUSTAVO DIAZ ORDAZ S/N                                                      </v>
      </c>
      <c r="F767" s="26" t="str">
        <f>"JALALPA                                                                                                                                     "</f>
        <v xml:space="preserve">JALALPA                                                                                                                                     </v>
      </c>
      <c r="G767" s="26" t="str">
        <f>"ALVARO OBREGON                                                                  "</f>
        <v xml:space="preserve">ALVARO OBREGON                                                                  </v>
      </c>
      <c r="H767" s="26" t="str">
        <f>"001"</f>
        <v>001</v>
      </c>
      <c r="I767" s="26" t="str">
        <f t="shared" si="130"/>
        <v>00</v>
      </c>
      <c r="J767" s="26" t="str">
        <f t="shared" si="132"/>
        <v xml:space="preserve">06 </v>
      </c>
      <c r="K767" s="26" t="str">
        <f t="shared" si="133"/>
        <v>TE</v>
      </c>
      <c r="L767" s="26" t="str">
        <f t="shared" si="134"/>
        <v>DGEST</v>
      </c>
      <c r="M767" s="26" t="str">
        <f t="shared" si="129"/>
        <v>FEDERAL</v>
      </c>
      <c r="N767" s="26">
        <v>297</v>
      </c>
      <c r="O767" s="26">
        <v>155</v>
      </c>
      <c r="P767" s="26">
        <v>142</v>
      </c>
      <c r="Q767" s="26">
        <v>9</v>
      </c>
      <c r="R767" s="26">
        <v>0</v>
      </c>
      <c r="S767" s="26">
        <v>21</v>
      </c>
      <c r="T767" s="26">
        <v>15</v>
      </c>
      <c r="U767" s="26">
        <v>36</v>
      </c>
      <c r="V767" s="26">
        <v>1</v>
      </c>
      <c r="W767" s="26"/>
    </row>
    <row r="768" spans="1:23" x14ac:dyDescent="0.25">
      <c r="A768" s="26" t="str">
        <f t="shared" si="128"/>
        <v>SECUNDARIA</v>
      </c>
      <c r="B768" s="26" t="str">
        <f>"09DST0101Y"</f>
        <v>09DST0101Y</v>
      </c>
      <c r="C768" s="26" t="str">
        <f>"ESCUELA SECUNDARIA TECNICA 101                                                                      "</f>
        <v xml:space="preserve">ESCUELA SECUNDARIA TECNICA 101                                                                      </v>
      </c>
      <c r="D768" s="26" t="str">
        <f>"MATUTINO"</f>
        <v>MATUTINO</v>
      </c>
      <c r="E768" s="26" t="str">
        <f>"FINIZACHE S/N                                                                   "</f>
        <v xml:space="preserve">FINIZACHE S/N                                                                   </v>
      </c>
      <c r="F768" s="26" t="str">
        <f>"UNIDAD HABITACIONAL CANANEA                                                                                                                 "</f>
        <v xml:space="preserve">UNIDAD HABITACIONAL CANANEA                                                                                                                 </v>
      </c>
      <c r="G768" s="26" t="str">
        <f>"IZTAPALAPA                                                                      "</f>
        <v xml:space="preserve">IZTAPALAPA                                                                      </v>
      </c>
      <c r="H768" s="26" t="str">
        <f>"003"</f>
        <v>003</v>
      </c>
      <c r="I768" s="26" t="str">
        <f t="shared" si="130"/>
        <v>00</v>
      </c>
      <c r="J768" s="26" t="str">
        <f t="shared" si="132"/>
        <v xml:space="preserve">06 </v>
      </c>
      <c r="K768" s="26" t="str">
        <f t="shared" si="133"/>
        <v>TE</v>
      </c>
      <c r="L768" s="26" t="str">
        <f t="shared" si="134"/>
        <v>DGEST</v>
      </c>
      <c r="M768" s="26" t="str">
        <f t="shared" si="129"/>
        <v>FEDERAL</v>
      </c>
      <c r="N768" s="26">
        <v>870</v>
      </c>
      <c r="O768" s="26">
        <v>409</v>
      </c>
      <c r="P768" s="26">
        <v>461</v>
      </c>
      <c r="Q768" s="26">
        <v>18</v>
      </c>
      <c r="R768" s="26">
        <v>2</v>
      </c>
      <c r="S768" s="26">
        <v>27</v>
      </c>
      <c r="T768" s="26">
        <v>26</v>
      </c>
      <c r="U768" s="26">
        <v>55</v>
      </c>
      <c r="V768" s="26">
        <v>1</v>
      </c>
      <c r="W768" s="26"/>
    </row>
    <row r="769" spans="1:23" x14ac:dyDescent="0.25">
      <c r="A769" s="26" t="str">
        <f t="shared" si="128"/>
        <v>SECUNDARIA</v>
      </c>
      <c r="B769" s="26" t="str">
        <f>"09DST0101Y"</f>
        <v>09DST0101Y</v>
      </c>
      <c r="C769" s="26" t="str">
        <f>"ESCUELA SECUNDARIA TECNICA 101                                                                      "</f>
        <v xml:space="preserve">ESCUELA SECUNDARIA TECNICA 101                                                                      </v>
      </c>
      <c r="D769" s="26" t="str">
        <f>"VESPERTINO"</f>
        <v>VESPERTINO</v>
      </c>
      <c r="E769" s="26" t="str">
        <f>"FINIZACHE S/N                                                                   "</f>
        <v xml:space="preserve">FINIZACHE S/N                                                                   </v>
      </c>
      <c r="F769" s="26" t="str">
        <f>"UNIDAD HABITACIONAL CANANEA                                                                                                                 "</f>
        <v xml:space="preserve">UNIDAD HABITACIONAL CANANEA                                                                                                                 </v>
      </c>
      <c r="G769" s="26" t="str">
        <f>"IZTAPALAPA                                                                      "</f>
        <v xml:space="preserve">IZTAPALAPA                                                                      </v>
      </c>
      <c r="H769" s="26" t="str">
        <f>"003"</f>
        <v>003</v>
      </c>
      <c r="I769" s="26" t="str">
        <f t="shared" si="130"/>
        <v>00</v>
      </c>
      <c r="J769" s="26" t="str">
        <f t="shared" si="132"/>
        <v xml:space="preserve">06 </v>
      </c>
      <c r="K769" s="26" t="str">
        <f t="shared" si="133"/>
        <v>TE</v>
      </c>
      <c r="L769" s="26" t="str">
        <f t="shared" si="134"/>
        <v>DGEST</v>
      </c>
      <c r="M769" s="26" t="str">
        <f t="shared" si="129"/>
        <v>FEDERAL</v>
      </c>
      <c r="N769" s="26">
        <v>588</v>
      </c>
      <c r="O769" s="26">
        <v>277</v>
      </c>
      <c r="P769" s="26">
        <v>311</v>
      </c>
      <c r="Q769" s="26">
        <v>13</v>
      </c>
      <c r="R769" s="26">
        <v>1</v>
      </c>
      <c r="S769" s="26">
        <v>26</v>
      </c>
      <c r="T769" s="26">
        <v>23</v>
      </c>
      <c r="U769" s="26">
        <v>50</v>
      </c>
      <c r="V769" s="26">
        <v>1</v>
      </c>
      <c r="W769" s="26"/>
    </row>
    <row r="770" spans="1:23" x14ac:dyDescent="0.25">
      <c r="A770" s="26" t="str">
        <f t="shared" ref="A770:A833" si="136">"SECUNDARIA"</f>
        <v>SECUNDARIA</v>
      </c>
      <c r="B770" s="26" t="str">
        <f>"09DST0102X"</f>
        <v>09DST0102X</v>
      </c>
      <c r="C770" s="26" t="str">
        <f>"ESCUELA SECUNDARIA TECNICA 102                                                                      "</f>
        <v xml:space="preserve">ESCUELA SECUNDARIA TECNICA 102                                                                      </v>
      </c>
      <c r="D770" s="26" t="str">
        <f>"MATUTINO"</f>
        <v>MATUTINO</v>
      </c>
      <c r="E770" s="26" t="str">
        <f>"GUADALAJARA ESQ. PUEBLA S/N                                                     "</f>
        <v xml:space="preserve">GUADALAJARA ESQ. PUEBLA S/N                                                     </v>
      </c>
      <c r="F770" s="26" t="str">
        <f>"SAN NICOLAS TETELCO                                                                                                                         "</f>
        <v xml:space="preserve">SAN NICOLAS TETELCO                                                                                                                         </v>
      </c>
      <c r="G770" s="26" t="str">
        <f>"TLAHUAC                                                                         "</f>
        <v xml:space="preserve">TLAHUAC                                                                         </v>
      </c>
      <c r="H770" s="26" t="str">
        <f>"004"</f>
        <v>004</v>
      </c>
      <c r="I770" s="26" t="str">
        <f t="shared" si="130"/>
        <v>00</v>
      </c>
      <c r="J770" s="26" t="str">
        <f t="shared" si="132"/>
        <v xml:space="preserve">06 </v>
      </c>
      <c r="K770" s="26" t="str">
        <f t="shared" si="133"/>
        <v>TE</v>
      </c>
      <c r="L770" s="26" t="str">
        <f t="shared" si="134"/>
        <v>DGEST</v>
      </c>
      <c r="M770" s="26" t="str">
        <f t="shared" ref="M770:M833" si="137">"FEDERAL"</f>
        <v>FEDERAL</v>
      </c>
      <c r="N770" s="26">
        <v>865</v>
      </c>
      <c r="O770" s="26">
        <v>416</v>
      </c>
      <c r="P770" s="26">
        <v>449</v>
      </c>
      <c r="Q770" s="26">
        <v>18</v>
      </c>
      <c r="R770" s="26">
        <v>2</v>
      </c>
      <c r="S770" s="26">
        <v>31</v>
      </c>
      <c r="T770" s="26">
        <v>29</v>
      </c>
      <c r="U770" s="26">
        <v>62</v>
      </c>
      <c r="V770" s="26">
        <v>1</v>
      </c>
      <c r="W770" s="26"/>
    </row>
    <row r="771" spans="1:23" x14ac:dyDescent="0.25">
      <c r="A771" s="26" t="str">
        <f t="shared" si="136"/>
        <v>SECUNDARIA</v>
      </c>
      <c r="B771" s="26" t="str">
        <f>"09DST0102X"</f>
        <v>09DST0102X</v>
      </c>
      <c r="C771" s="26" t="str">
        <f>"ESCUELA SECUNDARIA TECNICA 102                                                                      "</f>
        <v xml:space="preserve">ESCUELA SECUNDARIA TECNICA 102                                                                      </v>
      </c>
      <c r="D771" s="26" t="str">
        <f>"VESPERTINO"</f>
        <v>VESPERTINO</v>
      </c>
      <c r="E771" s="26" t="str">
        <f>"GUADALAJARA ESQ. PUEBLA S/N                                                     "</f>
        <v xml:space="preserve">GUADALAJARA ESQ. PUEBLA S/N                                                     </v>
      </c>
      <c r="F771" s="26" t="str">
        <f>"SAN NICOLAS TETELCO                                                                                                                         "</f>
        <v xml:space="preserve">SAN NICOLAS TETELCO                                                                                                                         </v>
      </c>
      <c r="G771" s="26" t="str">
        <f>"TLAHUAC                                                                         "</f>
        <v xml:space="preserve">TLAHUAC                                                                         </v>
      </c>
      <c r="H771" s="26" t="str">
        <f>"004"</f>
        <v>004</v>
      </c>
      <c r="I771" s="26" t="str">
        <f t="shared" si="130"/>
        <v>00</v>
      </c>
      <c r="J771" s="26" t="str">
        <f t="shared" si="132"/>
        <v xml:space="preserve">06 </v>
      </c>
      <c r="K771" s="26" t="str">
        <f t="shared" si="133"/>
        <v>TE</v>
      </c>
      <c r="L771" s="26" t="str">
        <f t="shared" si="134"/>
        <v>DGEST</v>
      </c>
      <c r="M771" s="26" t="str">
        <f t="shared" si="137"/>
        <v>FEDERAL</v>
      </c>
      <c r="N771" s="26">
        <v>591</v>
      </c>
      <c r="O771" s="26">
        <v>315</v>
      </c>
      <c r="P771" s="26">
        <v>276</v>
      </c>
      <c r="Q771" s="26">
        <v>15</v>
      </c>
      <c r="R771" s="26">
        <v>1</v>
      </c>
      <c r="S771" s="26">
        <v>27</v>
      </c>
      <c r="T771" s="26">
        <v>26</v>
      </c>
      <c r="U771" s="26">
        <v>54</v>
      </c>
      <c r="V771" s="26">
        <v>1</v>
      </c>
      <c r="W771" s="26"/>
    </row>
    <row r="772" spans="1:23" x14ac:dyDescent="0.25">
      <c r="A772" s="26" t="str">
        <f t="shared" si="136"/>
        <v>SECUNDARIA</v>
      </c>
      <c r="B772" s="26" t="str">
        <f>"09DST0103W"</f>
        <v>09DST0103W</v>
      </c>
      <c r="C772" s="26" t="str">
        <f>"ESCUELA SECUNDARIA TECNICA 103                                                                      "</f>
        <v xml:space="preserve">ESCUELA SECUNDARIA TECNICA 103                                                                      </v>
      </c>
      <c r="D772" s="26" t="str">
        <f>"MATUTINO"</f>
        <v>MATUTINO</v>
      </c>
      <c r="E772" s="26" t="str">
        <f>"CALLE ALAMOS ENTRE LAUREL Y PINO                                                "</f>
        <v xml:space="preserve">CALLE ALAMOS ENTRE LAUREL Y PINO                                                </v>
      </c>
      <c r="F772" s="26" t="str">
        <f>"CAMPESTRE EL POTRERO                                                                                                                        "</f>
        <v xml:space="preserve">CAMPESTRE EL POTRERO                                                                                                                        </v>
      </c>
      <c r="G772" s="26" t="str">
        <f>"IZTAPALAPA                                                                      "</f>
        <v xml:space="preserve">IZTAPALAPA                                                                      </v>
      </c>
      <c r="H772" s="26" t="str">
        <f>"003"</f>
        <v>003</v>
      </c>
      <c r="I772" s="26" t="str">
        <f t="shared" si="130"/>
        <v>00</v>
      </c>
      <c r="J772" s="26" t="str">
        <f t="shared" si="132"/>
        <v xml:space="preserve">06 </v>
      </c>
      <c r="K772" s="26" t="str">
        <f t="shared" si="133"/>
        <v>TE</v>
      </c>
      <c r="L772" s="26" t="str">
        <f t="shared" si="134"/>
        <v>DGEST</v>
      </c>
      <c r="M772" s="26" t="str">
        <f t="shared" si="137"/>
        <v>FEDERAL</v>
      </c>
      <c r="N772" s="26">
        <v>879</v>
      </c>
      <c r="O772" s="26">
        <v>427</v>
      </c>
      <c r="P772" s="26">
        <v>452</v>
      </c>
      <c r="Q772" s="26">
        <v>18</v>
      </c>
      <c r="R772" s="26">
        <v>2</v>
      </c>
      <c r="S772" s="26">
        <v>29</v>
      </c>
      <c r="T772" s="26">
        <v>26</v>
      </c>
      <c r="U772" s="26">
        <v>57</v>
      </c>
      <c r="V772" s="26">
        <v>1</v>
      </c>
      <c r="W772" s="26"/>
    </row>
    <row r="773" spans="1:23" x14ac:dyDescent="0.25">
      <c r="A773" s="26" t="str">
        <f t="shared" si="136"/>
        <v>SECUNDARIA</v>
      </c>
      <c r="B773" s="26" t="str">
        <f>"09DST0103W"</f>
        <v>09DST0103W</v>
      </c>
      <c r="C773" s="26" t="str">
        <f>"ESCUELA SECUNDARIA TECNICA 103                                                                      "</f>
        <v xml:space="preserve">ESCUELA SECUNDARIA TECNICA 103                                                                      </v>
      </c>
      <c r="D773" s="26" t="str">
        <f>"VESPERTINO"</f>
        <v>VESPERTINO</v>
      </c>
      <c r="E773" s="26" t="str">
        <f>"CALLE ALAMOS ENTRE LAUREL Y PINO                                                "</f>
        <v xml:space="preserve">CALLE ALAMOS ENTRE LAUREL Y PINO                                                </v>
      </c>
      <c r="F773" s="26" t="str">
        <f>"CAMPESTRE EL POTRERO                                                                                                                        "</f>
        <v xml:space="preserve">CAMPESTRE EL POTRERO                                                                                                                        </v>
      </c>
      <c r="G773" s="26" t="str">
        <f>"IZTAPALAPA                                                                      "</f>
        <v xml:space="preserve">IZTAPALAPA                                                                      </v>
      </c>
      <c r="H773" s="26" t="str">
        <f>"003"</f>
        <v>003</v>
      </c>
      <c r="I773" s="26" t="str">
        <f t="shared" si="130"/>
        <v>00</v>
      </c>
      <c r="J773" s="26" t="str">
        <f t="shared" si="132"/>
        <v xml:space="preserve">06 </v>
      </c>
      <c r="K773" s="26" t="str">
        <f t="shared" si="133"/>
        <v>TE</v>
      </c>
      <c r="L773" s="26" t="str">
        <f t="shared" si="134"/>
        <v>DGEST</v>
      </c>
      <c r="M773" s="26" t="str">
        <f t="shared" si="137"/>
        <v>FEDERAL</v>
      </c>
      <c r="N773" s="26">
        <v>768</v>
      </c>
      <c r="O773" s="26">
        <v>389</v>
      </c>
      <c r="P773" s="26">
        <v>379</v>
      </c>
      <c r="Q773" s="26">
        <v>17</v>
      </c>
      <c r="R773" s="26">
        <v>1</v>
      </c>
      <c r="S773" s="26">
        <v>33</v>
      </c>
      <c r="T773" s="26">
        <v>25</v>
      </c>
      <c r="U773" s="26">
        <v>59</v>
      </c>
      <c r="V773" s="26">
        <v>1</v>
      </c>
      <c r="W773" s="26"/>
    </row>
    <row r="774" spans="1:23" x14ac:dyDescent="0.25">
      <c r="A774" s="26" t="str">
        <f t="shared" si="136"/>
        <v>SECUNDARIA</v>
      </c>
      <c r="B774" s="26" t="str">
        <f>"09DST0104V"</f>
        <v>09DST0104V</v>
      </c>
      <c r="C774" s="26" t="str">
        <f>"ESCUELA SECUNDARIA TECNICA 104                                                                      "</f>
        <v xml:space="preserve">ESCUELA SECUNDARIA TECNICA 104                                                                      </v>
      </c>
      <c r="D774" s="26" t="str">
        <f>"MATUTINO"</f>
        <v>MATUTINO</v>
      </c>
      <c r="E774" s="26" t="str">
        <f>"ESQUINA AV. CHALMA TENAYUCA NO. 50                                              "</f>
        <v xml:space="preserve">ESQUINA AV. CHALMA TENAYUCA NO. 50                                              </v>
      </c>
      <c r="F774" s="26" t="str">
        <f>"EL ARBOLILLO                                                                                                                                "</f>
        <v xml:space="preserve">EL ARBOLILLO                                                                                                                                </v>
      </c>
      <c r="G774" s="26" t="str">
        <f>"GUSTAVO A. MADERO                                                               "</f>
        <v xml:space="preserve">GUSTAVO A. MADERO                                                               </v>
      </c>
      <c r="H774" s="26" t="str">
        <f>"002"</f>
        <v>002</v>
      </c>
      <c r="I774" s="26" t="str">
        <f t="shared" si="130"/>
        <v>00</v>
      </c>
      <c r="J774" s="26" t="str">
        <f t="shared" si="132"/>
        <v xml:space="preserve">06 </v>
      </c>
      <c r="K774" s="26" t="str">
        <f t="shared" si="133"/>
        <v>TE</v>
      </c>
      <c r="L774" s="26" t="str">
        <f t="shared" si="134"/>
        <v>DGEST</v>
      </c>
      <c r="M774" s="26" t="str">
        <f t="shared" si="137"/>
        <v>FEDERAL</v>
      </c>
      <c r="N774" s="26">
        <v>867</v>
      </c>
      <c r="O774" s="26">
        <v>431</v>
      </c>
      <c r="P774" s="26">
        <v>436</v>
      </c>
      <c r="Q774" s="26">
        <v>18</v>
      </c>
      <c r="R774" s="26">
        <v>2</v>
      </c>
      <c r="S774" s="26">
        <v>31</v>
      </c>
      <c r="T774" s="26">
        <v>34</v>
      </c>
      <c r="U774" s="26">
        <v>67</v>
      </c>
      <c r="V774" s="26">
        <v>1</v>
      </c>
      <c r="W774" s="26"/>
    </row>
    <row r="775" spans="1:23" x14ac:dyDescent="0.25">
      <c r="A775" s="26" t="str">
        <f t="shared" si="136"/>
        <v>SECUNDARIA</v>
      </c>
      <c r="B775" s="26" t="str">
        <f>"09DST0104V"</f>
        <v>09DST0104V</v>
      </c>
      <c r="C775" s="26" t="str">
        <f>"ESCUELA SECUNDARIA TECNICA 104                                                                      "</f>
        <v xml:space="preserve">ESCUELA SECUNDARIA TECNICA 104                                                                      </v>
      </c>
      <c r="D775" s="26" t="str">
        <f>"VESPERTINO"</f>
        <v>VESPERTINO</v>
      </c>
      <c r="E775" s="26" t="str">
        <f>"ESQUINA AV. CHALMA TENAYUCA NO. 50                                              "</f>
        <v xml:space="preserve">ESQUINA AV. CHALMA TENAYUCA NO. 50                                              </v>
      </c>
      <c r="F775" s="26" t="str">
        <f>"EL ARBOLILLO                                                                                                                                "</f>
        <v xml:space="preserve">EL ARBOLILLO                                                                                                                                </v>
      </c>
      <c r="G775" s="26" t="str">
        <f>"GUSTAVO A. MADERO                                                               "</f>
        <v xml:space="preserve">GUSTAVO A. MADERO                                                               </v>
      </c>
      <c r="H775" s="26" t="str">
        <f>"002"</f>
        <v>002</v>
      </c>
      <c r="I775" s="26" t="str">
        <f t="shared" ref="I775:I838" si="138">"00"</f>
        <v>00</v>
      </c>
      <c r="J775" s="26" t="str">
        <f t="shared" si="132"/>
        <v xml:space="preserve">06 </v>
      </c>
      <c r="K775" s="26" t="str">
        <f t="shared" si="133"/>
        <v>TE</v>
      </c>
      <c r="L775" s="26" t="str">
        <f t="shared" si="134"/>
        <v>DGEST</v>
      </c>
      <c r="M775" s="26" t="str">
        <f t="shared" si="137"/>
        <v>FEDERAL</v>
      </c>
      <c r="N775" s="26">
        <v>812</v>
      </c>
      <c r="O775" s="26">
        <v>390</v>
      </c>
      <c r="P775" s="26">
        <v>422</v>
      </c>
      <c r="Q775" s="26">
        <v>18</v>
      </c>
      <c r="R775" s="26">
        <v>1</v>
      </c>
      <c r="S775" s="26">
        <v>33</v>
      </c>
      <c r="T775" s="26">
        <v>27</v>
      </c>
      <c r="U775" s="26">
        <v>61</v>
      </c>
      <c r="V775" s="26">
        <v>1</v>
      </c>
      <c r="W775" s="26"/>
    </row>
    <row r="776" spans="1:23" x14ac:dyDescent="0.25">
      <c r="A776" s="26" t="str">
        <f t="shared" si="136"/>
        <v>SECUNDARIA</v>
      </c>
      <c r="B776" s="26" t="str">
        <f>"09DST0105U"</f>
        <v>09DST0105U</v>
      </c>
      <c r="C776" s="26" t="str">
        <f>"ESCUELA SECUNDARIA TECNICA 105                                                                      "</f>
        <v xml:space="preserve">ESCUELA SECUNDARIA TECNICA 105                                                                      </v>
      </c>
      <c r="D776" s="26" t="str">
        <f>"MATUTINO"</f>
        <v>MATUTINO</v>
      </c>
      <c r="E776" s="26" t="str">
        <f>"PROL.  MIGUEL HIDALGO S/N UNIDAD FOVISSSTE FUENTES BROTANTES                    "</f>
        <v xml:space="preserve">PROL.  MIGUEL HIDALGO S/N UNIDAD FOVISSSTE FUENTES BROTANTES                    </v>
      </c>
      <c r="F776" s="26" t="str">
        <f>"MIGUEL HIDALGO                                                                                                                              "</f>
        <v xml:space="preserve">MIGUEL HIDALGO                                                                                                                              </v>
      </c>
      <c r="G776" s="26" t="str">
        <f>"TLALPAN                                                                         "</f>
        <v xml:space="preserve">TLALPAN                                                                         </v>
      </c>
      <c r="H776" s="26" t="str">
        <f>"004"</f>
        <v>004</v>
      </c>
      <c r="I776" s="26" t="str">
        <f t="shared" si="138"/>
        <v>00</v>
      </c>
      <c r="J776" s="26" t="str">
        <f t="shared" si="132"/>
        <v xml:space="preserve">06 </v>
      </c>
      <c r="K776" s="26" t="str">
        <f t="shared" si="133"/>
        <v>TE</v>
      </c>
      <c r="L776" s="26" t="str">
        <f t="shared" si="134"/>
        <v>DGEST</v>
      </c>
      <c r="M776" s="26" t="str">
        <f t="shared" si="137"/>
        <v>FEDERAL</v>
      </c>
      <c r="N776" s="26">
        <v>839</v>
      </c>
      <c r="O776" s="26">
        <v>429</v>
      </c>
      <c r="P776" s="26">
        <v>410</v>
      </c>
      <c r="Q776" s="26">
        <v>18</v>
      </c>
      <c r="R776" s="26">
        <v>1</v>
      </c>
      <c r="S776" s="26">
        <v>30</v>
      </c>
      <c r="T776" s="26">
        <v>30</v>
      </c>
      <c r="U776" s="26">
        <v>61</v>
      </c>
      <c r="V776" s="26">
        <v>1</v>
      </c>
      <c r="W776" s="26"/>
    </row>
    <row r="777" spans="1:23" x14ac:dyDescent="0.25">
      <c r="A777" s="26" t="str">
        <f t="shared" si="136"/>
        <v>SECUNDARIA</v>
      </c>
      <c r="B777" s="26" t="str">
        <f>"09DST0105U"</f>
        <v>09DST0105U</v>
      </c>
      <c r="C777" s="26" t="str">
        <f>"ESCUELA SECUNDARIA TECNICA 105                                                                      "</f>
        <v xml:space="preserve">ESCUELA SECUNDARIA TECNICA 105                                                                      </v>
      </c>
      <c r="D777" s="26" t="str">
        <f>"VESPERTINO"</f>
        <v>VESPERTINO</v>
      </c>
      <c r="E777" s="26" t="str">
        <f>"PROL.  MIGUEL HIDALGO S/N UNIDAD FOVISSSTE FUENTES BROTANTES                    "</f>
        <v xml:space="preserve">PROL.  MIGUEL HIDALGO S/N UNIDAD FOVISSSTE FUENTES BROTANTES                    </v>
      </c>
      <c r="F777" s="26" t="str">
        <f>"MIGUEL HIDALGO                                                                                                                              "</f>
        <v xml:space="preserve">MIGUEL HIDALGO                                                                                                                              </v>
      </c>
      <c r="G777" s="26" t="str">
        <f>"TLALPAN                                                                         "</f>
        <v xml:space="preserve">TLALPAN                                                                         </v>
      </c>
      <c r="H777" s="26" t="str">
        <f>"004"</f>
        <v>004</v>
      </c>
      <c r="I777" s="26" t="str">
        <f t="shared" si="138"/>
        <v>00</v>
      </c>
      <c r="J777" s="26" t="str">
        <f t="shared" si="132"/>
        <v xml:space="preserve">06 </v>
      </c>
      <c r="K777" s="26" t="str">
        <f t="shared" si="133"/>
        <v>TE</v>
      </c>
      <c r="L777" s="26" t="str">
        <f t="shared" si="134"/>
        <v>DGEST</v>
      </c>
      <c r="M777" s="26" t="str">
        <f t="shared" si="137"/>
        <v>FEDERAL</v>
      </c>
      <c r="N777" s="26">
        <v>654</v>
      </c>
      <c r="O777" s="26">
        <v>307</v>
      </c>
      <c r="P777" s="26">
        <v>347</v>
      </c>
      <c r="Q777" s="26">
        <v>16</v>
      </c>
      <c r="R777" s="26">
        <v>1</v>
      </c>
      <c r="S777" s="26">
        <v>30</v>
      </c>
      <c r="T777" s="26">
        <v>23</v>
      </c>
      <c r="U777" s="26">
        <v>54</v>
      </c>
      <c r="V777" s="26">
        <v>1</v>
      </c>
      <c r="W777" s="26"/>
    </row>
    <row r="778" spans="1:23" x14ac:dyDescent="0.25">
      <c r="A778" s="26" t="str">
        <f t="shared" si="136"/>
        <v>SECUNDARIA</v>
      </c>
      <c r="B778" s="26" t="str">
        <f>"09DST0106T"</f>
        <v>09DST0106T</v>
      </c>
      <c r="C778" s="26" t="str">
        <f>"ESCUELA SECUNDARIA TECNICA 106                                                                      "</f>
        <v xml:space="preserve">ESCUELA SECUNDARIA TECNICA 106                                                                      </v>
      </c>
      <c r="D778" s="26" t="str">
        <f>"MATUTINO"</f>
        <v>MATUTINO</v>
      </c>
      <c r="E778" s="26" t="str">
        <f>"AV. DE LAS TORRES S/N                                                           "</f>
        <v xml:space="preserve">AV. DE LAS TORRES S/N                                                           </v>
      </c>
      <c r="F778" s="26" t="str">
        <f>"UNIDAD HABITACIONAL MIRASOLES                                                                                                               "</f>
        <v xml:space="preserve">UNIDAD HABITACIONAL MIRASOLES                                                                                                               </v>
      </c>
      <c r="G778" s="26" t="str">
        <f>"IZTAPALAPA                                                                      "</f>
        <v xml:space="preserve">IZTAPALAPA                                                                      </v>
      </c>
      <c r="H778" s="26" t="str">
        <f>"003"</f>
        <v>003</v>
      </c>
      <c r="I778" s="26" t="str">
        <f t="shared" si="138"/>
        <v>00</v>
      </c>
      <c r="J778" s="26" t="str">
        <f t="shared" si="132"/>
        <v xml:space="preserve">06 </v>
      </c>
      <c r="K778" s="26" t="str">
        <f t="shared" si="133"/>
        <v>TE</v>
      </c>
      <c r="L778" s="26" t="str">
        <f t="shared" si="134"/>
        <v>DGEST</v>
      </c>
      <c r="M778" s="26" t="str">
        <f t="shared" si="137"/>
        <v>FEDERAL</v>
      </c>
      <c r="N778" s="26">
        <v>747</v>
      </c>
      <c r="O778" s="26">
        <v>390</v>
      </c>
      <c r="P778" s="26">
        <v>357</v>
      </c>
      <c r="Q778" s="26">
        <v>15</v>
      </c>
      <c r="R778" s="26">
        <v>2</v>
      </c>
      <c r="S778" s="26">
        <v>27</v>
      </c>
      <c r="T778" s="26">
        <v>26</v>
      </c>
      <c r="U778" s="26">
        <v>55</v>
      </c>
      <c r="V778" s="26">
        <v>1</v>
      </c>
      <c r="W778" s="26"/>
    </row>
    <row r="779" spans="1:23" x14ac:dyDescent="0.25">
      <c r="A779" s="26" t="str">
        <f t="shared" si="136"/>
        <v>SECUNDARIA</v>
      </c>
      <c r="B779" s="26" t="str">
        <f>"09DST0106T"</f>
        <v>09DST0106T</v>
      </c>
      <c r="C779" s="26" t="str">
        <f>"ESCUELA SECUNDARIA TECNICA 106                                                                      "</f>
        <v xml:space="preserve">ESCUELA SECUNDARIA TECNICA 106                                                                      </v>
      </c>
      <c r="D779" s="26" t="str">
        <f>"VESPERTINO"</f>
        <v>VESPERTINO</v>
      </c>
      <c r="E779" s="26" t="str">
        <f>"AV. DE LAS TORRES S/N                                                           "</f>
        <v xml:space="preserve">AV. DE LAS TORRES S/N                                                           </v>
      </c>
      <c r="F779" s="26" t="str">
        <f>"UNIDAD HABITACIONAL MIRASOLES                                                                                                               "</f>
        <v xml:space="preserve">UNIDAD HABITACIONAL MIRASOLES                                                                                                               </v>
      </c>
      <c r="G779" s="26" t="str">
        <f>"IZTAPALAPA                                                                      "</f>
        <v xml:space="preserve">IZTAPALAPA                                                                      </v>
      </c>
      <c r="H779" s="26" t="str">
        <f>"003"</f>
        <v>003</v>
      </c>
      <c r="I779" s="26" t="str">
        <f t="shared" si="138"/>
        <v>00</v>
      </c>
      <c r="J779" s="26" t="str">
        <f t="shared" si="132"/>
        <v xml:space="preserve">06 </v>
      </c>
      <c r="K779" s="26" t="str">
        <f t="shared" si="133"/>
        <v>TE</v>
      </c>
      <c r="L779" s="26" t="str">
        <f t="shared" si="134"/>
        <v>DGEST</v>
      </c>
      <c r="M779" s="26" t="str">
        <f t="shared" si="137"/>
        <v>FEDERAL</v>
      </c>
      <c r="N779" s="26">
        <v>691</v>
      </c>
      <c r="O779" s="26">
        <v>344</v>
      </c>
      <c r="P779" s="26">
        <v>347</v>
      </c>
      <c r="Q779" s="26">
        <v>15</v>
      </c>
      <c r="R779" s="26">
        <v>1</v>
      </c>
      <c r="S779" s="26">
        <v>26</v>
      </c>
      <c r="T779" s="26">
        <v>22</v>
      </c>
      <c r="U779" s="26">
        <v>49</v>
      </c>
      <c r="V779" s="26">
        <v>1</v>
      </c>
      <c r="W779" s="26"/>
    </row>
    <row r="780" spans="1:23" x14ac:dyDescent="0.25">
      <c r="A780" s="26" t="str">
        <f t="shared" si="136"/>
        <v>SECUNDARIA</v>
      </c>
      <c r="B780" s="26" t="str">
        <f>"09DST0107S"</f>
        <v>09DST0107S</v>
      </c>
      <c r="C780" s="26" t="str">
        <f>"ESCUELA SECUNDARIA TECNICA 107                                                                      "</f>
        <v xml:space="preserve">ESCUELA SECUNDARIA TECNICA 107                                                                      </v>
      </c>
      <c r="D780" s="26" t="str">
        <f>"JORNADA AMPLIADA"</f>
        <v>JORNADA AMPLIADA</v>
      </c>
      <c r="E780" s="26" t="str">
        <f>"BATALLONES ROJOS No. 203                                                        "</f>
        <v xml:space="preserve">BATALLONES ROJOS No. 203                                                        </v>
      </c>
      <c r="F780" s="26" t="str">
        <f>"LA ALBARRADA                                                                                                                                "</f>
        <v xml:space="preserve">LA ALBARRADA                                                                                                                                </v>
      </c>
      <c r="G780" s="26" t="str">
        <f>"IZTAPALAPA                                                                      "</f>
        <v xml:space="preserve">IZTAPALAPA                                                                      </v>
      </c>
      <c r="H780" s="26" t="str">
        <f>"003"</f>
        <v>003</v>
      </c>
      <c r="I780" s="26" t="str">
        <f t="shared" si="138"/>
        <v>00</v>
      </c>
      <c r="J780" s="26" t="str">
        <f t="shared" si="132"/>
        <v xml:space="preserve">06 </v>
      </c>
      <c r="K780" s="26" t="str">
        <f t="shared" si="133"/>
        <v>TE</v>
      </c>
      <c r="L780" s="26" t="str">
        <f t="shared" si="134"/>
        <v>DGEST</v>
      </c>
      <c r="M780" s="26" t="str">
        <f t="shared" si="137"/>
        <v>FEDERAL</v>
      </c>
      <c r="N780" s="26">
        <v>638</v>
      </c>
      <c r="O780" s="26">
        <v>334</v>
      </c>
      <c r="P780" s="26">
        <v>304</v>
      </c>
      <c r="Q780" s="26">
        <v>15</v>
      </c>
      <c r="R780" s="26">
        <v>2</v>
      </c>
      <c r="S780" s="26">
        <v>31</v>
      </c>
      <c r="T780" s="26">
        <v>27</v>
      </c>
      <c r="U780" s="26">
        <v>60</v>
      </c>
      <c r="V780" s="26">
        <v>1</v>
      </c>
      <c r="W780" s="26" t="s">
        <v>2076</v>
      </c>
    </row>
    <row r="781" spans="1:23" x14ac:dyDescent="0.25">
      <c r="A781" s="26" t="str">
        <f t="shared" si="136"/>
        <v>SECUNDARIA</v>
      </c>
      <c r="B781" s="26" t="str">
        <f>"09DST0108R"</f>
        <v>09DST0108R</v>
      </c>
      <c r="C781" s="26" t="str">
        <f>"ESCUELA SECUNDARIA TECNICA 108                                                                      "</f>
        <v xml:space="preserve">ESCUELA SECUNDARIA TECNICA 108                                                                      </v>
      </c>
      <c r="D781" s="26" t="str">
        <f>"MATUTINO"</f>
        <v>MATUTINO</v>
      </c>
      <c r="E781" s="26" t="str">
        <f>"BELLAS ARTES S/N                                                                "</f>
        <v xml:space="preserve">BELLAS ARTES S/N                                                                </v>
      </c>
      <c r="F781" s="26" t="str">
        <f>"LA ESTACION                                                                                                                                 "</f>
        <v xml:space="preserve">LA ESTACION                                                                                                                                 </v>
      </c>
      <c r="G781" s="26" t="str">
        <f>"TLAHUAC                                                                         "</f>
        <v xml:space="preserve">TLAHUAC                                                                         </v>
      </c>
      <c r="H781" s="26" t="str">
        <f>"004"</f>
        <v>004</v>
      </c>
      <c r="I781" s="26" t="str">
        <f t="shared" si="138"/>
        <v>00</v>
      </c>
      <c r="J781" s="26" t="str">
        <f t="shared" si="132"/>
        <v xml:space="preserve">06 </v>
      </c>
      <c r="K781" s="26" t="str">
        <f t="shared" si="133"/>
        <v>TE</v>
      </c>
      <c r="L781" s="26" t="str">
        <f t="shared" si="134"/>
        <v>DGEST</v>
      </c>
      <c r="M781" s="26" t="str">
        <f t="shared" si="137"/>
        <v>FEDERAL</v>
      </c>
      <c r="N781" s="26">
        <v>902</v>
      </c>
      <c r="O781" s="26">
        <v>476</v>
      </c>
      <c r="P781" s="26">
        <v>426</v>
      </c>
      <c r="Q781" s="26">
        <v>18</v>
      </c>
      <c r="R781" s="26">
        <v>2</v>
      </c>
      <c r="S781" s="26">
        <v>31</v>
      </c>
      <c r="T781" s="26">
        <v>29</v>
      </c>
      <c r="U781" s="26">
        <v>62</v>
      </c>
      <c r="V781" s="26">
        <v>1</v>
      </c>
      <c r="W781" s="26"/>
    </row>
    <row r="782" spans="1:23" x14ac:dyDescent="0.25">
      <c r="A782" s="26" t="str">
        <f t="shared" si="136"/>
        <v>SECUNDARIA</v>
      </c>
      <c r="B782" s="26" t="str">
        <f>"09DST0108R"</f>
        <v>09DST0108R</v>
      </c>
      <c r="C782" s="26" t="str">
        <f>"ESCUELA SECUNDARIA TECNICA 108                                                                      "</f>
        <v xml:space="preserve">ESCUELA SECUNDARIA TECNICA 108                                                                      </v>
      </c>
      <c r="D782" s="26" t="str">
        <f>"VESPERTINO"</f>
        <v>VESPERTINO</v>
      </c>
      <c r="E782" s="26" t="str">
        <f>"BELLAS ARTES S/N                                                                "</f>
        <v xml:space="preserve">BELLAS ARTES S/N                                                                </v>
      </c>
      <c r="F782" s="26" t="str">
        <f>"LA ESTACION                                                                                                                                 "</f>
        <v xml:space="preserve">LA ESTACION                                                                                                                                 </v>
      </c>
      <c r="G782" s="26" t="str">
        <f>"TLAHUAC                                                                         "</f>
        <v xml:space="preserve">TLAHUAC                                                                         </v>
      </c>
      <c r="H782" s="26" t="str">
        <f>"004"</f>
        <v>004</v>
      </c>
      <c r="I782" s="26" t="str">
        <f t="shared" si="138"/>
        <v>00</v>
      </c>
      <c r="J782" s="26" t="str">
        <f t="shared" si="132"/>
        <v xml:space="preserve">06 </v>
      </c>
      <c r="K782" s="26" t="str">
        <f t="shared" si="133"/>
        <v>TE</v>
      </c>
      <c r="L782" s="26" t="str">
        <f t="shared" si="134"/>
        <v>DGEST</v>
      </c>
      <c r="M782" s="26" t="str">
        <f t="shared" si="137"/>
        <v>FEDERAL</v>
      </c>
      <c r="N782" s="26">
        <v>812</v>
      </c>
      <c r="O782" s="26">
        <v>387</v>
      </c>
      <c r="P782" s="26">
        <v>425</v>
      </c>
      <c r="Q782" s="26">
        <v>18</v>
      </c>
      <c r="R782" s="26">
        <v>1</v>
      </c>
      <c r="S782" s="26">
        <v>30</v>
      </c>
      <c r="T782" s="26">
        <v>25</v>
      </c>
      <c r="U782" s="26">
        <v>56</v>
      </c>
      <c r="V782" s="26">
        <v>1</v>
      </c>
      <c r="W782" s="26"/>
    </row>
    <row r="783" spans="1:23" x14ac:dyDescent="0.25">
      <c r="A783" s="26" t="str">
        <f t="shared" si="136"/>
        <v>SECUNDARIA</v>
      </c>
      <c r="B783" s="26" t="str">
        <f>"09DST0109Q"</f>
        <v>09DST0109Q</v>
      </c>
      <c r="C783" s="26" t="str">
        <f>"ESCUELA SECUNDARIA TECNICA 109                                                                      "</f>
        <v xml:space="preserve">ESCUELA SECUNDARIA TECNICA 109                                                                      </v>
      </c>
      <c r="D783" s="26" t="str">
        <f>"MATUTINO"</f>
        <v>MATUTINO</v>
      </c>
      <c r="E783" s="26" t="str">
        <f>"CAMINO REAL A STA CECILIA S/N                                                   "</f>
        <v xml:space="preserve">CAMINO REAL A STA CECILIA S/N                                                   </v>
      </c>
      <c r="F783" s="26" t="str">
        <f>"SAN ANDRES AHUAYUCAN                                                                                                                        "</f>
        <v xml:space="preserve">SAN ANDRES AHUAYUCAN                                                                                                                        </v>
      </c>
      <c r="G783" s="26" t="str">
        <f>"XOCHIMILCO                                                                      "</f>
        <v xml:space="preserve">XOCHIMILCO                                                                      </v>
      </c>
      <c r="H783" s="26" t="str">
        <f>"004"</f>
        <v>004</v>
      </c>
      <c r="I783" s="26" t="str">
        <f t="shared" si="138"/>
        <v>00</v>
      </c>
      <c r="J783" s="26" t="str">
        <f t="shared" si="132"/>
        <v xml:space="preserve">06 </v>
      </c>
      <c r="K783" s="26" t="str">
        <f t="shared" si="133"/>
        <v>TE</v>
      </c>
      <c r="L783" s="26" t="str">
        <f t="shared" si="134"/>
        <v>DGEST</v>
      </c>
      <c r="M783" s="26" t="str">
        <f t="shared" si="137"/>
        <v>FEDERAL</v>
      </c>
      <c r="N783" s="26">
        <v>681</v>
      </c>
      <c r="O783" s="26">
        <v>362</v>
      </c>
      <c r="P783" s="26">
        <v>319</v>
      </c>
      <c r="Q783" s="26">
        <v>18</v>
      </c>
      <c r="R783" s="26">
        <v>2</v>
      </c>
      <c r="S783" s="26">
        <v>28</v>
      </c>
      <c r="T783" s="26">
        <v>28</v>
      </c>
      <c r="U783" s="26">
        <v>58</v>
      </c>
      <c r="V783" s="26">
        <v>1</v>
      </c>
      <c r="W783" s="26"/>
    </row>
    <row r="784" spans="1:23" x14ac:dyDescent="0.25">
      <c r="A784" s="26" t="str">
        <f t="shared" si="136"/>
        <v>SECUNDARIA</v>
      </c>
      <c r="B784" s="26" t="str">
        <f>"09DST0109Q"</f>
        <v>09DST0109Q</v>
      </c>
      <c r="C784" s="26" t="str">
        <f>"ESCUELA SECUNDARIA TECNICA 109                                                                      "</f>
        <v xml:space="preserve">ESCUELA SECUNDARIA TECNICA 109                                                                      </v>
      </c>
      <c r="D784" s="26" t="str">
        <f>"VESPERTINO"</f>
        <v>VESPERTINO</v>
      </c>
      <c r="E784" s="26" t="str">
        <f>"CAMINO REAL A STA CECILIA S/N                                                   "</f>
        <v xml:space="preserve">CAMINO REAL A STA CECILIA S/N                                                   </v>
      </c>
      <c r="F784" s="26" t="str">
        <f>"SAN ANDRES AHUAYUCAN                                                                                                                        "</f>
        <v xml:space="preserve">SAN ANDRES AHUAYUCAN                                                                                                                        </v>
      </c>
      <c r="G784" s="26" t="str">
        <f>"XOCHIMILCO                                                                      "</f>
        <v xml:space="preserve">XOCHIMILCO                                                                      </v>
      </c>
      <c r="H784" s="26" t="str">
        <f>"004"</f>
        <v>004</v>
      </c>
      <c r="I784" s="26" t="str">
        <f t="shared" si="138"/>
        <v>00</v>
      </c>
      <c r="J784" s="26" t="str">
        <f t="shared" si="132"/>
        <v xml:space="preserve">06 </v>
      </c>
      <c r="K784" s="26" t="str">
        <f t="shared" si="133"/>
        <v>TE</v>
      </c>
      <c r="L784" s="26" t="str">
        <f t="shared" si="134"/>
        <v>DGEST</v>
      </c>
      <c r="M784" s="26" t="str">
        <f t="shared" si="137"/>
        <v>FEDERAL</v>
      </c>
      <c r="N784" s="26">
        <v>191</v>
      </c>
      <c r="O784" s="26">
        <v>130</v>
      </c>
      <c r="P784" s="26">
        <v>61</v>
      </c>
      <c r="Q784" s="26">
        <v>6</v>
      </c>
      <c r="R784" s="26">
        <v>1</v>
      </c>
      <c r="S784" s="26">
        <v>7</v>
      </c>
      <c r="T784" s="26">
        <v>20</v>
      </c>
      <c r="U784" s="26">
        <v>28</v>
      </c>
      <c r="V784" s="26">
        <v>1</v>
      </c>
      <c r="W784" s="26"/>
    </row>
    <row r="785" spans="1:23" x14ac:dyDescent="0.25">
      <c r="A785" s="26" t="str">
        <f t="shared" si="136"/>
        <v>SECUNDARIA</v>
      </c>
      <c r="B785" s="26" t="str">
        <f>"09DST0110F"</f>
        <v>09DST0110F</v>
      </c>
      <c r="C785" s="26" t="str">
        <f>"ESCUELA SECUNDARIA TECNICA 110                                                                      "</f>
        <v xml:space="preserve">ESCUELA SECUNDARIA TECNICA 110                                                                      </v>
      </c>
      <c r="D785" s="26" t="str">
        <f>"MATUTINO"</f>
        <v>MATUTINO</v>
      </c>
      <c r="E785" s="26" t="str">
        <f>"CERRADA SANTA LUCIA S/N                                                         "</f>
        <v xml:space="preserve">CERRADA SANTA LUCIA S/N                                                         </v>
      </c>
      <c r="F785" s="26" t="str">
        <f>"BUENAVISTA                                                                                                                                  "</f>
        <v xml:space="preserve">BUENAVISTA                                                                                                                                  </v>
      </c>
      <c r="G785" s="26" t="str">
        <f>"IZTAPALAPA                                                                      "</f>
        <v xml:space="preserve">IZTAPALAPA                                                                      </v>
      </c>
      <c r="H785" s="26" t="str">
        <f>"003"</f>
        <v>003</v>
      </c>
      <c r="I785" s="26" t="str">
        <f t="shared" si="138"/>
        <v>00</v>
      </c>
      <c r="J785" s="26" t="str">
        <f t="shared" si="132"/>
        <v xml:space="preserve">06 </v>
      </c>
      <c r="K785" s="26" t="str">
        <f t="shared" si="133"/>
        <v>TE</v>
      </c>
      <c r="L785" s="26" t="str">
        <f t="shared" si="134"/>
        <v>DGEST</v>
      </c>
      <c r="M785" s="26" t="str">
        <f t="shared" si="137"/>
        <v>FEDERAL</v>
      </c>
      <c r="N785" s="26">
        <v>794</v>
      </c>
      <c r="O785" s="26">
        <v>391</v>
      </c>
      <c r="P785" s="26">
        <v>403</v>
      </c>
      <c r="Q785" s="26">
        <v>18</v>
      </c>
      <c r="R785" s="26">
        <v>2</v>
      </c>
      <c r="S785" s="26">
        <v>31</v>
      </c>
      <c r="T785" s="26">
        <v>30</v>
      </c>
      <c r="U785" s="26">
        <v>63</v>
      </c>
      <c r="V785" s="26">
        <v>1</v>
      </c>
      <c r="W785" s="26"/>
    </row>
    <row r="786" spans="1:23" x14ac:dyDescent="0.25">
      <c r="A786" s="26" t="str">
        <f t="shared" si="136"/>
        <v>SECUNDARIA</v>
      </c>
      <c r="B786" s="26" t="str">
        <f>"09DST0110F"</f>
        <v>09DST0110F</v>
      </c>
      <c r="C786" s="26" t="str">
        <f>"ESCUELA SECUNDARIA TECNICA 110                                                                      "</f>
        <v xml:space="preserve">ESCUELA SECUNDARIA TECNICA 110                                                                      </v>
      </c>
      <c r="D786" s="26" t="str">
        <f>"VESPERTINO"</f>
        <v>VESPERTINO</v>
      </c>
      <c r="E786" s="26" t="str">
        <f>"CERRADA SANTA LUCIA S/N                                                         "</f>
        <v xml:space="preserve">CERRADA SANTA LUCIA S/N                                                         </v>
      </c>
      <c r="F786" s="26" t="str">
        <f>"BUENAVISTA                                                                                                                                  "</f>
        <v xml:space="preserve">BUENAVISTA                                                                                                                                  </v>
      </c>
      <c r="G786" s="26" t="str">
        <f>"IZTAPALAPA                                                                      "</f>
        <v xml:space="preserve">IZTAPALAPA                                                                      </v>
      </c>
      <c r="H786" s="26" t="str">
        <f>"003"</f>
        <v>003</v>
      </c>
      <c r="I786" s="26" t="str">
        <f t="shared" si="138"/>
        <v>00</v>
      </c>
      <c r="J786" s="26" t="str">
        <f t="shared" si="132"/>
        <v xml:space="preserve">06 </v>
      </c>
      <c r="K786" s="26" t="str">
        <f t="shared" si="133"/>
        <v>TE</v>
      </c>
      <c r="L786" s="26" t="str">
        <f t="shared" si="134"/>
        <v>DGEST</v>
      </c>
      <c r="M786" s="26" t="str">
        <f t="shared" si="137"/>
        <v>FEDERAL</v>
      </c>
      <c r="N786" s="26">
        <v>428</v>
      </c>
      <c r="O786" s="26">
        <v>219</v>
      </c>
      <c r="P786" s="26">
        <v>209</v>
      </c>
      <c r="Q786" s="26">
        <v>12</v>
      </c>
      <c r="R786" s="26">
        <v>0</v>
      </c>
      <c r="S786" s="26">
        <v>22</v>
      </c>
      <c r="T786" s="26">
        <v>22</v>
      </c>
      <c r="U786" s="26">
        <v>44</v>
      </c>
      <c r="V786" s="26">
        <v>1</v>
      </c>
      <c r="W786" s="26"/>
    </row>
    <row r="787" spans="1:23" x14ac:dyDescent="0.25">
      <c r="A787" s="26" t="str">
        <f t="shared" si="136"/>
        <v>SECUNDARIA</v>
      </c>
      <c r="B787" s="26" t="str">
        <f>"09DST0111E"</f>
        <v>09DST0111E</v>
      </c>
      <c r="C787" s="26" t="str">
        <f>"ESCUELA SECUNDARIA TECNICA 111                                                                      "</f>
        <v xml:space="preserve">ESCUELA SECUNDARIA TECNICA 111                                                                      </v>
      </c>
      <c r="D787" s="26" t="str">
        <f>"MATUTINO"</f>
        <v>MATUTINO</v>
      </c>
      <c r="E787" s="26" t="str">
        <f>"OYAMELES ESQ. FRANCISCO CESAR MORALES S/N                                       "</f>
        <v xml:space="preserve">OYAMELES ESQ. FRANCISCO CESAR MORALES S/N                                       </v>
      </c>
      <c r="F787" s="26" t="str">
        <f>"CONJUNTO HABITACIONAL SOLIDARIDAD I                                                                                                         "</f>
        <v xml:space="preserve">CONJUNTO HABITACIONAL SOLIDARIDAD I                                                                                                         </v>
      </c>
      <c r="G787" s="26" t="str">
        <f>"IZTAPALAPA                                                                      "</f>
        <v xml:space="preserve">IZTAPALAPA                                                                      </v>
      </c>
      <c r="H787" s="26" t="str">
        <f>"003"</f>
        <v>003</v>
      </c>
      <c r="I787" s="26" t="str">
        <f t="shared" si="138"/>
        <v>00</v>
      </c>
      <c r="J787" s="26" t="str">
        <f t="shared" si="132"/>
        <v xml:space="preserve">06 </v>
      </c>
      <c r="K787" s="26" t="str">
        <f t="shared" si="133"/>
        <v>TE</v>
      </c>
      <c r="L787" s="26" t="str">
        <f t="shared" si="134"/>
        <v>DGEST</v>
      </c>
      <c r="M787" s="26" t="str">
        <f t="shared" si="137"/>
        <v>FEDERAL</v>
      </c>
      <c r="N787" s="26">
        <v>968</v>
      </c>
      <c r="O787" s="26">
        <v>499</v>
      </c>
      <c r="P787" s="26">
        <v>469</v>
      </c>
      <c r="Q787" s="26">
        <v>18</v>
      </c>
      <c r="R787" s="26">
        <v>2</v>
      </c>
      <c r="S787" s="26">
        <v>35</v>
      </c>
      <c r="T787" s="26">
        <v>39</v>
      </c>
      <c r="U787" s="26">
        <v>76</v>
      </c>
      <c r="V787" s="26">
        <v>1</v>
      </c>
      <c r="W787" s="26"/>
    </row>
    <row r="788" spans="1:23" x14ac:dyDescent="0.25">
      <c r="A788" s="26" t="str">
        <f t="shared" si="136"/>
        <v>SECUNDARIA</v>
      </c>
      <c r="B788" s="26" t="str">
        <f>"09DST0111E"</f>
        <v>09DST0111E</v>
      </c>
      <c r="C788" s="26" t="str">
        <f>"ESCUELA SECUNDARIA TECNICA 111                                                                      "</f>
        <v xml:space="preserve">ESCUELA SECUNDARIA TECNICA 111                                                                      </v>
      </c>
      <c r="D788" s="26" t="str">
        <f>"VESPERTINO"</f>
        <v>VESPERTINO</v>
      </c>
      <c r="E788" s="26" t="str">
        <f>"OYAMELES ESQ. FRANCISCO CESAR MORALES S/N                                       "</f>
        <v xml:space="preserve">OYAMELES ESQ. FRANCISCO CESAR MORALES S/N                                       </v>
      </c>
      <c r="F788" s="26" t="str">
        <f>"CONJUNTO HABITACIONAL SOLIDARIDAD I                                                                                                         "</f>
        <v xml:space="preserve">CONJUNTO HABITACIONAL SOLIDARIDAD I                                                                                                         </v>
      </c>
      <c r="G788" s="26" t="str">
        <f>"IZTAPALAPA                                                                      "</f>
        <v xml:space="preserve">IZTAPALAPA                                                                      </v>
      </c>
      <c r="H788" s="26" t="str">
        <f>"003"</f>
        <v>003</v>
      </c>
      <c r="I788" s="26" t="str">
        <f t="shared" si="138"/>
        <v>00</v>
      </c>
      <c r="J788" s="26" t="str">
        <f t="shared" si="132"/>
        <v xml:space="preserve">06 </v>
      </c>
      <c r="K788" s="26" t="str">
        <f t="shared" si="133"/>
        <v>TE</v>
      </c>
      <c r="L788" s="26" t="str">
        <f t="shared" si="134"/>
        <v>DGEST</v>
      </c>
      <c r="M788" s="26" t="str">
        <f t="shared" si="137"/>
        <v>FEDERAL</v>
      </c>
      <c r="N788" s="26">
        <v>797</v>
      </c>
      <c r="O788" s="26">
        <v>405</v>
      </c>
      <c r="P788" s="26">
        <v>392</v>
      </c>
      <c r="Q788" s="26">
        <v>18</v>
      </c>
      <c r="R788" s="26">
        <v>1</v>
      </c>
      <c r="S788" s="26">
        <v>40</v>
      </c>
      <c r="T788" s="26">
        <v>31</v>
      </c>
      <c r="U788" s="26">
        <v>72</v>
      </c>
      <c r="V788" s="26">
        <v>1</v>
      </c>
      <c r="W788" s="26"/>
    </row>
    <row r="789" spans="1:23" x14ac:dyDescent="0.25">
      <c r="A789" s="26" t="str">
        <f t="shared" si="136"/>
        <v>SECUNDARIA</v>
      </c>
      <c r="B789" s="26" t="str">
        <f>"09DST0112D"</f>
        <v>09DST0112D</v>
      </c>
      <c r="C789" s="26" t="str">
        <f>"ESCUELA SECUNDARIA TECNICA 112                                                                      "</f>
        <v xml:space="preserve">ESCUELA SECUNDARIA TECNICA 112                                                                      </v>
      </c>
      <c r="D789" s="26" t="str">
        <f>"JORNADA AMPLIADA"</f>
        <v>JORNADA AMPLIADA</v>
      </c>
      <c r="E789" s="26" t="str">
        <f>"CERRADA SABINO CASI ESQUINA CEIBA                                               "</f>
        <v xml:space="preserve">CERRADA SABINO CASI ESQUINA CEIBA                                               </v>
      </c>
      <c r="F789" s="26" t="str">
        <f>"VISTAS DEL PEDREGAL                                                                                                                         "</f>
        <v xml:space="preserve">VISTAS DEL PEDREGAL                                                                                                                         </v>
      </c>
      <c r="G789" s="26" t="str">
        <f>"TLALPAN                                                                         "</f>
        <v xml:space="preserve">TLALPAN                                                                         </v>
      </c>
      <c r="H789" s="26" t="str">
        <f>"004"</f>
        <v>004</v>
      </c>
      <c r="I789" s="26" t="str">
        <f t="shared" si="138"/>
        <v>00</v>
      </c>
      <c r="J789" s="26" t="str">
        <f t="shared" si="132"/>
        <v xml:space="preserve">06 </v>
      </c>
      <c r="K789" s="26" t="str">
        <f t="shared" si="133"/>
        <v>TE</v>
      </c>
      <c r="L789" s="26" t="str">
        <f t="shared" si="134"/>
        <v>DGEST</v>
      </c>
      <c r="M789" s="26" t="str">
        <f t="shared" si="137"/>
        <v>FEDERAL</v>
      </c>
      <c r="N789" s="26">
        <v>873</v>
      </c>
      <c r="O789" s="26">
        <v>450</v>
      </c>
      <c r="P789" s="26">
        <v>423</v>
      </c>
      <c r="Q789" s="26">
        <v>18</v>
      </c>
      <c r="R789" s="26">
        <v>2</v>
      </c>
      <c r="S789" s="26">
        <v>36</v>
      </c>
      <c r="T789" s="26">
        <v>23</v>
      </c>
      <c r="U789" s="26">
        <v>61</v>
      </c>
      <c r="V789" s="26">
        <v>1</v>
      </c>
      <c r="W789" s="26" t="s">
        <v>2076</v>
      </c>
    </row>
    <row r="790" spans="1:23" x14ac:dyDescent="0.25">
      <c r="A790" s="26" t="str">
        <f t="shared" si="136"/>
        <v>SECUNDARIA</v>
      </c>
      <c r="B790" s="26" t="str">
        <f>"09DST0113C"</f>
        <v>09DST0113C</v>
      </c>
      <c r="C790" s="26" t="str">
        <f>"ESCUELA SECUNDARIA TECNICA 113                                                                      "</f>
        <v xml:space="preserve">ESCUELA SECUNDARIA TECNICA 113                                                                      </v>
      </c>
      <c r="D790" s="26" t="str">
        <f>"MATUTINO"</f>
        <v>MATUTINO</v>
      </c>
      <c r="E790" s="26" t="str">
        <f>"VILLA ATUEL S/N ENTRE VILLA CARLOS Y VILLA CIERVOS                              "</f>
        <v xml:space="preserve">VILLA ATUEL S/N ENTRE VILLA CARLOS Y VILLA CIERVOS                              </v>
      </c>
      <c r="F790" s="26" t="str">
        <f>"DESARROLLO URBANO QUETZALCOATL                                                                                                              "</f>
        <v xml:space="preserve">DESARROLLO URBANO QUETZALCOATL                                                                                                              </v>
      </c>
      <c r="G790" s="26" t="str">
        <f t="shared" ref="G790:G795" si="139">"IZTAPALAPA                                                                      "</f>
        <v xml:space="preserve">IZTAPALAPA                                                                      </v>
      </c>
      <c r="H790" s="26" t="str">
        <f t="shared" ref="H790:H795" si="140">"003"</f>
        <v>003</v>
      </c>
      <c r="I790" s="26" t="str">
        <f t="shared" si="138"/>
        <v>00</v>
      </c>
      <c r="J790" s="26" t="str">
        <f t="shared" si="132"/>
        <v xml:space="preserve">06 </v>
      </c>
      <c r="K790" s="26" t="str">
        <f t="shared" si="133"/>
        <v>TE</v>
      </c>
      <c r="L790" s="26" t="str">
        <f t="shared" si="134"/>
        <v>DGEST</v>
      </c>
      <c r="M790" s="26" t="str">
        <f t="shared" si="137"/>
        <v>FEDERAL</v>
      </c>
      <c r="N790" s="26">
        <v>952</v>
      </c>
      <c r="O790" s="26">
        <v>461</v>
      </c>
      <c r="P790" s="26">
        <v>491</v>
      </c>
      <c r="Q790" s="26">
        <v>18</v>
      </c>
      <c r="R790" s="26">
        <v>2</v>
      </c>
      <c r="S790" s="26">
        <v>29</v>
      </c>
      <c r="T790" s="26">
        <v>28</v>
      </c>
      <c r="U790" s="26">
        <v>59</v>
      </c>
      <c r="V790" s="26">
        <v>1</v>
      </c>
      <c r="W790" s="26"/>
    </row>
    <row r="791" spans="1:23" x14ac:dyDescent="0.25">
      <c r="A791" s="26" t="str">
        <f t="shared" si="136"/>
        <v>SECUNDARIA</v>
      </c>
      <c r="B791" s="26" t="str">
        <f>"09DST0113C"</f>
        <v>09DST0113C</v>
      </c>
      <c r="C791" s="26" t="str">
        <f>"ESCUELA SECUNDARIA TECNICA 113                                                                      "</f>
        <v xml:space="preserve">ESCUELA SECUNDARIA TECNICA 113                                                                      </v>
      </c>
      <c r="D791" s="26" t="str">
        <f>"VESPERTINO"</f>
        <v>VESPERTINO</v>
      </c>
      <c r="E791" s="26" t="str">
        <f>"VILLA ATUEL S/N ENTRE VILLA CARLOS Y VILLA CIERVOS                              "</f>
        <v xml:space="preserve">VILLA ATUEL S/N ENTRE VILLA CARLOS Y VILLA CIERVOS                              </v>
      </c>
      <c r="F791" s="26" t="str">
        <f>"DESARROLLO URBANO QUETZALCOATL                                                                                                              "</f>
        <v xml:space="preserve">DESARROLLO URBANO QUETZALCOATL                                                                                                              </v>
      </c>
      <c r="G791" s="26" t="str">
        <f t="shared" si="139"/>
        <v xml:space="preserve">IZTAPALAPA                                                                      </v>
      </c>
      <c r="H791" s="26" t="str">
        <f t="shared" si="140"/>
        <v>003</v>
      </c>
      <c r="I791" s="26" t="str">
        <f t="shared" si="138"/>
        <v>00</v>
      </c>
      <c r="J791" s="26" t="str">
        <f t="shared" si="132"/>
        <v xml:space="preserve">06 </v>
      </c>
      <c r="K791" s="26" t="str">
        <f t="shared" si="133"/>
        <v>TE</v>
      </c>
      <c r="L791" s="26" t="str">
        <f t="shared" si="134"/>
        <v>DGEST</v>
      </c>
      <c r="M791" s="26" t="str">
        <f t="shared" si="137"/>
        <v>FEDERAL</v>
      </c>
      <c r="N791" s="26">
        <v>887</v>
      </c>
      <c r="O791" s="26">
        <v>447</v>
      </c>
      <c r="P791" s="26">
        <v>440</v>
      </c>
      <c r="Q791" s="26">
        <v>17</v>
      </c>
      <c r="R791" s="26">
        <v>0</v>
      </c>
      <c r="S791" s="26">
        <v>29</v>
      </c>
      <c r="T791" s="26">
        <v>26</v>
      </c>
      <c r="U791" s="26">
        <v>55</v>
      </c>
      <c r="V791" s="26">
        <v>1</v>
      </c>
      <c r="W791" s="26"/>
    </row>
    <row r="792" spans="1:23" x14ac:dyDescent="0.25">
      <c r="A792" s="26" t="str">
        <f t="shared" si="136"/>
        <v>SECUNDARIA</v>
      </c>
      <c r="B792" s="26" t="str">
        <f>"09DST0114B"</f>
        <v>09DST0114B</v>
      </c>
      <c r="C792" s="26" t="str">
        <f>"ESCUELA SECUNDARIA TECNICA 114                                                                      "</f>
        <v xml:space="preserve">ESCUELA SECUNDARIA TECNICA 114                                                                      </v>
      </c>
      <c r="D792" s="26" t="str">
        <f>"MATUTINO"</f>
        <v>MATUTINO</v>
      </c>
      <c r="E792" s="26" t="str">
        <f>"SEBASTIAN BARRIGUETE S/N                                                        "</f>
        <v xml:space="preserve">SEBASTIAN BARRIGUETE S/N                                                        </v>
      </c>
      <c r="F792" s="26" t="str">
        <f>"UNIDAD HABITACIONAL CABEZA DE JUARE                                                                                                         "</f>
        <v xml:space="preserve">UNIDAD HABITACIONAL CABEZA DE JUARE                                                                                                         </v>
      </c>
      <c r="G792" s="26" t="str">
        <f t="shared" si="139"/>
        <v xml:space="preserve">IZTAPALAPA                                                                      </v>
      </c>
      <c r="H792" s="26" t="str">
        <f t="shared" si="140"/>
        <v>003</v>
      </c>
      <c r="I792" s="26" t="str">
        <f t="shared" si="138"/>
        <v>00</v>
      </c>
      <c r="J792" s="26" t="str">
        <f t="shared" si="132"/>
        <v xml:space="preserve">06 </v>
      </c>
      <c r="K792" s="26" t="str">
        <f t="shared" si="133"/>
        <v>TE</v>
      </c>
      <c r="L792" s="26" t="str">
        <f t="shared" si="134"/>
        <v>DGEST</v>
      </c>
      <c r="M792" s="26" t="str">
        <f t="shared" si="137"/>
        <v>FEDERAL</v>
      </c>
      <c r="N792" s="26">
        <v>723</v>
      </c>
      <c r="O792" s="26">
        <v>366</v>
      </c>
      <c r="P792" s="26">
        <v>357</v>
      </c>
      <c r="Q792" s="26">
        <v>15</v>
      </c>
      <c r="R792" s="26">
        <v>2</v>
      </c>
      <c r="S792" s="26">
        <v>27</v>
      </c>
      <c r="T792" s="26">
        <v>29</v>
      </c>
      <c r="U792" s="26">
        <v>58</v>
      </c>
      <c r="V792" s="26">
        <v>1</v>
      </c>
      <c r="W792" s="26"/>
    </row>
    <row r="793" spans="1:23" x14ac:dyDescent="0.25">
      <c r="A793" s="26" t="str">
        <f t="shared" si="136"/>
        <v>SECUNDARIA</v>
      </c>
      <c r="B793" s="26" t="str">
        <f>"09DST0114B"</f>
        <v>09DST0114B</v>
      </c>
      <c r="C793" s="26" t="str">
        <f>"ESCUELA SECUNDARIA TECNICA 114                                                                      "</f>
        <v xml:space="preserve">ESCUELA SECUNDARIA TECNICA 114                                                                      </v>
      </c>
      <c r="D793" s="26" t="str">
        <f>"VESPERTINO"</f>
        <v>VESPERTINO</v>
      </c>
      <c r="E793" s="26" t="str">
        <f>"SEBASTIAN BARRIGUETE S/N                                                        "</f>
        <v xml:space="preserve">SEBASTIAN BARRIGUETE S/N                                                        </v>
      </c>
      <c r="F793" s="26" t="str">
        <f>"UNIDAD HABITACIONAL CABEZA DE JUARE                                                                                                         "</f>
        <v xml:space="preserve">UNIDAD HABITACIONAL CABEZA DE JUARE                                                                                                         </v>
      </c>
      <c r="G793" s="26" t="str">
        <f t="shared" si="139"/>
        <v xml:space="preserve">IZTAPALAPA                                                                      </v>
      </c>
      <c r="H793" s="26" t="str">
        <f t="shared" si="140"/>
        <v>003</v>
      </c>
      <c r="I793" s="26" t="str">
        <f t="shared" si="138"/>
        <v>00</v>
      </c>
      <c r="J793" s="26" t="str">
        <f t="shared" si="132"/>
        <v xml:space="preserve">06 </v>
      </c>
      <c r="K793" s="26" t="str">
        <f t="shared" si="133"/>
        <v>TE</v>
      </c>
      <c r="L793" s="26" t="str">
        <f t="shared" si="134"/>
        <v>DGEST</v>
      </c>
      <c r="M793" s="26" t="str">
        <f t="shared" si="137"/>
        <v>FEDERAL</v>
      </c>
      <c r="N793" s="26">
        <v>601</v>
      </c>
      <c r="O793" s="26">
        <v>302</v>
      </c>
      <c r="P793" s="26">
        <v>299</v>
      </c>
      <c r="Q793" s="26">
        <v>15</v>
      </c>
      <c r="R793" s="26">
        <v>1</v>
      </c>
      <c r="S793" s="26">
        <v>30</v>
      </c>
      <c r="T793" s="26">
        <v>26</v>
      </c>
      <c r="U793" s="26">
        <v>57</v>
      </c>
      <c r="V793" s="26">
        <v>1</v>
      </c>
      <c r="W793" s="26"/>
    </row>
    <row r="794" spans="1:23" x14ac:dyDescent="0.25">
      <c r="A794" s="26" t="str">
        <f t="shared" si="136"/>
        <v>SECUNDARIA</v>
      </c>
      <c r="B794" s="26" t="str">
        <f>"09DST0115A"</f>
        <v>09DST0115A</v>
      </c>
      <c r="C794" s="26" t="str">
        <f>"ESCUELA SECUNDARIA TECNICA 115                                                                      "</f>
        <v xml:space="preserve">ESCUELA SECUNDARIA TECNICA 115                                                                      </v>
      </c>
      <c r="D794" s="26" t="str">
        <f>"MATUTINO"</f>
        <v>MATUTINO</v>
      </c>
      <c r="E794" s="26" t="str">
        <f>"AV. DEL PARAISO ESQ. CAPULIN                                                    "</f>
        <v xml:space="preserve">AV. DEL PARAISO ESQ. CAPULIN                                                    </v>
      </c>
      <c r="F794" s="26" t="str">
        <f>"SAN MIGUEL TEOTONGO                                                                                                                         "</f>
        <v xml:space="preserve">SAN MIGUEL TEOTONGO                                                                                                                         </v>
      </c>
      <c r="G794" s="26" t="str">
        <f t="shared" si="139"/>
        <v xml:space="preserve">IZTAPALAPA                                                                      </v>
      </c>
      <c r="H794" s="26" t="str">
        <f t="shared" si="140"/>
        <v>003</v>
      </c>
      <c r="I794" s="26" t="str">
        <f t="shared" si="138"/>
        <v>00</v>
      </c>
      <c r="J794" s="26" t="str">
        <f t="shared" si="132"/>
        <v xml:space="preserve">06 </v>
      </c>
      <c r="K794" s="26" t="str">
        <f t="shared" si="133"/>
        <v>TE</v>
      </c>
      <c r="L794" s="26" t="str">
        <f t="shared" si="134"/>
        <v>DGEST</v>
      </c>
      <c r="M794" s="26" t="str">
        <f t="shared" si="137"/>
        <v>FEDERAL</v>
      </c>
      <c r="N794" s="26">
        <v>790</v>
      </c>
      <c r="O794" s="26">
        <v>416</v>
      </c>
      <c r="P794" s="26">
        <v>374</v>
      </c>
      <c r="Q794" s="26">
        <v>18</v>
      </c>
      <c r="R794" s="26">
        <v>2</v>
      </c>
      <c r="S794" s="26">
        <v>33</v>
      </c>
      <c r="T794" s="26">
        <v>29</v>
      </c>
      <c r="U794" s="26">
        <v>64</v>
      </c>
      <c r="V794" s="26">
        <v>1</v>
      </c>
      <c r="W794" s="26"/>
    </row>
    <row r="795" spans="1:23" x14ac:dyDescent="0.25">
      <c r="A795" s="26" t="str">
        <f t="shared" si="136"/>
        <v>SECUNDARIA</v>
      </c>
      <c r="B795" s="26" t="str">
        <f>"09DST0115A"</f>
        <v>09DST0115A</v>
      </c>
      <c r="C795" s="26" t="str">
        <f>"ESCUELA SECUNDARIA TECNICA 115                                                                      "</f>
        <v xml:space="preserve">ESCUELA SECUNDARIA TECNICA 115                                                                      </v>
      </c>
      <c r="D795" s="26" t="str">
        <f>"VESPERTINO"</f>
        <v>VESPERTINO</v>
      </c>
      <c r="E795" s="26" t="str">
        <f>"AV. DEL PARAISO ESQ. CAPULIN                                                    "</f>
        <v xml:space="preserve">AV. DEL PARAISO ESQ. CAPULIN                                                    </v>
      </c>
      <c r="F795" s="26" t="str">
        <f>"SAN MIGUEL TEOTONGO                                                                                                                         "</f>
        <v xml:space="preserve">SAN MIGUEL TEOTONGO                                                                                                                         </v>
      </c>
      <c r="G795" s="26" t="str">
        <f t="shared" si="139"/>
        <v xml:space="preserve">IZTAPALAPA                                                                      </v>
      </c>
      <c r="H795" s="26" t="str">
        <f t="shared" si="140"/>
        <v>003</v>
      </c>
      <c r="I795" s="26" t="str">
        <f t="shared" si="138"/>
        <v>00</v>
      </c>
      <c r="J795" s="26" t="str">
        <f t="shared" ref="J795:J803" si="141">"06 "</f>
        <v xml:space="preserve">06 </v>
      </c>
      <c r="K795" s="26" t="str">
        <f t="shared" ref="K795:K803" si="142">"TE"</f>
        <v>TE</v>
      </c>
      <c r="L795" s="26" t="str">
        <f t="shared" ref="L795:L803" si="143">"DGEST"</f>
        <v>DGEST</v>
      </c>
      <c r="M795" s="26" t="str">
        <f t="shared" si="137"/>
        <v>FEDERAL</v>
      </c>
      <c r="N795" s="26">
        <v>232</v>
      </c>
      <c r="O795" s="26">
        <v>136</v>
      </c>
      <c r="P795" s="26">
        <v>96</v>
      </c>
      <c r="Q795" s="26">
        <v>5</v>
      </c>
      <c r="R795" s="26">
        <v>1</v>
      </c>
      <c r="S795" s="26">
        <v>13</v>
      </c>
      <c r="T795" s="26">
        <v>17</v>
      </c>
      <c r="U795" s="26">
        <v>31</v>
      </c>
      <c r="V795" s="26">
        <v>1</v>
      </c>
      <c r="W795" s="26"/>
    </row>
    <row r="796" spans="1:23" x14ac:dyDescent="0.25">
      <c r="A796" s="26" t="str">
        <f t="shared" si="136"/>
        <v>SECUNDARIA</v>
      </c>
      <c r="B796" s="26" t="str">
        <f>"09DST0116Z"</f>
        <v>09DST0116Z</v>
      </c>
      <c r="C796" s="26" t="str">
        <f>"ESCUELA SECUNDARIA TECNICA 116                                                                      "</f>
        <v xml:space="preserve">ESCUELA SECUNDARIA TECNICA 116                                                                      </v>
      </c>
      <c r="D796" s="26" t="str">
        <f>"MATUTINO"</f>
        <v>MATUTINO</v>
      </c>
      <c r="E796" s="26" t="str">
        <f>"CALLE MONTES PIRINEOS ESQUINA MAR DE LA CRISIS                                  "</f>
        <v xml:space="preserve">CALLE MONTES PIRINEOS ESQUINA MAR DE LA CRISIS                                  </v>
      </c>
      <c r="F796" s="26" t="str">
        <f>"SAN FRANCISCO TLALTENCO                                                                                                                     "</f>
        <v xml:space="preserve">SAN FRANCISCO TLALTENCO                                                                                                                     </v>
      </c>
      <c r="G796" s="26" t="str">
        <f>"TLAHUAC                                                                         "</f>
        <v xml:space="preserve">TLAHUAC                                                                         </v>
      </c>
      <c r="H796" s="26" t="str">
        <f>"004"</f>
        <v>004</v>
      </c>
      <c r="I796" s="26" t="str">
        <f t="shared" si="138"/>
        <v>00</v>
      </c>
      <c r="J796" s="26" t="str">
        <f t="shared" si="141"/>
        <v xml:space="preserve">06 </v>
      </c>
      <c r="K796" s="26" t="str">
        <f t="shared" si="142"/>
        <v>TE</v>
      </c>
      <c r="L796" s="26" t="str">
        <f t="shared" si="143"/>
        <v>DGEST</v>
      </c>
      <c r="M796" s="26" t="str">
        <f t="shared" si="137"/>
        <v>FEDERAL</v>
      </c>
      <c r="N796" s="26">
        <v>958</v>
      </c>
      <c r="O796" s="26">
        <v>456</v>
      </c>
      <c r="P796" s="26">
        <v>502</v>
      </c>
      <c r="Q796" s="26">
        <v>18</v>
      </c>
      <c r="R796" s="26">
        <v>2</v>
      </c>
      <c r="S796" s="26">
        <v>31</v>
      </c>
      <c r="T796" s="26">
        <v>33</v>
      </c>
      <c r="U796" s="26">
        <v>66</v>
      </c>
      <c r="V796" s="26">
        <v>1</v>
      </c>
      <c r="W796" s="26"/>
    </row>
    <row r="797" spans="1:23" x14ac:dyDescent="0.25">
      <c r="A797" s="26" t="str">
        <f t="shared" si="136"/>
        <v>SECUNDARIA</v>
      </c>
      <c r="B797" s="26" t="str">
        <f>"09DST0116Z"</f>
        <v>09DST0116Z</v>
      </c>
      <c r="C797" s="26" t="str">
        <f>"ESCUELA SECUNDARIA TECNICA 116                                                                      "</f>
        <v xml:space="preserve">ESCUELA SECUNDARIA TECNICA 116                                                                      </v>
      </c>
      <c r="D797" s="26" t="str">
        <f>"VESPERTINO"</f>
        <v>VESPERTINO</v>
      </c>
      <c r="E797" s="26" t="str">
        <f>"CALLE MONTES PIRINEOS ESQUINA MAR DE LA CRISIS                                  "</f>
        <v xml:space="preserve">CALLE MONTES PIRINEOS ESQUINA MAR DE LA CRISIS                                  </v>
      </c>
      <c r="F797" s="26" t="str">
        <f>"SAN FRANCISCO TLALTENCO                                                                                                                     "</f>
        <v xml:space="preserve">SAN FRANCISCO TLALTENCO                                                                                                                     </v>
      </c>
      <c r="G797" s="26" t="str">
        <f>"TLAHUAC                                                                         "</f>
        <v xml:space="preserve">TLAHUAC                                                                         </v>
      </c>
      <c r="H797" s="26" t="str">
        <f>"004"</f>
        <v>004</v>
      </c>
      <c r="I797" s="26" t="str">
        <f t="shared" si="138"/>
        <v>00</v>
      </c>
      <c r="J797" s="26" t="str">
        <f t="shared" si="141"/>
        <v xml:space="preserve">06 </v>
      </c>
      <c r="K797" s="26" t="str">
        <f t="shared" si="142"/>
        <v>TE</v>
      </c>
      <c r="L797" s="26" t="str">
        <f t="shared" si="143"/>
        <v>DGEST</v>
      </c>
      <c r="M797" s="26" t="str">
        <f t="shared" si="137"/>
        <v>FEDERAL</v>
      </c>
      <c r="N797" s="26">
        <v>796</v>
      </c>
      <c r="O797" s="26">
        <v>464</v>
      </c>
      <c r="P797" s="26">
        <v>332</v>
      </c>
      <c r="Q797" s="26">
        <v>17</v>
      </c>
      <c r="R797" s="26">
        <v>1</v>
      </c>
      <c r="S797" s="26">
        <v>27</v>
      </c>
      <c r="T797" s="26">
        <v>23</v>
      </c>
      <c r="U797" s="26">
        <v>51</v>
      </c>
      <c r="V797" s="26">
        <v>1</v>
      </c>
      <c r="W797" s="26"/>
    </row>
    <row r="798" spans="1:23" x14ac:dyDescent="0.25">
      <c r="A798" s="26" t="str">
        <f t="shared" si="136"/>
        <v>SECUNDARIA</v>
      </c>
      <c r="B798" s="26" t="str">
        <f>"09DST0117Z"</f>
        <v>09DST0117Z</v>
      </c>
      <c r="C798" s="26" t="str">
        <f>"ESCUELA SECUNDARIA TECNICA 117                                                                      "</f>
        <v xml:space="preserve">ESCUELA SECUNDARIA TECNICA 117                                                                      </v>
      </c>
      <c r="D798" s="26" t="str">
        <f>"JORNADA AMPLIADA"</f>
        <v>JORNADA AMPLIADA</v>
      </c>
      <c r="E798" s="26" t="str">
        <f>"ANDADOR CARDENAL ESQUINA PERDIZ                                                 "</f>
        <v xml:space="preserve">ANDADOR CARDENAL ESQUINA PERDIZ                                                 </v>
      </c>
      <c r="F798" s="26" t="str">
        <f>"AVE REAL                                                                                                                                    "</f>
        <v xml:space="preserve">AVE REAL                                                                                                                                    </v>
      </c>
      <c r="G798" s="26" t="str">
        <f>"ALVARO OBREGON                                                                  "</f>
        <v xml:space="preserve">ALVARO OBREGON                                                                  </v>
      </c>
      <c r="H798" s="26" t="str">
        <f>"001"</f>
        <v>001</v>
      </c>
      <c r="I798" s="26" t="str">
        <f t="shared" si="138"/>
        <v>00</v>
      </c>
      <c r="J798" s="26" t="str">
        <f t="shared" si="141"/>
        <v xml:space="preserve">06 </v>
      </c>
      <c r="K798" s="26" t="str">
        <f t="shared" si="142"/>
        <v>TE</v>
      </c>
      <c r="L798" s="26" t="str">
        <f t="shared" si="143"/>
        <v>DGEST</v>
      </c>
      <c r="M798" s="26" t="str">
        <f t="shared" si="137"/>
        <v>FEDERAL</v>
      </c>
      <c r="N798" s="26">
        <v>514</v>
      </c>
      <c r="O798" s="26">
        <v>245</v>
      </c>
      <c r="P798" s="26">
        <v>269</v>
      </c>
      <c r="Q798" s="26">
        <v>15</v>
      </c>
      <c r="R798" s="26">
        <v>1</v>
      </c>
      <c r="S798" s="26">
        <v>30</v>
      </c>
      <c r="T798" s="26">
        <v>20</v>
      </c>
      <c r="U798" s="26">
        <v>51</v>
      </c>
      <c r="V798" s="26">
        <v>1</v>
      </c>
      <c r="W798" s="26" t="s">
        <v>2076</v>
      </c>
    </row>
    <row r="799" spans="1:23" x14ac:dyDescent="0.25">
      <c r="A799" s="26" t="str">
        <f t="shared" si="136"/>
        <v>SECUNDARIA</v>
      </c>
      <c r="B799" s="26" t="str">
        <f>"09DST0118Y"</f>
        <v>09DST0118Y</v>
      </c>
      <c r="C799" s="26" t="str">
        <f>"ESCUELA SECUNDARIA TECNICA 118                                                                      "</f>
        <v xml:space="preserve">ESCUELA SECUNDARIA TECNICA 118                                                                      </v>
      </c>
      <c r="D799" s="26" t="str">
        <f>"MATUTINO"</f>
        <v>MATUTINO</v>
      </c>
      <c r="E799" s="26" t="str">
        <f>"CALLE EMILIANO ZAPATA S/N                                                       "</f>
        <v xml:space="preserve">CALLE EMILIANO ZAPATA S/N                                                       </v>
      </c>
      <c r="F799" s="26" t="str">
        <f>"BOSQUE RESIDENCIAL DEL SUR                                                                                                                  "</f>
        <v xml:space="preserve">BOSQUE RESIDENCIAL DEL SUR                                                                                                                  </v>
      </c>
      <c r="G799" s="26" t="str">
        <f>"XOCHIMILCO                                                                      "</f>
        <v xml:space="preserve">XOCHIMILCO                                                                      </v>
      </c>
      <c r="H799" s="26" t="str">
        <f>"004"</f>
        <v>004</v>
      </c>
      <c r="I799" s="26" t="str">
        <f t="shared" si="138"/>
        <v>00</v>
      </c>
      <c r="J799" s="26" t="str">
        <f t="shared" si="141"/>
        <v xml:space="preserve">06 </v>
      </c>
      <c r="K799" s="26" t="str">
        <f t="shared" si="142"/>
        <v>TE</v>
      </c>
      <c r="L799" s="26" t="str">
        <f t="shared" si="143"/>
        <v>DGEST</v>
      </c>
      <c r="M799" s="26" t="str">
        <f t="shared" si="137"/>
        <v>FEDERAL</v>
      </c>
      <c r="N799" s="26">
        <v>558</v>
      </c>
      <c r="O799" s="26">
        <v>307</v>
      </c>
      <c r="P799" s="26">
        <v>251</v>
      </c>
      <c r="Q799" s="26">
        <v>11</v>
      </c>
      <c r="R799" s="26">
        <v>2</v>
      </c>
      <c r="S799" s="26">
        <v>24</v>
      </c>
      <c r="T799" s="26">
        <v>26</v>
      </c>
      <c r="U799" s="26">
        <v>52</v>
      </c>
      <c r="V799" s="26">
        <v>1</v>
      </c>
      <c r="W799" s="26"/>
    </row>
    <row r="800" spans="1:23" x14ac:dyDescent="0.25">
      <c r="A800" s="26" t="str">
        <f t="shared" si="136"/>
        <v>SECUNDARIA</v>
      </c>
      <c r="B800" s="26" t="str">
        <f>"09DST0118Y"</f>
        <v>09DST0118Y</v>
      </c>
      <c r="C800" s="26" t="str">
        <f>"ESCUELA SECUNDARIA TECNICA 118                                                                      "</f>
        <v xml:space="preserve">ESCUELA SECUNDARIA TECNICA 118                                                                      </v>
      </c>
      <c r="D800" s="26" t="str">
        <f>"VESPERTINO"</f>
        <v>VESPERTINO</v>
      </c>
      <c r="E800" s="26" t="str">
        <f>"CALLE EMILIANO ZAPATA S/N                                                       "</f>
        <v xml:space="preserve">CALLE EMILIANO ZAPATA S/N                                                       </v>
      </c>
      <c r="F800" s="26" t="str">
        <f>"BOSQUE RESIDENCIAL DEL SUR                                                                                                                  "</f>
        <v xml:space="preserve">BOSQUE RESIDENCIAL DEL SUR                                                                                                                  </v>
      </c>
      <c r="G800" s="26" t="str">
        <f>"XOCHIMILCO                                                                      "</f>
        <v xml:space="preserve">XOCHIMILCO                                                                      </v>
      </c>
      <c r="H800" s="26" t="str">
        <f>"004"</f>
        <v>004</v>
      </c>
      <c r="I800" s="26" t="str">
        <f t="shared" si="138"/>
        <v>00</v>
      </c>
      <c r="J800" s="26" t="str">
        <f t="shared" si="141"/>
        <v xml:space="preserve">06 </v>
      </c>
      <c r="K800" s="26" t="str">
        <f t="shared" si="142"/>
        <v>TE</v>
      </c>
      <c r="L800" s="26" t="str">
        <f t="shared" si="143"/>
        <v>DGEST</v>
      </c>
      <c r="M800" s="26" t="str">
        <f t="shared" si="137"/>
        <v>FEDERAL</v>
      </c>
      <c r="N800" s="26">
        <v>500</v>
      </c>
      <c r="O800" s="26">
        <v>241</v>
      </c>
      <c r="P800" s="26">
        <v>259</v>
      </c>
      <c r="Q800" s="26">
        <v>12</v>
      </c>
      <c r="R800" s="26">
        <v>1</v>
      </c>
      <c r="S800" s="26">
        <v>24</v>
      </c>
      <c r="T800" s="26">
        <v>25</v>
      </c>
      <c r="U800" s="26">
        <v>50</v>
      </c>
      <c r="V800" s="26">
        <v>1</v>
      </c>
      <c r="W800" s="26"/>
    </row>
    <row r="801" spans="1:23" x14ac:dyDescent="0.25">
      <c r="A801" s="26" t="str">
        <f t="shared" si="136"/>
        <v>SECUNDARIA</v>
      </c>
      <c r="B801" s="26" t="str">
        <f>"09DST0119X"</f>
        <v>09DST0119X</v>
      </c>
      <c r="C801" s="26" t="str">
        <f>"ESCUELA SECUNDARIA TECNICA 119                                                                      "</f>
        <v xml:space="preserve">ESCUELA SECUNDARIA TECNICA 119                                                                      </v>
      </c>
      <c r="D801" s="26" t="str">
        <f>"MATUTINO"</f>
        <v>MATUTINO</v>
      </c>
      <c r="E801" s="26" t="str">
        <f>"CALLE CINCO S/N                                                                 "</f>
        <v xml:space="preserve">CALLE CINCO S/N                                                                 </v>
      </c>
      <c r="F801" s="26" t="str">
        <f>"MIGUEL HIDALGO AMPLIACION                                                                                                                   "</f>
        <v xml:space="preserve">MIGUEL HIDALGO AMPLIACION                                                                                                                   </v>
      </c>
      <c r="G801" s="26" t="str">
        <f>"TLALPAN                                                                         "</f>
        <v xml:space="preserve">TLALPAN                                                                         </v>
      </c>
      <c r="H801" s="26" t="str">
        <f>"004"</f>
        <v>004</v>
      </c>
      <c r="I801" s="26" t="str">
        <f t="shared" si="138"/>
        <v>00</v>
      </c>
      <c r="J801" s="26" t="str">
        <f t="shared" si="141"/>
        <v xml:space="preserve">06 </v>
      </c>
      <c r="K801" s="26" t="str">
        <f t="shared" si="142"/>
        <v>TE</v>
      </c>
      <c r="L801" s="26" t="str">
        <f t="shared" si="143"/>
        <v>DGEST</v>
      </c>
      <c r="M801" s="26" t="str">
        <f t="shared" si="137"/>
        <v>FEDERAL</v>
      </c>
      <c r="N801" s="26">
        <v>806</v>
      </c>
      <c r="O801" s="26">
        <v>401</v>
      </c>
      <c r="P801" s="26">
        <v>405</v>
      </c>
      <c r="Q801" s="26">
        <v>18</v>
      </c>
      <c r="R801" s="26">
        <v>2</v>
      </c>
      <c r="S801" s="26">
        <v>33</v>
      </c>
      <c r="T801" s="26">
        <v>27</v>
      </c>
      <c r="U801" s="26">
        <v>62</v>
      </c>
      <c r="V801" s="26">
        <v>1</v>
      </c>
      <c r="W801" s="26"/>
    </row>
    <row r="802" spans="1:23" x14ac:dyDescent="0.25">
      <c r="A802" s="26" t="str">
        <f t="shared" si="136"/>
        <v>SECUNDARIA</v>
      </c>
      <c r="B802" s="26" t="str">
        <f>"09DST0119X"</f>
        <v>09DST0119X</v>
      </c>
      <c r="C802" s="26" t="str">
        <f>"ESCUELA SECUNDARIA TECNICA 119                                                                      "</f>
        <v xml:space="preserve">ESCUELA SECUNDARIA TECNICA 119                                                                      </v>
      </c>
      <c r="D802" s="26" t="str">
        <f>"VESPERTINO"</f>
        <v>VESPERTINO</v>
      </c>
      <c r="E802" s="26" t="str">
        <f>"CALLE CINCO S/N                                                                 "</f>
        <v xml:space="preserve">CALLE CINCO S/N                                                                 </v>
      </c>
      <c r="F802" s="26" t="str">
        <f>"MIGUEL HIDALGO AMPLIACION                                                                                                                   "</f>
        <v xml:space="preserve">MIGUEL HIDALGO AMPLIACION                                                                                                                   </v>
      </c>
      <c r="G802" s="26" t="str">
        <f>"TLALPAN                                                                         "</f>
        <v xml:space="preserve">TLALPAN                                                                         </v>
      </c>
      <c r="H802" s="26" t="str">
        <f>"004"</f>
        <v>004</v>
      </c>
      <c r="I802" s="26" t="str">
        <f t="shared" si="138"/>
        <v>00</v>
      </c>
      <c r="J802" s="26" t="str">
        <f t="shared" si="141"/>
        <v xml:space="preserve">06 </v>
      </c>
      <c r="K802" s="26" t="str">
        <f t="shared" si="142"/>
        <v>TE</v>
      </c>
      <c r="L802" s="26" t="str">
        <f t="shared" si="143"/>
        <v>DGEST</v>
      </c>
      <c r="M802" s="26" t="str">
        <f t="shared" si="137"/>
        <v>FEDERAL</v>
      </c>
      <c r="N802" s="26">
        <v>333</v>
      </c>
      <c r="O802" s="26">
        <v>194</v>
      </c>
      <c r="P802" s="26">
        <v>139</v>
      </c>
      <c r="Q802" s="26">
        <v>8</v>
      </c>
      <c r="R802" s="26">
        <v>1</v>
      </c>
      <c r="S802" s="26">
        <v>13</v>
      </c>
      <c r="T802" s="26">
        <v>11</v>
      </c>
      <c r="U802" s="26">
        <v>25</v>
      </c>
      <c r="V802" s="26">
        <v>1</v>
      </c>
      <c r="W802" s="26"/>
    </row>
    <row r="803" spans="1:23" x14ac:dyDescent="0.25">
      <c r="A803" s="26" t="str">
        <f t="shared" si="136"/>
        <v>SECUNDARIA</v>
      </c>
      <c r="B803" s="26" t="str">
        <f>"09DST0120M"</f>
        <v>09DST0120M</v>
      </c>
      <c r="C803" s="26" t="str">
        <f>"ESCUELA SECUNDARIA TECNICA 120                                                                      "</f>
        <v xml:space="preserve">ESCUELA SECUNDARIA TECNICA 120                                                                      </v>
      </c>
      <c r="D803" s="26" t="str">
        <f>"JORNADA AMPLIADA"</f>
        <v>JORNADA AMPLIADA</v>
      </c>
      <c r="E803" s="26" t="str">
        <f>"MIGUEL HIDALGO S/N ESQUINA 20 DE NOVIEMBRE                                      "</f>
        <v xml:space="preserve">MIGUEL HIDALGO S/N ESQUINA 20 DE NOVIEMBRE                                      </v>
      </c>
      <c r="F803" s="26" t="str">
        <f>"GUARDA PARRES                                                                                                                               "</f>
        <v xml:space="preserve">GUARDA PARRES                                                                                                                               </v>
      </c>
      <c r="G803" s="26" t="str">
        <f>"TLALPAN                                                                         "</f>
        <v xml:space="preserve">TLALPAN                                                                         </v>
      </c>
      <c r="H803" s="26" t="str">
        <f>"004"</f>
        <v>004</v>
      </c>
      <c r="I803" s="26" t="str">
        <f t="shared" si="138"/>
        <v>00</v>
      </c>
      <c r="J803" s="26" t="str">
        <f t="shared" si="141"/>
        <v xml:space="preserve">06 </v>
      </c>
      <c r="K803" s="26" t="str">
        <f t="shared" si="142"/>
        <v>TE</v>
      </c>
      <c r="L803" s="26" t="str">
        <f t="shared" si="143"/>
        <v>DGEST</v>
      </c>
      <c r="M803" s="26" t="str">
        <f t="shared" si="137"/>
        <v>FEDERAL</v>
      </c>
      <c r="N803" s="26">
        <v>346</v>
      </c>
      <c r="O803" s="26">
        <v>191</v>
      </c>
      <c r="P803" s="26">
        <v>155</v>
      </c>
      <c r="Q803" s="26">
        <v>8</v>
      </c>
      <c r="R803" s="26">
        <v>2</v>
      </c>
      <c r="S803" s="26">
        <v>15</v>
      </c>
      <c r="T803" s="26">
        <v>21</v>
      </c>
      <c r="U803" s="26">
        <v>38</v>
      </c>
      <c r="V803" s="26">
        <v>1</v>
      </c>
      <c r="W803" s="26" t="s">
        <v>2076</v>
      </c>
    </row>
    <row r="804" spans="1:23" x14ac:dyDescent="0.25">
      <c r="A804" s="26" t="str">
        <f t="shared" si="136"/>
        <v>SECUNDARIA</v>
      </c>
      <c r="B804" s="26" t="str">
        <f>"09DTV0001M"</f>
        <v>09DTV0001M</v>
      </c>
      <c r="C804" s="26" t="str">
        <f>"ALVARO GALVEZ Y FUENTES                                                                             "</f>
        <v xml:space="preserve">ALVARO GALVEZ Y FUENTES                                                                             </v>
      </c>
      <c r="D804" s="26" t="str">
        <f t="shared" ref="D804:D850" si="144">"MATUTINO"</f>
        <v>MATUTINO</v>
      </c>
      <c r="E804" s="26" t="str">
        <f>"MIGUEL LERDO DE TEJADA SIN NUMERO                                               "</f>
        <v xml:space="preserve">MIGUEL LERDO DE TEJADA SIN NUMERO                                               </v>
      </c>
      <c r="F804" s="26" t="str">
        <f>"EL TEPETATAL                                                                                                                                "</f>
        <v xml:space="preserve">EL TEPETATAL                                                                                                                                </v>
      </c>
      <c r="G804" s="26" t="str">
        <f>"GUSTAVO A. MADERO                                                               "</f>
        <v xml:space="preserve">GUSTAVO A. MADERO                                                               </v>
      </c>
      <c r="H804" s="26" t="str">
        <f>"098"</f>
        <v>098</v>
      </c>
      <c r="I804" s="26" t="str">
        <f t="shared" si="138"/>
        <v>00</v>
      </c>
      <c r="J804" s="26" t="str">
        <f>"82 "</f>
        <v xml:space="preserve">82 </v>
      </c>
      <c r="K804" s="26" t="str">
        <f t="shared" ref="K804:K852" si="145">"TV"</f>
        <v>TV</v>
      </c>
      <c r="L804" s="26" t="str">
        <f t="shared" ref="L804:L865" si="146">"DGOSE"</f>
        <v>DGOSE</v>
      </c>
      <c r="M804" s="26" t="str">
        <f t="shared" si="137"/>
        <v>FEDERAL</v>
      </c>
      <c r="N804" s="26">
        <v>290</v>
      </c>
      <c r="O804" s="26">
        <v>178</v>
      </c>
      <c r="P804" s="26">
        <v>112</v>
      </c>
      <c r="Q804" s="26">
        <v>6</v>
      </c>
      <c r="R804" s="26">
        <v>1</v>
      </c>
      <c r="S804" s="26">
        <v>6</v>
      </c>
      <c r="T804" s="26">
        <v>5</v>
      </c>
      <c r="U804" s="26">
        <v>12</v>
      </c>
      <c r="V804" s="26">
        <v>1</v>
      </c>
      <c r="W804" s="26"/>
    </row>
    <row r="805" spans="1:23" x14ac:dyDescent="0.25">
      <c r="A805" s="26" t="str">
        <f t="shared" si="136"/>
        <v>SECUNDARIA</v>
      </c>
      <c r="B805" s="26" t="str">
        <f>"09DTV0003K"</f>
        <v>09DTV0003K</v>
      </c>
      <c r="C805" s="26" t="str">
        <f>"TELESECUNDARIA 3                                                                                    "</f>
        <v xml:space="preserve">TELESECUNDARIA 3                                                                                    </v>
      </c>
      <c r="D805" s="26" t="str">
        <f t="shared" si="144"/>
        <v>MATUTINO</v>
      </c>
      <c r="E805" s="26" t="str">
        <f>"RIO MIXCOAC OTE Y CIRCUITO 3                                                    "</f>
        <v xml:space="preserve">RIO MIXCOAC OTE Y CIRCUITO 3                                                    </v>
      </c>
      <c r="F805" s="26" t="str">
        <f>"LOMAS DE PLATEROS                                                                                                                           "</f>
        <v xml:space="preserve">LOMAS DE PLATEROS                                                                                                                           </v>
      </c>
      <c r="G805" s="26" t="str">
        <f>"ALVARO OBREGON                                                                  "</f>
        <v xml:space="preserve">ALVARO OBREGON                                                                  </v>
      </c>
      <c r="H805" s="26" t="str">
        <f>"101"</f>
        <v>101</v>
      </c>
      <c r="I805" s="26" t="str">
        <f t="shared" si="138"/>
        <v>00</v>
      </c>
      <c r="J805" s="26" t="str">
        <f>"83 "</f>
        <v xml:space="preserve">83 </v>
      </c>
      <c r="K805" s="26" t="str">
        <f t="shared" si="145"/>
        <v>TV</v>
      </c>
      <c r="L805" s="26" t="str">
        <f t="shared" si="146"/>
        <v>DGOSE</v>
      </c>
      <c r="M805" s="26" t="str">
        <f t="shared" si="137"/>
        <v>FEDERAL</v>
      </c>
      <c r="N805" s="26">
        <v>282</v>
      </c>
      <c r="O805" s="26">
        <v>185</v>
      </c>
      <c r="P805" s="26">
        <v>97</v>
      </c>
      <c r="Q805" s="26">
        <v>9</v>
      </c>
      <c r="R805" s="26">
        <v>1</v>
      </c>
      <c r="S805" s="26">
        <v>9</v>
      </c>
      <c r="T805" s="26">
        <v>6</v>
      </c>
      <c r="U805" s="26">
        <v>16</v>
      </c>
      <c r="V805" s="26">
        <v>1</v>
      </c>
      <c r="W805" s="26"/>
    </row>
    <row r="806" spans="1:23" x14ac:dyDescent="0.25">
      <c r="A806" s="26" t="str">
        <f t="shared" si="136"/>
        <v>SECUNDARIA</v>
      </c>
      <c r="B806" s="26" t="str">
        <f>"09DTV0004J"</f>
        <v>09DTV0004J</v>
      </c>
      <c r="C806" s="26" t="str">
        <f>""" MARGARITA CHJORNE Y SALAZAR ""                                                                     "</f>
        <v xml:space="preserve">" MARGARITA CHJORNE Y SALAZAR "                                                                     </v>
      </c>
      <c r="D806" s="26" t="str">
        <f t="shared" si="144"/>
        <v>MATUTINO</v>
      </c>
      <c r="E806" s="26" t="str">
        <f>"MANUEL DUBLAN TORDO Y GAVIOTA                                                   "</f>
        <v xml:space="preserve">MANUEL DUBLAN TORDO Y GAVIOTA                                                   </v>
      </c>
      <c r="F806" s="26" t="str">
        <f>"TACUBAYA                                                                                                                                    "</f>
        <v xml:space="preserve">TACUBAYA                                                                                                                                    </v>
      </c>
      <c r="G806" s="26" t="str">
        <f>"MIGUEL HIDALGO                                                                  "</f>
        <v xml:space="preserve">MIGUEL HIDALGO                                                                  </v>
      </c>
      <c r="H806" s="26" t="str">
        <f>"097"</f>
        <v>097</v>
      </c>
      <c r="I806" s="26" t="str">
        <f t="shared" si="138"/>
        <v>00</v>
      </c>
      <c r="J806" s="26" t="str">
        <f>"81 "</f>
        <v xml:space="preserve">81 </v>
      </c>
      <c r="K806" s="26" t="str">
        <f t="shared" si="145"/>
        <v>TV</v>
      </c>
      <c r="L806" s="26" t="str">
        <f t="shared" si="146"/>
        <v>DGOSE</v>
      </c>
      <c r="M806" s="26" t="str">
        <f t="shared" si="137"/>
        <v>FEDERAL</v>
      </c>
      <c r="N806" s="26">
        <v>128</v>
      </c>
      <c r="O806" s="26">
        <v>71</v>
      </c>
      <c r="P806" s="26">
        <v>57</v>
      </c>
      <c r="Q806" s="26">
        <v>5</v>
      </c>
      <c r="R806" s="26">
        <v>1</v>
      </c>
      <c r="S806" s="26">
        <v>5</v>
      </c>
      <c r="T806" s="26">
        <v>3</v>
      </c>
      <c r="U806" s="26">
        <v>9</v>
      </c>
      <c r="V806" s="26">
        <v>1</v>
      </c>
      <c r="W806" s="26"/>
    </row>
    <row r="807" spans="1:23" x14ac:dyDescent="0.25">
      <c r="A807" s="26" t="str">
        <f t="shared" si="136"/>
        <v>SECUNDARIA</v>
      </c>
      <c r="B807" s="26" t="str">
        <f>"09DTV0011T"</f>
        <v>09DTV0011T</v>
      </c>
      <c r="C807" s="26" t="str">
        <f>"TELESECUNDARIA 11                                                                                   "</f>
        <v xml:space="preserve">TELESECUNDARIA 11                                                                                   </v>
      </c>
      <c r="D807" s="26" t="str">
        <f t="shared" si="144"/>
        <v>MATUTINO</v>
      </c>
      <c r="E807" s="26" t="str">
        <f>"AV 602 Y AV 699                                                                 "</f>
        <v xml:space="preserve">AV 602 Y AV 699                                                                 </v>
      </c>
      <c r="F807" s="26" t="str">
        <f>"NUEVA INDUSTRIAL VALLEJO                                                                                                                    "</f>
        <v xml:space="preserve">NUEVA INDUSTRIAL VALLEJO                                                                                                                    </v>
      </c>
      <c r="G807" s="26" t="str">
        <f>"GUSTAVO A. MADERO                                                               "</f>
        <v xml:space="preserve">GUSTAVO A. MADERO                                                               </v>
      </c>
      <c r="H807" s="26" t="str">
        <f>"103"</f>
        <v>103</v>
      </c>
      <c r="I807" s="26" t="str">
        <f t="shared" si="138"/>
        <v>00</v>
      </c>
      <c r="J807" s="26" t="str">
        <f>"82 "</f>
        <v xml:space="preserve">82 </v>
      </c>
      <c r="K807" s="26" t="str">
        <f t="shared" si="145"/>
        <v>TV</v>
      </c>
      <c r="L807" s="26" t="str">
        <f t="shared" si="146"/>
        <v>DGOSE</v>
      </c>
      <c r="M807" s="26" t="str">
        <f t="shared" si="137"/>
        <v>FEDERAL</v>
      </c>
      <c r="N807" s="26">
        <v>214</v>
      </c>
      <c r="O807" s="26">
        <v>124</v>
      </c>
      <c r="P807" s="26">
        <v>90</v>
      </c>
      <c r="Q807" s="26">
        <v>8</v>
      </c>
      <c r="R807" s="26">
        <v>1</v>
      </c>
      <c r="S807" s="26">
        <v>9</v>
      </c>
      <c r="T807" s="26">
        <v>5</v>
      </c>
      <c r="U807" s="26">
        <v>15</v>
      </c>
      <c r="V807" s="26">
        <v>1</v>
      </c>
      <c r="W807" s="26"/>
    </row>
    <row r="808" spans="1:23" x14ac:dyDescent="0.25">
      <c r="A808" s="26" t="str">
        <f t="shared" si="136"/>
        <v>SECUNDARIA</v>
      </c>
      <c r="B808" s="26" t="str">
        <f>"09DTV0013R"</f>
        <v>09DTV0013R</v>
      </c>
      <c r="C808" s="26" t="str">
        <f>"RODOLFO USIGLI                                                                                      "</f>
        <v xml:space="preserve">RODOLFO USIGLI                                                                                      </v>
      </c>
      <c r="D808" s="26" t="str">
        <f t="shared" si="144"/>
        <v>MATUTINO</v>
      </c>
      <c r="E808" s="26" t="str">
        <f>"SCHUMANN Y CONSTANTINO S/N                                                      "</f>
        <v xml:space="preserve">SCHUMANN Y CONSTANTINO S/N                                                      </v>
      </c>
      <c r="F808" s="26" t="str">
        <f>"VALLEJO                                                                                                                                     "</f>
        <v xml:space="preserve">VALLEJO                                                                                                                                     </v>
      </c>
      <c r="G808" s="26" t="str">
        <f>"GUSTAVO A. MADERO                                                               "</f>
        <v xml:space="preserve">GUSTAVO A. MADERO                                                               </v>
      </c>
      <c r="H808" s="26" t="str">
        <f>"098"</f>
        <v>098</v>
      </c>
      <c r="I808" s="26" t="str">
        <f t="shared" si="138"/>
        <v>00</v>
      </c>
      <c r="J808" s="26" t="str">
        <f>"82 "</f>
        <v xml:space="preserve">82 </v>
      </c>
      <c r="K808" s="26" t="str">
        <f t="shared" si="145"/>
        <v>TV</v>
      </c>
      <c r="L808" s="26" t="str">
        <f t="shared" si="146"/>
        <v>DGOSE</v>
      </c>
      <c r="M808" s="26" t="str">
        <f t="shared" si="137"/>
        <v>FEDERAL</v>
      </c>
      <c r="N808" s="26">
        <v>48</v>
      </c>
      <c r="O808" s="26">
        <v>31</v>
      </c>
      <c r="P808" s="26">
        <v>17</v>
      </c>
      <c r="Q808" s="26">
        <v>2</v>
      </c>
      <c r="R808" s="26">
        <v>1</v>
      </c>
      <c r="S808" s="26">
        <v>4</v>
      </c>
      <c r="T808" s="26">
        <v>2</v>
      </c>
      <c r="U808" s="26">
        <v>7</v>
      </c>
      <c r="V808" s="26">
        <v>1</v>
      </c>
      <c r="W808" s="26"/>
    </row>
    <row r="809" spans="1:23" x14ac:dyDescent="0.25">
      <c r="A809" s="26" t="str">
        <f t="shared" si="136"/>
        <v>SECUNDARIA</v>
      </c>
      <c r="B809" s="26" t="str">
        <f>"09DTV0017N"</f>
        <v>09DTV0017N</v>
      </c>
      <c r="C809" s="26" t="str">
        <f>"LORENZO BOTURINI                                                                                    "</f>
        <v xml:space="preserve">LORENZO BOTURINI                                                                                    </v>
      </c>
      <c r="D809" s="26" t="str">
        <f t="shared" si="144"/>
        <v>MATUTINO</v>
      </c>
      <c r="E809" s="26" t="str">
        <f>"LAZARO PAVIA S/N                                                                "</f>
        <v xml:space="preserve">LAZARO PAVIA S/N                                                                </v>
      </c>
      <c r="F809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809" s="26" t="str">
        <f>"VENUSTIANO CARRANZA                                                             "</f>
        <v xml:space="preserve">VENUSTIANO CARRANZA                                                             </v>
      </c>
      <c r="H809" s="26" t="str">
        <f>"099"</f>
        <v>099</v>
      </c>
      <c r="I809" s="26" t="str">
        <f t="shared" si="138"/>
        <v>00</v>
      </c>
      <c r="J809" s="26" t="str">
        <f>"84 "</f>
        <v xml:space="preserve">84 </v>
      </c>
      <c r="K809" s="26" t="str">
        <f t="shared" si="145"/>
        <v>TV</v>
      </c>
      <c r="L809" s="26" t="str">
        <f t="shared" si="146"/>
        <v>DGOSE</v>
      </c>
      <c r="M809" s="26" t="str">
        <f t="shared" si="137"/>
        <v>FEDERAL</v>
      </c>
      <c r="N809" s="26">
        <v>100</v>
      </c>
      <c r="O809" s="26">
        <v>64</v>
      </c>
      <c r="P809" s="26">
        <v>36</v>
      </c>
      <c r="Q809" s="26">
        <v>3</v>
      </c>
      <c r="R809" s="26">
        <v>1</v>
      </c>
      <c r="S809" s="26">
        <v>3</v>
      </c>
      <c r="T809" s="26">
        <v>4</v>
      </c>
      <c r="U809" s="26">
        <v>8</v>
      </c>
      <c r="V809" s="26">
        <v>1</v>
      </c>
      <c r="W809" s="26"/>
    </row>
    <row r="810" spans="1:23" x14ac:dyDescent="0.25">
      <c r="A810" s="26" t="str">
        <f t="shared" si="136"/>
        <v>SECUNDARIA</v>
      </c>
      <c r="B810" s="26" t="str">
        <f>"09DTV0021Z"</f>
        <v>09DTV0021Z</v>
      </c>
      <c r="C810" s="26" t="str">
        <f>"TELESECUNDARIA 21                                                                                   "</f>
        <v xml:space="preserve">TELESECUNDARIA 21                                                                                   </v>
      </c>
      <c r="D810" s="26" t="str">
        <f t="shared" si="144"/>
        <v>MATUTINO</v>
      </c>
      <c r="E810" s="26" t="str">
        <f>"AV 519 Y AV 517                                                                 "</f>
        <v xml:space="preserve">AV 519 Y AV 517                                                                 </v>
      </c>
      <c r="F810" s="26" t="str">
        <f>"UNIDAD SAN JUAN DE ARAGON                                                                                                                   "</f>
        <v xml:space="preserve">UNIDAD SAN JUAN DE ARAGON                                                                                                                   </v>
      </c>
      <c r="G810" s="26" t="str">
        <f>"GUSTAVO A. MADERO                                                               "</f>
        <v xml:space="preserve">GUSTAVO A. MADERO                                                               </v>
      </c>
      <c r="H810" s="26" t="str">
        <f>"103"</f>
        <v>103</v>
      </c>
      <c r="I810" s="26" t="str">
        <f t="shared" si="138"/>
        <v>00</v>
      </c>
      <c r="J810" s="26" t="str">
        <f>"82 "</f>
        <v xml:space="preserve">82 </v>
      </c>
      <c r="K810" s="26" t="str">
        <f t="shared" si="145"/>
        <v>TV</v>
      </c>
      <c r="L810" s="26" t="str">
        <f t="shared" si="146"/>
        <v>DGOSE</v>
      </c>
      <c r="M810" s="26" t="str">
        <f t="shared" si="137"/>
        <v>FEDERAL</v>
      </c>
      <c r="N810" s="26">
        <v>132</v>
      </c>
      <c r="O810" s="26">
        <v>72</v>
      </c>
      <c r="P810" s="26">
        <v>60</v>
      </c>
      <c r="Q810" s="26">
        <v>4</v>
      </c>
      <c r="R810" s="26">
        <v>1</v>
      </c>
      <c r="S810" s="26">
        <v>4</v>
      </c>
      <c r="T810" s="26">
        <v>3</v>
      </c>
      <c r="U810" s="26">
        <v>8</v>
      </c>
      <c r="V810" s="26">
        <v>1</v>
      </c>
      <c r="W810" s="26"/>
    </row>
    <row r="811" spans="1:23" x14ac:dyDescent="0.25">
      <c r="A811" s="26" t="str">
        <f t="shared" si="136"/>
        <v>SECUNDARIA</v>
      </c>
      <c r="B811" s="26" t="str">
        <f>"09DTV0027U"</f>
        <v>09DTV0027U</v>
      </c>
      <c r="C811" s="26" t="str">
        <f>"TELESECUNDARIA 27                                                                                   "</f>
        <v xml:space="preserve">TELESECUNDARIA 27                                                                                   </v>
      </c>
      <c r="D811" s="26" t="str">
        <f t="shared" si="144"/>
        <v>MATUTINO</v>
      </c>
      <c r="E811" s="26" t="str">
        <f>"ANACAHUITA Y ACOXAL S/N                                                         "</f>
        <v xml:space="preserve">ANACAHUITA Y ACOXAL S/N                                                         </v>
      </c>
      <c r="F811" s="26" t="str">
        <f>"PEDREGAL DE SANTO DOMINGO                                                                                                                   "</f>
        <v xml:space="preserve">PEDREGAL DE SANTO DOMINGO                                                                                                                   </v>
      </c>
      <c r="G811" s="26" t="str">
        <f>"COYOACAN                                                                        "</f>
        <v xml:space="preserve">COYOACAN                                                                        </v>
      </c>
      <c r="H811" s="26" t="str">
        <f>"101"</f>
        <v>101</v>
      </c>
      <c r="I811" s="26" t="str">
        <f t="shared" si="138"/>
        <v>00</v>
      </c>
      <c r="J811" s="26" t="str">
        <f>"84 "</f>
        <v xml:space="preserve">84 </v>
      </c>
      <c r="K811" s="26" t="str">
        <f t="shared" si="145"/>
        <v>TV</v>
      </c>
      <c r="L811" s="26" t="str">
        <f t="shared" si="146"/>
        <v>DGOSE</v>
      </c>
      <c r="M811" s="26" t="str">
        <f t="shared" si="137"/>
        <v>FEDERAL</v>
      </c>
      <c r="N811" s="26">
        <v>167</v>
      </c>
      <c r="O811" s="26">
        <v>97</v>
      </c>
      <c r="P811" s="26">
        <v>70</v>
      </c>
      <c r="Q811" s="26">
        <v>6</v>
      </c>
      <c r="R811" s="26">
        <v>1</v>
      </c>
      <c r="S811" s="26">
        <v>7</v>
      </c>
      <c r="T811" s="26">
        <v>4</v>
      </c>
      <c r="U811" s="26">
        <v>12</v>
      </c>
      <c r="V811" s="26">
        <v>1</v>
      </c>
      <c r="W811" s="26"/>
    </row>
    <row r="812" spans="1:23" x14ac:dyDescent="0.25">
      <c r="A812" s="26" t="str">
        <f t="shared" si="136"/>
        <v>SECUNDARIA</v>
      </c>
      <c r="B812" s="26" t="str">
        <f>"09DTV0032F"</f>
        <v>09DTV0032F</v>
      </c>
      <c r="C812" s="26" t="str">
        <f>"TELESECUNDARIA 32                                                                                   "</f>
        <v xml:space="preserve">TELESECUNDARIA 32                                                                                   </v>
      </c>
      <c r="D812" s="26" t="str">
        <f t="shared" si="144"/>
        <v>MATUTINO</v>
      </c>
      <c r="E812" s="26" t="str">
        <f>"ANTILLAS 65                                                                     "</f>
        <v xml:space="preserve">ANTILLAS 65                                                                     </v>
      </c>
      <c r="F812" s="26" t="str">
        <f>"PORTALES                                                                                                                                    "</f>
        <v xml:space="preserve">PORTALES                                                                                                                                    </v>
      </c>
      <c r="G812" s="26" t="str">
        <f>"BENITO JUAREZ                                                                   "</f>
        <v xml:space="preserve">BENITO JUAREZ                                                                   </v>
      </c>
      <c r="H812" s="26" t="str">
        <f>"101"</f>
        <v>101</v>
      </c>
      <c r="I812" s="26" t="str">
        <f t="shared" si="138"/>
        <v>00</v>
      </c>
      <c r="J812" s="26" t="str">
        <f>"83 "</f>
        <v xml:space="preserve">83 </v>
      </c>
      <c r="K812" s="26" t="str">
        <f t="shared" si="145"/>
        <v>TV</v>
      </c>
      <c r="L812" s="26" t="str">
        <f t="shared" si="146"/>
        <v>DGOSE</v>
      </c>
      <c r="M812" s="26" t="str">
        <f t="shared" si="137"/>
        <v>FEDERAL</v>
      </c>
      <c r="N812" s="26">
        <v>67</v>
      </c>
      <c r="O812" s="26">
        <v>48</v>
      </c>
      <c r="P812" s="26">
        <v>19</v>
      </c>
      <c r="Q812" s="26">
        <v>3</v>
      </c>
      <c r="R812" s="26">
        <v>1</v>
      </c>
      <c r="S812" s="26">
        <v>4</v>
      </c>
      <c r="T812" s="26">
        <v>3</v>
      </c>
      <c r="U812" s="26">
        <v>8</v>
      </c>
      <c r="V812" s="26">
        <v>1</v>
      </c>
      <c r="W812" s="26"/>
    </row>
    <row r="813" spans="1:23" x14ac:dyDescent="0.25">
      <c r="A813" s="26" t="str">
        <f t="shared" si="136"/>
        <v>SECUNDARIA</v>
      </c>
      <c r="B813" s="26" t="str">
        <f>"09DTV0033E"</f>
        <v>09DTV0033E</v>
      </c>
      <c r="C813" s="26" t="str">
        <f>"GUILLERMO SOLIS VELARDE                                                                             "</f>
        <v xml:space="preserve">GUILLERMO SOLIS VELARDE                                                                             </v>
      </c>
      <c r="D813" s="26" t="str">
        <f t="shared" si="144"/>
        <v>MATUTINO</v>
      </c>
      <c r="E813" s="26" t="str">
        <f>"MIXTECAS Y TOPILTZIN S/N                                                        "</f>
        <v xml:space="preserve">MIXTECAS Y TOPILTZIN S/N                                                        </v>
      </c>
      <c r="F813" s="26" t="str">
        <f>"AJUSCO                                                                                                                                      "</f>
        <v xml:space="preserve">AJUSCO                                                                                                                                      </v>
      </c>
      <c r="G813" s="26" t="str">
        <f>"COYOACAN                                                                        "</f>
        <v xml:space="preserve">COYOACAN                                                                        </v>
      </c>
      <c r="H813" s="26" t="str">
        <f>"101"</f>
        <v>101</v>
      </c>
      <c r="I813" s="26" t="str">
        <f t="shared" si="138"/>
        <v>00</v>
      </c>
      <c r="J813" s="26" t="str">
        <f>"84 "</f>
        <v xml:space="preserve">84 </v>
      </c>
      <c r="K813" s="26" t="str">
        <f t="shared" si="145"/>
        <v>TV</v>
      </c>
      <c r="L813" s="26" t="str">
        <f t="shared" si="146"/>
        <v>DGOSE</v>
      </c>
      <c r="M813" s="26" t="str">
        <f t="shared" si="137"/>
        <v>FEDERAL</v>
      </c>
      <c r="N813" s="26">
        <v>121</v>
      </c>
      <c r="O813" s="26">
        <v>72</v>
      </c>
      <c r="P813" s="26">
        <v>49</v>
      </c>
      <c r="Q813" s="26">
        <v>4</v>
      </c>
      <c r="R813" s="26">
        <v>1</v>
      </c>
      <c r="S813" s="26">
        <v>4</v>
      </c>
      <c r="T813" s="26">
        <v>2</v>
      </c>
      <c r="U813" s="26">
        <v>7</v>
      </c>
      <c r="V813" s="26">
        <v>1</v>
      </c>
      <c r="W813" s="26"/>
    </row>
    <row r="814" spans="1:23" x14ac:dyDescent="0.25">
      <c r="A814" s="26" t="str">
        <f t="shared" si="136"/>
        <v>SECUNDARIA</v>
      </c>
      <c r="B814" s="26" t="str">
        <f>"09DTV0039Z"</f>
        <v>09DTV0039Z</v>
      </c>
      <c r="C814" s="26" t="str">
        <f>"TELESECUNDARIA 39                                                                                   "</f>
        <v xml:space="preserve">TELESECUNDARIA 39                                                                                   </v>
      </c>
      <c r="D814" s="26" t="str">
        <f t="shared" si="144"/>
        <v>MATUTINO</v>
      </c>
      <c r="E814" s="26" t="str">
        <f>"POPOCATEPETL 47 Y TRES VIRGENES                                                 "</f>
        <v xml:space="preserve">POPOCATEPETL 47 Y TRES VIRGENES                                                 </v>
      </c>
      <c r="F814" s="26" t="str">
        <f>"LA PRADERA                                                                                                                                  "</f>
        <v xml:space="preserve">LA PRADERA                                                                                                                                  </v>
      </c>
      <c r="G814" s="26" t="str">
        <f>"GUSTAVO A. MADERO                                                               "</f>
        <v xml:space="preserve">GUSTAVO A. MADERO                                                               </v>
      </c>
      <c r="H814" s="26" t="str">
        <f>"103"</f>
        <v>103</v>
      </c>
      <c r="I814" s="26" t="str">
        <f t="shared" si="138"/>
        <v>00</v>
      </c>
      <c r="J814" s="26" t="str">
        <f>"82 "</f>
        <v xml:space="preserve">82 </v>
      </c>
      <c r="K814" s="26" t="str">
        <f t="shared" si="145"/>
        <v>TV</v>
      </c>
      <c r="L814" s="26" t="str">
        <f t="shared" si="146"/>
        <v>DGOSE</v>
      </c>
      <c r="M814" s="26" t="str">
        <f t="shared" si="137"/>
        <v>FEDERAL</v>
      </c>
      <c r="N814" s="26">
        <v>110</v>
      </c>
      <c r="O814" s="26">
        <v>70</v>
      </c>
      <c r="P814" s="26">
        <v>40</v>
      </c>
      <c r="Q814" s="26">
        <v>5</v>
      </c>
      <c r="R814" s="26">
        <v>1</v>
      </c>
      <c r="S814" s="26">
        <v>5</v>
      </c>
      <c r="T814" s="26">
        <v>4</v>
      </c>
      <c r="U814" s="26">
        <v>10</v>
      </c>
      <c r="V814" s="26">
        <v>1</v>
      </c>
      <c r="W814" s="26"/>
    </row>
    <row r="815" spans="1:23" x14ac:dyDescent="0.25">
      <c r="A815" s="26" t="str">
        <f t="shared" si="136"/>
        <v>SECUNDARIA</v>
      </c>
      <c r="B815" s="26" t="str">
        <f>"09DTV0040O"</f>
        <v>09DTV0040O</v>
      </c>
      <c r="C815" s="26" t="str">
        <f>"TELESECUNDARIA 40                                                                                   "</f>
        <v xml:space="preserve">TELESECUNDARIA 40                                                                                   </v>
      </c>
      <c r="D815" s="26" t="str">
        <f t="shared" si="144"/>
        <v>MATUTINO</v>
      </c>
      <c r="E815" s="26" t="str">
        <f>"FCO P MIRANDA S/N                                                               "</f>
        <v xml:space="preserve">FCO P MIRANDA S/N                                                               </v>
      </c>
      <c r="F815" s="26" t="str">
        <f>"LOMAS DE PLATEROS                                                                                                                           "</f>
        <v xml:space="preserve">LOMAS DE PLATEROS                                                                                                                           </v>
      </c>
      <c r="G815" s="26" t="str">
        <f>"ALVARO OBREGON                                                                  "</f>
        <v xml:space="preserve">ALVARO OBREGON                                                                  </v>
      </c>
      <c r="H815" s="26" t="str">
        <f>"101"</f>
        <v>101</v>
      </c>
      <c r="I815" s="26" t="str">
        <f t="shared" si="138"/>
        <v>00</v>
      </c>
      <c r="J815" s="26" t="str">
        <f>"83 "</f>
        <v xml:space="preserve">83 </v>
      </c>
      <c r="K815" s="26" t="str">
        <f t="shared" si="145"/>
        <v>TV</v>
      </c>
      <c r="L815" s="26" t="str">
        <f t="shared" si="146"/>
        <v>DGOSE</v>
      </c>
      <c r="M815" s="26" t="str">
        <f t="shared" si="137"/>
        <v>FEDERAL</v>
      </c>
      <c r="N815" s="26">
        <v>143</v>
      </c>
      <c r="O815" s="26">
        <v>78</v>
      </c>
      <c r="P815" s="26">
        <v>65</v>
      </c>
      <c r="Q815" s="26">
        <v>5</v>
      </c>
      <c r="R815" s="26">
        <v>1</v>
      </c>
      <c r="S815" s="26">
        <v>5</v>
      </c>
      <c r="T815" s="26">
        <v>2</v>
      </c>
      <c r="U815" s="26">
        <v>8</v>
      </c>
      <c r="V815" s="26">
        <v>1</v>
      </c>
      <c r="W815" s="26"/>
    </row>
    <row r="816" spans="1:23" x14ac:dyDescent="0.25">
      <c r="A816" s="26" t="str">
        <f t="shared" si="136"/>
        <v>SECUNDARIA</v>
      </c>
      <c r="B816" s="26" t="str">
        <f>"09DTV0042M"</f>
        <v>09DTV0042M</v>
      </c>
      <c r="C816" s="26" t="str">
        <f>"MARÍA MONTESSORI                                                                                    "</f>
        <v xml:space="preserve">MARÍA MONTESSORI                                                                                    </v>
      </c>
      <c r="D816" s="26" t="str">
        <f t="shared" si="144"/>
        <v>MATUTINO</v>
      </c>
      <c r="E816" s="26" t="str">
        <f>"AV MORELOS NO 639 Y FERNANDO IGLESIAS                                           "</f>
        <v xml:space="preserve">AV MORELOS NO 639 Y FERNANDO IGLESIAS                                           </v>
      </c>
      <c r="F816" s="26" t="str">
        <f>"MAGDALENA MIXHUCA                                                                                                                           "</f>
        <v xml:space="preserve">MAGDALENA MIXHUCA                                                                                                                           </v>
      </c>
      <c r="G816" s="26" t="str">
        <f>"VENUSTIANO CARRANZA                                                             "</f>
        <v xml:space="preserve">VENUSTIANO CARRANZA                                                             </v>
      </c>
      <c r="H816" s="26" t="str">
        <f>"099"</f>
        <v>099</v>
      </c>
      <c r="I816" s="26" t="str">
        <f t="shared" si="138"/>
        <v>00</v>
      </c>
      <c r="J816" s="26" t="str">
        <f>"84 "</f>
        <v xml:space="preserve">84 </v>
      </c>
      <c r="K816" s="26" t="str">
        <f t="shared" si="145"/>
        <v>TV</v>
      </c>
      <c r="L816" s="26" t="str">
        <f t="shared" si="146"/>
        <v>DGOSE</v>
      </c>
      <c r="M816" s="26" t="str">
        <f t="shared" si="137"/>
        <v>FEDERAL</v>
      </c>
      <c r="N816" s="26">
        <v>15</v>
      </c>
      <c r="O816" s="26">
        <v>9</v>
      </c>
      <c r="P816" s="26">
        <v>6</v>
      </c>
      <c r="Q816" s="26">
        <v>1</v>
      </c>
      <c r="R816" s="26">
        <v>0</v>
      </c>
      <c r="S816" s="26">
        <v>1</v>
      </c>
      <c r="T816" s="26">
        <v>3</v>
      </c>
      <c r="U816" s="26">
        <v>4</v>
      </c>
      <c r="V816" s="26">
        <v>1</v>
      </c>
      <c r="W816" s="26"/>
    </row>
    <row r="817" spans="1:23" x14ac:dyDescent="0.25">
      <c r="A817" s="26" t="str">
        <f t="shared" si="136"/>
        <v>SECUNDARIA</v>
      </c>
      <c r="B817" s="26" t="str">
        <f>"09DTV0043L"</f>
        <v>09DTV0043L</v>
      </c>
      <c r="C817" s="26" t="str">
        <f>"TELESECUNDARIA 43                                                                                   "</f>
        <v xml:space="preserve">TELESECUNDARIA 43                                                                                   </v>
      </c>
      <c r="D817" s="26" t="str">
        <f t="shared" si="144"/>
        <v>MATUTINO</v>
      </c>
      <c r="E817" s="26" t="str">
        <f>"MARIANO MATAMOROS S/N M-2 L-16                                                  "</f>
        <v xml:space="preserve">MARIANO MATAMOROS S/N M-2 L-16                                                  </v>
      </c>
      <c r="F817" s="26" t="str">
        <f>"SANTIAGO ACAHUALTEPEC AMPLIACION                                                                                                            "</f>
        <v xml:space="preserve">SANTIAGO ACAHUALTEPEC AMPLIACION                                                                                                            </v>
      </c>
      <c r="G817" s="26" t="str">
        <f>"IZTAPALAPA                                                                      "</f>
        <v xml:space="preserve">IZTAPALAPA                                                                      </v>
      </c>
      <c r="H817" s="26" t="str">
        <f>"102"</f>
        <v>102</v>
      </c>
      <c r="I817" s="26" t="str">
        <f t="shared" si="138"/>
        <v>00</v>
      </c>
      <c r="J817" s="26" t="str">
        <f>"84 "</f>
        <v xml:space="preserve">84 </v>
      </c>
      <c r="K817" s="26" t="str">
        <f t="shared" si="145"/>
        <v>TV</v>
      </c>
      <c r="L817" s="26" t="str">
        <f t="shared" si="146"/>
        <v>DGOSE</v>
      </c>
      <c r="M817" s="26" t="str">
        <f t="shared" si="137"/>
        <v>FEDERAL</v>
      </c>
      <c r="N817" s="26">
        <v>327</v>
      </c>
      <c r="O817" s="26">
        <v>177</v>
      </c>
      <c r="P817" s="26">
        <v>150</v>
      </c>
      <c r="Q817" s="26">
        <v>9</v>
      </c>
      <c r="R817" s="26">
        <v>1</v>
      </c>
      <c r="S817" s="26">
        <v>10</v>
      </c>
      <c r="T817" s="26">
        <v>6</v>
      </c>
      <c r="U817" s="26">
        <v>17</v>
      </c>
      <c r="V817" s="26">
        <v>1</v>
      </c>
      <c r="W817" s="26"/>
    </row>
    <row r="818" spans="1:23" x14ac:dyDescent="0.25">
      <c r="A818" s="26" t="str">
        <f t="shared" si="136"/>
        <v>SECUNDARIA</v>
      </c>
      <c r="B818" s="26" t="str">
        <f>"09DTV0046I"</f>
        <v>09DTV0046I</v>
      </c>
      <c r="C818" s="26" t="str">
        <f>"TELESECUNDARIA 46                                                                                   "</f>
        <v xml:space="preserve">TELESECUNDARIA 46                                                                                   </v>
      </c>
      <c r="D818" s="26" t="str">
        <f t="shared" si="144"/>
        <v>MATUTINO</v>
      </c>
      <c r="E818" s="26" t="str">
        <f>"DIF POPOCATEPETL Y VOLCAN ACATENANGO                                            "</f>
        <v xml:space="preserve">DIF POPOCATEPETL Y VOLCAN ACATENANGO                                            </v>
      </c>
      <c r="F818" s="26" t="str">
        <f>"PROVIDENCIA                                                                                                                                 "</f>
        <v xml:space="preserve">PROVIDENCIA                                                                                                                                 </v>
      </c>
      <c r="G818" s="26" t="str">
        <f>"GUSTAVO A. MADERO                                                               "</f>
        <v xml:space="preserve">GUSTAVO A. MADERO                                                               </v>
      </c>
      <c r="H818" s="26" t="str">
        <f>"103"</f>
        <v>103</v>
      </c>
      <c r="I818" s="26" t="str">
        <f t="shared" si="138"/>
        <v>00</v>
      </c>
      <c r="J818" s="26" t="str">
        <f>"82 "</f>
        <v xml:space="preserve">82 </v>
      </c>
      <c r="K818" s="26" t="str">
        <f t="shared" si="145"/>
        <v>TV</v>
      </c>
      <c r="L818" s="26" t="str">
        <f t="shared" si="146"/>
        <v>DGOSE</v>
      </c>
      <c r="M818" s="26" t="str">
        <f t="shared" si="137"/>
        <v>FEDERAL</v>
      </c>
      <c r="N818" s="26">
        <v>140</v>
      </c>
      <c r="O818" s="26">
        <v>80</v>
      </c>
      <c r="P818" s="26">
        <v>60</v>
      </c>
      <c r="Q818" s="26">
        <v>6</v>
      </c>
      <c r="R818" s="26">
        <v>1</v>
      </c>
      <c r="S818" s="26">
        <v>6</v>
      </c>
      <c r="T818" s="26">
        <v>5</v>
      </c>
      <c r="U818" s="26">
        <v>12</v>
      </c>
      <c r="V818" s="26">
        <v>1</v>
      </c>
      <c r="W818" s="26"/>
    </row>
    <row r="819" spans="1:23" x14ac:dyDescent="0.25">
      <c r="A819" s="26" t="str">
        <f t="shared" si="136"/>
        <v>SECUNDARIA</v>
      </c>
      <c r="B819" s="26" t="str">
        <f>"09DTV0052T"</f>
        <v>09DTV0052T</v>
      </c>
      <c r="C819" s="26" t="str">
        <f>"TELESECUNDARIA 52                                                                                   "</f>
        <v xml:space="preserve">TELESECUNDARIA 52                                                                                   </v>
      </c>
      <c r="D819" s="26" t="str">
        <f t="shared" si="144"/>
        <v>MATUTINO</v>
      </c>
      <c r="E819" s="26" t="str">
        <f>"AV ERMITA IZTAPALAPA Y JOAQUIN B                                                "</f>
        <v xml:space="preserve">AV ERMITA IZTAPALAPA Y JOAQUIN B                                                </v>
      </c>
      <c r="F819" s="26" t="str">
        <f>"EL SANTUARIO                                                                                                                                "</f>
        <v xml:space="preserve">EL SANTUARIO                                                                                                                                </v>
      </c>
      <c r="G819" s="26" t="str">
        <f>"IZTAPALAPA                                                                      "</f>
        <v xml:space="preserve">IZTAPALAPA                                                                      </v>
      </c>
      <c r="H819" s="26" t="str">
        <f>"102"</f>
        <v>102</v>
      </c>
      <c r="I819" s="26" t="str">
        <f t="shared" si="138"/>
        <v>00</v>
      </c>
      <c r="J819" s="26" t="str">
        <f t="shared" ref="J819:J824" si="147">"84 "</f>
        <v xml:space="preserve">84 </v>
      </c>
      <c r="K819" s="26" t="str">
        <f t="shared" si="145"/>
        <v>TV</v>
      </c>
      <c r="L819" s="26" t="str">
        <f t="shared" si="146"/>
        <v>DGOSE</v>
      </c>
      <c r="M819" s="26" t="str">
        <f t="shared" si="137"/>
        <v>FEDERAL</v>
      </c>
      <c r="N819" s="26">
        <v>276</v>
      </c>
      <c r="O819" s="26">
        <v>179</v>
      </c>
      <c r="P819" s="26">
        <v>97</v>
      </c>
      <c r="Q819" s="26">
        <v>9</v>
      </c>
      <c r="R819" s="26">
        <v>1</v>
      </c>
      <c r="S819" s="26">
        <v>9</v>
      </c>
      <c r="T819" s="26">
        <v>7</v>
      </c>
      <c r="U819" s="26">
        <v>17</v>
      </c>
      <c r="V819" s="26">
        <v>1</v>
      </c>
      <c r="W819" s="26"/>
    </row>
    <row r="820" spans="1:23" x14ac:dyDescent="0.25">
      <c r="A820" s="26" t="str">
        <f t="shared" si="136"/>
        <v>SECUNDARIA</v>
      </c>
      <c r="B820" s="26" t="str">
        <f>"09DTV0053S"</f>
        <v>09DTV0053S</v>
      </c>
      <c r="C820" s="26" t="str">
        <f>""" JOSE JOAQUIN IZQUIERDO RAUDON ""                                                                   "</f>
        <v xml:space="preserve">" JOSE JOAQUIN IZQUIERDO RAUDON "                                                                   </v>
      </c>
      <c r="D820" s="26" t="str">
        <f t="shared" si="144"/>
        <v>MATUTINO</v>
      </c>
      <c r="E820" s="26" t="str">
        <f>"CONJ HAB CONSTITUCION DE 1917                                                   "</f>
        <v xml:space="preserve">CONJ HAB CONSTITUCION DE 1917                                                   </v>
      </c>
      <c r="F820" s="26" t="str">
        <f>"CONJUNTO URBANO POPULAR ERMITA ZARA                                                                                                         "</f>
        <v xml:space="preserve">CONJUNTO URBANO POPULAR ERMITA ZARA                                                                                                         </v>
      </c>
      <c r="G820" s="26" t="str">
        <f>"IZTAPALAPA                                                                      "</f>
        <v xml:space="preserve">IZTAPALAPA                                                                      </v>
      </c>
      <c r="H820" s="26" t="str">
        <f>"102"</f>
        <v>102</v>
      </c>
      <c r="I820" s="26" t="str">
        <f t="shared" si="138"/>
        <v>00</v>
      </c>
      <c r="J820" s="26" t="str">
        <f t="shared" si="147"/>
        <v xml:space="preserve">84 </v>
      </c>
      <c r="K820" s="26" t="str">
        <f t="shared" si="145"/>
        <v>TV</v>
      </c>
      <c r="L820" s="26" t="str">
        <f t="shared" si="146"/>
        <v>DGOSE</v>
      </c>
      <c r="M820" s="26" t="str">
        <f t="shared" si="137"/>
        <v>FEDERAL</v>
      </c>
      <c r="N820" s="26">
        <v>83</v>
      </c>
      <c r="O820" s="26">
        <v>39</v>
      </c>
      <c r="P820" s="26">
        <v>44</v>
      </c>
      <c r="Q820" s="26">
        <v>3</v>
      </c>
      <c r="R820" s="26">
        <v>1</v>
      </c>
      <c r="S820" s="26">
        <v>3</v>
      </c>
      <c r="T820" s="26">
        <v>2</v>
      </c>
      <c r="U820" s="26">
        <v>6</v>
      </c>
      <c r="V820" s="26">
        <v>1</v>
      </c>
      <c r="W820" s="26"/>
    </row>
    <row r="821" spans="1:23" x14ac:dyDescent="0.25">
      <c r="A821" s="26" t="str">
        <f t="shared" si="136"/>
        <v>SECUNDARIA</v>
      </c>
      <c r="B821" s="26" t="str">
        <f>"09DTV0060B"</f>
        <v>09DTV0060B</v>
      </c>
      <c r="C821" s="26" t="str">
        <f>"TELESECUNDARIA 60                                                                                   "</f>
        <v xml:space="preserve">TELESECUNDARIA 60                                                                                   </v>
      </c>
      <c r="D821" s="26" t="str">
        <f t="shared" si="144"/>
        <v>MATUTINO</v>
      </c>
      <c r="E821" s="26" t="str">
        <f>"FRANCISCO ESPEJEL NUM 96                                                        "</f>
        <v xml:space="preserve">FRANCISCO ESPEJEL NUM 96                                                        </v>
      </c>
      <c r="F821" s="26" t="str">
        <f>"MOCTEZUMA 1A SECCION                                                                                                                        "</f>
        <v xml:space="preserve">MOCTEZUMA 1A SECCION                                                                                                                        </v>
      </c>
      <c r="G821" s="26" t="str">
        <f>"VENUSTIANO CARRANZA                                                             "</f>
        <v xml:space="preserve">VENUSTIANO CARRANZA                                                             </v>
      </c>
      <c r="H821" s="26" t="str">
        <f>"099"</f>
        <v>099</v>
      </c>
      <c r="I821" s="26" t="str">
        <f t="shared" si="138"/>
        <v>00</v>
      </c>
      <c r="J821" s="26" t="str">
        <f t="shared" si="147"/>
        <v xml:space="preserve">84 </v>
      </c>
      <c r="K821" s="26" t="str">
        <f t="shared" si="145"/>
        <v>TV</v>
      </c>
      <c r="L821" s="26" t="str">
        <f t="shared" si="146"/>
        <v>DGOSE</v>
      </c>
      <c r="M821" s="26" t="str">
        <f t="shared" si="137"/>
        <v>FEDERAL</v>
      </c>
      <c r="N821" s="26">
        <v>94</v>
      </c>
      <c r="O821" s="26">
        <v>61</v>
      </c>
      <c r="P821" s="26">
        <v>33</v>
      </c>
      <c r="Q821" s="26">
        <v>3</v>
      </c>
      <c r="R821" s="26">
        <v>1</v>
      </c>
      <c r="S821" s="26">
        <v>4</v>
      </c>
      <c r="T821" s="26">
        <v>1</v>
      </c>
      <c r="U821" s="26">
        <v>6</v>
      </c>
      <c r="V821" s="26">
        <v>1</v>
      </c>
      <c r="W821" s="26"/>
    </row>
    <row r="822" spans="1:23" x14ac:dyDescent="0.25">
      <c r="A822" s="26" t="str">
        <f t="shared" si="136"/>
        <v>SECUNDARIA</v>
      </c>
      <c r="B822" s="26" t="str">
        <f>"09DTV0061A"</f>
        <v>09DTV0061A</v>
      </c>
      <c r="C822" s="26" t="str">
        <f>"TELESECUNDARIA 61                                                                                   "</f>
        <v xml:space="preserve">TELESECUNDARIA 61                                                                                   </v>
      </c>
      <c r="D822" s="26" t="str">
        <f t="shared" si="144"/>
        <v>MATUTINO</v>
      </c>
      <c r="E822" s="26" t="str">
        <f>"C DE TEZONTLE ESQ SUR 145 Y 147                                                 "</f>
        <v xml:space="preserve">C DE TEZONTLE ESQ SUR 145 Y 147                                                 </v>
      </c>
      <c r="F822" s="26" t="str">
        <f>"GABRIEL RAMOS MILLAN AMPLIACION                                                                                                             "</f>
        <v xml:space="preserve">GABRIEL RAMOS MILLAN AMPLIACION                                                                                                             </v>
      </c>
      <c r="G822" s="26" t="str">
        <f>"IZTACALCO                                                                       "</f>
        <v xml:space="preserve">IZTACALCO                                                                       </v>
      </c>
      <c r="H822" s="26" t="str">
        <f>"099"</f>
        <v>099</v>
      </c>
      <c r="I822" s="26" t="str">
        <f t="shared" si="138"/>
        <v>00</v>
      </c>
      <c r="J822" s="26" t="str">
        <f t="shared" si="147"/>
        <v xml:space="preserve">84 </v>
      </c>
      <c r="K822" s="26" t="str">
        <f t="shared" si="145"/>
        <v>TV</v>
      </c>
      <c r="L822" s="26" t="str">
        <f t="shared" si="146"/>
        <v>DGOSE</v>
      </c>
      <c r="M822" s="26" t="str">
        <f t="shared" si="137"/>
        <v>FEDERAL</v>
      </c>
      <c r="N822" s="26">
        <v>98</v>
      </c>
      <c r="O822" s="26">
        <v>48</v>
      </c>
      <c r="P822" s="26">
        <v>50</v>
      </c>
      <c r="Q822" s="26">
        <v>3</v>
      </c>
      <c r="R822" s="26">
        <v>1</v>
      </c>
      <c r="S822" s="26">
        <v>4</v>
      </c>
      <c r="T822" s="26">
        <v>2</v>
      </c>
      <c r="U822" s="26">
        <v>7</v>
      </c>
      <c r="V822" s="26">
        <v>1</v>
      </c>
      <c r="W822" s="26"/>
    </row>
    <row r="823" spans="1:23" x14ac:dyDescent="0.25">
      <c r="A823" s="26" t="str">
        <f t="shared" si="136"/>
        <v>SECUNDARIA</v>
      </c>
      <c r="B823" s="26" t="str">
        <f>"09DTV0063Z"</f>
        <v>09DTV0063Z</v>
      </c>
      <c r="C823" s="26" t="str">
        <f>"TELESECUNDARIA 63                                                                                   "</f>
        <v xml:space="preserve">TELESECUNDARIA 63                                                                                   </v>
      </c>
      <c r="D823" s="26" t="str">
        <f t="shared" si="144"/>
        <v>MATUTINO</v>
      </c>
      <c r="E823" s="26" t="str">
        <f>"ADMON U HAB CAMPAÑA DEL EBANO Y C CELAYA S/N                                    "</f>
        <v xml:space="preserve">ADMON U HAB CAMPAÑA DEL EBANO Y C CELAYA S/N                                    </v>
      </c>
      <c r="F823" s="26" t="str">
        <f>"UNIDAD HABITACIONAL VICENTE GUERRER                                                                                                         "</f>
        <v xml:space="preserve">UNIDAD HABITACIONAL VICENTE GUERRER                                                                                                         </v>
      </c>
      <c r="G823" s="26" t="str">
        <f>"IZTAPALAPA                                                                      "</f>
        <v xml:space="preserve">IZTAPALAPA                                                                      </v>
      </c>
      <c r="H823" s="26" t="str">
        <f>"102"</f>
        <v>102</v>
      </c>
      <c r="I823" s="26" t="str">
        <f t="shared" si="138"/>
        <v>00</v>
      </c>
      <c r="J823" s="26" t="str">
        <f t="shared" si="147"/>
        <v xml:space="preserve">84 </v>
      </c>
      <c r="K823" s="26" t="str">
        <f t="shared" si="145"/>
        <v>TV</v>
      </c>
      <c r="L823" s="26" t="str">
        <f t="shared" si="146"/>
        <v>DGOSE</v>
      </c>
      <c r="M823" s="26" t="str">
        <f t="shared" si="137"/>
        <v>FEDERAL</v>
      </c>
      <c r="N823" s="26">
        <v>174</v>
      </c>
      <c r="O823" s="26">
        <v>87</v>
      </c>
      <c r="P823" s="26">
        <v>87</v>
      </c>
      <c r="Q823" s="26">
        <v>6</v>
      </c>
      <c r="R823" s="26">
        <v>1</v>
      </c>
      <c r="S823" s="26">
        <v>5</v>
      </c>
      <c r="T823" s="26">
        <v>7</v>
      </c>
      <c r="U823" s="26">
        <v>13</v>
      </c>
      <c r="V823" s="26">
        <v>1</v>
      </c>
      <c r="W823" s="26"/>
    </row>
    <row r="824" spans="1:23" x14ac:dyDescent="0.25">
      <c r="A824" s="26" t="str">
        <f t="shared" si="136"/>
        <v>SECUNDARIA</v>
      </c>
      <c r="B824" s="26" t="str">
        <f>"09DTV0067V"</f>
        <v>09DTV0067V</v>
      </c>
      <c r="C824" s="26" t="str">
        <f>"REMEDIOS VARO                                                                                       "</f>
        <v xml:space="preserve">REMEDIOS VARO                                                                                       </v>
      </c>
      <c r="D824" s="26" t="str">
        <f t="shared" si="144"/>
        <v>MATUTINO</v>
      </c>
      <c r="E824" s="26" t="str">
        <f>"FERRETERIA Y 24 DE ABRIL                                                        "</f>
        <v xml:space="preserve">FERRETERIA Y 24 DE ABRIL                                                        </v>
      </c>
      <c r="F824" s="26" t="str">
        <f>"20 DE NOVIEMBRE AMPLIACION                                                                                                                  "</f>
        <v xml:space="preserve">20 DE NOVIEMBRE AMPLIACION                                                                                                                  </v>
      </c>
      <c r="G824" s="26" t="str">
        <f>"VENUSTIANO CARRANZA                                                             "</f>
        <v xml:space="preserve">VENUSTIANO CARRANZA                                                             </v>
      </c>
      <c r="H824" s="26" t="str">
        <f>"099"</f>
        <v>099</v>
      </c>
      <c r="I824" s="26" t="str">
        <f t="shared" si="138"/>
        <v>00</v>
      </c>
      <c r="J824" s="26" t="str">
        <f t="shared" si="147"/>
        <v xml:space="preserve">84 </v>
      </c>
      <c r="K824" s="26" t="str">
        <f t="shared" si="145"/>
        <v>TV</v>
      </c>
      <c r="L824" s="26" t="str">
        <f t="shared" si="146"/>
        <v>DGOSE</v>
      </c>
      <c r="M824" s="26" t="str">
        <f t="shared" si="137"/>
        <v>FEDERAL</v>
      </c>
      <c r="N824" s="26">
        <v>146</v>
      </c>
      <c r="O824" s="26">
        <v>86</v>
      </c>
      <c r="P824" s="26">
        <v>60</v>
      </c>
      <c r="Q824" s="26">
        <v>4</v>
      </c>
      <c r="R824" s="26">
        <v>1</v>
      </c>
      <c r="S824" s="26">
        <v>4</v>
      </c>
      <c r="T824" s="26">
        <v>5</v>
      </c>
      <c r="U824" s="26">
        <v>10</v>
      </c>
      <c r="V824" s="26">
        <v>1</v>
      </c>
      <c r="W824" s="26"/>
    </row>
    <row r="825" spans="1:23" x14ac:dyDescent="0.25">
      <c r="A825" s="26" t="str">
        <f t="shared" si="136"/>
        <v>SECUNDARIA</v>
      </c>
      <c r="B825" s="26" t="str">
        <f>"09DTV0070I"</f>
        <v>09DTV0070I</v>
      </c>
      <c r="C825" s="26" t="str">
        <f>"MATILDE MONTOYA LAFRAGUA                                                                            "</f>
        <v xml:space="preserve">MATILDE MONTOYA LAFRAGUA                                                                            </v>
      </c>
      <c r="D825" s="26" t="str">
        <f t="shared" si="144"/>
        <v>MATUTINO</v>
      </c>
      <c r="E825" s="26" t="str">
        <f>"MAGNOLIA NO 175                                                                 "</f>
        <v xml:space="preserve">MAGNOLIA NO 175                                                                 </v>
      </c>
      <c r="F825" s="26" t="str">
        <f>"GUERRERO                                                                                                                                    "</f>
        <v xml:space="preserve">GUERRERO                                                                                                                                    </v>
      </c>
      <c r="G825" s="26" t="str">
        <f>"CUAUHTEMOC                                                                      "</f>
        <v xml:space="preserve">CUAUHTEMOC                                                                      </v>
      </c>
      <c r="H825" s="26" t="str">
        <f>"097"</f>
        <v>097</v>
      </c>
      <c r="I825" s="26" t="str">
        <f t="shared" si="138"/>
        <v>00</v>
      </c>
      <c r="J825" s="26" t="str">
        <f>"81 "</f>
        <v xml:space="preserve">81 </v>
      </c>
      <c r="K825" s="26" t="str">
        <f t="shared" si="145"/>
        <v>TV</v>
      </c>
      <c r="L825" s="26" t="str">
        <f t="shared" si="146"/>
        <v>DGOSE</v>
      </c>
      <c r="M825" s="26" t="str">
        <f t="shared" si="137"/>
        <v>FEDERAL</v>
      </c>
      <c r="N825" s="26">
        <v>156</v>
      </c>
      <c r="O825" s="26">
        <v>94</v>
      </c>
      <c r="P825" s="26">
        <v>62</v>
      </c>
      <c r="Q825" s="26">
        <v>6</v>
      </c>
      <c r="R825" s="26">
        <v>1</v>
      </c>
      <c r="S825" s="26">
        <v>6</v>
      </c>
      <c r="T825" s="26">
        <v>5</v>
      </c>
      <c r="U825" s="26">
        <v>12</v>
      </c>
      <c r="V825" s="26">
        <v>1</v>
      </c>
      <c r="W825" s="26"/>
    </row>
    <row r="826" spans="1:23" x14ac:dyDescent="0.25">
      <c r="A826" s="26" t="str">
        <f t="shared" si="136"/>
        <v>SECUNDARIA</v>
      </c>
      <c r="B826" s="26" t="str">
        <f>"09DTV0071H"</f>
        <v>09DTV0071H</v>
      </c>
      <c r="C826" s="26" t="str">
        <f>"TELESECUNDARIA 71                                                                                   "</f>
        <v xml:space="preserve">TELESECUNDARIA 71                                                                                   </v>
      </c>
      <c r="D826" s="26" t="str">
        <f t="shared" si="144"/>
        <v>MATUTINO</v>
      </c>
      <c r="E826" s="26" t="str">
        <f>"TLAHUICAS Y TOTONACAS                                                           "</f>
        <v xml:space="preserve">TLAHUICAS Y TOTONACAS                                                           </v>
      </c>
      <c r="F826" s="26" t="str">
        <f>"TEZOZOMOC                                                                                                                                   "</f>
        <v xml:space="preserve">TEZOZOMOC                                                                                                                                   </v>
      </c>
      <c r="G826" s="26" t="str">
        <f>"AZCAPOTZALCO                                                                    "</f>
        <v xml:space="preserve">AZCAPOTZALCO                                                                    </v>
      </c>
      <c r="H826" s="26" t="str">
        <f>"097"</f>
        <v>097</v>
      </c>
      <c r="I826" s="26" t="str">
        <f t="shared" si="138"/>
        <v>00</v>
      </c>
      <c r="J826" s="26" t="str">
        <f>"81 "</f>
        <v xml:space="preserve">81 </v>
      </c>
      <c r="K826" s="26" t="str">
        <f t="shared" si="145"/>
        <v>TV</v>
      </c>
      <c r="L826" s="26" t="str">
        <f t="shared" si="146"/>
        <v>DGOSE</v>
      </c>
      <c r="M826" s="26" t="str">
        <f t="shared" si="137"/>
        <v>FEDERAL</v>
      </c>
      <c r="N826" s="26">
        <v>132</v>
      </c>
      <c r="O826" s="26">
        <v>85</v>
      </c>
      <c r="P826" s="26">
        <v>47</v>
      </c>
      <c r="Q826" s="26">
        <v>6</v>
      </c>
      <c r="R826" s="26">
        <v>0</v>
      </c>
      <c r="S826" s="26">
        <v>8</v>
      </c>
      <c r="T826" s="26">
        <v>4</v>
      </c>
      <c r="U826" s="26">
        <v>12</v>
      </c>
      <c r="V826" s="26">
        <v>1</v>
      </c>
      <c r="W826" s="26"/>
    </row>
    <row r="827" spans="1:23" x14ac:dyDescent="0.25">
      <c r="A827" s="26" t="str">
        <f t="shared" si="136"/>
        <v>SECUNDARIA</v>
      </c>
      <c r="B827" s="26" t="str">
        <f>"09DTV0075D"</f>
        <v>09DTV0075D</v>
      </c>
      <c r="C827" s="26" t="str">
        <f>"TELESECUNDARIA 75                                                                                   "</f>
        <v xml:space="preserve">TELESECUNDARIA 75                                                                                   </v>
      </c>
      <c r="D827" s="26" t="str">
        <f t="shared" si="144"/>
        <v>MATUTINO</v>
      </c>
      <c r="E827" s="26" t="str">
        <f>"TOTONACAS S/N MANZ 39 LOTE 24                                                   "</f>
        <v xml:space="preserve">TOTONACAS S/N MANZ 39 LOTE 24                                                   </v>
      </c>
      <c r="F827" s="26" t="str">
        <f>"AJUSCO                                                                                                                                      "</f>
        <v xml:space="preserve">AJUSCO                                                                                                                                      </v>
      </c>
      <c r="G827" s="26" t="str">
        <f>"COYOACAN                                                                        "</f>
        <v xml:space="preserve">COYOACAN                                                                        </v>
      </c>
      <c r="H827" s="26" t="str">
        <f>"101"</f>
        <v>101</v>
      </c>
      <c r="I827" s="26" t="str">
        <f t="shared" si="138"/>
        <v>00</v>
      </c>
      <c r="J827" s="26" t="str">
        <f>"84 "</f>
        <v xml:space="preserve">84 </v>
      </c>
      <c r="K827" s="26" t="str">
        <f t="shared" si="145"/>
        <v>TV</v>
      </c>
      <c r="L827" s="26" t="str">
        <f t="shared" si="146"/>
        <v>DGOSE</v>
      </c>
      <c r="M827" s="26" t="str">
        <f t="shared" si="137"/>
        <v>FEDERAL</v>
      </c>
      <c r="N827" s="26">
        <v>279</v>
      </c>
      <c r="O827" s="26">
        <v>162</v>
      </c>
      <c r="P827" s="26">
        <v>117</v>
      </c>
      <c r="Q827" s="26">
        <v>9</v>
      </c>
      <c r="R827" s="26">
        <v>1</v>
      </c>
      <c r="S827" s="26">
        <v>9</v>
      </c>
      <c r="T827" s="26">
        <v>7</v>
      </c>
      <c r="U827" s="26">
        <v>17</v>
      </c>
      <c r="V827" s="26">
        <v>1</v>
      </c>
      <c r="W827" s="26"/>
    </row>
    <row r="828" spans="1:23" x14ac:dyDescent="0.25">
      <c r="A828" s="26" t="str">
        <f t="shared" si="136"/>
        <v>SECUNDARIA</v>
      </c>
      <c r="B828" s="26" t="str">
        <f>"09DTV0076C"</f>
        <v>09DTV0076C</v>
      </c>
      <c r="C828" s="26" t="str">
        <f>"TELESECUNDARIA 76                                                                                   "</f>
        <v xml:space="preserve">TELESECUNDARIA 76                                                                                   </v>
      </c>
      <c r="D828" s="26" t="str">
        <f t="shared" si="144"/>
        <v>MATUTINO</v>
      </c>
      <c r="E828" s="26" t="str">
        <f>"AV CENTRAL MANZ 1 LOTE 5                                                        "</f>
        <v xml:space="preserve">AV CENTRAL MANZ 1 LOTE 5                                                        </v>
      </c>
      <c r="F828" s="26" t="str">
        <f>"SAN JOSE DE LA ESCALERA                                                                                                                     "</f>
        <v xml:space="preserve">SAN JOSE DE LA ESCALERA                                                                                                                     </v>
      </c>
      <c r="G828" s="26" t="str">
        <f>"GUSTAVO A. MADERO                                                               "</f>
        <v xml:space="preserve">GUSTAVO A. MADERO                                                               </v>
      </c>
      <c r="H828" s="26" t="str">
        <f>"098"</f>
        <v>098</v>
      </c>
      <c r="I828" s="26" t="str">
        <f t="shared" si="138"/>
        <v>00</v>
      </c>
      <c r="J828" s="26" t="str">
        <f>"82 "</f>
        <v xml:space="preserve">82 </v>
      </c>
      <c r="K828" s="26" t="str">
        <f t="shared" si="145"/>
        <v>TV</v>
      </c>
      <c r="L828" s="26" t="str">
        <f t="shared" si="146"/>
        <v>DGOSE</v>
      </c>
      <c r="M828" s="26" t="str">
        <f t="shared" si="137"/>
        <v>FEDERAL</v>
      </c>
      <c r="N828" s="26">
        <v>78</v>
      </c>
      <c r="O828" s="26">
        <v>48</v>
      </c>
      <c r="P828" s="26">
        <v>30</v>
      </c>
      <c r="Q828" s="26">
        <v>4</v>
      </c>
      <c r="R828" s="26">
        <v>1</v>
      </c>
      <c r="S828" s="26">
        <v>5</v>
      </c>
      <c r="T828" s="26">
        <v>3</v>
      </c>
      <c r="U828" s="26">
        <v>9</v>
      </c>
      <c r="V828" s="26">
        <v>1</v>
      </c>
      <c r="W828" s="26"/>
    </row>
    <row r="829" spans="1:23" x14ac:dyDescent="0.25">
      <c r="A829" s="26" t="str">
        <f t="shared" si="136"/>
        <v>SECUNDARIA</v>
      </c>
      <c r="B829" s="26" t="str">
        <f>"09DTV0080P"</f>
        <v>09DTV0080P</v>
      </c>
      <c r="C829" s="26" t="str">
        <f>"TELESECUNDARIA 80                                                                                   "</f>
        <v xml:space="preserve">TELESECUNDARIA 80                                                                                   </v>
      </c>
      <c r="D829" s="26" t="str">
        <f t="shared" si="144"/>
        <v>MATUTINO</v>
      </c>
      <c r="E829" s="26" t="str">
        <f>"AV LAZARO CARDENAS NUM 152                                                      "</f>
        <v xml:space="preserve">AV LAZARO CARDENAS NUM 152                                                      </v>
      </c>
      <c r="F829" s="26" t="str">
        <f>"NUEVA VALLEJO                                                                                                                               "</f>
        <v xml:space="preserve">NUEVA VALLEJO                                                                                                                               </v>
      </c>
      <c r="G829" s="26" t="str">
        <f>"GUSTAVO A. MADERO                                                               "</f>
        <v xml:space="preserve">GUSTAVO A. MADERO                                                               </v>
      </c>
      <c r="H829" s="26" t="str">
        <f>"098"</f>
        <v>098</v>
      </c>
      <c r="I829" s="26" t="str">
        <f t="shared" si="138"/>
        <v>00</v>
      </c>
      <c r="J829" s="26" t="str">
        <f>"82 "</f>
        <v xml:space="preserve">82 </v>
      </c>
      <c r="K829" s="26" t="str">
        <f t="shared" si="145"/>
        <v>TV</v>
      </c>
      <c r="L829" s="26" t="str">
        <f t="shared" si="146"/>
        <v>DGOSE</v>
      </c>
      <c r="M829" s="26" t="str">
        <f t="shared" si="137"/>
        <v>FEDERAL</v>
      </c>
      <c r="N829" s="26">
        <v>117</v>
      </c>
      <c r="O829" s="26">
        <v>71</v>
      </c>
      <c r="P829" s="26">
        <v>46</v>
      </c>
      <c r="Q829" s="26">
        <v>5</v>
      </c>
      <c r="R829" s="26">
        <v>1</v>
      </c>
      <c r="S829" s="26">
        <v>6</v>
      </c>
      <c r="T829" s="26">
        <v>4</v>
      </c>
      <c r="U829" s="26">
        <v>11</v>
      </c>
      <c r="V829" s="26">
        <v>1</v>
      </c>
      <c r="W829" s="26"/>
    </row>
    <row r="830" spans="1:23" x14ac:dyDescent="0.25">
      <c r="A830" s="26" t="str">
        <f t="shared" si="136"/>
        <v>SECUNDARIA</v>
      </c>
      <c r="B830" s="26" t="str">
        <f>"09DTV0081O"</f>
        <v>09DTV0081O</v>
      </c>
      <c r="C830" s="26" t="str">
        <f>"TELESECUNDARIA 81                                                                                   "</f>
        <v xml:space="preserve">TELESECUNDARIA 81                                                                                   </v>
      </c>
      <c r="D830" s="26" t="str">
        <f t="shared" si="144"/>
        <v>MATUTINO</v>
      </c>
      <c r="E830" s="26" t="str">
        <f>"AVE MEXICO CONTRERAS NUM 928                                                    "</f>
        <v xml:space="preserve">AVE MEXICO CONTRERAS NUM 928                                                    </v>
      </c>
      <c r="F830" s="26" t="str">
        <f>"HEROES DE PADIERNA                                                                                                                          "</f>
        <v xml:space="preserve">HEROES DE PADIERNA                                                                                                                          </v>
      </c>
      <c r="G830" s="26" t="str">
        <f>"LA MAGDALENA CONTRERAS                                                          "</f>
        <v xml:space="preserve">LA MAGDALENA CONTRERAS                                                          </v>
      </c>
      <c r="H830" s="26" t="str">
        <f>"101"</f>
        <v>101</v>
      </c>
      <c r="I830" s="26" t="str">
        <f t="shared" si="138"/>
        <v>00</v>
      </c>
      <c r="J830" s="26" t="str">
        <f>"83 "</f>
        <v xml:space="preserve">83 </v>
      </c>
      <c r="K830" s="26" t="str">
        <f t="shared" si="145"/>
        <v>TV</v>
      </c>
      <c r="L830" s="26" t="str">
        <f t="shared" si="146"/>
        <v>DGOSE</v>
      </c>
      <c r="M830" s="26" t="str">
        <f t="shared" si="137"/>
        <v>FEDERAL</v>
      </c>
      <c r="N830" s="26">
        <v>128</v>
      </c>
      <c r="O830" s="26">
        <v>85</v>
      </c>
      <c r="P830" s="26">
        <v>43</v>
      </c>
      <c r="Q830" s="26">
        <v>4</v>
      </c>
      <c r="R830" s="26">
        <v>1</v>
      </c>
      <c r="S830" s="26">
        <v>4</v>
      </c>
      <c r="T830" s="26">
        <v>2</v>
      </c>
      <c r="U830" s="26">
        <v>7</v>
      </c>
      <c r="V830" s="26">
        <v>1</v>
      </c>
      <c r="W830" s="26"/>
    </row>
    <row r="831" spans="1:23" x14ac:dyDescent="0.25">
      <c r="A831" s="26" t="str">
        <f t="shared" si="136"/>
        <v>SECUNDARIA</v>
      </c>
      <c r="B831" s="26" t="str">
        <f>"09DTV0089G"</f>
        <v>09DTV0089G</v>
      </c>
      <c r="C831" s="26" t="str">
        <f>"TELESECUNDARIA 89                                                                                   "</f>
        <v xml:space="preserve">TELESECUNDARIA 89                                                                                   </v>
      </c>
      <c r="D831" s="26" t="str">
        <f t="shared" si="144"/>
        <v>MATUTINO</v>
      </c>
      <c r="E831" s="26" t="str">
        <f>"AV CANAL DE TEZONTLE NUM 157                                                    "</f>
        <v xml:space="preserve">AV CANAL DE TEZONTLE NUM 157                                                    </v>
      </c>
      <c r="F831" s="26" t="str">
        <f>"JARDINES TECMA                                                                                                                              "</f>
        <v xml:space="preserve">JARDINES TECMA                                                                                                                              </v>
      </c>
      <c r="G831" s="26" t="str">
        <f>"IZTACALCO                                                                       "</f>
        <v xml:space="preserve">IZTACALCO                                                                       </v>
      </c>
      <c r="H831" s="26" t="str">
        <f>"099"</f>
        <v>099</v>
      </c>
      <c r="I831" s="26" t="str">
        <f t="shared" si="138"/>
        <v>00</v>
      </c>
      <c r="J831" s="26" t="str">
        <f>"84 "</f>
        <v xml:space="preserve">84 </v>
      </c>
      <c r="K831" s="26" t="str">
        <f t="shared" si="145"/>
        <v>TV</v>
      </c>
      <c r="L831" s="26" t="str">
        <f t="shared" si="146"/>
        <v>DGOSE</v>
      </c>
      <c r="M831" s="26" t="str">
        <f t="shared" si="137"/>
        <v>FEDERAL</v>
      </c>
      <c r="N831" s="26">
        <v>145</v>
      </c>
      <c r="O831" s="26">
        <v>91</v>
      </c>
      <c r="P831" s="26">
        <v>54</v>
      </c>
      <c r="Q831" s="26">
        <v>5</v>
      </c>
      <c r="R831" s="26">
        <v>1</v>
      </c>
      <c r="S831" s="26">
        <v>4</v>
      </c>
      <c r="T831" s="26">
        <v>5</v>
      </c>
      <c r="U831" s="26">
        <v>10</v>
      </c>
      <c r="V831" s="26">
        <v>1</v>
      </c>
      <c r="W831" s="26"/>
    </row>
    <row r="832" spans="1:23" x14ac:dyDescent="0.25">
      <c r="A832" s="26" t="str">
        <f t="shared" si="136"/>
        <v>SECUNDARIA</v>
      </c>
      <c r="B832" s="26" t="str">
        <f>"09DTV0091V"</f>
        <v>09DTV0091V</v>
      </c>
      <c r="C832" s="26" t="str">
        <f>"TELESECUNDARIA 91                                                                                   "</f>
        <v xml:space="preserve">TELESECUNDARIA 91                                                                                   </v>
      </c>
      <c r="D832" s="26" t="str">
        <f t="shared" si="144"/>
        <v>MATUTINO</v>
      </c>
      <c r="E832" s="26" t="str">
        <f>"VIDAL ALCOCER NUM 112                                                           "</f>
        <v xml:space="preserve">VIDAL ALCOCER NUM 112                                                           </v>
      </c>
      <c r="F832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832" s="26" t="str">
        <f>"CUAUHTEMOC                                                                      "</f>
        <v xml:space="preserve">CUAUHTEMOC                                                                      </v>
      </c>
      <c r="H832" s="26" t="str">
        <f>"097"</f>
        <v>097</v>
      </c>
      <c r="I832" s="26" t="str">
        <f t="shared" si="138"/>
        <v>00</v>
      </c>
      <c r="J832" s="26" t="str">
        <f>"81 "</f>
        <v xml:space="preserve">81 </v>
      </c>
      <c r="K832" s="26" t="str">
        <f t="shared" si="145"/>
        <v>TV</v>
      </c>
      <c r="L832" s="26" t="str">
        <f t="shared" si="146"/>
        <v>DGOSE</v>
      </c>
      <c r="M832" s="26" t="str">
        <f t="shared" si="137"/>
        <v>FEDERAL</v>
      </c>
      <c r="N832" s="26">
        <v>214</v>
      </c>
      <c r="O832" s="26">
        <v>126</v>
      </c>
      <c r="P832" s="26">
        <v>88</v>
      </c>
      <c r="Q832" s="26">
        <v>6</v>
      </c>
      <c r="R832" s="26">
        <v>1</v>
      </c>
      <c r="S832" s="26">
        <v>6</v>
      </c>
      <c r="T832" s="26">
        <v>4</v>
      </c>
      <c r="U832" s="26">
        <v>11</v>
      </c>
      <c r="V832" s="26">
        <v>1</v>
      </c>
      <c r="W832" s="26"/>
    </row>
    <row r="833" spans="1:23" x14ac:dyDescent="0.25">
      <c r="A833" s="26" t="str">
        <f t="shared" si="136"/>
        <v>SECUNDARIA</v>
      </c>
      <c r="B833" s="26" t="str">
        <f>"09DTV0094S"</f>
        <v>09DTV0094S</v>
      </c>
      <c r="C833" s="26" t="str">
        <f>"TELESECUNDARIA 94                                                                                   "</f>
        <v xml:space="preserve">TELESECUNDARIA 94                                                                                   </v>
      </c>
      <c r="D833" s="26" t="str">
        <f t="shared" si="144"/>
        <v>MATUTINO</v>
      </c>
      <c r="E833" s="26" t="str">
        <f>"VIÑA DEL MAR NUM 5                                                              "</f>
        <v xml:space="preserve">VIÑA DEL MAR NUM 5                                                              </v>
      </c>
      <c r="F833" s="26" t="str">
        <f>"SAN PEDRO ZACATENCO                                                                                                                         "</f>
        <v xml:space="preserve">SAN PEDRO ZACATENCO                                                                                                                         </v>
      </c>
      <c r="G833" s="26" t="str">
        <f>"GUSTAVO A. MADERO                                                               "</f>
        <v xml:space="preserve">GUSTAVO A. MADERO                                                               </v>
      </c>
      <c r="H833" s="26" t="str">
        <f>"098"</f>
        <v>098</v>
      </c>
      <c r="I833" s="26" t="str">
        <f t="shared" si="138"/>
        <v>00</v>
      </c>
      <c r="J833" s="26" t="str">
        <f>"82 "</f>
        <v xml:space="preserve">82 </v>
      </c>
      <c r="K833" s="26" t="str">
        <f t="shared" si="145"/>
        <v>TV</v>
      </c>
      <c r="L833" s="26" t="str">
        <f t="shared" si="146"/>
        <v>DGOSE</v>
      </c>
      <c r="M833" s="26" t="str">
        <f t="shared" si="137"/>
        <v>FEDERAL</v>
      </c>
      <c r="N833" s="26">
        <v>162</v>
      </c>
      <c r="O833" s="26">
        <v>111</v>
      </c>
      <c r="P833" s="26">
        <v>51</v>
      </c>
      <c r="Q833" s="26">
        <v>6</v>
      </c>
      <c r="R833" s="26">
        <v>1</v>
      </c>
      <c r="S833" s="26">
        <v>6</v>
      </c>
      <c r="T833" s="26">
        <v>5</v>
      </c>
      <c r="U833" s="26">
        <v>12</v>
      </c>
      <c r="V833" s="26">
        <v>1</v>
      </c>
      <c r="W833" s="26"/>
    </row>
    <row r="834" spans="1:23" x14ac:dyDescent="0.25">
      <c r="A834" s="26" t="str">
        <f t="shared" ref="A834:A897" si="148">"SECUNDARIA"</f>
        <v>SECUNDARIA</v>
      </c>
      <c r="B834" s="26" t="str">
        <f>"09DTV0101L"</f>
        <v>09DTV0101L</v>
      </c>
      <c r="C834" s="26" t="str">
        <f>"TELESECUNDARIA 101                                                                                  "</f>
        <v xml:space="preserve">TELESECUNDARIA 101                                                                                  </v>
      </c>
      <c r="D834" s="26" t="str">
        <f t="shared" si="144"/>
        <v>MATUTINO</v>
      </c>
      <c r="E834" s="26" t="str">
        <f>"S JUANA I DE LA C Y AYUNTAMIENTO                                                "</f>
        <v xml:space="preserve">S JUANA I DE LA C Y AYUNTAMIENTO                                                </v>
      </c>
      <c r="F834" s="26" t="str">
        <f>"MIGUEL HIDALGO                                                                                                                              "</f>
        <v xml:space="preserve">MIGUEL HIDALGO                                                                                                                              </v>
      </c>
      <c r="G834" s="26" t="str">
        <f>"TLALPAN                                                                         "</f>
        <v xml:space="preserve">TLALPAN                                                                         </v>
      </c>
      <c r="H834" s="26" t="str">
        <f>"101"</f>
        <v>101</v>
      </c>
      <c r="I834" s="26" t="str">
        <f t="shared" si="138"/>
        <v>00</v>
      </c>
      <c r="J834" s="26" t="str">
        <f>"85 "</f>
        <v xml:space="preserve">85 </v>
      </c>
      <c r="K834" s="26" t="str">
        <f t="shared" si="145"/>
        <v>TV</v>
      </c>
      <c r="L834" s="26" t="str">
        <f t="shared" si="146"/>
        <v>DGOSE</v>
      </c>
      <c r="M834" s="26" t="str">
        <f t="shared" ref="M834:M852" si="149">"FEDERAL"</f>
        <v>FEDERAL</v>
      </c>
      <c r="N834" s="26">
        <v>188</v>
      </c>
      <c r="O834" s="26">
        <v>119</v>
      </c>
      <c r="P834" s="26">
        <v>69</v>
      </c>
      <c r="Q834" s="26">
        <v>6</v>
      </c>
      <c r="R834" s="26">
        <v>1</v>
      </c>
      <c r="S834" s="26">
        <v>7</v>
      </c>
      <c r="T834" s="26">
        <v>6</v>
      </c>
      <c r="U834" s="26">
        <v>14</v>
      </c>
      <c r="V834" s="26">
        <v>1</v>
      </c>
      <c r="W834" s="26"/>
    </row>
    <row r="835" spans="1:23" x14ac:dyDescent="0.25">
      <c r="A835" s="26" t="str">
        <f t="shared" si="148"/>
        <v>SECUNDARIA</v>
      </c>
      <c r="B835" s="26" t="str">
        <f>"09DTV0106G"</f>
        <v>09DTV0106G</v>
      </c>
      <c r="C835" s="26" t="str">
        <f>"TELESECUNDARIA 106                                                                                  "</f>
        <v xml:space="preserve">TELESECUNDARIA 106                                                                                  </v>
      </c>
      <c r="D835" s="26" t="str">
        <f t="shared" si="144"/>
        <v>MATUTINO</v>
      </c>
      <c r="E835" s="26" t="str">
        <f>"AYUNTAMIENTO NUM 131 Y MARIANO E                                                "</f>
        <v xml:space="preserve">AYUNTAMIENTO NUM 131 Y MARIANO E                                                </v>
      </c>
      <c r="F835" s="26" t="str">
        <f>"SAN JOSE                                                                                                                                    "</f>
        <v xml:space="preserve">SAN JOSE                                                                                                                                    </v>
      </c>
      <c r="G835" s="26" t="str">
        <f>"IZTAPALAPA                                                                      "</f>
        <v xml:space="preserve">IZTAPALAPA                                                                      </v>
      </c>
      <c r="H835" s="26" t="str">
        <f>"102"</f>
        <v>102</v>
      </c>
      <c r="I835" s="26" t="str">
        <f t="shared" si="138"/>
        <v>00</v>
      </c>
      <c r="J835" s="26" t="str">
        <f>"84 "</f>
        <v xml:space="preserve">84 </v>
      </c>
      <c r="K835" s="26" t="str">
        <f t="shared" si="145"/>
        <v>TV</v>
      </c>
      <c r="L835" s="26" t="str">
        <f t="shared" si="146"/>
        <v>DGOSE</v>
      </c>
      <c r="M835" s="26" t="str">
        <f t="shared" si="149"/>
        <v>FEDERAL</v>
      </c>
      <c r="N835" s="26">
        <v>141</v>
      </c>
      <c r="O835" s="26">
        <v>92</v>
      </c>
      <c r="P835" s="26">
        <v>49</v>
      </c>
      <c r="Q835" s="26">
        <v>5</v>
      </c>
      <c r="R835" s="26">
        <v>1</v>
      </c>
      <c r="S835" s="26">
        <v>5</v>
      </c>
      <c r="T835" s="26">
        <v>4</v>
      </c>
      <c r="U835" s="26">
        <v>10</v>
      </c>
      <c r="V835" s="26">
        <v>1</v>
      </c>
      <c r="W835" s="26"/>
    </row>
    <row r="836" spans="1:23" x14ac:dyDescent="0.25">
      <c r="A836" s="26" t="str">
        <f t="shared" si="148"/>
        <v>SECUNDARIA</v>
      </c>
      <c r="B836" s="26" t="str">
        <f>"09DTV0111S"</f>
        <v>09DTV0111S</v>
      </c>
      <c r="C836" s="26" t="str">
        <f>"TELESECUNDARIA 111                                                                                  "</f>
        <v xml:space="preserve">TELESECUNDARIA 111                                                                                  </v>
      </c>
      <c r="D836" s="26" t="str">
        <f t="shared" si="144"/>
        <v>MATUTINO</v>
      </c>
      <c r="E836" s="26" t="str">
        <f>"PASEO DE LA REFORMA NTE NUM 705                                                 "</f>
        <v xml:space="preserve">PASEO DE LA REFORMA NTE NUM 705                                                 </v>
      </c>
      <c r="F836" s="26" t="str">
        <f>"PERALVILLO                                                                                                                                  "</f>
        <v xml:space="preserve">PERALVILLO                                                                                                                                  </v>
      </c>
      <c r="G836" s="26" t="str">
        <f>"CUAUHTEMOC                                                                      "</f>
        <v xml:space="preserve">CUAUHTEMOC                                                                      </v>
      </c>
      <c r="H836" s="26" t="str">
        <f>"097"</f>
        <v>097</v>
      </c>
      <c r="I836" s="26" t="str">
        <f t="shared" si="138"/>
        <v>00</v>
      </c>
      <c r="J836" s="26" t="str">
        <f>"81 "</f>
        <v xml:space="preserve">81 </v>
      </c>
      <c r="K836" s="26" t="str">
        <f t="shared" si="145"/>
        <v>TV</v>
      </c>
      <c r="L836" s="26" t="str">
        <f t="shared" si="146"/>
        <v>DGOSE</v>
      </c>
      <c r="M836" s="26" t="str">
        <f t="shared" si="149"/>
        <v>FEDERAL</v>
      </c>
      <c r="N836" s="26">
        <v>91</v>
      </c>
      <c r="O836" s="26">
        <v>63</v>
      </c>
      <c r="P836" s="26">
        <v>28</v>
      </c>
      <c r="Q836" s="26">
        <v>3</v>
      </c>
      <c r="R836" s="26">
        <v>1</v>
      </c>
      <c r="S836" s="26">
        <v>3</v>
      </c>
      <c r="T836" s="26">
        <v>2</v>
      </c>
      <c r="U836" s="26">
        <v>6</v>
      </c>
      <c r="V836" s="26">
        <v>1</v>
      </c>
      <c r="W836" s="26"/>
    </row>
    <row r="837" spans="1:23" x14ac:dyDescent="0.25">
      <c r="A837" s="26" t="str">
        <f t="shared" si="148"/>
        <v>SECUNDARIA</v>
      </c>
      <c r="B837" s="26" t="str">
        <f>"09DTV0116N"</f>
        <v>09DTV0116N</v>
      </c>
      <c r="C837" s="26" t="str">
        <f>"TELESECUNDARIA 116                                                                                  "</f>
        <v xml:space="preserve">TELESECUNDARIA 116                                                                                  </v>
      </c>
      <c r="D837" s="26" t="str">
        <f t="shared" si="144"/>
        <v>MATUTINO</v>
      </c>
      <c r="E837" s="26" t="str">
        <f>"BOLIVAR Y EJE 6 SUR                                                             "</f>
        <v xml:space="preserve">BOLIVAR Y EJE 6 SUR                                                             </v>
      </c>
      <c r="F837" s="26" t="str">
        <f>"INDEPENDENCIA                                                                                                                               "</f>
        <v xml:space="preserve">INDEPENDENCIA                                                                                                                               </v>
      </c>
      <c r="G837" s="26" t="str">
        <f>"BENITO JUAREZ                                                                   "</f>
        <v xml:space="preserve">BENITO JUAREZ                                                                   </v>
      </c>
      <c r="H837" s="26" t="str">
        <f>"097"</f>
        <v>097</v>
      </c>
      <c r="I837" s="26" t="str">
        <f t="shared" si="138"/>
        <v>00</v>
      </c>
      <c r="J837" s="26" t="str">
        <f>"83 "</f>
        <v xml:space="preserve">83 </v>
      </c>
      <c r="K837" s="26" t="str">
        <f t="shared" si="145"/>
        <v>TV</v>
      </c>
      <c r="L837" s="26" t="str">
        <f t="shared" si="146"/>
        <v>DGOSE</v>
      </c>
      <c r="M837" s="26" t="str">
        <f t="shared" si="149"/>
        <v>FEDERAL</v>
      </c>
      <c r="N837" s="26">
        <v>93</v>
      </c>
      <c r="O837" s="26">
        <v>57</v>
      </c>
      <c r="P837" s="26">
        <v>36</v>
      </c>
      <c r="Q837" s="26">
        <v>5</v>
      </c>
      <c r="R837" s="26">
        <v>1</v>
      </c>
      <c r="S837" s="26">
        <v>5</v>
      </c>
      <c r="T837" s="26">
        <v>4</v>
      </c>
      <c r="U837" s="26">
        <v>10</v>
      </c>
      <c r="V837" s="26">
        <v>1</v>
      </c>
      <c r="W837" s="26"/>
    </row>
    <row r="838" spans="1:23" x14ac:dyDescent="0.25">
      <c r="A838" s="26" t="str">
        <f t="shared" si="148"/>
        <v>SECUNDARIA</v>
      </c>
      <c r="B838" s="26" t="str">
        <f>"09DTV0120Z"</f>
        <v>09DTV0120Z</v>
      </c>
      <c r="C838" s="26" t="str">
        <f>"TELESECUNDARIA 120                                                                                  "</f>
        <v xml:space="preserve">TELESECUNDARIA 120                                                                                  </v>
      </c>
      <c r="D838" s="26" t="str">
        <f t="shared" si="144"/>
        <v>MATUTINO</v>
      </c>
      <c r="E838" s="26" t="str">
        <f>"FLORENCIO ANTILLON Y PABLO GARCIA                                               "</f>
        <v xml:space="preserve">FLORENCIO ANTILLON Y PABLO GARCIA                                               </v>
      </c>
      <c r="F838" s="26" t="str">
        <f>"JUAN ESCUTIA                                                                                                                                "</f>
        <v xml:space="preserve">JUAN ESCUTIA                                                                                                                                </v>
      </c>
      <c r="G838" s="26" t="str">
        <f>"IZTAPALAPA                                                                      "</f>
        <v xml:space="preserve">IZTAPALAPA                                                                      </v>
      </c>
      <c r="H838" s="26" t="str">
        <f>"102"</f>
        <v>102</v>
      </c>
      <c r="I838" s="26" t="str">
        <f t="shared" si="138"/>
        <v>00</v>
      </c>
      <c r="J838" s="26" t="str">
        <f>"84 "</f>
        <v xml:space="preserve">84 </v>
      </c>
      <c r="K838" s="26" t="str">
        <f t="shared" si="145"/>
        <v>TV</v>
      </c>
      <c r="L838" s="26" t="str">
        <f t="shared" si="146"/>
        <v>DGOSE</v>
      </c>
      <c r="M838" s="26" t="str">
        <f t="shared" si="149"/>
        <v>FEDERAL</v>
      </c>
      <c r="N838" s="26">
        <v>267</v>
      </c>
      <c r="O838" s="26">
        <v>145</v>
      </c>
      <c r="P838" s="26">
        <v>122</v>
      </c>
      <c r="Q838" s="26">
        <v>9</v>
      </c>
      <c r="R838" s="26">
        <v>1</v>
      </c>
      <c r="S838" s="26">
        <v>9</v>
      </c>
      <c r="T838" s="26">
        <v>7</v>
      </c>
      <c r="U838" s="26">
        <v>17</v>
      </c>
      <c r="V838" s="26">
        <v>1</v>
      </c>
      <c r="W838" s="26"/>
    </row>
    <row r="839" spans="1:23" x14ac:dyDescent="0.25">
      <c r="A839" s="26" t="str">
        <f t="shared" si="148"/>
        <v>SECUNDARIA</v>
      </c>
      <c r="B839" s="26" t="str">
        <f>"09DTV0121Z"</f>
        <v>09DTV0121Z</v>
      </c>
      <c r="C839" s="26" t="str">
        <f>"TELESECUNDARIA 121                                                                                  "</f>
        <v xml:space="preserve">TELESECUNDARIA 121                                                                                  </v>
      </c>
      <c r="D839" s="26" t="str">
        <f t="shared" si="144"/>
        <v>MATUTINO</v>
      </c>
      <c r="E839" s="26" t="str">
        <f>"ESCUDO NACIONAL S/N                                                             "</f>
        <v xml:space="preserve">ESCUDO NACIONAL S/N                                                             </v>
      </c>
      <c r="F839" s="26" t="str">
        <f>"SANTA MARIA NATIVITAS                                                                                                                       "</f>
        <v xml:space="preserve">SANTA MARIA NATIVITAS                                                                                                                       </v>
      </c>
      <c r="G839" s="26" t="str">
        <f>"XOCHIMILCO                                                                      "</f>
        <v xml:space="preserve">XOCHIMILCO                                                                      </v>
      </c>
      <c r="H839" s="26" t="str">
        <f>"100"</f>
        <v>100</v>
      </c>
      <c r="I839" s="26" t="str">
        <f t="shared" ref="I839:I902" si="150">"00"</f>
        <v>00</v>
      </c>
      <c r="J839" s="26" t="str">
        <f>"85 "</f>
        <v xml:space="preserve">85 </v>
      </c>
      <c r="K839" s="26" t="str">
        <f t="shared" si="145"/>
        <v>TV</v>
      </c>
      <c r="L839" s="26" t="str">
        <f t="shared" si="146"/>
        <v>DGOSE</v>
      </c>
      <c r="M839" s="26" t="str">
        <f t="shared" si="149"/>
        <v>FEDERAL</v>
      </c>
      <c r="N839" s="26">
        <v>378</v>
      </c>
      <c r="O839" s="26">
        <v>209</v>
      </c>
      <c r="P839" s="26">
        <v>169</v>
      </c>
      <c r="Q839" s="26">
        <v>11</v>
      </c>
      <c r="R839" s="26">
        <v>1</v>
      </c>
      <c r="S839" s="26">
        <v>11</v>
      </c>
      <c r="T839" s="26">
        <v>11</v>
      </c>
      <c r="U839" s="26">
        <v>23</v>
      </c>
      <c r="V839" s="26">
        <v>1</v>
      </c>
      <c r="W839" s="26"/>
    </row>
    <row r="840" spans="1:23" x14ac:dyDescent="0.25">
      <c r="A840" s="26" t="str">
        <f t="shared" si="148"/>
        <v>SECUNDARIA</v>
      </c>
      <c r="B840" s="26" t="str">
        <f>"09DTV0122Y"</f>
        <v>09DTV0122Y</v>
      </c>
      <c r="C840" s="26" t="str">
        <f>"TELESECUNDARIA 122                                                                                  "</f>
        <v xml:space="preserve">TELESECUNDARIA 122                                                                                  </v>
      </c>
      <c r="D840" s="26" t="str">
        <f t="shared" si="144"/>
        <v>MATUTINO</v>
      </c>
      <c r="E840" s="26" t="str">
        <f>"JUAN SANCHEZ AZCONA NUM 1705                                                    "</f>
        <v xml:space="preserve">JUAN SANCHEZ AZCONA NUM 1705                                                    </v>
      </c>
      <c r="F840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840" s="26" t="str">
        <f>"BENITO JUAREZ                                                                   "</f>
        <v xml:space="preserve">BENITO JUAREZ                                                                   </v>
      </c>
      <c r="H840" s="26" t="str">
        <f>"097"</f>
        <v>097</v>
      </c>
      <c r="I840" s="26" t="str">
        <f t="shared" si="150"/>
        <v>00</v>
      </c>
      <c r="J840" s="26" t="str">
        <f>"83 "</f>
        <v xml:space="preserve">83 </v>
      </c>
      <c r="K840" s="26" t="str">
        <f t="shared" si="145"/>
        <v>TV</v>
      </c>
      <c r="L840" s="26" t="str">
        <f t="shared" si="146"/>
        <v>DGOSE</v>
      </c>
      <c r="M840" s="26" t="str">
        <f t="shared" si="149"/>
        <v>FEDERAL</v>
      </c>
      <c r="N840" s="26">
        <v>90</v>
      </c>
      <c r="O840" s="26">
        <v>58</v>
      </c>
      <c r="P840" s="26">
        <v>32</v>
      </c>
      <c r="Q840" s="26">
        <v>4</v>
      </c>
      <c r="R840" s="26">
        <v>1</v>
      </c>
      <c r="S840" s="26">
        <v>5</v>
      </c>
      <c r="T840" s="26">
        <v>2</v>
      </c>
      <c r="U840" s="26">
        <v>8</v>
      </c>
      <c r="V840" s="26">
        <v>1</v>
      </c>
      <c r="W840" s="26"/>
    </row>
    <row r="841" spans="1:23" x14ac:dyDescent="0.25">
      <c r="A841" s="26" t="str">
        <f t="shared" si="148"/>
        <v>SECUNDARIA</v>
      </c>
      <c r="B841" s="26" t="str">
        <f>"09DTV0123X"</f>
        <v>09DTV0123X</v>
      </c>
      <c r="C841" s="26" t="str">
        <f>"LUCAS ALAMÁN                                                                                        "</f>
        <v xml:space="preserve">LUCAS ALAMÁN                                                                                        </v>
      </c>
      <c r="D841" s="26" t="str">
        <f t="shared" si="144"/>
        <v>MATUTINO</v>
      </c>
      <c r="E841" s="26" t="str">
        <f>"AVENIDA PERIFERICO ESQUINA DIAZ SOTO Y GAMA S/N                                 "</f>
        <v xml:space="preserve">AVENIDA PERIFERICO ESQUINA DIAZ SOTO Y GAMA S/N                                 </v>
      </c>
      <c r="F841" s="26" t="str">
        <f>"UNIDAD HABITACIONAL VICENTE GUERRER                                                                                                         "</f>
        <v xml:space="preserve">UNIDAD HABITACIONAL VICENTE GUERRER                                                                                                         </v>
      </c>
      <c r="G841" s="26" t="str">
        <f>"IZTAPALAPA                                                                      "</f>
        <v xml:space="preserve">IZTAPALAPA                                                                      </v>
      </c>
      <c r="H841" s="26" t="str">
        <f>"102"</f>
        <v>102</v>
      </c>
      <c r="I841" s="26" t="str">
        <f t="shared" si="150"/>
        <v>00</v>
      </c>
      <c r="J841" s="26" t="str">
        <f>"84 "</f>
        <v xml:space="preserve">84 </v>
      </c>
      <c r="K841" s="26" t="str">
        <f t="shared" si="145"/>
        <v>TV</v>
      </c>
      <c r="L841" s="26" t="str">
        <f t="shared" si="146"/>
        <v>DGOSE</v>
      </c>
      <c r="M841" s="26" t="str">
        <f t="shared" si="149"/>
        <v>FEDERAL</v>
      </c>
      <c r="N841" s="26">
        <v>82</v>
      </c>
      <c r="O841" s="26">
        <v>49</v>
      </c>
      <c r="P841" s="26">
        <v>33</v>
      </c>
      <c r="Q841" s="26">
        <v>3</v>
      </c>
      <c r="R841" s="26">
        <v>1</v>
      </c>
      <c r="S841" s="26">
        <v>3</v>
      </c>
      <c r="T841" s="26">
        <v>2</v>
      </c>
      <c r="U841" s="26">
        <v>6</v>
      </c>
      <c r="V841" s="26">
        <v>1</v>
      </c>
      <c r="W841" s="26"/>
    </row>
    <row r="842" spans="1:23" x14ac:dyDescent="0.25">
      <c r="A842" s="26" t="str">
        <f t="shared" si="148"/>
        <v>SECUNDARIA</v>
      </c>
      <c r="B842" s="26" t="str">
        <f>"09DTV0127T"</f>
        <v>09DTV0127T</v>
      </c>
      <c r="C842" s="26" t="str">
        <f>"TELESECUNDARIA 127                                                                                  "</f>
        <v xml:space="preserve">TELESECUNDARIA 127                                                                                  </v>
      </c>
      <c r="D842" s="26" t="str">
        <f t="shared" si="144"/>
        <v>MATUTINO</v>
      </c>
      <c r="E842" s="26" t="str">
        <f>"PTO MAZATLAN Y PAPANTLA                                                         "</f>
        <v xml:space="preserve">PTO MAZATLAN Y PAPANTLA                                                         </v>
      </c>
      <c r="F842" s="26" t="str">
        <f>"CASAS ALEMAN                                                                                                                                "</f>
        <v xml:space="preserve">CASAS ALEMAN                                                                                                                                </v>
      </c>
      <c r="G842" s="26" t="str">
        <f>"GUSTAVO A. MADERO                                                               "</f>
        <v xml:space="preserve">GUSTAVO A. MADERO                                                               </v>
      </c>
      <c r="H842" s="26" t="str">
        <f>"103"</f>
        <v>103</v>
      </c>
      <c r="I842" s="26" t="str">
        <f t="shared" si="150"/>
        <v>00</v>
      </c>
      <c r="J842" s="26" t="str">
        <f>"82 "</f>
        <v xml:space="preserve">82 </v>
      </c>
      <c r="K842" s="26" t="str">
        <f t="shared" si="145"/>
        <v>TV</v>
      </c>
      <c r="L842" s="26" t="str">
        <f t="shared" si="146"/>
        <v>DGOSE</v>
      </c>
      <c r="M842" s="26" t="str">
        <f t="shared" si="149"/>
        <v>FEDERAL</v>
      </c>
      <c r="N842" s="26">
        <v>91</v>
      </c>
      <c r="O842" s="26">
        <v>53</v>
      </c>
      <c r="P842" s="26">
        <v>38</v>
      </c>
      <c r="Q842" s="26">
        <v>4</v>
      </c>
      <c r="R842" s="26">
        <v>1</v>
      </c>
      <c r="S842" s="26">
        <v>4</v>
      </c>
      <c r="T842" s="26">
        <v>3</v>
      </c>
      <c r="U842" s="26">
        <v>8</v>
      </c>
      <c r="V842" s="26">
        <v>1</v>
      </c>
      <c r="W842" s="26"/>
    </row>
    <row r="843" spans="1:23" x14ac:dyDescent="0.25">
      <c r="A843" s="26" t="str">
        <f t="shared" si="148"/>
        <v>SECUNDARIA</v>
      </c>
      <c r="B843" s="26" t="str">
        <f>"09DTV0129R"</f>
        <v>09DTV0129R</v>
      </c>
      <c r="C843" s="26" t="str">
        <f>"TELESECUNDARIA 129                                                                                  "</f>
        <v xml:space="preserve">TELESECUNDARIA 129                                                                                  </v>
      </c>
      <c r="D843" s="26" t="str">
        <f t="shared" si="144"/>
        <v>MATUTINO</v>
      </c>
      <c r="E843" s="26" t="str">
        <f>"AV ACUEDUCTO S/N                                                                "</f>
        <v xml:space="preserve">AV ACUEDUCTO S/N                                                                </v>
      </c>
      <c r="F843" s="26" t="str">
        <f>"SANTA ISABEL TOLA                                                                                                                           "</f>
        <v xml:space="preserve">SANTA ISABEL TOLA                                                                                                                           </v>
      </c>
      <c r="G843" s="26" t="str">
        <f>"GUSTAVO A. MADERO                                                               "</f>
        <v xml:space="preserve">GUSTAVO A. MADERO                                                               </v>
      </c>
      <c r="H843" s="26" t="str">
        <f>"098"</f>
        <v>098</v>
      </c>
      <c r="I843" s="26" t="str">
        <f t="shared" si="150"/>
        <v>00</v>
      </c>
      <c r="J843" s="26" t="str">
        <f>"82 "</f>
        <v xml:space="preserve">82 </v>
      </c>
      <c r="K843" s="26" t="str">
        <f t="shared" si="145"/>
        <v>TV</v>
      </c>
      <c r="L843" s="26" t="str">
        <f t="shared" si="146"/>
        <v>DGOSE</v>
      </c>
      <c r="M843" s="26" t="str">
        <f t="shared" si="149"/>
        <v>FEDERAL</v>
      </c>
      <c r="N843" s="26">
        <v>119</v>
      </c>
      <c r="O843" s="26">
        <v>72</v>
      </c>
      <c r="P843" s="26">
        <v>47</v>
      </c>
      <c r="Q843" s="26">
        <v>5</v>
      </c>
      <c r="R843" s="26">
        <v>1</v>
      </c>
      <c r="S843" s="26">
        <v>6</v>
      </c>
      <c r="T843" s="26">
        <v>4</v>
      </c>
      <c r="U843" s="26">
        <v>11</v>
      </c>
      <c r="V843" s="26">
        <v>1</v>
      </c>
      <c r="W843" s="26"/>
    </row>
    <row r="844" spans="1:23" x14ac:dyDescent="0.25">
      <c r="A844" s="26" t="str">
        <f t="shared" si="148"/>
        <v>SECUNDARIA</v>
      </c>
      <c r="B844" s="26" t="str">
        <f>"09DTV0130G"</f>
        <v>09DTV0130G</v>
      </c>
      <c r="C844" s="26" t="str">
        <f>"TELESECUNDARIA 130                                                                                  "</f>
        <v xml:space="preserve">TELESECUNDARIA 130                                                                                  </v>
      </c>
      <c r="D844" s="26" t="str">
        <f t="shared" si="144"/>
        <v>MATUTINO</v>
      </c>
      <c r="E844" s="26" t="str">
        <f>"CALLE DELICIAS S/N                                                              "</f>
        <v xml:space="preserve">CALLE DELICIAS S/N                                                              </v>
      </c>
      <c r="F844" s="26" t="str">
        <f>"TLALPEXCO                                                                                                                                   "</f>
        <v xml:space="preserve">TLALPEXCO                                                                                                                                   </v>
      </c>
      <c r="G844" s="26" t="str">
        <f>"GUSTAVO A. MADERO                                                               "</f>
        <v xml:space="preserve">GUSTAVO A. MADERO                                                               </v>
      </c>
      <c r="H844" s="26" t="str">
        <f>"098"</f>
        <v>098</v>
      </c>
      <c r="I844" s="26" t="str">
        <f t="shared" si="150"/>
        <v>00</v>
      </c>
      <c r="J844" s="26" t="str">
        <f>"82 "</f>
        <v xml:space="preserve">82 </v>
      </c>
      <c r="K844" s="26" t="str">
        <f t="shared" si="145"/>
        <v>TV</v>
      </c>
      <c r="L844" s="26" t="str">
        <f t="shared" si="146"/>
        <v>DGOSE</v>
      </c>
      <c r="M844" s="26" t="str">
        <f t="shared" si="149"/>
        <v>FEDERAL</v>
      </c>
      <c r="N844" s="26">
        <v>344</v>
      </c>
      <c r="O844" s="26">
        <v>176</v>
      </c>
      <c r="P844" s="26">
        <v>168</v>
      </c>
      <c r="Q844" s="26">
        <v>9</v>
      </c>
      <c r="R844" s="26">
        <v>1</v>
      </c>
      <c r="S844" s="26">
        <v>9</v>
      </c>
      <c r="T844" s="26">
        <v>3</v>
      </c>
      <c r="U844" s="26">
        <v>13</v>
      </c>
      <c r="V844" s="26">
        <v>1</v>
      </c>
      <c r="W844" s="26"/>
    </row>
    <row r="845" spans="1:23" x14ac:dyDescent="0.25">
      <c r="A845" s="26" t="str">
        <f t="shared" si="148"/>
        <v>SECUNDARIA</v>
      </c>
      <c r="B845" s="26" t="str">
        <f>"09DTV0137Z"</f>
        <v>09DTV0137Z</v>
      </c>
      <c r="C845" s="26" t="str">
        <f>"TELESECUNDARIA 137                                                                                  "</f>
        <v xml:space="preserve">TELESECUNDARIA 137                                                                                  </v>
      </c>
      <c r="D845" s="26" t="str">
        <f t="shared" si="144"/>
        <v>MATUTINO</v>
      </c>
      <c r="E845" s="26" t="str">
        <f>"FCO I MADERO S/N                                                                "</f>
        <v xml:space="preserve">FCO I MADERO S/N                                                                </v>
      </c>
      <c r="F845" s="26" t="str">
        <f>"SAN BARTOLOME XICOMULCO                                                                                                                     "</f>
        <v xml:space="preserve">SAN BARTOLOME XICOMULCO                                                                                                                     </v>
      </c>
      <c r="G845" s="26" t="str">
        <f>"MILPA ALTA                                                                      "</f>
        <v xml:space="preserve">MILPA ALTA                                                                      </v>
      </c>
      <c r="H845" s="26" t="str">
        <f>"100"</f>
        <v>100</v>
      </c>
      <c r="I845" s="26" t="str">
        <f t="shared" si="150"/>
        <v>00</v>
      </c>
      <c r="J845" s="26" t="str">
        <f>"85 "</f>
        <v xml:space="preserve">85 </v>
      </c>
      <c r="K845" s="26" t="str">
        <f t="shared" si="145"/>
        <v>TV</v>
      </c>
      <c r="L845" s="26" t="str">
        <f t="shared" si="146"/>
        <v>DGOSE</v>
      </c>
      <c r="M845" s="26" t="str">
        <f t="shared" si="149"/>
        <v>FEDERAL</v>
      </c>
      <c r="N845" s="26">
        <v>78</v>
      </c>
      <c r="O845" s="26">
        <v>41</v>
      </c>
      <c r="P845" s="26">
        <v>37</v>
      </c>
      <c r="Q845" s="26">
        <v>3</v>
      </c>
      <c r="R845" s="26">
        <v>1</v>
      </c>
      <c r="S845" s="26">
        <v>3</v>
      </c>
      <c r="T845" s="26">
        <v>4</v>
      </c>
      <c r="U845" s="26">
        <v>8</v>
      </c>
      <c r="V845" s="26">
        <v>1</v>
      </c>
      <c r="W845" s="26"/>
    </row>
    <row r="846" spans="1:23" x14ac:dyDescent="0.25">
      <c r="A846" s="26" t="str">
        <f t="shared" si="148"/>
        <v>SECUNDARIA</v>
      </c>
      <c r="B846" s="26" t="str">
        <f>"09DTV0138Z"</f>
        <v>09DTV0138Z</v>
      </c>
      <c r="C846" s="26" t="str">
        <f>"TELESECUNDARIA 138                                                                                  "</f>
        <v xml:space="preserve">TELESECUNDARIA 138                                                                                  </v>
      </c>
      <c r="D846" s="26" t="str">
        <f t="shared" si="144"/>
        <v>MATUTINO</v>
      </c>
      <c r="E846" s="26" t="str">
        <f>"AV INSURGENTES S/N                                                              "</f>
        <v xml:space="preserve">AV INSURGENTES S/N                                                              </v>
      </c>
      <c r="F846" s="26" t="str">
        <f>"SAN LORENZO TLACOYUCAN                                                                                                                      "</f>
        <v xml:space="preserve">SAN LORENZO TLACOYUCAN                                                                                                                      </v>
      </c>
      <c r="G846" s="26" t="str">
        <f>"MILPA ALTA                                                                      "</f>
        <v xml:space="preserve">MILPA ALTA                                                                      </v>
      </c>
      <c r="H846" s="26" t="str">
        <f>"100"</f>
        <v>100</v>
      </c>
      <c r="I846" s="26" t="str">
        <f t="shared" si="150"/>
        <v>00</v>
      </c>
      <c r="J846" s="26" t="str">
        <f>"85 "</f>
        <v xml:space="preserve">85 </v>
      </c>
      <c r="K846" s="26" t="str">
        <f t="shared" si="145"/>
        <v>TV</v>
      </c>
      <c r="L846" s="26" t="str">
        <f t="shared" si="146"/>
        <v>DGOSE</v>
      </c>
      <c r="M846" s="26" t="str">
        <f t="shared" si="149"/>
        <v>FEDERAL</v>
      </c>
      <c r="N846" s="26">
        <v>209</v>
      </c>
      <c r="O846" s="26">
        <v>130</v>
      </c>
      <c r="P846" s="26">
        <v>79</v>
      </c>
      <c r="Q846" s="26">
        <v>8</v>
      </c>
      <c r="R846" s="26">
        <v>1</v>
      </c>
      <c r="S846" s="26">
        <v>7</v>
      </c>
      <c r="T846" s="26">
        <v>6</v>
      </c>
      <c r="U846" s="26">
        <v>14</v>
      </c>
      <c r="V846" s="26">
        <v>1</v>
      </c>
      <c r="W846" s="26"/>
    </row>
    <row r="847" spans="1:23" x14ac:dyDescent="0.25">
      <c r="A847" s="26" t="str">
        <f t="shared" si="148"/>
        <v>SECUNDARIA</v>
      </c>
      <c r="B847" s="26" t="str">
        <f>"09DTV0139Y"</f>
        <v>09DTV0139Y</v>
      </c>
      <c r="C847" s="26" t="str">
        <f>"TELESECUNDARIA 139                                                                                  "</f>
        <v xml:space="preserve">TELESECUNDARIA 139                                                                                  </v>
      </c>
      <c r="D847" s="26" t="str">
        <f t="shared" si="144"/>
        <v>MATUTINO</v>
      </c>
      <c r="E847" s="26" t="str">
        <f>"FABRICA DE CARTUCHOS S/N                                                        "</f>
        <v xml:space="preserve">FABRICA DE CARTUCHOS S/N                                                        </v>
      </c>
      <c r="F847" s="26" t="str">
        <f>"EL CHAMIZAL                                                                                                                                 "</f>
        <v xml:space="preserve">EL CHAMIZAL                                                                                                                                 </v>
      </c>
      <c r="G847" s="26" t="str">
        <f>"CUAJIMALPA DE MORELOS                                                           "</f>
        <v xml:space="preserve">CUAJIMALPA DE MORELOS                                                           </v>
      </c>
      <c r="H847" s="26" t="str">
        <f>"101"</f>
        <v>101</v>
      </c>
      <c r="I847" s="26" t="str">
        <f t="shared" si="150"/>
        <v>00</v>
      </c>
      <c r="J847" s="26" t="str">
        <f>"83 "</f>
        <v xml:space="preserve">83 </v>
      </c>
      <c r="K847" s="26" t="str">
        <f t="shared" si="145"/>
        <v>TV</v>
      </c>
      <c r="L847" s="26" t="str">
        <f t="shared" si="146"/>
        <v>DGOSE</v>
      </c>
      <c r="M847" s="26" t="str">
        <f t="shared" si="149"/>
        <v>FEDERAL</v>
      </c>
      <c r="N847" s="26">
        <v>134</v>
      </c>
      <c r="O847" s="26">
        <v>75</v>
      </c>
      <c r="P847" s="26">
        <v>59</v>
      </c>
      <c r="Q847" s="26">
        <v>4</v>
      </c>
      <c r="R847" s="26">
        <v>1</v>
      </c>
      <c r="S847" s="26">
        <v>4</v>
      </c>
      <c r="T847" s="26">
        <v>1</v>
      </c>
      <c r="U847" s="26">
        <v>6</v>
      </c>
      <c r="V847" s="26">
        <v>1</v>
      </c>
      <c r="W847" s="26"/>
    </row>
    <row r="848" spans="1:23" x14ac:dyDescent="0.25">
      <c r="A848" s="26" t="str">
        <f t="shared" si="148"/>
        <v>SECUNDARIA</v>
      </c>
      <c r="B848" s="26" t="str">
        <f>"09DTV0140N"</f>
        <v>09DTV0140N</v>
      </c>
      <c r="C848" s="26" t="str">
        <f>""" PABLO GONZALEZ CASANOVA ""                                                                         "</f>
        <v xml:space="preserve">" PABLO GONZALEZ CASANOVA "                                                                         </v>
      </c>
      <c r="D848" s="26" t="str">
        <f t="shared" si="144"/>
        <v>MATUTINO</v>
      </c>
      <c r="E848" s="26" t="str">
        <f>"NIÑOS HEROES S/N                                                                "</f>
        <v xml:space="preserve">NIÑOS HEROES S/N                                                                </v>
      </c>
      <c r="F848" s="26" t="str">
        <f>"SAN SALVADOR CUAUHTENCO                                                                                                                     "</f>
        <v xml:space="preserve">SAN SALVADOR CUAUHTENCO                                                                                                                     </v>
      </c>
      <c r="G848" s="26" t="str">
        <f>"MILPA ALTA                                                                      "</f>
        <v xml:space="preserve">MILPA ALTA                                                                      </v>
      </c>
      <c r="H848" s="26" t="str">
        <f>"100"</f>
        <v>100</v>
      </c>
      <c r="I848" s="26" t="str">
        <f t="shared" si="150"/>
        <v>00</v>
      </c>
      <c r="J848" s="26" t="str">
        <f>"85 "</f>
        <v xml:space="preserve">85 </v>
      </c>
      <c r="K848" s="26" t="str">
        <f t="shared" si="145"/>
        <v>TV</v>
      </c>
      <c r="L848" s="26" t="str">
        <f t="shared" si="146"/>
        <v>DGOSE</v>
      </c>
      <c r="M848" s="26" t="str">
        <f t="shared" si="149"/>
        <v>FEDERAL</v>
      </c>
      <c r="N848" s="26">
        <v>120</v>
      </c>
      <c r="O848" s="26">
        <v>70</v>
      </c>
      <c r="P848" s="26">
        <v>50</v>
      </c>
      <c r="Q848" s="26">
        <v>4</v>
      </c>
      <c r="R848" s="26">
        <v>1</v>
      </c>
      <c r="S848" s="26">
        <v>4</v>
      </c>
      <c r="T848" s="26">
        <v>3</v>
      </c>
      <c r="U848" s="26">
        <v>8</v>
      </c>
      <c r="V848" s="26">
        <v>1</v>
      </c>
      <c r="W848" s="26"/>
    </row>
    <row r="849" spans="1:23" x14ac:dyDescent="0.25">
      <c r="A849" s="26" t="str">
        <f t="shared" si="148"/>
        <v>SECUNDARIA</v>
      </c>
      <c r="B849" s="26" t="str">
        <f>"09DTV0141M"</f>
        <v>09DTV0141M</v>
      </c>
      <c r="C849" s="26" t="str">
        <f>"TELESECUNDARIA                                                                                      "</f>
        <v xml:space="preserve">TELESECUNDARIA                                                                                      </v>
      </c>
      <c r="D849" s="26" t="str">
        <f t="shared" si="144"/>
        <v>MATUTINO</v>
      </c>
      <c r="E849" s="26" t="str">
        <f>"CASA COMUNAL                                                                    "</f>
        <v xml:space="preserve">CASA COMUNAL                                                                    </v>
      </c>
      <c r="F849" s="26" t="str">
        <f>"SAN LORENZO ACOPILCO                                                                                                                        "</f>
        <v xml:space="preserve">SAN LORENZO ACOPILCO                                                                                                                        </v>
      </c>
      <c r="G849" s="26" t="str">
        <f>"CUAJIMALPA DE MORELOS                                                           "</f>
        <v xml:space="preserve">CUAJIMALPA DE MORELOS                                                           </v>
      </c>
      <c r="H849" s="26" t="str">
        <f>"101"</f>
        <v>101</v>
      </c>
      <c r="I849" s="26" t="str">
        <f t="shared" si="150"/>
        <v>00</v>
      </c>
      <c r="J849" s="26" t="str">
        <f>"83 "</f>
        <v xml:space="preserve">83 </v>
      </c>
      <c r="K849" s="26" t="str">
        <f t="shared" si="145"/>
        <v>TV</v>
      </c>
      <c r="L849" s="26" t="str">
        <f t="shared" si="146"/>
        <v>DGOSE</v>
      </c>
      <c r="M849" s="26" t="str">
        <f t="shared" si="149"/>
        <v>FEDERAL</v>
      </c>
      <c r="N849" s="26">
        <v>113</v>
      </c>
      <c r="O849" s="26">
        <v>63</v>
      </c>
      <c r="P849" s="26">
        <v>50</v>
      </c>
      <c r="Q849" s="26">
        <v>3</v>
      </c>
      <c r="R849" s="26">
        <v>1</v>
      </c>
      <c r="S849" s="26">
        <v>3</v>
      </c>
      <c r="T849" s="26">
        <v>2</v>
      </c>
      <c r="U849" s="26">
        <v>6</v>
      </c>
      <c r="V849" s="26">
        <v>1</v>
      </c>
      <c r="W849" s="26"/>
    </row>
    <row r="850" spans="1:23" x14ac:dyDescent="0.25">
      <c r="A850" s="26" t="str">
        <f t="shared" si="148"/>
        <v>SECUNDARIA</v>
      </c>
      <c r="B850" s="26" t="str">
        <f>"09DTV0143K"</f>
        <v>09DTV0143K</v>
      </c>
      <c r="C850" s="26" t="str">
        <f>"TELESECUNDARIA                                                                                      "</f>
        <v xml:space="preserve">TELESECUNDARIA                                                                                      </v>
      </c>
      <c r="D850" s="26" t="str">
        <f t="shared" si="144"/>
        <v>MATUTINO</v>
      </c>
      <c r="E850" s="26" t="str">
        <f>"EJE 10 SUR S/N ESQ ESTANISLAO RAMIREZ                                           "</f>
        <v xml:space="preserve">EJE 10 SUR S/N ESQ ESTANISLAO RAMIREZ                                           </v>
      </c>
      <c r="F850" s="26" t="str">
        <f>"SELENE AMPLIACION                                                                                                                           "</f>
        <v xml:space="preserve">SELENE AMPLIACION                                                                                                                           </v>
      </c>
      <c r="G850" s="26" t="str">
        <f>"TLAHUAC                                                                         "</f>
        <v xml:space="preserve">TLAHUAC                                                                         </v>
      </c>
      <c r="H850" s="26" t="str">
        <f>"100"</f>
        <v>100</v>
      </c>
      <c r="I850" s="26" t="str">
        <f t="shared" si="150"/>
        <v>00</v>
      </c>
      <c r="J850" s="26" t="str">
        <f>"85 "</f>
        <v xml:space="preserve">85 </v>
      </c>
      <c r="K850" s="26" t="str">
        <f t="shared" si="145"/>
        <v>TV</v>
      </c>
      <c r="L850" s="26" t="str">
        <f t="shared" si="146"/>
        <v>DGOSE</v>
      </c>
      <c r="M850" s="26" t="str">
        <f t="shared" si="149"/>
        <v>FEDERAL</v>
      </c>
      <c r="N850" s="26">
        <v>151</v>
      </c>
      <c r="O850" s="26">
        <v>102</v>
      </c>
      <c r="P850" s="26">
        <v>49</v>
      </c>
      <c r="Q850" s="26">
        <v>6</v>
      </c>
      <c r="R850" s="26">
        <v>1</v>
      </c>
      <c r="S850" s="26">
        <v>7</v>
      </c>
      <c r="T850" s="26">
        <v>9</v>
      </c>
      <c r="U850" s="26">
        <v>17</v>
      </c>
      <c r="V850" s="26">
        <v>1</v>
      </c>
      <c r="W850" s="26"/>
    </row>
    <row r="851" spans="1:23" x14ac:dyDescent="0.25">
      <c r="A851" s="26" t="str">
        <f t="shared" si="148"/>
        <v>SECUNDARIA</v>
      </c>
      <c r="B851" s="26" t="str">
        <f>"09DTV0144J"</f>
        <v>09DTV0144J</v>
      </c>
      <c r="C851" s="26" t="str">
        <f>"TELESECUNDARIA 1                                                                                    "</f>
        <v xml:space="preserve">TELESECUNDARIA 1                                                                                    </v>
      </c>
      <c r="D851" s="26" t="str">
        <f>"VESPERTINO"</f>
        <v>VESPERTINO</v>
      </c>
      <c r="E851" s="26" t="str">
        <f>"MIGUEL LERDO DE TEJADA Y E. URANGA S/N                                          "</f>
        <v xml:space="preserve">MIGUEL LERDO DE TEJADA Y E. URANGA S/N                                          </v>
      </c>
      <c r="F851" s="26" t="str">
        <f>"EL TEPETATAL                                                                                                                                "</f>
        <v xml:space="preserve">EL TEPETATAL                                                                                                                                </v>
      </c>
      <c r="G851" s="26" t="str">
        <f>"GUSTAVO A. MADERO                                                               "</f>
        <v xml:space="preserve">GUSTAVO A. MADERO                                                               </v>
      </c>
      <c r="H851" s="26" t="str">
        <f>"001"</f>
        <v>001</v>
      </c>
      <c r="I851" s="26" t="str">
        <f t="shared" si="150"/>
        <v>00</v>
      </c>
      <c r="J851" s="26" t="str">
        <f>"82 "</f>
        <v xml:space="preserve">82 </v>
      </c>
      <c r="K851" s="26" t="str">
        <f t="shared" si="145"/>
        <v>TV</v>
      </c>
      <c r="L851" s="26" t="str">
        <f t="shared" si="146"/>
        <v>DGOSE</v>
      </c>
      <c r="M851" s="26" t="str">
        <f t="shared" si="149"/>
        <v>FEDERAL</v>
      </c>
      <c r="N851" s="26">
        <v>96</v>
      </c>
      <c r="O851" s="26">
        <v>68</v>
      </c>
      <c r="P851" s="26">
        <v>28</v>
      </c>
      <c r="Q851" s="26">
        <v>4</v>
      </c>
      <c r="R851" s="26">
        <v>1</v>
      </c>
      <c r="S851" s="26">
        <v>4</v>
      </c>
      <c r="T851" s="26">
        <v>1</v>
      </c>
      <c r="U851" s="26">
        <v>6</v>
      </c>
      <c r="V851" s="26">
        <v>1</v>
      </c>
      <c r="W851" s="26"/>
    </row>
    <row r="852" spans="1:23" x14ac:dyDescent="0.25">
      <c r="A852" s="26" t="str">
        <f t="shared" si="148"/>
        <v>SECUNDARIA</v>
      </c>
      <c r="B852" s="26" t="str">
        <f>"09DTV0145I"</f>
        <v>09DTV0145I</v>
      </c>
      <c r="C852" s="26" t="str">
        <f>"TELESECUNDARIA                                                                                      "</f>
        <v xml:space="preserve">TELESECUNDARIA                                                                                      </v>
      </c>
      <c r="D852" s="26" t="str">
        <f>"VESPERTINO"</f>
        <v>VESPERTINO</v>
      </c>
      <c r="E852" s="26" t="str">
        <f>"FABRICA DE CARTUCHOS S/N                                                        "</f>
        <v xml:space="preserve">FABRICA DE CARTUCHOS S/N                                                        </v>
      </c>
      <c r="F852" s="26" t="str">
        <f>"EL CHAMIZAL                                                                                                                                 "</f>
        <v xml:space="preserve">EL CHAMIZAL                                                                                                                                 </v>
      </c>
      <c r="G852" s="26" t="str">
        <f>"CUAJIMALPA DE MORELOS                                                           "</f>
        <v xml:space="preserve">CUAJIMALPA DE MORELOS                                                           </v>
      </c>
      <c r="H852" s="26" t="str">
        <f>"101"</f>
        <v>101</v>
      </c>
      <c r="I852" s="26" t="str">
        <f t="shared" si="150"/>
        <v>00</v>
      </c>
      <c r="J852" s="26" t="str">
        <f>"83 "</f>
        <v xml:space="preserve">83 </v>
      </c>
      <c r="K852" s="26" t="str">
        <f t="shared" si="145"/>
        <v>TV</v>
      </c>
      <c r="L852" s="26" t="str">
        <f t="shared" si="146"/>
        <v>DGOSE</v>
      </c>
      <c r="M852" s="26" t="str">
        <f t="shared" si="149"/>
        <v>FEDERAL</v>
      </c>
      <c r="N852" s="26">
        <v>29</v>
      </c>
      <c r="O852" s="26">
        <v>22</v>
      </c>
      <c r="P852" s="26">
        <v>7</v>
      </c>
      <c r="Q852" s="26">
        <v>2</v>
      </c>
      <c r="R852" s="26">
        <v>0</v>
      </c>
      <c r="S852" s="26">
        <v>2</v>
      </c>
      <c r="T852" s="26">
        <v>0</v>
      </c>
      <c r="U852" s="26">
        <v>2</v>
      </c>
      <c r="V852" s="26">
        <v>1</v>
      </c>
      <c r="W852" s="26"/>
    </row>
    <row r="853" spans="1:23" x14ac:dyDescent="0.25">
      <c r="A853" s="26" t="str">
        <f t="shared" si="148"/>
        <v>SECUNDARIA</v>
      </c>
      <c r="B853" s="26" t="str">
        <f>"09PES0004I"</f>
        <v>09PES0004I</v>
      </c>
      <c r="C853" s="26" t="str">
        <f>"HISPANO AMERICANO                                                                                   "</f>
        <v xml:space="preserve">HISPANO AMERICANO                                                                                   </v>
      </c>
      <c r="D853" s="26" t="str">
        <f t="shared" ref="D853:D914" si="151">"MATUTINO"</f>
        <v>MATUTINO</v>
      </c>
      <c r="E853" s="26" t="str">
        <f>"DR ATL NO 199                                                                   "</f>
        <v xml:space="preserve">DR ATL NO 199                                                                   </v>
      </c>
      <c r="F853" s="26" t="str">
        <f>"SANTA MARIA LA RIBERA                                                                                                                       "</f>
        <v xml:space="preserve">SANTA MARIA LA RIBERA                                                                                                                       </v>
      </c>
      <c r="G853" s="26" t="str">
        <f>"CUAUHTEMOC                                                                      "</f>
        <v xml:space="preserve">CUAUHTEMOC                                                                      </v>
      </c>
      <c r="H853" s="26" t="str">
        <f>"027"</f>
        <v>027</v>
      </c>
      <c r="I853" s="26" t="str">
        <f t="shared" si="150"/>
        <v>00</v>
      </c>
      <c r="J853" s="26" t="str">
        <f>"51 "</f>
        <v xml:space="preserve">51 </v>
      </c>
      <c r="K853" s="26" t="str">
        <f t="shared" ref="K853:K865" si="152">"SG"</f>
        <v>SG</v>
      </c>
      <c r="L853" s="26" t="str">
        <f t="shared" si="146"/>
        <v>DGOSE</v>
      </c>
      <c r="M853" s="26" t="str">
        <f t="shared" ref="M853:M916" si="153">"PARTICULAR"</f>
        <v>PARTICULAR</v>
      </c>
      <c r="N853" s="26">
        <v>252</v>
      </c>
      <c r="O853" s="26">
        <v>129</v>
      </c>
      <c r="P853" s="26">
        <v>123</v>
      </c>
      <c r="Q853" s="26">
        <v>9</v>
      </c>
      <c r="R853" s="26">
        <v>2</v>
      </c>
      <c r="S853" s="26">
        <v>18</v>
      </c>
      <c r="T853" s="26">
        <v>5</v>
      </c>
      <c r="U853" s="26">
        <v>25</v>
      </c>
      <c r="V853" s="26">
        <v>1</v>
      </c>
      <c r="W853" s="26"/>
    </row>
    <row r="854" spans="1:23" x14ac:dyDescent="0.25">
      <c r="A854" s="26" t="str">
        <f t="shared" si="148"/>
        <v>SECUNDARIA</v>
      </c>
      <c r="B854" s="26" t="str">
        <f>"09PES0005H"</f>
        <v>09PES0005H</v>
      </c>
      <c r="C854" s="26" t="str">
        <f>"COLEGIO ISRAELITA DE MEXICO                                                                         "</f>
        <v xml:space="preserve">COLEGIO ISRAELITA DE MEXICO                                                                         </v>
      </c>
      <c r="D854" s="26" t="str">
        <f t="shared" si="151"/>
        <v>MATUTINO</v>
      </c>
      <c r="E854" s="26" t="str">
        <f>"2DO RETORNO DEL RECUERDO 44                                                     "</f>
        <v xml:space="preserve">2DO RETORNO DEL RECUERDO 44                                                     </v>
      </c>
      <c r="F854" s="26" t="str">
        <f>"LOMAS DE VISTA HERMOSA                                                                                                                      "</f>
        <v xml:space="preserve">LOMAS DE VISTA HERMOSA                                                                                                                      </v>
      </c>
      <c r="G854" s="26" t="str">
        <f>"CUAJIMALPA DE MORELOS                                                           "</f>
        <v xml:space="preserve">CUAJIMALPA DE MORELOS                                                           </v>
      </c>
      <c r="H854" s="26" t="str">
        <f>"023"</f>
        <v>023</v>
      </c>
      <c r="I854" s="26" t="str">
        <f t="shared" si="150"/>
        <v>00</v>
      </c>
      <c r="J854" s="26" t="str">
        <f>"53 "</f>
        <v xml:space="preserve">53 </v>
      </c>
      <c r="K854" s="26" t="str">
        <f t="shared" si="152"/>
        <v>SG</v>
      </c>
      <c r="L854" s="26" t="str">
        <f t="shared" si="146"/>
        <v>DGOSE</v>
      </c>
      <c r="M854" s="26" t="str">
        <f t="shared" si="153"/>
        <v>PARTICULAR</v>
      </c>
      <c r="N854" s="26">
        <v>127</v>
      </c>
      <c r="O854" s="26">
        <v>77</v>
      </c>
      <c r="P854" s="26">
        <v>50</v>
      </c>
      <c r="Q854" s="26">
        <v>5</v>
      </c>
      <c r="R854" s="26">
        <v>2</v>
      </c>
      <c r="S854" s="26">
        <v>14</v>
      </c>
      <c r="T854" s="26">
        <v>15</v>
      </c>
      <c r="U854" s="26">
        <v>31</v>
      </c>
      <c r="V854" s="26">
        <v>1</v>
      </c>
      <c r="W854" s="26"/>
    </row>
    <row r="855" spans="1:23" x14ac:dyDescent="0.25">
      <c r="A855" s="26" t="str">
        <f t="shared" si="148"/>
        <v>SECUNDARIA</v>
      </c>
      <c r="B855" s="26" t="str">
        <f>"09PES0006G"</f>
        <v>09PES0006G</v>
      </c>
      <c r="C855" s="26" t="str">
        <f>"COLEGIO WILLIAMS                                                                                    "</f>
        <v xml:space="preserve">COLEGIO WILLIAMS                                                                                    </v>
      </c>
      <c r="D855" s="26" t="str">
        <f t="shared" si="151"/>
        <v>MATUTINO</v>
      </c>
      <c r="E855" s="26" t="str">
        <f>"EMPRESA 8                                                                       "</f>
        <v xml:space="preserve">EMPRESA 8                                                                       </v>
      </c>
      <c r="F855" s="26" t="str">
        <f>"INSURGENTES MIXCOAC                                                                                                                         "</f>
        <v xml:space="preserve">INSURGENTES MIXCOAC                                                                                                                         </v>
      </c>
      <c r="G855" s="26" t="str">
        <f>"BENITO JUAREZ                                                                   "</f>
        <v xml:space="preserve">BENITO JUAREZ                                                                   </v>
      </c>
      <c r="H855" s="26" t="str">
        <f>"011"</f>
        <v>011</v>
      </c>
      <c r="I855" s="26" t="str">
        <f t="shared" si="150"/>
        <v>00</v>
      </c>
      <c r="J855" s="26" t="str">
        <f>"53 "</f>
        <v xml:space="preserve">53 </v>
      </c>
      <c r="K855" s="26" t="str">
        <f t="shared" si="152"/>
        <v>SG</v>
      </c>
      <c r="L855" s="26" t="str">
        <f t="shared" si="146"/>
        <v>DGOSE</v>
      </c>
      <c r="M855" s="26" t="str">
        <f t="shared" si="153"/>
        <v>PARTICULAR</v>
      </c>
      <c r="N855" s="26">
        <v>354</v>
      </c>
      <c r="O855" s="26">
        <v>182</v>
      </c>
      <c r="P855" s="26">
        <v>172</v>
      </c>
      <c r="Q855" s="26">
        <v>10</v>
      </c>
      <c r="R855" s="26">
        <v>2</v>
      </c>
      <c r="S855" s="26">
        <v>32</v>
      </c>
      <c r="T855" s="26">
        <v>7</v>
      </c>
      <c r="U855" s="26">
        <v>41</v>
      </c>
      <c r="V855" s="26">
        <v>1</v>
      </c>
      <c r="W855" s="26"/>
    </row>
    <row r="856" spans="1:23" x14ac:dyDescent="0.25">
      <c r="A856" s="26" t="str">
        <f t="shared" si="148"/>
        <v>SECUNDARIA</v>
      </c>
      <c r="B856" s="26" t="str">
        <f>"09PES0011S"</f>
        <v>09PES0011S</v>
      </c>
      <c r="C856" s="26" t="str">
        <f>"LICEO FRANCO MEXICANO                                                                               "</f>
        <v xml:space="preserve">LICEO FRANCO MEXICANO                                                                               </v>
      </c>
      <c r="D856" s="26" t="str">
        <f t="shared" si="151"/>
        <v>MATUTINO</v>
      </c>
      <c r="E856" s="26" t="str">
        <f>"AV HOMERO NUM 1521                                                              "</f>
        <v xml:space="preserve">AV HOMERO NUM 1521                                                              </v>
      </c>
      <c r="F856" s="26" t="str">
        <f>"POLANCO REFORMA                                                                                                                             "</f>
        <v xml:space="preserve">POLANCO REFORMA                                                                                                                             </v>
      </c>
      <c r="G856" s="26" t="str">
        <f>"MIGUEL HIDALGO                                                                  "</f>
        <v xml:space="preserve">MIGUEL HIDALGO                                                                  </v>
      </c>
      <c r="H856" s="26" t="str">
        <f>"062"</f>
        <v>062</v>
      </c>
      <c r="I856" s="26" t="str">
        <f t="shared" si="150"/>
        <v>00</v>
      </c>
      <c r="J856" s="26" t="str">
        <f>"51 "</f>
        <v xml:space="preserve">51 </v>
      </c>
      <c r="K856" s="26" t="str">
        <f t="shared" si="152"/>
        <v>SG</v>
      </c>
      <c r="L856" s="26" t="str">
        <f t="shared" si="146"/>
        <v>DGOSE</v>
      </c>
      <c r="M856" s="26" t="str">
        <f t="shared" si="153"/>
        <v>PARTICULAR</v>
      </c>
      <c r="N856" s="26">
        <v>83</v>
      </c>
      <c r="O856" s="26">
        <v>31</v>
      </c>
      <c r="P856" s="26">
        <v>52</v>
      </c>
      <c r="Q856" s="26">
        <v>3</v>
      </c>
      <c r="R856" s="26">
        <v>2</v>
      </c>
      <c r="S856" s="26">
        <v>15</v>
      </c>
      <c r="T856" s="26">
        <v>2</v>
      </c>
      <c r="U856" s="26">
        <v>19</v>
      </c>
      <c r="V856" s="26">
        <v>1</v>
      </c>
      <c r="W856" s="26"/>
    </row>
    <row r="857" spans="1:23" x14ac:dyDescent="0.25">
      <c r="A857" s="26" t="str">
        <f t="shared" si="148"/>
        <v>SECUNDARIA</v>
      </c>
      <c r="B857" s="26" t="str">
        <f>"09PES0015O"</f>
        <v>09PES0015O</v>
      </c>
      <c r="C857" s="26" t="str">
        <f>"ACADEMIA MODERNA                                                                                    "</f>
        <v xml:space="preserve">ACADEMIA MODERNA                                                                                    </v>
      </c>
      <c r="D857" s="26" t="str">
        <f t="shared" si="151"/>
        <v>MATUTINO</v>
      </c>
      <c r="E857" s="26" t="str">
        <f>"AMERICA 184                                                                     "</f>
        <v xml:space="preserve">AMERICA 184                                                                     </v>
      </c>
      <c r="F857" s="26" t="str">
        <f>"PARQUE SAN ANDRES                                                                                                                           "</f>
        <v xml:space="preserve">PARQUE SAN ANDRES                                                                                                                           </v>
      </c>
      <c r="G857" s="26" t="str">
        <f>"COYOACAN                                                                        "</f>
        <v xml:space="preserve">COYOACAN                                                                        </v>
      </c>
      <c r="H857" s="26" t="str">
        <f>"018"</f>
        <v>018</v>
      </c>
      <c r="I857" s="26" t="str">
        <f t="shared" si="150"/>
        <v>00</v>
      </c>
      <c r="J857" s="26" t="str">
        <f>"54 "</f>
        <v xml:space="preserve">54 </v>
      </c>
      <c r="K857" s="26" t="str">
        <f t="shared" si="152"/>
        <v>SG</v>
      </c>
      <c r="L857" s="26" t="str">
        <f t="shared" si="146"/>
        <v>DGOSE</v>
      </c>
      <c r="M857" s="26" t="str">
        <f t="shared" si="153"/>
        <v>PARTICULAR</v>
      </c>
      <c r="N857" s="26">
        <v>237</v>
      </c>
      <c r="O857" s="26">
        <v>91</v>
      </c>
      <c r="P857" s="26">
        <v>146</v>
      </c>
      <c r="Q857" s="26">
        <v>8</v>
      </c>
      <c r="R857" s="26">
        <v>2</v>
      </c>
      <c r="S857" s="26">
        <v>18</v>
      </c>
      <c r="T857" s="26">
        <v>2</v>
      </c>
      <c r="U857" s="26">
        <v>22</v>
      </c>
      <c r="V857" s="26">
        <v>1</v>
      </c>
      <c r="W857" s="26"/>
    </row>
    <row r="858" spans="1:23" x14ac:dyDescent="0.25">
      <c r="A858" s="26" t="str">
        <f t="shared" si="148"/>
        <v>SECUNDARIA</v>
      </c>
      <c r="B858" s="26" t="str">
        <f>"09PES0018L"</f>
        <v>09PES0018L</v>
      </c>
      <c r="C858" s="26" t="str">
        <f>"INSTITUTO MORELOS                                                                                   "</f>
        <v xml:space="preserve">INSTITUTO MORELOS                                                                                   </v>
      </c>
      <c r="D858" s="26" t="str">
        <f t="shared" si="151"/>
        <v>MATUTINO</v>
      </c>
      <c r="E858" s="26" t="str">
        <f>"GOLFO DE CAMPECHE NO 17                                                         "</f>
        <v xml:space="preserve">GOLFO DE CAMPECHE NO 17                                                         </v>
      </c>
      <c r="F858" s="26" t="str">
        <f>"TACUBA                                                                                                                                      "</f>
        <v xml:space="preserve">TACUBA                                                                                                                                      </v>
      </c>
      <c r="G858" s="26" t="str">
        <f>"MIGUEL HIDALGO                                                                  "</f>
        <v xml:space="preserve">MIGUEL HIDALGO                                                                  </v>
      </c>
      <c r="H858" s="26" t="str">
        <f>"065"</f>
        <v>065</v>
      </c>
      <c r="I858" s="26" t="str">
        <f t="shared" si="150"/>
        <v>00</v>
      </c>
      <c r="J858" s="26" t="str">
        <f>"51 "</f>
        <v xml:space="preserve">51 </v>
      </c>
      <c r="K858" s="26" t="str">
        <f t="shared" si="152"/>
        <v>SG</v>
      </c>
      <c r="L858" s="26" t="str">
        <f t="shared" si="146"/>
        <v>DGOSE</v>
      </c>
      <c r="M858" s="26" t="str">
        <f t="shared" si="153"/>
        <v>PARTICULAR</v>
      </c>
      <c r="N858" s="26">
        <v>198</v>
      </c>
      <c r="O858" s="26">
        <v>102</v>
      </c>
      <c r="P858" s="26">
        <v>96</v>
      </c>
      <c r="Q858" s="26">
        <v>7</v>
      </c>
      <c r="R858" s="26">
        <v>2</v>
      </c>
      <c r="S858" s="26">
        <v>15</v>
      </c>
      <c r="T858" s="26">
        <v>7</v>
      </c>
      <c r="U858" s="26">
        <v>24</v>
      </c>
      <c r="V858" s="26">
        <v>1</v>
      </c>
      <c r="W858" s="26"/>
    </row>
    <row r="859" spans="1:23" x14ac:dyDescent="0.25">
      <c r="A859" s="26" t="str">
        <f t="shared" si="148"/>
        <v>SECUNDARIA</v>
      </c>
      <c r="B859" s="26" t="str">
        <f>"09PES0022Y"</f>
        <v>09PES0022Y</v>
      </c>
      <c r="C859" s="26" t="str">
        <f>"COLEGIO LESTONNAC                                                                                   "</f>
        <v xml:space="preserve">COLEGIO LESTONNAC                                                                                   </v>
      </c>
      <c r="D859" s="26" t="str">
        <f t="shared" si="151"/>
        <v>MATUTINO</v>
      </c>
      <c r="E859" s="26" t="str">
        <f>"CAFETALES 140                                                                   "</f>
        <v xml:space="preserve">CAFETALES 140                                                                   </v>
      </c>
      <c r="F859" s="26" t="str">
        <f>"RESIDENCIAL EX-HACIENDA COAPA                                                                                                               "</f>
        <v xml:space="preserve">RESIDENCIAL EX-HACIENDA COAPA                                                                                                               </v>
      </c>
      <c r="G859" s="26" t="str">
        <f>"TLALPAN                                                                         "</f>
        <v xml:space="preserve">TLALPAN                                                                         </v>
      </c>
      <c r="H859" s="26" t="str">
        <f>"070"</f>
        <v>070</v>
      </c>
      <c r="I859" s="26" t="str">
        <f t="shared" si="150"/>
        <v>00</v>
      </c>
      <c r="J859" s="26" t="str">
        <f>"55 "</f>
        <v xml:space="preserve">55 </v>
      </c>
      <c r="K859" s="26" t="str">
        <f t="shared" si="152"/>
        <v>SG</v>
      </c>
      <c r="L859" s="26" t="str">
        <f t="shared" si="146"/>
        <v>DGOSE</v>
      </c>
      <c r="M859" s="26" t="str">
        <f t="shared" si="153"/>
        <v>PARTICULAR</v>
      </c>
      <c r="N859" s="26">
        <v>161</v>
      </c>
      <c r="O859" s="26">
        <v>77</v>
      </c>
      <c r="P859" s="26">
        <v>84</v>
      </c>
      <c r="Q859" s="26">
        <v>6</v>
      </c>
      <c r="R859" s="26">
        <v>2</v>
      </c>
      <c r="S859" s="26">
        <v>18</v>
      </c>
      <c r="T859" s="26">
        <v>5</v>
      </c>
      <c r="U859" s="26">
        <v>25</v>
      </c>
      <c r="V859" s="26">
        <v>1</v>
      </c>
      <c r="W859" s="26"/>
    </row>
    <row r="860" spans="1:23" x14ac:dyDescent="0.25">
      <c r="A860" s="26" t="str">
        <f t="shared" si="148"/>
        <v>SECUNDARIA</v>
      </c>
      <c r="B860" s="26" t="str">
        <f>"09PES0023X"</f>
        <v>09PES0023X</v>
      </c>
      <c r="C860" s="26" t="str">
        <f>"COLEGIO LA FLORIDA                                                                                  "</f>
        <v xml:space="preserve">COLEGIO LA FLORIDA                                                                                  </v>
      </c>
      <c r="D860" s="26" t="str">
        <f t="shared" si="151"/>
        <v>MATUTINO</v>
      </c>
      <c r="E860" s="26" t="str">
        <f>"INDIANA 165                                                                     "</f>
        <v xml:space="preserve">INDIANA 165                                                                     </v>
      </c>
      <c r="F860" s="26" t="str">
        <f>"NAPOLES                                                                                                                                     "</f>
        <v xml:space="preserve">NAPOLES                                                                                                                                     </v>
      </c>
      <c r="G860" s="26" t="str">
        <f>"BENITO JUAREZ                                                                   "</f>
        <v xml:space="preserve">BENITO JUAREZ                                                                   </v>
      </c>
      <c r="H860" s="26" t="str">
        <f>"014"</f>
        <v>014</v>
      </c>
      <c r="I860" s="26" t="str">
        <f t="shared" si="150"/>
        <v>00</v>
      </c>
      <c r="J860" s="26" t="str">
        <f>"53 "</f>
        <v xml:space="preserve">53 </v>
      </c>
      <c r="K860" s="26" t="str">
        <f t="shared" si="152"/>
        <v>SG</v>
      </c>
      <c r="L860" s="26" t="str">
        <f t="shared" si="146"/>
        <v>DGOSE</v>
      </c>
      <c r="M860" s="26" t="str">
        <f t="shared" si="153"/>
        <v>PARTICULAR</v>
      </c>
      <c r="N860" s="26">
        <v>254</v>
      </c>
      <c r="O860" s="26">
        <v>90</v>
      </c>
      <c r="P860" s="26">
        <v>164</v>
      </c>
      <c r="Q860" s="26">
        <v>8</v>
      </c>
      <c r="R860" s="26">
        <v>2</v>
      </c>
      <c r="S860" s="26">
        <v>23</v>
      </c>
      <c r="T860" s="26">
        <v>4</v>
      </c>
      <c r="U860" s="26">
        <v>29</v>
      </c>
      <c r="V860" s="26">
        <v>1</v>
      </c>
      <c r="W860" s="26"/>
    </row>
    <row r="861" spans="1:23" x14ac:dyDescent="0.25">
      <c r="A861" s="26" t="str">
        <f t="shared" si="148"/>
        <v>SECUNDARIA</v>
      </c>
      <c r="B861" s="26" t="str">
        <f>"09PES0027T"</f>
        <v>09PES0027T</v>
      </c>
      <c r="C861" s="26" t="str">
        <f>"COLEGIO DE SAN IGNACIO DE LOYOLA (VIZCAINAS) INSTITUCION DE ASISTENCIA PRIVADA                      "</f>
        <v xml:space="preserve">COLEGIO DE SAN IGNACIO DE LOYOLA (VIZCAINAS) INSTITUCION DE ASISTENCIA PRIVADA                      </v>
      </c>
      <c r="D861" s="26" t="str">
        <f t="shared" si="151"/>
        <v>MATUTINO</v>
      </c>
      <c r="E861" s="26" t="str">
        <f>"VIZCAINAS NO 21                                                                 "</f>
        <v xml:space="preserve">VIZCAINAS NO 21                                                                 </v>
      </c>
      <c r="F861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861" s="26" t="str">
        <f>"CUAUHTEMOC                                                                      "</f>
        <v xml:space="preserve">CUAUHTEMOC                                                                      </v>
      </c>
      <c r="H861" s="26" t="str">
        <f>"025"</f>
        <v>025</v>
      </c>
      <c r="I861" s="26" t="str">
        <f t="shared" si="150"/>
        <v>00</v>
      </c>
      <c r="J861" s="26" t="str">
        <f>"51 "</f>
        <v xml:space="preserve">51 </v>
      </c>
      <c r="K861" s="26" t="str">
        <f t="shared" si="152"/>
        <v>SG</v>
      </c>
      <c r="L861" s="26" t="str">
        <f t="shared" si="146"/>
        <v>DGOSE</v>
      </c>
      <c r="M861" s="26" t="str">
        <f t="shared" si="153"/>
        <v>PARTICULAR</v>
      </c>
      <c r="N861" s="26">
        <v>189</v>
      </c>
      <c r="O861" s="26">
        <v>84</v>
      </c>
      <c r="P861" s="26">
        <v>105</v>
      </c>
      <c r="Q861" s="26">
        <v>7</v>
      </c>
      <c r="R861" s="26">
        <v>2</v>
      </c>
      <c r="S861" s="26">
        <v>25</v>
      </c>
      <c r="T861" s="26">
        <v>10</v>
      </c>
      <c r="U861" s="26">
        <v>37</v>
      </c>
      <c r="V861" s="26">
        <v>1</v>
      </c>
      <c r="W861" s="26"/>
    </row>
    <row r="862" spans="1:23" x14ac:dyDescent="0.25">
      <c r="A862" s="26" t="str">
        <f t="shared" si="148"/>
        <v>SECUNDARIA</v>
      </c>
      <c r="B862" s="26" t="str">
        <f>"09PES0036A"</f>
        <v>09PES0036A</v>
      </c>
      <c r="C862" s="26" t="str">
        <f>"SARA ALARCON                                                                                        "</f>
        <v xml:space="preserve">SARA ALARCON                                                                                        </v>
      </c>
      <c r="D862" s="26" t="str">
        <f t="shared" si="151"/>
        <v>MATUTINO</v>
      </c>
      <c r="E862" s="26" t="str">
        <f>"LAGO ALBERTO NUM 319                                                            "</f>
        <v xml:space="preserve">LAGO ALBERTO NUM 319                                                            </v>
      </c>
      <c r="F862" s="26" t="str">
        <f>"GRANADA                                                                                                                                     "</f>
        <v xml:space="preserve">GRANADA                                                                                                                                     </v>
      </c>
      <c r="G862" s="26" t="str">
        <f>"MIGUEL HIDALGO                                                                  "</f>
        <v xml:space="preserve">MIGUEL HIDALGO                                                                  </v>
      </c>
      <c r="H862" s="26" t="str">
        <f>"065"</f>
        <v>065</v>
      </c>
      <c r="I862" s="26" t="str">
        <f t="shared" si="150"/>
        <v>00</v>
      </c>
      <c r="J862" s="26" t="str">
        <f>"51 "</f>
        <v xml:space="preserve">51 </v>
      </c>
      <c r="K862" s="26" t="str">
        <f t="shared" si="152"/>
        <v>SG</v>
      </c>
      <c r="L862" s="26" t="str">
        <f t="shared" si="146"/>
        <v>DGOSE</v>
      </c>
      <c r="M862" s="26" t="str">
        <f t="shared" si="153"/>
        <v>PARTICULAR</v>
      </c>
      <c r="N862" s="26">
        <v>204</v>
      </c>
      <c r="O862" s="26">
        <v>93</v>
      </c>
      <c r="P862" s="26">
        <v>111</v>
      </c>
      <c r="Q862" s="26">
        <v>9</v>
      </c>
      <c r="R862" s="26">
        <v>2</v>
      </c>
      <c r="S862" s="26">
        <v>20</v>
      </c>
      <c r="T862" s="26">
        <v>8</v>
      </c>
      <c r="U862" s="26">
        <v>30</v>
      </c>
      <c r="V862" s="26">
        <v>1</v>
      </c>
      <c r="W862" s="26"/>
    </row>
    <row r="863" spans="1:23" x14ac:dyDescent="0.25">
      <c r="A863" s="26" t="str">
        <f t="shared" si="148"/>
        <v>SECUNDARIA</v>
      </c>
      <c r="B863" s="26" t="str">
        <f>"09PES0040N"</f>
        <v>09PES0040N</v>
      </c>
      <c r="C863" s="26" t="str">
        <f>"INSTITUTO PEDAGOGICO ANGLO ESPAÑOL                                                                  "</f>
        <v xml:space="preserve">INSTITUTO PEDAGOGICO ANGLO ESPAÑOL                                                                  </v>
      </c>
      <c r="D863" s="26" t="str">
        <f t="shared" si="151"/>
        <v>MATUTINO</v>
      </c>
      <c r="E863" s="26" t="str">
        <f>"JALAPA 44                                                                       "</f>
        <v xml:space="preserve">JALAPA 44                                                                       </v>
      </c>
      <c r="F863" s="26" t="str">
        <f>"ROMA NORTE                                                                                                                                  "</f>
        <v xml:space="preserve">ROMA NORTE                                                                                                                                  </v>
      </c>
      <c r="G863" s="26" t="str">
        <f>"CUAUHTEMOC                                                                      "</f>
        <v xml:space="preserve">CUAUHTEMOC                                                                      </v>
      </c>
      <c r="H863" s="26" t="str">
        <f>"030"</f>
        <v>030</v>
      </c>
      <c r="I863" s="26" t="str">
        <f t="shared" si="150"/>
        <v>00</v>
      </c>
      <c r="J863" s="26" t="str">
        <f>"51 "</f>
        <v xml:space="preserve">51 </v>
      </c>
      <c r="K863" s="26" t="str">
        <f t="shared" si="152"/>
        <v>SG</v>
      </c>
      <c r="L863" s="26" t="str">
        <f t="shared" si="146"/>
        <v>DGOSE</v>
      </c>
      <c r="M863" s="26" t="str">
        <f t="shared" si="153"/>
        <v>PARTICULAR</v>
      </c>
      <c r="N863" s="26">
        <v>351</v>
      </c>
      <c r="O863" s="26">
        <v>145</v>
      </c>
      <c r="P863" s="26">
        <v>206</v>
      </c>
      <c r="Q863" s="26">
        <v>11</v>
      </c>
      <c r="R863" s="26">
        <v>2</v>
      </c>
      <c r="S863" s="26">
        <v>23</v>
      </c>
      <c r="T863" s="26">
        <v>31</v>
      </c>
      <c r="U863" s="26">
        <v>56</v>
      </c>
      <c r="V863" s="26">
        <v>1</v>
      </c>
      <c r="W863" s="26"/>
    </row>
    <row r="864" spans="1:23" x14ac:dyDescent="0.25">
      <c r="A864" s="26" t="str">
        <f t="shared" si="148"/>
        <v>SECUNDARIA</v>
      </c>
      <c r="B864" s="26" t="str">
        <f>"09PES0046H"</f>
        <v>09PES0046H</v>
      </c>
      <c r="C864" s="26" t="str">
        <f>"COLEGIO FRANCES DEL PEDREGAL                                                                        "</f>
        <v xml:space="preserve">COLEGIO FRANCES DEL PEDREGAL                                                                        </v>
      </c>
      <c r="D864" s="26" t="str">
        <f t="shared" si="151"/>
        <v>MATUTINO</v>
      </c>
      <c r="E864" s="26" t="str">
        <f>"COLEGIO NUM 330                                                                 "</f>
        <v xml:space="preserve">COLEGIO NUM 330                                                                 </v>
      </c>
      <c r="F864" s="26" t="str">
        <f>"JARDINES DEL PEDREGAL                                                                                                                       "</f>
        <v xml:space="preserve">JARDINES DEL PEDREGAL                                                                                                                       </v>
      </c>
      <c r="G864" s="26" t="str">
        <f>"ALVARO OBREGON                                                                  "</f>
        <v xml:space="preserve">ALVARO OBREGON                                                                  </v>
      </c>
      <c r="H864" s="26" t="str">
        <f>"001"</f>
        <v>001</v>
      </c>
      <c r="I864" s="26" t="str">
        <f t="shared" si="150"/>
        <v>00</v>
      </c>
      <c r="J864" s="26" t="str">
        <f>"53 "</f>
        <v xml:space="preserve">53 </v>
      </c>
      <c r="K864" s="26" t="str">
        <f t="shared" si="152"/>
        <v>SG</v>
      </c>
      <c r="L864" s="26" t="str">
        <f t="shared" si="146"/>
        <v>DGOSE</v>
      </c>
      <c r="M864" s="26" t="str">
        <f t="shared" si="153"/>
        <v>PARTICULAR</v>
      </c>
      <c r="N864" s="26">
        <v>158</v>
      </c>
      <c r="O864" s="26">
        <v>0</v>
      </c>
      <c r="P864" s="26">
        <v>158</v>
      </c>
      <c r="Q864" s="26">
        <v>6</v>
      </c>
      <c r="R864" s="26">
        <v>1</v>
      </c>
      <c r="S864" s="26">
        <v>20</v>
      </c>
      <c r="T864" s="26">
        <v>1</v>
      </c>
      <c r="U864" s="26">
        <v>22</v>
      </c>
      <c r="V864" s="26">
        <v>1</v>
      </c>
      <c r="W864" s="26"/>
    </row>
    <row r="865" spans="1:23" x14ac:dyDescent="0.25">
      <c r="A865" s="26" t="str">
        <f t="shared" si="148"/>
        <v>SECUNDARIA</v>
      </c>
      <c r="B865" s="26" t="str">
        <f>"09PES0048F"</f>
        <v>09PES0048F</v>
      </c>
      <c r="C865" s="26" t="str">
        <f>"COLEGIO FRANCES PASTEUR                                                                             "</f>
        <v xml:space="preserve">COLEGIO FRANCES PASTEUR                                                                             </v>
      </c>
      <c r="D865" s="26" t="str">
        <f t="shared" si="151"/>
        <v>MATUTINO</v>
      </c>
      <c r="E865" s="26" t="str">
        <f>"AV SCHILLER NUM 139                                                             "</f>
        <v xml:space="preserve">AV SCHILLER NUM 139                                                             </v>
      </c>
      <c r="F865" s="26" t="str">
        <f>"CHAPULTEPEC MORALES                                                                                                                         "</f>
        <v xml:space="preserve">CHAPULTEPEC MORALES                                                                                                                         </v>
      </c>
      <c r="G865" s="26" t="str">
        <f>"MIGUEL HIDALGO                                                                  "</f>
        <v xml:space="preserve">MIGUEL HIDALGO                                                                  </v>
      </c>
      <c r="H865" s="26" t="str">
        <f>"065"</f>
        <v>065</v>
      </c>
      <c r="I865" s="26" t="str">
        <f t="shared" si="150"/>
        <v>00</v>
      </c>
      <c r="J865" s="26" t="str">
        <f>"51 "</f>
        <v xml:space="preserve">51 </v>
      </c>
      <c r="K865" s="26" t="str">
        <f t="shared" si="152"/>
        <v>SG</v>
      </c>
      <c r="L865" s="26" t="str">
        <f t="shared" si="146"/>
        <v>DGOSE</v>
      </c>
      <c r="M865" s="26" t="str">
        <f t="shared" si="153"/>
        <v>PARTICULAR</v>
      </c>
      <c r="N865" s="26">
        <v>163</v>
      </c>
      <c r="O865" s="26">
        <v>57</v>
      </c>
      <c r="P865" s="26">
        <v>106</v>
      </c>
      <c r="Q865" s="26">
        <v>6</v>
      </c>
      <c r="R865" s="26">
        <v>2</v>
      </c>
      <c r="S865" s="26">
        <v>18</v>
      </c>
      <c r="T865" s="26">
        <v>11</v>
      </c>
      <c r="U865" s="26">
        <v>31</v>
      </c>
      <c r="V865" s="26">
        <v>1</v>
      </c>
      <c r="W865" s="26"/>
    </row>
    <row r="866" spans="1:23" x14ac:dyDescent="0.25">
      <c r="A866" s="26" t="str">
        <f t="shared" si="148"/>
        <v>SECUNDARIA</v>
      </c>
      <c r="B866" s="26" t="str">
        <f>"09PES0051T"</f>
        <v>09PES0051T</v>
      </c>
      <c r="C866" s="26" t="str">
        <f>"INSTITUTO DON BOSCO                                                                                 "</f>
        <v xml:space="preserve">INSTITUTO DON BOSCO                                                                                 </v>
      </c>
      <c r="D866" s="26" t="str">
        <f t="shared" si="151"/>
        <v>MATUTINO</v>
      </c>
      <c r="E866" s="26" t="str">
        <f>"AVENA NO. 196                                                                   "</f>
        <v xml:space="preserve">AVENA NO. 196                                                                   </v>
      </c>
      <c r="F866" s="26" t="str">
        <f>"GRANJAS ESMERALDA                                                                                                                           "</f>
        <v xml:space="preserve">GRANJAS ESMERALDA                                                                                                                           </v>
      </c>
      <c r="G866" s="26" t="str">
        <f>"IZTAPALAPA                                                                      "</f>
        <v xml:space="preserve">IZTAPALAPA                                                                      </v>
      </c>
      <c r="H866" s="26" t="str">
        <f>"000"</f>
        <v>000</v>
      </c>
      <c r="I866" s="26" t="str">
        <f t="shared" si="150"/>
        <v>00</v>
      </c>
      <c r="J866" s="26" t="str">
        <f>"61 "</f>
        <v xml:space="preserve">61 </v>
      </c>
      <c r="K866" s="26" t="str">
        <f>"IZ"</f>
        <v>IZ</v>
      </c>
      <c r="L866" s="26" t="str">
        <f>"DGSEI"</f>
        <v>DGSEI</v>
      </c>
      <c r="M866" s="26" t="str">
        <f t="shared" si="153"/>
        <v>PARTICULAR</v>
      </c>
      <c r="N866" s="26">
        <v>618</v>
      </c>
      <c r="O866" s="26">
        <v>322</v>
      </c>
      <c r="P866" s="26">
        <v>296</v>
      </c>
      <c r="Q866" s="26">
        <v>17</v>
      </c>
      <c r="R866" s="26">
        <v>1</v>
      </c>
      <c r="S866" s="26">
        <v>32</v>
      </c>
      <c r="T866" s="26">
        <v>4</v>
      </c>
      <c r="U866" s="26">
        <v>37</v>
      </c>
      <c r="V866" s="26">
        <v>1</v>
      </c>
      <c r="W866" s="26"/>
    </row>
    <row r="867" spans="1:23" x14ac:dyDescent="0.25">
      <c r="A867" s="26" t="str">
        <f t="shared" si="148"/>
        <v>SECUNDARIA</v>
      </c>
      <c r="B867" s="26" t="str">
        <f>"09PES0053R"</f>
        <v>09PES0053R</v>
      </c>
      <c r="C867" s="26" t="str">
        <f>"COLEGIO FRANCES HIDALGO                                                                             "</f>
        <v xml:space="preserve">COLEGIO FRANCES HIDALGO                                                                             </v>
      </c>
      <c r="D867" s="26" t="str">
        <f t="shared" si="151"/>
        <v>MATUTINO</v>
      </c>
      <c r="E867" s="26" t="str">
        <f>"ACUEDUCTO NUM 30                                                                "</f>
        <v xml:space="preserve">ACUEDUCTO NUM 30                                                                </v>
      </c>
      <c r="F867" s="26" t="str">
        <f>"SANTA ISABEL TOLA                                                                                                                           "</f>
        <v xml:space="preserve">SANTA ISABEL TOLA                                                                                                                           </v>
      </c>
      <c r="G867" s="26" t="str">
        <f>"GUSTAVO A. MADERO                                                               "</f>
        <v xml:space="preserve">GUSTAVO A. MADERO                                                               </v>
      </c>
      <c r="H867" s="26" t="str">
        <f>"038"</f>
        <v>038</v>
      </c>
      <c r="I867" s="26" t="str">
        <f t="shared" si="150"/>
        <v>00</v>
      </c>
      <c r="J867" s="26" t="str">
        <f>"52 "</f>
        <v xml:space="preserve">52 </v>
      </c>
      <c r="K867" s="26" t="str">
        <f t="shared" ref="K867:K915" si="154">"SG"</f>
        <v>SG</v>
      </c>
      <c r="L867" s="26" t="str">
        <f t="shared" ref="L867:L915" si="155">"DGOSE"</f>
        <v>DGOSE</v>
      </c>
      <c r="M867" s="26" t="str">
        <f t="shared" si="153"/>
        <v>PARTICULAR</v>
      </c>
      <c r="N867" s="26">
        <v>243</v>
      </c>
      <c r="O867" s="26">
        <v>116</v>
      </c>
      <c r="P867" s="26">
        <v>127</v>
      </c>
      <c r="Q867" s="26">
        <v>9</v>
      </c>
      <c r="R867" s="26">
        <v>2</v>
      </c>
      <c r="S867" s="26">
        <v>28</v>
      </c>
      <c r="T867" s="26">
        <v>7</v>
      </c>
      <c r="U867" s="26">
        <v>37</v>
      </c>
      <c r="V867" s="26">
        <v>1</v>
      </c>
      <c r="W867" s="26"/>
    </row>
    <row r="868" spans="1:23" x14ac:dyDescent="0.25">
      <c r="A868" s="26" t="str">
        <f t="shared" si="148"/>
        <v>SECUNDARIA</v>
      </c>
      <c r="B868" s="26" t="str">
        <f>"09PES0054Q"</f>
        <v>09PES0054Q</v>
      </c>
      <c r="C868" s="26" t="str">
        <f>"""INSTITUTO MIGUEL ANGEL""                                                                            "</f>
        <v xml:space="preserve">"INSTITUTO MIGUEL ANGEL"                                                                            </v>
      </c>
      <c r="D868" s="26" t="str">
        <f t="shared" si="151"/>
        <v>MATUTINO</v>
      </c>
      <c r="E868" s="26" t="str">
        <f>"IZTACCIHUATL NUM 239                                                            "</f>
        <v xml:space="preserve">IZTACCIHUATL NUM 239                                                            </v>
      </c>
      <c r="F868" s="26" t="str">
        <f>"FLORIDA                                                                                                                                     "</f>
        <v xml:space="preserve">FLORIDA                                                                                                                                     </v>
      </c>
      <c r="G868" s="26" t="str">
        <f>"ALVARO OBREGON                                                                  "</f>
        <v xml:space="preserve">ALVARO OBREGON                                                                  </v>
      </c>
      <c r="H868" s="26" t="str">
        <f>"005"</f>
        <v>005</v>
      </c>
      <c r="I868" s="26" t="str">
        <f t="shared" si="150"/>
        <v>00</v>
      </c>
      <c r="J868" s="26" t="str">
        <f>"53 "</f>
        <v xml:space="preserve">53 </v>
      </c>
      <c r="K868" s="26" t="str">
        <f t="shared" si="154"/>
        <v>SG</v>
      </c>
      <c r="L868" s="26" t="str">
        <f t="shared" si="155"/>
        <v>DGOSE</v>
      </c>
      <c r="M868" s="26" t="str">
        <f t="shared" si="153"/>
        <v>PARTICULAR</v>
      </c>
      <c r="N868" s="26">
        <v>419</v>
      </c>
      <c r="O868" s="26">
        <v>149</v>
      </c>
      <c r="P868" s="26">
        <v>270</v>
      </c>
      <c r="Q868" s="26">
        <v>14</v>
      </c>
      <c r="R868" s="26">
        <v>0</v>
      </c>
      <c r="S868" s="26">
        <v>24</v>
      </c>
      <c r="T868" s="26">
        <v>1</v>
      </c>
      <c r="U868" s="26">
        <v>25</v>
      </c>
      <c r="V868" s="26">
        <v>1</v>
      </c>
      <c r="W868" s="26"/>
    </row>
    <row r="869" spans="1:23" x14ac:dyDescent="0.25">
      <c r="A869" s="26" t="str">
        <f t="shared" si="148"/>
        <v>SECUNDARIA</v>
      </c>
      <c r="B869" s="26" t="str">
        <f>"09PES0055P"</f>
        <v>09PES0055P</v>
      </c>
      <c r="C869" s="26" t="str">
        <f>"""COLEGIO HEBREO TARBUT""                                                                             "</f>
        <v xml:space="preserve">"COLEGIO HEBREO TARBUT"                                                                             </v>
      </c>
      <c r="D869" s="26" t="str">
        <f t="shared" si="151"/>
        <v>MATUTINO</v>
      </c>
      <c r="E869" s="26" t="str">
        <f>"CALLE LOMA DEL PARQUE NO 216                                                    "</f>
        <v xml:space="preserve">CALLE LOMA DEL PARQUE NO 216                                                    </v>
      </c>
      <c r="F869" s="26" t="str">
        <f>"LOMAS DE VISTA HERMOSA                                                                                                                      "</f>
        <v xml:space="preserve">LOMAS DE VISTA HERMOSA                                                                                                                      </v>
      </c>
      <c r="G869" s="26" t="str">
        <f>"CUAJIMALPA DE MORELOS                                                           "</f>
        <v xml:space="preserve">CUAJIMALPA DE MORELOS                                                           </v>
      </c>
      <c r="H869" s="26" t="str">
        <f>"024"</f>
        <v>024</v>
      </c>
      <c r="I869" s="26" t="str">
        <f t="shared" si="150"/>
        <v>00</v>
      </c>
      <c r="J869" s="26" t="str">
        <f>"53 "</f>
        <v xml:space="preserve">53 </v>
      </c>
      <c r="K869" s="26" t="str">
        <f t="shared" si="154"/>
        <v>SG</v>
      </c>
      <c r="L869" s="26" t="str">
        <f t="shared" si="155"/>
        <v>DGOSE</v>
      </c>
      <c r="M869" s="26" t="str">
        <f t="shared" si="153"/>
        <v>PARTICULAR</v>
      </c>
      <c r="N869" s="26">
        <v>173</v>
      </c>
      <c r="O869" s="26">
        <v>97</v>
      </c>
      <c r="P869" s="26">
        <v>76</v>
      </c>
      <c r="Q869" s="26">
        <v>8</v>
      </c>
      <c r="R869" s="26">
        <v>2</v>
      </c>
      <c r="S869" s="26">
        <v>18</v>
      </c>
      <c r="T869" s="26">
        <v>8</v>
      </c>
      <c r="U869" s="26">
        <v>28</v>
      </c>
      <c r="V869" s="26">
        <v>1</v>
      </c>
      <c r="W869" s="26"/>
    </row>
    <row r="870" spans="1:23" x14ac:dyDescent="0.25">
      <c r="A870" s="26" t="str">
        <f t="shared" si="148"/>
        <v>SECUNDARIA</v>
      </c>
      <c r="B870" s="26" t="str">
        <f>"09PES0056O"</f>
        <v>09PES0056O</v>
      </c>
      <c r="C870" s="26" t="str">
        <f>"INSTITUTO FRAY JUAN DE ZUMARRAGA                                                                    "</f>
        <v xml:space="preserve">INSTITUTO FRAY JUAN DE ZUMARRAGA                                                                    </v>
      </c>
      <c r="D870" s="26" t="str">
        <f t="shared" si="151"/>
        <v>MATUTINO</v>
      </c>
      <c r="E870" s="26" t="str">
        <f>"PROVIDENCIA 122                                                                 "</f>
        <v xml:space="preserve">PROVIDENCIA 122                                                                 </v>
      </c>
      <c r="F870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870" s="26" t="str">
        <f>"BENITO JUAREZ                                                                   "</f>
        <v xml:space="preserve">BENITO JUAREZ                                                                   </v>
      </c>
      <c r="H870" s="26" t="str">
        <f>"012"</f>
        <v>012</v>
      </c>
      <c r="I870" s="26" t="str">
        <f t="shared" si="150"/>
        <v>00</v>
      </c>
      <c r="J870" s="26" t="str">
        <f>"53 "</f>
        <v xml:space="preserve">53 </v>
      </c>
      <c r="K870" s="26" t="str">
        <f t="shared" si="154"/>
        <v>SG</v>
      </c>
      <c r="L870" s="26" t="str">
        <f t="shared" si="155"/>
        <v>DGOSE</v>
      </c>
      <c r="M870" s="26" t="str">
        <f t="shared" si="153"/>
        <v>PARTICULAR</v>
      </c>
      <c r="N870" s="26">
        <v>186</v>
      </c>
      <c r="O870" s="26">
        <v>107</v>
      </c>
      <c r="P870" s="26">
        <v>79</v>
      </c>
      <c r="Q870" s="26">
        <v>6</v>
      </c>
      <c r="R870" s="26">
        <v>1</v>
      </c>
      <c r="S870" s="26">
        <v>14</v>
      </c>
      <c r="T870" s="26">
        <v>0</v>
      </c>
      <c r="U870" s="26">
        <v>15</v>
      </c>
      <c r="V870" s="26">
        <v>1</v>
      </c>
      <c r="W870" s="26"/>
    </row>
    <row r="871" spans="1:23" x14ac:dyDescent="0.25">
      <c r="A871" s="26" t="str">
        <f t="shared" si="148"/>
        <v>SECUNDARIA</v>
      </c>
      <c r="B871" s="26" t="str">
        <f>"09PES0062Z"</f>
        <v>09PES0062Z</v>
      </c>
      <c r="C871" s="26" t="str">
        <f>"SIMON BOLIVAR                                                                                       "</f>
        <v xml:space="preserve">SIMON BOLIVAR                                                                                       </v>
      </c>
      <c r="D871" s="26" t="str">
        <f t="shared" si="151"/>
        <v>MATUTINO</v>
      </c>
      <c r="E871" s="26" t="str">
        <f>"AV RIO MIXCOAC NUM 275                                                          "</f>
        <v xml:space="preserve">AV RIO MIXCOAC NUM 275                                                          </v>
      </c>
      <c r="F871" s="26" t="str">
        <f>"FLORIDA                                                                                                                                     "</f>
        <v xml:space="preserve">FLORIDA                                                                                                                                     </v>
      </c>
      <c r="G871" s="26" t="str">
        <f>"ALVARO OBREGON                                                                  "</f>
        <v xml:space="preserve">ALVARO OBREGON                                                                  </v>
      </c>
      <c r="H871" s="26" t="str">
        <f>"001"</f>
        <v>001</v>
      </c>
      <c r="I871" s="26" t="str">
        <f t="shared" si="150"/>
        <v>00</v>
      </c>
      <c r="J871" s="26" t="str">
        <f>"53 "</f>
        <v xml:space="preserve">53 </v>
      </c>
      <c r="K871" s="26" t="str">
        <f t="shared" si="154"/>
        <v>SG</v>
      </c>
      <c r="L871" s="26" t="str">
        <f t="shared" si="155"/>
        <v>DGOSE</v>
      </c>
      <c r="M871" s="26" t="str">
        <f t="shared" si="153"/>
        <v>PARTICULAR</v>
      </c>
      <c r="N871" s="26">
        <v>640</v>
      </c>
      <c r="O871" s="26">
        <v>363</v>
      </c>
      <c r="P871" s="26">
        <v>277</v>
      </c>
      <c r="Q871" s="26">
        <v>17</v>
      </c>
      <c r="R871" s="26">
        <v>2</v>
      </c>
      <c r="S871" s="26">
        <v>37</v>
      </c>
      <c r="T871" s="26">
        <v>7</v>
      </c>
      <c r="U871" s="26">
        <v>46</v>
      </c>
      <c r="V871" s="26">
        <v>1</v>
      </c>
      <c r="W871" s="26"/>
    </row>
    <row r="872" spans="1:23" x14ac:dyDescent="0.25">
      <c r="A872" s="26" t="str">
        <f t="shared" si="148"/>
        <v>SECUNDARIA</v>
      </c>
      <c r="B872" s="26" t="str">
        <f>"09PES0067U"</f>
        <v>09PES0067U</v>
      </c>
      <c r="C872" s="26" t="str">
        <f>"LAS ROSAS                                                                                           "</f>
        <v xml:space="preserve">LAS ROSAS                                                                                           </v>
      </c>
      <c r="D872" s="26" t="str">
        <f t="shared" si="151"/>
        <v>MATUTINO</v>
      </c>
      <c r="E872" s="26" t="str">
        <f>"PLAN DE SAN LUIS NO 50                                                          "</f>
        <v xml:space="preserve">PLAN DE SAN LUIS NO 50                                                          </v>
      </c>
      <c r="F872" s="26" t="str">
        <f>"TICOMAN                                                                                                                                     "</f>
        <v xml:space="preserve">TICOMAN                                                                                                                                     </v>
      </c>
      <c r="G872" s="26" t="str">
        <f>"GUSTAVO A. MADERO                                                               "</f>
        <v xml:space="preserve">GUSTAVO A. MADERO                                                               </v>
      </c>
      <c r="H872" s="26" t="str">
        <f>"033"</f>
        <v>033</v>
      </c>
      <c r="I872" s="26" t="str">
        <f t="shared" si="150"/>
        <v>00</v>
      </c>
      <c r="J872" s="26" t="str">
        <f>"52 "</f>
        <v xml:space="preserve">52 </v>
      </c>
      <c r="K872" s="26" t="str">
        <f t="shared" si="154"/>
        <v>SG</v>
      </c>
      <c r="L872" s="26" t="str">
        <f t="shared" si="155"/>
        <v>DGOSE</v>
      </c>
      <c r="M872" s="26" t="str">
        <f t="shared" si="153"/>
        <v>PARTICULAR</v>
      </c>
      <c r="N872" s="26">
        <v>228</v>
      </c>
      <c r="O872" s="26">
        <v>77</v>
      </c>
      <c r="P872" s="26">
        <v>151</v>
      </c>
      <c r="Q872" s="26">
        <v>9</v>
      </c>
      <c r="R872" s="26">
        <v>2</v>
      </c>
      <c r="S872" s="26">
        <v>19</v>
      </c>
      <c r="T872" s="26">
        <v>5</v>
      </c>
      <c r="U872" s="26">
        <v>26</v>
      </c>
      <c r="V872" s="26">
        <v>1</v>
      </c>
      <c r="W872" s="26"/>
    </row>
    <row r="873" spans="1:23" x14ac:dyDescent="0.25">
      <c r="A873" s="26" t="str">
        <f t="shared" si="148"/>
        <v>SECUNDARIA</v>
      </c>
      <c r="B873" s="26" t="str">
        <f>"09PES0073E"</f>
        <v>09PES0073E</v>
      </c>
      <c r="C873" s="26" t="str">
        <f>"INSTITUTO RENACIMIENTO                                                                              "</f>
        <v xml:space="preserve">INSTITUTO RENACIMIENTO                                                                              </v>
      </c>
      <c r="D873" s="26" t="str">
        <f t="shared" si="151"/>
        <v>MATUTINO</v>
      </c>
      <c r="E873" s="26" t="str">
        <f>"ORIZABA NO 136                                                                  "</f>
        <v xml:space="preserve">ORIZABA NO 136                                                                  </v>
      </c>
      <c r="F873" s="26" t="str">
        <f>"ROMA NORTE                                                                                                                                  "</f>
        <v xml:space="preserve">ROMA NORTE                                                                                                                                  </v>
      </c>
      <c r="G873" s="26" t="str">
        <f>"CUAUHTEMOC                                                                      "</f>
        <v xml:space="preserve">CUAUHTEMOC                                                                      </v>
      </c>
      <c r="H873" s="26" t="str">
        <f>"030"</f>
        <v>030</v>
      </c>
      <c r="I873" s="26" t="str">
        <f t="shared" si="150"/>
        <v>00</v>
      </c>
      <c r="J873" s="26" t="str">
        <f>"51 "</f>
        <v xml:space="preserve">51 </v>
      </c>
      <c r="K873" s="26" t="str">
        <f t="shared" si="154"/>
        <v>SG</v>
      </c>
      <c r="L873" s="26" t="str">
        <f t="shared" si="155"/>
        <v>DGOSE</v>
      </c>
      <c r="M873" s="26" t="str">
        <f t="shared" si="153"/>
        <v>PARTICULAR</v>
      </c>
      <c r="N873" s="26">
        <v>152</v>
      </c>
      <c r="O873" s="26">
        <v>65</v>
      </c>
      <c r="P873" s="26">
        <v>87</v>
      </c>
      <c r="Q873" s="26">
        <v>7</v>
      </c>
      <c r="R873" s="26">
        <v>2</v>
      </c>
      <c r="S873" s="26">
        <v>16</v>
      </c>
      <c r="T873" s="26">
        <v>3</v>
      </c>
      <c r="U873" s="26">
        <v>21</v>
      </c>
      <c r="V873" s="26">
        <v>1</v>
      </c>
      <c r="W873" s="26"/>
    </row>
    <row r="874" spans="1:23" x14ac:dyDescent="0.25">
      <c r="A874" s="26" t="str">
        <f t="shared" si="148"/>
        <v>SECUNDARIA</v>
      </c>
      <c r="B874" s="26" t="str">
        <f>"09PES0078Z"</f>
        <v>09PES0078Z</v>
      </c>
      <c r="C874" s="26" t="str">
        <f>"COLEGIO MERCEDES                                                                                    "</f>
        <v xml:space="preserve">COLEGIO MERCEDES                                                                                    </v>
      </c>
      <c r="D874" s="26" t="str">
        <f t="shared" si="151"/>
        <v>MATUTINO</v>
      </c>
      <c r="E874" s="26" t="str">
        <f>"AREQUIPA 796                                                                    "</f>
        <v xml:space="preserve">AREQUIPA 796                                                                    </v>
      </c>
      <c r="F874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874" s="26" t="str">
        <f>"GUSTAVO A. MADERO                                                               "</f>
        <v xml:space="preserve">GUSTAVO A. MADERO                                                               </v>
      </c>
      <c r="H874" s="26" t="str">
        <f>"034"</f>
        <v>034</v>
      </c>
      <c r="I874" s="26" t="str">
        <f t="shared" si="150"/>
        <v>00</v>
      </c>
      <c r="J874" s="26" t="str">
        <f>"52 "</f>
        <v xml:space="preserve">52 </v>
      </c>
      <c r="K874" s="26" t="str">
        <f t="shared" si="154"/>
        <v>SG</v>
      </c>
      <c r="L874" s="26" t="str">
        <f t="shared" si="155"/>
        <v>DGOSE</v>
      </c>
      <c r="M874" s="26" t="str">
        <f t="shared" si="153"/>
        <v>PARTICULAR</v>
      </c>
      <c r="N874" s="26">
        <v>356</v>
      </c>
      <c r="O874" s="26">
        <v>145</v>
      </c>
      <c r="P874" s="26">
        <v>211</v>
      </c>
      <c r="Q874" s="26">
        <v>9</v>
      </c>
      <c r="R874" s="26">
        <v>2</v>
      </c>
      <c r="S874" s="26">
        <v>22</v>
      </c>
      <c r="T874" s="26">
        <v>6</v>
      </c>
      <c r="U874" s="26">
        <v>30</v>
      </c>
      <c r="V874" s="26">
        <v>1</v>
      </c>
      <c r="W874" s="26"/>
    </row>
    <row r="875" spans="1:23" x14ac:dyDescent="0.25">
      <c r="A875" s="26" t="str">
        <f t="shared" si="148"/>
        <v>SECUNDARIA</v>
      </c>
      <c r="B875" s="26" t="str">
        <f>"09PES0086I"</f>
        <v>09PES0086I</v>
      </c>
      <c r="C875" s="26" t="str">
        <f>"INSTITUTO CULTURAL                                                                                  "</f>
        <v xml:space="preserve">INSTITUTO CULTURAL                                                                                  </v>
      </c>
      <c r="D875" s="26" t="str">
        <f t="shared" si="151"/>
        <v>MATUTINO</v>
      </c>
      <c r="E875" s="26" t="str">
        <f>"AVENIDA MIGUEL ANGEL DE QUEVEDO NUMERO 1190                                     "</f>
        <v xml:space="preserve">AVENIDA MIGUEL ANGEL DE QUEVEDO NUMERO 1190                                     </v>
      </c>
      <c r="F875" s="26" t="str">
        <f>"PARQUE SAN ANDRES                                                                                                                           "</f>
        <v xml:space="preserve">PARQUE SAN ANDRES                                                                                                                           </v>
      </c>
      <c r="G875" s="26" t="str">
        <f>"COYOACAN                                                                        "</f>
        <v xml:space="preserve">COYOACAN                                                                        </v>
      </c>
      <c r="H875" s="26" t="str">
        <f>"018"</f>
        <v>018</v>
      </c>
      <c r="I875" s="26" t="str">
        <f t="shared" si="150"/>
        <v>00</v>
      </c>
      <c r="J875" s="26" t="str">
        <f>"54 "</f>
        <v xml:space="preserve">54 </v>
      </c>
      <c r="K875" s="26" t="str">
        <f t="shared" si="154"/>
        <v>SG</v>
      </c>
      <c r="L875" s="26" t="str">
        <f t="shared" si="155"/>
        <v>DGOSE</v>
      </c>
      <c r="M875" s="26" t="str">
        <f t="shared" si="153"/>
        <v>PARTICULAR</v>
      </c>
      <c r="N875" s="26">
        <v>165</v>
      </c>
      <c r="O875" s="26">
        <v>73</v>
      </c>
      <c r="P875" s="26">
        <v>92</v>
      </c>
      <c r="Q875" s="26">
        <v>6</v>
      </c>
      <c r="R875" s="26">
        <v>2</v>
      </c>
      <c r="S875" s="26">
        <v>23</v>
      </c>
      <c r="T875" s="26">
        <v>2</v>
      </c>
      <c r="U875" s="26">
        <v>27</v>
      </c>
      <c r="V875" s="26">
        <v>1</v>
      </c>
      <c r="W875" s="26"/>
    </row>
    <row r="876" spans="1:23" x14ac:dyDescent="0.25">
      <c r="A876" s="26" t="str">
        <f t="shared" si="148"/>
        <v>SECUNDARIA</v>
      </c>
      <c r="B876" s="26" t="str">
        <f>"09PES0091U"</f>
        <v>09PES0091U</v>
      </c>
      <c r="C876" s="26" t="str">
        <f>"SEFARADI                                                                                            "</f>
        <v xml:space="preserve">SEFARADI                                                                                            </v>
      </c>
      <c r="D876" s="26" t="str">
        <f t="shared" si="151"/>
        <v>MATUTINO</v>
      </c>
      <c r="E876" s="26" t="str">
        <f>"AV DE LOS BOSQUES NO 292-B                                                      "</f>
        <v xml:space="preserve">AV DE LOS BOSQUES NO 292-B                                                      </v>
      </c>
      <c r="F876" s="26" t="str">
        <f>"EL CHAMIZAL                                                                                                                                 "</f>
        <v xml:space="preserve">EL CHAMIZAL                                                                                                                                 </v>
      </c>
      <c r="G876" s="26" t="str">
        <f>"CUAJIMALPA DE MORELOS                                                           "</f>
        <v xml:space="preserve">CUAJIMALPA DE MORELOS                                                           </v>
      </c>
      <c r="H876" s="26" t="str">
        <f>"023"</f>
        <v>023</v>
      </c>
      <c r="I876" s="26" t="str">
        <f t="shared" si="150"/>
        <v>00</v>
      </c>
      <c r="J876" s="26" t="str">
        <f>"53 "</f>
        <v xml:space="preserve">53 </v>
      </c>
      <c r="K876" s="26" t="str">
        <f t="shared" si="154"/>
        <v>SG</v>
      </c>
      <c r="L876" s="26" t="str">
        <f t="shared" si="155"/>
        <v>DGOSE</v>
      </c>
      <c r="M876" s="26" t="str">
        <f t="shared" si="153"/>
        <v>PARTICULAR</v>
      </c>
      <c r="N876" s="26">
        <v>155</v>
      </c>
      <c r="O876" s="26">
        <v>74</v>
      </c>
      <c r="P876" s="26">
        <v>81</v>
      </c>
      <c r="Q876" s="26">
        <v>6</v>
      </c>
      <c r="R876" s="26">
        <v>2</v>
      </c>
      <c r="S876" s="26">
        <v>19</v>
      </c>
      <c r="T876" s="26">
        <v>3</v>
      </c>
      <c r="U876" s="26">
        <v>24</v>
      </c>
      <c r="V876" s="26">
        <v>1</v>
      </c>
      <c r="W876" s="26"/>
    </row>
    <row r="877" spans="1:23" x14ac:dyDescent="0.25">
      <c r="A877" s="26" t="str">
        <f t="shared" si="148"/>
        <v>SECUNDARIA</v>
      </c>
      <c r="B877" s="26" t="str">
        <f>"09PES0095Q"</f>
        <v>09PES0095Q</v>
      </c>
      <c r="C877" s="26" t="str">
        <f>"COLEGIO MADRID                                                                                      "</f>
        <v xml:space="preserve">COLEGIO MADRID                                                                                      </v>
      </c>
      <c r="D877" s="26" t="str">
        <f t="shared" si="151"/>
        <v>MATUTINO</v>
      </c>
      <c r="E877" s="26" t="str">
        <f>"CALLE PUENTE NUM. 224                                                           "</f>
        <v xml:space="preserve">CALLE PUENTE NUM. 224                                                           </v>
      </c>
      <c r="F877" s="26" t="str">
        <f>"EJIDOS DE HUIPULCO                                                                                                                          "</f>
        <v xml:space="preserve">EJIDOS DE HUIPULCO                                                                                                                          </v>
      </c>
      <c r="G877" s="26" t="str">
        <f>"TLALPAN                                                                         "</f>
        <v xml:space="preserve">TLALPAN                                                                         </v>
      </c>
      <c r="H877" s="26" t="str">
        <f>"073"</f>
        <v>073</v>
      </c>
      <c r="I877" s="26" t="str">
        <f t="shared" si="150"/>
        <v>00</v>
      </c>
      <c r="J877" s="26" t="str">
        <f>"55 "</f>
        <v xml:space="preserve">55 </v>
      </c>
      <c r="K877" s="26" t="str">
        <f t="shared" si="154"/>
        <v>SG</v>
      </c>
      <c r="L877" s="26" t="str">
        <f t="shared" si="155"/>
        <v>DGOSE</v>
      </c>
      <c r="M877" s="26" t="str">
        <f t="shared" si="153"/>
        <v>PARTICULAR</v>
      </c>
      <c r="N877" s="26">
        <v>509</v>
      </c>
      <c r="O877" s="26">
        <v>261</v>
      </c>
      <c r="P877" s="26">
        <v>248</v>
      </c>
      <c r="Q877" s="26">
        <v>18</v>
      </c>
      <c r="R877" s="26">
        <v>2</v>
      </c>
      <c r="S877" s="26">
        <v>56</v>
      </c>
      <c r="T877" s="26">
        <v>12</v>
      </c>
      <c r="U877" s="26">
        <v>70</v>
      </c>
      <c r="V877" s="26">
        <v>1</v>
      </c>
      <c r="W877" s="26"/>
    </row>
    <row r="878" spans="1:23" x14ac:dyDescent="0.25">
      <c r="A878" s="26" t="str">
        <f t="shared" si="148"/>
        <v>SECUNDARIA</v>
      </c>
      <c r="B878" s="26" t="str">
        <f>"09PES0097O"</f>
        <v>09PES0097O</v>
      </c>
      <c r="C878" s="26" t="str">
        <f>"INSTITUTO MEXICANO REGINA                                                                           "</f>
        <v xml:space="preserve">INSTITUTO MEXICANO REGINA                                                                           </v>
      </c>
      <c r="D878" s="26" t="str">
        <f t="shared" si="151"/>
        <v>MATUTINO</v>
      </c>
      <c r="E878" s="26" t="str">
        <f>"RIBERA DE CUPIA 70                                                              "</f>
        <v xml:space="preserve">RIBERA DE CUPIA 70                                                              </v>
      </c>
      <c r="F878" s="26" t="str">
        <f>"REAL DE LAS LOMAS                                                                                                                           "</f>
        <v xml:space="preserve">REAL DE LAS LOMAS                                                                                                                           </v>
      </c>
      <c r="G878" s="26" t="str">
        <f>"MIGUEL HIDALGO                                                                  "</f>
        <v xml:space="preserve">MIGUEL HIDALGO                                                                  </v>
      </c>
      <c r="H878" s="26" t="str">
        <f>"061"</f>
        <v>061</v>
      </c>
      <c r="I878" s="26" t="str">
        <f t="shared" si="150"/>
        <v>00</v>
      </c>
      <c r="J878" s="26" t="str">
        <f>"51 "</f>
        <v xml:space="preserve">51 </v>
      </c>
      <c r="K878" s="26" t="str">
        <f t="shared" si="154"/>
        <v>SG</v>
      </c>
      <c r="L878" s="26" t="str">
        <f t="shared" si="155"/>
        <v>DGOSE</v>
      </c>
      <c r="M878" s="26" t="str">
        <f t="shared" si="153"/>
        <v>PARTICULAR</v>
      </c>
      <c r="N878" s="26">
        <v>181</v>
      </c>
      <c r="O878" s="26">
        <v>0</v>
      </c>
      <c r="P878" s="26">
        <v>181</v>
      </c>
      <c r="Q878" s="26">
        <v>6</v>
      </c>
      <c r="R878" s="26">
        <v>2</v>
      </c>
      <c r="S878" s="26">
        <v>21</v>
      </c>
      <c r="T878" s="26">
        <v>8</v>
      </c>
      <c r="U878" s="26">
        <v>31</v>
      </c>
      <c r="V878" s="26">
        <v>1</v>
      </c>
      <c r="W878" s="26"/>
    </row>
    <row r="879" spans="1:23" x14ac:dyDescent="0.25">
      <c r="A879" s="26" t="str">
        <f t="shared" si="148"/>
        <v>SECUNDARIA</v>
      </c>
      <c r="B879" s="26" t="str">
        <f>"09PES0101K"</f>
        <v>09PES0101K</v>
      </c>
      <c r="C879" s="26" t="str">
        <f>"INSTITUTO JUAREZ                                                                                    "</f>
        <v xml:space="preserve">INSTITUTO JUAREZ                                                                                    </v>
      </c>
      <c r="D879" s="26" t="str">
        <f t="shared" si="151"/>
        <v>MATUTINO</v>
      </c>
      <c r="E879" s="26" t="str">
        <f>"AV CUAUHTEMOC 99                                                                "</f>
        <v xml:space="preserve">AV CUAUHTEMOC 99                                                                </v>
      </c>
      <c r="F879" s="26" t="str">
        <f>"DEL CARMEN                                                                                                                                  "</f>
        <v xml:space="preserve">DEL CARMEN                                                                                                                                  </v>
      </c>
      <c r="G879" s="26" t="str">
        <f>"COYOACAN                                                                        "</f>
        <v xml:space="preserve">COYOACAN                                                                        </v>
      </c>
      <c r="H879" s="26" t="str">
        <f>"018"</f>
        <v>018</v>
      </c>
      <c r="I879" s="26" t="str">
        <f t="shared" si="150"/>
        <v>00</v>
      </c>
      <c r="J879" s="26" t="str">
        <f>"54 "</f>
        <v xml:space="preserve">54 </v>
      </c>
      <c r="K879" s="26" t="str">
        <f t="shared" si="154"/>
        <v>SG</v>
      </c>
      <c r="L879" s="26" t="str">
        <f t="shared" si="155"/>
        <v>DGOSE</v>
      </c>
      <c r="M879" s="26" t="str">
        <f t="shared" si="153"/>
        <v>PARTICULAR</v>
      </c>
      <c r="N879" s="26">
        <v>143</v>
      </c>
      <c r="O879" s="26">
        <v>72</v>
      </c>
      <c r="P879" s="26">
        <v>71</v>
      </c>
      <c r="Q879" s="26">
        <v>7</v>
      </c>
      <c r="R879" s="26">
        <v>1</v>
      </c>
      <c r="S879" s="26">
        <v>13</v>
      </c>
      <c r="T879" s="26">
        <v>5</v>
      </c>
      <c r="U879" s="26">
        <v>19</v>
      </c>
      <c r="V879" s="26">
        <v>1</v>
      </c>
      <c r="W879" s="26"/>
    </row>
    <row r="880" spans="1:23" x14ac:dyDescent="0.25">
      <c r="A880" s="26" t="str">
        <f t="shared" si="148"/>
        <v>SECUNDARIA</v>
      </c>
      <c r="B880" s="26" t="str">
        <f>"09PES0103I"</f>
        <v>09PES0103I</v>
      </c>
      <c r="C880" s="26" t="str">
        <f>"""ISABEL GRASSETEAU""                                                                                 "</f>
        <v xml:space="preserve">"ISABEL GRASSETEAU"                                                                                 </v>
      </c>
      <c r="D880" s="26" t="str">
        <f t="shared" si="151"/>
        <v>MATUTINO</v>
      </c>
      <c r="E880" s="26" t="str">
        <f>"ADRIAN BROWER NUM. 41                                                           "</f>
        <v xml:space="preserve">ADRIAN BROWER NUM. 41                                                           </v>
      </c>
      <c r="F880" s="26" t="str">
        <f>"ALFONSO XIII                                                                                                                                "</f>
        <v xml:space="preserve">ALFONSO XIII                                                                                                                                </v>
      </c>
      <c r="G880" s="26" t="str">
        <f>"ALVARO OBREGON                                                                  "</f>
        <v xml:space="preserve">ALVARO OBREGON                                                                  </v>
      </c>
      <c r="H880" s="26" t="str">
        <f>"003"</f>
        <v>003</v>
      </c>
      <c r="I880" s="26" t="str">
        <f t="shared" si="150"/>
        <v>00</v>
      </c>
      <c r="J880" s="26" t="str">
        <f>"53 "</f>
        <v xml:space="preserve">53 </v>
      </c>
      <c r="K880" s="26" t="str">
        <f t="shared" si="154"/>
        <v>SG</v>
      </c>
      <c r="L880" s="26" t="str">
        <f t="shared" si="155"/>
        <v>DGOSE</v>
      </c>
      <c r="M880" s="26" t="str">
        <f t="shared" si="153"/>
        <v>PARTICULAR</v>
      </c>
      <c r="N880" s="26">
        <v>149</v>
      </c>
      <c r="O880" s="26">
        <v>69</v>
      </c>
      <c r="P880" s="26">
        <v>80</v>
      </c>
      <c r="Q880" s="26">
        <v>6</v>
      </c>
      <c r="R880" s="26">
        <v>2</v>
      </c>
      <c r="S880" s="26">
        <v>15</v>
      </c>
      <c r="T880" s="26">
        <v>2</v>
      </c>
      <c r="U880" s="26">
        <v>19</v>
      </c>
      <c r="V880" s="26">
        <v>1</v>
      </c>
      <c r="W880" s="26"/>
    </row>
    <row r="881" spans="1:23" x14ac:dyDescent="0.25">
      <c r="A881" s="26" t="str">
        <f t="shared" si="148"/>
        <v>SECUNDARIA</v>
      </c>
      <c r="B881" s="26" t="str">
        <f>"09PES0112Q"</f>
        <v>09PES0112Q</v>
      </c>
      <c r="C881" s="26" t="str">
        <f>"CRISTIANA FERNANDEZ DE MERINO                                                                       "</f>
        <v xml:space="preserve">CRISTIANA FERNANDEZ DE MERINO                                                                       </v>
      </c>
      <c r="D881" s="26" t="str">
        <f t="shared" si="151"/>
        <v>MATUTINO</v>
      </c>
      <c r="E881" s="26" t="str">
        <f>"TRIPOLI 112                                                                     "</f>
        <v xml:space="preserve">TRIPOLI 112                                                                     </v>
      </c>
      <c r="F881" s="26" t="str">
        <f>"PORTALES                                                                                                                                    "</f>
        <v xml:space="preserve">PORTALES                                                                                                                                    </v>
      </c>
      <c r="G881" s="26" t="str">
        <f>"BENITO JUAREZ                                                                   "</f>
        <v xml:space="preserve">BENITO JUAREZ                                                                   </v>
      </c>
      <c r="H881" s="26" t="str">
        <f>"015"</f>
        <v>015</v>
      </c>
      <c r="I881" s="26" t="str">
        <f t="shared" si="150"/>
        <v>00</v>
      </c>
      <c r="J881" s="26" t="str">
        <f>"53 "</f>
        <v xml:space="preserve">53 </v>
      </c>
      <c r="K881" s="26" t="str">
        <f t="shared" si="154"/>
        <v>SG</v>
      </c>
      <c r="L881" s="26" t="str">
        <f t="shared" si="155"/>
        <v>DGOSE</v>
      </c>
      <c r="M881" s="26" t="str">
        <f t="shared" si="153"/>
        <v>PARTICULAR</v>
      </c>
      <c r="N881" s="26">
        <v>119</v>
      </c>
      <c r="O881" s="26">
        <v>65</v>
      </c>
      <c r="P881" s="26">
        <v>54</v>
      </c>
      <c r="Q881" s="26">
        <v>5</v>
      </c>
      <c r="R881" s="26">
        <v>1</v>
      </c>
      <c r="S881" s="26">
        <v>13</v>
      </c>
      <c r="T881" s="26">
        <v>8</v>
      </c>
      <c r="U881" s="26">
        <v>22</v>
      </c>
      <c r="V881" s="26">
        <v>1</v>
      </c>
      <c r="W881" s="26"/>
    </row>
    <row r="882" spans="1:23" x14ac:dyDescent="0.25">
      <c r="A882" s="26" t="str">
        <f t="shared" si="148"/>
        <v>SECUNDARIA</v>
      </c>
      <c r="B882" s="26" t="str">
        <f>"09PES0117L"</f>
        <v>09PES0117L</v>
      </c>
      <c r="C882" s="26" t="str">
        <f>"COLEGIO SIMON BOLIVAR                                                                               "</f>
        <v xml:space="preserve">COLEGIO SIMON BOLIVAR                                                                               </v>
      </c>
      <c r="D882" s="26" t="str">
        <f t="shared" si="151"/>
        <v>MATUTINO</v>
      </c>
      <c r="E882" s="26" t="str">
        <f>"AV RIO MIXCOAC 125                                                              "</f>
        <v xml:space="preserve">AV RIO MIXCOAC 125                                                              </v>
      </c>
      <c r="F882" s="26" t="str">
        <f>"INSURGENTES MIXCOAC                                                                                                                         "</f>
        <v xml:space="preserve">INSURGENTES MIXCOAC                                                                                                                         </v>
      </c>
      <c r="G882" s="26" t="str">
        <f>"BENITO JUAREZ                                                                   "</f>
        <v xml:space="preserve">BENITO JUAREZ                                                                   </v>
      </c>
      <c r="H882" s="26" t="str">
        <f>"016"</f>
        <v>016</v>
      </c>
      <c r="I882" s="26" t="str">
        <f t="shared" si="150"/>
        <v>00</v>
      </c>
      <c r="J882" s="26" t="str">
        <f>"53 "</f>
        <v xml:space="preserve">53 </v>
      </c>
      <c r="K882" s="26" t="str">
        <f t="shared" si="154"/>
        <v>SG</v>
      </c>
      <c r="L882" s="26" t="str">
        <f t="shared" si="155"/>
        <v>DGOSE</v>
      </c>
      <c r="M882" s="26" t="str">
        <f t="shared" si="153"/>
        <v>PARTICULAR</v>
      </c>
      <c r="N882" s="26">
        <v>464</v>
      </c>
      <c r="O882" s="26">
        <v>206</v>
      </c>
      <c r="P882" s="26">
        <v>258</v>
      </c>
      <c r="Q882" s="26">
        <v>12</v>
      </c>
      <c r="R882" s="26">
        <v>2</v>
      </c>
      <c r="S882" s="26">
        <v>28</v>
      </c>
      <c r="T882" s="26">
        <v>7</v>
      </c>
      <c r="U882" s="26">
        <v>37</v>
      </c>
      <c r="V882" s="26">
        <v>1</v>
      </c>
      <c r="W882" s="26"/>
    </row>
    <row r="883" spans="1:23" x14ac:dyDescent="0.25">
      <c r="A883" s="26" t="str">
        <f t="shared" si="148"/>
        <v>SECUNDARIA</v>
      </c>
      <c r="B883" s="26" t="str">
        <f>"09PES0119J"</f>
        <v>09PES0119J</v>
      </c>
      <c r="C883" s="26" t="str">
        <f>"COLEGIO CIUDAD DE MEXICO                                                                            "</f>
        <v xml:space="preserve">COLEGIO CIUDAD DE MEXICO                                                                            </v>
      </c>
      <c r="D883" s="26" t="str">
        <f t="shared" si="151"/>
        <v>MATUTINO</v>
      </c>
      <c r="E883" s="26" t="str">
        <f>"CAMPOS ELISEOS NUM 139                                                          "</f>
        <v xml:space="preserve">CAMPOS ELISEOS NUM 139                                                          </v>
      </c>
      <c r="F883" s="26" t="str">
        <f>"POLANCO CHAPULTEPEC                                                                                                                         "</f>
        <v xml:space="preserve">POLANCO CHAPULTEPEC                                                                                                                         </v>
      </c>
      <c r="G883" s="26" t="str">
        <f>"MIGUEL HIDALGO                                                                  "</f>
        <v xml:space="preserve">MIGUEL HIDALGO                                                                  </v>
      </c>
      <c r="H883" s="26" t="str">
        <f>"061"</f>
        <v>061</v>
      </c>
      <c r="I883" s="26" t="str">
        <f t="shared" si="150"/>
        <v>00</v>
      </c>
      <c r="J883" s="26" t="str">
        <f>"51 "</f>
        <v xml:space="preserve">51 </v>
      </c>
      <c r="K883" s="26" t="str">
        <f t="shared" si="154"/>
        <v>SG</v>
      </c>
      <c r="L883" s="26" t="str">
        <f t="shared" si="155"/>
        <v>DGOSE</v>
      </c>
      <c r="M883" s="26" t="str">
        <f t="shared" si="153"/>
        <v>PARTICULAR</v>
      </c>
      <c r="N883" s="26">
        <v>233</v>
      </c>
      <c r="O883" s="26">
        <v>98</v>
      </c>
      <c r="P883" s="26">
        <v>135</v>
      </c>
      <c r="Q883" s="26">
        <v>9</v>
      </c>
      <c r="R883" s="26">
        <v>1</v>
      </c>
      <c r="S883" s="26">
        <v>25</v>
      </c>
      <c r="T883" s="26">
        <v>11</v>
      </c>
      <c r="U883" s="26">
        <v>37</v>
      </c>
      <c r="V883" s="26">
        <v>1</v>
      </c>
      <c r="W883" s="26"/>
    </row>
    <row r="884" spans="1:23" x14ac:dyDescent="0.25">
      <c r="A884" s="26" t="str">
        <f t="shared" si="148"/>
        <v>SECUNDARIA</v>
      </c>
      <c r="B884" s="26" t="str">
        <f>"09PES0138Y"</f>
        <v>09PES0138Y</v>
      </c>
      <c r="C884" s="26" t="str">
        <f>""" GAMA ""                                                                                            "</f>
        <v xml:space="preserve">" GAMA "                                                                                            </v>
      </c>
      <c r="D884" s="26" t="str">
        <f t="shared" si="151"/>
        <v>MATUTINO</v>
      </c>
      <c r="E884" s="26" t="str">
        <f>"CORRESPONDENCIA NUM 59                                                          "</f>
        <v xml:space="preserve">CORRESPONDENCIA NUM 59                                                          </v>
      </c>
      <c r="F884" s="26" t="str">
        <f>"POSTAL                                                                                                                                      "</f>
        <v xml:space="preserve">POSTAL                                                                                                                                      </v>
      </c>
      <c r="G884" s="26" t="str">
        <f>"BENITO JUAREZ                                                                   "</f>
        <v xml:space="preserve">BENITO JUAREZ                                                                   </v>
      </c>
      <c r="H884" s="26" t="str">
        <f>"013"</f>
        <v>013</v>
      </c>
      <c r="I884" s="26" t="str">
        <f t="shared" si="150"/>
        <v>00</v>
      </c>
      <c r="J884" s="26" t="str">
        <f>"53 "</f>
        <v xml:space="preserve">53 </v>
      </c>
      <c r="K884" s="26" t="str">
        <f t="shared" si="154"/>
        <v>SG</v>
      </c>
      <c r="L884" s="26" t="str">
        <f t="shared" si="155"/>
        <v>DGOSE</v>
      </c>
      <c r="M884" s="26" t="str">
        <f t="shared" si="153"/>
        <v>PARTICULAR</v>
      </c>
      <c r="N884" s="26">
        <v>89</v>
      </c>
      <c r="O884" s="26">
        <v>40</v>
      </c>
      <c r="P884" s="26">
        <v>49</v>
      </c>
      <c r="Q884" s="26">
        <v>3</v>
      </c>
      <c r="R884" s="26">
        <v>2</v>
      </c>
      <c r="S884" s="26">
        <v>9</v>
      </c>
      <c r="T884" s="26">
        <v>1</v>
      </c>
      <c r="U884" s="26">
        <v>12</v>
      </c>
      <c r="V884" s="26">
        <v>1</v>
      </c>
      <c r="W884" s="26"/>
    </row>
    <row r="885" spans="1:23" x14ac:dyDescent="0.25">
      <c r="A885" s="26" t="str">
        <f t="shared" si="148"/>
        <v>SECUNDARIA</v>
      </c>
      <c r="B885" s="26" t="str">
        <f>"09PES0149D"</f>
        <v>09PES0149D</v>
      </c>
      <c r="C885" s="26" t="str">
        <f>"INSTITUTO ESPERANZA                                                                                 "</f>
        <v xml:space="preserve">INSTITUTO ESPERANZA                                                                                 </v>
      </c>
      <c r="D885" s="26" t="str">
        <f t="shared" si="151"/>
        <v>MATUTINO</v>
      </c>
      <c r="E885" s="26" t="str">
        <f>"GOLFO DE MEXICO NUM 19                                                          "</f>
        <v xml:space="preserve">GOLFO DE MEXICO NUM 19                                                          </v>
      </c>
      <c r="F885" s="26" t="str">
        <f>"TACUBA                                                                                                                                      "</f>
        <v xml:space="preserve">TACUBA                                                                                                                                      </v>
      </c>
      <c r="G885" s="26" t="str">
        <f>"MIGUEL HIDALGO                                                                  "</f>
        <v xml:space="preserve">MIGUEL HIDALGO                                                                  </v>
      </c>
      <c r="H885" s="26" t="str">
        <f>"065"</f>
        <v>065</v>
      </c>
      <c r="I885" s="26" t="str">
        <f t="shared" si="150"/>
        <v>00</v>
      </c>
      <c r="J885" s="26" t="str">
        <f>"51 "</f>
        <v xml:space="preserve">51 </v>
      </c>
      <c r="K885" s="26" t="str">
        <f t="shared" si="154"/>
        <v>SG</v>
      </c>
      <c r="L885" s="26" t="str">
        <f t="shared" si="155"/>
        <v>DGOSE</v>
      </c>
      <c r="M885" s="26" t="str">
        <f t="shared" si="153"/>
        <v>PARTICULAR</v>
      </c>
      <c r="N885" s="26">
        <v>111</v>
      </c>
      <c r="O885" s="26">
        <v>49</v>
      </c>
      <c r="P885" s="26">
        <v>62</v>
      </c>
      <c r="Q885" s="26">
        <v>5</v>
      </c>
      <c r="R885" s="26">
        <v>2</v>
      </c>
      <c r="S885" s="26">
        <v>12</v>
      </c>
      <c r="T885" s="26">
        <v>4</v>
      </c>
      <c r="U885" s="26">
        <v>18</v>
      </c>
      <c r="V885" s="26">
        <v>1</v>
      </c>
      <c r="W885" s="26"/>
    </row>
    <row r="886" spans="1:23" x14ac:dyDescent="0.25">
      <c r="A886" s="26" t="str">
        <f t="shared" si="148"/>
        <v>SECUNDARIA</v>
      </c>
      <c r="B886" s="26" t="str">
        <f>"09PES0164W"</f>
        <v>09PES0164W</v>
      </c>
      <c r="C886" s="26" t="str">
        <f>"CRISTOBAL COLON                                                                                     "</f>
        <v xml:space="preserve">CRISTOBAL COLON                                                                                     </v>
      </c>
      <c r="D886" s="26" t="str">
        <f t="shared" si="151"/>
        <v>MATUTINO</v>
      </c>
      <c r="E886" s="26" t="str">
        <f>"AV MIGUEL BERNAR NUM 52                                                         "</f>
        <v xml:space="preserve">AV MIGUEL BERNAR NUM 52                                                         </v>
      </c>
      <c r="F886" s="26" t="str">
        <f>"LA ESCALERA                                                                                                                                 "</f>
        <v xml:space="preserve">LA ESCALERA                                                                                                                                 </v>
      </c>
      <c r="G886" s="26" t="str">
        <f>"GUSTAVO A. MADERO                                                               "</f>
        <v xml:space="preserve">GUSTAVO A. MADERO                                                               </v>
      </c>
      <c r="H886" s="26" t="str">
        <f>"033"</f>
        <v>033</v>
      </c>
      <c r="I886" s="26" t="str">
        <f t="shared" si="150"/>
        <v>00</v>
      </c>
      <c r="J886" s="26" t="str">
        <f>"52 "</f>
        <v xml:space="preserve">52 </v>
      </c>
      <c r="K886" s="26" t="str">
        <f t="shared" si="154"/>
        <v>SG</v>
      </c>
      <c r="L886" s="26" t="str">
        <f t="shared" si="155"/>
        <v>DGOSE</v>
      </c>
      <c r="M886" s="26" t="str">
        <f t="shared" si="153"/>
        <v>PARTICULAR</v>
      </c>
      <c r="N886" s="26">
        <v>806</v>
      </c>
      <c r="O886" s="26">
        <v>489</v>
      </c>
      <c r="P886" s="26">
        <v>317</v>
      </c>
      <c r="Q886" s="26">
        <v>18</v>
      </c>
      <c r="R886" s="26">
        <v>1</v>
      </c>
      <c r="S886" s="26">
        <v>33</v>
      </c>
      <c r="T886" s="26">
        <v>11</v>
      </c>
      <c r="U886" s="26">
        <v>45</v>
      </c>
      <c r="V886" s="26">
        <v>1</v>
      </c>
      <c r="W886" s="26"/>
    </row>
    <row r="887" spans="1:23" x14ac:dyDescent="0.25">
      <c r="A887" s="26" t="str">
        <f t="shared" si="148"/>
        <v>SECUNDARIA</v>
      </c>
      <c r="B887" s="26" t="str">
        <f>"09PES0170G"</f>
        <v>09PES0170G</v>
      </c>
      <c r="C887" s="26" t="str">
        <f>"CIVILIZACION                                                                                        "</f>
        <v xml:space="preserve">CIVILIZACION                                                                                        </v>
      </c>
      <c r="D887" s="26" t="str">
        <f t="shared" si="151"/>
        <v>MATUTINO</v>
      </c>
      <c r="E887" s="26" t="str">
        <f>"LAGUNA SAN CRISTOBAL NUM 44                                                     "</f>
        <v xml:space="preserve">LAGUNA SAN CRISTOBAL NUM 44                                                     </v>
      </c>
      <c r="F887" s="26" t="str">
        <f>"ANAHUAC I                                                                                                                                   "</f>
        <v xml:space="preserve">ANAHUAC I                                                                                                                                   </v>
      </c>
      <c r="G887" s="26" t="str">
        <f>"MIGUEL HIDALGO                                                                  "</f>
        <v xml:space="preserve">MIGUEL HIDALGO                                                                  </v>
      </c>
      <c r="H887" s="26" t="str">
        <f>"065"</f>
        <v>065</v>
      </c>
      <c r="I887" s="26" t="str">
        <f t="shared" si="150"/>
        <v>00</v>
      </c>
      <c r="J887" s="26" t="str">
        <f>"51 "</f>
        <v xml:space="preserve">51 </v>
      </c>
      <c r="K887" s="26" t="str">
        <f t="shared" si="154"/>
        <v>SG</v>
      </c>
      <c r="L887" s="26" t="str">
        <f t="shared" si="155"/>
        <v>DGOSE</v>
      </c>
      <c r="M887" s="26" t="str">
        <f t="shared" si="153"/>
        <v>PARTICULAR</v>
      </c>
      <c r="N887" s="26">
        <v>204</v>
      </c>
      <c r="O887" s="26">
        <v>103</v>
      </c>
      <c r="P887" s="26">
        <v>101</v>
      </c>
      <c r="Q887" s="26">
        <v>7</v>
      </c>
      <c r="R887" s="26">
        <v>2</v>
      </c>
      <c r="S887" s="26">
        <v>18</v>
      </c>
      <c r="T887" s="26">
        <v>9</v>
      </c>
      <c r="U887" s="26">
        <v>29</v>
      </c>
      <c r="V887" s="26">
        <v>1</v>
      </c>
      <c r="W887" s="26"/>
    </row>
    <row r="888" spans="1:23" x14ac:dyDescent="0.25">
      <c r="A888" s="26" t="str">
        <f t="shared" si="148"/>
        <v>SECUNDARIA</v>
      </c>
      <c r="B888" s="26" t="str">
        <f>"09PES0171F"</f>
        <v>09PES0171F</v>
      </c>
      <c r="C888" s="26" t="str">
        <f>"INSTITUTO GUADALUPE INSURGENTES                                                                     "</f>
        <v xml:space="preserve">INSTITUTO GUADALUPE INSURGENTES                                                                     </v>
      </c>
      <c r="D888" s="26" t="str">
        <f t="shared" si="151"/>
        <v>MATUTINO</v>
      </c>
      <c r="E888" s="26" t="str">
        <f>"ING ANTONIO NARRO ACUÑA NUM 187                                                 "</f>
        <v xml:space="preserve">ING ANTONIO NARRO ACUÑA NUM 187                                                 </v>
      </c>
      <c r="F888" s="26" t="str">
        <f>"GUADALUPE INSURGENTES                                                                                                                       "</f>
        <v xml:space="preserve">GUADALUPE INSURGENTES                                                                                                                       </v>
      </c>
      <c r="G888" s="26" t="str">
        <f>"GUSTAVO A. MADERO                                                               "</f>
        <v xml:space="preserve">GUSTAVO A. MADERO                                                               </v>
      </c>
      <c r="H888" s="26" t="str">
        <f>"034"</f>
        <v>034</v>
      </c>
      <c r="I888" s="26" t="str">
        <f t="shared" si="150"/>
        <v>00</v>
      </c>
      <c r="J888" s="26" t="str">
        <f>"52 "</f>
        <v xml:space="preserve">52 </v>
      </c>
      <c r="K888" s="26" t="str">
        <f t="shared" si="154"/>
        <v>SG</v>
      </c>
      <c r="L888" s="26" t="str">
        <f t="shared" si="155"/>
        <v>DGOSE</v>
      </c>
      <c r="M888" s="26" t="str">
        <f t="shared" si="153"/>
        <v>PARTICULAR</v>
      </c>
      <c r="N888" s="26">
        <v>158</v>
      </c>
      <c r="O888" s="26">
        <v>91</v>
      </c>
      <c r="P888" s="26">
        <v>67</v>
      </c>
      <c r="Q888" s="26">
        <v>6</v>
      </c>
      <c r="R888" s="26">
        <v>2</v>
      </c>
      <c r="S888" s="26">
        <v>16</v>
      </c>
      <c r="T888" s="26">
        <v>3</v>
      </c>
      <c r="U888" s="26">
        <v>21</v>
      </c>
      <c r="V888" s="26">
        <v>1</v>
      </c>
      <c r="W888" s="26"/>
    </row>
    <row r="889" spans="1:23" x14ac:dyDescent="0.25">
      <c r="A889" s="26" t="str">
        <f t="shared" si="148"/>
        <v>SECUNDARIA</v>
      </c>
      <c r="B889" s="26" t="str">
        <f>"09PES0172E"</f>
        <v>09PES0172E</v>
      </c>
      <c r="C889" s="26" t="str">
        <f>"AMADO NERVO                                                                                         "</f>
        <v xml:space="preserve">AMADO NERVO                                                                                         </v>
      </c>
      <c r="D889" s="26" t="str">
        <f t="shared" si="151"/>
        <v>MATUTINO</v>
      </c>
      <c r="E889" s="26" t="str">
        <f>"BAJIO 220                                                                       "</f>
        <v xml:space="preserve">BAJIO 220                                                                       </v>
      </c>
      <c r="F889" s="26" t="str">
        <f>"ROMA SUR                                                                                                                                    "</f>
        <v xml:space="preserve">ROMA SUR                                                                                                                                    </v>
      </c>
      <c r="G889" s="26" t="str">
        <f>"CUAUHTEMOC                                                                      "</f>
        <v xml:space="preserve">CUAUHTEMOC                                                                      </v>
      </c>
      <c r="H889" s="26" t="str">
        <f>"029"</f>
        <v>029</v>
      </c>
      <c r="I889" s="26" t="str">
        <f t="shared" si="150"/>
        <v>00</v>
      </c>
      <c r="J889" s="26" t="str">
        <f>"51 "</f>
        <v xml:space="preserve">51 </v>
      </c>
      <c r="K889" s="26" t="str">
        <f t="shared" si="154"/>
        <v>SG</v>
      </c>
      <c r="L889" s="26" t="str">
        <f t="shared" si="155"/>
        <v>DGOSE</v>
      </c>
      <c r="M889" s="26" t="str">
        <f t="shared" si="153"/>
        <v>PARTICULAR</v>
      </c>
      <c r="N889" s="26">
        <v>164</v>
      </c>
      <c r="O889" s="26">
        <v>87</v>
      </c>
      <c r="P889" s="26">
        <v>77</v>
      </c>
      <c r="Q889" s="26">
        <v>6</v>
      </c>
      <c r="R889" s="26">
        <v>2</v>
      </c>
      <c r="S889" s="26">
        <v>18</v>
      </c>
      <c r="T889" s="26">
        <v>13</v>
      </c>
      <c r="U889" s="26">
        <v>33</v>
      </c>
      <c r="V889" s="26">
        <v>1</v>
      </c>
      <c r="W889" s="26"/>
    </row>
    <row r="890" spans="1:23" x14ac:dyDescent="0.25">
      <c r="A890" s="26" t="str">
        <f t="shared" si="148"/>
        <v>SECUNDARIA</v>
      </c>
      <c r="B890" s="26" t="str">
        <f>"09PES0193R"</f>
        <v>09PES0193R</v>
      </c>
      <c r="C890" s="26" t="str">
        <f>"CENTENARIO CONSTITUCION 57                                                                          "</f>
        <v xml:space="preserve">CENTENARIO CONSTITUCION 57                                                                          </v>
      </c>
      <c r="D890" s="26" t="str">
        <f t="shared" si="151"/>
        <v>MATUTINO</v>
      </c>
      <c r="E890" s="26" t="str">
        <f>"MARTHA 89                                                                       "</f>
        <v xml:space="preserve">MARTHA 89                                                                       </v>
      </c>
      <c r="F890" s="26" t="str">
        <f>"GUADALUPE TEPEYAC                                                                                                                           "</f>
        <v xml:space="preserve">GUADALUPE TEPEYAC                                                                                                                           </v>
      </c>
      <c r="G890" s="26" t="str">
        <f>"GUSTAVO A. MADERO                                                               "</f>
        <v xml:space="preserve">GUSTAVO A. MADERO                                                               </v>
      </c>
      <c r="H890" s="26" t="str">
        <f>"034"</f>
        <v>034</v>
      </c>
      <c r="I890" s="26" t="str">
        <f t="shared" si="150"/>
        <v>00</v>
      </c>
      <c r="J890" s="26" t="str">
        <f>"52 "</f>
        <v xml:space="preserve">52 </v>
      </c>
      <c r="K890" s="26" t="str">
        <f t="shared" si="154"/>
        <v>SG</v>
      </c>
      <c r="L890" s="26" t="str">
        <f t="shared" si="155"/>
        <v>DGOSE</v>
      </c>
      <c r="M890" s="26" t="str">
        <f t="shared" si="153"/>
        <v>PARTICULAR</v>
      </c>
      <c r="N890" s="26">
        <v>79</v>
      </c>
      <c r="O890" s="26">
        <v>49</v>
      </c>
      <c r="P890" s="26">
        <v>30</v>
      </c>
      <c r="Q890" s="26">
        <v>3</v>
      </c>
      <c r="R890" s="26">
        <v>1</v>
      </c>
      <c r="S890" s="26">
        <v>11</v>
      </c>
      <c r="T890" s="26">
        <v>4</v>
      </c>
      <c r="U890" s="26">
        <v>16</v>
      </c>
      <c r="V890" s="26">
        <v>1</v>
      </c>
      <c r="W890" s="26"/>
    </row>
    <row r="891" spans="1:23" x14ac:dyDescent="0.25">
      <c r="A891" s="26" t="str">
        <f t="shared" si="148"/>
        <v>SECUNDARIA</v>
      </c>
      <c r="B891" s="26" t="str">
        <f>"09PES0196O"</f>
        <v>09PES0196O</v>
      </c>
      <c r="C891" s="26" t="str">
        <f>"COLEGIO WESTMINSTER                                                                                 "</f>
        <v xml:space="preserve">COLEGIO WESTMINSTER                                                                                 </v>
      </c>
      <c r="D891" s="26" t="str">
        <f t="shared" si="151"/>
        <v>MATUTINO</v>
      </c>
      <c r="E891" s="26" t="str">
        <f>"CAMINO STA TERESA TLALPAN 811                                                   "</f>
        <v xml:space="preserve">CAMINO STA TERESA TLALPAN 811                                                   </v>
      </c>
      <c r="F891" s="26" t="str">
        <f>"NARCISO MENDOZA                                                                                                                             "</f>
        <v xml:space="preserve">NARCISO MENDOZA                                                                                                                             </v>
      </c>
      <c r="G891" s="26" t="str">
        <f>"TLALPAN                                                                         "</f>
        <v xml:space="preserve">TLALPAN                                                                         </v>
      </c>
      <c r="H891" s="26" t="str">
        <f>"072"</f>
        <v>072</v>
      </c>
      <c r="I891" s="26" t="str">
        <f t="shared" si="150"/>
        <v>00</v>
      </c>
      <c r="J891" s="26" t="str">
        <f>"55 "</f>
        <v xml:space="preserve">55 </v>
      </c>
      <c r="K891" s="26" t="str">
        <f t="shared" si="154"/>
        <v>SG</v>
      </c>
      <c r="L891" s="26" t="str">
        <f t="shared" si="155"/>
        <v>DGOSE</v>
      </c>
      <c r="M891" s="26" t="str">
        <f t="shared" si="153"/>
        <v>PARTICULAR</v>
      </c>
      <c r="N891" s="26">
        <v>116</v>
      </c>
      <c r="O891" s="26">
        <v>65</v>
      </c>
      <c r="P891" s="26">
        <v>51</v>
      </c>
      <c r="Q891" s="26">
        <v>5</v>
      </c>
      <c r="R891" s="26">
        <v>2</v>
      </c>
      <c r="S891" s="26">
        <v>16</v>
      </c>
      <c r="T891" s="26">
        <v>8</v>
      </c>
      <c r="U891" s="26">
        <v>26</v>
      </c>
      <c r="V891" s="26">
        <v>1</v>
      </c>
      <c r="W891" s="26"/>
    </row>
    <row r="892" spans="1:23" x14ac:dyDescent="0.25">
      <c r="A892" s="26" t="str">
        <f t="shared" si="148"/>
        <v>SECUNDARIA</v>
      </c>
      <c r="B892" s="26" t="str">
        <f>"09PES0200K"</f>
        <v>09PES0200K</v>
      </c>
      <c r="C892" s="26" t="str">
        <f>"REINA MARIA                                                                                         "</f>
        <v xml:space="preserve">REINA MARIA                                                                                         </v>
      </c>
      <c r="D892" s="26" t="str">
        <f t="shared" si="151"/>
        <v>MATUTINO</v>
      </c>
      <c r="E892" s="26" t="str">
        <f>"RIO BALSAS NUM 12                                                               "</f>
        <v xml:space="preserve">RIO BALSAS NUM 12                                                               </v>
      </c>
      <c r="F892" s="26" t="str">
        <f>"CUAUHTEMOC                                                                                                                                  "</f>
        <v xml:space="preserve">CUAUHTEMOC                                                                                                                                  </v>
      </c>
      <c r="G892" s="26" t="str">
        <f>"CUAUHTEMOC                                                                      "</f>
        <v xml:space="preserve">CUAUHTEMOC                                                                      </v>
      </c>
      <c r="H892" s="26" t="str">
        <f>"028"</f>
        <v>028</v>
      </c>
      <c r="I892" s="26" t="str">
        <f t="shared" si="150"/>
        <v>00</v>
      </c>
      <c r="J892" s="26" t="str">
        <f>"51 "</f>
        <v xml:space="preserve">51 </v>
      </c>
      <c r="K892" s="26" t="str">
        <f t="shared" si="154"/>
        <v>SG</v>
      </c>
      <c r="L892" s="26" t="str">
        <f t="shared" si="155"/>
        <v>DGOSE</v>
      </c>
      <c r="M892" s="26" t="str">
        <f t="shared" si="153"/>
        <v>PARTICULAR</v>
      </c>
      <c r="N892" s="26">
        <v>252</v>
      </c>
      <c r="O892" s="26">
        <v>99</v>
      </c>
      <c r="P892" s="26">
        <v>153</v>
      </c>
      <c r="Q892" s="26">
        <v>9</v>
      </c>
      <c r="R892" s="26">
        <v>2</v>
      </c>
      <c r="S892" s="26">
        <v>19</v>
      </c>
      <c r="T892" s="26">
        <v>6</v>
      </c>
      <c r="U892" s="26">
        <v>27</v>
      </c>
      <c r="V892" s="26">
        <v>1</v>
      </c>
      <c r="W892" s="26"/>
    </row>
    <row r="893" spans="1:23" x14ac:dyDescent="0.25">
      <c r="A893" s="26" t="str">
        <f t="shared" si="148"/>
        <v>SECUNDARIA</v>
      </c>
      <c r="B893" s="26" t="str">
        <f>"09PES0201J"</f>
        <v>09PES0201J</v>
      </c>
      <c r="C893" s="26" t="str">
        <f>"""JUANA DE ARCO""                                                                                     "</f>
        <v xml:space="preserve">"JUANA DE ARCO"                                                                                     </v>
      </c>
      <c r="D893" s="26" t="str">
        <f t="shared" si="151"/>
        <v>MATUTINO</v>
      </c>
      <c r="E893" s="26" t="str">
        <f>"PROLONGACION MISTERIOS 59                                                       "</f>
        <v xml:space="preserve">PROLONGACION MISTERIOS 59                                                       </v>
      </c>
      <c r="F893" s="26" t="str">
        <f>"GUSTAVO A. MADERO                                                                                                                           "</f>
        <v xml:space="preserve">GUSTAVO A. MADERO                                                                                                                           </v>
      </c>
      <c r="G893" s="26" t="str">
        <f>"GUSTAVO A. MADERO                                                               "</f>
        <v xml:space="preserve">GUSTAVO A. MADERO                                                               </v>
      </c>
      <c r="H893" s="26" t="str">
        <f>"037"</f>
        <v>037</v>
      </c>
      <c r="I893" s="26" t="str">
        <f t="shared" si="150"/>
        <v>00</v>
      </c>
      <c r="J893" s="26" t="str">
        <f>"52 "</f>
        <v xml:space="preserve">52 </v>
      </c>
      <c r="K893" s="26" t="str">
        <f t="shared" si="154"/>
        <v>SG</v>
      </c>
      <c r="L893" s="26" t="str">
        <f t="shared" si="155"/>
        <v>DGOSE</v>
      </c>
      <c r="M893" s="26" t="str">
        <f t="shared" si="153"/>
        <v>PARTICULAR</v>
      </c>
      <c r="N893" s="26">
        <v>78</v>
      </c>
      <c r="O893" s="26">
        <v>24</v>
      </c>
      <c r="P893" s="26">
        <v>54</v>
      </c>
      <c r="Q893" s="26">
        <v>3</v>
      </c>
      <c r="R893" s="26">
        <v>2</v>
      </c>
      <c r="S893" s="26">
        <v>18</v>
      </c>
      <c r="T893" s="26">
        <v>0</v>
      </c>
      <c r="U893" s="26">
        <v>20</v>
      </c>
      <c r="V893" s="26">
        <v>1</v>
      </c>
      <c r="W893" s="26"/>
    </row>
    <row r="894" spans="1:23" x14ac:dyDescent="0.25">
      <c r="A894" s="26" t="str">
        <f t="shared" si="148"/>
        <v>SECUNDARIA</v>
      </c>
      <c r="B894" s="26" t="str">
        <f>"09PES0207D"</f>
        <v>09PES0207D</v>
      </c>
      <c r="C894" s="26" t="str">
        <f>"COLEGIO INGENIERO ARMANDO I SANTACRUZ                                                               "</f>
        <v xml:space="preserve">COLEGIO INGENIERO ARMANDO I SANTACRUZ                                                               </v>
      </c>
      <c r="D894" s="26" t="str">
        <f t="shared" si="151"/>
        <v>MATUTINO</v>
      </c>
      <c r="E894" s="26" t="str">
        <f>"CALLE ORIENTE 35 NUMERO 19                                                      "</f>
        <v xml:space="preserve">CALLE ORIENTE 35 NUMERO 19                                                      </v>
      </c>
      <c r="F894" s="26" t="str">
        <f>"MOCTEZUMA 2A SECCION                                                                                                                        "</f>
        <v xml:space="preserve">MOCTEZUMA 2A SECCION                                                                                                                        </v>
      </c>
      <c r="G894" s="26" t="str">
        <f>"VENUSTIANO CARRANZA                                                             "</f>
        <v xml:space="preserve">VENUSTIANO CARRANZA                                                             </v>
      </c>
      <c r="H894" s="26" t="str">
        <f>"075"</f>
        <v>075</v>
      </c>
      <c r="I894" s="26" t="str">
        <f t="shared" si="150"/>
        <v>00</v>
      </c>
      <c r="J894" s="26" t="str">
        <f>"54 "</f>
        <v xml:space="preserve">54 </v>
      </c>
      <c r="K894" s="26" t="str">
        <f t="shared" si="154"/>
        <v>SG</v>
      </c>
      <c r="L894" s="26" t="str">
        <f t="shared" si="155"/>
        <v>DGOSE</v>
      </c>
      <c r="M894" s="26" t="str">
        <f t="shared" si="153"/>
        <v>PARTICULAR</v>
      </c>
      <c r="N894" s="26">
        <v>184</v>
      </c>
      <c r="O894" s="26">
        <v>82</v>
      </c>
      <c r="P894" s="26">
        <v>102</v>
      </c>
      <c r="Q894" s="26">
        <v>6</v>
      </c>
      <c r="R894" s="26">
        <v>2</v>
      </c>
      <c r="S894" s="26">
        <v>25</v>
      </c>
      <c r="T894" s="26">
        <v>4</v>
      </c>
      <c r="U894" s="26">
        <v>31</v>
      </c>
      <c r="V894" s="26">
        <v>1</v>
      </c>
      <c r="W894" s="26"/>
    </row>
    <row r="895" spans="1:23" x14ac:dyDescent="0.25">
      <c r="A895" s="26" t="str">
        <f t="shared" si="148"/>
        <v>SECUNDARIA</v>
      </c>
      <c r="B895" s="26" t="str">
        <f>"09PES0209B"</f>
        <v>09PES0209B</v>
      </c>
      <c r="C895" s="26" t="str">
        <f>"INSTITUTO PORVENIR                                                                                  "</f>
        <v xml:space="preserve">INSTITUTO PORVENIR                                                                                  </v>
      </c>
      <c r="D895" s="26" t="str">
        <f t="shared" si="151"/>
        <v>MATUTINO</v>
      </c>
      <c r="E895" s="26" t="str">
        <f>"CARLOTA 68                                                                      "</f>
        <v xml:space="preserve">CARLOTA 68                                                                      </v>
      </c>
      <c r="F895" s="26" t="str">
        <f>"GUADALUPE TEPEYAC                                                                                                                           "</f>
        <v xml:space="preserve">GUADALUPE TEPEYAC                                                                                                                           </v>
      </c>
      <c r="G895" s="26" t="str">
        <f>"GUSTAVO A. MADERO                                                               "</f>
        <v xml:space="preserve">GUSTAVO A. MADERO                                                               </v>
      </c>
      <c r="H895" s="26" t="str">
        <f>"036"</f>
        <v>036</v>
      </c>
      <c r="I895" s="26" t="str">
        <f t="shared" si="150"/>
        <v>00</v>
      </c>
      <c r="J895" s="26" t="str">
        <f>"52 "</f>
        <v xml:space="preserve">52 </v>
      </c>
      <c r="K895" s="26" t="str">
        <f t="shared" si="154"/>
        <v>SG</v>
      </c>
      <c r="L895" s="26" t="str">
        <f t="shared" si="155"/>
        <v>DGOSE</v>
      </c>
      <c r="M895" s="26" t="str">
        <f t="shared" si="153"/>
        <v>PARTICULAR</v>
      </c>
      <c r="N895" s="26">
        <v>170</v>
      </c>
      <c r="O895" s="26">
        <v>90</v>
      </c>
      <c r="P895" s="26">
        <v>80</v>
      </c>
      <c r="Q895" s="26">
        <v>7</v>
      </c>
      <c r="R895" s="26">
        <v>2</v>
      </c>
      <c r="S895" s="26">
        <v>14</v>
      </c>
      <c r="T895" s="26">
        <v>0</v>
      </c>
      <c r="U895" s="26">
        <v>16</v>
      </c>
      <c r="V895" s="26">
        <v>1</v>
      </c>
      <c r="W895" s="26"/>
    </row>
    <row r="896" spans="1:23" x14ac:dyDescent="0.25">
      <c r="A896" s="26" t="str">
        <f t="shared" si="148"/>
        <v>SECUNDARIA</v>
      </c>
      <c r="B896" s="26" t="str">
        <f>"09PES0221X"</f>
        <v>09PES0221X</v>
      </c>
      <c r="C896" s="26" t="str">
        <f>"MARIA ERNESTINA LARRAINZAR                                                                          "</f>
        <v xml:space="preserve">MARIA ERNESTINA LARRAINZAR                                                                          </v>
      </c>
      <c r="D896" s="26" t="str">
        <f t="shared" si="151"/>
        <v>MATUTINO</v>
      </c>
      <c r="E896" s="26" t="str">
        <f>"REP DE NICARAGUA 56                                                             "</f>
        <v xml:space="preserve">REP DE NICARAGUA 56                                                             </v>
      </c>
      <c r="F896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896" s="26" t="str">
        <f>"CUAUHTEMOC                                                                      "</f>
        <v xml:space="preserve">CUAUHTEMOC                                                                      </v>
      </c>
      <c r="H896" s="26" t="str">
        <f>"026"</f>
        <v>026</v>
      </c>
      <c r="I896" s="26" t="str">
        <f t="shared" si="150"/>
        <v>00</v>
      </c>
      <c r="J896" s="26" t="str">
        <f>"51 "</f>
        <v xml:space="preserve">51 </v>
      </c>
      <c r="K896" s="26" t="str">
        <f t="shared" si="154"/>
        <v>SG</v>
      </c>
      <c r="L896" s="26" t="str">
        <f t="shared" si="155"/>
        <v>DGOSE</v>
      </c>
      <c r="M896" s="26" t="str">
        <f t="shared" si="153"/>
        <v>PARTICULAR</v>
      </c>
      <c r="N896" s="26">
        <v>28</v>
      </c>
      <c r="O896" s="26">
        <v>13</v>
      </c>
      <c r="P896" s="26">
        <v>15</v>
      </c>
      <c r="Q896" s="26">
        <v>3</v>
      </c>
      <c r="R896" s="26">
        <v>2</v>
      </c>
      <c r="S896" s="26">
        <v>12</v>
      </c>
      <c r="T896" s="26">
        <v>1</v>
      </c>
      <c r="U896" s="26">
        <v>15</v>
      </c>
      <c r="V896" s="26">
        <v>1</v>
      </c>
      <c r="W896" s="26"/>
    </row>
    <row r="897" spans="1:23" x14ac:dyDescent="0.25">
      <c r="A897" s="26" t="str">
        <f t="shared" si="148"/>
        <v>SECUNDARIA</v>
      </c>
      <c r="B897" s="26" t="str">
        <f>"09PES0222W"</f>
        <v>09PES0222W</v>
      </c>
      <c r="C897" s="26" t="str">
        <f>"INSTITUTO ASUNCION DE MEXICO                                                                        "</f>
        <v xml:space="preserve">INSTITUTO ASUNCION DE MEXICO                                                                        </v>
      </c>
      <c r="D897" s="26" t="str">
        <f t="shared" si="151"/>
        <v>MATUTINO</v>
      </c>
      <c r="E897" s="26" t="str">
        <f>"CALZ DE LAS AGUILAS NO 219                                                      "</f>
        <v xml:space="preserve">CALZ DE LAS AGUILAS NO 219                                                      </v>
      </c>
      <c r="F897" s="26" t="str">
        <f>"LAS AGUILAS                                                                                                                                 "</f>
        <v xml:space="preserve">LAS AGUILAS                                                                                                                                 </v>
      </c>
      <c r="G897" s="26" t="str">
        <f>"ALVARO OBREGON                                                                  "</f>
        <v xml:space="preserve">ALVARO OBREGON                                                                  </v>
      </c>
      <c r="H897" s="26" t="str">
        <f>"005"</f>
        <v>005</v>
      </c>
      <c r="I897" s="26" t="str">
        <f t="shared" si="150"/>
        <v>00</v>
      </c>
      <c r="J897" s="26" t="str">
        <f>"53 "</f>
        <v xml:space="preserve">53 </v>
      </c>
      <c r="K897" s="26" t="str">
        <f t="shared" si="154"/>
        <v>SG</v>
      </c>
      <c r="L897" s="26" t="str">
        <f t="shared" si="155"/>
        <v>DGOSE</v>
      </c>
      <c r="M897" s="26" t="str">
        <f t="shared" si="153"/>
        <v>PARTICULAR</v>
      </c>
      <c r="N897" s="26">
        <v>219</v>
      </c>
      <c r="O897" s="26">
        <v>99</v>
      </c>
      <c r="P897" s="26">
        <v>120</v>
      </c>
      <c r="Q897" s="26">
        <v>6</v>
      </c>
      <c r="R897" s="26">
        <v>2</v>
      </c>
      <c r="S897" s="26">
        <v>26</v>
      </c>
      <c r="T897" s="26">
        <v>5</v>
      </c>
      <c r="U897" s="26">
        <v>33</v>
      </c>
      <c r="V897" s="26">
        <v>1</v>
      </c>
      <c r="W897" s="26"/>
    </row>
    <row r="898" spans="1:23" x14ac:dyDescent="0.25">
      <c r="A898" s="26" t="str">
        <f t="shared" ref="A898:A961" si="156">"SECUNDARIA"</f>
        <v>SECUNDARIA</v>
      </c>
      <c r="B898" s="26" t="str">
        <f>"09PES0260Z"</f>
        <v>09PES0260Z</v>
      </c>
      <c r="C898" s="26" t="str">
        <f>""" LUZ ""                                                                                             "</f>
        <v xml:space="preserve">" LUZ "                                                                                             </v>
      </c>
      <c r="D898" s="26" t="str">
        <f t="shared" si="151"/>
        <v>MATUTINO</v>
      </c>
      <c r="E898" s="26" t="str">
        <f>"HIDALGO NUM 261                                                                 "</f>
        <v xml:space="preserve">HIDALGO NUM 261                                                                 </v>
      </c>
      <c r="F898" s="26" t="str">
        <f>"ARAGON                                                                                                                                      "</f>
        <v xml:space="preserve">ARAGON                                                                                                                                      </v>
      </c>
      <c r="G898" s="26" t="str">
        <f>"GUSTAVO A. MADERO                                                               "</f>
        <v xml:space="preserve">GUSTAVO A. MADERO                                                               </v>
      </c>
      <c r="H898" s="26" t="str">
        <f>"034"</f>
        <v>034</v>
      </c>
      <c r="I898" s="26" t="str">
        <f t="shared" si="150"/>
        <v>00</v>
      </c>
      <c r="J898" s="26" t="str">
        <f>"52 "</f>
        <v xml:space="preserve">52 </v>
      </c>
      <c r="K898" s="26" t="str">
        <f t="shared" si="154"/>
        <v>SG</v>
      </c>
      <c r="L898" s="26" t="str">
        <f t="shared" si="155"/>
        <v>DGOSE</v>
      </c>
      <c r="M898" s="26" t="str">
        <f t="shared" si="153"/>
        <v>PARTICULAR</v>
      </c>
      <c r="N898" s="26">
        <v>152</v>
      </c>
      <c r="O898" s="26">
        <v>0</v>
      </c>
      <c r="P898" s="26">
        <v>152</v>
      </c>
      <c r="Q898" s="26">
        <v>6</v>
      </c>
      <c r="R898" s="26">
        <v>2</v>
      </c>
      <c r="S898" s="26">
        <v>22</v>
      </c>
      <c r="T898" s="26">
        <v>6</v>
      </c>
      <c r="U898" s="26">
        <v>30</v>
      </c>
      <c r="V898" s="26">
        <v>1</v>
      </c>
      <c r="W898" s="26"/>
    </row>
    <row r="899" spans="1:23" x14ac:dyDescent="0.25">
      <c r="A899" s="26" t="str">
        <f t="shared" si="156"/>
        <v>SECUNDARIA</v>
      </c>
      <c r="B899" s="26" t="str">
        <f>"09PES0261Y"</f>
        <v>09PES0261Y</v>
      </c>
      <c r="C899" s="26" t="str">
        <f>"PRADO                                                                                               "</f>
        <v xml:space="preserve">PRADO                                                                                               </v>
      </c>
      <c r="D899" s="26" t="str">
        <f t="shared" si="151"/>
        <v>MATUTINO</v>
      </c>
      <c r="E899" s="26" t="str">
        <f>"CANARIAS 912                                                                    "</f>
        <v xml:space="preserve">CANARIAS 912                                                                    </v>
      </c>
      <c r="F899" s="26" t="str">
        <f>"PORTALES                                                                                                                                    "</f>
        <v xml:space="preserve">PORTALES                                                                                                                                    </v>
      </c>
      <c r="G899" s="26" t="str">
        <f>"BENITO JUAREZ                                                                   "</f>
        <v xml:space="preserve">BENITO JUAREZ                                                                   </v>
      </c>
      <c r="H899" s="26" t="str">
        <f>"015"</f>
        <v>015</v>
      </c>
      <c r="I899" s="26" t="str">
        <f t="shared" si="150"/>
        <v>00</v>
      </c>
      <c r="J899" s="26" t="str">
        <f>"53 "</f>
        <v xml:space="preserve">53 </v>
      </c>
      <c r="K899" s="26" t="str">
        <f t="shared" si="154"/>
        <v>SG</v>
      </c>
      <c r="L899" s="26" t="str">
        <f t="shared" si="155"/>
        <v>DGOSE</v>
      </c>
      <c r="M899" s="26" t="str">
        <f t="shared" si="153"/>
        <v>PARTICULAR</v>
      </c>
      <c r="N899" s="26">
        <v>30</v>
      </c>
      <c r="O899" s="26">
        <v>14</v>
      </c>
      <c r="P899" s="26">
        <v>16</v>
      </c>
      <c r="Q899" s="26">
        <v>3</v>
      </c>
      <c r="R899" s="26">
        <v>1</v>
      </c>
      <c r="S899" s="26">
        <v>12</v>
      </c>
      <c r="T899" s="26">
        <v>3</v>
      </c>
      <c r="U899" s="26">
        <v>16</v>
      </c>
      <c r="V899" s="26">
        <v>1</v>
      </c>
      <c r="W899" s="26"/>
    </row>
    <row r="900" spans="1:23" x14ac:dyDescent="0.25">
      <c r="A900" s="26" t="str">
        <f t="shared" si="156"/>
        <v>SECUNDARIA</v>
      </c>
      <c r="B900" s="26" t="str">
        <f>"09PES0264V"</f>
        <v>09PES0264V</v>
      </c>
      <c r="C900" s="26" t="str">
        <f>"INSTITUTO FELIX DE JESUS ROUGIER                                                                    "</f>
        <v xml:space="preserve">INSTITUTO FELIX DE JESUS ROUGIER                                                                    </v>
      </c>
      <c r="D900" s="26" t="str">
        <f t="shared" si="151"/>
        <v>MATUTINO</v>
      </c>
      <c r="E900" s="26" t="str">
        <f>"HORTENSIA NUM 11                                                                "</f>
        <v xml:space="preserve">HORTENSIA NUM 11                                                                </v>
      </c>
      <c r="F900" s="26" t="str">
        <f>"FLORIDA                                                                                                                                     "</f>
        <v xml:space="preserve">FLORIDA                                                                                                                                     </v>
      </c>
      <c r="G900" s="26" t="str">
        <f>"ALVARO OBREGON                                                                  "</f>
        <v xml:space="preserve">ALVARO OBREGON                                                                  </v>
      </c>
      <c r="H900" s="26" t="str">
        <f>"002"</f>
        <v>002</v>
      </c>
      <c r="I900" s="26" t="str">
        <f t="shared" si="150"/>
        <v>00</v>
      </c>
      <c r="J900" s="26" t="str">
        <f>"53 "</f>
        <v xml:space="preserve">53 </v>
      </c>
      <c r="K900" s="26" t="str">
        <f t="shared" si="154"/>
        <v>SG</v>
      </c>
      <c r="L900" s="26" t="str">
        <f t="shared" si="155"/>
        <v>DGOSE</v>
      </c>
      <c r="M900" s="26" t="str">
        <f t="shared" si="153"/>
        <v>PARTICULAR</v>
      </c>
      <c r="N900" s="26">
        <v>69</v>
      </c>
      <c r="O900" s="26">
        <v>19</v>
      </c>
      <c r="P900" s="26">
        <v>50</v>
      </c>
      <c r="Q900" s="26">
        <v>3</v>
      </c>
      <c r="R900" s="26">
        <v>2</v>
      </c>
      <c r="S900" s="26">
        <v>14</v>
      </c>
      <c r="T900" s="26">
        <v>2</v>
      </c>
      <c r="U900" s="26">
        <v>18</v>
      </c>
      <c r="V900" s="26">
        <v>1</v>
      </c>
      <c r="W900" s="26"/>
    </row>
    <row r="901" spans="1:23" x14ac:dyDescent="0.25">
      <c r="A901" s="26" t="str">
        <f t="shared" si="156"/>
        <v>SECUNDARIA</v>
      </c>
      <c r="B901" s="26" t="str">
        <f>"09PES0287F"</f>
        <v>09PES0287F</v>
      </c>
      <c r="C901" s="26" t="str">
        <f>"COLEGIO SAGRADO CORAZON                                                                             "</f>
        <v xml:space="preserve">COLEGIO SAGRADO CORAZON                                                                             </v>
      </c>
      <c r="D901" s="26" t="str">
        <f t="shared" si="151"/>
        <v>MATUTINO</v>
      </c>
      <c r="E901" s="26" t="str">
        <f>"CAMINO SANTA TERESA 950                                                         "</f>
        <v xml:space="preserve">CAMINO SANTA TERESA 950                                                         </v>
      </c>
      <c r="F901" s="26" t="str">
        <f>"SANTA TERESA                                                                                                                                "</f>
        <v xml:space="preserve">SANTA TERESA                                                                                                                                </v>
      </c>
      <c r="G901" s="26" t="str">
        <f>"LA MAGDALENA CONTRERAS                                                          "</f>
        <v xml:space="preserve">LA MAGDALENA CONTRERAS                                                          </v>
      </c>
      <c r="H901" s="26" t="str">
        <f>"058"</f>
        <v>058</v>
      </c>
      <c r="I901" s="26" t="str">
        <f t="shared" si="150"/>
        <v>00</v>
      </c>
      <c r="J901" s="26" t="str">
        <f>"53 "</f>
        <v xml:space="preserve">53 </v>
      </c>
      <c r="K901" s="26" t="str">
        <f t="shared" si="154"/>
        <v>SG</v>
      </c>
      <c r="L901" s="26" t="str">
        <f t="shared" si="155"/>
        <v>DGOSE</v>
      </c>
      <c r="M901" s="26" t="str">
        <f t="shared" si="153"/>
        <v>PARTICULAR</v>
      </c>
      <c r="N901" s="26">
        <v>304</v>
      </c>
      <c r="O901" s="26">
        <v>0</v>
      </c>
      <c r="P901" s="26">
        <v>304</v>
      </c>
      <c r="Q901" s="26">
        <v>10</v>
      </c>
      <c r="R901" s="26">
        <v>2</v>
      </c>
      <c r="S901" s="26">
        <v>22</v>
      </c>
      <c r="T901" s="26">
        <v>3</v>
      </c>
      <c r="U901" s="26">
        <v>27</v>
      </c>
      <c r="V901" s="26">
        <v>1</v>
      </c>
      <c r="W901" s="26"/>
    </row>
    <row r="902" spans="1:23" x14ac:dyDescent="0.25">
      <c r="A902" s="26" t="str">
        <f t="shared" si="156"/>
        <v>SECUNDARIA</v>
      </c>
      <c r="B902" s="26" t="str">
        <f>"09PES0288E"</f>
        <v>09PES0288E</v>
      </c>
      <c r="C902" s="26" t="str">
        <f>"CULTURA Y PATRIA                                                                                    "</f>
        <v xml:space="preserve">CULTURA Y PATRIA                                                                                    </v>
      </c>
      <c r="D902" s="26" t="str">
        <f t="shared" si="151"/>
        <v>MATUTINO</v>
      </c>
      <c r="E902" s="26" t="str">
        <f>"CALZ MISTERIOS 751                                                              "</f>
        <v xml:space="preserve">CALZ MISTERIOS 751                                                              </v>
      </c>
      <c r="F902" s="26" t="str">
        <f>"TEPEYAC INSURGENTES                                                                                                                         "</f>
        <v xml:space="preserve">TEPEYAC INSURGENTES                                                                                                                         </v>
      </c>
      <c r="G902" s="26" t="str">
        <f>"GUSTAVO A. MADERO                                                               "</f>
        <v xml:space="preserve">GUSTAVO A. MADERO                                                               </v>
      </c>
      <c r="H902" s="26" t="str">
        <f>"037"</f>
        <v>037</v>
      </c>
      <c r="I902" s="26" t="str">
        <f t="shared" si="150"/>
        <v>00</v>
      </c>
      <c r="J902" s="26" t="str">
        <f>"52 "</f>
        <v xml:space="preserve">52 </v>
      </c>
      <c r="K902" s="26" t="str">
        <f t="shared" si="154"/>
        <v>SG</v>
      </c>
      <c r="L902" s="26" t="str">
        <f t="shared" si="155"/>
        <v>DGOSE</v>
      </c>
      <c r="M902" s="26" t="str">
        <f t="shared" si="153"/>
        <v>PARTICULAR</v>
      </c>
      <c r="N902" s="26">
        <v>149</v>
      </c>
      <c r="O902" s="26">
        <v>79</v>
      </c>
      <c r="P902" s="26">
        <v>70</v>
      </c>
      <c r="Q902" s="26">
        <v>5</v>
      </c>
      <c r="R902" s="26">
        <v>2</v>
      </c>
      <c r="S902" s="26">
        <v>13</v>
      </c>
      <c r="T902" s="26">
        <v>3</v>
      </c>
      <c r="U902" s="26">
        <v>18</v>
      </c>
      <c r="V902" s="26">
        <v>1</v>
      </c>
      <c r="W902" s="26"/>
    </row>
    <row r="903" spans="1:23" x14ac:dyDescent="0.25">
      <c r="A903" s="26" t="str">
        <f t="shared" si="156"/>
        <v>SECUNDARIA</v>
      </c>
      <c r="B903" s="26" t="str">
        <f>"09PES0292R"</f>
        <v>09PES0292R</v>
      </c>
      <c r="C903" s="26" t="str">
        <f>"""INSTITUTO CRISOL""                                                                                  "</f>
        <v xml:space="preserve">"INSTITUTO CRISOL"                                                                                  </v>
      </c>
      <c r="D903" s="26" t="str">
        <f t="shared" si="151"/>
        <v>MATUTINO</v>
      </c>
      <c r="E903" s="26" t="str">
        <f>"AV. JARDIN NUM. 271                                                             "</f>
        <v xml:space="preserve">AV. JARDIN NUM. 271                                                             </v>
      </c>
      <c r="F903" s="26" t="str">
        <f>"DEL GAS                                                                                                                                     "</f>
        <v xml:space="preserve">DEL GAS                                                                                                                                     </v>
      </c>
      <c r="G903" s="26" t="str">
        <f>"AZCAPOTZALCO                                                                    "</f>
        <v xml:space="preserve">AZCAPOTZALCO                                                                    </v>
      </c>
      <c r="H903" s="26" t="str">
        <f>"010"</f>
        <v>010</v>
      </c>
      <c r="I903" s="26" t="str">
        <f t="shared" ref="I903:I966" si="157">"00"</f>
        <v>00</v>
      </c>
      <c r="J903" s="26" t="str">
        <f>"51 "</f>
        <v xml:space="preserve">51 </v>
      </c>
      <c r="K903" s="26" t="str">
        <f t="shared" si="154"/>
        <v>SG</v>
      </c>
      <c r="L903" s="26" t="str">
        <f t="shared" si="155"/>
        <v>DGOSE</v>
      </c>
      <c r="M903" s="26" t="str">
        <f t="shared" si="153"/>
        <v>PARTICULAR</v>
      </c>
      <c r="N903" s="26">
        <v>212</v>
      </c>
      <c r="O903" s="26">
        <v>127</v>
      </c>
      <c r="P903" s="26">
        <v>85</v>
      </c>
      <c r="Q903" s="26">
        <v>10</v>
      </c>
      <c r="R903" s="26">
        <v>2</v>
      </c>
      <c r="S903" s="26">
        <v>21</v>
      </c>
      <c r="T903" s="26">
        <v>4</v>
      </c>
      <c r="U903" s="26">
        <v>27</v>
      </c>
      <c r="V903" s="26">
        <v>1</v>
      </c>
      <c r="W903" s="26"/>
    </row>
    <row r="904" spans="1:23" x14ac:dyDescent="0.25">
      <c r="A904" s="26" t="str">
        <f t="shared" si="156"/>
        <v>SECUNDARIA</v>
      </c>
      <c r="B904" s="26" t="str">
        <f>"09PES0293Q"</f>
        <v>09PES0293Q</v>
      </c>
      <c r="C904" s="26" t="str">
        <f>"COLEGIO FRANCES NUEVA SANTA MARIA                                                                   "</f>
        <v xml:space="preserve">COLEGIO FRANCES NUEVA SANTA MARIA                                                                   </v>
      </c>
      <c r="D904" s="26" t="str">
        <f t="shared" si="151"/>
        <v>MATUTINO</v>
      </c>
      <c r="E904" s="26" t="str">
        <f>"BEGONIAS 103                                                                    "</f>
        <v xml:space="preserve">BEGONIAS 103                                                                    </v>
      </c>
      <c r="F904" s="26" t="str">
        <f>"NUEVA SANTA MARIA                                                                                                                           "</f>
        <v xml:space="preserve">NUEVA SANTA MARIA                                                                                                                           </v>
      </c>
      <c r="G904" s="26" t="str">
        <f>"AZCAPOTZALCO                                                                    "</f>
        <v xml:space="preserve">AZCAPOTZALCO                                                                    </v>
      </c>
      <c r="H904" s="26" t="str">
        <f>"009"</f>
        <v>009</v>
      </c>
      <c r="I904" s="26" t="str">
        <f t="shared" si="157"/>
        <v>00</v>
      </c>
      <c r="J904" s="26" t="str">
        <f>"51 "</f>
        <v xml:space="preserve">51 </v>
      </c>
      <c r="K904" s="26" t="str">
        <f t="shared" si="154"/>
        <v>SG</v>
      </c>
      <c r="L904" s="26" t="str">
        <f t="shared" si="155"/>
        <v>DGOSE</v>
      </c>
      <c r="M904" s="26" t="str">
        <f t="shared" si="153"/>
        <v>PARTICULAR</v>
      </c>
      <c r="N904" s="26">
        <v>83</v>
      </c>
      <c r="O904" s="26">
        <v>36</v>
      </c>
      <c r="P904" s="26">
        <v>47</v>
      </c>
      <c r="Q904" s="26">
        <v>5</v>
      </c>
      <c r="R904" s="26">
        <v>2</v>
      </c>
      <c r="S904" s="26">
        <v>15</v>
      </c>
      <c r="T904" s="26">
        <v>2</v>
      </c>
      <c r="U904" s="26">
        <v>19</v>
      </c>
      <c r="V904" s="26">
        <v>1</v>
      </c>
      <c r="W904" s="26"/>
    </row>
    <row r="905" spans="1:23" x14ac:dyDescent="0.25">
      <c r="A905" s="26" t="str">
        <f t="shared" si="156"/>
        <v>SECUNDARIA</v>
      </c>
      <c r="B905" s="26" t="str">
        <f>"09PES0294P"</f>
        <v>09PES0294P</v>
      </c>
      <c r="C905" s="26" t="str">
        <f>"ANDRES QUINTANA ROO                                                                                 "</f>
        <v xml:space="preserve">ANDRES QUINTANA ROO                                                                                 </v>
      </c>
      <c r="D905" s="26" t="str">
        <f t="shared" si="151"/>
        <v>MATUTINO</v>
      </c>
      <c r="E905" s="26" t="str">
        <f>"CALLE DE ASTURIAS NUM 206                                                       "</f>
        <v xml:space="preserve">CALLE DE ASTURIAS NUM 206                                                       </v>
      </c>
      <c r="F905" s="26" t="str">
        <f>"ALAMOS                                                                                                                                      "</f>
        <v xml:space="preserve">ALAMOS                                                                                                                                      </v>
      </c>
      <c r="G905" s="26" t="str">
        <f>"BENITO JUAREZ                                                                   "</f>
        <v xml:space="preserve">BENITO JUAREZ                                                                   </v>
      </c>
      <c r="H905" s="26" t="str">
        <f>"013"</f>
        <v>013</v>
      </c>
      <c r="I905" s="26" t="str">
        <f t="shared" si="157"/>
        <v>00</v>
      </c>
      <c r="J905" s="26" t="str">
        <f>"53 "</f>
        <v xml:space="preserve">53 </v>
      </c>
      <c r="K905" s="26" t="str">
        <f t="shared" si="154"/>
        <v>SG</v>
      </c>
      <c r="L905" s="26" t="str">
        <f t="shared" si="155"/>
        <v>DGOSE</v>
      </c>
      <c r="M905" s="26" t="str">
        <f t="shared" si="153"/>
        <v>PARTICULAR</v>
      </c>
      <c r="N905" s="26">
        <v>199</v>
      </c>
      <c r="O905" s="26">
        <v>108</v>
      </c>
      <c r="P905" s="26">
        <v>91</v>
      </c>
      <c r="Q905" s="26">
        <v>6</v>
      </c>
      <c r="R905" s="26">
        <v>1</v>
      </c>
      <c r="S905" s="26">
        <v>15</v>
      </c>
      <c r="T905" s="26">
        <v>7</v>
      </c>
      <c r="U905" s="26">
        <v>23</v>
      </c>
      <c r="V905" s="26">
        <v>1</v>
      </c>
      <c r="W905" s="26"/>
    </row>
    <row r="906" spans="1:23" x14ac:dyDescent="0.25">
      <c r="A906" s="26" t="str">
        <f t="shared" si="156"/>
        <v>SECUNDARIA</v>
      </c>
      <c r="B906" s="26" t="str">
        <f>"09PES0309A"</f>
        <v>09PES0309A</v>
      </c>
      <c r="C906" s="26" t="str">
        <f>"MOTOLINIA                                                                                           "</f>
        <v xml:space="preserve">MOTOLINIA                                                                                           </v>
      </c>
      <c r="D906" s="26" t="str">
        <f t="shared" si="151"/>
        <v>MATUTINO</v>
      </c>
      <c r="E906" s="26" t="str">
        <f>"CDA AMEYALCO 227                                                                "</f>
        <v xml:space="preserve">CDA AMEYALCO 227                                                                </v>
      </c>
      <c r="F906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906" s="26" t="str">
        <f>"BENITO JUAREZ                                                                   "</f>
        <v xml:space="preserve">BENITO JUAREZ                                                                   </v>
      </c>
      <c r="H906" s="26" t="str">
        <f>"014"</f>
        <v>014</v>
      </c>
      <c r="I906" s="26" t="str">
        <f t="shared" si="157"/>
        <v>00</v>
      </c>
      <c r="J906" s="26" t="str">
        <f>"53 "</f>
        <v xml:space="preserve">53 </v>
      </c>
      <c r="K906" s="26" t="str">
        <f t="shared" si="154"/>
        <v>SG</v>
      </c>
      <c r="L906" s="26" t="str">
        <f t="shared" si="155"/>
        <v>DGOSE</v>
      </c>
      <c r="M906" s="26" t="str">
        <f t="shared" si="153"/>
        <v>PARTICULAR</v>
      </c>
      <c r="N906" s="26">
        <v>181</v>
      </c>
      <c r="O906" s="26">
        <v>73</v>
      </c>
      <c r="P906" s="26">
        <v>108</v>
      </c>
      <c r="Q906" s="26">
        <v>8</v>
      </c>
      <c r="R906" s="26">
        <v>2</v>
      </c>
      <c r="S906" s="26">
        <v>19</v>
      </c>
      <c r="T906" s="26">
        <v>4</v>
      </c>
      <c r="U906" s="26">
        <v>25</v>
      </c>
      <c r="V906" s="26">
        <v>1</v>
      </c>
      <c r="W906" s="26"/>
    </row>
    <row r="907" spans="1:23" x14ac:dyDescent="0.25">
      <c r="A907" s="26" t="str">
        <f t="shared" si="156"/>
        <v>SECUNDARIA</v>
      </c>
      <c r="B907" s="26" t="str">
        <f>"09PES0310Q"</f>
        <v>09PES0310Q</v>
      </c>
      <c r="C907" s="26" t="str">
        <f>"INSTITUTO MIER Y PESADO                                                                             "</f>
        <v xml:space="preserve">INSTITUTO MIER Y PESADO                                                                             </v>
      </c>
      <c r="D907" s="26" t="str">
        <f t="shared" si="151"/>
        <v>MATUTINO</v>
      </c>
      <c r="E907" s="26" t="str">
        <f>"CALZ DE GUADALUPE 540                                                           "</f>
        <v xml:space="preserve">CALZ DE GUADALUPE 540                                                           </v>
      </c>
      <c r="F907" s="26" t="str">
        <f>"INDUSTRIAL                                                                                                                                  "</f>
        <v xml:space="preserve">INDUSTRIAL                                                                                                                                  </v>
      </c>
      <c r="G907" s="26" t="str">
        <f>"GUSTAVO A. MADERO                                                               "</f>
        <v xml:space="preserve">GUSTAVO A. MADERO                                                               </v>
      </c>
      <c r="H907" s="26" t="str">
        <f>"036"</f>
        <v>036</v>
      </c>
      <c r="I907" s="26" t="str">
        <f t="shared" si="157"/>
        <v>00</v>
      </c>
      <c r="J907" s="26" t="str">
        <f>"52 "</f>
        <v xml:space="preserve">52 </v>
      </c>
      <c r="K907" s="26" t="str">
        <f t="shared" si="154"/>
        <v>SG</v>
      </c>
      <c r="L907" s="26" t="str">
        <f t="shared" si="155"/>
        <v>DGOSE</v>
      </c>
      <c r="M907" s="26" t="str">
        <f t="shared" si="153"/>
        <v>PARTICULAR</v>
      </c>
      <c r="N907" s="26">
        <v>344</v>
      </c>
      <c r="O907" s="26">
        <v>0</v>
      </c>
      <c r="P907" s="26">
        <v>344</v>
      </c>
      <c r="Q907" s="26">
        <v>11</v>
      </c>
      <c r="R907" s="26">
        <v>2</v>
      </c>
      <c r="S907" s="26">
        <v>26</v>
      </c>
      <c r="T907" s="26">
        <v>5</v>
      </c>
      <c r="U907" s="26">
        <v>33</v>
      </c>
      <c r="V907" s="26">
        <v>1</v>
      </c>
      <c r="W907" s="26"/>
    </row>
    <row r="908" spans="1:23" x14ac:dyDescent="0.25">
      <c r="A908" s="26" t="str">
        <f t="shared" si="156"/>
        <v>SECUNDARIA</v>
      </c>
      <c r="B908" s="26" t="str">
        <f>"09PES0311P"</f>
        <v>09PES0311P</v>
      </c>
      <c r="C908" s="26" t="str">
        <f>"""TEPEYAC MEXICANO""                                                                                  "</f>
        <v xml:space="preserve">"TEPEYAC MEXICANO"                                                                                  </v>
      </c>
      <c r="D908" s="26" t="str">
        <f t="shared" si="151"/>
        <v>MATUTINO</v>
      </c>
      <c r="E908" s="26" t="str">
        <f>"CALLE TALARA 187                                                                "</f>
        <v xml:space="preserve">CALLE TALARA 187                                                                </v>
      </c>
      <c r="F908" s="26" t="str">
        <f>"TEPEYAC INSURGENTES                                                                                                                         "</f>
        <v xml:space="preserve">TEPEYAC INSURGENTES                                                                                                                         </v>
      </c>
      <c r="G908" s="26" t="str">
        <f>"GUSTAVO A. MADERO                                                               "</f>
        <v xml:space="preserve">GUSTAVO A. MADERO                                                               </v>
      </c>
      <c r="H908" s="26" t="str">
        <f>"034"</f>
        <v>034</v>
      </c>
      <c r="I908" s="26" t="str">
        <f t="shared" si="157"/>
        <v>00</v>
      </c>
      <c r="J908" s="26" t="str">
        <f>"52 "</f>
        <v xml:space="preserve">52 </v>
      </c>
      <c r="K908" s="26" t="str">
        <f t="shared" si="154"/>
        <v>SG</v>
      </c>
      <c r="L908" s="26" t="str">
        <f t="shared" si="155"/>
        <v>DGOSE</v>
      </c>
      <c r="M908" s="26" t="str">
        <f t="shared" si="153"/>
        <v>PARTICULAR</v>
      </c>
      <c r="N908" s="26">
        <v>53</v>
      </c>
      <c r="O908" s="26">
        <v>23</v>
      </c>
      <c r="P908" s="26">
        <v>30</v>
      </c>
      <c r="Q908" s="26">
        <v>3</v>
      </c>
      <c r="R908" s="26">
        <v>0</v>
      </c>
      <c r="S908" s="26">
        <v>11</v>
      </c>
      <c r="T908" s="26">
        <v>2</v>
      </c>
      <c r="U908" s="26">
        <v>13</v>
      </c>
      <c r="V908" s="26">
        <v>1</v>
      </c>
      <c r="W908" s="26"/>
    </row>
    <row r="909" spans="1:23" x14ac:dyDescent="0.25">
      <c r="A909" s="26" t="str">
        <f t="shared" si="156"/>
        <v>SECUNDARIA</v>
      </c>
      <c r="B909" s="26" t="str">
        <f>"09PES0312O"</f>
        <v>09PES0312O</v>
      </c>
      <c r="C909" s="26" t="str">
        <f>"INSTITUTO COBRE DE MEXICO                                                                           "</f>
        <v xml:space="preserve">INSTITUTO COBRE DE MEXICO                                                                           </v>
      </c>
      <c r="D909" s="26" t="str">
        <f t="shared" si="151"/>
        <v>MATUTINO</v>
      </c>
      <c r="E909" s="26" t="str">
        <f>"CALZADA CAMARONES 206                                                           "</f>
        <v xml:space="preserve">CALZADA CAMARONES 206                                                           </v>
      </c>
      <c r="F909" s="26" t="str">
        <f>"OBRERO POPULAR                                                                                                                              "</f>
        <v xml:space="preserve">OBRERO POPULAR                                                                                                                              </v>
      </c>
      <c r="G909" s="26" t="str">
        <f>"AZCAPOTZALCO                                                                    "</f>
        <v xml:space="preserve">AZCAPOTZALCO                                                                    </v>
      </c>
      <c r="H909" s="26" t="str">
        <f>"009"</f>
        <v>009</v>
      </c>
      <c r="I909" s="26" t="str">
        <f t="shared" si="157"/>
        <v>00</v>
      </c>
      <c r="J909" s="26" t="str">
        <f>"51 "</f>
        <v xml:space="preserve">51 </v>
      </c>
      <c r="K909" s="26" t="str">
        <f t="shared" si="154"/>
        <v>SG</v>
      </c>
      <c r="L909" s="26" t="str">
        <f t="shared" si="155"/>
        <v>DGOSE</v>
      </c>
      <c r="M909" s="26" t="str">
        <f t="shared" si="153"/>
        <v>PARTICULAR</v>
      </c>
      <c r="N909" s="26">
        <v>131</v>
      </c>
      <c r="O909" s="26">
        <v>75</v>
      </c>
      <c r="P909" s="26">
        <v>56</v>
      </c>
      <c r="Q909" s="26">
        <v>9</v>
      </c>
      <c r="R909" s="26">
        <v>2</v>
      </c>
      <c r="S909" s="26">
        <v>17</v>
      </c>
      <c r="T909" s="26">
        <v>2</v>
      </c>
      <c r="U909" s="26">
        <v>21</v>
      </c>
      <c r="V909" s="26">
        <v>1</v>
      </c>
      <c r="W909" s="26"/>
    </row>
    <row r="910" spans="1:23" x14ac:dyDescent="0.25">
      <c r="A910" s="26" t="str">
        <f t="shared" si="156"/>
        <v>SECUNDARIA</v>
      </c>
      <c r="B910" s="26" t="str">
        <f>"09PES0313N"</f>
        <v>09PES0313N</v>
      </c>
      <c r="C910" s="26" t="str">
        <f>"MIER Y PESADO                                                                                       "</f>
        <v xml:space="preserve">MIER Y PESADO                                                                                       </v>
      </c>
      <c r="D910" s="26" t="str">
        <f t="shared" si="151"/>
        <v>MATUTINO</v>
      </c>
      <c r="E910" s="26" t="str">
        <f>"GENERAL ANAYA NUM 371                                                           "</f>
        <v xml:space="preserve">GENERAL ANAYA NUM 371                                                           </v>
      </c>
      <c r="F910" s="26" t="str">
        <f>"DEL CARMEN                                                                                                                                  "</f>
        <v xml:space="preserve">DEL CARMEN                                                                                                                                  </v>
      </c>
      <c r="G910" s="26" t="str">
        <f>"COYOACAN                                                                        "</f>
        <v xml:space="preserve">COYOACAN                                                                        </v>
      </c>
      <c r="H910" s="26" t="str">
        <f>"019"</f>
        <v>019</v>
      </c>
      <c r="I910" s="26" t="str">
        <f t="shared" si="157"/>
        <v>00</v>
      </c>
      <c r="J910" s="26" t="str">
        <f>"54 "</f>
        <v xml:space="preserve">54 </v>
      </c>
      <c r="K910" s="26" t="str">
        <f t="shared" si="154"/>
        <v>SG</v>
      </c>
      <c r="L910" s="26" t="str">
        <f t="shared" si="155"/>
        <v>DGOSE</v>
      </c>
      <c r="M910" s="26" t="str">
        <f t="shared" si="153"/>
        <v>PARTICULAR</v>
      </c>
      <c r="N910" s="26">
        <v>556</v>
      </c>
      <c r="O910" s="26">
        <v>312</v>
      </c>
      <c r="P910" s="26">
        <v>244</v>
      </c>
      <c r="Q910" s="26">
        <v>13</v>
      </c>
      <c r="R910" s="26">
        <v>1</v>
      </c>
      <c r="S910" s="26">
        <v>24</v>
      </c>
      <c r="T910" s="26">
        <v>3</v>
      </c>
      <c r="U910" s="26">
        <v>28</v>
      </c>
      <c r="V910" s="26">
        <v>1</v>
      </c>
      <c r="W910" s="26"/>
    </row>
    <row r="911" spans="1:23" x14ac:dyDescent="0.25">
      <c r="A911" s="26" t="str">
        <f t="shared" si="156"/>
        <v>SECUNDARIA</v>
      </c>
      <c r="B911" s="26" t="str">
        <f>"09PES0317J"</f>
        <v>09PES0317J</v>
      </c>
      <c r="C911" s="26" t="str">
        <f>"COLEGIO ROSSLAND                                                                                    "</f>
        <v xml:space="preserve">COLEGIO ROSSLAND                                                                                    </v>
      </c>
      <c r="D911" s="26" t="str">
        <f t="shared" si="151"/>
        <v>MATUTINO</v>
      </c>
      <c r="E911" s="26" t="str">
        <f>"13 DE SEPTIEMBRE 18                                                             "</f>
        <v xml:space="preserve">13 DE SEPTIEMBRE 18                                                             </v>
      </c>
      <c r="F911" s="26" t="str">
        <f>"ESCANDON                                                                                                                                    "</f>
        <v xml:space="preserve">ESCANDON                                                                                                                                    </v>
      </c>
      <c r="G911" s="26" t="str">
        <f>"MIGUEL HIDALGO                                                                  "</f>
        <v xml:space="preserve">MIGUEL HIDALGO                                                                  </v>
      </c>
      <c r="H911" s="26" t="str">
        <f>"060"</f>
        <v>060</v>
      </c>
      <c r="I911" s="26" t="str">
        <f t="shared" si="157"/>
        <v>00</v>
      </c>
      <c r="J911" s="26" t="str">
        <f>"51 "</f>
        <v xml:space="preserve">51 </v>
      </c>
      <c r="K911" s="26" t="str">
        <f t="shared" si="154"/>
        <v>SG</v>
      </c>
      <c r="L911" s="26" t="str">
        <f t="shared" si="155"/>
        <v>DGOSE</v>
      </c>
      <c r="M911" s="26" t="str">
        <f t="shared" si="153"/>
        <v>PARTICULAR</v>
      </c>
      <c r="N911" s="26">
        <v>130</v>
      </c>
      <c r="O911" s="26">
        <v>69</v>
      </c>
      <c r="P911" s="26">
        <v>61</v>
      </c>
      <c r="Q911" s="26">
        <v>6</v>
      </c>
      <c r="R911" s="26">
        <v>1</v>
      </c>
      <c r="S911" s="26">
        <v>11</v>
      </c>
      <c r="T911" s="26">
        <v>1</v>
      </c>
      <c r="U911" s="26">
        <v>13</v>
      </c>
      <c r="V911" s="26">
        <v>1</v>
      </c>
      <c r="W911" s="26"/>
    </row>
    <row r="912" spans="1:23" x14ac:dyDescent="0.25">
      <c r="A912" s="26" t="str">
        <f t="shared" si="156"/>
        <v>SECUNDARIA</v>
      </c>
      <c r="B912" s="26" t="str">
        <f>"09PES0323U"</f>
        <v>09PES0323U</v>
      </c>
      <c r="C912" s="26" t="str">
        <f>"MARIA REGINA                                                                                        "</f>
        <v xml:space="preserve">MARIA REGINA                                                                                        </v>
      </c>
      <c r="D912" s="26" t="str">
        <f t="shared" si="151"/>
        <v>MATUTINO</v>
      </c>
      <c r="E912" s="26" t="str">
        <f>"AV ENCARNACION ORTIZ 1842                                                       "</f>
        <v xml:space="preserve">AV ENCARNACION ORTIZ 1842                                                       </v>
      </c>
      <c r="F912" s="26" t="str">
        <f>"COSMOPOLITA AMPLIACION                                                                                                                      "</f>
        <v xml:space="preserve">COSMOPOLITA AMPLIACION                                                                                                                      </v>
      </c>
      <c r="G912" s="26" t="str">
        <f>"AZCAPOTZALCO                                                                    "</f>
        <v xml:space="preserve">AZCAPOTZALCO                                                                    </v>
      </c>
      <c r="H912" s="26" t="str">
        <f>"010"</f>
        <v>010</v>
      </c>
      <c r="I912" s="26" t="str">
        <f t="shared" si="157"/>
        <v>00</v>
      </c>
      <c r="J912" s="26" t="str">
        <f>"51 "</f>
        <v xml:space="preserve">51 </v>
      </c>
      <c r="K912" s="26" t="str">
        <f t="shared" si="154"/>
        <v>SG</v>
      </c>
      <c r="L912" s="26" t="str">
        <f t="shared" si="155"/>
        <v>DGOSE</v>
      </c>
      <c r="M912" s="26" t="str">
        <f t="shared" si="153"/>
        <v>PARTICULAR</v>
      </c>
      <c r="N912" s="26">
        <v>63</v>
      </c>
      <c r="O912" s="26">
        <v>22</v>
      </c>
      <c r="P912" s="26">
        <v>41</v>
      </c>
      <c r="Q912" s="26">
        <v>3</v>
      </c>
      <c r="R912" s="26">
        <v>1</v>
      </c>
      <c r="S912" s="26">
        <v>11</v>
      </c>
      <c r="T912" s="26">
        <v>3</v>
      </c>
      <c r="U912" s="26">
        <v>15</v>
      </c>
      <c r="V912" s="26">
        <v>1</v>
      </c>
      <c r="W912" s="26"/>
    </row>
    <row r="913" spans="1:23" x14ac:dyDescent="0.25">
      <c r="A913" s="26" t="str">
        <f t="shared" si="156"/>
        <v>SECUNDARIA</v>
      </c>
      <c r="B913" s="26" t="str">
        <f>"09PES0324T"</f>
        <v>09PES0324T</v>
      </c>
      <c r="C913" s="26" t="str">
        <f>"""COLEGIO MILITARIZADO MODERNO ALARID""                                                               "</f>
        <v xml:space="preserve">"COLEGIO MILITARIZADO MODERNO ALARID"                                                               </v>
      </c>
      <c r="D913" s="26" t="str">
        <f t="shared" si="151"/>
        <v>MATUTINO</v>
      </c>
      <c r="E913" s="26" t="str">
        <f>"AVENIDA REVOLUCION NO 462                                                       "</f>
        <v xml:space="preserve">AVENIDA REVOLUCION NO 462                                                       </v>
      </c>
      <c r="F913" s="26" t="str">
        <f>"SAN PEDRO DE LOS PINOS                                                                                                                      "</f>
        <v xml:space="preserve">SAN PEDRO DE LOS PINOS                                                                                                                      </v>
      </c>
      <c r="G913" s="26" t="str">
        <f>"BENITO JUAREZ                                                                   "</f>
        <v xml:space="preserve">BENITO JUAREZ                                                                   </v>
      </c>
      <c r="H913" s="26" t="str">
        <f>"011"</f>
        <v>011</v>
      </c>
      <c r="I913" s="26" t="str">
        <f t="shared" si="157"/>
        <v>00</v>
      </c>
      <c r="J913" s="26" t="str">
        <f>"53 "</f>
        <v xml:space="preserve">53 </v>
      </c>
      <c r="K913" s="26" t="str">
        <f t="shared" si="154"/>
        <v>SG</v>
      </c>
      <c r="L913" s="26" t="str">
        <f t="shared" si="155"/>
        <v>DGOSE</v>
      </c>
      <c r="M913" s="26" t="str">
        <f t="shared" si="153"/>
        <v>PARTICULAR</v>
      </c>
      <c r="N913" s="26">
        <v>137</v>
      </c>
      <c r="O913" s="26">
        <v>123</v>
      </c>
      <c r="P913" s="26">
        <v>14</v>
      </c>
      <c r="Q913" s="26">
        <v>6</v>
      </c>
      <c r="R913" s="26">
        <v>2</v>
      </c>
      <c r="S913" s="26">
        <v>24</v>
      </c>
      <c r="T913" s="26">
        <v>7</v>
      </c>
      <c r="U913" s="26">
        <v>33</v>
      </c>
      <c r="V913" s="26">
        <v>1</v>
      </c>
      <c r="W913" s="26"/>
    </row>
    <row r="914" spans="1:23" x14ac:dyDescent="0.25">
      <c r="A914" s="26" t="str">
        <f t="shared" si="156"/>
        <v>SECUNDARIA</v>
      </c>
      <c r="B914" s="26" t="str">
        <f>"09PES0327Q"</f>
        <v>09PES0327Q</v>
      </c>
      <c r="C914" s="26" t="str">
        <f>"INSTITUTO SIMON BOLIVAR                                                                             "</f>
        <v xml:space="preserve">INSTITUTO SIMON BOLIVAR                                                                             </v>
      </c>
      <c r="D914" s="26" t="str">
        <f t="shared" si="151"/>
        <v>MATUTINO</v>
      </c>
      <c r="E914" s="26" t="str">
        <f>"CDA POPOCATEPETL 65                                                             "</f>
        <v xml:space="preserve">CDA POPOCATEPETL 65                                                             </v>
      </c>
      <c r="F914" s="26" t="str">
        <f>"XOCO                                                                                                                                        "</f>
        <v xml:space="preserve">XOCO                                                                                                                                        </v>
      </c>
      <c r="G914" s="26" t="str">
        <f>"BENITO JUAREZ                                                                   "</f>
        <v xml:space="preserve">BENITO JUAREZ                                                                   </v>
      </c>
      <c r="H914" s="26" t="str">
        <f>"015"</f>
        <v>015</v>
      </c>
      <c r="I914" s="26" t="str">
        <f t="shared" si="157"/>
        <v>00</v>
      </c>
      <c r="J914" s="26" t="str">
        <f>"53 "</f>
        <v xml:space="preserve">53 </v>
      </c>
      <c r="K914" s="26" t="str">
        <f t="shared" si="154"/>
        <v>SG</v>
      </c>
      <c r="L914" s="26" t="str">
        <f t="shared" si="155"/>
        <v>DGOSE</v>
      </c>
      <c r="M914" s="26" t="str">
        <f t="shared" si="153"/>
        <v>PARTICULAR</v>
      </c>
      <c r="N914" s="26">
        <v>201</v>
      </c>
      <c r="O914" s="26">
        <v>105</v>
      </c>
      <c r="P914" s="26">
        <v>96</v>
      </c>
      <c r="Q914" s="26">
        <v>7</v>
      </c>
      <c r="R914" s="26">
        <v>2</v>
      </c>
      <c r="S914" s="26">
        <v>17</v>
      </c>
      <c r="T914" s="26">
        <v>7</v>
      </c>
      <c r="U914" s="26">
        <v>26</v>
      </c>
      <c r="V914" s="26">
        <v>1</v>
      </c>
      <c r="W914" s="26"/>
    </row>
    <row r="915" spans="1:23" x14ac:dyDescent="0.25">
      <c r="A915" s="26" t="str">
        <f t="shared" si="156"/>
        <v>SECUNDARIA</v>
      </c>
      <c r="B915" s="26" t="str">
        <f>"09PES0335Z"</f>
        <v>09PES0335Z</v>
      </c>
      <c r="C915" s="26" t="str">
        <f>"SIMON BOLIVAR                                                                                       "</f>
        <v xml:space="preserve">SIMON BOLIVAR                                                                                       </v>
      </c>
      <c r="D915" s="26" t="str">
        <f>"VESPERTINO"</f>
        <v>VESPERTINO</v>
      </c>
      <c r="E915" s="26" t="str">
        <f>"AV RIO MIXCOAC NUM 275                                                          "</f>
        <v xml:space="preserve">AV RIO MIXCOAC NUM 275                                                          </v>
      </c>
      <c r="F915" s="26" t="str">
        <f>"FLORIDA                                                                                                                                     "</f>
        <v xml:space="preserve">FLORIDA                                                                                                                                     </v>
      </c>
      <c r="G915" s="26" t="str">
        <f>"ALVARO OBREGON                                                                  "</f>
        <v xml:space="preserve">ALVARO OBREGON                                                                  </v>
      </c>
      <c r="H915" s="26" t="str">
        <f>"001"</f>
        <v>001</v>
      </c>
      <c r="I915" s="26" t="str">
        <f t="shared" si="157"/>
        <v>00</v>
      </c>
      <c r="J915" s="26" t="str">
        <f>"53 "</f>
        <v xml:space="preserve">53 </v>
      </c>
      <c r="K915" s="26" t="str">
        <f t="shared" si="154"/>
        <v>SG</v>
      </c>
      <c r="L915" s="26" t="str">
        <f t="shared" si="155"/>
        <v>DGOSE</v>
      </c>
      <c r="M915" s="26" t="str">
        <f t="shared" si="153"/>
        <v>PARTICULAR</v>
      </c>
      <c r="N915" s="26">
        <v>397</v>
      </c>
      <c r="O915" s="26">
        <v>229</v>
      </c>
      <c r="P915" s="26">
        <v>168</v>
      </c>
      <c r="Q915" s="26">
        <v>9</v>
      </c>
      <c r="R915" s="26">
        <v>1</v>
      </c>
      <c r="S915" s="26">
        <v>20</v>
      </c>
      <c r="T915" s="26">
        <v>12</v>
      </c>
      <c r="U915" s="26">
        <v>33</v>
      </c>
      <c r="V915" s="26">
        <v>1</v>
      </c>
      <c r="W915" s="26"/>
    </row>
    <row r="916" spans="1:23" x14ac:dyDescent="0.25">
      <c r="A916" s="26" t="str">
        <f t="shared" si="156"/>
        <v>SECUNDARIA</v>
      </c>
      <c r="B916" s="26" t="str">
        <f>"09PES0339V"</f>
        <v>09PES0339V</v>
      </c>
      <c r="C916" s="26" t="str">
        <f>"INSTITUTO PROGRESO Y ESPERANZA                                                                      "</f>
        <v xml:space="preserve">INSTITUTO PROGRESO Y ESPERANZA                                                                      </v>
      </c>
      <c r="D916" s="26" t="str">
        <f>"MATUTINO"</f>
        <v>MATUTINO</v>
      </c>
      <c r="E916" s="26" t="str">
        <f>"AV. 5 NO. 89                                                                    "</f>
        <v xml:space="preserve">AV. 5 NO. 89                                                                    </v>
      </c>
      <c r="F916" s="26" t="str">
        <f>"GRANJAS SAN ANTONIO                                                                                                                         "</f>
        <v xml:space="preserve">GRANJAS SAN ANTONIO                                                                                                                         </v>
      </c>
      <c r="G916" s="26" t="str">
        <f>"IZTAPALAPA                                                                      "</f>
        <v xml:space="preserve">IZTAPALAPA                                                                      </v>
      </c>
      <c r="H916" s="26" t="str">
        <f>"000"</f>
        <v>000</v>
      </c>
      <c r="I916" s="26" t="str">
        <f t="shared" si="157"/>
        <v>00</v>
      </c>
      <c r="J916" s="26" t="str">
        <f>"61 "</f>
        <v xml:space="preserve">61 </v>
      </c>
      <c r="K916" s="26" t="str">
        <f>"IZ"</f>
        <v>IZ</v>
      </c>
      <c r="L916" s="26" t="str">
        <f>"DGSEI"</f>
        <v>DGSEI</v>
      </c>
      <c r="M916" s="26" t="str">
        <f t="shared" si="153"/>
        <v>PARTICULAR</v>
      </c>
      <c r="N916" s="26">
        <v>359</v>
      </c>
      <c r="O916" s="26">
        <v>164</v>
      </c>
      <c r="P916" s="26">
        <v>195</v>
      </c>
      <c r="Q916" s="26">
        <v>9</v>
      </c>
      <c r="R916" s="26">
        <v>2</v>
      </c>
      <c r="S916" s="26">
        <v>18</v>
      </c>
      <c r="T916" s="26">
        <v>7</v>
      </c>
      <c r="U916" s="26">
        <v>27</v>
      </c>
      <c r="V916" s="26">
        <v>1</v>
      </c>
      <c r="W916" s="26"/>
    </row>
    <row r="917" spans="1:23" x14ac:dyDescent="0.25">
      <c r="A917" s="26" t="str">
        <f t="shared" si="156"/>
        <v>SECUNDARIA</v>
      </c>
      <c r="B917" s="26" t="str">
        <f>"09PES0340K"</f>
        <v>09PES0340K</v>
      </c>
      <c r="C917" s="26" t="str">
        <f>"LA SALLE                                                                                            "</f>
        <v xml:space="preserve">LA SALLE                                                                                            </v>
      </c>
      <c r="D917" s="26" t="str">
        <f>"MATUTINO"</f>
        <v>MATUTINO</v>
      </c>
      <c r="E917" s="26" t="str">
        <f>"AV FRANCIA 39                                                                   "</f>
        <v xml:space="preserve">AV FRANCIA 39                                                                   </v>
      </c>
      <c r="F917" s="26" t="str">
        <f>"FLORIDA                                                                                                                                     "</f>
        <v xml:space="preserve">FLORIDA                                                                                                                                     </v>
      </c>
      <c r="G917" s="26" t="str">
        <f>"ALVARO OBREGON                                                                  "</f>
        <v xml:space="preserve">ALVARO OBREGON                                                                  </v>
      </c>
      <c r="H917" s="26" t="str">
        <f>"001"</f>
        <v>001</v>
      </c>
      <c r="I917" s="26" t="str">
        <f t="shared" si="157"/>
        <v>00</v>
      </c>
      <c r="J917" s="26" t="str">
        <f>"53 "</f>
        <v xml:space="preserve">53 </v>
      </c>
      <c r="K917" s="26" t="str">
        <f t="shared" ref="K917:K929" si="158">"SG"</f>
        <v>SG</v>
      </c>
      <c r="L917" s="26" t="str">
        <f t="shared" ref="L917:L929" si="159">"DGOSE"</f>
        <v>DGOSE</v>
      </c>
      <c r="M917" s="26" t="str">
        <f t="shared" ref="M917:M980" si="160">"PARTICULAR"</f>
        <v>PARTICULAR</v>
      </c>
      <c r="N917" s="26">
        <v>375</v>
      </c>
      <c r="O917" s="26">
        <v>192</v>
      </c>
      <c r="P917" s="26">
        <v>183</v>
      </c>
      <c r="Q917" s="26">
        <v>12</v>
      </c>
      <c r="R917" s="26">
        <v>2</v>
      </c>
      <c r="S917" s="26">
        <v>25</v>
      </c>
      <c r="T917" s="26">
        <v>21</v>
      </c>
      <c r="U917" s="26">
        <v>48</v>
      </c>
      <c r="V917" s="26">
        <v>1</v>
      </c>
      <c r="W917" s="26"/>
    </row>
    <row r="918" spans="1:23" x14ac:dyDescent="0.25">
      <c r="A918" s="26" t="str">
        <f t="shared" si="156"/>
        <v>SECUNDARIA</v>
      </c>
      <c r="B918" s="26" t="str">
        <f>"09PES0348C"</f>
        <v>09PES0348C</v>
      </c>
      <c r="C918" s="26" t="str">
        <f>""" FRAY GARCIA DE CISNEROS ""                                                                         "</f>
        <v xml:space="preserve">" FRAY GARCIA DE CISNEROS "                                                                         </v>
      </c>
      <c r="D918" s="26" t="str">
        <f>"MATUTINO"</f>
        <v>MATUTINO</v>
      </c>
      <c r="E918" s="26" t="str">
        <f>"INSURGENTES NORTE 1590                                                          "</f>
        <v xml:space="preserve">INSURGENTES NORTE 1590                                                          </v>
      </c>
      <c r="F918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918" s="26" t="str">
        <f>"GUSTAVO A. MADERO                                                               "</f>
        <v xml:space="preserve">GUSTAVO A. MADERO                                                               </v>
      </c>
      <c r="H918" s="26" t="str">
        <f>"034"</f>
        <v>034</v>
      </c>
      <c r="I918" s="26" t="str">
        <f t="shared" si="157"/>
        <v>00</v>
      </c>
      <c r="J918" s="26" t="str">
        <f>"52 "</f>
        <v xml:space="preserve">52 </v>
      </c>
      <c r="K918" s="26" t="str">
        <f t="shared" si="158"/>
        <v>SG</v>
      </c>
      <c r="L918" s="26" t="str">
        <f t="shared" si="159"/>
        <v>DGOSE</v>
      </c>
      <c r="M918" s="26" t="str">
        <f t="shared" si="160"/>
        <v>PARTICULAR</v>
      </c>
      <c r="N918" s="26">
        <v>95</v>
      </c>
      <c r="O918" s="26">
        <v>52</v>
      </c>
      <c r="P918" s="26">
        <v>43</v>
      </c>
      <c r="Q918" s="26">
        <v>5</v>
      </c>
      <c r="R918" s="26">
        <v>2</v>
      </c>
      <c r="S918" s="26">
        <v>16</v>
      </c>
      <c r="T918" s="26">
        <v>1</v>
      </c>
      <c r="U918" s="26">
        <v>19</v>
      </c>
      <c r="V918" s="26">
        <v>1</v>
      </c>
      <c r="W918" s="26"/>
    </row>
    <row r="919" spans="1:23" x14ac:dyDescent="0.25">
      <c r="A919" s="26" t="str">
        <f t="shared" si="156"/>
        <v>SECUNDARIA</v>
      </c>
      <c r="B919" s="26" t="str">
        <f>"09PES0354N"</f>
        <v>09PES0354N</v>
      </c>
      <c r="C919" s="26" t="str">
        <f>"MANUELA CATAÑO                                                                                      "</f>
        <v xml:space="preserve">MANUELA CATAÑO                                                                                      </v>
      </c>
      <c r="D919" s="26" t="str">
        <f>"MATUTINO"</f>
        <v>MATUTINO</v>
      </c>
      <c r="E919" s="26" t="str">
        <f>"MAGISTERIO NACIONAL NUM 9                                                       "</f>
        <v xml:space="preserve">MAGISTERIO NACIONAL NUM 9                                                       </v>
      </c>
      <c r="F919" s="26" t="str">
        <f>"TLALPAN                                                                                                                                     "</f>
        <v xml:space="preserve">TLALPAN                                                                                                                                     </v>
      </c>
      <c r="G919" s="26" t="str">
        <f>"TLALPAN                                                                         "</f>
        <v xml:space="preserve">TLALPAN                                                                         </v>
      </c>
      <c r="H919" s="26" t="str">
        <f>"069"</f>
        <v>069</v>
      </c>
      <c r="I919" s="26" t="str">
        <f t="shared" si="157"/>
        <v>00</v>
      </c>
      <c r="J919" s="26" t="str">
        <f>"55 "</f>
        <v xml:space="preserve">55 </v>
      </c>
      <c r="K919" s="26" t="str">
        <f t="shared" si="158"/>
        <v>SG</v>
      </c>
      <c r="L919" s="26" t="str">
        <f t="shared" si="159"/>
        <v>DGOSE</v>
      </c>
      <c r="M919" s="26" t="str">
        <f t="shared" si="160"/>
        <v>PARTICULAR</v>
      </c>
      <c r="N919" s="26">
        <v>136</v>
      </c>
      <c r="O919" s="26">
        <v>65</v>
      </c>
      <c r="P919" s="26">
        <v>71</v>
      </c>
      <c r="Q919" s="26">
        <v>6</v>
      </c>
      <c r="R919" s="26">
        <v>2</v>
      </c>
      <c r="S919" s="26">
        <v>18</v>
      </c>
      <c r="T919" s="26">
        <v>6</v>
      </c>
      <c r="U919" s="26">
        <v>26</v>
      </c>
      <c r="V919" s="26">
        <v>1</v>
      </c>
      <c r="W919" s="26"/>
    </row>
    <row r="920" spans="1:23" x14ac:dyDescent="0.25">
      <c r="A920" s="26" t="str">
        <f t="shared" si="156"/>
        <v>SECUNDARIA</v>
      </c>
      <c r="B920" s="26" t="str">
        <f>"09PES0358J"</f>
        <v>09PES0358J</v>
      </c>
      <c r="C920" s="26" t="str">
        <f>"HÉROES                                                                                              "</f>
        <v xml:space="preserve">HÉROES                                                                                              </v>
      </c>
      <c r="D920" s="26" t="str">
        <f>"TIEMPO COMPLETO"</f>
        <v>TIEMPO COMPLETO</v>
      </c>
      <c r="E920" s="26" t="str">
        <f>"TATA VASCO NUM 148                                                              "</f>
        <v xml:space="preserve">TATA VASCO NUM 148                                                              </v>
      </c>
      <c r="F920" s="26" t="str">
        <f>"COYOACAN                                                                                                                                    "</f>
        <v xml:space="preserve">COYOACAN                                                                                                                                    </v>
      </c>
      <c r="G920" s="26" t="str">
        <f>"COYOACAN                                                                        "</f>
        <v xml:space="preserve">COYOACAN                                                                        </v>
      </c>
      <c r="H920" s="26" t="str">
        <f>"018"</f>
        <v>018</v>
      </c>
      <c r="I920" s="26" t="str">
        <f t="shared" si="157"/>
        <v>00</v>
      </c>
      <c r="J920" s="26" t="str">
        <f>"54 "</f>
        <v xml:space="preserve">54 </v>
      </c>
      <c r="K920" s="26" t="str">
        <f t="shared" si="158"/>
        <v>SG</v>
      </c>
      <c r="L920" s="26" t="str">
        <f t="shared" si="159"/>
        <v>DGOSE</v>
      </c>
      <c r="M920" s="26" t="str">
        <f t="shared" si="160"/>
        <v>PARTICULAR</v>
      </c>
      <c r="N920" s="26">
        <v>115</v>
      </c>
      <c r="O920" s="26">
        <v>58</v>
      </c>
      <c r="P920" s="26">
        <v>57</v>
      </c>
      <c r="Q920" s="26">
        <v>6</v>
      </c>
      <c r="R920" s="26">
        <v>2</v>
      </c>
      <c r="S920" s="26">
        <v>14</v>
      </c>
      <c r="T920" s="26">
        <v>6</v>
      </c>
      <c r="U920" s="26">
        <v>22</v>
      </c>
      <c r="V920" s="26">
        <v>1</v>
      </c>
      <c r="W920" s="26"/>
    </row>
    <row r="921" spans="1:23" x14ac:dyDescent="0.25">
      <c r="A921" s="26" t="str">
        <f t="shared" si="156"/>
        <v>SECUNDARIA</v>
      </c>
      <c r="B921" s="26" t="str">
        <f>"09PES0367R"</f>
        <v>09PES0367R</v>
      </c>
      <c r="C921" s="26" t="str">
        <f>"PRIMERO DE MAYO                                                                                     "</f>
        <v xml:space="preserve">PRIMERO DE MAYO                                                                                     </v>
      </c>
      <c r="D921" s="26" t="str">
        <f t="shared" ref="D921:D956" si="161">"MATUTINO"</f>
        <v>MATUTINO</v>
      </c>
      <c r="E921" s="26" t="str">
        <f>"LAGUNA DE TAMIAHUA NUM 97                                                       "</f>
        <v xml:space="preserve">LAGUNA DE TAMIAHUA NUM 97                                                       </v>
      </c>
      <c r="F921" s="26" t="str">
        <f>"ANAHUAC I                                                                                                                                   "</f>
        <v xml:space="preserve">ANAHUAC I                                                                                                                                   </v>
      </c>
      <c r="G921" s="26" t="str">
        <f>"MIGUEL HIDALGO                                                                  "</f>
        <v xml:space="preserve">MIGUEL HIDALGO                                                                  </v>
      </c>
      <c r="H921" s="26" t="str">
        <f>"065"</f>
        <v>065</v>
      </c>
      <c r="I921" s="26" t="str">
        <f t="shared" si="157"/>
        <v>00</v>
      </c>
      <c r="J921" s="26" t="str">
        <f>"51 "</f>
        <v xml:space="preserve">51 </v>
      </c>
      <c r="K921" s="26" t="str">
        <f t="shared" si="158"/>
        <v>SG</v>
      </c>
      <c r="L921" s="26" t="str">
        <f t="shared" si="159"/>
        <v>DGOSE</v>
      </c>
      <c r="M921" s="26" t="str">
        <f t="shared" si="160"/>
        <v>PARTICULAR</v>
      </c>
      <c r="N921" s="26">
        <v>463</v>
      </c>
      <c r="O921" s="26">
        <v>223</v>
      </c>
      <c r="P921" s="26">
        <v>240</v>
      </c>
      <c r="Q921" s="26">
        <v>14</v>
      </c>
      <c r="R921" s="26">
        <v>2</v>
      </c>
      <c r="S921" s="26">
        <v>38</v>
      </c>
      <c r="T921" s="26">
        <v>10</v>
      </c>
      <c r="U921" s="26">
        <v>50</v>
      </c>
      <c r="V921" s="26">
        <v>1</v>
      </c>
      <c r="W921" s="26"/>
    </row>
    <row r="922" spans="1:23" x14ac:dyDescent="0.25">
      <c r="A922" s="26" t="str">
        <f t="shared" si="156"/>
        <v>SECUNDARIA</v>
      </c>
      <c r="B922" s="26" t="str">
        <f>"09PES0377Y"</f>
        <v>09PES0377Y</v>
      </c>
      <c r="C922" s="26" t="str">
        <f>"INSTITUTO MEXICANO FRANCES                                                                          "</f>
        <v xml:space="preserve">INSTITUTO MEXICANO FRANCES                                                                          </v>
      </c>
      <c r="D922" s="26" t="str">
        <f t="shared" si="161"/>
        <v>MATUTINO</v>
      </c>
      <c r="E922" s="26" t="str">
        <f>"DR. JOSE MA. VERTIZ NUM 735                                                     "</f>
        <v xml:space="preserve">DR. JOSE MA. VERTIZ NUM 735                                                     </v>
      </c>
      <c r="F922" s="26" t="str">
        <f>"NARVARTE                                                                                                                                    "</f>
        <v xml:space="preserve">NARVARTE                                                                                                                                    </v>
      </c>
      <c r="G922" s="26" t="str">
        <f>"BENITO JUAREZ                                                                   "</f>
        <v xml:space="preserve">BENITO JUAREZ                                                                   </v>
      </c>
      <c r="H922" s="26" t="str">
        <f>"013"</f>
        <v>013</v>
      </c>
      <c r="I922" s="26" t="str">
        <f t="shared" si="157"/>
        <v>00</v>
      </c>
      <c r="J922" s="26" t="str">
        <f>"53 "</f>
        <v xml:space="preserve">53 </v>
      </c>
      <c r="K922" s="26" t="str">
        <f t="shared" si="158"/>
        <v>SG</v>
      </c>
      <c r="L922" s="26" t="str">
        <f t="shared" si="159"/>
        <v>DGOSE</v>
      </c>
      <c r="M922" s="26" t="str">
        <f t="shared" si="160"/>
        <v>PARTICULAR</v>
      </c>
      <c r="N922" s="26">
        <v>35</v>
      </c>
      <c r="O922" s="26">
        <v>21</v>
      </c>
      <c r="P922" s="26">
        <v>14</v>
      </c>
      <c r="Q922" s="26">
        <v>3</v>
      </c>
      <c r="R922" s="26">
        <v>1</v>
      </c>
      <c r="S922" s="26">
        <v>12</v>
      </c>
      <c r="T922" s="26">
        <v>2</v>
      </c>
      <c r="U922" s="26">
        <v>15</v>
      </c>
      <c r="V922" s="26">
        <v>1</v>
      </c>
      <c r="W922" s="26"/>
    </row>
    <row r="923" spans="1:23" x14ac:dyDescent="0.25">
      <c r="A923" s="26" t="str">
        <f t="shared" si="156"/>
        <v>SECUNDARIA</v>
      </c>
      <c r="B923" s="26" t="str">
        <f>"09PES0382J"</f>
        <v>09PES0382J</v>
      </c>
      <c r="C923" s="26" t="str">
        <f>"CEDROS                                                                                              "</f>
        <v xml:space="preserve">CEDROS                                                                                              </v>
      </c>
      <c r="D923" s="26" t="str">
        <f t="shared" si="161"/>
        <v>MATUTINO</v>
      </c>
      <c r="E923" s="26" t="str">
        <f>"TECOYOTITLA NO 364                                                              "</f>
        <v xml:space="preserve">TECOYOTITLA NO 364                                                              </v>
      </c>
      <c r="F923" s="26" t="str">
        <f>"FLORIDA                                                                                                                                     "</f>
        <v xml:space="preserve">FLORIDA                                                                                                                                     </v>
      </c>
      <c r="G923" s="26" t="str">
        <f>"ALVARO OBREGON                                                                  "</f>
        <v xml:space="preserve">ALVARO OBREGON                                                                  </v>
      </c>
      <c r="H923" s="26" t="str">
        <f>"002"</f>
        <v>002</v>
      </c>
      <c r="I923" s="26" t="str">
        <f t="shared" si="157"/>
        <v>00</v>
      </c>
      <c r="J923" s="26" t="str">
        <f>"53 "</f>
        <v xml:space="preserve">53 </v>
      </c>
      <c r="K923" s="26" t="str">
        <f t="shared" si="158"/>
        <v>SG</v>
      </c>
      <c r="L923" s="26" t="str">
        <f t="shared" si="159"/>
        <v>DGOSE</v>
      </c>
      <c r="M923" s="26" t="str">
        <f t="shared" si="160"/>
        <v>PARTICULAR</v>
      </c>
      <c r="N923" s="26">
        <v>403</v>
      </c>
      <c r="O923" s="26">
        <v>403</v>
      </c>
      <c r="P923" s="26">
        <v>0</v>
      </c>
      <c r="Q923" s="26">
        <v>14</v>
      </c>
      <c r="R923" s="26">
        <v>1</v>
      </c>
      <c r="S923" s="26">
        <v>38</v>
      </c>
      <c r="T923" s="26">
        <v>6</v>
      </c>
      <c r="U923" s="26">
        <v>45</v>
      </c>
      <c r="V923" s="26">
        <v>1</v>
      </c>
      <c r="W923" s="26"/>
    </row>
    <row r="924" spans="1:23" x14ac:dyDescent="0.25">
      <c r="A924" s="26" t="str">
        <f t="shared" si="156"/>
        <v>SECUNDARIA</v>
      </c>
      <c r="B924" s="26" t="str">
        <f>"09PES0390S"</f>
        <v>09PES0390S</v>
      </c>
      <c r="C924" s="26" t="str">
        <f>"COLEGIO AVANTE                                                                                      "</f>
        <v xml:space="preserve">COLEGIO AVANTE                                                                                      </v>
      </c>
      <c r="D924" s="26" t="str">
        <f t="shared" si="161"/>
        <v>MATUTINO</v>
      </c>
      <c r="E924" s="26" t="str">
        <f>"ADOLFO PRIETO NUM 1810                                                          "</f>
        <v xml:space="preserve">ADOLFO PRIETO NUM 1810                                                          </v>
      </c>
      <c r="F924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924" s="26" t="str">
        <f>"BENITO JUAREZ                                                                   "</f>
        <v xml:space="preserve">BENITO JUAREZ                                                                   </v>
      </c>
      <c r="H924" s="26" t="str">
        <f>"014"</f>
        <v>014</v>
      </c>
      <c r="I924" s="26" t="str">
        <f t="shared" si="157"/>
        <v>00</v>
      </c>
      <c r="J924" s="26" t="str">
        <f>"53 "</f>
        <v xml:space="preserve">53 </v>
      </c>
      <c r="K924" s="26" t="str">
        <f t="shared" si="158"/>
        <v>SG</v>
      </c>
      <c r="L924" s="26" t="str">
        <f t="shared" si="159"/>
        <v>DGOSE</v>
      </c>
      <c r="M924" s="26" t="str">
        <f t="shared" si="160"/>
        <v>PARTICULAR</v>
      </c>
      <c r="N924" s="26">
        <v>141</v>
      </c>
      <c r="O924" s="26">
        <v>71</v>
      </c>
      <c r="P924" s="26">
        <v>70</v>
      </c>
      <c r="Q924" s="26">
        <v>6</v>
      </c>
      <c r="R924" s="26">
        <v>2</v>
      </c>
      <c r="S924" s="26">
        <v>13</v>
      </c>
      <c r="T924" s="26">
        <v>5</v>
      </c>
      <c r="U924" s="26">
        <v>20</v>
      </c>
      <c r="V924" s="26">
        <v>1</v>
      </c>
      <c r="W924" s="26"/>
    </row>
    <row r="925" spans="1:23" x14ac:dyDescent="0.25">
      <c r="A925" s="26" t="str">
        <f t="shared" si="156"/>
        <v>SECUNDARIA</v>
      </c>
      <c r="B925" s="26" t="str">
        <f>"09PES0391R"</f>
        <v>09PES0391R</v>
      </c>
      <c r="C925" s="26" t="str">
        <f>"COLEGIO SUIZO DE MEXICO                                                                             "</f>
        <v xml:space="preserve">COLEGIO SUIZO DE MEXICO                                                                             </v>
      </c>
      <c r="D925" s="26" t="str">
        <f t="shared" si="161"/>
        <v>MATUTINO</v>
      </c>
      <c r="E925" s="26" t="str">
        <f>"NICOLAS SAN JUAN NUM 917                                                        "</f>
        <v xml:space="preserve">NICOLAS SAN JUAN NUM 917                                                        </v>
      </c>
      <c r="F925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925" s="26" t="str">
        <f>"BENITO JUAREZ                                                                   "</f>
        <v xml:space="preserve">BENITO JUAREZ                                                                   </v>
      </c>
      <c r="H925" s="26" t="str">
        <f>"014"</f>
        <v>014</v>
      </c>
      <c r="I925" s="26" t="str">
        <f t="shared" si="157"/>
        <v>00</v>
      </c>
      <c r="J925" s="26" t="str">
        <f>"53 "</f>
        <v xml:space="preserve">53 </v>
      </c>
      <c r="K925" s="26" t="str">
        <f t="shared" si="158"/>
        <v>SG</v>
      </c>
      <c r="L925" s="26" t="str">
        <f t="shared" si="159"/>
        <v>DGOSE</v>
      </c>
      <c r="M925" s="26" t="str">
        <f t="shared" si="160"/>
        <v>PARTICULAR</v>
      </c>
      <c r="N925" s="26">
        <v>161</v>
      </c>
      <c r="O925" s="26">
        <v>76</v>
      </c>
      <c r="P925" s="26">
        <v>85</v>
      </c>
      <c r="Q925" s="26">
        <v>6</v>
      </c>
      <c r="R925" s="26">
        <v>2</v>
      </c>
      <c r="S925" s="26">
        <v>21</v>
      </c>
      <c r="T925" s="26">
        <v>3</v>
      </c>
      <c r="U925" s="26">
        <v>26</v>
      </c>
      <c r="V925" s="26">
        <v>1</v>
      </c>
      <c r="W925" s="26"/>
    </row>
    <row r="926" spans="1:23" x14ac:dyDescent="0.25">
      <c r="A926" s="26" t="str">
        <f t="shared" si="156"/>
        <v>SECUNDARIA</v>
      </c>
      <c r="B926" s="26" t="str">
        <f>"09PES0414L"</f>
        <v>09PES0414L</v>
      </c>
      <c r="C926" s="26" t="str">
        <f>"""INSTITUTO MONTINI""                                                                                 "</f>
        <v xml:space="preserve">"INSTITUTO MONTINI"                                                                                 </v>
      </c>
      <c r="D926" s="26" t="str">
        <f t="shared" si="161"/>
        <v>MATUTINO</v>
      </c>
      <c r="E926" s="26" t="str">
        <f>"LOS JUAREZ NO 31                                                                "</f>
        <v xml:space="preserve">LOS JUAREZ NO 31                                                                </v>
      </c>
      <c r="F926" s="26" t="str">
        <f>"SAN JOSE INSURGENTES                                                                                                                        "</f>
        <v xml:space="preserve">SAN JOSE INSURGENTES                                                                                                                        </v>
      </c>
      <c r="G926" s="26" t="str">
        <f>"BENITO JUAREZ                                                                   "</f>
        <v xml:space="preserve">BENITO JUAREZ                                                                   </v>
      </c>
      <c r="H926" s="26" t="str">
        <f>"016"</f>
        <v>016</v>
      </c>
      <c r="I926" s="26" t="str">
        <f t="shared" si="157"/>
        <v>00</v>
      </c>
      <c r="J926" s="26" t="str">
        <f>"53 "</f>
        <v xml:space="preserve">53 </v>
      </c>
      <c r="K926" s="26" t="str">
        <f t="shared" si="158"/>
        <v>SG</v>
      </c>
      <c r="L926" s="26" t="str">
        <f t="shared" si="159"/>
        <v>DGOSE</v>
      </c>
      <c r="M926" s="26" t="str">
        <f t="shared" si="160"/>
        <v>PARTICULAR</v>
      </c>
      <c r="N926" s="26">
        <v>82</v>
      </c>
      <c r="O926" s="26">
        <v>39</v>
      </c>
      <c r="P926" s="26">
        <v>43</v>
      </c>
      <c r="Q926" s="26">
        <v>4</v>
      </c>
      <c r="R926" s="26">
        <v>1</v>
      </c>
      <c r="S926" s="26">
        <v>11</v>
      </c>
      <c r="T926" s="26">
        <v>1</v>
      </c>
      <c r="U926" s="26">
        <v>13</v>
      </c>
      <c r="V926" s="26">
        <v>1</v>
      </c>
      <c r="W926" s="26"/>
    </row>
    <row r="927" spans="1:23" x14ac:dyDescent="0.25">
      <c r="A927" s="26" t="str">
        <f t="shared" si="156"/>
        <v>SECUNDARIA</v>
      </c>
      <c r="B927" s="26" t="str">
        <f>"09PES0427P"</f>
        <v>09PES0427P</v>
      </c>
      <c r="C927" s="26" t="str">
        <f>"COLEGIO HOLANDES                                                                                    "</f>
        <v xml:space="preserve">COLEGIO HOLANDES                                                                                    </v>
      </c>
      <c r="D927" s="26" t="str">
        <f t="shared" si="161"/>
        <v>MATUTINO</v>
      </c>
      <c r="E927" s="26" t="str">
        <f>"LUCERNA NUM. 29                                                                 "</f>
        <v xml:space="preserve">LUCERNA NUM. 29                                                                 </v>
      </c>
      <c r="F927" s="26" t="str">
        <f>"JUAREZ                                                                                                                                      "</f>
        <v xml:space="preserve">JUAREZ                                                                                                                                      </v>
      </c>
      <c r="G927" s="26" t="str">
        <f>"CUAUHTEMOC                                                                      "</f>
        <v xml:space="preserve">CUAUHTEMOC                                                                      </v>
      </c>
      <c r="H927" s="26" t="str">
        <f>"062"</f>
        <v>062</v>
      </c>
      <c r="I927" s="26" t="str">
        <f t="shared" si="157"/>
        <v>00</v>
      </c>
      <c r="J927" s="26" t="str">
        <f>"51 "</f>
        <v xml:space="preserve">51 </v>
      </c>
      <c r="K927" s="26" t="str">
        <f t="shared" si="158"/>
        <v>SG</v>
      </c>
      <c r="L927" s="26" t="str">
        <f t="shared" si="159"/>
        <v>DGOSE</v>
      </c>
      <c r="M927" s="26" t="str">
        <f t="shared" si="160"/>
        <v>PARTICULAR</v>
      </c>
      <c r="N927" s="26">
        <v>93</v>
      </c>
      <c r="O927" s="26">
        <v>56</v>
      </c>
      <c r="P927" s="26">
        <v>37</v>
      </c>
      <c r="Q927" s="26">
        <v>3</v>
      </c>
      <c r="R927" s="26">
        <v>1</v>
      </c>
      <c r="S927" s="26">
        <v>14</v>
      </c>
      <c r="T927" s="26">
        <v>3</v>
      </c>
      <c r="U927" s="26">
        <v>18</v>
      </c>
      <c r="V927" s="26">
        <v>1</v>
      </c>
      <c r="W927" s="26"/>
    </row>
    <row r="928" spans="1:23" x14ac:dyDescent="0.25">
      <c r="A928" s="26" t="str">
        <f t="shared" si="156"/>
        <v>SECUNDARIA</v>
      </c>
      <c r="B928" s="26" t="str">
        <f>"09PES0428O"</f>
        <v>09PES0428O</v>
      </c>
      <c r="C928" s="26" t="str">
        <f>"CENTRO ESCOLAR YAOCALLI                                                                             "</f>
        <v xml:space="preserve">CENTRO ESCOLAR YAOCALLI                                                                             </v>
      </c>
      <c r="D928" s="26" t="str">
        <f t="shared" si="161"/>
        <v>MATUTINO</v>
      </c>
      <c r="E928" s="26" t="str">
        <f>"CERRADA CD.LEON NUM 40                                                          "</f>
        <v xml:space="preserve">CERRADA CD.LEON NUM 40                                                          </v>
      </c>
      <c r="F928" s="26" t="str">
        <f>"MIGUEL HIDALGO                                                                                                                              "</f>
        <v xml:space="preserve">MIGUEL HIDALGO                                                                                                                              </v>
      </c>
      <c r="G928" s="26" t="str">
        <f>"TLALPAN                                                                         "</f>
        <v xml:space="preserve">TLALPAN                                                                         </v>
      </c>
      <c r="H928" s="26" t="str">
        <f>"071"</f>
        <v>071</v>
      </c>
      <c r="I928" s="26" t="str">
        <f t="shared" si="157"/>
        <v>00</v>
      </c>
      <c r="J928" s="26" t="str">
        <f>"55 "</f>
        <v xml:space="preserve">55 </v>
      </c>
      <c r="K928" s="26" t="str">
        <f t="shared" si="158"/>
        <v>SG</v>
      </c>
      <c r="L928" s="26" t="str">
        <f t="shared" si="159"/>
        <v>DGOSE</v>
      </c>
      <c r="M928" s="26" t="str">
        <f t="shared" si="160"/>
        <v>PARTICULAR</v>
      </c>
      <c r="N928" s="26">
        <v>158</v>
      </c>
      <c r="O928" s="26">
        <v>0</v>
      </c>
      <c r="P928" s="26">
        <v>158</v>
      </c>
      <c r="Q928" s="26">
        <v>6</v>
      </c>
      <c r="R928" s="26">
        <v>2</v>
      </c>
      <c r="S928" s="26">
        <v>20</v>
      </c>
      <c r="T928" s="26">
        <v>4</v>
      </c>
      <c r="U928" s="26">
        <v>26</v>
      </c>
      <c r="V928" s="26">
        <v>1</v>
      </c>
      <c r="W928" s="26"/>
    </row>
    <row r="929" spans="1:23" x14ac:dyDescent="0.25">
      <c r="A929" s="26" t="str">
        <f t="shared" si="156"/>
        <v>SECUNDARIA</v>
      </c>
      <c r="B929" s="26" t="str">
        <f>"09PES0431B"</f>
        <v>09PES0431B</v>
      </c>
      <c r="C929" s="26" t="str">
        <f>"INSTITUTO SAN ANGEL DEL SUR                                                                         "</f>
        <v xml:space="preserve">INSTITUTO SAN ANGEL DEL SUR                                                                         </v>
      </c>
      <c r="D929" s="26" t="str">
        <f t="shared" si="161"/>
        <v>MATUTINO</v>
      </c>
      <c r="E929" s="26" t="str">
        <f>"AV PENSYLVANIA NUM 19                                                           "</f>
        <v xml:space="preserve">AV PENSYLVANIA NUM 19                                                           </v>
      </c>
      <c r="F929" s="26" t="str">
        <f>"PARQUE SAN ANDRES                                                                                                                           "</f>
        <v xml:space="preserve">PARQUE SAN ANDRES                                                                                                                           </v>
      </c>
      <c r="G929" s="26" t="str">
        <f>"COYOACAN                                                                        "</f>
        <v xml:space="preserve">COYOACAN                                                                        </v>
      </c>
      <c r="H929" s="26" t="str">
        <f>"018"</f>
        <v>018</v>
      </c>
      <c r="I929" s="26" t="str">
        <f t="shared" si="157"/>
        <v>00</v>
      </c>
      <c r="J929" s="26" t="str">
        <f>"54 "</f>
        <v xml:space="preserve">54 </v>
      </c>
      <c r="K929" s="26" t="str">
        <f t="shared" si="158"/>
        <v>SG</v>
      </c>
      <c r="L929" s="26" t="str">
        <f t="shared" si="159"/>
        <v>DGOSE</v>
      </c>
      <c r="M929" s="26" t="str">
        <f t="shared" si="160"/>
        <v>PARTICULAR</v>
      </c>
      <c r="N929" s="26">
        <v>97</v>
      </c>
      <c r="O929" s="26">
        <v>55</v>
      </c>
      <c r="P929" s="26">
        <v>42</v>
      </c>
      <c r="Q929" s="26">
        <v>5</v>
      </c>
      <c r="R929" s="26">
        <v>2</v>
      </c>
      <c r="S929" s="26">
        <v>11</v>
      </c>
      <c r="T929" s="26">
        <v>8</v>
      </c>
      <c r="U929" s="26">
        <v>21</v>
      </c>
      <c r="V929" s="26">
        <v>1</v>
      </c>
      <c r="W929" s="26"/>
    </row>
    <row r="930" spans="1:23" x14ac:dyDescent="0.25">
      <c r="A930" s="26" t="str">
        <f t="shared" si="156"/>
        <v>SECUNDARIA</v>
      </c>
      <c r="B930" s="26" t="str">
        <f>"09PES0434Z"</f>
        <v>09PES0434Z</v>
      </c>
      <c r="C930" s="26" t="str">
        <f>"LIC. ADOLFO LOPEZ MATEOS                                                                            "</f>
        <v xml:space="preserve">LIC. ADOLFO LOPEZ MATEOS                                                                            </v>
      </c>
      <c r="D930" s="26" t="str">
        <f t="shared" si="161"/>
        <v>MATUTINO</v>
      </c>
      <c r="E930" s="26" t="str">
        <f>"EJE 6 SUR NO. 337                                                               "</f>
        <v xml:space="preserve">EJE 6 SUR NO. 337                                                               </v>
      </c>
      <c r="F930" s="26" t="str">
        <f>"EL RETOÑO                                                                                                                                   "</f>
        <v xml:space="preserve">EL RETOÑO                                                                                                                                   </v>
      </c>
      <c r="G930" s="26" t="str">
        <f>"IZTAPALAPA                                                                      "</f>
        <v xml:space="preserve">IZTAPALAPA                                                                      </v>
      </c>
      <c r="H930" s="26" t="str">
        <f>"000"</f>
        <v>000</v>
      </c>
      <c r="I930" s="26" t="str">
        <f t="shared" si="157"/>
        <v>00</v>
      </c>
      <c r="J930" s="26" t="str">
        <f>"61 "</f>
        <v xml:space="preserve">61 </v>
      </c>
      <c r="K930" s="26" t="str">
        <f>"IZ"</f>
        <v>IZ</v>
      </c>
      <c r="L930" s="26" t="str">
        <f>"DGSEI"</f>
        <v>DGSEI</v>
      </c>
      <c r="M930" s="26" t="str">
        <f t="shared" si="160"/>
        <v>PARTICULAR</v>
      </c>
      <c r="N930" s="26">
        <v>36</v>
      </c>
      <c r="O930" s="26">
        <v>25</v>
      </c>
      <c r="P930" s="26">
        <v>11</v>
      </c>
      <c r="Q930" s="26">
        <v>3</v>
      </c>
      <c r="R930" s="26">
        <v>1</v>
      </c>
      <c r="S930" s="26">
        <v>11</v>
      </c>
      <c r="T930" s="26">
        <v>3</v>
      </c>
      <c r="U930" s="26">
        <v>15</v>
      </c>
      <c r="V930" s="26">
        <v>1</v>
      </c>
      <c r="W930" s="26"/>
    </row>
    <row r="931" spans="1:23" x14ac:dyDescent="0.25">
      <c r="A931" s="26" t="str">
        <f t="shared" si="156"/>
        <v>SECUNDARIA</v>
      </c>
      <c r="B931" s="26" t="str">
        <f>"09PES0436X"</f>
        <v>09PES0436X</v>
      </c>
      <c r="C931" s="26" t="str">
        <f>"COLEGIO PETERSON                                                                                    "</f>
        <v xml:space="preserve">COLEGIO PETERSON                                                                                    </v>
      </c>
      <c r="D931" s="26" t="str">
        <f t="shared" si="161"/>
        <v>MATUTINO</v>
      </c>
      <c r="E931" s="26" t="str">
        <f>"HUIZACHITO NO 80                                                                "</f>
        <v xml:space="preserve">HUIZACHITO NO 80                                                                </v>
      </c>
      <c r="F931" s="26" t="str">
        <f>"LOMAS DE VISTA HERMOSA                                                                                                                      "</f>
        <v xml:space="preserve">LOMAS DE VISTA HERMOSA                                                                                                                      </v>
      </c>
      <c r="G931" s="26" t="str">
        <f>"CUAJIMALPA DE MORELOS                                                           "</f>
        <v xml:space="preserve">CUAJIMALPA DE MORELOS                                                           </v>
      </c>
      <c r="H931" s="26" t="str">
        <f>"023"</f>
        <v>023</v>
      </c>
      <c r="I931" s="26" t="str">
        <f t="shared" si="157"/>
        <v>00</v>
      </c>
      <c r="J931" s="26" t="str">
        <f>"53 "</f>
        <v xml:space="preserve">53 </v>
      </c>
      <c r="K931" s="26" t="str">
        <f t="shared" ref="K931:K969" si="162">"SG"</f>
        <v>SG</v>
      </c>
      <c r="L931" s="26" t="str">
        <f t="shared" ref="L931:L969" si="163">"DGOSE"</f>
        <v>DGOSE</v>
      </c>
      <c r="M931" s="26" t="str">
        <f t="shared" si="160"/>
        <v>PARTICULAR</v>
      </c>
      <c r="N931" s="26">
        <v>184</v>
      </c>
      <c r="O931" s="26">
        <v>102</v>
      </c>
      <c r="P931" s="26">
        <v>82</v>
      </c>
      <c r="Q931" s="26">
        <v>8</v>
      </c>
      <c r="R931" s="26">
        <v>2</v>
      </c>
      <c r="S931" s="26">
        <v>16</v>
      </c>
      <c r="T931" s="26">
        <v>2</v>
      </c>
      <c r="U931" s="26">
        <v>20</v>
      </c>
      <c r="V931" s="26">
        <v>1</v>
      </c>
      <c r="W931" s="26"/>
    </row>
    <row r="932" spans="1:23" x14ac:dyDescent="0.25">
      <c r="A932" s="26" t="str">
        <f t="shared" si="156"/>
        <v>SECUNDARIA</v>
      </c>
      <c r="B932" s="26" t="str">
        <f>"09PES0437W"</f>
        <v>09PES0437W</v>
      </c>
      <c r="C932" s="26" t="str">
        <f>"FERNANDO DE MAGALLANES                                                                              "</f>
        <v xml:space="preserve">FERNANDO DE MAGALLANES                                                                              </v>
      </c>
      <c r="D932" s="26" t="str">
        <f t="shared" si="161"/>
        <v>MATUTINO</v>
      </c>
      <c r="E932" s="26" t="str">
        <f>"MIER Y PESADO NUM 132                                                           "</f>
        <v xml:space="preserve">MIER Y PESADO NUM 132                                                           </v>
      </c>
      <c r="F932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932" s="26" t="str">
        <f>"BENITO JUAREZ                                                                   "</f>
        <v xml:space="preserve">BENITO JUAREZ                                                                   </v>
      </c>
      <c r="H932" s="26" t="str">
        <f>"012"</f>
        <v>012</v>
      </c>
      <c r="I932" s="26" t="str">
        <f t="shared" si="157"/>
        <v>00</v>
      </c>
      <c r="J932" s="26" t="str">
        <f>"53 "</f>
        <v xml:space="preserve">53 </v>
      </c>
      <c r="K932" s="26" t="str">
        <f t="shared" si="162"/>
        <v>SG</v>
      </c>
      <c r="L932" s="26" t="str">
        <f t="shared" si="163"/>
        <v>DGOSE</v>
      </c>
      <c r="M932" s="26" t="str">
        <f t="shared" si="160"/>
        <v>PARTICULAR</v>
      </c>
      <c r="N932" s="26">
        <v>182</v>
      </c>
      <c r="O932" s="26">
        <v>78</v>
      </c>
      <c r="P932" s="26">
        <v>104</v>
      </c>
      <c r="Q932" s="26">
        <v>6</v>
      </c>
      <c r="R932" s="26">
        <v>2</v>
      </c>
      <c r="S932" s="26">
        <v>10</v>
      </c>
      <c r="T932" s="26">
        <v>3</v>
      </c>
      <c r="U932" s="26">
        <v>15</v>
      </c>
      <c r="V932" s="26">
        <v>1</v>
      </c>
      <c r="W932" s="26"/>
    </row>
    <row r="933" spans="1:23" x14ac:dyDescent="0.25">
      <c r="A933" s="26" t="str">
        <f t="shared" si="156"/>
        <v>SECUNDARIA</v>
      </c>
      <c r="B933" s="26" t="str">
        <f>"09PES0447C"</f>
        <v>09PES0447C</v>
      </c>
      <c r="C933" s="26" t="str">
        <f>"INSTITUTO ROMERA                                                                                    "</f>
        <v xml:space="preserve">INSTITUTO ROMERA                                                                                    </v>
      </c>
      <c r="D933" s="26" t="str">
        <f t="shared" si="161"/>
        <v>MATUTINO</v>
      </c>
      <c r="E933" s="26" t="str">
        <f>"HOMERO NUM 720                                                                  "</f>
        <v xml:space="preserve">HOMERO NUM 720                                                                  </v>
      </c>
      <c r="F933" s="26" t="str">
        <f>"POLANCO REFORMA                                                                                                                             "</f>
        <v xml:space="preserve">POLANCO REFORMA                                                                                                                             </v>
      </c>
      <c r="G933" s="26" t="str">
        <f>"MIGUEL HIDALGO                                                                  "</f>
        <v xml:space="preserve">MIGUEL HIDALGO                                                                  </v>
      </c>
      <c r="H933" s="26" t="str">
        <f>"062"</f>
        <v>062</v>
      </c>
      <c r="I933" s="26" t="str">
        <f t="shared" si="157"/>
        <v>00</v>
      </c>
      <c r="J933" s="26" t="str">
        <f>"51 "</f>
        <v xml:space="preserve">51 </v>
      </c>
      <c r="K933" s="26" t="str">
        <f t="shared" si="162"/>
        <v>SG</v>
      </c>
      <c r="L933" s="26" t="str">
        <f t="shared" si="163"/>
        <v>DGOSE</v>
      </c>
      <c r="M933" s="26" t="str">
        <f t="shared" si="160"/>
        <v>PARTICULAR</v>
      </c>
      <c r="N933" s="26">
        <v>117</v>
      </c>
      <c r="O933" s="26">
        <v>64</v>
      </c>
      <c r="P933" s="26">
        <v>53</v>
      </c>
      <c r="Q933" s="26">
        <v>5</v>
      </c>
      <c r="R933" s="26">
        <v>2</v>
      </c>
      <c r="S933" s="26">
        <v>12</v>
      </c>
      <c r="T933" s="26">
        <v>0</v>
      </c>
      <c r="U933" s="26">
        <v>14</v>
      </c>
      <c r="V933" s="26">
        <v>1</v>
      </c>
      <c r="W933" s="26"/>
    </row>
    <row r="934" spans="1:23" x14ac:dyDescent="0.25">
      <c r="A934" s="26" t="str">
        <f t="shared" si="156"/>
        <v>SECUNDARIA</v>
      </c>
      <c r="B934" s="26" t="str">
        <f>"09PES0452O"</f>
        <v>09PES0452O</v>
      </c>
      <c r="C934" s="26" t="str">
        <f>"""MONTESSORI""                                                                                        "</f>
        <v xml:space="preserve">"MONTESSORI"                                                                                        </v>
      </c>
      <c r="D934" s="26" t="str">
        <f t="shared" si="161"/>
        <v>MATUTINO</v>
      </c>
      <c r="E934" s="26" t="str">
        <f>"HUICHAPAN NUM 8                                                                 "</f>
        <v xml:space="preserve">HUICHAPAN NUM 8                                                                 </v>
      </c>
      <c r="F934" s="26" t="str">
        <f>"HIPODROMO DE LA CONDESA                                                                                                                     "</f>
        <v xml:space="preserve">HIPODROMO DE LA CONDESA                                                                                                                     </v>
      </c>
      <c r="G934" s="26" t="str">
        <f>"CUAUHTEMOC                                                                      "</f>
        <v xml:space="preserve">CUAUHTEMOC                                                                      </v>
      </c>
      <c r="H934" s="26" t="str">
        <f>"030"</f>
        <v>030</v>
      </c>
      <c r="I934" s="26" t="str">
        <f t="shared" si="157"/>
        <v>00</v>
      </c>
      <c r="J934" s="26" t="str">
        <f>"51 "</f>
        <v xml:space="preserve">51 </v>
      </c>
      <c r="K934" s="26" t="str">
        <f t="shared" si="162"/>
        <v>SG</v>
      </c>
      <c r="L934" s="26" t="str">
        <f t="shared" si="163"/>
        <v>DGOSE</v>
      </c>
      <c r="M934" s="26" t="str">
        <f t="shared" si="160"/>
        <v>PARTICULAR</v>
      </c>
      <c r="N934" s="26">
        <v>34</v>
      </c>
      <c r="O934" s="26">
        <v>25</v>
      </c>
      <c r="P934" s="26">
        <v>9</v>
      </c>
      <c r="Q934" s="26">
        <v>3</v>
      </c>
      <c r="R934" s="26">
        <v>1</v>
      </c>
      <c r="S934" s="26">
        <v>9</v>
      </c>
      <c r="T934" s="26">
        <v>1</v>
      </c>
      <c r="U934" s="26">
        <v>11</v>
      </c>
      <c r="V934" s="26">
        <v>1</v>
      </c>
      <c r="W934" s="26"/>
    </row>
    <row r="935" spans="1:23" x14ac:dyDescent="0.25">
      <c r="A935" s="26" t="str">
        <f t="shared" si="156"/>
        <v>SECUNDARIA</v>
      </c>
      <c r="B935" s="26" t="str">
        <f>"09PES0453N"</f>
        <v>09PES0453N</v>
      </c>
      <c r="C935" s="26" t="str">
        <f>"COLEGIO DEL BOSQUE                                                                                  "</f>
        <v xml:space="preserve">COLEGIO DEL BOSQUE                                                                                  </v>
      </c>
      <c r="D935" s="26" t="str">
        <f t="shared" si="161"/>
        <v>MATUTINO</v>
      </c>
      <c r="E935" s="26" t="str">
        <f>"BOSQUES DE HUIZACHE NUMERO 3                                                    "</f>
        <v xml:space="preserve">BOSQUES DE HUIZACHE NUMERO 3                                                    </v>
      </c>
      <c r="F935" s="26" t="str">
        <f>"BOSQUES DE LAS LOMAS                                                                                                                        "</f>
        <v xml:space="preserve">BOSQUES DE LAS LOMAS                                                                                                                        </v>
      </c>
      <c r="G935" s="26" t="str">
        <f>"MIGUEL HIDALGO                                                                  "</f>
        <v xml:space="preserve">MIGUEL HIDALGO                                                                  </v>
      </c>
      <c r="H935" s="26" t="str">
        <f>"061"</f>
        <v>061</v>
      </c>
      <c r="I935" s="26" t="str">
        <f t="shared" si="157"/>
        <v>00</v>
      </c>
      <c r="J935" s="26" t="str">
        <f>"51 "</f>
        <v xml:space="preserve">51 </v>
      </c>
      <c r="K935" s="26" t="str">
        <f t="shared" si="162"/>
        <v>SG</v>
      </c>
      <c r="L935" s="26" t="str">
        <f t="shared" si="163"/>
        <v>DGOSE</v>
      </c>
      <c r="M935" s="26" t="str">
        <f t="shared" si="160"/>
        <v>PARTICULAR</v>
      </c>
      <c r="N935" s="26">
        <v>146</v>
      </c>
      <c r="O935" s="26">
        <v>0</v>
      </c>
      <c r="P935" s="26">
        <v>146</v>
      </c>
      <c r="Q935" s="26">
        <v>8</v>
      </c>
      <c r="R935" s="26">
        <v>2</v>
      </c>
      <c r="S935" s="26">
        <v>15</v>
      </c>
      <c r="T935" s="26">
        <v>2</v>
      </c>
      <c r="U935" s="26">
        <v>19</v>
      </c>
      <c r="V935" s="26">
        <v>1</v>
      </c>
      <c r="W935" s="26"/>
    </row>
    <row r="936" spans="1:23" x14ac:dyDescent="0.25">
      <c r="A936" s="26" t="str">
        <f t="shared" si="156"/>
        <v>SECUNDARIA</v>
      </c>
      <c r="B936" s="26" t="str">
        <f>"09PES0454M"</f>
        <v>09PES0454M</v>
      </c>
      <c r="C936" s="26" t="str">
        <f>"""COLEGIO SUBIACO""                                                                                   "</f>
        <v xml:space="preserve">"COLEGIO SUBIACO"                                                                                   </v>
      </c>
      <c r="D936" s="26" t="str">
        <f t="shared" si="161"/>
        <v>MATUTINO</v>
      </c>
      <c r="E936" s="26" t="str">
        <f>"CALLE DE LAS ROSAS NUM 32                                                       "</f>
        <v xml:space="preserve">CALLE DE LAS ROSAS NUM 32                                                       </v>
      </c>
      <c r="F936" s="26" t="str">
        <f>"SAN FRANCISCO CULHUACAN                                                                                                                     "</f>
        <v xml:space="preserve">SAN FRANCISCO CULHUACAN                                                                                                                     </v>
      </c>
      <c r="G936" s="26" t="str">
        <f>"COYOACAN                                                                        "</f>
        <v xml:space="preserve">COYOACAN                                                                        </v>
      </c>
      <c r="H936" s="26" t="str">
        <f>"020"</f>
        <v>020</v>
      </c>
      <c r="I936" s="26" t="str">
        <f t="shared" si="157"/>
        <v>00</v>
      </c>
      <c r="J936" s="26" t="str">
        <f>"54 "</f>
        <v xml:space="preserve">54 </v>
      </c>
      <c r="K936" s="26" t="str">
        <f t="shared" si="162"/>
        <v>SG</v>
      </c>
      <c r="L936" s="26" t="str">
        <f t="shared" si="163"/>
        <v>DGOSE</v>
      </c>
      <c r="M936" s="26" t="str">
        <f t="shared" si="160"/>
        <v>PARTICULAR</v>
      </c>
      <c r="N936" s="26">
        <v>40</v>
      </c>
      <c r="O936" s="26">
        <v>24</v>
      </c>
      <c r="P936" s="26">
        <v>16</v>
      </c>
      <c r="Q936" s="26">
        <v>3</v>
      </c>
      <c r="R936" s="26">
        <v>0</v>
      </c>
      <c r="S936" s="26">
        <v>11</v>
      </c>
      <c r="T936" s="26">
        <v>0</v>
      </c>
      <c r="U936" s="26">
        <v>11</v>
      </c>
      <c r="V936" s="26">
        <v>1</v>
      </c>
      <c r="W936" s="26"/>
    </row>
    <row r="937" spans="1:23" x14ac:dyDescent="0.25">
      <c r="A937" s="26" t="str">
        <f t="shared" si="156"/>
        <v>SECUNDARIA</v>
      </c>
      <c r="B937" s="26" t="str">
        <f>"09PES0459H"</f>
        <v>09PES0459H</v>
      </c>
      <c r="C937" s="26" t="str">
        <f>"COLEGIO INGLES ELIZABETH BROCK                                                                      "</f>
        <v xml:space="preserve">COLEGIO INGLES ELIZABETH BROCK                                                                      </v>
      </c>
      <c r="D937" s="26" t="str">
        <f t="shared" si="161"/>
        <v>MATUTINO</v>
      </c>
      <c r="E937" s="26" t="str">
        <f>"SERAPIO RENDON NUM 97                                                           "</f>
        <v xml:space="preserve">SERAPIO RENDON NUM 97                                                           </v>
      </c>
      <c r="F937" s="26" t="str">
        <f>"SAN RAFAEL                                                                                                                                  "</f>
        <v xml:space="preserve">SAN RAFAEL                                                                                                                                  </v>
      </c>
      <c r="G937" s="26" t="str">
        <f>"CUAUHTEMOC                                                                      "</f>
        <v xml:space="preserve">CUAUHTEMOC                                                                      </v>
      </c>
      <c r="H937" s="26" t="str">
        <f>"028"</f>
        <v>028</v>
      </c>
      <c r="I937" s="26" t="str">
        <f t="shared" si="157"/>
        <v>00</v>
      </c>
      <c r="J937" s="26" t="str">
        <f>"51 "</f>
        <v xml:space="preserve">51 </v>
      </c>
      <c r="K937" s="26" t="str">
        <f t="shared" si="162"/>
        <v>SG</v>
      </c>
      <c r="L937" s="26" t="str">
        <f t="shared" si="163"/>
        <v>DGOSE</v>
      </c>
      <c r="M937" s="26" t="str">
        <f t="shared" si="160"/>
        <v>PARTICULAR</v>
      </c>
      <c r="N937" s="26">
        <v>97</v>
      </c>
      <c r="O937" s="26">
        <v>54</v>
      </c>
      <c r="P937" s="26">
        <v>43</v>
      </c>
      <c r="Q937" s="26">
        <v>5</v>
      </c>
      <c r="R937" s="26">
        <v>1</v>
      </c>
      <c r="S937" s="26">
        <v>13</v>
      </c>
      <c r="T937" s="26">
        <v>2</v>
      </c>
      <c r="U937" s="26">
        <v>16</v>
      </c>
      <c r="V937" s="26">
        <v>1</v>
      </c>
      <c r="W937" s="26"/>
    </row>
    <row r="938" spans="1:23" x14ac:dyDescent="0.25">
      <c r="A938" s="26" t="str">
        <f t="shared" si="156"/>
        <v>SECUNDARIA</v>
      </c>
      <c r="B938" s="26" t="str">
        <f>"09PES0464T"</f>
        <v>09PES0464T</v>
      </c>
      <c r="C938" s="26" t="str">
        <f>""" COLEGIO ETON S.C. ""                                                                               "</f>
        <v xml:space="preserve">" COLEGIO ETON S.C. "                                                                               </v>
      </c>
      <c r="D938" s="26" t="str">
        <f t="shared" si="161"/>
        <v>MATUTINO</v>
      </c>
      <c r="E938" s="26" t="str">
        <f>"CALLE SANTA LUCIA NUM 220                                                       "</f>
        <v xml:space="preserve">CALLE SANTA LUCIA NUM 220                                                       </v>
      </c>
      <c r="F938" s="26" t="str">
        <f>"CLUB DE GOLF PRADOS DE LA MONTAÑA                                                                                                           "</f>
        <v xml:space="preserve">CLUB DE GOLF PRADOS DE LA MONTAÑA                                                                                                           </v>
      </c>
      <c r="G938" s="26" t="str">
        <f>"CUAJIMALPA DE MORELOS                                                           "</f>
        <v xml:space="preserve">CUAJIMALPA DE MORELOS                                                           </v>
      </c>
      <c r="H938" s="26" t="str">
        <f>"023"</f>
        <v>023</v>
      </c>
      <c r="I938" s="26" t="str">
        <f t="shared" si="157"/>
        <v>00</v>
      </c>
      <c r="J938" s="26" t="str">
        <f>"53 "</f>
        <v xml:space="preserve">53 </v>
      </c>
      <c r="K938" s="26" t="str">
        <f t="shared" si="162"/>
        <v>SG</v>
      </c>
      <c r="L938" s="26" t="str">
        <f t="shared" si="163"/>
        <v>DGOSE</v>
      </c>
      <c r="M938" s="26" t="str">
        <f t="shared" si="160"/>
        <v>PARTICULAR</v>
      </c>
      <c r="N938" s="26">
        <v>258</v>
      </c>
      <c r="O938" s="26">
        <v>115</v>
      </c>
      <c r="P938" s="26">
        <v>143</v>
      </c>
      <c r="Q938" s="26">
        <v>12</v>
      </c>
      <c r="R938" s="26">
        <v>2</v>
      </c>
      <c r="S938" s="26">
        <v>16</v>
      </c>
      <c r="T938" s="26">
        <v>2</v>
      </c>
      <c r="U938" s="26">
        <v>20</v>
      </c>
      <c r="V938" s="26">
        <v>1</v>
      </c>
      <c r="W938" s="26"/>
    </row>
    <row r="939" spans="1:23" x14ac:dyDescent="0.25">
      <c r="A939" s="26" t="str">
        <f t="shared" si="156"/>
        <v>SECUNDARIA</v>
      </c>
      <c r="B939" s="26" t="str">
        <f>"09PES0465S"</f>
        <v>09PES0465S</v>
      </c>
      <c r="C939" s="26" t="str">
        <f>"FEDERICO FROEBEL                                                                                    "</f>
        <v xml:space="preserve">FEDERICO FROEBEL                                                                                    </v>
      </c>
      <c r="D939" s="26" t="str">
        <f t="shared" si="161"/>
        <v>MATUTINO</v>
      </c>
      <c r="E939" s="26" t="str">
        <f>"AV RIO MAGDALENA NO 90                                                          "</f>
        <v xml:space="preserve">AV RIO MAGDALENA NO 90                                                          </v>
      </c>
      <c r="F939" s="26" t="str">
        <f>"SAN ANGEL                                                                                                                                   "</f>
        <v xml:space="preserve">SAN ANGEL                                                                                                                                   </v>
      </c>
      <c r="G939" s="26" t="str">
        <f>"ALVARO OBREGON                                                                  "</f>
        <v xml:space="preserve">ALVARO OBREGON                                                                  </v>
      </c>
      <c r="H939" s="26" t="str">
        <f>"001"</f>
        <v>001</v>
      </c>
      <c r="I939" s="26" t="str">
        <f t="shared" si="157"/>
        <v>00</v>
      </c>
      <c r="J939" s="26" t="str">
        <f>"53 "</f>
        <v xml:space="preserve">53 </v>
      </c>
      <c r="K939" s="26" t="str">
        <f t="shared" si="162"/>
        <v>SG</v>
      </c>
      <c r="L939" s="26" t="str">
        <f t="shared" si="163"/>
        <v>DGOSE</v>
      </c>
      <c r="M939" s="26" t="str">
        <f t="shared" si="160"/>
        <v>PARTICULAR</v>
      </c>
      <c r="N939" s="26">
        <v>105</v>
      </c>
      <c r="O939" s="26">
        <v>42</v>
      </c>
      <c r="P939" s="26">
        <v>63</v>
      </c>
      <c r="Q939" s="26">
        <v>3</v>
      </c>
      <c r="R939" s="26">
        <v>2</v>
      </c>
      <c r="S939" s="26">
        <v>11</v>
      </c>
      <c r="T939" s="26">
        <v>7</v>
      </c>
      <c r="U939" s="26">
        <v>20</v>
      </c>
      <c r="V939" s="26">
        <v>1</v>
      </c>
      <c r="W939" s="26"/>
    </row>
    <row r="940" spans="1:23" x14ac:dyDescent="0.25">
      <c r="A940" s="26" t="str">
        <f t="shared" si="156"/>
        <v>SECUNDARIA</v>
      </c>
      <c r="B940" s="26" t="str">
        <f>"09PES0466R"</f>
        <v>09PES0466R</v>
      </c>
      <c r="C940" s="26" t="str">
        <f>"INSTITUTO INGLES MEXICANO                                                                           "</f>
        <v xml:space="preserve">INSTITUTO INGLES MEXICANO                                                                           </v>
      </c>
      <c r="D940" s="26" t="str">
        <f t="shared" si="161"/>
        <v>MATUTINO</v>
      </c>
      <c r="E940" s="26" t="str">
        <f>"CEBADALES 64                                                                    "</f>
        <v xml:space="preserve">CEBADALES 64                                                                    </v>
      </c>
      <c r="F940" s="26" t="str">
        <f>"GRANJAS COAPA                                                                                                                               "</f>
        <v xml:space="preserve">GRANJAS COAPA                                                                                                                               </v>
      </c>
      <c r="G940" s="26" t="str">
        <f>"TLALPAN                                                                         "</f>
        <v xml:space="preserve">TLALPAN                                                                         </v>
      </c>
      <c r="H940" s="26" t="str">
        <f>"070"</f>
        <v>070</v>
      </c>
      <c r="I940" s="26" t="str">
        <f t="shared" si="157"/>
        <v>00</v>
      </c>
      <c r="J940" s="26" t="str">
        <f>"55 "</f>
        <v xml:space="preserve">55 </v>
      </c>
      <c r="K940" s="26" t="str">
        <f t="shared" si="162"/>
        <v>SG</v>
      </c>
      <c r="L940" s="26" t="str">
        <f t="shared" si="163"/>
        <v>DGOSE</v>
      </c>
      <c r="M940" s="26" t="str">
        <f t="shared" si="160"/>
        <v>PARTICULAR</v>
      </c>
      <c r="N940" s="26">
        <v>416</v>
      </c>
      <c r="O940" s="26">
        <v>197</v>
      </c>
      <c r="P940" s="26">
        <v>219</v>
      </c>
      <c r="Q940" s="26">
        <v>12</v>
      </c>
      <c r="R940" s="26">
        <v>2</v>
      </c>
      <c r="S940" s="26">
        <v>23</v>
      </c>
      <c r="T940" s="26">
        <v>9</v>
      </c>
      <c r="U940" s="26">
        <v>34</v>
      </c>
      <c r="V940" s="26">
        <v>1</v>
      </c>
      <c r="W940" s="26"/>
    </row>
    <row r="941" spans="1:23" x14ac:dyDescent="0.25">
      <c r="A941" s="26" t="str">
        <f t="shared" si="156"/>
        <v>SECUNDARIA</v>
      </c>
      <c r="B941" s="26" t="str">
        <f>"09PES0468P"</f>
        <v>09PES0468P</v>
      </c>
      <c r="C941" s="26" t="str">
        <f>"INSTITUTO SCIFI                                                                                     "</f>
        <v xml:space="preserve">INSTITUTO SCIFI                                                                                     </v>
      </c>
      <c r="D941" s="26" t="str">
        <f t="shared" si="161"/>
        <v>MATUTINO</v>
      </c>
      <c r="E941" s="26" t="str">
        <f>"AV. COYOACAN NUM 615                                                            "</f>
        <v xml:space="preserve">AV. COYOACAN NUM 615                                                            </v>
      </c>
      <c r="F941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941" s="26" t="str">
        <f>"BENITO JUAREZ                                                                   "</f>
        <v xml:space="preserve">BENITO JUAREZ                                                                   </v>
      </c>
      <c r="H941" s="26" t="str">
        <f>"012"</f>
        <v>012</v>
      </c>
      <c r="I941" s="26" t="str">
        <f t="shared" si="157"/>
        <v>00</v>
      </c>
      <c r="J941" s="26" t="str">
        <f>"53 "</f>
        <v xml:space="preserve">53 </v>
      </c>
      <c r="K941" s="26" t="str">
        <f t="shared" si="162"/>
        <v>SG</v>
      </c>
      <c r="L941" s="26" t="str">
        <f t="shared" si="163"/>
        <v>DGOSE</v>
      </c>
      <c r="M941" s="26" t="str">
        <f t="shared" si="160"/>
        <v>PARTICULAR</v>
      </c>
      <c r="N941" s="26">
        <v>73</v>
      </c>
      <c r="O941" s="26">
        <v>24</v>
      </c>
      <c r="P941" s="26">
        <v>49</v>
      </c>
      <c r="Q941" s="26">
        <v>3</v>
      </c>
      <c r="R941" s="26">
        <v>2</v>
      </c>
      <c r="S941" s="26">
        <v>10</v>
      </c>
      <c r="T941" s="26">
        <v>0</v>
      </c>
      <c r="U941" s="26">
        <v>12</v>
      </c>
      <c r="V941" s="26">
        <v>1</v>
      </c>
      <c r="W941" s="26"/>
    </row>
    <row r="942" spans="1:23" x14ac:dyDescent="0.25">
      <c r="A942" s="26" t="str">
        <f t="shared" si="156"/>
        <v>SECUNDARIA</v>
      </c>
      <c r="B942" s="26" t="str">
        <f>"09PES0470D"</f>
        <v>09PES0470D</v>
      </c>
      <c r="C942" s="26" t="str">
        <f>"""GREEN HILLS SCHOOL""                                                                                "</f>
        <v xml:space="preserve">"GREEN HILLS SCHOOL"                                                                                </v>
      </c>
      <c r="D942" s="26" t="str">
        <f t="shared" si="161"/>
        <v>MATUTINO</v>
      </c>
      <c r="E942" s="26" t="str">
        <f>"AV SAN BERNABE 960                                                              "</f>
        <v xml:space="preserve">AV SAN BERNABE 960                                                              </v>
      </c>
      <c r="F942" s="26" t="str">
        <f>"SAN JERONIMO LIDICE                                                                                                                         "</f>
        <v xml:space="preserve">SAN JERONIMO LIDICE                                                                                                                         </v>
      </c>
      <c r="G942" s="26" t="str">
        <f>"LA MAGDALENA CONTRERAS                                                          "</f>
        <v xml:space="preserve">LA MAGDALENA CONTRERAS                                                          </v>
      </c>
      <c r="H942" s="26" t="str">
        <f>"059"</f>
        <v>059</v>
      </c>
      <c r="I942" s="26" t="str">
        <f t="shared" si="157"/>
        <v>00</v>
      </c>
      <c r="J942" s="26" t="str">
        <f>"53 "</f>
        <v xml:space="preserve">53 </v>
      </c>
      <c r="K942" s="26" t="str">
        <f t="shared" si="162"/>
        <v>SG</v>
      </c>
      <c r="L942" s="26" t="str">
        <f t="shared" si="163"/>
        <v>DGOSE</v>
      </c>
      <c r="M942" s="26" t="str">
        <f t="shared" si="160"/>
        <v>PARTICULAR</v>
      </c>
      <c r="N942" s="26">
        <v>224</v>
      </c>
      <c r="O942" s="26">
        <v>116</v>
      </c>
      <c r="P942" s="26">
        <v>108</v>
      </c>
      <c r="Q942" s="26">
        <v>10</v>
      </c>
      <c r="R942" s="26">
        <v>2</v>
      </c>
      <c r="S942" s="26">
        <v>27</v>
      </c>
      <c r="T942" s="26">
        <v>3</v>
      </c>
      <c r="U942" s="26">
        <v>32</v>
      </c>
      <c r="V942" s="26">
        <v>1</v>
      </c>
      <c r="W942" s="26"/>
    </row>
    <row r="943" spans="1:23" x14ac:dyDescent="0.25">
      <c r="A943" s="26" t="str">
        <f t="shared" si="156"/>
        <v>SECUNDARIA</v>
      </c>
      <c r="B943" s="26" t="str">
        <f>"09PES0473A"</f>
        <v>09PES0473A</v>
      </c>
      <c r="C943" s="26" t="str">
        <f>"GRAL. ARNULFO R. GOMEZ                                                                              "</f>
        <v xml:space="preserve">GRAL. ARNULFO R. GOMEZ                                                                              </v>
      </c>
      <c r="D943" s="26" t="str">
        <f t="shared" si="161"/>
        <v>MATUTINO</v>
      </c>
      <c r="E943" s="26" t="str">
        <f>"RIO PANUCO NUM 65                                                               "</f>
        <v xml:space="preserve">RIO PANUCO NUM 65                                                               </v>
      </c>
      <c r="F943" s="26" t="str">
        <f>"CUAUHTEMOC                                                                                                                                  "</f>
        <v xml:space="preserve">CUAUHTEMOC                                                                                                                                  </v>
      </c>
      <c r="G943" s="26" t="str">
        <f>"CUAUHTEMOC                                                                      "</f>
        <v xml:space="preserve">CUAUHTEMOC                                                                      </v>
      </c>
      <c r="H943" s="26" t="str">
        <f>"029"</f>
        <v>029</v>
      </c>
      <c r="I943" s="26" t="str">
        <f t="shared" si="157"/>
        <v>00</v>
      </c>
      <c r="J943" s="26" t="str">
        <f>"51 "</f>
        <v xml:space="preserve">51 </v>
      </c>
      <c r="K943" s="26" t="str">
        <f t="shared" si="162"/>
        <v>SG</v>
      </c>
      <c r="L943" s="26" t="str">
        <f t="shared" si="163"/>
        <v>DGOSE</v>
      </c>
      <c r="M943" s="26" t="str">
        <f t="shared" si="160"/>
        <v>PARTICULAR</v>
      </c>
      <c r="N943" s="26">
        <v>62</v>
      </c>
      <c r="O943" s="26">
        <v>38</v>
      </c>
      <c r="P943" s="26">
        <v>24</v>
      </c>
      <c r="Q943" s="26">
        <v>3</v>
      </c>
      <c r="R943" s="26">
        <v>2</v>
      </c>
      <c r="S943" s="26">
        <v>14</v>
      </c>
      <c r="T943" s="26">
        <v>4</v>
      </c>
      <c r="U943" s="26">
        <v>20</v>
      </c>
      <c r="V943" s="26">
        <v>1</v>
      </c>
      <c r="W943" s="26"/>
    </row>
    <row r="944" spans="1:23" x14ac:dyDescent="0.25">
      <c r="A944" s="26" t="str">
        <f t="shared" si="156"/>
        <v>SECUNDARIA</v>
      </c>
      <c r="B944" s="26" t="str">
        <f>"09PES0474Z"</f>
        <v>09PES0474Z</v>
      </c>
      <c r="C944" s="26" t="str">
        <f>"AMERICANA                                                                                           "</f>
        <v xml:space="preserve">AMERICANA                                                                                           </v>
      </c>
      <c r="D944" s="26" t="str">
        <f t="shared" si="161"/>
        <v>MATUTINO</v>
      </c>
      <c r="E944" s="26" t="str">
        <f>"AVENIDA UNO NUM 38                                                              "</f>
        <v xml:space="preserve">AVENIDA UNO NUM 38                                                              </v>
      </c>
      <c r="F944" s="26" t="str">
        <f>"SAN PEDRO DE LOS PINOS                                                                                                                      "</f>
        <v xml:space="preserve">SAN PEDRO DE LOS PINOS                                                                                                                      </v>
      </c>
      <c r="G944" s="26" t="str">
        <f>"BENITO JUAREZ                                                                   "</f>
        <v xml:space="preserve">BENITO JUAREZ                                                                   </v>
      </c>
      <c r="H944" s="26" t="str">
        <f>"011"</f>
        <v>011</v>
      </c>
      <c r="I944" s="26" t="str">
        <f t="shared" si="157"/>
        <v>00</v>
      </c>
      <c r="J944" s="26" t="str">
        <f>"53 "</f>
        <v xml:space="preserve">53 </v>
      </c>
      <c r="K944" s="26" t="str">
        <f t="shared" si="162"/>
        <v>SG</v>
      </c>
      <c r="L944" s="26" t="str">
        <f t="shared" si="163"/>
        <v>DGOSE</v>
      </c>
      <c r="M944" s="26" t="str">
        <f t="shared" si="160"/>
        <v>PARTICULAR</v>
      </c>
      <c r="N944" s="26">
        <v>138</v>
      </c>
      <c r="O944" s="26">
        <v>64</v>
      </c>
      <c r="P944" s="26">
        <v>74</v>
      </c>
      <c r="Q944" s="26">
        <v>6</v>
      </c>
      <c r="R944" s="26">
        <v>2</v>
      </c>
      <c r="S944" s="26">
        <v>15</v>
      </c>
      <c r="T944" s="26">
        <v>3</v>
      </c>
      <c r="U944" s="26">
        <v>20</v>
      </c>
      <c r="V944" s="26">
        <v>1</v>
      </c>
      <c r="W944" s="26"/>
    </row>
    <row r="945" spans="1:23" x14ac:dyDescent="0.25">
      <c r="A945" s="26" t="str">
        <f t="shared" si="156"/>
        <v>SECUNDARIA</v>
      </c>
      <c r="B945" s="26" t="str">
        <f>"09PES0478W"</f>
        <v>09PES0478W</v>
      </c>
      <c r="C945" s="26" t="str">
        <f>"C.E.Y.C.A.                                                                                          "</f>
        <v xml:space="preserve">C.E.Y.C.A.                                                                                          </v>
      </c>
      <c r="D945" s="26" t="str">
        <f t="shared" si="161"/>
        <v>MATUTINO</v>
      </c>
      <c r="E945" s="26" t="str">
        <f>"FLOR SILVESTRE S/N                                                              "</f>
        <v xml:space="preserve">FLOR SILVESTRE S/N                                                              </v>
      </c>
      <c r="F945" s="26" t="str">
        <f>"SAN PEDRO MARTIR                                                                                                                            "</f>
        <v xml:space="preserve">SAN PEDRO MARTIR                                                                                                                            </v>
      </c>
      <c r="G945" s="26" t="str">
        <f>"TLALPAN                                                                         "</f>
        <v xml:space="preserve">TLALPAN                                                                         </v>
      </c>
      <c r="H945" s="26" t="str">
        <f>"072"</f>
        <v>072</v>
      </c>
      <c r="I945" s="26" t="str">
        <f t="shared" si="157"/>
        <v>00</v>
      </c>
      <c r="J945" s="26" t="str">
        <f>"55 "</f>
        <v xml:space="preserve">55 </v>
      </c>
      <c r="K945" s="26" t="str">
        <f t="shared" si="162"/>
        <v>SG</v>
      </c>
      <c r="L945" s="26" t="str">
        <f t="shared" si="163"/>
        <v>DGOSE</v>
      </c>
      <c r="M945" s="26" t="str">
        <f t="shared" si="160"/>
        <v>PARTICULAR</v>
      </c>
      <c r="N945" s="26">
        <v>144</v>
      </c>
      <c r="O945" s="26">
        <v>144</v>
      </c>
      <c r="P945" s="26">
        <v>0</v>
      </c>
      <c r="Q945" s="26">
        <v>6</v>
      </c>
      <c r="R945" s="26">
        <v>2</v>
      </c>
      <c r="S945" s="26">
        <v>15</v>
      </c>
      <c r="T945" s="26">
        <v>10</v>
      </c>
      <c r="U945" s="26">
        <v>27</v>
      </c>
      <c r="V945" s="26">
        <v>1</v>
      </c>
      <c r="W945" s="26"/>
    </row>
    <row r="946" spans="1:23" x14ac:dyDescent="0.25">
      <c r="A946" s="26" t="str">
        <f t="shared" si="156"/>
        <v>SECUNDARIA</v>
      </c>
      <c r="B946" s="26" t="str">
        <f>"09PES0482I"</f>
        <v>09PES0482I</v>
      </c>
      <c r="C946" s="26" t="str">
        <f>"INSTITUTO VILLA DE CORTES                                                                           "</f>
        <v xml:space="preserve">INSTITUTO VILLA DE CORTES                                                                           </v>
      </c>
      <c r="D946" s="26" t="str">
        <f t="shared" si="161"/>
        <v>MATUTINO</v>
      </c>
      <c r="E946" s="26" t="str">
        <f>"PLUTARCO ELIAS CALLES 1136                                                      "</f>
        <v xml:space="preserve">PLUTARCO ELIAS CALLES 1136                                                      </v>
      </c>
      <c r="F946" s="26" t="str">
        <f>"REFORMA IZTACCIHUATL                                                                                                                        "</f>
        <v xml:space="preserve">REFORMA IZTACCIHUATL                                                                                                                        </v>
      </c>
      <c r="G946" s="26" t="str">
        <f>"IZTACALCO                                                                       "</f>
        <v xml:space="preserve">IZTACALCO                                                                       </v>
      </c>
      <c r="H946" s="26" t="str">
        <f>"043"</f>
        <v>043</v>
      </c>
      <c r="I946" s="26" t="str">
        <f t="shared" si="157"/>
        <v>00</v>
      </c>
      <c r="J946" s="26" t="str">
        <f>"54 "</f>
        <v xml:space="preserve">54 </v>
      </c>
      <c r="K946" s="26" t="str">
        <f t="shared" si="162"/>
        <v>SG</v>
      </c>
      <c r="L946" s="26" t="str">
        <f t="shared" si="163"/>
        <v>DGOSE</v>
      </c>
      <c r="M946" s="26" t="str">
        <f t="shared" si="160"/>
        <v>PARTICULAR</v>
      </c>
      <c r="N946" s="26">
        <v>144</v>
      </c>
      <c r="O946" s="26">
        <v>65</v>
      </c>
      <c r="P946" s="26">
        <v>79</v>
      </c>
      <c r="Q946" s="26">
        <v>6</v>
      </c>
      <c r="R946" s="26">
        <v>2</v>
      </c>
      <c r="S946" s="26">
        <v>21</v>
      </c>
      <c r="T946" s="26">
        <v>4</v>
      </c>
      <c r="U946" s="26">
        <v>27</v>
      </c>
      <c r="V946" s="26">
        <v>1</v>
      </c>
      <c r="W946" s="26"/>
    </row>
    <row r="947" spans="1:23" x14ac:dyDescent="0.25">
      <c r="A947" s="26" t="str">
        <f t="shared" si="156"/>
        <v>SECUNDARIA</v>
      </c>
      <c r="B947" s="26" t="str">
        <f>"09PES0483H"</f>
        <v>09PES0483H</v>
      </c>
      <c r="C947" s="26" t="str">
        <f>"COLEGIO WALDEN DOS                                                                                  "</f>
        <v xml:space="preserve">COLEGIO WALDEN DOS                                                                                  </v>
      </c>
      <c r="D947" s="26" t="str">
        <f t="shared" si="161"/>
        <v>MATUTINO</v>
      </c>
      <c r="E947" s="26" t="str">
        <f>"XOLA NUM 203 Y 205                                                              "</f>
        <v xml:space="preserve">XOLA NUM 203 Y 205                                                              </v>
      </c>
      <c r="F947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947" s="26" t="str">
        <f>"BENITO JUAREZ                                                                   "</f>
        <v xml:space="preserve">BENITO JUAREZ                                                                   </v>
      </c>
      <c r="H947" s="26" t="str">
        <f>"012"</f>
        <v>012</v>
      </c>
      <c r="I947" s="26" t="str">
        <f t="shared" si="157"/>
        <v>00</v>
      </c>
      <c r="J947" s="26" t="str">
        <f>"53 "</f>
        <v xml:space="preserve">53 </v>
      </c>
      <c r="K947" s="26" t="str">
        <f t="shared" si="162"/>
        <v>SG</v>
      </c>
      <c r="L947" s="26" t="str">
        <f t="shared" si="163"/>
        <v>DGOSE</v>
      </c>
      <c r="M947" s="26" t="str">
        <f t="shared" si="160"/>
        <v>PARTICULAR</v>
      </c>
      <c r="N947" s="26">
        <v>73</v>
      </c>
      <c r="O947" s="26">
        <v>28</v>
      </c>
      <c r="P947" s="26">
        <v>45</v>
      </c>
      <c r="Q947" s="26">
        <v>3</v>
      </c>
      <c r="R947" s="26">
        <v>2</v>
      </c>
      <c r="S947" s="26">
        <v>6</v>
      </c>
      <c r="T947" s="26">
        <v>4</v>
      </c>
      <c r="U947" s="26">
        <v>12</v>
      </c>
      <c r="V947" s="26">
        <v>1</v>
      </c>
      <c r="W947" s="26"/>
    </row>
    <row r="948" spans="1:23" x14ac:dyDescent="0.25">
      <c r="A948" s="26" t="str">
        <f t="shared" si="156"/>
        <v>SECUNDARIA</v>
      </c>
      <c r="B948" s="26" t="str">
        <f>"09PES0485F"</f>
        <v>09PES0485F</v>
      </c>
      <c r="C948" s="26" t="str">
        <f>"INSTITUTO LA PAZ                                                                                    "</f>
        <v xml:space="preserve">INSTITUTO LA PAZ                                                                                    </v>
      </c>
      <c r="D948" s="26" t="str">
        <f t="shared" si="161"/>
        <v>MATUTINO</v>
      </c>
      <c r="E948" s="26" t="str">
        <f>"AV PLAN DE SAN LUIS 439                                                         "</f>
        <v xml:space="preserve">AV PLAN DE SAN LUIS 439                                                         </v>
      </c>
      <c r="F948" s="26" t="str">
        <f>"NUEVA SANTA MARIA                                                                                                                           "</f>
        <v xml:space="preserve">NUEVA SANTA MARIA                                                                                                                           </v>
      </c>
      <c r="G948" s="26" t="str">
        <f>"AZCAPOTZALCO                                                                    "</f>
        <v xml:space="preserve">AZCAPOTZALCO                                                                    </v>
      </c>
      <c r="H948" s="26" t="str">
        <f>"009"</f>
        <v>009</v>
      </c>
      <c r="I948" s="26" t="str">
        <f t="shared" si="157"/>
        <v>00</v>
      </c>
      <c r="J948" s="26" t="str">
        <f>"51 "</f>
        <v xml:space="preserve">51 </v>
      </c>
      <c r="K948" s="26" t="str">
        <f t="shared" si="162"/>
        <v>SG</v>
      </c>
      <c r="L948" s="26" t="str">
        <f t="shared" si="163"/>
        <v>DGOSE</v>
      </c>
      <c r="M948" s="26" t="str">
        <f t="shared" si="160"/>
        <v>PARTICULAR</v>
      </c>
      <c r="N948" s="26">
        <v>231</v>
      </c>
      <c r="O948" s="26">
        <v>101</v>
      </c>
      <c r="P948" s="26">
        <v>130</v>
      </c>
      <c r="Q948" s="26">
        <v>9</v>
      </c>
      <c r="R948" s="26">
        <v>2</v>
      </c>
      <c r="S948" s="26">
        <v>20</v>
      </c>
      <c r="T948" s="26">
        <v>4</v>
      </c>
      <c r="U948" s="26">
        <v>26</v>
      </c>
      <c r="V948" s="26">
        <v>1</v>
      </c>
      <c r="W948" s="26"/>
    </row>
    <row r="949" spans="1:23" x14ac:dyDescent="0.25">
      <c r="A949" s="26" t="str">
        <f t="shared" si="156"/>
        <v>SECUNDARIA</v>
      </c>
      <c r="B949" s="26" t="str">
        <f>"09PES0488C"</f>
        <v>09PES0488C</v>
      </c>
      <c r="C949" s="26" t="str">
        <f>"""INSTITUTO EDUCATIVO OLINCA""                                                                        "</f>
        <v xml:space="preserve">"INSTITUTO EDUCATIVO OLINCA"                                                                        </v>
      </c>
      <c r="D949" s="26" t="str">
        <f t="shared" si="161"/>
        <v>MATUTINO</v>
      </c>
      <c r="E949" s="26" t="str">
        <f>"AV. PERIFERICO SUR 5170                                                         "</f>
        <v xml:space="preserve">AV. PERIFERICO SUR 5170                                                         </v>
      </c>
      <c r="F949" s="26" t="str">
        <f>"PEDREGAL DE CARRASCO                                                                                                                        "</f>
        <v xml:space="preserve">PEDREGAL DE CARRASCO                                                                                                                        </v>
      </c>
      <c r="G949" s="26" t="str">
        <f>"COYOACAN                                                                        "</f>
        <v xml:space="preserve">COYOACAN                                                                        </v>
      </c>
      <c r="H949" s="26" t="str">
        <f>"017"</f>
        <v>017</v>
      </c>
      <c r="I949" s="26" t="str">
        <f t="shared" si="157"/>
        <v>00</v>
      </c>
      <c r="J949" s="26" t="str">
        <f>"54 "</f>
        <v xml:space="preserve">54 </v>
      </c>
      <c r="K949" s="26" t="str">
        <f t="shared" si="162"/>
        <v>SG</v>
      </c>
      <c r="L949" s="26" t="str">
        <f t="shared" si="163"/>
        <v>DGOSE</v>
      </c>
      <c r="M949" s="26" t="str">
        <f t="shared" si="160"/>
        <v>PARTICULAR</v>
      </c>
      <c r="N949" s="26">
        <v>304</v>
      </c>
      <c r="O949" s="26">
        <v>160</v>
      </c>
      <c r="P949" s="26">
        <v>144</v>
      </c>
      <c r="Q949" s="26">
        <v>12</v>
      </c>
      <c r="R949" s="26">
        <v>1</v>
      </c>
      <c r="S949" s="26">
        <v>21</v>
      </c>
      <c r="T949" s="26">
        <v>0</v>
      </c>
      <c r="U949" s="26">
        <v>22</v>
      </c>
      <c r="V949" s="26">
        <v>1</v>
      </c>
      <c r="W949" s="26"/>
    </row>
    <row r="950" spans="1:23" x14ac:dyDescent="0.25">
      <c r="A950" s="26" t="str">
        <f t="shared" si="156"/>
        <v>SECUNDARIA</v>
      </c>
      <c r="B950" s="26" t="str">
        <f>"09PES0491Q"</f>
        <v>09PES0491Q</v>
      </c>
      <c r="C950" s="26" t="str">
        <f>"LIC BENITO JUAREZ                                                                                   "</f>
        <v xml:space="preserve">LIC BENITO JUAREZ                                                                                   </v>
      </c>
      <c r="D950" s="26" t="str">
        <f t="shared" si="161"/>
        <v>MATUTINO</v>
      </c>
      <c r="E950" s="26" t="str">
        <f>"ORIENTE 253 NO. 39                                                              "</f>
        <v xml:space="preserve">ORIENTE 253 NO. 39                                                              </v>
      </c>
      <c r="F950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950" s="26" t="str">
        <f>"IZTACALCO                                                                       "</f>
        <v xml:space="preserve">IZTACALCO                                                                       </v>
      </c>
      <c r="H950" s="26" t="str">
        <f>"046"</f>
        <v>046</v>
      </c>
      <c r="I950" s="26" t="str">
        <f t="shared" si="157"/>
        <v>00</v>
      </c>
      <c r="J950" s="26" t="str">
        <f>"54 "</f>
        <v xml:space="preserve">54 </v>
      </c>
      <c r="K950" s="26" t="str">
        <f t="shared" si="162"/>
        <v>SG</v>
      </c>
      <c r="L950" s="26" t="str">
        <f t="shared" si="163"/>
        <v>DGOSE</v>
      </c>
      <c r="M950" s="26" t="str">
        <f t="shared" si="160"/>
        <v>PARTICULAR</v>
      </c>
      <c r="N950" s="26">
        <v>68</v>
      </c>
      <c r="O950" s="26">
        <v>35</v>
      </c>
      <c r="P950" s="26">
        <v>33</v>
      </c>
      <c r="Q950" s="26">
        <v>4</v>
      </c>
      <c r="R950" s="26">
        <v>0</v>
      </c>
      <c r="S950" s="26">
        <v>14</v>
      </c>
      <c r="T950" s="26">
        <v>3</v>
      </c>
      <c r="U950" s="26">
        <v>17</v>
      </c>
      <c r="V950" s="26">
        <v>1</v>
      </c>
      <c r="W950" s="26"/>
    </row>
    <row r="951" spans="1:23" x14ac:dyDescent="0.25">
      <c r="A951" s="26" t="str">
        <f t="shared" si="156"/>
        <v>SECUNDARIA</v>
      </c>
      <c r="B951" s="26" t="str">
        <f>"09PES0492P"</f>
        <v>09PES0492P</v>
      </c>
      <c r="C951" s="26" t="str">
        <f>"COLEGIO BRITANICO                                                                                   "</f>
        <v xml:space="preserve">COLEGIO BRITANICO                                                                                   </v>
      </c>
      <c r="D951" s="26" t="str">
        <f t="shared" si="161"/>
        <v>MATUTINO</v>
      </c>
      <c r="E951" s="26" t="str">
        <f>"CALLE 15 NUM 108                                                                "</f>
        <v xml:space="preserve">CALLE 15 NUM 108                                                                </v>
      </c>
      <c r="F951" s="26" t="str">
        <f>"SAN PEDRO DE LOS PINOS                                                                                                                      "</f>
        <v xml:space="preserve">SAN PEDRO DE LOS PINOS                                                                                                                      </v>
      </c>
      <c r="G951" s="26" t="str">
        <f>"BENITO JUAREZ                                                                   "</f>
        <v xml:space="preserve">BENITO JUAREZ                                                                   </v>
      </c>
      <c r="H951" s="26" t="str">
        <f>"011"</f>
        <v>011</v>
      </c>
      <c r="I951" s="26" t="str">
        <f t="shared" si="157"/>
        <v>00</v>
      </c>
      <c r="J951" s="26" t="str">
        <f>"53 "</f>
        <v xml:space="preserve">53 </v>
      </c>
      <c r="K951" s="26" t="str">
        <f t="shared" si="162"/>
        <v>SG</v>
      </c>
      <c r="L951" s="26" t="str">
        <f t="shared" si="163"/>
        <v>DGOSE</v>
      </c>
      <c r="M951" s="26" t="str">
        <f t="shared" si="160"/>
        <v>PARTICULAR</v>
      </c>
      <c r="N951" s="26">
        <v>201</v>
      </c>
      <c r="O951" s="26">
        <v>90</v>
      </c>
      <c r="P951" s="26">
        <v>111</v>
      </c>
      <c r="Q951" s="26">
        <v>9</v>
      </c>
      <c r="R951" s="26">
        <v>2</v>
      </c>
      <c r="S951" s="26">
        <v>17</v>
      </c>
      <c r="T951" s="26">
        <v>4</v>
      </c>
      <c r="U951" s="26">
        <v>23</v>
      </c>
      <c r="V951" s="26">
        <v>1</v>
      </c>
      <c r="W951" s="26"/>
    </row>
    <row r="952" spans="1:23" x14ac:dyDescent="0.25">
      <c r="A952" s="26" t="str">
        <f t="shared" si="156"/>
        <v>SECUNDARIA</v>
      </c>
      <c r="B952" s="26" t="str">
        <f>"09PES0495M"</f>
        <v>09PES0495M</v>
      </c>
      <c r="C952" s="26" t="str">
        <f>"ANGEL MARIA GARIBAY                                                                                 "</f>
        <v xml:space="preserve">ANGEL MARIA GARIBAY                                                                                 </v>
      </c>
      <c r="D952" s="26" t="str">
        <f t="shared" si="161"/>
        <v>MATUTINO</v>
      </c>
      <c r="E952" s="26" t="str">
        <f>"ARENAL NO 29 ESQ. INSURGENTES                                                   "</f>
        <v xml:space="preserve">ARENAL NO 29 ESQ. INSURGENTES                                                   </v>
      </c>
      <c r="F952" s="26" t="str">
        <f>"TLALPAN                                                                                                                                     "</f>
        <v xml:space="preserve">TLALPAN                                                                                                                                     </v>
      </c>
      <c r="G952" s="26" t="str">
        <f>"TLALPAN                                                                         "</f>
        <v xml:space="preserve">TLALPAN                                                                         </v>
      </c>
      <c r="H952" s="26" t="str">
        <f>"072"</f>
        <v>072</v>
      </c>
      <c r="I952" s="26" t="str">
        <f t="shared" si="157"/>
        <v>00</v>
      </c>
      <c r="J952" s="26" t="str">
        <f>"55 "</f>
        <v xml:space="preserve">55 </v>
      </c>
      <c r="K952" s="26" t="str">
        <f t="shared" si="162"/>
        <v>SG</v>
      </c>
      <c r="L952" s="26" t="str">
        <f t="shared" si="163"/>
        <v>DGOSE</v>
      </c>
      <c r="M952" s="26" t="str">
        <f t="shared" si="160"/>
        <v>PARTICULAR</v>
      </c>
      <c r="N952" s="26">
        <v>28</v>
      </c>
      <c r="O952" s="26">
        <v>21</v>
      </c>
      <c r="P952" s="26">
        <v>7</v>
      </c>
      <c r="Q952" s="26">
        <v>3</v>
      </c>
      <c r="R952" s="26">
        <v>1</v>
      </c>
      <c r="S952" s="26">
        <v>9</v>
      </c>
      <c r="T952" s="26">
        <v>0</v>
      </c>
      <c r="U952" s="26">
        <v>10</v>
      </c>
      <c r="V952" s="26">
        <v>1</v>
      </c>
      <c r="W952" s="26"/>
    </row>
    <row r="953" spans="1:23" x14ac:dyDescent="0.25">
      <c r="A953" s="26" t="str">
        <f t="shared" si="156"/>
        <v>SECUNDARIA</v>
      </c>
      <c r="B953" s="26" t="str">
        <f>"09PES0496L"</f>
        <v>09PES0496L</v>
      </c>
      <c r="C953" s="26" t="str">
        <f>"LICEO MEXICANO JAPONES                                                                              "</f>
        <v xml:space="preserve">LICEO MEXICANO JAPONES                                                                              </v>
      </c>
      <c r="D953" s="26" t="str">
        <f t="shared" si="161"/>
        <v>MATUTINO</v>
      </c>
      <c r="E953" s="26" t="str">
        <f>"CAMINO SANTA TERESA 1500                                                        "</f>
        <v xml:space="preserve">CAMINO SANTA TERESA 1500                                                        </v>
      </c>
      <c r="F953" s="26" t="str">
        <f>"JARDINES DEL PEDREGAL                                                                                                                       "</f>
        <v xml:space="preserve">JARDINES DEL PEDREGAL                                                                                                                       </v>
      </c>
      <c r="G953" s="26" t="str">
        <f>"ALVARO OBREGON                                                                  "</f>
        <v xml:space="preserve">ALVARO OBREGON                                                                  </v>
      </c>
      <c r="H953" s="26" t="str">
        <f>"001"</f>
        <v>001</v>
      </c>
      <c r="I953" s="26" t="str">
        <f t="shared" si="157"/>
        <v>00</v>
      </c>
      <c r="J953" s="26" t="str">
        <f>"53 "</f>
        <v xml:space="preserve">53 </v>
      </c>
      <c r="K953" s="26" t="str">
        <f t="shared" si="162"/>
        <v>SG</v>
      </c>
      <c r="L953" s="26" t="str">
        <f t="shared" si="163"/>
        <v>DGOSE</v>
      </c>
      <c r="M953" s="26" t="str">
        <f t="shared" si="160"/>
        <v>PARTICULAR</v>
      </c>
      <c r="N953" s="26">
        <v>212</v>
      </c>
      <c r="O953" s="26">
        <v>110</v>
      </c>
      <c r="P953" s="26">
        <v>102</v>
      </c>
      <c r="Q953" s="26">
        <v>10</v>
      </c>
      <c r="R953" s="26">
        <v>2</v>
      </c>
      <c r="S953" s="26">
        <v>22</v>
      </c>
      <c r="T953" s="26">
        <v>1</v>
      </c>
      <c r="U953" s="26">
        <v>25</v>
      </c>
      <c r="V953" s="26">
        <v>1</v>
      </c>
      <c r="W953" s="26"/>
    </row>
    <row r="954" spans="1:23" x14ac:dyDescent="0.25">
      <c r="A954" s="26" t="str">
        <f t="shared" si="156"/>
        <v>SECUNDARIA</v>
      </c>
      <c r="B954" s="26" t="str">
        <f>"09PES0500H"</f>
        <v>09PES0500H</v>
      </c>
      <c r="C954" s="26" t="str">
        <f>"INSTITUTO TECNICO Y CULTURAL                                                                        "</f>
        <v xml:space="preserve">INSTITUTO TECNICO Y CULTURAL                                                                        </v>
      </c>
      <c r="D954" s="26" t="str">
        <f t="shared" si="161"/>
        <v>MATUTINO</v>
      </c>
      <c r="E954" s="26" t="str">
        <f>"XOCHICALCO 495                                                                  "</f>
        <v xml:space="preserve">XOCHICALCO 495                                                                  </v>
      </c>
      <c r="F954" s="26" t="str">
        <f>"VERTIZ NARVARTE                                                                                                                             "</f>
        <v xml:space="preserve">VERTIZ NARVARTE                                                                                                                             </v>
      </c>
      <c r="G954" s="26" t="str">
        <f>"BENITO JUAREZ                                                                   "</f>
        <v xml:space="preserve">BENITO JUAREZ                                                                   </v>
      </c>
      <c r="H954" s="26" t="str">
        <f>"013"</f>
        <v>013</v>
      </c>
      <c r="I954" s="26" t="str">
        <f t="shared" si="157"/>
        <v>00</v>
      </c>
      <c r="J954" s="26" t="str">
        <f>"53 "</f>
        <v xml:space="preserve">53 </v>
      </c>
      <c r="K954" s="26" t="str">
        <f t="shared" si="162"/>
        <v>SG</v>
      </c>
      <c r="L954" s="26" t="str">
        <f t="shared" si="163"/>
        <v>DGOSE</v>
      </c>
      <c r="M954" s="26" t="str">
        <f t="shared" si="160"/>
        <v>PARTICULAR</v>
      </c>
      <c r="N954" s="26">
        <v>197</v>
      </c>
      <c r="O954" s="26">
        <v>94</v>
      </c>
      <c r="P954" s="26">
        <v>103</v>
      </c>
      <c r="Q954" s="26">
        <v>9</v>
      </c>
      <c r="R954" s="26">
        <v>2</v>
      </c>
      <c r="S954" s="26">
        <v>17</v>
      </c>
      <c r="T954" s="26">
        <v>4</v>
      </c>
      <c r="U954" s="26">
        <v>23</v>
      </c>
      <c r="V954" s="26">
        <v>1</v>
      </c>
      <c r="W954" s="26"/>
    </row>
    <row r="955" spans="1:23" x14ac:dyDescent="0.25">
      <c r="A955" s="26" t="str">
        <f t="shared" si="156"/>
        <v>SECUNDARIA</v>
      </c>
      <c r="B955" s="26" t="str">
        <f>"09PES0505C"</f>
        <v>09PES0505C</v>
      </c>
      <c r="C955" s="26" t="str">
        <f>"LUZ SAVIÑON                                                                                         "</f>
        <v xml:space="preserve">LUZ SAVIÑON                                                                                         </v>
      </c>
      <c r="D955" s="26" t="str">
        <f t="shared" si="161"/>
        <v>MATUTINO</v>
      </c>
      <c r="E955" s="26" t="str">
        <f>"RUFINA 40                                                                       "</f>
        <v xml:space="preserve">RUFINA 40                                                                       </v>
      </c>
      <c r="F955" s="26" t="str">
        <f>"TACUBAYA                                                                                                                                    "</f>
        <v xml:space="preserve">TACUBAYA                                                                                                                                    </v>
      </c>
      <c r="G955" s="26" t="str">
        <f>"MIGUEL HIDALGO                                                                  "</f>
        <v xml:space="preserve">MIGUEL HIDALGO                                                                  </v>
      </c>
      <c r="H955" s="26" t="str">
        <f>"060"</f>
        <v>060</v>
      </c>
      <c r="I955" s="26" t="str">
        <f t="shared" si="157"/>
        <v>00</v>
      </c>
      <c r="J955" s="26" t="str">
        <f>"51 "</f>
        <v xml:space="preserve">51 </v>
      </c>
      <c r="K955" s="26" t="str">
        <f t="shared" si="162"/>
        <v>SG</v>
      </c>
      <c r="L955" s="26" t="str">
        <f t="shared" si="163"/>
        <v>DGOSE</v>
      </c>
      <c r="M955" s="26" t="str">
        <f t="shared" si="160"/>
        <v>PARTICULAR</v>
      </c>
      <c r="N955" s="26">
        <v>226</v>
      </c>
      <c r="O955" s="26">
        <v>133</v>
      </c>
      <c r="P955" s="26">
        <v>93</v>
      </c>
      <c r="Q955" s="26">
        <v>6</v>
      </c>
      <c r="R955" s="26">
        <v>2</v>
      </c>
      <c r="S955" s="26">
        <v>16</v>
      </c>
      <c r="T955" s="26">
        <v>7</v>
      </c>
      <c r="U955" s="26">
        <v>25</v>
      </c>
      <c r="V955" s="26">
        <v>1</v>
      </c>
      <c r="W955" s="26"/>
    </row>
    <row r="956" spans="1:23" x14ac:dyDescent="0.25">
      <c r="A956" s="26" t="str">
        <f t="shared" si="156"/>
        <v>SECUNDARIA</v>
      </c>
      <c r="B956" s="26" t="str">
        <f>"09PES0508Z"</f>
        <v>09PES0508Z</v>
      </c>
      <c r="C956" s="26" t="str">
        <f>"""IGNACIO M. ALTAMIRANO""                                                                             "</f>
        <v xml:space="preserve">"IGNACIO M. ALTAMIRANO"                                                                             </v>
      </c>
      <c r="D956" s="26" t="str">
        <f t="shared" si="161"/>
        <v>MATUTINO</v>
      </c>
      <c r="E956" s="26" t="str">
        <f>"PROSPERIDAD NUM 91                                                              "</f>
        <v xml:space="preserve">PROSPERIDAD NUM 91                                                              </v>
      </c>
      <c r="F956" s="26" t="str">
        <f>"ESCANDON                                                                                                                                    "</f>
        <v xml:space="preserve">ESCANDON                                                                                                                                    </v>
      </c>
      <c r="G956" s="26" t="str">
        <f>"MIGUEL HIDALGO                                                                  "</f>
        <v xml:space="preserve">MIGUEL HIDALGO                                                                  </v>
      </c>
      <c r="H956" s="26" t="str">
        <f>"060"</f>
        <v>060</v>
      </c>
      <c r="I956" s="26" t="str">
        <f t="shared" si="157"/>
        <v>00</v>
      </c>
      <c r="J956" s="26" t="str">
        <f>"51 "</f>
        <v xml:space="preserve">51 </v>
      </c>
      <c r="K956" s="26" t="str">
        <f t="shared" si="162"/>
        <v>SG</v>
      </c>
      <c r="L956" s="26" t="str">
        <f t="shared" si="163"/>
        <v>DGOSE</v>
      </c>
      <c r="M956" s="26" t="str">
        <f t="shared" si="160"/>
        <v>PARTICULAR</v>
      </c>
      <c r="N956" s="26">
        <v>66</v>
      </c>
      <c r="O956" s="26">
        <v>42</v>
      </c>
      <c r="P956" s="26">
        <v>24</v>
      </c>
      <c r="Q956" s="26">
        <v>3</v>
      </c>
      <c r="R956" s="26">
        <v>2</v>
      </c>
      <c r="S956" s="26">
        <v>9</v>
      </c>
      <c r="T956" s="26">
        <v>5</v>
      </c>
      <c r="U956" s="26">
        <v>16</v>
      </c>
      <c r="V956" s="26">
        <v>1</v>
      </c>
      <c r="W956" s="26"/>
    </row>
    <row r="957" spans="1:23" x14ac:dyDescent="0.25">
      <c r="A957" s="26" t="str">
        <f t="shared" si="156"/>
        <v>SECUNDARIA</v>
      </c>
      <c r="B957" s="26" t="str">
        <f>"09PES0514K"</f>
        <v>09PES0514K</v>
      </c>
      <c r="C957" s="26" t="str">
        <f>"""WILLIAM H. KILPATRICK""                                                                             "</f>
        <v xml:space="preserve">"WILLIAM H. KILPATRICK"                                                                             </v>
      </c>
      <c r="D957" s="26" t="str">
        <f>"VESPERTINO"</f>
        <v>VESPERTINO</v>
      </c>
      <c r="E957" s="26" t="str">
        <f>"BOULEVARD AVILA CAMACHO NO 605                                                  "</f>
        <v xml:space="preserve">BOULEVARD AVILA CAMACHO NO 605                                                  </v>
      </c>
      <c r="F957" s="26" t="str">
        <f>"PERIODISTA                                                                                                                                  "</f>
        <v xml:space="preserve">PERIODISTA                                                                                                                                  </v>
      </c>
      <c r="G957" s="26" t="str">
        <f>"MIGUEL HIDALGO                                                                  "</f>
        <v xml:space="preserve">MIGUEL HIDALGO                                                                  </v>
      </c>
      <c r="H957" s="26" t="str">
        <f>"062"</f>
        <v>062</v>
      </c>
      <c r="I957" s="26" t="str">
        <f t="shared" si="157"/>
        <v>00</v>
      </c>
      <c r="J957" s="26" t="str">
        <f>"51 "</f>
        <v xml:space="preserve">51 </v>
      </c>
      <c r="K957" s="26" t="str">
        <f t="shared" si="162"/>
        <v>SG</v>
      </c>
      <c r="L957" s="26" t="str">
        <f t="shared" si="163"/>
        <v>DGOSE</v>
      </c>
      <c r="M957" s="26" t="str">
        <f t="shared" si="160"/>
        <v>PARTICULAR</v>
      </c>
      <c r="N957" s="26">
        <v>67</v>
      </c>
      <c r="O957" s="26">
        <v>67</v>
      </c>
      <c r="P957" s="26">
        <v>0</v>
      </c>
      <c r="Q957" s="26">
        <v>5</v>
      </c>
      <c r="R957" s="26">
        <v>1</v>
      </c>
      <c r="S957" s="26">
        <v>11</v>
      </c>
      <c r="T957" s="26">
        <v>4</v>
      </c>
      <c r="U957" s="26">
        <v>16</v>
      </c>
      <c r="V957" s="26">
        <v>1</v>
      </c>
      <c r="W957" s="26"/>
    </row>
    <row r="958" spans="1:23" x14ac:dyDescent="0.25">
      <c r="A958" s="26" t="str">
        <f t="shared" si="156"/>
        <v>SECUNDARIA</v>
      </c>
      <c r="B958" s="26" t="str">
        <f>"09PES0515J"</f>
        <v>09PES0515J</v>
      </c>
      <c r="C958" s="26" t="str">
        <f>"METROPOLITANA                                                                                       "</f>
        <v xml:space="preserve">METROPOLITANA                                                                                       </v>
      </c>
      <c r="D958" s="26" t="str">
        <f t="shared" ref="D958:D1020" si="164">"MATUTINO"</f>
        <v>MATUTINO</v>
      </c>
      <c r="E958" s="26" t="str">
        <f>"SAN BORJA NUM 909                                                               "</f>
        <v xml:space="preserve">SAN BORJA NUM 909                                                               </v>
      </c>
      <c r="F958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958" s="26" t="str">
        <f>"BENITO JUAREZ                                                                   "</f>
        <v xml:space="preserve">BENITO JUAREZ                                                                   </v>
      </c>
      <c r="H958" s="26" t="str">
        <f>"014"</f>
        <v>014</v>
      </c>
      <c r="I958" s="26" t="str">
        <f t="shared" si="157"/>
        <v>00</v>
      </c>
      <c r="J958" s="26" t="str">
        <f>"53 "</f>
        <v xml:space="preserve">53 </v>
      </c>
      <c r="K958" s="26" t="str">
        <f t="shared" si="162"/>
        <v>SG</v>
      </c>
      <c r="L958" s="26" t="str">
        <f t="shared" si="163"/>
        <v>DGOSE</v>
      </c>
      <c r="M958" s="26" t="str">
        <f t="shared" si="160"/>
        <v>PARTICULAR</v>
      </c>
      <c r="N958" s="26">
        <v>114</v>
      </c>
      <c r="O958" s="26">
        <v>56</v>
      </c>
      <c r="P958" s="26">
        <v>58</v>
      </c>
      <c r="Q958" s="26">
        <v>6</v>
      </c>
      <c r="R958" s="26">
        <v>2</v>
      </c>
      <c r="S958" s="26">
        <v>14</v>
      </c>
      <c r="T958" s="26">
        <v>10</v>
      </c>
      <c r="U958" s="26">
        <v>26</v>
      </c>
      <c r="V958" s="26">
        <v>1</v>
      </c>
      <c r="W958" s="26"/>
    </row>
    <row r="959" spans="1:23" x14ac:dyDescent="0.25">
      <c r="A959" s="26" t="str">
        <f t="shared" si="156"/>
        <v>SECUNDARIA</v>
      </c>
      <c r="B959" s="26" t="str">
        <f>"09PES0516I"</f>
        <v>09PES0516I</v>
      </c>
      <c r="C959" s="26" t="str">
        <f>"OSCAR GONZALEZ BLAKALLER                                                                            "</f>
        <v xml:space="preserve">OSCAR GONZALEZ BLAKALLER                                                                            </v>
      </c>
      <c r="D959" s="26" t="str">
        <f t="shared" si="164"/>
        <v>MATUTINO</v>
      </c>
      <c r="E959" s="26" t="str">
        <f>"17 DE MAYO 140                                                                  "</f>
        <v xml:space="preserve">17 DE MAYO 140                                                                  </v>
      </c>
      <c r="F959" s="26" t="str">
        <f>"PLANETARIO LINDAVISTA                                                                                                                       "</f>
        <v xml:space="preserve">PLANETARIO LINDAVISTA                                                                                                                       </v>
      </c>
      <c r="G959" s="26" t="str">
        <f>"GUSTAVO A. MADERO                                                               "</f>
        <v xml:space="preserve">GUSTAVO A. MADERO                                                               </v>
      </c>
      <c r="H959" s="26" t="str">
        <f>"033"</f>
        <v>033</v>
      </c>
      <c r="I959" s="26" t="str">
        <f t="shared" si="157"/>
        <v>00</v>
      </c>
      <c r="J959" s="26" t="str">
        <f>"52 "</f>
        <v xml:space="preserve">52 </v>
      </c>
      <c r="K959" s="26" t="str">
        <f t="shared" si="162"/>
        <v>SG</v>
      </c>
      <c r="L959" s="26" t="str">
        <f t="shared" si="163"/>
        <v>DGOSE</v>
      </c>
      <c r="M959" s="26" t="str">
        <f t="shared" si="160"/>
        <v>PARTICULAR</v>
      </c>
      <c r="N959" s="26">
        <v>96</v>
      </c>
      <c r="O959" s="26">
        <v>48</v>
      </c>
      <c r="P959" s="26">
        <v>48</v>
      </c>
      <c r="Q959" s="26">
        <v>5</v>
      </c>
      <c r="R959" s="26">
        <v>2</v>
      </c>
      <c r="S959" s="26">
        <v>12</v>
      </c>
      <c r="T959" s="26">
        <v>5</v>
      </c>
      <c r="U959" s="26">
        <v>19</v>
      </c>
      <c r="V959" s="26">
        <v>1</v>
      </c>
      <c r="W959" s="26"/>
    </row>
    <row r="960" spans="1:23" x14ac:dyDescent="0.25">
      <c r="A960" s="26" t="str">
        <f t="shared" si="156"/>
        <v>SECUNDARIA</v>
      </c>
      <c r="B960" s="26" t="str">
        <f>"09PES0518G"</f>
        <v>09PES0518G</v>
      </c>
      <c r="C960" s="26" t="str">
        <f>"""INSTITUTO GODWIN""                                                                                  "</f>
        <v xml:space="preserve">"INSTITUTO GODWIN"                                                                                  </v>
      </c>
      <c r="D960" s="26" t="str">
        <f t="shared" si="164"/>
        <v>MATUTINO</v>
      </c>
      <c r="E960" s="26" t="str">
        <f>"CUITLAHUAC NO 15                                                                "</f>
        <v xml:space="preserve">CUITLAHUAC NO 15                                                                </v>
      </c>
      <c r="F960" s="26" t="str">
        <f>"TORIELLO GUERRA                                                                                                                             "</f>
        <v xml:space="preserve">TORIELLO GUERRA                                                                                                                             </v>
      </c>
      <c r="G960" s="26" t="str">
        <f>"TLALPAN                                                                         "</f>
        <v xml:space="preserve">TLALPAN                                                                         </v>
      </c>
      <c r="H960" s="26" t="str">
        <f>"072"</f>
        <v>072</v>
      </c>
      <c r="I960" s="26" t="str">
        <f t="shared" si="157"/>
        <v>00</v>
      </c>
      <c r="J960" s="26" t="str">
        <f>"55 "</f>
        <v xml:space="preserve">55 </v>
      </c>
      <c r="K960" s="26" t="str">
        <f t="shared" si="162"/>
        <v>SG</v>
      </c>
      <c r="L960" s="26" t="str">
        <f t="shared" si="163"/>
        <v>DGOSE</v>
      </c>
      <c r="M960" s="26" t="str">
        <f t="shared" si="160"/>
        <v>PARTICULAR</v>
      </c>
      <c r="N960" s="26">
        <v>117</v>
      </c>
      <c r="O960" s="26">
        <v>0</v>
      </c>
      <c r="P960" s="26">
        <v>117</v>
      </c>
      <c r="Q960" s="26">
        <v>5</v>
      </c>
      <c r="R960" s="26">
        <v>2</v>
      </c>
      <c r="S960" s="26">
        <v>13</v>
      </c>
      <c r="T960" s="26">
        <v>2</v>
      </c>
      <c r="U960" s="26">
        <v>17</v>
      </c>
      <c r="V960" s="26">
        <v>1</v>
      </c>
      <c r="W960" s="26"/>
    </row>
    <row r="961" spans="1:23" x14ac:dyDescent="0.25">
      <c r="A961" s="26" t="str">
        <f t="shared" si="156"/>
        <v>SECUNDARIA</v>
      </c>
      <c r="B961" s="26" t="str">
        <f>"09PES0521U"</f>
        <v>09PES0521U</v>
      </c>
      <c r="C961" s="26" t="str">
        <f>"SOCRATES                                                                                            "</f>
        <v xml:space="preserve">SOCRATES                                                                                            </v>
      </c>
      <c r="D961" s="26" t="str">
        <f t="shared" si="164"/>
        <v>MATUTINO</v>
      </c>
      <c r="E961" s="26" t="str">
        <f>"XOMPOL NO 51                                                                    "</f>
        <v xml:space="preserve">XOMPOL NO 51                                                                    </v>
      </c>
      <c r="F961" s="26" t="str">
        <f>"SAN MATEO XALPA                                                                                                                             "</f>
        <v xml:space="preserve">SAN MATEO XALPA                                                                                                                             </v>
      </c>
      <c r="G961" s="26" t="str">
        <f>"XOCHIMILCO                                                                      "</f>
        <v xml:space="preserve">XOCHIMILCO                                                                      </v>
      </c>
      <c r="H961" s="26" t="str">
        <f>"080"</f>
        <v>080</v>
      </c>
      <c r="I961" s="26" t="str">
        <f t="shared" si="157"/>
        <v>00</v>
      </c>
      <c r="J961" s="26" t="str">
        <f>"57 "</f>
        <v xml:space="preserve">57 </v>
      </c>
      <c r="K961" s="26" t="str">
        <f t="shared" si="162"/>
        <v>SG</v>
      </c>
      <c r="L961" s="26" t="str">
        <f t="shared" si="163"/>
        <v>DGOSE</v>
      </c>
      <c r="M961" s="26" t="str">
        <f t="shared" si="160"/>
        <v>PARTICULAR</v>
      </c>
      <c r="N961" s="26">
        <v>72</v>
      </c>
      <c r="O961" s="26">
        <v>44</v>
      </c>
      <c r="P961" s="26">
        <v>28</v>
      </c>
      <c r="Q961" s="26">
        <v>3</v>
      </c>
      <c r="R961" s="26">
        <v>2</v>
      </c>
      <c r="S961" s="26">
        <v>12</v>
      </c>
      <c r="T961" s="26">
        <v>3</v>
      </c>
      <c r="U961" s="26">
        <v>17</v>
      </c>
      <c r="V961" s="26">
        <v>1</v>
      </c>
      <c r="W961" s="26"/>
    </row>
    <row r="962" spans="1:23" x14ac:dyDescent="0.25">
      <c r="A962" s="26" t="str">
        <f t="shared" ref="A962:A1025" si="165">"SECUNDARIA"</f>
        <v>SECUNDARIA</v>
      </c>
      <c r="B962" s="26" t="str">
        <f>"09PES0522T"</f>
        <v>09PES0522T</v>
      </c>
      <c r="C962" s="26" t="str">
        <f>"""SECUNDARIA INSTITUTO NUEVA INGLATERRA""                                                             "</f>
        <v xml:space="preserve">"SECUNDARIA INSTITUTO NUEVA INGLATERRA"                                                             </v>
      </c>
      <c r="D962" s="26" t="str">
        <f t="shared" si="164"/>
        <v>MATUTINO</v>
      </c>
      <c r="E962" s="26" t="str">
        <f>"SAN JUAN DE DIOS NO 11                                                          "</f>
        <v xml:space="preserve">SAN JUAN DE DIOS NO 11                                                          </v>
      </c>
      <c r="F962" s="26" t="str">
        <f>"SAN LORENZO HUIPULCO                                                                                                                        "</f>
        <v xml:space="preserve">SAN LORENZO HUIPULCO                                                                                                                        </v>
      </c>
      <c r="G962" s="26" t="str">
        <f>"TLALPAN                                                                         "</f>
        <v xml:space="preserve">TLALPAN                                                                         </v>
      </c>
      <c r="H962" s="26" t="str">
        <f>"069"</f>
        <v>069</v>
      </c>
      <c r="I962" s="26" t="str">
        <f t="shared" si="157"/>
        <v>00</v>
      </c>
      <c r="J962" s="26" t="str">
        <f>"55 "</f>
        <v xml:space="preserve">55 </v>
      </c>
      <c r="K962" s="26" t="str">
        <f t="shared" si="162"/>
        <v>SG</v>
      </c>
      <c r="L962" s="26" t="str">
        <f t="shared" si="163"/>
        <v>DGOSE</v>
      </c>
      <c r="M962" s="26" t="str">
        <f t="shared" si="160"/>
        <v>PARTICULAR</v>
      </c>
      <c r="N962" s="26">
        <v>71</v>
      </c>
      <c r="O962" s="26">
        <v>35</v>
      </c>
      <c r="P962" s="26">
        <v>36</v>
      </c>
      <c r="Q962" s="26">
        <v>3</v>
      </c>
      <c r="R962" s="26">
        <v>2</v>
      </c>
      <c r="S962" s="26">
        <v>14</v>
      </c>
      <c r="T962" s="26">
        <v>2</v>
      </c>
      <c r="U962" s="26">
        <v>18</v>
      </c>
      <c r="V962" s="26">
        <v>1</v>
      </c>
      <c r="W962" s="26"/>
    </row>
    <row r="963" spans="1:23" x14ac:dyDescent="0.25">
      <c r="A963" s="26" t="str">
        <f t="shared" si="165"/>
        <v>SECUNDARIA</v>
      </c>
      <c r="B963" s="26" t="str">
        <f>"09PES0524R"</f>
        <v>09PES0524R</v>
      </c>
      <c r="C963" s="26" t="str">
        <f>"CENTRO CULTURAL DE LA CIUDAD DE MEXICO                                                              "</f>
        <v xml:space="preserve">CENTRO CULTURAL DE LA CIUDAD DE MEXICO                                                              </v>
      </c>
      <c r="D963" s="26" t="str">
        <f t="shared" si="164"/>
        <v>MATUTINO</v>
      </c>
      <c r="E963" s="26" t="str">
        <f>"SOR JUANA INES DE LA CRUZ NUM 99                                                "</f>
        <v xml:space="preserve">SOR JUANA INES DE LA CRUZ NUM 99                                                </v>
      </c>
      <c r="F963" s="26" t="str">
        <f>"SANTA MARIA LA RIBERA                                                                                                                       "</f>
        <v xml:space="preserve">SANTA MARIA LA RIBERA                                                                                                                       </v>
      </c>
      <c r="G963" s="26" t="str">
        <f>"CUAUHTEMOC                                                                      "</f>
        <v xml:space="preserve">CUAUHTEMOC                                                                      </v>
      </c>
      <c r="H963" s="26" t="str">
        <f>"027"</f>
        <v>027</v>
      </c>
      <c r="I963" s="26" t="str">
        <f t="shared" si="157"/>
        <v>00</v>
      </c>
      <c r="J963" s="26" t="str">
        <f>"51 "</f>
        <v xml:space="preserve">51 </v>
      </c>
      <c r="K963" s="26" t="str">
        <f t="shared" si="162"/>
        <v>SG</v>
      </c>
      <c r="L963" s="26" t="str">
        <f t="shared" si="163"/>
        <v>DGOSE</v>
      </c>
      <c r="M963" s="26" t="str">
        <f t="shared" si="160"/>
        <v>PARTICULAR</v>
      </c>
      <c r="N963" s="26">
        <v>146</v>
      </c>
      <c r="O963" s="26">
        <v>74</v>
      </c>
      <c r="P963" s="26">
        <v>72</v>
      </c>
      <c r="Q963" s="26">
        <v>6</v>
      </c>
      <c r="R963" s="26">
        <v>2</v>
      </c>
      <c r="S963" s="26">
        <v>20</v>
      </c>
      <c r="T963" s="26">
        <v>6</v>
      </c>
      <c r="U963" s="26">
        <v>28</v>
      </c>
      <c r="V963" s="26">
        <v>1</v>
      </c>
      <c r="W963" s="26"/>
    </row>
    <row r="964" spans="1:23" x14ac:dyDescent="0.25">
      <c r="A964" s="26" t="str">
        <f t="shared" si="165"/>
        <v>SECUNDARIA</v>
      </c>
      <c r="B964" s="26" t="str">
        <f>"09PES0527O"</f>
        <v>09PES0527O</v>
      </c>
      <c r="C964" s="26" t="str">
        <f>"LA PAZ DE TLALPAN                                                                                   "</f>
        <v xml:space="preserve">LA PAZ DE TLALPAN                                                                                   </v>
      </c>
      <c r="D964" s="26" t="str">
        <f t="shared" si="164"/>
        <v>MATUTINO</v>
      </c>
      <c r="E964" s="26" t="str">
        <f>"PROLONG 5 DE MAYO NUM 283                                                       "</f>
        <v xml:space="preserve">PROLONG 5 DE MAYO NUM 283                                                       </v>
      </c>
      <c r="F964" s="26" t="str">
        <f>"SAN PEDRO MARTIR                                                                                                                            "</f>
        <v xml:space="preserve">SAN PEDRO MARTIR                                                                                                                            </v>
      </c>
      <c r="G964" s="26" t="str">
        <f>"TLALPAN                                                                         "</f>
        <v xml:space="preserve">TLALPAN                                                                         </v>
      </c>
      <c r="H964" s="26" t="str">
        <f>"072"</f>
        <v>072</v>
      </c>
      <c r="I964" s="26" t="str">
        <f t="shared" si="157"/>
        <v>00</v>
      </c>
      <c r="J964" s="26" t="str">
        <f>"55 "</f>
        <v xml:space="preserve">55 </v>
      </c>
      <c r="K964" s="26" t="str">
        <f t="shared" si="162"/>
        <v>SG</v>
      </c>
      <c r="L964" s="26" t="str">
        <f t="shared" si="163"/>
        <v>DGOSE</v>
      </c>
      <c r="M964" s="26" t="str">
        <f t="shared" si="160"/>
        <v>PARTICULAR</v>
      </c>
      <c r="N964" s="26">
        <v>63</v>
      </c>
      <c r="O964" s="26">
        <v>38</v>
      </c>
      <c r="P964" s="26">
        <v>25</v>
      </c>
      <c r="Q964" s="26">
        <v>3</v>
      </c>
      <c r="R964" s="26">
        <v>1</v>
      </c>
      <c r="S964" s="26">
        <v>13</v>
      </c>
      <c r="T964" s="26">
        <v>3</v>
      </c>
      <c r="U964" s="26">
        <v>17</v>
      </c>
      <c r="V964" s="26">
        <v>1</v>
      </c>
      <c r="W964" s="26"/>
    </row>
    <row r="965" spans="1:23" x14ac:dyDescent="0.25">
      <c r="A965" s="26" t="str">
        <f t="shared" si="165"/>
        <v>SECUNDARIA</v>
      </c>
      <c r="B965" s="26" t="str">
        <f>"09PES0528N"</f>
        <v>09PES0528N</v>
      </c>
      <c r="C965" s="26" t="str">
        <f>"INSTITUTO ROSEDAL                                                                                   "</f>
        <v xml:space="preserve">INSTITUTO ROSEDAL                                                                                   </v>
      </c>
      <c r="D965" s="26" t="str">
        <f t="shared" si="164"/>
        <v>MATUTINO</v>
      </c>
      <c r="E965" s="26" t="str">
        <f>"PROLONG. BOSQUES DE REFORMA S/N                                                 "</f>
        <v xml:space="preserve">PROLONG. BOSQUES DE REFORMA S/N                                                 </v>
      </c>
      <c r="F965" s="26" t="str">
        <f>"LOMAS DE VISTA HERMOSA                                                                                                                      "</f>
        <v xml:space="preserve">LOMAS DE VISTA HERMOSA                                                                                                                      </v>
      </c>
      <c r="G965" s="26" t="str">
        <f>"CUAJIMALPA DE MORELOS                                                           "</f>
        <v xml:space="preserve">CUAJIMALPA DE MORELOS                                                           </v>
      </c>
      <c r="H965" s="26" t="str">
        <f>"023"</f>
        <v>023</v>
      </c>
      <c r="I965" s="26" t="str">
        <f t="shared" si="157"/>
        <v>00</v>
      </c>
      <c r="J965" s="26" t="str">
        <f>"53 "</f>
        <v xml:space="preserve">53 </v>
      </c>
      <c r="K965" s="26" t="str">
        <f t="shared" si="162"/>
        <v>SG</v>
      </c>
      <c r="L965" s="26" t="str">
        <f t="shared" si="163"/>
        <v>DGOSE</v>
      </c>
      <c r="M965" s="26" t="str">
        <f t="shared" si="160"/>
        <v>PARTICULAR</v>
      </c>
      <c r="N965" s="26">
        <v>161</v>
      </c>
      <c r="O965" s="26">
        <v>1</v>
      </c>
      <c r="P965" s="26">
        <v>160</v>
      </c>
      <c r="Q965" s="26">
        <v>6</v>
      </c>
      <c r="R965" s="26">
        <v>1</v>
      </c>
      <c r="S965" s="26">
        <v>18</v>
      </c>
      <c r="T965" s="26">
        <v>5</v>
      </c>
      <c r="U965" s="26">
        <v>24</v>
      </c>
      <c r="V965" s="26">
        <v>1</v>
      </c>
      <c r="W965" s="26"/>
    </row>
    <row r="966" spans="1:23" x14ac:dyDescent="0.25">
      <c r="A966" s="26" t="str">
        <f t="shared" si="165"/>
        <v>SECUNDARIA</v>
      </c>
      <c r="B966" s="26" t="str">
        <f>"09PES0530B"</f>
        <v>09PES0530B</v>
      </c>
      <c r="C966" s="26" t="str">
        <f>"HERALDOS DE MEXICO                                                                                  "</f>
        <v xml:space="preserve">HERALDOS DE MEXICO                                                                                  </v>
      </c>
      <c r="D966" s="26" t="str">
        <f t="shared" si="164"/>
        <v>MATUTINO</v>
      </c>
      <c r="E966" s="26" t="str">
        <f>"ALFALFARES NUM 78                                                               "</f>
        <v xml:space="preserve">ALFALFARES NUM 78                                                               </v>
      </c>
      <c r="F966" s="26" t="str">
        <f>"GRANJAS COAPA                                                                                                                               "</f>
        <v xml:space="preserve">GRANJAS COAPA                                                                                                                               </v>
      </c>
      <c r="G966" s="26" t="str">
        <f>"TLALPAN                                                                         "</f>
        <v xml:space="preserve">TLALPAN                                                                         </v>
      </c>
      <c r="H966" s="26" t="str">
        <f>"070"</f>
        <v>070</v>
      </c>
      <c r="I966" s="26" t="str">
        <f t="shared" si="157"/>
        <v>00</v>
      </c>
      <c r="J966" s="26" t="str">
        <f>"55 "</f>
        <v xml:space="preserve">55 </v>
      </c>
      <c r="K966" s="26" t="str">
        <f t="shared" si="162"/>
        <v>SG</v>
      </c>
      <c r="L966" s="26" t="str">
        <f t="shared" si="163"/>
        <v>DGOSE</v>
      </c>
      <c r="M966" s="26" t="str">
        <f t="shared" si="160"/>
        <v>PARTICULAR</v>
      </c>
      <c r="N966" s="26">
        <v>208</v>
      </c>
      <c r="O966" s="26">
        <v>104</v>
      </c>
      <c r="P966" s="26">
        <v>104</v>
      </c>
      <c r="Q966" s="26">
        <v>6</v>
      </c>
      <c r="R966" s="26">
        <v>2</v>
      </c>
      <c r="S966" s="26">
        <v>18</v>
      </c>
      <c r="T966" s="26">
        <v>13</v>
      </c>
      <c r="U966" s="26">
        <v>33</v>
      </c>
      <c r="V966" s="26">
        <v>1</v>
      </c>
      <c r="W966" s="26"/>
    </row>
    <row r="967" spans="1:23" x14ac:dyDescent="0.25">
      <c r="A967" s="26" t="str">
        <f t="shared" si="165"/>
        <v>SECUNDARIA</v>
      </c>
      <c r="B967" s="26" t="str">
        <f>"09PES0531A"</f>
        <v>09PES0531A</v>
      </c>
      <c r="C967" s="26" t="str">
        <f>"INSTITUTO CULTURAL FRANCES                                                                          "</f>
        <v xml:space="preserve">INSTITUTO CULTURAL FRANCES                                                                          </v>
      </c>
      <c r="D967" s="26" t="str">
        <f t="shared" si="164"/>
        <v>MATUTINO</v>
      </c>
      <c r="E967" s="26" t="str">
        <f>"JOSE MARIA CASTILLO VELASCO 51                                                  "</f>
        <v xml:space="preserve">JOSE MARIA CASTILLO VELASCO 51                                                  </v>
      </c>
      <c r="F967" s="26" t="str">
        <f>"PERIODISTA                                                                                                                                  "</f>
        <v xml:space="preserve">PERIODISTA                                                                                                                                  </v>
      </c>
      <c r="G967" s="26" t="str">
        <f>"MIGUEL HIDALGO                                                                  "</f>
        <v xml:space="preserve">MIGUEL HIDALGO                                                                  </v>
      </c>
      <c r="H967" s="26" t="str">
        <f>"062"</f>
        <v>062</v>
      </c>
      <c r="I967" s="26" t="str">
        <f t="shared" ref="I967:I1030" si="166">"00"</f>
        <v>00</v>
      </c>
      <c r="J967" s="26" t="str">
        <f>"51 "</f>
        <v xml:space="preserve">51 </v>
      </c>
      <c r="K967" s="26" t="str">
        <f t="shared" si="162"/>
        <v>SG</v>
      </c>
      <c r="L967" s="26" t="str">
        <f t="shared" si="163"/>
        <v>DGOSE</v>
      </c>
      <c r="M967" s="26" t="str">
        <f t="shared" si="160"/>
        <v>PARTICULAR</v>
      </c>
      <c r="N967" s="26">
        <v>93</v>
      </c>
      <c r="O967" s="26">
        <v>46</v>
      </c>
      <c r="P967" s="26">
        <v>47</v>
      </c>
      <c r="Q967" s="26">
        <v>5</v>
      </c>
      <c r="R967" s="26">
        <v>1</v>
      </c>
      <c r="S967" s="26">
        <v>12</v>
      </c>
      <c r="T967" s="26">
        <v>6</v>
      </c>
      <c r="U967" s="26">
        <v>19</v>
      </c>
      <c r="V967" s="26">
        <v>1</v>
      </c>
      <c r="W967" s="26"/>
    </row>
    <row r="968" spans="1:23" x14ac:dyDescent="0.25">
      <c r="A968" s="26" t="str">
        <f t="shared" si="165"/>
        <v>SECUNDARIA</v>
      </c>
      <c r="B968" s="26" t="str">
        <f>"09PES0533Z"</f>
        <v>09PES0533Z</v>
      </c>
      <c r="C968" s="26" t="str">
        <f>"INSTITUTO OVALLE MONDAY (PLANTEL SECUNDARIA)                                                        "</f>
        <v xml:space="preserve">INSTITUTO OVALLE MONDAY (PLANTEL SECUNDARIA)                                                        </v>
      </c>
      <c r="D968" s="26" t="str">
        <f t="shared" si="164"/>
        <v>MATUTINO</v>
      </c>
      <c r="E968" s="26" t="str">
        <f>"GUILLERMO MASSIEU HELGUERA NUMERO 265                                           "</f>
        <v xml:space="preserve">GUILLERMO MASSIEU HELGUERA NUMERO 265                                           </v>
      </c>
      <c r="F968" s="26" t="str">
        <f>"LA ESCALERA                                                                                                                                 "</f>
        <v xml:space="preserve">LA ESCALERA                                                                                                                                 </v>
      </c>
      <c r="G968" s="26" t="str">
        <f>"GUSTAVO A. MADERO                                                               "</f>
        <v xml:space="preserve">GUSTAVO A. MADERO                                                               </v>
      </c>
      <c r="H968" s="26" t="str">
        <f>"032"</f>
        <v>032</v>
      </c>
      <c r="I968" s="26" t="str">
        <f t="shared" si="166"/>
        <v>00</v>
      </c>
      <c r="J968" s="26" t="str">
        <f>"52 "</f>
        <v xml:space="preserve">52 </v>
      </c>
      <c r="K968" s="26" t="str">
        <f t="shared" si="162"/>
        <v>SG</v>
      </c>
      <c r="L968" s="26" t="str">
        <f t="shared" si="163"/>
        <v>DGOSE</v>
      </c>
      <c r="M968" s="26" t="str">
        <f t="shared" si="160"/>
        <v>PARTICULAR</v>
      </c>
      <c r="N968" s="26">
        <v>504</v>
      </c>
      <c r="O968" s="26">
        <v>237</v>
      </c>
      <c r="P968" s="26">
        <v>267</v>
      </c>
      <c r="Q968" s="26">
        <v>15</v>
      </c>
      <c r="R968" s="26">
        <v>1</v>
      </c>
      <c r="S968" s="26">
        <v>35</v>
      </c>
      <c r="T968" s="26">
        <v>10</v>
      </c>
      <c r="U968" s="26">
        <v>46</v>
      </c>
      <c r="V968" s="26">
        <v>1</v>
      </c>
      <c r="W968" s="26"/>
    </row>
    <row r="969" spans="1:23" x14ac:dyDescent="0.25">
      <c r="A969" s="26" t="str">
        <f t="shared" si="165"/>
        <v>SECUNDARIA</v>
      </c>
      <c r="B969" s="26" t="str">
        <f>"09PES0537V"</f>
        <v>09PES0537V</v>
      </c>
      <c r="C969" s="26" t="str">
        <f>"LOGOS                                                                                               "</f>
        <v xml:space="preserve">LOGOS                                                                                               </v>
      </c>
      <c r="D969" s="26" t="str">
        <f t="shared" si="164"/>
        <v>MATUTINO</v>
      </c>
      <c r="E969" s="26" t="str">
        <f>"MANUEL LOPEZ COTILLA 1822                                                       "</f>
        <v xml:space="preserve">MANUEL LOPEZ COTILLA 1822                                                       </v>
      </c>
      <c r="F969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969" s="26" t="str">
        <f>"BENITO JUAREZ                                                                   "</f>
        <v xml:space="preserve">BENITO JUAREZ                                                                   </v>
      </c>
      <c r="H969" s="26" t="str">
        <f>"016"</f>
        <v>016</v>
      </c>
      <c r="I969" s="26" t="str">
        <f t="shared" si="166"/>
        <v>00</v>
      </c>
      <c r="J969" s="26" t="str">
        <f>"53 "</f>
        <v xml:space="preserve">53 </v>
      </c>
      <c r="K969" s="26" t="str">
        <f t="shared" si="162"/>
        <v>SG</v>
      </c>
      <c r="L969" s="26" t="str">
        <f t="shared" si="163"/>
        <v>DGOSE</v>
      </c>
      <c r="M969" s="26" t="str">
        <f t="shared" si="160"/>
        <v>PARTICULAR</v>
      </c>
      <c r="N969" s="26">
        <v>288</v>
      </c>
      <c r="O969" s="26">
        <v>162</v>
      </c>
      <c r="P969" s="26">
        <v>126</v>
      </c>
      <c r="Q969" s="26">
        <v>9</v>
      </c>
      <c r="R969" s="26">
        <v>1</v>
      </c>
      <c r="S969" s="26">
        <v>21</v>
      </c>
      <c r="T969" s="26">
        <v>9</v>
      </c>
      <c r="U969" s="26">
        <v>31</v>
      </c>
      <c r="V969" s="26">
        <v>1</v>
      </c>
      <c r="W969" s="26"/>
    </row>
    <row r="970" spans="1:23" x14ac:dyDescent="0.25">
      <c r="A970" s="26" t="str">
        <f t="shared" si="165"/>
        <v>SECUNDARIA</v>
      </c>
      <c r="B970" s="26" t="str">
        <f>"09PES0538U"</f>
        <v>09PES0538U</v>
      </c>
      <c r="C970" s="26" t="str">
        <f>"JOSE MARIA MORELOS Y PAVON                                                                          "</f>
        <v xml:space="preserve">JOSE MARIA MORELOS Y PAVON                                                                          </v>
      </c>
      <c r="D970" s="26" t="str">
        <f t="shared" si="164"/>
        <v>MATUTINO</v>
      </c>
      <c r="E970" s="26" t="str">
        <f>"SAN FRANCISCO DE ASIS S/N                                                       "</f>
        <v xml:space="preserve">SAN FRANCISCO DE ASIS S/N                                                       </v>
      </c>
      <c r="F970" s="26" t="str">
        <f>"EL VERGEL                                                                                                                                   "</f>
        <v xml:space="preserve">EL VERGEL                                                                                                                                   </v>
      </c>
      <c r="G970" s="26" t="str">
        <f>"IZTAPALAPA                                                                      "</f>
        <v xml:space="preserve">IZTAPALAPA                                                                      </v>
      </c>
      <c r="H970" s="26" t="str">
        <f>"000"</f>
        <v>000</v>
      </c>
      <c r="I970" s="26" t="str">
        <f t="shared" si="166"/>
        <v>00</v>
      </c>
      <c r="J970" s="26" t="str">
        <f>"63 "</f>
        <v xml:space="preserve">63 </v>
      </c>
      <c r="K970" s="26" t="str">
        <f>"IZ"</f>
        <v>IZ</v>
      </c>
      <c r="L970" s="26" t="str">
        <f>"DGSEI"</f>
        <v>DGSEI</v>
      </c>
      <c r="M970" s="26" t="str">
        <f t="shared" si="160"/>
        <v>PARTICULAR</v>
      </c>
      <c r="N970" s="26">
        <v>305</v>
      </c>
      <c r="O970" s="26">
        <v>163</v>
      </c>
      <c r="P970" s="26">
        <v>142</v>
      </c>
      <c r="Q970" s="26">
        <v>12</v>
      </c>
      <c r="R970" s="26">
        <v>1</v>
      </c>
      <c r="S970" s="26">
        <v>25</v>
      </c>
      <c r="T970" s="26">
        <v>10</v>
      </c>
      <c r="U970" s="26">
        <v>36</v>
      </c>
      <c r="V970" s="26">
        <v>1</v>
      </c>
      <c r="W970" s="26"/>
    </row>
    <row r="971" spans="1:23" x14ac:dyDescent="0.25">
      <c r="A971" s="26" t="str">
        <f t="shared" si="165"/>
        <v>SECUNDARIA</v>
      </c>
      <c r="B971" s="26" t="str">
        <f>"09PES0541H"</f>
        <v>09PES0541H</v>
      </c>
      <c r="C971" s="26" t="str">
        <f>"DANIEL DELGADILLO                                                                                   "</f>
        <v xml:space="preserve">DANIEL DELGADILLO                                                                                   </v>
      </c>
      <c r="D971" s="26" t="str">
        <f t="shared" si="164"/>
        <v>MATUTINO</v>
      </c>
      <c r="E971" s="26" t="str">
        <f>"RETORNO 15 DE JESUS G Y VILLA 58                                                "</f>
        <v xml:space="preserve">RETORNO 15 DE JESUS G Y VILLA 58                                                </v>
      </c>
      <c r="F971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971" s="26" t="str">
        <f>"VENUSTIANO CARRANZA                                                             "</f>
        <v xml:space="preserve">VENUSTIANO CARRANZA                                                             </v>
      </c>
      <c r="H971" s="26" t="str">
        <f>"078"</f>
        <v>078</v>
      </c>
      <c r="I971" s="26" t="str">
        <f t="shared" si="166"/>
        <v>00</v>
      </c>
      <c r="J971" s="26" t="str">
        <f>"54 "</f>
        <v xml:space="preserve">54 </v>
      </c>
      <c r="K971" s="26" t="str">
        <f t="shared" ref="K971:K1006" si="167">"SG"</f>
        <v>SG</v>
      </c>
      <c r="L971" s="26" t="str">
        <f t="shared" ref="L971:L1006" si="168">"DGOSE"</f>
        <v>DGOSE</v>
      </c>
      <c r="M971" s="26" t="str">
        <f t="shared" si="160"/>
        <v>PARTICULAR</v>
      </c>
      <c r="N971" s="26">
        <v>21</v>
      </c>
      <c r="O971" s="26">
        <v>14</v>
      </c>
      <c r="P971" s="26">
        <v>7</v>
      </c>
      <c r="Q971" s="26">
        <v>3</v>
      </c>
      <c r="R971" s="26">
        <v>1</v>
      </c>
      <c r="S971" s="26">
        <v>7</v>
      </c>
      <c r="T971" s="26">
        <v>1</v>
      </c>
      <c r="U971" s="26">
        <v>9</v>
      </c>
      <c r="V971" s="26">
        <v>1</v>
      </c>
      <c r="W971" s="26"/>
    </row>
    <row r="972" spans="1:23" x14ac:dyDescent="0.25">
      <c r="A972" s="26" t="str">
        <f t="shared" si="165"/>
        <v>SECUNDARIA</v>
      </c>
      <c r="B972" s="26" t="str">
        <f>"09PES0542G"</f>
        <v>09PES0542G</v>
      </c>
      <c r="C972" s="26" t="str">
        <f>"COLEGIO SIMON BOLIVAR                                                                               "</f>
        <v xml:space="preserve">COLEGIO SIMON BOLIVAR                                                                               </v>
      </c>
      <c r="D972" s="26" t="str">
        <f t="shared" si="164"/>
        <v>MATUTINO</v>
      </c>
      <c r="E972" s="26" t="str">
        <f>"CAMINO SANTA TERESA 230                                                         "</f>
        <v xml:space="preserve">CAMINO SANTA TERESA 230                                                         </v>
      </c>
      <c r="F972" s="26" t="str">
        <f>"JARDINES DEL PEDREGAL                                                                                                                       "</f>
        <v xml:space="preserve">JARDINES DEL PEDREGAL                                                                                                                       </v>
      </c>
      <c r="G972" s="26" t="str">
        <f>"ALVARO OBREGON                                                                  "</f>
        <v xml:space="preserve">ALVARO OBREGON                                                                  </v>
      </c>
      <c r="H972" s="26" t="str">
        <f>"001"</f>
        <v>001</v>
      </c>
      <c r="I972" s="26" t="str">
        <f t="shared" si="166"/>
        <v>00</v>
      </c>
      <c r="J972" s="26" t="str">
        <f>"53 "</f>
        <v xml:space="preserve">53 </v>
      </c>
      <c r="K972" s="26" t="str">
        <f t="shared" si="167"/>
        <v>SG</v>
      </c>
      <c r="L972" s="26" t="str">
        <f t="shared" si="168"/>
        <v>DGOSE</v>
      </c>
      <c r="M972" s="26" t="str">
        <f t="shared" si="160"/>
        <v>PARTICULAR</v>
      </c>
      <c r="N972" s="26">
        <v>387</v>
      </c>
      <c r="O972" s="26">
        <v>227</v>
      </c>
      <c r="P972" s="26">
        <v>160</v>
      </c>
      <c r="Q972" s="26">
        <v>12</v>
      </c>
      <c r="R972" s="26">
        <v>2</v>
      </c>
      <c r="S972" s="26">
        <v>23</v>
      </c>
      <c r="T972" s="26">
        <v>2</v>
      </c>
      <c r="U972" s="26">
        <v>27</v>
      </c>
      <c r="V972" s="26">
        <v>1</v>
      </c>
      <c r="W972" s="26"/>
    </row>
    <row r="973" spans="1:23" x14ac:dyDescent="0.25">
      <c r="A973" s="26" t="str">
        <f t="shared" si="165"/>
        <v>SECUNDARIA</v>
      </c>
      <c r="B973" s="26" t="str">
        <f>"09PES0544E"</f>
        <v>09PES0544E</v>
      </c>
      <c r="C973" s="26" t="str">
        <f>"SECUNDARIA XICOTENCATL                                                                              "</f>
        <v xml:space="preserve">SECUNDARIA XICOTENCATL                                                                              </v>
      </c>
      <c r="D973" s="26" t="str">
        <f t="shared" si="164"/>
        <v>MATUTINO</v>
      </c>
      <c r="E973" s="26" t="str">
        <f>"AV SUR 16 NUM 581                                                               "</f>
        <v xml:space="preserve">AV SUR 16 NUM 581                                                               </v>
      </c>
      <c r="F973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973" s="26" t="str">
        <f>"IZTACALCO                                                                       "</f>
        <v xml:space="preserve">IZTACALCO                                                                       </v>
      </c>
      <c r="H973" s="26" t="str">
        <f>"046"</f>
        <v>046</v>
      </c>
      <c r="I973" s="26" t="str">
        <f t="shared" si="166"/>
        <v>00</v>
      </c>
      <c r="J973" s="26" t="str">
        <f>"54 "</f>
        <v xml:space="preserve">54 </v>
      </c>
      <c r="K973" s="26" t="str">
        <f t="shared" si="167"/>
        <v>SG</v>
      </c>
      <c r="L973" s="26" t="str">
        <f t="shared" si="168"/>
        <v>DGOSE</v>
      </c>
      <c r="M973" s="26" t="str">
        <f t="shared" si="160"/>
        <v>PARTICULAR</v>
      </c>
      <c r="N973" s="26">
        <v>29</v>
      </c>
      <c r="O973" s="26">
        <v>10</v>
      </c>
      <c r="P973" s="26">
        <v>19</v>
      </c>
      <c r="Q973" s="26">
        <v>3</v>
      </c>
      <c r="R973" s="26">
        <v>1</v>
      </c>
      <c r="S973" s="26">
        <v>10</v>
      </c>
      <c r="T973" s="26">
        <v>1</v>
      </c>
      <c r="U973" s="26">
        <v>12</v>
      </c>
      <c r="V973" s="26">
        <v>1</v>
      </c>
      <c r="W973" s="26"/>
    </row>
    <row r="974" spans="1:23" x14ac:dyDescent="0.25">
      <c r="A974" s="26" t="str">
        <f t="shared" si="165"/>
        <v>SECUNDARIA</v>
      </c>
      <c r="B974" s="26" t="str">
        <f>"09PES0545D"</f>
        <v>09PES0545D</v>
      </c>
      <c r="C974" s="26" t="str">
        <f>"""SECUNDARIA ESCUELA INTERNACIONAL""                                                                  "</f>
        <v xml:space="preserve">"SECUNDARIA ESCUELA INTERNACIONAL"                                                                  </v>
      </c>
      <c r="D974" s="26" t="str">
        <f t="shared" si="164"/>
        <v>MATUTINO</v>
      </c>
      <c r="E974" s="26" t="str">
        <f>"GENERAL ANAYA 313                                                               "</f>
        <v xml:space="preserve">GENERAL ANAYA 313                                                               </v>
      </c>
      <c r="F974" s="26" t="str">
        <f>"DEL CARMEN                                                                                                                                  "</f>
        <v xml:space="preserve">DEL CARMEN                                                                                                                                  </v>
      </c>
      <c r="G974" s="26" t="str">
        <f>"COYOACAN                                                                        "</f>
        <v xml:space="preserve">COYOACAN                                                                        </v>
      </c>
      <c r="H974" s="26" t="str">
        <f>"019"</f>
        <v>019</v>
      </c>
      <c r="I974" s="26" t="str">
        <f t="shared" si="166"/>
        <v>00</v>
      </c>
      <c r="J974" s="26" t="str">
        <f>"54 "</f>
        <v xml:space="preserve">54 </v>
      </c>
      <c r="K974" s="26" t="str">
        <f t="shared" si="167"/>
        <v>SG</v>
      </c>
      <c r="L974" s="26" t="str">
        <f t="shared" si="168"/>
        <v>DGOSE</v>
      </c>
      <c r="M974" s="26" t="str">
        <f t="shared" si="160"/>
        <v>PARTICULAR</v>
      </c>
      <c r="N974" s="26">
        <v>45</v>
      </c>
      <c r="O974" s="26">
        <v>21</v>
      </c>
      <c r="P974" s="26">
        <v>24</v>
      </c>
      <c r="Q974" s="26">
        <v>3</v>
      </c>
      <c r="R974" s="26">
        <v>1</v>
      </c>
      <c r="S974" s="26">
        <v>10</v>
      </c>
      <c r="T974" s="26">
        <v>1</v>
      </c>
      <c r="U974" s="26">
        <v>12</v>
      </c>
      <c r="V974" s="26">
        <v>1</v>
      </c>
      <c r="W974" s="26"/>
    </row>
    <row r="975" spans="1:23" x14ac:dyDescent="0.25">
      <c r="A975" s="26" t="str">
        <f t="shared" si="165"/>
        <v>SECUNDARIA</v>
      </c>
      <c r="B975" s="26" t="str">
        <f>"09PES0547B"</f>
        <v>09PES0547B</v>
      </c>
      <c r="C975" s="26" t="str">
        <f>"INSTITUTO GRAN UNION                                                                                "</f>
        <v xml:space="preserve">INSTITUTO GRAN UNION                                                                                </v>
      </c>
      <c r="D975" s="26" t="str">
        <f t="shared" si="164"/>
        <v>MATUTINO</v>
      </c>
      <c r="E975" s="26" t="str">
        <f>"KRAMER 74                                                                       "</f>
        <v xml:space="preserve">KRAMER 74                                                                       </v>
      </c>
      <c r="F975" s="26" t="str">
        <f>"ATLANTIDA                                                                                                                                   "</f>
        <v xml:space="preserve">ATLANTIDA                                                                                                                                   </v>
      </c>
      <c r="G975" s="26" t="str">
        <f>"COYOACAN                                                                        "</f>
        <v xml:space="preserve">COYOACAN                                                                        </v>
      </c>
      <c r="H975" s="26" t="str">
        <f>"022"</f>
        <v>022</v>
      </c>
      <c r="I975" s="26" t="str">
        <f t="shared" si="166"/>
        <v>00</v>
      </c>
      <c r="J975" s="26" t="str">
        <f>"54 "</f>
        <v xml:space="preserve">54 </v>
      </c>
      <c r="K975" s="26" t="str">
        <f t="shared" si="167"/>
        <v>SG</v>
      </c>
      <c r="L975" s="26" t="str">
        <f t="shared" si="168"/>
        <v>DGOSE</v>
      </c>
      <c r="M975" s="26" t="str">
        <f t="shared" si="160"/>
        <v>PARTICULAR</v>
      </c>
      <c r="N975" s="26">
        <v>138</v>
      </c>
      <c r="O975" s="26">
        <v>70</v>
      </c>
      <c r="P975" s="26">
        <v>68</v>
      </c>
      <c r="Q975" s="26">
        <v>6</v>
      </c>
      <c r="R975" s="26">
        <v>2</v>
      </c>
      <c r="S975" s="26">
        <v>10</v>
      </c>
      <c r="T975" s="26">
        <v>2</v>
      </c>
      <c r="U975" s="26">
        <v>14</v>
      </c>
      <c r="V975" s="26">
        <v>1</v>
      </c>
      <c r="W975" s="26"/>
    </row>
    <row r="976" spans="1:23" x14ac:dyDescent="0.25">
      <c r="A976" s="26" t="str">
        <f t="shared" si="165"/>
        <v>SECUNDARIA</v>
      </c>
      <c r="B976" s="26" t="str">
        <f>"09PES0551O"</f>
        <v>09PES0551O</v>
      </c>
      <c r="C976" s="26" t="str">
        <f>"""COLEGIO PARTENON""                                                                                  "</f>
        <v xml:space="preserve">"COLEGIO PARTENON"                                                                                  </v>
      </c>
      <c r="D976" s="26" t="str">
        <f t="shared" si="164"/>
        <v>MATUTINO</v>
      </c>
      <c r="E976" s="26" t="str">
        <f>"PLAYA MIRADOR NUM 353                                                           "</f>
        <v xml:space="preserve">PLAYA MIRADOR NUM 353                                                           </v>
      </c>
      <c r="F976" s="26" t="str">
        <f>"REFORMA IZTACCIHUATL                                                                                                                        "</f>
        <v xml:space="preserve">REFORMA IZTACCIHUATL                                                                                                                        </v>
      </c>
      <c r="G976" s="26" t="str">
        <f>"IZTACALCO                                                                       "</f>
        <v xml:space="preserve">IZTACALCO                                                                       </v>
      </c>
      <c r="H976" s="26" t="str">
        <f>"043"</f>
        <v>043</v>
      </c>
      <c r="I976" s="26" t="str">
        <f t="shared" si="166"/>
        <v>00</v>
      </c>
      <c r="J976" s="26" t="str">
        <f>"54 "</f>
        <v xml:space="preserve">54 </v>
      </c>
      <c r="K976" s="26" t="str">
        <f t="shared" si="167"/>
        <v>SG</v>
      </c>
      <c r="L976" s="26" t="str">
        <f t="shared" si="168"/>
        <v>DGOSE</v>
      </c>
      <c r="M976" s="26" t="str">
        <f t="shared" si="160"/>
        <v>PARTICULAR</v>
      </c>
      <c r="N976" s="26">
        <v>223</v>
      </c>
      <c r="O976" s="26">
        <v>109</v>
      </c>
      <c r="P976" s="26">
        <v>114</v>
      </c>
      <c r="Q976" s="26">
        <v>6</v>
      </c>
      <c r="R976" s="26">
        <v>2</v>
      </c>
      <c r="S976" s="26">
        <v>23</v>
      </c>
      <c r="T976" s="26">
        <v>10</v>
      </c>
      <c r="U976" s="26">
        <v>35</v>
      </c>
      <c r="V976" s="26">
        <v>1</v>
      </c>
      <c r="W976" s="26"/>
    </row>
    <row r="977" spans="1:23" x14ac:dyDescent="0.25">
      <c r="A977" s="26" t="str">
        <f t="shared" si="165"/>
        <v>SECUNDARIA</v>
      </c>
      <c r="B977" s="26" t="str">
        <f>"09PES0552N"</f>
        <v>09PES0552N</v>
      </c>
      <c r="C977" s="26" t="str">
        <f>"""JOSE DE LA LUZ MENA""                                                                               "</f>
        <v xml:space="preserve">"JOSE DE LA LUZ MENA"                                                                               </v>
      </c>
      <c r="D977" s="26" t="str">
        <f t="shared" si="164"/>
        <v>MATUTINO</v>
      </c>
      <c r="E977" s="26" t="str">
        <f>"MONTE ALBAN NUM. 70                                                             "</f>
        <v xml:space="preserve">MONTE ALBAN NUM. 70                                                             </v>
      </c>
      <c r="F977" s="26" t="str">
        <f>"NARVARTE                                                                                                                                    "</f>
        <v xml:space="preserve">NARVARTE                                                                                                                                    </v>
      </c>
      <c r="G977" s="26" t="str">
        <f>"BENITO JUAREZ                                                                   "</f>
        <v xml:space="preserve">BENITO JUAREZ                                                                   </v>
      </c>
      <c r="H977" s="26" t="str">
        <f>"013"</f>
        <v>013</v>
      </c>
      <c r="I977" s="26" t="str">
        <f t="shared" si="166"/>
        <v>00</v>
      </c>
      <c r="J977" s="26" t="str">
        <f>"53 "</f>
        <v xml:space="preserve">53 </v>
      </c>
      <c r="K977" s="26" t="str">
        <f t="shared" si="167"/>
        <v>SG</v>
      </c>
      <c r="L977" s="26" t="str">
        <f t="shared" si="168"/>
        <v>DGOSE</v>
      </c>
      <c r="M977" s="26" t="str">
        <f t="shared" si="160"/>
        <v>PARTICULAR</v>
      </c>
      <c r="N977" s="26">
        <v>57</v>
      </c>
      <c r="O977" s="26">
        <v>36</v>
      </c>
      <c r="P977" s="26">
        <v>21</v>
      </c>
      <c r="Q977" s="26">
        <v>3</v>
      </c>
      <c r="R977" s="26">
        <v>1</v>
      </c>
      <c r="S977" s="26">
        <v>9</v>
      </c>
      <c r="T977" s="26">
        <v>0</v>
      </c>
      <c r="U977" s="26">
        <v>10</v>
      </c>
      <c r="V977" s="26">
        <v>1</v>
      </c>
      <c r="W977" s="26"/>
    </row>
    <row r="978" spans="1:23" x14ac:dyDescent="0.25">
      <c r="A978" s="26" t="str">
        <f t="shared" si="165"/>
        <v>SECUNDARIA</v>
      </c>
      <c r="B978" s="26" t="str">
        <f>"09PES0553M"</f>
        <v>09PES0553M</v>
      </c>
      <c r="C978" s="26" t="str">
        <f>"CENTRO EDUCATIVO JEAN PIAGET                                                                        "</f>
        <v xml:space="preserve">CENTRO EDUCATIVO JEAN PIAGET                                                                        </v>
      </c>
      <c r="D978" s="26" t="str">
        <f t="shared" si="164"/>
        <v>MATUTINO</v>
      </c>
      <c r="E978" s="26" t="str">
        <f>"RUBENS NUM 38                                                                   "</f>
        <v xml:space="preserve">RUBENS NUM 38                                                                   </v>
      </c>
      <c r="F978" s="26" t="str">
        <f>"MIXCOAC                                                                                                                                     "</f>
        <v xml:space="preserve">MIXCOAC                                                                                                                                     </v>
      </c>
      <c r="G978" s="26" t="str">
        <f>"BENITO JUAREZ                                                                   "</f>
        <v xml:space="preserve">BENITO JUAREZ                                                                   </v>
      </c>
      <c r="H978" s="26" t="str">
        <f>"016"</f>
        <v>016</v>
      </c>
      <c r="I978" s="26" t="str">
        <f t="shared" si="166"/>
        <v>00</v>
      </c>
      <c r="J978" s="26" t="str">
        <f>"53 "</f>
        <v xml:space="preserve">53 </v>
      </c>
      <c r="K978" s="26" t="str">
        <f t="shared" si="167"/>
        <v>SG</v>
      </c>
      <c r="L978" s="26" t="str">
        <f t="shared" si="168"/>
        <v>DGOSE</v>
      </c>
      <c r="M978" s="26" t="str">
        <f t="shared" si="160"/>
        <v>PARTICULAR</v>
      </c>
      <c r="N978" s="26">
        <v>131</v>
      </c>
      <c r="O978" s="26">
        <v>57</v>
      </c>
      <c r="P978" s="26">
        <v>74</v>
      </c>
      <c r="Q978" s="26">
        <v>6</v>
      </c>
      <c r="R978" s="26">
        <v>2</v>
      </c>
      <c r="S978" s="26">
        <v>18</v>
      </c>
      <c r="T978" s="26">
        <v>4</v>
      </c>
      <c r="U978" s="26">
        <v>24</v>
      </c>
      <c r="V978" s="26">
        <v>1</v>
      </c>
      <c r="W978" s="26"/>
    </row>
    <row r="979" spans="1:23" x14ac:dyDescent="0.25">
      <c r="A979" s="26" t="str">
        <f t="shared" si="165"/>
        <v>SECUNDARIA</v>
      </c>
      <c r="B979" s="26" t="str">
        <f>"09PES0554L"</f>
        <v>09PES0554L</v>
      </c>
      <c r="C979" s="26" t="str">
        <f>"""COLEGIO PRINCETON DEL PEDREGAL""                                                                    "</f>
        <v xml:space="preserve">"COLEGIO PRINCETON DEL PEDREGAL"                                                                    </v>
      </c>
      <c r="D979" s="26" t="str">
        <f t="shared" si="164"/>
        <v>MATUTINO</v>
      </c>
      <c r="E979" s="26" t="str">
        <f>"CARRETERA PICACHO AJUSCO NUM. 203                                               "</f>
        <v xml:space="preserve">CARRETERA PICACHO AJUSCO NUM. 203                                               </v>
      </c>
      <c r="F979" s="26" t="str">
        <f>"HEROES DE PADIERNA                                                                                                                          "</f>
        <v xml:space="preserve">HEROES DE PADIERNA                                                                                                                          </v>
      </c>
      <c r="G979" s="26" t="str">
        <f>"TLALPAN                                                                         "</f>
        <v xml:space="preserve">TLALPAN                                                                         </v>
      </c>
      <c r="H979" s="26" t="str">
        <f>"051"</f>
        <v>051</v>
      </c>
      <c r="I979" s="26" t="str">
        <f t="shared" si="166"/>
        <v>00</v>
      </c>
      <c r="J979" s="26" t="str">
        <f>"55 "</f>
        <v xml:space="preserve">55 </v>
      </c>
      <c r="K979" s="26" t="str">
        <f t="shared" si="167"/>
        <v>SG</v>
      </c>
      <c r="L979" s="26" t="str">
        <f t="shared" si="168"/>
        <v>DGOSE</v>
      </c>
      <c r="M979" s="26" t="str">
        <f t="shared" si="160"/>
        <v>PARTICULAR</v>
      </c>
      <c r="N979" s="26">
        <v>80</v>
      </c>
      <c r="O979" s="26">
        <v>49</v>
      </c>
      <c r="P979" s="26">
        <v>31</v>
      </c>
      <c r="Q979" s="26">
        <v>5</v>
      </c>
      <c r="R979" s="26">
        <v>1</v>
      </c>
      <c r="S979" s="26">
        <v>12</v>
      </c>
      <c r="T979" s="26">
        <v>0</v>
      </c>
      <c r="U979" s="26">
        <v>13</v>
      </c>
      <c r="V979" s="26">
        <v>1</v>
      </c>
      <c r="W979" s="26"/>
    </row>
    <row r="980" spans="1:23" x14ac:dyDescent="0.25">
      <c r="A980" s="26" t="str">
        <f t="shared" si="165"/>
        <v>SECUNDARIA</v>
      </c>
      <c r="B980" s="26" t="str">
        <f>"09PES0555K"</f>
        <v>09PES0555K</v>
      </c>
      <c r="C980" s="26" t="str">
        <f>"""ZEFERINO AGUIRRE""                                                                                  "</f>
        <v xml:space="preserve">"ZEFERINO AGUIRRE"                                                                                  </v>
      </c>
      <c r="D980" s="26" t="str">
        <f t="shared" si="164"/>
        <v>MATUTINO</v>
      </c>
      <c r="E980" s="26" t="str">
        <f>"NARANJO NUM 53                                                                  "</f>
        <v xml:space="preserve">NARANJO NUM 53                                                                  </v>
      </c>
      <c r="F980" s="26" t="str">
        <f>"SANTA MARIA LA RIBERA                                                                                                                       "</f>
        <v xml:space="preserve">SANTA MARIA LA RIBERA                                                                                                                       </v>
      </c>
      <c r="G980" s="26" t="str">
        <f>"CUAUHTEMOC                                                                      "</f>
        <v xml:space="preserve">CUAUHTEMOC                                                                      </v>
      </c>
      <c r="H980" s="26" t="str">
        <f>"027"</f>
        <v>027</v>
      </c>
      <c r="I980" s="26" t="str">
        <f t="shared" si="166"/>
        <v>00</v>
      </c>
      <c r="J980" s="26" t="str">
        <f>"51 "</f>
        <v xml:space="preserve">51 </v>
      </c>
      <c r="K980" s="26" t="str">
        <f t="shared" si="167"/>
        <v>SG</v>
      </c>
      <c r="L980" s="26" t="str">
        <f t="shared" si="168"/>
        <v>DGOSE</v>
      </c>
      <c r="M980" s="26" t="str">
        <f t="shared" si="160"/>
        <v>PARTICULAR</v>
      </c>
      <c r="N980" s="26">
        <v>107</v>
      </c>
      <c r="O980" s="26">
        <v>57</v>
      </c>
      <c r="P980" s="26">
        <v>50</v>
      </c>
      <c r="Q980" s="26">
        <v>3</v>
      </c>
      <c r="R980" s="26">
        <v>1</v>
      </c>
      <c r="S980" s="26">
        <v>11</v>
      </c>
      <c r="T980" s="26">
        <v>2</v>
      </c>
      <c r="U980" s="26">
        <v>14</v>
      </c>
      <c r="V980" s="26">
        <v>1</v>
      </c>
      <c r="W980" s="26"/>
    </row>
    <row r="981" spans="1:23" x14ac:dyDescent="0.25">
      <c r="A981" s="26" t="str">
        <f t="shared" si="165"/>
        <v>SECUNDARIA</v>
      </c>
      <c r="B981" s="26" t="str">
        <f>"09PES0556J"</f>
        <v>09PES0556J</v>
      </c>
      <c r="C981" s="26" t="str">
        <f>"COLEGIO NUEVO CONTINENTE                                                                            "</f>
        <v xml:space="preserve">COLEGIO NUEVO CONTINENTE                                                                            </v>
      </c>
      <c r="D981" s="26" t="str">
        <f t="shared" si="164"/>
        <v>MATUTINO</v>
      </c>
      <c r="E981" s="26" t="str">
        <f>"NICOLAS SAN JUAN NUM 1141                                                       "</f>
        <v xml:space="preserve">NICOLAS SAN JUAN NUM 1141                                                       </v>
      </c>
      <c r="F981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981" s="26" t="str">
        <f>"BENITO JUAREZ                                                                   "</f>
        <v xml:space="preserve">BENITO JUAREZ                                                                   </v>
      </c>
      <c r="H981" s="26" t="str">
        <f>"014"</f>
        <v>014</v>
      </c>
      <c r="I981" s="26" t="str">
        <f t="shared" si="166"/>
        <v>00</v>
      </c>
      <c r="J981" s="26" t="str">
        <f>"53 "</f>
        <v xml:space="preserve">53 </v>
      </c>
      <c r="K981" s="26" t="str">
        <f t="shared" si="167"/>
        <v>SG</v>
      </c>
      <c r="L981" s="26" t="str">
        <f t="shared" si="168"/>
        <v>DGOSE</v>
      </c>
      <c r="M981" s="26" t="str">
        <f t="shared" ref="M981:M1044" si="169">"PARTICULAR"</f>
        <v>PARTICULAR</v>
      </c>
      <c r="N981" s="26">
        <v>436</v>
      </c>
      <c r="O981" s="26">
        <v>191</v>
      </c>
      <c r="P981" s="26">
        <v>245</v>
      </c>
      <c r="Q981" s="26">
        <v>15</v>
      </c>
      <c r="R981" s="26">
        <v>2</v>
      </c>
      <c r="S981" s="26">
        <v>38</v>
      </c>
      <c r="T981" s="26">
        <v>5</v>
      </c>
      <c r="U981" s="26">
        <v>45</v>
      </c>
      <c r="V981" s="26">
        <v>1</v>
      </c>
      <c r="W981" s="26"/>
    </row>
    <row r="982" spans="1:23" x14ac:dyDescent="0.25">
      <c r="A982" s="26" t="str">
        <f t="shared" si="165"/>
        <v>SECUNDARIA</v>
      </c>
      <c r="B982" s="26" t="str">
        <f>"09PES0559G"</f>
        <v>09PES0559G</v>
      </c>
      <c r="C982" s="26" t="str">
        <f>"COLEGIO TULUM                                                                                       "</f>
        <v xml:space="preserve">COLEGIO TULUM                                                                                       </v>
      </c>
      <c r="D982" s="26" t="str">
        <f t="shared" si="164"/>
        <v>MATUTINO</v>
      </c>
      <c r="E982" s="26" t="str">
        <f>"VICTOR HUGO NUM 64                                                              "</f>
        <v xml:space="preserve">VICTOR HUGO NUM 64                                                              </v>
      </c>
      <c r="F982" s="26" t="str">
        <f>"ANZURES                                                                                                                                     "</f>
        <v xml:space="preserve">ANZURES                                                                                                                                     </v>
      </c>
      <c r="G982" s="26" t="str">
        <f>"MIGUEL HIDALGO                                                                  "</f>
        <v xml:space="preserve">MIGUEL HIDALGO                                                                  </v>
      </c>
      <c r="H982" s="26" t="str">
        <f>"061"</f>
        <v>061</v>
      </c>
      <c r="I982" s="26" t="str">
        <f t="shared" si="166"/>
        <v>00</v>
      </c>
      <c r="J982" s="26" t="str">
        <f>"51 "</f>
        <v xml:space="preserve">51 </v>
      </c>
      <c r="K982" s="26" t="str">
        <f t="shared" si="167"/>
        <v>SG</v>
      </c>
      <c r="L982" s="26" t="str">
        <f t="shared" si="168"/>
        <v>DGOSE</v>
      </c>
      <c r="M982" s="26" t="str">
        <f t="shared" si="169"/>
        <v>PARTICULAR</v>
      </c>
      <c r="N982" s="26">
        <v>9</v>
      </c>
      <c r="O982" s="26">
        <v>4</v>
      </c>
      <c r="P982" s="26">
        <v>5</v>
      </c>
      <c r="Q982" s="26">
        <v>2</v>
      </c>
      <c r="R982" s="26">
        <v>2</v>
      </c>
      <c r="S982" s="26">
        <v>7</v>
      </c>
      <c r="T982" s="26">
        <v>0</v>
      </c>
      <c r="U982" s="26">
        <v>9</v>
      </c>
      <c r="V982" s="26">
        <v>1</v>
      </c>
      <c r="W982" s="26"/>
    </row>
    <row r="983" spans="1:23" x14ac:dyDescent="0.25">
      <c r="A983" s="26" t="str">
        <f t="shared" si="165"/>
        <v>SECUNDARIA</v>
      </c>
      <c r="B983" s="26" t="str">
        <f>"09PES0560W"</f>
        <v>09PES0560W</v>
      </c>
      <c r="C983" s="26" t="str">
        <f>"COLEGIO VERMONT                                                                                     "</f>
        <v xml:space="preserve">COLEGIO VERMONT                                                                                     </v>
      </c>
      <c r="D983" s="26" t="str">
        <f t="shared" si="164"/>
        <v>MATUTINO</v>
      </c>
      <c r="E983" s="26" t="str">
        <f>"AV SAN FRANCISCO NUM 109                                                        "</f>
        <v xml:space="preserve">AV SAN FRANCISCO NUM 109                                                        </v>
      </c>
      <c r="F983" s="26" t="str">
        <f>"SAN JERONIMO LIDICE                                                                                                                         "</f>
        <v xml:space="preserve">SAN JERONIMO LIDICE                                                                                                                         </v>
      </c>
      <c r="G983" s="26" t="str">
        <f>"LA MAGDALENA CONTRERAS                                                          "</f>
        <v xml:space="preserve">LA MAGDALENA CONTRERAS                                                          </v>
      </c>
      <c r="H983" s="26" t="str">
        <f>"058"</f>
        <v>058</v>
      </c>
      <c r="I983" s="26" t="str">
        <f t="shared" si="166"/>
        <v>00</v>
      </c>
      <c r="J983" s="26" t="str">
        <f>"53 "</f>
        <v xml:space="preserve">53 </v>
      </c>
      <c r="K983" s="26" t="str">
        <f t="shared" si="167"/>
        <v>SG</v>
      </c>
      <c r="L983" s="26" t="str">
        <f t="shared" si="168"/>
        <v>DGOSE</v>
      </c>
      <c r="M983" s="26" t="str">
        <f t="shared" si="169"/>
        <v>PARTICULAR</v>
      </c>
      <c r="N983" s="26">
        <v>155</v>
      </c>
      <c r="O983" s="26">
        <v>84</v>
      </c>
      <c r="P983" s="26">
        <v>71</v>
      </c>
      <c r="Q983" s="26">
        <v>8</v>
      </c>
      <c r="R983" s="26">
        <v>2</v>
      </c>
      <c r="S983" s="26">
        <v>20</v>
      </c>
      <c r="T983" s="26">
        <v>10</v>
      </c>
      <c r="U983" s="26">
        <v>32</v>
      </c>
      <c r="V983" s="26">
        <v>1</v>
      </c>
      <c r="W983" s="26"/>
    </row>
    <row r="984" spans="1:23" x14ac:dyDescent="0.25">
      <c r="A984" s="26" t="str">
        <f t="shared" si="165"/>
        <v>SECUNDARIA</v>
      </c>
      <c r="B984" s="26" t="str">
        <f>"09PES0561V"</f>
        <v>09PES0561V</v>
      </c>
      <c r="C984" s="26" t="str">
        <f>"CENTRO EDUCATIVO TOMAS MORO                                                                         "</f>
        <v xml:space="preserve">CENTRO EDUCATIVO TOMAS MORO                                                                         </v>
      </c>
      <c r="D984" s="26" t="str">
        <f t="shared" si="164"/>
        <v>MATUTINO</v>
      </c>
      <c r="E984" s="26" t="str">
        <f>"CALLE MAGUEY 64                                                                 "</f>
        <v xml:space="preserve">CALLE MAGUEY 64                                                                 </v>
      </c>
      <c r="F984" s="26" t="str">
        <f>"SAN JOSE DE LOS CEDROS                                                                                                                      "</f>
        <v xml:space="preserve">SAN JOSE DE LOS CEDROS                                                                                                                      </v>
      </c>
      <c r="G984" s="26" t="str">
        <f>"CUAJIMALPA DE MORELOS                                                           "</f>
        <v xml:space="preserve">CUAJIMALPA DE MORELOS                                                           </v>
      </c>
      <c r="H984" s="26" t="str">
        <f>"024"</f>
        <v>024</v>
      </c>
      <c r="I984" s="26" t="str">
        <f t="shared" si="166"/>
        <v>00</v>
      </c>
      <c r="J984" s="26" t="str">
        <f>"53 "</f>
        <v xml:space="preserve">53 </v>
      </c>
      <c r="K984" s="26" t="str">
        <f t="shared" si="167"/>
        <v>SG</v>
      </c>
      <c r="L984" s="26" t="str">
        <f t="shared" si="168"/>
        <v>DGOSE</v>
      </c>
      <c r="M984" s="26" t="str">
        <f t="shared" si="169"/>
        <v>PARTICULAR</v>
      </c>
      <c r="N984" s="26">
        <v>140</v>
      </c>
      <c r="O984" s="26">
        <v>71</v>
      </c>
      <c r="P984" s="26">
        <v>69</v>
      </c>
      <c r="Q984" s="26">
        <v>6</v>
      </c>
      <c r="R984" s="26">
        <v>2</v>
      </c>
      <c r="S984" s="26">
        <v>19</v>
      </c>
      <c r="T984" s="26">
        <v>6</v>
      </c>
      <c r="U984" s="26">
        <v>27</v>
      </c>
      <c r="V984" s="26">
        <v>1</v>
      </c>
      <c r="W984" s="26"/>
    </row>
    <row r="985" spans="1:23" x14ac:dyDescent="0.25">
      <c r="A985" s="26" t="str">
        <f t="shared" si="165"/>
        <v>SECUNDARIA</v>
      </c>
      <c r="B985" s="26" t="str">
        <f>"09PES0563T"</f>
        <v>09PES0563T</v>
      </c>
      <c r="C985" s="26" t="str">
        <f>"""SECUNDARIA ECA""                                                                                    "</f>
        <v xml:space="preserve">"SECUNDARIA ECA"                                                                                    </v>
      </c>
      <c r="D985" s="26" t="str">
        <f t="shared" si="164"/>
        <v>MATUTINO</v>
      </c>
      <c r="E985" s="26" t="str">
        <f>"CALLE B NUM. 20  MANZANA XI                                                     "</f>
        <v xml:space="preserve">CALLE B NUM. 20  MANZANA XI                                                     </v>
      </c>
      <c r="F985" s="26" t="str">
        <f>"EDUCACION                                                                                                                                   "</f>
        <v xml:space="preserve">EDUCACION                                                                                                                                   </v>
      </c>
      <c r="G985" s="26" t="str">
        <f>"COYOACAN                                                                        "</f>
        <v xml:space="preserve">COYOACAN                                                                        </v>
      </c>
      <c r="H985" s="26" t="str">
        <f>"019"</f>
        <v>019</v>
      </c>
      <c r="I985" s="26" t="str">
        <f t="shared" si="166"/>
        <v>00</v>
      </c>
      <c r="J985" s="26" t="str">
        <f>"54 "</f>
        <v xml:space="preserve">54 </v>
      </c>
      <c r="K985" s="26" t="str">
        <f t="shared" si="167"/>
        <v>SG</v>
      </c>
      <c r="L985" s="26" t="str">
        <f t="shared" si="168"/>
        <v>DGOSE</v>
      </c>
      <c r="M985" s="26" t="str">
        <f t="shared" si="169"/>
        <v>PARTICULAR</v>
      </c>
      <c r="N985" s="26">
        <v>200</v>
      </c>
      <c r="O985" s="26">
        <v>102</v>
      </c>
      <c r="P985" s="26">
        <v>98</v>
      </c>
      <c r="Q985" s="26">
        <v>8</v>
      </c>
      <c r="R985" s="26">
        <v>2</v>
      </c>
      <c r="S985" s="26">
        <v>15</v>
      </c>
      <c r="T985" s="26">
        <v>1</v>
      </c>
      <c r="U985" s="26">
        <v>18</v>
      </c>
      <c r="V985" s="26">
        <v>1</v>
      </c>
      <c r="W985" s="26"/>
    </row>
    <row r="986" spans="1:23" x14ac:dyDescent="0.25">
      <c r="A986" s="26" t="str">
        <f t="shared" si="165"/>
        <v>SECUNDARIA</v>
      </c>
      <c r="B986" s="26" t="str">
        <f>"09PES0564S"</f>
        <v>09PES0564S</v>
      </c>
      <c r="C986" s="26" t="str">
        <f>"LA ESCUELA DE LANCASTER                                                                             "</f>
        <v xml:space="preserve">LA ESCUELA DE LANCASTER                                                                             </v>
      </c>
      <c r="D986" s="26" t="str">
        <f t="shared" si="164"/>
        <v>MATUTINO</v>
      </c>
      <c r="E986" s="26" t="str">
        <f>"PROLONGACION CINCO DE MAYO NUMERO 67                                            "</f>
        <v xml:space="preserve">PROLONGACION CINCO DE MAYO NUMERO 67                                            </v>
      </c>
      <c r="F986" s="26" t="str">
        <f>"SAN PEDRO MARTIR                                                                                                                            "</f>
        <v xml:space="preserve">SAN PEDRO MARTIR                                                                                                                            </v>
      </c>
      <c r="G986" s="26" t="str">
        <f>"TLALPAN                                                                         "</f>
        <v xml:space="preserve">TLALPAN                                                                         </v>
      </c>
      <c r="H986" s="26" t="str">
        <f>"069"</f>
        <v>069</v>
      </c>
      <c r="I986" s="26" t="str">
        <f t="shared" si="166"/>
        <v>00</v>
      </c>
      <c r="J986" s="26" t="str">
        <f>"55 "</f>
        <v xml:space="preserve">55 </v>
      </c>
      <c r="K986" s="26" t="str">
        <f t="shared" si="167"/>
        <v>SG</v>
      </c>
      <c r="L986" s="26" t="str">
        <f t="shared" si="168"/>
        <v>DGOSE</v>
      </c>
      <c r="M986" s="26" t="str">
        <f t="shared" si="169"/>
        <v>PARTICULAR</v>
      </c>
      <c r="N986" s="26">
        <v>200</v>
      </c>
      <c r="O986" s="26">
        <v>101</v>
      </c>
      <c r="P986" s="26">
        <v>99</v>
      </c>
      <c r="Q986" s="26">
        <v>9</v>
      </c>
      <c r="R986" s="26">
        <v>2</v>
      </c>
      <c r="S986" s="26">
        <v>30</v>
      </c>
      <c r="T986" s="26">
        <v>15</v>
      </c>
      <c r="U986" s="26">
        <v>47</v>
      </c>
      <c r="V986" s="26">
        <v>1</v>
      </c>
      <c r="W986" s="26"/>
    </row>
    <row r="987" spans="1:23" x14ac:dyDescent="0.25">
      <c r="A987" s="26" t="str">
        <f t="shared" si="165"/>
        <v>SECUNDARIA</v>
      </c>
      <c r="B987" s="26" t="str">
        <f>"09PES0565R"</f>
        <v>09PES0565R</v>
      </c>
      <c r="C987" s="26" t="str">
        <f>"CLAUDINA THEVENET                                                                                   "</f>
        <v xml:space="preserve">CLAUDINA THEVENET                                                                                   </v>
      </c>
      <c r="D987" s="26" t="str">
        <f t="shared" si="164"/>
        <v>MATUTINO</v>
      </c>
      <c r="E987" s="26" t="str">
        <f>"SUR 128 NUMERO 15 Y 143                                                         "</f>
        <v xml:space="preserve">SUR 128 NUMERO 15 Y 143                                                         </v>
      </c>
      <c r="F987" s="26" t="str">
        <f>"LAS AMERICAS                                                                                                                                "</f>
        <v xml:space="preserve">LAS AMERICAS                                                                                                                                </v>
      </c>
      <c r="G987" s="26" t="str">
        <f>"ALVARO OBREGON                                                                  "</f>
        <v xml:space="preserve">ALVARO OBREGON                                                                  </v>
      </c>
      <c r="H987" s="26" t="str">
        <f>"003"</f>
        <v>003</v>
      </c>
      <c r="I987" s="26" t="str">
        <f t="shared" si="166"/>
        <v>00</v>
      </c>
      <c r="J987" s="26" t="str">
        <f>"53 "</f>
        <v xml:space="preserve">53 </v>
      </c>
      <c r="K987" s="26" t="str">
        <f t="shared" si="167"/>
        <v>SG</v>
      </c>
      <c r="L987" s="26" t="str">
        <f t="shared" si="168"/>
        <v>DGOSE</v>
      </c>
      <c r="M987" s="26" t="str">
        <f t="shared" si="169"/>
        <v>PARTICULAR</v>
      </c>
      <c r="N987" s="26">
        <v>213</v>
      </c>
      <c r="O987" s="26">
        <v>0</v>
      </c>
      <c r="P987" s="26">
        <v>213</v>
      </c>
      <c r="Q987" s="26">
        <v>6</v>
      </c>
      <c r="R987" s="26">
        <v>1</v>
      </c>
      <c r="S987" s="26">
        <v>13</v>
      </c>
      <c r="T987" s="26">
        <v>0</v>
      </c>
      <c r="U987" s="26">
        <v>14</v>
      </c>
      <c r="V987" s="26">
        <v>1</v>
      </c>
      <c r="W987" s="26"/>
    </row>
    <row r="988" spans="1:23" x14ac:dyDescent="0.25">
      <c r="A988" s="26" t="str">
        <f t="shared" si="165"/>
        <v>SECUNDARIA</v>
      </c>
      <c r="B988" s="26" t="str">
        <f>"09PES0566Q"</f>
        <v>09PES0566Q</v>
      </c>
      <c r="C988" s="26" t="str">
        <f>"DOMINGO SAVIO                                                                                       "</f>
        <v xml:space="preserve">DOMINGO SAVIO                                                                                       </v>
      </c>
      <c r="D988" s="26" t="str">
        <f t="shared" si="164"/>
        <v>MATUTINO</v>
      </c>
      <c r="E988" s="26" t="str">
        <f>"GRAL ARISTA 96                                                                  "</f>
        <v xml:space="preserve">GRAL ARISTA 96                                                                  </v>
      </c>
      <c r="F988" s="26" t="str">
        <f>"ARGENTINA PONIENTE                                                                                                                          "</f>
        <v xml:space="preserve">ARGENTINA PONIENTE                                                                                                                          </v>
      </c>
      <c r="G988" s="26" t="str">
        <f>"MIGUEL HIDALGO                                                                  "</f>
        <v xml:space="preserve">MIGUEL HIDALGO                                                                  </v>
      </c>
      <c r="H988" s="26" t="str">
        <f>"062"</f>
        <v>062</v>
      </c>
      <c r="I988" s="26" t="str">
        <f t="shared" si="166"/>
        <v>00</v>
      </c>
      <c r="J988" s="26" t="str">
        <f>"51 "</f>
        <v xml:space="preserve">51 </v>
      </c>
      <c r="K988" s="26" t="str">
        <f t="shared" si="167"/>
        <v>SG</v>
      </c>
      <c r="L988" s="26" t="str">
        <f t="shared" si="168"/>
        <v>DGOSE</v>
      </c>
      <c r="M988" s="26" t="str">
        <f t="shared" si="169"/>
        <v>PARTICULAR</v>
      </c>
      <c r="N988" s="26">
        <v>362</v>
      </c>
      <c r="O988" s="26">
        <v>189</v>
      </c>
      <c r="P988" s="26">
        <v>173</v>
      </c>
      <c r="Q988" s="26">
        <v>12</v>
      </c>
      <c r="R988" s="26">
        <v>2</v>
      </c>
      <c r="S988" s="26">
        <v>24</v>
      </c>
      <c r="T988" s="26">
        <v>7</v>
      </c>
      <c r="U988" s="26">
        <v>33</v>
      </c>
      <c r="V988" s="26">
        <v>1</v>
      </c>
      <c r="W988" s="26"/>
    </row>
    <row r="989" spans="1:23" x14ac:dyDescent="0.25">
      <c r="A989" s="26" t="str">
        <f t="shared" si="165"/>
        <v>SECUNDARIA</v>
      </c>
      <c r="B989" s="26" t="str">
        <f>"09PES0567P"</f>
        <v>09PES0567P</v>
      </c>
      <c r="C989" s="26" t="str">
        <f>"BERTA VON GLUMER                                                                                    "</f>
        <v xml:space="preserve">BERTA VON GLUMER                                                                                    </v>
      </c>
      <c r="D989" s="26" t="str">
        <f t="shared" si="164"/>
        <v>MATUTINO</v>
      </c>
      <c r="E989" s="26" t="str">
        <f>"PUEBLA 419                                                                      "</f>
        <v xml:space="preserve">PUEBLA 419                                                                      </v>
      </c>
      <c r="F989" s="26" t="str">
        <f>"ROMA NORTE                                                                                                                                  "</f>
        <v xml:space="preserve">ROMA NORTE                                                                                                                                  </v>
      </c>
      <c r="G989" s="26" t="str">
        <f>"CUAUHTEMOC                                                                      "</f>
        <v xml:space="preserve">CUAUHTEMOC                                                                      </v>
      </c>
      <c r="H989" s="26" t="str">
        <f>"029"</f>
        <v>029</v>
      </c>
      <c r="I989" s="26" t="str">
        <f t="shared" si="166"/>
        <v>00</v>
      </c>
      <c r="J989" s="26" t="str">
        <f>"51 "</f>
        <v xml:space="preserve">51 </v>
      </c>
      <c r="K989" s="26" t="str">
        <f t="shared" si="167"/>
        <v>SG</v>
      </c>
      <c r="L989" s="26" t="str">
        <f t="shared" si="168"/>
        <v>DGOSE</v>
      </c>
      <c r="M989" s="26" t="str">
        <f t="shared" si="169"/>
        <v>PARTICULAR</v>
      </c>
      <c r="N989" s="26">
        <v>165</v>
      </c>
      <c r="O989" s="26">
        <v>79</v>
      </c>
      <c r="P989" s="26">
        <v>86</v>
      </c>
      <c r="Q989" s="26">
        <v>6</v>
      </c>
      <c r="R989" s="26">
        <v>1</v>
      </c>
      <c r="S989" s="26">
        <v>19</v>
      </c>
      <c r="T989" s="26">
        <v>11</v>
      </c>
      <c r="U989" s="26">
        <v>31</v>
      </c>
      <c r="V989" s="26">
        <v>1</v>
      </c>
      <c r="W989" s="26"/>
    </row>
    <row r="990" spans="1:23" x14ac:dyDescent="0.25">
      <c r="A990" s="26" t="str">
        <f t="shared" si="165"/>
        <v>SECUNDARIA</v>
      </c>
      <c r="B990" s="26" t="str">
        <f>"09PES0568O"</f>
        <v>09PES0568O</v>
      </c>
      <c r="C990" s="26" t="str">
        <f>"ALEJANDRO GUILLOT                                                                                   "</f>
        <v xml:space="preserve">ALEJANDRO GUILLOT                                                                                   </v>
      </c>
      <c r="D990" s="26" t="str">
        <f t="shared" si="164"/>
        <v>MATUTINO</v>
      </c>
      <c r="E990" s="26" t="str">
        <f>"RANCHO CAMICHINES NUM 19                                                        "</f>
        <v xml:space="preserve">RANCHO CAMICHINES NUM 19                                                        </v>
      </c>
      <c r="F990" s="26" t="str">
        <f>"NUEVA ORIENTAL                                                                                                                              "</f>
        <v xml:space="preserve">NUEVA ORIENTAL                                                                                                                              </v>
      </c>
      <c r="G990" s="26" t="str">
        <f>"TLALPAN                                                                         "</f>
        <v xml:space="preserve">TLALPAN                                                                         </v>
      </c>
      <c r="H990" s="26" t="str">
        <f>"070"</f>
        <v>070</v>
      </c>
      <c r="I990" s="26" t="str">
        <f t="shared" si="166"/>
        <v>00</v>
      </c>
      <c r="J990" s="26" t="str">
        <f>"55 "</f>
        <v xml:space="preserve">55 </v>
      </c>
      <c r="K990" s="26" t="str">
        <f t="shared" si="167"/>
        <v>SG</v>
      </c>
      <c r="L990" s="26" t="str">
        <f t="shared" si="168"/>
        <v>DGOSE</v>
      </c>
      <c r="M990" s="26" t="str">
        <f t="shared" si="169"/>
        <v>PARTICULAR</v>
      </c>
      <c r="N990" s="26">
        <v>212</v>
      </c>
      <c r="O990" s="26">
        <v>108</v>
      </c>
      <c r="P990" s="26">
        <v>104</v>
      </c>
      <c r="Q990" s="26">
        <v>9</v>
      </c>
      <c r="R990" s="26">
        <v>2</v>
      </c>
      <c r="S990" s="26">
        <v>18</v>
      </c>
      <c r="T990" s="26">
        <v>2</v>
      </c>
      <c r="U990" s="26">
        <v>22</v>
      </c>
      <c r="V990" s="26">
        <v>1</v>
      </c>
      <c r="W990" s="26"/>
    </row>
    <row r="991" spans="1:23" x14ac:dyDescent="0.25">
      <c r="A991" s="26" t="str">
        <f t="shared" si="165"/>
        <v>SECUNDARIA</v>
      </c>
      <c r="B991" s="26" t="str">
        <f>"09PES0569N"</f>
        <v>09PES0569N</v>
      </c>
      <c r="C991" s="26" t="str">
        <f>"INSTITUTO DE ENSEÑANZA ACTUALIZADA                                                                  "</f>
        <v xml:space="preserve">INSTITUTO DE ENSEÑANZA ACTUALIZADA                                                                  </v>
      </c>
      <c r="D991" s="26" t="str">
        <f t="shared" si="164"/>
        <v>MATUTINO</v>
      </c>
      <c r="E991" s="26" t="str">
        <f>"ANTONIO SOLA NUM 65                                                             "</f>
        <v xml:space="preserve">ANTONIO SOLA NUM 65                                                             </v>
      </c>
      <c r="F991" s="26" t="str">
        <f>"CONDESA                                                                                                                                     "</f>
        <v xml:space="preserve">CONDESA                                                                                                                                     </v>
      </c>
      <c r="G991" s="26" t="str">
        <f>"CUAUHTEMOC                                                                      "</f>
        <v xml:space="preserve">CUAUHTEMOC                                                                      </v>
      </c>
      <c r="H991" s="26" t="str">
        <f>"029"</f>
        <v>029</v>
      </c>
      <c r="I991" s="26" t="str">
        <f t="shared" si="166"/>
        <v>00</v>
      </c>
      <c r="J991" s="26" t="str">
        <f>"51 "</f>
        <v xml:space="preserve">51 </v>
      </c>
      <c r="K991" s="26" t="str">
        <f t="shared" si="167"/>
        <v>SG</v>
      </c>
      <c r="L991" s="26" t="str">
        <f t="shared" si="168"/>
        <v>DGOSE</v>
      </c>
      <c r="M991" s="26" t="str">
        <f t="shared" si="169"/>
        <v>PARTICULAR</v>
      </c>
      <c r="N991" s="26">
        <v>63</v>
      </c>
      <c r="O991" s="26">
        <v>39</v>
      </c>
      <c r="P991" s="26">
        <v>24</v>
      </c>
      <c r="Q991" s="26">
        <v>3</v>
      </c>
      <c r="R991" s="26">
        <v>1</v>
      </c>
      <c r="S991" s="26">
        <v>11</v>
      </c>
      <c r="T991" s="26">
        <v>2</v>
      </c>
      <c r="U991" s="26">
        <v>14</v>
      </c>
      <c r="V991" s="26">
        <v>1</v>
      </c>
      <c r="W991" s="26"/>
    </row>
    <row r="992" spans="1:23" x14ac:dyDescent="0.25">
      <c r="A992" s="26" t="str">
        <f t="shared" si="165"/>
        <v>SECUNDARIA</v>
      </c>
      <c r="B992" s="26" t="str">
        <f>"09PES0570C"</f>
        <v>09PES0570C</v>
      </c>
      <c r="C992" s="26" t="str">
        <f>""" DECROLY ""                                                                                         "</f>
        <v xml:space="preserve">" DECROLY "                                                                                         </v>
      </c>
      <c r="D992" s="26" t="str">
        <f t="shared" si="164"/>
        <v>MATUTINO</v>
      </c>
      <c r="E992" s="26" t="str">
        <f>"UBICADO EN ZACATECAS NO 88                                                      "</f>
        <v xml:space="preserve">UBICADO EN ZACATECAS NO 88                                                      </v>
      </c>
      <c r="F992" s="26" t="str">
        <f>"ROMA NORTE                                                                                                                                  "</f>
        <v xml:space="preserve">ROMA NORTE                                                                                                                                  </v>
      </c>
      <c r="G992" s="26" t="str">
        <f>"CUAUHTEMOC                                                                      "</f>
        <v xml:space="preserve">CUAUHTEMOC                                                                      </v>
      </c>
      <c r="H992" s="26" t="str">
        <f>"030"</f>
        <v>030</v>
      </c>
      <c r="I992" s="26" t="str">
        <f t="shared" si="166"/>
        <v>00</v>
      </c>
      <c r="J992" s="26" t="str">
        <f>"51 "</f>
        <v xml:space="preserve">51 </v>
      </c>
      <c r="K992" s="26" t="str">
        <f t="shared" si="167"/>
        <v>SG</v>
      </c>
      <c r="L992" s="26" t="str">
        <f t="shared" si="168"/>
        <v>DGOSE</v>
      </c>
      <c r="M992" s="26" t="str">
        <f t="shared" si="169"/>
        <v>PARTICULAR</v>
      </c>
      <c r="N992" s="26">
        <v>64</v>
      </c>
      <c r="O992" s="26">
        <v>40</v>
      </c>
      <c r="P992" s="26">
        <v>24</v>
      </c>
      <c r="Q992" s="26">
        <v>4</v>
      </c>
      <c r="R992" s="26">
        <v>1</v>
      </c>
      <c r="S992" s="26">
        <v>10</v>
      </c>
      <c r="T992" s="26">
        <v>1</v>
      </c>
      <c r="U992" s="26">
        <v>12</v>
      </c>
      <c r="V992" s="26">
        <v>1</v>
      </c>
      <c r="W992" s="26"/>
    </row>
    <row r="993" spans="1:23" x14ac:dyDescent="0.25">
      <c r="A993" s="26" t="str">
        <f t="shared" si="165"/>
        <v>SECUNDARIA</v>
      </c>
      <c r="B993" s="26" t="str">
        <f>"09PES0573Z"</f>
        <v>09PES0573Z</v>
      </c>
      <c r="C993" s="26" t="str">
        <f>"TOMAS ALVA EDISON                                                                                   "</f>
        <v xml:space="preserve">TOMAS ALVA EDISON                                                                                   </v>
      </c>
      <c r="D993" s="26" t="str">
        <f t="shared" si="164"/>
        <v>MATUTINO</v>
      </c>
      <c r="E993" s="26" t="str">
        <f>"AMORES NUM 1213                                                                 "</f>
        <v xml:space="preserve">AMORES NUM 1213                                                                 </v>
      </c>
      <c r="F993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993" s="26" t="str">
        <f>"BENITO JUAREZ                                                                   "</f>
        <v xml:space="preserve">BENITO JUAREZ                                                                   </v>
      </c>
      <c r="H993" s="26" t="str">
        <f>"016"</f>
        <v>016</v>
      </c>
      <c r="I993" s="26" t="str">
        <f t="shared" si="166"/>
        <v>00</v>
      </c>
      <c r="J993" s="26" t="str">
        <f>"53 "</f>
        <v xml:space="preserve">53 </v>
      </c>
      <c r="K993" s="26" t="str">
        <f t="shared" si="167"/>
        <v>SG</v>
      </c>
      <c r="L993" s="26" t="str">
        <f t="shared" si="168"/>
        <v>DGOSE</v>
      </c>
      <c r="M993" s="26" t="str">
        <f t="shared" si="169"/>
        <v>PARTICULAR</v>
      </c>
      <c r="N993" s="26">
        <v>641</v>
      </c>
      <c r="O993" s="26">
        <v>316</v>
      </c>
      <c r="P993" s="26">
        <v>325</v>
      </c>
      <c r="Q993" s="26">
        <v>24</v>
      </c>
      <c r="R993" s="26">
        <v>2</v>
      </c>
      <c r="S993" s="26">
        <v>36</v>
      </c>
      <c r="T993" s="26">
        <v>13</v>
      </c>
      <c r="U993" s="26">
        <v>51</v>
      </c>
      <c r="V993" s="26">
        <v>1</v>
      </c>
      <c r="W993" s="26"/>
    </row>
    <row r="994" spans="1:23" x14ac:dyDescent="0.25">
      <c r="A994" s="26" t="str">
        <f t="shared" si="165"/>
        <v>SECUNDARIA</v>
      </c>
      <c r="B994" s="26" t="str">
        <f>"09PES0574Z"</f>
        <v>09PES0574Z</v>
      </c>
      <c r="C994" s="26" t="str">
        <f>"CENTRO ESCOLAR LANCASTER                                                                            "</f>
        <v xml:space="preserve">CENTRO ESCOLAR LANCASTER                                                                            </v>
      </c>
      <c r="D994" s="26" t="str">
        <f t="shared" si="164"/>
        <v>MATUTINO</v>
      </c>
      <c r="E994" s="26" t="str">
        <f>"HACIENDA LA ESCOLASTICA NUM 74                                                  "</f>
        <v xml:space="preserve">HACIENDA LA ESCOLASTICA NUM 74                                                  </v>
      </c>
      <c r="F994" s="26" t="str">
        <f>"LA PROVIDENCIA                                                                                                                              "</f>
        <v xml:space="preserve">LA PROVIDENCIA                                                                                                                              </v>
      </c>
      <c r="G994" s="26" t="str">
        <f>"AZCAPOTZALCO                                                                    "</f>
        <v xml:space="preserve">AZCAPOTZALCO                                                                    </v>
      </c>
      <c r="H994" s="26" t="str">
        <f>"007"</f>
        <v>007</v>
      </c>
      <c r="I994" s="26" t="str">
        <f t="shared" si="166"/>
        <v>00</v>
      </c>
      <c r="J994" s="26" t="str">
        <f>"51 "</f>
        <v xml:space="preserve">51 </v>
      </c>
      <c r="K994" s="26" t="str">
        <f t="shared" si="167"/>
        <v>SG</v>
      </c>
      <c r="L994" s="26" t="str">
        <f t="shared" si="168"/>
        <v>DGOSE</v>
      </c>
      <c r="M994" s="26" t="str">
        <f t="shared" si="169"/>
        <v>PARTICULAR</v>
      </c>
      <c r="N994" s="26">
        <v>196</v>
      </c>
      <c r="O994" s="26">
        <v>90</v>
      </c>
      <c r="P994" s="26">
        <v>106</v>
      </c>
      <c r="Q994" s="26">
        <v>7</v>
      </c>
      <c r="R994" s="26">
        <v>0</v>
      </c>
      <c r="S994" s="26">
        <v>15</v>
      </c>
      <c r="T994" s="26">
        <v>2</v>
      </c>
      <c r="U994" s="26">
        <v>17</v>
      </c>
      <c r="V994" s="26">
        <v>1</v>
      </c>
      <c r="W994" s="26"/>
    </row>
    <row r="995" spans="1:23" x14ac:dyDescent="0.25">
      <c r="A995" s="26" t="str">
        <f t="shared" si="165"/>
        <v>SECUNDARIA</v>
      </c>
      <c r="B995" s="26" t="str">
        <f>"09PES0575Y"</f>
        <v>09PES0575Y</v>
      </c>
      <c r="C995" s="26" t="str">
        <f>"CAMPESTRE DE MEXICO                                                                                 "</f>
        <v xml:space="preserve">CAMPESTRE DE MEXICO                                                                                 </v>
      </c>
      <c r="D995" s="26" t="str">
        <f t="shared" si="164"/>
        <v>MATUTINO</v>
      </c>
      <c r="E995" s="26" t="str">
        <f>"CALLE DE LA BOLSA NUM 456                                                       "</f>
        <v xml:space="preserve">CALLE DE LA BOLSA NUM 456                                                       </v>
      </c>
      <c r="F995" s="26" t="str">
        <f>"CONTADERO                                                                                                                                   "</f>
        <v xml:space="preserve">CONTADERO                                                                                                                                   </v>
      </c>
      <c r="G995" s="26" t="str">
        <f>"CUAJIMALPA DE MORELOS                                                           "</f>
        <v xml:space="preserve">CUAJIMALPA DE MORELOS                                                           </v>
      </c>
      <c r="H995" s="26" t="str">
        <f>"024"</f>
        <v>024</v>
      </c>
      <c r="I995" s="26" t="str">
        <f t="shared" si="166"/>
        <v>00</v>
      </c>
      <c r="J995" s="26" t="str">
        <f>"53 "</f>
        <v xml:space="preserve">53 </v>
      </c>
      <c r="K995" s="26" t="str">
        <f t="shared" si="167"/>
        <v>SG</v>
      </c>
      <c r="L995" s="26" t="str">
        <f t="shared" si="168"/>
        <v>DGOSE</v>
      </c>
      <c r="M995" s="26" t="str">
        <f t="shared" si="169"/>
        <v>PARTICULAR</v>
      </c>
      <c r="N995" s="26">
        <v>105</v>
      </c>
      <c r="O995" s="26">
        <v>67</v>
      </c>
      <c r="P995" s="26">
        <v>38</v>
      </c>
      <c r="Q995" s="26">
        <v>6</v>
      </c>
      <c r="R995" s="26">
        <v>1</v>
      </c>
      <c r="S995" s="26">
        <v>12</v>
      </c>
      <c r="T995" s="26">
        <v>7</v>
      </c>
      <c r="U995" s="26">
        <v>20</v>
      </c>
      <c r="V995" s="26">
        <v>1</v>
      </c>
      <c r="W995" s="26"/>
    </row>
    <row r="996" spans="1:23" x14ac:dyDescent="0.25">
      <c r="A996" s="26" t="str">
        <f t="shared" si="165"/>
        <v>SECUNDARIA</v>
      </c>
      <c r="B996" s="26" t="str">
        <f>"09PES0576X"</f>
        <v>09PES0576X</v>
      </c>
      <c r="C996" s="26" t="str">
        <f>"""WEBSTER""                                                                                           "</f>
        <v xml:space="preserve">"WEBSTER"                                                                                           </v>
      </c>
      <c r="D996" s="26" t="str">
        <f t="shared" si="164"/>
        <v>MATUTINO</v>
      </c>
      <c r="E996" s="26" t="str">
        <f>"FLORES MAGON NUM 62                                                             "</f>
        <v xml:space="preserve">FLORES MAGON NUM 62                                                             </v>
      </c>
      <c r="F996" s="26" t="str">
        <f>"SANTA TERESA                                                                                                                                "</f>
        <v xml:space="preserve">SANTA TERESA                                                                                                                                </v>
      </c>
      <c r="G996" s="26" t="str">
        <f>"LA MAGDALENA CONTRERAS                                                          "</f>
        <v xml:space="preserve">LA MAGDALENA CONTRERAS                                                          </v>
      </c>
      <c r="H996" s="26" t="str">
        <f>"059"</f>
        <v>059</v>
      </c>
      <c r="I996" s="26" t="str">
        <f t="shared" si="166"/>
        <v>00</v>
      </c>
      <c r="J996" s="26" t="str">
        <f>"53 "</f>
        <v xml:space="preserve">53 </v>
      </c>
      <c r="K996" s="26" t="str">
        <f t="shared" si="167"/>
        <v>SG</v>
      </c>
      <c r="L996" s="26" t="str">
        <f t="shared" si="168"/>
        <v>DGOSE</v>
      </c>
      <c r="M996" s="26" t="str">
        <f t="shared" si="169"/>
        <v>PARTICULAR</v>
      </c>
      <c r="N996" s="26">
        <v>42</v>
      </c>
      <c r="O996" s="26">
        <v>23</v>
      </c>
      <c r="P996" s="26">
        <v>19</v>
      </c>
      <c r="Q996" s="26">
        <v>3</v>
      </c>
      <c r="R996" s="26">
        <v>1</v>
      </c>
      <c r="S996" s="26">
        <v>14</v>
      </c>
      <c r="T996" s="26">
        <v>2</v>
      </c>
      <c r="U996" s="26">
        <v>17</v>
      </c>
      <c r="V996" s="26">
        <v>1</v>
      </c>
      <c r="W996" s="26"/>
    </row>
    <row r="997" spans="1:23" x14ac:dyDescent="0.25">
      <c r="A997" s="26" t="str">
        <f t="shared" si="165"/>
        <v>SECUNDARIA</v>
      </c>
      <c r="B997" s="26" t="str">
        <f>"09PES0578V"</f>
        <v>09PES0578V</v>
      </c>
      <c r="C997" s="26" t="str">
        <f>"INSTITUTO CULTURAL EDUCATIVO FRATELLI                                                               "</f>
        <v xml:space="preserve">INSTITUTO CULTURAL EDUCATIVO FRATELLI                                                               </v>
      </c>
      <c r="D997" s="26" t="str">
        <f t="shared" si="164"/>
        <v>MATUTINO</v>
      </c>
      <c r="E997" s="26" t="str">
        <f>"AVENIDA DE LOS ARCOS NUM. 157 (ANTES 160)                                       "</f>
        <v xml:space="preserve">AVENIDA DE LOS ARCOS NUM. 157 (ANTES 160)                                       </v>
      </c>
      <c r="F997" s="26" t="str">
        <f>"JARDINES DEL SUR FRACCIONAMIENTO                                                                                                            "</f>
        <v xml:space="preserve">JARDINES DEL SUR FRACCIONAMIENTO                                                                                                            </v>
      </c>
      <c r="G997" s="26" t="str">
        <f>"XOCHIMILCO                                                                      "</f>
        <v xml:space="preserve">XOCHIMILCO                                                                      </v>
      </c>
      <c r="H997" s="26" t="str">
        <f>"081"</f>
        <v>081</v>
      </c>
      <c r="I997" s="26" t="str">
        <f t="shared" si="166"/>
        <v>00</v>
      </c>
      <c r="J997" s="26" t="str">
        <f>"55 "</f>
        <v xml:space="preserve">55 </v>
      </c>
      <c r="K997" s="26" t="str">
        <f t="shared" si="167"/>
        <v>SG</v>
      </c>
      <c r="L997" s="26" t="str">
        <f t="shared" si="168"/>
        <v>DGOSE</v>
      </c>
      <c r="M997" s="26" t="str">
        <f t="shared" si="169"/>
        <v>PARTICULAR</v>
      </c>
      <c r="N997" s="26">
        <v>43</v>
      </c>
      <c r="O997" s="26">
        <v>23</v>
      </c>
      <c r="P997" s="26">
        <v>20</v>
      </c>
      <c r="Q997" s="26">
        <v>3</v>
      </c>
      <c r="R997" s="26">
        <v>2</v>
      </c>
      <c r="S997" s="26">
        <v>11</v>
      </c>
      <c r="T997" s="26">
        <v>2</v>
      </c>
      <c r="U997" s="26">
        <v>15</v>
      </c>
      <c r="V997" s="26">
        <v>1</v>
      </c>
      <c r="W997" s="26"/>
    </row>
    <row r="998" spans="1:23" x14ac:dyDescent="0.25">
      <c r="A998" s="26" t="str">
        <f t="shared" si="165"/>
        <v>SECUNDARIA</v>
      </c>
      <c r="B998" s="26" t="str">
        <f>"09PES0579U"</f>
        <v>09PES0579U</v>
      </c>
      <c r="C998" s="26" t="str">
        <f>"COLEGIO CLAPAREDE                                                                                   "</f>
        <v xml:space="preserve">COLEGIO CLAPAREDE                                                                                   </v>
      </c>
      <c r="D998" s="26" t="str">
        <f t="shared" si="164"/>
        <v>MATUTINO</v>
      </c>
      <c r="E998" s="26" t="str">
        <f>"CALLE DE MIGUEL ANGEL NUM 73                                                    "</f>
        <v xml:space="preserve">CALLE DE MIGUEL ANGEL NUM 73                                                    </v>
      </c>
      <c r="F998" s="26" t="str">
        <f>"MIXCOAC                                                                                                                                     "</f>
        <v xml:space="preserve">MIXCOAC                                                                                                                                     </v>
      </c>
      <c r="G998" s="26" t="str">
        <f>"BENITO JUAREZ                                                                   "</f>
        <v xml:space="preserve">BENITO JUAREZ                                                                   </v>
      </c>
      <c r="H998" s="26" t="str">
        <f>"011"</f>
        <v>011</v>
      </c>
      <c r="I998" s="26" t="str">
        <f t="shared" si="166"/>
        <v>00</v>
      </c>
      <c r="J998" s="26" t="str">
        <f>"53 "</f>
        <v xml:space="preserve">53 </v>
      </c>
      <c r="K998" s="26" t="str">
        <f t="shared" si="167"/>
        <v>SG</v>
      </c>
      <c r="L998" s="26" t="str">
        <f t="shared" si="168"/>
        <v>DGOSE</v>
      </c>
      <c r="M998" s="26" t="str">
        <f t="shared" si="169"/>
        <v>PARTICULAR</v>
      </c>
      <c r="N998" s="26">
        <v>35</v>
      </c>
      <c r="O998" s="26">
        <v>22</v>
      </c>
      <c r="P998" s="26">
        <v>13</v>
      </c>
      <c r="Q998" s="26">
        <v>3</v>
      </c>
      <c r="R998" s="26">
        <v>1</v>
      </c>
      <c r="S998" s="26">
        <v>17</v>
      </c>
      <c r="T998" s="26">
        <v>1</v>
      </c>
      <c r="U998" s="26">
        <v>19</v>
      </c>
      <c r="V998" s="26">
        <v>1</v>
      </c>
      <c r="W998" s="26"/>
    </row>
    <row r="999" spans="1:23" x14ac:dyDescent="0.25">
      <c r="A999" s="26" t="str">
        <f t="shared" si="165"/>
        <v>SECUNDARIA</v>
      </c>
      <c r="B999" s="26" t="str">
        <f>"09PES0581I"</f>
        <v>09PES0581I</v>
      </c>
      <c r="C999" s="26" t="str">
        <f>"RODRIGO ORTEGA OROPEZA                                                                              "</f>
        <v xml:space="preserve">RODRIGO ORTEGA OROPEZA                                                                              </v>
      </c>
      <c r="D999" s="26" t="str">
        <f t="shared" si="164"/>
        <v>MATUTINO</v>
      </c>
      <c r="E999" s="26" t="str">
        <f>"AMADO NERVO NUM 70                                                              "</f>
        <v xml:space="preserve">AMADO NERVO NUM 70                                                              </v>
      </c>
      <c r="F999" s="26" t="str">
        <f>"MODERNA                                                                                                                                     "</f>
        <v xml:space="preserve">MODERNA                                                                                                                                     </v>
      </c>
      <c r="G999" s="26" t="str">
        <f>"BENITO JUAREZ                                                                   "</f>
        <v xml:space="preserve">BENITO JUAREZ                                                                   </v>
      </c>
      <c r="H999" s="26" t="str">
        <f>"013"</f>
        <v>013</v>
      </c>
      <c r="I999" s="26" t="str">
        <f t="shared" si="166"/>
        <v>00</v>
      </c>
      <c r="J999" s="26" t="str">
        <f>"53 "</f>
        <v xml:space="preserve">53 </v>
      </c>
      <c r="K999" s="26" t="str">
        <f t="shared" si="167"/>
        <v>SG</v>
      </c>
      <c r="L999" s="26" t="str">
        <f t="shared" si="168"/>
        <v>DGOSE</v>
      </c>
      <c r="M999" s="26" t="str">
        <f t="shared" si="169"/>
        <v>PARTICULAR</v>
      </c>
      <c r="N999" s="26">
        <v>48</v>
      </c>
      <c r="O999" s="26">
        <v>27</v>
      </c>
      <c r="P999" s="26">
        <v>21</v>
      </c>
      <c r="Q999" s="26">
        <v>3</v>
      </c>
      <c r="R999" s="26">
        <v>1</v>
      </c>
      <c r="S999" s="26">
        <v>11</v>
      </c>
      <c r="T999" s="26">
        <v>0</v>
      </c>
      <c r="U999" s="26">
        <v>12</v>
      </c>
      <c r="V999" s="26">
        <v>1</v>
      </c>
      <c r="W999" s="26"/>
    </row>
    <row r="1000" spans="1:23" x14ac:dyDescent="0.25">
      <c r="A1000" s="26" t="str">
        <f t="shared" si="165"/>
        <v>SECUNDARIA</v>
      </c>
      <c r="B1000" s="26" t="str">
        <f>"09PES0584F"</f>
        <v>09PES0584F</v>
      </c>
      <c r="C1000" s="26" t="str">
        <f>"MANUEL ACOSTA                                                                                       "</f>
        <v xml:space="preserve">MANUEL ACOSTA                                                                                       </v>
      </c>
      <c r="D1000" s="26" t="str">
        <f t="shared" si="164"/>
        <v>MATUTINO</v>
      </c>
      <c r="E1000" s="26" t="str">
        <f>"RIO SENA NUM 42                                                                 "</f>
        <v xml:space="preserve">RIO SENA NUM 42                                                                 </v>
      </c>
      <c r="F1000" s="26" t="str">
        <f>"CUAUHTEMOC                                                                                                                                  "</f>
        <v xml:space="preserve">CUAUHTEMOC                                                                                                                                  </v>
      </c>
      <c r="G1000" s="26" t="str">
        <f>"CUAUHTEMOC                                                                      "</f>
        <v xml:space="preserve">CUAUHTEMOC                                                                      </v>
      </c>
      <c r="H1000" s="26" t="str">
        <f>"029"</f>
        <v>029</v>
      </c>
      <c r="I1000" s="26" t="str">
        <f t="shared" si="166"/>
        <v>00</v>
      </c>
      <c r="J1000" s="26" t="str">
        <f>"51 "</f>
        <v xml:space="preserve">51 </v>
      </c>
      <c r="K1000" s="26" t="str">
        <f t="shared" si="167"/>
        <v>SG</v>
      </c>
      <c r="L1000" s="26" t="str">
        <f t="shared" si="168"/>
        <v>DGOSE</v>
      </c>
      <c r="M1000" s="26" t="str">
        <f t="shared" si="169"/>
        <v>PARTICULAR</v>
      </c>
      <c r="N1000" s="26">
        <v>218</v>
      </c>
      <c r="O1000" s="26">
        <v>119</v>
      </c>
      <c r="P1000" s="26">
        <v>99</v>
      </c>
      <c r="Q1000" s="26">
        <v>8</v>
      </c>
      <c r="R1000" s="26">
        <v>2</v>
      </c>
      <c r="S1000" s="26">
        <v>25</v>
      </c>
      <c r="T1000" s="26">
        <v>6</v>
      </c>
      <c r="U1000" s="26">
        <v>33</v>
      </c>
      <c r="V1000" s="26">
        <v>1</v>
      </c>
      <c r="W1000" s="26"/>
    </row>
    <row r="1001" spans="1:23" x14ac:dyDescent="0.25">
      <c r="A1001" s="26" t="str">
        <f t="shared" si="165"/>
        <v>SECUNDARIA</v>
      </c>
      <c r="B1001" s="26" t="str">
        <f>"09PES0586D"</f>
        <v>09PES0586D</v>
      </c>
      <c r="C1001" s="26" t="str">
        <f>"ESCUELA CONTINENTAL                                                                                 "</f>
        <v xml:space="preserve">ESCUELA CONTINENTAL                                                                                 </v>
      </c>
      <c r="D1001" s="26" t="str">
        <f t="shared" si="164"/>
        <v>MATUTINO</v>
      </c>
      <c r="E1001" s="26" t="str">
        <f>"ALGODONALES 56                                                                  "</f>
        <v xml:space="preserve">ALGODONALES 56                                                                  </v>
      </c>
      <c r="F1001" s="26" t="str">
        <f>"RINCONADA COAPA                                                                                                                             "</f>
        <v xml:space="preserve">RINCONADA COAPA                                                                                                                             </v>
      </c>
      <c r="G1001" s="26" t="str">
        <f>"TLALPAN                                                                         "</f>
        <v xml:space="preserve">TLALPAN                                                                         </v>
      </c>
      <c r="H1001" s="26" t="str">
        <f>"070"</f>
        <v>070</v>
      </c>
      <c r="I1001" s="26" t="str">
        <f t="shared" si="166"/>
        <v>00</v>
      </c>
      <c r="J1001" s="26" t="str">
        <f>"55 "</f>
        <v xml:space="preserve">55 </v>
      </c>
      <c r="K1001" s="26" t="str">
        <f t="shared" si="167"/>
        <v>SG</v>
      </c>
      <c r="L1001" s="26" t="str">
        <f t="shared" si="168"/>
        <v>DGOSE</v>
      </c>
      <c r="M1001" s="26" t="str">
        <f t="shared" si="169"/>
        <v>PARTICULAR</v>
      </c>
      <c r="N1001" s="26">
        <v>284</v>
      </c>
      <c r="O1001" s="26">
        <v>146</v>
      </c>
      <c r="P1001" s="26">
        <v>138</v>
      </c>
      <c r="Q1001" s="26">
        <v>9</v>
      </c>
      <c r="R1001" s="26">
        <v>2</v>
      </c>
      <c r="S1001" s="26">
        <v>17</v>
      </c>
      <c r="T1001" s="26">
        <v>11</v>
      </c>
      <c r="U1001" s="26">
        <v>30</v>
      </c>
      <c r="V1001" s="26">
        <v>1</v>
      </c>
      <c r="W1001" s="26"/>
    </row>
    <row r="1002" spans="1:23" x14ac:dyDescent="0.25">
      <c r="A1002" s="26" t="str">
        <f t="shared" si="165"/>
        <v>SECUNDARIA</v>
      </c>
      <c r="B1002" s="26" t="str">
        <f>"09PES0587C"</f>
        <v>09PES0587C</v>
      </c>
      <c r="C1002" s="26" t="str">
        <f>"""ESCUELA SECUNDARIA TEKAX""                                                                          "</f>
        <v xml:space="preserve">"ESCUELA SECUNDARIA TEKAX"                                                                          </v>
      </c>
      <c r="D1002" s="26" t="str">
        <f t="shared" si="164"/>
        <v>MATUTINO</v>
      </c>
      <c r="E1002" s="26" t="str">
        <f>"TULUM Y TIZIMIN NUM 187-1                                                       "</f>
        <v xml:space="preserve">TULUM Y TIZIMIN NUM 187-1                                                       </v>
      </c>
      <c r="F1002" s="26" t="str">
        <f>"HEROES DE PADIERNA                                                                                                                          "</f>
        <v xml:space="preserve">HEROES DE PADIERNA                                                                                                                          </v>
      </c>
      <c r="G1002" s="26" t="str">
        <f>"TLALPAN                                                                         "</f>
        <v xml:space="preserve">TLALPAN                                                                         </v>
      </c>
      <c r="H1002" s="26" t="str">
        <f>"071"</f>
        <v>071</v>
      </c>
      <c r="I1002" s="26" t="str">
        <f t="shared" si="166"/>
        <v>00</v>
      </c>
      <c r="J1002" s="26" t="str">
        <f>"55 "</f>
        <v xml:space="preserve">55 </v>
      </c>
      <c r="K1002" s="26" t="str">
        <f t="shared" si="167"/>
        <v>SG</v>
      </c>
      <c r="L1002" s="26" t="str">
        <f t="shared" si="168"/>
        <v>DGOSE</v>
      </c>
      <c r="M1002" s="26" t="str">
        <f t="shared" si="169"/>
        <v>PARTICULAR</v>
      </c>
      <c r="N1002" s="26">
        <v>94</v>
      </c>
      <c r="O1002" s="26">
        <v>37</v>
      </c>
      <c r="P1002" s="26">
        <v>57</v>
      </c>
      <c r="Q1002" s="26">
        <v>3</v>
      </c>
      <c r="R1002" s="26">
        <v>2</v>
      </c>
      <c r="S1002" s="26">
        <v>14</v>
      </c>
      <c r="T1002" s="26">
        <v>2</v>
      </c>
      <c r="U1002" s="26">
        <v>18</v>
      </c>
      <c r="V1002" s="26">
        <v>1</v>
      </c>
      <c r="W1002" s="26"/>
    </row>
    <row r="1003" spans="1:23" x14ac:dyDescent="0.25">
      <c r="A1003" s="26" t="str">
        <f t="shared" si="165"/>
        <v>SECUNDARIA</v>
      </c>
      <c r="B1003" s="26" t="str">
        <f>"09PES0588B"</f>
        <v>09PES0588B</v>
      </c>
      <c r="C1003" s="26" t="str">
        <f>"INSTITUTO ATENIENSE                                                                                 "</f>
        <v xml:space="preserve">INSTITUTO ATENIENSE                                                                                 </v>
      </c>
      <c r="D1003" s="26" t="str">
        <f t="shared" si="164"/>
        <v>MATUTINO</v>
      </c>
      <c r="E1003" s="26" t="str">
        <f>"ELSA NUM 7                                                                      "</f>
        <v xml:space="preserve">ELSA NUM 7                                                                      </v>
      </c>
      <c r="F1003" s="26" t="str">
        <f>"GUADALUPE TEPEYAC                                                                                                                           "</f>
        <v xml:space="preserve">GUADALUPE TEPEYAC                                                                                                                           </v>
      </c>
      <c r="G1003" s="26" t="str">
        <f>"GUSTAVO A. MADERO                                                               "</f>
        <v xml:space="preserve">GUSTAVO A. MADERO                                                               </v>
      </c>
      <c r="H1003" s="26" t="str">
        <f>"036"</f>
        <v>036</v>
      </c>
      <c r="I1003" s="26" t="str">
        <f t="shared" si="166"/>
        <v>00</v>
      </c>
      <c r="J1003" s="26" t="str">
        <f>"52 "</f>
        <v xml:space="preserve">52 </v>
      </c>
      <c r="K1003" s="26" t="str">
        <f t="shared" si="167"/>
        <v>SG</v>
      </c>
      <c r="L1003" s="26" t="str">
        <f t="shared" si="168"/>
        <v>DGOSE</v>
      </c>
      <c r="M1003" s="26" t="str">
        <f t="shared" si="169"/>
        <v>PARTICULAR</v>
      </c>
      <c r="N1003" s="26">
        <v>102</v>
      </c>
      <c r="O1003" s="26">
        <v>59</v>
      </c>
      <c r="P1003" s="26">
        <v>43</v>
      </c>
      <c r="Q1003" s="26">
        <v>3</v>
      </c>
      <c r="R1003" s="26">
        <v>2</v>
      </c>
      <c r="S1003" s="26">
        <v>9</v>
      </c>
      <c r="T1003" s="26">
        <v>2</v>
      </c>
      <c r="U1003" s="26">
        <v>13</v>
      </c>
      <c r="V1003" s="26">
        <v>1</v>
      </c>
      <c r="W1003" s="26"/>
    </row>
    <row r="1004" spans="1:23" x14ac:dyDescent="0.25">
      <c r="A1004" s="26" t="str">
        <f t="shared" si="165"/>
        <v>SECUNDARIA</v>
      </c>
      <c r="B1004" s="26" t="str">
        <f>"09PES0590Q"</f>
        <v>09PES0590Q</v>
      </c>
      <c r="C1004" s="26" t="str">
        <f>"EUGENIO ALCALA                                                                                      "</f>
        <v xml:space="preserve">EUGENIO ALCALA                                                                                      </v>
      </c>
      <c r="D1004" s="26" t="str">
        <f t="shared" si="164"/>
        <v>MATUTINO</v>
      </c>
      <c r="E1004" s="26" t="str">
        <f>"AV 3 NUM 61                                                                     "</f>
        <v xml:space="preserve">AV 3 NUM 61                                                                     </v>
      </c>
      <c r="F1004" s="26" t="str">
        <f>"SAN PEDRO DE LOS PINOS                                                                                                                      "</f>
        <v xml:space="preserve">SAN PEDRO DE LOS PINOS                                                                                                                      </v>
      </c>
      <c r="G1004" s="26" t="str">
        <f>"BENITO JUAREZ                                                                   "</f>
        <v xml:space="preserve">BENITO JUAREZ                                                                   </v>
      </c>
      <c r="H1004" s="26" t="str">
        <f>"011"</f>
        <v>011</v>
      </c>
      <c r="I1004" s="26" t="str">
        <f t="shared" si="166"/>
        <v>00</v>
      </c>
      <c r="J1004" s="26" t="str">
        <f>"53 "</f>
        <v xml:space="preserve">53 </v>
      </c>
      <c r="K1004" s="26" t="str">
        <f t="shared" si="167"/>
        <v>SG</v>
      </c>
      <c r="L1004" s="26" t="str">
        <f t="shared" si="168"/>
        <v>DGOSE</v>
      </c>
      <c r="M1004" s="26" t="str">
        <f t="shared" si="169"/>
        <v>PARTICULAR</v>
      </c>
      <c r="N1004" s="26">
        <v>44</v>
      </c>
      <c r="O1004" s="26">
        <v>23</v>
      </c>
      <c r="P1004" s="26">
        <v>21</v>
      </c>
      <c r="Q1004" s="26">
        <v>3</v>
      </c>
      <c r="R1004" s="26">
        <v>1</v>
      </c>
      <c r="S1004" s="26">
        <v>12</v>
      </c>
      <c r="T1004" s="26">
        <v>2</v>
      </c>
      <c r="U1004" s="26">
        <v>15</v>
      </c>
      <c r="V1004" s="26">
        <v>1</v>
      </c>
      <c r="W1004" s="26"/>
    </row>
    <row r="1005" spans="1:23" x14ac:dyDescent="0.25">
      <c r="A1005" s="26" t="str">
        <f t="shared" si="165"/>
        <v>SECUNDARIA</v>
      </c>
      <c r="B1005" s="26" t="str">
        <f>"09PES0591P"</f>
        <v>09PES0591P</v>
      </c>
      <c r="C1005" s="26" t="str">
        <f>"COMUNIDAD EDUCATIVA MONTESSORI                                                                      "</f>
        <v xml:space="preserve">COMUNIDAD EDUCATIVA MONTESSORI                                                                      </v>
      </c>
      <c r="D1005" s="26" t="str">
        <f t="shared" si="164"/>
        <v>MATUTINO</v>
      </c>
      <c r="E1005" s="26" t="str">
        <f>"CUAUHTEMOC NUMERO 329                                                           "</f>
        <v xml:space="preserve">CUAUHTEMOC NUMERO 329                                                           </v>
      </c>
      <c r="F1005" s="26" t="str">
        <f>"SANTA MARIA TEPEPAN                                                                                                                         "</f>
        <v xml:space="preserve">SANTA MARIA TEPEPAN                                                                                                                         </v>
      </c>
      <c r="G1005" s="26" t="str">
        <f>"XOCHIMILCO                                                                      "</f>
        <v xml:space="preserve">XOCHIMILCO                                                                      </v>
      </c>
      <c r="H1005" s="26" t="str">
        <f>"080"</f>
        <v>080</v>
      </c>
      <c r="I1005" s="26" t="str">
        <f t="shared" si="166"/>
        <v>00</v>
      </c>
      <c r="J1005" s="26" t="str">
        <f>"55 "</f>
        <v xml:space="preserve">55 </v>
      </c>
      <c r="K1005" s="26" t="str">
        <f t="shared" si="167"/>
        <v>SG</v>
      </c>
      <c r="L1005" s="26" t="str">
        <f t="shared" si="168"/>
        <v>DGOSE</v>
      </c>
      <c r="M1005" s="26" t="str">
        <f t="shared" si="169"/>
        <v>PARTICULAR</v>
      </c>
      <c r="N1005" s="26">
        <v>44</v>
      </c>
      <c r="O1005" s="26">
        <v>29</v>
      </c>
      <c r="P1005" s="26">
        <v>15</v>
      </c>
      <c r="Q1005" s="26">
        <v>3</v>
      </c>
      <c r="R1005" s="26">
        <v>1</v>
      </c>
      <c r="S1005" s="26">
        <v>13</v>
      </c>
      <c r="T1005" s="26">
        <v>2</v>
      </c>
      <c r="U1005" s="26">
        <v>16</v>
      </c>
      <c r="V1005" s="26">
        <v>1</v>
      </c>
      <c r="W1005" s="26"/>
    </row>
    <row r="1006" spans="1:23" x14ac:dyDescent="0.25">
      <c r="A1006" s="26" t="str">
        <f t="shared" si="165"/>
        <v>SECUNDARIA</v>
      </c>
      <c r="B1006" s="26" t="str">
        <f>"09PES0592O"</f>
        <v>09PES0592O</v>
      </c>
      <c r="C1006" s="26" t="str">
        <f>"COLEGIO LOWELL                                                                                      "</f>
        <v xml:space="preserve">COLEGIO LOWELL                                                                                      </v>
      </c>
      <c r="D1006" s="26" t="str">
        <f t="shared" si="164"/>
        <v>MATUTINO</v>
      </c>
      <c r="E1006" s="26" t="str">
        <f>"SANTIAGO NUM 451                                                                "</f>
        <v xml:space="preserve">SANTIAGO NUM 451                                                                </v>
      </c>
      <c r="F1006" s="26" t="str">
        <f>"SAN JERONIMO LIDICE                                                                                                                         "</f>
        <v xml:space="preserve">SAN JERONIMO LIDICE                                                                                                                         </v>
      </c>
      <c r="G1006" s="26" t="str">
        <f>"LA MAGDALENA CONTRERAS                                                          "</f>
        <v xml:space="preserve">LA MAGDALENA CONTRERAS                                                          </v>
      </c>
      <c r="H1006" s="26" t="str">
        <f>"059"</f>
        <v>059</v>
      </c>
      <c r="I1006" s="26" t="str">
        <f t="shared" si="166"/>
        <v>00</v>
      </c>
      <c r="J1006" s="26" t="str">
        <f>"53 "</f>
        <v xml:space="preserve">53 </v>
      </c>
      <c r="K1006" s="26" t="str">
        <f t="shared" si="167"/>
        <v>SG</v>
      </c>
      <c r="L1006" s="26" t="str">
        <f t="shared" si="168"/>
        <v>DGOSE</v>
      </c>
      <c r="M1006" s="26" t="str">
        <f t="shared" si="169"/>
        <v>PARTICULAR</v>
      </c>
      <c r="N1006" s="26">
        <v>92</v>
      </c>
      <c r="O1006" s="26">
        <v>44</v>
      </c>
      <c r="P1006" s="26">
        <v>48</v>
      </c>
      <c r="Q1006" s="26">
        <v>3</v>
      </c>
      <c r="R1006" s="26">
        <v>1</v>
      </c>
      <c r="S1006" s="26">
        <v>9</v>
      </c>
      <c r="T1006" s="26">
        <v>5</v>
      </c>
      <c r="U1006" s="26">
        <v>15</v>
      </c>
      <c r="V1006" s="26">
        <v>1</v>
      </c>
      <c r="W1006" s="26"/>
    </row>
    <row r="1007" spans="1:23" x14ac:dyDescent="0.25">
      <c r="A1007" s="26" t="str">
        <f t="shared" si="165"/>
        <v>SECUNDARIA</v>
      </c>
      <c r="B1007" s="26" t="str">
        <f>"09PES0594M"</f>
        <v>09PES0594M</v>
      </c>
      <c r="C1007" s="26" t="str">
        <f>"ANDERSEN                                                                                            "</f>
        <v xml:space="preserve">ANDERSEN                                                                                            </v>
      </c>
      <c r="D1007" s="26" t="str">
        <f t="shared" si="164"/>
        <v>MATUTINO</v>
      </c>
      <c r="E1007" s="26" t="str">
        <f>"AV. HIDALGO NO. 298                                                             "</f>
        <v xml:space="preserve">AV. HIDALGO NO. 298                                                             </v>
      </c>
      <c r="F1007" s="26" t="str">
        <f>"SAN MIGUEL DE LAS SALERAS                                                                                                                   "</f>
        <v xml:space="preserve">SAN MIGUEL DE LAS SALERAS                                                                                                                   </v>
      </c>
      <c r="G1007" s="26" t="str">
        <f>"IZTAPALAPA                                                                      "</f>
        <v xml:space="preserve">IZTAPALAPA                                                                      </v>
      </c>
      <c r="H1007" s="26" t="str">
        <f>"000"</f>
        <v>000</v>
      </c>
      <c r="I1007" s="26" t="str">
        <f t="shared" si="166"/>
        <v>00</v>
      </c>
      <c r="J1007" s="26" t="str">
        <f>"61 "</f>
        <v xml:space="preserve">61 </v>
      </c>
      <c r="K1007" s="26" t="str">
        <f>"IZ"</f>
        <v>IZ</v>
      </c>
      <c r="L1007" s="26" t="str">
        <f>"DGSEI"</f>
        <v>DGSEI</v>
      </c>
      <c r="M1007" s="26" t="str">
        <f t="shared" si="169"/>
        <v>PARTICULAR</v>
      </c>
      <c r="N1007" s="26">
        <v>370</v>
      </c>
      <c r="O1007" s="26">
        <v>177</v>
      </c>
      <c r="P1007" s="26">
        <v>193</v>
      </c>
      <c r="Q1007" s="26">
        <v>13</v>
      </c>
      <c r="R1007" s="26">
        <v>2</v>
      </c>
      <c r="S1007" s="26">
        <v>25</v>
      </c>
      <c r="T1007" s="26">
        <v>9</v>
      </c>
      <c r="U1007" s="26">
        <v>36</v>
      </c>
      <c r="V1007" s="26">
        <v>1</v>
      </c>
      <c r="W1007" s="26"/>
    </row>
    <row r="1008" spans="1:23" x14ac:dyDescent="0.25">
      <c r="A1008" s="26" t="str">
        <f t="shared" si="165"/>
        <v>SECUNDARIA</v>
      </c>
      <c r="B1008" s="26" t="str">
        <f>"09PES0596K"</f>
        <v>09PES0596K</v>
      </c>
      <c r="C1008" s="26" t="str">
        <f>"COLEGIO RAFAEL RAMIREZ                                                                              "</f>
        <v xml:space="preserve">COLEGIO RAFAEL RAMIREZ                                                                              </v>
      </c>
      <c r="D1008" s="26" t="str">
        <f t="shared" si="164"/>
        <v>MATUTINO</v>
      </c>
      <c r="E1008" s="26" t="str">
        <f>"VICENTE GUERRERO No. 70                                                         "</f>
        <v xml:space="preserve">VICENTE GUERRERO No. 70                                                         </v>
      </c>
      <c r="F1008" s="26" t="str">
        <f>"SAN MIGUEL AMPLIACION                                                                                                                       "</f>
        <v xml:space="preserve">SAN MIGUEL AMPLIACION                                                                                                                       </v>
      </c>
      <c r="G1008" s="26" t="str">
        <f>"IZTAPALAPA                                                                      "</f>
        <v xml:space="preserve">IZTAPALAPA                                                                      </v>
      </c>
      <c r="H1008" s="26" t="str">
        <f>"000"</f>
        <v>000</v>
      </c>
      <c r="I1008" s="26" t="str">
        <f t="shared" si="166"/>
        <v>00</v>
      </c>
      <c r="J1008" s="26" t="str">
        <f>"61 "</f>
        <v xml:space="preserve">61 </v>
      </c>
      <c r="K1008" s="26" t="str">
        <f>"IZ"</f>
        <v>IZ</v>
      </c>
      <c r="L1008" s="26" t="str">
        <f>"DGSEI"</f>
        <v>DGSEI</v>
      </c>
      <c r="M1008" s="26" t="str">
        <f t="shared" si="169"/>
        <v>PARTICULAR</v>
      </c>
      <c r="N1008" s="26">
        <v>88</v>
      </c>
      <c r="O1008" s="26">
        <v>38</v>
      </c>
      <c r="P1008" s="26">
        <v>50</v>
      </c>
      <c r="Q1008" s="26">
        <v>3</v>
      </c>
      <c r="R1008" s="26">
        <v>2</v>
      </c>
      <c r="S1008" s="26">
        <v>11</v>
      </c>
      <c r="T1008" s="26">
        <v>2</v>
      </c>
      <c r="U1008" s="26">
        <v>15</v>
      </c>
      <c r="V1008" s="26">
        <v>1</v>
      </c>
      <c r="W1008" s="26"/>
    </row>
    <row r="1009" spans="1:23" x14ac:dyDescent="0.25">
      <c r="A1009" s="26" t="str">
        <f t="shared" si="165"/>
        <v>SECUNDARIA</v>
      </c>
      <c r="B1009" s="26" t="str">
        <f>"09PES0598I"</f>
        <v>09PES0598I</v>
      </c>
      <c r="C1009" s="26" t="str">
        <f>"INSTITUTO JUANA DE ARCO                                                                             "</f>
        <v xml:space="preserve">INSTITUTO JUANA DE ARCO                                                                             </v>
      </c>
      <c r="D1009" s="26" t="str">
        <f t="shared" si="164"/>
        <v>MATUTINO</v>
      </c>
      <c r="E1009" s="26" t="str">
        <f>"GENERAL HERMINIO CHAVARIA NO. 22                                                "</f>
        <v xml:space="preserve">GENERAL HERMINIO CHAVARIA NO. 22                                                </v>
      </c>
      <c r="F1009" s="26" t="str">
        <f>"CITLALI                                                                                                                                     "</f>
        <v xml:space="preserve">CITLALI                                                                                                                                     </v>
      </c>
      <c r="G1009" s="26" t="str">
        <f>"IZTAPALAPA                                                                      "</f>
        <v xml:space="preserve">IZTAPALAPA                                                                      </v>
      </c>
      <c r="H1009" s="26" t="str">
        <f>"011"</f>
        <v>011</v>
      </c>
      <c r="I1009" s="26" t="str">
        <f t="shared" si="166"/>
        <v>00</v>
      </c>
      <c r="J1009" s="26" t="str">
        <f>"64 "</f>
        <v xml:space="preserve">64 </v>
      </c>
      <c r="K1009" s="26" t="str">
        <f>"IZ"</f>
        <v>IZ</v>
      </c>
      <c r="L1009" s="26" t="str">
        <f>"DGSEI"</f>
        <v>DGSEI</v>
      </c>
      <c r="M1009" s="26" t="str">
        <f t="shared" si="169"/>
        <v>PARTICULAR</v>
      </c>
      <c r="N1009" s="26">
        <v>52</v>
      </c>
      <c r="O1009" s="26">
        <v>27</v>
      </c>
      <c r="P1009" s="26">
        <v>25</v>
      </c>
      <c r="Q1009" s="26">
        <v>4</v>
      </c>
      <c r="R1009" s="26">
        <v>1</v>
      </c>
      <c r="S1009" s="26">
        <v>8</v>
      </c>
      <c r="T1009" s="26">
        <v>0</v>
      </c>
      <c r="U1009" s="26">
        <v>9</v>
      </c>
      <c r="V1009" s="26">
        <v>1</v>
      </c>
      <c r="W1009" s="26"/>
    </row>
    <row r="1010" spans="1:23" x14ac:dyDescent="0.25">
      <c r="A1010" s="26" t="str">
        <f t="shared" si="165"/>
        <v>SECUNDARIA</v>
      </c>
      <c r="B1010" s="26" t="str">
        <f>"09PES0600G"</f>
        <v>09PES0600G</v>
      </c>
      <c r="C1010" s="26" t="str">
        <f>"COLEGIO HEBREO MAGUEN DAVID                                                                         "</f>
        <v xml:space="preserve">COLEGIO HEBREO MAGUEN DAVID                                                                         </v>
      </c>
      <c r="D1010" s="26" t="str">
        <f t="shared" si="164"/>
        <v>MATUTINO</v>
      </c>
      <c r="E1010" s="26" t="str">
        <f>"ANTIGUO CAM A TECAMACHALCO 370                                                  "</f>
        <v xml:space="preserve">ANTIGUO CAM A TECAMACHALCO 370                                                  </v>
      </c>
      <c r="F1010" s="26" t="str">
        <f>"LOMAS DE VISTA HERMOSA                                                                                                                      "</f>
        <v xml:space="preserve">LOMAS DE VISTA HERMOSA                                                                                                                      </v>
      </c>
      <c r="G1010" s="26" t="str">
        <f>"CUAJIMALPA DE MORELOS                                                           "</f>
        <v xml:space="preserve">CUAJIMALPA DE MORELOS                                                           </v>
      </c>
      <c r="H1010" s="26" t="str">
        <f>"023"</f>
        <v>023</v>
      </c>
      <c r="I1010" s="26" t="str">
        <f t="shared" si="166"/>
        <v>00</v>
      </c>
      <c r="J1010" s="26" t="str">
        <f>"53 "</f>
        <v xml:space="preserve">53 </v>
      </c>
      <c r="K1010" s="26" t="str">
        <f>"SG"</f>
        <v>SG</v>
      </c>
      <c r="L1010" s="26" t="str">
        <f>"DGOSE"</f>
        <v>DGOSE</v>
      </c>
      <c r="M1010" s="26" t="str">
        <f t="shared" si="169"/>
        <v>PARTICULAR</v>
      </c>
      <c r="N1010" s="26">
        <v>212</v>
      </c>
      <c r="O1010" s="26">
        <v>111</v>
      </c>
      <c r="P1010" s="26">
        <v>101</v>
      </c>
      <c r="Q1010" s="26">
        <v>11</v>
      </c>
      <c r="R1010" s="26">
        <v>2</v>
      </c>
      <c r="S1010" s="26">
        <v>33</v>
      </c>
      <c r="T1010" s="26">
        <v>4</v>
      </c>
      <c r="U1010" s="26">
        <v>39</v>
      </c>
      <c r="V1010" s="26">
        <v>1</v>
      </c>
      <c r="W1010" s="26"/>
    </row>
    <row r="1011" spans="1:23" x14ac:dyDescent="0.25">
      <c r="A1011" s="26" t="str">
        <f t="shared" si="165"/>
        <v>SECUNDARIA</v>
      </c>
      <c r="B1011" s="26" t="str">
        <f>"09PES0602E"</f>
        <v>09PES0602E</v>
      </c>
      <c r="C1011" s="26" t="str">
        <f>"COLEGIO ITZCOATL                                                                                    "</f>
        <v xml:space="preserve">COLEGIO ITZCOATL                                                                                    </v>
      </c>
      <c r="D1011" s="26" t="str">
        <f t="shared" si="164"/>
        <v>MATUTINO</v>
      </c>
      <c r="E1011" s="26" t="str">
        <f>"ESCUELA INDUSTRIAL NUM 191                                                      "</f>
        <v xml:space="preserve">ESCUELA INDUSTRIAL NUM 191                                                      </v>
      </c>
      <c r="F1011" s="26" t="str">
        <f>"INDUSTRIAL                                                                                                                                  "</f>
        <v xml:space="preserve">INDUSTRIAL                                                                                                                                  </v>
      </c>
      <c r="G1011" s="26" t="str">
        <f>"GUSTAVO A. MADERO                                                               "</f>
        <v xml:space="preserve">GUSTAVO A. MADERO                                                               </v>
      </c>
      <c r="H1011" s="26" t="str">
        <f>"036"</f>
        <v>036</v>
      </c>
      <c r="I1011" s="26" t="str">
        <f t="shared" si="166"/>
        <v>00</v>
      </c>
      <c r="J1011" s="26" t="str">
        <f>"52 "</f>
        <v xml:space="preserve">52 </v>
      </c>
      <c r="K1011" s="26" t="str">
        <f>"SG"</f>
        <v>SG</v>
      </c>
      <c r="L1011" s="26" t="str">
        <f>"DGOSE"</f>
        <v>DGOSE</v>
      </c>
      <c r="M1011" s="26" t="str">
        <f t="shared" si="169"/>
        <v>PARTICULAR</v>
      </c>
      <c r="N1011" s="26">
        <v>64</v>
      </c>
      <c r="O1011" s="26">
        <v>33</v>
      </c>
      <c r="P1011" s="26">
        <v>31</v>
      </c>
      <c r="Q1011" s="26">
        <v>3</v>
      </c>
      <c r="R1011" s="26">
        <v>2</v>
      </c>
      <c r="S1011" s="26">
        <v>9</v>
      </c>
      <c r="T1011" s="26">
        <v>1</v>
      </c>
      <c r="U1011" s="26">
        <v>12</v>
      </c>
      <c r="V1011" s="26">
        <v>1</v>
      </c>
      <c r="W1011" s="26"/>
    </row>
    <row r="1012" spans="1:23" x14ac:dyDescent="0.25">
      <c r="A1012" s="26" t="str">
        <f t="shared" si="165"/>
        <v>SECUNDARIA</v>
      </c>
      <c r="B1012" s="26" t="str">
        <f>"09PES0603D"</f>
        <v>09PES0603D</v>
      </c>
      <c r="C1012" s="26" t="str">
        <f>"INSTITUTO TLALPAN                                                                                   "</f>
        <v xml:space="preserve">INSTITUTO TLALPAN                                                                                   </v>
      </c>
      <c r="D1012" s="26" t="str">
        <f t="shared" si="164"/>
        <v>MATUTINO</v>
      </c>
      <c r="E1012" s="26" t="str">
        <f>"INDUSTRIA 6                                                                     "</f>
        <v xml:space="preserve">INDUSTRIA 6                                                                     </v>
      </c>
      <c r="F1012" s="26" t="str">
        <f>"TORIELLO GUERRA                                                                                                                             "</f>
        <v xml:space="preserve">TORIELLO GUERRA                                                                                                                             </v>
      </c>
      <c r="G1012" s="26" t="str">
        <f>"TLALPAN                                                                         "</f>
        <v xml:space="preserve">TLALPAN                                                                         </v>
      </c>
      <c r="H1012" s="26" t="str">
        <f>"072"</f>
        <v>072</v>
      </c>
      <c r="I1012" s="26" t="str">
        <f t="shared" si="166"/>
        <v>00</v>
      </c>
      <c r="J1012" s="26" t="str">
        <f>"55 "</f>
        <v xml:space="preserve">55 </v>
      </c>
      <c r="K1012" s="26" t="str">
        <f>"SG"</f>
        <v>SG</v>
      </c>
      <c r="L1012" s="26" t="str">
        <f>"DGOSE"</f>
        <v>DGOSE</v>
      </c>
      <c r="M1012" s="26" t="str">
        <f t="shared" si="169"/>
        <v>PARTICULAR</v>
      </c>
      <c r="N1012" s="26">
        <v>223</v>
      </c>
      <c r="O1012" s="26">
        <v>122</v>
      </c>
      <c r="P1012" s="26">
        <v>101</v>
      </c>
      <c r="Q1012" s="26">
        <v>8</v>
      </c>
      <c r="R1012" s="26">
        <v>2</v>
      </c>
      <c r="S1012" s="26">
        <v>15</v>
      </c>
      <c r="T1012" s="26">
        <v>3</v>
      </c>
      <c r="U1012" s="26">
        <v>20</v>
      </c>
      <c r="V1012" s="26">
        <v>1</v>
      </c>
      <c r="W1012" s="26"/>
    </row>
    <row r="1013" spans="1:23" x14ac:dyDescent="0.25">
      <c r="A1013" s="26" t="str">
        <f t="shared" si="165"/>
        <v>SECUNDARIA</v>
      </c>
      <c r="B1013" s="26" t="str">
        <f>"09PES0606A"</f>
        <v>09PES0606A</v>
      </c>
      <c r="C1013" s="26" t="str">
        <f>"SOR JUANA INES DE LA CRUZ                                                                           "</f>
        <v xml:space="preserve">SOR JUANA INES DE LA CRUZ                                                                           </v>
      </c>
      <c r="D1013" s="26" t="str">
        <f t="shared" si="164"/>
        <v>MATUTINO</v>
      </c>
      <c r="E1013" s="26" t="str">
        <f>"PROVIDENCIA NO.17                                                               "</f>
        <v xml:space="preserve">PROVIDENCIA NO.17                                                               </v>
      </c>
      <c r="F1013" s="26" t="str">
        <f>"SANTA MARTHA ACATITLA                                                                                                                       "</f>
        <v xml:space="preserve">SANTA MARTHA ACATITLA                                                                                                                       </v>
      </c>
      <c r="G1013" s="26" t="str">
        <f>"IZTAPALAPA                                                                      "</f>
        <v xml:space="preserve">IZTAPALAPA                                                                      </v>
      </c>
      <c r="H1013" s="26" t="str">
        <f>"000"</f>
        <v>000</v>
      </c>
      <c r="I1013" s="26" t="str">
        <f t="shared" si="166"/>
        <v>00</v>
      </c>
      <c r="J1013" s="26" t="str">
        <f>"62 "</f>
        <v xml:space="preserve">62 </v>
      </c>
      <c r="K1013" s="26" t="str">
        <f>"IZ"</f>
        <v>IZ</v>
      </c>
      <c r="L1013" s="26" t="str">
        <f>"DGSEI"</f>
        <v>DGSEI</v>
      </c>
      <c r="M1013" s="26" t="str">
        <f t="shared" si="169"/>
        <v>PARTICULAR</v>
      </c>
      <c r="N1013" s="26">
        <v>166</v>
      </c>
      <c r="O1013" s="26">
        <v>91</v>
      </c>
      <c r="P1013" s="26">
        <v>75</v>
      </c>
      <c r="Q1013" s="26">
        <v>6</v>
      </c>
      <c r="R1013" s="26">
        <v>1</v>
      </c>
      <c r="S1013" s="26">
        <v>15</v>
      </c>
      <c r="T1013" s="26">
        <v>6</v>
      </c>
      <c r="U1013" s="26">
        <v>22</v>
      </c>
      <c r="V1013" s="26">
        <v>1</v>
      </c>
      <c r="W1013" s="26"/>
    </row>
    <row r="1014" spans="1:23" x14ac:dyDescent="0.25">
      <c r="A1014" s="26" t="str">
        <f t="shared" si="165"/>
        <v>SECUNDARIA</v>
      </c>
      <c r="B1014" s="26" t="str">
        <f>"09PES0607Z"</f>
        <v>09PES0607Z</v>
      </c>
      <c r="C1014" s="26" t="str">
        <f>"AMEYALLI                                                                                            "</f>
        <v xml:space="preserve">AMEYALLI                                                                                            </v>
      </c>
      <c r="D1014" s="26" t="str">
        <f t="shared" si="164"/>
        <v>MATUTINO</v>
      </c>
      <c r="E1014" s="26" t="str">
        <f>"CALZ DE LAS AGUILAS NUM 1972                                                    "</f>
        <v xml:space="preserve">CALZ DE LAS AGUILAS NUM 1972                                                    </v>
      </c>
      <c r="F1014" s="26" t="str">
        <f>"LOMAS DE AXOMIATLA                                                                                                                          "</f>
        <v xml:space="preserve">LOMAS DE AXOMIATLA                                                                                                                          </v>
      </c>
      <c r="G1014" s="26" t="str">
        <f>"ALVARO OBREGON                                                                  "</f>
        <v xml:space="preserve">ALVARO OBREGON                                                                  </v>
      </c>
      <c r="H1014" s="26" t="str">
        <f>"005"</f>
        <v>005</v>
      </c>
      <c r="I1014" s="26" t="str">
        <f t="shared" si="166"/>
        <v>00</v>
      </c>
      <c r="J1014" s="26" t="str">
        <f>"53 "</f>
        <v xml:space="preserve">53 </v>
      </c>
      <c r="K1014" s="26" t="str">
        <f>"SG"</f>
        <v>SG</v>
      </c>
      <c r="L1014" s="26" t="str">
        <f>"DGOSE"</f>
        <v>DGOSE</v>
      </c>
      <c r="M1014" s="26" t="str">
        <f t="shared" si="169"/>
        <v>PARTICULAR</v>
      </c>
      <c r="N1014" s="26">
        <v>120</v>
      </c>
      <c r="O1014" s="26">
        <v>58</v>
      </c>
      <c r="P1014" s="26">
        <v>62</v>
      </c>
      <c r="Q1014" s="26">
        <v>6</v>
      </c>
      <c r="R1014" s="26">
        <v>2</v>
      </c>
      <c r="S1014" s="26">
        <v>16</v>
      </c>
      <c r="T1014" s="26">
        <v>0</v>
      </c>
      <c r="U1014" s="26">
        <v>18</v>
      </c>
      <c r="V1014" s="26">
        <v>1</v>
      </c>
      <c r="W1014" s="26"/>
    </row>
    <row r="1015" spans="1:23" x14ac:dyDescent="0.25">
      <c r="A1015" s="26" t="str">
        <f t="shared" si="165"/>
        <v>SECUNDARIA</v>
      </c>
      <c r="B1015" s="26" t="str">
        <f>"09PES0608Z"</f>
        <v>09PES0608Z</v>
      </c>
      <c r="C1015" s="26" t="str">
        <f>"ERASMO  DE ROTTERDAM                                                                                "</f>
        <v xml:space="preserve">ERASMO  DE ROTTERDAM                                                                                </v>
      </c>
      <c r="D1015" s="26" t="str">
        <f t="shared" si="164"/>
        <v>MATUTINO</v>
      </c>
      <c r="E1015" s="26" t="str">
        <f>"AV UNIVERSIDAD NUM 1919                                                         "</f>
        <v xml:space="preserve">AV UNIVERSIDAD NUM 1919                                                         </v>
      </c>
      <c r="F1015" s="26" t="str">
        <f>"OXTOPULCO                                                                                                                                   "</f>
        <v xml:space="preserve">OXTOPULCO                                                                                                                                   </v>
      </c>
      <c r="G1015" s="26" t="str">
        <f>"COYOACAN                                                                        "</f>
        <v xml:space="preserve">COYOACAN                                                                        </v>
      </c>
      <c r="H1015" s="26" t="str">
        <f>"018"</f>
        <v>018</v>
      </c>
      <c r="I1015" s="26" t="str">
        <f t="shared" si="166"/>
        <v>00</v>
      </c>
      <c r="J1015" s="26" t="str">
        <f>"54 "</f>
        <v xml:space="preserve">54 </v>
      </c>
      <c r="K1015" s="26" t="str">
        <f>"SG"</f>
        <v>SG</v>
      </c>
      <c r="L1015" s="26" t="str">
        <f>"DGOSE"</f>
        <v>DGOSE</v>
      </c>
      <c r="M1015" s="26" t="str">
        <f t="shared" si="169"/>
        <v>PARTICULAR</v>
      </c>
      <c r="N1015" s="26">
        <v>105</v>
      </c>
      <c r="O1015" s="26">
        <v>48</v>
      </c>
      <c r="P1015" s="26">
        <v>57</v>
      </c>
      <c r="Q1015" s="26">
        <v>3</v>
      </c>
      <c r="R1015" s="26">
        <v>2</v>
      </c>
      <c r="S1015" s="26">
        <v>22</v>
      </c>
      <c r="T1015" s="26">
        <v>2</v>
      </c>
      <c r="U1015" s="26">
        <v>26</v>
      </c>
      <c r="V1015" s="26">
        <v>1</v>
      </c>
      <c r="W1015" s="26"/>
    </row>
    <row r="1016" spans="1:23" x14ac:dyDescent="0.25">
      <c r="A1016" s="26" t="str">
        <f t="shared" si="165"/>
        <v>SECUNDARIA</v>
      </c>
      <c r="B1016" s="26" t="str">
        <f>"09PES0609Y"</f>
        <v>09PES0609Y</v>
      </c>
      <c r="C1016" s="26" t="str">
        <f>"PORFIRIO PARRA                                                                                      "</f>
        <v xml:space="preserve">PORFIRIO PARRA                                                                                      </v>
      </c>
      <c r="D1016" s="26" t="str">
        <f t="shared" si="164"/>
        <v>MATUTINO</v>
      </c>
      <c r="E1016" s="26" t="str">
        <f>"JUAN ALVAREZ NO. 29                                                             "</f>
        <v xml:space="preserve">JUAN ALVAREZ NO. 29                                                             </v>
      </c>
      <c r="F1016" s="26" t="str">
        <f>"SAN MIGUEL DE LAS SALERAS                                                                                                                   "</f>
        <v xml:space="preserve">SAN MIGUEL DE LAS SALERAS                                                                                                                   </v>
      </c>
      <c r="G1016" s="26" t="str">
        <f>"IZTAPALAPA                                                                      "</f>
        <v xml:space="preserve">IZTAPALAPA                                                                      </v>
      </c>
      <c r="H1016" s="26" t="str">
        <f>"002"</f>
        <v>002</v>
      </c>
      <c r="I1016" s="26" t="str">
        <f t="shared" si="166"/>
        <v>00</v>
      </c>
      <c r="J1016" s="26" t="str">
        <f>"61 "</f>
        <v xml:space="preserve">61 </v>
      </c>
      <c r="K1016" s="26" t="str">
        <f>"IZ"</f>
        <v>IZ</v>
      </c>
      <c r="L1016" s="26" t="str">
        <f>"DGSEI"</f>
        <v>DGSEI</v>
      </c>
      <c r="M1016" s="26" t="str">
        <f t="shared" si="169"/>
        <v>PARTICULAR</v>
      </c>
      <c r="N1016" s="26">
        <v>19</v>
      </c>
      <c r="O1016" s="26">
        <v>10</v>
      </c>
      <c r="P1016" s="26">
        <v>9</v>
      </c>
      <c r="Q1016" s="26">
        <v>3</v>
      </c>
      <c r="R1016" s="26">
        <v>1</v>
      </c>
      <c r="S1016" s="26">
        <v>10</v>
      </c>
      <c r="T1016" s="26">
        <v>0</v>
      </c>
      <c r="U1016" s="26">
        <v>11</v>
      </c>
      <c r="V1016" s="26">
        <v>1</v>
      </c>
      <c r="W1016" s="26"/>
    </row>
    <row r="1017" spans="1:23" x14ac:dyDescent="0.25">
      <c r="A1017" s="26" t="str">
        <f t="shared" si="165"/>
        <v>SECUNDARIA</v>
      </c>
      <c r="B1017" s="26" t="str">
        <f>"09PES0610N"</f>
        <v>09PES0610N</v>
      </c>
      <c r="C1017" s="26" t="str">
        <f>"CENTRO ESCOLAR MORELOS                                                                              "</f>
        <v xml:space="preserve">CENTRO ESCOLAR MORELOS                                                                              </v>
      </c>
      <c r="D1017" s="26" t="str">
        <f t="shared" si="164"/>
        <v>MATUTINO</v>
      </c>
      <c r="E1017" s="26" t="str">
        <f>"AV MORELOS 665                                                                  "</f>
        <v xml:space="preserve">AV MORELOS 665                                                                  </v>
      </c>
      <c r="F1017" s="26" t="str">
        <f>"MAGDALENA MIXHUCA                                                                                                                           "</f>
        <v xml:space="preserve">MAGDALENA MIXHUCA                                                                                                                           </v>
      </c>
      <c r="G1017" s="26" t="str">
        <f>"VENUSTIANO CARRANZA                                                             "</f>
        <v xml:space="preserve">VENUSTIANO CARRANZA                                                             </v>
      </c>
      <c r="H1017" s="26" t="str">
        <f>"075"</f>
        <v>075</v>
      </c>
      <c r="I1017" s="26" t="str">
        <f t="shared" si="166"/>
        <v>00</v>
      </c>
      <c r="J1017" s="26" t="str">
        <f>"54 "</f>
        <v xml:space="preserve">54 </v>
      </c>
      <c r="K1017" s="26" t="str">
        <f t="shared" ref="K1017:K1034" si="170">"SG"</f>
        <v>SG</v>
      </c>
      <c r="L1017" s="26" t="str">
        <f t="shared" ref="L1017:L1034" si="171">"DGOSE"</f>
        <v>DGOSE</v>
      </c>
      <c r="M1017" s="26" t="str">
        <f t="shared" si="169"/>
        <v>PARTICULAR</v>
      </c>
      <c r="N1017" s="26">
        <v>143</v>
      </c>
      <c r="O1017" s="26">
        <v>74</v>
      </c>
      <c r="P1017" s="26">
        <v>69</v>
      </c>
      <c r="Q1017" s="26">
        <v>6</v>
      </c>
      <c r="R1017" s="26">
        <v>2</v>
      </c>
      <c r="S1017" s="26">
        <v>17</v>
      </c>
      <c r="T1017" s="26">
        <v>5</v>
      </c>
      <c r="U1017" s="26">
        <v>24</v>
      </c>
      <c r="V1017" s="26">
        <v>1</v>
      </c>
      <c r="W1017" s="26"/>
    </row>
    <row r="1018" spans="1:23" x14ac:dyDescent="0.25">
      <c r="A1018" s="26" t="str">
        <f t="shared" si="165"/>
        <v>SECUNDARIA</v>
      </c>
      <c r="B1018" s="26" t="str">
        <f>"09PES0611M"</f>
        <v>09PES0611M</v>
      </c>
      <c r="C1018" s="26" t="str">
        <f>"INSTITUTO ESCUELA DEL SUR                                                                           "</f>
        <v xml:space="preserve">INSTITUTO ESCUELA DEL SUR                                                                           </v>
      </c>
      <c r="D1018" s="26" t="str">
        <f t="shared" si="164"/>
        <v>MATUTINO</v>
      </c>
      <c r="E1018" s="26" t="str">
        <f>"PROL. CORREGIDORA NUM 592                                                       "</f>
        <v xml:space="preserve">PROL. CORREGIDORA NUM 592                                                       </v>
      </c>
      <c r="F1018" s="26" t="str">
        <f>"MIGUEL HIDALGO                                                                                                                              "</f>
        <v xml:space="preserve">MIGUEL HIDALGO                                                                                                                              </v>
      </c>
      <c r="G1018" s="26" t="str">
        <f>"TLALPAN                                                                         "</f>
        <v xml:space="preserve">TLALPAN                                                                         </v>
      </c>
      <c r="H1018" s="26" t="str">
        <f>"071"</f>
        <v>071</v>
      </c>
      <c r="I1018" s="26" t="str">
        <f t="shared" si="166"/>
        <v>00</v>
      </c>
      <c r="J1018" s="26" t="str">
        <f>"55 "</f>
        <v xml:space="preserve">55 </v>
      </c>
      <c r="K1018" s="26" t="str">
        <f t="shared" si="170"/>
        <v>SG</v>
      </c>
      <c r="L1018" s="26" t="str">
        <f t="shared" si="171"/>
        <v>DGOSE</v>
      </c>
      <c r="M1018" s="26" t="str">
        <f t="shared" si="169"/>
        <v>PARTICULAR</v>
      </c>
      <c r="N1018" s="26">
        <v>116</v>
      </c>
      <c r="O1018" s="26">
        <v>67</v>
      </c>
      <c r="P1018" s="26">
        <v>49</v>
      </c>
      <c r="Q1018" s="26">
        <v>5</v>
      </c>
      <c r="R1018" s="26">
        <v>1</v>
      </c>
      <c r="S1018" s="26">
        <v>17</v>
      </c>
      <c r="T1018" s="26">
        <v>6</v>
      </c>
      <c r="U1018" s="26">
        <v>24</v>
      </c>
      <c r="V1018" s="26">
        <v>1</v>
      </c>
      <c r="W1018" s="26"/>
    </row>
    <row r="1019" spans="1:23" x14ac:dyDescent="0.25">
      <c r="A1019" s="26" t="str">
        <f t="shared" si="165"/>
        <v>SECUNDARIA</v>
      </c>
      <c r="B1019" s="26" t="str">
        <f>"09PES0614J"</f>
        <v>09PES0614J</v>
      </c>
      <c r="C1019" s="26" t="str">
        <f>"COLEGIO ANGLO MEXICANO DE COYOACAN                                                                  "</f>
        <v xml:space="preserve">COLEGIO ANGLO MEXICANO DE COYOACAN                                                                  </v>
      </c>
      <c r="D1019" s="26" t="str">
        <f t="shared" si="164"/>
        <v>MATUTINO</v>
      </c>
      <c r="E1019" s="26" t="str">
        <f>"H ESCUELA NAVAL MILITAR NUM 42                                                  "</f>
        <v xml:space="preserve">H ESCUELA NAVAL MILITAR NUM 42                                                  </v>
      </c>
      <c r="F1019" s="26" t="str">
        <f>"SAN FRANCISCO CULHUACAN                                                                                                                     "</f>
        <v xml:space="preserve">SAN FRANCISCO CULHUACAN                                                                                                                     </v>
      </c>
      <c r="G1019" s="26" t="str">
        <f>"COYOACAN                                                                        "</f>
        <v xml:space="preserve">COYOACAN                                                                        </v>
      </c>
      <c r="H1019" s="26" t="str">
        <f>"020"</f>
        <v>020</v>
      </c>
      <c r="I1019" s="26" t="str">
        <f t="shared" si="166"/>
        <v>00</v>
      </c>
      <c r="J1019" s="26" t="str">
        <f>"54 "</f>
        <v xml:space="preserve">54 </v>
      </c>
      <c r="K1019" s="26" t="str">
        <f t="shared" si="170"/>
        <v>SG</v>
      </c>
      <c r="L1019" s="26" t="str">
        <f t="shared" si="171"/>
        <v>DGOSE</v>
      </c>
      <c r="M1019" s="26" t="str">
        <f t="shared" si="169"/>
        <v>PARTICULAR</v>
      </c>
      <c r="N1019" s="26">
        <v>598</v>
      </c>
      <c r="O1019" s="26">
        <v>326</v>
      </c>
      <c r="P1019" s="26">
        <v>272</v>
      </c>
      <c r="Q1019" s="26">
        <v>17</v>
      </c>
      <c r="R1019" s="26">
        <v>1</v>
      </c>
      <c r="S1019" s="26">
        <v>32</v>
      </c>
      <c r="T1019" s="26">
        <v>10</v>
      </c>
      <c r="U1019" s="26">
        <v>43</v>
      </c>
      <c r="V1019" s="26">
        <v>1</v>
      </c>
      <c r="W1019" s="26"/>
    </row>
    <row r="1020" spans="1:23" x14ac:dyDescent="0.25">
      <c r="A1020" s="26" t="str">
        <f t="shared" si="165"/>
        <v>SECUNDARIA</v>
      </c>
      <c r="B1020" s="26" t="str">
        <f>"09PES0617G"</f>
        <v>09PES0617G</v>
      </c>
      <c r="C1020" s="26" t="str">
        <f>"INSTITUTO ALEXANDER DUL S.C.                                                                        "</f>
        <v xml:space="preserve">INSTITUTO ALEXANDER DUL S.C.                                                                        </v>
      </c>
      <c r="D1020" s="26" t="str">
        <f t="shared" si="164"/>
        <v>MATUTINO</v>
      </c>
      <c r="E1020" s="26" t="str">
        <f>"PARQUE VICTORIA NO 65                                                           "</f>
        <v xml:space="preserve">PARQUE VICTORIA NO 65                                                           </v>
      </c>
      <c r="F1020" s="26" t="str">
        <f>"MERCED GOMEZ                                                                                                                                "</f>
        <v xml:space="preserve">MERCED GOMEZ                                                                                                                                </v>
      </c>
      <c r="G1020" s="26" t="str">
        <f>"ALVARO OBREGON                                                                  "</f>
        <v xml:space="preserve">ALVARO OBREGON                                                                  </v>
      </c>
      <c r="H1020" s="26" t="str">
        <f>"003"</f>
        <v>003</v>
      </c>
      <c r="I1020" s="26" t="str">
        <f t="shared" si="166"/>
        <v>00</v>
      </c>
      <c r="J1020" s="26" t="str">
        <f>"53 "</f>
        <v xml:space="preserve">53 </v>
      </c>
      <c r="K1020" s="26" t="str">
        <f t="shared" si="170"/>
        <v>SG</v>
      </c>
      <c r="L1020" s="26" t="str">
        <f t="shared" si="171"/>
        <v>DGOSE</v>
      </c>
      <c r="M1020" s="26" t="str">
        <f t="shared" si="169"/>
        <v>PARTICULAR</v>
      </c>
      <c r="N1020" s="26">
        <v>79</v>
      </c>
      <c r="O1020" s="26">
        <v>37</v>
      </c>
      <c r="P1020" s="26">
        <v>42</v>
      </c>
      <c r="Q1020" s="26">
        <v>3</v>
      </c>
      <c r="R1020" s="26">
        <v>2</v>
      </c>
      <c r="S1020" s="26">
        <v>18</v>
      </c>
      <c r="T1020" s="26">
        <v>2</v>
      </c>
      <c r="U1020" s="26">
        <v>22</v>
      </c>
      <c r="V1020" s="26">
        <v>1</v>
      </c>
      <c r="W1020" s="26"/>
    </row>
    <row r="1021" spans="1:23" x14ac:dyDescent="0.25">
      <c r="A1021" s="26" t="str">
        <f t="shared" si="165"/>
        <v>SECUNDARIA</v>
      </c>
      <c r="B1021" s="26" t="str">
        <f>"09PES0618F"</f>
        <v>09PES0618F</v>
      </c>
      <c r="C1021" s="26" t="str">
        <f>"BETH YAACOV                                                                                         "</f>
        <v xml:space="preserve">BETH YAACOV                                                                                         </v>
      </c>
      <c r="D1021" s="26" t="str">
        <f>"TIEMPO COMPLETO"</f>
        <v>TIEMPO COMPLETO</v>
      </c>
      <c r="E1021" s="26" t="str">
        <f>"RAFAEL ALDUCIN NUM 8                                                            "</f>
        <v xml:space="preserve">RAFAEL ALDUCIN NUM 8                                                            </v>
      </c>
      <c r="F1021" s="26" t="str">
        <f>"PERIODISTA                                                                                                                                  "</f>
        <v xml:space="preserve">PERIODISTA                                                                                                                                  </v>
      </c>
      <c r="G1021" s="26" t="str">
        <f>"MIGUEL HIDALGO                                                                  "</f>
        <v xml:space="preserve">MIGUEL HIDALGO                                                                  </v>
      </c>
      <c r="H1021" s="26" t="str">
        <f>"062"</f>
        <v>062</v>
      </c>
      <c r="I1021" s="26" t="str">
        <f t="shared" si="166"/>
        <v>00</v>
      </c>
      <c r="J1021" s="26" t="str">
        <f>"51 "</f>
        <v xml:space="preserve">51 </v>
      </c>
      <c r="K1021" s="26" t="str">
        <f t="shared" si="170"/>
        <v>SG</v>
      </c>
      <c r="L1021" s="26" t="str">
        <f t="shared" si="171"/>
        <v>DGOSE</v>
      </c>
      <c r="M1021" s="26" t="str">
        <f t="shared" si="169"/>
        <v>PARTICULAR</v>
      </c>
      <c r="N1021" s="26">
        <v>61</v>
      </c>
      <c r="O1021" s="26">
        <v>0</v>
      </c>
      <c r="P1021" s="26">
        <v>61</v>
      </c>
      <c r="Q1021" s="26">
        <v>3</v>
      </c>
      <c r="R1021" s="26">
        <v>1</v>
      </c>
      <c r="S1021" s="26">
        <v>11</v>
      </c>
      <c r="T1021" s="26">
        <v>0</v>
      </c>
      <c r="U1021" s="26">
        <v>12</v>
      </c>
      <c r="V1021" s="26">
        <v>1</v>
      </c>
      <c r="W1021" s="26"/>
    </row>
    <row r="1022" spans="1:23" x14ac:dyDescent="0.25">
      <c r="A1022" s="26" t="str">
        <f t="shared" si="165"/>
        <v>SECUNDARIA</v>
      </c>
      <c r="B1022" s="26" t="str">
        <f>"09PES0619E"</f>
        <v>09PES0619E</v>
      </c>
      <c r="C1022" s="26" t="str">
        <f>"AZTLAN                                                                                              "</f>
        <v xml:space="preserve">AZTLAN                                                                                              </v>
      </c>
      <c r="D1022" s="26" t="str">
        <f>"MATUTINO"</f>
        <v>MATUTINO</v>
      </c>
      <c r="E1022" s="26" t="str">
        <f>"PROLONG DIV DEL NORTE NUM. 4366                                                 "</f>
        <v xml:space="preserve">PROLONG DIV DEL NORTE NUM. 4366                                                 </v>
      </c>
      <c r="F1022" s="26" t="str">
        <f>"RESIDENCIAL EX-HACIENDA COAPA                                                                                                               "</f>
        <v xml:space="preserve">RESIDENCIAL EX-HACIENDA COAPA                                                                                                               </v>
      </c>
      <c r="G1022" s="26" t="str">
        <f>"TLALPAN                                                                         "</f>
        <v xml:space="preserve">TLALPAN                                                                         </v>
      </c>
      <c r="H1022" s="26" t="str">
        <f>"070"</f>
        <v>070</v>
      </c>
      <c r="I1022" s="26" t="str">
        <f t="shared" si="166"/>
        <v>00</v>
      </c>
      <c r="J1022" s="26" t="str">
        <f>"55 "</f>
        <v xml:space="preserve">55 </v>
      </c>
      <c r="K1022" s="26" t="str">
        <f t="shared" si="170"/>
        <v>SG</v>
      </c>
      <c r="L1022" s="26" t="str">
        <f t="shared" si="171"/>
        <v>DGOSE</v>
      </c>
      <c r="M1022" s="26" t="str">
        <f t="shared" si="169"/>
        <v>PARTICULAR</v>
      </c>
      <c r="N1022" s="26">
        <v>44</v>
      </c>
      <c r="O1022" s="26">
        <v>24</v>
      </c>
      <c r="P1022" s="26">
        <v>20</v>
      </c>
      <c r="Q1022" s="26">
        <v>3</v>
      </c>
      <c r="R1022" s="26">
        <v>1</v>
      </c>
      <c r="S1022" s="26">
        <v>10</v>
      </c>
      <c r="T1022" s="26">
        <v>2</v>
      </c>
      <c r="U1022" s="26">
        <v>13</v>
      </c>
      <c r="V1022" s="26">
        <v>1</v>
      </c>
      <c r="W1022" s="26"/>
    </row>
    <row r="1023" spans="1:23" x14ac:dyDescent="0.25">
      <c r="A1023" s="26" t="str">
        <f t="shared" si="165"/>
        <v>SECUNDARIA</v>
      </c>
      <c r="B1023" s="26" t="str">
        <f>"09PES0621T"</f>
        <v>09PES0621T</v>
      </c>
      <c r="C1023" s="26" t="str">
        <f>"COLEGIO CARMEL                                                                                      "</f>
        <v xml:space="preserve">COLEGIO CARMEL                                                                                      </v>
      </c>
      <c r="D1023" s="26" t="str">
        <f>"MATUTINO"</f>
        <v>MATUTINO</v>
      </c>
      <c r="E1023" s="26" t="str">
        <f>"RANCHO ESTOPILA NUM 50                                                          "</f>
        <v xml:space="preserve">RANCHO ESTOPILA NUM 50                                                          </v>
      </c>
      <c r="F1023" s="26" t="str">
        <f>"HACIENDAS DE COYOACAN                                                                                                                       "</f>
        <v xml:space="preserve">HACIENDAS DE COYOACAN                                                                                                                       </v>
      </c>
      <c r="G1023" s="26" t="str">
        <f>"COYOACAN                                                                        "</f>
        <v xml:space="preserve">COYOACAN                                                                        </v>
      </c>
      <c r="H1023" s="26" t="str">
        <f>"021"</f>
        <v>021</v>
      </c>
      <c r="I1023" s="26" t="str">
        <f t="shared" si="166"/>
        <v>00</v>
      </c>
      <c r="J1023" s="26" t="str">
        <f>"54 "</f>
        <v xml:space="preserve">54 </v>
      </c>
      <c r="K1023" s="26" t="str">
        <f t="shared" si="170"/>
        <v>SG</v>
      </c>
      <c r="L1023" s="26" t="str">
        <f t="shared" si="171"/>
        <v>DGOSE</v>
      </c>
      <c r="M1023" s="26" t="str">
        <f t="shared" si="169"/>
        <v>PARTICULAR</v>
      </c>
      <c r="N1023" s="26">
        <v>114</v>
      </c>
      <c r="O1023" s="26">
        <v>51</v>
      </c>
      <c r="P1023" s="26">
        <v>63</v>
      </c>
      <c r="Q1023" s="26">
        <v>5</v>
      </c>
      <c r="R1023" s="26">
        <v>2</v>
      </c>
      <c r="S1023" s="26">
        <v>11</v>
      </c>
      <c r="T1023" s="26">
        <v>4</v>
      </c>
      <c r="U1023" s="26">
        <v>17</v>
      </c>
      <c r="V1023" s="26">
        <v>1</v>
      </c>
      <c r="W1023" s="26"/>
    </row>
    <row r="1024" spans="1:23" x14ac:dyDescent="0.25">
      <c r="A1024" s="26" t="str">
        <f t="shared" si="165"/>
        <v>SECUNDARIA</v>
      </c>
      <c r="B1024" s="26" t="str">
        <f>"09PES0622S"</f>
        <v>09PES0622S</v>
      </c>
      <c r="C1024" s="26" t="str">
        <f>"""CENTRO DE EDUCACION AJUSCO""                                                                        "</f>
        <v xml:space="preserve">"CENTRO DE EDUCACION AJUSCO"                                                                        </v>
      </c>
      <c r="D1024" s="26" t="str">
        <f>"VESPERTINO"</f>
        <v>VESPERTINO</v>
      </c>
      <c r="E1024" s="26" t="str">
        <f>"FLOR SILVESTRE S/N                                                              "</f>
        <v xml:space="preserve">FLOR SILVESTRE S/N                                                              </v>
      </c>
      <c r="F1024" s="26" t="str">
        <f>"SAN PEDRO MARTIR                                                                                                                            "</f>
        <v xml:space="preserve">SAN PEDRO MARTIR                                                                                                                            </v>
      </c>
      <c r="G1024" s="26" t="str">
        <f>"TLALPAN                                                                         "</f>
        <v xml:space="preserve">TLALPAN                                                                         </v>
      </c>
      <c r="H1024" s="26" t="str">
        <f>"072"</f>
        <v>072</v>
      </c>
      <c r="I1024" s="26" t="str">
        <f t="shared" si="166"/>
        <v>00</v>
      </c>
      <c r="J1024" s="26" t="str">
        <f>"55 "</f>
        <v xml:space="preserve">55 </v>
      </c>
      <c r="K1024" s="26" t="str">
        <f t="shared" si="170"/>
        <v>SG</v>
      </c>
      <c r="L1024" s="26" t="str">
        <f t="shared" si="171"/>
        <v>DGOSE</v>
      </c>
      <c r="M1024" s="26" t="str">
        <f t="shared" si="169"/>
        <v>PARTICULAR</v>
      </c>
      <c r="N1024" s="26">
        <v>103</v>
      </c>
      <c r="O1024" s="26">
        <v>103</v>
      </c>
      <c r="P1024" s="26">
        <v>0</v>
      </c>
      <c r="Q1024" s="26">
        <v>6</v>
      </c>
      <c r="R1024" s="26">
        <v>2</v>
      </c>
      <c r="S1024" s="26">
        <v>17</v>
      </c>
      <c r="T1024" s="26">
        <v>5</v>
      </c>
      <c r="U1024" s="26">
        <v>24</v>
      </c>
      <c r="V1024" s="26">
        <v>1</v>
      </c>
      <c r="W1024" s="26"/>
    </row>
    <row r="1025" spans="1:23" x14ac:dyDescent="0.25">
      <c r="A1025" s="26" t="str">
        <f t="shared" si="165"/>
        <v>SECUNDARIA</v>
      </c>
      <c r="B1025" s="26" t="str">
        <f>"09PES0623R"</f>
        <v>09PES0623R</v>
      </c>
      <c r="C1025" s="26" t="s">
        <v>3991</v>
      </c>
      <c r="D1025" s="26" t="str">
        <f>"MATUTINO"</f>
        <v>MATUTINO</v>
      </c>
      <c r="E1025" s="26" t="str">
        <f>"HORTENSIA NO 11                                                                 "</f>
        <v xml:space="preserve">HORTENSIA NO 11                                                                 </v>
      </c>
      <c r="F1025" s="26" t="str">
        <f>"MIGUEL HIDALGO AMPLIACION                                                                                                                   "</f>
        <v xml:space="preserve">MIGUEL HIDALGO AMPLIACION                                                                                                                   </v>
      </c>
      <c r="G1025" s="26" t="str">
        <f>"TLALPAN                                                                         "</f>
        <v xml:space="preserve">TLALPAN                                                                         </v>
      </c>
      <c r="H1025" s="26" t="str">
        <f>"071"</f>
        <v>071</v>
      </c>
      <c r="I1025" s="26" t="str">
        <f t="shared" si="166"/>
        <v>00</v>
      </c>
      <c r="J1025" s="26" t="str">
        <f>"55 "</f>
        <v xml:space="preserve">55 </v>
      </c>
      <c r="K1025" s="26" t="str">
        <f t="shared" si="170"/>
        <v>SG</v>
      </c>
      <c r="L1025" s="26" t="str">
        <f t="shared" si="171"/>
        <v>DGOSE</v>
      </c>
      <c r="M1025" s="26" t="str">
        <f t="shared" si="169"/>
        <v>PARTICULAR</v>
      </c>
      <c r="N1025" s="26">
        <v>164</v>
      </c>
      <c r="O1025" s="26">
        <v>85</v>
      </c>
      <c r="P1025" s="26">
        <v>79</v>
      </c>
      <c r="Q1025" s="26">
        <v>7</v>
      </c>
      <c r="R1025" s="26">
        <v>2</v>
      </c>
      <c r="S1025" s="26">
        <v>16</v>
      </c>
      <c r="T1025" s="26">
        <v>5</v>
      </c>
      <c r="U1025" s="26">
        <v>23</v>
      </c>
      <c r="V1025" s="26">
        <v>1</v>
      </c>
      <c r="W1025" s="26"/>
    </row>
    <row r="1026" spans="1:23" x14ac:dyDescent="0.25">
      <c r="A1026" s="26" t="str">
        <f t="shared" ref="A1026:A1089" si="172">"SECUNDARIA"</f>
        <v>SECUNDARIA</v>
      </c>
      <c r="B1026" s="26" t="str">
        <f>"09PES0624Q"</f>
        <v>09PES0624Q</v>
      </c>
      <c r="C1026" s="26" t="str">
        <f>"""EL COLEGIO BRITANICO (THE EDRON ACADEMY)""                                                          "</f>
        <v xml:space="preserve">"EL COLEGIO BRITANICO (THE EDRON ACADEMY)"                                                          </v>
      </c>
      <c r="D1026" s="26" t="str">
        <f>"TIEMPO COMPLETO"</f>
        <v>TIEMPO COMPLETO</v>
      </c>
      <c r="E1026" s="26" t="str">
        <f>"CALZ DESIERTO DE LOS LEONES 5578                                                "</f>
        <v xml:space="preserve">CALZ DESIERTO DE LOS LEONES 5578                                                </v>
      </c>
      <c r="F1026" s="26" t="str">
        <f>"OLIVAR DE LOS PADRES                                                                                                                        "</f>
        <v xml:space="preserve">OLIVAR DE LOS PADRES                                                                                                                        </v>
      </c>
      <c r="G1026" s="26" t="str">
        <f>"ALVARO OBREGON                                                                  "</f>
        <v xml:space="preserve">ALVARO OBREGON                                                                  </v>
      </c>
      <c r="H1026" s="26" t="str">
        <f>"001"</f>
        <v>001</v>
      </c>
      <c r="I1026" s="26" t="str">
        <f t="shared" si="166"/>
        <v>00</v>
      </c>
      <c r="J1026" s="26" t="str">
        <f>"53 "</f>
        <v xml:space="preserve">53 </v>
      </c>
      <c r="K1026" s="26" t="str">
        <f t="shared" si="170"/>
        <v>SG</v>
      </c>
      <c r="L1026" s="26" t="str">
        <f t="shared" si="171"/>
        <v>DGOSE</v>
      </c>
      <c r="M1026" s="26" t="str">
        <f t="shared" si="169"/>
        <v>PARTICULAR</v>
      </c>
      <c r="N1026" s="26">
        <v>248</v>
      </c>
      <c r="O1026" s="26">
        <v>119</v>
      </c>
      <c r="P1026" s="26">
        <v>129</v>
      </c>
      <c r="Q1026" s="26">
        <v>11</v>
      </c>
      <c r="R1026" s="26">
        <v>2</v>
      </c>
      <c r="S1026" s="26">
        <v>29</v>
      </c>
      <c r="T1026" s="26">
        <v>3</v>
      </c>
      <c r="U1026" s="26">
        <v>34</v>
      </c>
      <c r="V1026" s="26">
        <v>1</v>
      </c>
      <c r="W1026" s="26"/>
    </row>
    <row r="1027" spans="1:23" x14ac:dyDescent="0.25">
      <c r="A1027" s="26" t="str">
        <f t="shared" si="172"/>
        <v>SECUNDARIA</v>
      </c>
      <c r="B1027" s="26" t="str">
        <f>"09PES0626O"</f>
        <v>09PES0626O</v>
      </c>
      <c r="C1027" s="26" t="str">
        <f>"""COLEGIO ST JOHN S""                                                                                 "</f>
        <v xml:space="preserve">"COLEGIO ST JOHN S"                                                                                 </v>
      </c>
      <c r="D1027" s="26" t="str">
        <f t="shared" ref="D1027:D1090" si="173">"MATUTINO"</f>
        <v>MATUTINO</v>
      </c>
      <c r="E1027" s="26" t="str">
        <f>"AVENIDA TENORIOS NO 80                                                          "</f>
        <v xml:space="preserve">AVENIDA TENORIOS NO 80                                                          </v>
      </c>
      <c r="F1027" s="26" t="str">
        <f>"RAMOS MILLAN COAPA                                                                                                                          "</f>
        <v xml:space="preserve">RAMOS MILLAN COAPA                                                                                                                          </v>
      </c>
      <c r="G1027" s="26" t="str">
        <f>"TLALPAN                                                                         "</f>
        <v xml:space="preserve">TLALPAN                                                                         </v>
      </c>
      <c r="H1027" s="26" t="str">
        <f>"070"</f>
        <v>070</v>
      </c>
      <c r="I1027" s="26" t="str">
        <f t="shared" si="166"/>
        <v>00</v>
      </c>
      <c r="J1027" s="26" t="str">
        <f>"55 "</f>
        <v xml:space="preserve">55 </v>
      </c>
      <c r="K1027" s="26" t="str">
        <f t="shared" si="170"/>
        <v>SG</v>
      </c>
      <c r="L1027" s="26" t="str">
        <f t="shared" si="171"/>
        <v>DGOSE</v>
      </c>
      <c r="M1027" s="26" t="str">
        <f t="shared" si="169"/>
        <v>PARTICULAR</v>
      </c>
      <c r="N1027" s="26">
        <v>199</v>
      </c>
      <c r="O1027" s="26">
        <v>101</v>
      </c>
      <c r="P1027" s="26">
        <v>98</v>
      </c>
      <c r="Q1027" s="26">
        <v>7</v>
      </c>
      <c r="R1027" s="26">
        <v>1</v>
      </c>
      <c r="S1027" s="26">
        <v>13</v>
      </c>
      <c r="T1027" s="26">
        <v>1</v>
      </c>
      <c r="U1027" s="26">
        <v>15</v>
      </c>
      <c r="V1027" s="26">
        <v>1</v>
      </c>
      <c r="W1027" s="26"/>
    </row>
    <row r="1028" spans="1:23" x14ac:dyDescent="0.25">
      <c r="A1028" s="26" t="str">
        <f t="shared" si="172"/>
        <v>SECUNDARIA</v>
      </c>
      <c r="B1028" s="26" t="str">
        <f>"09PES0628M"</f>
        <v>09PES0628M</v>
      </c>
      <c r="C1028" s="26" t="str">
        <f>"COLEGIO BILBAO                                                                                      "</f>
        <v xml:space="preserve">COLEGIO BILBAO                                                                                      </v>
      </c>
      <c r="D1028" s="26" t="str">
        <f t="shared" si="173"/>
        <v>MATUTINO</v>
      </c>
      <c r="E1028" s="26" t="str">
        <f>"CALLE TLALMIMILOLPA NUM 39                                                      "</f>
        <v xml:space="preserve">CALLE TLALMIMILOLPA NUM 39                                                      </v>
      </c>
      <c r="F1028" s="26" t="str">
        <f>"SAN MATEO TLALTENANGO                                                                                                                       "</f>
        <v xml:space="preserve">SAN MATEO TLALTENANGO                                                                                                                       </v>
      </c>
      <c r="G1028" s="26" t="str">
        <f>"CUAJIMALPA DE MORELOS                                                           "</f>
        <v xml:space="preserve">CUAJIMALPA DE MORELOS                                                           </v>
      </c>
      <c r="H1028" s="26" t="str">
        <f>"024"</f>
        <v>024</v>
      </c>
      <c r="I1028" s="26" t="str">
        <f t="shared" si="166"/>
        <v>00</v>
      </c>
      <c r="J1028" s="26" t="str">
        <f>"53 "</f>
        <v xml:space="preserve">53 </v>
      </c>
      <c r="K1028" s="26" t="str">
        <f t="shared" si="170"/>
        <v>SG</v>
      </c>
      <c r="L1028" s="26" t="str">
        <f t="shared" si="171"/>
        <v>DGOSE</v>
      </c>
      <c r="M1028" s="26" t="str">
        <f t="shared" si="169"/>
        <v>PARTICULAR</v>
      </c>
      <c r="N1028" s="26">
        <v>90</v>
      </c>
      <c r="O1028" s="26">
        <v>56</v>
      </c>
      <c r="P1028" s="26">
        <v>34</v>
      </c>
      <c r="Q1028" s="26">
        <v>6</v>
      </c>
      <c r="R1028" s="26">
        <v>1</v>
      </c>
      <c r="S1028" s="26">
        <v>14</v>
      </c>
      <c r="T1028" s="26">
        <v>3</v>
      </c>
      <c r="U1028" s="26">
        <v>18</v>
      </c>
      <c r="V1028" s="26">
        <v>1</v>
      </c>
      <c r="W1028" s="26"/>
    </row>
    <row r="1029" spans="1:23" x14ac:dyDescent="0.25">
      <c r="A1029" s="26" t="str">
        <f t="shared" si="172"/>
        <v>SECUNDARIA</v>
      </c>
      <c r="B1029" s="26" t="str">
        <f>"09PES0629L"</f>
        <v>09PES0629L</v>
      </c>
      <c r="C1029" s="26" t="str">
        <f>"ANTONIO JOSE DE SUCRE                                                                               "</f>
        <v xml:space="preserve">ANTONIO JOSE DE SUCRE                                                                               </v>
      </c>
      <c r="D1029" s="26" t="str">
        <f t="shared" si="173"/>
        <v>MATUTINO</v>
      </c>
      <c r="E1029" s="26" t="str">
        <f>"CERRO DE JESUS NO 140                                                           "</f>
        <v xml:space="preserve">CERRO DE JESUS NO 140                                                           </v>
      </c>
      <c r="F1029" s="26" t="str">
        <f>"CAMPESTRE CHURUBUSCO                                                                                                                        "</f>
        <v xml:space="preserve">CAMPESTRE CHURUBUSCO                                                                                                                        </v>
      </c>
      <c r="G1029" s="26" t="str">
        <f>"COYOACAN                                                                        "</f>
        <v xml:space="preserve">COYOACAN                                                                        </v>
      </c>
      <c r="H1029" s="26" t="str">
        <f>"019"</f>
        <v>019</v>
      </c>
      <c r="I1029" s="26" t="str">
        <f t="shared" si="166"/>
        <v>00</v>
      </c>
      <c r="J1029" s="26" t="str">
        <f>"54 "</f>
        <v xml:space="preserve">54 </v>
      </c>
      <c r="K1029" s="26" t="str">
        <f t="shared" si="170"/>
        <v>SG</v>
      </c>
      <c r="L1029" s="26" t="str">
        <f t="shared" si="171"/>
        <v>DGOSE</v>
      </c>
      <c r="M1029" s="26" t="str">
        <f t="shared" si="169"/>
        <v>PARTICULAR</v>
      </c>
      <c r="N1029" s="26">
        <v>112</v>
      </c>
      <c r="O1029" s="26">
        <v>69</v>
      </c>
      <c r="P1029" s="26">
        <v>43</v>
      </c>
      <c r="Q1029" s="26">
        <v>6</v>
      </c>
      <c r="R1029" s="26">
        <v>2</v>
      </c>
      <c r="S1029" s="26">
        <v>14</v>
      </c>
      <c r="T1029" s="26">
        <v>4</v>
      </c>
      <c r="U1029" s="26">
        <v>20</v>
      </c>
      <c r="V1029" s="26">
        <v>1</v>
      </c>
      <c r="W1029" s="26"/>
    </row>
    <row r="1030" spans="1:23" x14ac:dyDescent="0.25">
      <c r="A1030" s="26" t="str">
        <f t="shared" si="172"/>
        <v>SECUNDARIA</v>
      </c>
      <c r="B1030" s="26" t="str">
        <f>"09PES0632Z"</f>
        <v>09PES0632Z</v>
      </c>
      <c r="C1030" s="26" t="str">
        <f>"COLEGIO ONTARIO                                                                                     "</f>
        <v xml:space="preserve">COLEGIO ONTARIO                                                                                     </v>
      </c>
      <c r="D1030" s="26" t="str">
        <f t="shared" si="173"/>
        <v>MATUTINO</v>
      </c>
      <c r="E1030" s="26" t="str">
        <f>"NORTE 66 NUM 3653                                                               "</f>
        <v xml:space="preserve">NORTE 66 NUM 3653                                                               </v>
      </c>
      <c r="F1030" s="26" t="str">
        <f>"MARTIRES DE RIO BLANCO                                                                                                                      "</f>
        <v xml:space="preserve">MARTIRES DE RIO BLANCO                                                                                                                      </v>
      </c>
      <c r="G1030" s="26" t="str">
        <f>"GUSTAVO A. MADERO                                                               "</f>
        <v xml:space="preserve">GUSTAVO A. MADERO                                                               </v>
      </c>
      <c r="H1030" s="26" t="str">
        <f>"036"</f>
        <v>036</v>
      </c>
      <c r="I1030" s="26" t="str">
        <f t="shared" si="166"/>
        <v>00</v>
      </c>
      <c r="J1030" s="26" t="str">
        <f>"52 "</f>
        <v xml:space="preserve">52 </v>
      </c>
      <c r="K1030" s="26" t="str">
        <f t="shared" si="170"/>
        <v>SG</v>
      </c>
      <c r="L1030" s="26" t="str">
        <f t="shared" si="171"/>
        <v>DGOSE</v>
      </c>
      <c r="M1030" s="26" t="str">
        <f t="shared" si="169"/>
        <v>PARTICULAR</v>
      </c>
      <c r="N1030" s="26">
        <v>76</v>
      </c>
      <c r="O1030" s="26">
        <v>37</v>
      </c>
      <c r="P1030" s="26">
        <v>39</v>
      </c>
      <c r="Q1030" s="26">
        <v>3</v>
      </c>
      <c r="R1030" s="26">
        <v>2</v>
      </c>
      <c r="S1030" s="26">
        <v>10</v>
      </c>
      <c r="T1030" s="26">
        <v>3</v>
      </c>
      <c r="U1030" s="26">
        <v>15</v>
      </c>
      <c r="V1030" s="26">
        <v>1</v>
      </c>
      <c r="W1030" s="26"/>
    </row>
    <row r="1031" spans="1:23" x14ac:dyDescent="0.25">
      <c r="A1031" s="26" t="str">
        <f t="shared" si="172"/>
        <v>SECUNDARIA</v>
      </c>
      <c r="B1031" s="26" t="str">
        <f>"09PES0635W"</f>
        <v>09PES0635W</v>
      </c>
      <c r="C1031" s="26" t="str">
        <f>"JERONIMO MARIANO USERA Y ALARCON                                                                    "</f>
        <v xml:space="preserve">JERONIMO MARIANO USERA Y ALARCON                                                                    </v>
      </c>
      <c r="D1031" s="26" t="str">
        <f t="shared" si="173"/>
        <v>MATUTINO</v>
      </c>
      <c r="E1031" s="26" t="str">
        <f>"AV VENUSTIANO CARRANZA NO 1419                                                  "</f>
        <v xml:space="preserve">AV VENUSTIANO CARRANZA NO 1419                                                  </v>
      </c>
      <c r="F1031" s="26" t="str">
        <f>"CUAUTEPEC EL ALTO                                                                                                                           "</f>
        <v xml:space="preserve">CUAUTEPEC EL ALTO                                                                                                                           </v>
      </c>
      <c r="G1031" s="26" t="str">
        <f>"GUSTAVO A. MADERO                                                               "</f>
        <v xml:space="preserve">GUSTAVO A. MADERO                                                               </v>
      </c>
      <c r="H1031" s="26" t="str">
        <f>"031"</f>
        <v>031</v>
      </c>
      <c r="I1031" s="26" t="str">
        <f t="shared" ref="I1031:I1094" si="174">"00"</f>
        <v>00</v>
      </c>
      <c r="J1031" s="26" t="str">
        <f>"52 "</f>
        <v xml:space="preserve">52 </v>
      </c>
      <c r="K1031" s="26" t="str">
        <f t="shared" si="170"/>
        <v>SG</v>
      </c>
      <c r="L1031" s="26" t="str">
        <f t="shared" si="171"/>
        <v>DGOSE</v>
      </c>
      <c r="M1031" s="26" t="str">
        <f t="shared" si="169"/>
        <v>PARTICULAR</v>
      </c>
      <c r="N1031" s="26">
        <v>130</v>
      </c>
      <c r="O1031" s="26">
        <v>53</v>
      </c>
      <c r="P1031" s="26">
        <v>77</v>
      </c>
      <c r="Q1031" s="26">
        <v>6</v>
      </c>
      <c r="R1031" s="26">
        <v>2</v>
      </c>
      <c r="S1031" s="26">
        <v>14</v>
      </c>
      <c r="T1031" s="26">
        <v>2</v>
      </c>
      <c r="U1031" s="26">
        <v>18</v>
      </c>
      <c r="V1031" s="26">
        <v>1</v>
      </c>
      <c r="W1031" s="26"/>
    </row>
    <row r="1032" spans="1:23" x14ac:dyDescent="0.25">
      <c r="A1032" s="26" t="str">
        <f t="shared" si="172"/>
        <v>SECUNDARIA</v>
      </c>
      <c r="B1032" s="26" t="str">
        <f>"09PES0637U"</f>
        <v>09PES0637U</v>
      </c>
      <c r="C1032" s="26" t="str">
        <f>"REIMS                                                                                               "</f>
        <v xml:space="preserve">REIMS                                                                                               </v>
      </c>
      <c r="D1032" s="26" t="str">
        <f t="shared" si="173"/>
        <v>MATUTINO</v>
      </c>
      <c r="E1032" s="26" t="str">
        <f>"CAFETALES 239                                                                   "</f>
        <v xml:space="preserve">CAFETALES 239                                                                   </v>
      </c>
      <c r="F1032" s="26" t="str">
        <f>"RINCONADA COAPA                                                                                                                             "</f>
        <v xml:space="preserve">RINCONADA COAPA                                                                                                                             </v>
      </c>
      <c r="G1032" s="26" t="str">
        <f>"TLALPAN                                                                         "</f>
        <v xml:space="preserve">TLALPAN                                                                         </v>
      </c>
      <c r="H1032" s="26" t="str">
        <f>"073"</f>
        <v>073</v>
      </c>
      <c r="I1032" s="26" t="str">
        <f t="shared" si="174"/>
        <v>00</v>
      </c>
      <c r="J1032" s="26" t="str">
        <f>"55 "</f>
        <v xml:space="preserve">55 </v>
      </c>
      <c r="K1032" s="26" t="str">
        <f t="shared" si="170"/>
        <v>SG</v>
      </c>
      <c r="L1032" s="26" t="str">
        <f t="shared" si="171"/>
        <v>DGOSE</v>
      </c>
      <c r="M1032" s="26" t="str">
        <f t="shared" si="169"/>
        <v>PARTICULAR</v>
      </c>
      <c r="N1032" s="26">
        <v>180</v>
      </c>
      <c r="O1032" s="26">
        <v>90</v>
      </c>
      <c r="P1032" s="26">
        <v>90</v>
      </c>
      <c r="Q1032" s="26">
        <v>9</v>
      </c>
      <c r="R1032" s="26">
        <v>2</v>
      </c>
      <c r="S1032" s="26">
        <v>19</v>
      </c>
      <c r="T1032" s="26">
        <v>4</v>
      </c>
      <c r="U1032" s="26">
        <v>25</v>
      </c>
      <c r="V1032" s="26">
        <v>1</v>
      </c>
      <c r="W1032" s="26"/>
    </row>
    <row r="1033" spans="1:23" x14ac:dyDescent="0.25">
      <c r="A1033" s="26" t="str">
        <f t="shared" si="172"/>
        <v>SECUNDARIA</v>
      </c>
      <c r="B1033" s="26" t="str">
        <f>"09PES0638T"</f>
        <v>09PES0638T</v>
      </c>
      <c r="C1033" s="26" t="str">
        <f>"EDUARDO JENNER                                                                                      "</f>
        <v xml:space="preserve">EDUARDO JENNER                                                                                      </v>
      </c>
      <c r="D1033" s="26" t="str">
        <f t="shared" si="173"/>
        <v>MATUTINO</v>
      </c>
      <c r="E1033" s="26" t="str">
        <f>"SAN JUAN DE LOS LAGOS S/N                                                       "</f>
        <v xml:space="preserve">SAN JUAN DE LOS LAGOS S/N                                                       </v>
      </c>
      <c r="F1033" s="26" t="str">
        <f>"SAN FELIPE DE JESUS                                                                                                                         "</f>
        <v xml:space="preserve">SAN FELIPE DE JESUS                                                                                                                         </v>
      </c>
      <c r="G1033" s="26" t="str">
        <f>"GUSTAVO A. MADERO                                                               "</f>
        <v xml:space="preserve">GUSTAVO A. MADERO                                                               </v>
      </c>
      <c r="H1033" s="26" t="str">
        <f>"040"</f>
        <v>040</v>
      </c>
      <c r="I1033" s="26" t="str">
        <f t="shared" si="174"/>
        <v>00</v>
      </c>
      <c r="J1033" s="26" t="str">
        <f>"52 "</f>
        <v xml:space="preserve">52 </v>
      </c>
      <c r="K1033" s="26" t="str">
        <f t="shared" si="170"/>
        <v>SG</v>
      </c>
      <c r="L1033" s="26" t="str">
        <f t="shared" si="171"/>
        <v>DGOSE</v>
      </c>
      <c r="M1033" s="26" t="str">
        <f t="shared" si="169"/>
        <v>PARTICULAR</v>
      </c>
      <c r="N1033" s="26">
        <v>63</v>
      </c>
      <c r="O1033" s="26">
        <v>38</v>
      </c>
      <c r="P1033" s="26">
        <v>25</v>
      </c>
      <c r="Q1033" s="26">
        <v>3</v>
      </c>
      <c r="R1033" s="26">
        <v>1</v>
      </c>
      <c r="S1033" s="26">
        <v>12</v>
      </c>
      <c r="T1033" s="26">
        <v>2</v>
      </c>
      <c r="U1033" s="26">
        <v>15</v>
      </c>
      <c r="V1033" s="26">
        <v>1</v>
      </c>
      <c r="W1033" s="26"/>
    </row>
    <row r="1034" spans="1:23" x14ac:dyDescent="0.25">
      <c r="A1034" s="26" t="str">
        <f t="shared" si="172"/>
        <v>SECUNDARIA</v>
      </c>
      <c r="B1034" s="26" t="str">
        <f>"09PES0639S"</f>
        <v>09PES0639S</v>
      </c>
      <c r="C1034" s="26" t="str">
        <f>"COLEGIO ZACATECAS                                                                                   "</f>
        <v xml:space="preserve">COLEGIO ZACATECAS                                                                                   </v>
      </c>
      <c r="D1034" s="26" t="str">
        <f t="shared" si="173"/>
        <v>MATUTINO</v>
      </c>
      <c r="E1034" s="26" t="str">
        <f>"GENERAL SANTANA NO 155                                                          "</f>
        <v xml:space="preserve">GENERAL SANTANA NO 155                                                          </v>
      </c>
      <c r="F1034" s="26" t="str">
        <f>"MARTIN CARRERA                                                                                                                              "</f>
        <v xml:space="preserve">MARTIN CARRERA                                                                                                                              </v>
      </c>
      <c r="G1034" s="26" t="str">
        <f>"GUSTAVO A. MADERO                                                               "</f>
        <v xml:space="preserve">GUSTAVO A. MADERO                                                               </v>
      </c>
      <c r="H1034" s="26" t="str">
        <f>"038"</f>
        <v>038</v>
      </c>
      <c r="I1034" s="26" t="str">
        <f t="shared" si="174"/>
        <v>00</v>
      </c>
      <c r="J1034" s="26" t="str">
        <f>"52 "</f>
        <v xml:space="preserve">52 </v>
      </c>
      <c r="K1034" s="26" t="str">
        <f t="shared" si="170"/>
        <v>SG</v>
      </c>
      <c r="L1034" s="26" t="str">
        <f t="shared" si="171"/>
        <v>DGOSE</v>
      </c>
      <c r="M1034" s="26" t="str">
        <f t="shared" si="169"/>
        <v>PARTICULAR</v>
      </c>
      <c r="N1034" s="26">
        <v>185</v>
      </c>
      <c r="O1034" s="26">
        <v>85</v>
      </c>
      <c r="P1034" s="26">
        <v>100</v>
      </c>
      <c r="Q1034" s="26">
        <v>6</v>
      </c>
      <c r="R1034" s="26">
        <v>2</v>
      </c>
      <c r="S1034" s="26">
        <v>13</v>
      </c>
      <c r="T1034" s="26">
        <v>2</v>
      </c>
      <c r="U1034" s="26">
        <v>17</v>
      </c>
      <c r="V1034" s="26">
        <v>1</v>
      </c>
      <c r="W1034" s="26"/>
    </row>
    <row r="1035" spans="1:23" x14ac:dyDescent="0.25">
      <c r="A1035" s="26" t="str">
        <f t="shared" si="172"/>
        <v>SECUNDARIA</v>
      </c>
      <c r="B1035" s="26" t="str">
        <f>"09PES0641G"</f>
        <v>09PES0641G</v>
      </c>
      <c r="C1035" s="26" t="str">
        <f>"21 DE MARZO                                                                                         "</f>
        <v xml:space="preserve">21 DE MARZO                                                                                         </v>
      </c>
      <c r="D1035" s="26" t="str">
        <f t="shared" si="173"/>
        <v>MATUTINO</v>
      </c>
      <c r="E1035" s="26" t="str">
        <f>"NAVOJOA NO. 27                                                                  "</f>
        <v xml:space="preserve">NAVOJOA NO. 27                                                                  </v>
      </c>
      <c r="F1035" s="26" t="str">
        <f>"SAN LORENZO XICOTENCATL                                                                                                                     "</f>
        <v xml:space="preserve">SAN LORENZO XICOTENCATL                                                                                                                     </v>
      </c>
      <c r="G1035" s="26" t="str">
        <f>"IZTAPALAPA                                                                      "</f>
        <v xml:space="preserve">IZTAPALAPA                                                                      </v>
      </c>
      <c r="H1035" s="26" t="str">
        <f>"000"</f>
        <v>000</v>
      </c>
      <c r="I1035" s="26" t="str">
        <f t="shared" si="174"/>
        <v>00</v>
      </c>
      <c r="J1035" s="26" t="str">
        <f>"62 "</f>
        <v xml:space="preserve">62 </v>
      </c>
      <c r="K1035" s="26" t="str">
        <f>"IZ"</f>
        <v>IZ</v>
      </c>
      <c r="L1035" s="26" t="str">
        <f>"DGSEI"</f>
        <v>DGSEI</v>
      </c>
      <c r="M1035" s="26" t="str">
        <f t="shared" si="169"/>
        <v>PARTICULAR</v>
      </c>
      <c r="N1035" s="26">
        <v>85</v>
      </c>
      <c r="O1035" s="26">
        <v>54</v>
      </c>
      <c r="P1035" s="26">
        <v>31</v>
      </c>
      <c r="Q1035" s="26">
        <v>5</v>
      </c>
      <c r="R1035" s="26">
        <v>1</v>
      </c>
      <c r="S1035" s="26">
        <v>12</v>
      </c>
      <c r="T1035" s="26">
        <v>8</v>
      </c>
      <c r="U1035" s="26">
        <v>21</v>
      </c>
      <c r="V1035" s="26">
        <v>1</v>
      </c>
      <c r="W1035" s="26"/>
    </row>
    <row r="1036" spans="1:23" x14ac:dyDescent="0.25">
      <c r="A1036" s="26" t="str">
        <f t="shared" si="172"/>
        <v>SECUNDARIA</v>
      </c>
      <c r="B1036" s="26" t="str">
        <f>"09PES0643E"</f>
        <v>09PES0643E</v>
      </c>
      <c r="C1036" s="26" t="str">
        <f>"COLEGIO MICHELET DE MEXICO                                                                          "</f>
        <v xml:space="preserve">COLEGIO MICHELET DE MEXICO                                                                          </v>
      </c>
      <c r="D1036" s="26" t="str">
        <f t="shared" si="173"/>
        <v>MATUTINO</v>
      </c>
      <c r="E1036" s="26" t="str">
        <f>"PTE. PLUTARCO ELIAS CALLES 988                                                  "</f>
        <v xml:space="preserve">PTE. PLUTARCO ELIAS CALLES 988                                                  </v>
      </c>
      <c r="F1036" s="26" t="str">
        <f>"REFORMA IZTACCIHUATL                                                                                                                        "</f>
        <v xml:space="preserve">REFORMA IZTACCIHUATL                                                                                                                        </v>
      </c>
      <c r="G1036" s="26" t="str">
        <f>"IZTACALCO                                                                       "</f>
        <v xml:space="preserve">IZTACALCO                                                                       </v>
      </c>
      <c r="H1036" s="26" t="str">
        <f>"043"</f>
        <v>043</v>
      </c>
      <c r="I1036" s="26" t="str">
        <f t="shared" si="174"/>
        <v>00</v>
      </c>
      <c r="J1036" s="26" t="str">
        <f>"54 "</f>
        <v xml:space="preserve">54 </v>
      </c>
      <c r="K1036" s="26" t="str">
        <f>"SG"</f>
        <v>SG</v>
      </c>
      <c r="L1036" s="26" t="str">
        <f>"DGOSE"</f>
        <v>DGOSE</v>
      </c>
      <c r="M1036" s="26" t="str">
        <f t="shared" si="169"/>
        <v>PARTICULAR</v>
      </c>
      <c r="N1036" s="26">
        <v>400</v>
      </c>
      <c r="O1036" s="26">
        <v>201</v>
      </c>
      <c r="P1036" s="26">
        <v>199</v>
      </c>
      <c r="Q1036" s="26">
        <v>13</v>
      </c>
      <c r="R1036" s="26">
        <v>2</v>
      </c>
      <c r="S1036" s="26">
        <v>26</v>
      </c>
      <c r="T1036" s="26">
        <v>4</v>
      </c>
      <c r="U1036" s="26">
        <v>32</v>
      </c>
      <c r="V1036" s="26">
        <v>1</v>
      </c>
      <c r="W1036" s="26"/>
    </row>
    <row r="1037" spans="1:23" x14ac:dyDescent="0.25">
      <c r="A1037" s="26" t="str">
        <f t="shared" si="172"/>
        <v>SECUNDARIA</v>
      </c>
      <c r="B1037" s="26" t="str">
        <f>"09PES0644D"</f>
        <v>09PES0644D</v>
      </c>
      <c r="C1037" s="26" t="str">
        <f>"INSTITUTO HISPANO INGLES DE MEXICO                                                                  "</f>
        <v xml:space="preserve">INSTITUTO HISPANO INGLES DE MEXICO                                                                  </v>
      </c>
      <c r="D1037" s="26" t="str">
        <f t="shared" si="173"/>
        <v>MATUTINO</v>
      </c>
      <c r="E1037" s="26" t="str">
        <f>"GENERAL CANO NO 153                                                             "</f>
        <v xml:space="preserve">GENERAL CANO NO 153                                                             </v>
      </c>
      <c r="F1037" s="26" t="str">
        <f>"SAN MIGUEL CHAPULTEPEC                                                                                                                      "</f>
        <v xml:space="preserve">SAN MIGUEL CHAPULTEPEC                                                                                                                      </v>
      </c>
      <c r="G1037" s="26" t="str">
        <f>"MIGUEL HIDALGO                                                                  "</f>
        <v xml:space="preserve">MIGUEL HIDALGO                                                                  </v>
      </c>
      <c r="H1037" s="26" t="str">
        <f>"061"</f>
        <v>061</v>
      </c>
      <c r="I1037" s="26" t="str">
        <f t="shared" si="174"/>
        <v>00</v>
      </c>
      <c r="J1037" s="26" t="str">
        <f>"51 "</f>
        <v xml:space="preserve">51 </v>
      </c>
      <c r="K1037" s="26" t="str">
        <f>"SG"</f>
        <v>SG</v>
      </c>
      <c r="L1037" s="26" t="str">
        <f>"DGOSE"</f>
        <v>DGOSE</v>
      </c>
      <c r="M1037" s="26" t="str">
        <f t="shared" si="169"/>
        <v>PARTICULAR</v>
      </c>
      <c r="N1037" s="26">
        <v>134</v>
      </c>
      <c r="O1037" s="26">
        <v>64</v>
      </c>
      <c r="P1037" s="26">
        <v>70</v>
      </c>
      <c r="Q1037" s="26">
        <v>6</v>
      </c>
      <c r="R1037" s="26">
        <v>2</v>
      </c>
      <c r="S1037" s="26">
        <v>15</v>
      </c>
      <c r="T1037" s="26">
        <v>3</v>
      </c>
      <c r="U1037" s="26">
        <v>20</v>
      </c>
      <c r="V1037" s="26">
        <v>1</v>
      </c>
      <c r="W1037" s="26"/>
    </row>
    <row r="1038" spans="1:23" x14ac:dyDescent="0.25">
      <c r="A1038" s="26" t="str">
        <f t="shared" si="172"/>
        <v>SECUNDARIA</v>
      </c>
      <c r="B1038" s="26" t="str">
        <f>"09PES0645C"</f>
        <v>09PES0645C</v>
      </c>
      <c r="C1038" s="26" t="str">
        <f>"INSTITUTO BASSOLS                                                                                   "</f>
        <v xml:space="preserve">INSTITUTO BASSOLS                                                                                   </v>
      </c>
      <c r="D1038" s="26" t="str">
        <f t="shared" si="173"/>
        <v>MATUTINO</v>
      </c>
      <c r="E1038" s="26" t="str">
        <f>"JOSEFA O. DE DOMINGUEZ NO.1653                                                  "</f>
        <v xml:space="preserve">JOSEFA O. DE DOMINGUEZ NO.1653                                                  </v>
      </c>
      <c r="F1038" s="26" t="str">
        <f>"SANTA MARIA AZTAHUACAN                                                                                                                      "</f>
        <v xml:space="preserve">SANTA MARIA AZTAHUACAN                                                                                                                      </v>
      </c>
      <c r="G1038" s="26" t="str">
        <f>"IZTAPALAPA                                                                      "</f>
        <v xml:space="preserve">IZTAPALAPA                                                                      </v>
      </c>
      <c r="H1038" s="26" t="str">
        <f>"000"</f>
        <v>000</v>
      </c>
      <c r="I1038" s="26" t="str">
        <f t="shared" si="174"/>
        <v>00</v>
      </c>
      <c r="J1038" s="26" t="str">
        <f>"64 "</f>
        <v xml:space="preserve">64 </v>
      </c>
      <c r="K1038" s="26" t="str">
        <f>"IZ"</f>
        <v>IZ</v>
      </c>
      <c r="L1038" s="26" t="str">
        <f>"DGSEI"</f>
        <v>DGSEI</v>
      </c>
      <c r="M1038" s="26" t="str">
        <f t="shared" si="169"/>
        <v>PARTICULAR</v>
      </c>
      <c r="N1038" s="26">
        <v>83</v>
      </c>
      <c r="O1038" s="26">
        <v>42</v>
      </c>
      <c r="P1038" s="26">
        <v>41</v>
      </c>
      <c r="Q1038" s="26">
        <v>6</v>
      </c>
      <c r="R1038" s="26">
        <v>2</v>
      </c>
      <c r="S1038" s="26">
        <v>22</v>
      </c>
      <c r="T1038" s="26">
        <v>2</v>
      </c>
      <c r="U1038" s="26">
        <v>26</v>
      </c>
      <c r="V1038" s="26">
        <v>1</v>
      </c>
      <c r="W1038" s="26"/>
    </row>
    <row r="1039" spans="1:23" x14ac:dyDescent="0.25">
      <c r="A1039" s="26" t="str">
        <f t="shared" si="172"/>
        <v>SECUNDARIA</v>
      </c>
      <c r="B1039" s="26" t="str">
        <f>"09PES0647A"</f>
        <v>09PES0647A</v>
      </c>
      <c r="C1039" s="26" t="str">
        <f>"ISAAC NEWTON                                                                                        "</f>
        <v xml:space="preserve">ISAAC NEWTON                                                                                        </v>
      </c>
      <c r="D1039" s="26" t="str">
        <f t="shared" si="173"/>
        <v>MATUTINO</v>
      </c>
      <c r="E1039" s="26" t="str">
        <f>"AV SUR 20 NUM 9N                                                                "</f>
        <v xml:space="preserve">AV SUR 20 NUM 9N                                                                </v>
      </c>
      <c r="F1039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1039" s="26" t="str">
        <f>"IZTACALCO                                                                       "</f>
        <v xml:space="preserve">IZTACALCO                                                                       </v>
      </c>
      <c r="H1039" s="26" t="str">
        <f>"044"</f>
        <v>044</v>
      </c>
      <c r="I1039" s="26" t="str">
        <f t="shared" si="174"/>
        <v>00</v>
      </c>
      <c r="J1039" s="26" t="str">
        <f>"54 "</f>
        <v xml:space="preserve">54 </v>
      </c>
      <c r="K1039" s="26" t="str">
        <f>"SG"</f>
        <v>SG</v>
      </c>
      <c r="L1039" s="26" t="str">
        <f>"DGOSE"</f>
        <v>DGOSE</v>
      </c>
      <c r="M1039" s="26" t="str">
        <f t="shared" si="169"/>
        <v>PARTICULAR</v>
      </c>
      <c r="N1039" s="26">
        <v>117</v>
      </c>
      <c r="O1039" s="26">
        <v>56</v>
      </c>
      <c r="P1039" s="26">
        <v>61</v>
      </c>
      <c r="Q1039" s="26">
        <v>5</v>
      </c>
      <c r="R1039" s="26">
        <v>2</v>
      </c>
      <c r="S1039" s="26">
        <v>13</v>
      </c>
      <c r="T1039" s="26">
        <v>5</v>
      </c>
      <c r="U1039" s="26">
        <v>20</v>
      </c>
      <c r="V1039" s="26">
        <v>1</v>
      </c>
      <c r="W1039" s="26"/>
    </row>
    <row r="1040" spans="1:23" x14ac:dyDescent="0.25">
      <c r="A1040" s="26" t="str">
        <f t="shared" si="172"/>
        <v>SECUNDARIA</v>
      </c>
      <c r="B1040" s="26" t="str">
        <f>"09PES0648Z"</f>
        <v>09PES0648Z</v>
      </c>
      <c r="C1040" s="26" t="str">
        <f>"NUEVA DONCELLA DE ORLEANS                                                                           "</f>
        <v xml:space="preserve">NUEVA DONCELLA DE ORLEANS                                                                           </v>
      </c>
      <c r="D1040" s="26" t="str">
        <f t="shared" si="173"/>
        <v>MATUTINO</v>
      </c>
      <c r="E1040" s="26" t="str">
        <f>"TEPEYAC NUM 222                                                                 "</f>
        <v xml:space="preserve">TEPEYAC NUM 222                                                                 </v>
      </c>
      <c r="F1040" s="26" t="str">
        <f>"INDUSTRIAL                                                                                                                                  "</f>
        <v xml:space="preserve">INDUSTRIAL                                                                                                                                  </v>
      </c>
      <c r="G1040" s="26" t="str">
        <f>"GUSTAVO A. MADERO                                                               "</f>
        <v xml:space="preserve">GUSTAVO A. MADERO                                                               </v>
      </c>
      <c r="H1040" s="26" t="str">
        <f>"036"</f>
        <v>036</v>
      </c>
      <c r="I1040" s="26" t="str">
        <f t="shared" si="174"/>
        <v>00</v>
      </c>
      <c r="J1040" s="26" t="str">
        <f>"52 "</f>
        <v xml:space="preserve">52 </v>
      </c>
      <c r="K1040" s="26" t="str">
        <f>"SG"</f>
        <v>SG</v>
      </c>
      <c r="L1040" s="26" t="str">
        <f>"DGOSE"</f>
        <v>DGOSE</v>
      </c>
      <c r="M1040" s="26" t="str">
        <f t="shared" si="169"/>
        <v>PARTICULAR</v>
      </c>
      <c r="N1040" s="26">
        <v>47</v>
      </c>
      <c r="O1040" s="26">
        <v>29</v>
      </c>
      <c r="P1040" s="26">
        <v>18</v>
      </c>
      <c r="Q1040" s="26">
        <v>3</v>
      </c>
      <c r="R1040" s="26">
        <v>1</v>
      </c>
      <c r="S1040" s="26">
        <v>9</v>
      </c>
      <c r="T1040" s="26">
        <v>2</v>
      </c>
      <c r="U1040" s="26">
        <v>12</v>
      </c>
      <c r="V1040" s="26">
        <v>1</v>
      </c>
      <c r="W1040" s="26"/>
    </row>
    <row r="1041" spans="1:23" x14ac:dyDescent="0.25">
      <c r="A1041" s="26" t="str">
        <f t="shared" si="172"/>
        <v>SECUNDARIA</v>
      </c>
      <c r="B1041" s="26" t="str">
        <f>"09PES0649Z"</f>
        <v>09PES0649Z</v>
      </c>
      <c r="C1041" s="26" t="str">
        <f>"COLEGIO BOSQUES DEL CONTADERO                                                                       "</f>
        <v xml:space="preserve">COLEGIO BOSQUES DEL CONTADERO                                                                       </v>
      </c>
      <c r="D1041" s="26" t="str">
        <f t="shared" si="173"/>
        <v>MATUTINO</v>
      </c>
      <c r="E1041" s="26" t="str">
        <f>"COAHUILA NO 75                                                                  "</f>
        <v xml:space="preserve">COAHUILA NO 75                                                                  </v>
      </c>
      <c r="F1041" s="26" t="str">
        <f>"CUAJIMALPA                                                                                                                                  "</f>
        <v xml:space="preserve">CUAJIMALPA                                                                                                                                  </v>
      </c>
      <c r="G1041" s="26" t="str">
        <f>"CUAJIMALPA DE MORELOS                                                           "</f>
        <v xml:space="preserve">CUAJIMALPA DE MORELOS                                                           </v>
      </c>
      <c r="H1041" s="26" t="str">
        <f>"024"</f>
        <v>024</v>
      </c>
      <c r="I1041" s="26" t="str">
        <f t="shared" si="174"/>
        <v>00</v>
      </c>
      <c r="J1041" s="26" t="str">
        <f>"53 "</f>
        <v xml:space="preserve">53 </v>
      </c>
      <c r="K1041" s="26" t="str">
        <f>"SG"</f>
        <v>SG</v>
      </c>
      <c r="L1041" s="26" t="str">
        <f>"DGOSE"</f>
        <v>DGOSE</v>
      </c>
      <c r="M1041" s="26" t="str">
        <f t="shared" si="169"/>
        <v>PARTICULAR</v>
      </c>
      <c r="N1041" s="26">
        <v>80</v>
      </c>
      <c r="O1041" s="26">
        <v>36</v>
      </c>
      <c r="P1041" s="26">
        <v>44</v>
      </c>
      <c r="Q1041" s="26">
        <v>6</v>
      </c>
      <c r="R1041" s="26">
        <v>2</v>
      </c>
      <c r="S1041" s="26">
        <v>15</v>
      </c>
      <c r="T1041" s="26">
        <v>0</v>
      </c>
      <c r="U1041" s="26">
        <v>17</v>
      </c>
      <c r="V1041" s="26">
        <v>1</v>
      </c>
      <c r="W1041" s="26"/>
    </row>
    <row r="1042" spans="1:23" x14ac:dyDescent="0.25">
      <c r="A1042" s="26" t="str">
        <f t="shared" si="172"/>
        <v>SECUNDARIA</v>
      </c>
      <c r="B1042" s="26" t="str">
        <f>"09PES0650O"</f>
        <v>09PES0650O</v>
      </c>
      <c r="C1042" s="26" t="str">
        <f>"INSTITUTO PEDAGOGICO IBEROAMERICANO                                                                 "</f>
        <v xml:space="preserve">INSTITUTO PEDAGOGICO IBEROAMERICANO                                                                 </v>
      </c>
      <c r="D1042" s="26" t="str">
        <f t="shared" si="173"/>
        <v>MATUTINO</v>
      </c>
      <c r="E1042" s="26" t="str">
        <f>"CAMPESINOS NO.134                                                               "</f>
        <v xml:space="preserve">CAMPESINOS NO.134                                                               </v>
      </c>
      <c r="F1042" s="26" t="str">
        <f>"GRANJAS ESMERALDA                                                                                                                           "</f>
        <v xml:space="preserve">GRANJAS ESMERALDA                                                                                                                           </v>
      </c>
      <c r="G1042" s="26" t="str">
        <f>"IZTAPALAPA                                                                      "</f>
        <v xml:space="preserve">IZTAPALAPA                                                                      </v>
      </c>
      <c r="H1042" s="26" t="str">
        <f>"000"</f>
        <v>000</v>
      </c>
      <c r="I1042" s="26" t="str">
        <f t="shared" si="174"/>
        <v>00</v>
      </c>
      <c r="J1042" s="26" t="str">
        <f>"61 "</f>
        <v xml:space="preserve">61 </v>
      </c>
      <c r="K1042" s="26" t="str">
        <f>"IZ"</f>
        <v>IZ</v>
      </c>
      <c r="L1042" s="26" t="str">
        <f>"DGSEI"</f>
        <v>DGSEI</v>
      </c>
      <c r="M1042" s="26" t="str">
        <f t="shared" si="169"/>
        <v>PARTICULAR</v>
      </c>
      <c r="N1042" s="26">
        <v>164</v>
      </c>
      <c r="O1042" s="26">
        <v>87</v>
      </c>
      <c r="P1042" s="26">
        <v>77</v>
      </c>
      <c r="Q1042" s="26">
        <v>6</v>
      </c>
      <c r="R1042" s="26">
        <v>2</v>
      </c>
      <c r="S1042" s="26">
        <v>15</v>
      </c>
      <c r="T1042" s="26">
        <v>1</v>
      </c>
      <c r="U1042" s="26">
        <v>18</v>
      </c>
      <c r="V1042" s="26">
        <v>1</v>
      </c>
      <c r="W1042" s="26"/>
    </row>
    <row r="1043" spans="1:23" x14ac:dyDescent="0.25">
      <c r="A1043" s="26" t="str">
        <f t="shared" si="172"/>
        <v>SECUNDARIA</v>
      </c>
      <c r="B1043" s="26" t="str">
        <f>"09PES0651N"</f>
        <v>09PES0651N</v>
      </c>
      <c r="C1043" s="26" t="str">
        <f>"COLEGIO TEIFAROS                                                                                    "</f>
        <v xml:space="preserve">COLEGIO TEIFAROS                                                                                    </v>
      </c>
      <c r="D1043" s="26" t="str">
        <f t="shared" si="173"/>
        <v>MATUTINO</v>
      </c>
      <c r="E1043" s="26" t="str">
        <f>"FERNANDEZ LEAL NUM. 16                                                          "</f>
        <v xml:space="preserve">FERNANDEZ LEAL NUM. 16                                                          </v>
      </c>
      <c r="F1043" s="26" t="str">
        <f>"COYOACAN                                                                                                                                    "</f>
        <v xml:space="preserve">COYOACAN                                                                                                                                    </v>
      </c>
      <c r="G1043" s="26" t="str">
        <f>"COYOACAN                                                                        "</f>
        <v xml:space="preserve">COYOACAN                                                                        </v>
      </c>
      <c r="H1043" s="26" t="str">
        <f>"018"</f>
        <v>018</v>
      </c>
      <c r="I1043" s="26" t="str">
        <f t="shared" si="174"/>
        <v>00</v>
      </c>
      <c r="J1043" s="26" t="str">
        <f>"54 "</f>
        <v xml:space="preserve">54 </v>
      </c>
      <c r="K1043" s="26" t="str">
        <f t="shared" ref="K1043:K1048" si="175">"SG"</f>
        <v>SG</v>
      </c>
      <c r="L1043" s="26" t="str">
        <f t="shared" ref="L1043:L1048" si="176">"DGOSE"</f>
        <v>DGOSE</v>
      </c>
      <c r="M1043" s="26" t="str">
        <f t="shared" si="169"/>
        <v>PARTICULAR</v>
      </c>
      <c r="N1043" s="26">
        <v>111</v>
      </c>
      <c r="O1043" s="26">
        <v>58</v>
      </c>
      <c r="P1043" s="26">
        <v>53</v>
      </c>
      <c r="Q1043" s="26">
        <v>4</v>
      </c>
      <c r="R1043" s="26">
        <v>2</v>
      </c>
      <c r="S1043" s="26">
        <v>14</v>
      </c>
      <c r="T1043" s="26">
        <v>2</v>
      </c>
      <c r="U1043" s="26">
        <v>18</v>
      </c>
      <c r="V1043" s="26">
        <v>1</v>
      </c>
      <c r="W1043" s="26"/>
    </row>
    <row r="1044" spans="1:23" x14ac:dyDescent="0.25">
      <c r="A1044" s="26" t="str">
        <f t="shared" si="172"/>
        <v>SECUNDARIA</v>
      </c>
      <c r="B1044" s="26" t="str">
        <f>"09PES0652M"</f>
        <v>09PES0652M</v>
      </c>
      <c r="C1044" s="26" t="str">
        <f>"COLEGIO GALILEO GALILEI                                                                             "</f>
        <v xml:space="preserve">COLEGIO GALILEO GALILEI                                                                             </v>
      </c>
      <c r="D1044" s="26" t="str">
        <f t="shared" si="173"/>
        <v>MATUTINO</v>
      </c>
      <c r="E1044" s="26" t="str">
        <f>"TENOSIQUE NUM 379                                                               "</f>
        <v xml:space="preserve">TENOSIQUE NUM 379                                                               </v>
      </c>
      <c r="F1044" s="26" t="str">
        <f>"HEROES DE PADIERNA                                                                                                                          "</f>
        <v xml:space="preserve">HEROES DE PADIERNA                                                                                                                          </v>
      </c>
      <c r="G1044" s="26" t="str">
        <f>"TLALPAN                                                                         "</f>
        <v xml:space="preserve">TLALPAN                                                                         </v>
      </c>
      <c r="H1044" s="26" t="str">
        <f>"071"</f>
        <v>071</v>
      </c>
      <c r="I1044" s="26" t="str">
        <f t="shared" si="174"/>
        <v>00</v>
      </c>
      <c r="J1044" s="26" t="str">
        <f>"55 "</f>
        <v xml:space="preserve">55 </v>
      </c>
      <c r="K1044" s="26" t="str">
        <f t="shared" si="175"/>
        <v>SG</v>
      </c>
      <c r="L1044" s="26" t="str">
        <f t="shared" si="176"/>
        <v>DGOSE</v>
      </c>
      <c r="M1044" s="26" t="str">
        <f t="shared" si="169"/>
        <v>PARTICULAR</v>
      </c>
      <c r="N1044" s="26">
        <v>105</v>
      </c>
      <c r="O1044" s="26">
        <v>57</v>
      </c>
      <c r="P1044" s="26">
        <v>48</v>
      </c>
      <c r="Q1044" s="26">
        <v>5</v>
      </c>
      <c r="R1044" s="26">
        <v>2</v>
      </c>
      <c r="S1044" s="26">
        <v>15</v>
      </c>
      <c r="T1044" s="26">
        <v>1</v>
      </c>
      <c r="U1044" s="26">
        <v>18</v>
      </c>
      <c r="V1044" s="26">
        <v>1</v>
      </c>
      <c r="W1044" s="26"/>
    </row>
    <row r="1045" spans="1:23" x14ac:dyDescent="0.25">
      <c r="A1045" s="26" t="str">
        <f t="shared" si="172"/>
        <v>SECUNDARIA</v>
      </c>
      <c r="B1045" s="26" t="str">
        <f>"09PES0653L"</f>
        <v>09PES0653L</v>
      </c>
      <c r="C1045" s="26" t="str">
        <f>"SARMIENTOCO ESCUELA BRITANICA AMERICANA                                                             "</f>
        <v xml:space="preserve">SARMIENTOCO ESCUELA BRITANICA AMERICANA                                                             </v>
      </c>
      <c r="D1045" s="26" t="str">
        <f t="shared" si="173"/>
        <v>MATUTINO</v>
      </c>
      <c r="E1045" s="26" t="str">
        <f>"INSURGENTES SUR NUM 4040                                                        "</f>
        <v xml:space="preserve">INSURGENTES SUR NUM 4040                                                        </v>
      </c>
      <c r="F1045" s="26" t="str">
        <f>"TLALPAN                                                                                                                                     "</f>
        <v xml:space="preserve">TLALPAN                                                                                                                                     </v>
      </c>
      <c r="G1045" s="26" t="str">
        <f>"TLALPAN                                                                         "</f>
        <v xml:space="preserve">TLALPAN                                                                         </v>
      </c>
      <c r="H1045" s="26" t="str">
        <f>"072"</f>
        <v>072</v>
      </c>
      <c r="I1045" s="26" t="str">
        <f t="shared" si="174"/>
        <v>00</v>
      </c>
      <c r="J1045" s="26" t="str">
        <f>"55 "</f>
        <v xml:space="preserve">55 </v>
      </c>
      <c r="K1045" s="26" t="str">
        <f t="shared" si="175"/>
        <v>SG</v>
      </c>
      <c r="L1045" s="26" t="str">
        <f t="shared" si="176"/>
        <v>DGOSE</v>
      </c>
      <c r="M1045" s="26" t="str">
        <f t="shared" ref="M1045:M1108" si="177">"PARTICULAR"</f>
        <v>PARTICULAR</v>
      </c>
      <c r="N1045" s="26">
        <v>34</v>
      </c>
      <c r="O1045" s="26">
        <v>20</v>
      </c>
      <c r="P1045" s="26">
        <v>14</v>
      </c>
      <c r="Q1045" s="26">
        <v>3</v>
      </c>
      <c r="R1045" s="26">
        <v>0</v>
      </c>
      <c r="S1045" s="26">
        <v>9</v>
      </c>
      <c r="T1045" s="26">
        <v>3</v>
      </c>
      <c r="U1045" s="26">
        <v>12</v>
      </c>
      <c r="V1045" s="26">
        <v>1</v>
      </c>
      <c r="W1045" s="26"/>
    </row>
    <row r="1046" spans="1:23" x14ac:dyDescent="0.25">
      <c r="A1046" s="26" t="str">
        <f t="shared" si="172"/>
        <v>SECUNDARIA</v>
      </c>
      <c r="B1046" s="26" t="str">
        <f>"09PES0654K"</f>
        <v>09PES0654K</v>
      </c>
      <c r="C1046" s="26" t="str">
        <f>"""COLEGIO LAS AMERICAS DE ARAGON""                                                                    "</f>
        <v xml:space="preserve">"COLEGIO LAS AMERICAS DE ARAGON"                                                                    </v>
      </c>
      <c r="D1046" s="26" t="str">
        <f t="shared" si="173"/>
        <v>MATUTINO</v>
      </c>
      <c r="E1046" s="26" t="str">
        <f>"AVENIDA 608 NUM 327                                                             "</f>
        <v xml:space="preserve">AVENIDA 608 NUM 327                                                             </v>
      </c>
      <c r="F1046" s="26" t="str">
        <f>"UNIDAD SAN JUAN DE ARAGON                                                                                                                   "</f>
        <v xml:space="preserve">UNIDAD SAN JUAN DE ARAGON                                                                                                                   </v>
      </c>
      <c r="G1046" s="26" t="str">
        <f>"GUSTAVO A. MADERO                                                               "</f>
        <v xml:space="preserve">GUSTAVO A. MADERO                                                               </v>
      </c>
      <c r="H1046" s="26" t="str">
        <f>"042"</f>
        <v>042</v>
      </c>
      <c r="I1046" s="26" t="str">
        <f t="shared" si="174"/>
        <v>00</v>
      </c>
      <c r="J1046" s="26" t="str">
        <f>"52 "</f>
        <v xml:space="preserve">52 </v>
      </c>
      <c r="K1046" s="26" t="str">
        <f t="shared" si="175"/>
        <v>SG</v>
      </c>
      <c r="L1046" s="26" t="str">
        <f t="shared" si="176"/>
        <v>DGOSE</v>
      </c>
      <c r="M1046" s="26" t="str">
        <f t="shared" si="177"/>
        <v>PARTICULAR</v>
      </c>
      <c r="N1046" s="26">
        <v>143</v>
      </c>
      <c r="O1046" s="26">
        <v>67</v>
      </c>
      <c r="P1046" s="26">
        <v>76</v>
      </c>
      <c r="Q1046" s="26">
        <v>6</v>
      </c>
      <c r="R1046" s="26">
        <v>1</v>
      </c>
      <c r="S1046" s="26">
        <v>14</v>
      </c>
      <c r="T1046" s="26">
        <v>4</v>
      </c>
      <c r="U1046" s="26">
        <v>19</v>
      </c>
      <c r="V1046" s="26">
        <v>1</v>
      </c>
      <c r="W1046" s="26"/>
    </row>
    <row r="1047" spans="1:23" x14ac:dyDescent="0.25">
      <c r="A1047" s="26" t="str">
        <f t="shared" si="172"/>
        <v>SECUNDARIA</v>
      </c>
      <c r="B1047" s="26" t="str">
        <f>"09PES0657H"</f>
        <v>09PES0657H</v>
      </c>
      <c r="C1047" s="26" t="str">
        <f>"GABRIELA MISTRAL                                                                                    "</f>
        <v xml:space="preserve">GABRIELA MISTRAL                                                                                    </v>
      </c>
      <c r="D1047" s="26" t="str">
        <f t="shared" si="173"/>
        <v>MATUTINO</v>
      </c>
      <c r="E1047" s="26" t="str">
        <f>"AV HECTOR VICTORIA NUM 264                                                      "</f>
        <v xml:space="preserve">AV HECTOR VICTORIA NUM 264                                                      </v>
      </c>
      <c r="F1047" s="26" t="str">
        <f>"GRANJAS DE NAVIDAD                                                                                                                          "</f>
        <v xml:space="preserve">GRANJAS DE NAVIDAD                                                                                                                          </v>
      </c>
      <c r="G1047" s="26" t="str">
        <f>"CUAJIMALPA DE MORELOS                                                           "</f>
        <v xml:space="preserve">CUAJIMALPA DE MORELOS                                                           </v>
      </c>
      <c r="H1047" s="26" t="str">
        <f>"023"</f>
        <v>023</v>
      </c>
      <c r="I1047" s="26" t="str">
        <f t="shared" si="174"/>
        <v>00</v>
      </c>
      <c r="J1047" s="26" t="str">
        <f>"53 "</f>
        <v xml:space="preserve">53 </v>
      </c>
      <c r="K1047" s="26" t="str">
        <f t="shared" si="175"/>
        <v>SG</v>
      </c>
      <c r="L1047" s="26" t="str">
        <f t="shared" si="176"/>
        <v>DGOSE</v>
      </c>
      <c r="M1047" s="26" t="str">
        <f t="shared" si="177"/>
        <v>PARTICULAR</v>
      </c>
      <c r="N1047" s="26">
        <v>92</v>
      </c>
      <c r="O1047" s="26">
        <v>42</v>
      </c>
      <c r="P1047" s="26">
        <v>50</v>
      </c>
      <c r="Q1047" s="26">
        <v>5</v>
      </c>
      <c r="R1047" s="26">
        <v>1</v>
      </c>
      <c r="S1047" s="26">
        <v>11</v>
      </c>
      <c r="T1047" s="26">
        <v>1</v>
      </c>
      <c r="U1047" s="26">
        <v>13</v>
      </c>
      <c r="V1047" s="26">
        <v>1</v>
      </c>
      <c r="W1047" s="26"/>
    </row>
    <row r="1048" spans="1:23" x14ac:dyDescent="0.25">
      <c r="A1048" s="26" t="str">
        <f t="shared" si="172"/>
        <v>SECUNDARIA</v>
      </c>
      <c r="B1048" s="26" t="str">
        <f>"09PES0658G"</f>
        <v>09PES0658G</v>
      </c>
      <c r="C1048" s="26" t="str">
        <f>"AMAUTA                                                                                              "</f>
        <v xml:space="preserve">AMAUTA                                                                                              </v>
      </c>
      <c r="D1048" s="26" t="str">
        <f t="shared" si="173"/>
        <v>MATUTINO</v>
      </c>
      <c r="E1048" s="26" t="str">
        <f>"CALZADA DE GUADALUPE NUMERO 183 Y 487                                           "</f>
        <v xml:space="preserve">CALZADA DE GUADALUPE NUMERO 183 Y 487                                           </v>
      </c>
      <c r="F1048" s="26" t="str">
        <f>"7 DE NOVIEMBRE                                                                                                                              "</f>
        <v xml:space="preserve">7 DE NOVIEMBRE                                                                                                                              </v>
      </c>
      <c r="G1048" s="26" t="str">
        <f>"GUSTAVO A. MADERO                                                               "</f>
        <v xml:space="preserve">GUSTAVO A. MADERO                                                               </v>
      </c>
      <c r="H1048" s="26" t="str">
        <f>"037"</f>
        <v>037</v>
      </c>
      <c r="I1048" s="26" t="str">
        <f t="shared" si="174"/>
        <v>00</v>
      </c>
      <c r="J1048" s="26" t="str">
        <f>"52 "</f>
        <v xml:space="preserve">52 </v>
      </c>
      <c r="K1048" s="26" t="str">
        <f t="shared" si="175"/>
        <v>SG</v>
      </c>
      <c r="L1048" s="26" t="str">
        <f t="shared" si="176"/>
        <v>DGOSE</v>
      </c>
      <c r="M1048" s="26" t="str">
        <f t="shared" si="177"/>
        <v>PARTICULAR</v>
      </c>
      <c r="N1048" s="26">
        <v>126</v>
      </c>
      <c r="O1048" s="26">
        <v>82</v>
      </c>
      <c r="P1048" s="26">
        <v>44</v>
      </c>
      <c r="Q1048" s="26">
        <v>5</v>
      </c>
      <c r="R1048" s="26">
        <v>2</v>
      </c>
      <c r="S1048" s="26">
        <v>12</v>
      </c>
      <c r="T1048" s="26">
        <v>1</v>
      </c>
      <c r="U1048" s="26">
        <v>15</v>
      </c>
      <c r="V1048" s="26">
        <v>1</v>
      </c>
      <c r="W1048" s="26"/>
    </row>
    <row r="1049" spans="1:23" x14ac:dyDescent="0.25">
      <c r="A1049" s="26" t="str">
        <f t="shared" si="172"/>
        <v>SECUNDARIA</v>
      </c>
      <c r="B1049" s="26" t="str">
        <f>"09PES0659F"</f>
        <v>09PES0659F</v>
      </c>
      <c r="C1049" s="26" t="str">
        <f>"BIK'IT                                                                                              "</f>
        <v xml:space="preserve">BIK'IT                                                                                              </v>
      </c>
      <c r="D1049" s="26" t="str">
        <f t="shared" si="173"/>
        <v>MATUTINO</v>
      </c>
      <c r="E1049" s="26" t="str">
        <f>"AV RIO CAZONES NUM 42                                                           "</f>
        <v xml:space="preserve">AV RIO CAZONES NUM 42                                                           </v>
      </c>
      <c r="F1049" s="26" t="str">
        <f>"PASEOS DE CHURUBUSCO                                                                                                                        "</f>
        <v xml:space="preserve">PASEOS DE CHURUBUSCO                                                                                                                        </v>
      </c>
      <c r="G1049" s="26" t="str">
        <f>"IZTAPALAPA                                                                      "</f>
        <v xml:space="preserve">IZTAPALAPA                                                                      </v>
      </c>
      <c r="H1049" s="26" t="str">
        <f>"000"</f>
        <v>000</v>
      </c>
      <c r="I1049" s="26" t="str">
        <f t="shared" si="174"/>
        <v>00</v>
      </c>
      <c r="J1049" s="26" t="str">
        <f>"61 "</f>
        <v xml:space="preserve">61 </v>
      </c>
      <c r="K1049" s="26" t="str">
        <f>"IZ"</f>
        <v>IZ</v>
      </c>
      <c r="L1049" s="26" t="str">
        <f>"DGSEI"</f>
        <v>DGSEI</v>
      </c>
      <c r="M1049" s="26" t="str">
        <f t="shared" si="177"/>
        <v>PARTICULAR</v>
      </c>
      <c r="N1049" s="26">
        <v>65</v>
      </c>
      <c r="O1049" s="26">
        <v>29</v>
      </c>
      <c r="P1049" s="26">
        <v>36</v>
      </c>
      <c r="Q1049" s="26">
        <v>3</v>
      </c>
      <c r="R1049" s="26">
        <v>2</v>
      </c>
      <c r="S1049" s="26">
        <v>13</v>
      </c>
      <c r="T1049" s="26">
        <v>2</v>
      </c>
      <c r="U1049" s="26">
        <v>17</v>
      </c>
      <c r="V1049" s="26">
        <v>1</v>
      </c>
      <c r="W1049" s="26"/>
    </row>
    <row r="1050" spans="1:23" x14ac:dyDescent="0.25">
      <c r="A1050" s="26" t="str">
        <f t="shared" si="172"/>
        <v>SECUNDARIA</v>
      </c>
      <c r="B1050" s="26" t="str">
        <f>"09PES0660V"</f>
        <v>09PES0660V</v>
      </c>
      <c r="C1050" s="26" t="str">
        <f>"""BONAMPAK""                                                                                          "</f>
        <v xml:space="preserve">"BONAMPAK"                                                                                          </v>
      </c>
      <c r="D1050" s="26" t="str">
        <f t="shared" si="173"/>
        <v>MATUTINO</v>
      </c>
      <c r="E1050" s="26" t="str">
        <f>"AV SAN JAVIER NUM 264                                                           "</f>
        <v xml:space="preserve">AV SAN JAVIER NUM 264                                                           </v>
      </c>
      <c r="F1050" s="26" t="str">
        <f>"ACUEDUCTO DE GUADALUPE                                                                                                                      "</f>
        <v xml:space="preserve">ACUEDUCTO DE GUADALUPE                                                                                                                      </v>
      </c>
      <c r="G1050" s="26" t="str">
        <f>"GUSTAVO A. MADERO                                                               "</f>
        <v xml:space="preserve">GUSTAVO A. MADERO                                                               </v>
      </c>
      <c r="H1050" s="26" t="str">
        <f>"031"</f>
        <v>031</v>
      </c>
      <c r="I1050" s="26" t="str">
        <f t="shared" si="174"/>
        <v>00</v>
      </c>
      <c r="J1050" s="26" t="str">
        <f>"52 "</f>
        <v xml:space="preserve">52 </v>
      </c>
      <c r="K1050" s="26" t="str">
        <f t="shared" ref="K1050:K1055" si="178">"SG"</f>
        <v>SG</v>
      </c>
      <c r="L1050" s="26" t="str">
        <f t="shared" ref="L1050:L1055" si="179">"DGOSE"</f>
        <v>DGOSE</v>
      </c>
      <c r="M1050" s="26" t="str">
        <f t="shared" si="177"/>
        <v>PARTICULAR</v>
      </c>
      <c r="N1050" s="26">
        <v>64</v>
      </c>
      <c r="O1050" s="26">
        <v>38</v>
      </c>
      <c r="P1050" s="26">
        <v>26</v>
      </c>
      <c r="Q1050" s="26">
        <v>3</v>
      </c>
      <c r="R1050" s="26">
        <v>2</v>
      </c>
      <c r="S1050" s="26">
        <v>11</v>
      </c>
      <c r="T1050" s="26">
        <v>2</v>
      </c>
      <c r="U1050" s="26">
        <v>15</v>
      </c>
      <c r="V1050" s="26">
        <v>1</v>
      </c>
      <c r="W1050" s="26"/>
    </row>
    <row r="1051" spans="1:23" x14ac:dyDescent="0.25">
      <c r="A1051" s="26" t="str">
        <f t="shared" si="172"/>
        <v>SECUNDARIA</v>
      </c>
      <c r="B1051" s="26" t="str">
        <f>"09PES0662T"</f>
        <v>09PES0662T</v>
      </c>
      <c r="C1051" s="26" t="str">
        <f>"MARIA MONTESSORI                                                                                    "</f>
        <v xml:space="preserve">MARIA MONTESSORI                                                                                    </v>
      </c>
      <c r="D1051" s="26" t="str">
        <f t="shared" si="173"/>
        <v>MATUTINO</v>
      </c>
      <c r="E1051" s="26" t="str">
        <f>"PROGRESO NUM 190                                                                "</f>
        <v xml:space="preserve">PROGRESO NUM 190                                                                </v>
      </c>
      <c r="F1051" s="26" t="str">
        <f>"ESCANDON                                                                                                                                    "</f>
        <v xml:space="preserve">ESCANDON                                                                                                                                    </v>
      </c>
      <c r="G1051" s="26" t="str">
        <f>"MIGUEL HIDALGO                                                                  "</f>
        <v xml:space="preserve">MIGUEL HIDALGO                                                                  </v>
      </c>
      <c r="H1051" s="26" t="str">
        <f>"060"</f>
        <v>060</v>
      </c>
      <c r="I1051" s="26" t="str">
        <f t="shared" si="174"/>
        <v>00</v>
      </c>
      <c r="J1051" s="26" t="str">
        <f>"51 "</f>
        <v xml:space="preserve">51 </v>
      </c>
      <c r="K1051" s="26" t="str">
        <f t="shared" si="178"/>
        <v>SG</v>
      </c>
      <c r="L1051" s="26" t="str">
        <f t="shared" si="179"/>
        <v>DGOSE</v>
      </c>
      <c r="M1051" s="26" t="str">
        <f t="shared" si="177"/>
        <v>PARTICULAR</v>
      </c>
      <c r="N1051" s="26">
        <v>262</v>
      </c>
      <c r="O1051" s="26">
        <v>132</v>
      </c>
      <c r="P1051" s="26">
        <v>130</v>
      </c>
      <c r="Q1051" s="26">
        <v>9</v>
      </c>
      <c r="R1051" s="26">
        <v>2</v>
      </c>
      <c r="S1051" s="26">
        <v>18</v>
      </c>
      <c r="T1051" s="26">
        <v>6</v>
      </c>
      <c r="U1051" s="26">
        <v>26</v>
      </c>
      <c r="V1051" s="26">
        <v>1</v>
      </c>
      <c r="W1051" s="26"/>
    </row>
    <row r="1052" spans="1:23" x14ac:dyDescent="0.25">
      <c r="A1052" s="26" t="str">
        <f t="shared" si="172"/>
        <v>SECUNDARIA</v>
      </c>
      <c r="B1052" s="26" t="str">
        <f>"09PES0664R"</f>
        <v>09PES0664R</v>
      </c>
      <c r="C1052" s="26" t="str">
        <f>"JUAN PALOMO MARTINEZ                                                                                "</f>
        <v xml:space="preserve">JUAN PALOMO MARTINEZ                                                                                </v>
      </c>
      <c r="D1052" s="26" t="str">
        <f t="shared" si="173"/>
        <v>MATUTINO</v>
      </c>
      <c r="E1052" s="26" t="str">
        <f>"AVENIDA TLAHUAC CON ESQUINA CALLE 5                                             "</f>
        <v xml:space="preserve">AVENIDA TLAHUAC CON ESQUINA CALLE 5                                             </v>
      </c>
      <c r="F1052" s="26" t="str">
        <f>"SANTA CECILIA                                                                                                                               "</f>
        <v xml:space="preserve">SANTA CECILIA                                                                                                                               </v>
      </c>
      <c r="G1052" s="26" t="str">
        <f>"TLAHUAC                                                                         "</f>
        <v xml:space="preserve">TLAHUAC                                                                         </v>
      </c>
      <c r="H1052" s="26" t="str">
        <f>"068"</f>
        <v>068</v>
      </c>
      <c r="I1052" s="26" t="str">
        <f t="shared" si="174"/>
        <v>00</v>
      </c>
      <c r="J1052" s="26" t="str">
        <f>"55 "</f>
        <v xml:space="preserve">55 </v>
      </c>
      <c r="K1052" s="26" t="str">
        <f t="shared" si="178"/>
        <v>SG</v>
      </c>
      <c r="L1052" s="26" t="str">
        <f t="shared" si="179"/>
        <v>DGOSE</v>
      </c>
      <c r="M1052" s="26" t="str">
        <f t="shared" si="177"/>
        <v>PARTICULAR</v>
      </c>
      <c r="N1052" s="26">
        <v>55</v>
      </c>
      <c r="O1052" s="26">
        <v>36</v>
      </c>
      <c r="P1052" s="26">
        <v>19</v>
      </c>
      <c r="Q1052" s="26">
        <v>3</v>
      </c>
      <c r="R1052" s="26">
        <v>2</v>
      </c>
      <c r="S1052" s="26">
        <v>12</v>
      </c>
      <c r="T1052" s="26">
        <v>4</v>
      </c>
      <c r="U1052" s="26">
        <v>18</v>
      </c>
      <c r="V1052" s="26">
        <v>1</v>
      </c>
      <c r="W1052" s="26"/>
    </row>
    <row r="1053" spans="1:23" x14ac:dyDescent="0.25">
      <c r="A1053" s="26" t="str">
        <f t="shared" si="172"/>
        <v>SECUNDARIA</v>
      </c>
      <c r="B1053" s="26" t="str">
        <f>"09PES0665Q"</f>
        <v>09PES0665Q</v>
      </c>
      <c r="C1053" s="26" t="str">
        <f>"BERNAL DIAZ DEL CASTILLO                                                                            "</f>
        <v xml:space="preserve">BERNAL DIAZ DEL CASTILLO                                                                            </v>
      </c>
      <c r="D1053" s="26" t="str">
        <f t="shared" si="173"/>
        <v>MATUTINO</v>
      </c>
      <c r="E1053" s="26" t="str">
        <f>"PLAYA REGATAS 311 Y 313                                                         "</f>
        <v xml:space="preserve">PLAYA REGATAS 311 Y 313                                                         </v>
      </c>
      <c r="F1053" s="26" t="str">
        <f>"REFORMA IZTACCIHUATL NORTE                                                                                                                  "</f>
        <v xml:space="preserve">REFORMA IZTACCIHUATL NORTE                                                                                                                  </v>
      </c>
      <c r="G1053" s="26" t="str">
        <f>"IZTACALCO                                                                       "</f>
        <v xml:space="preserve">IZTACALCO                                                                       </v>
      </c>
      <c r="H1053" s="26" t="str">
        <f>"043"</f>
        <v>043</v>
      </c>
      <c r="I1053" s="26" t="str">
        <f t="shared" si="174"/>
        <v>00</v>
      </c>
      <c r="J1053" s="26" t="str">
        <f>"54 "</f>
        <v xml:space="preserve">54 </v>
      </c>
      <c r="K1053" s="26" t="str">
        <f t="shared" si="178"/>
        <v>SG</v>
      </c>
      <c r="L1053" s="26" t="str">
        <f t="shared" si="179"/>
        <v>DGOSE</v>
      </c>
      <c r="M1053" s="26" t="str">
        <f t="shared" si="177"/>
        <v>PARTICULAR</v>
      </c>
      <c r="N1053" s="26">
        <v>19</v>
      </c>
      <c r="O1053" s="26">
        <v>9</v>
      </c>
      <c r="P1053" s="26">
        <v>10</v>
      </c>
      <c r="Q1053" s="26">
        <v>3</v>
      </c>
      <c r="R1053" s="26">
        <v>1</v>
      </c>
      <c r="S1053" s="26">
        <v>11</v>
      </c>
      <c r="T1053" s="26">
        <v>1</v>
      </c>
      <c r="U1053" s="26">
        <v>13</v>
      </c>
      <c r="V1053" s="26">
        <v>1</v>
      </c>
      <c r="W1053" s="26"/>
    </row>
    <row r="1054" spans="1:23" x14ac:dyDescent="0.25">
      <c r="A1054" s="26" t="str">
        <f t="shared" si="172"/>
        <v>SECUNDARIA</v>
      </c>
      <c r="B1054" s="26" t="str">
        <f>"09PES0666P"</f>
        <v>09PES0666P</v>
      </c>
      <c r="C1054" s="26" t="str">
        <f>"LICEO IBERICO AMERICANO DE COYOACAN                                                                 "</f>
        <v xml:space="preserve">LICEO IBERICO AMERICANO DE COYOACAN                                                                 </v>
      </c>
      <c r="D1054" s="26" t="str">
        <f t="shared" si="173"/>
        <v>MATUTINO</v>
      </c>
      <c r="E1054" s="26" t="str">
        <f>"SANTA MARIA TICOMAN NUM 15                                                      "</f>
        <v xml:space="preserve">SANTA MARIA TICOMAN NUM 15                                                      </v>
      </c>
      <c r="F1054" s="26" t="str">
        <f>"SAN FRANCISCO CULHUACAN EJIDO                                                                                                               "</f>
        <v xml:space="preserve">SAN FRANCISCO CULHUACAN EJIDO                                                                                                               </v>
      </c>
      <c r="G1054" s="26" t="str">
        <f>"COYOACAN                                                                        "</f>
        <v xml:space="preserve">COYOACAN                                                                        </v>
      </c>
      <c r="H1054" s="26" t="str">
        <f>"020"</f>
        <v>020</v>
      </c>
      <c r="I1054" s="26" t="str">
        <f t="shared" si="174"/>
        <v>00</v>
      </c>
      <c r="J1054" s="26" t="str">
        <f>"54 "</f>
        <v xml:space="preserve">54 </v>
      </c>
      <c r="K1054" s="26" t="str">
        <f t="shared" si="178"/>
        <v>SG</v>
      </c>
      <c r="L1054" s="26" t="str">
        <f t="shared" si="179"/>
        <v>DGOSE</v>
      </c>
      <c r="M1054" s="26" t="str">
        <f t="shared" si="177"/>
        <v>PARTICULAR</v>
      </c>
      <c r="N1054" s="26">
        <v>115</v>
      </c>
      <c r="O1054" s="26">
        <v>63</v>
      </c>
      <c r="P1054" s="26">
        <v>52</v>
      </c>
      <c r="Q1054" s="26">
        <v>6</v>
      </c>
      <c r="R1054" s="26">
        <v>2</v>
      </c>
      <c r="S1054" s="26">
        <v>12</v>
      </c>
      <c r="T1054" s="26">
        <v>2</v>
      </c>
      <c r="U1054" s="26">
        <v>16</v>
      </c>
      <c r="V1054" s="26">
        <v>1</v>
      </c>
      <c r="W1054" s="26"/>
    </row>
    <row r="1055" spans="1:23" x14ac:dyDescent="0.25">
      <c r="A1055" s="26" t="str">
        <f t="shared" si="172"/>
        <v>SECUNDARIA</v>
      </c>
      <c r="B1055" s="26" t="str">
        <f>"09PES0667O"</f>
        <v>09PES0667O</v>
      </c>
      <c r="C1055" s="26" t="str">
        <f>"FRANCISCO LARROYO                                                                                   "</f>
        <v xml:space="preserve">FRANCISCO LARROYO                                                                                   </v>
      </c>
      <c r="D1055" s="26" t="str">
        <f t="shared" si="173"/>
        <v>MATUTINO</v>
      </c>
      <c r="E1055" s="26" t="str">
        <f>"AV TLAHUAC MANZ 29 LOTE 183                                                     "</f>
        <v xml:space="preserve">AV TLAHUAC MANZ 29 LOTE 183                                                     </v>
      </c>
      <c r="F1055" s="26" t="str">
        <f>"SANTA CECILIA                                                                                                                               "</f>
        <v xml:space="preserve">SANTA CECILIA                                                                                                                               </v>
      </c>
      <c r="G1055" s="26" t="str">
        <f>"TLAHUAC                                                                         "</f>
        <v xml:space="preserve">TLAHUAC                                                                         </v>
      </c>
      <c r="H1055" s="26" t="str">
        <f>"068"</f>
        <v>068</v>
      </c>
      <c r="I1055" s="26" t="str">
        <f t="shared" si="174"/>
        <v>00</v>
      </c>
      <c r="J1055" s="26" t="str">
        <f>"55 "</f>
        <v xml:space="preserve">55 </v>
      </c>
      <c r="K1055" s="26" t="str">
        <f t="shared" si="178"/>
        <v>SG</v>
      </c>
      <c r="L1055" s="26" t="str">
        <f t="shared" si="179"/>
        <v>DGOSE</v>
      </c>
      <c r="M1055" s="26" t="str">
        <f t="shared" si="177"/>
        <v>PARTICULAR</v>
      </c>
      <c r="N1055" s="26">
        <v>111</v>
      </c>
      <c r="O1055" s="26">
        <v>46</v>
      </c>
      <c r="P1055" s="26">
        <v>65</v>
      </c>
      <c r="Q1055" s="26">
        <v>6</v>
      </c>
      <c r="R1055" s="26">
        <v>2</v>
      </c>
      <c r="S1055" s="26">
        <v>17</v>
      </c>
      <c r="T1055" s="26">
        <v>8</v>
      </c>
      <c r="U1055" s="26">
        <v>27</v>
      </c>
      <c r="V1055" s="26">
        <v>1</v>
      </c>
      <c r="W1055" s="26"/>
    </row>
    <row r="1056" spans="1:23" x14ac:dyDescent="0.25">
      <c r="A1056" s="26" t="str">
        <f t="shared" si="172"/>
        <v>SECUNDARIA</v>
      </c>
      <c r="B1056" s="26" t="str">
        <f>"09PES0668N"</f>
        <v>09PES0668N</v>
      </c>
      <c r="C1056" s="26" t="str">
        <f>"INSTITUTO CULTURAL DERECHOS HUMANOS                                                                 "</f>
        <v xml:space="preserve">INSTITUTO CULTURAL DERECHOS HUMANOS                                                                 </v>
      </c>
      <c r="D1056" s="26" t="str">
        <f t="shared" si="173"/>
        <v>MATUTINO</v>
      </c>
      <c r="E1056" s="26" t="str">
        <f>"EMILIO N ACOSTA NO 62 MZ. 161 LT. 19                                            "</f>
        <v xml:space="preserve">EMILIO N ACOSTA NO 62 MZ. 161 LT. 19                                            </v>
      </c>
      <c r="F1056" s="26" t="str">
        <f>"SANTA MARTHA ACATITLA AMPLIACION                                                                                                            "</f>
        <v xml:space="preserve">SANTA MARTHA ACATITLA AMPLIACION                                                                                                            </v>
      </c>
      <c r="G1056" s="26" t="str">
        <f>"IZTAPALAPA                                                                      "</f>
        <v xml:space="preserve">IZTAPALAPA                                                                      </v>
      </c>
      <c r="H1056" s="26" t="str">
        <f>"000"</f>
        <v>000</v>
      </c>
      <c r="I1056" s="26" t="str">
        <f t="shared" si="174"/>
        <v>00</v>
      </c>
      <c r="J1056" s="26" t="str">
        <f>"62 "</f>
        <v xml:space="preserve">62 </v>
      </c>
      <c r="K1056" s="26" t="str">
        <f>"IZ"</f>
        <v>IZ</v>
      </c>
      <c r="L1056" s="26" t="str">
        <f>"DGSEI"</f>
        <v>DGSEI</v>
      </c>
      <c r="M1056" s="26" t="str">
        <f t="shared" si="177"/>
        <v>PARTICULAR</v>
      </c>
      <c r="N1056" s="26">
        <v>112</v>
      </c>
      <c r="O1056" s="26">
        <v>63</v>
      </c>
      <c r="P1056" s="26">
        <v>49</v>
      </c>
      <c r="Q1056" s="26">
        <v>5</v>
      </c>
      <c r="R1056" s="26">
        <v>1</v>
      </c>
      <c r="S1056" s="26">
        <v>16</v>
      </c>
      <c r="T1056" s="26">
        <v>3</v>
      </c>
      <c r="U1056" s="26">
        <v>20</v>
      </c>
      <c r="V1056" s="26">
        <v>1</v>
      </c>
      <c r="W1056" s="26"/>
    </row>
    <row r="1057" spans="1:23" x14ac:dyDescent="0.25">
      <c r="A1057" s="26" t="str">
        <f t="shared" si="172"/>
        <v>SECUNDARIA</v>
      </c>
      <c r="B1057" s="26" t="str">
        <f>"09PES0669M"</f>
        <v>09PES0669M</v>
      </c>
      <c r="C1057" s="26" t="str">
        <f>"DAVID LIVINGSTONE                                                                                   "</f>
        <v xml:space="preserve">DAVID LIVINGSTONE                                                                                   </v>
      </c>
      <c r="D1057" s="26" t="str">
        <f t="shared" si="173"/>
        <v>MATUTINO</v>
      </c>
      <c r="E1057" s="26" t="str">
        <f>"AVENIDA CLAVERIA NUM. 8                                                         "</f>
        <v xml:space="preserve">AVENIDA CLAVERIA NUM. 8                                                         </v>
      </c>
      <c r="F1057" s="26" t="str">
        <f>"CLAVERIA                                                                                                                                    "</f>
        <v xml:space="preserve">CLAVERIA                                                                                                                                    </v>
      </c>
      <c r="G1057" s="26" t="str">
        <f>"AZCAPOTZALCO                                                                    "</f>
        <v xml:space="preserve">AZCAPOTZALCO                                                                    </v>
      </c>
      <c r="H1057" s="26" t="str">
        <f>"009"</f>
        <v>009</v>
      </c>
      <c r="I1057" s="26" t="str">
        <f t="shared" si="174"/>
        <v>00</v>
      </c>
      <c r="J1057" s="26" t="str">
        <f>"51 "</f>
        <v xml:space="preserve">51 </v>
      </c>
      <c r="K1057" s="26" t="str">
        <f>"SG"</f>
        <v>SG</v>
      </c>
      <c r="L1057" s="26" t="str">
        <f>"DGOSE"</f>
        <v>DGOSE</v>
      </c>
      <c r="M1057" s="26" t="str">
        <f t="shared" si="177"/>
        <v>PARTICULAR</v>
      </c>
      <c r="N1057" s="26">
        <v>160</v>
      </c>
      <c r="O1057" s="26">
        <v>73</v>
      </c>
      <c r="P1057" s="26">
        <v>87</v>
      </c>
      <c r="Q1057" s="26">
        <v>6</v>
      </c>
      <c r="R1057" s="26">
        <v>2</v>
      </c>
      <c r="S1057" s="26">
        <v>18</v>
      </c>
      <c r="T1057" s="26">
        <v>6</v>
      </c>
      <c r="U1057" s="26">
        <v>26</v>
      </c>
      <c r="V1057" s="26">
        <v>1</v>
      </c>
      <c r="W1057" s="26"/>
    </row>
    <row r="1058" spans="1:23" x14ac:dyDescent="0.25">
      <c r="A1058" s="26" t="str">
        <f t="shared" si="172"/>
        <v>SECUNDARIA</v>
      </c>
      <c r="B1058" s="26" t="str">
        <f>"09PES0671A"</f>
        <v>09PES0671A</v>
      </c>
      <c r="C1058" s="26" t="str">
        <f>"""LAS CARABELAS DE COLON""                                                                            "</f>
        <v xml:space="preserve">"LAS CARABELAS DE COLON"                                                                            </v>
      </c>
      <c r="D1058" s="26" t="str">
        <f t="shared" si="173"/>
        <v>MATUTINO</v>
      </c>
      <c r="E1058" s="26" t="str">
        <f>"CIENFUEGOS NUM. 764 Y 758                                                       "</f>
        <v xml:space="preserve">CIENFUEGOS NUM. 764 Y 758                                                       </v>
      </c>
      <c r="F1058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1058" s="26" t="str">
        <f>"GUSTAVO A. MADERO                                                               "</f>
        <v xml:space="preserve">GUSTAVO A. MADERO                                                               </v>
      </c>
      <c r="H1058" s="26" t="str">
        <f>"034"</f>
        <v>034</v>
      </c>
      <c r="I1058" s="26" t="str">
        <f t="shared" si="174"/>
        <v>00</v>
      </c>
      <c r="J1058" s="26" t="str">
        <f>"52 "</f>
        <v xml:space="preserve">52 </v>
      </c>
      <c r="K1058" s="26" t="str">
        <f>"SG"</f>
        <v>SG</v>
      </c>
      <c r="L1058" s="26" t="str">
        <f>"DGOSE"</f>
        <v>DGOSE</v>
      </c>
      <c r="M1058" s="26" t="str">
        <f t="shared" si="177"/>
        <v>PARTICULAR</v>
      </c>
      <c r="N1058" s="26">
        <v>58</v>
      </c>
      <c r="O1058" s="26">
        <v>30</v>
      </c>
      <c r="P1058" s="26">
        <v>28</v>
      </c>
      <c r="Q1058" s="26">
        <v>3</v>
      </c>
      <c r="R1058" s="26">
        <v>2</v>
      </c>
      <c r="S1058" s="26">
        <v>11</v>
      </c>
      <c r="T1058" s="26">
        <v>0</v>
      </c>
      <c r="U1058" s="26">
        <v>13</v>
      </c>
      <c r="V1058" s="26">
        <v>1</v>
      </c>
      <c r="W1058" s="26"/>
    </row>
    <row r="1059" spans="1:23" x14ac:dyDescent="0.25">
      <c r="A1059" s="26" t="str">
        <f t="shared" si="172"/>
        <v>SECUNDARIA</v>
      </c>
      <c r="B1059" s="26" t="str">
        <f>"09PES0672Z"</f>
        <v>09PES0672Z</v>
      </c>
      <c r="C1059" s="26" t="str">
        <f>"SECUNDARIA TULYEHUALCO                                                                              "</f>
        <v xml:space="preserve">SECUNDARIA TULYEHUALCO                                                                              </v>
      </c>
      <c r="D1059" s="26" t="str">
        <f t="shared" si="173"/>
        <v>MATUTINO</v>
      </c>
      <c r="E1059" s="26" t="str">
        <f>"FRANCISCO VILLA NUM 20                                                          "</f>
        <v xml:space="preserve">FRANCISCO VILLA NUM 20                                                          </v>
      </c>
      <c r="F1059" s="26" t="str">
        <f>"QUIAHUATLA                                                                                                                                  "</f>
        <v xml:space="preserve">QUIAHUATLA                                                                                                                                  </v>
      </c>
      <c r="G1059" s="26" t="str">
        <f>"TLAHUAC                                                                         "</f>
        <v xml:space="preserve">TLAHUAC                                                                         </v>
      </c>
      <c r="H1059" s="26" t="str">
        <f>"068"</f>
        <v>068</v>
      </c>
      <c r="I1059" s="26" t="str">
        <f t="shared" si="174"/>
        <v>00</v>
      </c>
      <c r="J1059" s="26" t="str">
        <f>"55 "</f>
        <v xml:space="preserve">55 </v>
      </c>
      <c r="K1059" s="26" t="str">
        <f>"SG"</f>
        <v>SG</v>
      </c>
      <c r="L1059" s="26" t="str">
        <f>"DGOSE"</f>
        <v>DGOSE</v>
      </c>
      <c r="M1059" s="26" t="str">
        <f t="shared" si="177"/>
        <v>PARTICULAR</v>
      </c>
      <c r="N1059" s="26">
        <v>35</v>
      </c>
      <c r="O1059" s="26">
        <v>22</v>
      </c>
      <c r="P1059" s="26">
        <v>13</v>
      </c>
      <c r="Q1059" s="26">
        <v>3</v>
      </c>
      <c r="R1059" s="26">
        <v>2</v>
      </c>
      <c r="S1059" s="26">
        <v>14</v>
      </c>
      <c r="T1059" s="26">
        <v>0</v>
      </c>
      <c r="U1059" s="26">
        <v>16</v>
      </c>
      <c r="V1059" s="26">
        <v>1</v>
      </c>
      <c r="W1059" s="26"/>
    </row>
    <row r="1060" spans="1:23" x14ac:dyDescent="0.25">
      <c r="A1060" s="26" t="str">
        <f t="shared" si="172"/>
        <v>SECUNDARIA</v>
      </c>
      <c r="B1060" s="26" t="str">
        <f>"09PES0673Z"</f>
        <v>09PES0673Z</v>
      </c>
      <c r="C1060" s="26" t="str">
        <f>"COLEGIO ""ALFONSO REYES""                                                                             "</f>
        <v xml:space="preserve">COLEGIO "ALFONSO REYES"                                                                             </v>
      </c>
      <c r="D1060" s="26" t="str">
        <f t="shared" si="173"/>
        <v>MATUTINO</v>
      </c>
      <c r="E1060" s="26" t="str">
        <f>"CALLE DE LA CIMA NUM 9                                                          "</f>
        <v xml:space="preserve">CALLE DE LA CIMA NUM 9                                                          </v>
      </c>
      <c r="F1060" s="26" t="str">
        <f>"ACUEDUCTO DE GUADALUPE                                                                                                                      "</f>
        <v xml:space="preserve">ACUEDUCTO DE GUADALUPE                                                                                                                      </v>
      </c>
      <c r="G1060" s="26" t="str">
        <f>"GUSTAVO A. MADERO                                                               "</f>
        <v xml:space="preserve">GUSTAVO A. MADERO                                                               </v>
      </c>
      <c r="H1060" s="26" t="str">
        <f>"032"</f>
        <v>032</v>
      </c>
      <c r="I1060" s="26" t="str">
        <f t="shared" si="174"/>
        <v>00</v>
      </c>
      <c r="J1060" s="26" t="str">
        <f>"52 "</f>
        <v xml:space="preserve">52 </v>
      </c>
      <c r="K1060" s="26" t="str">
        <f>"SG"</f>
        <v>SG</v>
      </c>
      <c r="L1060" s="26" t="str">
        <f>"DGOSE"</f>
        <v>DGOSE</v>
      </c>
      <c r="M1060" s="26" t="str">
        <f t="shared" si="177"/>
        <v>PARTICULAR</v>
      </c>
      <c r="N1060" s="26">
        <v>16</v>
      </c>
      <c r="O1060" s="26">
        <v>11</v>
      </c>
      <c r="P1060" s="26">
        <v>5</v>
      </c>
      <c r="Q1060" s="26">
        <v>3</v>
      </c>
      <c r="R1060" s="26">
        <v>1</v>
      </c>
      <c r="S1060" s="26">
        <v>9</v>
      </c>
      <c r="T1060" s="26">
        <v>1</v>
      </c>
      <c r="U1060" s="26">
        <v>11</v>
      </c>
      <c r="V1060" s="26">
        <v>1</v>
      </c>
      <c r="W1060" s="26"/>
    </row>
    <row r="1061" spans="1:23" x14ac:dyDescent="0.25">
      <c r="A1061" s="26" t="str">
        <f t="shared" si="172"/>
        <v>SECUNDARIA</v>
      </c>
      <c r="B1061" s="26" t="str">
        <f>"09PES0674Y"</f>
        <v>09PES0674Y</v>
      </c>
      <c r="C1061" s="26" t="str">
        <f>"""ELENA JACKSON FISKEHUNT""                                                                           "</f>
        <v xml:space="preserve">"ELENA JACKSON FISKEHUNT"                                                                           </v>
      </c>
      <c r="D1061" s="26" t="str">
        <f t="shared" si="173"/>
        <v>MATUTINO</v>
      </c>
      <c r="E1061" s="26" t="str">
        <f>"TOTONACAS LOTE-22 MANZANA-35                                                    "</f>
        <v xml:space="preserve">TOTONACAS LOTE-22 MANZANA-35                                                    </v>
      </c>
      <c r="F1061" s="26" t="str">
        <f>"AJUSCO                                                                                                                                      "</f>
        <v xml:space="preserve">AJUSCO                                                                                                                                      </v>
      </c>
      <c r="G1061" s="26" t="str">
        <f>"COYOACAN                                                                        "</f>
        <v xml:space="preserve">COYOACAN                                                                        </v>
      </c>
      <c r="H1061" s="26" t="str">
        <f>"017"</f>
        <v>017</v>
      </c>
      <c r="I1061" s="26" t="str">
        <f t="shared" si="174"/>
        <v>00</v>
      </c>
      <c r="J1061" s="26" t="str">
        <f>"54 "</f>
        <v xml:space="preserve">54 </v>
      </c>
      <c r="K1061" s="26" t="str">
        <f>"SG"</f>
        <v>SG</v>
      </c>
      <c r="L1061" s="26" t="str">
        <f>"DGOSE"</f>
        <v>DGOSE</v>
      </c>
      <c r="M1061" s="26" t="str">
        <f t="shared" si="177"/>
        <v>PARTICULAR</v>
      </c>
      <c r="N1061" s="26">
        <v>38</v>
      </c>
      <c r="O1061" s="26">
        <v>22</v>
      </c>
      <c r="P1061" s="26">
        <v>16</v>
      </c>
      <c r="Q1061" s="26">
        <v>3</v>
      </c>
      <c r="R1061" s="26">
        <v>1</v>
      </c>
      <c r="S1061" s="26">
        <v>10</v>
      </c>
      <c r="T1061" s="26">
        <v>0</v>
      </c>
      <c r="U1061" s="26">
        <v>11</v>
      </c>
      <c r="V1061" s="26">
        <v>1</v>
      </c>
      <c r="W1061" s="26"/>
    </row>
    <row r="1062" spans="1:23" x14ac:dyDescent="0.25">
      <c r="A1062" s="26" t="str">
        <f t="shared" si="172"/>
        <v>SECUNDARIA</v>
      </c>
      <c r="B1062" s="26" t="str">
        <f>"09PES0675X"</f>
        <v>09PES0675X</v>
      </c>
      <c r="C1062" s="26" t="str">
        <f>"COLEGIO SKINNER                                                                                     "</f>
        <v xml:space="preserve">COLEGIO SKINNER                                                                                     </v>
      </c>
      <c r="D1062" s="26" t="str">
        <f t="shared" si="173"/>
        <v>MATUTINO</v>
      </c>
      <c r="E1062" s="26" t="str">
        <f>"RIO TUXPAN NO.70                                                                "</f>
        <v xml:space="preserve">RIO TUXPAN NO.70                                                                </v>
      </c>
      <c r="F1062" s="26" t="str">
        <f>"PASEOS DE CHURUBUSCO                                                                                                                        "</f>
        <v xml:space="preserve">PASEOS DE CHURUBUSCO                                                                                                                        </v>
      </c>
      <c r="G1062" s="26" t="str">
        <f>"IZTAPALAPA                                                                      "</f>
        <v xml:space="preserve">IZTAPALAPA                                                                      </v>
      </c>
      <c r="H1062" s="26" t="str">
        <f>"000"</f>
        <v>000</v>
      </c>
      <c r="I1062" s="26" t="str">
        <f t="shared" si="174"/>
        <v>00</v>
      </c>
      <c r="J1062" s="26" t="str">
        <f>"61 "</f>
        <v xml:space="preserve">61 </v>
      </c>
      <c r="K1062" s="26" t="str">
        <f>"IZ"</f>
        <v>IZ</v>
      </c>
      <c r="L1062" s="26" t="str">
        <f>"DGSEI"</f>
        <v>DGSEI</v>
      </c>
      <c r="M1062" s="26" t="str">
        <f t="shared" si="177"/>
        <v>PARTICULAR</v>
      </c>
      <c r="N1062" s="26">
        <v>126</v>
      </c>
      <c r="O1062" s="26">
        <v>57</v>
      </c>
      <c r="P1062" s="26">
        <v>69</v>
      </c>
      <c r="Q1062" s="26">
        <v>6</v>
      </c>
      <c r="R1062" s="26">
        <v>2</v>
      </c>
      <c r="S1062" s="26">
        <v>19</v>
      </c>
      <c r="T1062" s="26">
        <v>9</v>
      </c>
      <c r="U1062" s="26">
        <v>30</v>
      </c>
      <c r="V1062" s="26">
        <v>1</v>
      </c>
      <c r="W1062" s="26"/>
    </row>
    <row r="1063" spans="1:23" x14ac:dyDescent="0.25">
      <c r="A1063" s="26" t="str">
        <f t="shared" si="172"/>
        <v>SECUNDARIA</v>
      </c>
      <c r="B1063" s="26" t="str">
        <f>"09PES0676W"</f>
        <v>09PES0676W</v>
      </c>
      <c r="C1063" s="26" t="str">
        <f>"""INSTITUTO ISABEL GRASSETEAU""                                                                       "</f>
        <v xml:space="preserve">"INSTITUTO ISABEL GRASSETEAU"                                                                       </v>
      </c>
      <c r="D1063" s="26" t="str">
        <f t="shared" si="173"/>
        <v>MATUTINO</v>
      </c>
      <c r="E1063" s="26" t="str">
        <f>"CALLE NARANJO NUM 86                                                            "</f>
        <v xml:space="preserve">CALLE NARANJO NUM 86                                                            </v>
      </c>
      <c r="F1063" s="26" t="str">
        <f>"SANTA MARIA LA RIBERA                                                                                                                       "</f>
        <v xml:space="preserve">SANTA MARIA LA RIBERA                                                                                                                       </v>
      </c>
      <c r="G1063" s="26" t="str">
        <f>"CUAUHTEMOC                                                                      "</f>
        <v xml:space="preserve">CUAUHTEMOC                                                                      </v>
      </c>
      <c r="H1063" s="26" t="str">
        <f>"027"</f>
        <v>027</v>
      </c>
      <c r="I1063" s="26" t="str">
        <f t="shared" si="174"/>
        <v>00</v>
      </c>
      <c r="J1063" s="26" t="str">
        <f>"51 "</f>
        <v xml:space="preserve">51 </v>
      </c>
      <c r="K1063" s="26" t="str">
        <f>"SG"</f>
        <v>SG</v>
      </c>
      <c r="L1063" s="26" t="str">
        <f>"DGOSE"</f>
        <v>DGOSE</v>
      </c>
      <c r="M1063" s="26" t="str">
        <f t="shared" si="177"/>
        <v>PARTICULAR</v>
      </c>
      <c r="N1063" s="26">
        <v>64</v>
      </c>
      <c r="O1063" s="26">
        <v>30</v>
      </c>
      <c r="P1063" s="26">
        <v>34</v>
      </c>
      <c r="Q1063" s="26">
        <v>4</v>
      </c>
      <c r="R1063" s="26">
        <v>2</v>
      </c>
      <c r="S1063" s="26">
        <v>13</v>
      </c>
      <c r="T1063" s="26">
        <v>3</v>
      </c>
      <c r="U1063" s="26">
        <v>18</v>
      </c>
      <c r="V1063" s="26">
        <v>1</v>
      </c>
      <c r="W1063" s="26"/>
    </row>
    <row r="1064" spans="1:23" x14ac:dyDescent="0.25">
      <c r="A1064" s="26" t="str">
        <f t="shared" si="172"/>
        <v>SECUNDARIA</v>
      </c>
      <c r="B1064" s="26" t="str">
        <f>"09PES0677V"</f>
        <v>09PES0677V</v>
      </c>
      <c r="C1064" s="26" t="str">
        <f>"""WESTHILL INSTITUTE""                                                                                "</f>
        <v xml:space="preserve">"WESTHILL INSTITUTE"                                                                                </v>
      </c>
      <c r="D1064" s="26" t="str">
        <f t="shared" si="173"/>
        <v>MATUTINO</v>
      </c>
      <c r="E1064" s="26" t="str">
        <f>"DOMINGO GARCIA RAMOS NUM 56                                                     "</f>
        <v xml:space="preserve">DOMINGO GARCIA RAMOS NUM 56                                                     </v>
      </c>
      <c r="F1064" s="26" t="str">
        <f>"CLUB DE GOLF PRADOS DE LA MONTAÑA                                                                                                           "</f>
        <v xml:space="preserve">CLUB DE GOLF PRADOS DE LA MONTAÑA                                                                                                           </v>
      </c>
      <c r="G1064" s="26" t="str">
        <f>"CUAJIMALPA DE MORELOS                                                           "</f>
        <v xml:space="preserve">CUAJIMALPA DE MORELOS                                                           </v>
      </c>
      <c r="H1064" s="26" t="str">
        <f>"023"</f>
        <v>023</v>
      </c>
      <c r="I1064" s="26" t="str">
        <f t="shared" si="174"/>
        <v>00</v>
      </c>
      <c r="J1064" s="26" t="str">
        <f>"53 "</f>
        <v xml:space="preserve">53 </v>
      </c>
      <c r="K1064" s="26" t="str">
        <f>"SG"</f>
        <v>SG</v>
      </c>
      <c r="L1064" s="26" t="str">
        <f>"DGOSE"</f>
        <v>DGOSE</v>
      </c>
      <c r="M1064" s="26" t="str">
        <f t="shared" si="177"/>
        <v>PARTICULAR</v>
      </c>
      <c r="N1064" s="26">
        <v>144</v>
      </c>
      <c r="O1064" s="26">
        <v>73</v>
      </c>
      <c r="P1064" s="26">
        <v>71</v>
      </c>
      <c r="Q1064" s="26">
        <v>9</v>
      </c>
      <c r="R1064" s="26">
        <v>2</v>
      </c>
      <c r="S1064" s="26">
        <v>16</v>
      </c>
      <c r="T1064" s="26">
        <v>2</v>
      </c>
      <c r="U1064" s="26">
        <v>20</v>
      </c>
      <c r="V1064" s="26">
        <v>1</v>
      </c>
      <c r="W1064" s="26"/>
    </row>
    <row r="1065" spans="1:23" x14ac:dyDescent="0.25">
      <c r="A1065" s="26" t="str">
        <f t="shared" si="172"/>
        <v>SECUNDARIA</v>
      </c>
      <c r="B1065" s="26" t="str">
        <f>"09PES0678U"</f>
        <v>09PES0678U</v>
      </c>
      <c r="C1065" s="26" t="str">
        <f>"ANGEL DE CAMPO                                                                                      "</f>
        <v xml:space="preserve">ANGEL DE CAMPO                                                                                      </v>
      </c>
      <c r="D1065" s="26" t="str">
        <f t="shared" si="173"/>
        <v>MATUTINO</v>
      </c>
      <c r="E1065" s="26" t="str">
        <f>"CHIHUAHUA NO.44                                                                 "</f>
        <v xml:space="preserve">CHIHUAHUA NO.44                                                                 </v>
      </c>
      <c r="F1065" s="26" t="str">
        <f>"SAN SEBASTIAN TECOLOXTITLAN                                                                                                                 "</f>
        <v xml:space="preserve">SAN SEBASTIAN TECOLOXTITLAN                                                                                                                 </v>
      </c>
      <c r="G1065" s="26" t="str">
        <f>"IZTAPALAPA                                                                      "</f>
        <v xml:space="preserve">IZTAPALAPA                                                                      </v>
      </c>
      <c r="H1065" s="26" t="str">
        <f>"000"</f>
        <v>000</v>
      </c>
      <c r="I1065" s="26" t="str">
        <f t="shared" si="174"/>
        <v>00</v>
      </c>
      <c r="J1065" s="26" t="str">
        <f>"62 "</f>
        <v xml:space="preserve">62 </v>
      </c>
      <c r="K1065" s="26" t="str">
        <f>"IZ"</f>
        <v>IZ</v>
      </c>
      <c r="L1065" s="26" t="str">
        <f>"DGSEI"</f>
        <v>DGSEI</v>
      </c>
      <c r="M1065" s="26" t="str">
        <f t="shared" si="177"/>
        <v>PARTICULAR</v>
      </c>
      <c r="N1065" s="26">
        <v>61</v>
      </c>
      <c r="O1065" s="26">
        <v>37</v>
      </c>
      <c r="P1065" s="26">
        <v>24</v>
      </c>
      <c r="Q1065" s="26">
        <v>3</v>
      </c>
      <c r="R1065" s="26">
        <v>1</v>
      </c>
      <c r="S1065" s="26">
        <v>9</v>
      </c>
      <c r="T1065" s="26">
        <v>3</v>
      </c>
      <c r="U1065" s="26">
        <v>13</v>
      </c>
      <c r="V1065" s="26">
        <v>1</v>
      </c>
      <c r="W1065" s="26"/>
    </row>
    <row r="1066" spans="1:23" x14ac:dyDescent="0.25">
      <c r="A1066" s="26" t="str">
        <f t="shared" si="172"/>
        <v>SECUNDARIA</v>
      </c>
      <c r="B1066" s="26" t="str">
        <f>"09PES0679T"</f>
        <v>09PES0679T</v>
      </c>
      <c r="C1066" s="26" t="str">
        <f>"""CENTRO EDUCATIVO MEXICO""                                                                           "</f>
        <v xml:space="preserve">"CENTRO EDUCATIVO MEXICO"                                                                           </v>
      </c>
      <c r="D1066" s="26" t="str">
        <f t="shared" si="173"/>
        <v>MATUTINO</v>
      </c>
      <c r="E1066" s="26" t="str">
        <f>"CALLE ELEFANTE NUM. 104 BIS                                                     "</f>
        <v xml:space="preserve">CALLE ELEFANTE NUM. 104 BIS                                                     </v>
      </c>
      <c r="F1066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1066" s="26" t="str">
        <f>"BENITO JUAREZ                                                                   "</f>
        <v xml:space="preserve">BENITO JUAREZ                                                                   </v>
      </c>
      <c r="H1066" s="26" t="str">
        <f>"016"</f>
        <v>016</v>
      </c>
      <c r="I1066" s="26" t="str">
        <f t="shared" si="174"/>
        <v>00</v>
      </c>
      <c r="J1066" s="26" t="str">
        <f>"53 "</f>
        <v xml:space="preserve">53 </v>
      </c>
      <c r="K1066" s="26" t="str">
        <f>"SG"</f>
        <v>SG</v>
      </c>
      <c r="L1066" s="26" t="str">
        <f>"DGOSE"</f>
        <v>DGOSE</v>
      </c>
      <c r="M1066" s="26" t="str">
        <f t="shared" si="177"/>
        <v>PARTICULAR</v>
      </c>
      <c r="N1066" s="26">
        <v>27</v>
      </c>
      <c r="O1066" s="26">
        <v>18</v>
      </c>
      <c r="P1066" s="26">
        <v>9</v>
      </c>
      <c r="Q1066" s="26">
        <v>3</v>
      </c>
      <c r="R1066" s="26">
        <v>0</v>
      </c>
      <c r="S1066" s="26">
        <v>10</v>
      </c>
      <c r="T1066" s="26">
        <v>0</v>
      </c>
      <c r="U1066" s="26">
        <v>10</v>
      </c>
      <c r="V1066" s="26">
        <v>1</v>
      </c>
      <c r="W1066" s="26"/>
    </row>
    <row r="1067" spans="1:23" x14ac:dyDescent="0.25">
      <c r="A1067" s="26" t="str">
        <f t="shared" si="172"/>
        <v>SECUNDARIA</v>
      </c>
      <c r="B1067" s="26" t="str">
        <f>"09PES0680I"</f>
        <v>09PES0680I</v>
      </c>
      <c r="C1067" s="26" t="str">
        <f>"""COLEGIO LIBERTADORES DE AMERICA""                                                                   "</f>
        <v xml:space="preserve">"COLEGIO LIBERTADORES DE AMERICA"                                                                   </v>
      </c>
      <c r="D1067" s="26" t="str">
        <f t="shared" si="173"/>
        <v>MATUTINO</v>
      </c>
      <c r="E1067" s="26" t="str">
        <f>"AVENIDA SAN FERNANDO NUM 93                                                     "</f>
        <v xml:space="preserve">AVENIDA SAN FERNANDO NUM 93                                                     </v>
      </c>
      <c r="F1067" s="26" t="str">
        <f>"PEÑA POBRE                                                                                                                                  "</f>
        <v xml:space="preserve">PEÑA POBRE                                                                                                                                  </v>
      </c>
      <c r="G1067" s="26" t="str">
        <f>"TLALPAN                                                                         "</f>
        <v xml:space="preserve">TLALPAN                                                                         </v>
      </c>
      <c r="H1067" s="26" t="str">
        <f>"069"</f>
        <v>069</v>
      </c>
      <c r="I1067" s="26" t="str">
        <f t="shared" si="174"/>
        <v>00</v>
      </c>
      <c r="J1067" s="26" t="str">
        <f>"55 "</f>
        <v xml:space="preserve">55 </v>
      </c>
      <c r="K1067" s="26" t="str">
        <f>"SG"</f>
        <v>SG</v>
      </c>
      <c r="L1067" s="26" t="str">
        <f>"DGOSE"</f>
        <v>DGOSE</v>
      </c>
      <c r="M1067" s="26" t="str">
        <f t="shared" si="177"/>
        <v>PARTICULAR</v>
      </c>
      <c r="N1067" s="26">
        <v>101</v>
      </c>
      <c r="O1067" s="26">
        <v>55</v>
      </c>
      <c r="P1067" s="26">
        <v>46</v>
      </c>
      <c r="Q1067" s="26">
        <v>6</v>
      </c>
      <c r="R1067" s="26">
        <v>2</v>
      </c>
      <c r="S1067" s="26">
        <v>14</v>
      </c>
      <c r="T1067" s="26">
        <v>3</v>
      </c>
      <c r="U1067" s="26">
        <v>19</v>
      </c>
      <c r="V1067" s="26">
        <v>1</v>
      </c>
      <c r="W1067" s="26"/>
    </row>
    <row r="1068" spans="1:23" x14ac:dyDescent="0.25">
      <c r="A1068" s="26" t="str">
        <f t="shared" si="172"/>
        <v>SECUNDARIA</v>
      </c>
      <c r="B1068" s="26" t="str">
        <f>"09PES0682G"</f>
        <v>09PES0682G</v>
      </c>
      <c r="C1068" s="26" t="str">
        <f>"LICEO EMPERADORES AZTECAS                                                                           "</f>
        <v xml:space="preserve">LICEO EMPERADORES AZTECAS                                                                           </v>
      </c>
      <c r="D1068" s="26" t="str">
        <f t="shared" si="173"/>
        <v>MATUTINO</v>
      </c>
      <c r="E1068" s="26" t="str">
        <f>"MANUEL ACUÑA NO.114                                                             "</f>
        <v xml:space="preserve">MANUEL ACUÑA NO.114                                                             </v>
      </c>
      <c r="F1068" s="26" t="str">
        <f>"JACARANDAS                                                                                                                                  "</f>
        <v xml:space="preserve">JACARANDAS                                                                                                                                  </v>
      </c>
      <c r="G1068" s="26" t="str">
        <f>"IZTAPALAPA                                                                      "</f>
        <v xml:space="preserve">IZTAPALAPA                                                                      </v>
      </c>
      <c r="H1068" s="26" t="str">
        <f>"000"</f>
        <v>000</v>
      </c>
      <c r="I1068" s="26" t="str">
        <f t="shared" si="174"/>
        <v>00</v>
      </c>
      <c r="J1068" s="26" t="str">
        <f>"64 "</f>
        <v xml:space="preserve">64 </v>
      </c>
      <c r="K1068" s="26" t="str">
        <f>"IZ"</f>
        <v>IZ</v>
      </c>
      <c r="L1068" s="26" t="str">
        <f>"DGSEI"</f>
        <v>DGSEI</v>
      </c>
      <c r="M1068" s="26" t="str">
        <f t="shared" si="177"/>
        <v>PARTICULAR</v>
      </c>
      <c r="N1068" s="26">
        <v>133</v>
      </c>
      <c r="O1068" s="26">
        <v>57</v>
      </c>
      <c r="P1068" s="26">
        <v>76</v>
      </c>
      <c r="Q1068" s="26">
        <v>6</v>
      </c>
      <c r="R1068" s="26">
        <v>1</v>
      </c>
      <c r="S1068" s="26">
        <v>16</v>
      </c>
      <c r="T1068" s="26">
        <v>3</v>
      </c>
      <c r="U1068" s="26">
        <v>20</v>
      </c>
      <c r="V1068" s="26">
        <v>1</v>
      </c>
      <c r="W1068" s="26"/>
    </row>
    <row r="1069" spans="1:23" x14ac:dyDescent="0.25">
      <c r="A1069" s="26" t="str">
        <f t="shared" si="172"/>
        <v>SECUNDARIA</v>
      </c>
      <c r="B1069" s="26" t="str">
        <f>"09PES0683F"</f>
        <v>09PES0683F</v>
      </c>
      <c r="C1069" s="26" t="str">
        <f>"""WALTER C. BUCHANAN""                                                                                "</f>
        <v xml:space="preserve">"WALTER C. BUCHANAN"                                                                                </v>
      </c>
      <c r="D1069" s="26" t="str">
        <f t="shared" si="173"/>
        <v>MATUTINO</v>
      </c>
      <c r="E1069" s="26" t="str">
        <f>"HOLBEIN NUM 61                                                                  "</f>
        <v xml:space="preserve">HOLBEIN NUM 61                                                                  </v>
      </c>
      <c r="F1069" s="26" t="str">
        <f>"SAN JUAN                                                                                                                                    "</f>
        <v xml:space="preserve">SAN JUAN                                                                                                                                    </v>
      </c>
      <c r="G1069" s="26" t="str">
        <f>"BENITO JUAREZ                                                                   "</f>
        <v xml:space="preserve">BENITO JUAREZ                                                                   </v>
      </c>
      <c r="H1069" s="26" t="str">
        <f>"016"</f>
        <v>016</v>
      </c>
      <c r="I1069" s="26" t="str">
        <f t="shared" si="174"/>
        <v>00</v>
      </c>
      <c r="J1069" s="26" t="str">
        <f>"53 "</f>
        <v xml:space="preserve">53 </v>
      </c>
      <c r="K1069" s="26" t="str">
        <f t="shared" ref="K1069:K1086" si="180">"SG"</f>
        <v>SG</v>
      </c>
      <c r="L1069" s="26" t="str">
        <f t="shared" ref="L1069:L1086" si="181">"DGOSE"</f>
        <v>DGOSE</v>
      </c>
      <c r="M1069" s="26" t="str">
        <f t="shared" si="177"/>
        <v>PARTICULAR</v>
      </c>
      <c r="N1069" s="26">
        <v>46</v>
      </c>
      <c r="O1069" s="26">
        <v>19</v>
      </c>
      <c r="P1069" s="26">
        <v>27</v>
      </c>
      <c r="Q1069" s="26">
        <v>3</v>
      </c>
      <c r="R1069" s="26">
        <v>1</v>
      </c>
      <c r="S1069" s="26">
        <v>14</v>
      </c>
      <c r="T1069" s="26">
        <v>3</v>
      </c>
      <c r="U1069" s="26">
        <v>18</v>
      </c>
      <c r="V1069" s="26">
        <v>1</v>
      </c>
      <c r="W1069" s="26"/>
    </row>
    <row r="1070" spans="1:23" x14ac:dyDescent="0.25">
      <c r="A1070" s="26" t="str">
        <f t="shared" si="172"/>
        <v>SECUNDARIA</v>
      </c>
      <c r="B1070" s="26" t="str">
        <f>"09PES0684E"</f>
        <v>09PES0684E</v>
      </c>
      <c r="C1070" s="26" t="str">
        <f>"""SECUNDARIA AMADO NERVO""                                                                            "</f>
        <v xml:space="preserve">"SECUNDARIA AMADO NERVO"                                                                            </v>
      </c>
      <c r="D1070" s="26" t="str">
        <f t="shared" si="173"/>
        <v>MATUTINO</v>
      </c>
      <c r="E1070" s="26" t="str">
        <f>"CALLE 7 NUM 258                                                                 "</f>
        <v xml:space="preserve">CALLE 7 NUM 258                                                                 </v>
      </c>
      <c r="F1070" s="26" t="str">
        <f>"AGRICOLA PANTITLAN                                                                                                                          "</f>
        <v xml:space="preserve">AGRICOLA PANTITLAN                                                                                                                          </v>
      </c>
      <c r="G1070" s="26" t="str">
        <f>"IZTACALCO                                                                       "</f>
        <v xml:space="preserve">IZTACALCO                                                                       </v>
      </c>
      <c r="H1070" s="26" t="str">
        <f>"046"</f>
        <v>046</v>
      </c>
      <c r="I1070" s="26" t="str">
        <f t="shared" si="174"/>
        <v>00</v>
      </c>
      <c r="J1070" s="26" t="str">
        <f>"54 "</f>
        <v xml:space="preserve">54 </v>
      </c>
      <c r="K1070" s="26" t="str">
        <f t="shared" si="180"/>
        <v>SG</v>
      </c>
      <c r="L1070" s="26" t="str">
        <f t="shared" si="181"/>
        <v>DGOSE</v>
      </c>
      <c r="M1070" s="26" t="str">
        <f t="shared" si="177"/>
        <v>PARTICULAR</v>
      </c>
      <c r="N1070" s="26">
        <v>57</v>
      </c>
      <c r="O1070" s="26">
        <v>23</v>
      </c>
      <c r="P1070" s="26">
        <v>34</v>
      </c>
      <c r="Q1070" s="26">
        <v>3</v>
      </c>
      <c r="R1070" s="26">
        <v>2</v>
      </c>
      <c r="S1070" s="26">
        <v>12</v>
      </c>
      <c r="T1070" s="26">
        <v>4</v>
      </c>
      <c r="U1070" s="26">
        <v>18</v>
      </c>
      <c r="V1070" s="26">
        <v>1</v>
      </c>
      <c r="W1070" s="26"/>
    </row>
    <row r="1071" spans="1:23" x14ac:dyDescent="0.25">
      <c r="A1071" s="26" t="str">
        <f t="shared" si="172"/>
        <v>SECUNDARIA</v>
      </c>
      <c r="B1071" s="26" t="str">
        <f>"09PES0685D"</f>
        <v>09PES0685D</v>
      </c>
      <c r="C1071" s="26" t="str">
        <f>"""PATRIA DE JUAREZ""                                                                                  "</f>
        <v xml:space="preserve">"PATRIA DE JUAREZ"                                                                                  </v>
      </c>
      <c r="D1071" s="26" t="str">
        <f t="shared" si="173"/>
        <v>MATUTINO</v>
      </c>
      <c r="E1071" s="26" t="str">
        <f>"SAN FELIPE NUM 72                                                               "</f>
        <v xml:space="preserve">SAN FELIPE NUM 72                                                               </v>
      </c>
      <c r="F1071" s="26" t="str">
        <f>"XOCO                                                                                                                                        "</f>
        <v xml:space="preserve">XOCO                                                                                                                                        </v>
      </c>
      <c r="G1071" s="26" t="str">
        <f>"BENITO JUAREZ                                                                   "</f>
        <v xml:space="preserve">BENITO JUAREZ                                                                   </v>
      </c>
      <c r="H1071" s="26" t="str">
        <f>"015"</f>
        <v>015</v>
      </c>
      <c r="I1071" s="26" t="str">
        <f t="shared" si="174"/>
        <v>00</v>
      </c>
      <c r="J1071" s="26" t="str">
        <f>"53 "</f>
        <v xml:space="preserve">53 </v>
      </c>
      <c r="K1071" s="26" t="str">
        <f t="shared" si="180"/>
        <v>SG</v>
      </c>
      <c r="L1071" s="26" t="str">
        <f t="shared" si="181"/>
        <v>DGOSE</v>
      </c>
      <c r="M1071" s="26" t="str">
        <f t="shared" si="177"/>
        <v>PARTICULAR</v>
      </c>
      <c r="N1071" s="26">
        <v>73</v>
      </c>
      <c r="O1071" s="26">
        <v>38</v>
      </c>
      <c r="P1071" s="26">
        <v>35</v>
      </c>
      <c r="Q1071" s="26">
        <v>3</v>
      </c>
      <c r="R1071" s="26">
        <v>2</v>
      </c>
      <c r="S1071" s="26">
        <v>12</v>
      </c>
      <c r="T1071" s="26">
        <v>3</v>
      </c>
      <c r="U1071" s="26">
        <v>17</v>
      </c>
      <c r="V1071" s="26">
        <v>1</v>
      </c>
      <c r="W1071" s="26"/>
    </row>
    <row r="1072" spans="1:23" x14ac:dyDescent="0.25">
      <c r="A1072" s="26" t="str">
        <f t="shared" si="172"/>
        <v>SECUNDARIA</v>
      </c>
      <c r="B1072" s="26" t="str">
        <f>"09PES0686C"</f>
        <v>09PES0686C</v>
      </c>
      <c r="C1072" s="26" t="str">
        <f>"""COLEGIO PANAMERICANO""                                                                              "</f>
        <v xml:space="preserve">"COLEGIO PANAMERICANO"                                                                              </v>
      </c>
      <c r="D1072" s="26" t="str">
        <f t="shared" si="173"/>
        <v>MATUTINO</v>
      </c>
      <c r="E1072" s="26" t="str">
        <f>"AMORES NUM 1652                                                                 "</f>
        <v xml:space="preserve">AMORES NUM 1652                                                                 </v>
      </c>
      <c r="F1072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1072" s="26" t="str">
        <f>"BENITO JUAREZ                                                                   "</f>
        <v xml:space="preserve">BENITO JUAREZ                                                                   </v>
      </c>
      <c r="H1072" s="26" t="str">
        <f>"016"</f>
        <v>016</v>
      </c>
      <c r="I1072" s="26" t="str">
        <f t="shared" si="174"/>
        <v>00</v>
      </c>
      <c r="J1072" s="26" t="str">
        <f>"53 "</f>
        <v xml:space="preserve">53 </v>
      </c>
      <c r="K1072" s="26" t="str">
        <f t="shared" si="180"/>
        <v>SG</v>
      </c>
      <c r="L1072" s="26" t="str">
        <f t="shared" si="181"/>
        <v>DGOSE</v>
      </c>
      <c r="M1072" s="26" t="str">
        <f t="shared" si="177"/>
        <v>PARTICULAR</v>
      </c>
      <c r="N1072" s="26">
        <v>116</v>
      </c>
      <c r="O1072" s="26">
        <v>55</v>
      </c>
      <c r="P1072" s="26">
        <v>61</v>
      </c>
      <c r="Q1072" s="26">
        <v>4</v>
      </c>
      <c r="R1072" s="26">
        <v>1</v>
      </c>
      <c r="S1072" s="26">
        <v>12</v>
      </c>
      <c r="T1072" s="26">
        <v>4</v>
      </c>
      <c r="U1072" s="26">
        <v>17</v>
      </c>
      <c r="V1072" s="26">
        <v>1</v>
      </c>
      <c r="W1072" s="26"/>
    </row>
    <row r="1073" spans="1:23" x14ac:dyDescent="0.25">
      <c r="A1073" s="26" t="str">
        <f t="shared" si="172"/>
        <v>SECUNDARIA</v>
      </c>
      <c r="B1073" s="26" t="str">
        <f>"09PES0688A"</f>
        <v>09PES0688A</v>
      </c>
      <c r="C1073" s="26" t="str">
        <f>"""COLEGIO INGLES MICHAEL FARADAY""                                                                    "</f>
        <v xml:space="preserve">"COLEGIO INGLES MICHAEL FARADAY"                                                                    </v>
      </c>
      <c r="D1073" s="26" t="str">
        <f t="shared" si="173"/>
        <v>MATUTINO</v>
      </c>
      <c r="E1073" s="26" t="str">
        <f>"LAGUNA DE CHAPALA NUM 109                                                       "</f>
        <v xml:space="preserve">LAGUNA DE CHAPALA NUM 109                                                       </v>
      </c>
      <c r="F1073" s="26" t="str">
        <f>"ANAHUAC I                                                                                                                                   "</f>
        <v xml:space="preserve">ANAHUAC I                                                                                                                                   </v>
      </c>
      <c r="G1073" s="26" t="str">
        <f>"MIGUEL HIDALGO                                                                  "</f>
        <v xml:space="preserve">MIGUEL HIDALGO                                                                  </v>
      </c>
      <c r="H1073" s="26" t="str">
        <f>"065"</f>
        <v>065</v>
      </c>
      <c r="I1073" s="26" t="str">
        <f t="shared" si="174"/>
        <v>00</v>
      </c>
      <c r="J1073" s="26" t="str">
        <f>"51 "</f>
        <v xml:space="preserve">51 </v>
      </c>
      <c r="K1073" s="26" t="str">
        <f t="shared" si="180"/>
        <v>SG</v>
      </c>
      <c r="L1073" s="26" t="str">
        <f t="shared" si="181"/>
        <v>DGOSE</v>
      </c>
      <c r="M1073" s="26" t="str">
        <f t="shared" si="177"/>
        <v>PARTICULAR</v>
      </c>
      <c r="N1073" s="26">
        <v>93</v>
      </c>
      <c r="O1073" s="26">
        <v>47</v>
      </c>
      <c r="P1073" s="26">
        <v>46</v>
      </c>
      <c r="Q1073" s="26">
        <v>4</v>
      </c>
      <c r="R1073" s="26">
        <v>2</v>
      </c>
      <c r="S1073" s="26">
        <v>15</v>
      </c>
      <c r="T1073" s="26">
        <v>2</v>
      </c>
      <c r="U1073" s="26">
        <v>19</v>
      </c>
      <c r="V1073" s="26">
        <v>1</v>
      </c>
      <c r="W1073" s="26"/>
    </row>
    <row r="1074" spans="1:23" x14ac:dyDescent="0.25">
      <c r="A1074" s="26" t="str">
        <f t="shared" si="172"/>
        <v>SECUNDARIA</v>
      </c>
      <c r="B1074" s="26" t="str">
        <f>"09PES0689Z"</f>
        <v>09PES0689Z</v>
      </c>
      <c r="C1074" s="26" t="str">
        <f>"""COLEGIO QUIRINO MENDOZA CORTES""                                                                    "</f>
        <v xml:space="preserve">"COLEGIO QUIRINO MENDOZA CORTES"                                                                    </v>
      </c>
      <c r="D1074" s="26" t="str">
        <f t="shared" si="173"/>
        <v>MATUTINO</v>
      </c>
      <c r="E1074" s="26" t="str">
        <f>"MELCHOR OCAMPO NUM 36                                                           "</f>
        <v xml:space="preserve">MELCHOR OCAMPO NUM 36                                                           </v>
      </c>
      <c r="F1074" s="26" t="str">
        <f>"SANTIAGO TULYEHUALCO                                                                                                                        "</f>
        <v xml:space="preserve">SANTIAGO TULYEHUALCO                                                                                                                        </v>
      </c>
      <c r="G1074" s="26" t="str">
        <f>"XOCHIMILCO                                                                      "</f>
        <v xml:space="preserve">XOCHIMILCO                                                                      </v>
      </c>
      <c r="H1074" s="26" t="str">
        <f>"081"</f>
        <v>081</v>
      </c>
      <c r="I1074" s="26" t="str">
        <f t="shared" si="174"/>
        <v>00</v>
      </c>
      <c r="J1074" s="26" t="str">
        <f>"55 "</f>
        <v xml:space="preserve">55 </v>
      </c>
      <c r="K1074" s="26" t="str">
        <f t="shared" si="180"/>
        <v>SG</v>
      </c>
      <c r="L1074" s="26" t="str">
        <f t="shared" si="181"/>
        <v>DGOSE</v>
      </c>
      <c r="M1074" s="26" t="str">
        <f t="shared" si="177"/>
        <v>PARTICULAR</v>
      </c>
      <c r="N1074" s="26">
        <v>181</v>
      </c>
      <c r="O1074" s="26">
        <v>90</v>
      </c>
      <c r="P1074" s="26">
        <v>91</v>
      </c>
      <c r="Q1074" s="26">
        <v>6</v>
      </c>
      <c r="R1074" s="26">
        <v>2</v>
      </c>
      <c r="S1074" s="26">
        <v>15</v>
      </c>
      <c r="T1074" s="26">
        <v>5</v>
      </c>
      <c r="U1074" s="26">
        <v>22</v>
      </c>
      <c r="V1074" s="26">
        <v>1</v>
      </c>
      <c r="W1074" s="26"/>
    </row>
    <row r="1075" spans="1:23" x14ac:dyDescent="0.25">
      <c r="A1075" s="26" t="str">
        <f t="shared" si="172"/>
        <v>SECUNDARIA</v>
      </c>
      <c r="B1075" s="26" t="str">
        <f>"09PES0692N"</f>
        <v>09PES0692N</v>
      </c>
      <c r="C1075" s="26" t="str">
        <f>"""COLEGIO HEBREO MONTE SINAI""                                                                        "</f>
        <v xml:space="preserve">"COLEGIO HEBREO MONTE SINAI"                                                                        </v>
      </c>
      <c r="D1075" s="26" t="str">
        <f t="shared" si="173"/>
        <v>MATUTINO</v>
      </c>
      <c r="E1075" s="26" t="str">
        <f>"AVENIDA LOMAS DE LA PALMA NO 133                                                "</f>
        <v xml:space="preserve">AVENIDA LOMAS DE LA PALMA NO 133                                                </v>
      </c>
      <c r="F1075" s="26" t="str">
        <f>"LOMAS DE VISTA HERMOSA                                                                                                                      "</f>
        <v xml:space="preserve">LOMAS DE VISTA HERMOSA                                                                                                                      </v>
      </c>
      <c r="G1075" s="26" t="str">
        <f>"CUAJIMALPA DE MORELOS                                                           "</f>
        <v xml:space="preserve">CUAJIMALPA DE MORELOS                                                           </v>
      </c>
      <c r="H1075" s="26" t="str">
        <f>"024"</f>
        <v>024</v>
      </c>
      <c r="I1075" s="26" t="str">
        <f t="shared" si="174"/>
        <v>00</v>
      </c>
      <c r="J1075" s="26" t="str">
        <f>"53 "</f>
        <v xml:space="preserve">53 </v>
      </c>
      <c r="K1075" s="26" t="str">
        <f t="shared" si="180"/>
        <v>SG</v>
      </c>
      <c r="L1075" s="26" t="str">
        <f t="shared" si="181"/>
        <v>DGOSE</v>
      </c>
      <c r="M1075" s="26" t="str">
        <f t="shared" si="177"/>
        <v>PARTICULAR</v>
      </c>
      <c r="N1075" s="26">
        <v>206</v>
      </c>
      <c r="O1075" s="26">
        <v>112</v>
      </c>
      <c r="P1075" s="26">
        <v>94</v>
      </c>
      <c r="Q1075" s="26">
        <v>11</v>
      </c>
      <c r="R1075" s="26">
        <v>2</v>
      </c>
      <c r="S1075" s="26">
        <v>22</v>
      </c>
      <c r="T1075" s="26">
        <v>7</v>
      </c>
      <c r="U1075" s="26">
        <v>31</v>
      </c>
      <c r="V1075" s="26">
        <v>1</v>
      </c>
      <c r="W1075" s="26"/>
    </row>
    <row r="1076" spans="1:23" x14ac:dyDescent="0.25">
      <c r="A1076" s="26" t="str">
        <f t="shared" si="172"/>
        <v>SECUNDARIA</v>
      </c>
      <c r="B1076" s="26" t="str">
        <f>"09PES0693M"</f>
        <v>09PES0693M</v>
      </c>
      <c r="C1076" s="26" t="str">
        <f>"""COLEGIO INTERNACIONAL TLALPAN""                                                                     "</f>
        <v xml:space="preserve">"COLEGIO INTERNACIONAL TLALPAN"                                                                     </v>
      </c>
      <c r="D1076" s="26" t="str">
        <f t="shared" si="173"/>
        <v>MATUTINO</v>
      </c>
      <c r="E1076" s="26" t="str">
        <f>"CARR. FED. A CUERNAVACA KM-24                                                   "</f>
        <v xml:space="preserve">CARR. FED. A CUERNAVACA KM-24                                                   </v>
      </c>
      <c r="F1076" s="26" t="str">
        <f>"SAN ANDRES TOTOLTEPEC                                                                                                                       "</f>
        <v xml:space="preserve">SAN ANDRES TOTOLTEPEC                                                                                                                       </v>
      </c>
      <c r="G1076" s="26" t="str">
        <f>"TLALPAN                                                                         "</f>
        <v xml:space="preserve">TLALPAN                                                                         </v>
      </c>
      <c r="H1076" s="26" t="str">
        <f>"072"</f>
        <v>072</v>
      </c>
      <c r="I1076" s="26" t="str">
        <f t="shared" si="174"/>
        <v>00</v>
      </c>
      <c r="J1076" s="26" t="str">
        <f>"55 "</f>
        <v xml:space="preserve">55 </v>
      </c>
      <c r="K1076" s="26" t="str">
        <f t="shared" si="180"/>
        <v>SG</v>
      </c>
      <c r="L1076" s="26" t="str">
        <f t="shared" si="181"/>
        <v>DGOSE</v>
      </c>
      <c r="M1076" s="26" t="str">
        <f t="shared" si="177"/>
        <v>PARTICULAR</v>
      </c>
      <c r="N1076" s="26">
        <v>138</v>
      </c>
      <c r="O1076" s="26">
        <v>77</v>
      </c>
      <c r="P1076" s="26">
        <v>61</v>
      </c>
      <c r="Q1076" s="26">
        <v>7</v>
      </c>
      <c r="R1076" s="26">
        <v>2</v>
      </c>
      <c r="S1076" s="26">
        <v>15</v>
      </c>
      <c r="T1076" s="26">
        <v>3</v>
      </c>
      <c r="U1076" s="26">
        <v>20</v>
      </c>
      <c r="V1076" s="26">
        <v>1</v>
      </c>
      <c r="W1076" s="26"/>
    </row>
    <row r="1077" spans="1:23" x14ac:dyDescent="0.25">
      <c r="A1077" s="26" t="str">
        <f t="shared" si="172"/>
        <v>SECUNDARIA</v>
      </c>
      <c r="B1077" s="26" t="str">
        <f>"09PES0694L"</f>
        <v>09PES0694L</v>
      </c>
      <c r="C1077" s="26" t="str">
        <f>"""INSTITUTO CANADIENSE CLARAC""                                                                       "</f>
        <v xml:space="preserve">"INSTITUTO CANADIENSE CLARAC"                                                                       </v>
      </c>
      <c r="D1077" s="26" t="str">
        <f t="shared" si="173"/>
        <v>MATUTINO</v>
      </c>
      <c r="E1077" s="26" t="str">
        <f>"CARRETERA A SAN PABLO NUM 374                                                   "</f>
        <v xml:space="preserve">CARRETERA A SAN PABLO NUM 374                                                   </v>
      </c>
      <c r="F1077" s="26" t="str">
        <f>"SANTIAGO TEPALCATLAPAN                                                                                                                      "</f>
        <v xml:space="preserve">SANTIAGO TEPALCATLAPAN                                                                                                                      </v>
      </c>
      <c r="G1077" s="26" t="str">
        <f>"XOCHIMILCO                                                                      "</f>
        <v xml:space="preserve">XOCHIMILCO                                                                      </v>
      </c>
      <c r="H1077" s="26" t="str">
        <f>"080"</f>
        <v>080</v>
      </c>
      <c r="I1077" s="26" t="str">
        <f t="shared" si="174"/>
        <v>00</v>
      </c>
      <c r="J1077" s="26" t="str">
        <f>"55 "</f>
        <v xml:space="preserve">55 </v>
      </c>
      <c r="K1077" s="26" t="str">
        <f t="shared" si="180"/>
        <v>SG</v>
      </c>
      <c r="L1077" s="26" t="str">
        <f t="shared" si="181"/>
        <v>DGOSE</v>
      </c>
      <c r="M1077" s="26" t="str">
        <f t="shared" si="177"/>
        <v>PARTICULAR</v>
      </c>
      <c r="N1077" s="26">
        <v>281</v>
      </c>
      <c r="O1077" s="26">
        <v>126</v>
      </c>
      <c r="P1077" s="26">
        <v>155</v>
      </c>
      <c r="Q1077" s="26">
        <v>10</v>
      </c>
      <c r="R1077" s="26">
        <v>1</v>
      </c>
      <c r="S1077" s="26">
        <v>25</v>
      </c>
      <c r="T1077" s="26">
        <v>1</v>
      </c>
      <c r="U1077" s="26">
        <v>27</v>
      </c>
      <c r="V1077" s="26">
        <v>1</v>
      </c>
      <c r="W1077" s="26"/>
    </row>
    <row r="1078" spans="1:23" x14ac:dyDescent="0.25">
      <c r="A1078" s="26" t="str">
        <f t="shared" si="172"/>
        <v>SECUNDARIA</v>
      </c>
      <c r="B1078" s="26" t="str">
        <f>"09PES0695K"</f>
        <v>09PES0695K</v>
      </c>
      <c r="C1078" s="26" t="str">
        <f>"""JESUS DE URQUIAGA""                                                                                 "</f>
        <v xml:space="preserve">"JESUS DE URQUIAGA"                                                                                 </v>
      </c>
      <c r="D1078" s="26" t="str">
        <f t="shared" si="173"/>
        <v>MATUTINO</v>
      </c>
      <c r="E1078" s="26" t="str">
        <f>"FRONTERA NUM. 40                                                                "</f>
        <v xml:space="preserve">FRONTERA NUM. 40                                                                </v>
      </c>
      <c r="F1078" s="26" t="str">
        <f>"SAN ANGEL                                                                                                                                   "</f>
        <v xml:space="preserve">SAN ANGEL                                                                                                                                   </v>
      </c>
      <c r="G1078" s="26" t="str">
        <f>"ALVARO OBREGON                                                                  "</f>
        <v xml:space="preserve">ALVARO OBREGON                                                                  </v>
      </c>
      <c r="H1078" s="26" t="str">
        <f>"001"</f>
        <v>001</v>
      </c>
      <c r="I1078" s="26" t="str">
        <f t="shared" si="174"/>
        <v>00</v>
      </c>
      <c r="J1078" s="26" t="str">
        <f>"53 "</f>
        <v xml:space="preserve">53 </v>
      </c>
      <c r="K1078" s="26" t="str">
        <f t="shared" si="180"/>
        <v>SG</v>
      </c>
      <c r="L1078" s="26" t="str">
        <f t="shared" si="181"/>
        <v>DGOSE</v>
      </c>
      <c r="M1078" s="26" t="str">
        <f t="shared" si="177"/>
        <v>PARTICULAR</v>
      </c>
      <c r="N1078" s="26">
        <v>174</v>
      </c>
      <c r="O1078" s="26">
        <v>82</v>
      </c>
      <c r="P1078" s="26">
        <v>92</v>
      </c>
      <c r="Q1078" s="26">
        <v>6</v>
      </c>
      <c r="R1078" s="26">
        <v>2</v>
      </c>
      <c r="S1078" s="26">
        <v>16</v>
      </c>
      <c r="T1078" s="26">
        <v>5</v>
      </c>
      <c r="U1078" s="26">
        <v>23</v>
      </c>
      <c r="V1078" s="26">
        <v>1</v>
      </c>
      <c r="W1078" s="26"/>
    </row>
    <row r="1079" spans="1:23" x14ac:dyDescent="0.25">
      <c r="A1079" s="26" t="str">
        <f t="shared" si="172"/>
        <v>SECUNDARIA</v>
      </c>
      <c r="B1079" s="26" t="str">
        <f>"09PES0696J"</f>
        <v>09PES0696J</v>
      </c>
      <c r="C1079" s="26" t="str">
        <f>"""COLEGIO FLORENCIA NIGHTINGALE""                                                                     "</f>
        <v xml:space="preserve">"COLEGIO FLORENCIA NIGHTINGALE"                                                                     </v>
      </c>
      <c r="D1079" s="26" t="str">
        <f t="shared" si="173"/>
        <v>MATUTINO</v>
      </c>
      <c r="E1079" s="26" t="str">
        <f>"LARIN NO 39                                                                     "</f>
        <v xml:space="preserve">LARIN NO 39                                                                     </v>
      </c>
      <c r="F1079" s="26" t="str">
        <f>"INDUSTRIAL                                                                                                                                  "</f>
        <v xml:space="preserve">INDUSTRIAL                                                                                                                                  </v>
      </c>
      <c r="G1079" s="26" t="str">
        <f>"GUSTAVO A. MADERO                                                               "</f>
        <v xml:space="preserve">GUSTAVO A. MADERO                                                               </v>
      </c>
      <c r="H1079" s="26" t="str">
        <f>"034"</f>
        <v>034</v>
      </c>
      <c r="I1079" s="26" t="str">
        <f t="shared" si="174"/>
        <v>00</v>
      </c>
      <c r="J1079" s="26" t="str">
        <f>"52 "</f>
        <v xml:space="preserve">52 </v>
      </c>
      <c r="K1079" s="26" t="str">
        <f t="shared" si="180"/>
        <v>SG</v>
      </c>
      <c r="L1079" s="26" t="str">
        <f t="shared" si="181"/>
        <v>DGOSE</v>
      </c>
      <c r="M1079" s="26" t="str">
        <f t="shared" si="177"/>
        <v>PARTICULAR</v>
      </c>
      <c r="N1079" s="26">
        <v>241</v>
      </c>
      <c r="O1079" s="26">
        <v>129</v>
      </c>
      <c r="P1079" s="26">
        <v>112</v>
      </c>
      <c r="Q1079" s="26">
        <v>9</v>
      </c>
      <c r="R1079" s="26">
        <v>2</v>
      </c>
      <c r="S1079" s="26">
        <v>16</v>
      </c>
      <c r="T1079" s="26">
        <v>8</v>
      </c>
      <c r="U1079" s="26">
        <v>26</v>
      </c>
      <c r="V1079" s="26">
        <v>1</v>
      </c>
      <c r="W1079" s="26"/>
    </row>
    <row r="1080" spans="1:23" x14ac:dyDescent="0.25">
      <c r="A1080" s="26" t="str">
        <f t="shared" si="172"/>
        <v>SECUNDARIA</v>
      </c>
      <c r="B1080" s="26" t="str">
        <f>"09PES0697I"</f>
        <v>09PES0697I</v>
      </c>
      <c r="C1080" s="26" t="str">
        <f>""" INSTITUTO VILLA  DEL SUR ""                                                                        "</f>
        <v xml:space="preserve">" INSTITUTO VILLA  DEL SUR "                                                                        </v>
      </c>
      <c r="D1080" s="26" t="str">
        <f t="shared" si="173"/>
        <v>MATUTINO</v>
      </c>
      <c r="E1080" s="26" t="str">
        <f>"LIMONES ESQ AV XOCHITEPEC NUM 50                                                "</f>
        <v xml:space="preserve">LIMONES ESQ AV XOCHITEPEC NUM 50                                                </v>
      </c>
      <c r="F1080" s="26" t="str">
        <f>"SANTA CRUZ XOCHITEPEC                                                                                                                       "</f>
        <v xml:space="preserve">SANTA CRUZ XOCHITEPEC                                                                                                                       </v>
      </c>
      <c r="G1080" s="26" t="str">
        <f>"XOCHIMILCO                                                                      "</f>
        <v xml:space="preserve">XOCHIMILCO                                                                      </v>
      </c>
      <c r="H1080" s="26" t="str">
        <f>"080"</f>
        <v>080</v>
      </c>
      <c r="I1080" s="26" t="str">
        <f t="shared" si="174"/>
        <v>00</v>
      </c>
      <c r="J1080" s="26" t="str">
        <f>"55 "</f>
        <v xml:space="preserve">55 </v>
      </c>
      <c r="K1080" s="26" t="str">
        <f t="shared" si="180"/>
        <v>SG</v>
      </c>
      <c r="L1080" s="26" t="str">
        <f t="shared" si="181"/>
        <v>DGOSE</v>
      </c>
      <c r="M1080" s="26" t="str">
        <f t="shared" si="177"/>
        <v>PARTICULAR</v>
      </c>
      <c r="N1080" s="26">
        <v>41</v>
      </c>
      <c r="O1080" s="26">
        <v>17</v>
      </c>
      <c r="P1080" s="26">
        <v>24</v>
      </c>
      <c r="Q1080" s="26">
        <v>3</v>
      </c>
      <c r="R1080" s="26">
        <v>2</v>
      </c>
      <c r="S1080" s="26">
        <v>10</v>
      </c>
      <c r="T1080" s="26">
        <v>1</v>
      </c>
      <c r="U1080" s="26">
        <v>13</v>
      </c>
      <c r="V1080" s="26">
        <v>1</v>
      </c>
      <c r="W1080" s="26"/>
    </row>
    <row r="1081" spans="1:23" x14ac:dyDescent="0.25">
      <c r="A1081" s="26" t="str">
        <f t="shared" si="172"/>
        <v>SECUNDARIA</v>
      </c>
      <c r="B1081" s="26" t="str">
        <f>"09PES0699G"</f>
        <v>09PES0699G</v>
      </c>
      <c r="C1081" s="26" t="str">
        <f>""" DOLORES CORREA ZAPATA ""                                                                           "</f>
        <v xml:space="preserve">" DOLORES CORREA ZAPATA "                                                                           </v>
      </c>
      <c r="D1081" s="26" t="str">
        <f t="shared" si="173"/>
        <v>MATUTINO</v>
      </c>
      <c r="E1081" s="26" t="str">
        <f>"AQUILES SERDAN NUM 140                                                          "</f>
        <v xml:space="preserve">AQUILES SERDAN NUM 140                                                          </v>
      </c>
      <c r="F1081" s="26" t="str">
        <f>"SANTIAGO TULYEHUALCO                                                                                                                        "</f>
        <v xml:space="preserve">SANTIAGO TULYEHUALCO                                                                                                                        </v>
      </c>
      <c r="G1081" s="26" t="str">
        <f>"XOCHIMILCO                                                                      "</f>
        <v xml:space="preserve">XOCHIMILCO                                                                      </v>
      </c>
      <c r="H1081" s="26" t="str">
        <f>"081"</f>
        <v>081</v>
      </c>
      <c r="I1081" s="26" t="str">
        <f t="shared" si="174"/>
        <v>00</v>
      </c>
      <c r="J1081" s="26" t="str">
        <f>"55 "</f>
        <v xml:space="preserve">55 </v>
      </c>
      <c r="K1081" s="26" t="str">
        <f t="shared" si="180"/>
        <v>SG</v>
      </c>
      <c r="L1081" s="26" t="str">
        <f t="shared" si="181"/>
        <v>DGOSE</v>
      </c>
      <c r="M1081" s="26" t="str">
        <f t="shared" si="177"/>
        <v>PARTICULAR</v>
      </c>
      <c r="N1081" s="26">
        <v>101</v>
      </c>
      <c r="O1081" s="26">
        <v>49</v>
      </c>
      <c r="P1081" s="26">
        <v>52</v>
      </c>
      <c r="Q1081" s="26">
        <v>5</v>
      </c>
      <c r="R1081" s="26">
        <v>1</v>
      </c>
      <c r="S1081" s="26">
        <v>16</v>
      </c>
      <c r="T1081" s="26">
        <v>2</v>
      </c>
      <c r="U1081" s="26">
        <v>19</v>
      </c>
      <c r="V1081" s="26">
        <v>1</v>
      </c>
      <c r="W1081" s="26"/>
    </row>
    <row r="1082" spans="1:23" x14ac:dyDescent="0.25">
      <c r="A1082" s="26" t="str">
        <f t="shared" si="172"/>
        <v>SECUNDARIA</v>
      </c>
      <c r="B1082" s="26" t="str">
        <f>"09PES0700F"</f>
        <v>09PES0700F</v>
      </c>
      <c r="C1082" s="26" t="str">
        <f>"""COLEGIO BRITANIA""                                                                                  "</f>
        <v xml:space="preserve">"COLEGIO BRITANIA"                                                                                  </v>
      </c>
      <c r="D1082" s="26" t="str">
        <f t="shared" si="173"/>
        <v>MATUTINO</v>
      </c>
      <c r="E1082" s="26" t="str">
        <f>"AVENIDA SANTA LUCIA NUM 1533                                                    "</f>
        <v xml:space="preserve">AVENIDA SANTA LUCIA NUM 1533                                                    </v>
      </c>
      <c r="F1082" s="26" t="str">
        <f>"COLINAS DEL SUR                                                                                                                             "</f>
        <v xml:space="preserve">COLINAS DEL SUR                                                                                                                             </v>
      </c>
      <c r="G1082" s="26" t="str">
        <f>"ALVARO OBREGON                                                                  "</f>
        <v xml:space="preserve">ALVARO OBREGON                                                                  </v>
      </c>
      <c r="H1082" s="26" t="str">
        <f>"003"</f>
        <v>003</v>
      </c>
      <c r="I1082" s="26" t="str">
        <f t="shared" si="174"/>
        <v>00</v>
      </c>
      <c r="J1082" s="26" t="str">
        <f>"53 "</f>
        <v xml:space="preserve">53 </v>
      </c>
      <c r="K1082" s="26" t="str">
        <f t="shared" si="180"/>
        <v>SG</v>
      </c>
      <c r="L1082" s="26" t="str">
        <f t="shared" si="181"/>
        <v>DGOSE</v>
      </c>
      <c r="M1082" s="26" t="str">
        <f t="shared" si="177"/>
        <v>PARTICULAR</v>
      </c>
      <c r="N1082" s="26">
        <v>42</v>
      </c>
      <c r="O1082" s="26">
        <v>24</v>
      </c>
      <c r="P1082" s="26">
        <v>18</v>
      </c>
      <c r="Q1082" s="26">
        <v>3</v>
      </c>
      <c r="R1082" s="26">
        <v>1</v>
      </c>
      <c r="S1082" s="26">
        <v>14</v>
      </c>
      <c r="T1082" s="26">
        <v>0</v>
      </c>
      <c r="U1082" s="26">
        <v>15</v>
      </c>
      <c r="V1082" s="26">
        <v>1</v>
      </c>
      <c r="W1082" s="26"/>
    </row>
    <row r="1083" spans="1:23" x14ac:dyDescent="0.25">
      <c r="A1083" s="26" t="str">
        <f t="shared" si="172"/>
        <v>SECUNDARIA</v>
      </c>
      <c r="B1083" s="26" t="str">
        <f>"09PES0701E"</f>
        <v>09PES0701E</v>
      </c>
      <c r="C1083" s="26" t="str">
        <f>"""INSTITUTO MARIA CANALES""                                                                           "</f>
        <v xml:space="preserve">"INSTITUTO MARIA CANALES"                                                                           </v>
      </c>
      <c r="D1083" s="26" t="str">
        <f t="shared" si="173"/>
        <v>MATUTINO</v>
      </c>
      <c r="E1083" s="26" t="str">
        <f>"SABINO NUM 106 Y 110                                                            "</f>
        <v xml:space="preserve">SABINO NUM 106 Y 110                                                            </v>
      </c>
      <c r="F1083" s="26" t="str">
        <f>"SANTA MARIA LA RIBERA                                                                                                                       "</f>
        <v xml:space="preserve">SANTA MARIA LA RIBERA                                                                                                                       </v>
      </c>
      <c r="G1083" s="26" t="str">
        <f>"CUAUHTEMOC                                                                      "</f>
        <v xml:space="preserve">CUAUHTEMOC                                                                      </v>
      </c>
      <c r="H1083" s="26" t="str">
        <f>"027"</f>
        <v>027</v>
      </c>
      <c r="I1083" s="26" t="str">
        <f t="shared" si="174"/>
        <v>00</v>
      </c>
      <c r="J1083" s="26" t="str">
        <f>"51 "</f>
        <v xml:space="preserve">51 </v>
      </c>
      <c r="K1083" s="26" t="str">
        <f t="shared" si="180"/>
        <v>SG</v>
      </c>
      <c r="L1083" s="26" t="str">
        <f t="shared" si="181"/>
        <v>DGOSE</v>
      </c>
      <c r="M1083" s="26" t="str">
        <f t="shared" si="177"/>
        <v>PARTICULAR</v>
      </c>
      <c r="N1083" s="26">
        <v>163</v>
      </c>
      <c r="O1083" s="26">
        <v>77</v>
      </c>
      <c r="P1083" s="26">
        <v>86</v>
      </c>
      <c r="Q1083" s="26">
        <v>6</v>
      </c>
      <c r="R1083" s="26">
        <v>2</v>
      </c>
      <c r="S1083" s="26">
        <v>15</v>
      </c>
      <c r="T1083" s="26">
        <v>5</v>
      </c>
      <c r="U1083" s="26">
        <v>22</v>
      </c>
      <c r="V1083" s="26">
        <v>1</v>
      </c>
      <c r="W1083" s="26"/>
    </row>
    <row r="1084" spans="1:23" x14ac:dyDescent="0.25">
      <c r="A1084" s="26" t="str">
        <f t="shared" si="172"/>
        <v>SECUNDARIA</v>
      </c>
      <c r="B1084" s="26" t="str">
        <f>"09PES0702D"</f>
        <v>09PES0702D</v>
      </c>
      <c r="C1084" s="26" t="str">
        <f>"""OLOF PALME""                                                                                        "</f>
        <v xml:space="preserve">"OLOF PALME"                                                                                        </v>
      </c>
      <c r="D1084" s="26" t="str">
        <f t="shared" si="173"/>
        <v>MATUTINO</v>
      </c>
      <c r="E1084" s="26" t="str">
        <f>"CALLE UNIDAD NUM 35                                                             "</f>
        <v xml:space="preserve">CALLE UNIDAD NUM 35                                                             </v>
      </c>
      <c r="F1084" s="26" t="str">
        <f>"EJIDOS DE HUIPULCO                                                                                                                          "</f>
        <v xml:space="preserve">EJIDOS DE HUIPULCO                                                                                                                          </v>
      </c>
      <c r="G1084" s="26" t="str">
        <f>"TLALPAN                                                                         "</f>
        <v xml:space="preserve">TLALPAN                                                                         </v>
      </c>
      <c r="H1084" s="26" t="str">
        <f>"073"</f>
        <v>073</v>
      </c>
      <c r="I1084" s="26" t="str">
        <f t="shared" si="174"/>
        <v>00</v>
      </c>
      <c r="J1084" s="26" t="str">
        <f>"55 "</f>
        <v xml:space="preserve">55 </v>
      </c>
      <c r="K1084" s="26" t="str">
        <f t="shared" si="180"/>
        <v>SG</v>
      </c>
      <c r="L1084" s="26" t="str">
        <f t="shared" si="181"/>
        <v>DGOSE</v>
      </c>
      <c r="M1084" s="26" t="str">
        <f t="shared" si="177"/>
        <v>PARTICULAR</v>
      </c>
      <c r="N1084" s="26">
        <v>61</v>
      </c>
      <c r="O1084" s="26">
        <v>35</v>
      </c>
      <c r="P1084" s="26">
        <v>26</v>
      </c>
      <c r="Q1084" s="26">
        <v>3</v>
      </c>
      <c r="R1084" s="26">
        <v>1</v>
      </c>
      <c r="S1084" s="26">
        <v>12</v>
      </c>
      <c r="T1084" s="26">
        <v>5</v>
      </c>
      <c r="U1084" s="26">
        <v>18</v>
      </c>
      <c r="V1084" s="26">
        <v>1</v>
      </c>
      <c r="W1084" s="26"/>
    </row>
    <row r="1085" spans="1:23" x14ac:dyDescent="0.25">
      <c r="A1085" s="26" t="str">
        <f t="shared" si="172"/>
        <v>SECUNDARIA</v>
      </c>
      <c r="B1085" s="26" t="str">
        <f>"09PES0703C"</f>
        <v>09PES0703C</v>
      </c>
      <c r="C1085" s="26" t="str">
        <f>"""SIMON BOLIVAR""                                                                                     "</f>
        <v xml:space="preserve">"SIMON BOLIVAR"                                                                                     </v>
      </c>
      <c r="D1085" s="26" t="str">
        <f t="shared" si="173"/>
        <v>MATUTINO</v>
      </c>
      <c r="E1085" s="26" t="str">
        <f>"AVENIDA DEL TALLER NUM 603                                                      "</f>
        <v xml:space="preserve">AVENIDA DEL TALLER NUM 603                                                      </v>
      </c>
      <c r="F1085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1085" s="26" t="str">
        <f>"VENUSTIANO CARRANZA                                                             "</f>
        <v xml:space="preserve">VENUSTIANO CARRANZA                                                             </v>
      </c>
      <c r="H1085" s="26" t="str">
        <f>"078"</f>
        <v>078</v>
      </c>
      <c r="I1085" s="26" t="str">
        <f t="shared" si="174"/>
        <v>00</v>
      </c>
      <c r="J1085" s="26" t="str">
        <f>"54 "</f>
        <v xml:space="preserve">54 </v>
      </c>
      <c r="K1085" s="26" t="str">
        <f t="shared" si="180"/>
        <v>SG</v>
      </c>
      <c r="L1085" s="26" t="str">
        <f t="shared" si="181"/>
        <v>DGOSE</v>
      </c>
      <c r="M1085" s="26" t="str">
        <f t="shared" si="177"/>
        <v>PARTICULAR</v>
      </c>
      <c r="N1085" s="26">
        <v>334</v>
      </c>
      <c r="O1085" s="26">
        <v>161</v>
      </c>
      <c r="P1085" s="26">
        <v>173</v>
      </c>
      <c r="Q1085" s="26">
        <v>13</v>
      </c>
      <c r="R1085" s="26">
        <v>2</v>
      </c>
      <c r="S1085" s="26">
        <v>26</v>
      </c>
      <c r="T1085" s="26">
        <v>10</v>
      </c>
      <c r="U1085" s="26">
        <v>38</v>
      </c>
      <c r="V1085" s="26">
        <v>1</v>
      </c>
      <c r="W1085" s="26"/>
    </row>
    <row r="1086" spans="1:23" x14ac:dyDescent="0.25">
      <c r="A1086" s="26" t="str">
        <f t="shared" si="172"/>
        <v>SECUNDARIA</v>
      </c>
      <c r="B1086" s="26" t="str">
        <f>"09PES0704B"</f>
        <v>09PES0704B</v>
      </c>
      <c r="C1086" s="26" t="str">
        <f>"""COLEGIO WILLIAMS""                                                                                  "</f>
        <v xml:space="preserve">"COLEGIO WILLIAMS"                                                                                  </v>
      </c>
      <c r="D1086" s="26" t="str">
        <f t="shared" si="173"/>
        <v>MATUTINO</v>
      </c>
      <c r="E1086" s="26" t="str">
        <f>"CALLE SADI CARNOT NUM 33                                                        "</f>
        <v xml:space="preserve">CALLE SADI CARNOT NUM 33                                                        </v>
      </c>
      <c r="F1086" s="26" t="str">
        <f>"SAN RAFAEL                                                                                                                                  "</f>
        <v xml:space="preserve">SAN RAFAEL                                                                                                                                  </v>
      </c>
      <c r="G1086" s="26" t="str">
        <f>"CUAUHTEMOC                                                                      "</f>
        <v xml:space="preserve">CUAUHTEMOC                                                                      </v>
      </c>
      <c r="H1086" s="26" t="str">
        <f>"028"</f>
        <v>028</v>
      </c>
      <c r="I1086" s="26" t="str">
        <f t="shared" si="174"/>
        <v>00</v>
      </c>
      <c r="J1086" s="26" t="str">
        <f>"51 "</f>
        <v xml:space="preserve">51 </v>
      </c>
      <c r="K1086" s="26" t="str">
        <f t="shared" si="180"/>
        <v>SG</v>
      </c>
      <c r="L1086" s="26" t="str">
        <f t="shared" si="181"/>
        <v>DGOSE</v>
      </c>
      <c r="M1086" s="26" t="str">
        <f t="shared" si="177"/>
        <v>PARTICULAR</v>
      </c>
      <c r="N1086" s="26">
        <v>93</v>
      </c>
      <c r="O1086" s="26">
        <v>41</v>
      </c>
      <c r="P1086" s="26">
        <v>52</v>
      </c>
      <c r="Q1086" s="26">
        <v>3</v>
      </c>
      <c r="R1086" s="26">
        <v>1</v>
      </c>
      <c r="S1086" s="26">
        <v>10</v>
      </c>
      <c r="T1086" s="26">
        <v>0</v>
      </c>
      <c r="U1086" s="26">
        <v>11</v>
      </c>
      <c r="V1086" s="26">
        <v>1</v>
      </c>
      <c r="W1086" s="26"/>
    </row>
    <row r="1087" spans="1:23" x14ac:dyDescent="0.25">
      <c r="A1087" s="26" t="str">
        <f t="shared" si="172"/>
        <v>SECUNDARIA</v>
      </c>
      <c r="B1087" s="26" t="str">
        <f>"09PES0705A"</f>
        <v>09PES0705A</v>
      </c>
      <c r="C1087" s="26" t="str">
        <f>"ATENEA                                                                                              "</f>
        <v xml:space="preserve">ATENEA                                                                                              </v>
      </c>
      <c r="D1087" s="26" t="str">
        <f t="shared" si="173"/>
        <v>MATUTINO</v>
      </c>
      <c r="E1087" s="26" t="str">
        <f>"CALLE 6 NO. 165                                                                 "</f>
        <v xml:space="preserve">CALLE 6 NO. 165                                                                 </v>
      </c>
      <c r="F1087" s="26" t="str">
        <f>"GRANJAS SAN ANTONIO                                                                                                                         "</f>
        <v xml:space="preserve">GRANJAS SAN ANTONIO                                                                                                                         </v>
      </c>
      <c r="G1087" s="26" t="str">
        <f>"IZTAPALAPA                                                                      "</f>
        <v xml:space="preserve">IZTAPALAPA                                                                      </v>
      </c>
      <c r="H1087" s="26" t="str">
        <f>"000"</f>
        <v>000</v>
      </c>
      <c r="I1087" s="26" t="str">
        <f t="shared" si="174"/>
        <v>00</v>
      </c>
      <c r="J1087" s="26" t="str">
        <f>"61 "</f>
        <v xml:space="preserve">61 </v>
      </c>
      <c r="K1087" s="26" t="str">
        <f>"IZ"</f>
        <v>IZ</v>
      </c>
      <c r="L1087" s="26" t="str">
        <f>"DGSEI"</f>
        <v>DGSEI</v>
      </c>
      <c r="M1087" s="26" t="str">
        <f t="shared" si="177"/>
        <v>PARTICULAR</v>
      </c>
      <c r="N1087" s="26">
        <v>116</v>
      </c>
      <c r="O1087" s="26">
        <v>65</v>
      </c>
      <c r="P1087" s="26">
        <v>51</v>
      </c>
      <c r="Q1087" s="26">
        <v>3</v>
      </c>
      <c r="R1087" s="26">
        <v>2</v>
      </c>
      <c r="S1087" s="26">
        <v>20</v>
      </c>
      <c r="T1087" s="26">
        <v>6</v>
      </c>
      <c r="U1087" s="26">
        <v>28</v>
      </c>
      <c r="V1087" s="26">
        <v>1</v>
      </c>
      <c r="W1087" s="26"/>
    </row>
    <row r="1088" spans="1:23" x14ac:dyDescent="0.25">
      <c r="A1088" s="26" t="str">
        <f t="shared" si="172"/>
        <v>SECUNDARIA</v>
      </c>
      <c r="B1088" s="26" t="str">
        <f>"09PES0706Z"</f>
        <v>09PES0706Z</v>
      </c>
      <c r="C1088" s="26" t="str">
        <f>"COLEGIO VILASECA ESPARZA                                                                            "</f>
        <v xml:space="preserve">COLEGIO VILASECA ESPARZA                                                                            </v>
      </c>
      <c r="D1088" s="26" t="str">
        <f t="shared" si="173"/>
        <v>MATUTINO</v>
      </c>
      <c r="E1088" s="26" t="str">
        <f>"ALBERT NUM 9                                                                    "</f>
        <v xml:space="preserve">ALBERT NUM 9                                                                    </v>
      </c>
      <c r="F1088" s="26" t="str">
        <f>"PORTALES                                                                                                                                    "</f>
        <v xml:space="preserve">PORTALES                                                                                                                                    </v>
      </c>
      <c r="G1088" s="26" t="str">
        <f>"BENITO JUAREZ                                                                   "</f>
        <v xml:space="preserve">BENITO JUAREZ                                                                   </v>
      </c>
      <c r="H1088" s="26" t="str">
        <f>"015"</f>
        <v>015</v>
      </c>
      <c r="I1088" s="26" t="str">
        <f t="shared" si="174"/>
        <v>00</v>
      </c>
      <c r="J1088" s="26" t="str">
        <f>"53 "</f>
        <v xml:space="preserve">53 </v>
      </c>
      <c r="K1088" s="26" t="str">
        <f t="shared" ref="K1088:K1108" si="182">"SG"</f>
        <v>SG</v>
      </c>
      <c r="L1088" s="26" t="str">
        <f t="shared" ref="L1088:L1108" si="183">"DGOSE"</f>
        <v>DGOSE</v>
      </c>
      <c r="M1088" s="26" t="str">
        <f t="shared" si="177"/>
        <v>PARTICULAR</v>
      </c>
      <c r="N1088" s="26">
        <v>110</v>
      </c>
      <c r="O1088" s="26">
        <v>58</v>
      </c>
      <c r="P1088" s="26">
        <v>52</v>
      </c>
      <c r="Q1088" s="26">
        <v>4</v>
      </c>
      <c r="R1088" s="26">
        <v>1</v>
      </c>
      <c r="S1088" s="26">
        <v>11</v>
      </c>
      <c r="T1088" s="26">
        <v>2</v>
      </c>
      <c r="U1088" s="26">
        <v>14</v>
      </c>
      <c r="V1088" s="26">
        <v>1</v>
      </c>
      <c r="W1088" s="26"/>
    </row>
    <row r="1089" spans="1:23" x14ac:dyDescent="0.25">
      <c r="A1089" s="26" t="str">
        <f t="shared" si="172"/>
        <v>SECUNDARIA</v>
      </c>
      <c r="B1089" s="26" t="str">
        <f>"09PES0708Y"</f>
        <v>09PES0708Y</v>
      </c>
      <c r="C1089" s="26" t="str">
        <f>"""ESCUELA INGLESA KENT""                                                                              "</f>
        <v xml:space="preserve">"ESCUELA INGLESA KENT"                                                                              </v>
      </c>
      <c r="D1089" s="26" t="str">
        <f t="shared" si="173"/>
        <v>MATUTINO</v>
      </c>
      <c r="E1089" s="26" t="str">
        <f>"RIO LERMA NO 222                                                                "</f>
        <v xml:space="preserve">RIO LERMA NO 222                                                                </v>
      </c>
      <c r="F1089" s="26" t="str">
        <f>"CUAUHTEMOC                                                                                                                                  "</f>
        <v xml:space="preserve">CUAUHTEMOC                                                                                                                                  </v>
      </c>
      <c r="G1089" s="26" t="str">
        <f>"CUAUHTEMOC                                                                      "</f>
        <v xml:space="preserve">CUAUHTEMOC                                                                      </v>
      </c>
      <c r="H1089" s="26" t="str">
        <f>"028"</f>
        <v>028</v>
      </c>
      <c r="I1089" s="26" t="str">
        <f t="shared" si="174"/>
        <v>00</v>
      </c>
      <c r="J1089" s="26" t="str">
        <f>"51 "</f>
        <v xml:space="preserve">51 </v>
      </c>
      <c r="K1089" s="26" t="str">
        <f t="shared" si="182"/>
        <v>SG</v>
      </c>
      <c r="L1089" s="26" t="str">
        <f t="shared" si="183"/>
        <v>DGOSE</v>
      </c>
      <c r="M1089" s="26" t="str">
        <f t="shared" si="177"/>
        <v>PARTICULAR</v>
      </c>
      <c r="N1089" s="26">
        <v>52</v>
      </c>
      <c r="O1089" s="26">
        <v>26</v>
      </c>
      <c r="P1089" s="26">
        <v>26</v>
      </c>
      <c r="Q1089" s="26">
        <v>3</v>
      </c>
      <c r="R1089" s="26">
        <v>1</v>
      </c>
      <c r="S1089" s="26">
        <v>10</v>
      </c>
      <c r="T1089" s="26">
        <v>1</v>
      </c>
      <c r="U1089" s="26">
        <v>12</v>
      </c>
      <c r="V1089" s="26">
        <v>1</v>
      </c>
      <c r="W1089" s="26"/>
    </row>
    <row r="1090" spans="1:23" x14ac:dyDescent="0.25">
      <c r="A1090" s="26" t="str">
        <f t="shared" ref="A1090:A1153" si="184">"SECUNDARIA"</f>
        <v>SECUNDARIA</v>
      </c>
      <c r="B1090" s="26" t="str">
        <f>"09PES0709X"</f>
        <v>09PES0709X</v>
      </c>
      <c r="C1090" s="26" t="str">
        <f>"INSTITUTO CUMBRES                                                                                   "</f>
        <v xml:space="preserve">INSTITUTO CUMBRES                                                                                   </v>
      </c>
      <c r="D1090" s="26" t="str">
        <f t="shared" si="173"/>
        <v>MATUTINO</v>
      </c>
      <c r="E1090" s="26" t="str">
        <f>"LOMA DEL RECUERDO NO 50                                                         "</f>
        <v xml:space="preserve">LOMA DEL RECUERDO NO 50                                                         </v>
      </c>
      <c r="F1090" s="26" t="str">
        <f>"LOMAS DE VISTA HERMOSA                                                                                                                      "</f>
        <v xml:space="preserve">LOMAS DE VISTA HERMOSA                                                                                                                      </v>
      </c>
      <c r="G1090" s="26" t="str">
        <f>"CUAJIMALPA DE MORELOS                                                           "</f>
        <v xml:space="preserve">CUAJIMALPA DE MORELOS                                                           </v>
      </c>
      <c r="H1090" s="26" t="str">
        <f>"023"</f>
        <v>023</v>
      </c>
      <c r="I1090" s="26" t="str">
        <f t="shared" si="174"/>
        <v>00</v>
      </c>
      <c r="J1090" s="26" t="str">
        <f>"53 "</f>
        <v xml:space="preserve">53 </v>
      </c>
      <c r="K1090" s="26" t="str">
        <f t="shared" si="182"/>
        <v>SG</v>
      </c>
      <c r="L1090" s="26" t="str">
        <f t="shared" si="183"/>
        <v>DGOSE</v>
      </c>
      <c r="M1090" s="26" t="str">
        <f t="shared" si="177"/>
        <v>PARTICULAR</v>
      </c>
      <c r="N1090" s="26">
        <v>176</v>
      </c>
      <c r="O1090" s="26">
        <v>176</v>
      </c>
      <c r="P1090" s="26">
        <v>0</v>
      </c>
      <c r="Q1090" s="26">
        <v>7</v>
      </c>
      <c r="R1090" s="26">
        <v>2</v>
      </c>
      <c r="S1090" s="26">
        <v>14</v>
      </c>
      <c r="T1090" s="26">
        <v>3</v>
      </c>
      <c r="U1090" s="26">
        <v>19</v>
      </c>
      <c r="V1090" s="26">
        <v>1</v>
      </c>
      <c r="W1090" s="26"/>
    </row>
    <row r="1091" spans="1:23" x14ac:dyDescent="0.25">
      <c r="A1091" s="26" t="str">
        <f t="shared" si="184"/>
        <v>SECUNDARIA</v>
      </c>
      <c r="B1091" s="26" t="str">
        <f>"09PES0710M"</f>
        <v>09PES0710M</v>
      </c>
      <c r="C1091" s="26" t="str">
        <f>"COLEGIO OXFORD                                                                                      "</f>
        <v xml:space="preserve">COLEGIO OXFORD                                                                                      </v>
      </c>
      <c r="D1091" s="26" t="str">
        <f t="shared" ref="D1091:D1154" si="185">"MATUTINO"</f>
        <v>MATUTINO</v>
      </c>
      <c r="E1091" s="26" t="str">
        <f>"AV DE LAS TORRES NUM 131                                                        "</f>
        <v xml:space="preserve">AV DE LAS TORRES NUM 131                                                        </v>
      </c>
      <c r="F1091" s="26" t="str">
        <f>"TORRES DE POTRERO                                                                                                                           "</f>
        <v xml:space="preserve">TORRES DE POTRERO                                                                                                                           </v>
      </c>
      <c r="G1091" s="26" t="str">
        <f>"ALVARO OBREGON                                                                  "</f>
        <v xml:space="preserve">ALVARO OBREGON                                                                  </v>
      </c>
      <c r="H1091" s="26" t="str">
        <f>"002"</f>
        <v>002</v>
      </c>
      <c r="I1091" s="26" t="str">
        <f t="shared" si="174"/>
        <v>00</v>
      </c>
      <c r="J1091" s="26" t="str">
        <f>"53 "</f>
        <v xml:space="preserve">53 </v>
      </c>
      <c r="K1091" s="26" t="str">
        <f t="shared" si="182"/>
        <v>SG</v>
      </c>
      <c r="L1091" s="26" t="str">
        <f t="shared" si="183"/>
        <v>DGOSE</v>
      </c>
      <c r="M1091" s="26" t="str">
        <f t="shared" si="177"/>
        <v>PARTICULAR</v>
      </c>
      <c r="N1091" s="26">
        <v>151</v>
      </c>
      <c r="O1091" s="26">
        <v>0</v>
      </c>
      <c r="P1091" s="26">
        <v>151</v>
      </c>
      <c r="Q1091" s="26">
        <v>6</v>
      </c>
      <c r="R1091" s="26">
        <v>2</v>
      </c>
      <c r="S1091" s="26">
        <v>18</v>
      </c>
      <c r="T1091" s="26">
        <v>8</v>
      </c>
      <c r="U1091" s="26">
        <v>28</v>
      </c>
      <c r="V1091" s="26">
        <v>1</v>
      </c>
      <c r="W1091" s="26"/>
    </row>
    <row r="1092" spans="1:23" x14ac:dyDescent="0.25">
      <c r="A1092" s="26" t="str">
        <f t="shared" si="184"/>
        <v>SECUNDARIA</v>
      </c>
      <c r="B1092" s="26" t="str">
        <f>"09PES0716G"</f>
        <v>09PES0716G</v>
      </c>
      <c r="C1092" s="26" t="str">
        <f>"""FELIPE FRANCO""                                                                                     "</f>
        <v xml:space="preserve">"FELIPE FRANCO"                                                                                     </v>
      </c>
      <c r="D1092" s="26" t="str">
        <f t="shared" si="185"/>
        <v>MATUTINO</v>
      </c>
      <c r="E1092" s="26" t="str">
        <f>"AV GUADALUPE VICTORIA NUM 52                                                    "</f>
        <v xml:space="preserve">AV GUADALUPE VICTORIA NUM 52                                                    </v>
      </c>
      <c r="F1092" s="26" t="str">
        <f>"CUAUTEPEC DE MADERO                                                                                                                         "</f>
        <v xml:space="preserve">CUAUTEPEC DE MADERO                                                                                                                         </v>
      </c>
      <c r="G1092" s="26" t="str">
        <f>"GUSTAVO A. MADERO                                                               "</f>
        <v xml:space="preserve">GUSTAVO A. MADERO                                                               </v>
      </c>
      <c r="H1092" s="26" t="str">
        <f>"031"</f>
        <v>031</v>
      </c>
      <c r="I1092" s="26" t="str">
        <f t="shared" si="174"/>
        <v>00</v>
      </c>
      <c r="J1092" s="26" t="str">
        <f>"52 "</f>
        <v xml:space="preserve">52 </v>
      </c>
      <c r="K1092" s="26" t="str">
        <f t="shared" si="182"/>
        <v>SG</v>
      </c>
      <c r="L1092" s="26" t="str">
        <f t="shared" si="183"/>
        <v>DGOSE</v>
      </c>
      <c r="M1092" s="26" t="str">
        <f t="shared" si="177"/>
        <v>PARTICULAR</v>
      </c>
      <c r="N1092" s="26">
        <v>30</v>
      </c>
      <c r="O1092" s="26">
        <v>15</v>
      </c>
      <c r="P1092" s="26">
        <v>15</v>
      </c>
      <c r="Q1092" s="26">
        <v>3</v>
      </c>
      <c r="R1092" s="26">
        <v>1</v>
      </c>
      <c r="S1092" s="26">
        <v>12</v>
      </c>
      <c r="T1092" s="26">
        <v>1</v>
      </c>
      <c r="U1092" s="26">
        <v>14</v>
      </c>
      <c r="V1092" s="26">
        <v>1</v>
      </c>
      <c r="W1092" s="26"/>
    </row>
    <row r="1093" spans="1:23" x14ac:dyDescent="0.25">
      <c r="A1093" s="26" t="str">
        <f t="shared" si="184"/>
        <v>SECUNDARIA</v>
      </c>
      <c r="B1093" s="26" t="str">
        <f>"09PES0718E"</f>
        <v>09PES0718E</v>
      </c>
      <c r="C1093" s="26" t="str">
        <f>""" INSTITUTO SAN ANGEL INN ""                                                                         "</f>
        <v xml:space="preserve">" INSTITUTO SAN ANGEL INN "                                                                         </v>
      </c>
      <c r="D1093" s="26" t="str">
        <f t="shared" si="185"/>
        <v>MATUTINO</v>
      </c>
      <c r="E1093" s="26" t="str">
        <f>"AV CENTENARIO NUM 1196                                                          "</f>
        <v xml:space="preserve">AV CENTENARIO NUM 1196                                                          </v>
      </c>
      <c r="F1093" s="26" t="str">
        <f>"HERON PROAL                                                                                                                                 "</f>
        <v xml:space="preserve">HERON PROAL                                                                                                                                 </v>
      </c>
      <c r="G1093" s="26" t="str">
        <f>"ALVARO OBREGON                                                                  "</f>
        <v xml:space="preserve">ALVARO OBREGON                                                                  </v>
      </c>
      <c r="H1093" s="26" t="str">
        <f>"004"</f>
        <v>004</v>
      </c>
      <c r="I1093" s="26" t="str">
        <f t="shared" si="174"/>
        <v>00</v>
      </c>
      <c r="J1093" s="26" t="str">
        <f>"53 "</f>
        <v xml:space="preserve">53 </v>
      </c>
      <c r="K1093" s="26" t="str">
        <f t="shared" si="182"/>
        <v>SG</v>
      </c>
      <c r="L1093" s="26" t="str">
        <f t="shared" si="183"/>
        <v>DGOSE</v>
      </c>
      <c r="M1093" s="26" t="str">
        <f t="shared" si="177"/>
        <v>PARTICULAR</v>
      </c>
      <c r="N1093" s="26">
        <v>47</v>
      </c>
      <c r="O1093" s="26">
        <v>23</v>
      </c>
      <c r="P1093" s="26">
        <v>24</v>
      </c>
      <c r="Q1093" s="26">
        <v>3</v>
      </c>
      <c r="R1093" s="26">
        <v>1</v>
      </c>
      <c r="S1093" s="26">
        <v>12</v>
      </c>
      <c r="T1093" s="26">
        <v>2</v>
      </c>
      <c r="U1093" s="26">
        <v>15</v>
      </c>
      <c r="V1093" s="26">
        <v>1</v>
      </c>
      <c r="W1093" s="26"/>
    </row>
    <row r="1094" spans="1:23" x14ac:dyDescent="0.25">
      <c r="A1094" s="26" t="str">
        <f t="shared" si="184"/>
        <v>SECUNDARIA</v>
      </c>
      <c r="B1094" s="26" t="str">
        <f>"09PES0720T"</f>
        <v>09PES0720T</v>
      </c>
      <c r="C1094" s="26" t="str">
        <f>"""COLEGIO OLIVERIO CROMWELL""                                                                         "</f>
        <v xml:space="preserve">"COLEGIO OLIVERIO CROMWELL"                                                                         </v>
      </c>
      <c r="D1094" s="26" t="str">
        <f t="shared" si="185"/>
        <v>MATUTINO</v>
      </c>
      <c r="E1094" s="26" t="str">
        <f>"MIXTECAS NUM 331                                                                "</f>
        <v xml:space="preserve">MIXTECAS NUM 331                                                                </v>
      </c>
      <c r="F1094" s="26" t="str">
        <f>"AJUSCO                                                                                                                                      "</f>
        <v xml:space="preserve">AJUSCO                                                                                                                                      </v>
      </c>
      <c r="G1094" s="26" t="str">
        <f>"COYOACAN                                                                        "</f>
        <v xml:space="preserve">COYOACAN                                                                        </v>
      </c>
      <c r="H1094" s="26" t="str">
        <f>"022"</f>
        <v>022</v>
      </c>
      <c r="I1094" s="26" t="str">
        <f t="shared" si="174"/>
        <v>00</v>
      </c>
      <c r="J1094" s="26" t="str">
        <f>"54 "</f>
        <v xml:space="preserve">54 </v>
      </c>
      <c r="K1094" s="26" t="str">
        <f t="shared" si="182"/>
        <v>SG</v>
      </c>
      <c r="L1094" s="26" t="str">
        <f t="shared" si="183"/>
        <v>DGOSE</v>
      </c>
      <c r="M1094" s="26" t="str">
        <f t="shared" si="177"/>
        <v>PARTICULAR</v>
      </c>
      <c r="N1094" s="26">
        <v>176</v>
      </c>
      <c r="O1094" s="26">
        <v>87</v>
      </c>
      <c r="P1094" s="26">
        <v>89</v>
      </c>
      <c r="Q1094" s="26">
        <v>8</v>
      </c>
      <c r="R1094" s="26">
        <v>2</v>
      </c>
      <c r="S1094" s="26">
        <v>20</v>
      </c>
      <c r="T1094" s="26">
        <v>1</v>
      </c>
      <c r="U1094" s="26">
        <v>23</v>
      </c>
      <c r="V1094" s="26">
        <v>1</v>
      </c>
      <c r="W1094" s="26"/>
    </row>
    <row r="1095" spans="1:23" x14ac:dyDescent="0.25">
      <c r="A1095" s="26" t="str">
        <f t="shared" si="184"/>
        <v>SECUNDARIA</v>
      </c>
      <c r="B1095" s="26" t="str">
        <f>"09PES0722R"</f>
        <v>09PES0722R</v>
      </c>
      <c r="C1095" s="26" t="str">
        <f>"""SOR JUANA INES DE LA CRUZ""                                                                         "</f>
        <v xml:space="preserve">"SOR JUANA INES DE LA CRUZ"                                                                         </v>
      </c>
      <c r="D1095" s="26" t="str">
        <f t="shared" si="185"/>
        <v>MATUTINO</v>
      </c>
      <c r="E1095" s="26" t="str">
        <f>"GENERAL SALVADOR ALVARADO N_ 175                                                "</f>
        <v xml:space="preserve">GENERAL SALVADOR ALVARADO N_ 175                                                </v>
      </c>
      <c r="F1095" s="26" t="str">
        <f>"CONDESA                                                                                                                                     "</f>
        <v xml:space="preserve">CONDESA                                                                                                                                     </v>
      </c>
      <c r="G1095" s="26" t="str">
        <f>"CUAUHTEMOC                                                                      "</f>
        <v xml:space="preserve">CUAUHTEMOC                                                                      </v>
      </c>
      <c r="H1095" s="26" t="str">
        <f>"029"</f>
        <v>029</v>
      </c>
      <c r="I1095" s="26" t="str">
        <f t="shared" ref="I1095:I1158" si="186">"00"</f>
        <v>00</v>
      </c>
      <c r="J1095" s="26" t="str">
        <f>"51 "</f>
        <v xml:space="preserve">51 </v>
      </c>
      <c r="K1095" s="26" t="str">
        <f t="shared" si="182"/>
        <v>SG</v>
      </c>
      <c r="L1095" s="26" t="str">
        <f t="shared" si="183"/>
        <v>DGOSE</v>
      </c>
      <c r="M1095" s="26" t="str">
        <f t="shared" si="177"/>
        <v>PARTICULAR</v>
      </c>
      <c r="N1095" s="26">
        <v>25</v>
      </c>
      <c r="O1095" s="26">
        <v>18</v>
      </c>
      <c r="P1095" s="26">
        <v>7</v>
      </c>
      <c r="Q1095" s="26">
        <v>3</v>
      </c>
      <c r="R1095" s="26">
        <v>1</v>
      </c>
      <c r="S1095" s="26">
        <v>11</v>
      </c>
      <c r="T1095" s="26">
        <v>3</v>
      </c>
      <c r="U1095" s="26">
        <v>15</v>
      </c>
      <c r="V1095" s="26">
        <v>1</v>
      </c>
      <c r="W1095" s="26"/>
    </row>
    <row r="1096" spans="1:23" x14ac:dyDescent="0.25">
      <c r="A1096" s="26" t="str">
        <f t="shared" si="184"/>
        <v>SECUNDARIA</v>
      </c>
      <c r="B1096" s="26" t="str">
        <f>"09PES0723Q"</f>
        <v>09PES0723Q</v>
      </c>
      <c r="C1096" s="26" t="str">
        <f>"""JORGE WASHINGTON""                                                                                  "</f>
        <v xml:space="preserve">"JORGE WASHINGTON"                                                                                  </v>
      </c>
      <c r="D1096" s="26" t="str">
        <f t="shared" si="185"/>
        <v>MATUTINO</v>
      </c>
      <c r="E1096" s="26" t="str">
        <f>"AVENIDA DEL TALLER NUM 640                                                      "</f>
        <v xml:space="preserve">AVENIDA DEL TALLER NUM 640                                                      </v>
      </c>
      <c r="F1096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1096" s="26" t="str">
        <f>"VENUSTIANO CARRANZA                                                             "</f>
        <v xml:space="preserve">VENUSTIANO CARRANZA                                                             </v>
      </c>
      <c r="H1096" s="26" t="str">
        <f>"078"</f>
        <v>078</v>
      </c>
      <c r="I1096" s="26" t="str">
        <f t="shared" si="186"/>
        <v>00</v>
      </c>
      <c r="J1096" s="26" t="str">
        <f>"54 "</f>
        <v xml:space="preserve">54 </v>
      </c>
      <c r="K1096" s="26" t="str">
        <f t="shared" si="182"/>
        <v>SG</v>
      </c>
      <c r="L1096" s="26" t="str">
        <f t="shared" si="183"/>
        <v>DGOSE</v>
      </c>
      <c r="M1096" s="26" t="str">
        <f t="shared" si="177"/>
        <v>PARTICULAR</v>
      </c>
      <c r="N1096" s="26">
        <v>92</v>
      </c>
      <c r="O1096" s="26">
        <v>45</v>
      </c>
      <c r="P1096" s="26">
        <v>47</v>
      </c>
      <c r="Q1096" s="26">
        <v>6</v>
      </c>
      <c r="R1096" s="26">
        <v>2</v>
      </c>
      <c r="S1096" s="26">
        <v>14</v>
      </c>
      <c r="T1096" s="26">
        <v>5</v>
      </c>
      <c r="U1096" s="26">
        <v>21</v>
      </c>
      <c r="V1096" s="26">
        <v>1</v>
      </c>
      <c r="W1096" s="26"/>
    </row>
    <row r="1097" spans="1:23" x14ac:dyDescent="0.25">
      <c r="A1097" s="26" t="str">
        <f t="shared" si="184"/>
        <v>SECUNDARIA</v>
      </c>
      <c r="B1097" s="26" t="str">
        <f>"09PES0724P"</f>
        <v>09PES0724P</v>
      </c>
      <c r="C1097" s="26" t="str">
        <f>"""CIRCULO MEXICANO DE INTEGRACION EDUCATIVA""                                                         "</f>
        <v xml:space="preserve">"CIRCULO MEXICANO DE INTEGRACION EDUCATIVA"                                                         </v>
      </c>
      <c r="D1097" s="26" t="str">
        <f t="shared" si="185"/>
        <v>MATUTINO</v>
      </c>
      <c r="E1097" s="26" t="str">
        <f>"PROLONGACION UXMAL NUM 855                                                      "</f>
        <v xml:space="preserve">PROLONGACION UXMAL NUM 855                                                      </v>
      </c>
      <c r="F1097" s="26" t="str">
        <f>"SANTA CRUZ ATOYAC                                                                                                                           "</f>
        <v xml:space="preserve">SANTA CRUZ ATOYAC                                                                                                                           </v>
      </c>
      <c r="G1097" s="26" t="str">
        <f>"BENITO JUAREZ                                                                   "</f>
        <v xml:space="preserve">BENITO JUAREZ                                                                   </v>
      </c>
      <c r="H1097" s="26" t="str">
        <f>"016"</f>
        <v>016</v>
      </c>
      <c r="I1097" s="26" t="str">
        <f t="shared" si="186"/>
        <v>00</v>
      </c>
      <c r="J1097" s="26" t="str">
        <f>"53 "</f>
        <v xml:space="preserve">53 </v>
      </c>
      <c r="K1097" s="26" t="str">
        <f t="shared" si="182"/>
        <v>SG</v>
      </c>
      <c r="L1097" s="26" t="str">
        <f t="shared" si="183"/>
        <v>DGOSE</v>
      </c>
      <c r="M1097" s="26" t="str">
        <f t="shared" si="177"/>
        <v>PARTICULAR</v>
      </c>
      <c r="N1097" s="26">
        <v>78</v>
      </c>
      <c r="O1097" s="26">
        <v>38</v>
      </c>
      <c r="P1097" s="26">
        <v>40</v>
      </c>
      <c r="Q1097" s="26">
        <v>4</v>
      </c>
      <c r="R1097" s="26">
        <v>2</v>
      </c>
      <c r="S1097" s="26">
        <v>13</v>
      </c>
      <c r="T1097" s="26">
        <v>4</v>
      </c>
      <c r="U1097" s="26">
        <v>19</v>
      </c>
      <c r="V1097" s="26">
        <v>1</v>
      </c>
      <c r="W1097" s="26"/>
    </row>
    <row r="1098" spans="1:23" x14ac:dyDescent="0.25">
      <c r="A1098" s="26" t="str">
        <f t="shared" si="184"/>
        <v>SECUNDARIA</v>
      </c>
      <c r="B1098" s="26" t="str">
        <f>"09PES0726N"</f>
        <v>09PES0726N</v>
      </c>
      <c r="C1098" s="26" t="str">
        <f>"""INSTITUTO FRANCISCO POSSENTI""                                                                      "</f>
        <v xml:space="preserve">"INSTITUTO FRANCISCO POSSENTI"                                                                      </v>
      </c>
      <c r="D1098" s="26" t="str">
        <f t="shared" si="185"/>
        <v>MATUTINO</v>
      </c>
      <c r="E1098" s="26" t="str">
        <f>"AV TOLUCA NUM 621                                                               "</f>
        <v xml:space="preserve">AV TOLUCA NUM 621                                                               </v>
      </c>
      <c r="F1098" s="26" t="str">
        <f>"OLIVAR DE LOS PADRES                                                                                                                        "</f>
        <v xml:space="preserve">OLIVAR DE LOS PADRES                                                                                                                        </v>
      </c>
      <c r="G1098" s="26" t="str">
        <f>"ALVARO OBREGON                                                                  "</f>
        <v xml:space="preserve">ALVARO OBREGON                                                                  </v>
      </c>
      <c r="H1098" s="26" t="str">
        <f>"004"</f>
        <v>004</v>
      </c>
      <c r="I1098" s="26" t="str">
        <f t="shared" si="186"/>
        <v>00</v>
      </c>
      <c r="J1098" s="26" t="str">
        <f>"53 "</f>
        <v xml:space="preserve">53 </v>
      </c>
      <c r="K1098" s="26" t="str">
        <f t="shared" si="182"/>
        <v>SG</v>
      </c>
      <c r="L1098" s="26" t="str">
        <f t="shared" si="183"/>
        <v>DGOSE</v>
      </c>
      <c r="M1098" s="26" t="str">
        <f t="shared" si="177"/>
        <v>PARTICULAR</v>
      </c>
      <c r="N1098" s="26">
        <v>310</v>
      </c>
      <c r="O1098" s="26">
        <v>161</v>
      </c>
      <c r="P1098" s="26">
        <v>149</v>
      </c>
      <c r="Q1098" s="26">
        <v>12</v>
      </c>
      <c r="R1098" s="26">
        <v>2</v>
      </c>
      <c r="S1098" s="26">
        <v>30</v>
      </c>
      <c r="T1098" s="26">
        <v>6</v>
      </c>
      <c r="U1098" s="26">
        <v>38</v>
      </c>
      <c r="V1098" s="26">
        <v>1</v>
      </c>
      <c r="W1098" s="26"/>
    </row>
    <row r="1099" spans="1:23" x14ac:dyDescent="0.25">
      <c r="A1099" s="26" t="str">
        <f t="shared" si="184"/>
        <v>SECUNDARIA</v>
      </c>
      <c r="B1099" s="26" t="str">
        <f>"09PES0727M"</f>
        <v>09PES0727M</v>
      </c>
      <c r="C1099" s="26" t="s">
        <v>3992</v>
      </c>
      <c r="D1099" s="26" t="str">
        <f t="shared" si="185"/>
        <v>MATUTINO</v>
      </c>
      <c r="E1099" s="26" t="str">
        <f>"CALZ. DE LAS BRUJAS NUM 329 Y RINCONADA MZ-10 LT-30                             "</f>
        <v xml:space="preserve">CALZ. DE LAS BRUJAS NUM 329 Y RINCONADA MZ-10 LT-30                             </v>
      </c>
      <c r="F1099" s="26" t="str">
        <f>"RINCON DE LAS HADAS                                                                                                                         "</f>
        <v xml:space="preserve">RINCON DE LAS HADAS                                                                                                                         </v>
      </c>
      <c r="G1099" s="26" t="str">
        <f>"TLALPAN                                                                         "</f>
        <v xml:space="preserve">TLALPAN                                                                         </v>
      </c>
      <c r="H1099" s="26" t="str">
        <f>"070"</f>
        <v>070</v>
      </c>
      <c r="I1099" s="26" t="str">
        <f t="shared" si="186"/>
        <v>00</v>
      </c>
      <c r="J1099" s="26" t="str">
        <f>"55 "</f>
        <v xml:space="preserve">55 </v>
      </c>
      <c r="K1099" s="26" t="str">
        <f t="shared" si="182"/>
        <v>SG</v>
      </c>
      <c r="L1099" s="26" t="str">
        <f t="shared" si="183"/>
        <v>DGOSE</v>
      </c>
      <c r="M1099" s="26" t="str">
        <f t="shared" si="177"/>
        <v>PARTICULAR</v>
      </c>
      <c r="N1099" s="26">
        <v>62</v>
      </c>
      <c r="O1099" s="26">
        <v>34</v>
      </c>
      <c r="P1099" s="26">
        <v>28</v>
      </c>
      <c r="Q1099" s="26">
        <v>3</v>
      </c>
      <c r="R1099" s="26">
        <v>2</v>
      </c>
      <c r="S1099" s="26">
        <v>8</v>
      </c>
      <c r="T1099" s="26">
        <v>2</v>
      </c>
      <c r="U1099" s="26">
        <v>12</v>
      </c>
      <c r="V1099" s="26">
        <v>1</v>
      </c>
      <c r="W1099" s="26"/>
    </row>
    <row r="1100" spans="1:23" x14ac:dyDescent="0.25">
      <c r="A1100" s="26" t="str">
        <f t="shared" si="184"/>
        <v>SECUNDARIA</v>
      </c>
      <c r="B1100" s="26" t="str">
        <f>"09PES0728L"</f>
        <v>09PES0728L</v>
      </c>
      <c r="C1100" s="26" t="str">
        <f>"""COLEGIO MONTEVERDE""                                                                                "</f>
        <v xml:space="preserve">"COLEGIO MONTEVERDE"                                                                                </v>
      </c>
      <c r="D1100" s="26" t="str">
        <f t="shared" si="185"/>
        <v>MATUTINO</v>
      </c>
      <c r="E1100" s="26" t="str">
        <f>"AVENIDA SANTA LUCIA NUM 260                                                     "</f>
        <v xml:space="preserve">AVENIDA SANTA LUCIA NUM 260                                                     </v>
      </c>
      <c r="F1100" s="26" t="str">
        <f>"CUAJIMALPA                                                                                                                                  "</f>
        <v xml:space="preserve">CUAJIMALPA                                                                                                                                  </v>
      </c>
      <c r="G1100" s="26" t="str">
        <f>"CUAJIMALPA DE MORELOS                                                           "</f>
        <v xml:space="preserve">CUAJIMALPA DE MORELOS                                                           </v>
      </c>
      <c r="H1100" s="26" t="str">
        <f>"024"</f>
        <v>024</v>
      </c>
      <c r="I1100" s="26" t="str">
        <f t="shared" si="186"/>
        <v>00</v>
      </c>
      <c r="J1100" s="26" t="str">
        <f>"53 "</f>
        <v xml:space="preserve">53 </v>
      </c>
      <c r="K1100" s="26" t="str">
        <f t="shared" si="182"/>
        <v>SG</v>
      </c>
      <c r="L1100" s="26" t="str">
        <f t="shared" si="183"/>
        <v>DGOSE</v>
      </c>
      <c r="M1100" s="26" t="str">
        <f t="shared" si="177"/>
        <v>PARTICULAR</v>
      </c>
      <c r="N1100" s="26">
        <v>135</v>
      </c>
      <c r="O1100" s="26">
        <v>0</v>
      </c>
      <c r="P1100" s="26">
        <v>135</v>
      </c>
      <c r="Q1100" s="26">
        <v>6</v>
      </c>
      <c r="R1100" s="26">
        <v>2</v>
      </c>
      <c r="S1100" s="26">
        <v>16</v>
      </c>
      <c r="T1100" s="26">
        <v>1</v>
      </c>
      <c r="U1100" s="26">
        <v>19</v>
      </c>
      <c r="V1100" s="26">
        <v>1</v>
      </c>
      <c r="W1100" s="26"/>
    </row>
    <row r="1101" spans="1:23" x14ac:dyDescent="0.25">
      <c r="A1101" s="26" t="str">
        <f t="shared" si="184"/>
        <v>SECUNDARIA</v>
      </c>
      <c r="B1101" s="26" t="str">
        <f>"09PES0729K"</f>
        <v>09PES0729K</v>
      </c>
      <c r="C1101" s="26" t="str">
        <f>"""COLEGIO S. JUAN PABLO II""                                                                          "</f>
        <v xml:space="preserve">"COLEGIO S. JUAN PABLO II"                                                                          </v>
      </c>
      <c r="D1101" s="26" t="str">
        <f t="shared" si="185"/>
        <v>MATUTINO</v>
      </c>
      <c r="E1101" s="26" t="str">
        <f>"EMILIANO ZAPATA NUM 366                                                         "</f>
        <v xml:space="preserve">EMILIANO ZAPATA NUM 366                                                         </v>
      </c>
      <c r="F1101" s="26" t="str">
        <f>"SANTA CRUZ ATOYAC                                                                                                                           "</f>
        <v xml:space="preserve">SANTA CRUZ ATOYAC                                                                                                                           </v>
      </c>
      <c r="G1101" s="26" t="str">
        <f>"BENITO JUAREZ                                                                   "</f>
        <v xml:space="preserve">BENITO JUAREZ                                                                   </v>
      </c>
      <c r="H1101" s="26" t="str">
        <f>"015"</f>
        <v>015</v>
      </c>
      <c r="I1101" s="26" t="str">
        <f t="shared" si="186"/>
        <v>00</v>
      </c>
      <c r="J1101" s="26" t="str">
        <f>"53 "</f>
        <v xml:space="preserve">53 </v>
      </c>
      <c r="K1101" s="26" t="str">
        <f t="shared" si="182"/>
        <v>SG</v>
      </c>
      <c r="L1101" s="26" t="str">
        <f t="shared" si="183"/>
        <v>DGOSE</v>
      </c>
      <c r="M1101" s="26" t="str">
        <f t="shared" si="177"/>
        <v>PARTICULAR</v>
      </c>
      <c r="N1101" s="26">
        <v>62</v>
      </c>
      <c r="O1101" s="26">
        <v>32</v>
      </c>
      <c r="P1101" s="26">
        <v>30</v>
      </c>
      <c r="Q1101" s="26">
        <v>3</v>
      </c>
      <c r="R1101" s="26">
        <v>2</v>
      </c>
      <c r="S1101" s="26">
        <v>11</v>
      </c>
      <c r="T1101" s="26">
        <v>3</v>
      </c>
      <c r="U1101" s="26">
        <v>16</v>
      </c>
      <c r="V1101" s="26">
        <v>1</v>
      </c>
      <c r="W1101" s="26"/>
    </row>
    <row r="1102" spans="1:23" x14ac:dyDescent="0.25">
      <c r="A1102" s="26" t="str">
        <f t="shared" si="184"/>
        <v>SECUNDARIA</v>
      </c>
      <c r="B1102" s="26" t="str">
        <f>"09PES0730Z"</f>
        <v>09PES0730Z</v>
      </c>
      <c r="C1102" s="26" t="str">
        <f>"INSTITUTO CULTURAL AMERICANO MEXICANO                                                               "</f>
        <v xml:space="preserve">INSTITUTO CULTURAL AMERICANO MEXICANO                                                               </v>
      </c>
      <c r="D1102" s="26" t="str">
        <f t="shared" si="185"/>
        <v>MATUTINO</v>
      </c>
      <c r="E1102" s="26" t="str">
        <f>"ANAHUAC NUM 180                                                                 "</f>
        <v xml:space="preserve">ANAHUAC NUM 180                                                                 </v>
      </c>
      <c r="F1102" s="26" t="str">
        <f>"EL  MIRADOR                                                                                                                                 "</f>
        <v xml:space="preserve">EL  MIRADOR                                                                                                                                 </v>
      </c>
      <c r="G1102" s="26" t="str">
        <f>"COYOACAN                                                                        "</f>
        <v xml:space="preserve">COYOACAN                                                                        </v>
      </c>
      <c r="H1102" s="26" t="str">
        <f>"021"</f>
        <v>021</v>
      </c>
      <c r="I1102" s="26" t="str">
        <f t="shared" si="186"/>
        <v>00</v>
      </c>
      <c r="J1102" s="26" t="str">
        <f>"54 "</f>
        <v xml:space="preserve">54 </v>
      </c>
      <c r="K1102" s="26" t="str">
        <f t="shared" si="182"/>
        <v>SG</v>
      </c>
      <c r="L1102" s="26" t="str">
        <f t="shared" si="183"/>
        <v>DGOSE</v>
      </c>
      <c r="M1102" s="26" t="str">
        <f t="shared" si="177"/>
        <v>PARTICULAR</v>
      </c>
      <c r="N1102" s="26">
        <v>140</v>
      </c>
      <c r="O1102" s="26">
        <v>71</v>
      </c>
      <c r="P1102" s="26">
        <v>69</v>
      </c>
      <c r="Q1102" s="26">
        <v>6</v>
      </c>
      <c r="R1102" s="26">
        <v>1</v>
      </c>
      <c r="S1102" s="26">
        <v>10</v>
      </c>
      <c r="T1102" s="26">
        <v>2</v>
      </c>
      <c r="U1102" s="26">
        <v>13</v>
      </c>
      <c r="V1102" s="26">
        <v>1</v>
      </c>
      <c r="W1102" s="26"/>
    </row>
    <row r="1103" spans="1:23" x14ac:dyDescent="0.25">
      <c r="A1103" s="26" t="str">
        <f t="shared" si="184"/>
        <v>SECUNDARIA</v>
      </c>
      <c r="B1103" s="26" t="str">
        <f>"09PES0731Z"</f>
        <v>09PES0731Z</v>
      </c>
      <c r="C1103" s="26" t="str">
        <f>"COLEGIO ""PREMIO NOBEL DE LA PAZ""                                                                    "</f>
        <v xml:space="preserve">COLEGIO "PREMIO NOBEL DE LA PAZ"                                                                    </v>
      </c>
      <c r="D1103" s="26" t="str">
        <f t="shared" si="185"/>
        <v>MATUTINO</v>
      </c>
      <c r="E1103" s="26" t="str">
        <f>"AV NOE NUM 42                                                                   "</f>
        <v xml:space="preserve">AV NOE NUM 42                                                                   </v>
      </c>
      <c r="F1103" s="26" t="str">
        <f>"GUADALUPE TEPEYAC                                                                                                                           "</f>
        <v xml:space="preserve">GUADALUPE TEPEYAC                                                                                                                           </v>
      </c>
      <c r="G1103" s="26" t="str">
        <f>"GUSTAVO A. MADERO                                                               "</f>
        <v xml:space="preserve">GUSTAVO A. MADERO                                                               </v>
      </c>
      <c r="H1103" s="26" t="str">
        <f>"034"</f>
        <v>034</v>
      </c>
      <c r="I1103" s="26" t="str">
        <f t="shared" si="186"/>
        <v>00</v>
      </c>
      <c r="J1103" s="26" t="str">
        <f>"52 "</f>
        <v xml:space="preserve">52 </v>
      </c>
      <c r="K1103" s="26" t="str">
        <f t="shared" si="182"/>
        <v>SG</v>
      </c>
      <c r="L1103" s="26" t="str">
        <f t="shared" si="183"/>
        <v>DGOSE</v>
      </c>
      <c r="M1103" s="26" t="str">
        <f t="shared" si="177"/>
        <v>PARTICULAR</v>
      </c>
      <c r="N1103" s="26">
        <v>118</v>
      </c>
      <c r="O1103" s="26">
        <v>59</v>
      </c>
      <c r="P1103" s="26">
        <v>59</v>
      </c>
      <c r="Q1103" s="26">
        <v>5</v>
      </c>
      <c r="R1103" s="26">
        <v>2</v>
      </c>
      <c r="S1103" s="26">
        <v>10</v>
      </c>
      <c r="T1103" s="26">
        <v>1</v>
      </c>
      <c r="U1103" s="26">
        <v>13</v>
      </c>
      <c r="V1103" s="26">
        <v>1</v>
      </c>
      <c r="W1103" s="26"/>
    </row>
    <row r="1104" spans="1:23" x14ac:dyDescent="0.25">
      <c r="A1104" s="26" t="str">
        <f t="shared" si="184"/>
        <v>SECUNDARIA</v>
      </c>
      <c r="B1104" s="26" t="str">
        <f>"09PES0732Y"</f>
        <v>09PES0732Y</v>
      </c>
      <c r="C1104" s="26" t="str">
        <f>"""COLEGIO INSURGENTES""                                                                               "</f>
        <v xml:space="preserve">"COLEGIO INSURGENTES"                                                                               </v>
      </c>
      <c r="D1104" s="26" t="str">
        <f t="shared" si="185"/>
        <v>MATUTINO</v>
      </c>
      <c r="E1104" s="26" t="str">
        <f>"CALZADA DE TLALPAN NO 1148                                                      "</f>
        <v xml:space="preserve">CALZADA DE TLALPAN NO 1148                                                      </v>
      </c>
      <c r="F1104" s="26" t="str">
        <f>"ZACAHUITZCO                                                                                                                                 "</f>
        <v xml:space="preserve">ZACAHUITZCO                                                                                                                                 </v>
      </c>
      <c r="G1104" s="26" t="str">
        <f>"BENITO JUAREZ                                                                   "</f>
        <v xml:space="preserve">BENITO JUAREZ                                                                   </v>
      </c>
      <c r="H1104" s="26" t="str">
        <f>"015"</f>
        <v>015</v>
      </c>
      <c r="I1104" s="26" t="str">
        <f t="shared" si="186"/>
        <v>00</v>
      </c>
      <c r="J1104" s="26" t="str">
        <f>"53 "</f>
        <v xml:space="preserve">53 </v>
      </c>
      <c r="K1104" s="26" t="str">
        <f t="shared" si="182"/>
        <v>SG</v>
      </c>
      <c r="L1104" s="26" t="str">
        <f t="shared" si="183"/>
        <v>DGOSE</v>
      </c>
      <c r="M1104" s="26" t="str">
        <f t="shared" si="177"/>
        <v>PARTICULAR</v>
      </c>
      <c r="N1104" s="26">
        <v>114</v>
      </c>
      <c r="O1104" s="26">
        <v>71</v>
      </c>
      <c r="P1104" s="26">
        <v>43</v>
      </c>
      <c r="Q1104" s="26">
        <v>4</v>
      </c>
      <c r="R1104" s="26">
        <v>2</v>
      </c>
      <c r="S1104" s="26">
        <v>10</v>
      </c>
      <c r="T1104" s="26">
        <v>1</v>
      </c>
      <c r="U1104" s="26">
        <v>13</v>
      </c>
      <c r="V1104" s="26">
        <v>1</v>
      </c>
      <c r="W1104" s="26"/>
    </row>
    <row r="1105" spans="1:23" x14ac:dyDescent="0.25">
      <c r="A1105" s="26" t="str">
        <f t="shared" si="184"/>
        <v>SECUNDARIA</v>
      </c>
      <c r="B1105" s="26" t="str">
        <f>"09PES0733X"</f>
        <v>09PES0733X</v>
      </c>
      <c r="C1105" s="26" t="str">
        <f>"""COLEGIO RENACIMIENTO DEL SUR""                                                                      "</f>
        <v xml:space="preserve">"COLEGIO RENACIMIENTO DEL SUR"                                                                      </v>
      </c>
      <c r="D1105" s="26" t="str">
        <f t="shared" si="185"/>
        <v>MATUTINO</v>
      </c>
      <c r="E1105" s="26" t="str">
        <f>"ANTIGUA CARRETERA XOCHIMILCO TULYEHUALCO NUM 694                                "</f>
        <v xml:space="preserve">ANTIGUA CARRETERA XOCHIMILCO TULYEHUALCO NUM 694                                </v>
      </c>
      <c r="F1105" s="26" t="str">
        <f>"SANTA MARIA NATIVITAS                                                                                                                       "</f>
        <v xml:space="preserve">SANTA MARIA NATIVITAS                                                                                                                       </v>
      </c>
      <c r="G1105" s="26" t="str">
        <f>"XOCHIMILCO                                                                      "</f>
        <v xml:space="preserve">XOCHIMILCO                                                                      </v>
      </c>
      <c r="H1105" s="26" t="str">
        <f>"081"</f>
        <v>081</v>
      </c>
      <c r="I1105" s="26" t="str">
        <f t="shared" si="186"/>
        <v>00</v>
      </c>
      <c r="J1105" s="26" t="str">
        <f>"55 "</f>
        <v xml:space="preserve">55 </v>
      </c>
      <c r="K1105" s="26" t="str">
        <f t="shared" si="182"/>
        <v>SG</v>
      </c>
      <c r="L1105" s="26" t="str">
        <f t="shared" si="183"/>
        <v>DGOSE</v>
      </c>
      <c r="M1105" s="26" t="str">
        <f t="shared" si="177"/>
        <v>PARTICULAR</v>
      </c>
      <c r="N1105" s="26">
        <v>50</v>
      </c>
      <c r="O1105" s="26">
        <v>24</v>
      </c>
      <c r="P1105" s="26">
        <v>26</v>
      </c>
      <c r="Q1105" s="26">
        <v>3</v>
      </c>
      <c r="R1105" s="26">
        <v>0</v>
      </c>
      <c r="S1105" s="26">
        <v>9</v>
      </c>
      <c r="T1105" s="26">
        <v>0</v>
      </c>
      <c r="U1105" s="26">
        <v>9</v>
      </c>
      <c r="V1105" s="26">
        <v>1</v>
      </c>
      <c r="W1105" s="26"/>
    </row>
    <row r="1106" spans="1:23" x14ac:dyDescent="0.25">
      <c r="A1106" s="26" t="str">
        <f t="shared" si="184"/>
        <v>SECUNDARIA</v>
      </c>
      <c r="B1106" s="26" t="str">
        <f>"09PES0736U"</f>
        <v>09PES0736U</v>
      </c>
      <c r="C1106" s="26" t="str">
        <f>"""MONTE ROSA""                                                                                        "</f>
        <v xml:space="preserve">"MONTE ROSA"                                                                                        </v>
      </c>
      <c r="D1106" s="26" t="str">
        <f t="shared" si="185"/>
        <v>MATUTINO</v>
      </c>
      <c r="E1106" s="26" t="str">
        <f>"GENARO GARCIA NUM 125                                                           "</f>
        <v xml:space="preserve">GENARO GARCIA NUM 125                                                           </v>
      </c>
      <c r="F1106" s="26" t="str">
        <f>"MORELOS                                                                                                                                     "</f>
        <v xml:space="preserve">MORELOS                                                                                                                                     </v>
      </c>
      <c r="G1106" s="26" t="str">
        <f>"VENUSTIANO CARRANZA                                                             "</f>
        <v xml:space="preserve">VENUSTIANO CARRANZA                                                             </v>
      </c>
      <c r="H1106" s="26" t="str">
        <f>"078"</f>
        <v>078</v>
      </c>
      <c r="I1106" s="26" t="str">
        <f t="shared" si="186"/>
        <v>00</v>
      </c>
      <c r="J1106" s="26" t="str">
        <f>"54 "</f>
        <v xml:space="preserve">54 </v>
      </c>
      <c r="K1106" s="26" t="str">
        <f t="shared" si="182"/>
        <v>SG</v>
      </c>
      <c r="L1106" s="26" t="str">
        <f t="shared" si="183"/>
        <v>DGOSE</v>
      </c>
      <c r="M1106" s="26" t="str">
        <f t="shared" si="177"/>
        <v>PARTICULAR</v>
      </c>
      <c r="N1106" s="26">
        <v>69</v>
      </c>
      <c r="O1106" s="26">
        <v>30</v>
      </c>
      <c r="P1106" s="26">
        <v>39</v>
      </c>
      <c r="Q1106" s="26">
        <v>5</v>
      </c>
      <c r="R1106" s="26">
        <v>1</v>
      </c>
      <c r="S1106" s="26">
        <v>11</v>
      </c>
      <c r="T1106" s="26">
        <v>3</v>
      </c>
      <c r="U1106" s="26">
        <v>15</v>
      </c>
      <c r="V1106" s="26">
        <v>1</v>
      </c>
      <c r="W1106" s="26"/>
    </row>
    <row r="1107" spans="1:23" x14ac:dyDescent="0.25">
      <c r="A1107" s="26" t="str">
        <f t="shared" si="184"/>
        <v>SECUNDARIA</v>
      </c>
      <c r="B1107" s="26" t="str">
        <f>"09PES0739R"</f>
        <v>09PES0739R</v>
      </c>
      <c r="C1107" s="26" t="str">
        <f>"INSTITUTO ANTOINE HENRI BECQUEREL                                                                   "</f>
        <v xml:space="preserve">INSTITUTO ANTOINE HENRI BECQUEREL                                                                   </v>
      </c>
      <c r="D1107" s="26" t="str">
        <f t="shared" si="185"/>
        <v>MATUTINO</v>
      </c>
      <c r="E1107" s="26" t="str">
        <f>"JUAN ANDREW ALMAZAN NUMERO 82                                                   "</f>
        <v xml:space="preserve">JUAN ANDREW ALMAZAN NUMERO 82                                                   </v>
      </c>
      <c r="F1107" s="26" t="str">
        <f>"OJO DE AGUA                                                                                                                                 "</f>
        <v xml:space="preserve">OJO DE AGUA                                                                                                                                 </v>
      </c>
      <c r="G1107" s="26" t="str">
        <f>"TLAHUAC                                                                         "</f>
        <v xml:space="preserve">TLAHUAC                                                                         </v>
      </c>
      <c r="H1107" s="26" t="str">
        <f>"067"</f>
        <v>067</v>
      </c>
      <c r="I1107" s="26" t="str">
        <f t="shared" si="186"/>
        <v>00</v>
      </c>
      <c r="J1107" s="26" t="str">
        <f>"55 "</f>
        <v xml:space="preserve">55 </v>
      </c>
      <c r="K1107" s="26" t="str">
        <f t="shared" si="182"/>
        <v>SG</v>
      </c>
      <c r="L1107" s="26" t="str">
        <f t="shared" si="183"/>
        <v>DGOSE</v>
      </c>
      <c r="M1107" s="26" t="str">
        <f t="shared" si="177"/>
        <v>PARTICULAR</v>
      </c>
      <c r="N1107" s="26">
        <v>62</v>
      </c>
      <c r="O1107" s="26">
        <v>29</v>
      </c>
      <c r="P1107" s="26">
        <v>33</v>
      </c>
      <c r="Q1107" s="26">
        <v>4</v>
      </c>
      <c r="R1107" s="26">
        <v>2</v>
      </c>
      <c r="S1107" s="26">
        <v>11</v>
      </c>
      <c r="T1107" s="26">
        <v>2</v>
      </c>
      <c r="U1107" s="26">
        <v>15</v>
      </c>
      <c r="V1107" s="26">
        <v>1</v>
      </c>
      <c r="W1107" s="26"/>
    </row>
    <row r="1108" spans="1:23" x14ac:dyDescent="0.25">
      <c r="A1108" s="26" t="str">
        <f t="shared" si="184"/>
        <v>SECUNDARIA</v>
      </c>
      <c r="B1108" s="26" t="str">
        <f>"09PES0741F"</f>
        <v>09PES0741F</v>
      </c>
      <c r="C1108" s="26" t="str">
        <f>"""INSTITUTO OXFORD""                                                                                  "</f>
        <v xml:space="preserve">"INSTITUTO OXFORD"                                                                                  </v>
      </c>
      <c r="D1108" s="26" t="str">
        <f t="shared" si="185"/>
        <v>MATUTINO</v>
      </c>
      <c r="E1108" s="26" t="str">
        <f>"AVENIDA DE LAS TORRES NUM 131                                                   "</f>
        <v xml:space="preserve">AVENIDA DE LAS TORRES NUM 131                                                   </v>
      </c>
      <c r="F1108" s="26" t="str">
        <f>"TORRES DE POTRERO                                                                                                                           "</f>
        <v xml:space="preserve">TORRES DE POTRERO                                                                                                                           </v>
      </c>
      <c r="G1108" s="26" t="str">
        <f>"ALVARO OBREGON                                                                  "</f>
        <v xml:space="preserve">ALVARO OBREGON                                                                  </v>
      </c>
      <c r="H1108" s="26" t="str">
        <f>"002"</f>
        <v>002</v>
      </c>
      <c r="I1108" s="26" t="str">
        <f t="shared" si="186"/>
        <v>00</v>
      </c>
      <c r="J1108" s="26" t="str">
        <f>"53 "</f>
        <v xml:space="preserve">53 </v>
      </c>
      <c r="K1108" s="26" t="str">
        <f t="shared" si="182"/>
        <v>SG</v>
      </c>
      <c r="L1108" s="26" t="str">
        <f t="shared" si="183"/>
        <v>DGOSE</v>
      </c>
      <c r="M1108" s="26" t="str">
        <f t="shared" si="177"/>
        <v>PARTICULAR</v>
      </c>
      <c r="N1108" s="26">
        <v>146</v>
      </c>
      <c r="O1108" s="26">
        <v>146</v>
      </c>
      <c r="P1108" s="26">
        <v>0</v>
      </c>
      <c r="Q1108" s="26">
        <v>6</v>
      </c>
      <c r="R1108" s="26">
        <v>2</v>
      </c>
      <c r="S1108" s="26">
        <v>13</v>
      </c>
      <c r="T1108" s="26">
        <v>11</v>
      </c>
      <c r="U1108" s="26">
        <v>26</v>
      </c>
      <c r="V1108" s="26">
        <v>1</v>
      </c>
      <c r="W1108" s="26"/>
    </row>
    <row r="1109" spans="1:23" x14ac:dyDescent="0.25">
      <c r="A1109" s="26" t="str">
        <f t="shared" si="184"/>
        <v>SECUNDARIA</v>
      </c>
      <c r="B1109" s="26" t="str">
        <f>"09PES0742E"</f>
        <v>09PES0742E</v>
      </c>
      <c r="C1109" s="26" t="str">
        <f>"COLEGIO CELESTIN FREINET                                                                            "</f>
        <v xml:space="preserve">COLEGIO CELESTIN FREINET                                                                            </v>
      </c>
      <c r="D1109" s="26" t="str">
        <f t="shared" si="185"/>
        <v>MATUTINO</v>
      </c>
      <c r="E1109" s="26" t="str">
        <f>"ANILLO PERIFERICO NUM. 185                                                      "</f>
        <v xml:space="preserve">ANILLO PERIFERICO NUM. 185                                                      </v>
      </c>
      <c r="F1109" s="26" t="str">
        <f>"CONSTITUCION 1917                                                                                                                           "</f>
        <v xml:space="preserve">CONSTITUCION 1917                                                                                                                           </v>
      </c>
      <c r="G1109" s="26" t="str">
        <f>"IZTAPALAPA                                                                      "</f>
        <v xml:space="preserve">IZTAPALAPA                                                                      </v>
      </c>
      <c r="H1109" s="26" t="str">
        <f>"000"</f>
        <v>000</v>
      </c>
      <c r="I1109" s="26" t="str">
        <f t="shared" si="186"/>
        <v>00</v>
      </c>
      <c r="J1109" s="26" t="str">
        <f>"64 "</f>
        <v xml:space="preserve">64 </v>
      </c>
      <c r="K1109" s="26" t="str">
        <f>"IZ"</f>
        <v>IZ</v>
      </c>
      <c r="L1109" s="26" t="str">
        <f>"DGSEI"</f>
        <v>DGSEI</v>
      </c>
      <c r="M1109" s="26" t="str">
        <f t="shared" ref="M1109:M1172" si="187">"PARTICULAR"</f>
        <v>PARTICULAR</v>
      </c>
      <c r="N1109" s="26">
        <v>107</v>
      </c>
      <c r="O1109" s="26">
        <v>52</v>
      </c>
      <c r="P1109" s="26">
        <v>55</v>
      </c>
      <c r="Q1109" s="26">
        <v>4</v>
      </c>
      <c r="R1109" s="26">
        <v>2</v>
      </c>
      <c r="S1109" s="26">
        <v>15</v>
      </c>
      <c r="T1109" s="26">
        <v>2</v>
      </c>
      <c r="U1109" s="26">
        <v>19</v>
      </c>
      <c r="V1109" s="26">
        <v>1</v>
      </c>
      <c r="W1109" s="26"/>
    </row>
    <row r="1110" spans="1:23" x14ac:dyDescent="0.25">
      <c r="A1110" s="26" t="str">
        <f t="shared" si="184"/>
        <v>SECUNDARIA</v>
      </c>
      <c r="B1110" s="26" t="str">
        <f>"09PES0743D"</f>
        <v>09PES0743D</v>
      </c>
      <c r="C1110" s="26" t="str">
        <f>"ESCUELA MIRAVALLES                                                                                  "</f>
        <v xml:space="preserve">ESCUELA MIRAVALLES                                                                                  </v>
      </c>
      <c r="D1110" s="26" t="str">
        <f t="shared" si="185"/>
        <v>MATUTINO</v>
      </c>
      <c r="E1110" s="26" t="str">
        <f>"DURAZNOS MZ. 474 LT. 13                                                         "</f>
        <v xml:space="preserve">DURAZNOS MZ. 474 LT. 13                                                         </v>
      </c>
      <c r="F1110" s="26" t="str">
        <f>"MIRAVALLE                                                                                                                                   "</f>
        <v xml:space="preserve">MIRAVALLE                                                                                                                                   </v>
      </c>
      <c r="G1110" s="26" t="str">
        <f>"IZTAPALAPA                                                                      "</f>
        <v xml:space="preserve">IZTAPALAPA                                                                      </v>
      </c>
      <c r="H1110" s="26" t="str">
        <f>"000"</f>
        <v>000</v>
      </c>
      <c r="I1110" s="26" t="str">
        <f t="shared" si="186"/>
        <v>00</v>
      </c>
      <c r="J1110" s="26" t="str">
        <f>"64 "</f>
        <v xml:space="preserve">64 </v>
      </c>
      <c r="K1110" s="26" t="str">
        <f>"IZ"</f>
        <v>IZ</v>
      </c>
      <c r="L1110" s="26" t="str">
        <f>"DGSEI"</f>
        <v>DGSEI</v>
      </c>
      <c r="M1110" s="26" t="str">
        <f t="shared" si="187"/>
        <v>PARTICULAR</v>
      </c>
      <c r="N1110" s="26">
        <v>243</v>
      </c>
      <c r="O1110" s="26">
        <v>135</v>
      </c>
      <c r="P1110" s="26">
        <v>108</v>
      </c>
      <c r="Q1110" s="26">
        <v>8</v>
      </c>
      <c r="R1110" s="26">
        <v>1</v>
      </c>
      <c r="S1110" s="26">
        <v>12</v>
      </c>
      <c r="T1110" s="26">
        <v>10</v>
      </c>
      <c r="U1110" s="26">
        <v>23</v>
      </c>
      <c r="V1110" s="26">
        <v>1</v>
      </c>
      <c r="W1110" s="26"/>
    </row>
    <row r="1111" spans="1:23" x14ac:dyDescent="0.25">
      <c r="A1111" s="26" t="str">
        <f t="shared" si="184"/>
        <v>SECUNDARIA</v>
      </c>
      <c r="B1111" s="26" t="str">
        <f>"09PES0744C"</f>
        <v>09PES0744C</v>
      </c>
      <c r="C1111" s="26" t="str">
        <f>"GRAL. GRACILIANO ALPUCHE PINZON                                                                     "</f>
        <v xml:space="preserve">GRAL. GRACILIANO ALPUCHE PINZON                                                                     </v>
      </c>
      <c r="D1111" s="26" t="str">
        <f t="shared" si="185"/>
        <v>MATUTINO</v>
      </c>
      <c r="E1111" s="26" t="str">
        <f>"CALLE 6 NO. 178                                                                 "</f>
        <v xml:space="preserve">CALLE 6 NO. 178                                                                 </v>
      </c>
      <c r="F1111" s="26" t="str">
        <f>"GRANJAS SAN ANTONIO                                                                                                                         "</f>
        <v xml:space="preserve">GRANJAS SAN ANTONIO                                                                                                                         </v>
      </c>
      <c r="G1111" s="26" t="str">
        <f>"IZTAPALAPA                                                                      "</f>
        <v xml:space="preserve">IZTAPALAPA                                                                      </v>
      </c>
      <c r="H1111" s="26" t="str">
        <f>"000"</f>
        <v>000</v>
      </c>
      <c r="I1111" s="26" t="str">
        <f t="shared" si="186"/>
        <v>00</v>
      </c>
      <c r="J1111" s="26" t="str">
        <f>"61 "</f>
        <v xml:space="preserve">61 </v>
      </c>
      <c r="K1111" s="26" t="str">
        <f>"IZ"</f>
        <v>IZ</v>
      </c>
      <c r="L1111" s="26" t="str">
        <f>"DGSEI"</f>
        <v>DGSEI</v>
      </c>
      <c r="M1111" s="26" t="str">
        <f t="shared" si="187"/>
        <v>PARTICULAR</v>
      </c>
      <c r="N1111" s="26">
        <v>62</v>
      </c>
      <c r="O1111" s="26">
        <v>33</v>
      </c>
      <c r="P1111" s="26">
        <v>29</v>
      </c>
      <c r="Q1111" s="26">
        <v>3</v>
      </c>
      <c r="R1111" s="26">
        <v>1</v>
      </c>
      <c r="S1111" s="26">
        <v>6</v>
      </c>
      <c r="T1111" s="26">
        <v>2</v>
      </c>
      <c r="U1111" s="26">
        <v>9</v>
      </c>
      <c r="V1111" s="26">
        <v>1</v>
      </c>
      <c r="W1111" s="26"/>
    </row>
    <row r="1112" spans="1:23" x14ac:dyDescent="0.25">
      <c r="A1112" s="26" t="str">
        <f t="shared" si="184"/>
        <v>SECUNDARIA</v>
      </c>
      <c r="B1112" s="26" t="str">
        <f>"09PES0745B"</f>
        <v>09PES0745B</v>
      </c>
      <c r="C1112" s="26" t="str">
        <f>"""ATENEA""                                                                                            "</f>
        <v xml:space="preserve">"ATENEA"                                                                                            </v>
      </c>
      <c r="D1112" s="26" t="str">
        <f t="shared" si="185"/>
        <v>MATUTINO</v>
      </c>
      <c r="E1112" s="26" t="str">
        <f>"UBICADO EN CALLE TRIGALES NUM 42                                                "</f>
        <v xml:space="preserve">UBICADO EN CALLE TRIGALES NUM 42                                                </v>
      </c>
      <c r="F1112" s="26" t="str">
        <f>"RESIDENCIAL EX-HACIENDA COAPA                                                                                                               "</f>
        <v xml:space="preserve">RESIDENCIAL EX-HACIENDA COAPA                                                                                                               </v>
      </c>
      <c r="G1112" s="26" t="str">
        <f>"TLALPAN                                                                         "</f>
        <v xml:space="preserve">TLALPAN                                                                         </v>
      </c>
      <c r="H1112" s="26" t="str">
        <f>"073"</f>
        <v>073</v>
      </c>
      <c r="I1112" s="26" t="str">
        <f t="shared" si="186"/>
        <v>00</v>
      </c>
      <c r="J1112" s="26" t="str">
        <f>"55 "</f>
        <v xml:space="preserve">55 </v>
      </c>
      <c r="K1112" s="26" t="str">
        <f t="shared" ref="K1112:K1118" si="188">"SG"</f>
        <v>SG</v>
      </c>
      <c r="L1112" s="26" t="str">
        <f t="shared" ref="L1112:L1118" si="189">"DGOSE"</f>
        <v>DGOSE</v>
      </c>
      <c r="M1112" s="26" t="str">
        <f t="shared" si="187"/>
        <v>PARTICULAR</v>
      </c>
      <c r="N1112" s="26">
        <v>94</v>
      </c>
      <c r="O1112" s="26">
        <v>46</v>
      </c>
      <c r="P1112" s="26">
        <v>48</v>
      </c>
      <c r="Q1112" s="26">
        <v>3</v>
      </c>
      <c r="R1112" s="26">
        <v>2</v>
      </c>
      <c r="S1112" s="26">
        <v>9</v>
      </c>
      <c r="T1112" s="26">
        <v>1</v>
      </c>
      <c r="U1112" s="26">
        <v>12</v>
      </c>
      <c r="V1112" s="26">
        <v>1</v>
      </c>
      <c r="W1112" s="26"/>
    </row>
    <row r="1113" spans="1:23" x14ac:dyDescent="0.25">
      <c r="A1113" s="26" t="str">
        <f t="shared" si="184"/>
        <v>SECUNDARIA</v>
      </c>
      <c r="B1113" s="26" t="str">
        <f>"09PES0747Z"</f>
        <v>09PES0747Z</v>
      </c>
      <c r="C1113" s="26" t="str">
        <f>"""DIEGO RIVERA""                                                                                      "</f>
        <v xml:space="preserve">"DIEGO RIVERA"                                                                                      </v>
      </c>
      <c r="D1113" s="26" t="str">
        <f t="shared" si="185"/>
        <v>MATUTINO</v>
      </c>
      <c r="E1113" s="26" t="str">
        <f>"AV TAMAULIPAS NUM 1290                                                          "</f>
        <v xml:space="preserve">AV TAMAULIPAS NUM 1290                                                          </v>
      </c>
      <c r="F1113" s="26" t="str">
        <f>"CORPUS CHRISTI                                                                                                                              "</f>
        <v xml:space="preserve">CORPUS CHRISTI                                                                                                                              </v>
      </c>
      <c r="G1113" s="26" t="str">
        <f>"ALVARO OBREGON                                                                  "</f>
        <v xml:space="preserve">ALVARO OBREGON                                                                  </v>
      </c>
      <c r="H1113" s="26" t="str">
        <f>"005"</f>
        <v>005</v>
      </c>
      <c r="I1113" s="26" t="str">
        <f t="shared" si="186"/>
        <v>00</v>
      </c>
      <c r="J1113" s="26" t="str">
        <f>"53 "</f>
        <v xml:space="preserve">53 </v>
      </c>
      <c r="K1113" s="26" t="str">
        <f t="shared" si="188"/>
        <v>SG</v>
      </c>
      <c r="L1113" s="26" t="str">
        <f t="shared" si="189"/>
        <v>DGOSE</v>
      </c>
      <c r="M1113" s="26" t="str">
        <f t="shared" si="187"/>
        <v>PARTICULAR</v>
      </c>
      <c r="N1113" s="26">
        <v>64</v>
      </c>
      <c r="O1113" s="26">
        <v>39</v>
      </c>
      <c r="P1113" s="26">
        <v>25</v>
      </c>
      <c r="Q1113" s="26">
        <v>3</v>
      </c>
      <c r="R1113" s="26">
        <v>1</v>
      </c>
      <c r="S1113" s="26">
        <v>14</v>
      </c>
      <c r="T1113" s="26">
        <v>3</v>
      </c>
      <c r="U1113" s="26">
        <v>18</v>
      </c>
      <c r="V1113" s="26">
        <v>1</v>
      </c>
      <c r="W1113" s="26"/>
    </row>
    <row r="1114" spans="1:23" x14ac:dyDescent="0.25">
      <c r="A1114" s="26" t="str">
        <f t="shared" si="184"/>
        <v>SECUNDARIA</v>
      </c>
      <c r="B1114" s="26" t="str">
        <f>"09PES0749Y"</f>
        <v>09PES0749Y</v>
      </c>
      <c r="C1114" s="26" t="str">
        <f>"""MIGUEL HIDALGO""                                                                                    "</f>
        <v xml:space="preserve">"MIGUEL HIDALGO"                                                                                    </v>
      </c>
      <c r="D1114" s="26" t="str">
        <f t="shared" si="185"/>
        <v>MATUTINO</v>
      </c>
      <c r="E1114" s="26" t="str">
        <f>"ITURBIDE PONIENTE NO. 127                                                       "</f>
        <v xml:space="preserve">ITURBIDE PONIENTE NO. 127                                                       </v>
      </c>
      <c r="F1114" s="26" t="str">
        <f>"SAN ANTONIO TECOMITL                                                                                                                        "</f>
        <v xml:space="preserve">SAN ANTONIO TECOMITL                                                                                                                        </v>
      </c>
      <c r="G1114" s="26" t="str">
        <f>"MILPA ALTA                                                                      "</f>
        <v xml:space="preserve">MILPA ALTA                                                                      </v>
      </c>
      <c r="H1114" s="26" t="str">
        <f>"066"</f>
        <v>066</v>
      </c>
      <c r="I1114" s="26" t="str">
        <f t="shared" si="186"/>
        <v>00</v>
      </c>
      <c r="J1114" s="26" t="str">
        <f>"55 "</f>
        <v xml:space="preserve">55 </v>
      </c>
      <c r="K1114" s="26" t="str">
        <f t="shared" si="188"/>
        <v>SG</v>
      </c>
      <c r="L1114" s="26" t="str">
        <f t="shared" si="189"/>
        <v>DGOSE</v>
      </c>
      <c r="M1114" s="26" t="str">
        <f t="shared" si="187"/>
        <v>PARTICULAR</v>
      </c>
      <c r="N1114" s="26">
        <v>40</v>
      </c>
      <c r="O1114" s="26">
        <v>21</v>
      </c>
      <c r="P1114" s="26">
        <v>19</v>
      </c>
      <c r="Q1114" s="26">
        <v>3</v>
      </c>
      <c r="R1114" s="26">
        <v>1</v>
      </c>
      <c r="S1114" s="26">
        <v>11</v>
      </c>
      <c r="T1114" s="26">
        <v>3</v>
      </c>
      <c r="U1114" s="26">
        <v>15</v>
      </c>
      <c r="V1114" s="26">
        <v>1</v>
      </c>
      <c r="W1114" s="26"/>
    </row>
    <row r="1115" spans="1:23" x14ac:dyDescent="0.25">
      <c r="A1115" s="26" t="str">
        <f t="shared" si="184"/>
        <v>SECUNDARIA</v>
      </c>
      <c r="B1115" s="26" t="str">
        <f>"09PES0750N"</f>
        <v>09PES0750N</v>
      </c>
      <c r="C1115" s="26" t="str">
        <f>"""INSTITUTO ANGLO ESPAÑOL""                                                                           "</f>
        <v xml:space="preserve">"INSTITUTO ANGLO ESPAÑOL"                                                                           </v>
      </c>
      <c r="D1115" s="26" t="str">
        <f t="shared" si="185"/>
        <v>MATUTINO</v>
      </c>
      <c r="E1115" s="26" t="str">
        <f>"SADI CARNOT NUM 13                                                              "</f>
        <v xml:space="preserve">SADI CARNOT NUM 13                                                              </v>
      </c>
      <c r="F1115" s="26" t="str">
        <f>"SAN RAFAEL                                                                                                                                  "</f>
        <v xml:space="preserve">SAN RAFAEL                                                                                                                                  </v>
      </c>
      <c r="G1115" s="26" t="str">
        <f>"CUAUHTEMOC                                                                      "</f>
        <v xml:space="preserve">CUAUHTEMOC                                                                      </v>
      </c>
      <c r="H1115" s="26" t="str">
        <f>"027"</f>
        <v>027</v>
      </c>
      <c r="I1115" s="26" t="str">
        <f t="shared" si="186"/>
        <v>00</v>
      </c>
      <c r="J1115" s="26" t="str">
        <f>"51 "</f>
        <v xml:space="preserve">51 </v>
      </c>
      <c r="K1115" s="26" t="str">
        <f t="shared" si="188"/>
        <v>SG</v>
      </c>
      <c r="L1115" s="26" t="str">
        <f t="shared" si="189"/>
        <v>DGOSE</v>
      </c>
      <c r="M1115" s="26" t="str">
        <f t="shared" si="187"/>
        <v>PARTICULAR</v>
      </c>
      <c r="N1115" s="26">
        <v>178</v>
      </c>
      <c r="O1115" s="26">
        <v>83</v>
      </c>
      <c r="P1115" s="26">
        <v>95</v>
      </c>
      <c r="Q1115" s="26">
        <v>7</v>
      </c>
      <c r="R1115" s="26">
        <v>1</v>
      </c>
      <c r="S1115" s="26">
        <v>13</v>
      </c>
      <c r="T1115" s="26">
        <v>8</v>
      </c>
      <c r="U1115" s="26">
        <v>22</v>
      </c>
      <c r="V1115" s="26">
        <v>1</v>
      </c>
      <c r="W1115" s="26"/>
    </row>
    <row r="1116" spans="1:23" x14ac:dyDescent="0.25">
      <c r="A1116" s="26" t="str">
        <f t="shared" si="184"/>
        <v>SECUNDARIA</v>
      </c>
      <c r="B1116" s="26" t="str">
        <f>"09PES0751M"</f>
        <v>09PES0751M</v>
      </c>
      <c r="C1116" s="26" t="str">
        <f>"""COLEGIO AXAYACATL""                                                                                 "</f>
        <v xml:space="preserve">"COLEGIO AXAYACATL"                                                                                 </v>
      </c>
      <c r="D1116" s="26" t="str">
        <f t="shared" si="185"/>
        <v>MATUTINO</v>
      </c>
      <c r="E1116" s="26" t="str">
        <f>"AVENIDA CIRCUNVALACION NO. 427                                                  "</f>
        <v xml:space="preserve">AVENIDA CIRCUNVALACION NO. 427                                                  </v>
      </c>
      <c r="F1116" s="26" t="str">
        <f>"CUCHILLA PANTITLAN                                                                                                                          "</f>
        <v xml:space="preserve">CUCHILLA PANTITLAN                                                                                                                          </v>
      </c>
      <c r="G1116" s="26" t="str">
        <f>"VENUSTIANO CARRANZA                                                             "</f>
        <v xml:space="preserve">VENUSTIANO CARRANZA                                                             </v>
      </c>
      <c r="H1116" s="26" t="str">
        <f>"077"</f>
        <v>077</v>
      </c>
      <c r="I1116" s="26" t="str">
        <f t="shared" si="186"/>
        <v>00</v>
      </c>
      <c r="J1116" s="26" t="str">
        <f>"54 "</f>
        <v xml:space="preserve">54 </v>
      </c>
      <c r="K1116" s="26" t="str">
        <f t="shared" si="188"/>
        <v>SG</v>
      </c>
      <c r="L1116" s="26" t="str">
        <f t="shared" si="189"/>
        <v>DGOSE</v>
      </c>
      <c r="M1116" s="26" t="str">
        <f t="shared" si="187"/>
        <v>PARTICULAR</v>
      </c>
      <c r="N1116" s="26">
        <v>79</v>
      </c>
      <c r="O1116" s="26">
        <v>47</v>
      </c>
      <c r="P1116" s="26">
        <v>32</v>
      </c>
      <c r="Q1116" s="26">
        <v>3</v>
      </c>
      <c r="R1116" s="26">
        <v>2</v>
      </c>
      <c r="S1116" s="26">
        <v>11</v>
      </c>
      <c r="T1116" s="26">
        <v>1</v>
      </c>
      <c r="U1116" s="26">
        <v>14</v>
      </c>
      <c r="V1116" s="26">
        <v>1</v>
      </c>
      <c r="W1116" s="26"/>
    </row>
    <row r="1117" spans="1:23" x14ac:dyDescent="0.25">
      <c r="A1117" s="26" t="str">
        <f t="shared" si="184"/>
        <v>SECUNDARIA</v>
      </c>
      <c r="B1117" s="26" t="str">
        <f>"09PES0753K"</f>
        <v>09PES0753K</v>
      </c>
      <c r="C1117" s="26" t="str">
        <f>"""FREINET""                                                                                           "</f>
        <v xml:space="preserve">"FREINET"                                                                                           </v>
      </c>
      <c r="D1117" s="26" t="str">
        <f t="shared" si="185"/>
        <v>MATUTINO</v>
      </c>
      <c r="E1117" s="26" t="str">
        <f>"ALLENDE NUM. 152                                                                "</f>
        <v xml:space="preserve">ALLENDE NUM. 152                                                                </v>
      </c>
      <c r="F1117" s="26" t="str">
        <f>"SAN MATEO                                                                                                                                   "</f>
        <v xml:space="preserve">SAN MATEO                                                                                                                                   </v>
      </c>
      <c r="G1117" s="26" t="str">
        <f>"TLAHUAC                                                                         "</f>
        <v xml:space="preserve">TLAHUAC                                                                         </v>
      </c>
      <c r="H1117" s="26" t="str">
        <f>"067"</f>
        <v>067</v>
      </c>
      <c r="I1117" s="26" t="str">
        <f t="shared" si="186"/>
        <v>00</v>
      </c>
      <c r="J1117" s="26" t="str">
        <f>"55 "</f>
        <v xml:space="preserve">55 </v>
      </c>
      <c r="K1117" s="26" t="str">
        <f t="shared" si="188"/>
        <v>SG</v>
      </c>
      <c r="L1117" s="26" t="str">
        <f t="shared" si="189"/>
        <v>DGOSE</v>
      </c>
      <c r="M1117" s="26" t="str">
        <f t="shared" si="187"/>
        <v>PARTICULAR</v>
      </c>
      <c r="N1117" s="26">
        <v>61</v>
      </c>
      <c r="O1117" s="26">
        <v>25</v>
      </c>
      <c r="P1117" s="26">
        <v>36</v>
      </c>
      <c r="Q1117" s="26">
        <v>3</v>
      </c>
      <c r="R1117" s="26">
        <v>2</v>
      </c>
      <c r="S1117" s="26">
        <v>15</v>
      </c>
      <c r="T1117" s="26">
        <v>1</v>
      </c>
      <c r="U1117" s="26">
        <v>18</v>
      </c>
      <c r="V1117" s="26">
        <v>1</v>
      </c>
      <c r="W1117" s="26"/>
    </row>
    <row r="1118" spans="1:23" x14ac:dyDescent="0.25">
      <c r="A1118" s="26" t="str">
        <f t="shared" si="184"/>
        <v>SECUNDARIA</v>
      </c>
      <c r="B1118" s="26" t="str">
        <f>"09PES0756H"</f>
        <v>09PES0756H</v>
      </c>
      <c r="C1118" s="26" t="str">
        <f>"""PATRIA Y PROGRESO""                                                                                 "</f>
        <v xml:space="preserve">"PATRIA Y PROGRESO"                                                                                 </v>
      </c>
      <c r="D1118" s="26" t="str">
        <f t="shared" si="185"/>
        <v>MATUTINO</v>
      </c>
      <c r="E1118" s="26" t="str">
        <f>"SANTA CRUZ NUM. 27                                                              "</f>
        <v xml:space="preserve">SANTA CRUZ NUM. 27                                                              </v>
      </c>
      <c r="F1118" s="26" t="str">
        <f>"SANTA ANA CENTRO                                                                                                                            "</f>
        <v xml:space="preserve">SANTA ANA CENTRO                                                                                                                            </v>
      </c>
      <c r="G1118" s="26" t="str">
        <f>"TLAHUAC                                                                         "</f>
        <v xml:space="preserve">TLAHUAC                                                                         </v>
      </c>
      <c r="H1118" s="26" t="str">
        <f>"068"</f>
        <v>068</v>
      </c>
      <c r="I1118" s="26" t="str">
        <f t="shared" si="186"/>
        <v>00</v>
      </c>
      <c r="J1118" s="26" t="str">
        <f>"55 "</f>
        <v xml:space="preserve">55 </v>
      </c>
      <c r="K1118" s="26" t="str">
        <f t="shared" si="188"/>
        <v>SG</v>
      </c>
      <c r="L1118" s="26" t="str">
        <f t="shared" si="189"/>
        <v>DGOSE</v>
      </c>
      <c r="M1118" s="26" t="str">
        <f t="shared" si="187"/>
        <v>PARTICULAR</v>
      </c>
      <c r="N1118" s="26">
        <v>40</v>
      </c>
      <c r="O1118" s="26">
        <v>25</v>
      </c>
      <c r="P1118" s="26">
        <v>15</v>
      </c>
      <c r="Q1118" s="26">
        <v>3</v>
      </c>
      <c r="R1118" s="26">
        <v>1</v>
      </c>
      <c r="S1118" s="26">
        <v>11</v>
      </c>
      <c r="T1118" s="26">
        <v>1</v>
      </c>
      <c r="U1118" s="26">
        <v>13</v>
      </c>
      <c r="V1118" s="26">
        <v>1</v>
      </c>
      <c r="W1118" s="26"/>
    </row>
    <row r="1119" spans="1:23" x14ac:dyDescent="0.25">
      <c r="A1119" s="26" t="str">
        <f t="shared" si="184"/>
        <v>SECUNDARIA</v>
      </c>
      <c r="B1119" s="26" t="str">
        <f>"09PES0757G"</f>
        <v>09PES0757G</v>
      </c>
      <c r="C1119" s="26" t="str">
        <f>"KANIC                                                                                               "</f>
        <v xml:space="preserve">KANIC                                                                                               </v>
      </c>
      <c r="D1119" s="26" t="str">
        <f t="shared" si="185"/>
        <v>MATUTINO</v>
      </c>
      <c r="E1119" s="26" t="str">
        <f>"AV. TLAHUAC NO. 4420                                                            "</f>
        <v xml:space="preserve">AV. TLAHUAC NO. 4420                                                            </v>
      </c>
      <c r="F1119" s="26" t="str">
        <f>"GRANJAS ESTRELLA                                                                                                                            "</f>
        <v xml:space="preserve">GRANJAS ESTRELLA                                                                                                                            </v>
      </c>
      <c r="G1119" s="26" t="str">
        <f>"IZTAPALAPA                                                                      "</f>
        <v xml:space="preserve">IZTAPALAPA                                                                      </v>
      </c>
      <c r="H1119" s="26" t="str">
        <f>"000"</f>
        <v>000</v>
      </c>
      <c r="I1119" s="26" t="str">
        <f t="shared" si="186"/>
        <v>00</v>
      </c>
      <c r="J1119" s="26" t="str">
        <f>"63 "</f>
        <v xml:space="preserve">63 </v>
      </c>
      <c r="K1119" s="26" t="str">
        <f>"IZ"</f>
        <v>IZ</v>
      </c>
      <c r="L1119" s="26" t="str">
        <f>"DGSEI"</f>
        <v>DGSEI</v>
      </c>
      <c r="M1119" s="26" t="str">
        <f t="shared" si="187"/>
        <v>PARTICULAR</v>
      </c>
      <c r="N1119" s="26">
        <v>59</v>
      </c>
      <c r="O1119" s="26">
        <v>38</v>
      </c>
      <c r="P1119" s="26">
        <v>21</v>
      </c>
      <c r="Q1119" s="26">
        <v>3</v>
      </c>
      <c r="R1119" s="26">
        <v>1</v>
      </c>
      <c r="S1119" s="26">
        <v>9</v>
      </c>
      <c r="T1119" s="26">
        <v>1</v>
      </c>
      <c r="U1119" s="26">
        <v>11</v>
      </c>
      <c r="V1119" s="26">
        <v>1</v>
      </c>
      <c r="W1119" s="26"/>
    </row>
    <row r="1120" spans="1:23" x14ac:dyDescent="0.25">
      <c r="A1120" s="26" t="str">
        <f t="shared" si="184"/>
        <v>SECUNDARIA</v>
      </c>
      <c r="B1120" s="26" t="str">
        <f>"09PES0758F"</f>
        <v>09PES0758F</v>
      </c>
      <c r="C1120" s="26" t="s">
        <v>3993</v>
      </c>
      <c r="D1120" s="26" t="str">
        <f t="shared" si="185"/>
        <v>MATUTINO</v>
      </c>
      <c r="E1120" s="26" t="str">
        <f>"SANTO TOMAS NUM. 336                                                            "</f>
        <v xml:space="preserve">SANTO TOMAS NUM. 336                                                            </v>
      </c>
      <c r="F1120" s="26" t="str">
        <f>"SANTO TOMAS                                                                                                                                 "</f>
        <v xml:space="preserve">SANTO TOMAS                                                                                                                                 </v>
      </c>
      <c r="G1120" s="26" t="str">
        <f>"AZCAPOTZALCO                                                                    "</f>
        <v xml:space="preserve">AZCAPOTZALCO                                                                    </v>
      </c>
      <c r="H1120" s="26" t="str">
        <f>"007"</f>
        <v>007</v>
      </c>
      <c r="I1120" s="26" t="str">
        <f t="shared" si="186"/>
        <v>00</v>
      </c>
      <c r="J1120" s="26" t="str">
        <f>"51 "</f>
        <v xml:space="preserve">51 </v>
      </c>
      <c r="K1120" s="26" t="str">
        <f>"SG"</f>
        <v>SG</v>
      </c>
      <c r="L1120" s="26" t="str">
        <f>"DGOSE"</f>
        <v>DGOSE</v>
      </c>
      <c r="M1120" s="26" t="str">
        <f t="shared" si="187"/>
        <v>PARTICULAR</v>
      </c>
      <c r="N1120" s="26">
        <v>89</v>
      </c>
      <c r="O1120" s="26">
        <v>42</v>
      </c>
      <c r="P1120" s="26">
        <v>47</v>
      </c>
      <c r="Q1120" s="26">
        <v>3</v>
      </c>
      <c r="R1120" s="26">
        <v>2</v>
      </c>
      <c r="S1120" s="26">
        <v>14</v>
      </c>
      <c r="T1120" s="26">
        <v>7</v>
      </c>
      <c r="U1120" s="26">
        <v>23</v>
      </c>
      <c r="V1120" s="26">
        <v>1</v>
      </c>
      <c r="W1120" s="26"/>
    </row>
    <row r="1121" spans="1:23" x14ac:dyDescent="0.25">
      <c r="A1121" s="26" t="str">
        <f t="shared" si="184"/>
        <v>SECUNDARIA</v>
      </c>
      <c r="B1121" s="26" t="str">
        <f>"09PES0760U"</f>
        <v>09PES0760U</v>
      </c>
      <c r="C1121" s="26" t="str">
        <f>"COLEGIO CULTURA PREHISPANICA                                                                        "</f>
        <v xml:space="preserve">COLEGIO CULTURA PREHISPANICA                                                                        </v>
      </c>
      <c r="D1121" s="26" t="str">
        <f t="shared" si="185"/>
        <v>MATUTINO</v>
      </c>
      <c r="E1121" s="26" t="str">
        <f>"CULTURA PREHISPANICA NUM 137                                                    "</f>
        <v xml:space="preserve">CULTURA PREHISPANICA NUM 137                                                    </v>
      </c>
      <c r="F1121" s="26" t="str">
        <f>"GRANJAS SAN ANTONIO                                                                                                                         "</f>
        <v xml:space="preserve">GRANJAS SAN ANTONIO                                                                                                                         </v>
      </c>
      <c r="G1121" s="26" t="str">
        <f>"IZTAPALAPA                                                                      "</f>
        <v xml:space="preserve">IZTAPALAPA                                                                      </v>
      </c>
      <c r="H1121" s="26" t="str">
        <f>"000"</f>
        <v>000</v>
      </c>
      <c r="I1121" s="26" t="str">
        <f t="shared" si="186"/>
        <v>00</v>
      </c>
      <c r="J1121" s="26" t="str">
        <f>"61 "</f>
        <v xml:space="preserve">61 </v>
      </c>
      <c r="K1121" s="26" t="str">
        <f>"IZ"</f>
        <v>IZ</v>
      </c>
      <c r="L1121" s="26" t="str">
        <f>"DGSEI"</f>
        <v>DGSEI</v>
      </c>
      <c r="M1121" s="26" t="str">
        <f t="shared" si="187"/>
        <v>PARTICULAR</v>
      </c>
      <c r="N1121" s="26">
        <v>75</v>
      </c>
      <c r="O1121" s="26">
        <v>36</v>
      </c>
      <c r="P1121" s="26">
        <v>39</v>
      </c>
      <c r="Q1121" s="26">
        <v>5</v>
      </c>
      <c r="R1121" s="26">
        <v>1</v>
      </c>
      <c r="S1121" s="26">
        <v>15</v>
      </c>
      <c r="T1121" s="26">
        <v>3</v>
      </c>
      <c r="U1121" s="26">
        <v>19</v>
      </c>
      <c r="V1121" s="26">
        <v>1</v>
      </c>
      <c r="W1121" s="26"/>
    </row>
    <row r="1122" spans="1:23" x14ac:dyDescent="0.25">
      <c r="A1122" s="26" t="str">
        <f t="shared" si="184"/>
        <v>SECUNDARIA</v>
      </c>
      <c r="B1122" s="26" t="str">
        <f>"09PES0762S"</f>
        <v>09PES0762S</v>
      </c>
      <c r="C1122" s="26" t="str">
        <f>""" HORACIO MANN ""                                                                                    "</f>
        <v xml:space="preserve">" HORACIO MANN "                                                                                    </v>
      </c>
      <c r="D1122" s="26" t="str">
        <f t="shared" si="185"/>
        <v>MATUTINO</v>
      </c>
      <c r="E1122" s="26" t="str">
        <f>"AV 6 NUM 276                                                                    "</f>
        <v xml:space="preserve">AV 6 NUM 276                                                                    </v>
      </c>
      <c r="F1122" s="26" t="str">
        <f>"ZARAGOZA                                                                                                                                    "</f>
        <v xml:space="preserve">ZARAGOZA                                                                                                                                    </v>
      </c>
      <c r="G1122" s="26" t="str">
        <f>"VENUSTIANO CARRANZA                                                             "</f>
        <v xml:space="preserve">VENUSTIANO CARRANZA                                                             </v>
      </c>
      <c r="H1122" s="26" t="str">
        <f>"078"</f>
        <v>078</v>
      </c>
      <c r="I1122" s="26" t="str">
        <f t="shared" si="186"/>
        <v>00</v>
      </c>
      <c r="J1122" s="26" t="str">
        <f>"54 "</f>
        <v xml:space="preserve">54 </v>
      </c>
      <c r="K1122" s="26" t="str">
        <f>"SG"</f>
        <v>SG</v>
      </c>
      <c r="L1122" s="26" t="str">
        <f>"DGOSE"</f>
        <v>DGOSE</v>
      </c>
      <c r="M1122" s="26" t="str">
        <f t="shared" si="187"/>
        <v>PARTICULAR</v>
      </c>
      <c r="N1122" s="26">
        <v>70</v>
      </c>
      <c r="O1122" s="26">
        <v>39</v>
      </c>
      <c r="P1122" s="26">
        <v>31</v>
      </c>
      <c r="Q1122" s="26">
        <v>6</v>
      </c>
      <c r="R1122" s="26">
        <v>2</v>
      </c>
      <c r="S1122" s="26">
        <v>13</v>
      </c>
      <c r="T1122" s="26">
        <v>4</v>
      </c>
      <c r="U1122" s="26">
        <v>19</v>
      </c>
      <c r="V1122" s="26">
        <v>1</v>
      </c>
      <c r="W1122" s="26"/>
    </row>
    <row r="1123" spans="1:23" x14ac:dyDescent="0.25">
      <c r="A1123" s="26" t="str">
        <f t="shared" si="184"/>
        <v>SECUNDARIA</v>
      </c>
      <c r="B1123" s="26" t="str">
        <f>"09PES0763R"</f>
        <v>09PES0763R</v>
      </c>
      <c r="C1123" s="26" t="str">
        <f>"COLEGIO WATSON Y CRICK                                                                              "</f>
        <v xml:space="preserve">COLEGIO WATSON Y CRICK                                                                              </v>
      </c>
      <c r="D1123" s="26" t="str">
        <f t="shared" si="185"/>
        <v>MATUTINO</v>
      </c>
      <c r="E1123" s="26" t="str">
        <f>"SUR 25 NO 402                                                                   "</f>
        <v xml:space="preserve">SUR 25 NO 402                                                                   </v>
      </c>
      <c r="F1123" s="26" t="str">
        <f>"LEYES DE REFORMA                                                                                                                            "</f>
        <v xml:space="preserve">LEYES DE REFORMA                                                                                                                            </v>
      </c>
      <c r="G1123" s="26" t="str">
        <f>"IZTAPALAPA                                                                      "</f>
        <v xml:space="preserve">IZTAPALAPA                                                                      </v>
      </c>
      <c r="H1123" s="26" t="str">
        <f>"000"</f>
        <v>000</v>
      </c>
      <c r="I1123" s="26" t="str">
        <f t="shared" si="186"/>
        <v>00</v>
      </c>
      <c r="J1123" s="26" t="str">
        <f>"61 "</f>
        <v xml:space="preserve">61 </v>
      </c>
      <c r="K1123" s="26" t="str">
        <f>"IZ"</f>
        <v>IZ</v>
      </c>
      <c r="L1123" s="26" t="str">
        <f>"DGSEI"</f>
        <v>DGSEI</v>
      </c>
      <c r="M1123" s="26" t="str">
        <f t="shared" si="187"/>
        <v>PARTICULAR</v>
      </c>
      <c r="N1123" s="26">
        <v>293</v>
      </c>
      <c r="O1123" s="26">
        <v>153</v>
      </c>
      <c r="P1123" s="26">
        <v>140</v>
      </c>
      <c r="Q1123" s="26">
        <v>12</v>
      </c>
      <c r="R1123" s="26">
        <v>2</v>
      </c>
      <c r="S1123" s="26">
        <v>19</v>
      </c>
      <c r="T1123" s="26">
        <v>5</v>
      </c>
      <c r="U1123" s="26">
        <v>26</v>
      </c>
      <c r="V1123" s="26">
        <v>1</v>
      </c>
      <c r="W1123" s="26"/>
    </row>
    <row r="1124" spans="1:23" x14ac:dyDescent="0.25">
      <c r="A1124" s="26" t="str">
        <f t="shared" si="184"/>
        <v>SECUNDARIA</v>
      </c>
      <c r="B1124" s="26" t="str">
        <f>"09PES0765P"</f>
        <v>09PES0765P</v>
      </c>
      <c r="C1124" s="26" t="str">
        <f>""" NUEVA ACADEMIA DE FORMACION INTEGRAL ""                                                            "</f>
        <v xml:space="preserve">" NUEVA ACADEMIA DE FORMACION INTEGRAL "                                                            </v>
      </c>
      <c r="D1124" s="26" t="str">
        <f t="shared" si="185"/>
        <v>MATUTINO</v>
      </c>
      <c r="E1124" s="26" t="str">
        <f>"PONIENTE 152 NO 317                                                             "</f>
        <v xml:space="preserve">PONIENTE 152 NO 317                                                             </v>
      </c>
      <c r="F1124" s="26" t="str">
        <f>"NUEVA INDUSTRIAL VALLEJO                                                                                                                    "</f>
        <v xml:space="preserve">NUEVA INDUSTRIAL VALLEJO                                                                                                                    </v>
      </c>
      <c r="G1124" s="26" t="str">
        <f>"GUSTAVO A. MADERO                                                               "</f>
        <v xml:space="preserve">GUSTAVO A. MADERO                                                               </v>
      </c>
      <c r="H1124" s="26" t="str">
        <f>"034"</f>
        <v>034</v>
      </c>
      <c r="I1124" s="26" t="str">
        <f t="shared" si="186"/>
        <v>00</v>
      </c>
      <c r="J1124" s="26" t="str">
        <f>"52 "</f>
        <v xml:space="preserve">52 </v>
      </c>
      <c r="K1124" s="26" t="str">
        <f>"SG"</f>
        <v>SG</v>
      </c>
      <c r="L1124" s="26" t="str">
        <f>"DGOSE"</f>
        <v>DGOSE</v>
      </c>
      <c r="M1124" s="26" t="str">
        <f t="shared" si="187"/>
        <v>PARTICULAR</v>
      </c>
      <c r="N1124" s="26">
        <v>166</v>
      </c>
      <c r="O1124" s="26">
        <v>148</v>
      </c>
      <c r="P1124" s="26">
        <v>18</v>
      </c>
      <c r="Q1124" s="26">
        <v>6</v>
      </c>
      <c r="R1124" s="26">
        <v>2</v>
      </c>
      <c r="S1124" s="26">
        <v>15</v>
      </c>
      <c r="T1124" s="26">
        <v>1</v>
      </c>
      <c r="U1124" s="26">
        <v>18</v>
      </c>
      <c r="V1124" s="26">
        <v>1</v>
      </c>
      <c r="W1124" s="26"/>
    </row>
    <row r="1125" spans="1:23" x14ac:dyDescent="0.25">
      <c r="A1125" s="26" t="str">
        <f t="shared" si="184"/>
        <v>SECUNDARIA</v>
      </c>
      <c r="B1125" s="26" t="str">
        <f>"09PES0766O"</f>
        <v>09PES0766O</v>
      </c>
      <c r="C1125" s="26" t="s">
        <v>3994</v>
      </c>
      <c r="D1125" s="26" t="str">
        <f t="shared" si="185"/>
        <v>MATUTINO</v>
      </c>
      <c r="E1125" s="26" t="str">
        <f>"CALLAO NUM 658                                                                  "</f>
        <v xml:space="preserve">CALLAO NUM 658                                                                  </v>
      </c>
      <c r="F1125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1125" s="26" t="str">
        <f>"GUSTAVO A. MADERO                                                               "</f>
        <v xml:space="preserve">GUSTAVO A. MADERO                                                               </v>
      </c>
      <c r="H1125" s="26" t="str">
        <f>"033"</f>
        <v>033</v>
      </c>
      <c r="I1125" s="26" t="str">
        <f t="shared" si="186"/>
        <v>00</v>
      </c>
      <c r="J1125" s="26" t="str">
        <f>"52 "</f>
        <v xml:space="preserve">52 </v>
      </c>
      <c r="K1125" s="26" t="str">
        <f>"SG"</f>
        <v>SG</v>
      </c>
      <c r="L1125" s="26" t="str">
        <f>"DGOSE"</f>
        <v>DGOSE</v>
      </c>
      <c r="M1125" s="26" t="str">
        <f t="shared" si="187"/>
        <v>PARTICULAR</v>
      </c>
      <c r="N1125" s="26">
        <v>36</v>
      </c>
      <c r="O1125" s="26">
        <v>23</v>
      </c>
      <c r="P1125" s="26">
        <v>13</v>
      </c>
      <c r="Q1125" s="26">
        <v>3</v>
      </c>
      <c r="R1125" s="26">
        <v>1</v>
      </c>
      <c r="S1125" s="26">
        <v>10</v>
      </c>
      <c r="T1125" s="26">
        <v>1</v>
      </c>
      <c r="U1125" s="26">
        <v>12</v>
      </c>
      <c r="V1125" s="26">
        <v>1</v>
      </c>
      <c r="W1125" s="26"/>
    </row>
    <row r="1126" spans="1:23" x14ac:dyDescent="0.25">
      <c r="A1126" s="26" t="str">
        <f t="shared" si="184"/>
        <v>SECUNDARIA</v>
      </c>
      <c r="B1126" s="26" t="str">
        <f>"09PES0767N"</f>
        <v>09PES0767N</v>
      </c>
      <c r="C1126" s="26" t="str">
        <f>"BELMONT AMERICAN SCHOOL                                                                             "</f>
        <v xml:space="preserve">BELMONT AMERICAN SCHOOL                                                                             </v>
      </c>
      <c r="D1126" s="26" t="str">
        <f t="shared" si="185"/>
        <v>MATUTINO</v>
      </c>
      <c r="E1126" s="26" t="str">
        <f>"BOULEVARD CAPRI NO. 97                                                          "</f>
        <v xml:space="preserve">BOULEVARD CAPRI NO. 97                                                          </v>
      </c>
      <c r="F1126" s="26" t="str">
        <f>"LOMAS ESTRELLA                                                                                                                              "</f>
        <v xml:space="preserve">LOMAS ESTRELLA                                                                                                                              </v>
      </c>
      <c r="G1126" s="26" t="str">
        <f>"IZTAPALAPA                                                                      "</f>
        <v xml:space="preserve">IZTAPALAPA                                                                      </v>
      </c>
      <c r="H1126" s="26" t="str">
        <f>"000"</f>
        <v>000</v>
      </c>
      <c r="I1126" s="26" t="str">
        <f t="shared" si="186"/>
        <v>00</v>
      </c>
      <c r="J1126" s="26" t="str">
        <f>"63 "</f>
        <v xml:space="preserve">63 </v>
      </c>
      <c r="K1126" s="26" t="str">
        <f>"IZ"</f>
        <v>IZ</v>
      </c>
      <c r="L1126" s="26" t="str">
        <f>"DGSEI"</f>
        <v>DGSEI</v>
      </c>
      <c r="M1126" s="26" t="str">
        <f t="shared" si="187"/>
        <v>PARTICULAR</v>
      </c>
      <c r="N1126" s="26">
        <v>174</v>
      </c>
      <c r="O1126" s="26">
        <v>92</v>
      </c>
      <c r="P1126" s="26">
        <v>82</v>
      </c>
      <c r="Q1126" s="26">
        <v>6</v>
      </c>
      <c r="R1126" s="26">
        <v>1</v>
      </c>
      <c r="S1126" s="26">
        <v>12</v>
      </c>
      <c r="T1126" s="26">
        <v>3</v>
      </c>
      <c r="U1126" s="26">
        <v>16</v>
      </c>
      <c r="V1126" s="26">
        <v>1</v>
      </c>
      <c r="W1126" s="26"/>
    </row>
    <row r="1127" spans="1:23" x14ac:dyDescent="0.25">
      <c r="A1127" s="26" t="str">
        <f t="shared" si="184"/>
        <v>SECUNDARIA</v>
      </c>
      <c r="B1127" s="26" t="str">
        <f>"09PES0768M"</f>
        <v>09PES0768M</v>
      </c>
      <c r="C1127" s="26" t="s">
        <v>3995</v>
      </c>
      <c r="D1127" s="26" t="str">
        <f t="shared" si="185"/>
        <v>MATUTINO</v>
      </c>
      <c r="E1127" s="26" t="str">
        <f>"CALZADA SAN JUAN DE ARAGON NO 806                                               "</f>
        <v xml:space="preserve">CALZADA SAN JUAN DE ARAGON NO 806                                               </v>
      </c>
      <c r="F1127" s="26" t="str">
        <f>"SAN JUAN DE ARAGON                                                                                                                          "</f>
        <v xml:space="preserve">SAN JUAN DE ARAGON                                                                                                                          </v>
      </c>
      <c r="G1127" s="26" t="str">
        <f>"GUSTAVO A. MADERO                                                               "</f>
        <v xml:space="preserve">GUSTAVO A. MADERO                                                               </v>
      </c>
      <c r="H1127" s="26" t="str">
        <f>"039"</f>
        <v>039</v>
      </c>
      <c r="I1127" s="26" t="str">
        <f t="shared" si="186"/>
        <v>00</v>
      </c>
      <c r="J1127" s="26" t="str">
        <f>"52 "</f>
        <v xml:space="preserve">52 </v>
      </c>
      <c r="K1127" s="26" t="str">
        <f t="shared" ref="K1127:K1158" si="190">"SG"</f>
        <v>SG</v>
      </c>
      <c r="L1127" s="26" t="str">
        <f t="shared" ref="L1127:L1158" si="191">"DGOSE"</f>
        <v>DGOSE</v>
      </c>
      <c r="M1127" s="26" t="str">
        <f t="shared" si="187"/>
        <v>PARTICULAR</v>
      </c>
      <c r="N1127" s="26">
        <v>178</v>
      </c>
      <c r="O1127" s="26">
        <v>100</v>
      </c>
      <c r="P1127" s="26">
        <v>78</v>
      </c>
      <c r="Q1127" s="26">
        <v>6</v>
      </c>
      <c r="R1127" s="26">
        <v>2</v>
      </c>
      <c r="S1127" s="26">
        <v>13</v>
      </c>
      <c r="T1127" s="26">
        <v>9</v>
      </c>
      <c r="U1127" s="26">
        <v>24</v>
      </c>
      <c r="V1127" s="26">
        <v>1</v>
      </c>
      <c r="W1127" s="26"/>
    </row>
    <row r="1128" spans="1:23" x14ac:dyDescent="0.25">
      <c r="A1128" s="26" t="str">
        <f t="shared" si="184"/>
        <v>SECUNDARIA</v>
      </c>
      <c r="B1128" s="26" t="str">
        <f>"09PES0770A"</f>
        <v>09PES0770A</v>
      </c>
      <c r="C1128" s="26" t="str">
        <f>"""COLEGIO UNIVERSITARIO MARCELINO CHAMPAGNAT""                                                        "</f>
        <v xml:space="preserve">"COLEGIO UNIVERSITARIO MARCELINO CHAMPAGNAT"                                                        </v>
      </c>
      <c r="D1128" s="26" t="str">
        <f t="shared" si="185"/>
        <v>MATUTINO</v>
      </c>
      <c r="E1128" s="26" t="str">
        <f>"ONCE MARTIRES NO 53                                                             "</f>
        <v xml:space="preserve">ONCE MARTIRES NO 53                                                             </v>
      </c>
      <c r="F1128" s="26" t="str">
        <f>"TLALPAN                                                                                                                                     "</f>
        <v xml:space="preserve">TLALPAN                                                                                                                                     </v>
      </c>
      <c r="G1128" s="26" t="str">
        <f>"TLALPAN                                                                         "</f>
        <v xml:space="preserve">TLALPAN                                                                         </v>
      </c>
      <c r="H1128" s="26" t="str">
        <f>"069"</f>
        <v>069</v>
      </c>
      <c r="I1128" s="26" t="str">
        <f t="shared" si="186"/>
        <v>00</v>
      </c>
      <c r="J1128" s="26" t="str">
        <f>"55 "</f>
        <v xml:space="preserve">55 </v>
      </c>
      <c r="K1128" s="26" t="str">
        <f t="shared" si="190"/>
        <v>SG</v>
      </c>
      <c r="L1128" s="26" t="str">
        <f t="shared" si="191"/>
        <v>DGOSE</v>
      </c>
      <c r="M1128" s="26" t="str">
        <f t="shared" si="187"/>
        <v>PARTICULAR</v>
      </c>
      <c r="N1128" s="26">
        <v>105</v>
      </c>
      <c r="O1128" s="26">
        <v>45</v>
      </c>
      <c r="P1128" s="26">
        <v>60</v>
      </c>
      <c r="Q1128" s="26">
        <v>6</v>
      </c>
      <c r="R1128" s="26">
        <v>2</v>
      </c>
      <c r="S1128" s="26">
        <v>15</v>
      </c>
      <c r="T1128" s="26">
        <v>5</v>
      </c>
      <c r="U1128" s="26">
        <v>22</v>
      </c>
      <c r="V1128" s="26">
        <v>1</v>
      </c>
      <c r="W1128" s="26"/>
    </row>
    <row r="1129" spans="1:23" x14ac:dyDescent="0.25">
      <c r="A1129" s="26" t="str">
        <f t="shared" si="184"/>
        <v>SECUNDARIA</v>
      </c>
      <c r="B1129" s="26" t="str">
        <f>"09PES0771Z"</f>
        <v>09PES0771Z</v>
      </c>
      <c r="C1129" s="26" t="str">
        <f>"COLEGIO EUGENIO DE MAZENOD A C                                                                      "</f>
        <v xml:space="preserve">COLEGIO EUGENIO DE MAZENOD A C                                                                      </v>
      </c>
      <c r="D1129" s="26" t="str">
        <f t="shared" si="185"/>
        <v>MATUTINO</v>
      </c>
      <c r="E1129" s="26" t="str">
        <f>"AVENIDA TAMAULIPAS NUMERO 240                                                   "</f>
        <v xml:space="preserve">AVENIDA TAMAULIPAS NUMERO 240                                                   </v>
      </c>
      <c r="F1129" s="26" t="str">
        <f>"CLUB DE GOLF PRADOS DE LA MONTAÑA                                                                                                           "</f>
        <v xml:space="preserve">CLUB DE GOLF PRADOS DE LA MONTAÑA                                                                                                           </v>
      </c>
      <c r="G1129" s="26" t="str">
        <f>"CUAJIMALPA DE MORELOS                                                           "</f>
        <v xml:space="preserve">CUAJIMALPA DE MORELOS                                                           </v>
      </c>
      <c r="H1129" s="26" t="str">
        <f>"024"</f>
        <v>024</v>
      </c>
      <c r="I1129" s="26" t="str">
        <f t="shared" si="186"/>
        <v>00</v>
      </c>
      <c r="J1129" s="26" t="str">
        <f>"53 "</f>
        <v xml:space="preserve">53 </v>
      </c>
      <c r="K1129" s="26" t="str">
        <f t="shared" si="190"/>
        <v>SG</v>
      </c>
      <c r="L1129" s="26" t="str">
        <f t="shared" si="191"/>
        <v>DGOSE</v>
      </c>
      <c r="M1129" s="26" t="str">
        <f t="shared" si="187"/>
        <v>PARTICULAR</v>
      </c>
      <c r="N1129" s="26">
        <v>144</v>
      </c>
      <c r="O1129" s="26">
        <v>90</v>
      </c>
      <c r="P1129" s="26">
        <v>54</v>
      </c>
      <c r="Q1129" s="26">
        <v>7</v>
      </c>
      <c r="R1129" s="26">
        <v>2</v>
      </c>
      <c r="S1129" s="26">
        <v>17</v>
      </c>
      <c r="T1129" s="26">
        <v>2</v>
      </c>
      <c r="U1129" s="26">
        <v>21</v>
      </c>
      <c r="V1129" s="26">
        <v>1</v>
      </c>
      <c r="W1129" s="26"/>
    </row>
    <row r="1130" spans="1:23" x14ac:dyDescent="0.25">
      <c r="A1130" s="26" t="str">
        <f t="shared" si="184"/>
        <v>SECUNDARIA</v>
      </c>
      <c r="B1130" s="26" t="str">
        <f>"09PES0772Z"</f>
        <v>09PES0772Z</v>
      </c>
      <c r="C1130" s="26" t="str">
        <f>"""CENTRO DE FORMACION ESCOLAR BANTING""                                                               "</f>
        <v xml:space="preserve">"CENTRO DE FORMACION ESCOLAR BANTING"                                                               </v>
      </c>
      <c r="D1130" s="26" t="str">
        <f t="shared" si="185"/>
        <v>MATUTINO</v>
      </c>
      <c r="E1130" s="26" t="str">
        <f>"CHICHIMECAS M-70  L-20                                                          "</f>
        <v xml:space="preserve">CHICHIMECAS M-70  L-20                                                          </v>
      </c>
      <c r="F1130" s="26" t="str">
        <f>"AJUSCO                                                                                                                                      "</f>
        <v xml:space="preserve">AJUSCO                                                                                                                                      </v>
      </c>
      <c r="G1130" s="26" t="str">
        <f>"COYOACAN                                                                        "</f>
        <v xml:space="preserve">COYOACAN                                                                        </v>
      </c>
      <c r="H1130" s="26" t="str">
        <f>"017"</f>
        <v>017</v>
      </c>
      <c r="I1130" s="26" t="str">
        <f t="shared" si="186"/>
        <v>00</v>
      </c>
      <c r="J1130" s="26" t="str">
        <f>"54 "</f>
        <v xml:space="preserve">54 </v>
      </c>
      <c r="K1130" s="26" t="str">
        <f t="shared" si="190"/>
        <v>SG</v>
      </c>
      <c r="L1130" s="26" t="str">
        <f t="shared" si="191"/>
        <v>DGOSE</v>
      </c>
      <c r="M1130" s="26" t="str">
        <f t="shared" si="187"/>
        <v>PARTICULAR</v>
      </c>
      <c r="N1130" s="26">
        <v>158</v>
      </c>
      <c r="O1130" s="26">
        <v>92</v>
      </c>
      <c r="P1130" s="26">
        <v>66</v>
      </c>
      <c r="Q1130" s="26">
        <v>6</v>
      </c>
      <c r="R1130" s="26">
        <v>2</v>
      </c>
      <c r="S1130" s="26">
        <v>15</v>
      </c>
      <c r="T1130" s="26">
        <v>1</v>
      </c>
      <c r="U1130" s="26">
        <v>18</v>
      </c>
      <c r="V1130" s="26">
        <v>1</v>
      </c>
      <c r="W1130" s="26"/>
    </row>
    <row r="1131" spans="1:23" x14ac:dyDescent="0.25">
      <c r="A1131" s="26" t="str">
        <f t="shared" si="184"/>
        <v>SECUNDARIA</v>
      </c>
      <c r="B1131" s="26" t="str">
        <f>"09PES0773Y"</f>
        <v>09PES0773Y</v>
      </c>
      <c r="C1131" s="26" t="str">
        <f>"""ESCUELA SECUNDARIA  Y PREPARATORIA JUSTO SIERRA""                                                   "</f>
        <v xml:space="preserve">"ESCUELA SECUNDARIA  Y PREPARATORIA JUSTO SIERRA"                                                   </v>
      </c>
      <c r="D1131" s="26" t="str">
        <f t="shared" si="185"/>
        <v>MATUTINO</v>
      </c>
      <c r="E1131" s="26" t="str">
        <f>"PASEO DE LAS JACARANDAS NO 308                                                  "</f>
        <v xml:space="preserve">PASEO DE LAS JACARANDAS NO 308                                                  </v>
      </c>
      <c r="F1131" s="26" t="str">
        <f>"SANTA MARIA LA RIBERA                                                                                                                       "</f>
        <v xml:space="preserve">SANTA MARIA LA RIBERA                                                                                                                       </v>
      </c>
      <c r="G1131" s="26" t="str">
        <f>"CUAUHTEMOC                                                                      "</f>
        <v xml:space="preserve">CUAUHTEMOC                                                                      </v>
      </c>
      <c r="H1131" s="26" t="str">
        <f>"028"</f>
        <v>028</v>
      </c>
      <c r="I1131" s="26" t="str">
        <f t="shared" si="186"/>
        <v>00</v>
      </c>
      <c r="J1131" s="26" t="str">
        <f>"51 "</f>
        <v xml:space="preserve">51 </v>
      </c>
      <c r="K1131" s="26" t="str">
        <f t="shared" si="190"/>
        <v>SG</v>
      </c>
      <c r="L1131" s="26" t="str">
        <f t="shared" si="191"/>
        <v>DGOSE</v>
      </c>
      <c r="M1131" s="26" t="str">
        <f t="shared" si="187"/>
        <v>PARTICULAR</v>
      </c>
      <c r="N1131" s="26">
        <v>1000</v>
      </c>
      <c r="O1131" s="26">
        <v>512</v>
      </c>
      <c r="P1131" s="26">
        <v>488</v>
      </c>
      <c r="Q1131" s="26">
        <v>30</v>
      </c>
      <c r="R1131" s="26">
        <v>2</v>
      </c>
      <c r="S1131" s="26">
        <v>52</v>
      </c>
      <c r="T1131" s="26">
        <v>12</v>
      </c>
      <c r="U1131" s="26">
        <v>66</v>
      </c>
      <c r="V1131" s="26">
        <v>1</v>
      </c>
      <c r="W1131" s="26"/>
    </row>
    <row r="1132" spans="1:23" x14ac:dyDescent="0.25">
      <c r="A1132" s="26" t="str">
        <f t="shared" si="184"/>
        <v>SECUNDARIA</v>
      </c>
      <c r="B1132" s="26" t="str">
        <f>"09PES0775W"</f>
        <v>09PES0775W</v>
      </c>
      <c r="C1132" s="26" t="str">
        <f>"""CENTRO DE ESTUDIOS LIBERTAD""                                                                       "</f>
        <v xml:space="preserve">"CENTRO DE ESTUDIOS LIBERTAD"                                                                       </v>
      </c>
      <c r="D1132" s="26" t="str">
        <f t="shared" si="185"/>
        <v>MATUTINO</v>
      </c>
      <c r="E1132" s="26" t="str">
        <f>"AV PALMAS NO 323                                                                "</f>
        <v xml:space="preserve">AV PALMAS NO 323                                                                </v>
      </c>
      <c r="F1132" s="26" t="str">
        <f>"EL TORO                                                                                                                                     "</f>
        <v xml:space="preserve">EL TORO                                                                                                                                     </v>
      </c>
      <c r="G1132" s="26" t="str">
        <f>"LA MAGDALENA CONTRERAS                                                          "</f>
        <v xml:space="preserve">LA MAGDALENA CONTRERAS                                                          </v>
      </c>
      <c r="H1132" s="26" t="str">
        <f>"059"</f>
        <v>059</v>
      </c>
      <c r="I1132" s="26" t="str">
        <f t="shared" si="186"/>
        <v>00</v>
      </c>
      <c r="J1132" s="26" t="str">
        <f>"53 "</f>
        <v xml:space="preserve">53 </v>
      </c>
      <c r="K1132" s="26" t="str">
        <f t="shared" si="190"/>
        <v>SG</v>
      </c>
      <c r="L1132" s="26" t="str">
        <f t="shared" si="191"/>
        <v>DGOSE</v>
      </c>
      <c r="M1132" s="26" t="str">
        <f t="shared" si="187"/>
        <v>PARTICULAR</v>
      </c>
      <c r="N1132" s="26">
        <v>81</v>
      </c>
      <c r="O1132" s="26">
        <v>51</v>
      </c>
      <c r="P1132" s="26">
        <v>30</v>
      </c>
      <c r="Q1132" s="26">
        <v>3</v>
      </c>
      <c r="R1132" s="26">
        <v>1</v>
      </c>
      <c r="S1132" s="26">
        <v>10</v>
      </c>
      <c r="T1132" s="26">
        <v>3</v>
      </c>
      <c r="U1132" s="26">
        <v>14</v>
      </c>
      <c r="V1132" s="26">
        <v>1</v>
      </c>
      <c r="W1132" s="26"/>
    </row>
    <row r="1133" spans="1:23" x14ac:dyDescent="0.25">
      <c r="A1133" s="26" t="str">
        <f t="shared" si="184"/>
        <v>SECUNDARIA</v>
      </c>
      <c r="B1133" s="26" t="str">
        <f>"09PES0776V"</f>
        <v>09PES0776V</v>
      </c>
      <c r="C1133" s="26" t="str">
        <f>"""LICEO ANGLO PEDAGOGICO SAN FRANCISCO""                                                              "</f>
        <v xml:space="preserve">"LICEO ANGLO PEDAGOGICO SAN FRANCISCO"                                                              </v>
      </c>
      <c r="D1133" s="26" t="str">
        <f t="shared" si="185"/>
        <v>MATUTINO</v>
      </c>
      <c r="E1133" s="26" t="str">
        <f>"MAR DE LOS NUBLADOS NUM. 21                                                     "</f>
        <v xml:space="preserve">MAR DE LOS NUBLADOS NUM. 21                                                     </v>
      </c>
      <c r="F1133" s="26" t="str">
        <f>"SELENE                                                                                                                                      "</f>
        <v xml:space="preserve">SELENE                                                                                                                                      </v>
      </c>
      <c r="G1133" s="26" t="str">
        <f>"TLAHUAC                                                                         "</f>
        <v xml:space="preserve">TLAHUAC                                                                         </v>
      </c>
      <c r="H1133" s="26" t="str">
        <f>"068"</f>
        <v>068</v>
      </c>
      <c r="I1133" s="26" t="str">
        <f t="shared" si="186"/>
        <v>00</v>
      </c>
      <c r="J1133" s="26" t="str">
        <f>"55 "</f>
        <v xml:space="preserve">55 </v>
      </c>
      <c r="K1133" s="26" t="str">
        <f t="shared" si="190"/>
        <v>SG</v>
      </c>
      <c r="L1133" s="26" t="str">
        <f t="shared" si="191"/>
        <v>DGOSE</v>
      </c>
      <c r="M1133" s="26" t="str">
        <f t="shared" si="187"/>
        <v>PARTICULAR</v>
      </c>
      <c r="N1133" s="26">
        <v>104</v>
      </c>
      <c r="O1133" s="26">
        <v>53</v>
      </c>
      <c r="P1133" s="26">
        <v>51</v>
      </c>
      <c r="Q1133" s="26">
        <v>3</v>
      </c>
      <c r="R1133" s="26">
        <v>2</v>
      </c>
      <c r="S1133" s="26">
        <v>14</v>
      </c>
      <c r="T1133" s="26">
        <v>1</v>
      </c>
      <c r="U1133" s="26">
        <v>17</v>
      </c>
      <c r="V1133" s="26">
        <v>1</v>
      </c>
      <c r="W1133" s="26"/>
    </row>
    <row r="1134" spans="1:23" x14ac:dyDescent="0.25">
      <c r="A1134" s="26" t="str">
        <f t="shared" si="184"/>
        <v>SECUNDARIA</v>
      </c>
      <c r="B1134" s="26" t="str">
        <f>"09PES0778T"</f>
        <v>09PES0778T</v>
      </c>
      <c r="C1134" s="26" t="str">
        <f>"""COLEGIO BELFORT""                                                                                   "</f>
        <v xml:space="preserve">"COLEGIO BELFORT"                                                                                   </v>
      </c>
      <c r="D1134" s="26" t="str">
        <f t="shared" si="185"/>
        <v>MATUTINO</v>
      </c>
      <c r="E1134" s="26" t="str">
        <f>"CALLE ESCOLLO NO 225                                                            "</f>
        <v xml:space="preserve">CALLE ESCOLLO NO 225                                                            </v>
      </c>
      <c r="F1134" s="26" t="str">
        <f>"LAS AGUILAS AMPLIACION                                                                                                                      "</f>
        <v xml:space="preserve">LAS AGUILAS AMPLIACION                                                                                                                      </v>
      </c>
      <c r="G1134" s="26" t="str">
        <f>"ALVARO OBREGON                                                                  "</f>
        <v xml:space="preserve">ALVARO OBREGON                                                                  </v>
      </c>
      <c r="H1134" s="26" t="str">
        <f>"005"</f>
        <v>005</v>
      </c>
      <c r="I1134" s="26" t="str">
        <f t="shared" si="186"/>
        <v>00</v>
      </c>
      <c r="J1134" s="26" t="str">
        <f>"53 "</f>
        <v xml:space="preserve">53 </v>
      </c>
      <c r="K1134" s="26" t="str">
        <f t="shared" si="190"/>
        <v>SG</v>
      </c>
      <c r="L1134" s="26" t="str">
        <f t="shared" si="191"/>
        <v>DGOSE</v>
      </c>
      <c r="M1134" s="26" t="str">
        <f t="shared" si="187"/>
        <v>PARTICULAR</v>
      </c>
      <c r="N1134" s="26">
        <v>63</v>
      </c>
      <c r="O1134" s="26">
        <v>29</v>
      </c>
      <c r="P1134" s="26">
        <v>34</v>
      </c>
      <c r="Q1134" s="26">
        <v>3</v>
      </c>
      <c r="R1134" s="26">
        <v>1</v>
      </c>
      <c r="S1134" s="26">
        <v>12</v>
      </c>
      <c r="T1134" s="26">
        <v>0</v>
      </c>
      <c r="U1134" s="26">
        <v>13</v>
      </c>
      <c r="V1134" s="26">
        <v>1</v>
      </c>
      <c r="W1134" s="26"/>
    </row>
    <row r="1135" spans="1:23" x14ac:dyDescent="0.25">
      <c r="A1135" s="26" t="str">
        <f t="shared" si="184"/>
        <v>SECUNDARIA</v>
      </c>
      <c r="B1135" s="26" t="str">
        <f>"09PES0779S"</f>
        <v>09PES0779S</v>
      </c>
      <c r="C1135" s="26" t="str">
        <f>"""CENTRO DE EDUCACION SECUNDARIA PERSONALIZADA""                                                      "</f>
        <v xml:space="preserve">"CENTRO DE EDUCACION SECUNDARIA PERSONALIZADA"                                                      </v>
      </c>
      <c r="D1135" s="26" t="str">
        <f t="shared" si="185"/>
        <v>MATUTINO</v>
      </c>
      <c r="E1135" s="26" t="str">
        <f>"PABLO VERONES NUM. 65                                                           "</f>
        <v xml:space="preserve">PABLO VERONES NUM. 65                                                           </v>
      </c>
      <c r="F1135" s="26" t="str">
        <f>"ALFONSO XIII                                                                                                                                "</f>
        <v xml:space="preserve">ALFONSO XIII                                                                                                                                </v>
      </c>
      <c r="G1135" s="26" t="str">
        <f>"ALVARO OBREGON                                                                  "</f>
        <v xml:space="preserve">ALVARO OBREGON                                                                  </v>
      </c>
      <c r="H1135" s="26" t="str">
        <f>"002"</f>
        <v>002</v>
      </c>
      <c r="I1135" s="26" t="str">
        <f t="shared" si="186"/>
        <v>00</v>
      </c>
      <c r="J1135" s="26" t="str">
        <f>"53 "</f>
        <v xml:space="preserve">53 </v>
      </c>
      <c r="K1135" s="26" t="str">
        <f t="shared" si="190"/>
        <v>SG</v>
      </c>
      <c r="L1135" s="26" t="str">
        <f t="shared" si="191"/>
        <v>DGOSE</v>
      </c>
      <c r="M1135" s="26" t="str">
        <f t="shared" si="187"/>
        <v>PARTICULAR</v>
      </c>
      <c r="N1135" s="26">
        <v>53</v>
      </c>
      <c r="O1135" s="26">
        <v>32</v>
      </c>
      <c r="P1135" s="26">
        <v>21</v>
      </c>
      <c r="Q1135" s="26">
        <v>3</v>
      </c>
      <c r="R1135" s="26">
        <v>1</v>
      </c>
      <c r="S1135" s="26">
        <v>9</v>
      </c>
      <c r="T1135" s="26">
        <v>0</v>
      </c>
      <c r="U1135" s="26">
        <v>10</v>
      </c>
      <c r="V1135" s="26">
        <v>1</v>
      </c>
      <c r="W1135" s="26"/>
    </row>
    <row r="1136" spans="1:23" x14ac:dyDescent="0.25">
      <c r="A1136" s="26" t="str">
        <f t="shared" si="184"/>
        <v>SECUNDARIA</v>
      </c>
      <c r="B1136" s="26" t="str">
        <f>"09PES0780H"</f>
        <v>09PES0780H</v>
      </c>
      <c r="C1136" s="26" t="str">
        <f>"""MARIA IZQUIERDO""                                                                                   "</f>
        <v xml:space="preserve">"MARIA IZQUIERDO"                                                                                   </v>
      </c>
      <c r="D1136" s="26" t="str">
        <f t="shared" si="185"/>
        <v>MATUTINO</v>
      </c>
      <c r="E1136" s="26" t="str">
        <f>"NORTE 9-A NO 5144                                                               "</f>
        <v xml:space="preserve">NORTE 9-A NO 5144                                                               </v>
      </c>
      <c r="F1136" s="26" t="str">
        <f>"PANAMERICANA                                                                                                                                "</f>
        <v xml:space="preserve">PANAMERICANA                                                                                                                                </v>
      </c>
      <c r="G1136" s="26" t="str">
        <f>"GUSTAVO A. MADERO                                                               "</f>
        <v xml:space="preserve">GUSTAVO A. MADERO                                                               </v>
      </c>
      <c r="H1136" s="26" t="str">
        <f>"033"</f>
        <v>033</v>
      </c>
      <c r="I1136" s="26" t="str">
        <f t="shared" si="186"/>
        <v>00</v>
      </c>
      <c r="J1136" s="26" t="str">
        <f>"52 "</f>
        <v xml:space="preserve">52 </v>
      </c>
      <c r="K1136" s="26" t="str">
        <f t="shared" si="190"/>
        <v>SG</v>
      </c>
      <c r="L1136" s="26" t="str">
        <f t="shared" si="191"/>
        <v>DGOSE</v>
      </c>
      <c r="M1136" s="26" t="str">
        <f t="shared" si="187"/>
        <v>PARTICULAR</v>
      </c>
      <c r="N1136" s="26">
        <v>33</v>
      </c>
      <c r="O1136" s="26">
        <v>19</v>
      </c>
      <c r="P1136" s="26">
        <v>14</v>
      </c>
      <c r="Q1136" s="26">
        <v>3</v>
      </c>
      <c r="R1136" s="26">
        <v>1</v>
      </c>
      <c r="S1136" s="26">
        <v>8</v>
      </c>
      <c r="T1136" s="26">
        <v>1</v>
      </c>
      <c r="U1136" s="26">
        <v>10</v>
      </c>
      <c r="V1136" s="26">
        <v>1</v>
      </c>
      <c r="W1136" s="26"/>
    </row>
    <row r="1137" spans="1:23" x14ac:dyDescent="0.25">
      <c r="A1137" s="26" t="str">
        <f t="shared" si="184"/>
        <v>SECUNDARIA</v>
      </c>
      <c r="B1137" s="26" t="str">
        <f>"09PES0781G"</f>
        <v>09PES0781G</v>
      </c>
      <c r="C1137" s="26" t="str">
        <f>""" CENTRO DE APRENDIZAJE W. EDWARDS DEMING ""                                                         "</f>
        <v xml:space="preserve">" CENTRO DE APRENDIZAJE W. EDWARDS DEMING "                                                         </v>
      </c>
      <c r="D1137" s="26" t="str">
        <f t="shared" si="185"/>
        <v>MATUTINO</v>
      </c>
      <c r="E1137" s="26" t="str">
        <f>"PRIVADA CAPITAN RODRIGUEZ ARENAS NO 11                                          "</f>
        <v xml:space="preserve">PRIVADA CAPITAN RODRIGUEZ ARENAS NO 11                                          </v>
      </c>
      <c r="F1137" s="26" t="str">
        <f>"AGRICOLA PANTITLAN                                                                                                                          "</f>
        <v xml:space="preserve">AGRICOLA PANTITLAN                                                                                                                          </v>
      </c>
      <c r="G1137" s="26" t="str">
        <f>"IZTACALCO                                                                       "</f>
        <v xml:space="preserve">IZTACALCO                                                                       </v>
      </c>
      <c r="H1137" s="26" t="str">
        <f>"046"</f>
        <v>046</v>
      </c>
      <c r="I1137" s="26" t="str">
        <f t="shared" si="186"/>
        <v>00</v>
      </c>
      <c r="J1137" s="26" t="str">
        <f>"54 "</f>
        <v xml:space="preserve">54 </v>
      </c>
      <c r="K1137" s="26" t="str">
        <f t="shared" si="190"/>
        <v>SG</v>
      </c>
      <c r="L1137" s="26" t="str">
        <f t="shared" si="191"/>
        <v>DGOSE</v>
      </c>
      <c r="M1137" s="26" t="str">
        <f t="shared" si="187"/>
        <v>PARTICULAR</v>
      </c>
      <c r="N1137" s="26">
        <v>88</v>
      </c>
      <c r="O1137" s="26">
        <v>44</v>
      </c>
      <c r="P1137" s="26">
        <v>44</v>
      </c>
      <c r="Q1137" s="26">
        <v>4</v>
      </c>
      <c r="R1137" s="26">
        <v>2</v>
      </c>
      <c r="S1137" s="26">
        <v>11</v>
      </c>
      <c r="T1137" s="26">
        <v>1</v>
      </c>
      <c r="U1137" s="26">
        <v>14</v>
      </c>
      <c r="V1137" s="26">
        <v>1</v>
      </c>
      <c r="W1137" s="26"/>
    </row>
    <row r="1138" spans="1:23" x14ac:dyDescent="0.25">
      <c r="A1138" s="26" t="str">
        <f t="shared" si="184"/>
        <v>SECUNDARIA</v>
      </c>
      <c r="B1138" s="26" t="str">
        <f>"09PES0782F"</f>
        <v>09PES0782F</v>
      </c>
      <c r="C1138" s="26" t="str">
        <f>"""INSTITUTO LICEO EUROPEO""                                                                           "</f>
        <v xml:space="preserve">"INSTITUTO LICEO EUROPEO"                                                                           </v>
      </c>
      <c r="D1138" s="26" t="str">
        <f t="shared" si="185"/>
        <v>MATUTINO</v>
      </c>
      <c r="E1138" s="26" t="str">
        <f>"JESUS GALINDO Y VILLA NO 120                                                    "</f>
        <v xml:space="preserve">JESUS GALINDO Y VILLA NO 120                                                    </v>
      </c>
      <c r="F1138" s="26" t="str">
        <f>"ZARAGOZA                                                                                                                                    "</f>
        <v xml:space="preserve">ZARAGOZA                                                                                                                                    </v>
      </c>
      <c r="G1138" s="26" t="str">
        <f>"VENUSTIANO CARRANZA                                                             "</f>
        <v xml:space="preserve">VENUSTIANO CARRANZA                                                             </v>
      </c>
      <c r="H1138" s="26" t="str">
        <f>"078"</f>
        <v>078</v>
      </c>
      <c r="I1138" s="26" t="str">
        <f t="shared" si="186"/>
        <v>00</v>
      </c>
      <c r="J1138" s="26" t="str">
        <f>"54 "</f>
        <v xml:space="preserve">54 </v>
      </c>
      <c r="K1138" s="26" t="str">
        <f t="shared" si="190"/>
        <v>SG</v>
      </c>
      <c r="L1138" s="26" t="str">
        <f t="shared" si="191"/>
        <v>DGOSE</v>
      </c>
      <c r="M1138" s="26" t="str">
        <f t="shared" si="187"/>
        <v>PARTICULAR</v>
      </c>
      <c r="N1138" s="26">
        <v>222</v>
      </c>
      <c r="O1138" s="26">
        <v>120</v>
      </c>
      <c r="P1138" s="26">
        <v>102</v>
      </c>
      <c r="Q1138" s="26">
        <v>7</v>
      </c>
      <c r="R1138" s="26">
        <v>2</v>
      </c>
      <c r="S1138" s="26">
        <v>14</v>
      </c>
      <c r="T1138" s="26">
        <v>0</v>
      </c>
      <c r="U1138" s="26">
        <v>16</v>
      </c>
      <c r="V1138" s="26">
        <v>1</v>
      </c>
      <c r="W1138" s="26"/>
    </row>
    <row r="1139" spans="1:23" x14ac:dyDescent="0.25">
      <c r="A1139" s="26" t="str">
        <f t="shared" si="184"/>
        <v>SECUNDARIA</v>
      </c>
      <c r="B1139" s="26" t="str">
        <f>"09PES0784D"</f>
        <v>09PES0784D</v>
      </c>
      <c r="C1139" s="26" t="str">
        <f>"""COLEGIO COLUMBIA""                                                                                  "</f>
        <v xml:space="preserve">"COLEGIO COLUMBIA"                                                                                  </v>
      </c>
      <c r="D1139" s="26" t="str">
        <f t="shared" si="185"/>
        <v>MATUTINO</v>
      </c>
      <c r="E1139" s="26" t="str">
        <f>"BONDOJITO NO 290                                                                "</f>
        <v xml:space="preserve">BONDOJITO NO 290                                                                </v>
      </c>
      <c r="F1139" s="26" t="str">
        <f>"ESTADO DE HIDALGO                                                                                                                           "</f>
        <v xml:space="preserve">ESTADO DE HIDALGO                                                                                                                           </v>
      </c>
      <c r="G1139" s="26" t="str">
        <f>"ALVARO OBREGON                                                                  "</f>
        <v xml:space="preserve">ALVARO OBREGON                                                                  </v>
      </c>
      <c r="H1139" s="26" t="str">
        <f>"003"</f>
        <v>003</v>
      </c>
      <c r="I1139" s="26" t="str">
        <f t="shared" si="186"/>
        <v>00</v>
      </c>
      <c r="J1139" s="26" t="str">
        <f>"53 "</f>
        <v xml:space="preserve">53 </v>
      </c>
      <c r="K1139" s="26" t="str">
        <f t="shared" si="190"/>
        <v>SG</v>
      </c>
      <c r="L1139" s="26" t="str">
        <f t="shared" si="191"/>
        <v>DGOSE</v>
      </c>
      <c r="M1139" s="26" t="str">
        <f t="shared" si="187"/>
        <v>PARTICULAR</v>
      </c>
      <c r="N1139" s="26">
        <v>142</v>
      </c>
      <c r="O1139" s="26">
        <v>66</v>
      </c>
      <c r="P1139" s="26">
        <v>76</v>
      </c>
      <c r="Q1139" s="26">
        <v>7</v>
      </c>
      <c r="R1139" s="26">
        <v>0</v>
      </c>
      <c r="S1139" s="26">
        <v>21</v>
      </c>
      <c r="T1139" s="26">
        <v>2</v>
      </c>
      <c r="U1139" s="26">
        <v>23</v>
      </c>
      <c r="V1139" s="26">
        <v>1</v>
      </c>
      <c r="W1139" s="26"/>
    </row>
    <row r="1140" spans="1:23" x14ac:dyDescent="0.25">
      <c r="A1140" s="26" t="str">
        <f t="shared" si="184"/>
        <v>SECUNDARIA</v>
      </c>
      <c r="B1140" s="26" t="str">
        <f>"09PES0785C"</f>
        <v>09PES0785C</v>
      </c>
      <c r="C1140" s="26" t="str">
        <f>"""ESCUELA MODERNA AMERICANA""                                                                         "</f>
        <v xml:space="preserve">"ESCUELA MODERNA AMERICANA"                                                                         </v>
      </c>
      <c r="D1140" s="26" t="str">
        <f t="shared" si="185"/>
        <v>MATUTINO</v>
      </c>
      <c r="E1140" s="26" t="str">
        <f>"CERRO DEL HOMBRE NO 18                                                          "</f>
        <v xml:space="preserve">CERRO DEL HOMBRE NO 18                                                          </v>
      </c>
      <c r="F1140" s="26" t="str">
        <f>"ROMERO DE TERREROS FRACCIONAMIENTO                                                                                                          "</f>
        <v xml:space="preserve">ROMERO DE TERREROS FRACCIONAMIENTO                                                                                                          </v>
      </c>
      <c r="G1140" s="26" t="str">
        <f>"COYOACAN                                                                        "</f>
        <v xml:space="preserve">COYOACAN                                                                        </v>
      </c>
      <c r="H1140" s="26" t="str">
        <f>"018"</f>
        <v>018</v>
      </c>
      <c r="I1140" s="26" t="str">
        <f t="shared" si="186"/>
        <v>00</v>
      </c>
      <c r="J1140" s="26" t="str">
        <f>"54 "</f>
        <v xml:space="preserve">54 </v>
      </c>
      <c r="K1140" s="26" t="str">
        <f t="shared" si="190"/>
        <v>SG</v>
      </c>
      <c r="L1140" s="26" t="str">
        <f t="shared" si="191"/>
        <v>DGOSE</v>
      </c>
      <c r="M1140" s="26" t="str">
        <f t="shared" si="187"/>
        <v>PARTICULAR</v>
      </c>
      <c r="N1140" s="26">
        <v>330</v>
      </c>
      <c r="O1140" s="26">
        <v>156</v>
      </c>
      <c r="P1140" s="26">
        <v>174</v>
      </c>
      <c r="Q1140" s="26">
        <v>9</v>
      </c>
      <c r="R1140" s="26">
        <v>2</v>
      </c>
      <c r="S1140" s="26">
        <v>22</v>
      </c>
      <c r="T1140" s="26">
        <v>4</v>
      </c>
      <c r="U1140" s="26">
        <v>28</v>
      </c>
      <c r="V1140" s="26">
        <v>1</v>
      </c>
      <c r="W1140" s="26"/>
    </row>
    <row r="1141" spans="1:23" x14ac:dyDescent="0.25">
      <c r="A1141" s="26" t="str">
        <f t="shared" si="184"/>
        <v>SECUNDARIA</v>
      </c>
      <c r="B1141" s="26" t="str">
        <f>"09PES0786B"</f>
        <v>09PES0786B</v>
      </c>
      <c r="C1141" s="26" t="str">
        <f>"""COLEGIO MARTINAK""                                                                                  "</f>
        <v xml:space="preserve">"COLEGIO MARTINAK"                                                                                  </v>
      </c>
      <c r="D1141" s="26" t="str">
        <f t="shared" si="185"/>
        <v>MATUTINO</v>
      </c>
      <c r="E1141" s="26" t="str">
        <f>"DOCTOR VERTIZ NO 936                                                            "</f>
        <v xml:space="preserve">DOCTOR VERTIZ NO 936                                                            </v>
      </c>
      <c r="F1141" s="26" t="str">
        <f>"NARVARTE                                                                                                                                    "</f>
        <v xml:space="preserve">NARVARTE                                                                                                                                    </v>
      </c>
      <c r="G1141" s="26" t="str">
        <f>"BENITO JUAREZ                                                                   "</f>
        <v xml:space="preserve">BENITO JUAREZ                                                                   </v>
      </c>
      <c r="H1141" s="26" t="str">
        <f>"012"</f>
        <v>012</v>
      </c>
      <c r="I1141" s="26" t="str">
        <f t="shared" si="186"/>
        <v>00</v>
      </c>
      <c r="J1141" s="26" t="str">
        <f>"53 "</f>
        <v xml:space="preserve">53 </v>
      </c>
      <c r="K1141" s="26" t="str">
        <f t="shared" si="190"/>
        <v>SG</v>
      </c>
      <c r="L1141" s="26" t="str">
        <f t="shared" si="191"/>
        <v>DGOSE</v>
      </c>
      <c r="M1141" s="26" t="str">
        <f t="shared" si="187"/>
        <v>PARTICULAR</v>
      </c>
      <c r="N1141" s="26">
        <v>85</v>
      </c>
      <c r="O1141" s="26">
        <v>37</v>
      </c>
      <c r="P1141" s="26">
        <v>48</v>
      </c>
      <c r="Q1141" s="26">
        <v>4</v>
      </c>
      <c r="R1141" s="26">
        <v>2</v>
      </c>
      <c r="S1141" s="26">
        <v>13</v>
      </c>
      <c r="T1141" s="26">
        <v>2</v>
      </c>
      <c r="U1141" s="26">
        <v>17</v>
      </c>
      <c r="V1141" s="26">
        <v>1</v>
      </c>
      <c r="W1141" s="26"/>
    </row>
    <row r="1142" spans="1:23" x14ac:dyDescent="0.25">
      <c r="A1142" s="26" t="str">
        <f t="shared" si="184"/>
        <v>SECUNDARIA</v>
      </c>
      <c r="B1142" s="26" t="str">
        <f>"09PES0787A"</f>
        <v>09PES0787A</v>
      </c>
      <c r="C1142" s="26" t="str">
        <f>"""BACHILLERATO ALEXANDER BAIN""                                                                       "</f>
        <v xml:space="preserve">"BACHILLERATO ALEXANDER BAIN"                                                                       </v>
      </c>
      <c r="D1142" s="26" t="str">
        <f t="shared" si="185"/>
        <v>MATUTINO</v>
      </c>
      <c r="E1142" s="26" t="str">
        <f>"LAS FLORES NO 497                                                               "</f>
        <v xml:space="preserve">LAS FLORES NO 497                                                               </v>
      </c>
      <c r="F1142" s="26" t="str">
        <f>"TLACOPAC                                                                                                                                    "</f>
        <v xml:space="preserve">TLACOPAC                                                                                                                                    </v>
      </c>
      <c r="G1142" s="26" t="str">
        <f>"ALVARO OBREGON                                                                  "</f>
        <v xml:space="preserve">ALVARO OBREGON                                                                  </v>
      </c>
      <c r="H1142" s="26" t="str">
        <f>"001"</f>
        <v>001</v>
      </c>
      <c r="I1142" s="26" t="str">
        <f t="shared" si="186"/>
        <v>00</v>
      </c>
      <c r="J1142" s="26" t="str">
        <f>"53 "</f>
        <v xml:space="preserve">53 </v>
      </c>
      <c r="K1142" s="26" t="str">
        <f t="shared" si="190"/>
        <v>SG</v>
      </c>
      <c r="L1142" s="26" t="str">
        <f t="shared" si="191"/>
        <v>DGOSE</v>
      </c>
      <c r="M1142" s="26" t="str">
        <f t="shared" si="187"/>
        <v>PARTICULAR</v>
      </c>
      <c r="N1142" s="26">
        <v>340</v>
      </c>
      <c r="O1142" s="26">
        <v>165</v>
      </c>
      <c r="P1142" s="26">
        <v>175</v>
      </c>
      <c r="Q1142" s="26">
        <v>12</v>
      </c>
      <c r="R1142" s="26">
        <v>1</v>
      </c>
      <c r="S1142" s="26">
        <v>20</v>
      </c>
      <c r="T1142" s="26">
        <v>5</v>
      </c>
      <c r="U1142" s="26">
        <v>26</v>
      </c>
      <c r="V1142" s="26">
        <v>1</v>
      </c>
      <c r="W1142" s="26"/>
    </row>
    <row r="1143" spans="1:23" x14ac:dyDescent="0.25">
      <c r="A1143" s="26" t="str">
        <f t="shared" si="184"/>
        <v>SECUNDARIA</v>
      </c>
      <c r="B1143" s="26" t="str">
        <f>"09PES0790O"</f>
        <v>09PES0790O</v>
      </c>
      <c r="C1143" s="26" t="str">
        <f>"""CENTRO DE INTEGRACION EDUCATIVA""                                                                   "</f>
        <v xml:space="preserve">"CENTRO DE INTEGRACION EDUCATIVA"                                                                   </v>
      </c>
      <c r="D1143" s="26" t="str">
        <f t="shared" si="185"/>
        <v>MATUTINO</v>
      </c>
      <c r="E1143" s="26" t="str">
        <f>"AV CASA DE LA MONEDA NO 214                                                     "</f>
        <v xml:space="preserve">AV CASA DE LA MONEDA NO 214                                                     </v>
      </c>
      <c r="F1143" s="26" t="str">
        <f>"10 DE ABRIL                                                                                                                                 "</f>
        <v xml:space="preserve">10 DE ABRIL                                                                                                                                 </v>
      </c>
      <c r="G1143" s="26" t="str">
        <f>"MIGUEL HIDALGO                                                                  "</f>
        <v xml:space="preserve">MIGUEL HIDALGO                                                                  </v>
      </c>
      <c r="H1143" s="26" t="str">
        <f>"062"</f>
        <v>062</v>
      </c>
      <c r="I1143" s="26" t="str">
        <f t="shared" si="186"/>
        <v>00</v>
      </c>
      <c r="J1143" s="26" t="str">
        <f>"51 "</f>
        <v xml:space="preserve">51 </v>
      </c>
      <c r="K1143" s="26" t="str">
        <f t="shared" si="190"/>
        <v>SG</v>
      </c>
      <c r="L1143" s="26" t="str">
        <f t="shared" si="191"/>
        <v>DGOSE</v>
      </c>
      <c r="M1143" s="26" t="str">
        <f t="shared" si="187"/>
        <v>PARTICULAR</v>
      </c>
      <c r="N1143" s="26">
        <v>55</v>
      </c>
      <c r="O1143" s="26">
        <v>34</v>
      </c>
      <c r="P1143" s="26">
        <v>21</v>
      </c>
      <c r="Q1143" s="26">
        <v>3</v>
      </c>
      <c r="R1143" s="26">
        <v>2</v>
      </c>
      <c r="S1143" s="26">
        <v>13</v>
      </c>
      <c r="T1143" s="26">
        <v>5</v>
      </c>
      <c r="U1143" s="26">
        <v>20</v>
      </c>
      <c r="V1143" s="26">
        <v>1</v>
      </c>
      <c r="W1143" s="26"/>
    </row>
    <row r="1144" spans="1:23" x14ac:dyDescent="0.25">
      <c r="A1144" s="26" t="str">
        <f t="shared" si="184"/>
        <v>SECUNDARIA</v>
      </c>
      <c r="B1144" s="26" t="str">
        <f>"09PES0791N"</f>
        <v>09PES0791N</v>
      </c>
      <c r="C1144" s="26" t="str">
        <f>"""COLEGIO DEL TEPEYAC""                                                                               "</f>
        <v xml:space="preserve">"COLEGIO DEL TEPEYAC"                                                                               </v>
      </c>
      <c r="D1144" s="26" t="str">
        <f t="shared" si="185"/>
        <v>MATUTINO</v>
      </c>
      <c r="E1144" s="26" t="str">
        <f>"AV CALLAO NO 842                                                                "</f>
        <v xml:space="preserve">AV CALLAO NO 842                                                                </v>
      </c>
      <c r="F1144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1144" s="26" t="str">
        <f>"GUSTAVO A. MADERO                                                               "</f>
        <v xml:space="preserve">GUSTAVO A. MADERO                                                               </v>
      </c>
      <c r="H1144" s="26" t="str">
        <f>"034"</f>
        <v>034</v>
      </c>
      <c r="I1144" s="26" t="str">
        <f t="shared" si="186"/>
        <v>00</v>
      </c>
      <c r="J1144" s="26" t="str">
        <f>"52 "</f>
        <v xml:space="preserve">52 </v>
      </c>
      <c r="K1144" s="26" t="str">
        <f t="shared" si="190"/>
        <v>SG</v>
      </c>
      <c r="L1144" s="26" t="str">
        <f t="shared" si="191"/>
        <v>DGOSE</v>
      </c>
      <c r="M1144" s="26" t="str">
        <f t="shared" si="187"/>
        <v>PARTICULAR</v>
      </c>
      <c r="N1144" s="26">
        <v>479</v>
      </c>
      <c r="O1144" s="26">
        <v>265</v>
      </c>
      <c r="P1144" s="26">
        <v>214</v>
      </c>
      <c r="Q1144" s="26">
        <v>14</v>
      </c>
      <c r="R1144" s="26">
        <v>1</v>
      </c>
      <c r="S1144" s="26">
        <v>31</v>
      </c>
      <c r="T1144" s="26">
        <v>5</v>
      </c>
      <c r="U1144" s="26">
        <v>37</v>
      </c>
      <c r="V1144" s="26">
        <v>1</v>
      </c>
      <c r="W1144" s="26"/>
    </row>
    <row r="1145" spans="1:23" x14ac:dyDescent="0.25">
      <c r="A1145" s="26" t="str">
        <f t="shared" si="184"/>
        <v>SECUNDARIA</v>
      </c>
      <c r="B1145" s="26" t="str">
        <f>"09PES0792M"</f>
        <v>09PES0792M</v>
      </c>
      <c r="C1145" s="26" t="str">
        <f>"""COLEGIO FRANCO INGLES""                                                                             "</f>
        <v xml:space="preserve">"COLEGIO FRANCO INGLES"                                                                             </v>
      </c>
      <c r="D1145" s="26" t="str">
        <f t="shared" si="185"/>
        <v>MATUTINO</v>
      </c>
      <c r="E1145" s="26" t="str">
        <f>"ANTIGUO CAMINO A TECAMACHALCO NO 686                                            "</f>
        <v xml:space="preserve">ANTIGUO CAMINO A TECAMACHALCO NO 686                                            </v>
      </c>
      <c r="F1145" s="26" t="str">
        <f>"LOMAS DE VISTA HERMOSA                                                                                                                      "</f>
        <v xml:space="preserve">LOMAS DE VISTA HERMOSA                                                                                                                      </v>
      </c>
      <c r="G1145" s="26" t="str">
        <f>"CUAJIMALPA DE MORELOS                                                           "</f>
        <v xml:space="preserve">CUAJIMALPA DE MORELOS                                                           </v>
      </c>
      <c r="H1145" s="26" t="str">
        <f>"023"</f>
        <v>023</v>
      </c>
      <c r="I1145" s="26" t="str">
        <f t="shared" si="186"/>
        <v>00</v>
      </c>
      <c r="J1145" s="26" t="str">
        <f>"53 "</f>
        <v xml:space="preserve">53 </v>
      </c>
      <c r="K1145" s="26" t="str">
        <f t="shared" si="190"/>
        <v>SG</v>
      </c>
      <c r="L1145" s="26" t="str">
        <f t="shared" si="191"/>
        <v>DGOSE</v>
      </c>
      <c r="M1145" s="26" t="str">
        <f t="shared" si="187"/>
        <v>PARTICULAR</v>
      </c>
      <c r="N1145" s="26">
        <v>270</v>
      </c>
      <c r="O1145" s="26">
        <v>156</v>
      </c>
      <c r="P1145" s="26">
        <v>114</v>
      </c>
      <c r="Q1145" s="26">
        <v>10</v>
      </c>
      <c r="R1145" s="26">
        <v>2</v>
      </c>
      <c r="S1145" s="26">
        <v>20</v>
      </c>
      <c r="T1145" s="26">
        <v>0</v>
      </c>
      <c r="U1145" s="26">
        <v>22</v>
      </c>
      <c r="V1145" s="26">
        <v>1</v>
      </c>
      <c r="W1145" s="26"/>
    </row>
    <row r="1146" spans="1:23" x14ac:dyDescent="0.25">
      <c r="A1146" s="26" t="str">
        <f t="shared" si="184"/>
        <v>SECUNDARIA</v>
      </c>
      <c r="B1146" s="26" t="str">
        <f>"09PES0793L"</f>
        <v>09PES0793L</v>
      </c>
      <c r="C1146" s="26" t="str">
        <f>"""FRAY MATIAS DE CORDOVA""                                                                            "</f>
        <v xml:space="preserve">"FRAY MATIAS DE CORDOVA"                                                                            </v>
      </c>
      <c r="D1146" s="26" t="str">
        <f t="shared" si="185"/>
        <v>MATUTINO</v>
      </c>
      <c r="E1146" s="26" t="str">
        <f>"AV CENTENARIO NO 395                                                            "</f>
        <v xml:space="preserve">AV CENTENARIO NO 395                                                            </v>
      </c>
      <c r="F1146" s="26" t="str">
        <f>"NEXTENGO                                                                                                                                    "</f>
        <v xml:space="preserve">NEXTENGO                                                                                                                                    </v>
      </c>
      <c r="G1146" s="26" t="str">
        <f>"AZCAPOTZALCO                                                                    "</f>
        <v xml:space="preserve">AZCAPOTZALCO                                                                    </v>
      </c>
      <c r="H1146" s="26" t="str">
        <f>"009"</f>
        <v>009</v>
      </c>
      <c r="I1146" s="26" t="str">
        <f t="shared" si="186"/>
        <v>00</v>
      </c>
      <c r="J1146" s="26" t="str">
        <f>"51 "</f>
        <v xml:space="preserve">51 </v>
      </c>
      <c r="K1146" s="26" t="str">
        <f t="shared" si="190"/>
        <v>SG</v>
      </c>
      <c r="L1146" s="26" t="str">
        <f t="shared" si="191"/>
        <v>DGOSE</v>
      </c>
      <c r="M1146" s="26" t="str">
        <f t="shared" si="187"/>
        <v>PARTICULAR</v>
      </c>
      <c r="N1146" s="26">
        <v>129</v>
      </c>
      <c r="O1146" s="26">
        <v>51</v>
      </c>
      <c r="P1146" s="26">
        <v>78</v>
      </c>
      <c r="Q1146" s="26">
        <v>5</v>
      </c>
      <c r="R1146" s="26">
        <v>1</v>
      </c>
      <c r="S1146" s="26">
        <v>14</v>
      </c>
      <c r="T1146" s="26">
        <v>5</v>
      </c>
      <c r="U1146" s="26">
        <v>20</v>
      </c>
      <c r="V1146" s="26">
        <v>1</v>
      </c>
      <c r="W1146" s="26"/>
    </row>
    <row r="1147" spans="1:23" x14ac:dyDescent="0.25">
      <c r="A1147" s="26" t="str">
        <f t="shared" si="184"/>
        <v>SECUNDARIA</v>
      </c>
      <c r="B1147" s="26" t="str">
        <f>"09PES0794K"</f>
        <v>09PES0794K</v>
      </c>
      <c r="C1147" s="26" t="str">
        <f>"""INSTITUTO ESTADO DE MEXICO""                                                                        "</f>
        <v xml:space="preserve">"INSTITUTO ESTADO DE MEXICO"                                                                        </v>
      </c>
      <c r="D1147" s="26" t="str">
        <f t="shared" si="185"/>
        <v>MATUTINO</v>
      </c>
      <c r="E1147" s="26" t="str">
        <f>"FLORESTA NO 138                                                                 "</f>
        <v xml:space="preserve">FLORESTA NO 138                                                                 </v>
      </c>
      <c r="F1147" s="26" t="str">
        <f>"CLAVERIA                                                                                                                                    "</f>
        <v xml:space="preserve">CLAVERIA                                                                                                                                    </v>
      </c>
      <c r="G1147" s="26" t="str">
        <f>"AZCAPOTZALCO                                                                    "</f>
        <v xml:space="preserve">AZCAPOTZALCO                                                                    </v>
      </c>
      <c r="H1147" s="26" t="str">
        <f>"009"</f>
        <v>009</v>
      </c>
      <c r="I1147" s="26" t="str">
        <f t="shared" si="186"/>
        <v>00</v>
      </c>
      <c r="J1147" s="26" t="str">
        <f>"51 "</f>
        <v xml:space="preserve">51 </v>
      </c>
      <c r="K1147" s="26" t="str">
        <f t="shared" si="190"/>
        <v>SG</v>
      </c>
      <c r="L1147" s="26" t="str">
        <f t="shared" si="191"/>
        <v>DGOSE</v>
      </c>
      <c r="M1147" s="26" t="str">
        <f t="shared" si="187"/>
        <v>PARTICULAR</v>
      </c>
      <c r="N1147" s="26">
        <v>154</v>
      </c>
      <c r="O1147" s="26">
        <v>85</v>
      </c>
      <c r="P1147" s="26">
        <v>69</v>
      </c>
      <c r="Q1147" s="26">
        <v>6</v>
      </c>
      <c r="R1147" s="26">
        <v>2</v>
      </c>
      <c r="S1147" s="26">
        <v>12</v>
      </c>
      <c r="T1147" s="26">
        <v>3</v>
      </c>
      <c r="U1147" s="26">
        <v>17</v>
      </c>
      <c r="V1147" s="26">
        <v>1</v>
      </c>
      <c r="W1147" s="26"/>
    </row>
    <row r="1148" spans="1:23" x14ac:dyDescent="0.25">
      <c r="A1148" s="26" t="str">
        <f t="shared" si="184"/>
        <v>SECUNDARIA</v>
      </c>
      <c r="B1148" s="26" t="str">
        <f>"09PES0795J"</f>
        <v>09PES0795J</v>
      </c>
      <c r="C1148" s="26" t="str">
        <f>"""CARROLL LEWIS""                                                                                     "</f>
        <v xml:space="preserve">"CARROLL LEWIS"                                                                                     </v>
      </c>
      <c r="D1148" s="26" t="str">
        <f t="shared" si="185"/>
        <v>MATUTINO</v>
      </c>
      <c r="E1148" s="26" t="str">
        <f>"NARCISO MARIA LORETO NO 29                                                      "</f>
        <v xml:space="preserve">NARCISO MARIA LORETO NO 29                                                      </v>
      </c>
      <c r="F1148" s="26" t="str">
        <f>"SANTA CATARINA YECAHUIZOTL PUEBLO                                                                                                           "</f>
        <v xml:space="preserve">SANTA CATARINA YECAHUIZOTL PUEBLO                                                                                                           </v>
      </c>
      <c r="G1148" s="26" t="str">
        <f>"TLAHUAC                                                                         "</f>
        <v xml:space="preserve">TLAHUAC                                                                         </v>
      </c>
      <c r="H1148" s="26" t="str">
        <f>"067"</f>
        <v>067</v>
      </c>
      <c r="I1148" s="26" t="str">
        <f t="shared" si="186"/>
        <v>00</v>
      </c>
      <c r="J1148" s="26" t="str">
        <f>"55 "</f>
        <v xml:space="preserve">55 </v>
      </c>
      <c r="K1148" s="26" t="str">
        <f t="shared" si="190"/>
        <v>SG</v>
      </c>
      <c r="L1148" s="26" t="str">
        <f t="shared" si="191"/>
        <v>DGOSE</v>
      </c>
      <c r="M1148" s="26" t="str">
        <f t="shared" si="187"/>
        <v>PARTICULAR</v>
      </c>
      <c r="N1148" s="26">
        <v>24</v>
      </c>
      <c r="O1148" s="26">
        <v>13</v>
      </c>
      <c r="P1148" s="26">
        <v>11</v>
      </c>
      <c r="Q1148" s="26">
        <v>3</v>
      </c>
      <c r="R1148" s="26">
        <v>0</v>
      </c>
      <c r="S1148" s="26">
        <v>12</v>
      </c>
      <c r="T1148" s="26">
        <v>0</v>
      </c>
      <c r="U1148" s="26">
        <v>12</v>
      </c>
      <c r="V1148" s="26">
        <v>1</v>
      </c>
      <c r="W1148" s="26"/>
    </row>
    <row r="1149" spans="1:23" x14ac:dyDescent="0.25">
      <c r="A1149" s="26" t="str">
        <f t="shared" si="184"/>
        <v>SECUNDARIA</v>
      </c>
      <c r="B1149" s="26" t="str">
        <f>"09PES0797H"</f>
        <v>09PES0797H</v>
      </c>
      <c r="C1149" s="26" t="str">
        <f>"""COLEGIO ALAMO""                                                                                     "</f>
        <v xml:space="preserve">"COLEGIO ALAMO"                                                                                     </v>
      </c>
      <c r="D1149" s="26" t="str">
        <f t="shared" si="185"/>
        <v>MATUTINO</v>
      </c>
      <c r="E1149" s="26" t="str">
        <f>"CERRADA DEL OCOTE NO 7                                                          "</f>
        <v xml:space="preserve">CERRADA DEL OCOTE NO 7                                                          </v>
      </c>
      <c r="F1149" s="26" t="str">
        <f>"SAN JOSE DE LOS CEDROS                                                                                                                      "</f>
        <v xml:space="preserve">SAN JOSE DE LOS CEDROS                                                                                                                      </v>
      </c>
      <c r="G1149" s="26" t="str">
        <f>"CUAJIMALPA DE MORELOS                                                           "</f>
        <v xml:space="preserve">CUAJIMALPA DE MORELOS                                                           </v>
      </c>
      <c r="H1149" s="26" t="str">
        <f>"023"</f>
        <v>023</v>
      </c>
      <c r="I1149" s="26" t="str">
        <f t="shared" si="186"/>
        <v>00</v>
      </c>
      <c r="J1149" s="26" t="str">
        <f>"53 "</f>
        <v xml:space="preserve">53 </v>
      </c>
      <c r="K1149" s="26" t="str">
        <f t="shared" si="190"/>
        <v>SG</v>
      </c>
      <c r="L1149" s="26" t="str">
        <f t="shared" si="191"/>
        <v>DGOSE</v>
      </c>
      <c r="M1149" s="26" t="str">
        <f t="shared" si="187"/>
        <v>PARTICULAR</v>
      </c>
      <c r="N1149" s="26">
        <v>68</v>
      </c>
      <c r="O1149" s="26">
        <v>36</v>
      </c>
      <c r="P1149" s="26">
        <v>32</v>
      </c>
      <c r="Q1149" s="26">
        <v>4</v>
      </c>
      <c r="R1149" s="26">
        <v>1</v>
      </c>
      <c r="S1149" s="26">
        <v>11</v>
      </c>
      <c r="T1149" s="26">
        <v>4</v>
      </c>
      <c r="U1149" s="26">
        <v>16</v>
      </c>
      <c r="V1149" s="26">
        <v>1</v>
      </c>
      <c r="W1149" s="26"/>
    </row>
    <row r="1150" spans="1:23" x14ac:dyDescent="0.25">
      <c r="A1150" s="26" t="str">
        <f t="shared" si="184"/>
        <v>SECUNDARIA</v>
      </c>
      <c r="B1150" s="26" t="str">
        <f>"09PES0798G"</f>
        <v>09PES0798G</v>
      </c>
      <c r="C1150" s="26" t="str">
        <f>"""CENTRO EDUCATIVO ANGLO MEXICANO""                                                                   "</f>
        <v xml:space="preserve">"CENTRO EDUCATIVO ANGLO MEXICANO"                                                                   </v>
      </c>
      <c r="D1150" s="26" t="str">
        <f t="shared" si="185"/>
        <v>MATUTINO</v>
      </c>
      <c r="E1150" s="26" t="str">
        <f>"CALZADA DE LAS AGUILAS NO 272                                                   "</f>
        <v xml:space="preserve">CALZADA DE LAS AGUILAS NO 272                                                   </v>
      </c>
      <c r="F1150" s="26" t="str">
        <f>"LAS AGUILAS                                                                                                                                 "</f>
        <v xml:space="preserve">LAS AGUILAS                                                                                                                                 </v>
      </c>
      <c r="G1150" s="26" t="str">
        <f>"ALVARO OBREGON                                                                  "</f>
        <v xml:space="preserve">ALVARO OBREGON                                                                  </v>
      </c>
      <c r="H1150" s="26" t="str">
        <f>"005"</f>
        <v>005</v>
      </c>
      <c r="I1150" s="26" t="str">
        <f t="shared" si="186"/>
        <v>00</v>
      </c>
      <c r="J1150" s="26" t="str">
        <f>"53 "</f>
        <v xml:space="preserve">53 </v>
      </c>
      <c r="K1150" s="26" t="str">
        <f t="shared" si="190"/>
        <v>SG</v>
      </c>
      <c r="L1150" s="26" t="str">
        <f t="shared" si="191"/>
        <v>DGOSE</v>
      </c>
      <c r="M1150" s="26" t="str">
        <f t="shared" si="187"/>
        <v>PARTICULAR</v>
      </c>
      <c r="N1150" s="26">
        <v>463</v>
      </c>
      <c r="O1150" s="26">
        <v>239</v>
      </c>
      <c r="P1150" s="26">
        <v>224</v>
      </c>
      <c r="Q1150" s="26">
        <v>17</v>
      </c>
      <c r="R1150" s="26">
        <v>1</v>
      </c>
      <c r="S1150" s="26">
        <v>25</v>
      </c>
      <c r="T1150" s="26">
        <v>5</v>
      </c>
      <c r="U1150" s="26">
        <v>31</v>
      </c>
      <c r="V1150" s="26">
        <v>1</v>
      </c>
      <c r="W1150" s="26"/>
    </row>
    <row r="1151" spans="1:23" x14ac:dyDescent="0.25">
      <c r="A1151" s="26" t="str">
        <f t="shared" si="184"/>
        <v>SECUNDARIA</v>
      </c>
      <c r="B1151" s="26" t="str">
        <f>"09PES0799F"</f>
        <v>09PES0799F</v>
      </c>
      <c r="C1151" s="26" t="str">
        <f>"""COLEGIO VISTA HERMOSA""                                                                             "</f>
        <v xml:space="preserve">"COLEGIO VISTA HERMOSA"                                                                             </v>
      </c>
      <c r="D1151" s="26" t="str">
        <f t="shared" si="185"/>
        <v>MATUTINO</v>
      </c>
      <c r="E1151" s="26" t="str">
        <f>"AV LOMAS DE VISTA HERMOSA NO 221                                                "</f>
        <v xml:space="preserve">AV LOMAS DE VISTA HERMOSA NO 221                                                </v>
      </c>
      <c r="F1151" s="26" t="str">
        <f>"LOMAS DE VISTA HERMOSA                                                                                                                      "</f>
        <v xml:space="preserve">LOMAS DE VISTA HERMOSA                                                                                                                      </v>
      </c>
      <c r="G1151" s="26" t="str">
        <f>"CUAJIMALPA DE MORELOS                                                           "</f>
        <v xml:space="preserve">CUAJIMALPA DE MORELOS                                                           </v>
      </c>
      <c r="H1151" s="26" t="str">
        <f>"023"</f>
        <v>023</v>
      </c>
      <c r="I1151" s="26" t="str">
        <f t="shared" si="186"/>
        <v>00</v>
      </c>
      <c r="J1151" s="26" t="str">
        <f>"53 "</f>
        <v xml:space="preserve">53 </v>
      </c>
      <c r="K1151" s="26" t="str">
        <f t="shared" si="190"/>
        <v>SG</v>
      </c>
      <c r="L1151" s="26" t="str">
        <f t="shared" si="191"/>
        <v>DGOSE</v>
      </c>
      <c r="M1151" s="26" t="str">
        <f t="shared" si="187"/>
        <v>PARTICULAR</v>
      </c>
      <c r="N1151" s="26">
        <v>415</v>
      </c>
      <c r="O1151" s="26">
        <v>201</v>
      </c>
      <c r="P1151" s="26">
        <v>214</v>
      </c>
      <c r="Q1151" s="26">
        <v>18</v>
      </c>
      <c r="R1151" s="26">
        <v>2</v>
      </c>
      <c r="S1151" s="26">
        <v>40</v>
      </c>
      <c r="T1151" s="26">
        <v>3</v>
      </c>
      <c r="U1151" s="26">
        <v>45</v>
      </c>
      <c r="V1151" s="26">
        <v>1</v>
      </c>
      <c r="W1151" s="26"/>
    </row>
    <row r="1152" spans="1:23" x14ac:dyDescent="0.25">
      <c r="A1152" s="26" t="str">
        <f t="shared" si="184"/>
        <v>SECUNDARIA</v>
      </c>
      <c r="B1152" s="26" t="str">
        <f>"09PES0800E"</f>
        <v>09PES0800E</v>
      </c>
      <c r="C1152" s="26" t="str">
        <f>"""COLEGIO FRANCO ESPAÑOL""                                                                            "</f>
        <v xml:space="preserve">"COLEGIO FRANCO ESPAÑOL"                                                                            </v>
      </c>
      <c r="D1152" s="26" t="str">
        <f t="shared" si="185"/>
        <v>MATUTINO</v>
      </c>
      <c r="E1152" s="26" t="str">
        <f>"CALZADA MEXICO XOCHIMILCO NO 88                                                 "</f>
        <v xml:space="preserve">CALZADA MEXICO XOCHIMILCO NO 88                                                 </v>
      </c>
      <c r="F1152" s="26" t="str">
        <f>"HUIPULCO                                                                                                                                    "</f>
        <v xml:space="preserve">HUIPULCO                                                                                                                                    </v>
      </c>
      <c r="G1152" s="26" t="str">
        <f>"TLALPAN                                                                         "</f>
        <v xml:space="preserve">TLALPAN                                                                         </v>
      </c>
      <c r="H1152" s="26" t="str">
        <f>"073"</f>
        <v>073</v>
      </c>
      <c r="I1152" s="26" t="str">
        <f t="shared" si="186"/>
        <v>00</v>
      </c>
      <c r="J1152" s="26" t="str">
        <f>"55 "</f>
        <v xml:space="preserve">55 </v>
      </c>
      <c r="K1152" s="26" t="str">
        <f t="shared" si="190"/>
        <v>SG</v>
      </c>
      <c r="L1152" s="26" t="str">
        <f t="shared" si="191"/>
        <v>DGOSE</v>
      </c>
      <c r="M1152" s="26" t="str">
        <f t="shared" si="187"/>
        <v>PARTICULAR</v>
      </c>
      <c r="N1152" s="26">
        <v>155</v>
      </c>
      <c r="O1152" s="26">
        <v>82</v>
      </c>
      <c r="P1152" s="26">
        <v>73</v>
      </c>
      <c r="Q1152" s="26">
        <v>8</v>
      </c>
      <c r="R1152" s="26">
        <v>2</v>
      </c>
      <c r="S1152" s="26">
        <v>15</v>
      </c>
      <c r="T1152" s="26">
        <v>3</v>
      </c>
      <c r="U1152" s="26">
        <v>20</v>
      </c>
      <c r="V1152" s="26">
        <v>1</v>
      </c>
      <c r="W1152" s="26"/>
    </row>
    <row r="1153" spans="1:23" x14ac:dyDescent="0.25">
      <c r="A1153" s="26" t="str">
        <f t="shared" si="184"/>
        <v>SECUNDARIA</v>
      </c>
      <c r="B1153" s="26" t="str">
        <f>"09PES0802C"</f>
        <v>09PES0802C</v>
      </c>
      <c r="C1153" s="26" t="str">
        <f>"""INSTITUTO MEXICO SECUNDARIA""                                                                       "</f>
        <v xml:space="preserve">"INSTITUTO MEXICO SECUNDARIA"                                                                       </v>
      </c>
      <c r="D1153" s="26" t="str">
        <f t="shared" si="185"/>
        <v>MATUTINO</v>
      </c>
      <c r="E1153" s="26" t="str">
        <f>"POPOCATEPETL NO 545                                                             "</f>
        <v xml:space="preserve">POPOCATEPETL NO 545                                                             </v>
      </c>
      <c r="F1153" s="26" t="str">
        <f>"SANTA CRUZ ATOYAC                                                                                                                           "</f>
        <v xml:space="preserve">SANTA CRUZ ATOYAC                                                                                                                           </v>
      </c>
      <c r="G1153" s="26" t="str">
        <f>"BENITO JUAREZ                                                                   "</f>
        <v xml:space="preserve">BENITO JUAREZ                                                                   </v>
      </c>
      <c r="H1153" s="26" t="str">
        <f>"016"</f>
        <v>016</v>
      </c>
      <c r="I1153" s="26" t="str">
        <f t="shared" si="186"/>
        <v>00</v>
      </c>
      <c r="J1153" s="26" t="str">
        <f>"53 "</f>
        <v xml:space="preserve">53 </v>
      </c>
      <c r="K1153" s="26" t="str">
        <f t="shared" si="190"/>
        <v>SG</v>
      </c>
      <c r="L1153" s="26" t="str">
        <f t="shared" si="191"/>
        <v>DGOSE</v>
      </c>
      <c r="M1153" s="26" t="str">
        <f t="shared" si="187"/>
        <v>PARTICULAR</v>
      </c>
      <c r="N1153" s="26">
        <v>1055</v>
      </c>
      <c r="O1153" s="26">
        <v>616</v>
      </c>
      <c r="P1153" s="26">
        <v>439</v>
      </c>
      <c r="Q1153" s="26">
        <v>25</v>
      </c>
      <c r="R1153" s="26">
        <v>2</v>
      </c>
      <c r="S1153" s="26">
        <v>50</v>
      </c>
      <c r="T1153" s="26">
        <v>12</v>
      </c>
      <c r="U1153" s="26">
        <v>64</v>
      </c>
      <c r="V1153" s="26">
        <v>1</v>
      </c>
      <c r="W1153" s="26"/>
    </row>
    <row r="1154" spans="1:23" x14ac:dyDescent="0.25">
      <c r="A1154" s="26" t="str">
        <f t="shared" ref="A1154:A1217" si="192">"SECUNDARIA"</f>
        <v>SECUNDARIA</v>
      </c>
      <c r="B1154" s="26" t="str">
        <f>"09PES0803B"</f>
        <v>09PES0803B</v>
      </c>
      <c r="C1154" s="26" t="str">
        <f>"""COLEGIO MEXICO BACHILLERATO""                                                                       "</f>
        <v xml:space="preserve">"COLEGIO MEXICO BACHILLERATO"                                                                       </v>
      </c>
      <c r="D1154" s="26" t="str">
        <f t="shared" si="185"/>
        <v>MATUTINO</v>
      </c>
      <c r="E1154" s="26" t="str">
        <f>"EL BORDO NO 178                                                                 "</f>
        <v xml:space="preserve">EL BORDO NO 178                                                                 </v>
      </c>
      <c r="F1154" s="26" t="str">
        <f>"VERGEL DEL SUR                                                                                                                              "</f>
        <v xml:space="preserve">VERGEL DEL SUR                                                                                                                              </v>
      </c>
      <c r="G1154" s="26" t="str">
        <f>"TLALPAN                                                                         "</f>
        <v xml:space="preserve">TLALPAN                                                                         </v>
      </c>
      <c r="H1154" s="26" t="str">
        <f>"070"</f>
        <v>070</v>
      </c>
      <c r="I1154" s="26" t="str">
        <f t="shared" si="186"/>
        <v>00</v>
      </c>
      <c r="J1154" s="26" t="str">
        <f>"55 "</f>
        <v xml:space="preserve">55 </v>
      </c>
      <c r="K1154" s="26" t="str">
        <f t="shared" si="190"/>
        <v>SG</v>
      </c>
      <c r="L1154" s="26" t="str">
        <f t="shared" si="191"/>
        <v>DGOSE</v>
      </c>
      <c r="M1154" s="26" t="str">
        <f t="shared" si="187"/>
        <v>PARTICULAR</v>
      </c>
      <c r="N1154" s="26">
        <v>587</v>
      </c>
      <c r="O1154" s="26">
        <v>312</v>
      </c>
      <c r="P1154" s="26">
        <v>275</v>
      </c>
      <c r="Q1154" s="26">
        <v>13</v>
      </c>
      <c r="R1154" s="26">
        <v>2</v>
      </c>
      <c r="S1154" s="26">
        <v>34</v>
      </c>
      <c r="T1154" s="26">
        <v>18</v>
      </c>
      <c r="U1154" s="26">
        <v>54</v>
      </c>
      <c r="V1154" s="26">
        <v>1</v>
      </c>
      <c r="W1154" s="26"/>
    </row>
    <row r="1155" spans="1:23" x14ac:dyDescent="0.25">
      <c r="A1155" s="26" t="str">
        <f t="shared" si="192"/>
        <v>SECUNDARIA</v>
      </c>
      <c r="B1155" s="26" t="str">
        <f>"09PES0804A"</f>
        <v>09PES0804A</v>
      </c>
      <c r="C1155" s="26" t="str">
        <f>"""COLEGIO MERICI""                                                                                    "</f>
        <v xml:space="preserve">"COLEGIO MERICI"                                                                                    </v>
      </c>
      <c r="D1155" s="26" t="str">
        <f t="shared" ref="D1155:D1218" si="193">"MATUTINO"</f>
        <v>MATUTINO</v>
      </c>
      <c r="E1155" s="26" t="str">
        <f>"GRANJAS NO 45                                                                   "</f>
        <v xml:space="preserve">GRANJAS NO 45                                                                   </v>
      </c>
      <c r="F1155" s="26" t="str">
        <f>"GRAJAS DE PALO ALTO                                                                                                                         "</f>
        <v xml:space="preserve">GRAJAS DE PALO ALTO                                                                                                                         </v>
      </c>
      <c r="G1155" s="26" t="str">
        <f>"CUAJIMALPA DE MORELOS                                                           "</f>
        <v xml:space="preserve">CUAJIMALPA DE MORELOS                                                           </v>
      </c>
      <c r="H1155" s="26" t="str">
        <f>"024"</f>
        <v>024</v>
      </c>
      <c r="I1155" s="26" t="str">
        <f t="shared" si="186"/>
        <v>00</v>
      </c>
      <c r="J1155" s="26" t="str">
        <f>"53 "</f>
        <v xml:space="preserve">53 </v>
      </c>
      <c r="K1155" s="26" t="str">
        <f t="shared" si="190"/>
        <v>SG</v>
      </c>
      <c r="L1155" s="26" t="str">
        <f t="shared" si="191"/>
        <v>DGOSE</v>
      </c>
      <c r="M1155" s="26" t="str">
        <f t="shared" si="187"/>
        <v>PARTICULAR</v>
      </c>
      <c r="N1155" s="26">
        <v>193</v>
      </c>
      <c r="O1155" s="26">
        <v>104</v>
      </c>
      <c r="P1155" s="26">
        <v>89</v>
      </c>
      <c r="Q1155" s="26">
        <v>10</v>
      </c>
      <c r="R1155" s="26">
        <v>2</v>
      </c>
      <c r="S1155" s="26">
        <v>21</v>
      </c>
      <c r="T1155" s="26">
        <v>5</v>
      </c>
      <c r="U1155" s="26">
        <v>28</v>
      </c>
      <c r="V1155" s="26">
        <v>1</v>
      </c>
      <c r="W1155" s="26"/>
    </row>
    <row r="1156" spans="1:23" x14ac:dyDescent="0.25">
      <c r="A1156" s="26" t="str">
        <f t="shared" si="192"/>
        <v>SECUNDARIA</v>
      </c>
      <c r="B1156" s="26" t="str">
        <f>"09PES0805Z"</f>
        <v>09PES0805Z</v>
      </c>
      <c r="C1156" s="26" t="str">
        <f>"""COLEGIO GUADALUPE""                                                                                 "</f>
        <v xml:space="preserve">"COLEGIO GUADALUPE"                                                                                 </v>
      </c>
      <c r="D1156" s="26" t="str">
        <f t="shared" si="193"/>
        <v>MATUTINO</v>
      </c>
      <c r="E1156" s="26" t="str">
        <f>"MANAGUA NUMERO 852                                                              "</f>
        <v xml:space="preserve">MANAGUA NUMERO 852                                                              </v>
      </c>
      <c r="F1156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1156" s="26" t="str">
        <f>"GUSTAVO A. MADERO                                                               "</f>
        <v xml:space="preserve">GUSTAVO A. MADERO                                                               </v>
      </c>
      <c r="H1156" s="26" t="str">
        <f>"035"</f>
        <v>035</v>
      </c>
      <c r="I1156" s="26" t="str">
        <f t="shared" si="186"/>
        <v>00</v>
      </c>
      <c r="J1156" s="26" t="str">
        <f>"52 "</f>
        <v xml:space="preserve">52 </v>
      </c>
      <c r="K1156" s="26" t="str">
        <f t="shared" si="190"/>
        <v>SG</v>
      </c>
      <c r="L1156" s="26" t="str">
        <f t="shared" si="191"/>
        <v>DGOSE</v>
      </c>
      <c r="M1156" s="26" t="str">
        <f t="shared" si="187"/>
        <v>PARTICULAR</v>
      </c>
      <c r="N1156" s="26">
        <v>277</v>
      </c>
      <c r="O1156" s="26">
        <v>0</v>
      </c>
      <c r="P1156" s="26">
        <v>277</v>
      </c>
      <c r="Q1156" s="26">
        <v>9</v>
      </c>
      <c r="R1156" s="26">
        <v>1</v>
      </c>
      <c r="S1156" s="26">
        <v>26</v>
      </c>
      <c r="T1156" s="26">
        <v>8</v>
      </c>
      <c r="U1156" s="26">
        <v>35</v>
      </c>
      <c r="V1156" s="26">
        <v>1</v>
      </c>
      <c r="W1156" s="26"/>
    </row>
    <row r="1157" spans="1:23" x14ac:dyDescent="0.25">
      <c r="A1157" s="26" t="str">
        <f t="shared" si="192"/>
        <v>SECUNDARIA</v>
      </c>
      <c r="B1157" s="26" t="str">
        <f>"09PES0806Z"</f>
        <v>09PES0806Z</v>
      </c>
      <c r="C1157" s="26" t="str">
        <f>"""INSTITUTO LUIS VIVES""                                                                              "</f>
        <v xml:space="preserve">"INSTITUTO LUIS VIVES"                                                                              </v>
      </c>
      <c r="D1157" s="26" t="str">
        <f t="shared" si="193"/>
        <v>MATUTINO</v>
      </c>
      <c r="E1157" s="26" t="str">
        <f>"BENJAMIN FRANKLIN NO 38                                                         "</f>
        <v xml:space="preserve">BENJAMIN FRANKLIN NO 38                                                         </v>
      </c>
      <c r="F1157" s="26" t="str">
        <f>"ESCANDON                                                                                                                                    "</f>
        <v xml:space="preserve">ESCANDON                                                                                                                                    </v>
      </c>
      <c r="G1157" s="26" t="str">
        <f>"MIGUEL HIDALGO                                                                  "</f>
        <v xml:space="preserve">MIGUEL HIDALGO                                                                  </v>
      </c>
      <c r="H1157" s="26" t="str">
        <f>"060"</f>
        <v>060</v>
      </c>
      <c r="I1157" s="26" t="str">
        <f t="shared" si="186"/>
        <v>00</v>
      </c>
      <c r="J1157" s="26" t="str">
        <f>"51 "</f>
        <v xml:space="preserve">51 </v>
      </c>
      <c r="K1157" s="26" t="str">
        <f t="shared" si="190"/>
        <v>SG</v>
      </c>
      <c r="L1157" s="26" t="str">
        <f t="shared" si="191"/>
        <v>DGOSE</v>
      </c>
      <c r="M1157" s="26" t="str">
        <f t="shared" si="187"/>
        <v>PARTICULAR</v>
      </c>
      <c r="N1157" s="26">
        <v>69</v>
      </c>
      <c r="O1157" s="26">
        <v>31</v>
      </c>
      <c r="P1157" s="26">
        <v>38</v>
      </c>
      <c r="Q1157" s="26">
        <v>3</v>
      </c>
      <c r="R1157" s="26">
        <v>2</v>
      </c>
      <c r="S1157" s="26">
        <v>16</v>
      </c>
      <c r="T1157" s="26">
        <v>14</v>
      </c>
      <c r="U1157" s="26">
        <v>32</v>
      </c>
      <c r="V1157" s="26">
        <v>1</v>
      </c>
      <c r="W1157" s="26"/>
    </row>
    <row r="1158" spans="1:23" x14ac:dyDescent="0.25">
      <c r="A1158" s="26" t="str">
        <f t="shared" si="192"/>
        <v>SECUNDARIA</v>
      </c>
      <c r="B1158" s="26" t="str">
        <f>"09PES0808X"</f>
        <v>09PES0808X</v>
      </c>
      <c r="C1158" s="26" t="str">
        <f>"""COLEGIO INGLES MICHAEL FARADAY""                                                                    "</f>
        <v xml:space="preserve">"COLEGIO INGLES MICHAEL FARADAY"                                                                    </v>
      </c>
      <c r="D1158" s="26" t="str">
        <f t="shared" si="193"/>
        <v>MATUTINO</v>
      </c>
      <c r="E1158" s="26" t="str">
        <f>"AV JOSE LORETO FABELA NO 36                                                     "</f>
        <v xml:space="preserve">AV JOSE LORETO FABELA NO 36                                                     </v>
      </c>
      <c r="F1158" s="26" t="str">
        <f>"CASAS ALEMAN AMPLIACION                                                                                                                     "</f>
        <v xml:space="preserve">CASAS ALEMAN AMPLIACION                                                                                                                     </v>
      </c>
      <c r="G1158" s="26" t="str">
        <f>"GUSTAVO A. MADERO                                                               "</f>
        <v xml:space="preserve">GUSTAVO A. MADERO                                                               </v>
      </c>
      <c r="H1158" s="26" t="str">
        <f>"041"</f>
        <v>041</v>
      </c>
      <c r="I1158" s="26" t="str">
        <f t="shared" si="186"/>
        <v>00</v>
      </c>
      <c r="J1158" s="26" t="str">
        <f>"52 "</f>
        <v xml:space="preserve">52 </v>
      </c>
      <c r="K1158" s="26" t="str">
        <f t="shared" si="190"/>
        <v>SG</v>
      </c>
      <c r="L1158" s="26" t="str">
        <f t="shared" si="191"/>
        <v>DGOSE</v>
      </c>
      <c r="M1158" s="26" t="str">
        <f t="shared" si="187"/>
        <v>PARTICULAR</v>
      </c>
      <c r="N1158" s="26">
        <v>66</v>
      </c>
      <c r="O1158" s="26">
        <v>32</v>
      </c>
      <c r="P1158" s="26">
        <v>34</v>
      </c>
      <c r="Q1158" s="26">
        <v>3</v>
      </c>
      <c r="R1158" s="26">
        <v>1</v>
      </c>
      <c r="S1158" s="26">
        <v>15</v>
      </c>
      <c r="T1158" s="26">
        <v>3</v>
      </c>
      <c r="U1158" s="26">
        <v>19</v>
      </c>
      <c r="V1158" s="26">
        <v>1</v>
      </c>
      <c r="W1158" s="26"/>
    </row>
    <row r="1159" spans="1:23" x14ac:dyDescent="0.25">
      <c r="A1159" s="26" t="str">
        <f t="shared" si="192"/>
        <v>SECUNDARIA</v>
      </c>
      <c r="B1159" s="26" t="str">
        <f>"09PES0813I"</f>
        <v>09PES0813I</v>
      </c>
      <c r="C1159" s="26" t="str">
        <f>"COLEGIO VANCOUVER                                                                                   "</f>
        <v xml:space="preserve">COLEGIO VANCOUVER                                                                                   </v>
      </c>
      <c r="D1159" s="26" t="str">
        <f t="shared" si="193"/>
        <v>MATUTINO</v>
      </c>
      <c r="E1159" s="26" t="str">
        <f>"MANUEL ZEPEDA MEDRANO NO. 5                                                     "</f>
        <v xml:space="preserve">MANUEL ZEPEDA MEDRANO NO. 5                                                     </v>
      </c>
      <c r="F1159" s="26" t="str">
        <f>"CONSTITUCION 1917                                                                                                                           "</f>
        <v xml:space="preserve">CONSTITUCION 1917                                                                                                                           </v>
      </c>
      <c r="G1159" s="26" t="str">
        <f>"IZTAPALAPA                                                                      "</f>
        <v xml:space="preserve">IZTAPALAPA                                                                      </v>
      </c>
      <c r="H1159" s="26" t="str">
        <f>"000"</f>
        <v>000</v>
      </c>
      <c r="I1159" s="26" t="str">
        <f t="shared" ref="I1159:I1196" si="194">"00"</f>
        <v>00</v>
      </c>
      <c r="J1159" s="26" t="str">
        <f>"62 "</f>
        <v xml:space="preserve">62 </v>
      </c>
      <c r="K1159" s="26" t="str">
        <f>"IZ"</f>
        <v>IZ</v>
      </c>
      <c r="L1159" s="26" t="str">
        <f>"DGSEI"</f>
        <v>DGSEI</v>
      </c>
      <c r="M1159" s="26" t="str">
        <f t="shared" si="187"/>
        <v>PARTICULAR</v>
      </c>
      <c r="N1159" s="26">
        <v>22</v>
      </c>
      <c r="O1159" s="26">
        <v>13</v>
      </c>
      <c r="P1159" s="26">
        <v>9</v>
      </c>
      <c r="Q1159" s="26">
        <v>3</v>
      </c>
      <c r="R1159" s="26">
        <v>1</v>
      </c>
      <c r="S1159" s="26">
        <v>10</v>
      </c>
      <c r="T1159" s="26">
        <v>1</v>
      </c>
      <c r="U1159" s="26">
        <v>12</v>
      </c>
      <c r="V1159" s="26">
        <v>1</v>
      </c>
      <c r="W1159" s="26"/>
    </row>
    <row r="1160" spans="1:23" x14ac:dyDescent="0.25">
      <c r="A1160" s="26" t="str">
        <f t="shared" si="192"/>
        <v>SECUNDARIA</v>
      </c>
      <c r="B1160" s="26" t="str">
        <f>"09PES0814H"</f>
        <v>09PES0814H</v>
      </c>
      <c r="C1160" s="26" t="str">
        <f>""" LICEO ALBERT EINSTEIN ""                                                                           "</f>
        <v xml:space="preserve">" LICEO ALBERT EINSTEIN "                                                                           </v>
      </c>
      <c r="D1160" s="26" t="str">
        <f t="shared" si="193"/>
        <v>MATUTINO</v>
      </c>
      <c r="E1160" s="26" t="str">
        <f>"CALZADA DEL HUESO NUM 800                                                       "</f>
        <v xml:space="preserve">CALZADA DEL HUESO NUM 800                                                       </v>
      </c>
      <c r="F1160" s="26" t="str">
        <f>"RESIDENCIAL EX-HACIENDA COAPA                                                                                                               "</f>
        <v xml:space="preserve">RESIDENCIAL EX-HACIENDA COAPA                                                                                                               </v>
      </c>
      <c r="G1160" s="26" t="str">
        <f>"TLALPAN                                                                         "</f>
        <v xml:space="preserve">TLALPAN                                                                         </v>
      </c>
      <c r="H1160" s="26" t="str">
        <f>"070"</f>
        <v>070</v>
      </c>
      <c r="I1160" s="26" t="str">
        <f t="shared" si="194"/>
        <v>00</v>
      </c>
      <c r="J1160" s="26" t="str">
        <f>"55 "</f>
        <v xml:space="preserve">55 </v>
      </c>
      <c r="K1160" s="26" t="str">
        <f t="shared" ref="K1160:K1166" si="195">"SG"</f>
        <v>SG</v>
      </c>
      <c r="L1160" s="26" t="str">
        <f t="shared" ref="L1160:L1166" si="196">"DGOSE"</f>
        <v>DGOSE</v>
      </c>
      <c r="M1160" s="26" t="str">
        <f t="shared" si="187"/>
        <v>PARTICULAR</v>
      </c>
      <c r="N1160" s="26">
        <v>120</v>
      </c>
      <c r="O1160" s="26">
        <v>65</v>
      </c>
      <c r="P1160" s="26">
        <v>55</v>
      </c>
      <c r="Q1160" s="26">
        <v>6</v>
      </c>
      <c r="R1160" s="26">
        <v>2</v>
      </c>
      <c r="S1160" s="26">
        <v>12</v>
      </c>
      <c r="T1160" s="26">
        <v>2</v>
      </c>
      <c r="U1160" s="26">
        <v>16</v>
      </c>
      <c r="V1160" s="26">
        <v>1</v>
      </c>
      <c r="W1160" s="26"/>
    </row>
    <row r="1161" spans="1:23" x14ac:dyDescent="0.25">
      <c r="A1161" s="26" t="str">
        <f t="shared" si="192"/>
        <v>SECUNDARIA</v>
      </c>
      <c r="B1161" s="26" t="str">
        <f>"09PES0815G"</f>
        <v>09PES0815G</v>
      </c>
      <c r="C1161" s="26" t="str">
        <f>""" COLEGIO OLIVERIO CROMWELL ""                                                                       "</f>
        <v xml:space="preserve">" COLEGIO OLIVERIO CROMWELL "                                                                       </v>
      </c>
      <c r="D1161" s="26" t="str">
        <f t="shared" si="193"/>
        <v>MATUTINO</v>
      </c>
      <c r="E1161" s="26" t="str">
        <f>"UBICADO EN TZINAL NO 119                                                        "</f>
        <v xml:space="preserve">UBICADO EN TZINAL NO 119                                                        </v>
      </c>
      <c r="F1161" s="26" t="str">
        <f>"HEROES DE PADIERNA                                                                                                                          "</f>
        <v xml:space="preserve">HEROES DE PADIERNA                                                                                                                          </v>
      </c>
      <c r="G1161" s="26" t="str">
        <f>"TLALPAN                                                                         "</f>
        <v xml:space="preserve">TLALPAN                                                                         </v>
      </c>
      <c r="H1161" s="26" t="str">
        <f>"071"</f>
        <v>071</v>
      </c>
      <c r="I1161" s="26" t="str">
        <f t="shared" si="194"/>
        <v>00</v>
      </c>
      <c r="J1161" s="26" t="str">
        <f>"55 "</f>
        <v xml:space="preserve">55 </v>
      </c>
      <c r="K1161" s="26" t="str">
        <f t="shared" si="195"/>
        <v>SG</v>
      </c>
      <c r="L1161" s="26" t="str">
        <f t="shared" si="196"/>
        <v>DGOSE</v>
      </c>
      <c r="M1161" s="26" t="str">
        <f t="shared" si="187"/>
        <v>PARTICULAR</v>
      </c>
      <c r="N1161" s="26">
        <v>167</v>
      </c>
      <c r="O1161" s="26">
        <v>89</v>
      </c>
      <c r="P1161" s="26">
        <v>78</v>
      </c>
      <c r="Q1161" s="26">
        <v>8</v>
      </c>
      <c r="R1161" s="26">
        <v>2</v>
      </c>
      <c r="S1161" s="26">
        <v>18</v>
      </c>
      <c r="T1161" s="26">
        <v>2</v>
      </c>
      <c r="U1161" s="26">
        <v>22</v>
      </c>
      <c r="V1161" s="26">
        <v>1</v>
      </c>
      <c r="W1161" s="26"/>
    </row>
    <row r="1162" spans="1:23" x14ac:dyDescent="0.25">
      <c r="A1162" s="26" t="str">
        <f t="shared" si="192"/>
        <v>SECUNDARIA</v>
      </c>
      <c r="B1162" s="26" t="str">
        <f>"09PES0816F"</f>
        <v>09PES0816F</v>
      </c>
      <c r="C1162" s="26" t="str">
        <f>""" ESCUELA MEXICANA AMERICANA ""                                                                      "</f>
        <v xml:space="preserve">" ESCUELA MEXICANA AMERICANA "                                                                      </v>
      </c>
      <c r="D1162" s="26" t="str">
        <f t="shared" si="193"/>
        <v>MATUTINO</v>
      </c>
      <c r="E1162" s="26" t="str">
        <f>"UBICADO EN GABRIEL MANCERA NO 1651 ""                                            "</f>
        <v xml:space="preserve">UBICADO EN GABRIEL MANCERA NO 1651 "                                            </v>
      </c>
      <c r="F1162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1162" s="26" t="str">
        <f>"BENITO JUAREZ                                                                   "</f>
        <v xml:space="preserve">BENITO JUAREZ                                                                   </v>
      </c>
      <c r="H1162" s="26" t="str">
        <f>"014"</f>
        <v>014</v>
      </c>
      <c r="I1162" s="26" t="str">
        <f t="shared" si="194"/>
        <v>00</v>
      </c>
      <c r="J1162" s="26" t="str">
        <f>"53 "</f>
        <v xml:space="preserve">53 </v>
      </c>
      <c r="K1162" s="26" t="str">
        <f t="shared" si="195"/>
        <v>SG</v>
      </c>
      <c r="L1162" s="26" t="str">
        <f t="shared" si="196"/>
        <v>DGOSE</v>
      </c>
      <c r="M1162" s="26" t="str">
        <f t="shared" si="187"/>
        <v>PARTICULAR</v>
      </c>
      <c r="N1162" s="26">
        <v>274</v>
      </c>
      <c r="O1162" s="26">
        <v>134</v>
      </c>
      <c r="P1162" s="26">
        <v>140</v>
      </c>
      <c r="Q1162" s="26">
        <v>9</v>
      </c>
      <c r="R1162" s="26">
        <v>2</v>
      </c>
      <c r="S1162" s="26">
        <v>21</v>
      </c>
      <c r="T1162" s="26">
        <v>13</v>
      </c>
      <c r="U1162" s="26">
        <v>36</v>
      </c>
      <c r="V1162" s="26">
        <v>1</v>
      </c>
      <c r="W1162" s="26"/>
    </row>
    <row r="1163" spans="1:23" x14ac:dyDescent="0.25">
      <c r="A1163" s="26" t="str">
        <f t="shared" si="192"/>
        <v>SECUNDARIA</v>
      </c>
      <c r="B1163" s="26" t="str">
        <f>"09PES0817E"</f>
        <v>09PES0817E</v>
      </c>
      <c r="C1163" s="26" t="str">
        <f>""" COLEGIO DEL VALLE ""                                                                               "</f>
        <v xml:space="preserve">" COLEGIO DEL VALLE "                                                                               </v>
      </c>
      <c r="D1163" s="26" t="str">
        <f t="shared" si="193"/>
        <v>MATUTINO</v>
      </c>
      <c r="E1163" s="26" t="str">
        <f>"UBICADO EN MIER Y PESADO NO 227                                                 "</f>
        <v xml:space="preserve">UBICADO EN MIER Y PESADO NO 227                                                 </v>
      </c>
      <c r="F1163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1163" s="26" t="str">
        <f>"BENITO JUAREZ                                                                   "</f>
        <v xml:space="preserve">BENITO JUAREZ                                                                   </v>
      </c>
      <c r="H1163" s="26" t="str">
        <f>"012"</f>
        <v>012</v>
      </c>
      <c r="I1163" s="26" t="str">
        <f t="shared" si="194"/>
        <v>00</v>
      </c>
      <c r="J1163" s="26" t="str">
        <f>"53 "</f>
        <v xml:space="preserve">53 </v>
      </c>
      <c r="K1163" s="26" t="str">
        <f t="shared" si="195"/>
        <v>SG</v>
      </c>
      <c r="L1163" s="26" t="str">
        <f t="shared" si="196"/>
        <v>DGOSE</v>
      </c>
      <c r="M1163" s="26" t="str">
        <f t="shared" si="187"/>
        <v>PARTICULAR</v>
      </c>
      <c r="N1163" s="26">
        <v>483</v>
      </c>
      <c r="O1163" s="26">
        <v>235</v>
      </c>
      <c r="P1163" s="26">
        <v>248</v>
      </c>
      <c r="Q1163" s="26">
        <v>19</v>
      </c>
      <c r="R1163" s="26">
        <v>2</v>
      </c>
      <c r="S1163" s="26">
        <v>28</v>
      </c>
      <c r="T1163" s="26">
        <v>2</v>
      </c>
      <c r="U1163" s="26">
        <v>32</v>
      </c>
      <c r="V1163" s="26">
        <v>1</v>
      </c>
      <c r="W1163" s="26"/>
    </row>
    <row r="1164" spans="1:23" x14ac:dyDescent="0.25">
      <c r="A1164" s="26" t="str">
        <f t="shared" si="192"/>
        <v>SECUNDARIA</v>
      </c>
      <c r="B1164" s="26" t="str">
        <f>"09PES0818D"</f>
        <v>09PES0818D</v>
      </c>
      <c r="C1164" s="26" t="str">
        <f>""" INSTITUTO CUMBRES  MEXICO ""                                                                       "</f>
        <v xml:space="preserve">" INSTITUTO CUMBRES  MEXICO "                                                                       </v>
      </c>
      <c r="D1164" s="26" t="str">
        <f t="shared" si="193"/>
        <v>MATUTINO</v>
      </c>
      <c r="E1164" s="26" t="str">
        <f>"UBICADO EN ROSEDAL NO 50                                                        "</f>
        <v xml:space="preserve">UBICADO EN ROSEDAL NO 50                                                        </v>
      </c>
      <c r="F1164" s="26" t="str">
        <f>"LOMAS DE CHAPULTEPEC                                                                                                                        "</f>
        <v xml:space="preserve">LOMAS DE CHAPULTEPEC                                                                                                                        </v>
      </c>
      <c r="G1164" s="26" t="str">
        <f>"MIGUEL HIDALGO                                                                  "</f>
        <v xml:space="preserve">MIGUEL HIDALGO                                                                  </v>
      </c>
      <c r="H1164" s="26" t="str">
        <f>"061"</f>
        <v>061</v>
      </c>
      <c r="I1164" s="26" t="str">
        <f t="shared" si="194"/>
        <v>00</v>
      </c>
      <c r="J1164" s="26" t="str">
        <f>"51 "</f>
        <v xml:space="preserve">51 </v>
      </c>
      <c r="K1164" s="26" t="str">
        <f t="shared" si="195"/>
        <v>SG</v>
      </c>
      <c r="L1164" s="26" t="str">
        <f t="shared" si="196"/>
        <v>DGOSE</v>
      </c>
      <c r="M1164" s="26" t="str">
        <f t="shared" si="187"/>
        <v>PARTICULAR</v>
      </c>
      <c r="N1164" s="26">
        <v>139</v>
      </c>
      <c r="O1164" s="26">
        <v>138</v>
      </c>
      <c r="P1164" s="26">
        <v>1</v>
      </c>
      <c r="Q1164" s="26">
        <v>7</v>
      </c>
      <c r="R1164" s="26">
        <v>1</v>
      </c>
      <c r="S1164" s="26">
        <v>15</v>
      </c>
      <c r="T1164" s="26">
        <v>2</v>
      </c>
      <c r="U1164" s="26">
        <v>18</v>
      </c>
      <c r="V1164" s="26">
        <v>1</v>
      </c>
      <c r="W1164" s="26"/>
    </row>
    <row r="1165" spans="1:23" x14ac:dyDescent="0.25">
      <c r="A1165" s="26" t="str">
        <f t="shared" si="192"/>
        <v>SECUNDARIA</v>
      </c>
      <c r="B1165" s="26" t="str">
        <f>"09PES0819C"</f>
        <v>09PES0819C</v>
      </c>
      <c r="C1165" s="26" t="str">
        <f>"ALFREDO NOBEL                                                                                       "</f>
        <v xml:space="preserve">ALFREDO NOBEL                                                                                       </v>
      </c>
      <c r="D1165" s="26" t="str">
        <f t="shared" si="193"/>
        <v>MATUTINO</v>
      </c>
      <c r="E1165" s="26" t="str">
        <f>"AZALEA NUMERO 44                                                                "</f>
        <v xml:space="preserve">AZALEA NUMERO 44                                                                </v>
      </c>
      <c r="F1165" s="26" t="str">
        <f>"XALTOCAN                                                                                                                                    "</f>
        <v xml:space="preserve">XALTOCAN                                                                                                                                    </v>
      </c>
      <c r="G1165" s="26" t="str">
        <f>"XOCHIMILCO                                                                      "</f>
        <v xml:space="preserve">XOCHIMILCO                                                                      </v>
      </c>
      <c r="H1165" s="26" t="str">
        <f>"079"</f>
        <v>079</v>
      </c>
      <c r="I1165" s="26" t="str">
        <f t="shared" si="194"/>
        <v>00</v>
      </c>
      <c r="J1165" s="26" t="str">
        <f>"55 "</f>
        <v xml:space="preserve">55 </v>
      </c>
      <c r="K1165" s="26" t="str">
        <f t="shared" si="195"/>
        <v>SG</v>
      </c>
      <c r="L1165" s="26" t="str">
        <f t="shared" si="196"/>
        <v>DGOSE</v>
      </c>
      <c r="M1165" s="26" t="str">
        <f t="shared" si="187"/>
        <v>PARTICULAR</v>
      </c>
      <c r="N1165" s="26">
        <v>344</v>
      </c>
      <c r="O1165" s="26">
        <v>168</v>
      </c>
      <c r="P1165" s="26">
        <v>176</v>
      </c>
      <c r="Q1165" s="26">
        <v>13</v>
      </c>
      <c r="R1165" s="26">
        <v>2</v>
      </c>
      <c r="S1165" s="26">
        <v>22</v>
      </c>
      <c r="T1165" s="26">
        <v>0</v>
      </c>
      <c r="U1165" s="26">
        <v>24</v>
      </c>
      <c r="V1165" s="26">
        <v>1</v>
      </c>
      <c r="W1165" s="26"/>
    </row>
    <row r="1166" spans="1:23" x14ac:dyDescent="0.25">
      <c r="A1166" s="26" t="str">
        <f t="shared" si="192"/>
        <v>SECUNDARIA</v>
      </c>
      <c r="B1166" s="26" t="str">
        <f>"09PES0821R"</f>
        <v>09PES0821R</v>
      </c>
      <c r="C1166" s="26" t="str">
        <f>"""THE CHURCHILL SCHOOL""                                                                              "</f>
        <v xml:space="preserve">"THE CHURCHILL SCHOOL"                                                                              </v>
      </c>
      <c r="D1166" s="26" t="str">
        <f t="shared" si="193"/>
        <v>MATUTINO</v>
      </c>
      <c r="E1166" s="26" t="str">
        <f>"FELIPE VILLANUEVA NO 44 Y 52                                                    "</f>
        <v xml:space="preserve">FELIPE VILLANUEVA NO 44 Y 52                                                    </v>
      </c>
      <c r="F1166" s="26" t="str">
        <f>"GUADALUPE INN                                                                                                                               "</f>
        <v xml:space="preserve">GUADALUPE INN                                                                                                                               </v>
      </c>
      <c r="G1166" s="26" t="str">
        <f>"ALVARO OBREGON                                                                  "</f>
        <v xml:space="preserve">ALVARO OBREGON                                                                  </v>
      </c>
      <c r="H1166" s="26" t="str">
        <f>"001"</f>
        <v>001</v>
      </c>
      <c r="I1166" s="26" t="str">
        <f t="shared" si="194"/>
        <v>00</v>
      </c>
      <c r="J1166" s="26" t="str">
        <f>"53 "</f>
        <v xml:space="preserve">53 </v>
      </c>
      <c r="K1166" s="26" t="str">
        <f t="shared" si="195"/>
        <v>SG</v>
      </c>
      <c r="L1166" s="26" t="str">
        <f t="shared" si="196"/>
        <v>DGOSE</v>
      </c>
      <c r="M1166" s="26" t="str">
        <f t="shared" si="187"/>
        <v>PARTICULAR</v>
      </c>
      <c r="N1166" s="26">
        <v>196</v>
      </c>
      <c r="O1166" s="26">
        <v>104</v>
      </c>
      <c r="P1166" s="26">
        <v>92</v>
      </c>
      <c r="Q1166" s="26">
        <v>9</v>
      </c>
      <c r="R1166" s="26">
        <v>2</v>
      </c>
      <c r="S1166" s="26">
        <v>15</v>
      </c>
      <c r="T1166" s="26">
        <v>0</v>
      </c>
      <c r="U1166" s="26">
        <v>17</v>
      </c>
      <c r="V1166" s="26">
        <v>1</v>
      </c>
      <c r="W1166" s="26"/>
    </row>
    <row r="1167" spans="1:23" x14ac:dyDescent="0.25">
      <c r="A1167" s="26" t="str">
        <f t="shared" si="192"/>
        <v>SECUNDARIA</v>
      </c>
      <c r="B1167" s="26" t="str">
        <f>"09PES0822Q"</f>
        <v>09PES0822Q</v>
      </c>
      <c r="C1167" s="26" t="str">
        <f>"INSTITUTO HERMANOS GALEANA                                                                          "</f>
        <v xml:space="preserve">INSTITUTO HERMANOS GALEANA                                                                          </v>
      </c>
      <c r="D1167" s="26" t="str">
        <f t="shared" si="193"/>
        <v>MATUTINO</v>
      </c>
      <c r="E1167" s="26" t="str">
        <f>"VILLA CASTIN  MZ.10  LTE.1                                                      "</f>
        <v xml:space="preserve">VILLA CASTIN  MZ.10  LTE.1                                                      </v>
      </c>
      <c r="F1167" s="26" t="str">
        <f>"DESARROLLO URBANO QUETZALCOATL                                                                                                              "</f>
        <v xml:space="preserve">DESARROLLO URBANO QUETZALCOATL                                                                                                              </v>
      </c>
      <c r="G1167" s="26" t="str">
        <f>"IZTAPALAPA                                                                      "</f>
        <v xml:space="preserve">IZTAPALAPA                                                                      </v>
      </c>
      <c r="H1167" s="26" t="str">
        <f>"000"</f>
        <v>000</v>
      </c>
      <c r="I1167" s="26" t="str">
        <f t="shared" si="194"/>
        <v>00</v>
      </c>
      <c r="J1167" s="26" t="str">
        <f>"63 "</f>
        <v xml:space="preserve">63 </v>
      </c>
      <c r="K1167" s="26" t="str">
        <f>"IZ"</f>
        <v>IZ</v>
      </c>
      <c r="L1167" s="26" t="str">
        <f>"DGSEI"</f>
        <v>DGSEI</v>
      </c>
      <c r="M1167" s="26" t="str">
        <f t="shared" si="187"/>
        <v>PARTICULAR</v>
      </c>
      <c r="N1167" s="26">
        <v>102</v>
      </c>
      <c r="O1167" s="26">
        <v>52</v>
      </c>
      <c r="P1167" s="26">
        <v>50</v>
      </c>
      <c r="Q1167" s="26">
        <v>3</v>
      </c>
      <c r="R1167" s="26">
        <v>1</v>
      </c>
      <c r="S1167" s="26">
        <v>12</v>
      </c>
      <c r="T1167" s="26">
        <v>2</v>
      </c>
      <c r="U1167" s="26">
        <v>15</v>
      </c>
      <c r="V1167" s="26">
        <v>1</v>
      </c>
      <c r="W1167" s="26"/>
    </row>
    <row r="1168" spans="1:23" x14ac:dyDescent="0.25">
      <c r="A1168" s="26" t="str">
        <f t="shared" si="192"/>
        <v>SECUNDARIA</v>
      </c>
      <c r="B1168" s="26" t="str">
        <f>"09PES0824O"</f>
        <v>09PES0824O</v>
      </c>
      <c r="C1168" s="26" t="str">
        <f>"COLEGIO INPO                                                                                        "</f>
        <v xml:space="preserve">COLEGIO INPO                                                                                        </v>
      </c>
      <c r="D1168" s="26" t="str">
        <f t="shared" si="193"/>
        <v>MATUTINO</v>
      </c>
      <c r="E1168" s="26" t="str">
        <f>"ACANTO NUM 7                                                                    "</f>
        <v xml:space="preserve">ACANTO NUM 7                                                                    </v>
      </c>
      <c r="F1168" s="26" t="str">
        <f>"MIGUEL HIDALGO AMPLIACION                                                                                                                   "</f>
        <v xml:space="preserve">MIGUEL HIDALGO AMPLIACION                                                                                                                   </v>
      </c>
      <c r="G1168" s="26" t="str">
        <f>"TLALPAN                                                                         "</f>
        <v xml:space="preserve">TLALPAN                                                                         </v>
      </c>
      <c r="H1168" s="26" t="str">
        <f>"071"</f>
        <v>071</v>
      </c>
      <c r="I1168" s="26" t="str">
        <f t="shared" si="194"/>
        <v>00</v>
      </c>
      <c r="J1168" s="26" t="str">
        <f>"55 "</f>
        <v xml:space="preserve">55 </v>
      </c>
      <c r="K1168" s="26" t="str">
        <f>"SG"</f>
        <v>SG</v>
      </c>
      <c r="L1168" s="26" t="str">
        <f>"DGOSE"</f>
        <v>DGOSE</v>
      </c>
      <c r="M1168" s="26" t="str">
        <f t="shared" si="187"/>
        <v>PARTICULAR</v>
      </c>
      <c r="N1168" s="26">
        <v>79</v>
      </c>
      <c r="O1168" s="26">
        <v>50</v>
      </c>
      <c r="P1168" s="26">
        <v>29</v>
      </c>
      <c r="Q1168" s="26">
        <v>3</v>
      </c>
      <c r="R1168" s="26">
        <v>2</v>
      </c>
      <c r="S1168" s="26">
        <v>9</v>
      </c>
      <c r="T1168" s="26">
        <v>2</v>
      </c>
      <c r="U1168" s="26">
        <v>13</v>
      </c>
      <c r="V1168" s="26">
        <v>1</v>
      </c>
      <c r="W1168" s="26"/>
    </row>
    <row r="1169" spans="1:23" x14ac:dyDescent="0.25">
      <c r="A1169" s="26" t="str">
        <f t="shared" si="192"/>
        <v>SECUNDARIA</v>
      </c>
      <c r="B1169" s="26" t="str">
        <f>"09PES0825N"</f>
        <v>09PES0825N</v>
      </c>
      <c r="C1169" s="26" t="str">
        <f>"COLEGIO LIMEH COYOACAN                                                                              "</f>
        <v xml:space="preserve">COLEGIO LIMEH COYOACAN                                                                              </v>
      </c>
      <c r="D1169" s="26" t="str">
        <f t="shared" si="193"/>
        <v>MATUTINO</v>
      </c>
      <c r="E1169" s="26" t="str">
        <f>"AMERICA NUM 162                                                                 "</f>
        <v xml:space="preserve">AMERICA NUM 162                                                                 </v>
      </c>
      <c r="F1169" s="26" t="str">
        <f>"PARQUE SAN ANDRES                                                                                                                           "</f>
        <v xml:space="preserve">PARQUE SAN ANDRES                                                                                                                           </v>
      </c>
      <c r="G1169" s="26" t="str">
        <f>"COYOACAN                                                                        "</f>
        <v xml:space="preserve">COYOACAN                                                                        </v>
      </c>
      <c r="H1169" s="26" t="str">
        <f>"019"</f>
        <v>019</v>
      </c>
      <c r="I1169" s="26" t="str">
        <f t="shared" si="194"/>
        <v>00</v>
      </c>
      <c r="J1169" s="26" t="str">
        <f>"54 "</f>
        <v xml:space="preserve">54 </v>
      </c>
      <c r="K1169" s="26" t="str">
        <f>"SG"</f>
        <v>SG</v>
      </c>
      <c r="L1169" s="26" t="str">
        <f>"DGOSE"</f>
        <v>DGOSE</v>
      </c>
      <c r="M1169" s="26" t="str">
        <f t="shared" si="187"/>
        <v>PARTICULAR</v>
      </c>
      <c r="N1169" s="26">
        <v>77</v>
      </c>
      <c r="O1169" s="26">
        <v>43</v>
      </c>
      <c r="P1169" s="26">
        <v>34</v>
      </c>
      <c r="Q1169" s="26">
        <v>3</v>
      </c>
      <c r="R1169" s="26">
        <v>1</v>
      </c>
      <c r="S1169" s="26">
        <v>12</v>
      </c>
      <c r="T1169" s="26">
        <v>2</v>
      </c>
      <c r="U1169" s="26">
        <v>15</v>
      </c>
      <c r="V1169" s="26">
        <v>1</v>
      </c>
      <c r="W1169" s="26"/>
    </row>
    <row r="1170" spans="1:23" x14ac:dyDescent="0.25">
      <c r="A1170" s="26" t="str">
        <f t="shared" si="192"/>
        <v>SECUNDARIA</v>
      </c>
      <c r="B1170" s="26" t="str">
        <f>"09PES0827L"</f>
        <v>09PES0827L</v>
      </c>
      <c r="C1170" s="26" t="str">
        <f>"LICEO UNIVERSITARIO JOSÉ VASCONCELOS                                                                "</f>
        <v xml:space="preserve">LICEO UNIVERSITARIO JOSÉ VASCONCELOS                                                                </v>
      </c>
      <c r="D1170" s="26" t="str">
        <f t="shared" si="193"/>
        <v>MATUTINO</v>
      </c>
      <c r="E1170" s="26" t="str">
        <f>"CARRETERA SAN JUAN TEPENAHUAC NO 25                                             "</f>
        <v xml:space="preserve">CARRETERA SAN JUAN TEPENAHUAC NO 25                                             </v>
      </c>
      <c r="F1170" s="26" t="str">
        <f>"SANTA ANA TLACOTENCO                                                                                                                        "</f>
        <v xml:space="preserve">SANTA ANA TLACOTENCO                                                                                                                        </v>
      </c>
      <c r="G1170" s="26" t="str">
        <f>"MILPA ALTA                                                                      "</f>
        <v xml:space="preserve">MILPA ALTA                                                                      </v>
      </c>
      <c r="H1170" s="26" t="str">
        <f>"066"</f>
        <v>066</v>
      </c>
      <c r="I1170" s="26" t="str">
        <f t="shared" si="194"/>
        <v>00</v>
      </c>
      <c r="J1170" s="26" t="str">
        <f>"55 "</f>
        <v xml:space="preserve">55 </v>
      </c>
      <c r="K1170" s="26" t="str">
        <f>"SG"</f>
        <v>SG</v>
      </c>
      <c r="L1170" s="26" t="str">
        <f>"DGOSE"</f>
        <v>DGOSE</v>
      </c>
      <c r="M1170" s="26" t="str">
        <f t="shared" si="187"/>
        <v>PARTICULAR</v>
      </c>
      <c r="N1170" s="26">
        <v>68</v>
      </c>
      <c r="O1170" s="26">
        <v>37</v>
      </c>
      <c r="P1170" s="26">
        <v>31</v>
      </c>
      <c r="Q1170" s="26">
        <v>3</v>
      </c>
      <c r="R1170" s="26">
        <v>2</v>
      </c>
      <c r="S1170" s="26">
        <v>11</v>
      </c>
      <c r="T1170" s="26">
        <v>3</v>
      </c>
      <c r="U1170" s="26">
        <v>16</v>
      </c>
      <c r="V1170" s="26">
        <v>1</v>
      </c>
      <c r="W1170" s="26"/>
    </row>
    <row r="1171" spans="1:23" x14ac:dyDescent="0.25">
      <c r="A1171" s="26" t="str">
        <f t="shared" si="192"/>
        <v>SECUNDARIA</v>
      </c>
      <c r="B1171" s="26" t="str">
        <f>"09PES0828K"</f>
        <v>09PES0828K</v>
      </c>
      <c r="C1171" s="26" t="str">
        <f>""" COLEGIO SPRINGFIELD ""                                                                             "</f>
        <v xml:space="preserve">" COLEGIO SPRINGFIELD "                                                                             </v>
      </c>
      <c r="D1171" s="26" t="str">
        <f t="shared" si="193"/>
        <v>MATUTINO</v>
      </c>
      <c r="E1171" s="26" t="str">
        <f>"PROLONGACION DIVISION DE NORTE NUM 4284                                         "</f>
        <v xml:space="preserve">PROLONGACION DIVISION DE NORTE NUM 4284                                         </v>
      </c>
      <c r="F1171" s="26" t="str">
        <f>"EJIDOS DE HUIPULCO                                                                                                                          "</f>
        <v xml:space="preserve">EJIDOS DE HUIPULCO                                                                                                                          </v>
      </c>
      <c r="G1171" s="26" t="str">
        <f>"TLALPAN                                                                         "</f>
        <v xml:space="preserve">TLALPAN                                                                         </v>
      </c>
      <c r="H1171" s="26" t="str">
        <f>"070"</f>
        <v>070</v>
      </c>
      <c r="I1171" s="26" t="str">
        <f t="shared" si="194"/>
        <v>00</v>
      </c>
      <c r="J1171" s="26" t="str">
        <f>"55 "</f>
        <v xml:space="preserve">55 </v>
      </c>
      <c r="K1171" s="26" t="str">
        <f>"SG"</f>
        <v>SG</v>
      </c>
      <c r="L1171" s="26" t="str">
        <f>"DGOSE"</f>
        <v>DGOSE</v>
      </c>
      <c r="M1171" s="26" t="str">
        <f t="shared" si="187"/>
        <v>PARTICULAR</v>
      </c>
      <c r="N1171" s="26">
        <v>55</v>
      </c>
      <c r="O1171" s="26">
        <v>26</v>
      </c>
      <c r="P1171" s="26">
        <v>29</v>
      </c>
      <c r="Q1171" s="26">
        <v>3</v>
      </c>
      <c r="R1171" s="26">
        <v>1</v>
      </c>
      <c r="S1171" s="26">
        <v>11</v>
      </c>
      <c r="T1171" s="26">
        <v>1</v>
      </c>
      <c r="U1171" s="26">
        <v>13</v>
      </c>
      <c r="V1171" s="26">
        <v>1</v>
      </c>
      <c r="W1171" s="26"/>
    </row>
    <row r="1172" spans="1:23" x14ac:dyDescent="0.25">
      <c r="A1172" s="26" t="str">
        <f t="shared" si="192"/>
        <v>SECUNDARIA</v>
      </c>
      <c r="B1172" s="26" t="str">
        <f>"09PES0829J"</f>
        <v>09PES0829J</v>
      </c>
      <c r="C1172" s="26" t="str">
        <f>"INSTITUTO ROSEDAL SECUNDARIA LOMAS                                                                  "</f>
        <v xml:space="preserve">INSTITUTO ROSEDAL SECUNDARIA LOMAS                                                                  </v>
      </c>
      <c r="D1172" s="26" t="str">
        <f t="shared" si="193"/>
        <v>MATUTINO</v>
      </c>
      <c r="E1172" s="26" t="str">
        <f>"ROSEDAL NO 48                                                                   "</f>
        <v xml:space="preserve">ROSEDAL NO 48                                                                   </v>
      </c>
      <c r="F1172" s="26" t="str">
        <f>"LOMAS DE CHAPULTEPEC                                                                                                                        "</f>
        <v xml:space="preserve">LOMAS DE CHAPULTEPEC                                                                                                                        </v>
      </c>
      <c r="G1172" s="26" t="str">
        <f>"MIGUEL HIDALGO                                                                  "</f>
        <v xml:space="preserve">MIGUEL HIDALGO                                                                  </v>
      </c>
      <c r="H1172" s="26" t="str">
        <f>"061"</f>
        <v>061</v>
      </c>
      <c r="I1172" s="26" t="str">
        <f t="shared" si="194"/>
        <v>00</v>
      </c>
      <c r="J1172" s="26" t="str">
        <f>"51 "</f>
        <v xml:space="preserve">51 </v>
      </c>
      <c r="K1172" s="26" t="str">
        <f>"SG"</f>
        <v>SG</v>
      </c>
      <c r="L1172" s="26" t="str">
        <f>"DGOSE"</f>
        <v>DGOSE</v>
      </c>
      <c r="M1172" s="26" t="str">
        <f t="shared" si="187"/>
        <v>PARTICULAR</v>
      </c>
      <c r="N1172" s="26">
        <v>77</v>
      </c>
      <c r="O1172" s="26">
        <v>0</v>
      </c>
      <c r="P1172" s="26">
        <v>77</v>
      </c>
      <c r="Q1172" s="26">
        <v>4</v>
      </c>
      <c r="R1172" s="26">
        <v>2</v>
      </c>
      <c r="S1172" s="26">
        <v>7</v>
      </c>
      <c r="T1172" s="26">
        <v>3</v>
      </c>
      <c r="U1172" s="26">
        <v>12</v>
      </c>
      <c r="V1172" s="26">
        <v>1</v>
      </c>
      <c r="W1172" s="26"/>
    </row>
    <row r="1173" spans="1:23" x14ac:dyDescent="0.25">
      <c r="A1173" s="26" t="str">
        <f t="shared" si="192"/>
        <v>SECUNDARIA</v>
      </c>
      <c r="B1173" s="26" t="str">
        <f>"09PES0830Z"</f>
        <v>09PES0830Z</v>
      </c>
      <c r="C1173" s="26" t="str">
        <f>"CENTRO CULTURAL ANAHUAC                                                                             "</f>
        <v xml:space="preserve">CENTRO CULTURAL ANAHUAC                                                                             </v>
      </c>
      <c r="D1173" s="26" t="str">
        <f t="shared" si="193"/>
        <v>MATUTINO</v>
      </c>
      <c r="E1173" s="26" t="str">
        <f>"TRABAJADORAS SOCIALES NO. 223                                                   "</f>
        <v xml:space="preserve">TRABAJADORAS SOCIALES NO. 223                                                   </v>
      </c>
      <c r="F1173" s="26" t="str">
        <f>"EL SIFON                                                                                                                                    "</f>
        <v xml:space="preserve">EL SIFON                                                                                                                                    </v>
      </c>
      <c r="G1173" s="26" t="str">
        <f>"IZTAPALAPA                                                                      "</f>
        <v xml:space="preserve">IZTAPALAPA                                                                      </v>
      </c>
      <c r="H1173" s="26" t="str">
        <f>"000"</f>
        <v>000</v>
      </c>
      <c r="I1173" s="26" t="str">
        <f t="shared" si="194"/>
        <v>00</v>
      </c>
      <c r="J1173" s="26" t="str">
        <f>"61 "</f>
        <v xml:space="preserve">61 </v>
      </c>
      <c r="K1173" s="26" t="str">
        <f>"IZ"</f>
        <v>IZ</v>
      </c>
      <c r="L1173" s="26" t="str">
        <f>"DGSEI"</f>
        <v>DGSEI</v>
      </c>
      <c r="M1173" s="26" t="str">
        <f t="shared" ref="M1173:M1236" si="197">"PARTICULAR"</f>
        <v>PARTICULAR</v>
      </c>
      <c r="N1173" s="26">
        <v>222</v>
      </c>
      <c r="O1173" s="26">
        <v>110</v>
      </c>
      <c r="P1173" s="26">
        <v>112</v>
      </c>
      <c r="Q1173" s="26">
        <v>7</v>
      </c>
      <c r="R1173" s="26">
        <v>1</v>
      </c>
      <c r="S1173" s="26">
        <v>18</v>
      </c>
      <c r="T1173" s="26">
        <v>2</v>
      </c>
      <c r="U1173" s="26">
        <v>21</v>
      </c>
      <c r="V1173" s="26">
        <v>1</v>
      </c>
      <c r="W1173" s="26"/>
    </row>
    <row r="1174" spans="1:23" x14ac:dyDescent="0.25">
      <c r="A1174" s="26" t="str">
        <f t="shared" si="192"/>
        <v>SECUNDARIA</v>
      </c>
      <c r="B1174" s="26" t="str">
        <f>"09PES0831Y"</f>
        <v>09PES0831Y</v>
      </c>
      <c r="C1174" s="26" t="str">
        <f>"""COLEGIO MARTIN LUIS GUZMAN""                                                                        "</f>
        <v xml:space="preserve">"COLEGIO MARTIN LUIS GUZMAN"                                                                        </v>
      </c>
      <c r="D1174" s="26" t="str">
        <f t="shared" si="193"/>
        <v>MATUTINO</v>
      </c>
      <c r="E1174" s="26" t="str">
        <f>"NORTE 82 NUM 4415                                                               "</f>
        <v xml:space="preserve">NORTE 82 NUM 4415                                                               </v>
      </c>
      <c r="F1174" s="26" t="str">
        <f>"MALINCHE                                                                                                                                    "</f>
        <v xml:space="preserve">MALINCHE                                                                                                                                    </v>
      </c>
      <c r="G1174" s="26" t="str">
        <f>"GUSTAVO A. MADERO                                                               "</f>
        <v xml:space="preserve">GUSTAVO A. MADERO                                                               </v>
      </c>
      <c r="H1174" s="26" t="str">
        <f>"036"</f>
        <v>036</v>
      </c>
      <c r="I1174" s="26" t="str">
        <f t="shared" si="194"/>
        <v>00</v>
      </c>
      <c r="J1174" s="26" t="str">
        <f>"52 "</f>
        <v xml:space="preserve">52 </v>
      </c>
      <c r="K1174" s="26" t="str">
        <f t="shared" ref="K1174:K1179" si="198">"SG"</f>
        <v>SG</v>
      </c>
      <c r="L1174" s="26" t="str">
        <f t="shared" ref="L1174:L1179" si="199">"DGOSE"</f>
        <v>DGOSE</v>
      </c>
      <c r="M1174" s="26" t="str">
        <f t="shared" si="197"/>
        <v>PARTICULAR</v>
      </c>
      <c r="N1174" s="26">
        <v>51</v>
      </c>
      <c r="O1174" s="26">
        <v>27</v>
      </c>
      <c r="P1174" s="26">
        <v>24</v>
      </c>
      <c r="Q1174" s="26">
        <v>3</v>
      </c>
      <c r="R1174" s="26">
        <v>0</v>
      </c>
      <c r="S1174" s="26">
        <v>10</v>
      </c>
      <c r="T1174" s="26">
        <v>1</v>
      </c>
      <c r="U1174" s="26">
        <v>11</v>
      </c>
      <c r="V1174" s="26">
        <v>1</v>
      </c>
      <c r="W1174" s="26"/>
    </row>
    <row r="1175" spans="1:23" x14ac:dyDescent="0.25">
      <c r="A1175" s="26" t="str">
        <f t="shared" si="192"/>
        <v>SECUNDARIA</v>
      </c>
      <c r="B1175" s="26" t="str">
        <f>"09PES0832X"</f>
        <v>09PES0832X</v>
      </c>
      <c r="C1175" s="26" t="str">
        <f>"""INSTITUTO ANN MATTHEWS""                                                                            "</f>
        <v xml:space="preserve">"INSTITUTO ANN MATTHEWS"                                                                            </v>
      </c>
      <c r="D1175" s="26" t="str">
        <f t="shared" si="193"/>
        <v>MATUTINO</v>
      </c>
      <c r="E1175" s="26" t="str">
        <f>"CERRO DEL SOMBRERO NUM. 107                                                     "</f>
        <v xml:space="preserve">CERRO DEL SOMBRERO NUM. 107                                                     </v>
      </c>
      <c r="F1175" s="26" t="str">
        <f>"CAMPESTRE CHURUBUSCO                                                                                                                        "</f>
        <v xml:space="preserve">CAMPESTRE CHURUBUSCO                                                                                                                        </v>
      </c>
      <c r="G1175" s="26" t="str">
        <f>"COYOACAN                                                                        "</f>
        <v xml:space="preserve">COYOACAN                                                                        </v>
      </c>
      <c r="H1175" s="26" t="str">
        <f>"019"</f>
        <v>019</v>
      </c>
      <c r="I1175" s="26" t="str">
        <f t="shared" si="194"/>
        <v>00</v>
      </c>
      <c r="J1175" s="26" t="str">
        <f>"54 "</f>
        <v xml:space="preserve">54 </v>
      </c>
      <c r="K1175" s="26" t="str">
        <f t="shared" si="198"/>
        <v>SG</v>
      </c>
      <c r="L1175" s="26" t="str">
        <f t="shared" si="199"/>
        <v>DGOSE</v>
      </c>
      <c r="M1175" s="26" t="str">
        <f t="shared" si="197"/>
        <v>PARTICULAR</v>
      </c>
      <c r="N1175" s="26">
        <v>18</v>
      </c>
      <c r="O1175" s="26">
        <v>11</v>
      </c>
      <c r="P1175" s="26">
        <v>7</v>
      </c>
      <c r="Q1175" s="26">
        <v>3</v>
      </c>
      <c r="R1175" s="26">
        <v>0</v>
      </c>
      <c r="S1175" s="26">
        <v>5</v>
      </c>
      <c r="T1175" s="26">
        <v>3</v>
      </c>
      <c r="U1175" s="26">
        <v>8</v>
      </c>
      <c r="V1175" s="26">
        <v>1</v>
      </c>
      <c r="W1175" s="26"/>
    </row>
    <row r="1176" spans="1:23" x14ac:dyDescent="0.25">
      <c r="A1176" s="26" t="str">
        <f t="shared" si="192"/>
        <v>SECUNDARIA</v>
      </c>
      <c r="B1176" s="26" t="str">
        <f>"09PES0833W"</f>
        <v>09PES0833W</v>
      </c>
      <c r="C1176" s="26" t="str">
        <f>"""INSTITUTO JUVENTUD""                                                                                "</f>
        <v xml:space="preserve">"INSTITUTO JUVENTUD"                                                                                </v>
      </c>
      <c r="D1176" s="26" t="str">
        <f t="shared" si="193"/>
        <v>MATUTINO</v>
      </c>
      <c r="E1176" s="26" t="str">
        <f>"SANTA MARIA LA RIBERA NUM 72                                                    "</f>
        <v xml:space="preserve">SANTA MARIA LA RIBERA NUM 72                                                    </v>
      </c>
      <c r="F1176" s="26" t="str">
        <f>"SANTA MARIA LA RIBERA                                                                                                                       "</f>
        <v xml:space="preserve">SANTA MARIA LA RIBERA                                                                                                                       </v>
      </c>
      <c r="G1176" s="26" t="str">
        <f>"CUAUHTEMOC                                                                      "</f>
        <v xml:space="preserve">CUAUHTEMOC                                                                      </v>
      </c>
      <c r="H1176" s="26" t="str">
        <f>"028"</f>
        <v>028</v>
      </c>
      <c r="I1176" s="26" t="str">
        <f t="shared" si="194"/>
        <v>00</v>
      </c>
      <c r="J1176" s="26" t="str">
        <f>"51 "</f>
        <v xml:space="preserve">51 </v>
      </c>
      <c r="K1176" s="26" t="str">
        <f t="shared" si="198"/>
        <v>SG</v>
      </c>
      <c r="L1176" s="26" t="str">
        <f t="shared" si="199"/>
        <v>DGOSE</v>
      </c>
      <c r="M1176" s="26" t="str">
        <f t="shared" si="197"/>
        <v>PARTICULAR</v>
      </c>
      <c r="N1176" s="26">
        <v>67</v>
      </c>
      <c r="O1176" s="26">
        <v>44</v>
      </c>
      <c r="P1176" s="26">
        <v>23</v>
      </c>
      <c r="Q1176" s="26">
        <v>3</v>
      </c>
      <c r="R1176" s="26">
        <v>1</v>
      </c>
      <c r="S1176" s="26">
        <v>13</v>
      </c>
      <c r="T1176" s="26">
        <v>4</v>
      </c>
      <c r="U1176" s="26">
        <v>18</v>
      </c>
      <c r="V1176" s="26">
        <v>1</v>
      </c>
      <c r="W1176" s="26"/>
    </row>
    <row r="1177" spans="1:23" x14ac:dyDescent="0.25">
      <c r="A1177" s="26" t="str">
        <f t="shared" si="192"/>
        <v>SECUNDARIA</v>
      </c>
      <c r="B1177" s="26" t="str">
        <f>"09PES0835U"</f>
        <v>09PES0835U</v>
      </c>
      <c r="C1177" s="26" t="str">
        <f>""" MAESTRO MANUEL ACOSTA ""                                                                           "</f>
        <v xml:space="preserve">" MAESTRO MANUEL ACOSTA "                                                                           </v>
      </c>
      <c r="D1177" s="26" t="str">
        <f t="shared" si="193"/>
        <v>MATUTINO</v>
      </c>
      <c r="E1177" s="26" t="str">
        <f>"INSURGENTES SUR NUM 3687                                                        "</f>
        <v xml:space="preserve">INSURGENTES SUR NUM 3687                                                        </v>
      </c>
      <c r="F1177" s="26" t="str">
        <f>"TLALPAN                                                                                                                                     "</f>
        <v xml:space="preserve">TLALPAN                                                                                                                                     </v>
      </c>
      <c r="G1177" s="26" t="str">
        <f>"TLALPAN                                                                         "</f>
        <v xml:space="preserve">TLALPAN                                                                         </v>
      </c>
      <c r="H1177" s="26" t="str">
        <f>"073"</f>
        <v>073</v>
      </c>
      <c r="I1177" s="26" t="str">
        <f t="shared" si="194"/>
        <v>00</v>
      </c>
      <c r="J1177" s="26" t="str">
        <f>"55 "</f>
        <v xml:space="preserve">55 </v>
      </c>
      <c r="K1177" s="26" t="str">
        <f t="shared" si="198"/>
        <v>SG</v>
      </c>
      <c r="L1177" s="26" t="str">
        <f t="shared" si="199"/>
        <v>DGOSE</v>
      </c>
      <c r="M1177" s="26" t="str">
        <f t="shared" si="197"/>
        <v>PARTICULAR</v>
      </c>
      <c r="N1177" s="26">
        <v>53</v>
      </c>
      <c r="O1177" s="26">
        <v>27</v>
      </c>
      <c r="P1177" s="26">
        <v>26</v>
      </c>
      <c r="Q1177" s="26">
        <v>3</v>
      </c>
      <c r="R1177" s="26">
        <v>1</v>
      </c>
      <c r="S1177" s="26">
        <v>12</v>
      </c>
      <c r="T1177" s="26">
        <v>2</v>
      </c>
      <c r="U1177" s="26">
        <v>15</v>
      </c>
      <c r="V1177" s="26">
        <v>1</v>
      </c>
      <c r="W1177" s="26"/>
    </row>
    <row r="1178" spans="1:23" x14ac:dyDescent="0.25">
      <c r="A1178" s="26" t="str">
        <f t="shared" si="192"/>
        <v>SECUNDARIA</v>
      </c>
      <c r="B1178" s="26" t="str">
        <f>"09PES0837S"</f>
        <v>09PES0837S</v>
      </c>
      <c r="C1178" s="26" t="str">
        <f>""" COLEGIO ASTURIAS ""                                                                                "</f>
        <v xml:space="preserve">" COLEGIO ASTURIAS "                                                                                </v>
      </c>
      <c r="D1178" s="26" t="str">
        <f t="shared" si="193"/>
        <v>MATUTINO</v>
      </c>
      <c r="E1178" s="26" t="str">
        <f>"JUAN HERNANDEZ Y DAVALOS NUM 282                                                "</f>
        <v xml:space="preserve">JUAN HERNANDEZ Y DAVALOS NUM 282                                                </v>
      </c>
      <c r="F1178" s="26" t="str">
        <f>"ASTURIAS AMPLIACION                                                                                                                         "</f>
        <v xml:space="preserve">ASTURIAS AMPLIACION                                                                                                                         </v>
      </c>
      <c r="G1178" s="26" t="str">
        <f>"CUAUHTEMOC                                                                      "</f>
        <v xml:space="preserve">CUAUHTEMOC                                                                      </v>
      </c>
      <c r="H1178" s="26" t="str">
        <f>"025"</f>
        <v>025</v>
      </c>
      <c r="I1178" s="26" t="str">
        <f t="shared" si="194"/>
        <v>00</v>
      </c>
      <c r="J1178" s="26" t="str">
        <f>"51 "</f>
        <v xml:space="preserve">51 </v>
      </c>
      <c r="K1178" s="26" t="str">
        <f t="shared" si="198"/>
        <v>SG</v>
      </c>
      <c r="L1178" s="26" t="str">
        <f t="shared" si="199"/>
        <v>DGOSE</v>
      </c>
      <c r="M1178" s="26" t="str">
        <f t="shared" si="197"/>
        <v>PARTICULAR</v>
      </c>
      <c r="N1178" s="26">
        <v>79</v>
      </c>
      <c r="O1178" s="26">
        <v>47</v>
      </c>
      <c r="P1178" s="26">
        <v>32</v>
      </c>
      <c r="Q1178" s="26">
        <v>3</v>
      </c>
      <c r="R1178" s="26">
        <v>1</v>
      </c>
      <c r="S1178" s="26">
        <v>12</v>
      </c>
      <c r="T1178" s="26">
        <v>2</v>
      </c>
      <c r="U1178" s="26">
        <v>15</v>
      </c>
      <c r="V1178" s="26">
        <v>1</v>
      </c>
      <c r="W1178" s="26"/>
    </row>
    <row r="1179" spans="1:23" x14ac:dyDescent="0.25">
      <c r="A1179" s="26" t="str">
        <f t="shared" si="192"/>
        <v>SECUNDARIA</v>
      </c>
      <c r="B1179" s="26" t="str">
        <f>"09PES0838R"</f>
        <v>09PES0838R</v>
      </c>
      <c r="C1179" s="26" t="str">
        <f>""" COLEGIO INGLES DURKHEIM ""                                                                         "</f>
        <v xml:space="preserve">" COLEGIO INGLES DURKHEIM "                                                                         </v>
      </c>
      <c r="D1179" s="26" t="str">
        <f t="shared" si="193"/>
        <v>MATUTINO</v>
      </c>
      <c r="E1179" s="26" t="str">
        <f>"INGENIEROS MILITARES NUM 91                                                     "</f>
        <v xml:space="preserve">INGENIEROS MILITARES NUM 91                                                     </v>
      </c>
      <c r="F1179" s="26" t="str">
        <f>"LOMAS DE SOTELO                                                                                                                             "</f>
        <v xml:space="preserve">LOMAS DE SOTELO                                                                                                                             </v>
      </c>
      <c r="G1179" s="26" t="str">
        <f>"MIGUEL HIDALGO                                                                  "</f>
        <v xml:space="preserve">MIGUEL HIDALGO                                                                  </v>
      </c>
      <c r="H1179" s="26" t="str">
        <f>"063"</f>
        <v>063</v>
      </c>
      <c r="I1179" s="26" t="str">
        <f t="shared" si="194"/>
        <v>00</v>
      </c>
      <c r="J1179" s="26" t="str">
        <f>"51 "</f>
        <v xml:space="preserve">51 </v>
      </c>
      <c r="K1179" s="26" t="str">
        <f t="shared" si="198"/>
        <v>SG</v>
      </c>
      <c r="L1179" s="26" t="str">
        <f t="shared" si="199"/>
        <v>DGOSE</v>
      </c>
      <c r="M1179" s="26" t="str">
        <f t="shared" si="197"/>
        <v>PARTICULAR</v>
      </c>
      <c r="N1179" s="26">
        <v>124</v>
      </c>
      <c r="O1179" s="26">
        <v>59</v>
      </c>
      <c r="P1179" s="26">
        <v>65</v>
      </c>
      <c r="Q1179" s="26">
        <v>6</v>
      </c>
      <c r="R1179" s="26">
        <v>2</v>
      </c>
      <c r="S1179" s="26">
        <v>8</v>
      </c>
      <c r="T1179" s="26">
        <v>2</v>
      </c>
      <c r="U1179" s="26">
        <v>12</v>
      </c>
      <c r="V1179" s="26">
        <v>1</v>
      </c>
      <c r="W1179" s="26"/>
    </row>
    <row r="1180" spans="1:23" x14ac:dyDescent="0.25">
      <c r="A1180" s="26" t="str">
        <f t="shared" si="192"/>
        <v>SECUNDARIA</v>
      </c>
      <c r="B1180" s="26" t="str">
        <f>"09PES0839Q"</f>
        <v>09PES0839Q</v>
      </c>
      <c r="C1180" s="26" t="str">
        <f>"INSTITUTO KIEL                                                                                      "</f>
        <v xml:space="preserve">INSTITUTO KIEL                                                                                      </v>
      </c>
      <c r="D1180" s="26" t="str">
        <f t="shared" si="193"/>
        <v>MATUTINO</v>
      </c>
      <c r="E1180" s="26" t="str">
        <f>"PIÑA NO 3 MZ 2 LT 2 Y 3                                                         "</f>
        <v xml:space="preserve">PIÑA NO 3 MZ 2 LT 2 Y 3                                                         </v>
      </c>
      <c r="F1180" s="26" t="str">
        <f>"SAN JUAN XALPA                                                                                                                              "</f>
        <v xml:space="preserve">SAN JUAN XALPA                                                                                                                              </v>
      </c>
      <c r="G1180" s="26" t="str">
        <f>"IZTAPALAPA                                                                      "</f>
        <v xml:space="preserve">IZTAPALAPA                                                                      </v>
      </c>
      <c r="H1180" s="26" t="str">
        <f>"000"</f>
        <v>000</v>
      </c>
      <c r="I1180" s="26" t="str">
        <f t="shared" si="194"/>
        <v>00</v>
      </c>
      <c r="J1180" s="26" t="str">
        <f>"64 "</f>
        <v xml:space="preserve">64 </v>
      </c>
      <c r="K1180" s="26" t="str">
        <f>"IZ"</f>
        <v>IZ</v>
      </c>
      <c r="L1180" s="26" t="str">
        <f>"DGSEI"</f>
        <v>DGSEI</v>
      </c>
      <c r="M1180" s="26" t="str">
        <f t="shared" si="197"/>
        <v>PARTICULAR</v>
      </c>
      <c r="N1180" s="26">
        <v>99</v>
      </c>
      <c r="O1180" s="26">
        <v>39</v>
      </c>
      <c r="P1180" s="26">
        <v>60</v>
      </c>
      <c r="Q1180" s="26">
        <v>4</v>
      </c>
      <c r="R1180" s="26">
        <v>1</v>
      </c>
      <c r="S1180" s="26">
        <v>10</v>
      </c>
      <c r="T1180" s="26">
        <v>1</v>
      </c>
      <c r="U1180" s="26">
        <v>12</v>
      </c>
      <c r="V1180" s="26">
        <v>1</v>
      </c>
      <c r="W1180" s="26"/>
    </row>
    <row r="1181" spans="1:23" x14ac:dyDescent="0.25">
      <c r="A1181" s="26" t="str">
        <f t="shared" si="192"/>
        <v>SECUNDARIA</v>
      </c>
      <c r="B1181" s="26" t="str">
        <f>"09PES0840F"</f>
        <v>09PES0840F</v>
      </c>
      <c r="C1181" s="26" t="str">
        <f>"""INSTITUTO AMADO NERVO""                                                                             "</f>
        <v xml:space="preserve">"INSTITUTO AMADO NERVO"                                                                             </v>
      </c>
      <c r="D1181" s="26" t="str">
        <f t="shared" si="193"/>
        <v>MATUTINO</v>
      </c>
      <c r="E1181" s="26" t="str">
        <f>"AVENIDA 510 NUM 53                                                              "</f>
        <v xml:space="preserve">AVENIDA 510 NUM 53                                                              </v>
      </c>
      <c r="F1181" s="26" t="str">
        <f>"SAN JUAN DE ARAGON                                                                                                                          "</f>
        <v xml:space="preserve">SAN JUAN DE ARAGON                                                                                                                          </v>
      </c>
      <c r="G1181" s="26" t="str">
        <f>"GUSTAVO A. MADERO                                                               "</f>
        <v xml:space="preserve">GUSTAVO A. MADERO                                                               </v>
      </c>
      <c r="H1181" s="26" t="str">
        <f>"039"</f>
        <v>039</v>
      </c>
      <c r="I1181" s="26" t="str">
        <f t="shared" si="194"/>
        <v>00</v>
      </c>
      <c r="J1181" s="26" t="str">
        <f>"52 "</f>
        <v xml:space="preserve">52 </v>
      </c>
      <c r="K1181" s="26" t="str">
        <f>"SG"</f>
        <v>SG</v>
      </c>
      <c r="L1181" s="26" t="str">
        <f>"DGOSE"</f>
        <v>DGOSE</v>
      </c>
      <c r="M1181" s="26" t="str">
        <f t="shared" si="197"/>
        <v>PARTICULAR</v>
      </c>
      <c r="N1181" s="26">
        <v>81</v>
      </c>
      <c r="O1181" s="26">
        <v>41</v>
      </c>
      <c r="P1181" s="26">
        <v>40</v>
      </c>
      <c r="Q1181" s="26">
        <v>3</v>
      </c>
      <c r="R1181" s="26">
        <v>1</v>
      </c>
      <c r="S1181" s="26">
        <v>8</v>
      </c>
      <c r="T1181" s="26">
        <v>2</v>
      </c>
      <c r="U1181" s="26">
        <v>11</v>
      </c>
      <c r="V1181" s="26">
        <v>1</v>
      </c>
      <c r="W1181" s="26"/>
    </row>
    <row r="1182" spans="1:23" x14ac:dyDescent="0.25">
      <c r="A1182" s="26" t="str">
        <f t="shared" si="192"/>
        <v>SECUNDARIA</v>
      </c>
      <c r="B1182" s="26" t="str">
        <f>"09PES0841E"</f>
        <v>09PES0841E</v>
      </c>
      <c r="C1182" s="26" t="str">
        <f>"IXCHEL                                                                                              "</f>
        <v xml:space="preserve">IXCHEL                                                                                              </v>
      </c>
      <c r="D1182" s="26" t="str">
        <f t="shared" si="193"/>
        <v>MATUTINO</v>
      </c>
      <c r="E1182" s="26" t="s">
        <v>3996</v>
      </c>
      <c r="F1182" s="26" t="str">
        <f>"LEYES DE REFORMA                                                                                                                            "</f>
        <v xml:space="preserve">LEYES DE REFORMA                                                                                                                            </v>
      </c>
      <c r="G1182" s="26" t="str">
        <f>"IZTAPALAPA                                                                      "</f>
        <v xml:space="preserve">IZTAPALAPA                                                                      </v>
      </c>
      <c r="H1182" s="26" t="str">
        <f>"000"</f>
        <v>000</v>
      </c>
      <c r="I1182" s="26" t="str">
        <f t="shared" si="194"/>
        <v>00</v>
      </c>
      <c r="J1182" s="26" t="str">
        <f>"62 "</f>
        <v xml:space="preserve">62 </v>
      </c>
      <c r="K1182" s="26" t="str">
        <f>"IZ"</f>
        <v>IZ</v>
      </c>
      <c r="L1182" s="26" t="str">
        <f>"DGSEI"</f>
        <v>DGSEI</v>
      </c>
      <c r="M1182" s="26" t="str">
        <f t="shared" si="197"/>
        <v>PARTICULAR</v>
      </c>
      <c r="N1182" s="26">
        <v>61</v>
      </c>
      <c r="O1182" s="26">
        <v>38</v>
      </c>
      <c r="P1182" s="26">
        <v>23</v>
      </c>
      <c r="Q1182" s="26">
        <v>3</v>
      </c>
      <c r="R1182" s="26">
        <v>1</v>
      </c>
      <c r="S1182" s="26">
        <v>11</v>
      </c>
      <c r="T1182" s="26">
        <v>1</v>
      </c>
      <c r="U1182" s="26">
        <v>13</v>
      </c>
      <c r="V1182" s="26">
        <v>1</v>
      </c>
      <c r="W1182" s="26"/>
    </row>
    <row r="1183" spans="1:23" x14ac:dyDescent="0.25">
      <c r="A1183" s="26" t="str">
        <f t="shared" si="192"/>
        <v>SECUNDARIA</v>
      </c>
      <c r="B1183" s="26" t="str">
        <f>"09PES0842D"</f>
        <v>09PES0842D</v>
      </c>
      <c r="C1183" s="26" t="str">
        <f>"""INSTITUTO MARIA GORETTI""                                                                           "</f>
        <v xml:space="preserve">"INSTITUTO MARIA GORETTI"                                                                           </v>
      </c>
      <c r="D1183" s="26" t="str">
        <f t="shared" si="193"/>
        <v>MATUTINO</v>
      </c>
      <c r="E1183" s="26" t="str">
        <f>"LAGO SAN MARTIN NO 10                                                           "</f>
        <v xml:space="preserve">LAGO SAN MARTIN NO 10                                                           </v>
      </c>
      <c r="F1183" s="26" t="str">
        <f>"ARGENTINA ANTIGUA                                                                                                                           "</f>
        <v xml:space="preserve">ARGENTINA ANTIGUA                                                                                                                           </v>
      </c>
      <c r="G1183" s="26" t="str">
        <f>"MIGUEL HIDALGO                                                                  "</f>
        <v xml:space="preserve">MIGUEL HIDALGO                                                                  </v>
      </c>
      <c r="H1183" s="26" t="str">
        <f>"062"</f>
        <v>062</v>
      </c>
      <c r="I1183" s="26" t="str">
        <f t="shared" si="194"/>
        <v>00</v>
      </c>
      <c r="J1183" s="26" t="str">
        <f>"51 "</f>
        <v xml:space="preserve">51 </v>
      </c>
      <c r="K1183" s="26" t="str">
        <f t="shared" ref="K1183:K1193" si="200">"SG"</f>
        <v>SG</v>
      </c>
      <c r="L1183" s="26" t="str">
        <f t="shared" ref="L1183:L1193" si="201">"DGOSE"</f>
        <v>DGOSE</v>
      </c>
      <c r="M1183" s="26" t="str">
        <f t="shared" si="197"/>
        <v>PARTICULAR</v>
      </c>
      <c r="N1183" s="26">
        <v>43</v>
      </c>
      <c r="O1183" s="26">
        <v>28</v>
      </c>
      <c r="P1183" s="26">
        <v>15</v>
      </c>
      <c r="Q1183" s="26">
        <v>3</v>
      </c>
      <c r="R1183" s="26">
        <v>1</v>
      </c>
      <c r="S1183" s="26">
        <v>8</v>
      </c>
      <c r="T1183" s="26">
        <v>1</v>
      </c>
      <c r="U1183" s="26">
        <v>10</v>
      </c>
      <c r="V1183" s="26">
        <v>1</v>
      </c>
      <c r="W1183" s="26"/>
    </row>
    <row r="1184" spans="1:23" x14ac:dyDescent="0.25">
      <c r="A1184" s="26" t="str">
        <f t="shared" si="192"/>
        <v>SECUNDARIA</v>
      </c>
      <c r="B1184" s="26" t="str">
        <f>"09PES0843C"</f>
        <v>09PES0843C</v>
      </c>
      <c r="C1184" s="26" t="str">
        <f>"""SECUNDARIA CATOLICA LUMEN GENTIUM""                                                                 "</f>
        <v xml:space="preserve">"SECUNDARIA CATOLICA LUMEN GENTIUM"                                                                 </v>
      </c>
      <c r="D1184" s="26" t="str">
        <f t="shared" si="193"/>
        <v>MATUTINO</v>
      </c>
      <c r="E1184" s="26" t="str">
        <f>"AVENIDA MEXICO NO 6285                                                          "</f>
        <v xml:space="preserve">AVENIDA MEXICO NO 6285                                                          </v>
      </c>
      <c r="F1184" s="26" t="str">
        <f>"SAN MARCOS                                                                                                                                  "</f>
        <v xml:space="preserve">SAN MARCOS                                                                                                                                  </v>
      </c>
      <c r="G1184" s="26" t="str">
        <f>"XOCHIMILCO                                                                      "</f>
        <v xml:space="preserve">XOCHIMILCO                                                                      </v>
      </c>
      <c r="H1184" s="26" t="str">
        <f>"080"</f>
        <v>080</v>
      </c>
      <c r="I1184" s="26" t="str">
        <f t="shared" si="194"/>
        <v>00</v>
      </c>
      <c r="J1184" s="26" t="str">
        <f>"55 "</f>
        <v xml:space="preserve">55 </v>
      </c>
      <c r="K1184" s="26" t="str">
        <f t="shared" si="200"/>
        <v>SG</v>
      </c>
      <c r="L1184" s="26" t="str">
        <f t="shared" si="201"/>
        <v>DGOSE</v>
      </c>
      <c r="M1184" s="26" t="str">
        <f t="shared" si="197"/>
        <v>PARTICULAR</v>
      </c>
      <c r="N1184" s="26">
        <v>155</v>
      </c>
      <c r="O1184" s="26">
        <v>80</v>
      </c>
      <c r="P1184" s="26">
        <v>75</v>
      </c>
      <c r="Q1184" s="26">
        <v>6</v>
      </c>
      <c r="R1184" s="26">
        <v>2</v>
      </c>
      <c r="S1184" s="26">
        <v>23</v>
      </c>
      <c r="T1184" s="26">
        <v>2</v>
      </c>
      <c r="U1184" s="26">
        <v>27</v>
      </c>
      <c r="V1184" s="26">
        <v>1</v>
      </c>
      <c r="W1184" s="26"/>
    </row>
    <row r="1185" spans="1:23" x14ac:dyDescent="0.25">
      <c r="A1185" s="26" t="str">
        <f t="shared" si="192"/>
        <v>SECUNDARIA</v>
      </c>
      <c r="B1185" s="26" t="str">
        <f>"09PES0844B"</f>
        <v>09PES0844B</v>
      </c>
      <c r="C1185" s="26" t="str">
        <f>"""WILFRIDO MASSIEU""                                                                                  "</f>
        <v xml:space="preserve">"WILFRIDO MASSIEU"                                                                                  </v>
      </c>
      <c r="D1185" s="26" t="str">
        <f t="shared" si="193"/>
        <v>MATUTINO</v>
      </c>
      <c r="E1185" s="26" t="str">
        <f>"SALAVERRY NO 783                                                                "</f>
        <v xml:space="preserve">SALAVERRY NO 783                                                                </v>
      </c>
      <c r="F1185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1185" s="26" t="str">
        <f>"GUSTAVO A. MADERO                                                               "</f>
        <v xml:space="preserve">GUSTAVO A. MADERO                                                               </v>
      </c>
      <c r="H1185" s="26" t="str">
        <f>"035"</f>
        <v>035</v>
      </c>
      <c r="I1185" s="26" t="str">
        <f t="shared" si="194"/>
        <v>00</v>
      </c>
      <c r="J1185" s="26" t="str">
        <f>"52 "</f>
        <v xml:space="preserve">52 </v>
      </c>
      <c r="K1185" s="26" t="str">
        <f t="shared" si="200"/>
        <v>SG</v>
      </c>
      <c r="L1185" s="26" t="str">
        <f t="shared" si="201"/>
        <v>DGOSE</v>
      </c>
      <c r="M1185" s="26" t="str">
        <f t="shared" si="197"/>
        <v>PARTICULAR</v>
      </c>
      <c r="N1185" s="26">
        <v>98</v>
      </c>
      <c r="O1185" s="26">
        <v>40</v>
      </c>
      <c r="P1185" s="26">
        <v>58</v>
      </c>
      <c r="Q1185" s="26">
        <v>6</v>
      </c>
      <c r="R1185" s="26">
        <v>1</v>
      </c>
      <c r="S1185" s="26">
        <v>15</v>
      </c>
      <c r="T1185" s="26">
        <v>0</v>
      </c>
      <c r="U1185" s="26">
        <v>16</v>
      </c>
      <c r="V1185" s="26">
        <v>1</v>
      </c>
      <c r="W1185" s="26"/>
    </row>
    <row r="1186" spans="1:23" x14ac:dyDescent="0.25">
      <c r="A1186" s="26" t="str">
        <f t="shared" si="192"/>
        <v>SECUNDARIA</v>
      </c>
      <c r="B1186" s="26" t="str">
        <f>"09PES0845A"</f>
        <v>09PES0845A</v>
      </c>
      <c r="C1186" s="26" t="str">
        <f>"INSTITUTO HIGHLANDS                                                                                 "</f>
        <v xml:space="preserve">INSTITUTO HIGHLANDS                                                                                 </v>
      </c>
      <c r="D1186" s="26" t="str">
        <f t="shared" si="193"/>
        <v>MATUTINO</v>
      </c>
      <c r="E1186" s="26" t="str">
        <f>"RINCONADA DE URANIO NO 27                                                       "</f>
        <v xml:space="preserve">RINCONADA DE URANIO NO 27                                                       </v>
      </c>
      <c r="F1186" s="26" t="str">
        <f>"TLALPAN                                                                                                                                     "</f>
        <v xml:space="preserve">TLALPAN                                                                                                                                     </v>
      </c>
      <c r="G1186" s="26" t="str">
        <f>"TLALPAN                                                                         "</f>
        <v xml:space="preserve">TLALPAN                                                                         </v>
      </c>
      <c r="H1186" s="26" t="str">
        <f>"071"</f>
        <v>071</v>
      </c>
      <c r="I1186" s="26" t="str">
        <f t="shared" si="194"/>
        <v>00</v>
      </c>
      <c r="J1186" s="26" t="str">
        <f>"55 "</f>
        <v xml:space="preserve">55 </v>
      </c>
      <c r="K1186" s="26" t="str">
        <f t="shared" si="200"/>
        <v>SG</v>
      </c>
      <c r="L1186" s="26" t="str">
        <f t="shared" si="201"/>
        <v>DGOSE</v>
      </c>
      <c r="M1186" s="26" t="str">
        <f t="shared" si="197"/>
        <v>PARTICULAR</v>
      </c>
      <c r="N1186" s="26">
        <v>164</v>
      </c>
      <c r="O1186" s="26">
        <v>55</v>
      </c>
      <c r="P1186" s="26">
        <v>109</v>
      </c>
      <c r="Q1186" s="26">
        <v>9</v>
      </c>
      <c r="R1186" s="26">
        <v>0</v>
      </c>
      <c r="S1186" s="26">
        <v>24</v>
      </c>
      <c r="T1186" s="26">
        <v>0</v>
      </c>
      <c r="U1186" s="26">
        <v>24</v>
      </c>
      <c r="V1186" s="26">
        <v>1</v>
      </c>
      <c r="W1186" s="26"/>
    </row>
    <row r="1187" spans="1:23" x14ac:dyDescent="0.25">
      <c r="A1187" s="26" t="str">
        <f t="shared" si="192"/>
        <v>SECUNDARIA</v>
      </c>
      <c r="B1187" s="26" t="str">
        <f>"09PES0846Z"</f>
        <v>09PES0846Z</v>
      </c>
      <c r="C1187" s="26" t="str">
        <f>"""COLEGIO DONALD WOODS WINNICOTT""                                                                    "</f>
        <v xml:space="preserve">"COLEGIO DONALD WOODS WINNICOTT"                                                                    </v>
      </c>
      <c r="D1187" s="26" t="str">
        <f t="shared" si="193"/>
        <v>MATUTINO</v>
      </c>
      <c r="E1187" s="26" t="str">
        <f>"PLAYA CALETA NO 327                                                             "</f>
        <v xml:space="preserve">PLAYA CALETA NO 327                                                             </v>
      </c>
      <c r="F1187" s="26" t="str">
        <f>"REFORMA IZTACCIHUATL                                                                                                                        "</f>
        <v xml:space="preserve">REFORMA IZTACCIHUATL                                                                                                                        </v>
      </c>
      <c r="G1187" s="26" t="str">
        <f>"IZTACALCO                                                                       "</f>
        <v xml:space="preserve">IZTACALCO                                                                       </v>
      </c>
      <c r="H1187" s="26" t="str">
        <f>"043"</f>
        <v>043</v>
      </c>
      <c r="I1187" s="26" t="str">
        <f t="shared" si="194"/>
        <v>00</v>
      </c>
      <c r="J1187" s="26" t="str">
        <f>"54 "</f>
        <v xml:space="preserve">54 </v>
      </c>
      <c r="K1187" s="26" t="str">
        <f t="shared" si="200"/>
        <v>SG</v>
      </c>
      <c r="L1187" s="26" t="str">
        <f t="shared" si="201"/>
        <v>DGOSE</v>
      </c>
      <c r="M1187" s="26" t="str">
        <f t="shared" si="197"/>
        <v>PARTICULAR</v>
      </c>
      <c r="N1187" s="26">
        <v>42</v>
      </c>
      <c r="O1187" s="26">
        <v>25</v>
      </c>
      <c r="P1187" s="26">
        <v>17</v>
      </c>
      <c r="Q1187" s="26">
        <v>3</v>
      </c>
      <c r="R1187" s="26">
        <v>2</v>
      </c>
      <c r="S1187" s="26">
        <v>16</v>
      </c>
      <c r="T1187" s="26">
        <v>0</v>
      </c>
      <c r="U1187" s="26">
        <v>18</v>
      </c>
      <c r="V1187" s="26">
        <v>1</v>
      </c>
      <c r="W1187" s="26"/>
    </row>
    <row r="1188" spans="1:23" x14ac:dyDescent="0.25">
      <c r="A1188" s="26" t="str">
        <f t="shared" si="192"/>
        <v>SECUNDARIA</v>
      </c>
      <c r="B1188" s="26" t="str">
        <f>"09PES0847Z"</f>
        <v>09PES0847Z</v>
      </c>
      <c r="C1188" s="26" t="str">
        <f>"""GALILEO GALILEI""                                                                                   "</f>
        <v xml:space="preserve">"GALILEO GALILEI"                                                                                   </v>
      </c>
      <c r="D1188" s="26" t="str">
        <f t="shared" si="193"/>
        <v>MATUTINO</v>
      </c>
      <c r="E1188" s="26" t="str">
        <f>"BOULEVARD DEL TEMOLUCO NO 164                                                   "</f>
        <v xml:space="preserve">BOULEVARD DEL TEMOLUCO NO 164                                                   </v>
      </c>
      <c r="F1188" s="26" t="str">
        <f>"ACUEDUCTO DE GUADALUPE                                                                                                                      "</f>
        <v xml:space="preserve">ACUEDUCTO DE GUADALUPE                                                                                                                      </v>
      </c>
      <c r="G1188" s="26" t="str">
        <f>"GUSTAVO A. MADERO                                                               "</f>
        <v xml:space="preserve">GUSTAVO A. MADERO                                                               </v>
      </c>
      <c r="H1188" s="26" t="str">
        <f>"032"</f>
        <v>032</v>
      </c>
      <c r="I1188" s="26" t="str">
        <f t="shared" si="194"/>
        <v>00</v>
      </c>
      <c r="J1188" s="26" t="str">
        <f>"52 "</f>
        <v xml:space="preserve">52 </v>
      </c>
      <c r="K1188" s="26" t="str">
        <f t="shared" si="200"/>
        <v>SG</v>
      </c>
      <c r="L1188" s="26" t="str">
        <f t="shared" si="201"/>
        <v>DGOSE</v>
      </c>
      <c r="M1188" s="26" t="str">
        <f t="shared" si="197"/>
        <v>PARTICULAR</v>
      </c>
      <c r="N1188" s="26">
        <v>42</v>
      </c>
      <c r="O1188" s="26">
        <v>21</v>
      </c>
      <c r="P1188" s="26">
        <v>21</v>
      </c>
      <c r="Q1188" s="26">
        <v>3</v>
      </c>
      <c r="R1188" s="26">
        <v>1</v>
      </c>
      <c r="S1188" s="26">
        <v>10</v>
      </c>
      <c r="T1188" s="26">
        <v>2</v>
      </c>
      <c r="U1188" s="26">
        <v>13</v>
      </c>
      <c r="V1188" s="26">
        <v>1</v>
      </c>
      <c r="W1188" s="26"/>
    </row>
    <row r="1189" spans="1:23" x14ac:dyDescent="0.25">
      <c r="A1189" s="26" t="str">
        <f t="shared" si="192"/>
        <v>SECUNDARIA</v>
      </c>
      <c r="B1189" s="26" t="str">
        <f>"09PES0849X"</f>
        <v>09PES0849X</v>
      </c>
      <c r="C1189" s="26" t="str">
        <f>"""CENTRO ESCOLAR DOLORES ECHEVERRIA ESPARZA""                                                         "</f>
        <v xml:space="preserve">"CENTRO ESCOLAR DOLORES ECHEVERRIA ESPARZA"                                                         </v>
      </c>
      <c r="D1189" s="26" t="str">
        <f t="shared" si="193"/>
        <v>MATUTINO</v>
      </c>
      <c r="E1189" s="26" t="str">
        <f>"CALLE ABASOLO NO 116                                                            "</f>
        <v xml:space="preserve">CALLE ABASOLO NO 116                                                            </v>
      </c>
      <c r="F1189" s="26" t="str">
        <f>"TLALPAN                                                                                                                                     "</f>
        <v xml:space="preserve">TLALPAN                                                                                                                                     </v>
      </c>
      <c r="G1189" s="26" t="str">
        <f>"TLALPAN                                                                         "</f>
        <v xml:space="preserve">TLALPAN                                                                         </v>
      </c>
      <c r="H1189" s="26" t="str">
        <f>"072"</f>
        <v>072</v>
      </c>
      <c r="I1189" s="26" t="str">
        <f t="shared" si="194"/>
        <v>00</v>
      </c>
      <c r="J1189" s="26" t="str">
        <f>"55 "</f>
        <v xml:space="preserve">55 </v>
      </c>
      <c r="K1189" s="26" t="str">
        <f t="shared" si="200"/>
        <v>SG</v>
      </c>
      <c r="L1189" s="26" t="str">
        <f t="shared" si="201"/>
        <v>DGOSE</v>
      </c>
      <c r="M1189" s="26" t="str">
        <f t="shared" si="197"/>
        <v>PARTICULAR</v>
      </c>
      <c r="N1189" s="26">
        <v>158</v>
      </c>
      <c r="O1189" s="26">
        <v>74</v>
      </c>
      <c r="P1189" s="26">
        <v>84</v>
      </c>
      <c r="Q1189" s="26">
        <v>6</v>
      </c>
      <c r="R1189" s="26">
        <v>2</v>
      </c>
      <c r="S1189" s="26">
        <v>11</v>
      </c>
      <c r="T1189" s="26">
        <v>2</v>
      </c>
      <c r="U1189" s="26">
        <v>15</v>
      </c>
      <c r="V1189" s="26">
        <v>1</v>
      </c>
      <c r="W1189" s="26"/>
    </row>
    <row r="1190" spans="1:23" x14ac:dyDescent="0.25">
      <c r="A1190" s="26" t="str">
        <f t="shared" si="192"/>
        <v>SECUNDARIA</v>
      </c>
      <c r="B1190" s="26" t="str">
        <f>"09PES0850M"</f>
        <v>09PES0850M</v>
      </c>
      <c r="C1190" s="26" t="str">
        <f>"""ESCUELA DE RUAN""                                                                                   "</f>
        <v xml:space="preserve">"ESCUELA DE RUAN"                                                                                   </v>
      </c>
      <c r="D1190" s="26" t="str">
        <f t="shared" si="193"/>
        <v>MATUTINO</v>
      </c>
      <c r="E1190" s="26" t="str">
        <f>"CALLE 16 DE SEPTIEMBRE NO 133                                                   "</f>
        <v xml:space="preserve">CALLE 16 DE SEPTIEMBRE NO 133                                                   </v>
      </c>
      <c r="F1190" s="26" t="str">
        <f>"SAN ANDRES TOTOLTEPEC                                                                                                                       "</f>
        <v xml:space="preserve">SAN ANDRES TOTOLTEPEC                                                                                                                       </v>
      </c>
      <c r="G1190" s="26" t="str">
        <f>"TLALPAN                                                                         "</f>
        <v xml:space="preserve">TLALPAN                                                                         </v>
      </c>
      <c r="H1190" s="26" t="str">
        <f>"069"</f>
        <v>069</v>
      </c>
      <c r="I1190" s="26" t="str">
        <f t="shared" si="194"/>
        <v>00</v>
      </c>
      <c r="J1190" s="26" t="str">
        <f>"55 "</f>
        <v xml:space="preserve">55 </v>
      </c>
      <c r="K1190" s="26" t="str">
        <f t="shared" si="200"/>
        <v>SG</v>
      </c>
      <c r="L1190" s="26" t="str">
        <f t="shared" si="201"/>
        <v>DGOSE</v>
      </c>
      <c r="M1190" s="26" t="str">
        <f t="shared" si="197"/>
        <v>PARTICULAR</v>
      </c>
      <c r="N1190" s="26">
        <v>58</v>
      </c>
      <c r="O1190" s="26">
        <v>38</v>
      </c>
      <c r="P1190" s="26">
        <v>20</v>
      </c>
      <c r="Q1190" s="26">
        <v>3</v>
      </c>
      <c r="R1190" s="26">
        <v>1</v>
      </c>
      <c r="S1190" s="26">
        <v>13</v>
      </c>
      <c r="T1190" s="26">
        <v>0</v>
      </c>
      <c r="U1190" s="26">
        <v>14</v>
      </c>
      <c r="V1190" s="26">
        <v>1</v>
      </c>
      <c r="W1190" s="26"/>
    </row>
    <row r="1191" spans="1:23" x14ac:dyDescent="0.25">
      <c r="A1191" s="26" t="str">
        <f t="shared" si="192"/>
        <v>SECUNDARIA</v>
      </c>
      <c r="B1191" s="26" t="str">
        <f>"09PES0852K"</f>
        <v>09PES0852K</v>
      </c>
      <c r="C1191" s="26" t="str">
        <f>"""ESCUELA CONDESA EMILIA DE PARDO BAZAN""                                                             "</f>
        <v xml:space="preserve">"ESCUELA CONDESA EMILIA DE PARDO BAZAN"                                                             </v>
      </c>
      <c r="D1191" s="26" t="str">
        <f t="shared" si="193"/>
        <v>MATUTINO</v>
      </c>
      <c r="E1191" s="26" t="str">
        <f>"PARQUE ESPAÑA NO 43                                                             "</f>
        <v xml:space="preserve">PARQUE ESPAÑA NO 43                                                             </v>
      </c>
      <c r="F1191" s="26" t="str">
        <f>"CONDESA                                                                                                                                     "</f>
        <v xml:space="preserve">CONDESA                                                                                                                                     </v>
      </c>
      <c r="G1191" s="26" t="str">
        <f>"CUAUHTEMOC                                                                      "</f>
        <v xml:space="preserve">CUAUHTEMOC                                                                      </v>
      </c>
      <c r="H1191" s="26" t="str">
        <f>"029"</f>
        <v>029</v>
      </c>
      <c r="I1191" s="26" t="str">
        <f t="shared" si="194"/>
        <v>00</v>
      </c>
      <c r="J1191" s="26" t="str">
        <f>"51 "</f>
        <v xml:space="preserve">51 </v>
      </c>
      <c r="K1191" s="26" t="str">
        <f t="shared" si="200"/>
        <v>SG</v>
      </c>
      <c r="L1191" s="26" t="str">
        <f t="shared" si="201"/>
        <v>DGOSE</v>
      </c>
      <c r="M1191" s="26" t="str">
        <f t="shared" si="197"/>
        <v>PARTICULAR</v>
      </c>
      <c r="N1191" s="26">
        <v>23</v>
      </c>
      <c r="O1191" s="26">
        <v>12</v>
      </c>
      <c r="P1191" s="26">
        <v>11</v>
      </c>
      <c r="Q1191" s="26">
        <v>3</v>
      </c>
      <c r="R1191" s="26">
        <v>0</v>
      </c>
      <c r="S1191" s="26">
        <v>10</v>
      </c>
      <c r="T1191" s="26">
        <v>2</v>
      </c>
      <c r="U1191" s="26">
        <v>12</v>
      </c>
      <c r="V1191" s="26">
        <v>1</v>
      </c>
      <c r="W1191" s="26"/>
    </row>
    <row r="1192" spans="1:23" x14ac:dyDescent="0.25">
      <c r="A1192" s="26" t="str">
        <f t="shared" si="192"/>
        <v>SECUNDARIA</v>
      </c>
      <c r="B1192" s="26" t="str">
        <f>"09PES0853J"</f>
        <v>09PES0853J</v>
      </c>
      <c r="C1192" s="26" t="str">
        <f>"MAESTRO CARLOS CHÁVEZ                                                                               "</f>
        <v xml:space="preserve">MAESTRO CARLOS CHÁVEZ                                                                               </v>
      </c>
      <c r="D1192" s="26" t="str">
        <f t="shared" si="193"/>
        <v>MATUTINO</v>
      </c>
      <c r="E1192" s="26" t="str">
        <f>"MADRESELVA NUM. 53                                                              "</f>
        <v xml:space="preserve">MADRESELVA NUM. 53                                                              </v>
      </c>
      <c r="F1192" s="26" t="str">
        <f>"XALTOCAN                                                                                                                                    "</f>
        <v xml:space="preserve">XALTOCAN                                                                                                                                    </v>
      </c>
      <c r="G1192" s="26" t="str">
        <f>"XOCHIMILCO                                                                      "</f>
        <v xml:space="preserve">XOCHIMILCO                                                                      </v>
      </c>
      <c r="H1192" s="26" t="str">
        <f>"080"</f>
        <v>080</v>
      </c>
      <c r="I1192" s="26" t="str">
        <f t="shared" si="194"/>
        <v>00</v>
      </c>
      <c r="J1192" s="26" t="str">
        <f>"55 "</f>
        <v xml:space="preserve">55 </v>
      </c>
      <c r="K1192" s="26" t="str">
        <f t="shared" si="200"/>
        <v>SG</v>
      </c>
      <c r="L1192" s="26" t="str">
        <f t="shared" si="201"/>
        <v>DGOSE</v>
      </c>
      <c r="M1192" s="26" t="str">
        <f t="shared" si="197"/>
        <v>PARTICULAR</v>
      </c>
      <c r="N1192" s="26">
        <v>58</v>
      </c>
      <c r="O1192" s="26">
        <v>28</v>
      </c>
      <c r="P1192" s="26">
        <v>30</v>
      </c>
      <c r="Q1192" s="26">
        <v>3</v>
      </c>
      <c r="R1192" s="26">
        <v>1</v>
      </c>
      <c r="S1192" s="26">
        <v>11</v>
      </c>
      <c r="T1192" s="26">
        <v>3</v>
      </c>
      <c r="U1192" s="26">
        <v>15</v>
      </c>
      <c r="V1192" s="26">
        <v>1</v>
      </c>
      <c r="W1192" s="26"/>
    </row>
    <row r="1193" spans="1:23" x14ac:dyDescent="0.25">
      <c r="A1193" s="26" t="str">
        <f t="shared" si="192"/>
        <v>SECUNDARIA</v>
      </c>
      <c r="B1193" s="26" t="str">
        <f>"09PES0854I"</f>
        <v>09PES0854I</v>
      </c>
      <c r="C1193" s="26" t="str">
        <f>"""COLEGIO INGENIERO JULIO RAMIREZ MERIDA""                                                            "</f>
        <v xml:space="preserve">"COLEGIO INGENIERO JULIO RAMIREZ MERIDA"                                                            </v>
      </c>
      <c r="D1193" s="26" t="str">
        <f t="shared" si="193"/>
        <v>MATUTINO</v>
      </c>
      <c r="E1193" s="26" t="str">
        <f>"NORTE 25 NO 60                                                                  "</f>
        <v xml:space="preserve">NORTE 25 NO 60                                                                  </v>
      </c>
      <c r="F1193" s="26" t="str">
        <f>"MOCTEZUMA 2A SECCION                                                                                                                        "</f>
        <v xml:space="preserve">MOCTEZUMA 2A SECCION                                                                                                                        </v>
      </c>
      <c r="G1193" s="26" t="str">
        <f>"VENUSTIANO CARRANZA                                                             "</f>
        <v xml:space="preserve">VENUSTIANO CARRANZA                                                             </v>
      </c>
      <c r="H1193" s="26" t="str">
        <f>"076"</f>
        <v>076</v>
      </c>
      <c r="I1193" s="26" t="str">
        <f t="shared" si="194"/>
        <v>00</v>
      </c>
      <c r="J1193" s="26" t="str">
        <f>"54 "</f>
        <v xml:space="preserve">54 </v>
      </c>
      <c r="K1193" s="26" t="str">
        <f t="shared" si="200"/>
        <v>SG</v>
      </c>
      <c r="L1193" s="26" t="str">
        <f t="shared" si="201"/>
        <v>DGOSE</v>
      </c>
      <c r="M1193" s="26" t="str">
        <f t="shared" si="197"/>
        <v>PARTICULAR</v>
      </c>
      <c r="N1193" s="26">
        <v>22</v>
      </c>
      <c r="O1193" s="26">
        <v>12</v>
      </c>
      <c r="P1193" s="26">
        <v>10</v>
      </c>
      <c r="Q1193" s="26">
        <v>3</v>
      </c>
      <c r="R1193" s="26">
        <v>1</v>
      </c>
      <c r="S1193" s="26">
        <v>8</v>
      </c>
      <c r="T1193" s="26">
        <v>0</v>
      </c>
      <c r="U1193" s="26">
        <v>9</v>
      </c>
      <c r="V1193" s="26">
        <v>1</v>
      </c>
      <c r="W1193" s="26"/>
    </row>
    <row r="1194" spans="1:23" x14ac:dyDescent="0.25">
      <c r="A1194" s="26" t="str">
        <f t="shared" si="192"/>
        <v>SECUNDARIA</v>
      </c>
      <c r="B1194" s="26" t="str">
        <f>"09PES0855H"</f>
        <v>09PES0855H</v>
      </c>
      <c r="C1194" s="26" t="str">
        <f>"ESCUELA SECUNDARIA JOSE MARIA LAFRAGUA                                                              "</f>
        <v xml:space="preserve">ESCUELA SECUNDARIA JOSE MARIA LAFRAGUA                                                              </v>
      </c>
      <c r="D1194" s="26" t="str">
        <f t="shared" si="193"/>
        <v>MATUTINO</v>
      </c>
      <c r="E1194" s="26" t="str">
        <f>"ISIDRO FABELA NO. 132                                                           "</f>
        <v xml:space="preserve">ISIDRO FABELA NO. 132                                                           </v>
      </c>
      <c r="F1194" s="26" t="str">
        <f>"JACARANDAS                                                                                                                                  "</f>
        <v xml:space="preserve">JACARANDAS                                                                                                                                  </v>
      </c>
      <c r="G1194" s="26" t="str">
        <f>"IZTAPALAPA                                                                      "</f>
        <v xml:space="preserve">IZTAPALAPA                                                                      </v>
      </c>
      <c r="H1194" s="26" t="str">
        <f>"000"</f>
        <v>000</v>
      </c>
      <c r="I1194" s="26" t="str">
        <f t="shared" si="194"/>
        <v>00</v>
      </c>
      <c r="J1194" s="26" t="str">
        <f>"64 "</f>
        <v xml:space="preserve">64 </v>
      </c>
      <c r="K1194" s="26" t="str">
        <f>"IZ"</f>
        <v>IZ</v>
      </c>
      <c r="L1194" s="26" t="str">
        <f>"DGSEI"</f>
        <v>DGSEI</v>
      </c>
      <c r="M1194" s="26" t="str">
        <f t="shared" si="197"/>
        <v>PARTICULAR</v>
      </c>
      <c r="N1194" s="26">
        <v>176</v>
      </c>
      <c r="O1194" s="26">
        <v>97</v>
      </c>
      <c r="P1194" s="26">
        <v>79</v>
      </c>
      <c r="Q1194" s="26">
        <v>11</v>
      </c>
      <c r="R1194" s="26">
        <v>1</v>
      </c>
      <c r="S1194" s="26">
        <v>13</v>
      </c>
      <c r="T1194" s="26">
        <v>4</v>
      </c>
      <c r="U1194" s="26">
        <v>18</v>
      </c>
      <c r="V1194" s="26">
        <v>1</v>
      </c>
      <c r="W1194" s="26"/>
    </row>
    <row r="1195" spans="1:23" x14ac:dyDescent="0.25">
      <c r="A1195" s="26" t="str">
        <f t="shared" si="192"/>
        <v>SECUNDARIA</v>
      </c>
      <c r="B1195" s="26" t="str">
        <f>"09PES0856G"</f>
        <v>09PES0856G</v>
      </c>
      <c r="C1195" s="26" t="str">
        <f>"COLEGIO VICTORIA                                                                                    "</f>
        <v xml:space="preserve">COLEGIO VICTORIA                                                                                    </v>
      </c>
      <c r="D1195" s="26" t="str">
        <f t="shared" si="193"/>
        <v>MATUTINO</v>
      </c>
      <c r="E1195" s="26" t="str">
        <f>"CALLE 20 DE NOVIEMBRE NO. 87                                                    "</f>
        <v xml:space="preserve">CALLE 20 DE NOVIEMBRE NO. 87                                                    </v>
      </c>
      <c r="F1195" s="26" t="str">
        <f>"SANTA MARIA AZTAHUACAN                                                                                                                      "</f>
        <v xml:space="preserve">SANTA MARIA AZTAHUACAN                                                                                                                      </v>
      </c>
      <c r="G1195" s="26" t="str">
        <f>"IZTAPALAPA                                                                      "</f>
        <v xml:space="preserve">IZTAPALAPA                                                                      </v>
      </c>
      <c r="H1195" s="26" t="str">
        <f>"000"</f>
        <v>000</v>
      </c>
      <c r="I1195" s="26" t="str">
        <f t="shared" si="194"/>
        <v>00</v>
      </c>
      <c r="J1195" s="26" t="str">
        <f>"63 "</f>
        <v xml:space="preserve">63 </v>
      </c>
      <c r="K1195" s="26" t="str">
        <f>"IZ"</f>
        <v>IZ</v>
      </c>
      <c r="L1195" s="26" t="str">
        <f>"DGSEI"</f>
        <v>DGSEI</v>
      </c>
      <c r="M1195" s="26" t="str">
        <f t="shared" si="197"/>
        <v>PARTICULAR</v>
      </c>
      <c r="N1195" s="26">
        <v>172</v>
      </c>
      <c r="O1195" s="26">
        <v>76</v>
      </c>
      <c r="P1195" s="26">
        <v>96</v>
      </c>
      <c r="Q1195" s="26">
        <v>6</v>
      </c>
      <c r="R1195" s="26">
        <v>1</v>
      </c>
      <c r="S1195" s="26">
        <v>24</v>
      </c>
      <c r="T1195" s="26">
        <v>3</v>
      </c>
      <c r="U1195" s="26">
        <v>28</v>
      </c>
      <c r="V1195" s="26">
        <v>1</v>
      </c>
      <c r="W1195" s="26"/>
    </row>
    <row r="1196" spans="1:23" x14ac:dyDescent="0.25">
      <c r="A1196" s="26" t="str">
        <f t="shared" si="192"/>
        <v>SECUNDARIA</v>
      </c>
      <c r="B1196" s="26" t="str">
        <f>"09PES0858E"</f>
        <v>09PES0858E</v>
      </c>
      <c r="C1196" s="26" t="str">
        <f>"ANNA SANDERS                                                                                        "</f>
        <v xml:space="preserve">ANNA SANDERS                                                                                        </v>
      </c>
      <c r="D1196" s="26" t="str">
        <f t="shared" si="193"/>
        <v>MATUTINO</v>
      </c>
      <c r="E1196" s="26" t="str">
        <f>"CALLE 55 NO. 112                                                                "</f>
        <v xml:space="preserve">CALLE 55 NO. 112                                                                </v>
      </c>
      <c r="F1196" s="26" t="str">
        <f>"SANTA CRUZ MEYEHUALCO                                                                                                                       "</f>
        <v xml:space="preserve">SANTA CRUZ MEYEHUALCO                                                                                                                       </v>
      </c>
      <c r="G1196" s="26" t="str">
        <f>"IZTAPALAPA                                                                      "</f>
        <v xml:space="preserve">IZTAPALAPA                                                                      </v>
      </c>
      <c r="H1196" s="26" t="str">
        <f>"000"</f>
        <v>000</v>
      </c>
      <c r="I1196" s="26" t="str">
        <f t="shared" si="194"/>
        <v>00</v>
      </c>
      <c r="J1196" s="26" t="str">
        <f>"64 "</f>
        <v xml:space="preserve">64 </v>
      </c>
      <c r="K1196" s="26" t="str">
        <f>"IZ"</f>
        <v>IZ</v>
      </c>
      <c r="L1196" s="26" t="str">
        <f>"DGSEI"</f>
        <v>DGSEI</v>
      </c>
      <c r="M1196" s="26" t="str">
        <f t="shared" si="197"/>
        <v>PARTICULAR</v>
      </c>
      <c r="N1196" s="26">
        <v>54</v>
      </c>
      <c r="O1196" s="26">
        <v>36</v>
      </c>
      <c r="P1196" s="26">
        <v>18</v>
      </c>
      <c r="Q1196" s="26">
        <v>3</v>
      </c>
      <c r="R1196" s="26">
        <v>1</v>
      </c>
      <c r="S1196" s="26">
        <v>8</v>
      </c>
      <c r="T1196" s="26">
        <v>1</v>
      </c>
      <c r="U1196" s="26">
        <v>10</v>
      </c>
      <c r="V1196" s="26">
        <v>1</v>
      </c>
      <c r="W1196" s="26"/>
    </row>
    <row r="1197" spans="1:23" x14ac:dyDescent="0.25">
      <c r="A1197" s="26" t="str">
        <f t="shared" si="192"/>
        <v>SECUNDARIA</v>
      </c>
      <c r="B1197" s="26" t="str">
        <f>"09PES0859D"</f>
        <v>09PES0859D</v>
      </c>
      <c r="C1197" s="26" t="str">
        <f>"""ESCUELA SECUNDARIA Y PREPARATORIA JUSTO SIERRA PLANTEL ARAGON""                                     "</f>
        <v xml:space="preserve">"ESCUELA SECUNDARIA Y PREPARATORIA JUSTO SIERRA PLANTEL ARAGON"                                     </v>
      </c>
      <c r="D1197" s="26" t="str">
        <f t="shared" si="193"/>
        <v>MATUTINO</v>
      </c>
      <c r="E1197" s="26" t="str">
        <f>"AVENIDA JOSE LORETO FABELA NUM. 460                                             "</f>
        <v xml:space="preserve">AVENIDA JOSE LORETO FABELA NUM. 460                                             </v>
      </c>
      <c r="F1197" s="26" t="str">
        <f>"SAN JUAN DE ARAGON                                                                                                                          "</f>
        <v xml:space="preserve">SAN JUAN DE ARAGON                                                                                                                          </v>
      </c>
      <c r="G1197" s="26" t="str">
        <f>"GUSTAVO A. MADERO                                                               "</f>
        <v xml:space="preserve">GUSTAVO A. MADERO                                                               </v>
      </c>
      <c r="H1197" s="26" t="str">
        <f>"041"</f>
        <v>041</v>
      </c>
      <c r="I1197" s="26" t="str">
        <f>"  "</f>
        <v xml:space="preserve">  </v>
      </c>
      <c r="J1197" s="26" t="str">
        <f>"52 "</f>
        <v xml:space="preserve">52 </v>
      </c>
      <c r="K1197" s="26" t="str">
        <f t="shared" ref="K1197:K1205" si="202">"SG"</f>
        <v>SG</v>
      </c>
      <c r="L1197" s="26" t="str">
        <f t="shared" ref="L1197:L1205" si="203">"DGOSE"</f>
        <v>DGOSE</v>
      </c>
      <c r="M1197" s="26" t="str">
        <f t="shared" si="197"/>
        <v>PARTICULAR</v>
      </c>
      <c r="N1197" s="26">
        <v>627</v>
      </c>
      <c r="O1197" s="26">
        <v>321</v>
      </c>
      <c r="P1197" s="26">
        <v>306</v>
      </c>
      <c r="Q1197" s="26">
        <v>17</v>
      </c>
      <c r="R1197" s="26">
        <v>2</v>
      </c>
      <c r="S1197" s="26">
        <v>35</v>
      </c>
      <c r="T1197" s="26">
        <v>9</v>
      </c>
      <c r="U1197" s="26">
        <v>46</v>
      </c>
      <c r="V1197" s="26">
        <v>1</v>
      </c>
      <c r="W1197" s="26"/>
    </row>
    <row r="1198" spans="1:23" x14ac:dyDescent="0.25">
      <c r="A1198" s="26" t="str">
        <f t="shared" si="192"/>
        <v>SECUNDARIA</v>
      </c>
      <c r="B1198" s="26" t="str">
        <f>"09PES0860T"</f>
        <v>09PES0860T</v>
      </c>
      <c r="C1198" s="26" t="str">
        <f>"COLEGIO GRIMM CAMPUS SANTA FE                                                                       "</f>
        <v xml:space="preserve">COLEGIO GRIMM CAMPUS SANTA FE                                                                       </v>
      </c>
      <c r="D1198" s="26" t="str">
        <f t="shared" si="193"/>
        <v>MATUTINO</v>
      </c>
      <c r="E1198" s="26" t="str">
        <f>"CARRETERA SAN MATEO-SANTA ROSA NO 99                                            "</f>
        <v xml:space="preserve">CARRETERA SAN MATEO-SANTA ROSA NO 99                                            </v>
      </c>
      <c r="F1198" s="26" t="str">
        <f>"SAN MATEO TLALTENANGO                                                                                                                       "</f>
        <v xml:space="preserve">SAN MATEO TLALTENANGO                                                                                                                       </v>
      </c>
      <c r="G1198" s="26" t="str">
        <f>"CUAJIMALPA DE MORELOS                                                           "</f>
        <v xml:space="preserve">CUAJIMALPA DE MORELOS                                                           </v>
      </c>
      <c r="H1198" s="26" t="str">
        <f>"024"</f>
        <v>024</v>
      </c>
      <c r="I1198" s="26" t="str">
        <f>"  "</f>
        <v xml:space="preserve">  </v>
      </c>
      <c r="J1198" s="26" t="str">
        <f>"53 "</f>
        <v xml:space="preserve">53 </v>
      </c>
      <c r="K1198" s="26" t="str">
        <f t="shared" si="202"/>
        <v>SG</v>
      </c>
      <c r="L1198" s="26" t="str">
        <f t="shared" si="203"/>
        <v>DGOSE</v>
      </c>
      <c r="M1198" s="26" t="str">
        <f t="shared" si="197"/>
        <v>PARTICULAR</v>
      </c>
      <c r="N1198" s="26">
        <v>73</v>
      </c>
      <c r="O1198" s="26">
        <v>45</v>
      </c>
      <c r="P1198" s="26">
        <v>28</v>
      </c>
      <c r="Q1198" s="26">
        <v>6</v>
      </c>
      <c r="R1198" s="26">
        <v>1</v>
      </c>
      <c r="S1198" s="26">
        <v>14</v>
      </c>
      <c r="T1198" s="26">
        <v>1</v>
      </c>
      <c r="U1198" s="26">
        <v>16</v>
      </c>
      <c r="V1198" s="26">
        <v>1</v>
      </c>
      <c r="W1198" s="26"/>
    </row>
    <row r="1199" spans="1:23" x14ac:dyDescent="0.25">
      <c r="A1199" s="26" t="str">
        <f t="shared" si="192"/>
        <v>SECUNDARIA</v>
      </c>
      <c r="B1199" s="26" t="str">
        <f>"09PES0861S"</f>
        <v>09PES0861S</v>
      </c>
      <c r="C1199" s="26" t="str">
        <f>"""BENJAMIN FRANKLIN""                                                                                 "</f>
        <v xml:space="preserve">"BENJAMIN FRANKLIN"                                                                                 </v>
      </c>
      <c r="D1199" s="26" t="str">
        <f t="shared" si="193"/>
        <v>MATUTINO</v>
      </c>
      <c r="E1199" s="26" t="str">
        <f>"AVENIDA BENJAMIN FRANKLIN NUM. 75                                               "</f>
        <v xml:space="preserve">AVENIDA BENJAMIN FRANKLIN NUM. 75                                               </v>
      </c>
      <c r="F1199" s="26" t="str">
        <f>"HIPODROMO DE LA CONDESA                                                                                                                     "</f>
        <v xml:space="preserve">HIPODROMO DE LA CONDESA                                                                                                                     </v>
      </c>
      <c r="G1199" s="26" t="str">
        <f>"CUAUHTEMOC                                                                      "</f>
        <v xml:space="preserve">CUAUHTEMOC                                                                      </v>
      </c>
      <c r="H1199" s="26" t="str">
        <f>"029"</f>
        <v>029</v>
      </c>
      <c r="I1199" s="26" t="str">
        <f>"  "</f>
        <v xml:space="preserve">  </v>
      </c>
      <c r="J1199" s="26" t="str">
        <f>"51 "</f>
        <v xml:space="preserve">51 </v>
      </c>
      <c r="K1199" s="26" t="str">
        <f t="shared" si="202"/>
        <v>SG</v>
      </c>
      <c r="L1199" s="26" t="str">
        <f t="shared" si="203"/>
        <v>DGOSE</v>
      </c>
      <c r="M1199" s="26" t="str">
        <f t="shared" si="197"/>
        <v>PARTICULAR</v>
      </c>
      <c r="N1199" s="26">
        <v>91</v>
      </c>
      <c r="O1199" s="26">
        <v>49</v>
      </c>
      <c r="P1199" s="26">
        <v>42</v>
      </c>
      <c r="Q1199" s="26">
        <v>3</v>
      </c>
      <c r="R1199" s="26">
        <v>1</v>
      </c>
      <c r="S1199" s="26">
        <v>11</v>
      </c>
      <c r="T1199" s="26">
        <v>2</v>
      </c>
      <c r="U1199" s="26">
        <v>14</v>
      </c>
      <c r="V1199" s="26">
        <v>1</v>
      </c>
      <c r="W1199" s="26"/>
    </row>
    <row r="1200" spans="1:23" x14ac:dyDescent="0.25">
      <c r="A1200" s="26" t="str">
        <f t="shared" si="192"/>
        <v>SECUNDARIA</v>
      </c>
      <c r="B1200" s="26" t="str">
        <f>"09PES0862R"</f>
        <v>09PES0862R</v>
      </c>
      <c r="C1200" s="26" t="str">
        <f>"""COLEGIO ENRIQUE REBSAMEN SECUNDARIA""                                                               "</f>
        <v xml:space="preserve">"COLEGIO ENRIQUE REBSAMEN SECUNDARIA"                                                               </v>
      </c>
      <c r="D1200" s="26" t="str">
        <f t="shared" si="193"/>
        <v>MATUTINO</v>
      </c>
      <c r="E1200" s="26" t="str">
        <f>"RANCHO TAMBOREO NUM. 19                                                         "</f>
        <v xml:space="preserve">RANCHO TAMBOREO NUM. 19                                                         </v>
      </c>
      <c r="F1200" s="26" t="str">
        <f>"NUEVA ORIENTAL                                                                                                                              "</f>
        <v xml:space="preserve">NUEVA ORIENTAL                                                                                                                              </v>
      </c>
      <c r="G1200" s="26" t="str">
        <f>"TLALPAN                                                                         "</f>
        <v xml:space="preserve">TLALPAN                                                                         </v>
      </c>
      <c r="H1200" s="26" t="str">
        <f>"070"</f>
        <v>070</v>
      </c>
      <c r="I1200" s="26" t="str">
        <f t="shared" ref="I1200:I1237" si="204">"00"</f>
        <v>00</v>
      </c>
      <c r="J1200" s="26" t="str">
        <f>"55 "</f>
        <v xml:space="preserve">55 </v>
      </c>
      <c r="K1200" s="26" t="str">
        <f t="shared" si="202"/>
        <v>SG</v>
      </c>
      <c r="L1200" s="26" t="str">
        <f t="shared" si="203"/>
        <v>DGOSE</v>
      </c>
      <c r="M1200" s="26" t="str">
        <f t="shared" si="197"/>
        <v>PARTICULAR</v>
      </c>
      <c r="N1200" s="26">
        <v>123</v>
      </c>
      <c r="O1200" s="26">
        <v>62</v>
      </c>
      <c r="P1200" s="26">
        <v>61</v>
      </c>
      <c r="Q1200" s="26">
        <v>8</v>
      </c>
      <c r="R1200" s="26">
        <v>1</v>
      </c>
      <c r="S1200" s="26">
        <v>12</v>
      </c>
      <c r="T1200" s="26">
        <v>1</v>
      </c>
      <c r="U1200" s="26">
        <v>14</v>
      </c>
      <c r="V1200" s="26">
        <v>1</v>
      </c>
      <c r="W1200" s="26"/>
    </row>
    <row r="1201" spans="1:23" x14ac:dyDescent="0.25">
      <c r="A1201" s="26" t="str">
        <f t="shared" si="192"/>
        <v>SECUNDARIA</v>
      </c>
      <c r="B1201" s="26" t="str">
        <f>"09PES0864P"</f>
        <v>09PES0864P</v>
      </c>
      <c r="C1201" s="26" t="str">
        <f>"""COLEGIO CHARLES CHAPLIN""                                                                           "</f>
        <v xml:space="preserve">"COLEGIO CHARLES CHAPLIN"                                                                           </v>
      </c>
      <c r="D1201" s="26" t="str">
        <f t="shared" si="193"/>
        <v>MATUTINO</v>
      </c>
      <c r="E1201" s="26" t="str">
        <f>"PACIFICO NUM. 266                                                               "</f>
        <v xml:space="preserve">PACIFICO NUM. 266                                                               </v>
      </c>
      <c r="F1201" s="26" t="str">
        <f>"EL ROSEDAL                                                                                                                                  "</f>
        <v xml:space="preserve">EL ROSEDAL                                                                                                                                  </v>
      </c>
      <c r="G1201" s="26" t="str">
        <f>"COYOACAN                                                                        "</f>
        <v xml:space="preserve">COYOACAN                                                                        </v>
      </c>
      <c r="H1201" s="26" t="str">
        <f>"019"</f>
        <v>019</v>
      </c>
      <c r="I1201" s="26" t="str">
        <f t="shared" si="204"/>
        <v>00</v>
      </c>
      <c r="J1201" s="26" t="str">
        <f>"54 "</f>
        <v xml:space="preserve">54 </v>
      </c>
      <c r="K1201" s="26" t="str">
        <f t="shared" si="202"/>
        <v>SG</v>
      </c>
      <c r="L1201" s="26" t="str">
        <f t="shared" si="203"/>
        <v>DGOSE</v>
      </c>
      <c r="M1201" s="26" t="str">
        <f t="shared" si="197"/>
        <v>PARTICULAR</v>
      </c>
      <c r="N1201" s="26">
        <v>66</v>
      </c>
      <c r="O1201" s="26">
        <v>31</v>
      </c>
      <c r="P1201" s="26">
        <v>35</v>
      </c>
      <c r="Q1201" s="26">
        <v>3</v>
      </c>
      <c r="R1201" s="26">
        <v>1</v>
      </c>
      <c r="S1201" s="26">
        <v>11</v>
      </c>
      <c r="T1201" s="26">
        <v>2</v>
      </c>
      <c r="U1201" s="26">
        <v>14</v>
      </c>
      <c r="V1201" s="26">
        <v>1</v>
      </c>
      <c r="W1201" s="26"/>
    </row>
    <row r="1202" spans="1:23" x14ac:dyDescent="0.25">
      <c r="A1202" s="26" t="str">
        <f t="shared" si="192"/>
        <v>SECUNDARIA</v>
      </c>
      <c r="B1202" s="26" t="str">
        <f>"09PES0865O"</f>
        <v>09PES0865O</v>
      </c>
      <c r="C1202" s="26" t="str">
        <f>"""COLEGIO BENEDICTINO""                                                                               "</f>
        <v xml:space="preserve">"COLEGIO BENEDICTINO"                                                                               </v>
      </c>
      <c r="D1202" s="26" t="str">
        <f t="shared" si="193"/>
        <v>MATUTINO</v>
      </c>
      <c r="E1202" s="26" t="str">
        <f>"RIO BAMBA NUM. 850                                                              "</f>
        <v xml:space="preserve">RIO BAMBA NUM. 850                                                              </v>
      </c>
      <c r="F1202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1202" s="26" t="str">
        <f>"GUSTAVO A. MADERO                                                               "</f>
        <v xml:space="preserve">GUSTAVO A. MADERO                                                               </v>
      </c>
      <c r="H1202" s="26" t="str">
        <f>"035"</f>
        <v>035</v>
      </c>
      <c r="I1202" s="26" t="str">
        <f t="shared" si="204"/>
        <v>00</v>
      </c>
      <c r="J1202" s="26" t="str">
        <f>"52 "</f>
        <v xml:space="preserve">52 </v>
      </c>
      <c r="K1202" s="26" t="str">
        <f t="shared" si="202"/>
        <v>SG</v>
      </c>
      <c r="L1202" s="26" t="str">
        <f t="shared" si="203"/>
        <v>DGOSE</v>
      </c>
      <c r="M1202" s="26" t="str">
        <f t="shared" si="197"/>
        <v>PARTICULAR</v>
      </c>
      <c r="N1202" s="26">
        <v>118</v>
      </c>
      <c r="O1202" s="26">
        <v>118</v>
      </c>
      <c r="P1202" s="26">
        <v>0</v>
      </c>
      <c r="Q1202" s="26">
        <v>5</v>
      </c>
      <c r="R1202" s="26">
        <v>2</v>
      </c>
      <c r="S1202" s="26">
        <v>14</v>
      </c>
      <c r="T1202" s="26">
        <v>4</v>
      </c>
      <c r="U1202" s="26">
        <v>20</v>
      </c>
      <c r="V1202" s="26">
        <v>1</v>
      </c>
      <c r="W1202" s="26"/>
    </row>
    <row r="1203" spans="1:23" x14ac:dyDescent="0.25">
      <c r="A1203" s="26" t="str">
        <f t="shared" si="192"/>
        <v>SECUNDARIA</v>
      </c>
      <c r="B1203" s="26" t="str">
        <f>"09PES0867M"</f>
        <v>09PES0867M</v>
      </c>
      <c r="C1203" s="26" t="str">
        <f>"""COLEGIO MEXICO SECUNDARIA""                                                                         "</f>
        <v xml:space="preserve">"COLEGIO MEXICO SECUNDARIA"                                                                         </v>
      </c>
      <c r="D1203" s="26" t="str">
        <f t="shared" si="193"/>
        <v>MATUTINO</v>
      </c>
      <c r="E1203" s="26" t="str">
        <f>"MERIDA NUM. 50                                                                  "</f>
        <v xml:space="preserve">MERIDA NUM. 50                                                                  </v>
      </c>
      <c r="F1203" s="26" t="str">
        <f>"ROMA NORTE                                                                                                                                  "</f>
        <v xml:space="preserve">ROMA NORTE                                                                                                                                  </v>
      </c>
      <c r="G1203" s="26" t="str">
        <f>"CUAUHTEMOC                                                                      "</f>
        <v xml:space="preserve">CUAUHTEMOC                                                                      </v>
      </c>
      <c r="H1203" s="26" t="str">
        <f>"030"</f>
        <v>030</v>
      </c>
      <c r="I1203" s="26" t="str">
        <f t="shared" si="204"/>
        <v>00</v>
      </c>
      <c r="J1203" s="26" t="str">
        <f>"51 "</f>
        <v xml:space="preserve">51 </v>
      </c>
      <c r="K1203" s="26" t="str">
        <f t="shared" si="202"/>
        <v>SG</v>
      </c>
      <c r="L1203" s="26" t="str">
        <f t="shared" si="203"/>
        <v>DGOSE</v>
      </c>
      <c r="M1203" s="26" t="str">
        <f t="shared" si="197"/>
        <v>PARTICULAR</v>
      </c>
      <c r="N1203" s="26">
        <v>218</v>
      </c>
      <c r="O1203" s="26">
        <v>119</v>
      </c>
      <c r="P1203" s="26">
        <v>99</v>
      </c>
      <c r="Q1203" s="26">
        <v>8</v>
      </c>
      <c r="R1203" s="26">
        <v>2</v>
      </c>
      <c r="S1203" s="26">
        <v>15</v>
      </c>
      <c r="T1203" s="26">
        <v>2</v>
      </c>
      <c r="U1203" s="26">
        <v>19</v>
      </c>
      <c r="V1203" s="26">
        <v>1</v>
      </c>
      <c r="W1203" s="26"/>
    </row>
    <row r="1204" spans="1:23" x14ac:dyDescent="0.25">
      <c r="A1204" s="26" t="str">
        <f t="shared" si="192"/>
        <v>SECUNDARIA</v>
      </c>
      <c r="B1204" s="26" t="str">
        <f>"09PES0868L"</f>
        <v>09PES0868L</v>
      </c>
      <c r="C1204" s="26" t="str">
        <f>"""COLEGIO ATID""                                                                                      "</f>
        <v xml:space="preserve">"COLEGIO ATID"                                                                                      </v>
      </c>
      <c r="D1204" s="26" t="str">
        <f t="shared" si="193"/>
        <v>MATUTINO</v>
      </c>
      <c r="E1204" s="26" t="str">
        <f>"AVENIDA CARLOS ECHANOVE NUM. 224                                                "</f>
        <v xml:space="preserve">AVENIDA CARLOS ECHANOVE NUM. 224                                                </v>
      </c>
      <c r="F1204" s="26" t="str">
        <f>"LOMAS DE VISTA HERMOSA                                                                                                                      "</f>
        <v xml:space="preserve">LOMAS DE VISTA HERMOSA                                                                                                                      </v>
      </c>
      <c r="G1204" s="26" t="str">
        <f>"CUAJIMALPA DE MORELOS                                                           "</f>
        <v xml:space="preserve">CUAJIMALPA DE MORELOS                                                           </v>
      </c>
      <c r="H1204" s="26" t="str">
        <f>"024"</f>
        <v>024</v>
      </c>
      <c r="I1204" s="26" t="str">
        <f t="shared" si="204"/>
        <v>00</v>
      </c>
      <c r="J1204" s="26" t="str">
        <f>"53 "</f>
        <v xml:space="preserve">53 </v>
      </c>
      <c r="K1204" s="26" t="str">
        <f t="shared" si="202"/>
        <v>SG</v>
      </c>
      <c r="L1204" s="26" t="str">
        <f t="shared" si="203"/>
        <v>DGOSE</v>
      </c>
      <c r="M1204" s="26" t="str">
        <f t="shared" si="197"/>
        <v>PARTICULAR</v>
      </c>
      <c r="N1204" s="26">
        <v>196</v>
      </c>
      <c r="O1204" s="26">
        <v>102</v>
      </c>
      <c r="P1204" s="26">
        <v>94</v>
      </c>
      <c r="Q1204" s="26">
        <v>10</v>
      </c>
      <c r="R1204" s="26">
        <v>2</v>
      </c>
      <c r="S1204" s="26">
        <v>18</v>
      </c>
      <c r="T1204" s="26">
        <v>2</v>
      </c>
      <c r="U1204" s="26">
        <v>22</v>
      </c>
      <c r="V1204" s="26">
        <v>1</v>
      </c>
      <c r="W1204" s="26"/>
    </row>
    <row r="1205" spans="1:23" x14ac:dyDescent="0.25">
      <c r="A1205" s="26" t="str">
        <f t="shared" si="192"/>
        <v>SECUNDARIA</v>
      </c>
      <c r="B1205" s="26" t="str">
        <f>"09PES0869K"</f>
        <v>09PES0869K</v>
      </c>
      <c r="C1205" s="26" t="str">
        <f>"""TIYOLI""                                                                                            "</f>
        <v xml:space="preserve">"TIYOLI"                                                                                            </v>
      </c>
      <c r="D1205" s="26" t="str">
        <f t="shared" si="193"/>
        <v>MATUTINO</v>
      </c>
      <c r="E1205" s="26" t="str">
        <f>"CALLE OCOTAL NUM. 15                                                            "</f>
        <v xml:space="preserve">CALLE OCOTAL NUM. 15                                                            </v>
      </c>
      <c r="F1205" s="26" t="str">
        <f>"LOMAS DEL PADRE                                                                                                                             "</f>
        <v xml:space="preserve">LOMAS DEL PADRE                                                                                                                             </v>
      </c>
      <c r="G1205" s="26" t="str">
        <f>"CUAJIMALPA DE MORELOS                                                           "</f>
        <v xml:space="preserve">CUAJIMALPA DE MORELOS                                                           </v>
      </c>
      <c r="H1205" s="26" t="str">
        <f>"024"</f>
        <v>024</v>
      </c>
      <c r="I1205" s="26" t="str">
        <f t="shared" si="204"/>
        <v>00</v>
      </c>
      <c r="J1205" s="26" t="str">
        <f>"53 "</f>
        <v xml:space="preserve">53 </v>
      </c>
      <c r="K1205" s="26" t="str">
        <f t="shared" si="202"/>
        <v>SG</v>
      </c>
      <c r="L1205" s="26" t="str">
        <f t="shared" si="203"/>
        <v>DGOSE</v>
      </c>
      <c r="M1205" s="26" t="str">
        <f t="shared" si="197"/>
        <v>PARTICULAR</v>
      </c>
      <c r="N1205" s="26">
        <v>97</v>
      </c>
      <c r="O1205" s="26">
        <v>58</v>
      </c>
      <c r="P1205" s="26">
        <v>39</v>
      </c>
      <c r="Q1205" s="26">
        <v>6</v>
      </c>
      <c r="R1205" s="26">
        <v>1</v>
      </c>
      <c r="S1205" s="26">
        <v>15</v>
      </c>
      <c r="T1205" s="26">
        <v>4</v>
      </c>
      <c r="U1205" s="26">
        <v>20</v>
      </c>
      <c r="V1205" s="26">
        <v>1</v>
      </c>
      <c r="W1205" s="26"/>
    </row>
    <row r="1206" spans="1:23" x14ac:dyDescent="0.25">
      <c r="A1206" s="26" t="str">
        <f t="shared" si="192"/>
        <v>SECUNDARIA</v>
      </c>
      <c r="B1206" s="26" t="str">
        <f>"09PES0870Z"</f>
        <v>09PES0870Z</v>
      </c>
      <c r="C1206" s="26" t="str">
        <f>"LICEO HERBART S.C.                                                                                  "</f>
        <v xml:space="preserve">LICEO HERBART S.C.                                                                                  </v>
      </c>
      <c r="D1206" s="26" t="str">
        <f t="shared" si="193"/>
        <v>MATUTINO</v>
      </c>
      <c r="E1206" s="26" t="str">
        <f>"AV. EL VERGEL NO. 6                                                             "</f>
        <v xml:space="preserve">AV. EL VERGEL NO. 6                                                             </v>
      </c>
      <c r="F1206" s="26" t="str">
        <f>"SANTA CRUZ MEYEHUALCO                                                                                                                       "</f>
        <v xml:space="preserve">SANTA CRUZ MEYEHUALCO                                                                                                                       </v>
      </c>
      <c r="G1206" s="26" t="str">
        <f>"IZTAPALAPA                                                                      "</f>
        <v xml:space="preserve">IZTAPALAPA                                                                      </v>
      </c>
      <c r="H1206" s="26" t="str">
        <f>"000"</f>
        <v>000</v>
      </c>
      <c r="I1206" s="26" t="str">
        <f t="shared" si="204"/>
        <v>00</v>
      </c>
      <c r="J1206" s="26" t="str">
        <f>"63 "</f>
        <v xml:space="preserve">63 </v>
      </c>
      <c r="K1206" s="26" t="str">
        <f>"IZ"</f>
        <v>IZ</v>
      </c>
      <c r="L1206" s="26" t="str">
        <f>"DGSEI"</f>
        <v>DGSEI</v>
      </c>
      <c r="M1206" s="26" t="str">
        <f t="shared" si="197"/>
        <v>PARTICULAR</v>
      </c>
      <c r="N1206" s="26">
        <v>101</v>
      </c>
      <c r="O1206" s="26">
        <v>56</v>
      </c>
      <c r="P1206" s="26">
        <v>45</v>
      </c>
      <c r="Q1206" s="26">
        <v>6</v>
      </c>
      <c r="R1206" s="26">
        <v>1</v>
      </c>
      <c r="S1206" s="26">
        <v>12</v>
      </c>
      <c r="T1206" s="26">
        <v>5</v>
      </c>
      <c r="U1206" s="26">
        <v>18</v>
      </c>
      <c r="V1206" s="26">
        <v>1</v>
      </c>
      <c r="W1206" s="26"/>
    </row>
    <row r="1207" spans="1:23" x14ac:dyDescent="0.25">
      <c r="A1207" s="26" t="str">
        <f t="shared" si="192"/>
        <v>SECUNDARIA</v>
      </c>
      <c r="B1207" s="26" t="str">
        <f>"09PES0871Z"</f>
        <v>09PES0871Z</v>
      </c>
      <c r="C1207" s="26" t="str">
        <f>"""EL TESORO DEL SABER""                                                                               "</f>
        <v xml:space="preserve">"EL TESORO DEL SABER"                                                                               </v>
      </c>
      <c r="D1207" s="26" t="str">
        <f t="shared" si="193"/>
        <v>MATUTINO</v>
      </c>
      <c r="E1207" s="26" t="str">
        <f>"NORTE 82 NO 4225 Y 4227                                                         "</f>
        <v xml:space="preserve">NORTE 82 NO 4225 Y 4227                                                         </v>
      </c>
      <c r="F1207" s="26" t="str">
        <f>"MALINCHE                                                                                                                                    "</f>
        <v xml:space="preserve">MALINCHE                                                                                                                                    </v>
      </c>
      <c r="G1207" s="26" t="str">
        <f>"GUSTAVO A. MADERO                                                               "</f>
        <v xml:space="preserve">GUSTAVO A. MADERO                                                               </v>
      </c>
      <c r="H1207" s="26" t="str">
        <f>"036"</f>
        <v>036</v>
      </c>
      <c r="I1207" s="26" t="str">
        <f t="shared" si="204"/>
        <v>00</v>
      </c>
      <c r="J1207" s="26" t="str">
        <f>"52 "</f>
        <v xml:space="preserve">52 </v>
      </c>
      <c r="K1207" s="26" t="str">
        <f t="shared" ref="K1207:K1212" si="205">"SG"</f>
        <v>SG</v>
      </c>
      <c r="L1207" s="26" t="str">
        <f t="shared" ref="L1207:L1212" si="206">"DGOSE"</f>
        <v>DGOSE</v>
      </c>
      <c r="M1207" s="26" t="str">
        <f t="shared" si="197"/>
        <v>PARTICULAR</v>
      </c>
      <c r="N1207" s="26">
        <v>317</v>
      </c>
      <c r="O1207" s="26">
        <v>149</v>
      </c>
      <c r="P1207" s="26">
        <v>168</v>
      </c>
      <c r="Q1207" s="26">
        <v>12</v>
      </c>
      <c r="R1207" s="26">
        <v>2</v>
      </c>
      <c r="S1207" s="26">
        <v>17</v>
      </c>
      <c r="T1207" s="26">
        <v>3</v>
      </c>
      <c r="U1207" s="26">
        <v>22</v>
      </c>
      <c r="V1207" s="26">
        <v>1</v>
      </c>
      <c r="W1207" s="26"/>
    </row>
    <row r="1208" spans="1:23" x14ac:dyDescent="0.25">
      <c r="A1208" s="26" t="str">
        <f t="shared" si="192"/>
        <v>SECUNDARIA</v>
      </c>
      <c r="B1208" s="26" t="str">
        <f>"09PES0872Y"</f>
        <v>09PES0872Y</v>
      </c>
      <c r="C1208" s="26" t="str">
        <f>"""INSTITUTO CULTURAL JOSE VASCONCELOS""                                                               "</f>
        <v xml:space="preserve">"INSTITUTO CULTURAL JOSE VASCONCELOS"                                                               </v>
      </c>
      <c r="D1208" s="26" t="str">
        <f t="shared" si="193"/>
        <v>MATUTINO</v>
      </c>
      <c r="E1208" s="26" t="str">
        <f>"HUACHINANGO LOTE 5 MZNA 450 Y MARLIN S/N LOTE 6 MZNA 109                        "</f>
        <v xml:space="preserve">HUACHINANGO LOTE 5 MZNA 450 Y MARLIN S/N LOTE 6 MZNA 109                        </v>
      </c>
      <c r="F1208" s="26" t="str">
        <f>"DEL MAR                                                                                                                                     "</f>
        <v xml:space="preserve">DEL MAR                                                                                                                                     </v>
      </c>
      <c r="G1208" s="26" t="str">
        <f>"TLAHUAC                                                                         "</f>
        <v xml:space="preserve">TLAHUAC                                                                         </v>
      </c>
      <c r="H1208" s="26" t="str">
        <f>"067"</f>
        <v>067</v>
      </c>
      <c r="I1208" s="26" t="str">
        <f t="shared" si="204"/>
        <v>00</v>
      </c>
      <c r="J1208" s="26" t="str">
        <f>"55 "</f>
        <v xml:space="preserve">55 </v>
      </c>
      <c r="K1208" s="26" t="str">
        <f t="shared" si="205"/>
        <v>SG</v>
      </c>
      <c r="L1208" s="26" t="str">
        <f t="shared" si="206"/>
        <v>DGOSE</v>
      </c>
      <c r="M1208" s="26" t="str">
        <f t="shared" si="197"/>
        <v>PARTICULAR</v>
      </c>
      <c r="N1208" s="26">
        <v>113</v>
      </c>
      <c r="O1208" s="26">
        <v>56</v>
      </c>
      <c r="P1208" s="26">
        <v>57</v>
      </c>
      <c r="Q1208" s="26">
        <v>6</v>
      </c>
      <c r="R1208" s="26">
        <v>2</v>
      </c>
      <c r="S1208" s="26">
        <v>14</v>
      </c>
      <c r="T1208" s="26">
        <v>1</v>
      </c>
      <c r="U1208" s="26">
        <v>17</v>
      </c>
      <c r="V1208" s="26">
        <v>1</v>
      </c>
      <c r="W1208" s="26"/>
    </row>
    <row r="1209" spans="1:23" x14ac:dyDescent="0.25">
      <c r="A1209" s="26" t="str">
        <f t="shared" si="192"/>
        <v>SECUNDARIA</v>
      </c>
      <c r="B1209" s="26" t="str">
        <f>"09PES0873X"</f>
        <v>09PES0873X</v>
      </c>
      <c r="C1209" s="26" t="str">
        <f>"""INSTITUTO LATINO DE MEXICO""                                                                        "</f>
        <v xml:space="preserve">"INSTITUTO LATINO DE MEXICO"                                                                        </v>
      </c>
      <c r="D1209" s="26" t="str">
        <f t="shared" si="193"/>
        <v>MATUTINO</v>
      </c>
      <c r="E1209" s="26" t="str">
        <f>"JUAREZ NO 4                                                                     "</f>
        <v xml:space="preserve">JUAREZ NO 4                                                                     </v>
      </c>
      <c r="F1209" s="26" t="str">
        <f>"SAN PABLO TEPETLAPA EJIDO                                                                                                                   "</f>
        <v xml:space="preserve">SAN PABLO TEPETLAPA EJIDO                                                                                                                   </v>
      </c>
      <c r="G1209" s="26" t="str">
        <f>"COYOACAN                                                                        "</f>
        <v xml:space="preserve">COYOACAN                                                                        </v>
      </c>
      <c r="H1209" s="26" t="str">
        <f>"022"</f>
        <v>022</v>
      </c>
      <c r="I1209" s="26" t="str">
        <f t="shared" si="204"/>
        <v>00</v>
      </c>
      <c r="J1209" s="26" t="str">
        <f>"54 "</f>
        <v xml:space="preserve">54 </v>
      </c>
      <c r="K1209" s="26" t="str">
        <f t="shared" si="205"/>
        <v>SG</v>
      </c>
      <c r="L1209" s="26" t="str">
        <f t="shared" si="206"/>
        <v>DGOSE</v>
      </c>
      <c r="M1209" s="26" t="str">
        <f t="shared" si="197"/>
        <v>PARTICULAR</v>
      </c>
      <c r="N1209" s="26">
        <v>51</v>
      </c>
      <c r="O1209" s="26">
        <v>28</v>
      </c>
      <c r="P1209" s="26">
        <v>23</v>
      </c>
      <c r="Q1209" s="26">
        <v>3</v>
      </c>
      <c r="R1209" s="26">
        <v>1</v>
      </c>
      <c r="S1209" s="26">
        <v>11</v>
      </c>
      <c r="T1209" s="26">
        <v>1</v>
      </c>
      <c r="U1209" s="26">
        <v>13</v>
      </c>
      <c r="V1209" s="26">
        <v>1</v>
      </c>
      <c r="W1209" s="26"/>
    </row>
    <row r="1210" spans="1:23" x14ac:dyDescent="0.25">
      <c r="A1210" s="26" t="str">
        <f t="shared" si="192"/>
        <v>SECUNDARIA</v>
      </c>
      <c r="B1210" s="26" t="str">
        <f>"09PES0874W"</f>
        <v>09PES0874W</v>
      </c>
      <c r="C1210" s="26" t="str">
        <f>"""SECUNDARIA TEPEYAC ESTRELLA""                                                                       "</f>
        <v xml:space="preserve">"SECUNDARIA TEPEYAC ESTRELLA"                                                                       </v>
      </c>
      <c r="D1210" s="26" t="str">
        <f t="shared" si="193"/>
        <v>MATUTINO</v>
      </c>
      <c r="E1210" s="26" t="str">
        <f>"CALLE ZAFIRO NO 72                                                              "</f>
        <v xml:space="preserve">CALLE ZAFIRO NO 72                                                              </v>
      </c>
      <c r="F1210" s="26" t="str">
        <f>"ESTRELLA                                                                                                                                    "</f>
        <v xml:space="preserve">ESTRELLA                                                                                                                                    </v>
      </c>
      <c r="G1210" s="26" t="str">
        <f>"GUSTAVO A. MADERO                                                               "</f>
        <v xml:space="preserve">GUSTAVO A. MADERO                                                               </v>
      </c>
      <c r="H1210" s="26" t="str">
        <f>"034"</f>
        <v>034</v>
      </c>
      <c r="I1210" s="26" t="str">
        <f t="shared" si="204"/>
        <v>00</v>
      </c>
      <c r="J1210" s="26" t="str">
        <f>"52 "</f>
        <v xml:space="preserve">52 </v>
      </c>
      <c r="K1210" s="26" t="str">
        <f t="shared" si="205"/>
        <v>SG</v>
      </c>
      <c r="L1210" s="26" t="str">
        <f t="shared" si="206"/>
        <v>DGOSE</v>
      </c>
      <c r="M1210" s="26" t="str">
        <f t="shared" si="197"/>
        <v>PARTICULAR</v>
      </c>
      <c r="N1210" s="26">
        <v>41</v>
      </c>
      <c r="O1210" s="26">
        <v>25</v>
      </c>
      <c r="P1210" s="26">
        <v>16</v>
      </c>
      <c r="Q1210" s="26">
        <v>3</v>
      </c>
      <c r="R1210" s="26">
        <v>1</v>
      </c>
      <c r="S1210" s="26">
        <v>10</v>
      </c>
      <c r="T1210" s="26">
        <v>1</v>
      </c>
      <c r="U1210" s="26">
        <v>12</v>
      </c>
      <c r="V1210" s="26">
        <v>1</v>
      </c>
      <c r="W1210" s="26"/>
    </row>
    <row r="1211" spans="1:23" x14ac:dyDescent="0.25">
      <c r="A1211" s="26" t="str">
        <f t="shared" si="192"/>
        <v>SECUNDARIA</v>
      </c>
      <c r="B1211" s="26" t="str">
        <f>"09PES0875V"</f>
        <v>09PES0875V</v>
      </c>
      <c r="C1211" s="26" t="str">
        <f>"""CENTRO ESCOLAR MARTINIQUE""                                                                         "</f>
        <v xml:space="preserve">"CENTRO ESCOLAR MARTINIQUE"                                                                         </v>
      </c>
      <c r="D1211" s="26" t="str">
        <f t="shared" si="193"/>
        <v>MATUTINO</v>
      </c>
      <c r="E1211" s="26" t="str">
        <f>"FERNANDO IGLESIAS Y CALDERON NO 137                                             "</f>
        <v xml:space="preserve">FERNANDO IGLESIAS Y CALDERON NO 137                                             </v>
      </c>
      <c r="F1211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1211" s="26" t="str">
        <f>"VENUSTIANO CARRANZA                                                             "</f>
        <v xml:space="preserve">VENUSTIANO CARRANZA                                                             </v>
      </c>
      <c r="H1211" s="26" t="str">
        <f>"078"</f>
        <v>078</v>
      </c>
      <c r="I1211" s="26" t="str">
        <f t="shared" si="204"/>
        <v>00</v>
      </c>
      <c r="J1211" s="26" t="str">
        <f>"54 "</f>
        <v xml:space="preserve">54 </v>
      </c>
      <c r="K1211" s="26" t="str">
        <f t="shared" si="205"/>
        <v>SG</v>
      </c>
      <c r="L1211" s="26" t="str">
        <f t="shared" si="206"/>
        <v>DGOSE</v>
      </c>
      <c r="M1211" s="26" t="str">
        <f t="shared" si="197"/>
        <v>PARTICULAR</v>
      </c>
      <c r="N1211" s="26">
        <v>61</v>
      </c>
      <c r="O1211" s="26">
        <v>35</v>
      </c>
      <c r="P1211" s="26">
        <v>26</v>
      </c>
      <c r="Q1211" s="26">
        <v>3</v>
      </c>
      <c r="R1211" s="26">
        <v>1</v>
      </c>
      <c r="S1211" s="26">
        <v>15</v>
      </c>
      <c r="T1211" s="26">
        <v>2</v>
      </c>
      <c r="U1211" s="26">
        <v>18</v>
      </c>
      <c r="V1211" s="26">
        <v>1</v>
      </c>
      <c r="W1211" s="26"/>
    </row>
    <row r="1212" spans="1:23" x14ac:dyDescent="0.25">
      <c r="A1212" s="26" t="str">
        <f t="shared" si="192"/>
        <v>SECUNDARIA</v>
      </c>
      <c r="B1212" s="26" t="str">
        <f>"09PES0876U"</f>
        <v>09PES0876U</v>
      </c>
      <c r="C1212" s="26" t="str">
        <f>"""INSTITUTO INGLES MAXWELL""                                                                          "</f>
        <v xml:space="preserve">"INSTITUTO INGLES MAXWELL"                                                                          </v>
      </c>
      <c r="D1212" s="26" t="str">
        <f t="shared" si="193"/>
        <v>MATUTINO</v>
      </c>
      <c r="E1212" s="26" t="str">
        <f>"FRAY SEBASTIAN DE APARICIO NO 55                                                "</f>
        <v xml:space="preserve">FRAY SEBASTIAN DE APARICIO NO 55                                                </v>
      </c>
      <c r="F1212" s="26" t="str">
        <f>"ATZACOALCO                                                                                                                                  "</f>
        <v xml:space="preserve">ATZACOALCO                                                                                                                                  </v>
      </c>
      <c r="G1212" s="26" t="str">
        <f>"GUSTAVO A. MADERO                                                               "</f>
        <v xml:space="preserve">GUSTAVO A. MADERO                                                               </v>
      </c>
      <c r="H1212" s="26" t="str">
        <f>"038"</f>
        <v>038</v>
      </c>
      <c r="I1212" s="26" t="str">
        <f t="shared" si="204"/>
        <v>00</v>
      </c>
      <c r="J1212" s="26" t="str">
        <f>"52 "</f>
        <v xml:space="preserve">52 </v>
      </c>
      <c r="K1212" s="26" t="str">
        <f t="shared" si="205"/>
        <v>SG</v>
      </c>
      <c r="L1212" s="26" t="str">
        <f t="shared" si="206"/>
        <v>DGOSE</v>
      </c>
      <c r="M1212" s="26" t="str">
        <f t="shared" si="197"/>
        <v>PARTICULAR</v>
      </c>
      <c r="N1212" s="26">
        <v>54</v>
      </c>
      <c r="O1212" s="26">
        <v>30</v>
      </c>
      <c r="P1212" s="26">
        <v>24</v>
      </c>
      <c r="Q1212" s="26">
        <v>3</v>
      </c>
      <c r="R1212" s="26">
        <v>1</v>
      </c>
      <c r="S1212" s="26">
        <v>10</v>
      </c>
      <c r="T1212" s="26">
        <v>2</v>
      </c>
      <c r="U1212" s="26">
        <v>13</v>
      </c>
      <c r="V1212" s="26">
        <v>1</v>
      </c>
      <c r="W1212" s="26"/>
    </row>
    <row r="1213" spans="1:23" x14ac:dyDescent="0.25">
      <c r="A1213" s="26" t="str">
        <f t="shared" si="192"/>
        <v>SECUNDARIA</v>
      </c>
      <c r="B1213" s="26" t="str">
        <f>"09PES0877T"</f>
        <v>09PES0877T</v>
      </c>
      <c r="C1213" s="26" t="str">
        <f>"COLEGIO PEDAGOGICO DE MEXICO                                                                        "</f>
        <v xml:space="preserve">COLEGIO PEDAGOGICO DE MEXICO                                                                        </v>
      </c>
      <c r="D1213" s="26" t="str">
        <f t="shared" si="193"/>
        <v>MATUTINO</v>
      </c>
      <c r="E1213" s="26" t="str">
        <f>"5 DE MAYO MZ 36 LT 16                                                           "</f>
        <v xml:space="preserve">5 DE MAYO MZ 36 LT 16                                                           </v>
      </c>
      <c r="F1213" s="26" t="str">
        <f>"SANTA MARTHA ACATITLA                                                                                                                       "</f>
        <v xml:space="preserve">SANTA MARTHA ACATITLA                                                                                                                       </v>
      </c>
      <c r="G1213" s="26" t="str">
        <f>"IZTAPALAPA                                                                      "</f>
        <v xml:space="preserve">IZTAPALAPA                                                                      </v>
      </c>
      <c r="H1213" s="26" t="str">
        <f>"000"</f>
        <v>000</v>
      </c>
      <c r="I1213" s="26" t="str">
        <f t="shared" si="204"/>
        <v>00</v>
      </c>
      <c r="J1213" s="26" t="str">
        <f>"62 "</f>
        <v xml:space="preserve">62 </v>
      </c>
      <c r="K1213" s="26" t="str">
        <f>"IZ"</f>
        <v>IZ</v>
      </c>
      <c r="L1213" s="26" t="str">
        <f>"DGSEI"</f>
        <v>DGSEI</v>
      </c>
      <c r="M1213" s="26" t="str">
        <f t="shared" si="197"/>
        <v>PARTICULAR</v>
      </c>
      <c r="N1213" s="26">
        <v>61</v>
      </c>
      <c r="O1213" s="26">
        <v>35</v>
      </c>
      <c r="P1213" s="26">
        <v>26</v>
      </c>
      <c r="Q1213" s="26">
        <v>3</v>
      </c>
      <c r="R1213" s="26">
        <v>1</v>
      </c>
      <c r="S1213" s="26">
        <v>10</v>
      </c>
      <c r="T1213" s="26">
        <v>0</v>
      </c>
      <c r="U1213" s="26">
        <v>11</v>
      </c>
      <c r="V1213" s="26">
        <v>1</v>
      </c>
      <c r="W1213" s="26"/>
    </row>
    <row r="1214" spans="1:23" x14ac:dyDescent="0.25">
      <c r="A1214" s="26" t="str">
        <f t="shared" si="192"/>
        <v>SECUNDARIA</v>
      </c>
      <c r="B1214" s="26" t="str">
        <f>"09PES0878S"</f>
        <v>09PES0878S</v>
      </c>
      <c r="C1214" s="26" t="str">
        <f>"CENTRO EDUCATIVO SACBE                                                                              "</f>
        <v xml:space="preserve">CENTRO EDUCATIVO SACBE                                                                              </v>
      </c>
      <c r="D1214" s="26" t="str">
        <f t="shared" si="193"/>
        <v>MATUTINO</v>
      </c>
      <c r="E1214" s="26" t="str">
        <f>"BOULEVARD CAPRI No 70                                                           "</f>
        <v xml:space="preserve">BOULEVARD CAPRI No 70                                                           </v>
      </c>
      <c r="F1214" s="26" t="str">
        <f>"LOMAS ESTRELLA                                                                                                                              "</f>
        <v xml:space="preserve">LOMAS ESTRELLA                                                                                                                              </v>
      </c>
      <c r="G1214" s="26" t="str">
        <f>"IZTAPALAPA                                                                      "</f>
        <v xml:space="preserve">IZTAPALAPA                                                                      </v>
      </c>
      <c r="H1214" s="26" t="str">
        <f>"000"</f>
        <v>000</v>
      </c>
      <c r="I1214" s="26" t="str">
        <f t="shared" si="204"/>
        <v>00</v>
      </c>
      <c r="J1214" s="26" t="str">
        <f>"63 "</f>
        <v xml:space="preserve">63 </v>
      </c>
      <c r="K1214" s="26" t="str">
        <f>"IZ"</f>
        <v>IZ</v>
      </c>
      <c r="L1214" s="26" t="str">
        <f>"DGSEI"</f>
        <v>DGSEI</v>
      </c>
      <c r="M1214" s="26" t="str">
        <f t="shared" si="197"/>
        <v>PARTICULAR</v>
      </c>
      <c r="N1214" s="26">
        <v>63</v>
      </c>
      <c r="O1214" s="26">
        <v>34</v>
      </c>
      <c r="P1214" s="26">
        <v>29</v>
      </c>
      <c r="Q1214" s="26">
        <v>3</v>
      </c>
      <c r="R1214" s="26">
        <v>1</v>
      </c>
      <c r="S1214" s="26">
        <v>19</v>
      </c>
      <c r="T1214" s="26">
        <v>1</v>
      </c>
      <c r="U1214" s="26">
        <v>21</v>
      </c>
      <c r="V1214" s="26">
        <v>1</v>
      </c>
      <c r="W1214" s="26"/>
    </row>
    <row r="1215" spans="1:23" x14ac:dyDescent="0.25">
      <c r="A1215" s="26" t="str">
        <f t="shared" si="192"/>
        <v>SECUNDARIA</v>
      </c>
      <c r="B1215" s="26" t="str">
        <f>"09PES0879R"</f>
        <v>09PES0879R</v>
      </c>
      <c r="C1215" s="26" t="str">
        <f>"CENTRO EDUCATIVO TOMAS MORO LOMAS                                                                   "</f>
        <v xml:space="preserve">CENTRO EDUCATIVO TOMAS MORO LOMAS                                                                   </v>
      </c>
      <c r="D1215" s="26" t="str">
        <f t="shared" si="193"/>
        <v>MATUTINO</v>
      </c>
      <c r="E1215" s="26" t="str">
        <f>"CASTILLO DE CHAPULTEPEC NO 110 MANZANA 344 LOTE 15                              "</f>
        <v xml:space="preserve">CASTILLO DE CHAPULTEPEC NO 110 MANZANA 344 LOTE 15                              </v>
      </c>
      <c r="F1215" s="26" t="str">
        <f>"LOMAS REFORMA                                                                                                                               "</f>
        <v xml:space="preserve">LOMAS REFORMA                                                                                                                               </v>
      </c>
      <c r="G1215" s="26" t="str">
        <f>"MIGUEL HIDALGO                                                                  "</f>
        <v xml:space="preserve">MIGUEL HIDALGO                                                                  </v>
      </c>
      <c r="H1215" s="26" t="str">
        <f>"061"</f>
        <v>061</v>
      </c>
      <c r="I1215" s="26" t="str">
        <f t="shared" si="204"/>
        <v>00</v>
      </c>
      <c r="J1215" s="26" t="str">
        <f>"51 "</f>
        <v xml:space="preserve">51 </v>
      </c>
      <c r="K1215" s="26" t="str">
        <f>"SG"</f>
        <v>SG</v>
      </c>
      <c r="L1215" s="26" t="str">
        <f>"DGOSE"</f>
        <v>DGOSE</v>
      </c>
      <c r="M1215" s="26" t="str">
        <f t="shared" si="197"/>
        <v>PARTICULAR</v>
      </c>
      <c r="N1215" s="26">
        <v>121</v>
      </c>
      <c r="O1215" s="26">
        <v>80</v>
      </c>
      <c r="P1215" s="26">
        <v>41</v>
      </c>
      <c r="Q1215" s="26">
        <v>6</v>
      </c>
      <c r="R1215" s="26">
        <v>2</v>
      </c>
      <c r="S1215" s="26">
        <v>15</v>
      </c>
      <c r="T1215" s="26">
        <v>0</v>
      </c>
      <c r="U1215" s="26">
        <v>17</v>
      </c>
      <c r="V1215" s="26">
        <v>1</v>
      </c>
      <c r="W1215" s="26"/>
    </row>
    <row r="1216" spans="1:23" x14ac:dyDescent="0.25">
      <c r="A1216" s="26" t="str">
        <f t="shared" si="192"/>
        <v>SECUNDARIA</v>
      </c>
      <c r="B1216" s="26" t="str">
        <f>"09PES0880G"</f>
        <v>09PES0880G</v>
      </c>
      <c r="C1216" s="26" t="str">
        <f>"FLORESTA                                                                                            "</f>
        <v xml:space="preserve">FLORESTA                                                                                            </v>
      </c>
      <c r="D1216" s="26" t="str">
        <f t="shared" si="193"/>
        <v>MATUTINO</v>
      </c>
      <c r="E1216" s="26" t="str">
        <f>"AVENIDA CINCO DE MAYO NO 297                                                    "</f>
        <v xml:space="preserve">AVENIDA CINCO DE MAYO NO 297                                                    </v>
      </c>
      <c r="F1216" s="26" t="str">
        <f>"MERCED GOMEZ                                                                                                                                "</f>
        <v xml:space="preserve">MERCED GOMEZ                                                                                                                                </v>
      </c>
      <c r="G1216" s="26" t="str">
        <f>"ALVARO OBREGON                                                                  "</f>
        <v xml:space="preserve">ALVARO OBREGON                                                                  </v>
      </c>
      <c r="H1216" s="26" t="str">
        <f>"002"</f>
        <v>002</v>
      </c>
      <c r="I1216" s="26" t="str">
        <f t="shared" si="204"/>
        <v>00</v>
      </c>
      <c r="J1216" s="26" t="str">
        <f>"53 "</f>
        <v xml:space="preserve">53 </v>
      </c>
      <c r="K1216" s="26" t="str">
        <f>"SG"</f>
        <v>SG</v>
      </c>
      <c r="L1216" s="26" t="str">
        <f>"DGOSE"</f>
        <v>DGOSE</v>
      </c>
      <c r="M1216" s="26" t="str">
        <f t="shared" si="197"/>
        <v>PARTICULAR</v>
      </c>
      <c r="N1216" s="26">
        <v>163</v>
      </c>
      <c r="O1216" s="26">
        <v>86</v>
      </c>
      <c r="P1216" s="26">
        <v>77</v>
      </c>
      <c r="Q1216" s="26">
        <v>6</v>
      </c>
      <c r="R1216" s="26">
        <v>2</v>
      </c>
      <c r="S1216" s="26">
        <v>12</v>
      </c>
      <c r="T1216" s="26">
        <v>5</v>
      </c>
      <c r="U1216" s="26">
        <v>19</v>
      </c>
      <c r="V1216" s="26">
        <v>1</v>
      </c>
      <c r="W1216" s="26"/>
    </row>
    <row r="1217" spans="1:23" x14ac:dyDescent="0.25">
      <c r="A1217" s="26" t="str">
        <f t="shared" si="192"/>
        <v>SECUNDARIA</v>
      </c>
      <c r="B1217" s="26" t="str">
        <f>"09PES0883D"</f>
        <v>09PES0883D</v>
      </c>
      <c r="C1217" s="26" t="str">
        <f>"""COLEGIO LOUIS BUON LANGLAIS CAMPUS 1""                                                              "</f>
        <v xml:space="preserve">"COLEGIO LOUIS BUON LANGLAIS CAMPUS 1"                                                              </v>
      </c>
      <c r="D1217" s="26" t="str">
        <f t="shared" si="193"/>
        <v>MATUTINO</v>
      </c>
      <c r="E1217" s="26" t="str">
        <f>"CALLE 11 NUM. 87                                                                "</f>
        <v xml:space="preserve">CALLE 11 NUM. 87                                                                </v>
      </c>
      <c r="F1217" s="26" t="str">
        <f>"OLIVAR DEL CONDE 1A SECCION                                                                                                                 "</f>
        <v xml:space="preserve">OLIVAR DEL CONDE 1A SECCION                                                                                                                 </v>
      </c>
      <c r="G1217" s="26" t="str">
        <f>"ALVARO OBREGON                                                                  "</f>
        <v xml:space="preserve">ALVARO OBREGON                                                                  </v>
      </c>
      <c r="H1217" s="26" t="str">
        <f>"002"</f>
        <v>002</v>
      </c>
      <c r="I1217" s="26" t="str">
        <f t="shared" si="204"/>
        <v>00</v>
      </c>
      <c r="J1217" s="26" t="str">
        <f>"53 "</f>
        <v xml:space="preserve">53 </v>
      </c>
      <c r="K1217" s="26" t="str">
        <f>"SG"</f>
        <v>SG</v>
      </c>
      <c r="L1217" s="26" t="str">
        <f>"DGOSE"</f>
        <v>DGOSE</v>
      </c>
      <c r="M1217" s="26" t="str">
        <f t="shared" si="197"/>
        <v>PARTICULAR</v>
      </c>
      <c r="N1217" s="26">
        <v>52</v>
      </c>
      <c r="O1217" s="26">
        <v>26</v>
      </c>
      <c r="P1217" s="26">
        <v>26</v>
      </c>
      <c r="Q1217" s="26">
        <v>3</v>
      </c>
      <c r="R1217" s="26">
        <v>1</v>
      </c>
      <c r="S1217" s="26">
        <v>7</v>
      </c>
      <c r="T1217" s="26">
        <v>0</v>
      </c>
      <c r="U1217" s="26">
        <v>8</v>
      </c>
      <c r="V1217" s="26">
        <v>1</v>
      </c>
      <c r="W1217" s="26"/>
    </row>
    <row r="1218" spans="1:23" x14ac:dyDescent="0.25">
      <c r="A1218" s="26" t="str">
        <f t="shared" ref="A1218:A1281" si="207">"SECUNDARIA"</f>
        <v>SECUNDARIA</v>
      </c>
      <c r="B1218" s="26" t="str">
        <f>"09PES0884C"</f>
        <v>09PES0884C</v>
      </c>
      <c r="C1218" s="26" t="str">
        <f>"MOHANDAS KARAMACHAND GANDHI                                                                         "</f>
        <v xml:space="preserve">MOHANDAS KARAMACHAND GANDHI                                                                         </v>
      </c>
      <c r="D1218" s="26" t="str">
        <f t="shared" si="193"/>
        <v>MATUTINO</v>
      </c>
      <c r="E1218" s="26" t="str">
        <f>"TUNAL MZ. 48 B LT. 4                                                            "</f>
        <v xml:space="preserve">TUNAL MZ. 48 B LT. 4                                                            </v>
      </c>
      <c r="F1218" s="26" t="str">
        <f>"BUENAVISTA                                                                                                                                  "</f>
        <v xml:space="preserve">BUENAVISTA                                                                                                                                  </v>
      </c>
      <c r="G1218" s="26" t="str">
        <f>"IZTAPALAPA                                                                      "</f>
        <v xml:space="preserve">IZTAPALAPA                                                                      </v>
      </c>
      <c r="H1218" s="26" t="str">
        <f>"000"</f>
        <v>000</v>
      </c>
      <c r="I1218" s="26" t="str">
        <f t="shared" si="204"/>
        <v>00</v>
      </c>
      <c r="J1218" s="26" t="str">
        <f>"64 "</f>
        <v xml:space="preserve">64 </v>
      </c>
      <c r="K1218" s="26" t="str">
        <f>"IZ"</f>
        <v>IZ</v>
      </c>
      <c r="L1218" s="26" t="str">
        <f>"DGSEI"</f>
        <v>DGSEI</v>
      </c>
      <c r="M1218" s="26" t="str">
        <f t="shared" si="197"/>
        <v>PARTICULAR</v>
      </c>
      <c r="N1218" s="26">
        <v>42</v>
      </c>
      <c r="O1218" s="26">
        <v>22</v>
      </c>
      <c r="P1218" s="26">
        <v>20</v>
      </c>
      <c r="Q1218" s="26">
        <v>3</v>
      </c>
      <c r="R1218" s="26">
        <v>1</v>
      </c>
      <c r="S1218" s="26">
        <v>8</v>
      </c>
      <c r="T1218" s="26">
        <v>0</v>
      </c>
      <c r="U1218" s="26">
        <v>9</v>
      </c>
      <c r="V1218" s="26">
        <v>1</v>
      </c>
      <c r="W1218" s="26"/>
    </row>
    <row r="1219" spans="1:23" x14ac:dyDescent="0.25">
      <c r="A1219" s="26" t="str">
        <f t="shared" si="207"/>
        <v>SECUNDARIA</v>
      </c>
      <c r="B1219" s="26" t="str">
        <f>"09PES0885B"</f>
        <v>09PES0885B</v>
      </c>
      <c r="C1219" s="26" t="str">
        <f>"""CENTRO DE EXCELENCIA ACADEMICA EXCELA""                                                             "</f>
        <v xml:space="preserve">"CENTRO DE EXCELENCIA ACADEMICA EXCELA"                                                             </v>
      </c>
      <c r="D1219" s="26" t="str">
        <f t="shared" ref="D1219:D1256" si="208">"MATUTINO"</f>
        <v>MATUTINO</v>
      </c>
      <c r="E1219" s="26" t="str">
        <f>"LONDRES NO 349                                                                  "</f>
        <v xml:space="preserve">LONDRES NO 349                                                                  </v>
      </c>
      <c r="F1219" s="26" t="str">
        <f>"DEL CARMEN                                                                                                                                  "</f>
        <v xml:space="preserve">DEL CARMEN                                                                                                                                  </v>
      </c>
      <c r="G1219" s="26" t="str">
        <f>"COYOACAN                                                                        "</f>
        <v xml:space="preserve">COYOACAN                                                                        </v>
      </c>
      <c r="H1219" s="26" t="str">
        <f>"006"</f>
        <v>006</v>
      </c>
      <c r="I1219" s="26" t="str">
        <f t="shared" si="204"/>
        <v>00</v>
      </c>
      <c r="J1219" s="26" t="str">
        <f>"54 "</f>
        <v xml:space="preserve">54 </v>
      </c>
      <c r="K1219" s="26" t="str">
        <f t="shared" ref="K1219:K1229" si="209">"SG"</f>
        <v>SG</v>
      </c>
      <c r="L1219" s="26" t="str">
        <f t="shared" ref="L1219:L1229" si="210">"DGOSE"</f>
        <v>DGOSE</v>
      </c>
      <c r="M1219" s="26" t="str">
        <f t="shared" si="197"/>
        <v>PARTICULAR</v>
      </c>
      <c r="N1219" s="26">
        <v>26</v>
      </c>
      <c r="O1219" s="26">
        <v>19</v>
      </c>
      <c r="P1219" s="26">
        <v>7</v>
      </c>
      <c r="Q1219" s="26">
        <v>3</v>
      </c>
      <c r="R1219" s="26">
        <v>1</v>
      </c>
      <c r="S1219" s="26">
        <v>11</v>
      </c>
      <c r="T1219" s="26">
        <v>2</v>
      </c>
      <c r="U1219" s="26">
        <v>14</v>
      </c>
      <c r="V1219" s="26">
        <v>1</v>
      </c>
      <c r="W1219" s="26"/>
    </row>
    <row r="1220" spans="1:23" x14ac:dyDescent="0.25">
      <c r="A1220" s="26" t="str">
        <f t="shared" si="207"/>
        <v>SECUNDARIA</v>
      </c>
      <c r="B1220" s="26" t="str">
        <f>"09PES0886A"</f>
        <v>09PES0886A</v>
      </c>
      <c r="C1220" s="26" t="str">
        <f>"""COLEGIO BILINGUE D ALEMBERT""                                                                       "</f>
        <v xml:space="preserve">"COLEGIO BILINGUE D ALEMBERT"                                                                       </v>
      </c>
      <c r="D1220" s="26" t="str">
        <f t="shared" si="208"/>
        <v>MATUTINO</v>
      </c>
      <c r="E1220" s="26" t="str">
        <f>"PIRINEOS NO 103                                                                 "</f>
        <v xml:space="preserve">PIRINEOS NO 103                                                                 </v>
      </c>
      <c r="F1220" s="26" t="str">
        <f>"PORTALES                                                                                                                                    "</f>
        <v xml:space="preserve">PORTALES                                                                                                                                    </v>
      </c>
      <c r="G1220" s="26" t="str">
        <f>"BENITO JUAREZ                                                                   "</f>
        <v xml:space="preserve">BENITO JUAREZ                                                                   </v>
      </c>
      <c r="H1220" s="26" t="str">
        <f>"015"</f>
        <v>015</v>
      </c>
      <c r="I1220" s="26" t="str">
        <f t="shared" si="204"/>
        <v>00</v>
      </c>
      <c r="J1220" s="26" t="str">
        <f>"53 "</f>
        <v xml:space="preserve">53 </v>
      </c>
      <c r="K1220" s="26" t="str">
        <f t="shared" si="209"/>
        <v>SG</v>
      </c>
      <c r="L1220" s="26" t="str">
        <f t="shared" si="210"/>
        <v>DGOSE</v>
      </c>
      <c r="M1220" s="26" t="str">
        <f t="shared" si="197"/>
        <v>PARTICULAR</v>
      </c>
      <c r="N1220" s="26">
        <v>29</v>
      </c>
      <c r="O1220" s="26">
        <v>19</v>
      </c>
      <c r="P1220" s="26">
        <v>10</v>
      </c>
      <c r="Q1220" s="26">
        <v>3</v>
      </c>
      <c r="R1220" s="26">
        <v>1</v>
      </c>
      <c r="S1220" s="26">
        <v>8</v>
      </c>
      <c r="T1220" s="26">
        <v>1</v>
      </c>
      <c r="U1220" s="26">
        <v>10</v>
      </c>
      <c r="V1220" s="26">
        <v>1</v>
      </c>
      <c r="W1220" s="26"/>
    </row>
    <row r="1221" spans="1:23" x14ac:dyDescent="0.25">
      <c r="A1221" s="26" t="str">
        <f t="shared" si="207"/>
        <v>SECUNDARIA</v>
      </c>
      <c r="B1221" s="26" t="str">
        <f>"09PES0887Z"</f>
        <v>09PES0887Z</v>
      </c>
      <c r="C1221" s="26" t="str">
        <f>"""INSTITUTO MARIA P. DE ALVARADO""                                                                    "</f>
        <v xml:space="preserve">"INSTITUTO MARIA P. DE ALVARADO"                                                                    </v>
      </c>
      <c r="D1221" s="26" t="str">
        <f t="shared" si="208"/>
        <v>MATUTINO</v>
      </c>
      <c r="E1221" s="26" t="str">
        <f>"SUR 20 NO 325                                                                   "</f>
        <v xml:space="preserve">SUR 20 NO 325                                                                   </v>
      </c>
      <c r="F1221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1221" s="26" t="str">
        <f>"IZTACALCO                                                                       "</f>
        <v xml:space="preserve">IZTACALCO                                                                       </v>
      </c>
      <c r="H1221" s="26" t="str">
        <f>"044"</f>
        <v>044</v>
      </c>
      <c r="I1221" s="26" t="str">
        <f t="shared" si="204"/>
        <v>00</v>
      </c>
      <c r="J1221" s="26" t="str">
        <f>"54 "</f>
        <v xml:space="preserve">54 </v>
      </c>
      <c r="K1221" s="26" t="str">
        <f t="shared" si="209"/>
        <v>SG</v>
      </c>
      <c r="L1221" s="26" t="str">
        <f t="shared" si="210"/>
        <v>DGOSE</v>
      </c>
      <c r="M1221" s="26" t="str">
        <f t="shared" si="197"/>
        <v>PARTICULAR</v>
      </c>
      <c r="N1221" s="26">
        <v>180</v>
      </c>
      <c r="O1221" s="26">
        <v>96</v>
      </c>
      <c r="P1221" s="26">
        <v>84</v>
      </c>
      <c r="Q1221" s="26">
        <v>9</v>
      </c>
      <c r="R1221" s="26">
        <v>2</v>
      </c>
      <c r="S1221" s="26">
        <v>17</v>
      </c>
      <c r="T1221" s="26">
        <v>2</v>
      </c>
      <c r="U1221" s="26">
        <v>21</v>
      </c>
      <c r="V1221" s="26">
        <v>1</v>
      </c>
      <c r="W1221" s="26"/>
    </row>
    <row r="1222" spans="1:23" x14ac:dyDescent="0.25">
      <c r="A1222" s="26" t="str">
        <f t="shared" si="207"/>
        <v>SECUNDARIA</v>
      </c>
      <c r="B1222" s="26" t="str">
        <f>"09PES0888Z"</f>
        <v>09PES0888Z</v>
      </c>
      <c r="C1222" s="26" t="str">
        <f>"""SHARON CHRISTA MC.AULIFFE""                                                                         "</f>
        <v xml:space="preserve">"SHARON CHRISTA MC.AULIFFE"                                                                         </v>
      </c>
      <c r="D1222" s="26" t="str">
        <f t="shared" si="208"/>
        <v>MATUTINO</v>
      </c>
      <c r="E1222" s="26" t="str">
        <f>"CALLE CERRO NEGRO MANZANA 17 LOTE 16                                            "</f>
        <v xml:space="preserve">CALLE CERRO NEGRO MANZANA 17 LOTE 16                                            </v>
      </c>
      <c r="F1222" s="26" t="str">
        <f>"CRUZ DEL FAROL                                                                                                                              "</f>
        <v xml:space="preserve">CRUZ DEL FAROL                                                                                                                              </v>
      </c>
      <c r="G1222" s="26" t="str">
        <f>"TLALPAN                                                                         "</f>
        <v xml:space="preserve">TLALPAN                                                                         </v>
      </c>
      <c r="H1222" s="26" t="str">
        <f>"071"</f>
        <v>071</v>
      </c>
      <c r="I1222" s="26" t="str">
        <f t="shared" si="204"/>
        <v>00</v>
      </c>
      <c r="J1222" s="26" t="str">
        <f>"55 "</f>
        <v xml:space="preserve">55 </v>
      </c>
      <c r="K1222" s="26" t="str">
        <f t="shared" si="209"/>
        <v>SG</v>
      </c>
      <c r="L1222" s="26" t="str">
        <f t="shared" si="210"/>
        <v>DGOSE</v>
      </c>
      <c r="M1222" s="26" t="str">
        <f t="shared" si="197"/>
        <v>PARTICULAR</v>
      </c>
      <c r="N1222" s="26">
        <v>42</v>
      </c>
      <c r="O1222" s="26">
        <v>22</v>
      </c>
      <c r="P1222" s="26">
        <v>20</v>
      </c>
      <c r="Q1222" s="26">
        <v>3</v>
      </c>
      <c r="R1222" s="26">
        <v>3</v>
      </c>
      <c r="S1222" s="26">
        <v>13</v>
      </c>
      <c r="T1222" s="26">
        <v>0</v>
      </c>
      <c r="U1222" s="26">
        <v>16</v>
      </c>
      <c r="V1222" s="26">
        <v>1</v>
      </c>
      <c r="W1222" s="26"/>
    </row>
    <row r="1223" spans="1:23" x14ac:dyDescent="0.25">
      <c r="A1223" s="26" t="str">
        <f t="shared" si="207"/>
        <v>SECUNDARIA</v>
      </c>
      <c r="B1223" s="26" t="str">
        <f>"09PES0889Y"</f>
        <v>09PES0889Y</v>
      </c>
      <c r="C1223" s="26" t="str">
        <f>"""CENTRO CULTURAL UNIVERSITARIO JUSTO SIERRA SECCION SECUNDARIA""                                     "</f>
        <v xml:space="preserve">"CENTRO CULTURAL UNIVERSITARIO JUSTO SIERRA SECCION SECUNDARIA"                                     </v>
      </c>
      <c r="D1223" s="26" t="str">
        <f t="shared" si="208"/>
        <v>MATUTINO</v>
      </c>
      <c r="E1223" s="26" t="str">
        <f>"AV ACUEDUCTO NO 914                                                             "</f>
        <v xml:space="preserve">AV ACUEDUCTO NO 914                                                             </v>
      </c>
      <c r="F1223" s="26" t="str">
        <f>"LA LAGUNA TICOMAN                                                                                                                           "</f>
        <v xml:space="preserve">LA LAGUNA TICOMAN                                                                                                                           </v>
      </c>
      <c r="G1223" s="26" t="str">
        <f>"GUSTAVO A. MADERO                                                               "</f>
        <v xml:space="preserve">GUSTAVO A. MADERO                                                               </v>
      </c>
      <c r="H1223" s="26" t="str">
        <f>"033"</f>
        <v>033</v>
      </c>
      <c r="I1223" s="26" t="str">
        <f t="shared" si="204"/>
        <v>00</v>
      </c>
      <c r="J1223" s="26" t="str">
        <f>"52 "</f>
        <v xml:space="preserve">52 </v>
      </c>
      <c r="K1223" s="26" t="str">
        <f t="shared" si="209"/>
        <v>SG</v>
      </c>
      <c r="L1223" s="26" t="str">
        <f t="shared" si="210"/>
        <v>DGOSE</v>
      </c>
      <c r="M1223" s="26" t="str">
        <f t="shared" si="197"/>
        <v>PARTICULAR</v>
      </c>
      <c r="N1223" s="26">
        <v>165</v>
      </c>
      <c r="O1223" s="26">
        <v>86</v>
      </c>
      <c r="P1223" s="26">
        <v>79</v>
      </c>
      <c r="Q1223" s="26">
        <v>6</v>
      </c>
      <c r="R1223" s="26">
        <v>2</v>
      </c>
      <c r="S1223" s="26">
        <v>15</v>
      </c>
      <c r="T1223" s="26">
        <v>1</v>
      </c>
      <c r="U1223" s="26">
        <v>18</v>
      </c>
      <c r="V1223" s="26">
        <v>1</v>
      </c>
      <c r="W1223" s="26"/>
    </row>
    <row r="1224" spans="1:23" x14ac:dyDescent="0.25">
      <c r="A1224" s="26" t="str">
        <f t="shared" si="207"/>
        <v>SECUNDARIA</v>
      </c>
      <c r="B1224" s="26" t="str">
        <f>"09PES0890N"</f>
        <v>09PES0890N</v>
      </c>
      <c r="C1224" s="26" t="str">
        <f>"""COLEGIO CIPRESES SECUNDARIA""                                                                       "</f>
        <v xml:space="preserve">"COLEGIO CIPRESES SECUNDARIA"                                                                       </v>
      </c>
      <c r="D1224" s="26" t="str">
        <f t="shared" si="208"/>
        <v>MATUTINO</v>
      </c>
      <c r="E1224" s="26" t="str">
        <f>"AVENIDA LA TURBA NO 100                                                         "</f>
        <v xml:space="preserve">AVENIDA LA TURBA NO 100                                                         </v>
      </c>
      <c r="F1224" s="26" t="str">
        <f>"DEL MAR                                                                                                                                     "</f>
        <v xml:space="preserve">DEL MAR                                                                                                                                     </v>
      </c>
      <c r="G1224" s="26" t="str">
        <f>"TLAHUAC                                                                         "</f>
        <v xml:space="preserve">TLAHUAC                                                                         </v>
      </c>
      <c r="H1224" s="26" t="str">
        <f>"067"</f>
        <v>067</v>
      </c>
      <c r="I1224" s="26" t="str">
        <f t="shared" si="204"/>
        <v>00</v>
      </c>
      <c r="J1224" s="26" t="str">
        <f>"55 "</f>
        <v xml:space="preserve">55 </v>
      </c>
      <c r="K1224" s="26" t="str">
        <f t="shared" si="209"/>
        <v>SG</v>
      </c>
      <c r="L1224" s="26" t="str">
        <f t="shared" si="210"/>
        <v>DGOSE</v>
      </c>
      <c r="M1224" s="26" t="str">
        <f t="shared" si="197"/>
        <v>PARTICULAR</v>
      </c>
      <c r="N1224" s="26">
        <v>221</v>
      </c>
      <c r="O1224" s="26">
        <v>133</v>
      </c>
      <c r="P1224" s="26">
        <v>88</v>
      </c>
      <c r="Q1224" s="26">
        <v>9</v>
      </c>
      <c r="R1224" s="26">
        <v>2</v>
      </c>
      <c r="S1224" s="26">
        <v>14</v>
      </c>
      <c r="T1224" s="26">
        <v>1</v>
      </c>
      <c r="U1224" s="26">
        <v>17</v>
      </c>
      <c r="V1224" s="26">
        <v>1</v>
      </c>
      <c r="W1224" s="26"/>
    </row>
    <row r="1225" spans="1:23" x14ac:dyDescent="0.25">
      <c r="A1225" s="26" t="str">
        <f t="shared" si="207"/>
        <v>SECUNDARIA</v>
      </c>
      <c r="B1225" s="26" t="str">
        <f>"09PES0892L"</f>
        <v>09PES0892L</v>
      </c>
      <c r="C1225" s="26" t="str">
        <f>"""INSTITUTO ROSNER""                                                                                  "</f>
        <v xml:space="preserve">"INSTITUTO ROSNER"                                                                                  </v>
      </c>
      <c r="D1225" s="26" t="str">
        <f t="shared" si="208"/>
        <v>MATUTINO</v>
      </c>
      <c r="E1225" s="26" t="str">
        <f>"EMILIANO ZAPATA NO 7                                                            "</f>
        <v xml:space="preserve">EMILIANO ZAPATA NO 7                                                            </v>
      </c>
      <c r="F1225" s="26" t="str">
        <f>"SAN MATEO TLALTENANGO                                                                                                                       "</f>
        <v xml:space="preserve">SAN MATEO TLALTENANGO                                                                                                                       </v>
      </c>
      <c r="G1225" s="26" t="str">
        <f>"CUAJIMALPA DE MORELOS                                                           "</f>
        <v xml:space="preserve">CUAJIMALPA DE MORELOS                                                           </v>
      </c>
      <c r="H1225" s="26" t="str">
        <f>"024"</f>
        <v>024</v>
      </c>
      <c r="I1225" s="26" t="str">
        <f t="shared" si="204"/>
        <v>00</v>
      </c>
      <c r="J1225" s="26" t="str">
        <f>"53 "</f>
        <v xml:space="preserve">53 </v>
      </c>
      <c r="K1225" s="26" t="str">
        <f t="shared" si="209"/>
        <v>SG</v>
      </c>
      <c r="L1225" s="26" t="str">
        <f t="shared" si="210"/>
        <v>DGOSE</v>
      </c>
      <c r="M1225" s="26" t="str">
        <f t="shared" si="197"/>
        <v>PARTICULAR</v>
      </c>
      <c r="N1225" s="26">
        <v>85</v>
      </c>
      <c r="O1225" s="26">
        <v>56</v>
      </c>
      <c r="P1225" s="26">
        <v>29</v>
      </c>
      <c r="Q1225" s="26">
        <v>4</v>
      </c>
      <c r="R1225" s="26">
        <v>2</v>
      </c>
      <c r="S1225" s="26">
        <v>12</v>
      </c>
      <c r="T1225" s="26">
        <v>2</v>
      </c>
      <c r="U1225" s="26">
        <v>16</v>
      </c>
      <c r="V1225" s="26">
        <v>1</v>
      </c>
      <c r="W1225" s="26"/>
    </row>
    <row r="1226" spans="1:23" x14ac:dyDescent="0.25">
      <c r="A1226" s="26" t="str">
        <f t="shared" si="207"/>
        <v>SECUNDARIA</v>
      </c>
      <c r="B1226" s="26" t="str">
        <f>"09PES0893K"</f>
        <v>09PES0893K</v>
      </c>
      <c r="C1226" s="26" t="str">
        <f>"""COLEGIO GIOCOSA""                                                                                   "</f>
        <v xml:space="preserve">"COLEGIO GIOCOSA"                                                                                   </v>
      </c>
      <c r="D1226" s="26" t="str">
        <f t="shared" si="208"/>
        <v>MATUTINO</v>
      </c>
      <c r="E1226" s="26" t="str">
        <f>"PASEO DEL PEDREGAL NO 907                                                       "</f>
        <v xml:space="preserve">PASEO DEL PEDREGAL NO 907                                                       </v>
      </c>
      <c r="F1226" s="26" t="str">
        <f>"JARDINES DEL PEDREGAL                                                                                                                       "</f>
        <v xml:space="preserve">JARDINES DEL PEDREGAL                                                                                                                       </v>
      </c>
      <c r="G1226" s="26" t="str">
        <f>"ALVARO OBREGON                                                                  "</f>
        <v xml:space="preserve">ALVARO OBREGON                                                                  </v>
      </c>
      <c r="H1226" s="26" t="str">
        <f>"002"</f>
        <v>002</v>
      </c>
      <c r="I1226" s="26" t="str">
        <f t="shared" si="204"/>
        <v>00</v>
      </c>
      <c r="J1226" s="26" t="str">
        <f>"53 "</f>
        <v xml:space="preserve">53 </v>
      </c>
      <c r="K1226" s="26" t="str">
        <f t="shared" si="209"/>
        <v>SG</v>
      </c>
      <c r="L1226" s="26" t="str">
        <f t="shared" si="210"/>
        <v>DGOSE</v>
      </c>
      <c r="M1226" s="26" t="str">
        <f t="shared" si="197"/>
        <v>PARTICULAR</v>
      </c>
      <c r="N1226" s="26">
        <v>112</v>
      </c>
      <c r="O1226" s="26">
        <v>75</v>
      </c>
      <c r="P1226" s="26">
        <v>37</v>
      </c>
      <c r="Q1226" s="26">
        <v>6</v>
      </c>
      <c r="R1226" s="26">
        <v>1</v>
      </c>
      <c r="S1226" s="26">
        <v>15</v>
      </c>
      <c r="T1226" s="26">
        <v>0</v>
      </c>
      <c r="U1226" s="26">
        <v>16</v>
      </c>
      <c r="V1226" s="26">
        <v>1</v>
      </c>
      <c r="W1226" s="26"/>
    </row>
    <row r="1227" spans="1:23" x14ac:dyDescent="0.25">
      <c r="A1227" s="26" t="str">
        <f t="shared" si="207"/>
        <v>SECUNDARIA</v>
      </c>
      <c r="B1227" s="26" t="str">
        <f>"09PES0895I"</f>
        <v>09PES0895I</v>
      </c>
      <c r="C1227" s="26" t="str">
        <f>"""COLEGIO MICHAEL FARADAY""                                                                           "</f>
        <v xml:space="preserve">"COLEGIO MICHAEL FARADAY"                                                                           </v>
      </c>
      <c r="D1227" s="26" t="str">
        <f t="shared" si="208"/>
        <v>MATUTINO</v>
      </c>
      <c r="E1227" s="26" t="str">
        <f>"MICHOACAN NO 224                                                                "</f>
        <v xml:space="preserve">MICHOACAN NO 224                                                                </v>
      </c>
      <c r="F1227" s="26" t="str">
        <f>"CHALMA DE GUADALUPE                                                                                                                         "</f>
        <v xml:space="preserve">CHALMA DE GUADALUPE                                                                                                                         </v>
      </c>
      <c r="G1227" s="26" t="str">
        <f>"GUSTAVO A. MADERO                                                               "</f>
        <v xml:space="preserve">GUSTAVO A. MADERO                                                               </v>
      </c>
      <c r="H1227" s="26" t="str">
        <f>"031"</f>
        <v>031</v>
      </c>
      <c r="I1227" s="26" t="str">
        <f t="shared" si="204"/>
        <v>00</v>
      </c>
      <c r="J1227" s="26" t="str">
        <f>"52 "</f>
        <v xml:space="preserve">52 </v>
      </c>
      <c r="K1227" s="26" t="str">
        <f t="shared" si="209"/>
        <v>SG</v>
      </c>
      <c r="L1227" s="26" t="str">
        <f t="shared" si="210"/>
        <v>DGOSE</v>
      </c>
      <c r="M1227" s="26" t="str">
        <f t="shared" si="197"/>
        <v>PARTICULAR</v>
      </c>
      <c r="N1227" s="26">
        <v>28</v>
      </c>
      <c r="O1227" s="26">
        <v>14</v>
      </c>
      <c r="P1227" s="26">
        <v>14</v>
      </c>
      <c r="Q1227" s="26">
        <v>3</v>
      </c>
      <c r="R1227" s="26">
        <v>1</v>
      </c>
      <c r="S1227" s="26">
        <v>9</v>
      </c>
      <c r="T1227" s="26">
        <v>0</v>
      </c>
      <c r="U1227" s="26">
        <v>10</v>
      </c>
      <c r="V1227" s="26">
        <v>1</v>
      </c>
      <c r="W1227" s="26"/>
    </row>
    <row r="1228" spans="1:23" x14ac:dyDescent="0.25">
      <c r="A1228" s="26" t="str">
        <f t="shared" si="207"/>
        <v>SECUNDARIA</v>
      </c>
      <c r="B1228" s="26" t="str">
        <f>"09PES0896H"</f>
        <v>09PES0896H</v>
      </c>
      <c r="C1228" s="26" t="str">
        <f>"CHRISTEL HOUSE DE MEXICO                                                                            "</f>
        <v xml:space="preserve">CHRISTEL HOUSE DE MEXICO                                                                            </v>
      </c>
      <c r="D1228" s="26" t="str">
        <f t="shared" si="208"/>
        <v>MATUTINO</v>
      </c>
      <c r="E1228" s="26" t="str">
        <f>"KANSAS NO 157 Y 161                                                             "</f>
        <v xml:space="preserve">KANSAS NO 157 Y 161                                                             </v>
      </c>
      <c r="F1228" s="26" t="str">
        <f>"NAPOLES AMPLIACION                                                                                                                          "</f>
        <v xml:space="preserve">NAPOLES AMPLIACION                                                                                                                          </v>
      </c>
      <c r="G1228" s="26" t="str">
        <f>"BENITO JUAREZ                                                                   "</f>
        <v xml:space="preserve">BENITO JUAREZ                                                                   </v>
      </c>
      <c r="H1228" s="26" t="str">
        <f>"011"</f>
        <v>011</v>
      </c>
      <c r="I1228" s="26" t="str">
        <f t="shared" si="204"/>
        <v>00</v>
      </c>
      <c r="J1228" s="26" t="str">
        <f>"53 "</f>
        <v xml:space="preserve">53 </v>
      </c>
      <c r="K1228" s="26" t="str">
        <f t="shared" si="209"/>
        <v>SG</v>
      </c>
      <c r="L1228" s="26" t="str">
        <f t="shared" si="210"/>
        <v>DGOSE</v>
      </c>
      <c r="M1228" s="26" t="str">
        <f t="shared" si="197"/>
        <v>PARTICULAR</v>
      </c>
      <c r="N1228" s="26">
        <v>115</v>
      </c>
      <c r="O1228" s="26">
        <v>40</v>
      </c>
      <c r="P1228" s="26">
        <v>75</v>
      </c>
      <c r="Q1228" s="26">
        <v>6</v>
      </c>
      <c r="R1228" s="26">
        <v>2</v>
      </c>
      <c r="S1228" s="26">
        <v>13</v>
      </c>
      <c r="T1228" s="26">
        <v>2</v>
      </c>
      <c r="U1228" s="26">
        <v>17</v>
      </c>
      <c r="V1228" s="26">
        <v>1</v>
      </c>
      <c r="W1228" s="26"/>
    </row>
    <row r="1229" spans="1:23" x14ac:dyDescent="0.25">
      <c r="A1229" s="26" t="str">
        <f t="shared" si="207"/>
        <v>SECUNDARIA</v>
      </c>
      <c r="B1229" s="26" t="str">
        <f>"09PES0897G"</f>
        <v>09PES0897G</v>
      </c>
      <c r="C1229" s="26" t="str">
        <f>"""CENTRO ESCOLAR NACIONES UNIDAS""                                                                    "</f>
        <v xml:space="preserve">"CENTRO ESCOLAR NACIONES UNIDAS"                                                                    </v>
      </c>
      <c r="D1229" s="26" t="str">
        <f t="shared" si="208"/>
        <v>MATUTINO</v>
      </c>
      <c r="E1229" s="26" t="str">
        <f>"CALLE ANTONIO ROANOVA VARGAS LOTE 28                                            "</f>
        <v xml:space="preserve">CALLE ANTONIO ROANOVA VARGAS LOTE 28                                            </v>
      </c>
      <c r="F1229" s="26" t="str">
        <f>"ZONA ESCOLAR                                                                                                                                "</f>
        <v xml:space="preserve">ZONA ESCOLAR                                                                                                                                </v>
      </c>
      <c r="G1229" s="26" t="str">
        <f>"GUSTAVO A. MADERO                                                               "</f>
        <v xml:space="preserve">GUSTAVO A. MADERO                                                               </v>
      </c>
      <c r="H1229" s="26" t="str">
        <f>"031"</f>
        <v>031</v>
      </c>
      <c r="I1229" s="26" t="str">
        <f t="shared" si="204"/>
        <v>00</v>
      </c>
      <c r="J1229" s="26" t="str">
        <f>"52 "</f>
        <v xml:space="preserve">52 </v>
      </c>
      <c r="K1229" s="26" t="str">
        <f t="shared" si="209"/>
        <v>SG</v>
      </c>
      <c r="L1229" s="26" t="str">
        <f t="shared" si="210"/>
        <v>DGOSE</v>
      </c>
      <c r="M1229" s="26" t="str">
        <f t="shared" si="197"/>
        <v>PARTICULAR</v>
      </c>
      <c r="N1229" s="26">
        <v>32</v>
      </c>
      <c r="O1229" s="26">
        <v>23</v>
      </c>
      <c r="P1229" s="26">
        <v>9</v>
      </c>
      <c r="Q1229" s="26">
        <v>3</v>
      </c>
      <c r="R1229" s="26">
        <v>0</v>
      </c>
      <c r="S1229" s="26">
        <v>9</v>
      </c>
      <c r="T1229" s="26">
        <v>0</v>
      </c>
      <c r="U1229" s="26">
        <v>9</v>
      </c>
      <c r="V1229" s="26">
        <v>1</v>
      </c>
      <c r="W1229" s="26"/>
    </row>
    <row r="1230" spans="1:23" x14ac:dyDescent="0.25">
      <c r="A1230" s="26" t="str">
        <f t="shared" si="207"/>
        <v>SECUNDARIA</v>
      </c>
      <c r="B1230" s="26" t="str">
        <f>"09PES0899E"</f>
        <v>09PES0899E</v>
      </c>
      <c r="C1230" s="26" t="str">
        <f>"COLEGIO MARIA LAVALLE URBINA                                                                        "</f>
        <v xml:space="preserve">COLEGIO MARIA LAVALLE URBINA                                                                        </v>
      </c>
      <c r="D1230" s="26" t="str">
        <f t="shared" si="208"/>
        <v>MATUTINO</v>
      </c>
      <c r="E1230" s="26" t="str">
        <f>"URSULO GALVAN No. 90                                                            "</f>
        <v xml:space="preserve">URSULO GALVAN No. 90                                                            </v>
      </c>
      <c r="F1230" s="26" t="str">
        <f>"SANTA CRUZ MEYEHUALCO                                                                                                                       "</f>
        <v xml:space="preserve">SANTA CRUZ MEYEHUALCO                                                                                                                       </v>
      </c>
      <c r="G1230" s="26" t="str">
        <f>"IZTAPALAPA                                                                      "</f>
        <v xml:space="preserve">IZTAPALAPA                                                                      </v>
      </c>
      <c r="H1230" s="26" t="str">
        <f>"000"</f>
        <v>000</v>
      </c>
      <c r="I1230" s="26" t="str">
        <f t="shared" si="204"/>
        <v>00</v>
      </c>
      <c r="J1230" s="26" t="str">
        <f>"63 "</f>
        <v xml:space="preserve">63 </v>
      </c>
      <c r="K1230" s="26" t="str">
        <f>"IZ"</f>
        <v>IZ</v>
      </c>
      <c r="L1230" s="26" t="str">
        <f>"DGSEI"</f>
        <v>DGSEI</v>
      </c>
      <c r="M1230" s="26" t="str">
        <f t="shared" si="197"/>
        <v>PARTICULAR</v>
      </c>
      <c r="N1230" s="26">
        <v>59</v>
      </c>
      <c r="O1230" s="26">
        <v>36</v>
      </c>
      <c r="P1230" s="26">
        <v>23</v>
      </c>
      <c r="Q1230" s="26">
        <v>3</v>
      </c>
      <c r="R1230" s="26">
        <v>1</v>
      </c>
      <c r="S1230" s="26">
        <v>9</v>
      </c>
      <c r="T1230" s="26">
        <v>3</v>
      </c>
      <c r="U1230" s="26">
        <v>13</v>
      </c>
      <c r="V1230" s="26">
        <v>1</v>
      </c>
      <c r="W1230" s="26"/>
    </row>
    <row r="1231" spans="1:23" x14ac:dyDescent="0.25">
      <c r="A1231" s="26" t="str">
        <f t="shared" si="207"/>
        <v>SECUNDARIA</v>
      </c>
      <c r="B1231" s="26" t="str">
        <f>"09PES0900D"</f>
        <v>09PES0900D</v>
      </c>
      <c r="C1231" s="26" t="str">
        <f>"INSTITUTO ERNEST HEMINGWAY                                                                          "</f>
        <v xml:space="preserve">INSTITUTO ERNEST HEMINGWAY                                                                          </v>
      </c>
      <c r="D1231" s="26" t="str">
        <f t="shared" si="208"/>
        <v>MATUTINO</v>
      </c>
      <c r="E1231" s="26" t="str">
        <f>"AV. ERMITA IZTAPALAPA NO. 1654                                                  "</f>
        <v xml:space="preserve">AV. ERMITA IZTAPALAPA NO. 1654                                                  </v>
      </c>
      <c r="F1231" s="26" t="str">
        <f>"SAN MIGUEL DE LAS SALERAS                                                                                                                   "</f>
        <v xml:space="preserve">SAN MIGUEL DE LAS SALERAS                                                                                                                   </v>
      </c>
      <c r="G1231" s="26" t="str">
        <f>"IZTAPALAPA                                                                      "</f>
        <v xml:space="preserve">IZTAPALAPA                                                                      </v>
      </c>
      <c r="H1231" s="26" t="str">
        <f>"000"</f>
        <v>000</v>
      </c>
      <c r="I1231" s="26" t="str">
        <f t="shared" si="204"/>
        <v>00</v>
      </c>
      <c r="J1231" s="26" t="str">
        <f>"61 "</f>
        <v xml:space="preserve">61 </v>
      </c>
      <c r="K1231" s="26" t="str">
        <f>"IZ"</f>
        <v>IZ</v>
      </c>
      <c r="L1231" s="26" t="str">
        <f>"DGSEI"</f>
        <v>DGSEI</v>
      </c>
      <c r="M1231" s="26" t="str">
        <f t="shared" si="197"/>
        <v>PARTICULAR</v>
      </c>
      <c r="N1231" s="26">
        <v>82</v>
      </c>
      <c r="O1231" s="26">
        <v>52</v>
      </c>
      <c r="P1231" s="26">
        <v>30</v>
      </c>
      <c r="Q1231" s="26">
        <v>3</v>
      </c>
      <c r="R1231" s="26">
        <v>1</v>
      </c>
      <c r="S1231" s="26">
        <v>9</v>
      </c>
      <c r="T1231" s="26">
        <v>0</v>
      </c>
      <c r="U1231" s="26">
        <v>10</v>
      </c>
      <c r="V1231" s="26">
        <v>1</v>
      </c>
      <c r="W1231" s="26"/>
    </row>
    <row r="1232" spans="1:23" x14ac:dyDescent="0.25">
      <c r="A1232" s="26" t="str">
        <f t="shared" si="207"/>
        <v>SECUNDARIA</v>
      </c>
      <c r="B1232" s="26" t="str">
        <f>"09PES0901C"</f>
        <v>09PES0901C</v>
      </c>
      <c r="C1232" s="26" t="str">
        <f>"COLEGIO BOSTON                                                                                      "</f>
        <v xml:space="preserve">COLEGIO BOSTON                                                                                      </v>
      </c>
      <c r="D1232" s="26" t="str">
        <f t="shared" si="208"/>
        <v>MATUTINO</v>
      </c>
      <c r="E1232" s="26" t="str">
        <f>"SUR 95 B NO. 620                                                                "</f>
        <v xml:space="preserve">SUR 95 B NO. 620                                                                </v>
      </c>
      <c r="F1232" s="26" t="str">
        <f>"SECTOR POPULAR                                                                                                                              "</f>
        <v xml:space="preserve">SECTOR POPULAR                                                                                                                              </v>
      </c>
      <c r="G1232" s="26" t="str">
        <f>"IZTAPALAPA                                                                      "</f>
        <v xml:space="preserve">IZTAPALAPA                                                                      </v>
      </c>
      <c r="H1232" s="26" t="str">
        <f>"000"</f>
        <v>000</v>
      </c>
      <c r="I1232" s="26" t="str">
        <f t="shared" si="204"/>
        <v>00</v>
      </c>
      <c r="J1232" s="26" t="str">
        <f>"61 "</f>
        <v xml:space="preserve">61 </v>
      </c>
      <c r="K1232" s="26" t="str">
        <f>"IZ"</f>
        <v>IZ</v>
      </c>
      <c r="L1232" s="26" t="str">
        <f>"DGSEI"</f>
        <v>DGSEI</v>
      </c>
      <c r="M1232" s="26" t="str">
        <f t="shared" si="197"/>
        <v>PARTICULAR</v>
      </c>
      <c r="N1232" s="26">
        <v>46</v>
      </c>
      <c r="O1232" s="26">
        <v>20</v>
      </c>
      <c r="P1232" s="26">
        <v>26</v>
      </c>
      <c r="Q1232" s="26">
        <v>4</v>
      </c>
      <c r="R1232" s="26">
        <v>1</v>
      </c>
      <c r="S1232" s="26">
        <v>13</v>
      </c>
      <c r="T1232" s="26">
        <v>0</v>
      </c>
      <c r="U1232" s="26">
        <v>14</v>
      </c>
      <c r="V1232" s="26">
        <v>1</v>
      </c>
      <c r="W1232" s="26"/>
    </row>
    <row r="1233" spans="1:23" x14ac:dyDescent="0.25">
      <c r="A1233" s="26" t="str">
        <f t="shared" si="207"/>
        <v>SECUNDARIA</v>
      </c>
      <c r="B1233" s="26" t="str">
        <f>"09PES0902B"</f>
        <v>09PES0902B</v>
      </c>
      <c r="C1233" s="26" t="str">
        <f>"""INSTITUTO MEXICANO DE EDUCACION PRIMARIA Y SECUNDARIA""                                             "</f>
        <v xml:space="preserve">"INSTITUTO MEXICANO DE EDUCACION PRIMARIA Y SECUNDARIA"                                             </v>
      </c>
      <c r="D1233" s="26" t="str">
        <f t="shared" si="208"/>
        <v>MATUTINO</v>
      </c>
      <c r="E1233" s="26" t="str">
        <f>"AV. THIERS NUM. 201                                                             "</f>
        <v xml:space="preserve">AV. THIERS NUM. 201                                                             </v>
      </c>
      <c r="F1233" s="26" t="str">
        <f>"ANZURES                                                                                                                                     "</f>
        <v xml:space="preserve">ANZURES                                                                                                                                     </v>
      </c>
      <c r="G1233" s="26" t="str">
        <f>"MIGUEL HIDALGO                                                                  "</f>
        <v xml:space="preserve">MIGUEL HIDALGO                                                                  </v>
      </c>
      <c r="H1233" s="26" t="str">
        <f>"061"</f>
        <v>061</v>
      </c>
      <c r="I1233" s="26" t="str">
        <f t="shared" si="204"/>
        <v>00</v>
      </c>
      <c r="J1233" s="26" t="str">
        <f>"51 "</f>
        <v xml:space="preserve">51 </v>
      </c>
      <c r="K1233" s="26" t="str">
        <f t="shared" ref="K1233:K1238" si="211">"SG"</f>
        <v>SG</v>
      </c>
      <c r="L1233" s="26" t="str">
        <f t="shared" ref="L1233:L1238" si="212">"DGOSE"</f>
        <v>DGOSE</v>
      </c>
      <c r="M1233" s="26" t="str">
        <f t="shared" si="197"/>
        <v>PARTICULAR</v>
      </c>
      <c r="N1233" s="26">
        <v>28</v>
      </c>
      <c r="O1233" s="26">
        <v>15</v>
      </c>
      <c r="P1233" s="26">
        <v>13</v>
      </c>
      <c r="Q1233" s="26">
        <v>3</v>
      </c>
      <c r="R1233" s="26">
        <v>1</v>
      </c>
      <c r="S1233" s="26">
        <v>11</v>
      </c>
      <c r="T1233" s="26">
        <v>5</v>
      </c>
      <c r="U1233" s="26">
        <v>17</v>
      </c>
      <c r="V1233" s="26">
        <v>1</v>
      </c>
      <c r="W1233" s="26"/>
    </row>
    <row r="1234" spans="1:23" x14ac:dyDescent="0.25">
      <c r="A1234" s="26" t="str">
        <f t="shared" si="207"/>
        <v>SECUNDARIA</v>
      </c>
      <c r="B1234" s="26" t="str">
        <f>"09PES0904Z"</f>
        <v>09PES0904Z</v>
      </c>
      <c r="C1234" s="26" t="str">
        <f>"ESCUELA SECUNDARIA JOSE MA MORELOS Y PAVON                                                          "</f>
        <v xml:space="preserve">ESCUELA SECUNDARIA JOSE MA MORELOS Y PAVON                                                          </v>
      </c>
      <c r="D1234" s="26" t="str">
        <f t="shared" si="208"/>
        <v>MATUTINO</v>
      </c>
      <c r="E1234" s="26" t="str">
        <f>"CUITLAHUAC NO 56                                                                "</f>
        <v xml:space="preserve">CUITLAHUAC NO 56                                                                </v>
      </c>
      <c r="F1234" s="26" t="str">
        <f>"XALTOCAN                                                                                                                                    "</f>
        <v xml:space="preserve">XALTOCAN                                                                                                                                    </v>
      </c>
      <c r="G1234" s="26" t="str">
        <f>"XOCHIMILCO                                                                      "</f>
        <v xml:space="preserve">XOCHIMILCO                                                                      </v>
      </c>
      <c r="H1234" s="26" t="str">
        <f>"079"</f>
        <v>079</v>
      </c>
      <c r="I1234" s="26" t="str">
        <f t="shared" si="204"/>
        <v>00</v>
      </c>
      <c r="J1234" s="26" t="str">
        <f>"55 "</f>
        <v xml:space="preserve">55 </v>
      </c>
      <c r="K1234" s="26" t="str">
        <f t="shared" si="211"/>
        <v>SG</v>
      </c>
      <c r="L1234" s="26" t="str">
        <f t="shared" si="212"/>
        <v>DGOSE</v>
      </c>
      <c r="M1234" s="26" t="str">
        <f t="shared" si="197"/>
        <v>PARTICULAR</v>
      </c>
      <c r="N1234" s="26">
        <v>49</v>
      </c>
      <c r="O1234" s="26">
        <v>27</v>
      </c>
      <c r="P1234" s="26">
        <v>22</v>
      </c>
      <c r="Q1234" s="26">
        <v>3</v>
      </c>
      <c r="R1234" s="26">
        <v>0</v>
      </c>
      <c r="S1234" s="26">
        <v>10</v>
      </c>
      <c r="T1234" s="26">
        <v>1</v>
      </c>
      <c r="U1234" s="26">
        <v>11</v>
      </c>
      <c r="V1234" s="26">
        <v>1</v>
      </c>
      <c r="W1234" s="26"/>
    </row>
    <row r="1235" spans="1:23" x14ac:dyDescent="0.25">
      <c r="A1235" s="26" t="str">
        <f t="shared" si="207"/>
        <v>SECUNDARIA</v>
      </c>
      <c r="B1235" s="26" t="str">
        <f>"09PES0905Z"</f>
        <v>09PES0905Z</v>
      </c>
      <c r="C1235" s="26" t="str">
        <f>"COLEGIO DEL PILAR                                                                                   "</f>
        <v xml:space="preserve">COLEGIO DEL PILAR                                                                                   </v>
      </c>
      <c r="D1235" s="26" t="str">
        <f t="shared" si="208"/>
        <v>MATUTINO</v>
      </c>
      <c r="E1235" s="26" t="str">
        <f>"PATRIA NO 203                                                                   "</f>
        <v xml:space="preserve">PATRIA NO 203                                                                   </v>
      </c>
      <c r="F1235" s="26" t="str">
        <f>"SANTA MARIA TICOMAN                                                                                                                         "</f>
        <v xml:space="preserve">SANTA MARIA TICOMAN                                                                                                                         </v>
      </c>
      <c r="G1235" s="26" t="str">
        <f>"GUSTAVO A. MADERO                                                               "</f>
        <v xml:space="preserve">GUSTAVO A. MADERO                                                               </v>
      </c>
      <c r="H1235" s="26" t="str">
        <f>"031"</f>
        <v>031</v>
      </c>
      <c r="I1235" s="26" t="str">
        <f t="shared" si="204"/>
        <v>00</v>
      </c>
      <c r="J1235" s="26" t="str">
        <f>"52 "</f>
        <v xml:space="preserve">52 </v>
      </c>
      <c r="K1235" s="26" t="str">
        <f t="shared" si="211"/>
        <v>SG</v>
      </c>
      <c r="L1235" s="26" t="str">
        <f t="shared" si="212"/>
        <v>DGOSE</v>
      </c>
      <c r="M1235" s="26" t="str">
        <f t="shared" si="197"/>
        <v>PARTICULAR</v>
      </c>
      <c r="N1235" s="26">
        <v>117</v>
      </c>
      <c r="O1235" s="26">
        <v>63</v>
      </c>
      <c r="P1235" s="26">
        <v>54</v>
      </c>
      <c r="Q1235" s="26">
        <v>6</v>
      </c>
      <c r="R1235" s="26">
        <v>2</v>
      </c>
      <c r="S1235" s="26">
        <v>9</v>
      </c>
      <c r="T1235" s="26">
        <v>2</v>
      </c>
      <c r="U1235" s="26">
        <v>13</v>
      </c>
      <c r="V1235" s="26">
        <v>1</v>
      </c>
      <c r="W1235" s="26"/>
    </row>
    <row r="1236" spans="1:23" x14ac:dyDescent="0.25">
      <c r="A1236" s="26" t="str">
        <f t="shared" si="207"/>
        <v>SECUNDARIA</v>
      </c>
      <c r="B1236" s="26" t="str">
        <f>"09PES0907X"</f>
        <v>09PES0907X</v>
      </c>
      <c r="C1236" s="26" t="str">
        <f>"""VILLA EDUCATIVA HIGH""                                                                              "</f>
        <v xml:space="preserve">"VILLA EDUCATIVA HIGH"                                                                              </v>
      </c>
      <c r="D1236" s="26" t="str">
        <f t="shared" si="208"/>
        <v>MATUTINO</v>
      </c>
      <c r="E1236" s="26" t="str">
        <f>"CALLE ATEPOXCO NO 28                                                            "</f>
        <v xml:space="preserve">CALLE ATEPOXCO NO 28                                                            </v>
      </c>
      <c r="F1236" s="26" t="str">
        <f>"TEPEYAC INSURGENTES                                                                                                                         "</f>
        <v xml:space="preserve">TEPEYAC INSURGENTES                                                                                                                         </v>
      </c>
      <c r="G1236" s="26" t="str">
        <f>"GUSTAVO A. MADERO                                                               "</f>
        <v xml:space="preserve">GUSTAVO A. MADERO                                                               </v>
      </c>
      <c r="H1236" s="26" t="str">
        <f>"032"</f>
        <v>032</v>
      </c>
      <c r="I1236" s="26" t="str">
        <f t="shared" si="204"/>
        <v>00</v>
      </c>
      <c r="J1236" s="26" t="str">
        <f>"52 "</f>
        <v xml:space="preserve">52 </v>
      </c>
      <c r="K1236" s="26" t="str">
        <f t="shared" si="211"/>
        <v>SG</v>
      </c>
      <c r="L1236" s="26" t="str">
        <f t="shared" si="212"/>
        <v>DGOSE</v>
      </c>
      <c r="M1236" s="26" t="str">
        <f t="shared" si="197"/>
        <v>PARTICULAR</v>
      </c>
      <c r="N1236" s="26">
        <v>189</v>
      </c>
      <c r="O1236" s="26">
        <v>108</v>
      </c>
      <c r="P1236" s="26">
        <v>81</v>
      </c>
      <c r="Q1236" s="26">
        <v>7</v>
      </c>
      <c r="R1236" s="26">
        <v>2</v>
      </c>
      <c r="S1236" s="26">
        <v>17</v>
      </c>
      <c r="T1236" s="26">
        <v>0</v>
      </c>
      <c r="U1236" s="26">
        <v>19</v>
      </c>
      <c r="V1236" s="26">
        <v>1</v>
      </c>
      <c r="W1236" s="26"/>
    </row>
    <row r="1237" spans="1:23" x14ac:dyDescent="0.25">
      <c r="A1237" s="26" t="str">
        <f t="shared" si="207"/>
        <v>SECUNDARIA</v>
      </c>
      <c r="B1237" s="26" t="str">
        <f>"09PES0909V"</f>
        <v>09PES0909V</v>
      </c>
      <c r="C1237" s="26" t="str">
        <f>"""JOSE MARIA LUIS MORA""                                                                              "</f>
        <v xml:space="preserve">"JOSE MARIA LUIS MORA"                                                                              </v>
      </c>
      <c r="D1237" s="26" t="str">
        <f t="shared" si="208"/>
        <v>MATUTINO</v>
      </c>
      <c r="E1237" s="26" t="str">
        <f>"CORAS MANZANA 44 LOTE 2                                                         "</f>
        <v xml:space="preserve">CORAS MANZANA 44 LOTE 2                                                         </v>
      </c>
      <c r="F1237" s="26" t="str">
        <f>"AJUSCO                                                                                                                                      "</f>
        <v xml:space="preserve">AJUSCO                                                                                                                                      </v>
      </c>
      <c r="G1237" s="26" t="str">
        <f>"COYOACAN                                                                        "</f>
        <v xml:space="preserve">COYOACAN                                                                        </v>
      </c>
      <c r="H1237" s="26" t="str">
        <f>"017"</f>
        <v>017</v>
      </c>
      <c r="I1237" s="26" t="str">
        <f t="shared" si="204"/>
        <v>00</v>
      </c>
      <c r="J1237" s="26" t="str">
        <f>"54 "</f>
        <v xml:space="preserve">54 </v>
      </c>
      <c r="K1237" s="26" t="str">
        <f t="shared" si="211"/>
        <v>SG</v>
      </c>
      <c r="L1237" s="26" t="str">
        <f t="shared" si="212"/>
        <v>DGOSE</v>
      </c>
      <c r="M1237" s="26" t="str">
        <f t="shared" ref="M1237:M1300" si="213">"PARTICULAR"</f>
        <v>PARTICULAR</v>
      </c>
      <c r="N1237" s="26">
        <v>64</v>
      </c>
      <c r="O1237" s="26">
        <v>36</v>
      </c>
      <c r="P1237" s="26">
        <v>28</v>
      </c>
      <c r="Q1237" s="26">
        <v>3</v>
      </c>
      <c r="R1237" s="26">
        <v>1</v>
      </c>
      <c r="S1237" s="26">
        <v>10</v>
      </c>
      <c r="T1237" s="26">
        <v>2</v>
      </c>
      <c r="U1237" s="26">
        <v>13</v>
      </c>
      <c r="V1237" s="26">
        <v>1</v>
      </c>
      <c r="W1237" s="26"/>
    </row>
    <row r="1238" spans="1:23" x14ac:dyDescent="0.25">
      <c r="A1238" s="26" t="str">
        <f t="shared" si="207"/>
        <v>SECUNDARIA</v>
      </c>
      <c r="B1238" s="26" t="str">
        <f>"09PES0911J"</f>
        <v>09PES0911J</v>
      </c>
      <c r="C1238" s="26" t="str">
        <f>"""ESCUELA LEONESA""                                                                                   "</f>
        <v xml:space="preserve">"ESCUELA LEONESA"                                                                                   </v>
      </c>
      <c r="D1238" s="26" t="str">
        <f t="shared" si="208"/>
        <v>MATUTINO</v>
      </c>
      <c r="E1238" s="26" t="str">
        <f>"MOCTEZUMA NO 25                                                                 "</f>
        <v xml:space="preserve">MOCTEZUMA NO 25                                                                 </v>
      </c>
      <c r="F1238" s="26" t="str">
        <f>"SANTA LUCIA                                                                                                                                 "</f>
        <v xml:space="preserve">SANTA LUCIA                                                                                                                                 </v>
      </c>
      <c r="G1238" s="26" t="str">
        <f>"ALVARO OBREGON                                                                  "</f>
        <v xml:space="preserve">ALVARO OBREGON                                                                  </v>
      </c>
      <c r="H1238" s="26" t="str">
        <f>"003"</f>
        <v>003</v>
      </c>
      <c r="I1238" s="26" t="str">
        <f>"  "</f>
        <v xml:space="preserve">  </v>
      </c>
      <c r="J1238" s="26" t="str">
        <f>"53 "</f>
        <v xml:space="preserve">53 </v>
      </c>
      <c r="K1238" s="26" t="str">
        <f t="shared" si="211"/>
        <v>SG</v>
      </c>
      <c r="L1238" s="26" t="str">
        <f t="shared" si="212"/>
        <v>DGOSE</v>
      </c>
      <c r="M1238" s="26" t="str">
        <f t="shared" si="213"/>
        <v>PARTICULAR</v>
      </c>
      <c r="N1238" s="26">
        <v>51</v>
      </c>
      <c r="O1238" s="26">
        <v>26</v>
      </c>
      <c r="P1238" s="26">
        <v>25</v>
      </c>
      <c r="Q1238" s="26">
        <v>3</v>
      </c>
      <c r="R1238" s="26">
        <v>1</v>
      </c>
      <c r="S1238" s="26">
        <v>7</v>
      </c>
      <c r="T1238" s="26">
        <v>0</v>
      </c>
      <c r="U1238" s="26">
        <v>8</v>
      </c>
      <c r="V1238" s="26">
        <v>1</v>
      </c>
      <c r="W1238" s="26"/>
    </row>
    <row r="1239" spans="1:23" x14ac:dyDescent="0.25">
      <c r="A1239" s="26" t="str">
        <f t="shared" si="207"/>
        <v>SECUNDARIA</v>
      </c>
      <c r="B1239" s="26" t="str">
        <f>"09PES0912I"</f>
        <v>09PES0912I</v>
      </c>
      <c r="C1239" s="26" t="str">
        <f>"ANA SULLIVAN                                                                                        "</f>
        <v xml:space="preserve">ANA SULLIVAN                                                                                        </v>
      </c>
      <c r="D1239" s="26" t="str">
        <f t="shared" si="208"/>
        <v>MATUTINO</v>
      </c>
      <c r="E1239" s="26" t="str">
        <f>"2O RETORNO DE VILLA FRANQUEZA MZ UNICA LT 36                                    "</f>
        <v xml:space="preserve">2O RETORNO DE VILLA FRANQUEZA MZ UNICA LT 36                                    </v>
      </c>
      <c r="F1239" s="26" t="str">
        <f>"DESARROLLO URBANO QUETZALCOATL                                                                                                              "</f>
        <v xml:space="preserve">DESARROLLO URBANO QUETZALCOATL                                                                                                              </v>
      </c>
      <c r="G1239" s="26" t="str">
        <f>"IZTAPALAPA                                                                      "</f>
        <v xml:space="preserve">IZTAPALAPA                                                                      </v>
      </c>
      <c r="H1239" s="26" t="str">
        <f>"000"</f>
        <v>000</v>
      </c>
      <c r="I1239" s="26" t="str">
        <f>"00"</f>
        <v>00</v>
      </c>
      <c r="J1239" s="26" t="str">
        <f>"64 "</f>
        <v xml:space="preserve">64 </v>
      </c>
      <c r="K1239" s="26" t="str">
        <f>"IZ"</f>
        <v>IZ</v>
      </c>
      <c r="L1239" s="26" t="str">
        <f>"DGSEI"</f>
        <v>DGSEI</v>
      </c>
      <c r="M1239" s="26" t="str">
        <f t="shared" si="213"/>
        <v>PARTICULAR</v>
      </c>
      <c r="N1239" s="26">
        <v>43</v>
      </c>
      <c r="O1239" s="26">
        <v>29</v>
      </c>
      <c r="P1239" s="26">
        <v>14</v>
      </c>
      <c r="Q1239" s="26">
        <v>3</v>
      </c>
      <c r="R1239" s="26">
        <v>0</v>
      </c>
      <c r="S1239" s="26">
        <v>9</v>
      </c>
      <c r="T1239" s="26">
        <v>0</v>
      </c>
      <c r="U1239" s="26">
        <v>9</v>
      </c>
      <c r="V1239" s="26">
        <v>1</v>
      </c>
      <c r="W1239" s="26"/>
    </row>
    <row r="1240" spans="1:23" x14ac:dyDescent="0.25">
      <c r="A1240" s="26" t="str">
        <f t="shared" si="207"/>
        <v>SECUNDARIA</v>
      </c>
      <c r="B1240" s="26" t="str">
        <f>"09PES0913H"</f>
        <v>09PES0913H</v>
      </c>
      <c r="C1240" s="26" t="str">
        <f>"""CENTRO EDUCATIVO EMMANUEL MOUNIER SECUNDARIA""                                                      "</f>
        <v xml:space="preserve">"CENTRO EDUCATIVO EMMANUEL MOUNIER SECUNDARIA"                                                      </v>
      </c>
      <c r="D1240" s="26" t="str">
        <f t="shared" si="208"/>
        <v>MATUTINO</v>
      </c>
      <c r="E1240" s="26" t="str">
        <f>"ANGELES NO 79                                                                   "</f>
        <v xml:space="preserve">ANGELES NO 79                                                                   </v>
      </c>
      <c r="F1240" s="26" t="str">
        <f>"LA NAVIDAD                                                                                                                                  "</f>
        <v xml:space="preserve">LA NAVIDAD                                                                                                                                  </v>
      </c>
      <c r="G1240" s="26" t="str">
        <f>"CUAJIMALPA DE MORELOS                                                           "</f>
        <v xml:space="preserve">CUAJIMALPA DE MORELOS                                                           </v>
      </c>
      <c r="H1240" s="26" t="str">
        <f>"023"</f>
        <v>023</v>
      </c>
      <c r="I1240" s="26" t="str">
        <f>"  "</f>
        <v xml:space="preserve">  </v>
      </c>
      <c r="J1240" s="26" t="str">
        <f>"53 "</f>
        <v xml:space="preserve">53 </v>
      </c>
      <c r="K1240" s="26" t="str">
        <f>"SG"</f>
        <v>SG</v>
      </c>
      <c r="L1240" s="26" t="str">
        <f>"DGOSE"</f>
        <v>DGOSE</v>
      </c>
      <c r="M1240" s="26" t="str">
        <f t="shared" si="213"/>
        <v>PARTICULAR</v>
      </c>
      <c r="N1240" s="26">
        <v>41</v>
      </c>
      <c r="O1240" s="26">
        <v>33</v>
      </c>
      <c r="P1240" s="26">
        <v>8</v>
      </c>
      <c r="Q1240" s="26">
        <v>5</v>
      </c>
      <c r="R1240" s="26">
        <v>1</v>
      </c>
      <c r="S1240" s="26">
        <v>15</v>
      </c>
      <c r="T1240" s="26">
        <v>4</v>
      </c>
      <c r="U1240" s="26">
        <v>20</v>
      </c>
      <c r="V1240" s="26">
        <v>1</v>
      </c>
      <c r="W1240" s="26"/>
    </row>
    <row r="1241" spans="1:23" x14ac:dyDescent="0.25">
      <c r="A1241" s="26" t="str">
        <f t="shared" si="207"/>
        <v>SECUNDARIA</v>
      </c>
      <c r="B1241" s="26" t="str">
        <f>"09PES0915F"</f>
        <v>09PES0915F</v>
      </c>
      <c r="C1241" s="26" t="str">
        <f>"""RAFAEL GUIZAR Y VALENCIA""                                                                          "</f>
        <v xml:space="preserve">"RAFAEL GUIZAR Y VALENCIA"                                                                          </v>
      </c>
      <c r="D1241" s="26" t="str">
        <f t="shared" si="208"/>
        <v>MATUTINO</v>
      </c>
      <c r="E1241" s="26" t="str">
        <f>"AV TLAHUAC-TULYEHUALCO NO 8481                                                  "</f>
        <v xml:space="preserve">AV TLAHUAC-TULYEHUALCO NO 8481                                                  </v>
      </c>
      <c r="F1241" s="26" t="str">
        <f>"SAN ISIDRO TULYEHUALCO                                                                                                                      "</f>
        <v xml:space="preserve">SAN ISIDRO TULYEHUALCO                                                                                                                      </v>
      </c>
      <c r="G1241" s="26" t="str">
        <f>"TLAHUAC                                                                         "</f>
        <v xml:space="preserve">TLAHUAC                                                                         </v>
      </c>
      <c r="H1241" s="26" t="str">
        <f>"081"</f>
        <v>081</v>
      </c>
      <c r="I1241" s="26" t="str">
        <f>"  "</f>
        <v xml:space="preserve">  </v>
      </c>
      <c r="J1241" s="26" t="str">
        <f>"55 "</f>
        <v xml:space="preserve">55 </v>
      </c>
      <c r="K1241" s="26" t="str">
        <f>"SG"</f>
        <v>SG</v>
      </c>
      <c r="L1241" s="26" t="str">
        <f>"DGOSE"</f>
        <v>DGOSE</v>
      </c>
      <c r="M1241" s="26" t="str">
        <f t="shared" si="213"/>
        <v>PARTICULAR</v>
      </c>
      <c r="N1241" s="26">
        <v>51</v>
      </c>
      <c r="O1241" s="26">
        <v>24</v>
      </c>
      <c r="P1241" s="26">
        <v>27</v>
      </c>
      <c r="Q1241" s="26">
        <v>3</v>
      </c>
      <c r="R1241" s="26">
        <v>1</v>
      </c>
      <c r="S1241" s="26">
        <v>13</v>
      </c>
      <c r="T1241" s="26">
        <v>0</v>
      </c>
      <c r="U1241" s="26">
        <v>14</v>
      </c>
      <c r="V1241" s="26">
        <v>1</v>
      </c>
      <c r="W1241" s="26"/>
    </row>
    <row r="1242" spans="1:23" x14ac:dyDescent="0.25">
      <c r="A1242" s="26" t="str">
        <f t="shared" si="207"/>
        <v>SECUNDARIA</v>
      </c>
      <c r="B1242" s="26" t="str">
        <f>"09PES0918C"</f>
        <v>09PES0918C</v>
      </c>
      <c r="C1242" s="26" t="str">
        <f>"CENTRO EDUCATIVO SIGLO XXI                                                                          "</f>
        <v xml:space="preserve">CENTRO EDUCATIVO SIGLO XXI                                                                          </v>
      </c>
      <c r="D1242" s="26" t="str">
        <f t="shared" si="208"/>
        <v>MATUTINO</v>
      </c>
      <c r="E1242" s="26" t="str">
        <f>"CARRETERA FEDERAL MEXICO CUERNAVACA NO 6587                                     "</f>
        <v xml:space="preserve">CARRETERA FEDERAL MEXICO CUERNAVACA NO 6587                                     </v>
      </c>
      <c r="F1242" s="26" t="str">
        <f>"TLALMILLI                                                                                                                                   "</f>
        <v xml:space="preserve">TLALMILLI                                                                                                                                   </v>
      </c>
      <c r="G1242" s="26" t="str">
        <f>"TLALPAN                                                                         "</f>
        <v xml:space="preserve">TLALPAN                                                                         </v>
      </c>
      <c r="H1242" s="26" t="str">
        <f>"108"</f>
        <v>108</v>
      </c>
      <c r="I1242" s="26" t="str">
        <f>"  "</f>
        <v xml:space="preserve">  </v>
      </c>
      <c r="J1242" s="26" t="str">
        <f>"55 "</f>
        <v xml:space="preserve">55 </v>
      </c>
      <c r="K1242" s="26" t="str">
        <f>"SG"</f>
        <v>SG</v>
      </c>
      <c r="L1242" s="26" t="str">
        <f>"DGOSE"</f>
        <v>DGOSE</v>
      </c>
      <c r="M1242" s="26" t="str">
        <f t="shared" si="213"/>
        <v>PARTICULAR</v>
      </c>
      <c r="N1242" s="26">
        <v>76</v>
      </c>
      <c r="O1242" s="26">
        <v>35</v>
      </c>
      <c r="P1242" s="26">
        <v>41</v>
      </c>
      <c r="Q1242" s="26">
        <v>5</v>
      </c>
      <c r="R1242" s="26">
        <v>0</v>
      </c>
      <c r="S1242" s="26">
        <v>11</v>
      </c>
      <c r="T1242" s="26">
        <v>0</v>
      </c>
      <c r="U1242" s="26">
        <v>11</v>
      </c>
      <c r="V1242" s="26">
        <v>1</v>
      </c>
      <c r="W1242" s="26"/>
    </row>
    <row r="1243" spans="1:23" x14ac:dyDescent="0.25">
      <c r="A1243" s="26" t="str">
        <f t="shared" si="207"/>
        <v>SECUNDARIA</v>
      </c>
      <c r="B1243" s="26" t="str">
        <f>"09PES0920R"</f>
        <v>09PES0920R</v>
      </c>
      <c r="C1243" s="26" t="str">
        <f>"INSTITUTO INTERNACIONAL BRITANIA LIGTHART S.C.                                                      "</f>
        <v xml:space="preserve">INSTITUTO INTERNACIONAL BRITANIA LIGTHART S.C.                                                      </v>
      </c>
      <c r="D1243" s="26" t="str">
        <f t="shared" si="208"/>
        <v>MATUTINO</v>
      </c>
      <c r="E1243" s="26" t="str">
        <f>"20 DE NOVIEMBRE S/N Z.01 MZ. 78 LT. 08                                          "</f>
        <v xml:space="preserve">20 DE NOVIEMBRE S/N Z.01 MZ. 78 LT. 08                                          </v>
      </c>
      <c r="F1243" s="26" t="str">
        <f>"SANTA MARIA AZTAHUACAN                                                                                                                      "</f>
        <v xml:space="preserve">SANTA MARIA AZTAHUACAN                                                                                                                      </v>
      </c>
      <c r="G1243" s="26" t="str">
        <f>"IZTAPALAPA                                                                      "</f>
        <v xml:space="preserve">IZTAPALAPA                                                                      </v>
      </c>
      <c r="H1243" s="26" t="str">
        <f>"000"</f>
        <v>000</v>
      </c>
      <c r="I1243" s="26" t="str">
        <f>"00"</f>
        <v>00</v>
      </c>
      <c r="J1243" s="26" t="str">
        <f>"64 "</f>
        <v xml:space="preserve">64 </v>
      </c>
      <c r="K1243" s="26" t="str">
        <f>"IZ"</f>
        <v>IZ</v>
      </c>
      <c r="L1243" s="26" t="str">
        <f>"DGSEI"</f>
        <v>DGSEI</v>
      </c>
      <c r="M1243" s="26" t="str">
        <f t="shared" si="213"/>
        <v>PARTICULAR</v>
      </c>
      <c r="N1243" s="26">
        <v>97</v>
      </c>
      <c r="O1243" s="26">
        <v>51</v>
      </c>
      <c r="P1243" s="26">
        <v>46</v>
      </c>
      <c r="Q1243" s="26">
        <v>4</v>
      </c>
      <c r="R1243" s="26">
        <v>0</v>
      </c>
      <c r="S1243" s="26">
        <v>8</v>
      </c>
      <c r="T1243" s="26">
        <v>1</v>
      </c>
      <c r="U1243" s="26">
        <v>9</v>
      </c>
      <c r="V1243" s="26">
        <v>1</v>
      </c>
      <c r="W1243" s="26"/>
    </row>
    <row r="1244" spans="1:23" x14ac:dyDescent="0.25">
      <c r="A1244" s="26" t="str">
        <f t="shared" si="207"/>
        <v>SECUNDARIA</v>
      </c>
      <c r="B1244" s="26" t="str">
        <f>"09PES0921Q"</f>
        <v>09PES0921Q</v>
      </c>
      <c r="C1244" s="26" t="str">
        <f>"ESCUELA MISIONES                                                                                    "</f>
        <v xml:space="preserve">ESCUELA MISIONES                                                                                    </v>
      </c>
      <c r="D1244" s="26" t="str">
        <f t="shared" si="208"/>
        <v>MATUTINO</v>
      </c>
      <c r="E1244" s="26" t="str">
        <f>"CAMINO VIEJO A MIXCOAC NO 13                                                    "</f>
        <v xml:space="preserve">CAMINO VIEJO A MIXCOAC NO 13                                                    </v>
      </c>
      <c r="F1244" s="26" t="str">
        <f>"SAN BARTOLO AMEYALCO AMPLIACION                                                                                                             "</f>
        <v xml:space="preserve">SAN BARTOLO AMEYALCO AMPLIACION                                                                                                             </v>
      </c>
      <c r="G1244" s="26" t="str">
        <f>"ALVARO OBREGON                                                                  "</f>
        <v xml:space="preserve">ALVARO OBREGON                                                                  </v>
      </c>
      <c r="H1244" s="26" t="str">
        <f>"004"</f>
        <v>004</v>
      </c>
      <c r="I1244" s="26" t="str">
        <f t="shared" ref="I1244:I1260" si="214">"  "</f>
        <v xml:space="preserve">  </v>
      </c>
      <c r="J1244" s="26" t="str">
        <f>"53 "</f>
        <v xml:space="preserve">53 </v>
      </c>
      <c r="K1244" s="26" t="str">
        <f t="shared" ref="K1244:K1255" si="215">"SG"</f>
        <v>SG</v>
      </c>
      <c r="L1244" s="26" t="str">
        <f t="shared" ref="L1244:L1255" si="216">"DGOSE"</f>
        <v>DGOSE</v>
      </c>
      <c r="M1244" s="26" t="str">
        <f t="shared" si="213"/>
        <v>PARTICULAR</v>
      </c>
      <c r="N1244" s="26">
        <v>42</v>
      </c>
      <c r="O1244" s="26">
        <v>20</v>
      </c>
      <c r="P1244" s="26">
        <v>22</v>
      </c>
      <c r="Q1244" s="26">
        <v>3</v>
      </c>
      <c r="R1244" s="26">
        <v>1</v>
      </c>
      <c r="S1244" s="26">
        <v>10</v>
      </c>
      <c r="T1244" s="26">
        <v>1</v>
      </c>
      <c r="U1244" s="26">
        <v>12</v>
      </c>
      <c r="V1244" s="26">
        <v>1</v>
      </c>
      <c r="W1244" s="26"/>
    </row>
    <row r="1245" spans="1:23" x14ac:dyDescent="0.25">
      <c r="A1245" s="26" t="str">
        <f t="shared" si="207"/>
        <v>SECUNDARIA</v>
      </c>
      <c r="B1245" s="26" t="str">
        <f>"09PES0922P"</f>
        <v>09PES0922P</v>
      </c>
      <c r="C1245" s="26" t="str">
        <f>"""CENTRO EDUCATIVO ADLER""                                                                            "</f>
        <v xml:space="preserve">"CENTRO EDUCATIVO ADLER"                                                                            </v>
      </c>
      <c r="D1245" s="26" t="str">
        <f t="shared" si="208"/>
        <v>MATUTINO</v>
      </c>
      <c r="E1245" s="26" t="str">
        <f>"CAMINO A BELEN NO 12                                                            "</f>
        <v xml:space="preserve">CAMINO A BELEN NO 12                                                            </v>
      </c>
      <c r="F1245" s="26" t="str">
        <f>"JOSE MARIA PINO SUAREZ                                                                                                                      "</f>
        <v xml:space="preserve">JOSE MARIA PINO SUAREZ                                                                                                                      </v>
      </c>
      <c r="G1245" s="26" t="str">
        <f>"ALVARO OBREGON                                                                  "</f>
        <v xml:space="preserve">ALVARO OBREGON                                                                  </v>
      </c>
      <c r="H1245" s="26" t="str">
        <f>"003"</f>
        <v>003</v>
      </c>
      <c r="I1245" s="26" t="str">
        <f t="shared" si="214"/>
        <v xml:space="preserve">  </v>
      </c>
      <c r="J1245" s="26" t="str">
        <f>"53 "</f>
        <v xml:space="preserve">53 </v>
      </c>
      <c r="K1245" s="26" t="str">
        <f t="shared" si="215"/>
        <v>SG</v>
      </c>
      <c r="L1245" s="26" t="str">
        <f t="shared" si="216"/>
        <v>DGOSE</v>
      </c>
      <c r="M1245" s="26" t="str">
        <f t="shared" si="213"/>
        <v>PARTICULAR</v>
      </c>
      <c r="N1245" s="26">
        <v>63</v>
      </c>
      <c r="O1245" s="26">
        <v>35</v>
      </c>
      <c r="P1245" s="26">
        <v>28</v>
      </c>
      <c r="Q1245" s="26">
        <v>3</v>
      </c>
      <c r="R1245" s="26">
        <v>2</v>
      </c>
      <c r="S1245" s="26">
        <v>11</v>
      </c>
      <c r="T1245" s="26">
        <v>1</v>
      </c>
      <c r="U1245" s="26">
        <v>14</v>
      </c>
      <c r="V1245" s="26">
        <v>1</v>
      </c>
      <c r="W1245" s="26"/>
    </row>
    <row r="1246" spans="1:23" x14ac:dyDescent="0.25">
      <c r="A1246" s="26" t="str">
        <f t="shared" si="207"/>
        <v>SECUNDARIA</v>
      </c>
      <c r="B1246" s="26" t="str">
        <f>"09PES0923O"</f>
        <v>09PES0923O</v>
      </c>
      <c r="C1246" s="26" t="str">
        <f>"""COLEGIO INTERNACIONAL DE MEXICO""                                                                   "</f>
        <v xml:space="preserve">"COLEGIO INTERNACIONAL DE MEXICO"                                                                   </v>
      </c>
      <c r="D1246" s="26" t="str">
        <f t="shared" si="208"/>
        <v>MATUTINO</v>
      </c>
      <c r="E1246" s="26" t="str">
        <f>"RIO MAGDALENA NO 263                                                            "</f>
        <v xml:space="preserve">RIO MAGDALENA NO 263                                                            </v>
      </c>
      <c r="F1246" s="26" t="str">
        <f>"TIZAPAN                                                                                                                                     "</f>
        <v xml:space="preserve">TIZAPAN                                                                                                                                     </v>
      </c>
      <c r="G1246" s="26" t="str">
        <f>"ALVARO OBREGON                                                                  "</f>
        <v xml:space="preserve">ALVARO OBREGON                                                                  </v>
      </c>
      <c r="H1246" s="26" t="str">
        <f>"005"</f>
        <v>005</v>
      </c>
      <c r="I1246" s="26" t="str">
        <f t="shared" si="214"/>
        <v xml:space="preserve">  </v>
      </c>
      <c r="J1246" s="26" t="str">
        <f>"53 "</f>
        <v xml:space="preserve">53 </v>
      </c>
      <c r="K1246" s="26" t="str">
        <f t="shared" si="215"/>
        <v>SG</v>
      </c>
      <c r="L1246" s="26" t="str">
        <f t="shared" si="216"/>
        <v>DGOSE</v>
      </c>
      <c r="M1246" s="26" t="str">
        <f t="shared" si="213"/>
        <v>PARTICULAR</v>
      </c>
      <c r="N1246" s="26">
        <v>172</v>
      </c>
      <c r="O1246" s="26">
        <v>101</v>
      </c>
      <c r="P1246" s="26">
        <v>71</v>
      </c>
      <c r="Q1246" s="26">
        <v>9</v>
      </c>
      <c r="R1246" s="26">
        <v>2</v>
      </c>
      <c r="S1246" s="26">
        <v>16</v>
      </c>
      <c r="T1246" s="26">
        <v>4</v>
      </c>
      <c r="U1246" s="26">
        <v>22</v>
      </c>
      <c r="V1246" s="26">
        <v>1</v>
      </c>
      <c r="W1246" s="26"/>
    </row>
    <row r="1247" spans="1:23" x14ac:dyDescent="0.25">
      <c r="A1247" s="26" t="str">
        <f t="shared" si="207"/>
        <v>SECUNDARIA</v>
      </c>
      <c r="B1247" s="26" t="str">
        <f>"09PES0924N"</f>
        <v>09PES0924N</v>
      </c>
      <c r="C1247" s="26" t="str">
        <f>"""PREPARATORIA Y SECUNDARIA CERVANTES""                                                               "</f>
        <v xml:space="preserve">"PREPARATORIA Y SECUNDARIA CERVANTES"                                                               </v>
      </c>
      <c r="D1247" s="26" t="str">
        <f t="shared" si="208"/>
        <v>MATUTINO</v>
      </c>
      <c r="E1247" s="26" t="str">
        <f>"SADI CARNOT NO 56                                                               "</f>
        <v xml:space="preserve">SADI CARNOT NO 56                                                               </v>
      </c>
      <c r="F1247" s="26" t="str">
        <f>"SAN RAFAEL                                                                                                                                  "</f>
        <v xml:space="preserve">SAN RAFAEL                                                                                                                                  </v>
      </c>
      <c r="G1247" s="26" t="str">
        <f>"CUAUHTEMOC                                                                      "</f>
        <v xml:space="preserve">CUAUHTEMOC                                                                      </v>
      </c>
      <c r="H1247" s="26" t="str">
        <f>"027"</f>
        <v>027</v>
      </c>
      <c r="I1247" s="26" t="str">
        <f t="shared" si="214"/>
        <v xml:space="preserve">  </v>
      </c>
      <c r="J1247" s="26" t="str">
        <f>"51 "</f>
        <v xml:space="preserve">51 </v>
      </c>
      <c r="K1247" s="26" t="str">
        <f t="shared" si="215"/>
        <v>SG</v>
      </c>
      <c r="L1247" s="26" t="str">
        <f t="shared" si="216"/>
        <v>DGOSE</v>
      </c>
      <c r="M1247" s="26" t="str">
        <f t="shared" si="213"/>
        <v>PARTICULAR</v>
      </c>
      <c r="N1247" s="26">
        <v>67</v>
      </c>
      <c r="O1247" s="26">
        <v>39</v>
      </c>
      <c r="P1247" s="26">
        <v>28</v>
      </c>
      <c r="Q1247" s="26">
        <v>4</v>
      </c>
      <c r="R1247" s="26">
        <v>1</v>
      </c>
      <c r="S1247" s="26">
        <v>10</v>
      </c>
      <c r="T1247" s="26">
        <v>2</v>
      </c>
      <c r="U1247" s="26">
        <v>13</v>
      </c>
      <c r="V1247" s="26">
        <v>1</v>
      </c>
      <c r="W1247" s="26"/>
    </row>
    <row r="1248" spans="1:23" x14ac:dyDescent="0.25">
      <c r="A1248" s="26" t="str">
        <f t="shared" si="207"/>
        <v>SECUNDARIA</v>
      </c>
      <c r="B1248" s="26" t="str">
        <f>"09PES0925M"</f>
        <v>09PES0925M</v>
      </c>
      <c r="C1248" s="26" t="str">
        <f>"""COLEGIO DONATO BRAMANTE""                                                                           "</f>
        <v xml:space="preserve">"COLEGIO DONATO BRAMANTE"                                                                           </v>
      </c>
      <c r="D1248" s="26" t="str">
        <f t="shared" si="208"/>
        <v>MATUTINO</v>
      </c>
      <c r="E1248" s="26" t="str">
        <f>"25 NO 330                                                                       "</f>
        <v xml:space="preserve">25 NO 330                                                                       </v>
      </c>
      <c r="F1248" s="26" t="str">
        <f>"PRO  HOGAR                                                                                                                                  "</f>
        <v xml:space="preserve">PRO  HOGAR                                                                                                                                  </v>
      </c>
      <c r="G1248" s="26" t="str">
        <f>"AZCAPOTZALCO                                                                    "</f>
        <v xml:space="preserve">AZCAPOTZALCO                                                                    </v>
      </c>
      <c r="H1248" s="26" t="str">
        <f>"010"</f>
        <v>010</v>
      </c>
      <c r="I1248" s="26" t="str">
        <f t="shared" si="214"/>
        <v xml:space="preserve">  </v>
      </c>
      <c r="J1248" s="26" t="str">
        <f>"51 "</f>
        <v xml:space="preserve">51 </v>
      </c>
      <c r="K1248" s="26" t="str">
        <f t="shared" si="215"/>
        <v>SG</v>
      </c>
      <c r="L1248" s="26" t="str">
        <f t="shared" si="216"/>
        <v>DGOSE</v>
      </c>
      <c r="M1248" s="26" t="str">
        <f t="shared" si="213"/>
        <v>PARTICULAR</v>
      </c>
      <c r="N1248" s="26">
        <v>44</v>
      </c>
      <c r="O1248" s="26">
        <v>17</v>
      </c>
      <c r="P1248" s="26">
        <v>27</v>
      </c>
      <c r="Q1248" s="26">
        <v>3</v>
      </c>
      <c r="R1248" s="26">
        <v>1</v>
      </c>
      <c r="S1248" s="26">
        <v>9</v>
      </c>
      <c r="T1248" s="26">
        <v>1</v>
      </c>
      <c r="U1248" s="26">
        <v>11</v>
      </c>
      <c r="V1248" s="26">
        <v>1</v>
      </c>
      <c r="W1248" s="26"/>
    </row>
    <row r="1249" spans="1:23" x14ac:dyDescent="0.25">
      <c r="A1249" s="26" t="str">
        <f t="shared" si="207"/>
        <v>SECUNDARIA</v>
      </c>
      <c r="B1249" s="26" t="str">
        <f>"09PES0926L"</f>
        <v>09PES0926L</v>
      </c>
      <c r="C1249" s="26" t="str">
        <f>"""CENTRO EDUCATIVO SANTE FE""                                                                         "</f>
        <v xml:space="preserve">"CENTRO EDUCATIVO SANTE FE"                                                                         </v>
      </c>
      <c r="D1249" s="26" t="str">
        <f t="shared" si="208"/>
        <v>MATUTINO</v>
      </c>
      <c r="E1249" s="26" t="str">
        <f>"AVENIDA VASCO DE QUIROGA NO 1785                                                "</f>
        <v xml:space="preserve">AVENIDA VASCO DE QUIROGA NO 1785                                                </v>
      </c>
      <c r="F1249" s="26" t="str">
        <f>"SANTA FE                                                                                                                                    "</f>
        <v xml:space="preserve">SANTA FE                                                                                                                                    </v>
      </c>
      <c r="G1249" s="26" t="str">
        <f>"ALVARO OBREGON                                                                  "</f>
        <v xml:space="preserve">ALVARO OBREGON                                                                  </v>
      </c>
      <c r="H1249" s="26" t="str">
        <f>"004"</f>
        <v>004</v>
      </c>
      <c r="I1249" s="26" t="str">
        <f t="shared" si="214"/>
        <v xml:space="preserve">  </v>
      </c>
      <c r="J1249" s="26" t="str">
        <f>"53 "</f>
        <v xml:space="preserve">53 </v>
      </c>
      <c r="K1249" s="26" t="str">
        <f t="shared" si="215"/>
        <v>SG</v>
      </c>
      <c r="L1249" s="26" t="str">
        <f t="shared" si="216"/>
        <v>DGOSE</v>
      </c>
      <c r="M1249" s="26" t="str">
        <f t="shared" si="213"/>
        <v>PARTICULAR</v>
      </c>
      <c r="N1249" s="26">
        <v>46</v>
      </c>
      <c r="O1249" s="26">
        <v>29</v>
      </c>
      <c r="P1249" s="26">
        <v>17</v>
      </c>
      <c r="Q1249" s="26">
        <v>3</v>
      </c>
      <c r="R1249" s="26">
        <v>2</v>
      </c>
      <c r="S1249" s="26">
        <v>9</v>
      </c>
      <c r="T1249" s="26">
        <v>0</v>
      </c>
      <c r="U1249" s="26">
        <v>11</v>
      </c>
      <c r="V1249" s="26">
        <v>1</v>
      </c>
      <c r="W1249" s="26"/>
    </row>
    <row r="1250" spans="1:23" x14ac:dyDescent="0.25">
      <c r="A1250" s="26" t="str">
        <f t="shared" si="207"/>
        <v>SECUNDARIA</v>
      </c>
      <c r="B1250" s="26" t="str">
        <f>"09PES0927K"</f>
        <v>09PES0927K</v>
      </c>
      <c r="C1250" s="26" t="str">
        <f>"""CENTRO EDUCATIVO HOREB""                                                                            "</f>
        <v xml:space="preserve">"CENTRO EDUCATIVO HOREB"                                                                            </v>
      </c>
      <c r="D1250" s="26" t="str">
        <f t="shared" si="208"/>
        <v>MATUTINO</v>
      </c>
      <c r="E1250" s="26" t="str">
        <f>"CALZADA DE LAS BOMBAS NO 793                                                    "</f>
        <v xml:space="preserve">CALZADA DE LAS BOMBAS NO 793                                                    </v>
      </c>
      <c r="F1250" s="26" t="str">
        <f>"RESIDENCIAL CAFETALES                                                                                                                       "</f>
        <v xml:space="preserve">RESIDENCIAL CAFETALES                                                                                                                       </v>
      </c>
      <c r="G1250" s="26" t="str">
        <f>"COYOACAN                                                                        "</f>
        <v xml:space="preserve">COYOACAN                                                                        </v>
      </c>
      <c r="H1250" s="26" t="str">
        <f>"021"</f>
        <v>021</v>
      </c>
      <c r="I1250" s="26" t="str">
        <f t="shared" si="214"/>
        <v xml:space="preserve">  </v>
      </c>
      <c r="J1250" s="26" t="str">
        <f>"54 "</f>
        <v xml:space="preserve">54 </v>
      </c>
      <c r="K1250" s="26" t="str">
        <f t="shared" si="215"/>
        <v>SG</v>
      </c>
      <c r="L1250" s="26" t="str">
        <f t="shared" si="216"/>
        <v>DGOSE</v>
      </c>
      <c r="M1250" s="26" t="str">
        <f t="shared" si="213"/>
        <v>PARTICULAR</v>
      </c>
      <c r="N1250" s="26">
        <v>74</v>
      </c>
      <c r="O1250" s="26">
        <v>41</v>
      </c>
      <c r="P1250" s="26">
        <v>33</v>
      </c>
      <c r="Q1250" s="26">
        <v>4</v>
      </c>
      <c r="R1250" s="26">
        <v>2</v>
      </c>
      <c r="S1250" s="26">
        <v>9</v>
      </c>
      <c r="T1250" s="26">
        <v>0</v>
      </c>
      <c r="U1250" s="26">
        <v>11</v>
      </c>
      <c r="V1250" s="26">
        <v>1</v>
      </c>
      <c r="W1250" s="26"/>
    </row>
    <row r="1251" spans="1:23" x14ac:dyDescent="0.25">
      <c r="A1251" s="26" t="str">
        <f t="shared" si="207"/>
        <v>SECUNDARIA</v>
      </c>
      <c r="B1251" s="26" t="str">
        <f>"09PES0928J"</f>
        <v>09PES0928J</v>
      </c>
      <c r="C1251" s="26" t="str">
        <f>"""LICEO AMERICANO FRANCES""                                                                           "</f>
        <v xml:space="preserve">"LICEO AMERICANO FRANCES"                                                                           </v>
      </c>
      <c r="D1251" s="26" t="str">
        <f t="shared" si="208"/>
        <v>MATUTINO</v>
      </c>
      <c r="E1251" s="26" t="str">
        <f>"JARDIN DEL CONVENTO NO 12                                                       "</f>
        <v xml:space="preserve">JARDIN DEL CONVENTO NO 12                                                       </v>
      </c>
      <c r="F1251" s="26" t="str">
        <f>"SAN DIEGO CHURUBUSCO                                                                                                                        "</f>
        <v xml:space="preserve">SAN DIEGO CHURUBUSCO                                                                                                                        </v>
      </c>
      <c r="G1251" s="26" t="str">
        <f>"COYOACAN                                                                        "</f>
        <v xml:space="preserve">COYOACAN                                                                        </v>
      </c>
      <c r="H1251" s="26" t="str">
        <f>"020"</f>
        <v>020</v>
      </c>
      <c r="I1251" s="26" t="str">
        <f t="shared" si="214"/>
        <v xml:space="preserve">  </v>
      </c>
      <c r="J1251" s="26" t="str">
        <f>"54 "</f>
        <v xml:space="preserve">54 </v>
      </c>
      <c r="K1251" s="26" t="str">
        <f t="shared" si="215"/>
        <v>SG</v>
      </c>
      <c r="L1251" s="26" t="str">
        <f t="shared" si="216"/>
        <v>DGOSE</v>
      </c>
      <c r="M1251" s="26" t="str">
        <f t="shared" si="213"/>
        <v>PARTICULAR</v>
      </c>
      <c r="N1251" s="26">
        <v>28</v>
      </c>
      <c r="O1251" s="26">
        <v>17</v>
      </c>
      <c r="P1251" s="26">
        <v>11</v>
      </c>
      <c r="Q1251" s="26">
        <v>3</v>
      </c>
      <c r="R1251" s="26">
        <v>1</v>
      </c>
      <c r="S1251" s="26">
        <v>11</v>
      </c>
      <c r="T1251" s="26">
        <v>0</v>
      </c>
      <c r="U1251" s="26">
        <v>12</v>
      </c>
      <c r="V1251" s="26">
        <v>1</v>
      </c>
      <c r="W1251" s="26"/>
    </row>
    <row r="1252" spans="1:23" x14ac:dyDescent="0.25">
      <c r="A1252" s="26" t="str">
        <f t="shared" si="207"/>
        <v>SECUNDARIA</v>
      </c>
      <c r="B1252" s="26" t="str">
        <f>"09PES0930Y"</f>
        <v>09PES0930Y</v>
      </c>
      <c r="C1252" s="26" t="str">
        <f>"CENTRO INFANTIL MARIA TERESA S C                                                                    "</f>
        <v xml:space="preserve">CENTRO INFANTIL MARIA TERESA S C                                                                    </v>
      </c>
      <c r="D1252" s="26" t="str">
        <f t="shared" si="208"/>
        <v>MATUTINO</v>
      </c>
      <c r="E1252" s="26" t="str">
        <f>"GUERRERO NO 37                                                                  "</f>
        <v xml:space="preserve">GUERRERO NO 37                                                                  </v>
      </c>
      <c r="F1252" s="26" t="str">
        <f>"CUAJIMALPA                                                                                                                                  "</f>
        <v xml:space="preserve">CUAJIMALPA                                                                                                                                  </v>
      </c>
      <c r="G1252" s="26" t="str">
        <f>"CUAJIMALPA DE MORELOS                                                           "</f>
        <v xml:space="preserve">CUAJIMALPA DE MORELOS                                                           </v>
      </c>
      <c r="H1252" s="26" t="str">
        <f>"023"</f>
        <v>023</v>
      </c>
      <c r="I1252" s="26" t="str">
        <f t="shared" si="214"/>
        <v xml:space="preserve">  </v>
      </c>
      <c r="J1252" s="26" t="str">
        <f>"53 "</f>
        <v xml:space="preserve">53 </v>
      </c>
      <c r="K1252" s="26" t="str">
        <f t="shared" si="215"/>
        <v>SG</v>
      </c>
      <c r="L1252" s="26" t="str">
        <f t="shared" si="216"/>
        <v>DGOSE</v>
      </c>
      <c r="M1252" s="26" t="str">
        <f t="shared" si="213"/>
        <v>PARTICULAR</v>
      </c>
      <c r="N1252" s="26">
        <v>58</v>
      </c>
      <c r="O1252" s="26">
        <v>25</v>
      </c>
      <c r="P1252" s="26">
        <v>33</v>
      </c>
      <c r="Q1252" s="26">
        <v>3</v>
      </c>
      <c r="R1252" s="26">
        <v>1</v>
      </c>
      <c r="S1252" s="26">
        <v>13</v>
      </c>
      <c r="T1252" s="26">
        <v>1</v>
      </c>
      <c r="U1252" s="26">
        <v>15</v>
      </c>
      <c r="V1252" s="26">
        <v>1</v>
      </c>
      <c r="W1252" s="26"/>
    </row>
    <row r="1253" spans="1:23" x14ac:dyDescent="0.25">
      <c r="A1253" s="26" t="str">
        <f t="shared" si="207"/>
        <v>SECUNDARIA</v>
      </c>
      <c r="B1253" s="26" t="str">
        <f>"09PES0931X"</f>
        <v>09PES0931X</v>
      </c>
      <c r="C1253" s="26" t="s">
        <v>3997</v>
      </c>
      <c r="D1253" s="26" t="str">
        <f t="shared" si="208"/>
        <v>MATUTINO</v>
      </c>
      <c r="E1253" s="26" t="str">
        <f>"CALZADA DE LA VIGA NO 707                                                       "</f>
        <v xml:space="preserve">CALZADA DE LA VIGA NO 707                                                       </v>
      </c>
      <c r="F1253" s="26" t="str">
        <f>"SAN FRANCISCO XICALTONGO BARRIO                                                                                                             "</f>
        <v xml:space="preserve">SAN FRANCISCO XICALTONGO BARRIO                                                                                                             </v>
      </c>
      <c r="G1253" s="26" t="str">
        <f>"IZTACALCO                                                                       "</f>
        <v xml:space="preserve">IZTACALCO                                                                       </v>
      </c>
      <c r="H1253" s="26" t="str">
        <f>"043"</f>
        <v>043</v>
      </c>
      <c r="I1253" s="26" t="str">
        <f t="shared" si="214"/>
        <v xml:space="preserve">  </v>
      </c>
      <c r="J1253" s="26" t="str">
        <f>"54 "</f>
        <v xml:space="preserve">54 </v>
      </c>
      <c r="K1253" s="26" t="str">
        <f t="shared" si="215"/>
        <v>SG</v>
      </c>
      <c r="L1253" s="26" t="str">
        <f t="shared" si="216"/>
        <v>DGOSE</v>
      </c>
      <c r="M1253" s="26" t="str">
        <f t="shared" si="213"/>
        <v>PARTICULAR</v>
      </c>
      <c r="N1253" s="26">
        <v>52</v>
      </c>
      <c r="O1253" s="26">
        <v>25</v>
      </c>
      <c r="P1253" s="26">
        <v>27</v>
      </c>
      <c r="Q1253" s="26">
        <v>3</v>
      </c>
      <c r="R1253" s="26">
        <v>1</v>
      </c>
      <c r="S1253" s="26">
        <v>8</v>
      </c>
      <c r="T1253" s="26">
        <v>3</v>
      </c>
      <c r="U1253" s="26">
        <v>12</v>
      </c>
      <c r="V1253" s="26">
        <v>1</v>
      </c>
      <c r="W1253" s="26"/>
    </row>
    <row r="1254" spans="1:23" x14ac:dyDescent="0.25">
      <c r="A1254" s="26" t="str">
        <f t="shared" si="207"/>
        <v>SECUNDARIA</v>
      </c>
      <c r="B1254" s="26" t="str">
        <f>"09PES0932W"</f>
        <v>09PES0932W</v>
      </c>
      <c r="C1254" s="26" t="str">
        <f>"""WILLIAM JAMES JUNIOR HIGH SCHOOL""                                                                  "</f>
        <v xml:space="preserve">"WILLIAM JAMES JUNIOR HIGH SCHOOL"                                                                  </v>
      </c>
      <c r="D1254" s="26" t="str">
        <f t="shared" si="208"/>
        <v>MATUTINO</v>
      </c>
      <c r="E1254" s="26" t="str">
        <f>"AVENIDA TAMAULIPAS NO 1190-5                                                    "</f>
        <v xml:space="preserve">AVENIDA TAMAULIPAS NO 1190-5                                                    </v>
      </c>
      <c r="F1254" s="26" t="str">
        <f>"CORPUS CHRISTI                                                                                                                              "</f>
        <v xml:space="preserve">CORPUS CHRISTI                                                                                                                              </v>
      </c>
      <c r="G1254" s="26" t="str">
        <f>"ALVARO OBREGON                                                                  "</f>
        <v xml:space="preserve">ALVARO OBREGON                                                                  </v>
      </c>
      <c r="H1254" s="26" t="str">
        <f>"004"</f>
        <v>004</v>
      </c>
      <c r="I1254" s="26" t="str">
        <f t="shared" si="214"/>
        <v xml:space="preserve">  </v>
      </c>
      <c r="J1254" s="26" t="str">
        <f>"53 "</f>
        <v xml:space="preserve">53 </v>
      </c>
      <c r="K1254" s="26" t="str">
        <f t="shared" si="215"/>
        <v>SG</v>
      </c>
      <c r="L1254" s="26" t="str">
        <f t="shared" si="216"/>
        <v>DGOSE</v>
      </c>
      <c r="M1254" s="26" t="str">
        <f t="shared" si="213"/>
        <v>PARTICULAR</v>
      </c>
      <c r="N1254" s="26">
        <v>133</v>
      </c>
      <c r="O1254" s="26">
        <v>56</v>
      </c>
      <c r="P1254" s="26">
        <v>77</v>
      </c>
      <c r="Q1254" s="26">
        <v>6</v>
      </c>
      <c r="R1254" s="26">
        <v>2</v>
      </c>
      <c r="S1254" s="26">
        <v>12</v>
      </c>
      <c r="T1254" s="26">
        <v>2</v>
      </c>
      <c r="U1254" s="26">
        <v>16</v>
      </c>
      <c r="V1254" s="26">
        <v>1</v>
      </c>
      <c r="W1254" s="26"/>
    </row>
    <row r="1255" spans="1:23" x14ac:dyDescent="0.25">
      <c r="A1255" s="26" t="str">
        <f t="shared" si="207"/>
        <v>SECUNDARIA</v>
      </c>
      <c r="B1255" s="26" t="str">
        <f>"09PES0933V"</f>
        <v>09PES0933V</v>
      </c>
      <c r="C1255" s="26" t="str">
        <f>"""DOLORES OLMEDO PATIÑO""                                                                             "</f>
        <v xml:space="preserve">"DOLORES OLMEDO PATIÑO"                                                                             </v>
      </c>
      <c r="D1255" s="26" t="str">
        <f t="shared" si="208"/>
        <v>MATUTINO</v>
      </c>
      <c r="E1255" s="26" t="str">
        <f>"BORIS GODUNOV NO 133                                                            "</f>
        <v xml:space="preserve">BORIS GODUNOV NO 133                                                            </v>
      </c>
      <c r="F1255" s="26" t="str">
        <f>"LA NOPALERA                                                                                                                                 "</f>
        <v xml:space="preserve">LA NOPALERA                                                                                                                                 </v>
      </c>
      <c r="G1255" s="26" t="str">
        <f>"TLAHUAC                                                                         "</f>
        <v xml:space="preserve">TLAHUAC                                                                         </v>
      </c>
      <c r="H1255" s="26" t="str">
        <f>"068"</f>
        <v>068</v>
      </c>
      <c r="I1255" s="26" t="str">
        <f t="shared" si="214"/>
        <v xml:space="preserve">  </v>
      </c>
      <c r="J1255" s="26" t="str">
        <f>"55 "</f>
        <v xml:space="preserve">55 </v>
      </c>
      <c r="K1255" s="26" t="str">
        <f t="shared" si="215"/>
        <v>SG</v>
      </c>
      <c r="L1255" s="26" t="str">
        <f t="shared" si="216"/>
        <v>DGOSE</v>
      </c>
      <c r="M1255" s="26" t="str">
        <f t="shared" si="213"/>
        <v>PARTICULAR</v>
      </c>
      <c r="N1255" s="26">
        <v>163</v>
      </c>
      <c r="O1255" s="26">
        <v>87</v>
      </c>
      <c r="P1255" s="26">
        <v>76</v>
      </c>
      <c r="Q1255" s="26">
        <v>6</v>
      </c>
      <c r="R1255" s="26">
        <v>2</v>
      </c>
      <c r="S1255" s="26">
        <v>21</v>
      </c>
      <c r="T1255" s="26">
        <v>0</v>
      </c>
      <c r="U1255" s="26">
        <v>23</v>
      </c>
      <c r="V1255" s="26">
        <v>1</v>
      </c>
      <c r="W1255" s="26"/>
    </row>
    <row r="1256" spans="1:23" x14ac:dyDescent="0.25">
      <c r="A1256" s="26" t="str">
        <f t="shared" si="207"/>
        <v>SECUNDARIA</v>
      </c>
      <c r="B1256" s="26" t="str">
        <f>"09PES0935T"</f>
        <v>09PES0935T</v>
      </c>
      <c r="C1256" s="26" t="str">
        <f>"COLEGIO YUME                                                                                        "</f>
        <v xml:space="preserve">COLEGIO YUME                                                                                        </v>
      </c>
      <c r="D1256" s="26" t="str">
        <f t="shared" si="208"/>
        <v>MATUTINO</v>
      </c>
      <c r="E1256" s="26" t="str">
        <f>"RAMON LOPEZ VELARDE NO. 220                                                     "</f>
        <v xml:space="preserve">RAMON LOPEZ VELARDE NO. 220                                                     </v>
      </c>
      <c r="F1256" s="26" t="str">
        <f>"LOS ANGELES                                                                                                                                 "</f>
        <v xml:space="preserve">LOS ANGELES                                                                                                                                 </v>
      </c>
      <c r="G1256" s="26" t="str">
        <f>"IZTAPALAPA                                                                      "</f>
        <v xml:space="preserve">IZTAPALAPA                                                                      </v>
      </c>
      <c r="H1256" s="26" t="str">
        <f>"000"</f>
        <v>000</v>
      </c>
      <c r="I1256" s="26" t="str">
        <f t="shared" si="214"/>
        <v xml:space="preserve">  </v>
      </c>
      <c r="J1256" s="26" t="str">
        <f>"63 "</f>
        <v xml:space="preserve">63 </v>
      </c>
      <c r="K1256" s="26" t="str">
        <f>"IZ"</f>
        <v>IZ</v>
      </c>
      <c r="L1256" s="26" t="str">
        <f>"DGSEI"</f>
        <v>DGSEI</v>
      </c>
      <c r="M1256" s="26" t="str">
        <f t="shared" si="213"/>
        <v>PARTICULAR</v>
      </c>
      <c r="N1256" s="26">
        <v>31</v>
      </c>
      <c r="O1256" s="26">
        <v>19</v>
      </c>
      <c r="P1256" s="26">
        <v>12</v>
      </c>
      <c r="Q1256" s="26">
        <v>3</v>
      </c>
      <c r="R1256" s="26">
        <v>1</v>
      </c>
      <c r="S1256" s="26">
        <v>10</v>
      </c>
      <c r="T1256" s="26">
        <v>0</v>
      </c>
      <c r="U1256" s="26">
        <v>11</v>
      </c>
      <c r="V1256" s="26">
        <v>1</v>
      </c>
      <c r="W1256" s="26"/>
    </row>
    <row r="1257" spans="1:23" x14ac:dyDescent="0.25">
      <c r="A1257" s="26" t="str">
        <f t="shared" si="207"/>
        <v>SECUNDARIA</v>
      </c>
      <c r="B1257" s="26" t="str">
        <f>"09PES0936S"</f>
        <v>09PES0936S</v>
      </c>
      <c r="C1257" s="26" t="str">
        <f>"SECUNDARIA VESPERTINA CEDROS DE ALTO RENDIMIENTO                                                    "</f>
        <v xml:space="preserve">SECUNDARIA VESPERTINA CEDROS DE ALTO RENDIMIENTO                                                    </v>
      </c>
      <c r="D1257" s="26" t="str">
        <f>"VESPERTINO"</f>
        <v>VESPERTINO</v>
      </c>
      <c r="E1257" s="26" t="str">
        <f>"TECOYOTITLA NO 364                                                              "</f>
        <v xml:space="preserve">TECOYOTITLA NO 364                                                              </v>
      </c>
      <c r="F1257" s="26" t="str">
        <f>"HACIENDA DE GUADALUPE CHIMALISTAC                                                                                                           "</f>
        <v xml:space="preserve">HACIENDA DE GUADALUPE CHIMALISTAC                                                                                                           </v>
      </c>
      <c r="G1257" s="26" t="str">
        <f>"ALVARO OBREGON                                                                  "</f>
        <v xml:space="preserve">ALVARO OBREGON                                                                  </v>
      </c>
      <c r="H1257" s="26" t="str">
        <f>"002"</f>
        <v>002</v>
      </c>
      <c r="I1257" s="26" t="str">
        <f t="shared" si="214"/>
        <v xml:space="preserve">  </v>
      </c>
      <c r="J1257" s="26" t="str">
        <f>"53 "</f>
        <v xml:space="preserve">53 </v>
      </c>
      <c r="K1257" s="26" t="str">
        <f t="shared" ref="K1257:K1264" si="217">"SG"</f>
        <v>SG</v>
      </c>
      <c r="L1257" s="26" t="str">
        <f t="shared" ref="L1257:L1264" si="218">"DGOSE"</f>
        <v>DGOSE</v>
      </c>
      <c r="M1257" s="26" t="str">
        <f t="shared" si="213"/>
        <v>PARTICULAR</v>
      </c>
      <c r="N1257" s="26">
        <v>83</v>
      </c>
      <c r="O1257" s="26">
        <v>83</v>
      </c>
      <c r="P1257" s="26">
        <v>0</v>
      </c>
      <c r="Q1257" s="26">
        <v>3</v>
      </c>
      <c r="R1257" s="26">
        <v>2</v>
      </c>
      <c r="S1257" s="26">
        <v>14</v>
      </c>
      <c r="T1257" s="26">
        <v>1</v>
      </c>
      <c r="U1257" s="26">
        <v>17</v>
      </c>
      <c r="V1257" s="26">
        <v>1</v>
      </c>
      <c r="W1257" s="26"/>
    </row>
    <row r="1258" spans="1:23" x14ac:dyDescent="0.25">
      <c r="A1258" s="26" t="str">
        <f t="shared" si="207"/>
        <v>SECUNDARIA</v>
      </c>
      <c r="B1258" s="26" t="str">
        <f>"09PES0937R"</f>
        <v>09PES0937R</v>
      </c>
      <c r="C1258" s="26" t="str">
        <f>"""WINPENNY SCHOOL""                                                                                   "</f>
        <v xml:space="preserve">"WINPENNY SCHOOL"                                                                                   </v>
      </c>
      <c r="D1258" s="26" t="str">
        <f>"MATUTINO"</f>
        <v>MATUTINO</v>
      </c>
      <c r="E1258" s="26" t="str">
        <f>"JOSE MARIA CASTORENA NO 318                                                     "</f>
        <v xml:space="preserve">JOSE MARIA CASTORENA NO 318                                                     </v>
      </c>
      <c r="F1258" s="26" t="str">
        <f>"CUAJIMALPA                                                                                                                                  "</f>
        <v xml:space="preserve">CUAJIMALPA                                                                                                                                  </v>
      </c>
      <c r="G1258" s="26" t="str">
        <f>"CUAJIMALPA DE MORELOS                                                           "</f>
        <v xml:space="preserve">CUAJIMALPA DE MORELOS                                                           </v>
      </c>
      <c r="H1258" s="26" t="str">
        <f>"023"</f>
        <v>023</v>
      </c>
      <c r="I1258" s="26" t="str">
        <f t="shared" si="214"/>
        <v xml:space="preserve">  </v>
      </c>
      <c r="J1258" s="26" t="str">
        <f>"53 "</f>
        <v xml:space="preserve">53 </v>
      </c>
      <c r="K1258" s="26" t="str">
        <f t="shared" si="217"/>
        <v>SG</v>
      </c>
      <c r="L1258" s="26" t="str">
        <f t="shared" si="218"/>
        <v>DGOSE</v>
      </c>
      <c r="M1258" s="26" t="str">
        <f t="shared" si="213"/>
        <v>PARTICULAR</v>
      </c>
      <c r="N1258" s="26">
        <v>57</v>
      </c>
      <c r="O1258" s="26">
        <v>33</v>
      </c>
      <c r="P1258" s="26">
        <v>24</v>
      </c>
      <c r="Q1258" s="26">
        <v>3</v>
      </c>
      <c r="R1258" s="26">
        <v>2</v>
      </c>
      <c r="S1258" s="26">
        <v>8</v>
      </c>
      <c r="T1258" s="26">
        <v>3</v>
      </c>
      <c r="U1258" s="26">
        <v>13</v>
      </c>
      <c r="V1258" s="26">
        <v>1</v>
      </c>
      <c r="W1258" s="26"/>
    </row>
    <row r="1259" spans="1:23" x14ac:dyDescent="0.25">
      <c r="A1259" s="26" t="str">
        <f t="shared" si="207"/>
        <v>SECUNDARIA</v>
      </c>
      <c r="B1259" s="26" t="str">
        <f>"09PES0938Q"</f>
        <v>09PES0938Q</v>
      </c>
      <c r="C1259" s="26" t="str">
        <f>"""INSTITUTO LAS AGUILAS""                                                                             "</f>
        <v xml:space="preserve">"INSTITUTO LAS AGUILAS"                                                                             </v>
      </c>
      <c r="D1259" s="26" t="str">
        <f>"MATUTINO"</f>
        <v>MATUTINO</v>
      </c>
      <c r="E1259" s="26" t="str">
        <f>"PLEAMARES NO 16                                                                 "</f>
        <v xml:space="preserve">PLEAMARES NO 16                                                                 </v>
      </c>
      <c r="F1259" s="26" t="str">
        <f>"LAS AGUILAS                                                                                                                                 "</f>
        <v xml:space="preserve">LAS AGUILAS                                                                                                                                 </v>
      </c>
      <c r="G1259" s="26" t="str">
        <f>"ALVARO OBREGON                                                                  "</f>
        <v xml:space="preserve">ALVARO OBREGON                                                                  </v>
      </c>
      <c r="H1259" s="26" t="str">
        <f>"005"</f>
        <v>005</v>
      </c>
      <c r="I1259" s="26" t="str">
        <f t="shared" si="214"/>
        <v xml:space="preserve">  </v>
      </c>
      <c r="J1259" s="26" t="str">
        <f>"53 "</f>
        <v xml:space="preserve">53 </v>
      </c>
      <c r="K1259" s="26" t="str">
        <f t="shared" si="217"/>
        <v>SG</v>
      </c>
      <c r="L1259" s="26" t="str">
        <f t="shared" si="218"/>
        <v>DGOSE</v>
      </c>
      <c r="M1259" s="26" t="str">
        <f t="shared" si="213"/>
        <v>PARTICULAR</v>
      </c>
      <c r="N1259" s="26">
        <v>39</v>
      </c>
      <c r="O1259" s="26">
        <v>21</v>
      </c>
      <c r="P1259" s="26">
        <v>18</v>
      </c>
      <c r="Q1259" s="26">
        <v>3</v>
      </c>
      <c r="R1259" s="26">
        <v>1</v>
      </c>
      <c r="S1259" s="26">
        <v>12</v>
      </c>
      <c r="T1259" s="26">
        <v>0</v>
      </c>
      <c r="U1259" s="26">
        <v>13</v>
      </c>
      <c r="V1259" s="26">
        <v>1</v>
      </c>
      <c r="W1259" s="26"/>
    </row>
    <row r="1260" spans="1:23" x14ac:dyDescent="0.25">
      <c r="A1260" s="26" t="str">
        <f t="shared" si="207"/>
        <v>SECUNDARIA</v>
      </c>
      <c r="B1260" s="26" t="str">
        <f>"09PES0939P"</f>
        <v>09PES0939P</v>
      </c>
      <c r="C1260" s="26" t="str">
        <f>"""COLEGIO ESENI DE MEXICO""                                                                           "</f>
        <v xml:space="preserve">"COLEGIO ESENI DE MEXICO"                                                                           </v>
      </c>
      <c r="D1260" s="26" t="str">
        <f>"MATUTINO"</f>
        <v>MATUTINO</v>
      </c>
      <c r="E1260" s="26" t="str">
        <f>"CALZADA DE TLALPAN NO 817                                                       "</f>
        <v xml:space="preserve">CALZADA DE TLALPAN NO 817                                                       </v>
      </c>
      <c r="F1260" s="26" t="str">
        <f>"POSTAL                                                                                                                                      "</f>
        <v xml:space="preserve">POSTAL                                                                                                                                      </v>
      </c>
      <c r="G1260" s="26" t="str">
        <f>"BENITO JUAREZ                                                                   "</f>
        <v xml:space="preserve">BENITO JUAREZ                                                                   </v>
      </c>
      <c r="H1260" s="26" t="str">
        <f>"013"</f>
        <v>013</v>
      </c>
      <c r="I1260" s="26" t="str">
        <f t="shared" si="214"/>
        <v xml:space="preserve">  </v>
      </c>
      <c r="J1260" s="26" t="str">
        <f>"53 "</f>
        <v xml:space="preserve">53 </v>
      </c>
      <c r="K1260" s="26" t="str">
        <f t="shared" si="217"/>
        <v>SG</v>
      </c>
      <c r="L1260" s="26" t="str">
        <f t="shared" si="218"/>
        <v>DGOSE</v>
      </c>
      <c r="M1260" s="26" t="str">
        <f t="shared" si="213"/>
        <v>PARTICULAR</v>
      </c>
      <c r="N1260" s="26">
        <v>47</v>
      </c>
      <c r="O1260" s="26">
        <v>24</v>
      </c>
      <c r="P1260" s="26">
        <v>23</v>
      </c>
      <c r="Q1260" s="26">
        <v>3</v>
      </c>
      <c r="R1260" s="26">
        <v>1</v>
      </c>
      <c r="S1260" s="26">
        <v>10</v>
      </c>
      <c r="T1260" s="26">
        <v>1</v>
      </c>
      <c r="U1260" s="26">
        <v>12</v>
      </c>
      <c r="V1260" s="26">
        <v>1</v>
      </c>
      <c r="W1260" s="26"/>
    </row>
    <row r="1261" spans="1:23" x14ac:dyDescent="0.25">
      <c r="A1261" s="26" t="str">
        <f t="shared" si="207"/>
        <v>SECUNDARIA</v>
      </c>
      <c r="B1261" s="26" t="str">
        <f>"09PES0940E"</f>
        <v>09PES0940E</v>
      </c>
      <c r="C1261" s="26" t="str">
        <f>"""NUEVA RAZA""                                                                                        "</f>
        <v xml:space="preserve">"NUEVA RAZA"                                                                                        </v>
      </c>
      <c r="D1261" s="26" t="str">
        <f>"VESPERTINO"</f>
        <v>VESPERTINO</v>
      </c>
      <c r="E1261" s="26" t="str">
        <f>"CHIHUAHUA 57                                                                    "</f>
        <v xml:space="preserve">CHIHUAHUA 57                                                                    </v>
      </c>
      <c r="F1261" s="26" t="str">
        <f>"SANTA TERESA                                                                                                                                "</f>
        <v xml:space="preserve">SANTA TERESA                                                                                                                                </v>
      </c>
      <c r="G1261" s="26" t="str">
        <f>"LA MAGDALENA CONTRERAS                                                          "</f>
        <v xml:space="preserve">LA MAGDALENA CONTRERAS                                                          </v>
      </c>
      <c r="H1261" s="26" t="str">
        <f>"048"</f>
        <v>048</v>
      </c>
      <c r="I1261" s="26" t="str">
        <f>"00"</f>
        <v>00</v>
      </c>
      <c r="J1261" s="26" t="str">
        <f>"53 "</f>
        <v xml:space="preserve">53 </v>
      </c>
      <c r="K1261" s="26" t="str">
        <f t="shared" si="217"/>
        <v>SG</v>
      </c>
      <c r="L1261" s="26" t="str">
        <f t="shared" si="218"/>
        <v>DGOSE</v>
      </c>
      <c r="M1261" s="26" t="str">
        <f t="shared" si="213"/>
        <v>PARTICULAR</v>
      </c>
      <c r="N1261" s="26">
        <v>35</v>
      </c>
      <c r="O1261" s="26">
        <v>7</v>
      </c>
      <c r="P1261" s="26">
        <v>28</v>
      </c>
      <c r="Q1261" s="26">
        <v>3</v>
      </c>
      <c r="R1261" s="26">
        <v>2</v>
      </c>
      <c r="S1261" s="26">
        <v>10</v>
      </c>
      <c r="T1261" s="26">
        <v>0</v>
      </c>
      <c r="U1261" s="26">
        <v>12</v>
      </c>
      <c r="V1261" s="26">
        <v>1</v>
      </c>
      <c r="W1261" s="26"/>
    </row>
    <row r="1262" spans="1:23" x14ac:dyDescent="0.25">
      <c r="A1262" s="26" t="str">
        <f t="shared" si="207"/>
        <v>SECUNDARIA</v>
      </c>
      <c r="B1262" s="26" t="str">
        <f>"09PES0941D"</f>
        <v>09PES0941D</v>
      </c>
      <c r="C1262" s="26" t="str">
        <f>"""COLEGIO ALEMAN ALEXANDER VON HUMBOLDT""                                                             "</f>
        <v xml:space="preserve">"COLEGIO ALEMAN ALEXANDER VON HUMBOLDT"                                                             </v>
      </c>
      <c r="D1262" s="26" t="str">
        <f t="shared" ref="D1262:D1305" si="219">"MATUTINO"</f>
        <v>MATUTINO</v>
      </c>
      <c r="E1262" s="26" t="str">
        <f>"AV MEXICO NO 5501                                                               "</f>
        <v xml:space="preserve">AV MEXICO NO 5501                                                               </v>
      </c>
      <c r="F1262" s="26" t="str">
        <f>"HUICHAPAN                                                                                                                                   "</f>
        <v xml:space="preserve">HUICHAPAN                                                                                                                                   </v>
      </c>
      <c r="G1262" s="26" t="str">
        <f>"XOCHIMILCO                                                                      "</f>
        <v xml:space="preserve">XOCHIMILCO                                                                      </v>
      </c>
      <c r="H1262" s="26" t="str">
        <f>"080"</f>
        <v>080</v>
      </c>
      <c r="I1262" s="26" t="str">
        <f>"00"</f>
        <v>00</v>
      </c>
      <c r="J1262" s="26" t="str">
        <f>"55 "</f>
        <v xml:space="preserve">55 </v>
      </c>
      <c r="K1262" s="26" t="str">
        <f t="shared" si="217"/>
        <v>SG</v>
      </c>
      <c r="L1262" s="26" t="str">
        <f t="shared" si="218"/>
        <v>DGOSE</v>
      </c>
      <c r="M1262" s="26" t="str">
        <f t="shared" si="213"/>
        <v>PARTICULAR</v>
      </c>
      <c r="N1262" s="26">
        <v>263</v>
      </c>
      <c r="O1262" s="26">
        <v>135</v>
      </c>
      <c r="P1262" s="26">
        <v>128</v>
      </c>
      <c r="Q1262" s="26">
        <v>12</v>
      </c>
      <c r="R1262" s="26">
        <v>2</v>
      </c>
      <c r="S1262" s="26">
        <v>32</v>
      </c>
      <c r="T1262" s="26">
        <v>1</v>
      </c>
      <c r="U1262" s="26">
        <v>35</v>
      </c>
      <c r="V1262" s="26">
        <v>1</v>
      </c>
      <c r="W1262" s="26"/>
    </row>
    <row r="1263" spans="1:23" x14ac:dyDescent="0.25">
      <c r="A1263" s="26" t="str">
        <f t="shared" si="207"/>
        <v>SECUNDARIA</v>
      </c>
      <c r="B1263" s="26" t="str">
        <f>"09PES0942C"</f>
        <v>09PES0942C</v>
      </c>
      <c r="C1263" s="26" t="str">
        <f>"""INSTITUTO CUMBRES BOSQUES SECUNDARIA""                                                              "</f>
        <v xml:space="preserve">"INSTITUTO CUMBRES BOSQUES SECUNDARIA"                                                              </v>
      </c>
      <c r="D1263" s="26" t="str">
        <f t="shared" si="219"/>
        <v>MATUTINO</v>
      </c>
      <c r="E1263" s="26" t="str">
        <f>"AV PASEO DE LOS AHUEHUETES NORTE NO 1251                                        "</f>
        <v xml:space="preserve">AV PASEO DE LOS AHUEHUETES NORTE NO 1251                                        </v>
      </c>
      <c r="F1263" s="26" t="str">
        <f>"BOSQUES DE LAS LOMAS                                                                                                                        "</f>
        <v xml:space="preserve">BOSQUES DE LAS LOMAS                                                                                                                        </v>
      </c>
      <c r="G1263" s="26" t="str">
        <f>"CUAJIMALPA DE MORELOS                                                           "</f>
        <v xml:space="preserve">CUAJIMALPA DE MORELOS                                                           </v>
      </c>
      <c r="H1263" s="26" t="str">
        <f>"023"</f>
        <v>023</v>
      </c>
      <c r="I1263" s="26" t="str">
        <f>"  "</f>
        <v xml:space="preserve">  </v>
      </c>
      <c r="J1263" s="26" t="str">
        <f>"53 "</f>
        <v xml:space="preserve">53 </v>
      </c>
      <c r="K1263" s="26" t="str">
        <f t="shared" si="217"/>
        <v>SG</v>
      </c>
      <c r="L1263" s="26" t="str">
        <f t="shared" si="218"/>
        <v>DGOSE</v>
      </c>
      <c r="M1263" s="26" t="str">
        <f t="shared" si="213"/>
        <v>PARTICULAR</v>
      </c>
      <c r="N1263" s="26">
        <v>105</v>
      </c>
      <c r="O1263" s="26">
        <v>105</v>
      </c>
      <c r="P1263" s="26">
        <v>0</v>
      </c>
      <c r="Q1263" s="26">
        <v>6</v>
      </c>
      <c r="R1263" s="26">
        <v>2</v>
      </c>
      <c r="S1263" s="26">
        <v>11</v>
      </c>
      <c r="T1263" s="26">
        <v>2</v>
      </c>
      <c r="U1263" s="26">
        <v>15</v>
      </c>
      <c r="V1263" s="26">
        <v>1</v>
      </c>
      <c r="W1263" s="26"/>
    </row>
    <row r="1264" spans="1:23" x14ac:dyDescent="0.25">
      <c r="A1264" s="26" t="str">
        <f t="shared" si="207"/>
        <v>SECUNDARIA</v>
      </c>
      <c r="B1264" s="26" t="str">
        <f>"09PES0943B"</f>
        <v>09PES0943B</v>
      </c>
      <c r="C1264" s="26" t="str">
        <f>"""INSTITUTO SUCRE S.C.""                                                                              "</f>
        <v xml:space="preserve">"INSTITUTO SUCRE S.C."                                                                              </v>
      </c>
      <c r="D1264" s="26" t="str">
        <f t="shared" si="219"/>
        <v>MATUTINO</v>
      </c>
      <c r="E1264" s="26" t="str">
        <f>"CALZADA TAXQUEÑA NO 1768                                                        "</f>
        <v xml:space="preserve">CALZADA TAXQUEÑA NO 1768                                                        </v>
      </c>
      <c r="F1264" s="26" t="str">
        <f>"PASEOS DE TAXQUEÑA                                                                                                                          "</f>
        <v xml:space="preserve">PASEOS DE TAXQUEÑA                                                                                                                          </v>
      </c>
      <c r="G1264" s="26" t="str">
        <f>"COYOACAN                                                                        "</f>
        <v xml:space="preserve">COYOACAN                                                                        </v>
      </c>
      <c r="H1264" s="26" t="str">
        <f>"019"</f>
        <v>019</v>
      </c>
      <c r="I1264" s="26" t="str">
        <f>"  "</f>
        <v xml:space="preserve">  </v>
      </c>
      <c r="J1264" s="26" t="str">
        <f>"54 "</f>
        <v xml:space="preserve">54 </v>
      </c>
      <c r="K1264" s="26" t="str">
        <f t="shared" si="217"/>
        <v>SG</v>
      </c>
      <c r="L1264" s="26" t="str">
        <f t="shared" si="218"/>
        <v>DGOSE</v>
      </c>
      <c r="M1264" s="26" t="str">
        <f t="shared" si="213"/>
        <v>PARTICULAR</v>
      </c>
      <c r="N1264" s="26">
        <v>85</v>
      </c>
      <c r="O1264" s="26">
        <v>41</v>
      </c>
      <c r="P1264" s="26">
        <v>44</v>
      </c>
      <c r="Q1264" s="26">
        <v>5</v>
      </c>
      <c r="R1264" s="26">
        <v>2</v>
      </c>
      <c r="S1264" s="26">
        <v>11</v>
      </c>
      <c r="T1264" s="26">
        <v>3</v>
      </c>
      <c r="U1264" s="26">
        <v>16</v>
      </c>
      <c r="V1264" s="26">
        <v>1</v>
      </c>
      <c r="W1264" s="26"/>
    </row>
    <row r="1265" spans="1:23" x14ac:dyDescent="0.25">
      <c r="A1265" s="26" t="str">
        <f t="shared" si="207"/>
        <v>SECUNDARIA</v>
      </c>
      <c r="B1265" s="26" t="str">
        <f>"09PES0945Z"</f>
        <v>09PES0945Z</v>
      </c>
      <c r="C1265" s="26" t="str">
        <f>"INSTITUTO PEDAGOGICO HORACIO ZUÑIGA                                                                 "</f>
        <v xml:space="preserve">INSTITUTO PEDAGOGICO HORACIO ZUÑIGA                                                                 </v>
      </c>
      <c r="D1265" s="26" t="str">
        <f t="shared" si="219"/>
        <v>MATUTINO</v>
      </c>
      <c r="E1265" s="26" t="s">
        <v>4131</v>
      </c>
      <c r="F1265" s="26" t="str">
        <f>"SANTA MARTHA ACATITLA                                                                                                                       "</f>
        <v xml:space="preserve">SANTA MARTHA ACATITLA                                                                                                                       </v>
      </c>
      <c r="G1265" s="26" t="str">
        <f>"IZTAPALAPA                                                                      "</f>
        <v xml:space="preserve">IZTAPALAPA                                                                      </v>
      </c>
      <c r="H1265" s="26" t="str">
        <f>"000"</f>
        <v>000</v>
      </c>
      <c r="I1265" s="26" t="str">
        <f>"  "</f>
        <v xml:space="preserve">  </v>
      </c>
      <c r="J1265" s="26" t="str">
        <f>"62 "</f>
        <v xml:space="preserve">62 </v>
      </c>
      <c r="K1265" s="26" t="str">
        <f>"IZ"</f>
        <v>IZ</v>
      </c>
      <c r="L1265" s="26" t="str">
        <f>"DGSEI"</f>
        <v>DGSEI</v>
      </c>
      <c r="M1265" s="26" t="str">
        <f t="shared" si="213"/>
        <v>PARTICULAR</v>
      </c>
      <c r="N1265" s="26">
        <v>319</v>
      </c>
      <c r="O1265" s="26">
        <v>166</v>
      </c>
      <c r="P1265" s="26">
        <v>153</v>
      </c>
      <c r="Q1265" s="26">
        <v>11</v>
      </c>
      <c r="R1265" s="26">
        <v>1</v>
      </c>
      <c r="S1265" s="26">
        <v>21</v>
      </c>
      <c r="T1265" s="26">
        <v>10</v>
      </c>
      <c r="U1265" s="26">
        <v>32</v>
      </c>
      <c r="V1265" s="26">
        <v>1</v>
      </c>
      <c r="W1265" s="26"/>
    </row>
    <row r="1266" spans="1:23" x14ac:dyDescent="0.25">
      <c r="A1266" s="26" t="str">
        <f t="shared" si="207"/>
        <v>SECUNDARIA</v>
      </c>
      <c r="B1266" s="26" t="str">
        <f>"09PES0946Z"</f>
        <v>09PES0946Z</v>
      </c>
      <c r="C1266" s="26" t="str">
        <f>"CANDAS AMERICANO                                                                                    "</f>
        <v xml:space="preserve">CANDAS AMERICANO                                                                                    </v>
      </c>
      <c r="D1266" s="26" t="str">
        <f t="shared" si="219"/>
        <v>MATUTINO</v>
      </c>
      <c r="E1266" s="26" t="str">
        <f>"JOSAFAT R. MARQUEZ No. 116                                                      "</f>
        <v xml:space="preserve">JOSAFAT R. MARQUEZ No. 116                                                      </v>
      </c>
      <c r="F1266" s="26" t="str">
        <f>"COLONIAL IZTAPALAPA                                                                                                                         "</f>
        <v xml:space="preserve">COLONIAL IZTAPALAPA                                                                                                                         </v>
      </c>
      <c r="G1266" s="26" t="str">
        <f>"IZTAPALAPA                                                                      "</f>
        <v xml:space="preserve">IZTAPALAPA                                                                      </v>
      </c>
      <c r="H1266" s="26" t="str">
        <f>"000"</f>
        <v>000</v>
      </c>
      <c r="I1266" s="26" t="str">
        <f>"  "</f>
        <v xml:space="preserve">  </v>
      </c>
      <c r="J1266" s="26" t="str">
        <f>"64 "</f>
        <v xml:space="preserve">64 </v>
      </c>
      <c r="K1266" s="26" t="str">
        <f>"IZ"</f>
        <v>IZ</v>
      </c>
      <c r="L1266" s="26" t="str">
        <f>"DGSEI"</f>
        <v>DGSEI</v>
      </c>
      <c r="M1266" s="26" t="str">
        <f t="shared" si="213"/>
        <v>PARTICULAR</v>
      </c>
      <c r="N1266" s="26">
        <v>18</v>
      </c>
      <c r="O1266" s="26">
        <v>8</v>
      </c>
      <c r="P1266" s="26">
        <v>10</v>
      </c>
      <c r="Q1266" s="26">
        <v>3</v>
      </c>
      <c r="R1266" s="26">
        <v>1</v>
      </c>
      <c r="S1266" s="26">
        <v>17</v>
      </c>
      <c r="T1266" s="26">
        <v>1</v>
      </c>
      <c r="U1266" s="26">
        <v>19</v>
      </c>
      <c r="V1266" s="26">
        <v>1</v>
      </c>
      <c r="W1266" s="26"/>
    </row>
    <row r="1267" spans="1:23" x14ac:dyDescent="0.25">
      <c r="A1267" s="26" t="str">
        <f t="shared" si="207"/>
        <v>SECUNDARIA</v>
      </c>
      <c r="B1267" s="26" t="str">
        <f>"09PES0947Y"</f>
        <v>09PES0947Y</v>
      </c>
      <c r="C1267" s="26" t="str">
        <f>"""COLEGIO HAMPTON""                                                                                   "</f>
        <v xml:space="preserve">"COLEGIO HAMPTON"                                                                                   </v>
      </c>
      <c r="D1267" s="26" t="str">
        <f t="shared" si="219"/>
        <v>MATUTINO</v>
      </c>
      <c r="E1267" s="26" t="str">
        <f>"JESUS GALINDO Y VILLA NO 205                                                    "</f>
        <v xml:space="preserve">JESUS GALINDO Y VILLA NO 205                                                    </v>
      </c>
      <c r="F1267" s="26" t="str">
        <f>"JARDIN BALBUENA                                                                                                                             "</f>
        <v xml:space="preserve">JARDIN BALBUENA                                                                                                                             </v>
      </c>
      <c r="G1267" s="26" t="str">
        <f>"VENUSTIANO CARRANZA                                                             "</f>
        <v xml:space="preserve">VENUSTIANO CARRANZA                                                             </v>
      </c>
      <c r="H1267" s="26" t="str">
        <f>"087"</f>
        <v>087</v>
      </c>
      <c r="I1267" s="26" t="str">
        <f>"00"</f>
        <v>00</v>
      </c>
      <c r="J1267" s="26" t="str">
        <f>"54 "</f>
        <v xml:space="preserve">54 </v>
      </c>
      <c r="K1267" s="26" t="str">
        <f t="shared" ref="K1267:K1292" si="220">"SG"</f>
        <v>SG</v>
      </c>
      <c r="L1267" s="26" t="str">
        <f t="shared" ref="L1267:L1292" si="221">"DGOSE"</f>
        <v>DGOSE</v>
      </c>
      <c r="M1267" s="26" t="str">
        <f t="shared" si="213"/>
        <v>PARTICULAR</v>
      </c>
      <c r="N1267" s="26">
        <v>132</v>
      </c>
      <c r="O1267" s="26">
        <v>66</v>
      </c>
      <c r="P1267" s="26">
        <v>66</v>
      </c>
      <c r="Q1267" s="26">
        <v>7</v>
      </c>
      <c r="R1267" s="26">
        <v>1</v>
      </c>
      <c r="S1267" s="26">
        <v>16</v>
      </c>
      <c r="T1267" s="26">
        <v>1</v>
      </c>
      <c r="U1267" s="26">
        <v>18</v>
      </c>
      <c r="V1267" s="26">
        <v>1</v>
      </c>
      <c r="W1267" s="26"/>
    </row>
    <row r="1268" spans="1:23" x14ac:dyDescent="0.25">
      <c r="A1268" s="26" t="str">
        <f t="shared" si="207"/>
        <v>SECUNDARIA</v>
      </c>
      <c r="B1268" s="26" t="str">
        <f>"09PES0948X"</f>
        <v>09PES0948X</v>
      </c>
      <c r="C1268" s="26" t="str">
        <f>"INSTITUT FRANCAIS IMKA                                                                              "</f>
        <v xml:space="preserve">INSTITUT FRANCAIS IMKA                                                                              </v>
      </c>
      <c r="D1268" s="26" t="str">
        <f t="shared" si="219"/>
        <v>MATUTINO</v>
      </c>
      <c r="E1268" s="26" t="str">
        <f>"MUCIO CLEMENTETI NO 17                                                          "</f>
        <v xml:space="preserve">MUCIO CLEMENTETI NO 17                                                          </v>
      </c>
      <c r="F1268" s="26" t="str">
        <f>"LA NOPALERA                                                                                                                                 "</f>
        <v xml:space="preserve">LA NOPALERA                                                                                                                                 </v>
      </c>
      <c r="G1268" s="26" t="str">
        <f>"TLAHUAC                                                                         "</f>
        <v xml:space="preserve">TLAHUAC                                                                         </v>
      </c>
      <c r="H1268" s="26" t="str">
        <f>"066"</f>
        <v>066</v>
      </c>
      <c r="I1268" s="26" t="str">
        <f>"00"</f>
        <v>00</v>
      </c>
      <c r="J1268" s="26" t="str">
        <f>"55 "</f>
        <v xml:space="preserve">55 </v>
      </c>
      <c r="K1268" s="26" t="str">
        <f t="shared" si="220"/>
        <v>SG</v>
      </c>
      <c r="L1268" s="26" t="str">
        <f t="shared" si="221"/>
        <v>DGOSE</v>
      </c>
      <c r="M1268" s="26" t="str">
        <f t="shared" si="213"/>
        <v>PARTICULAR</v>
      </c>
      <c r="N1268" s="26">
        <v>69</v>
      </c>
      <c r="O1268" s="26">
        <v>31</v>
      </c>
      <c r="P1268" s="26">
        <v>38</v>
      </c>
      <c r="Q1268" s="26">
        <v>3</v>
      </c>
      <c r="R1268" s="26">
        <v>1</v>
      </c>
      <c r="S1268" s="26">
        <v>9</v>
      </c>
      <c r="T1268" s="26">
        <v>2</v>
      </c>
      <c r="U1268" s="26">
        <v>12</v>
      </c>
      <c r="V1268" s="26">
        <v>1</v>
      </c>
      <c r="W1268" s="26"/>
    </row>
    <row r="1269" spans="1:23" x14ac:dyDescent="0.25">
      <c r="A1269" s="26" t="str">
        <f t="shared" si="207"/>
        <v>SECUNDARIA</v>
      </c>
      <c r="B1269" s="26" t="str">
        <f>"09PES0949W"</f>
        <v>09PES0949W</v>
      </c>
      <c r="C1269" s="26" t="str">
        <f>"MODERNO CULTURAL HISPANO AMERICANO                                                                  "</f>
        <v xml:space="preserve">MODERNO CULTURAL HISPANO AMERICANO                                                                  </v>
      </c>
      <c r="D1269" s="26" t="str">
        <f t="shared" si="219"/>
        <v>MATUTINO</v>
      </c>
      <c r="E1269" s="26" t="str">
        <f>"AVENIDA ACOXPA NO 940                                                           "</f>
        <v xml:space="preserve">AVENIDA ACOXPA NO 940                                                           </v>
      </c>
      <c r="F1269" s="26" t="str">
        <f>"RESIDENCIAL VILLA COAPA                                                                                                                     "</f>
        <v xml:space="preserve">RESIDENCIAL VILLA COAPA                                                                                                                     </v>
      </c>
      <c r="G1269" s="26" t="str">
        <f>"TLALPAN                                                                         "</f>
        <v xml:space="preserve">TLALPAN                                                                         </v>
      </c>
      <c r="H1269" s="26" t="str">
        <f>"070"</f>
        <v>070</v>
      </c>
      <c r="I1269" s="26" t="str">
        <f>"00"</f>
        <v>00</v>
      </c>
      <c r="J1269" s="26" t="str">
        <f>"55 "</f>
        <v xml:space="preserve">55 </v>
      </c>
      <c r="K1269" s="26" t="str">
        <f t="shared" si="220"/>
        <v>SG</v>
      </c>
      <c r="L1269" s="26" t="str">
        <f t="shared" si="221"/>
        <v>DGOSE</v>
      </c>
      <c r="M1269" s="26" t="str">
        <f t="shared" si="213"/>
        <v>PARTICULAR</v>
      </c>
      <c r="N1269" s="26">
        <v>64</v>
      </c>
      <c r="O1269" s="26">
        <v>37</v>
      </c>
      <c r="P1269" s="26">
        <v>27</v>
      </c>
      <c r="Q1269" s="26">
        <v>3</v>
      </c>
      <c r="R1269" s="26">
        <v>1</v>
      </c>
      <c r="S1269" s="26">
        <v>12</v>
      </c>
      <c r="T1269" s="26">
        <v>2</v>
      </c>
      <c r="U1269" s="26">
        <v>15</v>
      </c>
      <c r="V1269" s="26">
        <v>1</v>
      </c>
      <c r="W1269" s="26"/>
    </row>
    <row r="1270" spans="1:23" x14ac:dyDescent="0.25">
      <c r="A1270" s="26" t="str">
        <f t="shared" si="207"/>
        <v>SECUNDARIA</v>
      </c>
      <c r="B1270" s="26" t="str">
        <f>"09PES0950L"</f>
        <v>09PES0950L</v>
      </c>
      <c r="C1270" s="26" t="str">
        <f>"COLEGIO VALPARAISO                                                                                  "</f>
        <v xml:space="preserve">COLEGIO VALPARAISO                                                                                  </v>
      </c>
      <c r="D1270" s="26" t="str">
        <f t="shared" si="219"/>
        <v>MATUTINO</v>
      </c>
      <c r="E1270" s="26" t="str">
        <f>"CARLOS ECHANOVE NO 36                                                           "</f>
        <v xml:space="preserve">CARLOS ECHANOVE NO 36                                                           </v>
      </c>
      <c r="F1270" s="26" t="str">
        <f>"EL MOLINO                                                                                                                                   "</f>
        <v xml:space="preserve">EL MOLINO                                                                                                                                   </v>
      </c>
      <c r="G1270" s="26" t="str">
        <f>"CUAJIMALPA DE MORELOS                                                           "</f>
        <v xml:space="preserve">CUAJIMALPA DE MORELOS                                                           </v>
      </c>
      <c r="H1270" s="26" t="str">
        <f>"023"</f>
        <v>023</v>
      </c>
      <c r="I1270" s="26" t="str">
        <f>"00"</f>
        <v>00</v>
      </c>
      <c r="J1270" s="26" t="str">
        <f>"53 "</f>
        <v xml:space="preserve">53 </v>
      </c>
      <c r="K1270" s="26" t="str">
        <f t="shared" si="220"/>
        <v>SG</v>
      </c>
      <c r="L1270" s="26" t="str">
        <f t="shared" si="221"/>
        <v>DGOSE</v>
      </c>
      <c r="M1270" s="26" t="str">
        <f t="shared" si="213"/>
        <v>PARTICULAR</v>
      </c>
      <c r="N1270" s="26">
        <v>16</v>
      </c>
      <c r="O1270" s="26">
        <v>13</v>
      </c>
      <c r="P1270" s="26">
        <v>3</v>
      </c>
      <c r="Q1270" s="26">
        <v>3</v>
      </c>
      <c r="R1270" s="26">
        <v>1</v>
      </c>
      <c r="S1270" s="26">
        <v>7</v>
      </c>
      <c r="T1270" s="26">
        <v>2</v>
      </c>
      <c r="U1270" s="26">
        <v>10</v>
      </c>
      <c r="V1270" s="26">
        <v>1</v>
      </c>
      <c r="W1270" s="26"/>
    </row>
    <row r="1271" spans="1:23" x14ac:dyDescent="0.25">
      <c r="A1271" s="26" t="str">
        <f t="shared" si="207"/>
        <v>SECUNDARIA</v>
      </c>
      <c r="B1271" s="26" t="str">
        <f>"09PES0952J"</f>
        <v>09PES0952J</v>
      </c>
      <c r="C1271" s="26" t="str">
        <f>"""CANADIAN MONTESSORI""                                                                               "</f>
        <v xml:space="preserve">"CANADIAN MONTESSORI"                                                                               </v>
      </c>
      <c r="D1271" s="26" t="str">
        <f t="shared" si="219"/>
        <v>MATUTINO</v>
      </c>
      <c r="E1271" s="26" t="str">
        <f>"CALZADA DE CAMARONES NO 232                                                     "</f>
        <v xml:space="preserve">CALZADA DE CAMARONES NO 232                                                     </v>
      </c>
      <c r="F1271" s="26" t="str">
        <f>"OBRERO POPULAR                                                                                                                              "</f>
        <v xml:space="preserve">OBRERO POPULAR                                                                                                                              </v>
      </c>
      <c r="G1271" s="26" t="str">
        <f>"AZCAPOTZALCO                                                                    "</f>
        <v xml:space="preserve">AZCAPOTZALCO                                                                    </v>
      </c>
      <c r="H1271" s="26" t="str">
        <f>"009"</f>
        <v>009</v>
      </c>
      <c r="I1271" s="26" t="str">
        <f>"00"</f>
        <v>00</v>
      </c>
      <c r="J1271" s="26" t="str">
        <f>"51 "</f>
        <v xml:space="preserve">51 </v>
      </c>
      <c r="K1271" s="26" t="str">
        <f t="shared" si="220"/>
        <v>SG</v>
      </c>
      <c r="L1271" s="26" t="str">
        <f t="shared" si="221"/>
        <v>DGOSE</v>
      </c>
      <c r="M1271" s="26" t="str">
        <f t="shared" si="213"/>
        <v>PARTICULAR</v>
      </c>
      <c r="N1271" s="26">
        <v>19</v>
      </c>
      <c r="O1271" s="26">
        <v>7</v>
      </c>
      <c r="P1271" s="26">
        <v>12</v>
      </c>
      <c r="Q1271" s="26">
        <v>3</v>
      </c>
      <c r="R1271" s="26">
        <v>1</v>
      </c>
      <c r="S1271" s="26">
        <v>12</v>
      </c>
      <c r="T1271" s="26">
        <v>1</v>
      </c>
      <c r="U1271" s="26">
        <v>14</v>
      </c>
      <c r="V1271" s="26">
        <v>1</v>
      </c>
      <c r="W1271" s="26"/>
    </row>
    <row r="1272" spans="1:23" x14ac:dyDescent="0.25">
      <c r="A1272" s="26" t="str">
        <f t="shared" si="207"/>
        <v>SECUNDARIA</v>
      </c>
      <c r="B1272" s="26" t="str">
        <f>"09PES0953I"</f>
        <v>09PES0953I</v>
      </c>
      <c r="C1272" s="26" t="str">
        <f>"COLEGIO EUROPEO DE MEXICO ROBERT SCHUMAN SECUNDARIA                                                 "</f>
        <v xml:space="preserve">COLEGIO EUROPEO DE MEXICO ROBERT SCHUMAN SECUNDARIA                                                 </v>
      </c>
      <c r="D1272" s="26" t="str">
        <f t="shared" si="219"/>
        <v>MATUTINO</v>
      </c>
      <c r="E1272" s="26" t="str">
        <f>"ACCESO AL PANTEON MILITAR No 15                                                 "</f>
        <v xml:space="preserve">ACCESO AL PANTEON MILITAR No 15                                                 </v>
      </c>
      <c r="F1272" s="26" t="str">
        <f>"NUEVO RENACIMIENTO AXALCO                                                                                                                   "</f>
        <v xml:space="preserve">NUEVO RENACIMIENTO AXALCO                                                                                                                   </v>
      </c>
      <c r="G1272" s="26" t="str">
        <f>"TLALPAN                                                                         "</f>
        <v xml:space="preserve">TLALPAN                                                                         </v>
      </c>
      <c r="H1272" s="26" t="str">
        <f>"072"</f>
        <v>072</v>
      </c>
      <c r="I1272" s="26" t="str">
        <f>"  "</f>
        <v xml:space="preserve">  </v>
      </c>
      <c r="J1272" s="26" t="str">
        <f>"55 "</f>
        <v xml:space="preserve">55 </v>
      </c>
      <c r="K1272" s="26" t="str">
        <f t="shared" si="220"/>
        <v>SG</v>
      </c>
      <c r="L1272" s="26" t="str">
        <f t="shared" si="221"/>
        <v>DGOSE</v>
      </c>
      <c r="M1272" s="26" t="str">
        <f t="shared" si="213"/>
        <v>PARTICULAR</v>
      </c>
      <c r="N1272" s="26">
        <v>127</v>
      </c>
      <c r="O1272" s="26">
        <v>71</v>
      </c>
      <c r="P1272" s="26">
        <v>56</v>
      </c>
      <c r="Q1272" s="26">
        <v>6</v>
      </c>
      <c r="R1272" s="26">
        <v>1</v>
      </c>
      <c r="S1272" s="26">
        <v>12</v>
      </c>
      <c r="T1272" s="26">
        <v>0</v>
      </c>
      <c r="U1272" s="26">
        <v>13</v>
      </c>
      <c r="V1272" s="26">
        <v>1</v>
      </c>
      <c r="W1272" s="26"/>
    </row>
    <row r="1273" spans="1:23" x14ac:dyDescent="0.25">
      <c r="A1273" s="26" t="str">
        <f t="shared" si="207"/>
        <v>SECUNDARIA</v>
      </c>
      <c r="B1273" s="26" t="str">
        <f>"09PES0954H"</f>
        <v>09PES0954H</v>
      </c>
      <c r="C1273" s="26" t="str">
        <f>"SECUNDARIA YACATIA                                                                                  "</f>
        <v xml:space="preserve">SECUNDARIA YACATIA                                                                                  </v>
      </c>
      <c r="D1273" s="26" t="str">
        <f t="shared" si="219"/>
        <v>MATUTINO</v>
      </c>
      <c r="E1273" s="26" t="str">
        <f>"COQUIMBO No 804                                                                 "</f>
        <v xml:space="preserve">COQUIMBO No 804                                                                 </v>
      </c>
      <c r="F1273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1273" s="26" t="str">
        <f>"GUSTAVO A. MADERO                                                               "</f>
        <v xml:space="preserve">GUSTAVO A. MADERO                                                               </v>
      </c>
      <c r="H1273" s="26" t="str">
        <f>"035"</f>
        <v>035</v>
      </c>
      <c r="I1273" s="26" t="str">
        <f>"  "</f>
        <v xml:space="preserve">  </v>
      </c>
      <c r="J1273" s="26" t="str">
        <f>"52 "</f>
        <v xml:space="preserve">52 </v>
      </c>
      <c r="K1273" s="26" t="str">
        <f t="shared" si="220"/>
        <v>SG</v>
      </c>
      <c r="L1273" s="26" t="str">
        <f t="shared" si="221"/>
        <v>DGOSE</v>
      </c>
      <c r="M1273" s="26" t="str">
        <f t="shared" si="213"/>
        <v>PARTICULAR</v>
      </c>
      <c r="N1273" s="26">
        <v>125</v>
      </c>
      <c r="O1273" s="26">
        <v>66</v>
      </c>
      <c r="P1273" s="26">
        <v>59</v>
      </c>
      <c r="Q1273" s="26">
        <v>6</v>
      </c>
      <c r="R1273" s="26">
        <v>2</v>
      </c>
      <c r="S1273" s="26">
        <v>11</v>
      </c>
      <c r="T1273" s="26">
        <v>0</v>
      </c>
      <c r="U1273" s="26">
        <v>13</v>
      </c>
      <c r="V1273" s="26">
        <v>1</v>
      </c>
      <c r="W1273" s="26"/>
    </row>
    <row r="1274" spans="1:23" x14ac:dyDescent="0.25">
      <c r="A1274" s="26" t="str">
        <f t="shared" si="207"/>
        <v>SECUNDARIA</v>
      </c>
      <c r="B1274" s="26" t="str">
        <f>"09PES0955G"</f>
        <v>09PES0955G</v>
      </c>
      <c r="C1274" s="26" t="str">
        <f>"COLEGIO MIGUEL ANGEL ASTURIAS                                                                       "</f>
        <v xml:space="preserve">COLEGIO MIGUEL ANGEL ASTURIAS                                                                       </v>
      </c>
      <c r="D1274" s="26" t="str">
        <f t="shared" si="219"/>
        <v>MATUTINO</v>
      </c>
      <c r="E1274" s="26" t="str">
        <f>"UXMAL NO 367                                                                    "</f>
        <v xml:space="preserve">UXMAL NO 367                                                                    </v>
      </c>
      <c r="F1274" s="26" t="str">
        <f>"NARVARTE                                                                                                                                    "</f>
        <v xml:space="preserve">NARVARTE                                                                                                                                    </v>
      </c>
      <c r="G1274" s="26" t="str">
        <f>"BENITO JUAREZ                                                                   "</f>
        <v xml:space="preserve">BENITO JUAREZ                                                                   </v>
      </c>
      <c r="H1274" s="26" t="str">
        <f>"013"</f>
        <v>013</v>
      </c>
      <c r="I1274" s="26" t="str">
        <f>"00"</f>
        <v>00</v>
      </c>
      <c r="J1274" s="26" t="str">
        <f>"53 "</f>
        <v xml:space="preserve">53 </v>
      </c>
      <c r="K1274" s="26" t="str">
        <f t="shared" si="220"/>
        <v>SG</v>
      </c>
      <c r="L1274" s="26" t="str">
        <f t="shared" si="221"/>
        <v>DGOSE</v>
      </c>
      <c r="M1274" s="26" t="str">
        <f t="shared" si="213"/>
        <v>PARTICULAR</v>
      </c>
      <c r="N1274" s="26">
        <v>38</v>
      </c>
      <c r="O1274" s="26">
        <v>19</v>
      </c>
      <c r="P1274" s="26">
        <v>19</v>
      </c>
      <c r="Q1274" s="26">
        <v>3</v>
      </c>
      <c r="R1274" s="26">
        <v>1</v>
      </c>
      <c r="S1274" s="26">
        <v>7</v>
      </c>
      <c r="T1274" s="26">
        <v>1</v>
      </c>
      <c r="U1274" s="26">
        <v>9</v>
      </c>
      <c r="V1274" s="26">
        <v>1</v>
      </c>
      <c r="W1274" s="26"/>
    </row>
    <row r="1275" spans="1:23" x14ac:dyDescent="0.25">
      <c r="A1275" s="26" t="str">
        <f t="shared" si="207"/>
        <v>SECUNDARIA</v>
      </c>
      <c r="B1275" s="26" t="str">
        <f>"09PES0956F"</f>
        <v>09PES0956F</v>
      </c>
      <c r="C1275" s="26" t="str">
        <f>"INSTITUTO PIAGET SECUNDARIA                                                                         "</f>
        <v xml:space="preserve">INSTITUTO PIAGET SECUNDARIA                                                                         </v>
      </c>
      <c r="D1275" s="26" t="str">
        <f t="shared" si="219"/>
        <v>MATUTINO</v>
      </c>
      <c r="E1275" s="26" t="str">
        <f>"CERRADA SAN JERONIMO NO 135                                                     "</f>
        <v xml:space="preserve">CERRADA SAN JERONIMO NO 135                                                     </v>
      </c>
      <c r="F1275" s="26" t="str">
        <f>"SAN JERONIMO LIDICE                                                                                                                         "</f>
        <v xml:space="preserve">SAN JERONIMO LIDICE                                                                                                                         </v>
      </c>
      <c r="G1275" s="26" t="str">
        <f>"LA MAGDALENA CONTRERAS                                                          "</f>
        <v xml:space="preserve">LA MAGDALENA CONTRERAS                                                          </v>
      </c>
      <c r="H1275" s="26" t="str">
        <f>"059"</f>
        <v>059</v>
      </c>
      <c r="I1275" s="26" t="str">
        <f>"00"</f>
        <v>00</v>
      </c>
      <c r="J1275" s="26" t="str">
        <f>"53 "</f>
        <v xml:space="preserve">53 </v>
      </c>
      <c r="K1275" s="26" t="str">
        <f t="shared" si="220"/>
        <v>SG</v>
      </c>
      <c r="L1275" s="26" t="str">
        <f t="shared" si="221"/>
        <v>DGOSE</v>
      </c>
      <c r="M1275" s="26" t="str">
        <f t="shared" si="213"/>
        <v>PARTICULAR</v>
      </c>
      <c r="N1275" s="26">
        <v>185</v>
      </c>
      <c r="O1275" s="26">
        <v>114</v>
      </c>
      <c r="P1275" s="26">
        <v>71</v>
      </c>
      <c r="Q1275" s="26">
        <v>9</v>
      </c>
      <c r="R1275" s="26">
        <v>2</v>
      </c>
      <c r="S1275" s="26">
        <v>22</v>
      </c>
      <c r="T1275" s="26">
        <v>1</v>
      </c>
      <c r="U1275" s="26">
        <v>25</v>
      </c>
      <c r="V1275" s="26">
        <v>1</v>
      </c>
      <c r="W1275" s="26"/>
    </row>
    <row r="1276" spans="1:23" x14ac:dyDescent="0.25">
      <c r="A1276" s="26" t="str">
        <f t="shared" si="207"/>
        <v>SECUNDARIA</v>
      </c>
      <c r="B1276" s="26" t="str">
        <f>"09PES0957E"</f>
        <v>09PES0957E</v>
      </c>
      <c r="C1276" s="26" t="str">
        <f>"ESCUELA SECUNDARIA BUCKINGHAM                                                                       "</f>
        <v xml:space="preserve">ESCUELA SECUNDARIA BUCKINGHAM                                                                       </v>
      </c>
      <c r="D1276" s="26" t="str">
        <f t="shared" si="219"/>
        <v>MATUTINO</v>
      </c>
      <c r="E1276" s="26" t="str">
        <f>"PESTALOZZI NO 546                                                               "</f>
        <v xml:space="preserve">PESTALOZZI NO 546                                                               </v>
      </c>
      <c r="F1276" s="26" t="str">
        <f>"NARVARTE                                                                                                                                    "</f>
        <v xml:space="preserve">NARVARTE                                                                                                                                    </v>
      </c>
      <c r="G1276" s="26" t="str">
        <f>"BENITO JUAREZ                                                                   "</f>
        <v xml:space="preserve">BENITO JUAREZ                                                                   </v>
      </c>
      <c r="H1276" s="26" t="str">
        <f>"012"</f>
        <v>012</v>
      </c>
      <c r="I1276" s="26" t="str">
        <f>"00"</f>
        <v>00</v>
      </c>
      <c r="J1276" s="26" t="str">
        <f>"53 "</f>
        <v xml:space="preserve">53 </v>
      </c>
      <c r="K1276" s="26" t="str">
        <f t="shared" si="220"/>
        <v>SG</v>
      </c>
      <c r="L1276" s="26" t="str">
        <f t="shared" si="221"/>
        <v>DGOSE</v>
      </c>
      <c r="M1276" s="26" t="str">
        <f t="shared" si="213"/>
        <v>PARTICULAR</v>
      </c>
      <c r="N1276" s="26">
        <v>205</v>
      </c>
      <c r="O1276" s="26">
        <v>108</v>
      </c>
      <c r="P1276" s="26">
        <v>97</v>
      </c>
      <c r="Q1276" s="26">
        <v>8</v>
      </c>
      <c r="R1276" s="26">
        <v>2</v>
      </c>
      <c r="S1276" s="26">
        <v>11</v>
      </c>
      <c r="T1276" s="26">
        <v>0</v>
      </c>
      <c r="U1276" s="26">
        <v>13</v>
      </c>
      <c r="V1276" s="26">
        <v>1</v>
      </c>
      <c r="W1276" s="26"/>
    </row>
    <row r="1277" spans="1:23" x14ac:dyDescent="0.25">
      <c r="A1277" s="26" t="str">
        <f t="shared" si="207"/>
        <v>SECUNDARIA</v>
      </c>
      <c r="B1277" s="26" t="str">
        <f>"09PES0958D"</f>
        <v>09PES0958D</v>
      </c>
      <c r="C1277" s="26" t="str">
        <f>"LICEO EUROPEO CAMPUS SUR                                                                            "</f>
        <v xml:space="preserve">LICEO EUROPEO CAMPUS SUR                                                                            </v>
      </c>
      <c r="D1277" s="26" t="str">
        <f t="shared" si="219"/>
        <v>MATUTINO</v>
      </c>
      <c r="E1277" s="26" t="str">
        <f>"CORREGIDORA NO 499                                                              "</f>
        <v xml:space="preserve">CORREGIDORA NO 499                                                              </v>
      </c>
      <c r="F1277" s="26" t="str">
        <f>"MIGUEL HIDALGO                                                                                                                              "</f>
        <v xml:space="preserve">MIGUEL HIDALGO                                                                                                                              </v>
      </c>
      <c r="G1277" s="26" t="str">
        <f>"TLALPAN                                                                         "</f>
        <v xml:space="preserve">TLALPAN                                                                         </v>
      </c>
      <c r="H1277" s="26" t="str">
        <f>"073"</f>
        <v>073</v>
      </c>
      <c r="I1277" s="26" t="str">
        <f t="shared" ref="I1277:I1282" si="222">"  "</f>
        <v xml:space="preserve">  </v>
      </c>
      <c r="J1277" s="26" t="str">
        <f>"55 "</f>
        <v xml:space="preserve">55 </v>
      </c>
      <c r="K1277" s="26" t="str">
        <f t="shared" si="220"/>
        <v>SG</v>
      </c>
      <c r="L1277" s="26" t="str">
        <f t="shared" si="221"/>
        <v>DGOSE</v>
      </c>
      <c r="M1277" s="26" t="str">
        <f t="shared" si="213"/>
        <v>PARTICULAR</v>
      </c>
      <c r="N1277" s="26">
        <v>76</v>
      </c>
      <c r="O1277" s="26">
        <v>35</v>
      </c>
      <c r="P1277" s="26">
        <v>41</v>
      </c>
      <c r="Q1277" s="26">
        <v>3</v>
      </c>
      <c r="R1277" s="26">
        <v>2</v>
      </c>
      <c r="S1277" s="26">
        <v>12</v>
      </c>
      <c r="T1277" s="26">
        <v>1</v>
      </c>
      <c r="U1277" s="26">
        <v>15</v>
      </c>
      <c r="V1277" s="26">
        <v>1</v>
      </c>
      <c r="W1277" s="26"/>
    </row>
    <row r="1278" spans="1:23" x14ac:dyDescent="0.25">
      <c r="A1278" s="26" t="str">
        <f t="shared" si="207"/>
        <v>SECUNDARIA</v>
      </c>
      <c r="B1278" s="26" t="str">
        <f>"09PES0960S"</f>
        <v>09PES0960S</v>
      </c>
      <c r="C1278" s="26" t="s">
        <v>3998</v>
      </c>
      <c r="D1278" s="26" t="str">
        <f t="shared" si="219"/>
        <v>MATUTINO</v>
      </c>
      <c r="E1278" s="26" t="str">
        <f>"CALLE LAS FUENTES NUMERO 18                                                     "</f>
        <v xml:space="preserve">CALLE LAS FUENTES NUMERO 18                                                     </v>
      </c>
      <c r="F1278" s="26" t="str">
        <f>"TLALPAN                                                                                                                                     "</f>
        <v xml:space="preserve">TLALPAN                                                                                                                                     </v>
      </c>
      <c r="G1278" s="26" t="str">
        <f>"TLALPAN                                                                         "</f>
        <v xml:space="preserve">TLALPAN                                                                         </v>
      </c>
      <c r="H1278" s="26" t="str">
        <f>"072"</f>
        <v>072</v>
      </c>
      <c r="I1278" s="26" t="str">
        <f t="shared" si="222"/>
        <v xml:space="preserve">  </v>
      </c>
      <c r="J1278" s="26" t="str">
        <f>"55 "</f>
        <v xml:space="preserve">55 </v>
      </c>
      <c r="K1278" s="26" t="str">
        <f t="shared" si="220"/>
        <v>SG</v>
      </c>
      <c r="L1278" s="26" t="str">
        <f t="shared" si="221"/>
        <v>DGOSE</v>
      </c>
      <c r="M1278" s="26" t="str">
        <f t="shared" si="213"/>
        <v>PARTICULAR</v>
      </c>
      <c r="N1278" s="26">
        <v>179</v>
      </c>
      <c r="O1278" s="26">
        <v>91</v>
      </c>
      <c r="P1278" s="26">
        <v>88</v>
      </c>
      <c r="Q1278" s="26">
        <v>6</v>
      </c>
      <c r="R1278" s="26">
        <v>2</v>
      </c>
      <c r="S1278" s="26">
        <v>23</v>
      </c>
      <c r="T1278" s="26">
        <v>1</v>
      </c>
      <c r="U1278" s="26">
        <v>26</v>
      </c>
      <c r="V1278" s="26">
        <v>1</v>
      </c>
      <c r="W1278" s="26"/>
    </row>
    <row r="1279" spans="1:23" x14ac:dyDescent="0.25">
      <c r="A1279" s="26" t="str">
        <f t="shared" si="207"/>
        <v>SECUNDARIA</v>
      </c>
      <c r="B1279" s="26" t="str">
        <f>"09PES0961R"</f>
        <v>09PES0961R</v>
      </c>
      <c r="C1279" s="26" t="str">
        <f>"PINECREST INSTITUTE                                                                                 "</f>
        <v xml:space="preserve">PINECREST INSTITUTE                                                                                 </v>
      </c>
      <c r="D1279" s="26" t="str">
        <f t="shared" si="219"/>
        <v>MATUTINO</v>
      </c>
      <c r="E1279" s="26" t="str">
        <f>"FRANCISCO J SERRANO NUMERO 104                                                  "</f>
        <v xml:space="preserve">FRANCISCO J SERRANO NUMERO 104                                                  </v>
      </c>
      <c r="F1279" s="26" t="str">
        <f>"SANTA FE CUAJIMALPA                                                                                                                         "</f>
        <v xml:space="preserve">SANTA FE CUAJIMALPA                                                                                                                         </v>
      </c>
      <c r="G1279" s="26" t="str">
        <f>"CUAJIMALPA DE MORELOS                                                           "</f>
        <v xml:space="preserve">CUAJIMALPA DE MORELOS                                                           </v>
      </c>
      <c r="H1279" s="26" t="str">
        <f>"024"</f>
        <v>024</v>
      </c>
      <c r="I1279" s="26" t="str">
        <f t="shared" si="222"/>
        <v xml:space="preserve">  </v>
      </c>
      <c r="J1279" s="26" t="str">
        <f>"53 "</f>
        <v xml:space="preserve">53 </v>
      </c>
      <c r="K1279" s="26" t="str">
        <f t="shared" si="220"/>
        <v>SG</v>
      </c>
      <c r="L1279" s="26" t="str">
        <f t="shared" si="221"/>
        <v>DGOSE</v>
      </c>
      <c r="M1279" s="26" t="str">
        <f t="shared" si="213"/>
        <v>PARTICULAR</v>
      </c>
      <c r="N1279" s="26">
        <v>109</v>
      </c>
      <c r="O1279" s="26">
        <v>51</v>
      </c>
      <c r="P1279" s="26">
        <v>58</v>
      </c>
      <c r="Q1279" s="26">
        <v>7</v>
      </c>
      <c r="R1279" s="26">
        <v>1</v>
      </c>
      <c r="S1279" s="26">
        <v>13</v>
      </c>
      <c r="T1279" s="26">
        <v>0</v>
      </c>
      <c r="U1279" s="26">
        <v>14</v>
      </c>
      <c r="V1279" s="26">
        <v>1</v>
      </c>
      <c r="W1279" s="26"/>
    </row>
    <row r="1280" spans="1:23" x14ac:dyDescent="0.25">
      <c r="A1280" s="26" t="str">
        <f t="shared" si="207"/>
        <v>SECUNDARIA</v>
      </c>
      <c r="B1280" s="26" t="str">
        <f>"09PES0962Q"</f>
        <v>09PES0962Q</v>
      </c>
      <c r="C1280" s="26" t="str">
        <f>"RODOLFO NERI VELA                                                                                   "</f>
        <v xml:space="preserve">RODOLFO NERI VELA                                                                                   </v>
      </c>
      <c r="D1280" s="26" t="str">
        <f t="shared" si="219"/>
        <v>MATUTINO</v>
      </c>
      <c r="E1280" s="26" t="str">
        <f>"CALLE AZHARES NUMERO 22                                                         "</f>
        <v xml:space="preserve">CALLE AZHARES NUMERO 22                                                         </v>
      </c>
      <c r="F1280" s="26" t="str">
        <f>"SANTA CRUZ XOCHITEPEC                                                                                                                       "</f>
        <v xml:space="preserve">SANTA CRUZ XOCHITEPEC                                                                                                                       </v>
      </c>
      <c r="G1280" s="26" t="str">
        <f>"XOCHIMILCO                                                                      "</f>
        <v xml:space="preserve">XOCHIMILCO                                                                      </v>
      </c>
      <c r="H1280" s="26" t="str">
        <f>"080"</f>
        <v>080</v>
      </c>
      <c r="I1280" s="26" t="str">
        <f t="shared" si="222"/>
        <v xml:space="preserve">  </v>
      </c>
      <c r="J1280" s="26" t="str">
        <f>"55 "</f>
        <v xml:space="preserve">55 </v>
      </c>
      <c r="K1280" s="26" t="str">
        <f t="shared" si="220"/>
        <v>SG</v>
      </c>
      <c r="L1280" s="26" t="str">
        <f t="shared" si="221"/>
        <v>DGOSE</v>
      </c>
      <c r="M1280" s="26" t="str">
        <f t="shared" si="213"/>
        <v>PARTICULAR</v>
      </c>
      <c r="N1280" s="26">
        <v>49</v>
      </c>
      <c r="O1280" s="26">
        <v>21</v>
      </c>
      <c r="P1280" s="26">
        <v>28</v>
      </c>
      <c r="Q1280" s="26">
        <v>3</v>
      </c>
      <c r="R1280" s="26">
        <v>1</v>
      </c>
      <c r="S1280" s="26">
        <v>11</v>
      </c>
      <c r="T1280" s="26">
        <v>0</v>
      </c>
      <c r="U1280" s="26">
        <v>12</v>
      </c>
      <c r="V1280" s="26">
        <v>1</v>
      </c>
      <c r="W1280" s="26"/>
    </row>
    <row r="1281" spans="1:23" x14ac:dyDescent="0.25">
      <c r="A1281" s="26" t="str">
        <f t="shared" si="207"/>
        <v>SECUNDARIA</v>
      </c>
      <c r="B1281" s="26" t="str">
        <f>"09PES0963P"</f>
        <v>09PES0963P</v>
      </c>
      <c r="C1281" s="26" t="str">
        <f>"LICEO HIRONDELLE                                                                                    "</f>
        <v xml:space="preserve">LICEO HIRONDELLE                                                                                    </v>
      </c>
      <c r="D1281" s="26" t="str">
        <f t="shared" si="219"/>
        <v>MATUTINO</v>
      </c>
      <c r="E1281" s="26" t="str">
        <f>"CALLE AMERICA NUMERO 95                                                         "</f>
        <v xml:space="preserve">CALLE AMERICA NUMERO 95                                                         </v>
      </c>
      <c r="F1281" s="26" t="str">
        <f>"PARQUE SAN ANDRES                                                                                                                           "</f>
        <v xml:space="preserve">PARQUE SAN ANDRES                                                                                                                           </v>
      </c>
      <c r="G1281" s="26" t="str">
        <f>"COYOACAN                                                                        "</f>
        <v xml:space="preserve">COYOACAN                                                                        </v>
      </c>
      <c r="H1281" s="26" t="str">
        <f>"107"</f>
        <v>107</v>
      </c>
      <c r="I1281" s="26" t="str">
        <f t="shared" si="222"/>
        <v xml:space="preserve">  </v>
      </c>
      <c r="J1281" s="26" t="str">
        <f>"54 "</f>
        <v xml:space="preserve">54 </v>
      </c>
      <c r="K1281" s="26" t="str">
        <f t="shared" si="220"/>
        <v>SG</v>
      </c>
      <c r="L1281" s="26" t="str">
        <f t="shared" si="221"/>
        <v>DGOSE</v>
      </c>
      <c r="M1281" s="26" t="str">
        <f t="shared" si="213"/>
        <v>PARTICULAR</v>
      </c>
      <c r="N1281" s="26">
        <v>36</v>
      </c>
      <c r="O1281" s="26">
        <v>16</v>
      </c>
      <c r="P1281" s="26">
        <v>20</v>
      </c>
      <c r="Q1281" s="26">
        <v>3</v>
      </c>
      <c r="R1281" s="26">
        <v>2</v>
      </c>
      <c r="S1281" s="26">
        <v>11</v>
      </c>
      <c r="T1281" s="26">
        <v>1</v>
      </c>
      <c r="U1281" s="26">
        <v>14</v>
      </c>
      <c r="V1281" s="26">
        <v>1</v>
      </c>
      <c r="W1281" s="26"/>
    </row>
    <row r="1282" spans="1:23" x14ac:dyDescent="0.25">
      <c r="A1282" s="26" t="str">
        <f t="shared" ref="A1282:A1345" si="223">"SECUNDARIA"</f>
        <v>SECUNDARIA</v>
      </c>
      <c r="B1282" s="26" t="str">
        <f>"09PES0964O"</f>
        <v>09PES0964O</v>
      </c>
      <c r="C1282" s="26" t="str">
        <f>"COMPLEJO EDUCATIVO DE DESARROLLO INTEGRAL                                                           "</f>
        <v xml:space="preserve">COMPLEJO EDUCATIVO DE DESARROLLO INTEGRAL                                                           </v>
      </c>
      <c r="D1282" s="26" t="str">
        <f t="shared" si="219"/>
        <v>MATUTINO</v>
      </c>
      <c r="E1282" s="26" t="str">
        <f>"CALLE SALVADOR ORTEGA FLORES NUMERO 14                                          "</f>
        <v xml:space="preserve">CALLE SALVADOR ORTEGA FLORES NUMERO 14                                          </v>
      </c>
      <c r="F1282" s="26" t="str">
        <f>"MIGUEL HIDALGO AMPLIACION                                                                                                                   "</f>
        <v xml:space="preserve">MIGUEL HIDALGO AMPLIACION                                                                                                                   </v>
      </c>
      <c r="G1282" s="26" t="str">
        <f>"TLALPAN                                                                         "</f>
        <v xml:space="preserve">TLALPAN                                                                         </v>
      </c>
      <c r="H1282" s="26" t="str">
        <f>"073"</f>
        <v>073</v>
      </c>
      <c r="I1282" s="26" t="str">
        <f t="shared" si="222"/>
        <v xml:space="preserve">  </v>
      </c>
      <c r="J1282" s="26" t="str">
        <f>"55 "</f>
        <v xml:space="preserve">55 </v>
      </c>
      <c r="K1282" s="26" t="str">
        <f t="shared" si="220"/>
        <v>SG</v>
      </c>
      <c r="L1282" s="26" t="str">
        <f t="shared" si="221"/>
        <v>DGOSE</v>
      </c>
      <c r="M1282" s="26" t="str">
        <f t="shared" si="213"/>
        <v>PARTICULAR</v>
      </c>
      <c r="N1282" s="26">
        <v>23</v>
      </c>
      <c r="O1282" s="26">
        <v>14</v>
      </c>
      <c r="P1282" s="26">
        <v>9</v>
      </c>
      <c r="Q1282" s="26">
        <v>3</v>
      </c>
      <c r="R1282" s="26">
        <v>1</v>
      </c>
      <c r="S1282" s="26">
        <v>11</v>
      </c>
      <c r="T1282" s="26">
        <v>2</v>
      </c>
      <c r="U1282" s="26">
        <v>14</v>
      </c>
      <c r="V1282" s="26">
        <v>1</v>
      </c>
      <c r="W1282" s="26"/>
    </row>
    <row r="1283" spans="1:23" x14ac:dyDescent="0.25">
      <c r="A1283" s="26" t="str">
        <f t="shared" si="223"/>
        <v>SECUNDARIA</v>
      </c>
      <c r="B1283" s="26" t="str">
        <f>"09PES0965N"</f>
        <v>09PES0965N</v>
      </c>
      <c r="C1283" s="26" t="str">
        <f>"COLEGIO ST. MICHEL                                                                                  "</f>
        <v xml:space="preserve">COLEGIO ST. MICHEL                                                                                  </v>
      </c>
      <c r="D1283" s="26" t="str">
        <f t="shared" si="219"/>
        <v>MATUTINO</v>
      </c>
      <c r="E1283" s="26" t="str">
        <f>"CARRETERA XOCHIMILCO A SAN PABLO NO 6396 E                                      "</f>
        <v xml:space="preserve">CARRETERA XOCHIMILCO A SAN PABLO NO 6396 E                                      </v>
      </c>
      <c r="F1283" s="26" t="str">
        <f>"SANTIAGO TEPALCATLAPAN                                                                                                                      "</f>
        <v xml:space="preserve">SANTIAGO TEPALCATLAPAN                                                                                                                      </v>
      </c>
      <c r="G1283" s="26" t="str">
        <f>"XOCHIMILCO                                                                      "</f>
        <v xml:space="preserve">XOCHIMILCO                                                                      </v>
      </c>
      <c r="H1283" s="26" t="str">
        <f>"080"</f>
        <v>080</v>
      </c>
      <c r="I1283" s="26" t="str">
        <f t="shared" ref="I1283:I1288" si="224">"00"</f>
        <v>00</v>
      </c>
      <c r="J1283" s="26" t="str">
        <f>"55 "</f>
        <v xml:space="preserve">55 </v>
      </c>
      <c r="K1283" s="26" t="str">
        <f t="shared" si="220"/>
        <v>SG</v>
      </c>
      <c r="L1283" s="26" t="str">
        <f t="shared" si="221"/>
        <v>DGOSE</v>
      </c>
      <c r="M1283" s="26" t="str">
        <f t="shared" si="213"/>
        <v>PARTICULAR</v>
      </c>
      <c r="N1283" s="26">
        <v>53</v>
      </c>
      <c r="O1283" s="26">
        <v>26</v>
      </c>
      <c r="P1283" s="26">
        <v>27</v>
      </c>
      <c r="Q1283" s="26">
        <v>3</v>
      </c>
      <c r="R1283" s="26">
        <v>1</v>
      </c>
      <c r="S1283" s="26">
        <v>10</v>
      </c>
      <c r="T1283" s="26">
        <v>2</v>
      </c>
      <c r="U1283" s="26">
        <v>13</v>
      </c>
      <c r="V1283" s="26">
        <v>1</v>
      </c>
      <c r="W1283" s="26"/>
    </row>
    <row r="1284" spans="1:23" x14ac:dyDescent="0.25">
      <c r="A1284" s="26" t="str">
        <f t="shared" si="223"/>
        <v>SECUNDARIA</v>
      </c>
      <c r="B1284" s="26" t="str">
        <f>"09PES0966M"</f>
        <v>09PES0966M</v>
      </c>
      <c r="C1284" s="26" t="str">
        <f>"EDUCACION ALIVE NAPOLES                                                                             "</f>
        <v xml:space="preserve">EDUCACION ALIVE NAPOLES                                                                             </v>
      </c>
      <c r="D1284" s="26" t="str">
        <f t="shared" si="219"/>
        <v>MATUTINO</v>
      </c>
      <c r="E1284" s="26" t="str">
        <f>"CALLE INDIANA NO 203                                                            "</f>
        <v xml:space="preserve">CALLE INDIANA NO 203                                                            </v>
      </c>
      <c r="F1284" s="26" t="str">
        <f>"CIUDAD DE LOS DEPORTES                                                                                                                      "</f>
        <v xml:space="preserve">CIUDAD DE LOS DEPORTES                                                                                                                      </v>
      </c>
      <c r="G1284" s="26" t="str">
        <f>"BENITO JUAREZ                                                                   "</f>
        <v xml:space="preserve">BENITO JUAREZ                                                                   </v>
      </c>
      <c r="H1284" s="26" t="str">
        <f>"014"</f>
        <v>014</v>
      </c>
      <c r="I1284" s="26" t="str">
        <f t="shared" si="224"/>
        <v>00</v>
      </c>
      <c r="J1284" s="26" t="str">
        <f>"53 "</f>
        <v xml:space="preserve">53 </v>
      </c>
      <c r="K1284" s="26" t="str">
        <f t="shared" si="220"/>
        <v>SG</v>
      </c>
      <c r="L1284" s="26" t="str">
        <f t="shared" si="221"/>
        <v>DGOSE</v>
      </c>
      <c r="M1284" s="26" t="str">
        <f t="shared" si="213"/>
        <v>PARTICULAR</v>
      </c>
      <c r="N1284" s="26">
        <v>34</v>
      </c>
      <c r="O1284" s="26">
        <v>28</v>
      </c>
      <c r="P1284" s="26">
        <v>6</v>
      </c>
      <c r="Q1284" s="26">
        <v>3</v>
      </c>
      <c r="R1284" s="26">
        <v>0</v>
      </c>
      <c r="S1284" s="26">
        <v>9</v>
      </c>
      <c r="T1284" s="26">
        <v>0</v>
      </c>
      <c r="U1284" s="26">
        <v>9</v>
      </c>
      <c r="V1284" s="26">
        <v>1</v>
      </c>
      <c r="W1284" s="26"/>
    </row>
    <row r="1285" spans="1:23" x14ac:dyDescent="0.25">
      <c r="A1285" s="26" t="str">
        <f t="shared" si="223"/>
        <v>SECUNDARIA</v>
      </c>
      <c r="B1285" s="26" t="str">
        <f>"09PES0967L"</f>
        <v>09PES0967L</v>
      </c>
      <c r="C1285" s="26" t="str">
        <f>"COLEGIO ALJIBES SECUNDARIA                                                                          "</f>
        <v xml:space="preserve">COLEGIO ALJIBES SECUNDARIA                                                                          </v>
      </c>
      <c r="D1285" s="26" t="str">
        <f t="shared" si="219"/>
        <v>MATUTINO</v>
      </c>
      <c r="E1285" s="26" t="str">
        <f>"AVENIDA CANAL DE MIRAMONTES NO 2672                                             "</f>
        <v xml:space="preserve">AVENIDA CANAL DE MIRAMONTES NO 2672                                             </v>
      </c>
      <c r="F1285" s="26" t="str">
        <f>"LOS CIPRESES                                                                                                                                "</f>
        <v xml:space="preserve">LOS CIPRESES                                                                                                                                </v>
      </c>
      <c r="G1285" s="26" t="str">
        <f>"COYOACAN                                                                        "</f>
        <v xml:space="preserve">COYOACAN                                                                        </v>
      </c>
      <c r="H1285" s="26" t="str">
        <f>"022"</f>
        <v>022</v>
      </c>
      <c r="I1285" s="26" t="str">
        <f t="shared" si="224"/>
        <v>00</v>
      </c>
      <c r="J1285" s="26" t="str">
        <f>"54 "</f>
        <v xml:space="preserve">54 </v>
      </c>
      <c r="K1285" s="26" t="str">
        <f t="shared" si="220"/>
        <v>SG</v>
      </c>
      <c r="L1285" s="26" t="str">
        <f t="shared" si="221"/>
        <v>DGOSE</v>
      </c>
      <c r="M1285" s="26" t="str">
        <f t="shared" si="213"/>
        <v>PARTICULAR</v>
      </c>
      <c r="N1285" s="26">
        <v>260</v>
      </c>
      <c r="O1285" s="26">
        <v>124</v>
      </c>
      <c r="P1285" s="26">
        <v>136</v>
      </c>
      <c r="Q1285" s="26">
        <v>10</v>
      </c>
      <c r="R1285" s="26">
        <v>1</v>
      </c>
      <c r="S1285" s="26">
        <v>16</v>
      </c>
      <c r="T1285" s="26">
        <v>3</v>
      </c>
      <c r="U1285" s="26">
        <v>20</v>
      </c>
      <c r="V1285" s="26">
        <v>1</v>
      </c>
      <c r="W1285" s="26"/>
    </row>
    <row r="1286" spans="1:23" x14ac:dyDescent="0.25">
      <c r="A1286" s="26" t="str">
        <f t="shared" si="223"/>
        <v>SECUNDARIA</v>
      </c>
      <c r="B1286" s="26" t="str">
        <f>"09PES0968K"</f>
        <v>09PES0968K</v>
      </c>
      <c r="C1286" s="26" t="str">
        <f>"SECUNDARIA MARIA CHAVARRIA VITAL                                                                    "</f>
        <v xml:space="preserve">SECUNDARIA MARIA CHAVARRIA VITAL                                                                    </v>
      </c>
      <c r="D1286" s="26" t="str">
        <f t="shared" si="219"/>
        <v>MATUTINO</v>
      </c>
      <c r="E1286" s="26" t="str">
        <f>"CALLE ALTA TENSION NO 41                                                        "</f>
        <v xml:space="preserve">CALLE ALTA TENSION NO 41                                                        </v>
      </c>
      <c r="F1286" s="26" t="str">
        <f>"LAS ARBOLEDAS                                                                                                                               "</f>
        <v xml:space="preserve">LAS ARBOLEDAS                                                                                                                               </v>
      </c>
      <c r="G1286" s="26" t="str">
        <f>"TLAHUAC                                                                         "</f>
        <v xml:space="preserve">TLAHUAC                                                                         </v>
      </c>
      <c r="H1286" s="26" t="str">
        <f>"067"</f>
        <v>067</v>
      </c>
      <c r="I1286" s="26" t="str">
        <f t="shared" si="224"/>
        <v>00</v>
      </c>
      <c r="J1286" s="26" t="str">
        <f>"55 "</f>
        <v xml:space="preserve">55 </v>
      </c>
      <c r="K1286" s="26" t="str">
        <f t="shared" si="220"/>
        <v>SG</v>
      </c>
      <c r="L1286" s="26" t="str">
        <f t="shared" si="221"/>
        <v>DGOSE</v>
      </c>
      <c r="M1286" s="26" t="str">
        <f t="shared" si="213"/>
        <v>PARTICULAR</v>
      </c>
      <c r="N1286" s="26">
        <v>149</v>
      </c>
      <c r="O1286" s="26">
        <v>79</v>
      </c>
      <c r="P1286" s="26">
        <v>70</v>
      </c>
      <c r="Q1286" s="26">
        <v>7</v>
      </c>
      <c r="R1286" s="26">
        <v>2</v>
      </c>
      <c r="S1286" s="26">
        <v>12</v>
      </c>
      <c r="T1286" s="26">
        <v>2</v>
      </c>
      <c r="U1286" s="26">
        <v>16</v>
      </c>
      <c r="V1286" s="26">
        <v>1</v>
      </c>
      <c r="W1286" s="26"/>
    </row>
    <row r="1287" spans="1:23" x14ac:dyDescent="0.25">
      <c r="A1287" s="26" t="str">
        <f t="shared" si="223"/>
        <v>SECUNDARIA</v>
      </c>
      <c r="B1287" s="26" t="str">
        <f>"09PES0969J"</f>
        <v>09PES0969J</v>
      </c>
      <c r="C1287" s="26" t="str">
        <f>"SECUNDARIA JORGE ORNELAS                                                                            "</f>
        <v xml:space="preserve">SECUNDARIA JORGE ORNELAS                                                                            </v>
      </c>
      <c r="D1287" s="26" t="str">
        <f t="shared" si="219"/>
        <v>MATUTINO</v>
      </c>
      <c r="E1287" s="26" t="str">
        <f>"PRIMERA CERRADA DE IGNACIO ALLENDE NO 29                                        "</f>
        <v xml:space="preserve">PRIMERA CERRADA DE IGNACIO ALLENDE NO 29                                        </v>
      </c>
      <c r="F1287" s="26" t="str">
        <f>"ARGENTINA ANTIGUA                                                                                                                           "</f>
        <v xml:space="preserve">ARGENTINA ANTIGUA                                                                                                                           </v>
      </c>
      <c r="G1287" s="26" t="str">
        <f>"MIGUEL HIDALGO                                                                  "</f>
        <v xml:space="preserve">MIGUEL HIDALGO                                                                  </v>
      </c>
      <c r="H1287" s="26" t="str">
        <f>"062"</f>
        <v>062</v>
      </c>
      <c r="I1287" s="26" t="str">
        <f t="shared" si="224"/>
        <v>00</v>
      </c>
      <c r="J1287" s="26" t="str">
        <f>"51 "</f>
        <v xml:space="preserve">51 </v>
      </c>
      <c r="K1287" s="26" t="str">
        <f t="shared" si="220"/>
        <v>SG</v>
      </c>
      <c r="L1287" s="26" t="str">
        <f t="shared" si="221"/>
        <v>DGOSE</v>
      </c>
      <c r="M1287" s="26" t="str">
        <f t="shared" si="213"/>
        <v>PARTICULAR</v>
      </c>
      <c r="N1287" s="26">
        <v>36</v>
      </c>
      <c r="O1287" s="26">
        <v>22</v>
      </c>
      <c r="P1287" s="26">
        <v>14</v>
      </c>
      <c r="Q1287" s="26">
        <v>3</v>
      </c>
      <c r="R1287" s="26">
        <v>0</v>
      </c>
      <c r="S1287" s="26">
        <v>11</v>
      </c>
      <c r="T1287" s="26">
        <v>0</v>
      </c>
      <c r="U1287" s="26">
        <v>11</v>
      </c>
      <c r="V1287" s="26">
        <v>1</v>
      </c>
      <c r="W1287" s="26"/>
    </row>
    <row r="1288" spans="1:23" x14ac:dyDescent="0.25">
      <c r="A1288" s="26" t="str">
        <f t="shared" si="223"/>
        <v>SECUNDARIA</v>
      </c>
      <c r="B1288" s="26" t="str">
        <f>"09PES0970Z"</f>
        <v>09PES0970Z</v>
      </c>
      <c r="C1288" s="26" t="str">
        <f>"INSTITUTO PATRIA TERCER MILENIO A.C.                                                                "</f>
        <v xml:space="preserve">INSTITUTO PATRIA TERCER MILENIO A.C.                                                                </v>
      </c>
      <c r="D1288" s="26" t="str">
        <f t="shared" si="219"/>
        <v>MATUTINO</v>
      </c>
      <c r="E1288" s="26" t="str">
        <f>"CALLE CONDOR NO 214                                                             "</f>
        <v xml:space="preserve">CALLE CONDOR NO 214                                                             </v>
      </c>
      <c r="F1288" s="26" t="str">
        <f>"ALPES                                                                                                                                       "</f>
        <v xml:space="preserve">ALPES                                                                                                                                       </v>
      </c>
      <c r="G1288" s="26" t="str">
        <f>"ALVARO OBREGON                                                                  "</f>
        <v xml:space="preserve">ALVARO OBREGON                                                                  </v>
      </c>
      <c r="H1288" s="26" t="str">
        <f>"000"</f>
        <v>000</v>
      </c>
      <c r="I1288" s="26" t="str">
        <f t="shared" si="224"/>
        <v>00</v>
      </c>
      <c r="J1288" s="26" t="str">
        <f>"53 "</f>
        <v xml:space="preserve">53 </v>
      </c>
      <c r="K1288" s="26" t="str">
        <f t="shared" si="220"/>
        <v>SG</v>
      </c>
      <c r="L1288" s="26" t="str">
        <f t="shared" si="221"/>
        <v>DGOSE</v>
      </c>
      <c r="M1288" s="26" t="str">
        <f t="shared" si="213"/>
        <v>PARTICULAR</v>
      </c>
      <c r="N1288" s="26">
        <v>33</v>
      </c>
      <c r="O1288" s="26">
        <v>23</v>
      </c>
      <c r="P1288" s="26">
        <v>10</v>
      </c>
      <c r="Q1288" s="26">
        <v>3</v>
      </c>
      <c r="R1288" s="26">
        <v>2</v>
      </c>
      <c r="S1288" s="26">
        <v>14</v>
      </c>
      <c r="T1288" s="26">
        <v>1</v>
      </c>
      <c r="U1288" s="26">
        <v>17</v>
      </c>
      <c r="V1288" s="26">
        <v>1</v>
      </c>
      <c r="W1288" s="26"/>
    </row>
    <row r="1289" spans="1:23" x14ac:dyDescent="0.25">
      <c r="A1289" s="26" t="str">
        <f t="shared" si="223"/>
        <v>SECUNDARIA</v>
      </c>
      <c r="B1289" s="26" t="str">
        <f>"09PES0971Y"</f>
        <v>09PES0971Y</v>
      </c>
      <c r="C1289" s="26" t="str">
        <f>"COLEGIO MONTESQUIEU SECUNDARIA                                                                      "</f>
        <v xml:space="preserve">COLEGIO MONTESQUIEU SECUNDARIA                                                                      </v>
      </c>
      <c r="D1289" s="26" t="str">
        <f t="shared" si="219"/>
        <v>MATUTINO</v>
      </c>
      <c r="E1289" s="26" t="str">
        <f>"CALLE 10 NUMERO 110                                                             "</f>
        <v xml:space="preserve">CALLE 10 NUMERO 110                                                             </v>
      </c>
      <c r="F1289" s="26" t="str">
        <f>"ESPARTACO                                                                                                                                   "</f>
        <v xml:space="preserve">ESPARTACO                                                                                                                                   </v>
      </c>
      <c r="G1289" s="26" t="str">
        <f>"COYOACAN                                                                        "</f>
        <v xml:space="preserve">COYOACAN                                                                        </v>
      </c>
      <c r="H1289" s="26" t="str">
        <f>"022"</f>
        <v>022</v>
      </c>
      <c r="I1289" s="26" t="str">
        <f>"  "</f>
        <v xml:space="preserve">  </v>
      </c>
      <c r="J1289" s="26" t="str">
        <f>"54 "</f>
        <v xml:space="preserve">54 </v>
      </c>
      <c r="K1289" s="26" t="str">
        <f t="shared" si="220"/>
        <v>SG</v>
      </c>
      <c r="L1289" s="26" t="str">
        <f t="shared" si="221"/>
        <v>DGOSE</v>
      </c>
      <c r="M1289" s="26" t="str">
        <f t="shared" si="213"/>
        <v>PARTICULAR</v>
      </c>
      <c r="N1289" s="26">
        <v>52</v>
      </c>
      <c r="O1289" s="26">
        <v>24</v>
      </c>
      <c r="P1289" s="26">
        <v>28</v>
      </c>
      <c r="Q1289" s="26">
        <v>4</v>
      </c>
      <c r="R1289" s="26">
        <v>1</v>
      </c>
      <c r="S1289" s="26">
        <v>13</v>
      </c>
      <c r="T1289" s="26">
        <v>0</v>
      </c>
      <c r="U1289" s="26">
        <v>14</v>
      </c>
      <c r="V1289" s="26">
        <v>1</v>
      </c>
      <c r="W1289" s="26"/>
    </row>
    <row r="1290" spans="1:23" x14ac:dyDescent="0.25">
      <c r="A1290" s="26" t="str">
        <f t="shared" si="223"/>
        <v>SECUNDARIA</v>
      </c>
      <c r="B1290" s="26" t="str">
        <f>"09PES0972X"</f>
        <v>09PES0972X</v>
      </c>
      <c r="C1290" s="26" t="str">
        <f>"ARNOLD GESELL                                                                                       "</f>
        <v xml:space="preserve">ARNOLD GESELL                                                                                       </v>
      </c>
      <c r="D1290" s="26" t="str">
        <f t="shared" si="219"/>
        <v>MATUTINO</v>
      </c>
      <c r="E1290" s="26" t="str">
        <f>"MELCHOR LOTE 8 MANZANA C                                                        "</f>
        <v xml:space="preserve">MELCHOR LOTE 8 MANZANA C                                                        </v>
      </c>
      <c r="F1290" s="26" t="str">
        <f>"GRANJAS DE NAVIDAD                                                                                                                          "</f>
        <v xml:space="preserve">GRANJAS DE NAVIDAD                                                                                                                          </v>
      </c>
      <c r="G1290" s="26" t="str">
        <f>"CUAJIMALPA DE MORELOS                                                           "</f>
        <v xml:space="preserve">CUAJIMALPA DE MORELOS                                                           </v>
      </c>
      <c r="H1290" s="26" t="str">
        <f>"023"</f>
        <v>023</v>
      </c>
      <c r="I1290" s="26" t="str">
        <f>"  "</f>
        <v xml:space="preserve">  </v>
      </c>
      <c r="J1290" s="26" t="str">
        <f>"53 "</f>
        <v xml:space="preserve">53 </v>
      </c>
      <c r="K1290" s="26" t="str">
        <f t="shared" si="220"/>
        <v>SG</v>
      </c>
      <c r="L1290" s="26" t="str">
        <f t="shared" si="221"/>
        <v>DGOSE</v>
      </c>
      <c r="M1290" s="26" t="str">
        <f t="shared" si="213"/>
        <v>PARTICULAR</v>
      </c>
      <c r="N1290" s="26">
        <v>33</v>
      </c>
      <c r="O1290" s="26">
        <v>19</v>
      </c>
      <c r="P1290" s="26">
        <v>14</v>
      </c>
      <c r="Q1290" s="26">
        <v>3</v>
      </c>
      <c r="R1290" s="26">
        <v>1</v>
      </c>
      <c r="S1290" s="26">
        <v>10</v>
      </c>
      <c r="T1290" s="26">
        <v>0</v>
      </c>
      <c r="U1290" s="26">
        <v>11</v>
      </c>
      <c r="V1290" s="26">
        <v>1</v>
      </c>
      <c r="W1290" s="26"/>
    </row>
    <row r="1291" spans="1:23" x14ac:dyDescent="0.25">
      <c r="A1291" s="26" t="str">
        <f t="shared" si="223"/>
        <v>SECUNDARIA</v>
      </c>
      <c r="B1291" s="26" t="str">
        <f>"09PES0974V"</f>
        <v>09PES0974V</v>
      </c>
      <c r="C1291" s="26" t="str">
        <f>"COLEGIO  CARLO TANCREDI                                                                             "</f>
        <v xml:space="preserve">COLEGIO  CARLO TANCREDI                                                                             </v>
      </c>
      <c r="D1291" s="26" t="str">
        <f t="shared" si="219"/>
        <v>MATUTINO</v>
      </c>
      <c r="E1291" s="26" t="str">
        <f>"ORQUIDEA NUMERO 4                                                               "</f>
        <v xml:space="preserve">ORQUIDEA NUMERO 4                                                               </v>
      </c>
      <c r="F1291" s="26" t="str">
        <f>"SAN PEDRO MARTIR                                                                                                                            "</f>
        <v xml:space="preserve">SAN PEDRO MARTIR                                                                                                                            </v>
      </c>
      <c r="G1291" s="26" t="str">
        <f>"TLALPAN                                                                         "</f>
        <v xml:space="preserve">TLALPAN                                                                         </v>
      </c>
      <c r="H1291" s="26" t="str">
        <f>"069"</f>
        <v>069</v>
      </c>
      <c r="I1291" s="26" t="str">
        <f>"00"</f>
        <v>00</v>
      </c>
      <c r="J1291" s="26" t="str">
        <f>"55 "</f>
        <v xml:space="preserve">55 </v>
      </c>
      <c r="K1291" s="26" t="str">
        <f t="shared" si="220"/>
        <v>SG</v>
      </c>
      <c r="L1291" s="26" t="str">
        <f t="shared" si="221"/>
        <v>DGOSE</v>
      </c>
      <c r="M1291" s="26" t="str">
        <f t="shared" si="213"/>
        <v>PARTICULAR</v>
      </c>
      <c r="N1291" s="26">
        <v>38</v>
      </c>
      <c r="O1291" s="26">
        <v>23</v>
      </c>
      <c r="P1291" s="26">
        <v>15</v>
      </c>
      <c r="Q1291" s="26">
        <v>3</v>
      </c>
      <c r="R1291" s="26">
        <v>1</v>
      </c>
      <c r="S1291" s="26">
        <v>7</v>
      </c>
      <c r="T1291" s="26">
        <v>1</v>
      </c>
      <c r="U1291" s="26">
        <v>9</v>
      </c>
      <c r="V1291" s="26">
        <v>1</v>
      </c>
      <c r="W1291" s="26"/>
    </row>
    <row r="1292" spans="1:23" x14ac:dyDescent="0.25">
      <c r="A1292" s="26" t="str">
        <f t="shared" si="223"/>
        <v>SECUNDARIA</v>
      </c>
      <c r="B1292" s="26" t="str">
        <f>"09PES0975U"</f>
        <v>09PES0975U</v>
      </c>
      <c r="C1292" s="26" t="str">
        <f>"JOHN FITZGERALD KENNEDY                                                                             "</f>
        <v xml:space="preserve">JOHN FITZGERALD KENNEDY                                                                             </v>
      </c>
      <c r="D1292" s="26" t="str">
        <f t="shared" si="219"/>
        <v>MATUTINO</v>
      </c>
      <c r="E1292" s="26" t="str">
        <f>"AVENIDA XOCHIMILCO NUMERO 195                                                   "</f>
        <v xml:space="preserve">AVENIDA XOCHIMILCO NUMERO 195                                                   </v>
      </c>
      <c r="F1292" s="26" t="str">
        <f>"SANTA CRUZ XOCHITEPEC                                                                                                                       "</f>
        <v xml:space="preserve">SANTA CRUZ XOCHITEPEC                                                                                                                       </v>
      </c>
      <c r="G1292" s="26" t="str">
        <f>"XOCHIMILCO                                                                      "</f>
        <v xml:space="preserve">XOCHIMILCO                                                                      </v>
      </c>
      <c r="H1292" s="26" t="str">
        <f>"079"</f>
        <v>079</v>
      </c>
      <c r="I1292" s="26" t="str">
        <f>"  "</f>
        <v xml:space="preserve">  </v>
      </c>
      <c r="J1292" s="26" t="str">
        <f>"55 "</f>
        <v xml:space="preserve">55 </v>
      </c>
      <c r="K1292" s="26" t="str">
        <f t="shared" si="220"/>
        <v>SG</v>
      </c>
      <c r="L1292" s="26" t="str">
        <f t="shared" si="221"/>
        <v>DGOSE</v>
      </c>
      <c r="M1292" s="26" t="str">
        <f t="shared" si="213"/>
        <v>PARTICULAR</v>
      </c>
      <c r="N1292" s="26">
        <v>33</v>
      </c>
      <c r="O1292" s="26">
        <v>14</v>
      </c>
      <c r="P1292" s="26">
        <v>19</v>
      </c>
      <c r="Q1292" s="26">
        <v>3</v>
      </c>
      <c r="R1292" s="26">
        <v>1</v>
      </c>
      <c r="S1292" s="26">
        <v>10</v>
      </c>
      <c r="T1292" s="26">
        <v>2</v>
      </c>
      <c r="U1292" s="26">
        <v>13</v>
      </c>
      <c r="V1292" s="26">
        <v>1</v>
      </c>
      <c r="W1292" s="26"/>
    </row>
    <row r="1293" spans="1:23" x14ac:dyDescent="0.25">
      <c r="A1293" s="26" t="str">
        <f t="shared" si="223"/>
        <v>SECUNDARIA</v>
      </c>
      <c r="B1293" s="26" t="str">
        <f>"09PES0976T"</f>
        <v>09PES0976T</v>
      </c>
      <c r="C1293" s="26" t="str">
        <f>"COLEGIO HUMANISTA DE LAS AMERICAS                                                                   "</f>
        <v xml:space="preserve">COLEGIO HUMANISTA DE LAS AMERICAS                                                                   </v>
      </c>
      <c r="D1293" s="26" t="str">
        <f t="shared" si="219"/>
        <v>MATUTINO</v>
      </c>
      <c r="E1293" s="26" t="str">
        <f>"24 DE MARZO DE 1857 S/N MZ. 187 LT. 2209                                        "</f>
        <v xml:space="preserve">24 DE MARZO DE 1857 S/N MZ. 187 LT. 2209                                        </v>
      </c>
      <c r="F1293" s="26" t="str">
        <f>"LEYES DE REFORMA                                                                                                                            "</f>
        <v xml:space="preserve">LEYES DE REFORMA                                                                                                                            </v>
      </c>
      <c r="G1293" s="26" t="str">
        <f>"IZTAPALAPA                                                                      "</f>
        <v xml:space="preserve">IZTAPALAPA                                                                      </v>
      </c>
      <c r="H1293" s="26" t="str">
        <f>"   "</f>
        <v xml:space="preserve">   </v>
      </c>
      <c r="I1293" s="26" t="str">
        <f>"  "</f>
        <v xml:space="preserve">  </v>
      </c>
      <c r="J1293" s="26" t="str">
        <f>"61 "</f>
        <v xml:space="preserve">61 </v>
      </c>
      <c r="K1293" s="26" t="str">
        <f>"IZ"</f>
        <v>IZ</v>
      </c>
      <c r="L1293" s="26" t="str">
        <f>"DGSEI"</f>
        <v>DGSEI</v>
      </c>
      <c r="M1293" s="26" t="str">
        <f t="shared" si="213"/>
        <v>PARTICULAR</v>
      </c>
      <c r="N1293" s="26">
        <v>107</v>
      </c>
      <c r="O1293" s="26">
        <v>56</v>
      </c>
      <c r="P1293" s="26">
        <v>51</v>
      </c>
      <c r="Q1293" s="26">
        <v>6</v>
      </c>
      <c r="R1293" s="26">
        <v>1</v>
      </c>
      <c r="S1293" s="26">
        <v>9</v>
      </c>
      <c r="T1293" s="26">
        <v>0</v>
      </c>
      <c r="U1293" s="26">
        <v>10</v>
      </c>
      <c r="V1293" s="26">
        <v>1</v>
      </c>
      <c r="W1293" s="26"/>
    </row>
    <row r="1294" spans="1:23" x14ac:dyDescent="0.25">
      <c r="A1294" s="26" t="str">
        <f t="shared" si="223"/>
        <v>SECUNDARIA</v>
      </c>
      <c r="B1294" s="26" t="str">
        <f>"09PES0977S"</f>
        <v>09PES0977S</v>
      </c>
      <c r="C1294" s="26" t="str">
        <f>"COLEGIO AMERICANO CAMPUS NORTE                                                                      "</f>
        <v xml:space="preserve">COLEGIO AMERICANO CAMPUS NORTE                                                                      </v>
      </c>
      <c r="D1294" s="26" t="str">
        <f t="shared" si="219"/>
        <v>MATUTINO</v>
      </c>
      <c r="E1294" s="26" t="str">
        <f>"CALZADA AZCAPOTZALCO LA VILLA NUMERO 262                                        "</f>
        <v xml:space="preserve">CALZADA AZCAPOTZALCO LA VILLA NUMERO 262                                        </v>
      </c>
      <c r="F1294" s="26" t="str">
        <f>"SANTA CATARINA                                                                                                                              "</f>
        <v xml:space="preserve">SANTA CATARINA                                                                                                                              </v>
      </c>
      <c r="G1294" s="26" t="str">
        <f>"AZCAPOTZALCO                                                                    "</f>
        <v xml:space="preserve">AZCAPOTZALCO                                                                    </v>
      </c>
      <c r="H1294" s="26" t="str">
        <f>"08 "</f>
        <v xml:space="preserve">08 </v>
      </c>
      <c r="I1294" s="26" t="str">
        <f>"  "</f>
        <v xml:space="preserve">  </v>
      </c>
      <c r="J1294" s="26" t="str">
        <f>"51 "</f>
        <v xml:space="preserve">51 </v>
      </c>
      <c r="K1294" s="26" t="str">
        <f>"SG"</f>
        <v>SG</v>
      </c>
      <c r="L1294" s="26" t="str">
        <f>"DGOSE"</f>
        <v>DGOSE</v>
      </c>
      <c r="M1294" s="26" t="str">
        <f t="shared" si="213"/>
        <v>PARTICULAR</v>
      </c>
      <c r="N1294" s="26">
        <v>14</v>
      </c>
      <c r="O1294" s="26">
        <v>9</v>
      </c>
      <c r="P1294" s="26">
        <v>5</v>
      </c>
      <c r="Q1294" s="26">
        <v>3</v>
      </c>
      <c r="R1294" s="26">
        <v>1</v>
      </c>
      <c r="S1294" s="26">
        <v>10</v>
      </c>
      <c r="T1294" s="26">
        <v>0</v>
      </c>
      <c r="U1294" s="26">
        <v>11</v>
      </c>
      <c r="V1294" s="26">
        <v>1</v>
      </c>
      <c r="W1294" s="26"/>
    </row>
    <row r="1295" spans="1:23" x14ac:dyDescent="0.25">
      <c r="A1295" s="26" t="str">
        <f t="shared" si="223"/>
        <v>SECUNDARIA</v>
      </c>
      <c r="B1295" s="26" t="str">
        <f>"09PES0978R"</f>
        <v>09PES0978R</v>
      </c>
      <c r="C1295" s="26" t="str">
        <f>"COLEGIO NUEVO MILENIO SECUNDARIA                                                                    "</f>
        <v xml:space="preserve">COLEGIO NUEVO MILENIO SECUNDARIA                                                                    </v>
      </c>
      <c r="D1295" s="26" t="str">
        <f t="shared" si="219"/>
        <v>MATUTINO</v>
      </c>
      <c r="E1295" s="26" t="str">
        <f>"FRANCISCO JAMBRINA NUMERO 16                                                    "</f>
        <v xml:space="preserve">FRANCISCO JAMBRINA NUMERO 16                                                    </v>
      </c>
      <c r="F1295" s="26" t="str">
        <f>"LA FORESTAL                                                                                                                                 "</f>
        <v xml:space="preserve">LA FORESTAL                                                                                                                                 </v>
      </c>
      <c r="G1295" s="26" t="str">
        <f>"GUSTAVO A. MADERO                                                               "</f>
        <v xml:space="preserve">GUSTAVO A. MADERO                                                               </v>
      </c>
      <c r="H1295" s="26" t="str">
        <f>"31 "</f>
        <v xml:space="preserve">31 </v>
      </c>
      <c r="I1295" s="26" t="str">
        <f>"  "</f>
        <v xml:space="preserve">  </v>
      </c>
      <c r="J1295" s="26" t="str">
        <f>"52 "</f>
        <v xml:space="preserve">52 </v>
      </c>
      <c r="K1295" s="26" t="str">
        <f>"SG"</f>
        <v>SG</v>
      </c>
      <c r="L1295" s="26" t="str">
        <f>"DGOSE"</f>
        <v>DGOSE</v>
      </c>
      <c r="M1295" s="26" t="str">
        <f t="shared" si="213"/>
        <v>PARTICULAR</v>
      </c>
      <c r="N1295" s="26">
        <v>106</v>
      </c>
      <c r="O1295" s="26">
        <v>60</v>
      </c>
      <c r="P1295" s="26">
        <v>46</v>
      </c>
      <c r="Q1295" s="26">
        <v>5</v>
      </c>
      <c r="R1295" s="26">
        <v>0</v>
      </c>
      <c r="S1295" s="26">
        <v>10</v>
      </c>
      <c r="T1295" s="26">
        <v>2</v>
      </c>
      <c r="U1295" s="26">
        <v>12</v>
      </c>
      <c r="V1295" s="26">
        <v>1</v>
      </c>
      <c r="W1295" s="26"/>
    </row>
    <row r="1296" spans="1:23" x14ac:dyDescent="0.25">
      <c r="A1296" s="26" t="str">
        <f t="shared" si="223"/>
        <v>SECUNDARIA</v>
      </c>
      <c r="B1296" s="26" t="str">
        <f>"09PES0979Q"</f>
        <v>09PES0979Q</v>
      </c>
      <c r="C1296" s="26" t="str">
        <f>"COLEGIO SENTIMIENTOS DE LA NACION JOSE MA. MORELOS Y PAVON                                          "</f>
        <v xml:space="preserve">COLEGIO SENTIMIENTOS DE LA NACION JOSE MA. MORELOS Y PAVON                                          </v>
      </c>
      <c r="D1296" s="26" t="str">
        <f t="shared" si="219"/>
        <v>MATUTINO</v>
      </c>
      <c r="E1296" s="26" t="str">
        <f>"EJIDO MANZANA 11 LOTE 95                                                        "</f>
        <v xml:space="preserve">EJIDO MANZANA 11 LOTE 95                                                        </v>
      </c>
      <c r="F1296" s="26" t="str">
        <f>"25 DE JULIO                                                                                                                                 "</f>
        <v xml:space="preserve">25 DE JULIO                                                                                                                                 </v>
      </c>
      <c r="G1296" s="26" t="str">
        <f>"GUSTAVO A. MADERO                                                               "</f>
        <v xml:space="preserve">GUSTAVO A. MADERO                                                               </v>
      </c>
      <c r="H1296" s="26" t="str">
        <f>"039"</f>
        <v>039</v>
      </c>
      <c r="I1296" s="26" t="str">
        <f>"00"</f>
        <v>00</v>
      </c>
      <c r="J1296" s="26" t="str">
        <f>"52 "</f>
        <v xml:space="preserve">52 </v>
      </c>
      <c r="K1296" s="26" t="str">
        <f>"SG"</f>
        <v>SG</v>
      </c>
      <c r="L1296" s="26" t="str">
        <f>"DGOSE"</f>
        <v>DGOSE</v>
      </c>
      <c r="M1296" s="26" t="str">
        <f t="shared" si="213"/>
        <v>PARTICULAR</v>
      </c>
      <c r="N1296" s="26">
        <v>20</v>
      </c>
      <c r="O1296" s="26">
        <v>12</v>
      </c>
      <c r="P1296" s="26">
        <v>8</v>
      </c>
      <c r="Q1296" s="26">
        <v>3</v>
      </c>
      <c r="R1296" s="26">
        <v>1</v>
      </c>
      <c r="S1296" s="26">
        <v>10</v>
      </c>
      <c r="T1296" s="26">
        <v>5</v>
      </c>
      <c r="U1296" s="26">
        <v>16</v>
      </c>
      <c r="V1296" s="26">
        <v>1</v>
      </c>
      <c r="W1296" s="26"/>
    </row>
    <row r="1297" spans="1:23" x14ac:dyDescent="0.25">
      <c r="A1297" s="26" t="str">
        <f t="shared" si="223"/>
        <v>SECUNDARIA</v>
      </c>
      <c r="B1297" s="26" t="str">
        <f>"09PES0980F"</f>
        <v>09PES0980F</v>
      </c>
      <c r="C1297" s="26" t="str">
        <f>"SECUNDARIA NAYBE CUAUTEPEC S.C.                                                                     "</f>
        <v xml:space="preserve">SECUNDARIA NAYBE CUAUTEPEC S.C.                                                                     </v>
      </c>
      <c r="D1297" s="26" t="str">
        <f t="shared" si="219"/>
        <v>MATUTINO</v>
      </c>
      <c r="E1297" s="26" t="str">
        <f>"FANNY SCHILLER NUMERO 83                                                        "</f>
        <v xml:space="preserve">FANNY SCHILLER NUMERO 83                                                        </v>
      </c>
      <c r="F1297" s="26" t="str">
        <f>"LA FORESTAL                                                                                                                                 "</f>
        <v xml:space="preserve">LA FORESTAL                                                                                                                                 </v>
      </c>
      <c r="G1297" s="26" t="str">
        <f>"GUSTAVO A. MADERO                                                               "</f>
        <v xml:space="preserve">GUSTAVO A. MADERO                                                               </v>
      </c>
      <c r="H1297" s="26" t="str">
        <f>"031"</f>
        <v>031</v>
      </c>
      <c r="I1297" s="26" t="str">
        <f>"00"</f>
        <v>00</v>
      </c>
      <c r="J1297" s="26" t="str">
        <f>"52 "</f>
        <v xml:space="preserve">52 </v>
      </c>
      <c r="K1297" s="26" t="str">
        <f>"SG"</f>
        <v>SG</v>
      </c>
      <c r="L1297" s="26" t="str">
        <f>"DGOSE"</f>
        <v>DGOSE</v>
      </c>
      <c r="M1297" s="26" t="str">
        <f t="shared" si="213"/>
        <v>PARTICULAR</v>
      </c>
      <c r="N1297" s="26">
        <v>37</v>
      </c>
      <c r="O1297" s="26">
        <v>21</v>
      </c>
      <c r="P1297" s="26">
        <v>16</v>
      </c>
      <c r="Q1297" s="26">
        <v>3</v>
      </c>
      <c r="R1297" s="26">
        <v>1</v>
      </c>
      <c r="S1297" s="26">
        <v>11</v>
      </c>
      <c r="T1297" s="26">
        <v>0</v>
      </c>
      <c r="U1297" s="26">
        <v>12</v>
      </c>
      <c r="V1297" s="26">
        <v>1</v>
      </c>
      <c r="W1297" s="26"/>
    </row>
    <row r="1298" spans="1:23" x14ac:dyDescent="0.25">
      <c r="A1298" s="26" t="str">
        <f t="shared" si="223"/>
        <v>SECUNDARIA</v>
      </c>
      <c r="B1298" s="26" t="str">
        <f>"09PES0981E"</f>
        <v>09PES0981E</v>
      </c>
      <c r="C1298" s="26" t="str">
        <f>"INSTITUTO VALLADOLID                                                                                "</f>
        <v xml:space="preserve">INSTITUTO VALLADOLID                                                                                </v>
      </c>
      <c r="D1298" s="26" t="str">
        <f t="shared" si="219"/>
        <v>MATUTINO</v>
      </c>
      <c r="E1298" s="26" t="str">
        <f>"CUAUHTEMOC NO. 15-B                                                             "</f>
        <v xml:space="preserve">CUAUHTEMOC NO. 15-B                                                             </v>
      </c>
      <c r="F1298" s="26" t="str">
        <f>"LOS REYES                                                                                                                                   "</f>
        <v xml:space="preserve">LOS REYES                                                                                                                                   </v>
      </c>
      <c r="G1298" s="26" t="str">
        <f>"IZTAPALAPA                                                                      "</f>
        <v xml:space="preserve">IZTAPALAPA                                                                      </v>
      </c>
      <c r="H1298" s="26" t="str">
        <f>"000"</f>
        <v>000</v>
      </c>
      <c r="I1298" s="26" t="str">
        <f>"  "</f>
        <v xml:space="preserve">  </v>
      </c>
      <c r="J1298" s="26" t="str">
        <f>"61 "</f>
        <v xml:space="preserve">61 </v>
      </c>
      <c r="K1298" s="26" t="str">
        <f>"IZ"</f>
        <v>IZ</v>
      </c>
      <c r="L1298" s="26" t="str">
        <f>"DGSEI"</f>
        <v>DGSEI</v>
      </c>
      <c r="M1298" s="26" t="str">
        <f t="shared" si="213"/>
        <v>PARTICULAR</v>
      </c>
      <c r="N1298" s="26">
        <v>82</v>
      </c>
      <c r="O1298" s="26">
        <v>37</v>
      </c>
      <c r="P1298" s="26">
        <v>45</v>
      </c>
      <c r="Q1298" s="26">
        <v>4</v>
      </c>
      <c r="R1298" s="26">
        <v>2</v>
      </c>
      <c r="S1298" s="26">
        <v>12</v>
      </c>
      <c r="T1298" s="26">
        <v>2</v>
      </c>
      <c r="U1298" s="26">
        <v>16</v>
      </c>
      <c r="V1298" s="26">
        <v>1</v>
      </c>
      <c r="W1298" s="26"/>
    </row>
    <row r="1299" spans="1:23" x14ac:dyDescent="0.25">
      <c r="A1299" s="26" t="str">
        <f t="shared" si="223"/>
        <v>SECUNDARIA</v>
      </c>
      <c r="B1299" s="26" t="str">
        <f>"09PES0982D"</f>
        <v>09PES0982D</v>
      </c>
      <c r="C1299" s="26" t="str">
        <f>"EHECATL                                                                                             "</f>
        <v xml:space="preserve">EHECATL                                                                                             </v>
      </c>
      <c r="D1299" s="26" t="str">
        <f t="shared" si="219"/>
        <v>MATUTINO</v>
      </c>
      <c r="E1299" s="26" t="str">
        <f>"CERRADA DE DILIGENCIAS NUM 23                                                   "</f>
        <v xml:space="preserve">CERRADA DE DILIGENCIAS NUM 23                                                   </v>
      </c>
      <c r="F1299" s="26" t="str">
        <f>"SAN PEDRO MARTIR                                                                                                                            "</f>
        <v xml:space="preserve">SAN PEDRO MARTIR                                                                                                                            </v>
      </c>
      <c r="G1299" s="26" t="str">
        <f>"TLALPAN                                                                         "</f>
        <v xml:space="preserve">TLALPAN                                                                         </v>
      </c>
      <c r="H1299" s="26" t="str">
        <f>"073"</f>
        <v>073</v>
      </c>
      <c r="I1299" s="26" t="str">
        <f>"  "</f>
        <v xml:space="preserve">  </v>
      </c>
      <c r="J1299" s="26" t="str">
        <f>"55 "</f>
        <v xml:space="preserve">55 </v>
      </c>
      <c r="K1299" s="26" t="str">
        <f t="shared" ref="K1299:K1304" si="225">"SG"</f>
        <v>SG</v>
      </c>
      <c r="L1299" s="26" t="str">
        <f t="shared" ref="L1299:L1304" si="226">"DGOSE"</f>
        <v>DGOSE</v>
      </c>
      <c r="M1299" s="26" t="str">
        <f t="shared" si="213"/>
        <v>PARTICULAR</v>
      </c>
      <c r="N1299" s="26">
        <v>14</v>
      </c>
      <c r="O1299" s="26">
        <v>7</v>
      </c>
      <c r="P1299" s="26">
        <v>7</v>
      </c>
      <c r="Q1299" s="26">
        <v>3</v>
      </c>
      <c r="R1299" s="26">
        <v>1</v>
      </c>
      <c r="S1299" s="26">
        <v>9</v>
      </c>
      <c r="T1299" s="26">
        <v>0</v>
      </c>
      <c r="U1299" s="26">
        <v>10</v>
      </c>
      <c r="V1299" s="26">
        <v>1</v>
      </c>
      <c r="W1299" s="26"/>
    </row>
    <row r="1300" spans="1:23" x14ac:dyDescent="0.25">
      <c r="A1300" s="26" t="str">
        <f t="shared" si="223"/>
        <v>SECUNDARIA</v>
      </c>
      <c r="B1300" s="26" t="str">
        <f>"09PES0983C"</f>
        <v>09PES0983C</v>
      </c>
      <c r="C1300" s="26" t="str">
        <f>"SECUNDARIA SALVADOR DÍAZ MIRÓN                                                                      "</f>
        <v xml:space="preserve">SECUNDARIA SALVADOR DÍAZ MIRÓN                                                                      </v>
      </c>
      <c r="D1300" s="26" t="str">
        <f t="shared" si="219"/>
        <v>MATUTINO</v>
      </c>
      <c r="E1300" s="26" t="str">
        <f>"ORIENTE 153 NUMERO 3723                                                         "</f>
        <v xml:space="preserve">ORIENTE 153 NUMERO 3723                                                         </v>
      </c>
      <c r="F1300" s="26" t="str">
        <f>"SALVADOR DIAZ MIRON                                                                                                                         "</f>
        <v xml:space="preserve">SALVADOR DIAZ MIRON                                                                                                                         </v>
      </c>
      <c r="G1300" s="26" t="str">
        <f>"GUSTAVO A. MADERO                                                               "</f>
        <v xml:space="preserve">GUSTAVO A. MADERO                                                               </v>
      </c>
      <c r="H1300" s="26" t="str">
        <f>"038"</f>
        <v>038</v>
      </c>
      <c r="I1300" s="26" t="str">
        <f>"00"</f>
        <v>00</v>
      </c>
      <c r="J1300" s="26" t="str">
        <f>"52 "</f>
        <v xml:space="preserve">52 </v>
      </c>
      <c r="K1300" s="26" t="str">
        <f t="shared" si="225"/>
        <v>SG</v>
      </c>
      <c r="L1300" s="26" t="str">
        <f t="shared" si="226"/>
        <v>DGOSE</v>
      </c>
      <c r="M1300" s="26" t="str">
        <f t="shared" si="213"/>
        <v>PARTICULAR</v>
      </c>
      <c r="N1300" s="26">
        <v>22</v>
      </c>
      <c r="O1300" s="26">
        <v>15</v>
      </c>
      <c r="P1300" s="26">
        <v>7</v>
      </c>
      <c r="Q1300" s="26">
        <v>3</v>
      </c>
      <c r="R1300" s="26">
        <v>0</v>
      </c>
      <c r="S1300" s="26">
        <v>9</v>
      </c>
      <c r="T1300" s="26">
        <v>1</v>
      </c>
      <c r="U1300" s="26">
        <v>10</v>
      </c>
      <c r="V1300" s="26">
        <v>1</v>
      </c>
      <c r="W1300" s="26"/>
    </row>
    <row r="1301" spans="1:23" x14ac:dyDescent="0.25">
      <c r="A1301" s="26" t="str">
        <f t="shared" si="223"/>
        <v>SECUNDARIA</v>
      </c>
      <c r="B1301" s="26" t="str">
        <f>"09PES0984B"</f>
        <v>09PES0984B</v>
      </c>
      <c r="C1301" s="26" t="str">
        <f>"CENTRO EDUCATIVO FERNANDO SAVATER                                                                   "</f>
        <v xml:space="preserve">CENTRO EDUCATIVO FERNANDO SAVATER                                                                   </v>
      </c>
      <c r="D1301" s="26" t="str">
        <f t="shared" si="219"/>
        <v>MATUTINO</v>
      </c>
      <c r="E1301" s="26" t="str">
        <f>"AVENIDA DE LAS TORRES NUMERO 88                                                 "</f>
        <v xml:space="preserve">AVENIDA DE LAS TORRES NUMERO 88                                                 </v>
      </c>
      <c r="F1301" s="26" t="str">
        <f>"MIGUEL HIDALGO                                                                                                                              "</f>
        <v xml:space="preserve">MIGUEL HIDALGO                                                                                                                              </v>
      </c>
      <c r="G1301" s="26" t="str">
        <f>"TLALPAN                                                                         "</f>
        <v xml:space="preserve">TLALPAN                                                                         </v>
      </c>
      <c r="H1301" s="26" t="str">
        <f>"071"</f>
        <v>071</v>
      </c>
      <c r="I1301" s="26" t="str">
        <f>"00"</f>
        <v>00</v>
      </c>
      <c r="J1301" s="26" t="str">
        <f>"55 "</f>
        <v xml:space="preserve">55 </v>
      </c>
      <c r="K1301" s="26" t="str">
        <f t="shared" si="225"/>
        <v>SG</v>
      </c>
      <c r="L1301" s="26" t="str">
        <f t="shared" si="226"/>
        <v>DGOSE</v>
      </c>
      <c r="M1301" s="26" t="str">
        <f t="shared" ref="M1301:M1365" si="227">"PARTICULAR"</f>
        <v>PARTICULAR</v>
      </c>
      <c r="N1301" s="26">
        <v>31</v>
      </c>
      <c r="O1301" s="26">
        <v>21</v>
      </c>
      <c r="P1301" s="26">
        <v>10</v>
      </c>
      <c r="Q1301" s="26">
        <v>3</v>
      </c>
      <c r="R1301" s="26">
        <v>2</v>
      </c>
      <c r="S1301" s="26">
        <v>13</v>
      </c>
      <c r="T1301" s="26">
        <v>1</v>
      </c>
      <c r="U1301" s="26">
        <v>16</v>
      </c>
      <c r="V1301" s="26">
        <v>1</v>
      </c>
      <c r="W1301" s="26"/>
    </row>
    <row r="1302" spans="1:23" x14ac:dyDescent="0.25">
      <c r="A1302" s="26" t="str">
        <f t="shared" si="223"/>
        <v>SECUNDARIA</v>
      </c>
      <c r="B1302" s="26" t="str">
        <f>"09PES0985A"</f>
        <v>09PES0985A</v>
      </c>
      <c r="C1302" s="26" t="str">
        <f>"COLEGIO FRESNOS                                                                                     "</f>
        <v xml:space="preserve">COLEGIO FRESNOS                                                                                     </v>
      </c>
      <c r="D1302" s="26" t="str">
        <f t="shared" si="219"/>
        <v>MATUTINO</v>
      </c>
      <c r="E1302" s="26" t="str">
        <f>"AHUATENCO NUM. 40                                                               "</f>
        <v xml:space="preserve">AHUATENCO NUM. 40                                                               </v>
      </c>
      <c r="F1302" s="26" t="str">
        <f>"CUAJIMALPA                                                                                                                                  "</f>
        <v xml:space="preserve">CUAJIMALPA                                                                                                                                  </v>
      </c>
      <c r="G1302" s="26" t="str">
        <f>"CUAJIMALPA DE MORELOS                                                           "</f>
        <v xml:space="preserve">CUAJIMALPA DE MORELOS                                                           </v>
      </c>
      <c r="H1302" s="26" t="str">
        <f>"023"</f>
        <v>023</v>
      </c>
      <c r="I1302" s="26" t="str">
        <f>"  "</f>
        <v xml:space="preserve">  </v>
      </c>
      <c r="J1302" s="26" t="str">
        <f>"53 "</f>
        <v xml:space="preserve">53 </v>
      </c>
      <c r="K1302" s="26" t="str">
        <f t="shared" si="225"/>
        <v>SG</v>
      </c>
      <c r="L1302" s="26" t="str">
        <f t="shared" si="226"/>
        <v>DGOSE</v>
      </c>
      <c r="M1302" s="26" t="str">
        <f t="shared" si="227"/>
        <v>PARTICULAR</v>
      </c>
      <c r="N1302" s="26">
        <v>30</v>
      </c>
      <c r="O1302" s="26">
        <v>16</v>
      </c>
      <c r="P1302" s="26">
        <v>14</v>
      </c>
      <c r="Q1302" s="26">
        <v>3</v>
      </c>
      <c r="R1302" s="26">
        <v>1</v>
      </c>
      <c r="S1302" s="26">
        <v>8</v>
      </c>
      <c r="T1302" s="26">
        <v>0</v>
      </c>
      <c r="U1302" s="26">
        <v>9</v>
      </c>
      <c r="V1302" s="26">
        <v>1</v>
      </c>
      <c r="W1302" s="26"/>
    </row>
    <row r="1303" spans="1:23" x14ac:dyDescent="0.25">
      <c r="A1303" s="26" t="str">
        <f t="shared" si="223"/>
        <v>SECUNDARIA</v>
      </c>
      <c r="B1303" s="26" t="str">
        <f>"09PES0986Z"</f>
        <v>09PES0986Z</v>
      </c>
      <c r="C1303" s="26" t="str">
        <f>"INSTITUTO PANAMERICANO DEL SUR                                                                      "</f>
        <v xml:space="preserve">INSTITUTO PANAMERICANO DEL SUR                                                                      </v>
      </c>
      <c r="D1303" s="26" t="str">
        <f t="shared" si="219"/>
        <v>MATUTINO</v>
      </c>
      <c r="E1303" s="26" t="str">
        <f>"ANAHUAC NUM. 83                                                                 "</f>
        <v xml:space="preserve">ANAHUAC NUM. 83                                                                 </v>
      </c>
      <c r="F1303" s="26" t="str">
        <f>"EL  MIRADOR                                                                                                                                 "</f>
        <v xml:space="preserve">EL  MIRADOR                                                                                                                                 </v>
      </c>
      <c r="G1303" s="26" t="str">
        <f>"COYOACAN                                                                        "</f>
        <v xml:space="preserve">COYOACAN                                                                        </v>
      </c>
      <c r="H1303" s="26" t="str">
        <f>"021"</f>
        <v>021</v>
      </c>
      <c r="I1303" s="26" t="str">
        <f t="shared" ref="I1303:I1354" si="228">"00"</f>
        <v>00</v>
      </c>
      <c r="J1303" s="26" t="str">
        <f>"56 "</f>
        <v xml:space="preserve">56 </v>
      </c>
      <c r="K1303" s="26" t="str">
        <f t="shared" si="225"/>
        <v>SG</v>
      </c>
      <c r="L1303" s="26" t="str">
        <f t="shared" si="226"/>
        <v>DGOSE</v>
      </c>
      <c r="M1303" s="26" t="str">
        <f t="shared" si="227"/>
        <v>PARTICULAR</v>
      </c>
      <c r="N1303" s="26">
        <v>31</v>
      </c>
      <c r="O1303" s="26">
        <v>20</v>
      </c>
      <c r="P1303" s="26">
        <v>11</v>
      </c>
      <c r="Q1303" s="26">
        <v>3</v>
      </c>
      <c r="R1303" s="26">
        <v>1</v>
      </c>
      <c r="S1303" s="26">
        <v>10</v>
      </c>
      <c r="T1303" s="26">
        <v>0</v>
      </c>
      <c r="U1303" s="26">
        <v>11</v>
      </c>
      <c r="V1303" s="26">
        <v>1</v>
      </c>
      <c r="W1303" s="26"/>
    </row>
    <row r="1304" spans="1:23" x14ac:dyDescent="0.25">
      <c r="A1304" s="26" t="str">
        <f t="shared" si="223"/>
        <v>SECUNDARIA</v>
      </c>
      <c r="B1304" s="26" t="str">
        <f>"09PES0987Z"</f>
        <v>09PES0987Z</v>
      </c>
      <c r="C1304" s="26" t="str">
        <f>"COLEGIO LOMAS HILL                                                                                  "</f>
        <v xml:space="preserve">COLEGIO LOMAS HILL                                                                                  </v>
      </c>
      <c r="D1304" s="26" t="str">
        <f t="shared" si="219"/>
        <v>MATUTINO</v>
      </c>
      <c r="E1304" s="26" t="str">
        <f>"AVENIDA VERACRUZ NO 158                                                         "</f>
        <v xml:space="preserve">AVENIDA VERACRUZ NO 158                                                         </v>
      </c>
      <c r="F1304" s="26" t="str">
        <f>"CUAJIMALPA                                                                                                                                  "</f>
        <v xml:space="preserve">CUAJIMALPA                                                                                                                                  </v>
      </c>
      <c r="G1304" s="26" t="str">
        <f>"CUAJIMALPA DE MORELOS                                                           "</f>
        <v xml:space="preserve">CUAJIMALPA DE MORELOS                                                           </v>
      </c>
      <c r="H1304" s="26" t="str">
        <f>"024"</f>
        <v>024</v>
      </c>
      <c r="I1304" s="26" t="str">
        <f t="shared" si="228"/>
        <v>00</v>
      </c>
      <c r="J1304" s="26" t="str">
        <f>"55 "</f>
        <v xml:space="preserve">55 </v>
      </c>
      <c r="K1304" s="26" t="str">
        <f t="shared" si="225"/>
        <v>SG</v>
      </c>
      <c r="L1304" s="26" t="str">
        <f t="shared" si="226"/>
        <v>DGOSE</v>
      </c>
      <c r="M1304" s="26" t="str">
        <f t="shared" si="227"/>
        <v>PARTICULAR</v>
      </c>
      <c r="N1304" s="26">
        <v>29</v>
      </c>
      <c r="O1304" s="26">
        <v>12</v>
      </c>
      <c r="P1304" s="26">
        <v>17</v>
      </c>
      <c r="Q1304" s="26">
        <v>3</v>
      </c>
      <c r="R1304" s="26">
        <v>1</v>
      </c>
      <c r="S1304" s="26">
        <v>10</v>
      </c>
      <c r="T1304" s="26">
        <v>0</v>
      </c>
      <c r="U1304" s="26">
        <v>11</v>
      </c>
      <c r="V1304" s="26">
        <v>1</v>
      </c>
      <c r="W1304" s="26"/>
    </row>
    <row r="1305" spans="1:23" x14ac:dyDescent="0.25">
      <c r="A1305" s="26" t="str">
        <f t="shared" si="223"/>
        <v>SECUNDARIA</v>
      </c>
      <c r="B1305" s="26" t="str">
        <f>"09PES0988Y"</f>
        <v>09PES0988Y</v>
      </c>
      <c r="C1305" s="26" t="str">
        <f>"COLEGIO IBEROAMERICANO                                                                              "</f>
        <v xml:space="preserve">COLEGIO IBEROAMERICANO                                                                              </v>
      </c>
      <c r="D1305" s="26" t="str">
        <f t="shared" si="219"/>
        <v>MATUTINO</v>
      </c>
      <c r="E1305" s="26" t="str">
        <f>"GRAL. FLORENCIO ANTILLON NO. 136                                                "</f>
        <v xml:space="preserve">GRAL. FLORENCIO ANTILLON NO. 136                                                </v>
      </c>
      <c r="F1305" s="26" t="str">
        <f>"JUAN ESCUTIA                                                                                                                                "</f>
        <v xml:space="preserve">JUAN ESCUTIA                                                                                                                                </v>
      </c>
      <c r="G1305" s="26" t="str">
        <f>"IZTAPALAPA                                                                      "</f>
        <v xml:space="preserve">IZTAPALAPA                                                                      </v>
      </c>
      <c r="H1305" s="26" t="str">
        <f>"000"</f>
        <v>000</v>
      </c>
      <c r="I1305" s="26" t="str">
        <f t="shared" si="228"/>
        <v>00</v>
      </c>
      <c r="J1305" s="26" t="str">
        <f>"62 "</f>
        <v xml:space="preserve">62 </v>
      </c>
      <c r="K1305" s="26" t="str">
        <f>"IZ"</f>
        <v>IZ</v>
      </c>
      <c r="L1305" s="26" t="str">
        <f>"DGSEI"</f>
        <v>DGSEI</v>
      </c>
      <c r="M1305" s="26" t="str">
        <f t="shared" si="227"/>
        <v>PARTICULAR</v>
      </c>
      <c r="N1305" s="26">
        <v>35</v>
      </c>
      <c r="O1305" s="26">
        <v>16</v>
      </c>
      <c r="P1305" s="26">
        <v>19</v>
      </c>
      <c r="Q1305" s="26">
        <v>3</v>
      </c>
      <c r="R1305" s="26">
        <v>1</v>
      </c>
      <c r="S1305" s="26">
        <v>8</v>
      </c>
      <c r="T1305" s="26">
        <v>4</v>
      </c>
      <c r="U1305" s="26">
        <v>13</v>
      </c>
      <c r="V1305" s="26">
        <v>1</v>
      </c>
      <c r="W1305" s="26"/>
    </row>
    <row r="1306" spans="1:23" x14ac:dyDescent="0.25">
      <c r="A1306" s="26" t="str">
        <f t="shared" si="223"/>
        <v>SECUNDARIA</v>
      </c>
      <c r="B1306" s="26" t="str">
        <f>"09PES0989X"</f>
        <v>09PES0989X</v>
      </c>
      <c r="C1306" s="26" t="str">
        <f>"INSTITUTO INESIANO SECUNDARIA                                                                       "</f>
        <v xml:space="preserve">INSTITUTO INESIANO SECUNDARIA                                                                       </v>
      </c>
      <c r="D1306" s="26" t="str">
        <f>"JORNADA AMPLIADA"</f>
        <v>JORNADA AMPLIADA</v>
      </c>
      <c r="E1306" s="26" t="str">
        <f>"AMORES NO 923                                                                   "</f>
        <v xml:space="preserve">AMORES NO 923                                                                   </v>
      </c>
      <c r="F1306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1306" s="26" t="str">
        <f>"BENITO JUAREZ                                                                   "</f>
        <v xml:space="preserve">BENITO JUAREZ                                                                   </v>
      </c>
      <c r="H1306" s="26" t="str">
        <f>"014"</f>
        <v>014</v>
      </c>
      <c r="I1306" s="26" t="str">
        <f t="shared" si="228"/>
        <v>00</v>
      </c>
      <c r="J1306" s="26" t="str">
        <f>"51 "</f>
        <v xml:space="preserve">51 </v>
      </c>
      <c r="K1306" s="26" t="str">
        <f t="shared" ref="K1306:K1312" si="229">"SG"</f>
        <v>SG</v>
      </c>
      <c r="L1306" s="26" t="str">
        <f t="shared" ref="L1306:L1312" si="230">"DGOSE"</f>
        <v>DGOSE</v>
      </c>
      <c r="M1306" s="26" t="str">
        <f t="shared" si="227"/>
        <v>PARTICULAR</v>
      </c>
      <c r="N1306" s="26">
        <v>39</v>
      </c>
      <c r="O1306" s="26">
        <v>24</v>
      </c>
      <c r="P1306" s="26">
        <v>15</v>
      </c>
      <c r="Q1306" s="26">
        <v>3</v>
      </c>
      <c r="R1306" s="26">
        <v>2</v>
      </c>
      <c r="S1306" s="26">
        <v>10</v>
      </c>
      <c r="T1306" s="26">
        <v>0</v>
      </c>
      <c r="U1306" s="26">
        <v>12</v>
      </c>
      <c r="V1306" s="26">
        <v>1</v>
      </c>
      <c r="W1306" s="26"/>
    </row>
    <row r="1307" spans="1:23" x14ac:dyDescent="0.25">
      <c r="A1307" s="26" t="str">
        <f t="shared" si="223"/>
        <v>SECUNDARIA</v>
      </c>
      <c r="B1307" s="26" t="str">
        <f>"09PES0990M"</f>
        <v>09PES0990M</v>
      </c>
      <c r="C1307" s="26" t="str">
        <f>"TALLER EDUCATIVO MONTESSORI                                                                         "</f>
        <v xml:space="preserve">TALLER EDUCATIVO MONTESSORI                                                                         </v>
      </c>
      <c r="D1307" s="26" t="str">
        <f t="shared" ref="D1307:D1315" si="231">"MATUTINO"</f>
        <v>MATUTINO</v>
      </c>
      <c r="E1307" s="26" t="str">
        <f>"AVENIDA LOMA DEL PARQUE NUM. 182                                                "</f>
        <v xml:space="preserve">AVENIDA LOMA DEL PARQUE NUM. 182                                                </v>
      </c>
      <c r="F1307" s="26" t="str">
        <f>"LOMAS DE VISTA HERMOSA                                                                                                                      "</f>
        <v xml:space="preserve">LOMAS DE VISTA HERMOSA                                                                                                                      </v>
      </c>
      <c r="G1307" s="26" t="str">
        <f>"CUAJIMALPA DE MORELOS                                                           "</f>
        <v xml:space="preserve">CUAJIMALPA DE MORELOS                                                           </v>
      </c>
      <c r="H1307" s="26" t="str">
        <f>"   "</f>
        <v xml:space="preserve">   </v>
      </c>
      <c r="I1307" s="26" t="str">
        <f t="shared" si="228"/>
        <v>00</v>
      </c>
      <c r="J1307" s="26" t="str">
        <f>"55 "</f>
        <v xml:space="preserve">55 </v>
      </c>
      <c r="K1307" s="26" t="str">
        <f t="shared" si="229"/>
        <v>SG</v>
      </c>
      <c r="L1307" s="26" t="str">
        <f t="shared" si="230"/>
        <v>DGOSE</v>
      </c>
      <c r="M1307" s="26" t="str">
        <f t="shared" si="227"/>
        <v>PARTICULAR</v>
      </c>
      <c r="N1307" s="26">
        <v>58</v>
      </c>
      <c r="O1307" s="26">
        <v>32</v>
      </c>
      <c r="P1307" s="26">
        <v>26</v>
      </c>
      <c r="Q1307" s="26">
        <v>2</v>
      </c>
      <c r="R1307" s="26">
        <v>1</v>
      </c>
      <c r="S1307" s="26">
        <v>10</v>
      </c>
      <c r="T1307" s="26">
        <v>2</v>
      </c>
      <c r="U1307" s="26">
        <v>13</v>
      </c>
      <c r="V1307" s="26">
        <v>1</v>
      </c>
      <c r="W1307" s="26"/>
    </row>
    <row r="1308" spans="1:23" x14ac:dyDescent="0.25">
      <c r="A1308" s="26" t="str">
        <f t="shared" si="223"/>
        <v>SECUNDARIA</v>
      </c>
      <c r="B1308" s="26" t="str">
        <f>"09PES0991L"</f>
        <v>09PES0991L</v>
      </c>
      <c r="C1308" s="26" t="str">
        <f>"ESCUELA SECUNDARIA FERNANDO R. RODRÍGUEZ                                                            "</f>
        <v xml:space="preserve">ESCUELA SECUNDARIA FERNANDO R. RODRÍGUEZ                                                            </v>
      </c>
      <c r="D1308" s="26" t="str">
        <f t="shared" si="231"/>
        <v>MATUTINO</v>
      </c>
      <c r="E1308" s="26" t="str">
        <f>"ARENAL NO 36                                                                    "</f>
        <v xml:space="preserve">ARENAL NO 36                                                                    </v>
      </c>
      <c r="F1308" s="26" t="str">
        <f>"HACIENDA DE GUADALUPE CHIMALISTAC                                                                                                           "</f>
        <v xml:space="preserve">HACIENDA DE GUADALUPE CHIMALISTAC                                                                                                           </v>
      </c>
      <c r="G1308" s="26" t="str">
        <f>"ALVARO OBREGON                                                                  "</f>
        <v xml:space="preserve">ALVARO OBREGON                                                                  </v>
      </c>
      <c r="H1308" s="26" t="str">
        <f>"000"</f>
        <v>000</v>
      </c>
      <c r="I1308" s="26" t="str">
        <f t="shared" si="228"/>
        <v>00</v>
      </c>
      <c r="J1308" s="26" t="str">
        <f>"55 "</f>
        <v xml:space="preserve">55 </v>
      </c>
      <c r="K1308" s="26" t="str">
        <f t="shared" si="229"/>
        <v>SG</v>
      </c>
      <c r="L1308" s="26" t="str">
        <f t="shared" si="230"/>
        <v>DGOSE</v>
      </c>
      <c r="M1308" s="26" t="str">
        <f t="shared" si="227"/>
        <v>PARTICULAR</v>
      </c>
      <c r="N1308" s="26">
        <v>89</v>
      </c>
      <c r="O1308" s="26">
        <v>53</v>
      </c>
      <c r="P1308" s="26">
        <v>36</v>
      </c>
      <c r="Q1308" s="26">
        <v>5</v>
      </c>
      <c r="R1308" s="26">
        <v>2</v>
      </c>
      <c r="S1308" s="26">
        <v>17</v>
      </c>
      <c r="T1308" s="26">
        <v>6</v>
      </c>
      <c r="U1308" s="26">
        <v>25</v>
      </c>
      <c r="V1308" s="26">
        <v>1</v>
      </c>
      <c r="W1308" s="26"/>
    </row>
    <row r="1309" spans="1:23" x14ac:dyDescent="0.25">
      <c r="A1309" s="26" t="str">
        <f t="shared" si="223"/>
        <v>SECUNDARIA</v>
      </c>
      <c r="B1309" s="26" t="str">
        <f>"09PES0992K"</f>
        <v>09PES0992K</v>
      </c>
      <c r="C1309" s="26" t="str">
        <f>"NORTHRIDGE SCHOOL MÉXICO                                                                            "</f>
        <v xml:space="preserve">NORTHRIDGE SCHOOL MÉXICO                                                                            </v>
      </c>
      <c r="D1309" s="26" t="str">
        <f t="shared" si="231"/>
        <v>MATUTINO</v>
      </c>
      <c r="E1309" s="26" t="str">
        <f>"PROLONGACION AVENIDA MEXICO NO 14                                               "</f>
        <v xml:space="preserve">PROLONGACION AVENIDA MEXICO NO 14                                               </v>
      </c>
      <c r="F1309" s="26" t="str">
        <f>"CUAJIMALPA                                                                                                                                  "</f>
        <v xml:space="preserve">CUAJIMALPA                                                                                                                                  </v>
      </c>
      <c r="G1309" s="26" t="str">
        <f>"CUAJIMALPA DE MORELOS                                                           "</f>
        <v xml:space="preserve">CUAJIMALPA DE MORELOS                                                           </v>
      </c>
      <c r="H1309" s="26" t="str">
        <f>"024"</f>
        <v>024</v>
      </c>
      <c r="I1309" s="26" t="str">
        <f t="shared" si="228"/>
        <v>00</v>
      </c>
      <c r="J1309" s="26" t="str">
        <f>"55 "</f>
        <v xml:space="preserve">55 </v>
      </c>
      <c r="K1309" s="26" t="str">
        <f t="shared" si="229"/>
        <v>SG</v>
      </c>
      <c r="L1309" s="26" t="str">
        <f t="shared" si="230"/>
        <v>DGOSE</v>
      </c>
      <c r="M1309" s="26" t="str">
        <f t="shared" si="227"/>
        <v>PARTICULAR</v>
      </c>
      <c r="N1309" s="26">
        <v>56</v>
      </c>
      <c r="O1309" s="26">
        <v>56</v>
      </c>
      <c r="P1309" s="26">
        <v>0</v>
      </c>
      <c r="Q1309" s="26">
        <v>4</v>
      </c>
      <c r="R1309" s="26">
        <v>1</v>
      </c>
      <c r="S1309" s="26">
        <v>13</v>
      </c>
      <c r="T1309" s="26">
        <v>0</v>
      </c>
      <c r="U1309" s="26">
        <v>14</v>
      </c>
      <c r="V1309" s="26">
        <v>1</v>
      </c>
      <c r="W1309" s="26"/>
    </row>
    <row r="1310" spans="1:23" x14ac:dyDescent="0.25">
      <c r="A1310" s="26" t="str">
        <f t="shared" si="223"/>
        <v>SECUNDARIA</v>
      </c>
      <c r="B1310" s="26" t="str">
        <f>"09PES0993J"</f>
        <v>09PES0993J</v>
      </c>
      <c r="C1310" s="26" t="str">
        <f>"COLEGIO AMIGOS DE MÉXICO SUR                                                                        "</f>
        <v xml:space="preserve">COLEGIO AMIGOS DE MÉXICO SUR                                                                        </v>
      </c>
      <c r="D1310" s="26" t="str">
        <f t="shared" si="231"/>
        <v>MATUTINO</v>
      </c>
      <c r="E1310" s="26" t="str">
        <f>"AVENIDA SAN LORENZO NO 19                                                       "</f>
        <v xml:space="preserve">AVENIDA SAN LORENZO NO 19                                                       </v>
      </c>
      <c r="F1310" s="26" t="str">
        <f>"BOSQUE RESIDENCIAL DEL SUR                                                                                                                  "</f>
        <v xml:space="preserve">BOSQUE RESIDENCIAL DEL SUR                                                                                                                  </v>
      </c>
      <c r="G1310" s="26" t="str">
        <f>"XOCHIMILCO                                                                      "</f>
        <v xml:space="preserve">XOCHIMILCO                                                                      </v>
      </c>
      <c r="H1310" s="26" t="str">
        <f>"080"</f>
        <v>080</v>
      </c>
      <c r="I1310" s="26" t="str">
        <f t="shared" si="228"/>
        <v>00</v>
      </c>
      <c r="J1310" s="26" t="str">
        <f>"57 "</f>
        <v xml:space="preserve">57 </v>
      </c>
      <c r="K1310" s="26" t="str">
        <f t="shared" si="229"/>
        <v>SG</v>
      </c>
      <c r="L1310" s="26" t="str">
        <f t="shared" si="230"/>
        <v>DGOSE</v>
      </c>
      <c r="M1310" s="26" t="str">
        <f t="shared" si="227"/>
        <v>PARTICULAR</v>
      </c>
      <c r="N1310" s="26">
        <v>9</v>
      </c>
      <c r="O1310" s="26">
        <v>5</v>
      </c>
      <c r="P1310" s="26">
        <v>4</v>
      </c>
      <c r="Q1310" s="26">
        <v>2</v>
      </c>
      <c r="R1310" s="26">
        <v>1</v>
      </c>
      <c r="S1310" s="26">
        <v>14</v>
      </c>
      <c r="T1310" s="26">
        <v>1</v>
      </c>
      <c r="U1310" s="26">
        <v>16</v>
      </c>
      <c r="V1310" s="26">
        <v>1</v>
      </c>
      <c r="W1310" s="26"/>
    </row>
    <row r="1311" spans="1:23" x14ac:dyDescent="0.25">
      <c r="A1311" s="26" t="str">
        <f t="shared" si="223"/>
        <v>SECUNDARIA</v>
      </c>
      <c r="B1311" s="26" t="str">
        <f>"09PES0994I"</f>
        <v>09PES0994I</v>
      </c>
      <c r="C1311" s="26" t="str">
        <f>"INSTITUTO PEDAGÓGICO NAZCA                                                                          "</f>
        <v xml:space="preserve">INSTITUTO PEDAGÓGICO NAZCA                                                                          </v>
      </c>
      <c r="D1311" s="26" t="str">
        <f t="shared" si="231"/>
        <v>MATUTINO</v>
      </c>
      <c r="E1311" s="26" t="str">
        <f>"PLAYA ROQUETA NO 213                                                            "</f>
        <v xml:space="preserve">PLAYA ROQUETA NO 213                                                            </v>
      </c>
      <c r="F1311" s="26" t="str">
        <f>"REFORMA IZTACCIHUATL                                                                                                                        "</f>
        <v xml:space="preserve">REFORMA IZTACCIHUATL                                                                                                                        </v>
      </c>
      <c r="G1311" s="26" t="str">
        <f>"IZTACALCO                                                                       "</f>
        <v xml:space="preserve">IZTACALCO                                                                       </v>
      </c>
      <c r="H1311" s="26" t="str">
        <f>"045"</f>
        <v>045</v>
      </c>
      <c r="I1311" s="26" t="str">
        <f t="shared" si="228"/>
        <v>00</v>
      </c>
      <c r="J1311" s="26" t="str">
        <f>"53 "</f>
        <v xml:space="preserve">53 </v>
      </c>
      <c r="K1311" s="26" t="str">
        <f t="shared" si="229"/>
        <v>SG</v>
      </c>
      <c r="L1311" s="26" t="str">
        <f t="shared" si="230"/>
        <v>DGOSE</v>
      </c>
      <c r="M1311" s="26" t="str">
        <f t="shared" si="227"/>
        <v>PARTICULAR</v>
      </c>
      <c r="N1311" s="26">
        <v>38</v>
      </c>
      <c r="O1311" s="26">
        <v>28</v>
      </c>
      <c r="P1311" s="26">
        <v>10</v>
      </c>
      <c r="Q1311" s="26">
        <v>3</v>
      </c>
      <c r="R1311" s="26">
        <v>1</v>
      </c>
      <c r="S1311" s="26">
        <v>10</v>
      </c>
      <c r="T1311" s="26">
        <v>2</v>
      </c>
      <c r="U1311" s="26">
        <v>13</v>
      </c>
      <c r="V1311" s="26">
        <v>1</v>
      </c>
      <c r="W1311" s="26"/>
    </row>
    <row r="1312" spans="1:23" x14ac:dyDescent="0.25">
      <c r="A1312" s="26" t="str">
        <f t="shared" si="223"/>
        <v>SECUNDARIA</v>
      </c>
      <c r="B1312" s="26" t="str">
        <f>"09PES0995H"</f>
        <v>09PES0995H</v>
      </c>
      <c r="C1312" s="26" t="str">
        <f>"INSTITUTO ALMERIA                                                                                   "</f>
        <v xml:space="preserve">INSTITUTO ALMERIA                                                                                   </v>
      </c>
      <c r="D1312" s="26" t="str">
        <f t="shared" si="231"/>
        <v>MATUTINO</v>
      </c>
      <c r="E1312" s="26" t="str">
        <f>"AVENIDA 551 NO 206                                                              "</f>
        <v xml:space="preserve">AVENIDA 551 NO 206                                                              </v>
      </c>
      <c r="F1312" s="26" t="str">
        <f>"UNIDAD SAN JUAN DE ARAGON                                                                                                                   "</f>
        <v xml:space="preserve">UNIDAD SAN JUAN DE ARAGON                                                                                                                   </v>
      </c>
      <c r="G1312" s="26" t="str">
        <f>"GUSTAVO A. MADERO                                                               "</f>
        <v xml:space="preserve">GUSTAVO A. MADERO                                                               </v>
      </c>
      <c r="H1312" s="26" t="str">
        <f>"042"</f>
        <v>042</v>
      </c>
      <c r="I1312" s="26" t="str">
        <f t="shared" si="228"/>
        <v>00</v>
      </c>
      <c r="J1312" s="26" t="str">
        <f>"52 "</f>
        <v xml:space="preserve">52 </v>
      </c>
      <c r="K1312" s="26" t="str">
        <f t="shared" si="229"/>
        <v>SG</v>
      </c>
      <c r="L1312" s="26" t="str">
        <f t="shared" si="230"/>
        <v>DGOSE</v>
      </c>
      <c r="M1312" s="26" t="str">
        <f t="shared" si="227"/>
        <v>PARTICULAR</v>
      </c>
      <c r="N1312" s="26">
        <v>61</v>
      </c>
      <c r="O1312" s="26">
        <v>34</v>
      </c>
      <c r="P1312" s="26">
        <v>27</v>
      </c>
      <c r="Q1312" s="26">
        <v>3</v>
      </c>
      <c r="R1312" s="26">
        <v>1</v>
      </c>
      <c r="S1312" s="26">
        <v>9</v>
      </c>
      <c r="T1312" s="26">
        <v>1</v>
      </c>
      <c r="U1312" s="26">
        <v>11</v>
      </c>
      <c r="V1312" s="26">
        <v>1</v>
      </c>
      <c r="W1312" s="26"/>
    </row>
    <row r="1313" spans="1:23" x14ac:dyDescent="0.25">
      <c r="A1313" s="26" t="str">
        <f t="shared" si="223"/>
        <v>SECUNDARIA</v>
      </c>
      <c r="B1313" s="26" t="str">
        <f>"09PES0996G"</f>
        <v>09PES0996G</v>
      </c>
      <c r="C1313" s="26" t="str">
        <f>"COLEGIO HAYDEN S.C.                                                                                 "</f>
        <v xml:space="preserve">COLEGIO HAYDEN S.C.                                                                                 </v>
      </c>
      <c r="D1313" s="26" t="str">
        <f t="shared" si="231"/>
        <v>MATUTINO</v>
      </c>
      <c r="E1313" s="26" t="str">
        <f>"JEJA S/N MANZANA 1 LOTE 31 Y/O JERICO NO 31                                     "</f>
        <v xml:space="preserve">JEJA S/N MANZANA 1 LOTE 31 Y/O JERICO NO 31                                     </v>
      </c>
      <c r="F1313" s="26" t="str">
        <f>"LOS ANGELES APANOAYA                                                                                                                        "</f>
        <v xml:space="preserve">LOS ANGELES APANOAYA                                                                                                                        </v>
      </c>
      <c r="G1313" s="26" t="str">
        <f>"IZTAPALAPA                                                                      "</f>
        <v xml:space="preserve">IZTAPALAPA                                                                      </v>
      </c>
      <c r="H1313" s="26" t="str">
        <f>"000"</f>
        <v>000</v>
      </c>
      <c r="I1313" s="26" t="str">
        <f t="shared" si="228"/>
        <v>00</v>
      </c>
      <c r="J1313" s="26" t="str">
        <f>"63 "</f>
        <v xml:space="preserve">63 </v>
      </c>
      <c r="K1313" s="26" t="str">
        <f>"IZ"</f>
        <v>IZ</v>
      </c>
      <c r="L1313" s="26" t="str">
        <f>"DGSEI"</f>
        <v>DGSEI</v>
      </c>
      <c r="M1313" s="26" t="str">
        <f t="shared" si="227"/>
        <v>PARTICULAR</v>
      </c>
      <c r="N1313" s="26">
        <v>64</v>
      </c>
      <c r="O1313" s="26">
        <v>30</v>
      </c>
      <c r="P1313" s="26">
        <v>34</v>
      </c>
      <c r="Q1313" s="26">
        <v>3</v>
      </c>
      <c r="R1313" s="26">
        <v>1</v>
      </c>
      <c r="S1313" s="26">
        <v>9</v>
      </c>
      <c r="T1313" s="26">
        <v>0</v>
      </c>
      <c r="U1313" s="26">
        <v>10</v>
      </c>
      <c r="V1313" s="26">
        <v>1</v>
      </c>
      <c r="W1313" s="26"/>
    </row>
    <row r="1314" spans="1:23" x14ac:dyDescent="0.25">
      <c r="A1314" s="26" t="str">
        <f t="shared" si="223"/>
        <v>SECUNDARIA</v>
      </c>
      <c r="B1314" s="26" t="str">
        <f>"09PES0997F"</f>
        <v>09PES0997F</v>
      </c>
      <c r="C1314" s="26" t="str">
        <f>"COLEGIO MEXICO CULTURAL                                                                             "</f>
        <v xml:space="preserve">COLEGIO MEXICO CULTURAL                                                                             </v>
      </c>
      <c r="D1314" s="26" t="str">
        <f t="shared" si="231"/>
        <v>MATUTINO</v>
      </c>
      <c r="E1314" s="26" t="str">
        <f>"AVENIDA TLAHUAC NO 4856                                                         "</f>
        <v xml:space="preserve">AVENIDA TLAHUAC NO 4856                                                         </v>
      </c>
      <c r="F1314" s="26" t="str">
        <f>"CERRO DE LA ESTRELLA                                                                                                                        "</f>
        <v xml:space="preserve">CERRO DE LA ESTRELLA                                                                                                                        </v>
      </c>
      <c r="G1314" s="26" t="str">
        <f>"IZTAPALAPA                                                                      "</f>
        <v xml:space="preserve">IZTAPALAPA                                                                      </v>
      </c>
      <c r="H1314" s="26" t="str">
        <f>"000"</f>
        <v>000</v>
      </c>
      <c r="I1314" s="26" t="str">
        <f t="shared" si="228"/>
        <v>00</v>
      </c>
      <c r="J1314" s="26" t="str">
        <f>"63 "</f>
        <v xml:space="preserve">63 </v>
      </c>
      <c r="K1314" s="26" t="str">
        <f>"IZ"</f>
        <v>IZ</v>
      </c>
      <c r="L1314" s="26" t="str">
        <f>"DGSEI"</f>
        <v>DGSEI</v>
      </c>
      <c r="M1314" s="26" t="str">
        <f t="shared" si="227"/>
        <v>PARTICULAR</v>
      </c>
      <c r="N1314" s="26">
        <v>39</v>
      </c>
      <c r="O1314" s="26">
        <v>18</v>
      </c>
      <c r="P1314" s="26">
        <v>21</v>
      </c>
      <c r="Q1314" s="26">
        <v>4</v>
      </c>
      <c r="R1314" s="26">
        <v>0</v>
      </c>
      <c r="S1314" s="26">
        <v>13</v>
      </c>
      <c r="T1314" s="26">
        <v>3</v>
      </c>
      <c r="U1314" s="26">
        <v>16</v>
      </c>
      <c r="V1314" s="26">
        <v>1</v>
      </c>
      <c r="W1314" s="26"/>
    </row>
    <row r="1315" spans="1:23" x14ac:dyDescent="0.25">
      <c r="A1315" s="26" t="str">
        <f t="shared" si="223"/>
        <v>SECUNDARIA</v>
      </c>
      <c r="B1315" s="26" t="str">
        <f>"09PES2030U"</f>
        <v>09PES2030U</v>
      </c>
      <c r="C1315" s="26" t="str">
        <f>"COLEGIO SUMMER HILL                                                                                 "</f>
        <v xml:space="preserve">COLEGIO SUMMER HILL                                                                                 </v>
      </c>
      <c r="D1315" s="26" t="str">
        <f t="shared" si="231"/>
        <v>MATUTINO</v>
      </c>
      <c r="E1315" s="26" t="str">
        <f>"RIO CARRIZAL NO. 17                                                             "</f>
        <v xml:space="preserve">RIO CARRIZAL NO. 17                                                             </v>
      </c>
      <c r="F1315" s="26" t="str">
        <f>"PASEOS DE CHURUBUSCO                                                                                                                        "</f>
        <v xml:space="preserve">PASEOS DE CHURUBUSCO                                                                                                                        </v>
      </c>
      <c r="G1315" s="26" t="str">
        <f>"IZTAPALAPA                                                                      "</f>
        <v xml:space="preserve">IZTAPALAPA                                                                      </v>
      </c>
      <c r="H1315" s="26" t="str">
        <f>"000"</f>
        <v>000</v>
      </c>
      <c r="I1315" s="26" t="str">
        <f t="shared" si="228"/>
        <v>00</v>
      </c>
      <c r="J1315" s="26" t="str">
        <f>"61 "</f>
        <v xml:space="preserve">61 </v>
      </c>
      <c r="K1315" s="26" t="str">
        <f>"IZ"</f>
        <v>IZ</v>
      </c>
      <c r="L1315" s="26" t="str">
        <f>"DGSEI"</f>
        <v>DGSEI</v>
      </c>
      <c r="M1315" s="26" t="str">
        <f t="shared" si="227"/>
        <v>PARTICULAR</v>
      </c>
      <c r="N1315" s="26">
        <v>30</v>
      </c>
      <c r="O1315" s="26">
        <v>20</v>
      </c>
      <c r="P1315" s="26">
        <v>10</v>
      </c>
      <c r="Q1315" s="26">
        <v>3</v>
      </c>
      <c r="R1315" s="26">
        <v>1</v>
      </c>
      <c r="S1315" s="26">
        <v>8</v>
      </c>
      <c r="T1315" s="26">
        <v>0</v>
      </c>
      <c r="U1315" s="26">
        <v>9</v>
      </c>
      <c r="V1315" s="26">
        <v>1</v>
      </c>
      <c r="W1315" s="26"/>
    </row>
    <row r="1316" spans="1:23" x14ac:dyDescent="0.25">
      <c r="A1316" s="26" t="str">
        <f t="shared" si="223"/>
        <v>SECUNDARIA</v>
      </c>
      <c r="B1316" s="26" t="str">
        <f>"09PSN0160H"</f>
        <v>09PSN0160H</v>
      </c>
      <c r="C1316" s="26" t="str">
        <f>"GABINO BARREDA                                                                                      "</f>
        <v xml:space="preserve">GABINO BARREDA                                                                                      </v>
      </c>
      <c r="D1316" s="26" t="str">
        <f>"NOCTURNO"</f>
        <v>NOCTURNO</v>
      </c>
      <c r="E1316" s="26" t="str">
        <f>"AV CUITLAHUAC Y MAR MEDITERRANEO S/N                                            "</f>
        <v xml:space="preserve">AV CUITLAHUAC Y MAR MEDITERRANEO S/N                                            </v>
      </c>
      <c r="F1316" s="26" t="str">
        <f>"POPOTLA                                                                                                                                     "</f>
        <v xml:space="preserve">POPOTLA                                                                                                                                     </v>
      </c>
      <c r="G1316" s="26" t="str">
        <f>"MIGUEL HIDALGO                                                                  "</f>
        <v xml:space="preserve">MIGUEL HIDALGO                                                                  </v>
      </c>
      <c r="H1316" s="26" t="str">
        <f>"065"</f>
        <v>065</v>
      </c>
      <c r="I1316" s="26" t="str">
        <f t="shared" si="228"/>
        <v>00</v>
      </c>
      <c r="J1316" s="26" t="str">
        <f>"71 "</f>
        <v xml:space="preserve">71 </v>
      </c>
      <c r="K1316" s="26" t="str">
        <f>"SG"</f>
        <v>SG</v>
      </c>
      <c r="L1316" s="26" t="str">
        <f>"DGOSE"</f>
        <v>DGOSE</v>
      </c>
      <c r="M1316" s="26" t="str">
        <f t="shared" si="227"/>
        <v>PARTICULAR</v>
      </c>
      <c r="N1316" s="26">
        <v>4</v>
      </c>
      <c r="O1316" s="26">
        <v>3</v>
      </c>
      <c r="P1316" s="26">
        <v>1</v>
      </c>
      <c r="Q1316" s="26">
        <v>1</v>
      </c>
      <c r="R1316" s="26">
        <v>2</v>
      </c>
      <c r="S1316" s="26">
        <v>8</v>
      </c>
      <c r="T1316" s="26">
        <v>1</v>
      </c>
      <c r="U1316" s="26">
        <v>11</v>
      </c>
      <c r="V1316" s="26">
        <v>1</v>
      </c>
      <c r="W1316" s="26"/>
    </row>
    <row r="1317" spans="1:23" x14ac:dyDescent="0.25">
      <c r="A1317" s="26" t="str">
        <f t="shared" si="223"/>
        <v>SECUNDARIA</v>
      </c>
      <c r="B1317" s="26" t="str">
        <f>"09PST0002C"</f>
        <v>09PST0002C</v>
      </c>
      <c r="C1317" s="26" t="str">
        <f>"NUEVO COLEGIO CONTINENTAL AMERICANO                                                                 "</f>
        <v xml:space="preserve">NUEVO COLEGIO CONTINENTAL AMERICANO                                                                 </v>
      </c>
      <c r="D1317" s="26" t="str">
        <f t="shared" ref="D1317:D1329" si="232">"MATUTINO"</f>
        <v>MATUTINO</v>
      </c>
      <c r="E1317" s="26" t="str">
        <f>"CDA. POPOCATEPETL No. 50                                                        "</f>
        <v xml:space="preserve">CDA. POPOCATEPETL No. 50                                                        </v>
      </c>
      <c r="F1317" s="26" t="str">
        <f>"GENERAL PEDRO MARIA ANAYA                                                                                                                   "</f>
        <v xml:space="preserve">GENERAL PEDRO MARIA ANAYA                                                                                                                   </v>
      </c>
      <c r="G1317" s="26" t="str">
        <f>"BENITO JUAREZ                                                                   "</f>
        <v xml:space="preserve">BENITO JUAREZ                                                                   </v>
      </c>
      <c r="H1317" s="26" t="str">
        <f>"001"</f>
        <v>001</v>
      </c>
      <c r="I1317" s="26" t="str">
        <f t="shared" si="228"/>
        <v>00</v>
      </c>
      <c r="J1317" s="26" t="str">
        <f t="shared" ref="J1317:J1364" si="233">"06 "</f>
        <v xml:space="preserve">06 </v>
      </c>
      <c r="K1317" s="26" t="str">
        <f t="shared" ref="K1317:K1364" si="234">"TE"</f>
        <v>TE</v>
      </c>
      <c r="L1317" s="26" t="str">
        <f t="shared" ref="L1317:L1364" si="235">"DGEST"</f>
        <v>DGEST</v>
      </c>
      <c r="M1317" s="26" t="str">
        <f t="shared" si="227"/>
        <v>PARTICULAR</v>
      </c>
      <c r="N1317" s="26">
        <v>103</v>
      </c>
      <c r="O1317" s="26">
        <v>62</v>
      </c>
      <c r="P1317" s="26">
        <v>41</v>
      </c>
      <c r="Q1317" s="26">
        <v>5</v>
      </c>
      <c r="R1317" s="26">
        <v>2</v>
      </c>
      <c r="S1317" s="26">
        <v>17</v>
      </c>
      <c r="T1317" s="26">
        <v>3</v>
      </c>
      <c r="U1317" s="26">
        <v>22</v>
      </c>
      <c r="V1317" s="26">
        <v>1</v>
      </c>
      <c r="W1317" s="26"/>
    </row>
    <row r="1318" spans="1:23" x14ac:dyDescent="0.25">
      <c r="A1318" s="26" t="str">
        <f t="shared" si="223"/>
        <v>SECUNDARIA</v>
      </c>
      <c r="B1318" s="26" t="str">
        <f>"09PST0003B"</f>
        <v>09PST0003B</v>
      </c>
      <c r="C1318" s="26" t="str">
        <f>"SIMON BOLIVAR DEL PEDREGAL                                                                          "</f>
        <v xml:space="preserve">SIMON BOLIVAR DEL PEDREGAL                                                                          </v>
      </c>
      <c r="D1318" s="26" t="str">
        <f t="shared" si="232"/>
        <v>MATUTINO</v>
      </c>
      <c r="E1318" s="26" t="str">
        <f>"CAMINO A SANTA TERESA No. 71                                                    "</f>
        <v xml:space="preserve">CAMINO A SANTA TERESA No. 71                                                    </v>
      </c>
      <c r="F1318" s="26" t="str">
        <f>"JARDINES DEL PEDREGAL                                                                                                                       "</f>
        <v xml:space="preserve">JARDINES DEL PEDREGAL                                                                                                                       </v>
      </c>
      <c r="G1318" s="26" t="str">
        <f>"ALVARO OBREGON                                                                  "</f>
        <v xml:space="preserve">ALVARO OBREGON                                                                  </v>
      </c>
      <c r="H1318" s="26" t="str">
        <f>"001"</f>
        <v>001</v>
      </c>
      <c r="I1318" s="26" t="str">
        <f t="shared" si="228"/>
        <v>00</v>
      </c>
      <c r="J1318" s="26" t="str">
        <f t="shared" si="233"/>
        <v xml:space="preserve">06 </v>
      </c>
      <c r="K1318" s="26" t="str">
        <f t="shared" si="234"/>
        <v>TE</v>
      </c>
      <c r="L1318" s="26" t="str">
        <f t="shared" si="235"/>
        <v>DGEST</v>
      </c>
      <c r="M1318" s="26" t="str">
        <f t="shared" si="227"/>
        <v>PARTICULAR</v>
      </c>
      <c r="N1318" s="26">
        <v>78</v>
      </c>
      <c r="O1318" s="26">
        <v>29</v>
      </c>
      <c r="P1318" s="26">
        <v>49</v>
      </c>
      <c r="Q1318" s="26">
        <v>3</v>
      </c>
      <c r="R1318" s="26">
        <v>1</v>
      </c>
      <c r="S1318" s="26">
        <v>12</v>
      </c>
      <c r="T1318" s="26">
        <v>3</v>
      </c>
      <c r="U1318" s="26">
        <v>16</v>
      </c>
      <c r="V1318" s="26">
        <v>1</v>
      </c>
      <c r="W1318" s="26"/>
    </row>
    <row r="1319" spans="1:23" x14ac:dyDescent="0.25">
      <c r="A1319" s="26" t="str">
        <f t="shared" si="223"/>
        <v>SECUNDARIA</v>
      </c>
      <c r="B1319" s="26" t="str">
        <f>"09PST0005Z"</f>
        <v>09PST0005Z</v>
      </c>
      <c r="C1319" s="26" t="str">
        <f>"VICTORIA TEPEYAC                                                                                    "</f>
        <v xml:space="preserve">VICTORIA TEPEYAC                                                                                    </v>
      </c>
      <c r="D1319" s="26" t="str">
        <f t="shared" si="232"/>
        <v>MATUTINO</v>
      </c>
      <c r="E1319" s="26" t="str">
        <f>"CIENFUEGOS 743                                                                  "</f>
        <v xml:space="preserve">CIENFUEGOS 743                                                                  </v>
      </c>
      <c r="F1319" s="26" t="str">
        <f>"LINDAVISTA                                                                                                                                  "</f>
        <v xml:space="preserve">LINDAVISTA                                                                                                                                  </v>
      </c>
      <c r="G1319" s="26" t="str">
        <f>"GUSTAVO A. MADERO                                                               "</f>
        <v xml:space="preserve">GUSTAVO A. MADERO                                                               </v>
      </c>
      <c r="H1319" s="26" t="str">
        <f>"002"</f>
        <v>002</v>
      </c>
      <c r="I1319" s="26" t="str">
        <f t="shared" si="228"/>
        <v>00</v>
      </c>
      <c r="J1319" s="26" t="str">
        <f t="shared" si="233"/>
        <v xml:space="preserve">06 </v>
      </c>
      <c r="K1319" s="26" t="str">
        <f t="shared" si="234"/>
        <v>TE</v>
      </c>
      <c r="L1319" s="26" t="str">
        <f t="shared" si="235"/>
        <v>DGEST</v>
      </c>
      <c r="M1319" s="26" t="str">
        <f t="shared" si="227"/>
        <v>PARTICULAR</v>
      </c>
      <c r="N1319" s="26">
        <v>152</v>
      </c>
      <c r="O1319" s="26">
        <v>77</v>
      </c>
      <c r="P1319" s="26">
        <v>75</v>
      </c>
      <c r="Q1319" s="26">
        <v>6</v>
      </c>
      <c r="R1319" s="26">
        <v>1</v>
      </c>
      <c r="S1319" s="26">
        <v>14</v>
      </c>
      <c r="T1319" s="26">
        <v>17</v>
      </c>
      <c r="U1319" s="26">
        <v>32</v>
      </c>
      <c r="V1319" s="26">
        <v>1</v>
      </c>
      <c r="W1319" s="26"/>
    </row>
    <row r="1320" spans="1:23" x14ac:dyDescent="0.25">
      <c r="A1320" s="26" t="str">
        <f t="shared" si="223"/>
        <v>SECUNDARIA</v>
      </c>
      <c r="B1320" s="26" t="str">
        <f>"09PST0006Z"</f>
        <v>09PST0006Z</v>
      </c>
      <c r="C1320" s="26" t="str">
        <f>"MARIA CURIE                                                                                         "</f>
        <v xml:space="preserve">MARIA CURIE                                                                                         </v>
      </c>
      <c r="D1320" s="26" t="str">
        <f t="shared" si="232"/>
        <v>MATUTINO</v>
      </c>
      <c r="E1320" s="26" t="str">
        <f>"FRANCISCO MORENO 136                                                            "</f>
        <v xml:space="preserve">FRANCISCO MORENO 136                                                            </v>
      </c>
      <c r="F1320" s="26" t="str">
        <f>"GUSTAVO A. MADERO                                                                                                                           "</f>
        <v xml:space="preserve">GUSTAVO A. MADERO                                                                                                                           </v>
      </c>
      <c r="G1320" s="26" t="str">
        <f>"GUSTAVO A. MADERO                                                               "</f>
        <v xml:space="preserve">GUSTAVO A. MADERO                                                               </v>
      </c>
      <c r="H1320" s="26" t="str">
        <f>"002"</f>
        <v>002</v>
      </c>
      <c r="I1320" s="26" t="str">
        <f t="shared" si="228"/>
        <v>00</v>
      </c>
      <c r="J1320" s="26" t="str">
        <f t="shared" si="233"/>
        <v xml:space="preserve">06 </v>
      </c>
      <c r="K1320" s="26" t="str">
        <f t="shared" si="234"/>
        <v>TE</v>
      </c>
      <c r="L1320" s="26" t="str">
        <f t="shared" si="235"/>
        <v>DGEST</v>
      </c>
      <c r="M1320" s="26" t="str">
        <f t="shared" si="227"/>
        <v>PARTICULAR</v>
      </c>
      <c r="N1320" s="26">
        <v>292</v>
      </c>
      <c r="O1320" s="26">
        <v>144</v>
      </c>
      <c r="P1320" s="26">
        <v>148</v>
      </c>
      <c r="Q1320" s="26">
        <v>9</v>
      </c>
      <c r="R1320" s="26">
        <v>1</v>
      </c>
      <c r="S1320" s="26">
        <v>20</v>
      </c>
      <c r="T1320" s="26">
        <v>11</v>
      </c>
      <c r="U1320" s="26">
        <v>32</v>
      </c>
      <c r="V1320" s="26">
        <v>1</v>
      </c>
      <c r="W1320" s="26"/>
    </row>
    <row r="1321" spans="1:23" x14ac:dyDescent="0.25">
      <c r="A1321" s="26" t="str">
        <f t="shared" si="223"/>
        <v>SECUNDARIA</v>
      </c>
      <c r="B1321" s="26" t="str">
        <f>"09PST0009W"</f>
        <v>09PST0009W</v>
      </c>
      <c r="C1321" s="26" t="str">
        <f>"COLEGIO HERNAN CORTES                                                                               "</f>
        <v xml:space="preserve">COLEGIO HERNAN CORTES                                                                               </v>
      </c>
      <c r="D1321" s="26" t="str">
        <f t="shared" si="232"/>
        <v>MATUTINO</v>
      </c>
      <c r="E1321" s="26" t="str">
        <f>"HIDALGO NUM 2                                                                   "</f>
        <v xml:space="preserve">HIDALGO NUM 2                                                                   </v>
      </c>
      <c r="F1321" s="26" t="str">
        <f>"TLALPAN                                                                                                                                     "</f>
        <v xml:space="preserve">TLALPAN                                                                                                                                     </v>
      </c>
      <c r="G1321" s="26" t="str">
        <f>"TLALPAN                                                                         "</f>
        <v xml:space="preserve">TLALPAN                                                                         </v>
      </c>
      <c r="H1321" s="26" t="str">
        <f>"004"</f>
        <v>004</v>
      </c>
      <c r="I1321" s="26" t="str">
        <f t="shared" si="228"/>
        <v>00</v>
      </c>
      <c r="J1321" s="26" t="str">
        <f t="shared" si="233"/>
        <v xml:space="preserve">06 </v>
      </c>
      <c r="K1321" s="26" t="str">
        <f t="shared" si="234"/>
        <v>TE</v>
      </c>
      <c r="L1321" s="26" t="str">
        <f t="shared" si="235"/>
        <v>DGEST</v>
      </c>
      <c r="M1321" s="26" t="str">
        <f t="shared" si="227"/>
        <v>PARTICULAR</v>
      </c>
      <c r="N1321" s="26">
        <v>120</v>
      </c>
      <c r="O1321" s="26">
        <v>57</v>
      </c>
      <c r="P1321" s="26">
        <v>63</v>
      </c>
      <c r="Q1321" s="26">
        <v>4</v>
      </c>
      <c r="R1321" s="26">
        <v>0</v>
      </c>
      <c r="S1321" s="26">
        <v>13</v>
      </c>
      <c r="T1321" s="26">
        <v>5</v>
      </c>
      <c r="U1321" s="26">
        <v>18</v>
      </c>
      <c r="V1321" s="26">
        <v>1</v>
      </c>
      <c r="W1321" s="26"/>
    </row>
    <row r="1322" spans="1:23" x14ac:dyDescent="0.25">
      <c r="A1322" s="26" t="str">
        <f t="shared" si="223"/>
        <v>SECUNDARIA</v>
      </c>
      <c r="B1322" s="26" t="str">
        <f>"09PST0013I"</f>
        <v>09PST0013I</v>
      </c>
      <c r="C1322" s="26" t="str">
        <f>"OVIEDO SCHONTHAL                                                                                    "</f>
        <v xml:space="preserve">OVIEDO SCHONTHAL                                                                                    </v>
      </c>
      <c r="D1322" s="26" t="str">
        <f t="shared" si="232"/>
        <v>MATUTINO</v>
      </c>
      <c r="E1322" s="26" t="str">
        <f>"CALZ DE TLALPAN NUM 5090                                                        "</f>
        <v xml:space="preserve">CALZ DE TLALPAN NUM 5090                                                        </v>
      </c>
      <c r="F1322" s="26" t="str">
        <f>"LA JOYA                                                                                                                                     "</f>
        <v xml:space="preserve">LA JOYA                                                                                                                                     </v>
      </c>
      <c r="G1322" s="26" t="str">
        <f>"TLALPAN                                                                         "</f>
        <v xml:space="preserve">TLALPAN                                                                         </v>
      </c>
      <c r="H1322" s="26" t="str">
        <f>"001"</f>
        <v>001</v>
      </c>
      <c r="I1322" s="26" t="str">
        <f t="shared" si="228"/>
        <v>00</v>
      </c>
      <c r="J1322" s="26" t="str">
        <f t="shared" si="233"/>
        <v xml:space="preserve">06 </v>
      </c>
      <c r="K1322" s="26" t="str">
        <f t="shared" si="234"/>
        <v>TE</v>
      </c>
      <c r="L1322" s="26" t="str">
        <f t="shared" si="235"/>
        <v>DGEST</v>
      </c>
      <c r="M1322" s="26" t="str">
        <f t="shared" si="227"/>
        <v>PARTICULAR</v>
      </c>
      <c r="N1322" s="26">
        <v>142</v>
      </c>
      <c r="O1322" s="26">
        <v>68</v>
      </c>
      <c r="P1322" s="26">
        <v>74</v>
      </c>
      <c r="Q1322" s="26">
        <v>6</v>
      </c>
      <c r="R1322" s="26">
        <v>0</v>
      </c>
      <c r="S1322" s="26">
        <v>11</v>
      </c>
      <c r="T1322" s="26">
        <v>14</v>
      </c>
      <c r="U1322" s="26">
        <v>25</v>
      </c>
      <c r="V1322" s="26">
        <v>1</v>
      </c>
      <c r="W1322" s="26"/>
    </row>
    <row r="1323" spans="1:23" x14ac:dyDescent="0.25">
      <c r="A1323" s="26" t="str">
        <f t="shared" si="223"/>
        <v>SECUNDARIA</v>
      </c>
      <c r="B1323" s="26" t="str">
        <f>"09PST0014H"</f>
        <v>09PST0014H</v>
      </c>
      <c r="C1323" s="26" t="str">
        <f>"VILLANUEVA MONTAÑO                                                                                  "</f>
        <v xml:space="preserve">VILLANUEVA MONTAÑO                                                                                  </v>
      </c>
      <c r="D1323" s="26" t="str">
        <f t="shared" si="232"/>
        <v>MATUTINO</v>
      </c>
      <c r="E1323" s="26" t="str">
        <f>"CALZADA DE TLALPAN 2441                                                         "</f>
        <v xml:space="preserve">CALZADA DE TLALPAN 2441                                                         </v>
      </c>
      <c r="F1323" s="26" t="str">
        <f>"XOTEPINGO                                                                                                                                   "</f>
        <v xml:space="preserve">XOTEPINGO                                                                                                                                   </v>
      </c>
      <c r="G1323" s="26" t="str">
        <f>"COYOACAN                                                                        "</f>
        <v xml:space="preserve">COYOACAN                                                                        </v>
      </c>
      <c r="H1323" s="26" t="str">
        <f>"004"</f>
        <v>004</v>
      </c>
      <c r="I1323" s="26" t="str">
        <f t="shared" si="228"/>
        <v>00</v>
      </c>
      <c r="J1323" s="26" t="str">
        <f t="shared" si="233"/>
        <v xml:space="preserve">06 </v>
      </c>
      <c r="K1323" s="26" t="str">
        <f t="shared" si="234"/>
        <v>TE</v>
      </c>
      <c r="L1323" s="26" t="str">
        <f t="shared" si="235"/>
        <v>DGEST</v>
      </c>
      <c r="M1323" s="26" t="str">
        <f t="shared" si="227"/>
        <v>PARTICULAR</v>
      </c>
      <c r="N1323" s="26">
        <v>42</v>
      </c>
      <c r="O1323" s="26">
        <v>22</v>
      </c>
      <c r="P1323" s="26">
        <v>20</v>
      </c>
      <c r="Q1323" s="26">
        <v>3</v>
      </c>
      <c r="R1323" s="26">
        <v>2</v>
      </c>
      <c r="S1323" s="26">
        <v>14</v>
      </c>
      <c r="T1323" s="26">
        <v>11</v>
      </c>
      <c r="U1323" s="26">
        <v>27</v>
      </c>
      <c r="V1323" s="26">
        <v>1</v>
      </c>
      <c r="W1323" s="26"/>
    </row>
    <row r="1324" spans="1:23" x14ac:dyDescent="0.25">
      <c r="A1324" s="26" t="str">
        <f t="shared" si="223"/>
        <v>SECUNDARIA</v>
      </c>
      <c r="B1324" s="26" t="str">
        <f>"09PST0016F"</f>
        <v>09PST0016F</v>
      </c>
      <c r="C1324" s="26" t="str">
        <f>"JOSE ENCARNACION GONZALEZ VILLASEÑOR                                                                "</f>
        <v xml:space="preserve">JOSE ENCARNACION GONZALEZ VILLASEÑOR                                                                </v>
      </c>
      <c r="D1324" s="26" t="str">
        <f t="shared" si="232"/>
        <v>MATUTINO</v>
      </c>
      <c r="E1324" s="26" t="str">
        <f>"CALLEJON DEL 57 No. 5                                                           "</f>
        <v xml:space="preserve">CALLEJON DEL 57 No. 5                                                           </v>
      </c>
      <c r="F1324" s="26" t="str">
        <f>"SAN PEDRO                                                                                                                                   "</f>
        <v xml:space="preserve">SAN PEDRO                                                                                                                                   </v>
      </c>
      <c r="G1324" s="26" t="str">
        <f>"IZTAPALAPA                                                                      "</f>
        <v xml:space="preserve">IZTAPALAPA                                                                      </v>
      </c>
      <c r="H1324" s="26" t="str">
        <f>"003"</f>
        <v>003</v>
      </c>
      <c r="I1324" s="26" t="str">
        <f t="shared" si="228"/>
        <v>00</v>
      </c>
      <c r="J1324" s="26" t="str">
        <f t="shared" si="233"/>
        <v xml:space="preserve">06 </v>
      </c>
      <c r="K1324" s="26" t="str">
        <f t="shared" si="234"/>
        <v>TE</v>
      </c>
      <c r="L1324" s="26" t="str">
        <f t="shared" si="235"/>
        <v>DGEST</v>
      </c>
      <c r="M1324" s="26" t="str">
        <f t="shared" si="227"/>
        <v>PARTICULAR</v>
      </c>
      <c r="N1324" s="26">
        <v>47</v>
      </c>
      <c r="O1324" s="26">
        <v>24</v>
      </c>
      <c r="P1324" s="26">
        <v>23</v>
      </c>
      <c r="Q1324" s="26">
        <v>3</v>
      </c>
      <c r="R1324" s="26">
        <v>0</v>
      </c>
      <c r="S1324" s="26">
        <v>11</v>
      </c>
      <c r="T1324" s="26">
        <v>3</v>
      </c>
      <c r="U1324" s="26">
        <v>14</v>
      </c>
      <c r="V1324" s="26">
        <v>1</v>
      </c>
      <c r="W1324" s="26"/>
    </row>
    <row r="1325" spans="1:23" x14ac:dyDescent="0.25">
      <c r="A1325" s="26" t="str">
        <f t="shared" si="223"/>
        <v>SECUNDARIA</v>
      </c>
      <c r="B1325" s="26" t="str">
        <f>"09PST0020S"</f>
        <v>09PST0020S</v>
      </c>
      <c r="C1325" s="26" t="str">
        <f>"ABERDEEN                                                                                            "</f>
        <v xml:space="preserve">ABERDEEN                                                                                            </v>
      </c>
      <c r="D1325" s="26" t="str">
        <f t="shared" si="232"/>
        <v>MATUTINO</v>
      </c>
      <c r="E1325" s="26" t="str">
        <f>"NUEVO LEON 134                                                                  "</f>
        <v xml:space="preserve">NUEVO LEON 134                                                                  </v>
      </c>
      <c r="F1325" s="26" t="str">
        <f>"HIPODROMO                                                                                                                                   "</f>
        <v xml:space="preserve">HIPODROMO                                                                                                                                   </v>
      </c>
      <c r="G1325" s="26" t="str">
        <f>"CUAUHTEMOC                                                                      "</f>
        <v xml:space="preserve">CUAUHTEMOC                                                                      </v>
      </c>
      <c r="H1325" s="26" t="str">
        <f>"001"</f>
        <v>001</v>
      </c>
      <c r="I1325" s="26" t="str">
        <f t="shared" si="228"/>
        <v>00</v>
      </c>
      <c r="J1325" s="26" t="str">
        <f t="shared" si="233"/>
        <v xml:space="preserve">06 </v>
      </c>
      <c r="K1325" s="26" t="str">
        <f t="shared" si="234"/>
        <v>TE</v>
      </c>
      <c r="L1325" s="26" t="str">
        <f t="shared" si="235"/>
        <v>DGEST</v>
      </c>
      <c r="M1325" s="26" t="str">
        <f t="shared" si="227"/>
        <v>PARTICULAR</v>
      </c>
      <c r="N1325" s="26">
        <v>109</v>
      </c>
      <c r="O1325" s="26">
        <v>67</v>
      </c>
      <c r="P1325" s="26">
        <v>42</v>
      </c>
      <c r="Q1325" s="26">
        <v>3</v>
      </c>
      <c r="R1325" s="26">
        <v>0</v>
      </c>
      <c r="S1325" s="26">
        <v>12</v>
      </c>
      <c r="T1325" s="26">
        <v>7</v>
      </c>
      <c r="U1325" s="26">
        <v>19</v>
      </c>
      <c r="V1325" s="26">
        <v>1</v>
      </c>
      <c r="W1325" s="26"/>
    </row>
    <row r="1326" spans="1:23" x14ac:dyDescent="0.25">
      <c r="A1326" s="26" t="str">
        <f t="shared" si="223"/>
        <v>SECUNDARIA</v>
      </c>
      <c r="B1326" s="26" t="str">
        <f>"09PST0021R"</f>
        <v>09PST0021R</v>
      </c>
      <c r="C1326" s="26" t="str">
        <f>"MAKARENKO                                                                                           "</f>
        <v xml:space="preserve">MAKARENKO                                                                                           </v>
      </c>
      <c r="D1326" s="26" t="str">
        <f t="shared" si="232"/>
        <v>MATUTINO</v>
      </c>
      <c r="E1326" s="26" t="str">
        <f>"CALZADA MISTERIOS 709                                                           "</f>
        <v xml:space="preserve">CALZADA MISTERIOS 709                                                           </v>
      </c>
      <c r="F1326" s="26" t="str">
        <f>"INDUSTRIAL                                                                                                                                  "</f>
        <v xml:space="preserve">INDUSTRIAL                                                                                                                                  </v>
      </c>
      <c r="G1326" s="26" t="str">
        <f>"GUSTAVO A. MADERO                                                               "</f>
        <v xml:space="preserve">GUSTAVO A. MADERO                                                               </v>
      </c>
      <c r="H1326" s="26" t="str">
        <f>"002"</f>
        <v>002</v>
      </c>
      <c r="I1326" s="26" t="str">
        <f t="shared" si="228"/>
        <v>00</v>
      </c>
      <c r="J1326" s="26" t="str">
        <f t="shared" si="233"/>
        <v xml:space="preserve">06 </v>
      </c>
      <c r="K1326" s="26" t="str">
        <f t="shared" si="234"/>
        <v>TE</v>
      </c>
      <c r="L1326" s="26" t="str">
        <f t="shared" si="235"/>
        <v>DGEST</v>
      </c>
      <c r="M1326" s="26" t="str">
        <f t="shared" si="227"/>
        <v>PARTICULAR</v>
      </c>
      <c r="N1326" s="26">
        <v>252</v>
      </c>
      <c r="O1326" s="26">
        <v>139</v>
      </c>
      <c r="P1326" s="26">
        <v>113</v>
      </c>
      <c r="Q1326" s="26">
        <v>6</v>
      </c>
      <c r="R1326" s="26">
        <v>2</v>
      </c>
      <c r="S1326" s="26">
        <v>10</v>
      </c>
      <c r="T1326" s="26">
        <v>11</v>
      </c>
      <c r="U1326" s="26">
        <v>23</v>
      </c>
      <c r="V1326" s="26">
        <v>1</v>
      </c>
      <c r="W1326" s="26"/>
    </row>
    <row r="1327" spans="1:23" x14ac:dyDescent="0.25">
      <c r="A1327" s="26" t="str">
        <f t="shared" si="223"/>
        <v>SECUNDARIA</v>
      </c>
      <c r="B1327" s="26" t="str">
        <f>"09PST0026M"</f>
        <v>09PST0026M</v>
      </c>
      <c r="C1327" s="26" t="str">
        <f>"ESCUELA COMERCIAL CÁMARA DE COMERCIO                                                                "</f>
        <v xml:space="preserve">ESCUELA COMERCIAL CÁMARA DE COMERCIO                                                                </v>
      </c>
      <c r="D1327" s="26" t="str">
        <f t="shared" si="232"/>
        <v>MATUTINO</v>
      </c>
      <c r="E1327" s="26" t="str">
        <f>"QUERETARO 34                                                                    "</f>
        <v xml:space="preserve">QUERETARO 34                                                                    </v>
      </c>
      <c r="F1327" s="26" t="str">
        <f>"ROMA NORTE                                                                                                                                  "</f>
        <v xml:space="preserve">ROMA NORTE                                                                                                                                  </v>
      </c>
      <c r="G1327" s="26" t="str">
        <f>"CUAUHTEMOC                                                                      "</f>
        <v xml:space="preserve">CUAUHTEMOC                                                                      </v>
      </c>
      <c r="H1327" s="26" t="str">
        <f>"001"</f>
        <v>001</v>
      </c>
      <c r="I1327" s="26" t="str">
        <f t="shared" si="228"/>
        <v>00</v>
      </c>
      <c r="J1327" s="26" t="str">
        <f t="shared" si="233"/>
        <v xml:space="preserve">06 </v>
      </c>
      <c r="K1327" s="26" t="str">
        <f t="shared" si="234"/>
        <v>TE</v>
      </c>
      <c r="L1327" s="26" t="str">
        <f t="shared" si="235"/>
        <v>DGEST</v>
      </c>
      <c r="M1327" s="26" t="str">
        <f t="shared" si="227"/>
        <v>PARTICULAR</v>
      </c>
      <c r="N1327" s="26">
        <v>195</v>
      </c>
      <c r="O1327" s="26">
        <v>97</v>
      </c>
      <c r="P1327" s="26">
        <v>98</v>
      </c>
      <c r="Q1327" s="26">
        <v>9</v>
      </c>
      <c r="R1327" s="26">
        <v>1</v>
      </c>
      <c r="S1327" s="26">
        <v>30</v>
      </c>
      <c r="T1327" s="26">
        <v>8</v>
      </c>
      <c r="U1327" s="26">
        <v>39</v>
      </c>
      <c r="V1327" s="26">
        <v>1</v>
      </c>
      <c r="W1327" s="26"/>
    </row>
    <row r="1328" spans="1:23" x14ac:dyDescent="0.25">
      <c r="A1328" s="26" t="str">
        <f t="shared" si="223"/>
        <v>SECUNDARIA</v>
      </c>
      <c r="B1328" s="26" t="str">
        <f>"09PST0029J"</f>
        <v>09PST0029J</v>
      </c>
      <c r="C1328" s="26" t="str">
        <f>"COLEGIO AMERICA                                                                                     "</f>
        <v xml:space="preserve">COLEGIO AMERICA                                                                                     </v>
      </c>
      <c r="D1328" s="26" t="str">
        <f t="shared" si="232"/>
        <v>MATUTINO</v>
      </c>
      <c r="E1328" s="26" t="str">
        <f>"MAR EGEO 243                                                                    "</f>
        <v xml:space="preserve">MAR EGEO 243                                                                    </v>
      </c>
      <c r="F1328" s="26" t="str">
        <f>"POPOTLA                                                                                                                                     "</f>
        <v xml:space="preserve">POPOTLA                                                                                                                                     </v>
      </c>
      <c r="G1328" s="26" t="str">
        <f>"MIGUEL HIDALGO                                                                  "</f>
        <v xml:space="preserve">MIGUEL HIDALGO                                                                  </v>
      </c>
      <c r="H1328" s="26" t="str">
        <f>"001"</f>
        <v>001</v>
      </c>
      <c r="I1328" s="26" t="str">
        <f t="shared" si="228"/>
        <v>00</v>
      </c>
      <c r="J1328" s="26" t="str">
        <f t="shared" si="233"/>
        <v xml:space="preserve">06 </v>
      </c>
      <c r="K1328" s="26" t="str">
        <f t="shared" si="234"/>
        <v>TE</v>
      </c>
      <c r="L1328" s="26" t="str">
        <f t="shared" si="235"/>
        <v>DGEST</v>
      </c>
      <c r="M1328" s="26" t="str">
        <f t="shared" si="227"/>
        <v>PARTICULAR</v>
      </c>
      <c r="N1328" s="26">
        <v>123</v>
      </c>
      <c r="O1328" s="26">
        <v>64</v>
      </c>
      <c r="P1328" s="26">
        <v>59</v>
      </c>
      <c r="Q1328" s="26">
        <v>4</v>
      </c>
      <c r="R1328" s="26">
        <v>1</v>
      </c>
      <c r="S1328" s="26">
        <v>11</v>
      </c>
      <c r="T1328" s="26">
        <v>5</v>
      </c>
      <c r="U1328" s="26">
        <v>17</v>
      </c>
      <c r="V1328" s="26">
        <v>1</v>
      </c>
      <c r="W1328" s="26"/>
    </row>
    <row r="1329" spans="1:23" x14ac:dyDescent="0.25">
      <c r="A1329" s="26" t="str">
        <f t="shared" si="223"/>
        <v>SECUNDARIA</v>
      </c>
      <c r="B1329" s="26" t="str">
        <f>"09PST0032X"</f>
        <v>09PST0032X</v>
      </c>
      <c r="C1329" s="26" t="str">
        <f>"COLEGIO DEL VALLE DE MEXICO                                                                         "</f>
        <v xml:space="preserve">COLEGIO DEL VALLE DE MEXICO                                                                         </v>
      </c>
      <c r="D1329" s="26" t="str">
        <f t="shared" si="232"/>
        <v>MATUTINO</v>
      </c>
      <c r="E1329" s="26" t="str">
        <f>"CARRASCO 29                                                                     "</f>
        <v xml:space="preserve">CARRASCO 29                                                                     </v>
      </c>
      <c r="F1329" s="26" t="str">
        <f>"TORIELLO GUERRA                                                                                                                             "</f>
        <v xml:space="preserve">TORIELLO GUERRA                                                                                                                             </v>
      </c>
      <c r="G1329" s="26" t="str">
        <f>"TLALPAN                                                                         "</f>
        <v xml:space="preserve">TLALPAN                                                                         </v>
      </c>
      <c r="H1329" s="26" t="str">
        <f>"004"</f>
        <v>004</v>
      </c>
      <c r="I1329" s="26" t="str">
        <f t="shared" si="228"/>
        <v>00</v>
      </c>
      <c r="J1329" s="26" t="str">
        <f t="shared" si="233"/>
        <v xml:space="preserve">06 </v>
      </c>
      <c r="K1329" s="26" t="str">
        <f t="shared" si="234"/>
        <v>TE</v>
      </c>
      <c r="L1329" s="26" t="str">
        <f t="shared" si="235"/>
        <v>DGEST</v>
      </c>
      <c r="M1329" s="26" t="str">
        <f t="shared" si="227"/>
        <v>PARTICULAR</v>
      </c>
      <c r="N1329" s="26">
        <v>100</v>
      </c>
      <c r="O1329" s="26">
        <v>38</v>
      </c>
      <c r="P1329" s="26">
        <v>62</v>
      </c>
      <c r="Q1329" s="26">
        <v>3</v>
      </c>
      <c r="R1329" s="26">
        <v>2</v>
      </c>
      <c r="S1329" s="26">
        <v>11</v>
      </c>
      <c r="T1329" s="26">
        <v>5</v>
      </c>
      <c r="U1329" s="26">
        <v>18</v>
      </c>
      <c r="V1329" s="26">
        <v>1</v>
      </c>
      <c r="W1329" s="26"/>
    </row>
    <row r="1330" spans="1:23" x14ac:dyDescent="0.25">
      <c r="A1330" s="26" t="str">
        <f t="shared" si="223"/>
        <v>SECUNDARIA</v>
      </c>
      <c r="B1330" s="26" t="str">
        <f>"09PST0034V"</f>
        <v>09PST0034V</v>
      </c>
      <c r="C1330" s="26" t="str">
        <f>"ALBERTO EINSTEIN                                                                                    "</f>
        <v xml:space="preserve">ALBERTO EINSTEIN                                                                                    </v>
      </c>
      <c r="D1330" s="26" t="str">
        <f>"TIEMPO COMPLETO"</f>
        <v>TIEMPO COMPLETO</v>
      </c>
      <c r="E1330" s="26" t="str">
        <f>"LAFONTAINE 339                                                                  "</f>
        <v xml:space="preserve">LAFONTAINE 339                                                                  </v>
      </c>
      <c r="F1330" s="26" t="str">
        <f>"POLANCO CHAPULTEPEC                                                                                                                         "</f>
        <v xml:space="preserve">POLANCO CHAPULTEPEC                                                                                                                         </v>
      </c>
      <c r="G1330" s="26" t="str">
        <f>"MIGUEL HIDALGO                                                                  "</f>
        <v xml:space="preserve">MIGUEL HIDALGO                                                                  </v>
      </c>
      <c r="H1330" s="26" t="str">
        <f>"001"</f>
        <v>001</v>
      </c>
      <c r="I1330" s="26" t="str">
        <f t="shared" si="228"/>
        <v>00</v>
      </c>
      <c r="J1330" s="26" t="str">
        <f t="shared" si="233"/>
        <v xml:space="preserve">06 </v>
      </c>
      <c r="K1330" s="26" t="str">
        <f t="shared" si="234"/>
        <v>TE</v>
      </c>
      <c r="L1330" s="26" t="str">
        <f t="shared" si="235"/>
        <v>DGEST</v>
      </c>
      <c r="M1330" s="26" t="str">
        <f t="shared" si="227"/>
        <v>PARTICULAR</v>
      </c>
      <c r="N1330" s="26">
        <v>146</v>
      </c>
      <c r="O1330" s="26">
        <v>146</v>
      </c>
      <c r="P1330" s="26">
        <v>0</v>
      </c>
      <c r="Q1330" s="26">
        <v>9</v>
      </c>
      <c r="R1330" s="26">
        <v>1</v>
      </c>
      <c r="S1330" s="26">
        <v>16</v>
      </c>
      <c r="T1330" s="26">
        <v>9</v>
      </c>
      <c r="U1330" s="26">
        <v>26</v>
      </c>
      <c r="V1330" s="26">
        <v>1</v>
      </c>
      <c r="W1330" s="26"/>
    </row>
    <row r="1331" spans="1:23" x14ac:dyDescent="0.25">
      <c r="A1331" s="26" t="str">
        <f t="shared" si="223"/>
        <v>SECUNDARIA</v>
      </c>
      <c r="B1331" s="26" t="str">
        <f>"09PST0040F"</f>
        <v>09PST0040F</v>
      </c>
      <c r="C1331" s="26" t="str">
        <f>"COLEGIO ANDERSEN                                                                                    "</f>
        <v xml:space="preserve">COLEGIO ANDERSEN                                                                                    </v>
      </c>
      <c r="D1331" s="26" t="str">
        <f t="shared" ref="D1331:D1340" si="236">"MATUTINO"</f>
        <v>MATUTINO</v>
      </c>
      <c r="E1331" s="26" t="str">
        <f>"MONTE ALBAN 236                                                                 "</f>
        <v xml:space="preserve">MONTE ALBAN 236                                                                 </v>
      </c>
      <c r="F1331" s="26" t="str">
        <f>"NARVARTE                                                                                                                                    "</f>
        <v xml:space="preserve">NARVARTE                                                                                                                                    </v>
      </c>
      <c r="G1331" s="26" t="str">
        <f>"BENITO JUAREZ                                                                   "</f>
        <v xml:space="preserve">BENITO JUAREZ                                                                   </v>
      </c>
      <c r="H1331" s="26" t="str">
        <f>"001"</f>
        <v>001</v>
      </c>
      <c r="I1331" s="26" t="str">
        <f t="shared" si="228"/>
        <v>00</v>
      </c>
      <c r="J1331" s="26" t="str">
        <f t="shared" si="233"/>
        <v xml:space="preserve">06 </v>
      </c>
      <c r="K1331" s="26" t="str">
        <f t="shared" si="234"/>
        <v>TE</v>
      </c>
      <c r="L1331" s="26" t="str">
        <f t="shared" si="235"/>
        <v>DGEST</v>
      </c>
      <c r="M1331" s="26" t="str">
        <f t="shared" si="227"/>
        <v>PARTICULAR</v>
      </c>
      <c r="N1331" s="26">
        <v>70</v>
      </c>
      <c r="O1331" s="26">
        <v>39</v>
      </c>
      <c r="P1331" s="26">
        <v>31</v>
      </c>
      <c r="Q1331" s="26">
        <v>3</v>
      </c>
      <c r="R1331" s="26">
        <v>0</v>
      </c>
      <c r="S1331" s="26">
        <v>10</v>
      </c>
      <c r="T1331" s="26">
        <v>3</v>
      </c>
      <c r="U1331" s="26">
        <v>13</v>
      </c>
      <c r="V1331" s="26">
        <v>1</v>
      </c>
      <c r="W1331" s="26"/>
    </row>
    <row r="1332" spans="1:23" x14ac:dyDescent="0.25">
      <c r="A1332" s="26" t="str">
        <f t="shared" si="223"/>
        <v>SECUNDARIA</v>
      </c>
      <c r="B1332" s="26" t="str">
        <f>"09PST0047Z"</f>
        <v>09PST0047Z</v>
      </c>
      <c r="C1332" s="26" t="str">
        <f>"GARSIDE                                                                                             "</f>
        <v xml:space="preserve">GARSIDE                                                                                             </v>
      </c>
      <c r="D1332" s="26" t="str">
        <f t="shared" si="236"/>
        <v>MATUTINO</v>
      </c>
      <c r="E1332" s="26" t="str">
        <f>"PROLONG UXMAL 1002                                                              "</f>
        <v xml:space="preserve">PROLONG UXMAL 1002                                                              </v>
      </c>
      <c r="F1332" s="26" t="str">
        <f>"PORTALES                                                                                                                                    "</f>
        <v xml:space="preserve">PORTALES                                                                                                                                    </v>
      </c>
      <c r="G1332" s="26" t="str">
        <f>"BENITO JUAREZ                                                                   "</f>
        <v xml:space="preserve">BENITO JUAREZ                                                                   </v>
      </c>
      <c r="H1332" s="26" t="str">
        <f>"001"</f>
        <v>001</v>
      </c>
      <c r="I1332" s="26" t="str">
        <f t="shared" si="228"/>
        <v>00</v>
      </c>
      <c r="J1332" s="26" t="str">
        <f t="shared" si="233"/>
        <v xml:space="preserve">06 </v>
      </c>
      <c r="K1332" s="26" t="str">
        <f t="shared" si="234"/>
        <v>TE</v>
      </c>
      <c r="L1332" s="26" t="str">
        <f t="shared" si="235"/>
        <v>DGEST</v>
      </c>
      <c r="M1332" s="26" t="str">
        <f t="shared" si="227"/>
        <v>PARTICULAR</v>
      </c>
      <c r="N1332" s="26">
        <v>86</v>
      </c>
      <c r="O1332" s="26">
        <v>42</v>
      </c>
      <c r="P1332" s="26">
        <v>44</v>
      </c>
      <c r="Q1332" s="26">
        <v>4</v>
      </c>
      <c r="R1332" s="26">
        <v>3</v>
      </c>
      <c r="S1332" s="26">
        <v>15</v>
      </c>
      <c r="T1332" s="26">
        <v>4</v>
      </c>
      <c r="U1332" s="26">
        <v>22</v>
      </c>
      <c r="V1332" s="26">
        <v>1</v>
      </c>
      <c r="W1332" s="26"/>
    </row>
    <row r="1333" spans="1:23" x14ac:dyDescent="0.25">
      <c r="A1333" s="26" t="str">
        <f t="shared" si="223"/>
        <v>SECUNDARIA</v>
      </c>
      <c r="B1333" s="26" t="str">
        <f>"09PST0057F"</f>
        <v>09PST0057F</v>
      </c>
      <c r="C1333" s="26" t="str">
        <f>"ROSA MARIA AMADOR                                                                                   "</f>
        <v xml:space="preserve">ROSA MARIA AMADOR                                                                                   </v>
      </c>
      <c r="D1333" s="26" t="str">
        <f t="shared" si="236"/>
        <v>MATUTINO</v>
      </c>
      <c r="E1333" s="26" t="str">
        <f>"VICENTE GARCIA TORRES NUM 127                                                   "</f>
        <v xml:space="preserve">VICENTE GARCIA TORRES NUM 127                                                   </v>
      </c>
      <c r="F1333" s="26" t="str">
        <f>"CONCEPCION                                                                                                                                  "</f>
        <v xml:space="preserve">CONCEPCION                                                                                                                                  </v>
      </c>
      <c r="G1333" s="26" t="str">
        <f>"COYOACAN                                                                        "</f>
        <v xml:space="preserve">COYOACAN                                                                        </v>
      </c>
      <c r="H1333" s="26" t="str">
        <f>"004"</f>
        <v>004</v>
      </c>
      <c r="I1333" s="26" t="str">
        <f t="shared" si="228"/>
        <v>00</v>
      </c>
      <c r="J1333" s="26" t="str">
        <f t="shared" si="233"/>
        <v xml:space="preserve">06 </v>
      </c>
      <c r="K1333" s="26" t="str">
        <f t="shared" si="234"/>
        <v>TE</v>
      </c>
      <c r="L1333" s="26" t="str">
        <f t="shared" si="235"/>
        <v>DGEST</v>
      </c>
      <c r="M1333" s="26" t="str">
        <f t="shared" si="227"/>
        <v>PARTICULAR</v>
      </c>
      <c r="N1333" s="26">
        <v>44</v>
      </c>
      <c r="O1333" s="26">
        <v>17</v>
      </c>
      <c r="P1333" s="26">
        <v>27</v>
      </c>
      <c r="Q1333" s="26">
        <v>3</v>
      </c>
      <c r="R1333" s="26">
        <v>1</v>
      </c>
      <c r="S1333" s="26">
        <v>11</v>
      </c>
      <c r="T1333" s="26">
        <v>5</v>
      </c>
      <c r="U1333" s="26">
        <v>17</v>
      </c>
      <c r="V1333" s="26">
        <v>1</v>
      </c>
      <c r="W1333" s="26"/>
    </row>
    <row r="1334" spans="1:23" x14ac:dyDescent="0.25">
      <c r="A1334" s="26" t="str">
        <f t="shared" si="223"/>
        <v>SECUNDARIA</v>
      </c>
      <c r="B1334" s="26" t="str">
        <f>"09PST0060T"</f>
        <v>09PST0060T</v>
      </c>
      <c r="C1334" s="26" t="str">
        <f>"AGUSTIN GARCIA CONDE                                                                                "</f>
        <v xml:space="preserve">AGUSTIN GARCIA CONDE                                                                                </v>
      </c>
      <c r="D1334" s="26" t="str">
        <f t="shared" si="236"/>
        <v>MATUTINO</v>
      </c>
      <c r="E1334" s="26" t="str">
        <f>"MORELOS NO 11                                                                   "</f>
        <v xml:space="preserve">MORELOS NO 11                                                                   </v>
      </c>
      <c r="F1334" s="26" t="str">
        <f>"TLALPAN                                                                                                                                     "</f>
        <v xml:space="preserve">TLALPAN                                                                                                                                     </v>
      </c>
      <c r="G1334" s="26" t="str">
        <f>"TLALPAN                                                                         "</f>
        <v xml:space="preserve">TLALPAN                                                                         </v>
      </c>
      <c r="H1334" s="26" t="str">
        <f>"004"</f>
        <v>004</v>
      </c>
      <c r="I1334" s="26" t="str">
        <f t="shared" si="228"/>
        <v>00</v>
      </c>
      <c r="J1334" s="26" t="str">
        <f t="shared" si="233"/>
        <v xml:space="preserve">06 </v>
      </c>
      <c r="K1334" s="26" t="str">
        <f t="shared" si="234"/>
        <v>TE</v>
      </c>
      <c r="L1334" s="26" t="str">
        <f t="shared" si="235"/>
        <v>DGEST</v>
      </c>
      <c r="M1334" s="26" t="str">
        <f t="shared" si="227"/>
        <v>PARTICULAR</v>
      </c>
      <c r="N1334" s="26">
        <v>456</v>
      </c>
      <c r="O1334" s="26">
        <v>199</v>
      </c>
      <c r="P1334" s="26">
        <v>257</v>
      </c>
      <c r="Q1334" s="26">
        <v>12</v>
      </c>
      <c r="R1334" s="26">
        <v>1</v>
      </c>
      <c r="S1334" s="26">
        <v>21</v>
      </c>
      <c r="T1334" s="26">
        <v>13</v>
      </c>
      <c r="U1334" s="26">
        <v>35</v>
      </c>
      <c r="V1334" s="26">
        <v>1</v>
      </c>
      <c r="W1334" s="26"/>
    </row>
    <row r="1335" spans="1:23" x14ac:dyDescent="0.25">
      <c r="A1335" s="26" t="str">
        <f t="shared" si="223"/>
        <v>SECUNDARIA</v>
      </c>
      <c r="B1335" s="26" t="str">
        <f>"09PST0067M"</f>
        <v>09PST0067M</v>
      </c>
      <c r="C1335" s="26" t="str">
        <f>"RAFAEL DONDE                                                                                        "</f>
        <v xml:space="preserve">RAFAEL DONDE                                                                                        </v>
      </c>
      <c r="D1335" s="26" t="str">
        <f t="shared" si="236"/>
        <v>MATUTINO</v>
      </c>
      <c r="E1335" s="26" t="str">
        <f>"AV ESCUADRON 201 S/N                                                            "</f>
        <v xml:space="preserve">AV ESCUADRON 201 S/N                                                            </v>
      </c>
      <c r="F1335" s="26" t="str">
        <f>"CAROLA                                                                                                                                      "</f>
        <v xml:space="preserve">CAROLA                                                                                                                                      </v>
      </c>
      <c r="G1335" s="26" t="str">
        <f>"ALVARO OBREGON                                                                  "</f>
        <v xml:space="preserve">ALVARO OBREGON                                                                  </v>
      </c>
      <c r="H1335" s="26" t="str">
        <f>"001"</f>
        <v>001</v>
      </c>
      <c r="I1335" s="26" t="str">
        <f t="shared" si="228"/>
        <v>00</v>
      </c>
      <c r="J1335" s="26" t="str">
        <f t="shared" si="233"/>
        <v xml:space="preserve">06 </v>
      </c>
      <c r="K1335" s="26" t="str">
        <f t="shared" si="234"/>
        <v>TE</v>
      </c>
      <c r="L1335" s="26" t="str">
        <f t="shared" si="235"/>
        <v>DGEST</v>
      </c>
      <c r="M1335" s="26" t="str">
        <f t="shared" si="227"/>
        <v>PARTICULAR</v>
      </c>
      <c r="N1335" s="26">
        <v>248</v>
      </c>
      <c r="O1335" s="26">
        <v>117</v>
      </c>
      <c r="P1335" s="26">
        <v>131</v>
      </c>
      <c r="Q1335" s="26">
        <v>6</v>
      </c>
      <c r="R1335" s="26">
        <v>1</v>
      </c>
      <c r="S1335" s="26">
        <v>12</v>
      </c>
      <c r="T1335" s="26">
        <v>14</v>
      </c>
      <c r="U1335" s="26">
        <v>27</v>
      </c>
      <c r="V1335" s="26">
        <v>1</v>
      </c>
      <c r="W1335" s="26"/>
    </row>
    <row r="1336" spans="1:23" x14ac:dyDescent="0.25">
      <c r="A1336" s="26" t="str">
        <f t="shared" si="223"/>
        <v>SECUNDARIA</v>
      </c>
      <c r="B1336" s="26" t="str">
        <f>"09PST0070Z"</f>
        <v>09PST0070Z</v>
      </c>
      <c r="C1336" s="26" t="str">
        <f>"CAMPESTRE COYOACAN                                                                                  "</f>
        <v xml:space="preserve">CAMPESTRE COYOACAN                                                                                  </v>
      </c>
      <c r="D1336" s="26" t="str">
        <f t="shared" si="236"/>
        <v>MATUTINO</v>
      </c>
      <c r="E1336" s="26" t="str">
        <f>"RANCHO SAN MIGUEL NUM 4                                                         "</f>
        <v xml:space="preserve">RANCHO SAN MIGUEL NUM 4                                                         </v>
      </c>
      <c r="F1336" s="26" t="str">
        <f>"CAMPESTRE COYOACAN                                                                                                                          "</f>
        <v xml:space="preserve">CAMPESTRE COYOACAN                                                                                                                          </v>
      </c>
      <c r="G1336" s="26" t="str">
        <f>"COYOACAN                                                                        "</f>
        <v xml:space="preserve">COYOACAN                                                                        </v>
      </c>
      <c r="H1336" s="26" t="str">
        <f>"004"</f>
        <v>004</v>
      </c>
      <c r="I1336" s="26" t="str">
        <f t="shared" si="228"/>
        <v>00</v>
      </c>
      <c r="J1336" s="26" t="str">
        <f t="shared" si="233"/>
        <v xml:space="preserve">06 </v>
      </c>
      <c r="K1336" s="26" t="str">
        <f t="shared" si="234"/>
        <v>TE</v>
      </c>
      <c r="L1336" s="26" t="str">
        <f t="shared" si="235"/>
        <v>DGEST</v>
      </c>
      <c r="M1336" s="26" t="str">
        <f t="shared" si="227"/>
        <v>PARTICULAR</v>
      </c>
      <c r="N1336" s="26">
        <v>53</v>
      </c>
      <c r="O1336" s="26">
        <v>30</v>
      </c>
      <c r="P1336" s="26">
        <v>23</v>
      </c>
      <c r="Q1336" s="26">
        <v>3</v>
      </c>
      <c r="R1336" s="26">
        <v>1</v>
      </c>
      <c r="S1336" s="26">
        <v>11</v>
      </c>
      <c r="T1336" s="26">
        <v>7</v>
      </c>
      <c r="U1336" s="26">
        <v>19</v>
      </c>
      <c r="V1336" s="26">
        <v>1</v>
      </c>
      <c r="W1336" s="26"/>
    </row>
    <row r="1337" spans="1:23" x14ac:dyDescent="0.25">
      <c r="A1337" s="26" t="str">
        <f t="shared" si="223"/>
        <v>SECUNDARIA</v>
      </c>
      <c r="B1337" s="26" t="str">
        <f>"09PST0071Z"</f>
        <v>09PST0071Z</v>
      </c>
      <c r="C1337" s="26" t="str">
        <f>"THOMAS WOODROW WILSON                                                                               "</f>
        <v xml:space="preserve">THOMAS WOODROW WILSON                                                                               </v>
      </c>
      <c r="D1337" s="26" t="str">
        <f t="shared" si="236"/>
        <v>MATUTINO</v>
      </c>
      <c r="E1337" s="26" t="str">
        <f>"SUR 67 - A NO 130                                                               "</f>
        <v xml:space="preserve">SUR 67 - A NO 130                                                               </v>
      </c>
      <c r="F1337" s="26" t="str">
        <f>"EL PRADO                                                                                                                                    "</f>
        <v xml:space="preserve">EL PRADO                                                                                                                                    </v>
      </c>
      <c r="G1337" s="26" t="str">
        <f>"IZTAPALAPA                                                                      "</f>
        <v xml:space="preserve">IZTAPALAPA                                                                      </v>
      </c>
      <c r="H1337" s="26" t="str">
        <f>"003"</f>
        <v>003</v>
      </c>
      <c r="I1337" s="26" t="str">
        <f t="shared" si="228"/>
        <v>00</v>
      </c>
      <c r="J1337" s="26" t="str">
        <f t="shared" si="233"/>
        <v xml:space="preserve">06 </v>
      </c>
      <c r="K1337" s="26" t="str">
        <f t="shared" si="234"/>
        <v>TE</v>
      </c>
      <c r="L1337" s="26" t="str">
        <f t="shared" si="235"/>
        <v>DGEST</v>
      </c>
      <c r="M1337" s="26" t="str">
        <f t="shared" si="227"/>
        <v>PARTICULAR</v>
      </c>
      <c r="N1337" s="26">
        <v>58</v>
      </c>
      <c r="O1337" s="26">
        <v>34</v>
      </c>
      <c r="P1337" s="26">
        <v>24</v>
      </c>
      <c r="Q1337" s="26">
        <v>3</v>
      </c>
      <c r="R1337" s="26">
        <v>2</v>
      </c>
      <c r="S1337" s="26">
        <v>9</v>
      </c>
      <c r="T1337" s="26">
        <v>4</v>
      </c>
      <c r="U1337" s="26">
        <v>15</v>
      </c>
      <c r="V1337" s="26">
        <v>1</v>
      </c>
      <c r="W1337" s="26"/>
    </row>
    <row r="1338" spans="1:23" x14ac:dyDescent="0.25">
      <c r="A1338" s="26" t="str">
        <f t="shared" si="223"/>
        <v>SECUNDARIA</v>
      </c>
      <c r="B1338" s="26" t="str">
        <f>"09PST0072Y"</f>
        <v>09PST0072Y</v>
      </c>
      <c r="C1338" s="26" t="str">
        <f>"COLEGIO DE EDUCACION INTEGRAL                                                                       "</f>
        <v xml:space="preserve">COLEGIO DE EDUCACION INTEGRAL                                                                       </v>
      </c>
      <c r="D1338" s="26" t="str">
        <f t="shared" si="236"/>
        <v>MATUTINO</v>
      </c>
      <c r="E1338" s="26" t="str">
        <f>"CAMINO VIEJO SAN PEDRO NUM 44                                                   "</f>
        <v xml:space="preserve">CAMINO VIEJO SAN PEDRO NUM 44                                                   </v>
      </c>
      <c r="F1338" s="26" t="str">
        <f>"LA JOYA                                                                                                                                     "</f>
        <v xml:space="preserve">LA JOYA                                                                                                                                     </v>
      </c>
      <c r="G1338" s="26" t="str">
        <f>"TLALPAN                                                                         "</f>
        <v xml:space="preserve">TLALPAN                                                                         </v>
      </c>
      <c r="H1338" s="26" t="str">
        <f>"004"</f>
        <v>004</v>
      </c>
      <c r="I1338" s="26" t="str">
        <f t="shared" si="228"/>
        <v>00</v>
      </c>
      <c r="J1338" s="26" t="str">
        <f t="shared" si="233"/>
        <v xml:space="preserve">06 </v>
      </c>
      <c r="K1338" s="26" t="str">
        <f t="shared" si="234"/>
        <v>TE</v>
      </c>
      <c r="L1338" s="26" t="str">
        <f t="shared" si="235"/>
        <v>DGEST</v>
      </c>
      <c r="M1338" s="26" t="str">
        <f t="shared" si="227"/>
        <v>PARTICULAR</v>
      </c>
      <c r="N1338" s="26">
        <v>68</v>
      </c>
      <c r="O1338" s="26">
        <v>47</v>
      </c>
      <c r="P1338" s="26">
        <v>21</v>
      </c>
      <c r="Q1338" s="26">
        <v>3</v>
      </c>
      <c r="R1338" s="26">
        <v>1</v>
      </c>
      <c r="S1338" s="26">
        <v>12</v>
      </c>
      <c r="T1338" s="26">
        <v>1</v>
      </c>
      <c r="U1338" s="26">
        <v>14</v>
      </c>
      <c r="V1338" s="26">
        <v>1</v>
      </c>
      <c r="W1338" s="26"/>
    </row>
    <row r="1339" spans="1:23" x14ac:dyDescent="0.25">
      <c r="A1339" s="26" t="str">
        <f t="shared" si="223"/>
        <v>SECUNDARIA</v>
      </c>
      <c r="B1339" s="26" t="str">
        <f>"09PST0073X"</f>
        <v>09PST0073X</v>
      </c>
      <c r="C1339" s="26" t="str">
        <f>"LEOPOLDO KIEL                                                                                       "</f>
        <v xml:space="preserve">LEOPOLDO KIEL                                                                                       </v>
      </c>
      <c r="D1339" s="26" t="str">
        <f t="shared" si="236"/>
        <v>MATUTINO</v>
      </c>
      <c r="E1339" s="26" t="str">
        <f>"CARLOS DOLCI NUM 42                                                             "</f>
        <v xml:space="preserve">CARLOS DOLCI NUM 42                                                             </v>
      </c>
      <c r="F1339" s="26" t="str">
        <f>"ALFONSO XIII                                                                                                                                "</f>
        <v xml:space="preserve">ALFONSO XIII                                                                                                                                </v>
      </c>
      <c r="G1339" s="26" t="str">
        <f>"ALVARO OBREGON                                                                  "</f>
        <v xml:space="preserve">ALVARO OBREGON                                                                  </v>
      </c>
      <c r="H1339" s="26" t="str">
        <f>"001"</f>
        <v>001</v>
      </c>
      <c r="I1339" s="26" t="str">
        <f t="shared" si="228"/>
        <v>00</v>
      </c>
      <c r="J1339" s="26" t="str">
        <f t="shared" si="233"/>
        <v xml:space="preserve">06 </v>
      </c>
      <c r="K1339" s="26" t="str">
        <f t="shared" si="234"/>
        <v>TE</v>
      </c>
      <c r="L1339" s="26" t="str">
        <f t="shared" si="235"/>
        <v>DGEST</v>
      </c>
      <c r="M1339" s="26" t="str">
        <f t="shared" si="227"/>
        <v>PARTICULAR</v>
      </c>
      <c r="N1339" s="26">
        <v>79</v>
      </c>
      <c r="O1339" s="26">
        <v>46</v>
      </c>
      <c r="P1339" s="26">
        <v>33</v>
      </c>
      <c r="Q1339" s="26">
        <v>3</v>
      </c>
      <c r="R1339" s="26">
        <v>2</v>
      </c>
      <c r="S1339" s="26">
        <v>12</v>
      </c>
      <c r="T1339" s="26">
        <v>5</v>
      </c>
      <c r="U1339" s="26">
        <v>19</v>
      </c>
      <c r="V1339" s="26">
        <v>1</v>
      </c>
      <c r="W1339" s="26"/>
    </row>
    <row r="1340" spans="1:23" x14ac:dyDescent="0.25">
      <c r="A1340" s="26" t="str">
        <f t="shared" si="223"/>
        <v>SECUNDARIA</v>
      </c>
      <c r="B1340" s="26" t="str">
        <f>"09PST0077T"</f>
        <v>09PST0077T</v>
      </c>
      <c r="C1340" s="26" t="str">
        <f>"RENE DESCARTES                                                                                      "</f>
        <v xml:space="preserve">RENE DESCARTES                                                                                      </v>
      </c>
      <c r="D1340" s="26" t="str">
        <f t="shared" si="236"/>
        <v>MATUTINO</v>
      </c>
      <c r="E1340" s="26" t="str">
        <f>"VIVEROS 33                                                                      "</f>
        <v xml:space="preserve">VIVEROS 33                                                                      </v>
      </c>
      <c r="F1340" s="26" t="str">
        <f>"VIVEROS DE SANTA MARIA TOMATLAN                                                                                                             "</f>
        <v xml:space="preserve">VIVEROS DE SANTA MARIA TOMATLAN                                                                                                             </v>
      </c>
      <c r="G1340" s="26" t="str">
        <f>"IZTAPALAPA                                                                      "</f>
        <v xml:space="preserve">IZTAPALAPA                                                                      </v>
      </c>
      <c r="H1340" s="26" t="str">
        <f>"003"</f>
        <v>003</v>
      </c>
      <c r="I1340" s="26" t="str">
        <f t="shared" si="228"/>
        <v>00</v>
      </c>
      <c r="J1340" s="26" t="str">
        <f t="shared" si="233"/>
        <v xml:space="preserve">06 </v>
      </c>
      <c r="K1340" s="26" t="str">
        <f t="shared" si="234"/>
        <v>TE</v>
      </c>
      <c r="L1340" s="26" t="str">
        <f t="shared" si="235"/>
        <v>DGEST</v>
      </c>
      <c r="M1340" s="26" t="str">
        <f t="shared" si="227"/>
        <v>PARTICULAR</v>
      </c>
      <c r="N1340" s="26">
        <v>82</v>
      </c>
      <c r="O1340" s="26">
        <v>54</v>
      </c>
      <c r="P1340" s="26">
        <v>28</v>
      </c>
      <c r="Q1340" s="26">
        <v>3</v>
      </c>
      <c r="R1340" s="26">
        <v>2</v>
      </c>
      <c r="S1340" s="26">
        <v>11</v>
      </c>
      <c r="T1340" s="26">
        <v>2</v>
      </c>
      <c r="U1340" s="26">
        <v>15</v>
      </c>
      <c r="V1340" s="26">
        <v>1</v>
      </c>
      <c r="W1340" s="26"/>
    </row>
    <row r="1341" spans="1:23" x14ac:dyDescent="0.25">
      <c r="A1341" s="26" t="str">
        <f t="shared" si="223"/>
        <v>SECUNDARIA</v>
      </c>
      <c r="B1341" s="26" t="str">
        <f>"09PST0078S"</f>
        <v>09PST0078S</v>
      </c>
      <c r="C1341" s="26" t="str">
        <f>"INSTITUTO ALBERTO EINSTEIN SECCION NIÑAS                                                            "</f>
        <v xml:space="preserve">INSTITUTO ALBERTO EINSTEIN SECCION NIÑAS                                                            </v>
      </c>
      <c r="D1341" s="26" t="str">
        <f>"TIEMPO COMPLETO"</f>
        <v>TIEMPO COMPLETO</v>
      </c>
      <c r="E1341" s="26" t="str">
        <f>"LAGO MERU NUM 63                                                                "</f>
        <v xml:space="preserve">LAGO MERU NUM 63                                                                </v>
      </c>
      <c r="F1341" s="26" t="str">
        <f>"GRANADA                                                                                                                                     "</f>
        <v xml:space="preserve">GRANADA                                                                                                                                     </v>
      </c>
      <c r="G1341" s="26" t="str">
        <f>"MIGUEL HIDALGO                                                                  "</f>
        <v xml:space="preserve">MIGUEL HIDALGO                                                                  </v>
      </c>
      <c r="H1341" s="26" t="str">
        <f>"001"</f>
        <v>001</v>
      </c>
      <c r="I1341" s="26" t="str">
        <f t="shared" si="228"/>
        <v>00</v>
      </c>
      <c r="J1341" s="26" t="str">
        <f t="shared" si="233"/>
        <v xml:space="preserve">06 </v>
      </c>
      <c r="K1341" s="26" t="str">
        <f t="shared" si="234"/>
        <v>TE</v>
      </c>
      <c r="L1341" s="26" t="str">
        <f t="shared" si="235"/>
        <v>DGEST</v>
      </c>
      <c r="M1341" s="26" t="str">
        <f t="shared" si="227"/>
        <v>PARTICULAR</v>
      </c>
      <c r="N1341" s="26">
        <v>164</v>
      </c>
      <c r="O1341" s="26">
        <v>0</v>
      </c>
      <c r="P1341" s="26">
        <v>164</v>
      </c>
      <c r="Q1341" s="26">
        <v>8</v>
      </c>
      <c r="R1341" s="26">
        <v>1</v>
      </c>
      <c r="S1341" s="26">
        <v>15</v>
      </c>
      <c r="T1341" s="26">
        <v>3</v>
      </c>
      <c r="U1341" s="26">
        <v>19</v>
      </c>
      <c r="V1341" s="26">
        <v>1</v>
      </c>
      <c r="W1341" s="26"/>
    </row>
    <row r="1342" spans="1:23" x14ac:dyDescent="0.25">
      <c r="A1342" s="26" t="str">
        <f t="shared" si="223"/>
        <v>SECUNDARIA</v>
      </c>
      <c r="B1342" s="26" t="str">
        <f>"09PST0080G"</f>
        <v>09PST0080G</v>
      </c>
      <c r="C1342" s="26" t="str">
        <f>"LUCIO MENDIETA Y NUÑEZ                                                                              "</f>
        <v xml:space="preserve">LUCIO MENDIETA Y NUÑEZ                                                                              </v>
      </c>
      <c r="D1342" s="26" t="str">
        <f>"MATUTINO"</f>
        <v>MATUTINO</v>
      </c>
      <c r="E1342" s="26" t="str">
        <f>"5 DE FEBRERO 577                                                                "</f>
        <v xml:space="preserve">5 DE FEBRERO 577                                                                </v>
      </c>
      <c r="F1342" s="26" t="str">
        <f>"ALAMOS                                                                                                                                      "</f>
        <v xml:space="preserve">ALAMOS                                                                                                                                      </v>
      </c>
      <c r="G1342" s="26" t="str">
        <f>"BENITO JUAREZ                                                                   "</f>
        <v xml:space="preserve">BENITO JUAREZ                                                                   </v>
      </c>
      <c r="H1342" s="26" t="str">
        <f>"001"</f>
        <v>001</v>
      </c>
      <c r="I1342" s="26" t="str">
        <f t="shared" si="228"/>
        <v>00</v>
      </c>
      <c r="J1342" s="26" t="str">
        <f t="shared" si="233"/>
        <v xml:space="preserve">06 </v>
      </c>
      <c r="K1342" s="26" t="str">
        <f t="shared" si="234"/>
        <v>TE</v>
      </c>
      <c r="L1342" s="26" t="str">
        <f t="shared" si="235"/>
        <v>DGEST</v>
      </c>
      <c r="M1342" s="26" t="str">
        <f t="shared" si="227"/>
        <v>PARTICULAR</v>
      </c>
      <c r="N1342" s="26">
        <v>106</v>
      </c>
      <c r="O1342" s="26">
        <v>58</v>
      </c>
      <c r="P1342" s="26">
        <v>48</v>
      </c>
      <c r="Q1342" s="26">
        <v>3</v>
      </c>
      <c r="R1342" s="26">
        <v>1</v>
      </c>
      <c r="S1342" s="26">
        <v>9</v>
      </c>
      <c r="T1342" s="26">
        <v>5</v>
      </c>
      <c r="U1342" s="26">
        <v>15</v>
      </c>
      <c r="V1342" s="26">
        <v>1</v>
      </c>
      <c r="W1342" s="26"/>
    </row>
    <row r="1343" spans="1:23" x14ac:dyDescent="0.25">
      <c r="A1343" s="26" t="str">
        <f t="shared" si="223"/>
        <v>SECUNDARIA</v>
      </c>
      <c r="B1343" s="26" t="str">
        <f>"09PST0083D"</f>
        <v>09PST0083D</v>
      </c>
      <c r="C1343" s="26" t="str">
        <f>"COLEGIO BROOKFIELD AMERICANO A. C.                                                                  "</f>
        <v xml:space="preserve">COLEGIO BROOKFIELD AMERICANO A. C.                                                                  </v>
      </c>
      <c r="D1343" s="26" t="str">
        <f>"MATUTINO"</f>
        <v>MATUTINO</v>
      </c>
      <c r="E1343" s="26" t="str">
        <f>"SANTA CECILIA NO 35                                                             "</f>
        <v xml:space="preserve">SANTA CECILIA NO 35                                                             </v>
      </c>
      <c r="F1343" s="26" t="str">
        <f>"RESIDENCIAL CAFETALES                                                                                                                       "</f>
        <v xml:space="preserve">RESIDENCIAL CAFETALES                                                                                                                       </v>
      </c>
      <c r="G1343" s="26" t="str">
        <f>"COYOACAN                                                                        "</f>
        <v xml:space="preserve">COYOACAN                                                                        </v>
      </c>
      <c r="H1343" s="26" t="str">
        <f>"004"</f>
        <v>004</v>
      </c>
      <c r="I1343" s="26" t="str">
        <f t="shared" si="228"/>
        <v>00</v>
      </c>
      <c r="J1343" s="26" t="str">
        <f t="shared" si="233"/>
        <v xml:space="preserve">06 </v>
      </c>
      <c r="K1343" s="26" t="str">
        <f t="shared" si="234"/>
        <v>TE</v>
      </c>
      <c r="L1343" s="26" t="str">
        <f t="shared" si="235"/>
        <v>DGEST</v>
      </c>
      <c r="M1343" s="26" t="str">
        <f t="shared" si="227"/>
        <v>PARTICULAR</v>
      </c>
      <c r="N1343" s="26">
        <v>160</v>
      </c>
      <c r="O1343" s="26">
        <v>76</v>
      </c>
      <c r="P1343" s="26">
        <v>84</v>
      </c>
      <c r="Q1343" s="26">
        <v>7</v>
      </c>
      <c r="R1343" s="26">
        <v>0</v>
      </c>
      <c r="S1343" s="26">
        <v>13</v>
      </c>
      <c r="T1343" s="26">
        <v>10</v>
      </c>
      <c r="U1343" s="26">
        <v>23</v>
      </c>
      <c r="V1343" s="26">
        <v>1</v>
      </c>
      <c r="W1343" s="26"/>
    </row>
    <row r="1344" spans="1:23" x14ac:dyDescent="0.25">
      <c r="A1344" s="26" t="str">
        <f t="shared" si="223"/>
        <v>SECUNDARIA</v>
      </c>
      <c r="B1344" s="26" t="str">
        <f>"09PST0084C"</f>
        <v>09PST0084C</v>
      </c>
      <c r="C1344" s="26" t="str">
        <f>"FUNDACION AZTECA                                                                                    "</f>
        <v xml:space="preserve">FUNDACION AZTECA                                                                                    </v>
      </c>
      <c r="D1344" s="26" t="str">
        <f>"MATUTINO"</f>
        <v>MATUTINO</v>
      </c>
      <c r="E1344" s="26" t="str">
        <f>"AV ACUEDUCTO NUM 25                                                             "</f>
        <v xml:space="preserve">AV ACUEDUCTO NUM 25                                                             </v>
      </c>
      <c r="F1344" s="26" t="str">
        <f>"SANTA ISABEL TOLA                                                                                                                           "</f>
        <v xml:space="preserve">SANTA ISABEL TOLA                                                                                                                           </v>
      </c>
      <c r="G1344" s="26" t="str">
        <f>"GUSTAVO A. MADERO                                                               "</f>
        <v xml:space="preserve">GUSTAVO A. MADERO                                                               </v>
      </c>
      <c r="H1344" s="26" t="str">
        <f>"002"</f>
        <v>002</v>
      </c>
      <c r="I1344" s="26" t="str">
        <f t="shared" si="228"/>
        <v>00</v>
      </c>
      <c r="J1344" s="26" t="str">
        <f t="shared" si="233"/>
        <v xml:space="preserve">06 </v>
      </c>
      <c r="K1344" s="26" t="str">
        <f t="shared" si="234"/>
        <v>TE</v>
      </c>
      <c r="L1344" s="26" t="str">
        <f t="shared" si="235"/>
        <v>DGEST</v>
      </c>
      <c r="M1344" s="26" t="str">
        <f t="shared" si="227"/>
        <v>PARTICULAR</v>
      </c>
      <c r="N1344" s="26">
        <v>942</v>
      </c>
      <c r="O1344" s="26">
        <v>428</v>
      </c>
      <c r="P1344" s="26">
        <v>514</v>
      </c>
      <c r="Q1344" s="26">
        <v>25</v>
      </c>
      <c r="R1344" s="26">
        <v>2</v>
      </c>
      <c r="S1344" s="26">
        <v>31</v>
      </c>
      <c r="T1344" s="26">
        <v>9</v>
      </c>
      <c r="U1344" s="26">
        <v>42</v>
      </c>
      <c r="V1344" s="26">
        <v>1</v>
      </c>
      <c r="W1344" s="26"/>
    </row>
    <row r="1345" spans="1:23" x14ac:dyDescent="0.25">
      <c r="A1345" s="26" t="str">
        <f t="shared" si="223"/>
        <v>SECUNDARIA</v>
      </c>
      <c r="B1345" s="26" t="str">
        <f>"09PST0084C"</f>
        <v>09PST0084C</v>
      </c>
      <c r="C1345" s="26" t="str">
        <f>"FUNDACION AZTECA                                                                                    "</f>
        <v xml:space="preserve">FUNDACION AZTECA                                                                                    </v>
      </c>
      <c r="D1345" s="26" t="str">
        <f>"VESPERTINO"</f>
        <v>VESPERTINO</v>
      </c>
      <c r="E1345" s="26" t="str">
        <f>"AV ACUEDUCTO NUM 25                                                             "</f>
        <v xml:space="preserve">AV ACUEDUCTO NUM 25                                                             </v>
      </c>
      <c r="F1345" s="26" t="str">
        <f>"SANTA ISABEL TOLA                                                                                                                           "</f>
        <v xml:space="preserve">SANTA ISABEL TOLA                                                                                                                           </v>
      </c>
      <c r="G1345" s="26" t="str">
        <f>"GUSTAVO A. MADERO                                                               "</f>
        <v xml:space="preserve">GUSTAVO A. MADERO                                                               </v>
      </c>
      <c r="H1345" s="26" t="str">
        <f>"002"</f>
        <v>002</v>
      </c>
      <c r="I1345" s="26" t="str">
        <f t="shared" si="228"/>
        <v>00</v>
      </c>
      <c r="J1345" s="26" t="str">
        <f t="shared" si="233"/>
        <v xml:space="preserve">06 </v>
      </c>
      <c r="K1345" s="26" t="str">
        <f t="shared" si="234"/>
        <v>TE</v>
      </c>
      <c r="L1345" s="26" t="str">
        <f t="shared" si="235"/>
        <v>DGEST</v>
      </c>
      <c r="M1345" s="26" t="str">
        <f t="shared" si="227"/>
        <v>PARTICULAR</v>
      </c>
      <c r="N1345" s="26">
        <v>900</v>
      </c>
      <c r="O1345" s="26">
        <v>396</v>
      </c>
      <c r="P1345" s="26">
        <v>504</v>
      </c>
      <c r="Q1345" s="26">
        <v>25</v>
      </c>
      <c r="R1345" s="26">
        <v>0</v>
      </c>
      <c r="S1345" s="26">
        <v>31</v>
      </c>
      <c r="T1345" s="26">
        <v>10</v>
      </c>
      <c r="U1345" s="26">
        <v>41</v>
      </c>
      <c r="V1345" s="26">
        <v>1</v>
      </c>
      <c r="W1345" s="26"/>
    </row>
    <row r="1346" spans="1:23" x14ac:dyDescent="0.25">
      <c r="A1346" s="26" t="str">
        <f t="shared" ref="A1346:A1366" si="237">"SECUNDARIA"</f>
        <v>SECUNDARIA</v>
      </c>
      <c r="B1346" s="26" t="str">
        <f>"09PST0087Z"</f>
        <v>09PST0087Z</v>
      </c>
      <c r="C1346" s="26" t="str">
        <f>"MAHATMA GANDHI                                                                                      "</f>
        <v xml:space="preserve">MAHATMA GANDHI                                                                                      </v>
      </c>
      <c r="D1346" s="26" t="str">
        <f t="shared" ref="D1346:D1357" si="238">"MATUTINO"</f>
        <v>MATUTINO</v>
      </c>
      <c r="E1346" s="26" t="str">
        <f>"EJIDO SAN LORENZO TEZONCO NUM. 184                                              "</f>
        <v xml:space="preserve">EJIDO SAN LORENZO TEZONCO NUM. 184                                              </v>
      </c>
      <c r="F1346" s="26" t="str">
        <f>"SAN FRANCISCO CULHUACAN                                                                                                                     "</f>
        <v xml:space="preserve">SAN FRANCISCO CULHUACAN                                                                                                                     </v>
      </c>
      <c r="G1346" s="26" t="str">
        <f>"COYOACAN                                                                        "</f>
        <v xml:space="preserve">COYOACAN                                                                        </v>
      </c>
      <c r="H1346" s="26" t="str">
        <f>"004"</f>
        <v>004</v>
      </c>
      <c r="I1346" s="26" t="str">
        <f t="shared" si="228"/>
        <v>00</v>
      </c>
      <c r="J1346" s="26" t="str">
        <f t="shared" si="233"/>
        <v xml:space="preserve">06 </v>
      </c>
      <c r="K1346" s="26" t="str">
        <f t="shared" si="234"/>
        <v>TE</v>
      </c>
      <c r="L1346" s="26" t="str">
        <f t="shared" si="235"/>
        <v>DGEST</v>
      </c>
      <c r="M1346" s="26" t="str">
        <f t="shared" si="227"/>
        <v>PARTICULAR</v>
      </c>
      <c r="N1346" s="26">
        <v>109</v>
      </c>
      <c r="O1346" s="26">
        <v>46</v>
      </c>
      <c r="P1346" s="26">
        <v>63</v>
      </c>
      <c r="Q1346" s="26">
        <v>5</v>
      </c>
      <c r="R1346" s="26">
        <v>1</v>
      </c>
      <c r="S1346" s="26">
        <v>11</v>
      </c>
      <c r="T1346" s="26">
        <v>4</v>
      </c>
      <c r="U1346" s="26">
        <v>16</v>
      </c>
      <c r="V1346" s="26">
        <v>1</v>
      </c>
      <c r="W1346" s="26"/>
    </row>
    <row r="1347" spans="1:23" x14ac:dyDescent="0.25">
      <c r="A1347" s="26" t="str">
        <f t="shared" si="237"/>
        <v>SECUNDARIA</v>
      </c>
      <c r="B1347" s="26" t="str">
        <f>"09PST0089Y"</f>
        <v>09PST0089Y</v>
      </c>
      <c r="C1347" s="26" t="str">
        <f>"VALLE DEL TEPEYAC                                                                                   "</f>
        <v xml:space="preserve">VALLE DEL TEPEYAC                                                                                   </v>
      </c>
      <c r="D1347" s="26" t="str">
        <f t="shared" si="238"/>
        <v>MATUTINO</v>
      </c>
      <c r="E1347" s="26" t="str">
        <f>"APASEO EL ALTO NO 4                                                             "</f>
        <v xml:space="preserve">APASEO EL ALTO NO 4                                                             </v>
      </c>
      <c r="F1347" s="26" t="str">
        <f>"SAN BARTOLO ATEPEHUACAN                                                                                                                     "</f>
        <v xml:space="preserve">SAN BARTOLO ATEPEHUACAN                                                                                                                     </v>
      </c>
      <c r="G1347" s="26" t="str">
        <f>"GUSTAVO A. MADERO                                                               "</f>
        <v xml:space="preserve">GUSTAVO A. MADERO                                                               </v>
      </c>
      <c r="H1347" s="26" t="str">
        <f>"002"</f>
        <v>002</v>
      </c>
      <c r="I1347" s="26" t="str">
        <f t="shared" si="228"/>
        <v>00</v>
      </c>
      <c r="J1347" s="26" t="str">
        <f t="shared" si="233"/>
        <v xml:space="preserve">06 </v>
      </c>
      <c r="K1347" s="26" t="str">
        <f t="shared" si="234"/>
        <v>TE</v>
      </c>
      <c r="L1347" s="26" t="str">
        <f t="shared" si="235"/>
        <v>DGEST</v>
      </c>
      <c r="M1347" s="26" t="str">
        <f t="shared" si="227"/>
        <v>PARTICULAR</v>
      </c>
      <c r="N1347" s="26">
        <v>86</v>
      </c>
      <c r="O1347" s="26">
        <v>52</v>
      </c>
      <c r="P1347" s="26">
        <v>34</v>
      </c>
      <c r="Q1347" s="26">
        <v>3</v>
      </c>
      <c r="R1347" s="26">
        <v>2</v>
      </c>
      <c r="S1347" s="26">
        <v>13</v>
      </c>
      <c r="T1347" s="26">
        <v>6</v>
      </c>
      <c r="U1347" s="26">
        <v>21</v>
      </c>
      <c r="V1347" s="26">
        <v>1</v>
      </c>
      <c r="W1347" s="26"/>
    </row>
    <row r="1348" spans="1:23" x14ac:dyDescent="0.25">
      <c r="A1348" s="26" t="str">
        <f t="shared" si="237"/>
        <v>SECUNDARIA</v>
      </c>
      <c r="B1348" s="26" t="str">
        <f>"09PST0090N"</f>
        <v>09PST0090N</v>
      </c>
      <c r="C1348" s="26" t="str">
        <f>"LICEO REFORMA EDUCATIVA                                                                             "</f>
        <v xml:space="preserve">LICEO REFORMA EDUCATIVA                                                                             </v>
      </c>
      <c r="D1348" s="26" t="str">
        <f t="shared" si="238"/>
        <v>MATUTINO</v>
      </c>
      <c r="E1348" s="26" t="str">
        <f>"RECREO NUM 45                                                                   "</f>
        <v xml:space="preserve">RECREO NUM 45                                                                   </v>
      </c>
      <c r="F1348" s="26" t="str">
        <f>"ZAPOTLA BARRIO                                                                                                                              "</f>
        <v xml:space="preserve">ZAPOTLA BARRIO                                                                                                                              </v>
      </c>
      <c r="G1348" s="26" t="str">
        <f>"IZTACALCO                                                                       "</f>
        <v xml:space="preserve">IZTACALCO                                                                       </v>
      </c>
      <c r="H1348" s="26" t="str">
        <f>"003"</f>
        <v>003</v>
      </c>
      <c r="I1348" s="26" t="str">
        <f t="shared" si="228"/>
        <v>00</v>
      </c>
      <c r="J1348" s="26" t="str">
        <f t="shared" si="233"/>
        <v xml:space="preserve">06 </v>
      </c>
      <c r="K1348" s="26" t="str">
        <f t="shared" si="234"/>
        <v>TE</v>
      </c>
      <c r="L1348" s="26" t="str">
        <f t="shared" si="235"/>
        <v>DGEST</v>
      </c>
      <c r="M1348" s="26" t="str">
        <f t="shared" si="227"/>
        <v>PARTICULAR</v>
      </c>
      <c r="N1348" s="26">
        <v>70</v>
      </c>
      <c r="O1348" s="26">
        <v>40</v>
      </c>
      <c r="P1348" s="26">
        <v>30</v>
      </c>
      <c r="Q1348" s="26">
        <v>3</v>
      </c>
      <c r="R1348" s="26">
        <v>1</v>
      </c>
      <c r="S1348" s="26">
        <v>9</v>
      </c>
      <c r="T1348" s="26">
        <v>7</v>
      </c>
      <c r="U1348" s="26">
        <v>17</v>
      </c>
      <c r="V1348" s="26">
        <v>1</v>
      </c>
      <c r="W1348" s="26"/>
    </row>
    <row r="1349" spans="1:23" x14ac:dyDescent="0.25">
      <c r="A1349" s="26" t="str">
        <f t="shared" si="237"/>
        <v>SECUNDARIA</v>
      </c>
      <c r="B1349" s="26" t="str">
        <f>"09PST0094J"</f>
        <v>09PST0094J</v>
      </c>
      <c r="C1349" s="26" t="str">
        <f>"COLEGIO GANDHI                                                                                      "</f>
        <v xml:space="preserve">COLEGIO GANDHI                                                                                      </v>
      </c>
      <c r="D1349" s="26" t="str">
        <f t="shared" si="238"/>
        <v>MATUTINO</v>
      </c>
      <c r="E1349" s="26" t="str">
        <f>"CAMINO AXICALCO NO 335                                                          "</f>
        <v xml:space="preserve">CAMINO AXICALCO NO 335                                                          </v>
      </c>
      <c r="F1349" s="26" t="str">
        <f>"SAN ANDRES TOTOLTEPEC                                                                                                                       "</f>
        <v xml:space="preserve">SAN ANDRES TOTOLTEPEC                                                                                                                       </v>
      </c>
      <c r="G1349" s="26" t="str">
        <f>"TLALPAN                                                                         "</f>
        <v xml:space="preserve">TLALPAN                                                                         </v>
      </c>
      <c r="H1349" s="26" t="str">
        <f>"004"</f>
        <v>004</v>
      </c>
      <c r="I1349" s="26" t="str">
        <f t="shared" si="228"/>
        <v>00</v>
      </c>
      <c r="J1349" s="26" t="str">
        <f t="shared" si="233"/>
        <v xml:space="preserve">06 </v>
      </c>
      <c r="K1349" s="26" t="str">
        <f t="shared" si="234"/>
        <v>TE</v>
      </c>
      <c r="L1349" s="26" t="str">
        <f t="shared" si="235"/>
        <v>DGEST</v>
      </c>
      <c r="M1349" s="26" t="str">
        <f t="shared" si="227"/>
        <v>PARTICULAR</v>
      </c>
      <c r="N1349" s="26">
        <v>181</v>
      </c>
      <c r="O1349" s="26">
        <v>91</v>
      </c>
      <c r="P1349" s="26">
        <v>90</v>
      </c>
      <c r="Q1349" s="26">
        <v>6</v>
      </c>
      <c r="R1349" s="26">
        <v>2</v>
      </c>
      <c r="S1349" s="26">
        <v>14</v>
      </c>
      <c r="T1349" s="26">
        <v>7</v>
      </c>
      <c r="U1349" s="26">
        <v>23</v>
      </c>
      <c r="V1349" s="26">
        <v>1</v>
      </c>
      <c r="W1349" s="26"/>
    </row>
    <row r="1350" spans="1:23" x14ac:dyDescent="0.25">
      <c r="A1350" s="26" t="str">
        <f t="shared" si="237"/>
        <v>SECUNDARIA</v>
      </c>
      <c r="B1350" s="26" t="str">
        <f>"09PST0095I"</f>
        <v>09PST0095I</v>
      </c>
      <c r="C1350" s="26" t="str">
        <f>"COLEGIO MARIANO HIDALGO                                                                             "</f>
        <v xml:space="preserve">COLEGIO MARIANO HIDALGO                                                                             </v>
      </c>
      <c r="D1350" s="26" t="str">
        <f t="shared" si="238"/>
        <v>MATUTINO</v>
      </c>
      <c r="E1350" s="26" t="str">
        <f>"AQUILES SERDAN M 58 L 653                                                       "</f>
        <v xml:space="preserve">AQUILES SERDAN M 58 L 653                                                       </v>
      </c>
      <c r="F1350" s="26" t="str">
        <f>"SANTA MARIA AZTAHUACAN                                                                                                                      "</f>
        <v xml:space="preserve">SANTA MARIA AZTAHUACAN                                                                                                                      </v>
      </c>
      <c r="G1350" s="26" t="str">
        <f>"IZTAPALAPA                                                                      "</f>
        <v xml:space="preserve">IZTAPALAPA                                                                      </v>
      </c>
      <c r="H1350" s="26" t="str">
        <f>"003"</f>
        <v>003</v>
      </c>
      <c r="I1350" s="26" t="str">
        <f t="shared" si="228"/>
        <v>00</v>
      </c>
      <c r="J1350" s="26" t="str">
        <f t="shared" si="233"/>
        <v xml:space="preserve">06 </v>
      </c>
      <c r="K1350" s="26" t="str">
        <f t="shared" si="234"/>
        <v>TE</v>
      </c>
      <c r="L1350" s="26" t="str">
        <f t="shared" si="235"/>
        <v>DGEST</v>
      </c>
      <c r="M1350" s="26" t="str">
        <f t="shared" si="227"/>
        <v>PARTICULAR</v>
      </c>
      <c r="N1350" s="26">
        <v>219</v>
      </c>
      <c r="O1350" s="26">
        <v>117</v>
      </c>
      <c r="P1350" s="26">
        <v>102</v>
      </c>
      <c r="Q1350" s="26">
        <v>6</v>
      </c>
      <c r="R1350" s="26">
        <v>2</v>
      </c>
      <c r="S1350" s="26">
        <v>12</v>
      </c>
      <c r="T1350" s="26">
        <v>4</v>
      </c>
      <c r="U1350" s="26">
        <v>18</v>
      </c>
      <c r="V1350" s="26">
        <v>1</v>
      </c>
      <c r="W1350" s="26"/>
    </row>
    <row r="1351" spans="1:23" x14ac:dyDescent="0.25">
      <c r="A1351" s="26" t="str">
        <f t="shared" si="237"/>
        <v>SECUNDARIA</v>
      </c>
      <c r="B1351" s="26" t="str">
        <f>"09PST0096H"</f>
        <v>09PST0096H</v>
      </c>
      <c r="C1351" s="26" t="str">
        <f>"COLEGIO QUETZAL                                                                                     "</f>
        <v xml:space="preserve">COLEGIO QUETZAL                                                                                     </v>
      </c>
      <c r="D1351" s="26" t="str">
        <f t="shared" si="238"/>
        <v>MATUTINO</v>
      </c>
      <c r="E1351" s="26" t="str">
        <f>"AV SUR 20 NUM 315                                                               "</f>
        <v xml:space="preserve">AV SUR 20 NUM 315                                                               </v>
      </c>
      <c r="F1351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1351" s="26" t="str">
        <f>"IZTACALCO                                                                       "</f>
        <v xml:space="preserve">IZTACALCO                                                                       </v>
      </c>
      <c r="H1351" s="26" t="str">
        <f>"003"</f>
        <v>003</v>
      </c>
      <c r="I1351" s="26" t="str">
        <f t="shared" si="228"/>
        <v>00</v>
      </c>
      <c r="J1351" s="26" t="str">
        <f t="shared" si="233"/>
        <v xml:space="preserve">06 </v>
      </c>
      <c r="K1351" s="26" t="str">
        <f t="shared" si="234"/>
        <v>TE</v>
      </c>
      <c r="L1351" s="26" t="str">
        <f t="shared" si="235"/>
        <v>DGEST</v>
      </c>
      <c r="M1351" s="26" t="str">
        <f t="shared" si="227"/>
        <v>PARTICULAR</v>
      </c>
      <c r="N1351" s="26">
        <v>101</v>
      </c>
      <c r="O1351" s="26">
        <v>48</v>
      </c>
      <c r="P1351" s="26">
        <v>53</v>
      </c>
      <c r="Q1351" s="26">
        <v>5</v>
      </c>
      <c r="R1351" s="26">
        <v>1</v>
      </c>
      <c r="S1351" s="26">
        <v>17</v>
      </c>
      <c r="T1351" s="26">
        <v>4</v>
      </c>
      <c r="U1351" s="26">
        <v>22</v>
      </c>
      <c r="V1351" s="26">
        <v>1</v>
      </c>
      <c r="W1351" s="26"/>
    </row>
    <row r="1352" spans="1:23" x14ac:dyDescent="0.25">
      <c r="A1352" s="26" t="str">
        <f t="shared" si="237"/>
        <v>SECUNDARIA</v>
      </c>
      <c r="B1352" s="26" t="str">
        <f>"09PST0099E"</f>
        <v>09PST0099E</v>
      </c>
      <c r="C1352" s="26" t="str">
        <f>"COLEGIO MARK TWAIN                                                                                  "</f>
        <v xml:space="preserve">COLEGIO MARK TWAIN                                                                                  </v>
      </c>
      <c r="D1352" s="26" t="str">
        <f t="shared" si="238"/>
        <v>MATUTINO</v>
      </c>
      <c r="E1352" s="26" t="str">
        <f>"RELAMPAGO NO 5 MNZ 9 LT 2                                                       "</f>
        <v xml:space="preserve">RELAMPAGO NO 5 MNZ 9 LT 2                                                       </v>
      </c>
      <c r="F1352" s="26" t="str">
        <f>"VALLE DE LUCES                                                                                                                              "</f>
        <v xml:space="preserve">VALLE DE LUCES                                                                                                                              </v>
      </c>
      <c r="G1352" s="26" t="str">
        <f>"IZTAPALAPA                                                                      "</f>
        <v xml:space="preserve">IZTAPALAPA                                                                      </v>
      </c>
      <c r="H1352" s="26" t="str">
        <f>"002"</f>
        <v>002</v>
      </c>
      <c r="I1352" s="26" t="str">
        <f t="shared" si="228"/>
        <v>00</v>
      </c>
      <c r="J1352" s="26" t="str">
        <f t="shared" si="233"/>
        <v xml:space="preserve">06 </v>
      </c>
      <c r="K1352" s="26" t="str">
        <f t="shared" si="234"/>
        <v>TE</v>
      </c>
      <c r="L1352" s="26" t="str">
        <f t="shared" si="235"/>
        <v>DGEST</v>
      </c>
      <c r="M1352" s="26" t="str">
        <f t="shared" si="227"/>
        <v>PARTICULAR</v>
      </c>
      <c r="N1352" s="26">
        <v>91</v>
      </c>
      <c r="O1352" s="26">
        <v>51</v>
      </c>
      <c r="P1352" s="26">
        <v>40</v>
      </c>
      <c r="Q1352" s="26">
        <v>5</v>
      </c>
      <c r="R1352" s="26">
        <v>1</v>
      </c>
      <c r="S1352" s="26">
        <v>10</v>
      </c>
      <c r="T1352" s="26">
        <v>3</v>
      </c>
      <c r="U1352" s="26">
        <v>14</v>
      </c>
      <c r="V1352" s="26">
        <v>1</v>
      </c>
      <c r="W1352" s="26"/>
    </row>
    <row r="1353" spans="1:23" x14ac:dyDescent="0.25">
      <c r="A1353" s="26" t="str">
        <f t="shared" si="237"/>
        <v>SECUNDARIA</v>
      </c>
      <c r="B1353" s="26" t="str">
        <f>"09PST0100D"</f>
        <v>09PST0100D</v>
      </c>
      <c r="C1353" s="26" t="s">
        <v>3999</v>
      </c>
      <c r="D1353" s="26" t="str">
        <f t="shared" si="238"/>
        <v>MATUTINO</v>
      </c>
      <c r="E1353" s="26" t="str">
        <f>"GERMANIO NO 34                                                                  "</f>
        <v xml:space="preserve">GERMANIO NO 34                                                                  </v>
      </c>
      <c r="F1353" s="26" t="str">
        <f>"PARAJE SAN JUAN                                                                                                                             "</f>
        <v xml:space="preserve">PARAJE SAN JUAN                                                                                                                             </v>
      </c>
      <c r="G1353" s="26" t="str">
        <f>"IZTAPALAPA                                                                      "</f>
        <v xml:space="preserve">IZTAPALAPA                                                                      </v>
      </c>
      <c r="H1353" s="26" t="str">
        <f>"001"</f>
        <v>001</v>
      </c>
      <c r="I1353" s="26" t="str">
        <f t="shared" si="228"/>
        <v>00</v>
      </c>
      <c r="J1353" s="26" t="str">
        <f t="shared" si="233"/>
        <v xml:space="preserve">06 </v>
      </c>
      <c r="K1353" s="26" t="str">
        <f t="shared" si="234"/>
        <v>TE</v>
      </c>
      <c r="L1353" s="26" t="str">
        <f t="shared" si="235"/>
        <v>DGEST</v>
      </c>
      <c r="M1353" s="26" t="str">
        <f t="shared" si="227"/>
        <v>PARTICULAR</v>
      </c>
      <c r="N1353" s="26">
        <v>78</v>
      </c>
      <c r="O1353" s="26">
        <v>42</v>
      </c>
      <c r="P1353" s="26">
        <v>36</v>
      </c>
      <c r="Q1353" s="26">
        <v>3</v>
      </c>
      <c r="R1353" s="26">
        <v>1</v>
      </c>
      <c r="S1353" s="26">
        <v>9</v>
      </c>
      <c r="T1353" s="26">
        <v>2</v>
      </c>
      <c r="U1353" s="26">
        <v>12</v>
      </c>
      <c r="V1353" s="26">
        <v>1</v>
      </c>
      <c r="W1353" s="26"/>
    </row>
    <row r="1354" spans="1:23" x14ac:dyDescent="0.25">
      <c r="A1354" s="26" t="str">
        <f t="shared" si="237"/>
        <v>SECUNDARIA</v>
      </c>
      <c r="B1354" s="26" t="str">
        <f>"09PST0101C"</f>
        <v>09PST0101C</v>
      </c>
      <c r="C1354" s="26" t="str">
        <f>"COLEGIO GIRARD                                                                                      "</f>
        <v xml:space="preserve">COLEGIO GIRARD                                                                                      </v>
      </c>
      <c r="D1354" s="26" t="str">
        <f t="shared" si="238"/>
        <v>MATUTINO</v>
      </c>
      <c r="E1354" s="26" t="str">
        <f>"ALEMANIA NO 13                                                                  "</f>
        <v xml:space="preserve">ALEMANIA NO 13                                                                  </v>
      </c>
      <c r="F1354" s="26" t="str">
        <f>"PARQUE SAN ANDRES                                                                                                                           "</f>
        <v xml:space="preserve">PARQUE SAN ANDRES                                                                                                                           </v>
      </c>
      <c r="G1354" s="26" t="str">
        <f>"COYOACAN                                                                        "</f>
        <v xml:space="preserve">COYOACAN                                                                        </v>
      </c>
      <c r="H1354" s="26" t="str">
        <f>"003"</f>
        <v>003</v>
      </c>
      <c r="I1354" s="26" t="str">
        <f t="shared" si="228"/>
        <v>00</v>
      </c>
      <c r="J1354" s="26" t="str">
        <f t="shared" si="233"/>
        <v xml:space="preserve">06 </v>
      </c>
      <c r="K1354" s="26" t="str">
        <f t="shared" si="234"/>
        <v>TE</v>
      </c>
      <c r="L1354" s="26" t="str">
        <f t="shared" si="235"/>
        <v>DGEST</v>
      </c>
      <c r="M1354" s="26" t="str">
        <f t="shared" si="227"/>
        <v>PARTICULAR</v>
      </c>
      <c r="N1354" s="26">
        <v>46</v>
      </c>
      <c r="O1354" s="26">
        <v>23</v>
      </c>
      <c r="P1354" s="26">
        <v>23</v>
      </c>
      <c r="Q1354" s="26">
        <v>3</v>
      </c>
      <c r="R1354" s="26">
        <v>1</v>
      </c>
      <c r="S1354" s="26">
        <v>11</v>
      </c>
      <c r="T1354" s="26">
        <v>5</v>
      </c>
      <c r="U1354" s="26">
        <v>17</v>
      </c>
      <c r="V1354" s="26">
        <v>1</v>
      </c>
      <c r="W1354" s="26"/>
    </row>
    <row r="1355" spans="1:23" x14ac:dyDescent="0.25">
      <c r="A1355" s="26" t="str">
        <f t="shared" si="237"/>
        <v>SECUNDARIA</v>
      </c>
      <c r="B1355" s="26" t="str">
        <f>"09PST0102B"</f>
        <v>09PST0102B</v>
      </c>
      <c r="C1355" s="26" t="str">
        <f>"COLEGIO DEL BOSQUE                                                                                  "</f>
        <v xml:space="preserve">COLEGIO DEL BOSQUE                                                                                  </v>
      </c>
      <c r="D1355" s="26" t="str">
        <f t="shared" si="238"/>
        <v>MATUTINO</v>
      </c>
      <c r="E1355" s="26" t="str">
        <f>"PINO SUAREZ No. 115                                                             "</f>
        <v xml:space="preserve">PINO SUAREZ No. 115                                                             </v>
      </c>
      <c r="F1355" s="26" t="str">
        <f>"MIGUEL HIDALGO AMPLIACION                                                                                                                   "</f>
        <v xml:space="preserve">MIGUEL HIDALGO AMPLIACION                                                                                                                   </v>
      </c>
      <c r="G1355" s="26" t="str">
        <f>"TLALPAN                                                                         "</f>
        <v xml:space="preserve">TLALPAN                                                                         </v>
      </c>
      <c r="H1355" s="26" t="str">
        <f>"004"</f>
        <v>004</v>
      </c>
      <c r="I1355" s="26" t="str">
        <f>"  "</f>
        <v xml:space="preserve">  </v>
      </c>
      <c r="J1355" s="26" t="str">
        <f t="shared" si="233"/>
        <v xml:space="preserve">06 </v>
      </c>
      <c r="K1355" s="26" t="str">
        <f t="shared" si="234"/>
        <v>TE</v>
      </c>
      <c r="L1355" s="26" t="str">
        <f t="shared" si="235"/>
        <v>DGEST</v>
      </c>
      <c r="M1355" s="26" t="str">
        <f t="shared" si="227"/>
        <v>PARTICULAR</v>
      </c>
      <c r="N1355" s="26">
        <v>61</v>
      </c>
      <c r="O1355" s="26">
        <v>34</v>
      </c>
      <c r="P1355" s="26">
        <v>27</v>
      </c>
      <c r="Q1355" s="26">
        <v>3</v>
      </c>
      <c r="R1355" s="26">
        <v>1</v>
      </c>
      <c r="S1355" s="26">
        <v>11</v>
      </c>
      <c r="T1355" s="26">
        <v>4</v>
      </c>
      <c r="U1355" s="26">
        <v>16</v>
      </c>
      <c r="V1355" s="26">
        <v>1</v>
      </c>
      <c r="W1355" s="26"/>
    </row>
    <row r="1356" spans="1:23" x14ac:dyDescent="0.25">
      <c r="A1356" s="26" t="str">
        <f t="shared" si="237"/>
        <v>SECUNDARIA</v>
      </c>
      <c r="B1356" s="26" t="str">
        <f>"09PST0103A"</f>
        <v>09PST0103A</v>
      </c>
      <c r="C1356" s="26" t="str">
        <f>"COLEGIO VASCONCELOS                                                                                 "</f>
        <v xml:space="preserve">COLEGIO VASCONCELOS                                                                                 </v>
      </c>
      <c r="D1356" s="26" t="str">
        <f t="shared" si="238"/>
        <v>MATUTINO</v>
      </c>
      <c r="E1356" s="26" t="str">
        <f>"MIGUEL QUINTANA # 3                                                             "</f>
        <v xml:space="preserve">MIGUEL QUINTANA # 3                                                             </v>
      </c>
      <c r="F1356" s="26" t="str">
        <f>"DANIEL GARZA                                                                                                                                "</f>
        <v xml:space="preserve">DANIEL GARZA                                                                                                                                </v>
      </c>
      <c r="G1356" s="26" t="str">
        <f>"MIGUEL HIDALGO                                                                  "</f>
        <v xml:space="preserve">MIGUEL HIDALGO                                                                  </v>
      </c>
      <c r="H1356" s="26" t="str">
        <f>"001"</f>
        <v>001</v>
      </c>
      <c r="I1356" s="26" t="str">
        <f>"  "</f>
        <v xml:space="preserve">  </v>
      </c>
      <c r="J1356" s="26" t="str">
        <f t="shared" si="233"/>
        <v xml:space="preserve">06 </v>
      </c>
      <c r="K1356" s="26" t="str">
        <f t="shared" si="234"/>
        <v>TE</v>
      </c>
      <c r="L1356" s="26" t="str">
        <f t="shared" si="235"/>
        <v>DGEST</v>
      </c>
      <c r="M1356" s="26" t="str">
        <f t="shared" si="227"/>
        <v>PARTICULAR</v>
      </c>
      <c r="N1356" s="26">
        <v>120</v>
      </c>
      <c r="O1356" s="26">
        <v>69</v>
      </c>
      <c r="P1356" s="26">
        <v>51</v>
      </c>
      <c r="Q1356" s="26">
        <v>6</v>
      </c>
      <c r="R1356" s="26">
        <v>2</v>
      </c>
      <c r="S1356" s="26">
        <v>13</v>
      </c>
      <c r="T1356" s="26">
        <v>3</v>
      </c>
      <c r="U1356" s="26">
        <v>18</v>
      </c>
      <c r="V1356" s="26">
        <v>1</v>
      </c>
      <c r="W1356" s="26"/>
    </row>
    <row r="1357" spans="1:23" x14ac:dyDescent="0.25">
      <c r="A1357" s="26" t="str">
        <f t="shared" si="237"/>
        <v>SECUNDARIA</v>
      </c>
      <c r="B1357" s="26" t="str">
        <f>"09PST0104Z"</f>
        <v>09PST0104Z</v>
      </c>
      <c r="C1357" s="26" t="str">
        <f>"LEONARDO DA VINCI                                                                                   "</f>
        <v xml:space="preserve">LEONARDO DA VINCI                                                                                   </v>
      </c>
      <c r="D1357" s="26" t="str">
        <f t="shared" si="238"/>
        <v>MATUTINO</v>
      </c>
      <c r="E1357" s="26" t="str">
        <f>"SEGUNDA CERRADA VICENTE GUERRERO No. 11                                         "</f>
        <v xml:space="preserve">SEGUNDA CERRADA VICENTE GUERRERO No. 11                                         </v>
      </c>
      <c r="F1357" s="26" t="str">
        <f>"SAN FELIPE TULYEHUALCO                                                                                                                      "</f>
        <v xml:space="preserve">SAN FELIPE TULYEHUALCO                                                                                                                      </v>
      </c>
      <c r="G1357" s="26" t="str">
        <f>"XOCHIMILCO                                                                      "</f>
        <v xml:space="preserve">XOCHIMILCO                                                                      </v>
      </c>
      <c r="H1357" s="26" t="str">
        <f>"004"</f>
        <v>004</v>
      </c>
      <c r="I1357" s="26" t="str">
        <f>"00"</f>
        <v>00</v>
      </c>
      <c r="J1357" s="26" t="str">
        <f t="shared" si="233"/>
        <v xml:space="preserve">06 </v>
      </c>
      <c r="K1357" s="26" t="str">
        <f t="shared" si="234"/>
        <v>TE</v>
      </c>
      <c r="L1357" s="26" t="str">
        <f t="shared" si="235"/>
        <v>DGEST</v>
      </c>
      <c r="M1357" s="26" t="str">
        <f t="shared" si="227"/>
        <v>PARTICULAR</v>
      </c>
      <c r="N1357" s="26">
        <v>79</v>
      </c>
      <c r="O1357" s="26">
        <v>45</v>
      </c>
      <c r="P1357" s="26">
        <v>34</v>
      </c>
      <c r="Q1357" s="26">
        <v>3</v>
      </c>
      <c r="R1357" s="26">
        <v>0</v>
      </c>
      <c r="S1357" s="26">
        <v>11</v>
      </c>
      <c r="T1357" s="26">
        <v>2</v>
      </c>
      <c r="U1357" s="26">
        <v>13</v>
      </c>
      <c r="V1357" s="26">
        <v>1</v>
      </c>
      <c r="W1357" s="26"/>
    </row>
    <row r="1358" spans="1:23" x14ac:dyDescent="0.25">
      <c r="A1358" s="26" t="str">
        <f t="shared" si="237"/>
        <v>SECUNDARIA</v>
      </c>
      <c r="B1358" s="26" t="str">
        <f>"09PST0105Z"</f>
        <v>09PST0105Z</v>
      </c>
      <c r="C1358" s="26" t="str">
        <f>"SOCIEDAD CULTURAL COLEGIO AMERICANO CAMPUS CENTRO                                                   "</f>
        <v xml:space="preserve">SOCIEDAD CULTURAL COLEGIO AMERICANO CAMPUS CENTRO                                                   </v>
      </c>
      <c r="D1358" s="26" t="str">
        <f>"JORNADA AMPLIADA"</f>
        <v>JORNADA AMPLIADA</v>
      </c>
      <c r="E1358" s="26" t="str">
        <f>"HUATUSCO NO 9                                                                   "</f>
        <v xml:space="preserve">HUATUSCO NO 9                                                                   </v>
      </c>
      <c r="F1358" s="26" t="str">
        <f>"ROMA NORTE                                                                                                                                  "</f>
        <v xml:space="preserve">ROMA NORTE                                                                                                                                  </v>
      </c>
      <c r="G1358" s="26" t="str">
        <f>"CUAUHTEMOC                                                                      "</f>
        <v xml:space="preserve">CUAUHTEMOC                                                                      </v>
      </c>
      <c r="H1358" s="26" t="str">
        <f>"001"</f>
        <v>001</v>
      </c>
      <c r="I1358" s="26" t="str">
        <f>"00"</f>
        <v>00</v>
      </c>
      <c r="J1358" s="26" t="str">
        <f t="shared" si="233"/>
        <v xml:space="preserve">06 </v>
      </c>
      <c r="K1358" s="26" t="str">
        <f t="shared" si="234"/>
        <v>TE</v>
      </c>
      <c r="L1358" s="26" t="str">
        <f t="shared" si="235"/>
        <v>DGEST</v>
      </c>
      <c r="M1358" s="26" t="str">
        <f t="shared" si="227"/>
        <v>PARTICULAR</v>
      </c>
      <c r="N1358" s="26">
        <v>40</v>
      </c>
      <c r="O1358" s="26">
        <v>17</v>
      </c>
      <c r="P1358" s="26">
        <v>23</v>
      </c>
      <c r="Q1358" s="26">
        <v>3</v>
      </c>
      <c r="R1358" s="26">
        <v>1</v>
      </c>
      <c r="S1358" s="26">
        <v>10</v>
      </c>
      <c r="T1358" s="26">
        <v>3</v>
      </c>
      <c r="U1358" s="26">
        <v>14</v>
      </c>
      <c r="V1358" s="26">
        <v>1</v>
      </c>
      <c r="W1358" s="26"/>
    </row>
    <row r="1359" spans="1:23" x14ac:dyDescent="0.25">
      <c r="A1359" s="26" t="str">
        <f t="shared" si="237"/>
        <v>SECUNDARIA</v>
      </c>
      <c r="B1359" s="26" t="str">
        <f>"09PST0106Y"</f>
        <v>09PST0106Y</v>
      </c>
      <c r="C1359" s="26" t="str">
        <f>"INSTITUTO BENEMERITO JUAREZ                                                                         "</f>
        <v xml:space="preserve">INSTITUTO BENEMERITO JUAREZ                                                                         </v>
      </c>
      <c r="D1359" s="26" t="str">
        <f>"MATUTINO"</f>
        <v>MATUTINO</v>
      </c>
      <c r="E1359" s="26" t="str">
        <f>"COMERCIO NORTE NO 24 B                                                          "</f>
        <v xml:space="preserve">COMERCIO NORTE NO 24 B                                                          </v>
      </c>
      <c r="F1359" s="26" t="str">
        <f>"SAN AGUSTIN MIXQUIC                                                                                                                         "</f>
        <v xml:space="preserve">SAN AGUSTIN MIXQUIC                                                                                                                         </v>
      </c>
      <c r="G1359" s="26" t="str">
        <f>"TLAHUAC                                                                         "</f>
        <v xml:space="preserve">TLAHUAC                                                                         </v>
      </c>
      <c r="H1359" s="26" t="str">
        <f>"   "</f>
        <v xml:space="preserve">   </v>
      </c>
      <c r="I1359" s="26" t="str">
        <f>"  "</f>
        <v xml:space="preserve">  </v>
      </c>
      <c r="J1359" s="26" t="str">
        <f t="shared" si="233"/>
        <v xml:space="preserve">06 </v>
      </c>
      <c r="K1359" s="26" t="str">
        <f t="shared" si="234"/>
        <v>TE</v>
      </c>
      <c r="L1359" s="26" t="str">
        <f t="shared" si="235"/>
        <v>DGEST</v>
      </c>
      <c r="M1359" s="26" t="str">
        <f t="shared" si="227"/>
        <v>PARTICULAR</v>
      </c>
      <c r="N1359" s="26">
        <v>37</v>
      </c>
      <c r="O1359" s="26">
        <v>22</v>
      </c>
      <c r="P1359" s="26">
        <v>15</v>
      </c>
      <c r="Q1359" s="26">
        <v>3</v>
      </c>
      <c r="R1359" s="26">
        <v>1</v>
      </c>
      <c r="S1359" s="26">
        <v>10</v>
      </c>
      <c r="T1359" s="26">
        <v>0</v>
      </c>
      <c r="U1359" s="26">
        <v>11</v>
      </c>
      <c r="V1359" s="26">
        <v>1</v>
      </c>
      <c r="W1359" s="26"/>
    </row>
    <row r="1360" spans="1:23" x14ac:dyDescent="0.25">
      <c r="A1360" s="26" t="str">
        <f t="shared" si="237"/>
        <v>SECUNDARIA</v>
      </c>
      <c r="B1360" s="26" t="str">
        <f>"09PST0107X"</f>
        <v>09PST0107X</v>
      </c>
      <c r="C1360" s="26" t="str">
        <f>"LORD BERTRAND RUSSELL                                                                               "</f>
        <v xml:space="preserve">LORD BERTRAND RUSSELL                                                                               </v>
      </c>
      <c r="D1360" s="26" t="str">
        <f>"MATUTINO"</f>
        <v>MATUTINO</v>
      </c>
      <c r="E1360" s="26" t="str">
        <f>"CANDELARIA 36                                                                   "</f>
        <v xml:space="preserve">CANDELARIA 36                                                                   </v>
      </c>
      <c r="F1360" s="26" t="str">
        <f>"EL ROSEDAL                                                                                                                                  "</f>
        <v xml:space="preserve">EL ROSEDAL                                                                                                                                  </v>
      </c>
      <c r="G1360" s="26" t="str">
        <f>"COYOACAN                                                                        "</f>
        <v xml:space="preserve">COYOACAN                                                                        </v>
      </c>
      <c r="H1360" s="26" t="str">
        <f>"000"</f>
        <v>000</v>
      </c>
      <c r="I1360" s="26" t="str">
        <f>"00"</f>
        <v>00</v>
      </c>
      <c r="J1360" s="26" t="str">
        <f t="shared" si="233"/>
        <v xml:space="preserve">06 </v>
      </c>
      <c r="K1360" s="26" t="str">
        <f t="shared" si="234"/>
        <v>TE</v>
      </c>
      <c r="L1360" s="26" t="str">
        <f t="shared" si="235"/>
        <v>DGEST</v>
      </c>
      <c r="M1360" s="26" t="str">
        <f t="shared" si="227"/>
        <v>PARTICULAR</v>
      </c>
      <c r="N1360" s="26">
        <v>65</v>
      </c>
      <c r="O1360" s="26">
        <v>23</v>
      </c>
      <c r="P1360" s="26">
        <v>42</v>
      </c>
      <c r="Q1360" s="26">
        <v>3</v>
      </c>
      <c r="R1360" s="26">
        <v>1</v>
      </c>
      <c r="S1360" s="26">
        <v>9</v>
      </c>
      <c r="T1360" s="26">
        <v>1</v>
      </c>
      <c r="U1360" s="26">
        <v>11</v>
      </c>
      <c r="V1360" s="26">
        <v>1</v>
      </c>
      <c r="W1360" s="26"/>
    </row>
    <row r="1361" spans="1:24" x14ac:dyDescent="0.25">
      <c r="A1361" s="26" t="str">
        <f t="shared" si="237"/>
        <v>SECUNDARIA</v>
      </c>
      <c r="B1361" s="26" t="str">
        <f>"09PST0108W"</f>
        <v>09PST0108W</v>
      </c>
      <c r="C1361" s="26" t="str">
        <f>"COLEGIO MODERNO DE ORIENTE ""JEAN PIAGET""                                                            "</f>
        <v xml:space="preserve">COLEGIO MODERNO DE ORIENTE "JEAN PIAGET"                                                            </v>
      </c>
      <c r="D1361" s="26" t="str">
        <f>"JORNADA AMPLIADA"</f>
        <v>JORNADA AMPLIADA</v>
      </c>
      <c r="E1361" s="26" t="str">
        <f>"SUR 22 NUMERO 123                                                               "</f>
        <v xml:space="preserve">SUR 22 NUMERO 123                                                               </v>
      </c>
      <c r="F1361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1361" s="26" t="str">
        <f>"IZTACALCO                                                                       "</f>
        <v xml:space="preserve">IZTACALCO                                                                       </v>
      </c>
      <c r="H1361" s="26" t="str">
        <f>"000"</f>
        <v>000</v>
      </c>
      <c r="I1361" s="26" t="str">
        <f>"00"</f>
        <v>00</v>
      </c>
      <c r="J1361" s="26" t="str">
        <f t="shared" si="233"/>
        <v xml:space="preserve">06 </v>
      </c>
      <c r="K1361" s="26" t="str">
        <f t="shared" si="234"/>
        <v>TE</v>
      </c>
      <c r="L1361" s="26" t="str">
        <f t="shared" si="235"/>
        <v>DGEST</v>
      </c>
      <c r="M1361" s="26" t="str">
        <f t="shared" si="227"/>
        <v>PARTICULAR</v>
      </c>
      <c r="N1361" s="26">
        <v>37</v>
      </c>
      <c r="O1361" s="26">
        <v>20</v>
      </c>
      <c r="P1361" s="26">
        <v>17</v>
      </c>
      <c r="Q1361" s="26">
        <v>3</v>
      </c>
      <c r="R1361" s="26">
        <v>1</v>
      </c>
      <c r="S1361" s="26">
        <v>12</v>
      </c>
      <c r="T1361" s="26">
        <v>2</v>
      </c>
      <c r="U1361" s="26">
        <v>15</v>
      </c>
      <c r="V1361" s="26">
        <v>1</v>
      </c>
      <c r="W1361" s="26"/>
    </row>
    <row r="1362" spans="1:24" x14ac:dyDescent="0.25">
      <c r="A1362" s="26" t="str">
        <f t="shared" si="237"/>
        <v>SECUNDARIA</v>
      </c>
      <c r="B1362" s="26" t="str">
        <f>"09PST0109U"</f>
        <v>09PST0109U</v>
      </c>
      <c r="C1362" s="26" t="str">
        <f>"COLEGIO JEAN PIAGET DE ORIENTE                                                                      "</f>
        <v xml:space="preserve">COLEGIO JEAN PIAGET DE ORIENTE                                                                      </v>
      </c>
      <c r="D1362" s="26" t="str">
        <f>"MATUTINO"</f>
        <v>MATUTINO</v>
      </c>
      <c r="E1362" s="26" t="str">
        <f>"ORIENTE 102 NUMERO 1659                                                         "</f>
        <v xml:space="preserve">ORIENTE 102 NUMERO 1659                                                         </v>
      </c>
      <c r="F1362" s="26" t="str">
        <f>"GABRIEL RAMOS MILLAN                                                                                                                        "</f>
        <v xml:space="preserve">GABRIEL RAMOS MILLAN                                                                                                                        </v>
      </c>
      <c r="G1362" s="26" t="str">
        <f>"IZTACALCO                                                                       "</f>
        <v xml:space="preserve">IZTACALCO                                                                       </v>
      </c>
      <c r="H1362" s="26" t="str">
        <f>"   "</f>
        <v xml:space="preserve">   </v>
      </c>
      <c r="I1362" s="26" t="str">
        <f>"  "</f>
        <v xml:space="preserve">  </v>
      </c>
      <c r="J1362" s="26" t="str">
        <f t="shared" si="233"/>
        <v xml:space="preserve">06 </v>
      </c>
      <c r="K1362" s="26" t="str">
        <f t="shared" si="234"/>
        <v>TE</v>
      </c>
      <c r="L1362" s="26" t="str">
        <f t="shared" si="235"/>
        <v>DGEST</v>
      </c>
      <c r="M1362" s="26" t="str">
        <f t="shared" si="227"/>
        <v>PARTICULAR</v>
      </c>
      <c r="N1362" s="26">
        <v>27</v>
      </c>
      <c r="O1362" s="26">
        <v>15</v>
      </c>
      <c r="P1362" s="26">
        <v>12</v>
      </c>
      <c r="Q1362" s="26">
        <v>3</v>
      </c>
      <c r="R1362" s="26">
        <v>1</v>
      </c>
      <c r="S1362" s="26">
        <v>13</v>
      </c>
      <c r="T1362" s="26">
        <v>6</v>
      </c>
      <c r="U1362" s="26">
        <v>20</v>
      </c>
      <c r="V1362" s="26">
        <v>1</v>
      </c>
      <c r="W1362" s="26"/>
    </row>
    <row r="1363" spans="1:24" x14ac:dyDescent="0.25">
      <c r="A1363" s="26" t="str">
        <f t="shared" si="237"/>
        <v>SECUNDARIA</v>
      </c>
      <c r="B1363" s="26" t="str">
        <f>"09PST0110K"</f>
        <v>09PST0110K</v>
      </c>
      <c r="C1363" s="26" t="str">
        <f>"BEATRIZ VELASCO DE ALEMAN                                                                           "</f>
        <v xml:space="preserve">BEATRIZ VELASCO DE ALEMAN                                                                           </v>
      </c>
      <c r="D1363" s="26" t="str">
        <f>"MATUTINO"</f>
        <v>MATUTINO</v>
      </c>
      <c r="E1363" s="26" t="str">
        <f>"CALLE ZOQUIPA NO 148                                                            "</f>
        <v xml:space="preserve">CALLE ZOQUIPA NO 148                                                            </v>
      </c>
      <c r="F1363" s="26" t="str">
        <f>"EL PARQUE                                                                                                                                   "</f>
        <v xml:space="preserve">EL PARQUE                                                                                                                                   </v>
      </c>
      <c r="G1363" s="26" t="str">
        <f>"VENUSTIANO CARRANZA                                                             "</f>
        <v xml:space="preserve">VENUSTIANO CARRANZA                                                             </v>
      </c>
      <c r="H1363" s="26" t="str">
        <f>"000"</f>
        <v>000</v>
      </c>
      <c r="I1363" s="26" t="str">
        <f>"00"</f>
        <v>00</v>
      </c>
      <c r="J1363" s="26" t="str">
        <f t="shared" si="233"/>
        <v xml:space="preserve">06 </v>
      </c>
      <c r="K1363" s="26" t="str">
        <f t="shared" si="234"/>
        <v>TE</v>
      </c>
      <c r="L1363" s="26" t="str">
        <f t="shared" si="235"/>
        <v>DGEST</v>
      </c>
      <c r="M1363" s="26" t="str">
        <f t="shared" si="227"/>
        <v>PARTICULAR</v>
      </c>
      <c r="N1363" s="26">
        <v>10</v>
      </c>
      <c r="O1363" s="26">
        <v>5</v>
      </c>
      <c r="P1363" s="26">
        <v>5</v>
      </c>
      <c r="Q1363" s="26">
        <v>2</v>
      </c>
      <c r="R1363" s="26">
        <v>0</v>
      </c>
      <c r="S1363" s="26">
        <v>10</v>
      </c>
      <c r="T1363" s="26">
        <v>1</v>
      </c>
      <c r="U1363" s="26">
        <v>11</v>
      </c>
      <c r="V1363" s="26">
        <v>1</v>
      </c>
      <c r="W1363" s="26"/>
    </row>
    <row r="1364" spans="1:24" x14ac:dyDescent="0.25">
      <c r="A1364" s="26" t="str">
        <f t="shared" si="237"/>
        <v>SECUNDARIA</v>
      </c>
      <c r="B1364" s="26" t="str">
        <f>"09PST0111J"</f>
        <v>09PST0111J</v>
      </c>
      <c r="C1364" s="26" t="str">
        <f>"CENTRO ESCOLAR ABRAHAM LINCOLN                                                                      "</f>
        <v xml:space="preserve">CENTRO ESCOLAR ABRAHAM LINCOLN                                                                      </v>
      </c>
      <c r="D1364" s="26" t="str">
        <f>"MATUTINO"</f>
        <v>MATUTINO</v>
      </c>
      <c r="E1364" s="26" t="str">
        <f>"CALLE ORIENTE 249-EXT. 151                                                      "</f>
        <v xml:space="preserve">CALLE ORIENTE 249-EXT. 151                                                      </v>
      </c>
      <c r="F1364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1364" s="26" t="str">
        <f>"IZTACALCO                                                                       "</f>
        <v xml:space="preserve">IZTACALCO                                                                       </v>
      </c>
      <c r="H1364" s="26" t="str">
        <f>"   "</f>
        <v xml:space="preserve">   </v>
      </c>
      <c r="I1364" s="26" t="str">
        <f>"  "</f>
        <v xml:space="preserve">  </v>
      </c>
      <c r="J1364" s="26" t="str">
        <f t="shared" si="233"/>
        <v xml:space="preserve">06 </v>
      </c>
      <c r="K1364" s="26" t="str">
        <f t="shared" si="234"/>
        <v>TE</v>
      </c>
      <c r="L1364" s="26" t="str">
        <f t="shared" si="235"/>
        <v>DGEST</v>
      </c>
      <c r="M1364" s="26" t="str">
        <f t="shared" si="227"/>
        <v>PARTICULAR</v>
      </c>
      <c r="N1364" s="26">
        <v>21</v>
      </c>
      <c r="O1364" s="26">
        <v>10</v>
      </c>
      <c r="P1364" s="26">
        <v>11</v>
      </c>
      <c r="Q1364" s="26">
        <v>3</v>
      </c>
      <c r="R1364" s="26">
        <v>1</v>
      </c>
      <c r="S1364" s="26">
        <v>9</v>
      </c>
      <c r="T1364" s="26">
        <v>4</v>
      </c>
      <c r="U1364" s="26">
        <v>14</v>
      </c>
      <c r="V1364" s="26">
        <v>1</v>
      </c>
      <c r="W1364" s="26"/>
    </row>
    <row r="1365" spans="1:24" x14ac:dyDescent="0.25">
      <c r="A1365" s="26" t="str">
        <f t="shared" si="237"/>
        <v>SECUNDARIA</v>
      </c>
      <c r="B1365" s="26" t="str">
        <f>"09PTV0002Q"</f>
        <v>09PTV0002Q</v>
      </c>
      <c r="C1365" s="26" t="str">
        <f>"COLEGIO SANTA FE                                                                                    "</f>
        <v xml:space="preserve">COLEGIO SANTA FE                                                                                    </v>
      </c>
      <c r="D1365" s="26" t="str">
        <f>"VESPERTINO"</f>
        <v>VESPERTINO</v>
      </c>
      <c r="E1365" s="26" t="str">
        <f>"AVENIDA SANTA LUCIA NO 260                                                      "</f>
        <v xml:space="preserve">AVENIDA SANTA LUCIA NO 260                                                      </v>
      </c>
      <c r="F1365" s="26" t="str">
        <f>"CLUB DE GOLF PRADOS DE LA MONTAÑA                                                                                                           "</f>
        <v xml:space="preserve">CLUB DE GOLF PRADOS DE LA MONTAÑA                                                                                                           </v>
      </c>
      <c r="G1365" s="26" t="str">
        <f>"CUAJIMALPA DE MORELOS                                                           "</f>
        <v xml:space="preserve">CUAJIMALPA DE MORELOS                                                           </v>
      </c>
      <c r="H1365" s="26" t="str">
        <f>"101"</f>
        <v>101</v>
      </c>
      <c r="I1365" s="26" t="str">
        <f>"00"</f>
        <v>00</v>
      </c>
      <c r="J1365" s="26" t="str">
        <f>"83 "</f>
        <v xml:space="preserve">83 </v>
      </c>
      <c r="K1365" s="26" t="str">
        <f>"TV"</f>
        <v>TV</v>
      </c>
      <c r="L1365" s="26" t="str">
        <f>"DGOSE"</f>
        <v>DGOSE</v>
      </c>
      <c r="M1365" s="26" t="str">
        <f t="shared" si="227"/>
        <v>PARTICULAR</v>
      </c>
      <c r="N1365" s="26">
        <v>87</v>
      </c>
      <c r="O1365" s="26">
        <v>0</v>
      </c>
      <c r="P1365" s="26">
        <v>87</v>
      </c>
      <c r="Q1365" s="26">
        <v>3</v>
      </c>
      <c r="R1365" s="26">
        <v>2</v>
      </c>
      <c r="S1365" s="26">
        <v>7</v>
      </c>
      <c r="T1365" s="26">
        <v>1</v>
      </c>
      <c r="U1365" s="26">
        <v>10</v>
      </c>
      <c r="V1365" s="26">
        <v>1</v>
      </c>
      <c r="W1365" s="26"/>
    </row>
    <row r="1366" spans="1:24" x14ac:dyDescent="0.25">
      <c r="A1366" s="26" t="str">
        <f t="shared" si="237"/>
        <v>SECUNDARIA</v>
      </c>
      <c r="B1366" s="26" t="str">
        <f>"09UES0001X"</f>
        <v>09UES0001X</v>
      </c>
      <c r="C1366" s="26" t="str">
        <f>"ERASMO CASTELLANOS QUINTO                                                                           "</f>
        <v xml:space="preserve">ERASMO CASTELLANOS QUINTO                                                                           </v>
      </c>
      <c r="D1366" s="26" t="str">
        <f>"MATUTINO"</f>
        <v>MATUTINO</v>
      </c>
      <c r="E1366" s="26" t="str">
        <f>"RIO CHURUBUSCO Y TEZONTLE                                                       "</f>
        <v xml:space="preserve">RIO CHURUBUSCO Y TEZONTLE                                                       </v>
      </c>
      <c r="F1366" s="26" t="str">
        <f>"CARLOS ZAPATA VELA                                                                                                                          "</f>
        <v xml:space="preserve">CARLOS ZAPATA VELA                                                                                                                          </v>
      </c>
      <c r="G1366" s="26" t="str">
        <f>"IZTACALCO                                                                       "</f>
        <v xml:space="preserve">IZTACALCO                                                                       </v>
      </c>
      <c r="H1366" s="26" t="str">
        <f>"   "</f>
        <v xml:space="preserve">   </v>
      </c>
      <c r="I1366" s="26" t="str">
        <f>"00"</f>
        <v>00</v>
      </c>
      <c r="J1366" s="26" t="str">
        <f>"58 "</f>
        <v xml:space="preserve">58 </v>
      </c>
      <c r="K1366" s="26" t="str">
        <f>"NU"</f>
        <v>NU</v>
      </c>
      <c r="L1366" s="26" t="str">
        <f>"UNAM"</f>
        <v>UNAM</v>
      </c>
      <c r="M1366" s="26" t="str">
        <f>"AUTÓNOMO"</f>
        <v>AUTÓNOMO</v>
      </c>
      <c r="N1366" s="26">
        <v>1936</v>
      </c>
      <c r="O1366" s="26">
        <v>935</v>
      </c>
      <c r="P1366" s="26">
        <v>1001</v>
      </c>
      <c r="Q1366" s="26">
        <v>30</v>
      </c>
      <c r="R1366" s="26">
        <v>4</v>
      </c>
      <c r="S1366" s="26">
        <v>222</v>
      </c>
      <c r="T1366" s="26">
        <v>198</v>
      </c>
      <c r="U1366" s="26">
        <v>424</v>
      </c>
      <c r="V1366" s="26">
        <v>1</v>
      </c>
      <c r="W1366" s="26"/>
    </row>
    <row r="1367" spans="1:24" x14ac:dyDescent="0.25">
      <c r="A1367" s="27" t="s">
        <v>3983</v>
      </c>
      <c r="V1367" s="28"/>
      <c r="W1367" s="28"/>
      <c r="X1367" s="28"/>
    </row>
    <row r="1368" spans="1:24" x14ac:dyDescent="0.25">
      <c r="V1368" s="28"/>
      <c r="W1368" s="28"/>
      <c r="X1368" s="28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13"/>
  <sheetViews>
    <sheetView showGridLines="0" workbookViewId="0"/>
  </sheetViews>
  <sheetFormatPr baseColWidth="10" defaultRowHeight="15" x14ac:dyDescent="0.25"/>
  <sheetData>
    <row r="1" spans="1:22" x14ac:dyDescent="0.25">
      <c r="A1" s="24" t="str">
        <f>"NIVEL"</f>
        <v>NIVEL</v>
      </c>
      <c r="B1" s="24" t="str">
        <f>"CLAVECCT"</f>
        <v>CLAVECCT</v>
      </c>
      <c r="C1" s="24" t="str">
        <f>"NOMBRE_CT"</f>
        <v>NOMBRE_CT</v>
      </c>
      <c r="D1" s="24" t="str">
        <f>"TURNO"</f>
        <v>TURNO</v>
      </c>
      <c r="E1" s="24" t="str">
        <f>"DOMICILIO"</f>
        <v>DOMICILIO</v>
      </c>
      <c r="F1" s="24" t="str">
        <f>"COLONIA"</f>
        <v>COLONIA</v>
      </c>
      <c r="G1" s="24" t="str">
        <f>"DELEGACION"</f>
        <v>DELEGACION</v>
      </c>
      <c r="H1" s="24" t="str">
        <f>"ZONA"</f>
        <v>ZONA</v>
      </c>
      <c r="I1" s="24" t="str">
        <f>"SECTOR"</f>
        <v>SECTOR</v>
      </c>
      <c r="J1" s="24" t="str">
        <f>"DIRSERVREG"</f>
        <v>DIRSERVREG</v>
      </c>
      <c r="K1" s="24" t="str">
        <f>"DEPNORMTVA"</f>
        <v>DEPNORMTVA</v>
      </c>
      <c r="L1" s="24" t="str">
        <f>"DIR_GRAL"</f>
        <v>DIR_GRAL</v>
      </c>
      <c r="M1" s="24" t="str">
        <f>"SOSTENIMIENTO"</f>
        <v>SOSTENIMIENTO</v>
      </c>
      <c r="N1" s="24" t="str">
        <f>"ALUMNOS"</f>
        <v>ALUMNOS</v>
      </c>
      <c r="O1" s="24" t="str">
        <f>"HOMBRES"</f>
        <v>HOMBRES</v>
      </c>
      <c r="P1" s="24" t="str">
        <f>"MUJERES"</f>
        <v>MUJERES</v>
      </c>
      <c r="Q1" s="24" t="str">
        <f>"GRUPOS"</f>
        <v>GRUPOS</v>
      </c>
      <c r="R1" s="24" t="str">
        <f>"DIRECTORES"</f>
        <v>DIRECTORES</v>
      </c>
      <c r="S1" s="24" t="str">
        <f>"DOCENTES"</f>
        <v>DOCENTES</v>
      </c>
      <c r="T1" s="24" t="str">
        <f>"APOYO"</f>
        <v>APOYO</v>
      </c>
      <c r="U1" s="24" t="str">
        <f>"TOTAL"</f>
        <v>TOTAL</v>
      </c>
      <c r="V1" s="24" t="str">
        <f>"ESCUELAS"</f>
        <v>ESCUELAS</v>
      </c>
    </row>
    <row r="2" spans="1:22" x14ac:dyDescent="0.25">
      <c r="A2" s="26" t="str">
        <f t="shared" ref="A2:A57" si="0">"ADULTOS-PRIMARIA"</f>
        <v>ADULTOS-PRIMARIA</v>
      </c>
      <c r="B2" s="26" t="str">
        <f>"09DBA0002J"</f>
        <v>09DBA0002J</v>
      </c>
      <c r="C2" s="26" t="str">
        <f>"VEINTE DE NOVIEMBRE                                                                                 "</f>
        <v xml:space="preserve">VEINTE DE NOVIEMBRE                                                                                 </v>
      </c>
      <c r="D2" s="26" t="str">
        <f t="shared" ref="D2:D51" si="1">"NOCTURNO"</f>
        <v>NOCTURNO</v>
      </c>
      <c r="E2" s="26" t="str">
        <f>"MALVON NO 230 ESQ NUECES                                                        "</f>
        <v xml:space="preserve">MALVON NO 230 ESQ NUECES                                                        </v>
      </c>
      <c r="F2" s="26" t="str">
        <f>"NUEVA SANTA MARIA                                                                                                                           "</f>
        <v xml:space="preserve">NUEVA SANTA MARIA                                                                                                                           </v>
      </c>
      <c r="G2" s="26" t="str">
        <f>"AZCAPOTZALCO                                                                    "</f>
        <v xml:space="preserve">AZCAPOTZALCO                                                                    </v>
      </c>
      <c r="H2" s="26" t="str">
        <f>"004"</f>
        <v>004</v>
      </c>
      <c r="I2" s="26" t="str">
        <f t="shared" ref="I2:I65" si="2">"00"</f>
        <v>00</v>
      </c>
      <c r="J2" s="26" t="str">
        <f t="shared" ref="J2:J8" si="3">"09 "</f>
        <v xml:space="preserve">09 </v>
      </c>
      <c r="K2" s="26" t="str">
        <f t="shared" ref="K2:K8" si="4">"EX"</f>
        <v>EX</v>
      </c>
      <c r="L2" s="26" t="str">
        <f t="shared" ref="L2:L8" si="5">"DGOSE"</f>
        <v>DGOSE</v>
      </c>
      <c r="M2" s="26" t="str">
        <f t="shared" ref="M2:M55" si="6">"FEDERAL"</f>
        <v>FEDERAL</v>
      </c>
      <c r="N2" s="26">
        <v>11</v>
      </c>
      <c r="O2" s="26">
        <v>4</v>
      </c>
      <c r="P2" s="26">
        <v>7</v>
      </c>
      <c r="Q2" s="26">
        <v>2</v>
      </c>
      <c r="R2" s="26">
        <v>1</v>
      </c>
      <c r="S2" s="26">
        <v>2</v>
      </c>
      <c r="T2" s="26">
        <v>1</v>
      </c>
      <c r="U2" s="26">
        <v>4</v>
      </c>
      <c r="V2" s="26">
        <v>1</v>
      </c>
    </row>
    <row r="3" spans="1:22" x14ac:dyDescent="0.25">
      <c r="A3" s="26" t="str">
        <f t="shared" si="0"/>
        <v>ADULTOS-PRIMARIA</v>
      </c>
      <c r="B3" s="26" t="str">
        <f>"09DBA0009C"</f>
        <v>09DBA0009C</v>
      </c>
      <c r="C3" s="26" t="str">
        <f>"EMILIO BRAVO                                                                                        "</f>
        <v xml:space="preserve">EMILIO BRAVO                                                                                        </v>
      </c>
      <c r="D3" s="26" t="str">
        <f t="shared" si="1"/>
        <v>NOCTURNO</v>
      </c>
      <c r="E3" s="26" t="str">
        <f>"EMILIANO ZAPATA ESQ LAZARO CARDENAS                                             "</f>
        <v xml:space="preserve">EMILIANO ZAPATA ESQ LAZARO CARDENAS                                             </v>
      </c>
      <c r="F3" s="26" t="str">
        <f>"VALLE MADERO                                                                                                                                "</f>
        <v xml:space="preserve">VALLE MADERO                                                                                                                                </v>
      </c>
      <c r="G3" s="26" t="str">
        <f>"GUSTAVO A. MADERO                                                               "</f>
        <v xml:space="preserve">GUSTAVO A. MADERO                                                               </v>
      </c>
      <c r="H3" s="26" t="str">
        <f>"015"</f>
        <v>015</v>
      </c>
      <c r="I3" s="26" t="str">
        <f t="shared" si="2"/>
        <v>00</v>
      </c>
      <c r="J3" s="26" t="str">
        <f t="shared" si="3"/>
        <v xml:space="preserve">09 </v>
      </c>
      <c r="K3" s="26" t="str">
        <f t="shared" si="4"/>
        <v>EX</v>
      </c>
      <c r="L3" s="26" t="str">
        <f t="shared" si="5"/>
        <v>DGOSE</v>
      </c>
      <c r="M3" s="26" t="str">
        <f t="shared" si="6"/>
        <v>FEDERAL</v>
      </c>
      <c r="N3" s="26">
        <v>7</v>
      </c>
      <c r="O3" s="26">
        <v>2</v>
      </c>
      <c r="P3" s="26">
        <v>5</v>
      </c>
      <c r="Q3" s="26">
        <v>2</v>
      </c>
      <c r="R3" s="26">
        <v>1</v>
      </c>
      <c r="S3" s="26">
        <v>1</v>
      </c>
      <c r="T3" s="26">
        <v>0</v>
      </c>
      <c r="U3" s="26">
        <v>2</v>
      </c>
      <c r="V3" s="26">
        <v>1</v>
      </c>
    </row>
    <row r="4" spans="1:22" x14ac:dyDescent="0.25">
      <c r="A4" s="26" t="str">
        <f t="shared" si="0"/>
        <v>ADULTOS-PRIMARIA</v>
      </c>
      <c r="B4" s="26" t="str">
        <f>"09DBA0010S"</f>
        <v>09DBA0010S</v>
      </c>
      <c r="C4" s="26" t="str">
        <f>"TONANTZIN                                                                                           "</f>
        <v xml:space="preserve">TONANTZIN                                                                                           </v>
      </c>
      <c r="D4" s="26" t="str">
        <f t="shared" si="1"/>
        <v>NOCTURNO</v>
      </c>
      <c r="E4" s="26" t="str">
        <f>"NORTE 72 NO 10038                                                               "</f>
        <v xml:space="preserve">NORTE 72 NO 10038                                                               </v>
      </c>
      <c r="F4" s="26" t="str">
        <f>"VILLAHERMOSA                                                                                                                                "</f>
        <v xml:space="preserve">VILLAHERMOSA                                                                                                                                </v>
      </c>
      <c r="G4" s="26" t="str">
        <f>"GUSTAVO A. MADERO                                                               "</f>
        <v xml:space="preserve">GUSTAVO A. MADERO                                                               </v>
      </c>
      <c r="H4" s="26" t="str">
        <f>"019"</f>
        <v>019</v>
      </c>
      <c r="I4" s="26" t="str">
        <f t="shared" si="2"/>
        <v>00</v>
      </c>
      <c r="J4" s="26" t="str">
        <f t="shared" si="3"/>
        <v xml:space="preserve">09 </v>
      </c>
      <c r="K4" s="26" t="str">
        <f t="shared" si="4"/>
        <v>EX</v>
      </c>
      <c r="L4" s="26" t="str">
        <f t="shared" si="5"/>
        <v>DGOSE</v>
      </c>
      <c r="M4" s="26" t="str">
        <f t="shared" si="6"/>
        <v>FEDERAL</v>
      </c>
      <c r="N4" s="26">
        <v>6</v>
      </c>
      <c r="O4" s="26">
        <v>4</v>
      </c>
      <c r="P4" s="26">
        <v>2</v>
      </c>
      <c r="Q4" s="26">
        <v>2</v>
      </c>
      <c r="R4" s="26">
        <v>0</v>
      </c>
      <c r="S4" s="26">
        <v>2</v>
      </c>
      <c r="T4" s="26">
        <v>1</v>
      </c>
      <c r="U4" s="26">
        <v>3</v>
      </c>
      <c r="V4" s="26">
        <v>1</v>
      </c>
    </row>
    <row r="5" spans="1:22" x14ac:dyDescent="0.25">
      <c r="A5" s="26" t="str">
        <f t="shared" si="0"/>
        <v>ADULTOS-PRIMARIA</v>
      </c>
      <c r="B5" s="26" t="str">
        <f>"09DBA0012Q"</f>
        <v>09DBA0012Q</v>
      </c>
      <c r="C5" s="26" t="str">
        <f>"HERMENEGILDO GALEANA                                                                                "</f>
        <v xml:space="preserve">HERMENEGILDO GALEANA                                                                                </v>
      </c>
      <c r="D5" s="26" t="str">
        <f t="shared" si="1"/>
        <v>NOCTURNO</v>
      </c>
      <c r="E5" s="26" t="str">
        <f>"QUETZALCOATL Y MATAMOROS S/N                                                    "</f>
        <v xml:space="preserve">QUETZALCOATL Y MATAMOROS S/N                                                    </v>
      </c>
      <c r="F5" s="26" t="str">
        <f>"PEÑON DE LOS BAÑOS                                                                                                                          "</f>
        <v xml:space="preserve">PEÑON DE LOS BAÑOS                                                                                                                          </v>
      </c>
      <c r="G5" s="26" t="str">
        <f>"VENUSTIANO CARRANZA                                                             "</f>
        <v xml:space="preserve">VENUSTIANO CARRANZA                                                             </v>
      </c>
      <c r="H5" s="26" t="str">
        <f>"043"</f>
        <v>043</v>
      </c>
      <c r="I5" s="26" t="str">
        <f t="shared" si="2"/>
        <v>00</v>
      </c>
      <c r="J5" s="26" t="str">
        <f t="shared" si="3"/>
        <v xml:space="preserve">09 </v>
      </c>
      <c r="K5" s="26" t="str">
        <f t="shared" si="4"/>
        <v>EX</v>
      </c>
      <c r="L5" s="26" t="str">
        <f t="shared" si="5"/>
        <v>DGOSE</v>
      </c>
      <c r="M5" s="26" t="str">
        <f t="shared" si="6"/>
        <v>FEDERAL</v>
      </c>
      <c r="N5" s="26">
        <v>4</v>
      </c>
      <c r="O5" s="26">
        <v>1</v>
      </c>
      <c r="P5" s="26">
        <v>3</v>
      </c>
      <c r="Q5" s="26">
        <v>2</v>
      </c>
      <c r="R5" s="26">
        <v>1</v>
      </c>
      <c r="S5" s="26">
        <v>2</v>
      </c>
      <c r="T5" s="26">
        <v>1</v>
      </c>
      <c r="U5" s="26">
        <v>4</v>
      </c>
      <c r="V5" s="26">
        <v>1</v>
      </c>
    </row>
    <row r="6" spans="1:22" x14ac:dyDescent="0.25">
      <c r="A6" s="26" t="str">
        <f t="shared" si="0"/>
        <v>ADULTOS-PRIMARIA</v>
      </c>
      <c r="B6" s="26" t="str">
        <f>"09DBA0015N"</f>
        <v>09DBA0015N</v>
      </c>
      <c r="C6" s="26" t="str">
        <f>"RAMON MANTEROLA                                                                                     "</f>
        <v xml:space="preserve">RAMON MANTEROLA                                                                                     </v>
      </c>
      <c r="D6" s="26" t="str">
        <f t="shared" si="1"/>
        <v>NOCTURNO</v>
      </c>
      <c r="E6" s="26" t="str">
        <f>"AV JUAREZ NO 8                                                                  "</f>
        <v xml:space="preserve">AV JUAREZ NO 8                                                                  </v>
      </c>
      <c r="F6" s="26" t="str">
        <f>"CUAJIMALPA                                                                                                                                  "</f>
        <v xml:space="preserve">CUAJIMALPA                                                                                                                                  </v>
      </c>
      <c r="G6" s="26" t="str">
        <f>"CUAJIMALPA DE MORELOS                                                           "</f>
        <v xml:space="preserve">CUAJIMALPA DE MORELOS                                                           </v>
      </c>
      <c r="H6" s="26" t="str">
        <f>"016"</f>
        <v>016</v>
      </c>
      <c r="I6" s="26" t="str">
        <f t="shared" si="2"/>
        <v>00</v>
      </c>
      <c r="J6" s="26" t="str">
        <f t="shared" si="3"/>
        <v xml:space="preserve">09 </v>
      </c>
      <c r="K6" s="26" t="str">
        <f t="shared" si="4"/>
        <v>EX</v>
      </c>
      <c r="L6" s="26" t="str">
        <f t="shared" si="5"/>
        <v>DGOSE</v>
      </c>
      <c r="M6" s="26" t="str">
        <f t="shared" si="6"/>
        <v>FEDERAL</v>
      </c>
      <c r="N6" s="26">
        <v>20</v>
      </c>
      <c r="O6" s="26">
        <v>8</v>
      </c>
      <c r="P6" s="26">
        <v>12</v>
      </c>
      <c r="Q6" s="26">
        <v>2</v>
      </c>
      <c r="R6" s="26">
        <v>1</v>
      </c>
      <c r="S6" s="26">
        <v>2</v>
      </c>
      <c r="T6" s="26">
        <v>1</v>
      </c>
      <c r="U6" s="26">
        <v>4</v>
      </c>
      <c r="V6" s="26">
        <v>1</v>
      </c>
    </row>
    <row r="7" spans="1:22" x14ac:dyDescent="0.25">
      <c r="A7" s="26" t="str">
        <f t="shared" si="0"/>
        <v>ADULTOS-PRIMARIA</v>
      </c>
      <c r="B7" s="26" t="str">
        <f>"09DBA0021Y"</f>
        <v>09DBA0021Y</v>
      </c>
      <c r="C7" s="26" t="str">
        <f>"DR. LEOPOLDO SALAZAR VINIEGRA                                                                       "</f>
        <v xml:space="preserve">DR. LEOPOLDO SALAZAR VINIEGRA                                                                       </v>
      </c>
      <c r="D7" s="26" t="str">
        <f t="shared" si="1"/>
        <v>NOCTURNO</v>
      </c>
      <c r="E7" s="26" t="str">
        <f>"JOSE MARIA IZAZAGA NO 23-A                                                      "</f>
        <v xml:space="preserve">JOSE MARIA IZAZAGA NO 23-A                                                      </v>
      </c>
      <c r="F7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7" s="26" t="str">
        <f>"CUAUHTEMOC                                                                      "</f>
        <v xml:space="preserve">CUAUHTEMOC                                                                      </v>
      </c>
      <c r="H7" s="26" t="str">
        <f>"011"</f>
        <v>011</v>
      </c>
      <c r="I7" s="26" t="str">
        <f t="shared" si="2"/>
        <v>00</v>
      </c>
      <c r="J7" s="26" t="str">
        <f t="shared" si="3"/>
        <v xml:space="preserve">09 </v>
      </c>
      <c r="K7" s="26" t="str">
        <f t="shared" si="4"/>
        <v>EX</v>
      </c>
      <c r="L7" s="26" t="str">
        <f t="shared" si="5"/>
        <v>DGOSE</v>
      </c>
      <c r="M7" s="26" t="str">
        <f t="shared" si="6"/>
        <v>FEDERAL</v>
      </c>
      <c r="N7" s="26">
        <v>12</v>
      </c>
      <c r="O7" s="26">
        <v>2</v>
      </c>
      <c r="P7" s="26">
        <v>10</v>
      </c>
      <c r="Q7" s="26">
        <v>2</v>
      </c>
      <c r="R7" s="26">
        <v>1</v>
      </c>
      <c r="S7" s="26">
        <v>2</v>
      </c>
      <c r="T7" s="26">
        <v>4</v>
      </c>
      <c r="U7" s="26">
        <v>7</v>
      </c>
      <c r="V7" s="26">
        <v>1</v>
      </c>
    </row>
    <row r="8" spans="1:22" x14ac:dyDescent="0.25">
      <c r="A8" s="26" t="str">
        <f t="shared" si="0"/>
        <v>ADULTOS-PRIMARIA</v>
      </c>
      <c r="B8" s="26" t="str">
        <f>"09DBA0033C"</f>
        <v>09DBA0033C</v>
      </c>
      <c r="C8" s="26" t="str">
        <f>"EJERCITO NACIONAL                                                                                   "</f>
        <v xml:space="preserve">EJERCITO NACIONAL                                                                                   </v>
      </c>
      <c r="D8" s="26" t="str">
        <f t="shared" si="1"/>
        <v>NOCTURNO</v>
      </c>
      <c r="E8" s="26" t="str">
        <f>"CARLOS GONZALEZ PEÑA S/N Y LEOPOLDO ZALAZAR                                     "</f>
        <v xml:space="preserve">CARLOS GONZALEZ PEÑA S/N Y LEOPOLDO ZALAZAR                                     </v>
      </c>
      <c r="F8" s="26" t="str">
        <f>"COPILCO EL ALTO                                                                                                                             "</f>
        <v xml:space="preserve">COPILCO EL ALTO                                                                                                                             </v>
      </c>
      <c r="G8" s="26" t="str">
        <f>"COYOACAN                                                                        "</f>
        <v xml:space="preserve">COYOACAN                                                                        </v>
      </c>
      <c r="H8" s="26" t="str">
        <f>"014"</f>
        <v>014</v>
      </c>
      <c r="I8" s="26" t="str">
        <f t="shared" si="2"/>
        <v>00</v>
      </c>
      <c r="J8" s="26" t="str">
        <f t="shared" si="3"/>
        <v xml:space="preserve">09 </v>
      </c>
      <c r="K8" s="26" t="str">
        <f t="shared" si="4"/>
        <v>EX</v>
      </c>
      <c r="L8" s="26" t="str">
        <f t="shared" si="5"/>
        <v>DGOSE</v>
      </c>
      <c r="M8" s="26" t="str">
        <f t="shared" si="6"/>
        <v>FEDERAL</v>
      </c>
      <c r="N8" s="26">
        <v>11</v>
      </c>
      <c r="O8" s="26">
        <v>1</v>
      </c>
      <c r="P8" s="26">
        <v>10</v>
      </c>
      <c r="Q8" s="26">
        <v>2</v>
      </c>
      <c r="R8" s="26">
        <v>1</v>
      </c>
      <c r="S8" s="26">
        <v>2</v>
      </c>
      <c r="T8" s="26">
        <v>1</v>
      </c>
      <c r="U8" s="26">
        <v>4</v>
      </c>
      <c r="V8" s="26">
        <v>1</v>
      </c>
    </row>
    <row r="9" spans="1:22" x14ac:dyDescent="0.25">
      <c r="A9" s="26" t="str">
        <f t="shared" si="0"/>
        <v>ADULTOS-PRIMARIA</v>
      </c>
      <c r="B9" s="26" t="str">
        <f>"09DBA0044I"</f>
        <v>09DBA0044I</v>
      </c>
      <c r="C9" s="26" t="str">
        <f>"JULIO CORTAZAR                                                                                      "</f>
        <v xml:space="preserve">JULIO CORTAZAR                                                                                      </v>
      </c>
      <c r="D9" s="26" t="str">
        <f t="shared" si="1"/>
        <v>NOCTURNO</v>
      </c>
      <c r="E9" s="26" t="str">
        <f>"AV. JUAN CRISOSTOMO BONILLA S/N                                                 "</f>
        <v xml:space="preserve">AV. JUAN CRISOSTOMO BONILLA S/N                                                 </v>
      </c>
      <c r="F9" s="26" t="str">
        <f>"UNIDAD HABITACIONAL IGNACIO ZARAGOZ                                                                                                         "</f>
        <v xml:space="preserve">UNIDAD HABITACIONAL IGNACIO ZARAGOZ                                                                                                         </v>
      </c>
      <c r="G9" s="26" t="str">
        <f>"IZTAPALAPA                                                                      "</f>
        <v xml:space="preserve">IZTAPALAPA                                                                      </v>
      </c>
      <c r="H9" s="26" t="str">
        <f>"001"</f>
        <v>001</v>
      </c>
      <c r="I9" s="26" t="str">
        <f t="shared" si="2"/>
        <v>00</v>
      </c>
      <c r="J9" s="26" t="str">
        <f>"62 "</f>
        <v xml:space="preserve">62 </v>
      </c>
      <c r="K9" s="26" t="str">
        <f>"IZ"</f>
        <v>IZ</v>
      </c>
      <c r="L9" s="26" t="str">
        <f>"DGSEI"</f>
        <v>DGSEI</v>
      </c>
      <c r="M9" s="26" t="str">
        <f t="shared" si="6"/>
        <v>FEDERAL</v>
      </c>
      <c r="N9" s="26">
        <v>31</v>
      </c>
      <c r="O9" s="26">
        <v>10</v>
      </c>
      <c r="P9" s="26">
        <v>21</v>
      </c>
      <c r="Q9" s="26">
        <v>3</v>
      </c>
      <c r="R9" s="26">
        <v>1</v>
      </c>
      <c r="S9" s="26">
        <v>3</v>
      </c>
      <c r="T9" s="26">
        <v>0</v>
      </c>
      <c r="U9" s="26">
        <v>4</v>
      </c>
      <c r="V9" s="26">
        <v>1</v>
      </c>
    </row>
    <row r="10" spans="1:22" x14ac:dyDescent="0.25">
      <c r="A10" s="26" t="str">
        <f t="shared" si="0"/>
        <v>ADULTOS-PRIMARIA</v>
      </c>
      <c r="B10" s="26" t="str">
        <f>"09DBA0045H"</f>
        <v>09DBA0045H</v>
      </c>
      <c r="C10" s="26" t="str">
        <f>"THAILANDIA                                                                                          "</f>
        <v xml:space="preserve">THAILANDIA                                                                                          </v>
      </c>
      <c r="D10" s="26" t="str">
        <f t="shared" si="1"/>
        <v>NOCTURNO</v>
      </c>
      <c r="E10" s="26" t="str">
        <f>"AV PUERTO MAZATLAN M-11 L-5                                                     "</f>
        <v xml:space="preserve">AV PUERTO MAZATLAN M-11 L-5                                                     </v>
      </c>
      <c r="F10" s="26" t="str">
        <f>"PILOTO ADOLFO LOPEZ MATEOS                                                                                                                  "</f>
        <v xml:space="preserve">PILOTO ADOLFO LOPEZ MATEOS                                                                                                                  </v>
      </c>
      <c r="G10" s="26" t="str">
        <f>"ALVARO OBREGON                                                                  "</f>
        <v xml:space="preserve">ALVARO OBREGON                                                                  </v>
      </c>
      <c r="H10" s="26" t="str">
        <f>"020"</f>
        <v>020</v>
      </c>
      <c r="I10" s="26" t="str">
        <f t="shared" si="2"/>
        <v>00</v>
      </c>
      <c r="J10" s="26" t="str">
        <f>"09 "</f>
        <v xml:space="preserve">09 </v>
      </c>
      <c r="K10" s="26" t="str">
        <f>"EX"</f>
        <v>EX</v>
      </c>
      <c r="L10" s="26" t="str">
        <f>"DGOSE"</f>
        <v>DGOSE</v>
      </c>
      <c r="M10" s="26" t="str">
        <f t="shared" si="6"/>
        <v>FEDERAL</v>
      </c>
      <c r="N10" s="26">
        <v>18</v>
      </c>
      <c r="O10" s="26">
        <v>7</v>
      </c>
      <c r="P10" s="26">
        <v>11</v>
      </c>
      <c r="Q10" s="26">
        <v>2</v>
      </c>
      <c r="R10" s="26">
        <v>1</v>
      </c>
      <c r="S10" s="26">
        <v>1</v>
      </c>
      <c r="T10" s="26">
        <v>1</v>
      </c>
      <c r="U10" s="26">
        <v>3</v>
      </c>
      <c r="V10" s="26">
        <v>1</v>
      </c>
    </row>
    <row r="11" spans="1:22" x14ac:dyDescent="0.25">
      <c r="A11" s="26" t="str">
        <f t="shared" si="0"/>
        <v>ADULTOS-PRIMARIA</v>
      </c>
      <c r="B11" s="26" t="str">
        <f>"09DBA0048E"</f>
        <v>09DBA0048E</v>
      </c>
      <c r="C11" s="26" t="str">
        <f>"TEOFILO CEDILLO GRANADOS                                                                            "</f>
        <v xml:space="preserve">TEOFILO CEDILLO GRANADOS                                                                            </v>
      </c>
      <c r="D11" s="26" t="str">
        <f t="shared" si="1"/>
        <v>NOCTURNO</v>
      </c>
      <c r="E11" s="26" t="str">
        <f>"LIBERTAD NO. 23                                                                 "</f>
        <v xml:space="preserve">LIBERTAD NO. 23                                                                 </v>
      </c>
      <c r="F11" s="26" t="str">
        <f>"SAN LUCAS                                                                                                                                   "</f>
        <v xml:space="preserve">SAN LUCAS                                                                                                                                   </v>
      </c>
      <c r="G11" s="26" t="str">
        <f>"IZTAPALAPA                                                                      "</f>
        <v xml:space="preserve">IZTAPALAPA                                                                      </v>
      </c>
      <c r="H11" s="26" t="str">
        <f>"001"</f>
        <v>001</v>
      </c>
      <c r="I11" s="26" t="str">
        <f t="shared" si="2"/>
        <v>00</v>
      </c>
      <c r="J11" s="26" t="str">
        <f>"62 "</f>
        <v xml:space="preserve">62 </v>
      </c>
      <c r="K11" s="26" t="str">
        <f>"IZ"</f>
        <v>IZ</v>
      </c>
      <c r="L11" s="26" t="str">
        <f>"DGSEI"</f>
        <v>DGSEI</v>
      </c>
      <c r="M11" s="26" t="str">
        <f t="shared" si="6"/>
        <v>FEDERAL</v>
      </c>
      <c r="N11" s="26">
        <v>14</v>
      </c>
      <c r="O11" s="26">
        <v>6</v>
      </c>
      <c r="P11" s="26">
        <v>8</v>
      </c>
      <c r="Q11" s="26">
        <v>2</v>
      </c>
      <c r="R11" s="26">
        <v>0</v>
      </c>
      <c r="S11" s="26">
        <v>2</v>
      </c>
      <c r="T11" s="26">
        <v>0</v>
      </c>
      <c r="U11" s="26">
        <v>2</v>
      </c>
      <c r="V11" s="26">
        <v>1</v>
      </c>
    </row>
    <row r="12" spans="1:22" x14ac:dyDescent="0.25">
      <c r="A12" s="26" t="str">
        <f t="shared" si="0"/>
        <v>ADULTOS-PRIMARIA</v>
      </c>
      <c r="B12" s="26" t="str">
        <f>"09DBA0049D"</f>
        <v>09DBA0049D</v>
      </c>
      <c r="C12" s="26" t="str">
        <f>"SUAZILANDIA                                                                                         "</f>
        <v xml:space="preserve">SUAZILANDIA                                                                                         </v>
      </c>
      <c r="D12" s="26" t="str">
        <f t="shared" si="1"/>
        <v>NOCTURNO</v>
      </c>
      <c r="E12" s="26" t="str">
        <f>"CORAS S/N ESQ MOCTEZUMA                                                         "</f>
        <v xml:space="preserve">CORAS S/N ESQ MOCTEZUMA                                                         </v>
      </c>
      <c r="F12" s="26" t="str">
        <f>"AJUSCO                                                                                                                                      "</f>
        <v xml:space="preserve">AJUSCO                                                                                                                                      </v>
      </c>
      <c r="G12" s="26" t="str">
        <f>"COYOACAN                                                                        "</f>
        <v xml:space="preserve">COYOACAN                                                                        </v>
      </c>
      <c r="H12" s="26" t="str">
        <f>"051"</f>
        <v>051</v>
      </c>
      <c r="I12" s="26" t="str">
        <f t="shared" si="2"/>
        <v>00</v>
      </c>
      <c r="J12" s="26" t="str">
        <f t="shared" ref="J12:J18" si="7">"09 "</f>
        <v xml:space="preserve">09 </v>
      </c>
      <c r="K12" s="26" t="str">
        <f t="shared" ref="K12:K18" si="8">"EX"</f>
        <v>EX</v>
      </c>
      <c r="L12" s="26" t="str">
        <f t="shared" ref="L12:L18" si="9">"DGOSE"</f>
        <v>DGOSE</v>
      </c>
      <c r="M12" s="26" t="str">
        <f t="shared" si="6"/>
        <v>FEDERAL</v>
      </c>
      <c r="N12" s="26">
        <v>31</v>
      </c>
      <c r="O12" s="26">
        <v>10</v>
      </c>
      <c r="P12" s="26">
        <v>21</v>
      </c>
      <c r="Q12" s="26">
        <v>3</v>
      </c>
      <c r="R12" s="26">
        <v>1</v>
      </c>
      <c r="S12" s="26">
        <v>2</v>
      </c>
      <c r="T12" s="26">
        <v>0</v>
      </c>
      <c r="U12" s="26">
        <v>3</v>
      </c>
      <c r="V12" s="26">
        <v>1</v>
      </c>
    </row>
    <row r="13" spans="1:22" x14ac:dyDescent="0.25">
      <c r="A13" s="26" t="str">
        <f t="shared" si="0"/>
        <v>ADULTOS-PRIMARIA</v>
      </c>
      <c r="B13" s="26" t="str">
        <f>"09DBA0056N"</f>
        <v>09DBA0056N</v>
      </c>
      <c r="C13" s="26" t="str">
        <f>"GRAL. FELIPE ANGELES                                                                                "</f>
        <v xml:space="preserve">GRAL. FELIPE ANGELES                                                                                </v>
      </c>
      <c r="D13" s="26" t="str">
        <f t="shared" si="1"/>
        <v>NOCTURNO</v>
      </c>
      <c r="E13" s="26" t="str">
        <f>"JOHN F KENNEDY NO 1                                                             "</f>
        <v xml:space="preserve">JOHN F KENNEDY NO 1                                                             </v>
      </c>
      <c r="F13" s="26" t="str">
        <f>"ISIDRO FABELA                                                                                                                               "</f>
        <v xml:space="preserve">ISIDRO FABELA                                                                                                                               </v>
      </c>
      <c r="G13" s="26" t="str">
        <f>"TLALPAN                                                                         "</f>
        <v xml:space="preserve">TLALPAN                                                                         </v>
      </c>
      <c r="H13" s="26" t="str">
        <f>"025"</f>
        <v>025</v>
      </c>
      <c r="I13" s="26" t="str">
        <f t="shared" si="2"/>
        <v>00</v>
      </c>
      <c r="J13" s="26" t="str">
        <f t="shared" si="7"/>
        <v xml:space="preserve">09 </v>
      </c>
      <c r="K13" s="26" t="str">
        <f t="shared" si="8"/>
        <v>EX</v>
      </c>
      <c r="L13" s="26" t="str">
        <f t="shared" si="9"/>
        <v>DGOSE</v>
      </c>
      <c r="M13" s="26" t="str">
        <f t="shared" si="6"/>
        <v>FEDERAL</v>
      </c>
      <c r="N13" s="26">
        <v>6</v>
      </c>
      <c r="O13" s="26">
        <v>5</v>
      </c>
      <c r="P13" s="26">
        <v>1</v>
      </c>
      <c r="Q13" s="26">
        <v>2</v>
      </c>
      <c r="R13" s="26">
        <v>0</v>
      </c>
      <c r="S13" s="26">
        <v>2</v>
      </c>
      <c r="T13" s="26">
        <v>0</v>
      </c>
      <c r="U13" s="26">
        <v>2</v>
      </c>
      <c r="V13" s="26">
        <v>1</v>
      </c>
    </row>
    <row r="14" spans="1:22" x14ac:dyDescent="0.25">
      <c r="A14" s="26" t="str">
        <f t="shared" si="0"/>
        <v>ADULTOS-PRIMARIA</v>
      </c>
      <c r="B14" s="26" t="str">
        <f>"09DBA0057M"</f>
        <v>09DBA0057M</v>
      </c>
      <c r="C14" s="26" t="str">
        <f>"MARTIRES DE RIO BLANCO                                                                              "</f>
        <v xml:space="preserve">MARTIRES DE RIO BLANCO                                                                              </v>
      </c>
      <c r="D14" s="26" t="str">
        <f t="shared" si="1"/>
        <v>NOCTURNO</v>
      </c>
      <c r="E14" s="26" t="str">
        <f>"AV H CONGRESO DE LA UNION NO 3536                                               "</f>
        <v xml:space="preserve">AV H CONGRESO DE LA UNION NO 3536                                               </v>
      </c>
      <c r="F14" s="26" t="str">
        <f>"MARTIRES DE RIO BLANCO                                                                                                                      "</f>
        <v xml:space="preserve">MARTIRES DE RIO BLANCO                                                                                                                      </v>
      </c>
      <c r="G14" s="26" t="str">
        <f>"GUSTAVO A. MADERO                                                               "</f>
        <v xml:space="preserve">GUSTAVO A. MADERO                                                               </v>
      </c>
      <c r="H14" s="26" t="str">
        <f>"001"</f>
        <v>001</v>
      </c>
      <c r="I14" s="26" t="str">
        <f t="shared" si="2"/>
        <v>00</v>
      </c>
      <c r="J14" s="26" t="str">
        <f t="shared" si="7"/>
        <v xml:space="preserve">09 </v>
      </c>
      <c r="K14" s="26" t="str">
        <f t="shared" si="8"/>
        <v>EX</v>
      </c>
      <c r="L14" s="26" t="str">
        <f t="shared" si="9"/>
        <v>DGOSE</v>
      </c>
      <c r="M14" s="26" t="str">
        <f t="shared" si="6"/>
        <v>FEDERAL</v>
      </c>
      <c r="N14" s="26">
        <v>13</v>
      </c>
      <c r="O14" s="26">
        <v>2</v>
      </c>
      <c r="P14" s="26">
        <v>11</v>
      </c>
      <c r="Q14" s="26">
        <v>2</v>
      </c>
      <c r="R14" s="26">
        <v>1</v>
      </c>
      <c r="S14" s="26">
        <v>1</v>
      </c>
      <c r="T14" s="26">
        <v>1</v>
      </c>
      <c r="U14" s="26">
        <v>3</v>
      </c>
      <c r="V14" s="26">
        <v>1</v>
      </c>
    </row>
    <row r="15" spans="1:22" x14ac:dyDescent="0.25">
      <c r="A15" s="26" t="str">
        <f t="shared" si="0"/>
        <v>ADULTOS-PRIMARIA</v>
      </c>
      <c r="B15" s="26" t="str">
        <f>"09DBA0058L"</f>
        <v>09DBA0058L</v>
      </c>
      <c r="C15" s="26" t="str">
        <f>"LA PRADERA                                                                                          "</f>
        <v xml:space="preserve">LA PRADERA                                                                                          </v>
      </c>
      <c r="D15" s="26" t="str">
        <f t="shared" si="1"/>
        <v>NOCTURNO</v>
      </c>
      <c r="E15" s="26" t="str">
        <f>"NEVADO DE TOLUCA NO 1                                                           "</f>
        <v xml:space="preserve">NEVADO DE TOLUCA NO 1                                                           </v>
      </c>
      <c r="F15" s="26" t="str">
        <f>"LA PRADERA                                                                                                                                  "</f>
        <v xml:space="preserve">LA PRADERA                                                                                                                                  </v>
      </c>
      <c r="G15" s="26" t="str">
        <f>"GUSTAVO A. MADERO                                                               "</f>
        <v xml:space="preserve">GUSTAVO A. MADERO                                                               </v>
      </c>
      <c r="H15" s="26" t="str">
        <f>"016"</f>
        <v>016</v>
      </c>
      <c r="I15" s="26" t="str">
        <f t="shared" si="2"/>
        <v>00</v>
      </c>
      <c r="J15" s="26" t="str">
        <f t="shared" si="7"/>
        <v xml:space="preserve">09 </v>
      </c>
      <c r="K15" s="26" t="str">
        <f t="shared" si="8"/>
        <v>EX</v>
      </c>
      <c r="L15" s="26" t="str">
        <f t="shared" si="9"/>
        <v>DGOSE</v>
      </c>
      <c r="M15" s="26" t="str">
        <f t="shared" si="6"/>
        <v>FEDERAL</v>
      </c>
      <c r="N15" s="26">
        <v>10</v>
      </c>
      <c r="O15" s="26">
        <v>3</v>
      </c>
      <c r="P15" s="26">
        <v>7</v>
      </c>
      <c r="Q15" s="26">
        <v>2</v>
      </c>
      <c r="R15" s="26">
        <v>1</v>
      </c>
      <c r="S15" s="26">
        <v>1</v>
      </c>
      <c r="T15" s="26">
        <v>0</v>
      </c>
      <c r="U15" s="26">
        <v>2</v>
      </c>
      <c r="V15" s="26">
        <v>1</v>
      </c>
    </row>
    <row r="16" spans="1:22" x14ac:dyDescent="0.25">
      <c r="A16" s="26" t="str">
        <f t="shared" si="0"/>
        <v>ADULTOS-PRIMARIA</v>
      </c>
      <c r="B16" s="26" t="str">
        <f>"09DBA0065V"</f>
        <v>09DBA0065V</v>
      </c>
      <c r="C16" s="26" t="str">
        <f>"CULTURA AZTECA                                                                                      "</f>
        <v xml:space="preserve">CULTURA AZTECA                                                                                      </v>
      </c>
      <c r="D16" s="26" t="str">
        <f t="shared" si="1"/>
        <v>NOCTURNO</v>
      </c>
      <c r="E16" s="26" t="str">
        <f>"AV YUCATAN SUR S/N                                                              "</f>
        <v xml:space="preserve">AV YUCATAN SUR S/N                                                              </v>
      </c>
      <c r="F16" s="26" t="str">
        <f>"LA CONCEPCION BARRIO                                                                                                                        "</f>
        <v xml:space="preserve">LA CONCEPCION BARRIO                                                                                                                        </v>
      </c>
      <c r="G16" s="26" t="str">
        <f>"MILPA ALTA                                                                      "</f>
        <v xml:space="preserve">MILPA ALTA                                                                      </v>
      </c>
      <c r="H16" s="26" t="str">
        <f>"024"</f>
        <v>024</v>
      </c>
      <c r="I16" s="26" t="str">
        <f t="shared" si="2"/>
        <v>00</v>
      </c>
      <c r="J16" s="26" t="str">
        <f t="shared" si="7"/>
        <v xml:space="preserve">09 </v>
      </c>
      <c r="K16" s="26" t="str">
        <f t="shared" si="8"/>
        <v>EX</v>
      </c>
      <c r="L16" s="26" t="str">
        <f t="shared" si="9"/>
        <v>DGOSE</v>
      </c>
      <c r="M16" s="26" t="str">
        <f t="shared" si="6"/>
        <v>FEDERAL</v>
      </c>
      <c r="N16" s="26">
        <v>13</v>
      </c>
      <c r="O16" s="26">
        <v>6</v>
      </c>
      <c r="P16" s="26">
        <v>7</v>
      </c>
      <c r="Q16" s="26">
        <v>2</v>
      </c>
      <c r="R16" s="26">
        <v>1</v>
      </c>
      <c r="S16" s="26">
        <v>2</v>
      </c>
      <c r="T16" s="26">
        <v>1</v>
      </c>
      <c r="U16" s="26">
        <v>4</v>
      </c>
      <c r="V16" s="26">
        <v>1</v>
      </c>
    </row>
    <row r="17" spans="1:22" x14ac:dyDescent="0.25">
      <c r="A17" s="26" t="str">
        <f t="shared" si="0"/>
        <v>ADULTOS-PRIMARIA</v>
      </c>
      <c r="B17" s="26" t="str">
        <f>"09DBA0073D"</f>
        <v>09DBA0073D</v>
      </c>
      <c r="C17" s="26" t="str">
        <f>"MAESTROS MEXICANOS                                                                                  "</f>
        <v xml:space="preserve">MAESTROS MEXICANOS                                                                                  </v>
      </c>
      <c r="D17" s="26" t="str">
        <f t="shared" si="1"/>
        <v>NOCTURNO</v>
      </c>
      <c r="E17" s="26" t="str">
        <f>"AV MEXICO Y TOLUCA                                                              "</f>
        <v xml:space="preserve">AV MEXICO Y TOLUCA                                                              </v>
      </c>
      <c r="F17" s="26" t="str">
        <f>"SANTA TERESA                                                                                                                                "</f>
        <v xml:space="preserve">SANTA TERESA                                                                                                                                </v>
      </c>
      <c r="G17" s="26" t="str">
        <f>"LA MAGDALENA CONTRERAS                                                          "</f>
        <v xml:space="preserve">LA MAGDALENA CONTRERAS                                                          </v>
      </c>
      <c r="H17" s="26" t="str">
        <f>"023"</f>
        <v>023</v>
      </c>
      <c r="I17" s="26" t="str">
        <f t="shared" si="2"/>
        <v>00</v>
      </c>
      <c r="J17" s="26" t="str">
        <f t="shared" si="7"/>
        <v xml:space="preserve">09 </v>
      </c>
      <c r="K17" s="26" t="str">
        <f t="shared" si="8"/>
        <v>EX</v>
      </c>
      <c r="L17" s="26" t="str">
        <f t="shared" si="9"/>
        <v>DGOSE</v>
      </c>
      <c r="M17" s="26" t="str">
        <f t="shared" si="6"/>
        <v>FEDERAL</v>
      </c>
      <c r="N17" s="26">
        <v>19</v>
      </c>
      <c r="O17" s="26">
        <v>6</v>
      </c>
      <c r="P17" s="26">
        <v>13</v>
      </c>
      <c r="Q17" s="26">
        <v>2</v>
      </c>
      <c r="R17" s="26">
        <v>1</v>
      </c>
      <c r="S17" s="26">
        <v>2</v>
      </c>
      <c r="T17" s="26">
        <v>0</v>
      </c>
      <c r="U17" s="26">
        <v>3</v>
      </c>
      <c r="V17" s="26">
        <v>1</v>
      </c>
    </row>
    <row r="18" spans="1:22" x14ac:dyDescent="0.25">
      <c r="A18" s="26" t="str">
        <f t="shared" si="0"/>
        <v>ADULTOS-PRIMARIA</v>
      </c>
      <c r="B18" s="26" t="str">
        <f>"09DBA0076A"</f>
        <v>09DBA0076A</v>
      </c>
      <c r="C18" s="26" t="str">
        <f>"RUBEN DARIO                                                                                         "</f>
        <v xml:space="preserve">RUBEN DARIO                                                                                         </v>
      </c>
      <c r="D18" s="26" t="str">
        <f t="shared" si="1"/>
        <v>NOCTURNO</v>
      </c>
      <c r="E18" s="26" t="str">
        <f>"CRUZ VERDE NO 86                                                                "</f>
        <v xml:space="preserve">CRUZ VERDE NO 86                                                                </v>
      </c>
      <c r="F18" s="26" t="str">
        <f>"LOMAS QUEBRADAS                                                                                                                             "</f>
        <v xml:space="preserve">LOMAS QUEBRADAS                                                                                                                             </v>
      </c>
      <c r="G18" s="26" t="str">
        <f>"LA MAGDALENA CONTRERAS                                                          "</f>
        <v xml:space="preserve">LA MAGDALENA CONTRERAS                                                          </v>
      </c>
      <c r="H18" s="26" t="str">
        <f>"023"</f>
        <v>023</v>
      </c>
      <c r="I18" s="26" t="str">
        <f t="shared" si="2"/>
        <v>00</v>
      </c>
      <c r="J18" s="26" t="str">
        <f t="shared" si="7"/>
        <v xml:space="preserve">09 </v>
      </c>
      <c r="K18" s="26" t="str">
        <f t="shared" si="8"/>
        <v>EX</v>
      </c>
      <c r="L18" s="26" t="str">
        <f t="shared" si="9"/>
        <v>DGOSE</v>
      </c>
      <c r="M18" s="26" t="str">
        <f t="shared" si="6"/>
        <v>FEDERAL</v>
      </c>
      <c r="N18" s="26">
        <v>13</v>
      </c>
      <c r="O18" s="26">
        <v>5</v>
      </c>
      <c r="P18" s="26">
        <v>8</v>
      </c>
      <c r="Q18" s="26">
        <v>1</v>
      </c>
      <c r="R18" s="26">
        <v>1</v>
      </c>
      <c r="S18" s="26">
        <v>1</v>
      </c>
      <c r="T18" s="26">
        <v>1</v>
      </c>
      <c r="U18" s="26">
        <v>3</v>
      </c>
      <c r="V18" s="26">
        <v>1</v>
      </c>
    </row>
    <row r="19" spans="1:22" x14ac:dyDescent="0.25">
      <c r="A19" s="26" t="str">
        <f t="shared" si="0"/>
        <v>ADULTOS-PRIMARIA</v>
      </c>
      <c r="B19" s="26" t="str">
        <f>"09DBA0078Z"</f>
        <v>09DBA0078Z</v>
      </c>
      <c r="C19" s="26" t="str">
        <f>"JOSE VASCONCELOS                                                                                    "</f>
        <v xml:space="preserve">JOSE VASCONCELOS                                                                                    </v>
      </c>
      <c r="D19" s="26" t="str">
        <f t="shared" si="1"/>
        <v>NOCTURNO</v>
      </c>
      <c r="E19" s="26" t="str">
        <f>"LIRIO Y TERRAPLEN S/N                                                           "</f>
        <v xml:space="preserve">LIRIO Y TERRAPLEN S/N                                                           </v>
      </c>
      <c r="F19" s="26" t="str">
        <f>"LOS ANGELES APANOAYA                                                                                                                        "</f>
        <v xml:space="preserve">LOS ANGELES APANOAYA                                                                                                                        </v>
      </c>
      <c r="G19" s="26" t="str">
        <f>"IZTAPALAPA                                                                      "</f>
        <v xml:space="preserve">IZTAPALAPA                                                                      </v>
      </c>
      <c r="H19" s="26" t="str">
        <f>"003"</f>
        <v>003</v>
      </c>
      <c r="I19" s="26" t="str">
        <f t="shared" si="2"/>
        <v>00</v>
      </c>
      <c r="J19" s="26" t="str">
        <f>"64 "</f>
        <v xml:space="preserve">64 </v>
      </c>
      <c r="K19" s="26" t="str">
        <f>"IZ"</f>
        <v>IZ</v>
      </c>
      <c r="L19" s="26" t="str">
        <f>"DGSEI"</f>
        <v>DGSEI</v>
      </c>
      <c r="M19" s="26" t="str">
        <f t="shared" si="6"/>
        <v>FEDERAL</v>
      </c>
      <c r="N19" s="26">
        <v>36</v>
      </c>
      <c r="O19" s="26">
        <v>18</v>
      </c>
      <c r="P19" s="26">
        <v>18</v>
      </c>
      <c r="Q19" s="26">
        <v>6</v>
      </c>
      <c r="R19" s="26">
        <v>1</v>
      </c>
      <c r="S19" s="26">
        <v>3</v>
      </c>
      <c r="T19" s="26">
        <v>0</v>
      </c>
      <c r="U19" s="26">
        <v>4</v>
      </c>
      <c r="V19" s="26">
        <v>1</v>
      </c>
    </row>
    <row r="20" spans="1:22" x14ac:dyDescent="0.25">
      <c r="A20" s="26" t="str">
        <f t="shared" si="0"/>
        <v>ADULTOS-PRIMARIA</v>
      </c>
      <c r="B20" s="26" t="str">
        <f>"09DBA0079Y"</f>
        <v>09DBA0079Y</v>
      </c>
      <c r="C20" s="26" t="str">
        <f>"MARTIN OYAMBURU                                                                                     "</f>
        <v xml:space="preserve">MARTIN OYAMBURU                                                                                     </v>
      </c>
      <c r="D20" s="26" t="str">
        <f t="shared" si="1"/>
        <v>NOCTURNO</v>
      </c>
      <c r="E20" s="26" t="str">
        <f>"RAIZ DE DURAZNOS NO 426                                                         "</f>
        <v xml:space="preserve">RAIZ DE DURAZNOS NO 426                                                         </v>
      </c>
      <c r="F20" s="26" t="str">
        <f>"PASTEROS                                                                                                                                    "</f>
        <v xml:space="preserve">PASTEROS                                                                                                                                    </v>
      </c>
      <c r="G20" s="26" t="str">
        <f>"AZCAPOTZALCO                                                                    "</f>
        <v xml:space="preserve">AZCAPOTZALCO                                                                    </v>
      </c>
      <c r="H20" s="26" t="str">
        <f>"005"</f>
        <v>005</v>
      </c>
      <c r="I20" s="26" t="str">
        <f t="shared" si="2"/>
        <v>00</v>
      </c>
      <c r="J20" s="26" t="str">
        <f t="shared" ref="J20:J26" si="10">"09 "</f>
        <v xml:space="preserve">09 </v>
      </c>
      <c r="K20" s="26" t="str">
        <f t="shared" ref="K20:K26" si="11">"EX"</f>
        <v>EX</v>
      </c>
      <c r="L20" s="26" t="str">
        <f t="shared" ref="L20:L26" si="12">"DGOSE"</f>
        <v>DGOSE</v>
      </c>
      <c r="M20" s="26" t="str">
        <f t="shared" si="6"/>
        <v>FEDERAL</v>
      </c>
      <c r="N20" s="26">
        <v>1</v>
      </c>
      <c r="O20" s="26">
        <v>0</v>
      </c>
      <c r="P20" s="26">
        <v>1</v>
      </c>
      <c r="Q20" s="26">
        <v>1</v>
      </c>
      <c r="R20" s="26">
        <v>1</v>
      </c>
      <c r="S20" s="26">
        <v>1</v>
      </c>
      <c r="T20" s="26">
        <v>1</v>
      </c>
      <c r="U20" s="26">
        <v>3</v>
      </c>
      <c r="V20" s="26">
        <v>1</v>
      </c>
    </row>
    <row r="21" spans="1:22" x14ac:dyDescent="0.25">
      <c r="A21" s="26" t="str">
        <f t="shared" si="0"/>
        <v>ADULTOS-PRIMARIA</v>
      </c>
      <c r="B21" s="26" t="str">
        <f>"09DBA0087G"</f>
        <v>09DBA0087G</v>
      </c>
      <c r="C21" s="26" t="str">
        <f>"ROSA TORRE GONZALEZ                                                                                 "</f>
        <v xml:space="preserve">ROSA TORRE GONZALEZ                                                                                 </v>
      </c>
      <c r="D21" s="26" t="str">
        <f t="shared" si="1"/>
        <v>NOCTURNO</v>
      </c>
      <c r="E21" s="26" t="str">
        <f>"AV DE LAS CULTURAS Y CINEMATOGRAFIA                                             "</f>
        <v xml:space="preserve">AV DE LAS CULTURAS Y CINEMATOGRAFIA                                             </v>
      </c>
      <c r="F21" s="26" t="str">
        <f>"UNIDAD INFONAVIT EL ROSARIO                                                                                                                 "</f>
        <v xml:space="preserve">UNIDAD INFONAVIT EL ROSARIO                                                                                                                 </v>
      </c>
      <c r="G21" s="26" t="str">
        <f>"AZCAPOTZALCO                                                                    "</f>
        <v xml:space="preserve">AZCAPOTZALCO                                                                    </v>
      </c>
      <c r="H21" s="26" t="str">
        <f>"004"</f>
        <v>004</v>
      </c>
      <c r="I21" s="26" t="str">
        <f t="shared" si="2"/>
        <v>00</v>
      </c>
      <c r="J21" s="26" t="str">
        <f t="shared" si="10"/>
        <v xml:space="preserve">09 </v>
      </c>
      <c r="K21" s="26" t="str">
        <f t="shared" si="11"/>
        <v>EX</v>
      </c>
      <c r="L21" s="26" t="str">
        <f t="shared" si="12"/>
        <v>DGOSE</v>
      </c>
      <c r="M21" s="26" t="str">
        <f t="shared" si="6"/>
        <v>FEDERAL</v>
      </c>
      <c r="N21" s="26">
        <v>2</v>
      </c>
      <c r="O21" s="26">
        <v>1</v>
      </c>
      <c r="P21" s="26">
        <v>1</v>
      </c>
      <c r="Q21" s="26">
        <v>2</v>
      </c>
      <c r="R21" s="26">
        <v>1</v>
      </c>
      <c r="S21" s="26">
        <v>1</v>
      </c>
      <c r="T21" s="26">
        <v>1</v>
      </c>
      <c r="U21" s="26">
        <v>3</v>
      </c>
      <c r="V21" s="26">
        <v>1</v>
      </c>
    </row>
    <row r="22" spans="1:22" x14ac:dyDescent="0.25">
      <c r="A22" s="26" t="str">
        <f t="shared" si="0"/>
        <v>ADULTOS-PRIMARIA</v>
      </c>
      <c r="B22" s="26" t="str">
        <f>"09DBA0088F"</f>
        <v>09DBA0088F</v>
      </c>
      <c r="C22" s="26" t="str">
        <f>"PROFR. CLAUDIO CORTES CASTRO                                                                        "</f>
        <v xml:space="preserve">PROFR. CLAUDIO CORTES CASTRO                                                                        </v>
      </c>
      <c r="D22" s="26" t="str">
        <f t="shared" si="1"/>
        <v>NOCTURNO</v>
      </c>
      <c r="E22" s="26" t="str">
        <f>"JAVIER ROJO GOMEZ NO 103                                                        "</f>
        <v xml:space="preserve">JAVIER ROJO GOMEZ NO 103                                                        </v>
      </c>
      <c r="F22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22" s="26" t="str">
        <f>"IZTACALCO                                                                       "</f>
        <v xml:space="preserve">IZTACALCO                                                                       </v>
      </c>
      <c r="H22" s="26" t="str">
        <f>"044"</f>
        <v>044</v>
      </c>
      <c r="I22" s="26" t="str">
        <f t="shared" si="2"/>
        <v>00</v>
      </c>
      <c r="J22" s="26" t="str">
        <f t="shared" si="10"/>
        <v xml:space="preserve">09 </v>
      </c>
      <c r="K22" s="26" t="str">
        <f t="shared" si="11"/>
        <v>EX</v>
      </c>
      <c r="L22" s="26" t="str">
        <f t="shared" si="12"/>
        <v>DGOSE</v>
      </c>
      <c r="M22" s="26" t="str">
        <f t="shared" si="6"/>
        <v>FEDERAL</v>
      </c>
      <c r="N22" s="26">
        <v>8</v>
      </c>
      <c r="O22" s="26">
        <v>2</v>
      </c>
      <c r="P22" s="26">
        <v>6</v>
      </c>
      <c r="Q22" s="26">
        <v>2</v>
      </c>
      <c r="R22" s="26">
        <v>1</v>
      </c>
      <c r="S22" s="26">
        <v>1</v>
      </c>
      <c r="T22" s="26">
        <v>0</v>
      </c>
      <c r="U22" s="26">
        <v>2</v>
      </c>
      <c r="V22" s="26">
        <v>1</v>
      </c>
    </row>
    <row r="23" spans="1:22" x14ac:dyDescent="0.25">
      <c r="A23" s="26" t="str">
        <f t="shared" si="0"/>
        <v>ADULTOS-PRIMARIA</v>
      </c>
      <c r="B23" s="26" t="str">
        <f>"09DBA0090U"</f>
        <v>09DBA0090U</v>
      </c>
      <c r="C23" s="26" t="str">
        <f>"NORMAN E BORLAUG                                                                                    "</f>
        <v xml:space="preserve">NORMAN E BORLAUG                                                                                    </v>
      </c>
      <c r="D23" s="26" t="str">
        <f t="shared" si="1"/>
        <v>NOCTURNO</v>
      </c>
      <c r="E23" s="26" t="str">
        <f>"ABRAHAM SANCHEZ NO 14                                                           "</f>
        <v xml:space="preserve">ABRAHAM SANCHEZ NO 14                                                           </v>
      </c>
      <c r="F23" s="26" t="str">
        <f>"SAN PEDRO XALPA                                                                                                                             "</f>
        <v xml:space="preserve">SAN PEDRO XALPA                                                                                                                             </v>
      </c>
      <c r="G23" s="26" t="str">
        <f>"AZCAPOTZALCO                                                                    "</f>
        <v xml:space="preserve">AZCAPOTZALCO                                                                    </v>
      </c>
      <c r="H23" s="26" t="str">
        <f>"005"</f>
        <v>005</v>
      </c>
      <c r="I23" s="26" t="str">
        <f t="shared" si="2"/>
        <v>00</v>
      </c>
      <c r="J23" s="26" t="str">
        <f t="shared" si="10"/>
        <v xml:space="preserve">09 </v>
      </c>
      <c r="K23" s="26" t="str">
        <f t="shared" si="11"/>
        <v>EX</v>
      </c>
      <c r="L23" s="26" t="str">
        <f t="shared" si="12"/>
        <v>DGOSE</v>
      </c>
      <c r="M23" s="26" t="str">
        <f t="shared" si="6"/>
        <v>FEDERAL</v>
      </c>
      <c r="N23" s="26">
        <v>19</v>
      </c>
      <c r="O23" s="26">
        <v>4</v>
      </c>
      <c r="P23" s="26">
        <v>15</v>
      </c>
      <c r="Q23" s="26">
        <v>2</v>
      </c>
      <c r="R23" s="26">
        <v>1</v>
      </c>
      <c r="S23" s="26">
        <v>2</v>
      </c>
      <c r="T23" s="26">
        <v>1</v>
      </c>
      <c r="U23" s="26">
        <v>4</v>
      </c>
      <c r="V23" s="26">
        <v>1</v>
      </c>
    </row>
    <row r="24" spans="1:22" x14ac:dyDescent="0.25">
      <c r="A24" s="26" t="str">
        <f t="shared" si="0"/>
        <v>ADULTOS-PRIMARIA</v>
      </c>
      <c r="B24" s="26" t="str">
        <f>"09DBA0093R"</f>
        <v>09DBA0093R</v>
      </c>
      <c r="C24" s="26" t="str">
        <f>"SILVESTRE REVUELTAS                                                                                 "</f>
        <v xml:space="preserve">SILVESTRE REVUELTAS                                                                                 </v>
      </c>
      <c r="D24" s="26" t="str">
        <f t="shared" si="1"/>
        <v>NOCTURNO</v>
      </c>
      <c r="E24" s="26" t="str">
        <f>"DOCTOR VERTIZ S/N Y PRESIDENTES                                                 "</f>
        <v xml:space="preserve">DOCTOR VERTIZ S/N Y PRESIDENTES                                                 </v>
      </c>
      <c r="F24" s="26" t="str">
        <f>"PORTALES                                                                                                                                    "</f>
        <v xml:space="preserve">PORTALES                                                                                                                                    </v>
      </c>
      <c r="G24" s="26" t="str">
        <f>"BENITO JUAREZ                                                                   "</f>
        <v xml:space="preserve">BENITO JUAREZ                                                                   </v>
      </c>
      <c r="H24" s="26" t="str">
        <f>"017"</f>
        <v>017</v>
      </c>
      <c r="I24" s="26" t="str">
        <f t="shared" si="2"/>
        <v>00</v>
      </c>
      <c r="J24" s="26" t="str">
        <f t="shared" si="10"/>
        <v xml:space="preserve">09 </v>
      </c>
      <c r="K24" s="26" t="str">
        <f t="shared" si="11"/>
        <v>EX</v>
      </c>
      <c r="L24" s="26" t="str">
        <f t="shared" si="12"/>
        <v>DGOSE</v>
      </c>
      <c r="M24" s="26" t="str">
        <f t="shared" si="6"/>
        <v>FEDERAL</v>
      </c>
      <c r="N24" s="26">
        <v>26</v>
      </c>
      <c r="O24" s="26">
        <v>20</v>
      </c>
      <c r="P24" s="26">
        <v>6</v>
      </c>
      <c r="Q24" s="26">
        <v>8</v>
      </c>
      <c r="R24" s="26">
        <v>1</v>
      </c>
      <c r="S24" s="26">
        <v>5</v>
      </c>
      <c r="T24" s="26">
        <v>0</v>
      </c>
      <c r="U24" s="26">
        <v>6</v>
      </c>
      <c r="V24" s="26">
        <v>1</v>
      </c>
    </row>
    <row r="25" spans="1:22" x14ac:dyDescent="0.25">
      <c r="A25" s="26" t="str">
        <f t="shared" si="0"/>
        <v>ADULTOS-PRIMARIA</v>
      </c>
      <c r="B25" s="26" t="str">
        <f>"09DBA0098M"</f>
        <v>09DBA0098M</v>
      </c>
      <c r="C25" s="26" t="str">
        <f>"LUIS R. ALARCÓN                                                                                     "</f>
        <v xml:space="preserve">LUIS R. ALARCÓN                                                                                     </v>
      </c>
      <c r="D25" s="26" t="str">
        <f t="shared" si="1"/>
        <v>NOCTURNO</v>
      </c>
      <c r="E25" s="26" t="str">
        <f>"AV CENTENARIO NO 96                                                             "</f>
        <v xml:space="preserve">AV CENTENARIO NO 96                                                             </v>
      </c>
      <c r="F25" s="26" t="str">
        <f>"MERCED GOMEZ                                                                                                                                "</f>
        <v xml:space="preserve">MERCED GOMEZ                                                                                                                                </v>
      </c>
      <c r="G25" s="26" t="str">
        <f>"ALVARO OBREGON                                                                  "</f>
        <v xml:space="preserve">ALVARO OBREGON                                                                  </v>
      </c>
      <c r="H25" s="26" t="str">
        <f>"002"</f>
        <v>002</v>
      </c>
      <c r="I25" s="26" t="str">
        <f t="shared" si="2"/>
        <v>00</v>
      </c>
      <c r="J25" s="26" t="str">
        <f t="shared" si="10"/>
        <v xml:space="preserve">09 </v>
      </c>
      <c r="K25" s="26" t="str">
        <f t="shared" si="11"/>
        <v>EX</v>
      </c>
      <c r="L25" s="26" t="str">
        <f t="shared" si="12"/>
        <v>DGOSE</v>
      </c>
      <c r="M25" s="26" t="str">
        <f t="shared" si="6"/>
        <v>FEDERAL</v>
      </c>
      <c r="N25" s="26">
        <v>8</v>
      </c>
      <c r="O25" s="26">
        <v>0</v>
      </c>
      <c r="P25" s="26">
        <v>8</v>
      </c>
      <c r="Q25" s="26">
        <v>2</v>
      </c>
      <c r="R25" s="26">
        <v>0</v>
      </c>
      <c r="S25" s="26">
        <v>2</v>
      </c>
      <c r="T25" s="26">
        <v>0</v>
      </c>
      <c r="U25" s="26">
        <v>2</v>
      </c>
      <c r="V25" s="26">
        <v>1</v>
      </c>
    </row>
    <row r="26" spans="1:22" x14ac:dyDescent="0.25">
      <c r="A26" s="26" t="str">
        <f t="shared" si="0"/>
        <v>ADULTOS-PRIMARIA</v>
      </c>
      <c r="B26" s="26" t="str">
        <f>"09DBA0100K"</f>
        <v>09DBA0100K</v>
      </c>
      <c r="C26" s="26" t="str">
        <f>"AURELIO MALDONADO CEDILLO                                                                           "</f>
        <v xml:space="preserve">AURELIO MALDONADO CEDILLO                                                                           </v>
      </c>
      <c r="D26" s="26" t="str">
        <f t="shared" si="1"/>
        <v>NOCTURNO</v>
      </c>
      <c r="E26" s="26" t="str">
        <f>"MICHOACAN Y QUERETARO S/N                                                       "</f>
        <v xml:space="preserve">MICHOACAN Y QUERETARO S/N                                                       </v>
      </c>
      <c r="F26" s="26" t="str">
        <f>"CHALMA DE GUADALUPE                                                                                                                         "</f>
        <v xml:space="preserve">CHALMA DE GUADALUPE                                                                                                                         </v>
      </c>
      <c r="G26" s="26" t="str">
        <f>"GUSTAVO A. MADERO                                                               "</f>
        <v xml:space="preserve">GUSTAVO A. MADERO                                                               </v>
      </c>
      <c r="H26" s="26" t="str">
        <f>"013"</f>
        <v>013</v>
      </c>
      <c r="I26" s="26" t="str">
        <f t="shared" si="2"/>
        <v>00</v>
      </c>
      <c r="J26" s="26" t="str">
        <f t="shared" si="10"/>
        <v xml:space="preserve">09 </v>
      </c>
      <c r="K26" s="26" t="str">
        <f t="shared" si="11"/>
        <v>EX</v>
      </c>
      <c r="L26" s="26" t="str">
        <f t="shared" si="12"/>
        <v>DGOSE</v>
      </c>
      <c r="M26" s="26" t="str">
        <f t="shared" si="6"/>
        <v>FEDERAL</v>
      </c>
      <c r="N26" s="26">
        <v>10</v>
      </c>
      <c r="O26" s="26">
        <v>3</v>
      </c>
      <c r="P26" s="26">
        <v>7</v>
      </c>
      <c r="Q26" s="26">
        <v>2</v>
      </c>
      <c r="R26" s="26">
        <v>1</v>
      </c>
      <c r="S26" s="26">
        <v>2</v>
      </c>
      <c r="T26" s="26">
        <v>1</v>
      </c>
      <c r="U26" s="26">
        <v>4</v>
      </c>
      <c r="V26" s="26">
        <v>1</v>
      </c>
    </row>
    <row r="27" spans="1:22" x14ac:dyDescent="0.25">
      <c r="A27" s="26" t="str">
        <f t="shared" si="0"/>
        <v>ADULTOS-PRIMARIA</v>
      </c>
      <c r="B27" s="26" t="str">
        <f>"09DBA0107D"</f>
        <v>09DBA0107D</v>
      </c>
      <c r="C27" s="26" t="str">
        <f>"REPUBLICA DE BRASIL                                                                                 "</f>
        <v xml:space="preserve">REPUBLICA DE BRASIL                                                                                 </v>
      </c>
      <c r="D27" s="26" t="str">
        <f t="shared" si="1"/>
        <v>NOCTURNO</v>
      </c>
      <c r="E27" s="26" t="str">
        <f>"CALLE 65 NO. 114                                                                "</f>
        <v xml:space="preserve">CALLE 65 NO. 114                                                                </v>
      </c>
      <c r="F27" s="26" t="str">
        <f>"UNIDAD SANTA CRUZ MEYEHUALCO                                                                                                                "</f>
        <v xml:space="preserve">UNIDAD SANTA CRUZ MEYEHUALCO                                                                                                                </v>
      </c>
      <c r="G27" s="26" t="str">
        <f>"IZTAPALAPA                                                                      "</f>
        <v xml:space="preserve">IZTAPALAPA                                                                      </v>
      </c>
      <c r="H27" s="26" t="str">
        <f>"003"</f>
        <v>003</v>
      </c>
      <c r="I27" s="26" t="str">
        <f t="shared" si="2"/>
        <v>00</v>
      </c>
      <c r="J27" s="26" t="str">
        <f>"64 "</f>
        <v xml:space="preserve">64 </v>
      </c>
      <c r="K27" s="26" t="str">
        <f>"IZ"</f>
        <v>IZ</v>
      </c>
      <c r="L27" s="26" t="str">
        <f>"DGSEI"</f>
        <v>DGSEI</v>
      </c>
      <c r="M27" s="26" t="str">
        <f t="shared" si="6"/>
        <v>FEDERAL</v>
      </c>
      <c r="N27" s="26">
        <v>20</v>
      </c>
      <c r="O27" s="26">
        <v>14</v>
      </c>
      <c r="P27" s="26">
        <v>6</v>
      </c>
      <c r="Q27" s="26">
        <v>2</v>
      </c>
      <c r="R27" s="26">
        <v>0</v>
      </c>
      <c r="S27" s="26">
        <v>1</v>
      </c>
      <c r="T27" s="26">
        <v>0</v>
      </c>
      <c r="U27" s="26">
        <v>1</v>
      </c>
      <c r="V27" s="26">
        <v>1</v>
      </c>
    </row>
    <row r="28" spans="1:22" x14ac:dyDescent="0.25">
      <c r="A28" s="26" t="str">
        <f t="shared" si="0"/>
        <v>ADULTOS-PRIMARIA</v>
      </c>
      <c r="B28" s="26" t="str">
        <f>"09DBA0111Q"</f>
        <v>09DBA0111Q</v>
      </c>
      <c r="C28" s="26" t="str">
        <f>"HEROES DEL MOLINO DEL REY                                                                           "</f>
        <v xml:space="preserve">HEROES DEL MOLINO DEL REY                                                                           </v>
      </c>
      <c r="D28" s="26" t="str">
        <f t="shared" si="1"/>
        <v>NOCTURNO</v>
      </c>
      <c r="E28" s="26" t="str">
        <f>"GENERAL MANUEL CEPEDA PERAZA NO. 41                                             "</f>
        <v xml:space="preserve">GENERAL MANUEL CEPEDA PERAZA NO. 41                                             </v>
      </c>
      <c r="F28" s="26" t="str">
        <f>"JUAN ESCUTIA                                                                                                                                "</f>
        <v xml:space="preserve">JUAN ESCUTIA                                                                                                                                </v>
      </c>
      <c r="G28" s="26" t="str">
        <f>"IZTAPALAPA                                                                      "</f>
        <v xml:space="preserve">IZTAPALAPA                                                                      </v>
      </c>
      <c r="H28" s="26" t="str">
        <f>"001"</f>
        <v>001</v>
      </c>
      <c r="I28" s="26" t="str">
        <f t="shared" si="2"/>
        <v>00</v>
      </c>
      <c r="J28" s="26" t="str">
        <f>"62 "</f>
        <v xml:space="preserve">62 </v>
      </c>
      <c r="K28" s="26" t="str">
        <f>"IZ"</f>
        <v>IZ</v>
      </c>
      <c r="L28" s="26" t="str">
        <f>"DGSEI"</f>
        <v>DGSEI</v>
      </c>
      <c r="M28" s="26" t="str">
        <f t="shared" si="6"/>
        <v>FEDERAL</v>
      </c>
      <c r="N28" s="26">
        <v>15</v>
      </c>
      <c r="O28" s="26">
        <v>8</v>
      </c>
      <c r="P28" s="26">
        <v>7</v>
      </c>
      <c r="Q28" s="26">
        <v>4</v>
      </c>
      <c r="R28" s="26">
        <v>1</v>
      </c>
      <c r="S28" s="26">
        <v>4</v>
      </c>
      <c r="T28" s="26">
        <v>0</v>
      </c>
      <c r="U28" s="26">
        <v>5</v>
      </c>
      <c r="V28" s="26">
        <v>1</v>
      </c>
    </row>
    <row r="29" spans="1:22" x14ac:dyDescent="0.25">
      <c r="A29" s="26" t="str">
        <f t="shared" si="0"/>
        <v>ADULTOS-PRIMARIA</v>
      </c>
      <c r="B29" s="26" t="str">
        <f>"09DBA0115M"</f>
        <v>09DBA0115M</v>
      </c>
      <c r="C29" s="26" t="str">
        <f>"BARTOLOME DE MEDINA                                                                                 "</f>
        <v xml:space="preserve">BARTOLOME DE MEDINA                                                                                 </v>
      </c>
      <c r="D29" s="26" t="str">
        <f t="shared" si="1"/>
        <v>NOCTURNO</v>
      </c>
      <c r="E29" s="26" t="str">
        <f>"SOSTENES ROCHA NO 44                                                            "</f>
        <v xml:space="preserve">SOSTENES ROCHA NO 44                                                            </v>
      </c>
      <c r="F29" s="26" t="str">
        <f>"COVE                                                                                                                                        "</f>
        <v xml:space="preserve">COVE                                                                                                                                        </v>
      </c>
      <c r="G29" s="26" t="str">
        <f>"ALVARO OBREGON                                                                  "</f>
        <v xml:space="preserve">ALVARO OBREGON                                                                  </v>
      </c>
      <c r="H29" s="26" t="str">
        <f>"001"</f>
        <v>001</v>
      </c>
      <c r="I29" s="26" t="str">
        <f t="shared" si="2"/>
        <v>00</v>
      </c>
      <c r="J29" s="26" t="str">
        <f>"09 "</f>
        <v xml:space="preserve">09 </v>
      </c>
      <c r="K29" s="26" t="str">
        <f>"EX"</f>
        <v>EX</v>
      </c>
      <c r="L29" s="26" t="str">
        <f>"DGOSE"</f>
        <v>DGOSE</v>
      </c>
      <c r="M29" s="26" t="str">
        <f t="shared" si="6"/>
        <v>FEDERAL</v>
      </c>
      <c r="N29" s="26">
        <v>16</v>
      </c>
      <c r="O29" s="26">
        <v>9</v>
      </c>
      <c r="P29" s="26">
        <v>7</v>
      </c>
      <c r="Q29" s="26">
        <v>2</v>
      </c>
      <c r="R29" s="26">
        <v>1</v>
      </c>
      <c r="S29" s="26">
        <v>2</v>
      </c>
      <c r="T29" s="26">
        <v>0</v>
      </c>
      <c r="U29" s="26">
        <v>3</v>
      </c>
      <c r="V29" s="26">
        <v>1</v>
      </c>
    </row>
    <row r="30" spans="1:22" x14ac:dyDescent="0.25">
      <c r="A30" s="26" t="str">
        <f t="shared" si="0"/>
        <v>ADULTOS-PRIMARIA</v>
      </c>
      <c r="B30" s="26" t="str">
        <f>"09DBA0122W"</f>
        <v>09DBA0122W</v>
      </c>
      <c r="C30" s="26" t="str">
        <f>"OBRAS DEL VALLE DE MEXICO                                                                           "</f>
        <v xml:space="preserve">OBRAS DEL VALLE DE MEXICO                                                                           </v>
      </c>
      <c r="D30" s="26" t="str">
        <f t="shared" si="1"/>
        <v>NOCTURNO</v>
      </c>
      <c r="E30" s="26" t="str">
        <f>"CALZ SAN JUAN DE ARAGON S/N                                                     "</f>
        <v xml:space="preserve">CALZ SAN JUAN DE ARAGON S/N                                                     </v>
      </c>
      <c r="F30" s="26" t="str">
        <f>"SAN JUAN DE ARAGON AMPLIACION                                                                                                               "</f>
        <v xml:space="preserve">SAN JUAN DE ARAGON AMPLIACION                                                                                                               </v>
      </c>
      <c r="G30" s="26" t="str">
        <f>"GUSTAVO A. MADERO                                                               "</f>
        <v xml:space="preserve">GUSTAVO A. MADERO                                                               </v>
      </c>
      <c r="H30" s="26" t="str">
        <f>"024"</f>
        <v>024</v>
      </c>
      <c r="I30" s="26" t="str">
        <f t="shared" si="2"/>
        <v>00</v>
      </c>
      <c r="J30" s="26" t="str">
        <f>"09 "</f>
        <v xml:space="preserve">09 </v>
      </c>
      <c r="K30" s="26" t="str">
        <f>"EX"</f>
        <v>EX</v>
      </c>
      <c r="L30" s="26" t="str">
        <f>"DGOSE"</f>
        <v>DGOSE</v>
      </c>
      <c r="M30" s="26" t="str">
        <f t="shared" si="6"/>
        <v>FEDERAL</v>
      </c>
      <c r="N30" s="26">
        <v>14</v>
      </c>
      <c r="O30" s="26">
        <v>5</v>
      </c>
      <c r="P30" s="26">
        <v>9</v>
      </c>
      <c r="Q30" s="26">
        <v>2</v>
      </c>
      <c r="R30" s="26">
        <v>0</v>
      </c>
      <c r="S30" s="26">
        <v>1</v>
      </c>
      <c r="T30" s="26">
        <v>1</v>
      </c>
      <c r="U30" s="26">
        <v>2</v>
      </c>
      <c r="V30" s="26">
        <v>1</v>
      </c>
    </row>
    <row r="31" spans="1:22" x14ac:dyDescent="0.25">
      <c r="A31" s="26" t="str">
        <f t="shared" si="0"/>
        <v>ADULTOS-PRIMARIA</v>
      </c>
      <c r="B31" s="26" t="str">
        <f>"09DBA0135Z"</f>
        <v>09DBA0135Z</v>
      </c>
      <c r="C31" s="26" t="str">
        <f>"PROFR. MANUEL S HIDALGO                                                                             "</f>
        <v xml:space="preserve">PROFR. MANUEL S HIDALGO                                                                             </v>
      </c>
      <c r="D31" s="26" t="str">
        <f t="shared" si="1"/>
        <v>NOCTURNO</v>
      </c>
      <c r="E31" s="26" t="str">
        <f>"AV DE LAS CULTURAS Y LIC ANDRES ENESTROSA                                       "</f>
        <v xml:space="preserve">AV DE LAS CULTURAS Y LIC ANDRES ENESTROSA                                       </v>
      </c>
      <c r="F31" s="26" t="str">
        <f>"UNIDAD INFONAVIT EL ROSARIO                                                                                                                 "</f>
        <v xml:space="preserve">UNIDAD INFONAVIT EL ROSARIO                                                                                                                 </v>
      </c>
      <c r="G31" s="26" t="str">
        <f>"AZCAPOTZALCO                                                                    "</f>
        <v xml:space="preserve">AZCAPOTZALCO                                                                    </v>
      </c>
      <c r="H31" s="26" t="str">
        <f>"013"</f>
        <v>013</v>
      </c>
      <c r="I31" s="26" t="str">
        <f t="shared" si="2"/>
        <v>00</v>
      </c>
      <c r="J31" s="26" t="str">
        <f>"09 "</f>
        <v xml:space="preserve">09 </v>
      </c>
      <c r="K31" s="26" t="str">
        <f>"EX"</f>
        <v>EX</v>
      </c>
      <c r="L31" s="26" t="str">
        <f>"DGOSE"</f>
        <v>DGOSE</v>
      </c>
      <c r="M31" s="26" t="str">
        <f t="shared" si="6"/>
        <v>FEDERAL</v>
      </c>
      <c r="N31" s="26">
        <v>3</v>
      </c>
      <c r="O31" s="26">
        <v>3</v>
      </c>
      <c r="P31" s="26">
        <v>0</v>
      </c>
      <c r="Q31" s="26">
        <v>1</v>
      </c>
      <c r="R31" s="26">
        <v>1</v>
      </c>
      <c r="S31" s="26">
        <v>1</v>
      </c>
      <c r="T31" s="26">
        <v>1</v>
      </c>
      <c r="U31" s="26">
        <v>3</v>
      </c>
      <c r="V31" s="26">
        <v>1</v>
      </c>
    </row>
    <row r="32" spans="1:22" x14ac:dyDescent="0.25">
      <c r="A32" s="26" t="str">
        <f t="shared" si="0"/>
        <v>ADULTOS-PRIMARIA</v>
      </c>
      <c r="B32" s="26" t="str">
        <f>"09DBA0137Y"</f>
        <v>09DBA0137Y</v>
      </c>
      <c r="C32" s="26" t="str">
        <f>"JUAN CRISOSTOMO BONILLA                                                                             "</f>
        <v xml:space="preserve">JUAN CRISOSTOMO BONILLA                                                                             </v>
      </c>
      <c r="D32" s="26" t="str">
        <f t="shared" si="1"/>
        <v>NOCTURNO</v>
      </c>
      <c r="E32" s="26" t="str">
        <f>"AV 8 Y CALLE 65                                                                 "</f>
        <v xml:space="preserve">AV 8 Y CALLE 65                                                                 </v>
      </c>
      <c r="F32" s="26" t="str">
        <f>"PUEBLA                                                                                                                                      "</f>
        <v xml:space="preserve">PUEBLA                                                                                                                                      </v>
      </c>
      <c r="G32" s="26" t="str">
        <f>"VENUSTIANO CARRANZA                                                             "</f>
        <v xml:space="preserve">VENUSTIANO CARRANZA                                                             </v>
      </c>
      <c r="H32" s="26" t="str">
        <f>"044"</f>
        <v>044</v>
      </c>
      <c r="I32" s="26" t="str">
        <f t="shared" si="2"/>
        <v>00</v>
      </c>
      <c r="J32" s="26" t="str">
        <f>"09 "</f>
        <v xml:space="preserve">09 </v>
      </c>
      <c r="K32" s="26" t="str">
        <f>"EX"</f>
        <v>EX</v>
      </c>
      <c r="L32" s="26" t="str">
        <f>"DGOSE"</f>
        <v>DGOSE</v>
      </c>
      <c r="M32" s="26" t="str">
        <f t="shared" si="6"/>
        <v>FEDERAL</v>
      </c>
      <c r="N32" s="26">
        <v>14</v>
      </c>
      <c r="O32" s="26">
        <v>8</v>
      </c>
      <c r="P32" s="26">
        <v>6</v>
      </c>
      <c r="Q32" s="26">
        <v>2</v>
      </c>
      <c r="R32" s="26">
        <v>1</v>
      </c>
      <c r="S32" s="26">
        <v>1</v>
      </c>
      <c r="T32" s="26">
        <v>0</v>
      </c>
      <c r="U32" s="26">
        <v>2</v>
      </c>
      <c r="V32" s="26">
        <v>1</v>
      </c>
    </row>
    <row r="33" spans="1:22" x14ac:dyDescent="0.25">
      <c r="A33" s="26" t="str">
        <f t="shared" si="0"/>
        <v>ADULTOS-PRIMARIA</v>
      </c>
      <c r="B33" s="26" t="str">
        <f>"09DBA0163W"</f>
        <v>09DBA0163W</v>
      </c>
      <c r="C33" s="26" t="str">
        <f>"PROFR. GERARDO BRUNO SEVILLA HERNANDEZ                                                              "</f>
        <v xml:space="preserve">PROFR. GERARDO BRUNO SEVILLA HERNANDEZ                                                              </v>
      </c>
      <c r="D33" s="26" t="str">
        <f t="shared" si="1"/>
        <v>NOCTURNO</v>
      </c>
      <c r="E33" s="26" t="str">
        <f>"EMILIANO ZAPATA NO. 129                                                         "</f>
        <v xml:space="preserve">EMILIANO ZAPATA NO. 129                                                         </v>
      </c>
      <c r="F33" s="26" t="str">
        <f>"SAN LORENZO TEZONCO                                                                                                                         "</f>
        <v xml:space="preserve">SAN LORENZO TEZONCO                                                                                                                         </v>
      </c>
      <c r="G33" s="26" t="str">
        <f>"IZTAPALAPA                                                                      "</f>
        <v xml:space="preserve">IZTAPALAPA                                                                      </v>
      </c>
      <c r="H33" s="26" t="str">
        <f>"003"</f>
        <v>003</v>
      </c>
      <c r="I33" s="26" t="str">
        <f t="shared" si="2"/>
        <v>00</v>
      </c>
      <c r="J33" s="26" t="str">
        <f>"64 "</f>
        <v xml:space="preserve">64 </v>
      </c>
      <c r="K33" s="26" t="str">
        <f>"IZ"</f>
        <v>IZ</v>
      </c>
      <c r="L33" s="26" t="str">
        <f>"DGSEI"</f>
        <v>DGSEI</v>
      </c>
      <c r="M33" s="26" t="str">
        <f t="shared" si="6"/>
        <v>FEDERAL</v>
      </c>
      <c r="N33" s="26">
        <v>41</v>
      </c>
      <c r="O33" s="26">
        <v>19</v>
      </c>
      <c r="P33" s="26">
        <v>22</v>
      </c>
      <c r="Q33" s="26">
        <v>3</v>
      </c>
      <c r="R33" s="26">
        <v>0</v>
      </c>
      <c r="S33" s="26">
        <v>3</v>
      </c>
      <c r="T33" s="26">
        <v>0</v>
      </c>
      <c r="U33" s="26">
        <v>3</v>
      </c>
      <c r="V33" s="26">
        <v>1</v>
      </c>
    </row>
    <row r="34" spans="1:22" x14ac:dyDescent="0.25">
      <c r="A34" s="26" t="str">
        <f t="shared" si="0"/>
        <v>ADULTOS-PRIMARIA</v>
      </c>
      <c r="B34" s="26" t="str">
        <f>"09DBA0165U"</f>
        <v>09DBA0165U</v>
      </c>
      <c r="C34" s="26" t="str">
        <f>"PLAN DE GUADALUPE                                                                                   "</f>
        <v xml:space="preserve">PLAN DE GUADALUPE                                                                                   </v>
      </c>
      <c r="D34" s="26" t="str">
        <f t="shared" si="1"/>
        <v>NOCTURNO</v>
      </c>
      <c r="E34" s="26" t="str">
        <f>"RICARDO FLORES MAGON S/N                                                        "</f>
        <v xml:space="preserve">RICARDO FLORES MAGON S/N                                                        </v>
      </c>
      <c r="F34" s="26" t="str">
        <f>"SANTIAGO ZAPOTITLAN                                                                                                                         "</f>
        <v xml:space="preserve">SANTIAGO ZAPOTITLAN                                                                                                                         </v>
      </c>
      <c r="G34" s="26" t="str">
        <f>"TLAHUAC                                                                         "</f>
        <v xml:space="preserve">TLAHUAC                                                                         </v>
      </c>
      <c r="H34" s="26" t="str">
        <f>"054"</f>
        <v>054</v>
      </c>
      <c r="I34" s="26" t="str">
        <f t="shared" si="2"/>
        <v>00</v>
      </c>
      <c r="J34" s="26" t="str">
        <f>"09 "</f>
        <v xml:space="preserve">09 </v>
      </c>
      <c r="K34" s="26" t="str">
        <f>"EX"</f>
        <v>EX</v>
      </c>
      <c r="L34" s="26" t="str">
        <f>"DGOSE"</f>
        <v>DGOSE</v>
      </c>
      <c r="M34" s="26" t="str">
        <f t="shared" si="6"/>
        <v>FEDERAL</v>
      </c>
      <c r="N34" s="26">
        <v>19</v>
      </c>
      <c r="O34" s="26">
        <v>8</v>
      </c>
      <c r="P34" s="26">
        <v>11</v>
      </c>
      <c r="Q34" s="26">
        <v>4</v>
      </c>
      <c r="R34" s="26">
        <v>0</v>
      </c>
      <c r="S34" s="26">
        <v>4</v>
      </c>
      <c r="T34" s="26">
        <v>0</v>
      </c>
      <c r="U34" s="26">
        <v>4</v>
      </c>
      <c r="V34" s="26">
        <v>1</v>
      </c>
    </row>
    <row r="35" spans="1:22" x14ac:dyDescent="0.25">
      <c r="A35" s="26" t="str">
        <f t="shared" si="0"/>
        <v>ADULTOS-PRIMARIA</v>
      </c>
      <c r="B35" s="26" t="str">
        <f>"09DBA0170F"</f>
        <v>09DBA0170F</v>
      </c>
      <c r="C35" s="26" t="str">
        <f>"NEPAL                                                                                               "</f>
        <v xml:space="preserve">NEPAL                                                                                               </v>
      </c>
      <c r="D35" s="26" t="str">
        <f t="shared" si="1"/>
        <v>NOCTURNO</v>
      </c>
      <c r="E35" s="26" t="str">
        <f>"AV 509 PLAZA 3 S/N                                                              "</f>
        <v xml:space="preserve">AV 509 PLAZA 3 S/N                                                              </v>
      </c>
      <c r="F35" s="26" t="str">
        <f>"UNIDAD SAN JUAN DE ARAGON                                                                                                                   "</f>
        <v xml:space="preserve">UNIDAD SAN JUAN DE ARAGON                                                                                                                   </v>
      </c>
      <c r="G35" s="26" t="str">
        <f>"GUSTAVO A. MADERO                                                               "</f>
        <v xml:space="preserve">GUSTAVO A. MADERO                                                               </v>
      </c>
      <c r="H35" s="26" t="str">
        <f>"018"</f>
        <v>018</v>
      </c>
      <c r="I35" s="26" t="str">
        <f t="shared" si="2"/>
        <v>00</v>
      </c>
      <c r="J35" s="26" t="str">
        <f>"09 "</f>
        <v xml:space="preserve">09 </v>
      </c>
      <c r="K35" s="26" t="str">
        <f>"EX"</f>
        <v>EX</v>
      </c>
      <c r="L35" s="26" t="str">
        <f>"DGOSE"</f>
        <v>DGOSE</v>
      </c>
      <c r="M35" s="26" t="str">
        <f t="shared" si="6"/>
        <v>FEDERAL</v>
      </c>
      <c r="N35" s="26">
        <v>9</v>
      </c>
      <c r="O35" s="26">
        <v>3</v>
      </c>
      <c r="P35" s="26">
        <v>6</v>
      </c>
      <c r="Q35" s="26">
        <v>4</v>
      </c>
      <c r="R35" s="26">
        <v>1</v>
      </c>
      <c r="S35" s="26">
        <v>2</v>
      </c>
      <c r="T35" s="26">
        <v>0</v>
      </c>
      <c r="U35" s="26">
        <v>3</v>
      </c>
      <c r="V35" s="26">
        <v>1</v>
      </c>
    </row>
    <row r="36" spans="1:22" x14ac:dyDescent="0.25">
      <c r="A36" s="26" t="str">
        <f t="shared" si="0"/>
        <v>ADULTOS-PRIMARIA</v>
      </c>
      <c r="B36" s="26" t="str">
        <f>"09DBA0178Y"</f>
        <v>09DBA0178Y</v>
      </c>
      <c r="C36" s="26" t="str">
        <f>"PROFR. JORGE CASAHONDA CASTILLO                                                                     "</f>
        <v xml:space="preserve">PROFR. JORGE CASAHONDA CASTILLO                                                                     </v>
      </c>
      <c r="D36" s="26" t="str">
        <f t="shared" si="1"/>
        <v>NOCTURNO</v>
      </c>
      <c r="E36" s="26" t="str">
        <f>"AV. DEL PEÑON NO. 49                                                            "</f>
        <v xml:space="preserve">AV. DEL PEÑON NO. 49                                                            </v>
      </c>
      <c r="F36" s="26" t="str">
        <f>"MORELOS                                                                                                                                     "</f>
        <v xml:space="preserve">MORELOS                                                                                                                                     </v>
      </c>
      <c r="G36" s="26" t="str">
        <f>"CUAUHTEMOC                                                                      "</f>
        <v xml:space="preserve">CUAUHTEMOC                                                                      </v>
      </c>
      <c r="H36" s="26" t="str">
        <f>"011"</f>
        <v>011</v>
      </c>
      <c r="I36" s="26" t="str">
        <f t="shared" si="2"/>
        <v>00</v>
      </c>
      <c r="J36" s="26" t="str">
        <f>"09 "</f>
        <v xml:space="preserve">09 </v>
      </c>
      <c r="K36" s="26" t="str">
        <f>"EX"</f>
        <v>EX</v>
      </c>
      <c r="L36" s="26" t="str">
        <f>"DGOSE"</f>
        <v>DGOSE</v>
      </c>
      <c r="M36" s="26" t="str">
        <f t="shared" si="6"/>
        <v>FEDERAL</v>
      </c>
      <c r="N36" s="26">
        <v>11</v>
      </c>
      <c r="O36" s="26">
        <v>5</v>
      </c>
      <c r="P36" s="26">
        <v>6</v>
      </c>
      <c r="Q36" s="26">
        <v>2</v>
      </c>
      <c r="R36" s="26">
        <v>1</v>
      </c>
      <c r="S36" s="26">
        <v>2</v>
      </c>
      <c r="T36" s="26">
        <v>2</v>
      </c>
      <c r="U36" s="26">
        <v>5</v>
      </c>
      <c r="V36" s="26">
        <v>1</v>
      </c>
    </row>
    <row r="37" spans="1:22" x14ac:dyDescent="0.25">
      <c r="A37" s="26" t="str">
        <f t="shared" si="0"/>
        <v>ADULTOS-PRIMARIA</v>
      </c>
      <c r="B37" s="26" t="str">
        <f>"09DBA0181L"</f>
        <v>09DBA0181L</v>
      </c>
      <c r="C37" s="26" t="str">
        <f>"JACINTO CANEK                                                                                       "</f>
        <v xml:space="preserve">JACINTO CANEK                                                                                       </v>
      </c>
      <c r="D37" s="26" t="str">
        <f t="shared" si="1"/>
        <v>NOCTURNO</v>
      </c>
      <c r="E37" s="26" t="str">
        <f>"HUEHUETAN NO 230                                                                "</f>
        <v xml:space="preserve">HUEHUETAN NO 230                                                                </v>
      </c>
      <c r="F37" s="26" t="str">
        <f>"HEROES DE PADIERNA                                                                                                                          "</f>
        <v xml:space="preserve">HEROES DE PADIERNA                                                                                                                          </v>
      </c>
      <c r="G37" s="26" t="str">
        <f>"TLALPAN                                                                         "</f>
        <v xml:space="preserve">TLALPAN                                                                         </v>
      </c>
      <c r="H37" s="26" t="str">
        <f>"052"</f>
        <v>052</v>
      </c>
      <c r="I37" s="26" t="str">
        <f t="shared" si="2"/>
        <v>00</v>
      </c>
      <c r="J37" s="26" t="str">
        <f>"09 "</f>
        <v xml:space="preserve">09 </v>
      </c>
      <c r="K37" s="26" t="str">
        <f>"EX"</f>
        <v>EX</v>
      </c>
      <c r="L37" s="26" t="str">
        <f>"DGOSE"</f>
        <v>DGOSE</v>
      </c>
      <c r="M37" s="26" t="str">
        <f t="shared" si="6"/>
        <v>FEDERAL</v>
      </c>
      <c r="N37" s="26">
        <v>21</v>
      </c>
      <c r="O37" s="26">
        <v>5</v>
      </c>
      <c r="P37" s="26">
        <v>16</v>
      </c>
      <c r="Q37" s="26">
        <v>2</v>
      </c>
      <c r="R37" s="26">
        <v>1</v>
      </c>
      <c r="S37" s="26">
        <v>2</v>
      </c>
      <c r="T37" s="26">
        <v>1</v>
      </c>
      <c r="U37" s="26">
        <v>4</v>
      </c>
      <c r="V37" s="26">
        <v>1</v>
      </c>
    </row>
    <row r="38" spans="1:22" x14ac:dyDescent="0.25">
      <c r="A38" s="26" t="str">
        <f t="shared" si="0"/>
        <v>ADULTOS-PRIMARIA</v>
      </c>
      <c r="B38" s="26" t="str">
        <f>"09DBA0183J"</f>
        <v>09DBA0183J</v>
      </c>
      <c r="C38" s="26" t="str">
        <f>"ENRIQUE C REBSAMEN                                                                                  "</f>
        <v xml:space="preserve">ENRIQUE C REBSAMEN                                                                                  </v>
      </c>
      <c r="D38" s="26" t="str">
        <f t="shared" si="1"/>
        <v>NOCTURNO</v>
      </c>
      <c r="E38" s="26" t="str">
        <f>"IGNACIO ZARAGOZA S/N                                                            "</f>
        <v xml:space="preserve">IGNACIO ZARAGOZA S/N                                                            </v>
      </c>
      <c r="F38" s="26" t="str">
        <f>"SANTIAGO TULYEHUALCO                                                                                                                        "</f>
        <v xml:space="preserve">SANTIAGO TULYEHUALCO                                                                                                                        </v>
      </c>
      <c r="G38" s="26" t="str">
        <f>"XOCHIMILCO                                                                      "</f>
        <v xml:space="preserve">XOCHIMILCO                                                                      </v>
      </c>
      <c r="H38" s="26" t="str">
        <f>"025"</f>
        <v>025</v>
      </c>
      <c r="I38" s="26" t="str">
        <f t="shared" si="2"/>
        <v>00</v>
      </c>
      <c r="J38" s="26" t="str">
        <f>"09 "</f>
        <v xml:space="preserve">09 </v>
      </c>
      <c r="K38" s="26" t="str">
        <f>"EX"</f>
        <v>EX</v>
      </c>
      <c r="L38" s="26" t="str">
        <f>"DGOSE"</f>
        <v>DGOSE</v>
      </c>
      <c r="M38" s="26" t="str">
        <f t="shared" si="6"/>
        <v>FEDERAL</v>
      </c>
      <c r="N38" s="26">
        <v>8</v>
      </c>
      <c r="O38" s="26">
        <v>4</v>
      </c>
      <c r="P38" s="26">
        <v>4</v>
      </c>
      <c r="Q38" s="26">
        <v>1</v>
      </c>
      <c r="R38" s="26">
        <v>1</v>
      </c>
      <c r="S38" s="26">
        <v>1</v>
      </c>
      <c r="T38" s="26">
        <v>0</v>
      </c>
      <c r="U38" s="26">
        <v>2</v>
      </c>
      <c r="V38" s="26">
        <v>1</v>
      </c>
    </row>
    <row r="39" spans="1:22" x14ac:dyDescent="0.25">
      <c r="A39" s="26" t="str">
        <f t="shared" si="0"/>
        <v>ADULTOS-PRIMARIA</v>
      </c>
      <c r="B39" s="26" t="str">
        <f>"09DBA0184I"</f>
        <v>09DBA0184I</v>
      </c>
      <c r="C39" s="26" t="str">
        <f>"LUIS PASTEUR                                                                                        "</f>
        <v xml:space="preserve">LUIS PASTEUR                                                                                        </v>
      </c>
      <c r="D39" s="26" t="str">
        <f t="shared" si="1"/>
        <v>NOCTURNO</v>
      </c>
      <c r="E39" s="26" t="str">
        <f>"AV. TEXCOCO Y SENTIMIENTO A LA NACION                                           "</f>
        <v xml:space="preserve">AV. TEXCOCO Y SENTIMIENTO A LA NACION                                           </v>
      </c>
      <c r="F39" s="26" t="str">
        <f>"LA COLMENA                                                                                                                                  "</f>
        <v xml:space="preserve">LA COLMENA                                                                                                                                  </v>
      </c>
      <c r="G39" s="26" t="str">
        <f>"IZTAPALAPA                                                                      "</f>
        <v xml:space="preserve">IZTAPALAPA                                                                      </v>
      </c>
      <c r="H39" s="26" t="str">
        <f>"001"</f>
        <v>001</v>
      </c>
      <c r="I39" s="26" t="str">
        <f t="shared" si="2"/>
        <v>00</v>
      </c>
      <c r="J39" s="26" t="str">
        <f>"62 "</f>
        <v xml:space="preserve">62 </v>
      </c>
      <c r="K39" s="26" t="str">
        <f>"IZ"</f>
        <v>IZ</v>
      </c>
      <c r="L39" s="26" t="str">
        <f>"DGSEI"</f>
        <v>DGSEI</v>
      </c>
      <c r="M39" s="26" t="str">
        <f t="shared" si="6"/>
        <v>FEDERAL</v>
      </c>
      <c r="N39" s="26">
        <v>18</v>
      </c>
      <c r="O39" s="26">
        <v>9</v>
      </c>
      <c r="P39" s="26">
        <v>9</v>
      </c>
      <c r="Q39" s="26">
        <v>3</v>
      </c>
      <c r="R39" s="26">
        <v>0</v>
      </c>
      <c r="S39" s="26">
        <v>3</v>
      </c>
      <c r="T39" s="26">
        <v>0</v>
      </c>
      <c r="U39" s="26">
        <v>3</v>
      </c>
      <c r="V39" s="26">
        <v>1</v>
      </c>
    </row>
    <row r="40" spans="1:22" x14ac:dyDescent="0.25">
      <c r="A40" s="26" t="str">
        <f t="shared" si="0"/>
        <v>ADULTOS-PRIMARIA</v>
      </c>
      <c r="B40" s="26" t="str">
        <f>"09DBA0191S"</f>
        <v>09DBA0191S</v>
      </c>
      <c r="C40" s="26" t="str">
        <f>"GRAL. PEDRO A. OGAZÓN                                                                               "</f>
        <v xml:space="preserve">GRAL. PEDRO A. OGAZÓN                                                                               </v>
      </c>
      <c r="D40" s="26" t="str">
        <f t="shared" si="1"/>
        <v>NOCTURNO</v>
      </c>
      <c r="E40" s="26" t="str">
        <f>"LAGO IZABAL Y LAGO ILOPANGO                                                     "</f>
        <v xml:space="preserve">LAGO IZABAL Y LAGO ILOPANGO                                                     </v>
      </c>
      <c r="F40" s="26" t="str">
        <f>"TORRE BLANCA                                                                                                                                "</f>
        <v xml:space="preserve">TORRE BLANCA                                                                                                                                </v>
      </c>
      <c r="G40" s="26" t="str">
        <f>"MIGUEL HIDALGO                                                                  "</f>
        <v xml:space="preserve">MIGUEL HIDALGO                                                                  </v>
      </c>
      <c r="H40" s="26" t="str">
        <f>"011"</f>
        <v>011</v>
      </c>
      <c r="I40" s="26" t="str">
        <f t="shared" si="2"/>
        <v>00</v>
      </c>
      <c r="J40" s="26" t="str">
        <f>"09 "</f>
        <v xml:space="preserve">09 </v>
      </c>
      <c r="K40" s="26" t="str">
        <f>"EX"</f>
        <v>EX</v>
      </c>
      <c r="L40" s="26" t="str">
        <f>"DGOSE"</f>
        <v>DGOSE</v>
      </c>
      <c r="M40" s="26" t="str">
        <f t="shared" si="6"/>
        <v>FEDERAL</v>
      </c>
      <c r="N40" s="26">
        <v>3</v>
      </c>
      <c r="O40" s="26">
        <v>2</v>
      </c>
      <c r="P40" s="26">
        <v>1</v>
      </c>
      <c r="Q40" s="26">
        <v>2</v>
      </c>
      <c r="R40" s="26">
        <v>1</v>
      </c>
      <c r="S40" s="26">
        <v>2</v>
      </c>
      <c r="T40" s="26">
        <v>0</v>
      </c>
      <c r="U40" s="26">
        <v>3</v>
      </c>
      <c r="V40" s="26">
        <v>1</v>
      </c>
    </row>
    <row r="41" spans="1:22" x14ac:dyDescent="0.25">
      <c r="A41" s="26" t="str">
        <f t="shared" si="0"/>
        <v>ADULTOS-PRIMARIA</v>
      </c>
      <c r="B41" s="26" t="str">
        <f>"09DBA0197M"</f>
        <v>09DBA0197M</v>
      </c>
      <c r="C41" s="26" t="str">
        <f>"CARLOS PELLICER                                                                                     "</f>
        <v xml:space="preserve">CARLOS PELLICER                                                                                     </v>
      </c>
      <c r="D41" s="26" t="str">
        <f t="shared" si="1"/>
        <v>NOCTURNO</v>
      </c>
      <c r="E41" s="26" t="str">
        <f>"13o. ANDADOR DE CAFETALES Y 3er. ANDADOR DE SNT. TOMAS                          "</f>
        <v xml:space="preserve">13o. ANDADOR DE CAFETALES Y 3er. ANDADOR DE SNT. TOMAS                          </v>
      </c>
      <c r="F41" s="26" t="str">
        <f>"UNIDAD HABITACIONAL C T M                                                                                                                   "</f>
        <v xml:space="preserve">UNIDAD HABITACIONAL C T M                                                                                                                   </v>
      </c>
      <c r="G41" s="26" t="str">
        <f>"COYOACAN                                                                        "</f>
        <v xml:space="preserve">COYOACAN                                                                        </v>
      </c>
      <c r="H41" s="26" t="str">
        <f>"008"</f>
        <v>008</v>
      </c>
      <c r="I41" s="26" t="str">
        <f t="shared" si="2"/>
        <v>00</v>
      </c>
      <c r="J41" s="26" t="str">
        <f>"09 "</f>
        <v xml:space="preserve">09 </v>
      </c>
      <c r="K41" s="26" t="str">
        <f>"EX"</f>
        <v>EX</v>
      </c>
      <c r="L41" s="26" t="str">
        <f>"DGOSE"</f>
        <v>DGOSE</v>
      </c>
      <c r="M41" s="26" t="str">
        <f t="shared" si="6"/>
        <v>FEDERAL</v>
      </c>
      <c r="N41" s="26">
        <v>22</v>
      </c>
      <c r="O41" s="26">
        <v>13</v>
      </c>
      <c r="P41" s="26">
        <v>9</v>
      </c>
      <c r="Q41" s="26">
        <v>3</v>
      </c>
      <c r="R41" s="26">
        <v>1</v>
      </c>
      <c r="S41" s="26">
        <v>3</v>
      </c>
      <c r="T41" s="26">
        <v>0</v>
      </c>
      <c r="U41" s="26">
        <v>4</v>
      </c>
      <c r="V41" s="26">
        <v>1</v>
      </c>
    </row>
    <row r="42" spans="1:22" x14ac:dyDescent="0.25">
      <c r="A42" s="26" t="str">
        <f t="shared" si="0"/>
        <v>ADULTOS-PRIMARIA</v>
      </c>
      <c r="B42" s="26" t="str">
        <f>"09DBA0199K"</f>
        <v>09DBA0199K</v>
      </c>
      <c r="C42" s="26" t="str">
        <f>"JUAN ANTONIO DE LA FUENTE                                                                           "</f>
        <v xml:space="preserve">JUAN ANTONIO DE LA FUENTE                                                                           </v>
      </c>
      <c r="D42" s="26" t="str">
        <f t="shared" si="1"/>
        <v>NOCTURNO</v>
      </c>
      <c r="E42" s="26" t="str">
        <f>"PLAZA DEL ARBOL NO. 28                                                          "</f>
        <v xml:space="preserve">PLAZA DEL ARBOL NO. 28                                                          </v>
      </c>
      <c r="F42" s="26" t="str">
        <f>"DOCTOR ALFONSO ORTIZ TIRADO                                                                                                                 "</f>
        <v xml:space="preserve">DOCTOR ALFONSO ORTIZ TIRADO                                                                                                                 </v>
      </c>
      <c r="G42" s="26" t="str">
        <f>"IZTAPALAPA                                                                      "</f>
        <v xml:space="preserve">IZTAPALAPA                                                                      </v>
      </c>
      <c r="H42" s="26" t="str">
        <f>"001"</f>
        <v>001</v>
      </c>
      <c r="I42" s="26" t="str">
        <f t="shared" si="2"/>
        <v>00</v>
      </c>
      <c r="J42" s="26" t="str">
        <f>"62 "</f>
        <v xml:space="preserve">62 </v>
      </c>
      <c r="K42" s="26" t="str">
        <f>"IZ"</f>
        <v>IZ</v>
      </c>
      <c r="L42" s="26" t="str">
        <f>"DGSEI"</f>
        <v>DGSEI</v>
      </c>
      <c r="M42" s="26" t="str">
        <f t="shared" si="6"/>
        <v>FEDERAL</v>
      </c>
      <c r="N42" s="26">
        <v>14</v>
      </c>
      <c r="O42" s="26">
        <v>6</v>
      </c>
      <c r="P42" s="26">
        <v>8</v>
      </c>
      <c r="Q42" s="26">
        <v>2</v>
      </c>
      <c r="R42" s="26">
        <v>0</v>
      </c>
      <c r="S42" s="26">
        <v>1</v>
      </c>
      <c r="T42" s="26">
        <v>0</v>
      </c>
      <c r="U42" s="26">
        <v>1</v>
      </c>
      <c r="V42" s="26">
        <v>1</v>
      </c>
    </row>
    <row r="43" spans="1:22" x14ac:dyDescent="0.25">
      <c r="A43" s="26" t="str">
        <f t="shared" si="0"/>
        <v>ADULTOS-PRIMARIA</v>
      </c>
      <c r="B43" s="26" t="str">
        <f>"09DBA0213N"</f>
        <v>09DBA0213N</v>
      </c>
      <c r="C43" s="26" t="str">
        <f>"JOSE LOPEZ PORTILLO Y ROJAS                                                                         "</f>
        <v xml:space="preserve">JOSE LOPEZ PORTILLO Y ROJAS                                                                         </v>
      </c>
      <c r="D43" s="26" t="str">
        <f t="shared" si="1"/>
        <v>NOCTURNO</v>
      </c>
      <c r="E43" s="26" t="str">
        <f>"CALLE 5 NUM 320 Y GUADALUPE                                                     "</f>
        <v xml:space="preserve">CALLE 5 NUM 320 Y GUADALUPE                                                     </v>
      </c>
      <c r="F43" s="26" t="str">
        <f>"AGRICOLA PANTITLAN                                                                                                                          "</f>
        <v xml:space="preserve">AGRICOLA PANTITLAN                                                                                                                          </v>
      </c>
      <c r="G43" s="26" t="str">
        <f>"IZTACALCO                                                                       "</f>
        <v xml:space="preserve">IZTACALCO                                                                       </v>
      </c>
      <c r="H43" s="26" t="str">
        <f>"022"</f>
        <v>022</v>
      </c>
      <c r="I43" s="26" t="str">
        <f t="shared" si="2"/>
        <v>00</v>
      </c>
      <c r="J43" s="26" t="str">
        <f>"09 "</f>
        <v xml:space="preserve">09 </v>
      </c>
      <c r="K43" s="26" t="str">
        <f>"EX"</f>
        <v>EX</v>
      </c>
      <c r="L43" s="26" t="str">
        <f>"DGOSE"</f>
        <v>DGOSE</v>
      </c>
      <c r="M43" s="26" t="str">
        <f t="shared" si="6"/>
        <v>FEDERAL</v>
      </c>
      <c r="N43" s="26">
        <v>5</v>
      </c>
      <c r="O43" s="26">
        <v>2</v>
      </c>
      <c r="P43" s="26">
        <v>3</v>
      </c>
      <c r="Q43" s="26">
        <v>2</v>
      </c>
      <c r="R43" s="26">
        <v>0</v>
      </c>
      <c r="S43" s="26">
        <v>2</v>
      </c>
      <c r="T43" s="26">
        <v>0</v>
      </c>
      <c r="U43" s="26">
        <v>2</v>
      </c>
      <c r="V43" s="26">
        <v>1</v>
      </c>
    </row>
    <row r="44" spans="1:22" x14ac:dyDescent="0.25">
      <c r="A44" s="26" t="str">
        <f t="shared" si="0"/>
        <v>ADULTOS-PRIMARIA</v>
      </c>
      <c r="B44" s="26" t="str">
        <f>"09DBA0214M"</f>
        <v>09DBA0214M</v>
      </c>
      <c r="C44" s="26" t="str">
        <f>"PILOTO                                                                                              "</f>
        <v xml:space="preserve">PILOTO                                                                                              </v>
      </c>
      <c r="D44" s="26" t="str">
        <f t="shared" si="1"/>
        <v>NOCTURNO</v>
      </c>
      <c r="E44" s="26" t="str">
        <f>"GUILLERMO PRIETO ESQ ANTONIO ESCUDERO                                           "</f>
        <v xml:space="preserve">GUILLERMO PRIETO ESQ ANTONIO ESCUDERO                                           </v>
      </c>
      <c r="F44" s="26" t="str">
        <f>"CAMPAMENTO 2 DE OCTUBRE                                                                                                                     "</f>
        <v xml:space="preserve">CAMPAMENTO 2 DE OCTUBRE                                                                                                                     </v>
      </c>
      <c r="G44" s="26" t="str">
        <f>"IZTACALCO                                                                       "</f>
        <v xml:space="preserve">IZTACALCO                                                                       </v>
      </c>
      <c r="H44" s="26" t="str">
        <f>"021"</f>
        <v>021</v>
      </c>
      <c r="I44" s="26" t="str">
        <f t="shared" si="2"/>
        <v>00</v>
      </c>
      <c r="J44" s="26" t="str">
        <f>"09 "</f>
        <v xml:space="preserve">09 </v>
      </c>
      <c r="K44" s="26" t="str">
        <f>"EX"</f>
        <v>EX</v>
      </c>
      <c r="L44" s="26" t="str">
        <f>"DGOSE"</f>
        <v>DGOSE</v>
      </c>
      <c r="M44" s="26" t="str">
        <f t="shared" si="6"/>
        <v>FEDERAL</v>
      </c>
      <c r="N44" s="26">
        <v>11</v>
      </c>
      <c r="O44" s="26">
        <v>7</v>
      </c>
      <c r="P44" s="26">
        <v>4</v>
      </c>
      <c r="Q44" s="26">
        <v>2</v>
      </c>
      <c r="R44" s="26">
        <v>1</v>
      </c>
      <c r="S44" s="26">
        <v>2</v>
      </c>
      <c r="T44" s="26">
        <v>2</v>
      </c>
      <c r="U44" s="26">
        <v>5</v>
      </c>
      <c r="V44" s="26">
        <v>1</v>
      </c>
    </row>
    <row r="45" spans="1:22" x14ac:dyDescent="0.25">
      <c r="A45" s="26" t="str">
        <f t="shared" si="0"/>
        <v>ADULTOS-PRIMARIA</v>
      </c>
      <c r="B45" s="26" t="str">
        <f>"09DBA0215L"</f>
        <v>09DBA0215L</v>
      </c>
      <c r="C45" s="26" t="str">
        <f>"DAVID ALFARO SIQUEIROS                                                                              "</f>
        <v xml:space="preserve">DAVID ALFARO SIQUEIROS                                                                              </v>
      </c>
      <c r="D45" s="26" t="str">
        <f t="shared" si="1"/>
        <v>NOCTURNO</v>
      </c>
      <c r="E45" s="26" t="str">
        <f>"RAIZ DE AGUA Y GIRASOL                                                          "</f>
        <v xml:space="preserve">RAIZ DE AGUA Y GIRASOL                                                          </v>
      </c>
      <c r="F45" s="26" t="str">
        <f>"UNIDAD HABITACIONAL INFONAVIT                                                                                                               "</f>
        <v xml:space="preserve">UNIDAD HABITACIONAL INFONAVIT                                                                                                               </v>
      </c>
      <c r="G45" s="26" t="str">
        <f>"IZTACALCO                                                                       "</f>
        <v xml:space="preserve">IZTACALCO                                                                       </v>
      </c>
      <c r="H45" s="26" t="str">
        <f>"021"</f>
        <v>021</v>
      </c>
      <c r="I45" s="26" t="str">
        <f t="shared" si="2"/>
        <v>00</v>
      </c>
      <c r="J45" s="26" t="str">
        <f>"09 "</f>
        <v xml:space="preserve">09 </v>
      </c>
      <c r="K45" s="26" t="str">
        <f>"EX"</f>
        <v>EX</v>
      </c>
      <c r="L45" s="26" t="str">
        <f>"DGOSE"</f>
        <v>DGOSE</v>
      </c>
      <c r="M45" s="26" t="str">
        <f t="shared" si="6"/>
        <v>FEDERAL</v>
      </c>
      <c r="N45" s="26">
        <v>14</v>
      </c>
      <c r="O45" s="26">
        <v>5</v>
      </c>
      <c r="P45" s="26">
        <v>9</v>
      </c>
      <c r="Q45" s="26">
        <v>2</v>
      </c>
      <c r="R45" s="26">
        <v>1</v>
      </c>
      <c r="S45" s="26">
        <v>1</v>
      </c>
      <c r="T45" s="26">
        <v>1</v>
      </c>
      <c r="U45" s="26">
        <v>3</v>
      </c>
      <c r="V45" s="26">
        <v>1</v>
      </c>
    </row>
    <row r="46" spans="1:22" x14ac:dyDescent="0.25">
      <c r="A46" s="26" t="str">
        <f t="shared" si="0"/>
        <v>ADULTOS-PRIMARIA</v>
      </c>
      <c r="B46" s="26" t="str">
        <f>"09DBA0216K"</f>
        <v>09DBA0216K</v>
      </c>
      <c r="C46" s="26" t="str">
        <f>"PROFR. VICENTE V YBARRA                                                                             "</f>
        <v xml:space="preserve">PROFR. VICENTE V YBARRA                                                                             </v>
      </c>
      <c r="D46" s="26" t="str">
        <f t="shared" si="1"/>
        <v>NOCTURNO</v>
      </c>
      <c r="E46" s="26" t="str">
        <f>"HELIOTROPO Y GALEANA                                                            "</f>
        <v xml:space="preserve">HELIOTROPO Y GALEANA                                                            </v>
      </c>
      <c r="F46" s="26" t="str">
        <f>"XALTOCAN                                                                                                                                    "</f>
        <v xml:space="preserve">XALTOCAN                                                                                                                                    </v>
      </c>
      <c r="G46" s="26" t="str">
        <f>"XOCHIMILCO                                                                      "</f>
        <v xml:space="preserve">XOCHIMILCO                                                                      </v>
      </c>
      <c r="H46" s="26" t="str">
        <f>"027"</f>
        <v>027</v>
      </c>
      <c r="I46" s="26" t="str">
        <f t="shared" si="2"/>
        <v>00</v>
      </c>
      <c r="J46" s="26" t="str">
        <f>"09 "</f>
        <v xml:space="preserve">09 </v>
      </c>
      <c r="K46" s="26" t="str">
        <f>"EX"</f>
        <v>EX</v>
      </c>
      <c r="L46" s="26" t="str">
        <f>"DGOSE"</f>
        <v>DGOSE</v>
      </c>
      <c r="M46" s="26" t="str">
        <f t="shared" si="6"/>
        <v>FEDERAL</v>
      </c>
      <c r="N46" s="26">
        <v>7</v>
      </c>
      <c r="O46" s="26">
        <v>5</v>
      </c>
      <c r="P46" s="26">
        <v>2</v>
      </c>
      <c r="Q46" s="26">
        <v>2</v>
      </c>
      <c r="R46" s="26">
        <v>1</v>
      </c>
      <c r="S46" s="26">
        <v>1</v>
      </c>
      <c r="T46" s="26">
        <v>0</v>
      </c>
      <c r="U46" s="26">
        <v>2</v>
      </c>
      <c r="V46" s="26">
        <v>1</v>
      </c>
    </row>
    <row r="47" spans="1:22" x14ac:dyDescent="0.25">
      <c r="A47" s="26" t="str">
        <f t="shared" si="0"/>
        <v>ADULTOS-PRIMARIA</v>
      </c>
      <c r="B47" s="26" t="str">
        <f>"09DBA0217J"</f>
        <v>09DBA0217J</v>
      </c>
      <c r="C47" s="26" t="str">
        <f>"ANACLETO BARCENA ROJAS                                                                              "</f>
        <v xml:space="preserve">ANACLETO BARCENA ROJAS                                                                              </v>
      </c>
      <c r="D47" s="26" t="str">
        <f t="shared" si="1"/>
        <v>NOCTURNO</v>
      </c>
      <c r="E47" s="26" t="str">
        <f>"EMILIANO ZAPATA NO 41                                                           "</f>
        <v xml:space="preserve">EMILIANO ZAPATA NO 41                                                           </v>
      </c>
      <c r="F47" s="26" t="str">
        <f>"LA ASUNCION                                                                                                                                 "</f>
        <v xml:space="preserve">LA ASUNCION                                                                                                                                 </v>
      </c>
      <c r="G47" s="26" t="str">
        <f>"XOCHIMILCO                                                                      "</f>
        <v xml:space="preserve">XOCHIMILCO                                                                      </v>
      </c>
      <c r="H47" s="26" t="str">
        <f>"027"</f>
        <v>027</v>
      </c>
      <c r="I47" s="26" t="str">
        <f t="shared" si="2"/>
        <v>00</v>
      </c>
      <c r="J47" s="26" t="str">
        <f>"09 "</f>
        <v xml:space="preserve">09 </v>
      </c>
      <c r="K47" s="26" t="str">
        <f>"EX"</f>
        <v>EX</v>
      </c>
      <c r="L47" s="26" t="str">
        <f>"DGOSE"</f>
        <v>DGOSE</v>
      </c>
      <c r="M47" s="26" t="str">
        <f t="shared" si="6"/>
        <v>FEDERAL</v>
      </c>
      <c r="N47" s="26">
        <v>26</v>
      </c>
      <c r="O47" s="26">
        <v>6</v>
      </c>
      <c r="P47" s="26">
        <v>20</v>
      </c>
      <c r="Q47" s="26">
        <v>2</v>
      </c>
      <c r="R47" s="26">
        <v>1</v>
      </c>
      <c r="S47" s="26">
        <v>2</v>
      </c>
      <c r="T47" s="26">
        <v>0</v>
      </c>
      <c r="U47" s="26">
        <v>3</v>
      </c>
      <c r="V47" s="26">
        <v>1</v>
      </c>
    </row>
    <row r="48" spans="1:22" x14ac:dyDescent="0.25">
      <c r="A48" s="26" t="str">
        <f t="shared" si="0"/>
        <v>ADULTOS-PRIMARIA</v>
      </c>
      <c r="B48" s="26" t="str">
        <f>"09DBA0218I"</f>
        <v>09DBA0218I</v>
      </c>
      <c r="C48" s="26" t="str">
        <f>"CEDEX MEXICO-JAPON                                                                                  "</f>
        <v xml:space="preserve">CEDEX MEXICO-JAPON                                                                                  </v>
      </c>
      <c r="D48" s="26" t="str">
        <f t="shared" si="1"/>
        <v>NOCTURNO</v>
      </c>
      <c r="E48" s="26" t="str">
        <f>"CHIMALPOPOCA NO. 1                                                              "</f>
        <v xml:space="preserve">CHIMALPOPOCA NO. 1                                                              </v>
      </c>
      <c r="F48" s="26" t="str">
        <f>"MIXCOATL                                                                                                                                    "</f>
        <v xml:space="preserve">MIXCOATL                                                                                                                                    </v>
      </c>
      <c r="G48" s="26" t="str">
        <f>"IZTAPALAPA                                                                      "</f>
        <v xml:space="preserve">IZTAPALAPA                                                                      </v>
      </c>
      <c r="H48" s="26" t="str">
        <f>"003"</f>
        <v>003</v>
      </c>
      <c r="I48" s="26" t="str">
        <f t="shared" si="2"/>
        <v>00</v>
      </c>
      <c r="J48" s="26" t="str">
        <f>"64 "</f>
        <v xml:space="preserve">64 </v>
      </c>
      <c r="K48" s="26" t="str">
        <f>"IZ"</f>
        <v>IZ</v>
      </c>
      <c r="L48" s="26" t="str">
        <f>"DGSEI"</f>
        <v>DGSEI</v>
      </c>
      <c r="M48" s="26" t="str">
        <f t="shared" si="6"/>
        <v>FEDERAL</v>
      </c>
      <c r="N48" s="26">
        <v>46</v>
      </c>
      <c r="O48" s="26">
        <v>26</v>
      </c>
      <c r="P48" s="26">
        <v>20</v>
      </c>
      <c r="Q48" s="26">
        <v>4</v>
      </c>
      <c r="R48" s="26">
        <v>1</v>
      </c>
      <c r="S48" s="26">
        <v>4</v>
      </c>
      <c r="T48" s="26">
        <v>1</v>
      </c>
      <c r="U48" s="26">
        <v>6</v>
      </c>
      <c r="V48" s="26">
        <v>1</v>
      </c>
    </row>
    <row r="49" spans="1:22" x14ac:dyDescent="0.25">
      <c r="A49" s="26" t="str">
        <f t="shared" si="0"/>
        <v>ADULTOS-PRIMARIA</v>
      </c>
      <c r="B49" s="26" t="str">
        <f>"09DBA0219H"</f>
        <v>09DBA0219H</v>
      </c>
      <c r="C49" s="26" t="str">
        <f>"DR. LEOPOLDO SALAZAR VINIEGRA                                                                       "</f>
        <v xml:space="preserve">DR. LEOPOLDO SALAZAR VINIEGRA                                                                       </v>
      </c>
      <c r="D49" s="26" t="str">
        <f t="shared" si="1"/>
        <v>NOCTURNO</v>
      </c>
      <c r="E49" s="26" t="str">
        <f>"JOSE MARIA IZAZAGA NO 23-A                                                      "</f>
        <v xml:space="preserve">JOSE MARIA IZAZAGA NO 23-A                                                      </v>
      </c>
      <c r="F49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49" s="26" t="str">
        <f>"CUAUHTEMOC                                                                      "</f>
        <v xml:space="preserve">CUAUHTEMOC                                                                      </v>
      </c>
      <c r="H49" s="26" t="str">
        <f>"011"</f>
        <v>011</v>
      </c>
      <c r="I49" s="26" t="str">
        <f t="shared" si="2"/>
        <v>00</v>
      </c>
      <c r="J49" s="26" t="str">
        <f>"09 "</f>
        <v xml:space="preserve">09 </v>
      </c>
      <c r="K49" s="26" t="str">
        <f>"EX"</f>
        <v>EX</v>
      </c>
      <c r="L49" s="26" t="str">
        <f>"DGOSE"</f>
        <v>DGOSE</v>
      </c>
      <c r="M49" s="26" t="str">
        <f t="shared" si="6"/>
        <v>FEDERAL</v>
      </c>
      <c r="N49" s="26">
        <v>8</v>
      </c>
      <c r="O49" s="26">
        <v>4</v>
      </c>
      <c r="P49" s="26">
        <v>4</v>
      </c>
      <c r="Q49" s="26">
        <v>2</v>
      </c>
      <c r="R49" s="26">
        <v>1</v>
      </c>
      <c r="S49" s="26">
        <v>2</v>
      </c>
      <c r="T49" s="26">
        <v>1</v>
      </c>
      <c r="U49" s="26">
        <v>4</v>
      </c>
      <c r="V49" s="26">
        <v>1</v>
      </c>
    </row>
    <row r="50" spans="1:22" x14ac:dyDescent="0.25">
      <c r="A50" s="26" t="str">
        <f t="shared" si="0"/>
        <v>ADULTOS-PRIMARIA</v>
      </c>
      <c r="B50" s="26" t="str">
        <f>"09DBA0220X"</f>
        <v>09DBA0220X</v>
      </c>
      <c r="C50" s="26" t="str">
        <f>"SALVADOR NOVO                                                                                       "</f>
        <v xml:space="preserve">SALVADOR NOVO                                                                                       </v>
      </c>
      <c r="D50" s="26" t="str">
        <f t="shared" si="1"/>
        <v>NOCTURNO</v>
      </c>
      <c r="E50" s="26" t="str">
        <f>"AV. HIDALGO NO. 140                                                             "</f>
        <v xml:space="preserve">AV. HIDALGO NO. 140                                                             </v>
      </c>
      <c r="F50" s="26" t="str">
        <f>"PURISIMA                                                                                                                                    "</f>
        <v xml:space="preserve">PURISIMA                                                                                                                                    </v>
      </c>
      <c r="G50" s="26" t="str">
        <f>"IZTAPALAPA                                                                      "</f>
        <v xml:space="preserve">IZTAPALAPA                                                                      </v>
      </c>
      <c r="H50" s="26" t="str">
        <f>"001"</f>
        <v>001</v>
      </c>
      <c r="I50" s="26" t="str">
        <f t="shared" si="2"/>
        <v>00</v>
      </c>
      <c r="J50" s="26" t="str">
        <f>"62 "</f>
        <v xml:space="preserve">62 </v>
      </c>
      <c r="K50" s="26" t="str">
        <f>"IZ"</f>
        <v>IZ</v>
      </c>
      <c r="L50" s="26" t="str">
        <f>"DGSEI"</f>
        <v>DGSEI</v>
      </c>
      <c r="M50" s="26" t="str">
        <f t="shared" si="6"/>
        <v>FEDERAL</v>
      </c>
      <c r="N50" s="26">
        <v>25</v>
      </c>
      <c r="O50" s="26">
        <v>14</v>
      </c>
      <c r="P50" s="26">
        <v>11</v>
      </c>
      <c r="Q50" s="26">
        <v>4</v>
      </c>
      <c r="R50" s="26">
        <v>0</v>
      </c>
      <c r="S50" s="26">
        <v>2</v>
      </c>
      <c r="T50" s="26">
        <v>0</v>
      </c>
      <c r="U50" s="26">
        <v>2</v>
      </c>
      <c r="V50" s="26">
        <v>1</v>
      </c>
    </row>
    <row r="51" spans="1:22" x14ac:dyDescent="0.25">
      <c r="A51" s="26" t="str">
        <f t="shared" si="0"/>
        <v>ADULTOS-PRIMARIA</v>
      </c>
      <c r="B51" s="26" t="str">
        <f>"09DBA0221W"</f>
        <v>09DBA0221W</v>
      </c>
      <c r="C51" s="26" t="str">
        <f>"MACHTITEOPAN                                                                                        "</f>
        <v xml:space="preserve">MACHTITEOPAN                                                                                        </v>
      </c>
      <c r="D51" s="26" t="str">
        <f t="shared" si="1"/>
        <v>NOCTURNO</v>
      </c>
      <c r="E51" s="26" t="str">
        <f>"XOCHITLAN NORTE Y SUR S/N                                                       "</f>
        <v xml:space="preserve">XOCHITLAN NORTE Y SUR S/N                                                       </v>
      </c>
      <c r="F51" s="26" t="str">
        <f>"ARENAL 4A SECCION                                                                                                                           "</f>
        <v xml:space="preserve">ARENAL 4A SECCION                                                                                                                           </v>
      </c>
      <c r="G51" s="26" t="str">
        <f>"VENUSTIANO CARRANZA                                                             "</f>
        <v xml:space="preserve">VENUSTIANO CARRANZA                                                             </v>
      </c>
      <c r="H51" s="26" t="str">
        <f>"   "</f>
        <v xml:space="preserve">   </v>
      </c>
      <c r="I51" s="26" t="str">
        <f t="shared" si="2"/>
        <v>00</v>
      </c>
      <c r="J51" s="26" t="str">
        <f>"09 "</f>
        <v xml:space="preserve">09 </v>
      </c>
      <c r="K51" s="26" t="str">
        <f>"EX"</f>
        <v>EX</v>
      </c>
      <c r="L51" s="26" t="str">
        <f>"DGOSE"</f>
        <v>DGOSE</v>
      </c>
      <c r="M51" s="26" t="str">
        <f t="shared" si="6"/>
        <v>FEDERAL</v>
      </c>
      <c r="N51" s="26">
        <v>8</v>
      </c>
      <c r="O51" s="26">
        <v>4</v>
      </c>
      <c r="P51" s="26">
        <v>4</v>
      </c>
      <c r="Q51" s="26">
        <v>2</v>
      </c>
      <c r="R51" s="26">
        <v>1</v>
      </c>
      <c r="S51" s="26">
        <v>2</v>
      </c>
      <c r="T51" s="26">
        <v>1</v>
      </c>
      <c r="U51" s="26">
        <v>4</v>
      </c>
      <c r="V51" s="26">
        <v>1</v>
      </c>
    </row>
    <row r="52" spans="1:22" x14ac:dyDescent="0.25">
      <c r="A52" s="26" t="str">
        <f t="shared" si="0"/>
        <v>ADULTOS-PRIMARIA</v>
      </c>
      <c r="B52" s="26" t="str">
        <f>"09DBA0222V"</f>
        <v>09DBA0222V</v>
      </c>
      <c r="C52" s="26" t="str">
        <f>"BARTOLOME DE LAS CASAS                                                                              "</f>
        <v xml:space="preserve">BARTOLOME DE LAS CASAS                                                                              </v>
      </c>
      <c r="D52" s="26" t="str">
        <f>"VESPERTINO"</f>
        <v>VESPERTINO</v>
      </c>
      <c r="E52" s="26" t="str">
        <f>"SUR 81 S/N                                                                      "</f>
        <v xml:space="preserve">SUR 81 S/N                                                                      </v>
      </c>
      <c r="F52" s="26" t="str">
        <f>"MERCED BALBUENA                                                                                                                             "</f>
        <v xml:space="preserve">MERCED BALBUENA                                                                                                                             </v>
      </c>
      <c r="G52" s="26" t="str">
        <f>"VENUSTIANO CARRANZA                                                             "</f>
        <v xml:space="preserve">VENUSTIANO CARRANZA                                                             </v>
      </c>
      <c r="H52" s="26" t="str">
        <f>"043"</f>
        <v>043</v>
      </c>
      <c r="I52" s="26" t="str">
        <f t="shared" si="2"/>
        <v>00</v>
      </c>
      <c r="J52" s="26" t="str">
        <f>"09 "</f>
        <v xml:space="preserve">09 </v>
      </c>
      <c r="K52" s="26" t="str">
        <f>"EX"</f>
        <v>EX</v>
      </c>
      <c r="L52" s="26" t="str">
        <f>"DGOSE"</f>
        <v>DGOSE</v>
      </c>
      <c r="M52" s="26" t="str">
        <f t="shared" si="6"/>
        <v>FEDERAL</v>
      </c>
      <c r="N52" s="26">
        <v>16</v>
      </c>
      <c r="O52" s="26">
        <v>4</v>
      </c>
      <c r="P52" s="26">
        <v>12</v>
      </c>
      <c r="Q52" s="26">
        <v>4</v>
      </c>
      <c r="R52" s="26">
        <v>1</v>
      </c>
      <c r="S52" s="26">
        <v>2</v>
      </c>
      <c r="T52" s="26">
        <v>1</v>
      </c>
      <c r="U52" s="26">
        <v>4</v>
      </c>
      <c r="V52" s="26">
        <v>1</v>
      </c>
    </row>
    <row r="53" spans="1:22" x14ac:dyDescent="0.25">
      <c r="A53" s="26" t="str">
        <f t="shared" si="0"/>
        <v>ADULTOS-PRIMARIA</v>
      </c>
      <c r="B53" s="26" t="str">
        <f>"09DBA0223U"</f>
        <v>09DBA0223U</v>
      </c>
      <c r="C53" s="26" t="str">
        <f>"MARIANO HIDALGO                                                                                     "</f>
        <v xml:space="preserve">MARIANO HIDALGO                                                                                     </v>
      </c>
      <c r="D53" s="26" t="str">
        <f>"NOCTURNO"</f>
        <v>NOCTURNO</v>
      </c>
      <c r="E53" s="26" t="str">
        <f>"MOCTEZUMA NO.1                                                                  "</f>
        <v xml:space="preserve">MOCTEZUMA NO.1                                                                  </v>
      </c>
      <c r="F53" s="26" t="str">
        <f>"SANTIAGO ACAHUALTEPEC                                                                                                                       "</f>
        <v xml:space="preserve">SANTIAGO ACAHUALTEPEC                                                                                                                       </v>
      </c>
      <c r="G53" s="26" t="str">
        <f>"IZTAPALAPA                                                                      "</f>
        <v xml:space="preserve">IZTAPALAPA                                                                      </v>
      </c>
      <c r="H53" s="26" t="str">
        <f>"003"</f>
        <v>003</v>
      </c>
      <c r="I53" s="26" t="str">
        <f t="shared" si="2"/>
        <v>00</v>
      </c>
      <c r="J53" s="26" t="str">
        <f>"64 "</f>
        <v xml:space="preserve">64 </v>
      </c>
      <c r="K53" s="26" t="str">
        <f>"IZ"</f>
        <v>IZ</v>
      </c>
      <c r="L53" s="26" t="str">
        <f>"DGSEI"</f>
        <v>DGSEI</v>
      </c>
      <c r="M53" s="26" t="str">
        <f t="shared" si="6"/>
        <v>FEDERAL</v>
      </c>
      <c r="N53" s="26">
        <v>45</v>
      </c>
      <c r="O53" s="26">
        <v>22</v>
      </c>
      <c r="P53" s="26">
        <v>23</v>
      </c>
      <c r="Q53" s="26">
        <v>6</v>
      </c>
      <c r="R53" s="26">
        <v>1</v>
      </c>
      <c r="S53" s="26">
        <v>4</v>
      </c>
      <c r="T53" s="26">
        <v>0</v>
      </c>
      <c r="U53" s="26">
        <v>5</v>
      </c>
      <c r="V53" s="26">
        <v>1</v>
      </c>
    </row>
    <row r="54" spans="1:22" x14ac:dyDescent="0.25">
      <c r="A54" s="26" t="str">
        <f t="shared" si="0"/>
        <v>ADULTOS-PRIMARIA</v>
      </c>
      <c r="B54" s="26" t="str">
        <f>"09DBA0224T"</f>
        <v>09DBA0224T</v>
      </c>
      <c r="C54" s="26" t="str">
        <f>"CARLOS MARX                                                                                         "</f>
        <v xml:space="preserve">CARLOS MARX                                                                                         </v>
      </c>
      <c r="D54" s="26" t="str">
        <f>"NOCTURNO"</f>
        <v>NOCTURNO</v>
      </c>
      <c r="E54" s="26" t="str">
        <f>"CALZADA REAL DE SAN MARTIN NO 98                                                "</f>
        <v xml:space="preserve">CALZADA REAL DE SAN MARTIN NO 98                                                </v>
      </c>
      <c r="F54" s="26" t="str">
        <f>"SANTA BARBARA                                                                                                                               "</f>
        <v xml:space="preserve">SANTA BARBARA                                                                                                                               </v>
      </c>
      <c r="G54" s="26" t="str">
        <f>"AZCAPOTZALCO                                                                    "</f>
        <v xml:space="preserve">AZCAPOTZALCO                                                                    </v>
      </c>
      <c r="H54" s="26" t="str">
        <f>"000"</f>
        <v>000</v>
      </c>
      <c r="I54" s="26" t="str">
        <f t="shared" si="2"/>
        <v>00</v>
      </c>
      <c r="J54" s="26" t="str">
        <f>"09 "</f>
        <v xml:space="preserve">09 </v>
      </c>
      <c r="K54" s="26" t="str">
        <f>"EX"</f>
        <v>EX</v>
      </c>
      <c r="L54" s="26" t="str">
        <f>"DGOSE"</f>
        <v>DGOSE</v>
      </c>
      <c r="M54" s="26" t="str">
        <f t="shared" si="6"/>
        <v>FEDERAL</v>
      </c>
      <c r="N54" s="26">
        <v>10</v>
      </c>
      <c r="O54" s="26">
        <v>2</v>
      </c>
      <c r="P54" s="26">
        <v>8</v>
      </c>
      <c r="Q54" s="26">
        <v>2</v>
      </c>
      <c r="R54" s="26">
        <v>1</v>
      </c>
      <c r="S54" s="26">
        <v>2</v>
      </c>
      <c r="T54" s="26">
        <v>1</v>
      </c>
      <c r="U54" s="26">
        <v>4</v>
      </c>
      <c r="V54" s="26">
        <v>1</v>
      </c>
    </row>
    <row r="55" spans="1:22" x14ac:dyDescent="0.25">
      <c r="A55" s="26" t="str">
        <f t="shared" si="0"/>
        <v>ADULTOS-PRIMARIA</v>
      </c>
      <c r="B55" s="26" t="str">
        <f>"09NBA0031L"</f>
        <v>09NBA0031L</v>
      </c>
      <c r="C55" s="26" t="str">
        <f>"DR BELISARIO DOMINGUEZ                                                                              "</f>
        <v xml:space="preserve">DR BELISARIO DOMINGUEZ                                                                              </v>
      </c>
      <c r="D55" s="26" t="str">
        <f>"VESPERTINO"</f>
        <v>VESPERTINO</v>
      </c>
      <c r="E55" s="26" t="str">
        <f>"CAMPO MILITAR NUMERO 1-A                                                        "</f>
        <v xml:space="preserve">CAMPO MILITAR NUMERO 1-A                                                        </v>
      </c>
      <c r="F55" s="26" t="str">
        <f>"LOMAS DE SOTELO                                                                                                                             "</f>
        <v xml:space="preserve">LOMAS DE SOTELO                                                                                                                             </v>
      </c>
      <c r="G55" s="26" t="str">
        <f>"MIGUEL HIDALGO                                                                  "</f>
        <v xml:space="preserve">MIGUEL HIDALGO                                                                  </v>
      </c>
      <c r="H55" s="26" t="str">
        <f>"028"</f>
        <v>028</v>
      </c>
      <c r="I55" s="26" t="str">
        <f t="shared" si="2"/>
        <v>00</v>
      </c>
      <c r="J55" s="26" t="str">
        <f>"09 "</f>
        <v xml:space="preserve">09 </v>
      </c>
      <c r="K55" s="26" t="str">
        <f>"OS"</f>
        <v>OS</v>
      </c>
      <c r="L55" s="26" t="str">
        <f>"DGOSE"</f>
        <v>DGOSE</v>
      </c>
      <c r="M55" s="26" t="str">
        <f t="shared" si="6"/>
        <v>FEDERAL</v>
      </c>
      <c r="N55" s="26">
        <v>10</v>
      </c>
      <c r="O55" s="26">
        <v>6</v>
      </c>
      <c r="P55" s="26">
        <v>4</v>
      </c>
      <c r="Q55" s="26">
        <v>1</v>
      </c>
      <c r="R55" s="26">
        <v>1</v>
      </c>
      <c r="S55" s="26">
        <v>1</v>
      </c>
      <c r="T55" s="26">
        <v>0</v>
      </c>
      <c r="U55" s="26">
        <v>2</v>
      </c>
      <c r="V55" s="26">
        <v>1</v>
      </c>
    </row>
    <row r="56" spans="1:22" x14ac:dyDescent="0.25">
      <c r="A56" s="26" t="str">
        <f t="shared" si="0"/>
        <v>ADULTOS-PRIMARIA</v>
      </c>
      <c r="B56" s="26" t="str">
        <f>"09PBA0017Q"</f>
        <v>09PBA0017Q</v>
      </c>
      <c r="C56" s="26" t="str">
        <f>"ALHUCEMA                                                                                            "</f>
        <v xml:space="preserve">ALHUCEMA                                                                                            </v>
      </c>
      <c r="D56" s="26" t="str">
        <f>"NOCTURNO"</f>
        <v>NOCTURNO</v>
      </c>
      <c r="E56" s="26" t="str">
        <f>"PROVIDENCIA NUM 722                                                             "</f>
        <v xml:space="preserve">PROVIDENCIA NUM 722                                                             </v>
      </c>
      <c r="F56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56" s="26" t="str">
        <f>"BENITO JUAREZ                                                                   "</f>
        <v xml:space="preserve">BENITO JUAREZ                                                                   </v>
      </c>
      <c r="H56" s="26" t="str">
        <f>"044"</f>
        <v>044</v>
      </c>
      <c r="I56" s="26" t="str">
        <f t="shared" si="2"/>
        <v>00</v>
      </c>
      <c r="J56" s="26" t="str">
        <f>"09 "</f>
        <v xml:space="preserve">09 </v>
      </c>
      <c r="K56" s="26" t="str">
        <f>"EX"</f>
        <v>EX</v>
      </c>
      <c r="L56" s="26" t="str">
        <f>"DGOSE"</f>
        <v>DGOSE</v>
      </c>
      <c r="M56" s="26" t="str">
        <f>"PARTICULAR"</f>
        <v>PARTICULAR</v>
      </c>
      <c r="N56" s="26">
        <v>5</v>
      </c>
      <c r="O56" s="26">
        <v>0</v>
      </c>
      <c r="P56" s="26">
        <v>5</v>
      </c>
      <c r="Q56" s="26">
        <v>2</v>
      </c>
      <c r="R56" s="26">
        <v>0</v>
      </c>
      <c r="S56" s="26">
        <v>1</v>
      </c>
      <c r="T56" s="26">
        <v>0</v>
      </c>
      <c r="U56" s="26">
        <v>1</v>
      </c>
      <c r="V56" s="26">
        <v>1</v>
      </c>
    </row>
    <row r="57" spans="1:22" x14ac:dyDescent="0.25">
      <c r="A57" s="26" t="str">
        <f t="shared" si="0"/>
        <v>ADULTOS-PRIMARIA</v>
      </c>
      <c r="B57" s="26" t="str">
        <f>"09PBA0063B"</f>
        <v>09PBA0063B</v>
      </c>
      <c r="C57" s="26" t="str">
        <f>"DR JAIME TORRES BODET                                                                               "</f>
        <v xml:space="preserve">DR JAIME TORRES BODET                                                                               </v>
      </c>
      <c r="D57" s="26" t="str">
        <f>"NOCTURNO"</f>
        <v>NOCTURNO</v>
      </c>
      <c r="E57" s="26" t="str">
        <f>"AV PERIFERICO BLVRD MANUEL AVILA CAMACHO S/N                                    "</f>
        <v xml:space="preserve">AV PERIFERICO BLVRD MANUEL AVILA CAMACHO S/N                                    </v>
      </c>
      <c r="F57" s="26" t="str">
        <f>"LOMAS DE SOTELO                                                                                                                             "</f>
        <v xml:space="preserve">LOMAS DE SOTELO                                                                                                                             </v>
      </c>
      <c r="G57" s="26" t="str">
        <f>"MIGUEL HIDALGO                                                                  "</f>
        <v xml:space="preserve">MIGUEL HIDALGO                                                                  </v>
      </c>
      <c r="H57" s="26" t="str">
        <f>"044"</f>
        <v>044</v>
      </c>
      <c r="I57" s="26" t="str">
        <f t="shared" si="2"/>
        <v>00</v>
      </c>
      <c r="J57" s="26" t="str">
        <f>"09 "</f>
        <v xml:space="preserve">09 </v>
      </c>
      <c r="K57" s="26" t="str">
        <f>"EX"</f>
        <v>EX</v>
      </c>
      <c r="L57" s="26" t="str">
        <f>"DGOSE"</f>
        <v>DGOSE</v>
      </c>
      <c r="M57" s="26" t="str">
        <f>"PARTICULAR"</f>
        <v>PARTICULAR</v>
      </c>
      <c r="N57" s="26">
        <v>2</v>
      </c>
      <c r="O57" s="26">
        <v>2</v>
      </c>
      <c r="P57" s="26">
        <v>0</v>
      </c>
      <c r="Q57" s="26">
        <v>1</v>
      </c>
      <c r="R57" s="26">
        <v>1</v>
      </c>
      <c r="S57" s="26">
        <v>1</v>
      </c>
      <c r="T57" s="26">
        <v>1</v>
      </c>
      <c r="U57" s="26">
        <v>3</v>
      </c>
      <c r="V57" s="26">
        <v>1</v>
      </c>
    </row>
    <row r="58" spans="1:22" x14ac:dyDescent="0.25">
      <c r="A58" s="26" t="str">
        <f t="shared" ref="A58:A112" si="13">"ADULTOS-SECUNDARIA"</f>
        <v>ADULTOS-SECUNDARIA</v>
      </c>
      <c r="B58" s="26" t="str">
        <f>"09DBS0001J"</f>
        <v>09DBS0001J</v>
      </c>
      <c r="C58" s="26" t="str">
        <f>"PROFR. MANUEL S HIDALGO                                                                             "</f>
        <v xml:space="preserve">PROFR. MANUEL S HIDALGO                                                                             </v>
      </c>
      <c r="D58" s="26" t="str">
        <f t="shared" ref="D58:D112" si="14">"NOCTURNO"</f>
        <v>NOCTURNO</v>
      </c>
      <c r="E58" s="26" t="str">
        <f>"AV DE LAS CULTURAS Y LIC ANDRES ENESTROSA                                       "</f>
        <v xml:space="preserve">AV DE LAS CULTURAS Y LIC ANDRES ENESTROSA                                       </v>
      </c>
      <c r="F58" s="26" t="str">
        <f>"UNIDAD INFONAVIT EL ROSARIO                                                                                                                 "</f>
        <v xml:space="preserve">UNIDAD INFONAVIT EL ROSARIO                                                                                                                 </v>
      </c>
      <c r="G58" s="26" t="str">
        <f>"AZCAPOTZALCO                                                                    "</f>
        <v xml:space="preserve">AZCAPOTZALCO                                                                    </v>
      </c>
      <c r="H58" s="26" t="str">
        <f>"   "</f>
        <v xml:space="preserve">   </v>
      </c>
      <c r="I58" s="26" t="str">
        <f t="shared" si="2"/>
        <v>00</v>
      </c>
      <c r="J58" s="26" t="str">
        <f t="shared" ref="J58:J95" si="15">"09 "</f>
        <v xml:space="preserve">09 </v>
      </c>
      <c r="K58" s="26" t="str">
        <f t="shared" ref="K58:K95" si="16">"EX"</f>
        <v>EX</v>
      </c>
      <c r="L58" s="26" t="str">
        <f t="shared" ref="L58:L95" si="17">"DGOSE"</f>
        <v>DGOSE</v>
      </c>
      <c r="M58" s="26" t="str">
        <f t="shared" ref="M58:M109" si="18">"FEDERAL"</f>
        <v>FEDERAL</v>
      </c>
      <c r="N58" s="26">
        <v>6</v>
      </c>
      <c r="O58" s="26">
        <v>3</v>
      </c>
      <c r="P58" s="26">
        <v>3</v>
      </c>
      <c r="Q58" s="26">
        <v>2</v>
      </c>
      <c r="R58" s="26">
        <v>1</v>
      </c>
      <c r="S58" s="26">
        <v>3</v>
      </c>
      <c r="T58" s="26">
        <v>1</v>
      </c>
      <c r="U58" s="26">
        <v>5</v>
      </c>
      <c r="V58" s="26">
        <v>1</v>
      </c>
    </row>
    <row r="59" spans="1:22" x14ac:dyDescent="0.25">
      <c r="A59" s="26" t="str">
        <f t="shared" si="13"/>
        <v>ADULTOS-SECUNDARIA</v>
      </c>
      <c r="B59" s="26" t="str">
        <f>"09DBS0002I"</f>
        <v>09DBS0002I</v>
      </c>
      <c r="C59" s="26" t="str">
        <f>"MARTIN OYAMBURU                                                                                     "</f>
        <v xml:space="preserve">MARTIN OYAMBURU                                                                                     </v>
      </c>
      <c r="D59" s="26" t="str">
        <f t="shared" si="14"/>
        <v>NOCTURNO</v>
      </c>
      <c r="E59" s="26" t="str">
        <f>"RAIZ DE DURAZNOS NO 426                                                         "</f>
        <v xml:space="preserve">RAIZ DE DURAZNOS NO 426                                                         </v>
      </c>
      <c r="F59" s="26" t="str">
        <f>"PASTEROS                                                                                                                                    "</f>
        <v xml:space="preserve">PASTEROS                                                                                                                                    </v>
      </c>
      <c r="G59" s="26" t="str">
        <f>"AZCAPOTZALCO                                                                    "</f>
        <v xml:space="preserve">AZCAPOTZALCO                                                                    </v>
      </c>
      <c r="H59" s="26" t="str">
        <f>"   "</f>
        <v xml:space="preserve">   </v>
      </c>
      <c r="I59" s="26" t="str">
        <f t="shared" si="2"/>
        <v>00</v>
      </c>
      <c r="J59" s="26" t="str">
        <f t="shared" si="15"/>
        <v xml:space="preserve">09 </v>
      </c>
      <c r="K59" s="26" t="str">
        <f t="shared" si="16"/>
        <v>EX</v>
      </c>
      <c r="L59" s="26" t="str">
        <f t="shared" si="17"/>
        <v>DGOSE</v>
      </c>
      <c r="M59" s="26" t="str">
        <f t="shared" si="18"/>
        <v>FEDERAL</v>
      </c>
      <c r="N59" s="26">
        <v>12</v>
      </c>
      <c r="O59" s="26">
        <v>5</v>
      </c>
      <c r="P59" s="26">
        <v>7</v>
      </c>
      <c r="Q59" s="26">
        <v>2</v>
      </c>
      <c r="R59" s="26">
        <v>0</v>
      </c>
      <c r="S59" s="26">
        <v>3</v>
      </c>
      <c r="T59" s="26">
        <v>1</v>
      </c>
      <c r="U59" s="26">
        <v>4</v>
      </c>
      <c r="V59" s="26">
        <v>1</v>
      </c>
    </row>
    <row r="60" spans="1:22" x14ac:dyDescent="0.25">
      <c r="A60" s="26" t="str">
        <f t="shared" si="13"/>
        <v>ADULTOS-SECUNDARIA</v>
      </c>
      <c r="B60" s="26" t="str">
        <f>"09DBS0003H"</f>
        <v>09DBS0003H</v>
      </c>
      <c r="C60" s="26" t="str">
        <f>"VEINTE DE NOVIEMBRE                                                                                 "</f>
        <v xml:space="preserve">VEINTE DE NOVIEMBRE                                                                                 </v>
      </c>
      <c r="D60" s="26" t="str">
        <f t="shared" si="14"/>
        <v>NOCTURNO</v>
      </c>
      <c r="E60" s="26" t="str">
        <f>"MALVON NO 230 ESQ NUECES                                                        "</f>
        <v xml:space="preserve">MALVON NO 230 ESQ NUECES                                                        </v>
      </c>
      <c r="F60" s="26" t="str">
        <f>"NUEVA SANTA MARIA                                                                                                                           "</f>
        <v xml:space="preserve">NUEVA SANTA MARIA                                                                                                                           </v>
      </c>
      <c r="G60" s="26" t="str">
        <f>"AZCAPOTZALCO                                                                    "</f>
        <v xml:space="preserve">AZCAPOTZALCO                                                                    </v>
      </c>
      <c r="H60" s="26" t="str">
        <f>"   "</f>
        <v xml:space="preserve">   </v>
      </c>
      <c r="I60" s="26" t="str">
        <f t="shared" si="2"/>
        <v>00</v>
      </c>
      <c r="J60" s="26" t="str">
        <f t="shared" si="15"/>
        <v xml:space="preserve">09 </v>
      </c>
      <c r="K60" s="26" t="str">
        <f t="shared" si="16"/>
        <v>EX</v>
      </c>
      <c r="L60" s="26" t="str">
        <f t="shared" si="17"/>
        <v>DGOSE</v>
      </c>
      <c r="M60" s="26" t="str">
        <f t="shared" si="18"/>
        <v>FEDERAL</v>
      </c>
      <c r="N60" s="26">
        <v>23</v>
      </c>
      <c r="O60" s="26">
        <v>10</v>
      </c>
      <c r="P60" s="26">
        <v>13</v>
      </c>
      <c r="Q60" s="26">
        <v>4</v>
      </c>
      <c r="R60" s="26">
        <v>0</v>
      </c>
      <c r="S60" s="26">
        <v>4</v>
      </c>
      <c r="T60" s="26">
        <v>0</v>
      </c>
      <c r="U60" s="26">
        <v>4</v>
      </c>
      <c r="V60" s="26">
        <v>1</v>
      </c>
    </row>
    <row r="61" spans="1:22" x14ac:dyDescent="0.25">
      <c r="A61" s="26" t="str">
        <f t="shared" si="13"/>
        <v>ADULTOS-SECUNDARIA</v>
      </c>
      <c r="B61" s="26" t="str">
        <f>"09DBS0004G"</f>
        <v>09DBS0004G</v>
      </c>
      <c r="C61" s="26" t="str">
        <f>"ROSA TORRE GONZALEZ                                                                                 "</f>
        <v xml:space="preserve">ROSA TORRE GONZALEZ                                                                                 </v>
      </c>
      <c r="D61" s="26" t="str">
        <f t="shared" si="14"/>
        <v>NOCTURNO</v>
      </c>
      <c r="E61" s="26" t="str">
        <f>"AV DE LAS CULTURAS Y CINEMATOGRAFIA                                             "</f>
        <v xml:space="preserve">AV DE LAS CULTURAS Y CINEMATOGRAFIA                                             </v>
      </c>
      <c r="F61" s="26" t="str">
        <f>"UNIDAD INFONAVIT EL ROSARIO                                                                                                                 "</f>
        <v xml:space="preserve">UNIDAD INFONAVIT EL ROSARIO                                                                                                                 </v>
      </c>
      <c r="G61" s="26" t="str">
        <f>"AZCAPOTZALCO                                                                    "</f>
        <v xml:space="preserve">AZCAPOTZALCO                                                                    </v>
      </c>
      <c r="H61" s="26" t="str">
        <f>"011"</f>
        <v>011</v>
      </c>
      <c r="I61" s="26" t="str">
        <f t="shared" si="2"/>
        <v>00</v>
      </c>
      <c r="J61" s="26" t="str">
        <f t="shared" si="15"/>
        <v xml:space="preserve">09 </v>
      </c>
      <c r="K61" s="26" t="str">
        <f t="shared" si="16"/>
        <v>EX</v>
      </c>
      <c r="L61" s="26" t="str">
        <f t="shared" si="17"/>
        <v>DGOSE</v>
      </c>
      <c r="M61" s="26" t="str">
        <f t="shared" si="18"/>
        <v>FEDERAL</v>
      </c>
      <c r="N61" s="26">
        <v>22</v>
      </c>
      <c r="O61" s="26">
        <v>8</v>
      </c>
      <c r="P61" s="26">
        <v>14</v>
      </c>
      <c r="Q61" s="26">
        <v>2</v>
      </c>
      <c r="R61" s="26">
        <v>0</v>
      </c>
      <c r="S61" s="26">
        <v>3</v>
      </c>
      <c r="T61" s="26">
        <v>0</v>
      </c>
      <c r="U61" s="26">
        <v>3</v>
      </c>
      <c r="V61" s="26">
        <v>1</v>
      </c>
    </row>
    <row r="62" spans="1:22" x14ac:dyDescent="0.25">
      <c r="A62" s="26" t="str">
        <f t="shared" si="13"/>
        <v>ADULTOS-SECUNDARIA</v>
      </c>
      <c r="B62" s="26" t="str">
        <f>"09DBS0005F"</f>
        <v>09DBS0005F</v>
      </c>
      <c r="C62" s="26" t="str">
        <f>"NORMAN E BORLAUG                                                                                    "</f>
        <v xml:space="preserve">NORMAN E BORLAUG                                                                                    </v>
      </c>
      <c r="D62" s="26" t="str">
        <f t="shared" si="14"/>
        <v>NOCTURNO</v>
      </c>
      <c r="E62" s="26" t="str">
        <f>"ABRAHAM SANCHEZ NO 14                                                           "</f>
        <v xml:space="preserve">ABRAHAM SANCHEZ NO 14                                                           </v>
      </c>
      <c r="F62" s="26" t="str">
        <f>"SAN PEDRO XALPA                                                                                                                             "</f>
        <v xml:space="preserve">SAN PEDRO XALPA                                                                                                                             </v>
      </c>
      <c r="G62" s="26" t="str">
        <f>"AZCAPOTZALCO                                                                    "</f>
        <v xml:space="preserve">AZCAPOTZALCO                                                                    </v>
      </c>
      <c r="H62" s="26" t="str">
        <f>"   "</f>
        <v xml:space="preserve">   </v>
      </c>
      <c r="I62" s="26" t="str">
        <f t="shared" si="2"/>
        <v>00</v>
      </c>
      <c r="J62" s="26" t="str">
        <f t="shared" si="15"/>
        <v xml:space="preserve">09 </v>
      </c>
      <c r="K62" s="26" t="str">
        <f t="shared" si="16"/>
        <v>EX</v>
      </c>
      <c r="L62" s="26" t="str">
        <f t="shared" si="17"/>
        <v>DGOSE</v>
      </c>
      <c r="M62" s="26" t="str">
        <f t="shared" si="18"/>
        <v>FEDERAL</v>
      </c>
      <c r="N62" s="26">
        <v>37</v>
      </c>
      <c r="O62" s="26">
        <v>20</v>
      </c>
      <c r="P62" s="26">
        <v>17</v>
      </c>
      <c r="Q62" s="26">
        <v>2</v>
      </c>
      <c r="R62" s="26">
        <v>1</v>
      </c>
      <c r="S62" s="26">
        <v>2</v>
      </c>
      <c r="T62" s="26">
        <v>1</v>
      </c>
      <c r="U62" s="26">
        <v>4</v>
      </c>
      <c r="V62" s="26">
        <v>1</v>
      </c>
    </row>
    <row r="63" spans="1:22" x14ac:dyDescent="0.25">
      <c r="A63" s="26" t="str">
        <f t="shared" si="13"/>
        <v>ADULTOS-SECUNDARIA</v>
      </c>
      <c r="B63" s="26" t="str">
        <f>"09DBS0006E"</f>
        <v>09DBS0006E</v>
      </c>
      <c r="C63" s="26" t="str">
        <f>"SUAZILANDIA                                                                                         "</f>
        <v xml:space="preserve">SUAZILANDIA                                                                                         </v>
      </c>
      <c r="D63" s="26" t="str">
        <f t="shared" si="14"/>
        <v>NOCTURNO</v>
      </c>
      <c r="E63" s="26" t="str">
        <f>"CORAS Y MOCTEZUMA S/N                                                           "</f>
        <v xml:space="preserve">CORAS Y MOCTEZUMA S/N                                                           </v>
      </c>
      <c r="F63" s="26" t="str">
        <f>"AJUSCO                                                                                                                                      "</f>
        <v xml:space="preserve">AJUSCO                                                                                                                                      </v>
      </c>
      <c r="G63" s="26" t="str">
        <f>"COYOACAN                                                                        "</f>
        <v xml:space="preserve">COYOACAN                                                                        </v>
      </c>
      <c r="H63" s="26" t="str">
        <f>"051"</f>
        <v>051</v>
      </c>
      <c r="I63" s="26" t="str">
        <f t="shared" si="2"/>
        <v>00</v>
      </c>
      <c r="J63" s="26" t="str">
        <f t="shared" si="15"/>
        <v xml:space="preserve">09 </v>
      </c>
      <c r="K63" s="26" t="str">
        <f t="shared" si="16"/>
        <v>EX</v>
      </c>
      <c r="L63" s="26" t="str">
        <f t="shared" si="17"/>
        <v>DGOSE</v>
      </c>
      <c r="M63" s="26" t="str">
        <f t="shared" si="18"/>
        <v>FEDERAL</v>
      </c>
      <c r="N63" s="26">
        <v>37</v>
      </c>
      <c r="O63" s="26">
        <v>19</v>
      </c>
      <c r="P63" s="26">
        <v>18</v>
      </c>
      <c r="Q63" s="26">
        <v>4</v>
      </c>
      <c r="R63" s="26">
        <v>1</v>
      </c>
      <c r="S63" s="26">
        <v>4</v>
      </c>
      <c r="T63" s="26">
        <v>0</v>
      </c>
      <c r="U63" s="26">
        <v>5</v>
      </c>
      <c r="V63" s="26">
        <v>1</v>
      </c>
    </row>
    <row r="64" spans="1:22" x14ac:dyDescent="0.25">
      <c r="A64" s="26" t="str">
        <f t="shared" si="13"/>
        <v>ADULTOS-SECUNDARIA</v>
      </c>
      <c r="B64" s="26" t="str">
        <f>"09DBS0007D"</f>
        <v>09DBS0007D</v>
      </c>
      <c r="C64" s="26" t="str">
        <f>"EJERCITO NACIONAL                                                                                   "</f>
        <v xml:space="preserve">EJERCITO NACIONAL                                                                                   </v>
      </c>
      <c r="D64" s="26" t="str">
        <f t="shared" si="14"/>
        <v>NOCTURNO</v>
      </c>
      <c r="E64" s="26" t="str">
        <f>"CARLOS GONZALEZ PEÑA S/N Y LEOPOLDO ZALAZAR                                     "</f>
        <v xml:space="preserve">CARLOS GONZALEZ PEÑA S/N Y LEOPOLDO ZALAZAR                                     </v>
      </c>
      <c r="F64" s="26" t="str">
        <f>"COPILCO EL ALTO                                                                                                                             "</f>
        <v xml:space="preserve">COPILCO EL ALTO                                                                                                                             </v>
      </c>
      <c r="G64" s="26" t="str">
        <f>"COYOACAN                                                                        "</f>
        <v xml:space="preserve">COYOACAN                                                                        </v>
      </c>
      <c r="H64" s="26" t="str">
        <f>"   "</f>
        <v xml:space="preserve">   </v>
      </c>
      <c r="I64" s="26" t="str">
        <f t="shared" si="2"/>
        <v>00</v>
      </c>
      <c r="J64" s="26" t="str">
        <f t="shared" si="15"/>
        <v xml:space="preserve">09 </v>
      </c>
      <c r="K64" s="26" t="str">
        <f t="shared" si="16"/>
        <v>EX</v>
      </c>
      <c r="L64" s="26" t="str">
        <f t="shared" si="17"/>
        <v>DGOSE</v>
      </c>
      <c r="M64" s="26" t="str">
        <f t="shared" si="18"/>
        <v>FEDERAL</v>
      </c>
      <c r="N64" s="26">
        <v>40</v>
      </c>
      <c r="O64" s="26">
        <v>27</v>
      </c>
      <c r="P64" s="26">
        <v>13</v>
      </c>
      <c r="Q64" s="26">
        <v>4</v>
      </c>
      <c r="R64" s="26">
        <v>0</v>
      </c>
      <c r="S64" s="26">
        <v>4</v>
      </c>
      <c r="T64" s="26">
        <v>1</v>
      </c>
      <c r="U64" s="26">
        <v>5</v>
      </c>
      <c r="V64" s="26">
        <v>1</v>
      </c>
    </row>
    <row r="65" spans="1:22" x14ac:dyDescent="0.25">
      <c r="A65" s="26" t="str">
        <f t="shared" si="13"/>
        <v>ADULTOS-SECUNDARIA</v>
      </c>
      <c r="B65" s="26" t="str">
        <f>"09DBS0008C"</f>
        <v>09DBS0008C</v>
      </c>
      <c r="C65" s="26" t="str">
        <f>"CARLOS PELLICER                                                                                     "</f>
        <v xml:space="preserve">CARLOS PELLICER                                                                                     </v>
      </c>
      <c r="D65" s="26" t="str">
        <f t="shared" si="14"/>
        <v>NOCTURNO</v>
      </c>
      <c r="E65" s="26" t="str">
        <f>"13o. ANDADOR DE CAFETALES Y 3er. ANDADOR DE SNT. TOMAS                          "</f>
        <v xml:space="preserve">13o. ANDADOR DE CAFETALES Y 3er. ANDADOR DE SNT. TOMAS                          </v>
      </c>
      <c r="F65" s="26" t="str">
        <f>"UNIDAD HABITACIONAL C T M                                                                                                                   "</f>
        <v xml:space="preserve">UNIDAD HABITACIONAL C T M                                                                                                                   </v>
      </c>
      <c r="G65" s="26" t="str">
        <f>"COYOACAN                                                                        "</f>
        <v xml:space="preserve">COYOACAN                                                                        </v>
      </c>
      <c r="H65" s="26" t="str">
        <f>"   "</f>
        <v xml:space="preserve">   </v>
      </c>
      <c r="I65" s="26" t="str">
        <f t="shared" si="2"/>
        <v>00</v>
      </c>
      <c r="J65" s="26" t="str">
        <f t="shared" si="15"/>
        <v xml:space="preserve">09 </v>
      </c>
      <c r="K65" s="26" t="str">
        <f t="shared" si="16"/>
        <v>EX</v>
      </c>
      <c r="L65" s="26" t="str">
        <f t="shared" si="17"/>
        <v>DGOSE</v>
      </c>
      <c r="M65" s="26" t="str">
        <f t="shared" si="18"/>
        <v>FEDERAL</v>
      </c>
      <c r="N65" s="26">
        <v>72</v>
      </c>
      <c r="O65" s="26">
        <v>46</v>
      </c>
      <c r="P65" s="26">
        <v>26</v>
      </c>
      <c r="Q65" s="26">
        <v>6</v>
      </c>
      <c r="R65" s="26">
        <v>1</v>
      </c>
      <c r="S65" s="26">
        <v>6</v>
      </c>
      <c r="T65" s="26">
        <v>1</v>
      </c>
      <c r="U65" s="26">
        <v>8</v>
      </c>
      <c r="V65" s="26">
        <v>1</v>
      </c>
    </row>
    <row r="66" spans="1:22" x14ac:dyDescent="0.25">
      <c r="A66" s="26" t="str">
        <f t="shared" si="13"/>
        <v>ADULTOS-SECUNDARIA</v>
      </c>
      <c r="B66" s="26" t="str">
        <f>"09DBS0009B"</f>
        <v>09DBS0009B</v>
      </c>
      <c r="C66" s="26" t="str">
        <f>"RAMON MANTEROLA                                                                                     "</f>
        <v xml:space="preserve">RAMON MANTEROLA                                                                                     </v>
      </c>
      <c r="D66" s="26" t="str">
        <f t="shared" si="14"/>
        <v>NOCTURNO</v>
      </c>
      <c r="E66" s="26" t="str">
        <f>"AV JUAREZ NO 8                                                                  "</f>
        <v xml:space="preserve">AV JUAREZ NO 8                                                                  </v>
      </c>
      <c r="F66" s="26" t="str">
        <f>"CUAJIMALPA                                                                                                                                  "</f>
        <v xml:space="preserve">CUAJIMALPA                                                                                                                                  </v>
      </c>
      <c r="G66" s="26" t="str">
        <f>"CUAJIMALPA DE MORELOS                                                           "</f>
        <v xml:space="preserve">CUAJIMALPA DE MORELOS                                                           </v>
      </c>
      <c r="H66" s="26" t="str">
        <f>"   "</f>
        <v xml:space="preserve">   </v>
      </c>
      <c r="I66" s="26" t="str">
        <f t="shared" ref="I66:I112" si="19">"00"</f>
        <v>00</v>
      </c>
      <c r="J66" s="26" t="str">
        <f t="shared" si="15"/>
        <v xml:space="preserve">09 </v>
      </c>
      <c r="K66" s="26" t="str">
        <f t="shared" si="16"/>
        <v>EX</v>
      </c>
      <c r="L66" s="26" t="str">
        <f t="shared" si="17"/>
        <v>DGOSE</v>
      </c>
      <c r="M66" s="26" t="str">
        <f t="shared" si="18"/>
        <v>FEDERAL</v>
      </c>
      <c r="N66" s="26">
        <v>63</v>
      </c>
      <c r="O66" s="26">
        <v>42</v>
      </c>
      <c r="P66" s="26">
        <v>21</v>
      </c>
      <c r="Q66" s="26">
        <v>4</v>
      </c>
      <c r="R66" s="26">
        <v>0</v>
      </c>
      <c r="S66" s="26">
        <v>4</v>
      </c>
      <c r="T66" s="26">
        <v>1</v>
      </c>
      <c r="U66" s="26">
        <v>5</v>
      </c>
      <c r="V66" s="26">
        <v>1</v>
      </c>
    </row>
    <row r="67" spans="1:22" x14ac:dyDescent="0.25">
      <c r="A67" s="26" t="str">
        <f t="shared" si="13"/>
        <v>ADULTOS-SECUNDARIA</v>
      </c>
      <c r="B67" s="26" t="str">
        <f>"09DBS0010R"</f>
        <v>09DBS0010R</v>
      </c>
      <c r="C67" s="26" t="str">
        <f>"AURELIO MALDONADO CEDILLO                                                                           "</f>
        <v xml:space="preserve">AURELIO MALDONADO CEDILLO                                                                           </v>
      </c>
      <c r="D67" s="26" t="str">
        <f t="shared" si="14"/>
        <v>NOCTURNO</v>
      </c>
      <c r="E67" s="26" t="str">
        <f>"MICHOACAN Y QUERETARO S/N                                                       "</f>
        <v xml:space="preserve">MICHOACAN Y QUERETARO S/N                                                       </v>
      </c>
      <c r="F67" s="26" t="str">
        <f>"CHALMA DE GUADALUPE                                                                                                                         "</f>
        <v xml:space="preserve">CHALMA DE GUADALUPE                                                                                                                         </v>
      </c>
      <c r="G67" s="26" t="str">
        <f t="shared" ref="G67:G73" si="20">"GUSTAVO A. MADERO                                                               "</f>
        <v xml:space="preserve">GUSTAVO A. MADERO                                                               </v>
      </c>
      <c r="H67" s="26" t="str">
        <f>"021"</f>
        <v>021</v>
      </c>
      <c r="I67" s="26" t="str">
        <f t="shared" si="19"/>
        <v>00</v>
      </c>
      <c r="J67" s="26" t="str">
        <f t="shared" si="15"/>
        <v xml:space="preserve">09 </v>
      </c>
      <c r="K67" s="26" t="str">
        <f t="shared" si="16"/>
        <v>EX</v>
      </c>
      <c r="L67" s="26" t="str">
        <f t="shared" si="17"/>
        <v>DGOSE</v>
      </c>
      <c r="M67" s="26" t="str">
        <f t="shared" si="18"/>
        <v>FEDERAL</v>
      </c>
      <c r="N67" s="26">
        <v>51</v>
      </c>
      <c r="O67" s="26">
        <v>28</v>
      </c>
      <c r="P67" s="26">
        <v>23</v>
      </c>
      <c r="Q67" s="26">
        <v>4</v>
      </c>
      <c r="R67" s="26">
        <v>1</v>
      </c>
      <c r="S67" s="26">
        <v>4</v>
      </c>
      <c r="T67" s="26">
        <v>0</v>
      </c>
      <c r="U67" s="26">
        <v>5</v>
      </c>
      <c r="V67" s="26">
        <v>1</v>
      </c>
    </row>
    <row r="68" spans="1:22" x14ac:dyDescent="0.25">
      <c r="A68" s="26" t="str">
        <f t="shared" si="13"/>
        <v>ADULTOS-SECUNDARIA</v>
      </c>
      <c r="B68" s="26" t="str">
        <f>"09DBS0011Q"</f>
        <v>09DBS0011Q</v>
      </c>
      <c r="C68" s="26" t="str">
        <f>"OBRAS DEL VALLE DE MEXICO                                                                           "</f>
        <v xml:space="preserve">OBRAS DEL VALLE DE MEXICO                                                                           </v>
      </c>
      <c r="D68" s="26" t="str">
        <f t="shared" si="14"/>
        <v>NOCTURNO</v>
      </c>
      <c r="E68" s="26" t="str">
        <f>"CALZ SAN JUAN DE ARAGON S/N                                                     "</f>
        <v xml:space="preserve">CALZ SAN JUAN DE ARAGON S/N                                                     </v>
      </c>
      <c r="F68" s="26" t="str">
        <f>"SAN JUAN DE ARAGON                                                                                                                          "</f>
        <v xml:space="preserve">SAN JUAN DE ARAGON                                                                                                                          </v>
      </c>
      <c r="G68" s="26" t="str">
        <f t="shared" si="20"/>
        <v xml:space="preserve">GUSTAVO A. MADERO                                                               </v>
      </c>
      <c r="H68" s="26" t="str">
        <f>"024"</f>
        <v>024</v>
      </c>
      <c r="I68" s="26" t="str">
        <f t="shared" si="19"/>
        <v>00</v>
      </c>
      <c r="J68" s="26" t="str">
        <f t="shared" si="15"/>
        <v xml:space="preserve">09 </v>
      </c>
      <c r="K68" s="26" t="str">
        <f t="shared" si="16"/>
        <v>EX</v>
      </c>
      <c r="L68" s="26" t="str">
        <f t="shared" si="17"/>
        <v>DGOSE</v>
      </c>
      <c r="M68" s="26" t="str">
        <f t="shared" si="18"/>
        <v>FEDERAL</v>
      </c>
      <c r="N68" s="26">
        <v>46</v>
      </c>
      <c r="O68" s="26">
        <v>26</v>
      </c>
      <c r="P68" s="26">
        <v>20</v>
      </c>
      <c r="Q68" s="26">
        <v>2</v>
      </c>
      <c r="R68" s="26">
        <v>1</v>
      </c>
      <c r="S68" s="26">
        <v>4</v>
      </c>
      <c r="T68" s="26">
        <v>0</v>
      </c>
      <c r="U68" s="26">
        <v>5</v>
      </c>
      <c r="V68" s="26">
        <v>1</v>
      </c>
    </row>
    <row r="69" spans="1:22" x14ac:dyDescent="0.25">
      <c r="A69" s="26" t="str">
        <f t="shared" si="13"/>
        <v>ADULTOS-SECUNDARIA</v>
      </c>
      <c r="B69" s="26" t="str">
        <f>"09DBS0012P"</f>
        <v>09DBS0012P</v>
      </c>
      <c r="C69" s="26" t="str">
        <f>"TONANTZIN                                                                                           "</f>
        <v xml:space="preserve">TONANTZIN                                                                                           </v>
      </c>
      <c r="D69" s="26" t="str">
        <f t="shared" si="14"/>
        <v>NOCTURNO</v>
      </c>
      <c r="E69" s="26" t="str">
        <f>"NORTE 72 NO 10038                                                               "</f>
        <v xml:space="preserve">NORTE 72 NO 10038                                                               </v>
      </c>
      <c r="F69" s="26" t="str">
        <f>"VILLAHERMOSA                                                                                                                                "</f>
        <v xml:space="preserve">VILLAHERMOSA                                                                                                                                </v>
      </c>
      <c r="G69" s="26" t="str">
        <f t="shared" si="20"/>
        <v xml:space="preserve">GUSTAVO A. MADERO                                                               </v>
      </c>
      <c r="H69" s="26" t="str">
        <f>"   "</f>
        <v xml:space="preserve">   </v>
      </c>
      <c r="I69" s="26" t="str">
        <f t="shared" si="19"/>
        <v>00</v>
      </c>
      <c r="J69" s="26" t="str">
        <f t="shared" si="15"/>
        <v xml:space="preserve">09 </v>
      </c>
      <c r="K69" s="26" t="str">
        <f t="shared" si="16"/>
        <v>EX</v>
      </c>
      <c r="L69" s="26" t="str">
        <f t="shared" si="17"/>
        <v>DGOSE</v>
      </c>
      <c r="M69" s="26" t="str">
        <f t="shared" si="18"/>
        <v>FEDERAL</v>
      </c>
      <c r="N69" s="26">
        <v>31</v>
      </c>
      <c r="O69" s="26">
        <v>21</v>
      </c>
      <c r="P69" s="26">
        <v>10</v>
      </c>
      <c r="Q69" s="26">
        <v>2</v>
      </c>
      <c r="R69" s="26">
        <v>1</v>
      </c>
      <c r="S69" s="26">
        <v>5</v>
      </c>
      <c r="T69" s="26">
        <v>0</v>
      </c>
      <c r="U69" s="26">
        <v>6</v>
      </c>
      <c r="V69" s="26">
        <v>1</v>
      </c>
    </row>
    <row r="70" spans="1:22" x14ac:dyDescent="0.25">
      <c r="A70" s="26" t="str">
        <f t="shared" si="13"/>
        <v>ADULTOS-SECUNDARIA</v>
      </c>
      <c r="B70" s="26" t="str">
        <f>"09DBS0013O"</f>
        <v>09DBS0013O</v>
      </c>
      <c r="C70" s="26" t="str">
        <f>"NEPAL                                                                                               "</f>
        <v xml:space="preserve">NEPAL                                                                                               </v>
      </c>
      <c r="D70" s="26" t="str">
        <f t="shared" si="14"/>
        <v>NOCTURNO</v>
      </c>
      <c r="E70" s="26" t="str">
        <f>"AV 509 PLAZA 3 S/N                                                              "</f>
        <v xml:space="preserve">AV 509 PLAZA 3 S/N                                                              </v>
      </c>
      <c r="F70" s="26" t="str">
        <f>"UNIDAD SAN JUAN DE ARAGON                                                                                                                   "</f>
        <v xml:space="preserve">UNIDAD SAN JUAN DE ARAGON                                                                                                                   </v>
      </c>
      <c r="G70" s="26" t="str">
        <f t="shared" si="20"/>
        <v xml:space="preserve">GUSTAVO A. MADERO                                                               </v>
      </c>
      <c r="H70" s="26" t="str">
        <f>"   "</f>
        <v xml:space="preserve">   </v>
      </c>
      <c r="I70" s="26" t="str">
        <f t="shared" si="19"/>
        <v>00</v>
      </c>
      <c r="J70" s="26" t="str">
        <f t="shared" si="15"/>
        <v xml:space="preserve">09 </v>
      </c>
      <c r="K70" s="26" t="str">
        <f t="shared" si="16"/>
        <v>EX</v>
      </c>
      <c r="L70" s="26" t="str">
        <f t="shared" si="17"/>
        <v>DGOSE</v>
      </c>
      <c r="M70" s="26" t="str">
        <f t="shared" si="18"/>
        <v>FEDERAL</v>
      </c>
      <c r="N70" s="26">
        <v>49</v>
      </c>
      <c r="O70" s="26">
        <v>36</v>
      </c>
      <c r="P70" s="26">
        <v>13</v>
      </c>
      <c r="Q70" s="26">
        <v>4</v>
      </c>
      <c r="R70" s="26">
        <v>1</v>
      </c>
      <c r="S70" s="26">
        <v>6</v>
      </c>
      <c r="T70" s="26">
        <v>0</v>
      </c>
      <c r="U70" s="26">
        <v>7</v>
      </c>
      <c r="V70" s="26">
        <v>1</v>
      </c>
    </row>
    <row r="71" spans="1:22" x14ac:dyDescent="0.25">
      <c r="A71" s="26" t="str">
        <f t="shared" si="13"/>
        <v>ADULTOS-SECUNDARIA</v>
      </c>
      <c r="B71" s="26" t="str">
        <f>"09DBS0014N"</f>
        <v>09DBS0014N</v>
      </c>
      <c r="C71" s="26" t="str">
        <f>"MARTIRES DE RIO BLANCO                                                                              "</f>
        <v xml:space="preserve">MARTIRES DE RIO BLANCO                                                                              </v>
      </c>
      <c r="D71" s="26" t="str">
        <f t="shared" si="14"/>
        <v>NOCTURNO</v>
      </c>
      <c r="E71" s="26" t="str">
        <f>"AV H CONGRESO DE LA UNION NO 3536                                               "</f>
        <v xml:space="preserve">AV H CONGRESO DE LA UNION NO 3536                                               </v>
      </c>
      <c r="F71" s="26" t="str">
        <f>"MARTIRES DE RIO BLANCO                                                                                                                      "</f>
        <v xml:space="preserve">MARTIRES DE RIO BLANCO                                                                                                                      </v>
      </c>
      <c r="G71" s="26" t="str">
        <f t="shared" si="20"/>
        <v xml:space="preserve">GUSTAVO A. MADERO                                                               </v>
      </c>
      <c r="H71" s="26" t="str">
        <f>"   "</f>
        <v xml:space="preserve">   </v>
      </c>
      <c r="I71" s="26" t="str">
        <f t="shared" si="19"/>
        <v>00</v>
      </c>
      <c r="J71" s="26" t="str">
        <f t="shared" si="15"/>
        <v xml:space="preserve">09 </v>
      </c>
      <c r="K71" s="26" t="str">
        <f t="shared" si="16"/>
        <v>EX</v>
      </c>
      <c r="L71" s="26" t="str">
        <f t="shared" si="17"/>
        <v>DGOSE</v>
      </c>
      <c r="M71" s="26" t="str">
        <f t="shared" si="18"/>
        <v>FEDERAL</v>
      </c>
      <c r="N71" s="26">
        <v>49</v>
      </c>
      <c r="O71" s="26">
        <v>31</v>
      </c>
      <c r="P71" s="26">
        <v>18</v>
      </c>
      <c r="Q71" s="26">
        <v>2</v>
      </c>
      <c r="R71" s="26">
        <v>0</v>
      </c>
      <c r="S71" s="26">
        <v>6</v>
      </c>
      <c r="T71" s="26">
        <v>0</v>
      </c>
      <c r="U71" s="26">
        <v>6</v>
      </c>
      <c r="V71" s="26">
        <v>1</v>
      </c>
    </row>
    <row r="72" spans="1:22" x14ac:dyDescent="0.25">
      <c r="A72" s="26" t="str">
        <f t="shared" si="13"/>
        <v>ADULTOS-SECUNDARIA</v>
      </c>
      <c r="B72" s="26" t="str">
        <f>"09DBS0015M"</f>
        <v>09DBS0015M</v>
      </c>
      <c r="C72" s="26" t="str">
        <f>"LA PRADERA                                                                                          "</f>
        <v xml:space="preserve">LA PRADERA                                                                                          </v>
      </c>
      <c r="D72" s="26" t="str">
        <f t="shared" si="14"/>
        <v>NOCTURNO</v>
      </c>
      <c r="E72" s="26" t="str">
        <f>"NEVADO DE TOLUCA NO 1                                                           "</f>
        <v xml:space="preserve">NEVADO DE TOLUCA NO 1                                                           </v>
      </c>
      <c r="F72" s="26" t="str">
        <f>"LA PRADERA                                                                                                                                  "</f>
        <v xml:space="preserve">LA PRADERA                                                                                                                                  </v>
      </c>
      <c r="G72" s="26" t="str">
        <f t="shared" si="20"/>
        <v xml:space="preserve">GUSTAVO A. MADERO                                                               </v>
      </c>
      <c r="H72" s="26" t="str">
        <f>"014"</f>
        <v>014</v>
      </c>
      <c r="I72" s="26" t="str">
        <f t="shared" si="19"/>
        <v>00</v>
      </c>
      <c r="J72" s="26" t="str">
        <f t="shared" si="15"/>
        <v xml:space="preserve">09 </v>
      </c>
      <c r="K72" s="26" t="str">
        <f t="shared" si="16"/>
        <v>EX</v>
      </c>
      <c r="L72" s="26" t="str">
        <f t="shared" si="17"/>
        <v>DGOSE</v>
      </c>
      <c r="M72" s="26" t="str">
        <f t="shared" si="18"/>
        <v>FEDERAL</v>
      </c>
      <c r="N72" s="26">
        <v>33</v>
      </c>
      <c r="O72" s="26">
        <v>13</v>
      </c>
      <c r="P72" s="26">
        <v>20</v>
      </c>
      <c r="Q72" s="26">
        <v>2</v>
      </c>
      <c r="R72" s="26">
        <v>0</v>
      </c>
      <c r="S72" s="26">
        <v>4</v>
      </c>
      <c r="T72" s="26">
        <v>1</v>
      </c>
      <c r="U72" s="26">
        <v>5</v>
      </c>
      <c r="V72" s="26">
        <v>1</v>
      </c>
    </row>
    <row r="73" spans="1:22" x14ac:dyDescent="0.25">
      <c r="A73" s="26" t="str">
        <f t="shared" si="13"/>
        <v>ADULTOS-SECUNDARIA</v>
      </c>
      <c r="B73" s="26" t="str">
        <f>"09DBS0016L"</f>
        <v>09DBS0016L</v>
      </c>
      <c r="C73" s="26" t="str">
        <f>"EMILIO BRAVO                                                                                        "</f>
        <v xml:space="preserve">EMILIO BRAVO                                                                                        </v>
      </c>
      <c r="D73" s="26" t="str">
        <f t="shared" si="14"/>
        <v>NOCTURNO</v>
      </c>
      <c r="E73" s="26" t="str">
        <f>"EMILIANO ZAPATA ESQ LAZARO CARDENAS                                             "</f>
        <v xml:space="preserve">EMILIANO ZAPATA ESQ LAZARO CARDENAS                                             </v>
      </c>
      <c r="F73" s="26" t="str">
        <f>"VALLE MADERO                                                                                                                                "</f>
        <v xml:space="preserve">VALLE MADERO                                                                                                                                </v>
      </c>
      <c r="G73" s="26" t="str">
        <f t="shared" si="20"/>
        <v xml:space="preserve">GUSTAVO A. MADERO                                                               </v>
      </c>
      <c r="H73" s="26" t="str">
        <f>"   "</f>
        <v xml:space="preserve">   </v>
      </c>
      <c r="I73" s="26" t="str">
        <f t="shared" si="19"/>
        <v>00</v>
      </c>
      <c r="J73" s="26" t="str">
        <f t="shared" si="15"/>
        <v xml:space="preserve">09 </v>
      </c>
      <c r="K73" s="26" t="str">
        <f t="shared" si="16"/>
        <v>EX</v>
      </c>
      <c r="L73" s="26" t="str">
        <f t="shared" si="17"/>
        <v>DGOSE</v>
      </c>
      <c r="M73" s="26" t="str">
        <f t="shared" si="18"/>
        <v>FEDERAL</v>
      </c>
      <c r="N73" s="26">
        <v>47</v>
      </c>
      <c r="O73" s="26">
        <v>17</v>
      </c>
      <c r="P73" s="26">
        <v>30</v>
      </c>
      <c r="Q73" s="26">
        <v>5</v>
      </c>
      <c r="R73" s="26">
        <v>0</v>
      </c>
      <c r="S73" s="26">
        <v>5</v>
      </c>
      <c r="T73" s="26">
        <v>1</v>
      </c>
      <c r="U73" s="26">
        <v>6</v>
      </c>
      <c r="V73" s="26">
        <v>1</v>
      </c>
    </row>
    <row r="74" spans="1:22" x14ac:dyDescent="0.25">
      <c r="A74" s="26" t="str">
        <f t="shared" si="13"/>
        <v>ADULTOS-SECUNDARIA</v>
      </c>
      <c r="B74" s="26" t="str">
        <f>"09DBS0017K"</f>
        <v>09DBS0017K</v>
      </c>
      <c r="C74" s="26" t="str">
        <f>"PROFR. CLAUDIO CORTES CASTRO                                                                        "</f>
        <v xml:space="preserve">PROFR. CLAUDIO CORTES CASTRO                                                                        </v>
      </c>
      <c r="D74" s="26" t="str">
        <f t="shared" si="14"/>
        <v>NOCTURNO</v>
      </c>
      <c r="E74" s="26" t="str">
        <f>"AV JAVIER ROJO GOMEZ NO 103                                                     "</f>
        <v xml:space="preserve">AV JAVIER ROJO GOMEZ NO 103                                                     </v>
      </c>
      <c r="F74" s="26" t="str">
        <f>"AGRICOLA ORIENTAL                                                                                                                           "</f>
        <v xml:space="preserve">AGRICOLA ORIENTAL                                                                                                                           </v>
      </c>
      <c r="G74" s="26" t="str">
        <f>"IZTACALCO                                                                       "</f>
        <v xml:space="preserve">IZTACALCO                                                                       </v>
      </c>
      <c r="H74" s="26" t="str">
        <f>"044"</f>
        <v>044</v>
      </c>
      <c r="I74" s="26" t="str">
        <f t="shared" si="19"/>
        <v>00</v>
      </c>
      <c r="J74" s="26" t="str">
        <f t="shared" si="15"/>
        <v xml:space="preserve">09 </v>
      </c>
      <c r="K74" s="26" t="str">
        <f t="shared" si="16"/>
        <v>EX</v>
      </c>
      <c r="L74" s="26" t="str">
        <f t="shared" si="17"/>
        <v>DGOSE</v>
      </c>
      <c r="M74" s="26" t="str">
        <f t="shared" si="18"/>
        <v>FEDERAL</v>
      </c>
      <c r="N74" s="26">
        <v>57</v>
      </c>
      <c r="O74" s="26">
        <v>33</v>
      </c>
      <c r="P74" s="26">
        <v>24</v>
      </c>
      <c r="Q74" s="26">
        <v>2</v>
      </c>
      <c r="R74" s="26">
        <v>1</v>
      </c>
      <c r="S74" s="26">
        <v>7</v>
      </c>
      <c r="T74" s="26">
        <v>0</v>
      </c>
      <c r="U74" s="26">
        <v>8</v>
      </c>
      <c r="V74" s="26">
        <v>1</v>
      </c>
    </row>
    <row r="75" spans="1:22" x14ac:dyDescent="0.25">
      <c r="A75" s="26" t="str">
        <f t="shared" si="13"/>
        <v>ADULTOS-SECUNDARIA</v>
      </c>
      <c r="B75" s="26" t="str">
        <f>"09DBS0018J"</f>
        <v>09DBS0018J</v>
      </c>
      <c r="C75" s="26" t="str">
        <f>"PILOTO                                                                                              "</f>
        <v xml:space="preserve">PILOTO                                                                                              </v>
      </c>
      <c r="D75" s="26" t="str">
        <f t="shared" si="14"/>
        <v>NOCTURNO</v>
      </c>
      <c r="E75" s="26" t="str">
        <f>"GUILLERMO PRIETO ESQ  ANTONIO ESCUDERO                                          "</f>
        <v xml:space="preserve">GUILLERMO PRIETO ESQ  ANTONIO ESCUDERO                                          </v>
      </c>
      <c r="F75" s="26" t="str">
        <f>"CAMPAMENTO 2 DE OCTUBRE                                                                                                                     "</f>
        <v xml:space="preserve">CAMPAMENTO 2 DE OCTUBRE                                                                                                                     </v>
      </c>
      <c r="G75" s="26" t="str">
        <f>"IZTACALCO                                                                       "</f>
        <v xml:space="preserve">IZTACALCO                                                                       </v>
      </c>
      <c r="H75" s="26" t="str">
        <f t="shared" ref="H75:H80" si="21">"   "</f>
        <v xml:space="preserve">   </v>
      </c>
      <c r="I75" s="26" t="str">
        <f t="shared" si="19"/>
        <v>00</v>
      </c>
      <c r="J75" s="26" t="str">
        <f t="shared" si="15"/>
        <v xml:space="preserve">09 </v>
      </c>
      <c r="K75" s="26" t="str">
        <f t="shared" si="16"/>
        <v>EX</v>
      </c>
      <c r="L75" s="26" t="str">
        <f t="shared" si="17"/>
        <v>DGOSE</v>
      </c>
      <c r="M75" s="26" t="str">
        <f t="shared" si="18"/>
        <v>FEDERAL</v>
      </c>
      <c r="N75" s="26">
        <v>45</v>
      </c>
      <c r="O75" s="26">
        <v>25</v>
      </c>
      <c r="P75" s="26">
        <v>20</v>
      </c>
      <c r="Q75" s="26">
        <v>6</v>
      </c>
      <c r="R75" s="26">
        <v>0</v>
      </c>
      <c r="S75" s="26">
        <v>6</v>
      </c>
      <c r="T75" s="26">
        <v>0</v>
      </c>
      <c r="U75" s="26">
        <v>6</v>
      </c>
      <c r="V75" s="26">
        <v>1</v>
      </c>
    </row>
    <row r="76" spans="1:22" x14ac:dyDescent="0.25">
      <c r="A76" s="26" t="str">
        <f t="shared" si="13"/>
        <v>ADULTOS-SECUNDARIA</v>
      </c>
      <c r="B76" s="26" t="str">
        <f>"09DBS0019I"</f>
        <v>09DBS0019I</v>
      </c>
      <c r="C76" s="26" t="str">
        <f>"DAVID ALFARO SIQUEIROS                                                                              "</f>
        <v xml:space="preserve">DAVID ALFARO SIQUEIROS                                                                              </v>
      </c>
      <c r="D76" s="26" t="str">
        <f t="shared" si="14"/>
        <v>NOCTURNO</v>
      </c>
      <c r="E76" s="26" t="str">
        <f>"RAIZ DE AGUA Y GIRASOL                                                          "</f>
        <v xml:space="preserve">RAIZ DE AGUA Y GIRASOL                                                          </v>
      </c>
      <c r="F76" s="26" t="str">
        <f>"UNIDAD HABITACIONAL INFONAVIT                                                                                                               "</f>
        <v xml:space="preserve">UNIDAD HABITACIONAL INFONAVIT                                                                                                               </v>
      </c>
      <c r="G76" s="26" t="str">
        <f>"IZTACALCO                                                                       "</f>
        <v xml:space="preserve">IZTACALCO                                                                       </v>
      </c>
      <c r="H76" s="26" t="str">
        <f t="shared" si="21"/>
        <v xml:space="preserve">   </v>
      </c>
      <c r="I76" s="26" t="str">
        <f t="shared" si="19"/>
        <v>00</v>
      </c>
      <c r="J76" s="26" t="str">
        <f t="shared" si="15"/>
        <v xml:space="preserve">09 </v>
      </c>
      <c r="K76" s="26" t="str">
        <f t="shared" si="16"/>
        <v>EX</v>
      </c>
      <c r="L76" s="26" t="str">
        <f t="shared" si="17"/>
        <v>DGOSE</v>
      </c>
      <c r="M76" s="26" t="str">
        <f t="shared" si="18"/>
        <v>FEDERAL</v>
      </c>
      <c r="N76" s="26">
        <v>35</v>
      </c>
      <c r="O76" s="26">
        <v>26</v>
      </c>
      <c r="P76" s="26">
        <v>9</v>
      </c>
      <c r="Q76" s="26">
        <v>4</v>
      </c>
      <c r="R76" s="26">
        <v>0</v>
      </c>
      <c r="S76" s="26">
        <v>4</v>
      </c>
      <c r="T76" s="26">
        <v>0</v>
      </c>
      <c r="U76" s="26">
        <v>4</v>
      </c>
      <c r="V76" s="26">
        <v>1</v>
      </c>
    </row>
    <row r="77" spans="1:22" x14ac:dyDescent="0.25">
      <c r="A77" s="26" t="str">
        <f t="shared" si="13"/>
        <v>ADULTOS-SECUNDARIA</v>
      </c>
      <c r="B77" s="26" t="str">
        <f>"09DBS0020Y"</f>
        <v>09DBS0020Y</v>
      </c>
      <c r="C77" s="26" t="str">
        <f>"JOSE LOPEZ PORTILLO Y ROJAS                                                                         "</f>
        <v xml:space="preserve">JOSE LOPEZ PORTILLO Y ROJAS                                                                         </v>
      </c>
      <c r="D77" s="26" t="str">
        <f t="shared" si="14"/>
        <v>NOCTURNO</v>
      </c>
      <c r="E77" s="26" t="str">
        <f>"CALLE 5 NUM 320 Y GUADALUPE                                                     "</f>
        <v xml:space="preserve">CALLE 5 NUM 320 Y GUADALUPE                                                     </v>
      </c>
      <c r="F77" s="26" t="str">
        <f>"AGRICOLA PANTITLAN                                                                                                                          "</f>
        <v xml:space="preserve">AGRICOLA PANTITLAN                                                                                                                          </v>
      </c>
      <c r="G77" s="26" t="str">
        <f>"IZTACALCO                                                                       "</f>
        <v xml:space="preserve">IZTACALCO                                                                       </v>
      </c>
      <c r="H77" s="26" t="str">
        <f t="shared" si="21"/>
        <v xml:space="preserve">   </v>
      </c>
      <c r="I77" s="26" t="str">
        <f t="shared" si="19"/>
        <v>00</v>
      </c>
      <c r="J77" s="26" t="str">
        <f t="shared" si="15"/>
        <v xml:space="preserve">09 </v>
      </c>
      <c r="K77" s="26" t="str">
        <f t="shared" si="16"/>
        <v>EX</v>
      </c>
      <c r="L77" s="26" t="str">
        <f t="shared" si="17"/>
        <v>DGOSE</v>
      </c>
      <c r="M77" s="26" t="str">
        <f t="shared" si="18"/>
        <v>FEDERAL</v>
      </c>
      <c r="N77" s="26">
        <v>21</v>
      </c>
      <c r="O77" s="26">
        <v>11</v>
      </c>
      <c r="P77" s="26">
        <v>10</v>
      </c>
      <c r="Q77" s="26">
        <v>7</v>
      </c>
      <c r="R77" s="26">
        <v>1</v>
      </c>
      <c r="S77" s="26">
        <v>9</v>
      </c>
      <c r="T77" s="26">
        <v>0</v>
      </c>
      <c r="U77" s="26">
        <v>10</v>
      </c>
      <c r="V77" s="26">
        <v>1</v>
      </c>
    </row>
    <row r="78" spans="1:22" x14ac:dyDescent="0.25">
      <c r="A78" s="26" t="str">
        <f t="shared" si="13"/>
        <v>ADULTOS-SECUNDARIA</v>
      </c>
      <c r="B78" s="26" t="str">
        <f>"09DBS0021X"</f>
        <v>09DBS0021X</v>
      </c>
      <c r="C78" s="26" t="str">
        <f>"RUBEN DARIO                                                                                         "</f>
        <v xml:space="preserve">RUBEN DARIO                                                                                         </v>
      </c>
      <c r="D78" s="26" t="str">
        <f t="shared" si="14"/>
        <v>NOCTURNO</v>
      </c>
      <c r="E78" s="26" t="str">
        <f>"CRUZ VERDE NO 86                                                                "</f>
        <v xml:space="preserve">CRUZ VERDE NO 86                                                                </v>
      </c>
      <c r="F78" s="26" t="str">
        <f>"LOMAS QUEBRADAS                                                                                                                             "</f>
        <v xml:space="preserve">LOMAS QUEBRADAS                                                                                                                             </v>
      </c>
      <c r="G78" s="26" t="str">
        <f>"LA MAGDALENA CONTRERAS                                                          "</f>
        <v xml:space="preserve">LA MAGDALENA CONTRERAS                                                          </v>
      </c>
      <c r="H78" s="26" t="str">
        <f t="shared" si="21"/>
        <v xml:space="preserve">   </v>
      </c>
      <c r="I78" s="26" t="str">
        <f t="shared" si="19"/>
        <v>00</v>
      </c>
      <c r="J78" s="26" t="str">
        <f t="shared" si="15"/>
        <v xml:space="preserve">09 </v>
      </c>
      <c r="K78" s="26" t="str">
        <f t="shared" si="16"/>
        <v>EX</v>
      </c>
      <c r="L78" s="26" t="str">
        <f t="shared" si="17"/>
        <v>DGOSE</v>
      </c>
      <c r="M78" s="26" t="str">
        <f t="shared" si="18"/>
        <v>FEDERAL</v>
      </c>
      <c r="N78" s="26">
        <v>134</v>
      </c>
      <c r="O78" s="26">
        <v>90</v>
      </c>
      <c r="P78" s="26">
        <v>44</v>
      </c>
      <c r="Q78" s="26">
        <v>6</v>
      </c>
      <c r="R78" s="26">
        <v>0</v>
      </c>
      <c r="S78" s="26">
        <v>6</v>
      </c>
      <c r="T78" s="26">
        <v>0</v>
      </c>
      <c r="U78" s="26">
        <v>6</v>
      </c>
      <c r="V78" s="26">
        <v>1</v>
      </c>
    </row>
    <row r="79" spans="1:22" x14ac:dyDescent="0.25">
      <c r="A79" s="26" t="str">
        <f t="shared" si="13"/>
        <v>ADULTOS-SECUNDARIA</v>
      </c>
      <c r="B79" s="26" t="str">
        <f>"09DBS0022W"</f>
        <v>09DBS0022W</v>
      </c>
      <c r="C79" s="26" t="str">
        <f>"MAESTROS MEXICANOS                                                                                  "</f>
        <v xml:space="preserve">MAESTROS MEXICANOS                                                                                  </v>
      </c>
      <c r="D79" s="26" t="str">
        <f t="shared" si="14"/>
        <v>NOCTURNO</v>
      </c>
      <c r="E79" s="26" t="str">
        <f>"AV MEXICO Y CALLE TOLUCA                                                        "</f>
        <v xml:space="preserve">AV MEXICO Y CALLE TOLUCA                                                        </v>
      </c>
      <c r="F79" s="26" t="str">
        <f>"SANTA TERESA                                                                                                                                "</f>
        <v xml:space="preserve">SANTA TERESA                                                                                                                                </v>
      </c>
      <c r="G79" s="26" t="str">
        <f>"LA MAGDALENA CONTRERAS                                                          "</f>
        <v xml:space="preserve">LA MAGDALENA CONTRERAS                                                          </v>
      </c>
      <c r="H79" s="26" t="str">
        <f t="shared" si="21"/>
        <v xml:space="preserve">   </v>
      </c>
      <c r="I79" s="26" t="str">
        <f t="shared" si="19"/>
        <v>00</v>
      </c>
      <c r="J79" s="26" t="str">
        <f t="shared" si="15"/>
        <v xml:space="preserve">09 </v>
      </c>
      <c r="K79" s="26" t="str">
        <f t="shared" si="16"/>
        <v>EX</v>
      </c>
      <c r="L79" s="26" t="str">
        <f t="shared" si="17"/>
        <v>DGOSE</v>
      </c>
      <c r="M79" s="26" t="str">
        <f t="shared" si="18"/>
        <v>FEDERAL</v>
      </c>
      <c r="N79" s="26">
        <v>69</v>
      </c>
      <c r="O79" s="26">
        <v>42</v>
      </c>
      <c r="P79" s="26">
        <v>27</v>
      </c>
      <c r="Q79" s="26">
        <v>5</v>
      </c>
      <c r="R79" s="26">
        <v>0</v>
      </c>
      <c r="S79" s="26">
        <v>5</v>
      </c>
      <c r="T79" s="26">
        <v>2</v>
      </c>
      <c r="U79" s="26">
        <v>7</v>
      </c>
      <c r="V79" s="26">
        <v>1</v>
      </c>
    </row>
    <row r="80" spans="1:22" x14ac:dyDescent="0.25">
      <c r="A80" s="26" t="str">
        <f t="shared" si="13"/>
        <v>ADULTOS-SECUNDARIA</v>
      </c>
      <c r="B80" s="26" t="str">
        <f>"09DBS0023V"</f>
        <v>09DBS0023V</v>
      </c>
      <c r="C80" s="26" t="str">
        <f>"CULTURA AZTECA                                                                                      "</f>
        <v xml:space="preserve">CULTURA AZTECA                                                                                      </v>
      </c>
      <c r="D80" s="26" t="str">
        <f t="shared" si="14"/>
        <v>NOCTURNO</v>
      </c>
      <c r="E80" s="26" t="str">
        <f>"AV YUCATAN SUR S/N                                                              "</f>
        <v xml:space="preserve">AV YUCATAN SUR S/N                                                              </v>
      </c>
      <c r="F80" s="26" t="str">
        <f>"LA CONCEPCION BARRIO                                                                                                                        "</f>
        <v xml:space="preserve">LA CONCEPCION BARRIO                                                                                                                        </v>
      </c>
      <c r="G80" s="26" t="str">
        <f>"MILPA ALTA                                                                      "</f>
        <v xml:space="preserve">MILPA ALTA                                                                      </v>
      </c>
      <c r="H80" s="26" t="str">
        <f t="shared" si="21"/>
        <v xml:space="preserve">   </v>
      </c>
      <c r="I80" s="26" t="str">
        <f t="shared" si="19"/>
        <v>00</v>
      </c>
      <c r="J80" s="26" t="str">
        <f t="shared" si="15"/>
        <v xml:space="preserve">09 </v>
      </c>
      <c r="K80" s="26" t="str">
        <f t="shared" si="16"/>
        <v>EX</v>
      </c>
      <c r="L80" s="26" t="str">
        <f t="shared" si="17"/>
        <v>DGOSE</v>
      </c>
      <c r="M80" s="26" t="str">
        <f t="shared" si="18"/>
        <v>FEDERAL</v>
      </c>
      <c r="N80" s="26">
        <v>34</v>
      </c>
      <c r="O80" s="26">
        <v>21</v>
      </c>
      <c r="P80" s="26">
        <v>13</v>
      </c>
      <c r="Q80" s="26">
        <v>4</v>
      </c>
      <c r="R80" s="26">
        <v>1</v>
      </c>
      <c r="S80" s="26">
        <v>4</v>
      </c>
      <c r="T80" s="26">
        <v>0</v>
      </c>
      <c r="U80" s="26">
        <v>5</v>
      </c>
      <c r="V80" s="26">
        <v>1</v>
      </c>
    </row>
    <row r="81" spans="1:22" x14ac:dyDescent="0.25">
      <c r="A81" s="26" t="str">
        <f t="shared" si="13"/>
        <v>ADULTOS-SECUNDARIA</v>
      </c>
      <c r="B81" s="26" t="str">
        <f>"09DBS0024U"</f>
        <v>09DBS0024U</v>
      </c>
      <c r="C81" s="26" t="str">
        <f>"BARTOLOME DE MEDINA                                                                                 "</f>
        <v xml:space="preserve">BARTOLOME DE MEDINA                                                                                 </v>
      </c>
      <c r="D81" s="26" t="str">
        <f t="shared" si="14"/>
        <v>NOCTURNO</v>
      </c>
      <c r="E81" s="26" t="str">
        <f>"SOSTENES ROCHA NO 44                                                            "</f>
        <v xml:space="preserve">SOSTENES ROCHA NO 44                                                            </v>
      </c>
      <c r="F81" s="26" t="str">
        <f>"COVE                                                                                                                                        "</f>
        <v xml:space="preserve">COVE                                                                                                                                        </v>
      </c>
      <c r="G81" s="26" t="str">
        <f>"ALVARO OBREGON                                                                  "</f>
        <v xml:space="preserve">ALVARO OBREGON                                                                  </v>
      </c>
      <c r="H81" s="26" t="str">
        <f>"014"</f>
        <v>014</v>
      </c>
      <c r="I81" s="26" t="str">
        <f t="shared" si="19"/>
        <v>00</v>
      </c>
      <c r="J81" s="26" t="str">
        <f t="shared" si="15"/>
        <v xml:space="preserve">09 </v>
      </c>
      <c r="K81" s="26" t="str">
        <f t="shared" si="16"/>
        <v>EX</v>
      </c>
      <c r="L81" s="26" t="str">
        <f t="shared" si="17"/>
        <v>DGOSE</v>
      </c>
      <c r="M81" s="26" t="str">
        <f t="shared" si="18"/>
        <v>FEDERAL</v>
      </c>
      <c r="N81" s="26">
        <v>32</v>
      </c>
      <c r="O81" s="26">
        <v>17</v>
      </c>
      <c r="P81" s="26">
        <v>15</v>
      </c>
      <c r="Q81" s="26">
        <v>2</v>
      </c>
      <c r="R81" s="26">
        <v>1</v>
      </c>
      <c r="S81" s="26">
        <v>2</v>
      </c>
      <c r="T81" s="26">
        <v>1</v>
      </c>
      <c r="U81" s="26">
        <v>4</v>
      </c>
      <c r="V81" s="26">
        <v>1</v>
      </c>
    </row>
    <row r="82" spans="1:22" x14ac:dyDescent="0.25">
      <c r="A82" s="26" t="str">
        <f t="shared" si="13"/>
        <v>ADULTOS-SECUNDARIA</v>
      </c>
      <c r="B82" s="26" t="str">
        <f>"09DBS0025T"</f>
        <v>09DBS0025T</v>
      </c>
      <c r="C82" s="26" t="str">
        <f>"LUIS R. ALARCÓN                                                                                     "</f>
        <v xml:space="preserve">LUIS R. ALARCÓN                                                                                     </v>
      </c>
      <c r="D82" s="26" t="str">
        <f t="shared" si="14"/>
        <v>NOCTURNO</v>
      </c>
      <c r="E82" s="26" t="str">
        <f>"AV CENTENARIO NO 96                                                             "</f>
        <v xml:space="preserve">AV CENTENARIO NO 96                                                             </v>
      </c>
      <c r="F82" s="26" t="str">
        <f>"MERCED GOMEZ                                                                                                                                "</f>
        <v xml:space="preserve">MERCED GOMEZ                                                                                                                                </v>
      </c>
      <c r="G82" s="26" t="str">
        <f>"ALVARO OBREGON                                                                  "</f>
        <v xml:space="preserve">ALVARO OBREGON                                                                  </v>
      </c>
      <c r="H82" s="26" t="str">
        <f>"   "</f>
        <v xml:space="preserve">   </v>
      </c>
      <c r="I82" s="26" t="str">
        <f t="shared" si="19"/>
        <v>00</v>
      </c>
      <c r="J82" s="26" t="str">
        <f t="shared" si="15"/>
        <v xml:space="preserve">09 </v>
      </c>
      <c r="K82" s="26" t="str">
        <f t="shared" si="16"/>
        <v>EX</v>
      </c>
      <c r="L82" s="26" t="str">
        <f t="shared" si="17"/>
        <v>DGOSE</v>
      </c>
      <c r="M82" s="26" t="str">
        <f t="shared" si="18"/>
        <v>FEDERAL</v>
      </c>
      <c r="N82" s="26">
        <v>27</v>
      </c>
      <c r="O82" s="26">
        <v>16</v>
      </c>
      <c r="P82" s="26">
        <v>11</v>
      </c>
      <c r="Q82" s="26">
        <v>2</v>
      </c>
      <c r="R82" s="26">
        <v>1</v>
      </c>
      <c r="S82" s="26">
        <v>2</v>
      </c>
      <c r="T82" s="26">
        <v>0</v>
      </c>
      <c r="U82" s="26">
        <v>3</v>
      </c>
      <c r="V82" s="26">
        <v>1</v>
      </c>
    </row>
    <row r="83" spans="1:22" x14ac:dyDescent="0.25">
      <c r="A83" s="26" t="str">
        <f t="shared" si="13"/>
        <v>ADULTOS-SECUNDARIA</v>
      </c>
      <c r="B83" s="26" t="str">
        <f>"09DBS0026S"</f>
        <v>09DBS0026S</v>
      </c>
      <c r="C83" s="26" t="str">
        <f>"THAILANDIA                                                                                          "</f>
        <v xml:space="preserve">THAILANDIA                                                                                          </v>
      </c>
      <c r="D83" s="26" t="str">
        <f t="shared" si="14"/>
        <v>NOCTURNO</v>
      </c>
      <c r="E83" s="26" t="str">
        <f>"AV PUERTO MAZATLAN M-11 L-5                                                     "</f>
        <v xml:space="preserve">AV PUERTO MAZATLAN M-11 L-5                                                     </v>
      </c>
      <c r="F83" s="26" t="str">
        <f>"PILOTO ADOLFO LOPEZ MATEOS                                                                                                                  "</f>
        <v xml:space="preserve">PILOTO ADOLFO LOPEZ MATEOS                                                                                                                  </v>
      </c>
      <c r="G83" s="26" t="str">
        <f>"ALVARO OBREGON                                                                  "</f>
        <v xml:space="preserve">ALVARO OBREGON                                                                  </v>
      </c>
      <c r="H83" s="26" t="str">
        <f>"   "</f>
        <v xml:space="preserve">   </v>
      </c>
      <c r="I83" s="26" t="str">
        <f t="shared" si="19"/>
        <v>00</v>
      </c>
      <c r="J83" s="26" t="str">
        <f t="shared" si="15"/>
        <v xml:space="preserve">09 </v>
      </c>
      <c r="K83" s="26" t="str">
        <f t="shared" si="16"/>
        <v>EX</v>
      </c>
      <c r="L83" s="26" t="str">
        <f t="shared" si="17"/>
        <v>DGOSE</v>
      </c>
      <c r="M83" s="26" t="str">
        <f t="shared" si="18"/>
        <v>FEDERAL</v>
      </c>
      <c r="N83" s="26">
        <v>55</v>
      </c>
      <c r="O83" s="26">
        <v>26</v>
      </c>
      <c r="P83" s="26">
        <v>29</v>
      </c>
      <c r="Q83" s="26">
        <v>4</v>
      </c>
      <c r="R83" s="26">
        <v>0</v>
      </c>
      <c r="S83" s="26">
        <v>4</v>
      </c>
      <c r="T83" s="26">
        <v>0</v>
      </c>
      <c r="U83" s="26">
        <v>4</v>
      </c>
      <c r="V83" s="26">
        <v>1</v>
      </c>
    </row>
    <row r="84" spans="1:22" x14ac:dyDescent="0.25">
      <c r="A84" s="26" t="str">
        <f t="shared" si="13"/>
        <v>ADULTOS-SECUNDARIA</v>
      </c>
      <c r="B84" s="26" t="str">
        <f>"09DBS0027R"</f>
        <v>09DBS0027R</v>
      </c>
      <c r="C84" s="26" t="str">
        <f>"PLAN DE GUADALUPE                                                                                   "</f>
        <v xml:space="preserve">PLAN DE GUADALUPE                                                                                   </v>
      </c>
      <c r="D84" s="26" t="str">
        <f t="shared" si="14"/>
        <v>NOCTURNO</v>
      </c>
      <c r="E84" s="26" t="str">
        <f>"RICARDO FLORES MAGON S/N                                                        "</f>
        <v xml:space="preserve">RICARDO FLORES MAGON S/N                                                        </v>
      </c>
      <c r="F84" s="26" t="str">
        <f>"SANTIAGO ZAPOTITLAN                                                                                                                         "</f>
        <v xml:space="preserve">SANTIAGO ZAPOTITLAN                                                                                                                         </v>
      </c>
      <c r="G84" s="26" t="str">
        <f>"TLAHUAC                                                                         "</f>
        <v xml:space="preserve">TLAHUAC                                                                         </v>
      </c>
      <c r="H84" s="26" t="str">
        <f>"054"</f>
        <v>054</v>
      </c>
      <c r="I84" s="26" t="str">
        <f t="shared" si="19"/>
        <v>00</v>
      </c>
      <c r="J84" s="26" t="str">
        <f t="shared" si="15"/>
        <v xml:space="preserve">09 </v>
      </c>
      <c r="K84" s="26" t="str">
        <f t="shared" si="16"/>
        <v>EX</v>
      </c>
      <c r="L84" s="26" t="str">
        <f t="shared" si="17"/>
        <v>DGOSE</v>
      </c>
      <c r="M84" s="26" t="str">
        <f t="shared" si="18"/>
        <v>FEDERAL</v>
      </c>
      <c r="N84" s="26">
        <v>61</v>
      </c>
      <c r="O84" s="26">
        <v>33</v>
      </c>
      <c r="P84" s="26">
        <v>28</v>
      </c>
      <c r="Q84" s="26">
        <v>8</v>
      </c>
      <c r="R84" s="26">
        <v>1</v>
      </c>
      <c r="S84" s="26">
        <v>8</v>
      </c>
      <c r="T84" s="26">
        <v>2</v>
      </c>
      <c r="U84" s="26">
        <v>11</v>
      </c>
      <c r="V84" s="26">
        <v>1</v>
      </c>
    </row>
    <row r="85" spans="1:22" x14ac:dyDescent="0.25">
      <c r="A85" s="26" t="str">
        <f t="shared" si="13"/>
        <v>ADULTOS-SECUNDARIA</v>
      </c>
      <c r="B85" s="26" t="str">
        <f>"09DBS0028Q"</f>
        <v>09DBS0028Q</v>
      </c>
      <c r="C85" s="26" t="str">
        <f>"GRAL. FELIPE ANGELES                                                                                "</f>
        <v xml:space="preserve">GRAL. FELIPE ANGELES                                                                                </v>
      </c>
      <c r="D85" s="26" t="str">
        <f t="shared" si="14"/>
        <v>NOCTURNO</v>
      </c>
      <c r="E85" s="26" t="str">
        <f>"JOHN F  KENNEDY NO 1                                                            "</f>
        <v xml:space="preserve">JOHN F  KENNEDY NO 1                                                            </v>
      </c>
      <c r="F85" s="26" t="str">
        <f>"ISIDRO FABELA                                                                                                                               "</f>
        <v xml:space="preserve">ISIDRO FABELA                                                                                                                               </v>
      </c>
      <c r="G85" s="26" t="str">
        <f>"TLALPAN                                                                         "</f>
        <v xml:space="preserve">TLALPAN                                                                         </v>
      </c>
      <c r="H85" s="26" t="str">
        <f>"   "</f>
        <v xml:space="preserve">   </v>
      </c>
      <c r="I85" s="26" t="str">
        <f t="shared" si="19"/>
        <v>00</v>
      </c>
      <c r="J85" s="26" t="str">
        <f t="shared" si="15"/>
        <v xml:space="preserve">09 </v>
      </c>
      <c r="K85" s="26" t="str">
        <f t="shared" si="16"/>
        <v>EX</v>
      </c>
      <c r="L85" s="26" t="str">
        <f t="shared" si="17"/>
        <v>DGOSE</v>
      </c>
      <c r="M85" s="26" t="str">
        <f t="shared" si="18"/>
        <v>FEDERAL</v>
      </c>
      <c r="N85" s="26">
        <v>38</v>
      </c>
      <c r="O85" s="26">
        <v>23</v>
      </c>
      <c r="P85" s="26">
        <v>15</v>
      </c>
      <c r="Q85" s="26">
        <v>4</v>
      </c>
      <c r="R85" s="26">
        <v>1</v>
      </c>
      <c r="S85" s="26">
        <v>4</v>
      </c>
      <c r="T85" s="26">
        <v>1</v>
      </c>
      <c r="U85" s="26">
        <v>6</v>
      </c>
      <c r="V85" s="26">
        <v>1</v>
      </c>
    </row>
    <row r="86" spans="1:22" x14ac:dyDescent="0.25">
      <c r="A86" s="26" t="str">
        <f t="shared" si="13"/>
        <v>ADULTOS-SECUNDARIA</v>
      </c>
      <c r="B86" s="26" t="str">
        <f>"09DBS0029P"</f>
        <v>09DBS0029P</v>
      </c>
      <c r="C86" s="26" t="str">
        <f>"JACINTO CANEK                                                                                       "</f>
        <v xml:space="preserve">JACINTO CANEK                                                                                       </v>
      </c>
      <c r="D86" s="26" t="str">
        <f t="shared" si="14"/>
        <v>NOCTURNO</v>
      </c>
      <c r="E86" s="26" t="str">
        <f>"HUEHUETAN NO 230                                                                "</f>
        <v xml:space="preserve">HUEHUETAN NO 230                                                                </v>
      </c>
      <c r="F86" s="26" t="str">
        <f>"HEROES DE PADIERNA                                                                                                                          "</f>
        <v xml:space="preserve">HEROES DE PADIERNA                                                                                                                          </v>
      </c>
      <c r="G86" s="26" t="str">
        <f>"TLALPAN                                                                         "</f>
        <v xml:space="preserve">TLALPAN                                                                         </v>
      </c>
      <c r="H86" s="26" t="str">
        <f>"052"</f>
        <v>052</v>
      </c>
      <c r="I86" s="26" t="str">
        <f t="shared" si="19"/>
        <v>00</v>
      </c>
      <c r="J86" s="26" t="str">
        <f t="shared" si="15"/>
        <v xml:space="preserve">09 </v>
      </c>
      <c r="K86" s="26" t="str">
        <f t="shared" si="16"/>
        <v>EX</v>
      </c>
      <c r="L86" s="26" t="str">
        <f t="shared" si="17"/>
        <v>DGOSE</v>
      </c>
      <c r="M86" s="26" t="str">
        <f t="shared" si="18"/>
        <v>FEDERAL</v>
      </c>
      <c r="N86" s="26">
        <v>57</v>
      </c>
      <c r="O86" s="26">
        <v>32</v>
      </c>
      <c r="P86" s="26">
        <v>25</v>
      </c>
      <c r="Q86" s="26">
        <v>4</v>
      </c>
      <c r="R86" s="26">
        <v>0</v>
      </c>
      <c r="S86" s="26">
        <v>5</v>
      </c>
      <c r="T86" s="26">
        <v>0</v>
      </c>
      <c r="U86" s="26">
        <v>5</v>
      </c>
      <c r="V86" s="26">
        <v>1</v>
      </c>
    </row>
    <row r="87" spans="1:22" x14ac:dyDescent="0.25">
      <c r="A87" s="26" t="str">
        <f t="shared" si="13"/>
        <v>ADULTOS-SECUNDARIA</v>
      </c>
      <c r="B87" s="26" t="str">
        <f>"09DBS0030E"</f>
        <v>09DBS0030E</v>
      </c>
      <c r="C87" s="26" t="str">
        <f>"ANACLETO BARCENA ROJAS                                                                              "</f>
        <v xml:space="preserve">ANACLETO BARCENA ROJAS                                                                              </v>
      </c>
      <c r="D87" s="26" t="str">
        <f t="shared" si="14"/>
        <v>NOCTURNO</v>
      </c>
      <c r="E87" s="26" t="str">
        <f>"EMILIANO ZAPATA NO 41                                                           "</f>
        <v xml:space="preserve">EMILIANO ZAPATA NO 41                                                           </v>
      </c>
      <c r="F87" s="26" t="str">
        <f>"LA ASUNCION                                                                                                                                 "</f>
        <v xml:space="preserve">LA ASUNCION                                                                                                                                 </v>
      </c>
      <c r="G87" s="26" t="str">
        <f>"XOCHIMILCO                                                                      "</f>
        <v xml:space="preserve">XOCHIMILCO                                                                      </v>
      </c>
      <c r="H87" s="26" t="str">
        <f>"   "</f>
        <v xml:space="preserve">   </v>
      </c>
      <c r="I87" s="26" t="str">
        <f t="shared" si="19"/>
        <v>00</v>
      </c>
      <c r="J87" s="26" t="str">
        <f t="shared" si="15"/>
        <v xml:space="preserve">09 </v>
      </c>
      <c r="K87" s="26" t="str">
        <f t="shared" si="16"/>
        <v>EX</v>
      </c>
      <c r="L87" s="26" t="str">
        <f t="shared" si="17"/>
        <v>DGOSE</v>
      </c>
      <c r="M87" s="26" t="str">
        <f t="shared" si="18"/>
        <v>FEDERAL</v>
      </c>
      <c r="N87" s="26">
        <v>31</v>
      </c>
      <c r="O87" s="26">
        <v>19</v>
      </c>
      <c r="P87" s="26">
        <v>12</v>
      </c>
      <c r="Q87" s="26">
        <v>2</v>
      </c>
      <c r="R87" s="26">
        <v>0</v>
      </c>
      <c r="S87" s="26">
        <v>2</v>
      </c>
      <c r="T87" s="26">
        <v>0</v>
      </c>
      <c r="U87" s="26">
        <v>2</v>
      </c>
      <c r="V87" s="26">
        <v>1</v>
      </c>
    </row>
    <row r="88" spans="1:22" x14ac:dyDescent="0.25">
      <c r="A88" s="26" t="str">
        <f t="shared" si="13"/>
        <v>ADULTOS-SECUNDARIA</v>
      </c>
      <c r="B88" s="26" t="str">
        <f>"09DBS0031D"</f>
        <v>09DBS0031D</v>
      </c>
      <c r="C88" s="26" t="str">
        <f>"PROFR. VICENTE V YBARRA                                                                             "</f>
        <v xml:space="preserve">PROFR. VICENTE V YBARRA                                                                             </v>
      </c>
      <c r="D88" s="26" t="str">
        <f t="shared" si="14"/>
        <v>NOCTURNO</v>
      </c>
      <c r="E88" s="26" t="str">
        <f>"HELIOTROPO Y GALEANA                                                            "</f>
        <v xml:space="preserve">HELIOTROPO Y GALEANA                                                            </v>
      </c>
      <c r="F88" s="26" t="str">
        <f>"XALTOCAN                                                                                                                                    "</f>
        <v xml:space="preserve">XALTOCAN                                                                                                                                    </v>
      </c>
      <c r="G88" s="26" t="str">
        <f>"XOCHIMILCO                                                                      "</f>
        <v xml:space="preserve">XOCHIMILCO                                                                      </v>
      </c>
      <c r="H88" s="26" t="str">
        <f>"   "</f>
        <v xml:space="preserve">   </v>
      </c>
      <c r="I88" s="26" t="str">
        <f t="shared" si="19"/>
        <v>00</v>
      </c>
      <c r="J88" s="26" t="str">
        <f t="shared" si="15"/>
        <v xml:space="preserve">09 </v>
      </c>
      <c r="K88" s="26" t="str">
        <f t="shared" si="16"/>
        <v>EX</v>
      </c>
      <c r="L88" s="26" t="str">
        <f t="shared" si="17"/>
        <v>DGOSE</v>
      </c>
      <c r="M88" s="26" t="str">
        <f t="shared" si="18"/>
        <v>FEDERAL</v>
      </c>
      <c r="N88" s="26">
        <v>41</v>
      </c>
      <c r="O88" s="26">
        <v>27</v>
      </c>
      <c r="P88" s="26">
        <v>14</v>
      </c>
      <c r="Q88" s="26">
        <v>4</v>
      </c>
      <c r="R88" s="26">
        <v>1</v>
      </c>
      <c r="S88" s="26">
        <v>4</v>
      </c>
      <c r="T88" s="26">
        <v>1</v>
      </c>
      <c r="U88" s="26">
        <v>6</v>
      </c>
      <c r="V88" s="26">
        <v>1</v>
      </c>
    </row>
    <row r="89" spans="1:22" x14ac:dyDescent="0.25">
      <c r="A89" s="26" t="str">
        <f t="shared" si="13"/>
        <v>ADULTOS-SECUNDARIA</v>
      </c>
      <c r="B89" s="26" t="str">
        <f>"09DBS0032C"</f>
        <v>09DBS0032C</v>
      </c>
      <c r="C89" s="26" t="str">
        <f>"SILVESTRE REVUELTAS                                                                                 "</f>
        <v xml:space="preserve">SILVESTRE REVUELTAS                                                                                 </v>
      </c>
      <c r="D89" s="26" t="str">
        <f t="shared" si="14"/>
        <v>NOCTURNO</v>
      </c>
      <c r="E89" s="26" t="str">
        <f>"DOCTOR VERTIZ S/N Y PRESIDENTES                                                 "</f>
        <v xml:space="preserve">DOCTOR VERTIZ S/N Y PRESIDENTES                                                 </v>
      </c>
      <c r="F89" s="26" t="str">
        <f>"PORTALES                                                                                                                                    "</f>
        <v xml:space="preserve">PORTALES                                                                                                                                    </v>
      </c>
      <c r="G89" s="26" t="str">
        <f>"BENITO JUAREZ                                                                   "</f>
        <v xml:space="preserve">BENITO JUAREZ                                                                   </v>
      </c>
      <c r="H89" s="26" t="str">
        <f>"   "</f>
        <v xml:space="preserve">   </v>
      </c>
      <c r="I89" s="26" t="str">
        <f t="shared" si="19"/>
        <v>00</v>
      </c>
      <c r="J89" s="26" t="str">
        <f t="shared" si="15"/>
        <v xml:space="preserve">09 </v>
      </c>
      <c r="K89" s="26" t="str">
        <f t="shared" si="16"/>
        <v>EX</v>
      </c>
      <c r="L89" s="26" t="str">
        <f t="shared" si="17"/>
        <v>DGOSE</v>
      </c>
      <c r="M89" s="26" t="str">
        <f t="shared" si="18"/>
        <v>FEDERAL</v>
      </c>
      <c r="N89" s="26">
        <v>41</v>
      </c>
      <c r="O89" s="26">
        <v>32</v>
      </c>
      <c r="P89" s="26">
        <v>9</v>
      </c>
      <c r="Q89" s="26">
        <v>10</v>
      </c>
      <c r="R89" s="26">
        <v>1</v>
      </c>
      <c r="S89" s="26">
        <v>4</v>
      </c>
      <c r="T89" s="26">
        <v>1</v>
      </c>
      <c r="U89" s="26">
        <v>6</v>
      </c>
      <c r="V89" s="26">
        <v>1</v>
      </c>
    </row>
    <row r="90" spans="1:22" x14ac:dyDescent="0.25">
      <c r="A90" s="26" t="str">
        <f t="shared" si="13"/>
        <v>ADULTOS-SECUNDARIA</v>
      </c>
      <c r="B90" s="26" t="str">
        <f>"09DBS0033B"</f>
        <v>09DBS0033B</v>
      </c>
      <c r="C90" s="26" t="str">
        <f>"DR. LEOPOLDO SALAZAR VINIEGRA                                                                       "</f>
        <v xml:space="preserve">DR. LEOPOLDO SALAZAR VINIEGRA                                                                       </v>
      </c>
      <c r="D90" s="26" t="str">
        <f t="shared" si="14"/>
        <v>NOCTURNO</v>
      </c>
      <c r="E90" s="26" t="str">
        <f>"JOSE MARIA IZAZAGA NO 23-A                                                      "</f>
        <v xml:space="preserve">JOSE MARIA IZAZAGA NO 23-A                                                      </v>
      </c>
      <c r="F90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90" s="26" t="str">
        <f>"CUAUHTEMOC                                                                      "</f>
        <v xml:space="preserve">CUAUHTEMOC                                                                      </v>
      </c>
      <c r="H90" s="26" t="str">
        <f>"044"</f>
        <v>044</v>
      </c>
      <c r="I90" s="26" t="str">
        <f t="shared" si="19"/>
        <v>00</v>
      </c>
      <c r="J90" s="26" t="str">
        <f t="shared" si="15"/>
        <v xml:space="preserve">09 </v>
      </c>
      <c r="K90" s="26" t="str">
        <f t="shared" si="16"/>
        <v>EX</v>
      </c>
      <c r="L90" s="26" t="str">
        <f t="shared" si="17"/>
        <v>DGOSE</v>
      </c>
      <c r="M90" s="26" t="str">
        <f t="shared" si="18"/>
        <v>FEDERAL</v>
      </c>
      <c r="N90" s="26">
        <v>94</v>
      </c>
      <c r="O90" s="26">
        <v>55</v>
      </c>
      <c r="P90" s="26">
        <v>39</v>
      </c>
      <c r="Q90" s="26">
        <v>5</v>
      </c>
      <c r="R90" s="26">
        <v>0</v>
      </c>
      <c r="S90" s="26">
        <v>10</v>
      </c>
      <c r="T90" s="26">
        <v>0</v>
      </c>
      <c r="U90" s="26">
        <v>10</v>
      </c>
      <c r="V90" s="26">
        <v>1</v>
      </c>
    </row>
    <row r="91" spans="1:22" x14ac:dyDescent="0.25">
      <c r="A91" s="26" t="str">
        <f t="shared" si="13"/>
        <v>ADULTOS-SECUNDARIA</v>
      </c>
      <c r="B91" s="26" t="str">
        <f>"09DBS0034A"</f>
        <v>09DBS0034A</v>
      </c>
      <c r="C91" s="26" t="str">
        <f>"PROFR. JORGE CASAHONDA CASTILLO                                                                     "</f>
        <v xml:space="preserve">PROFR. JORGE CASAHONDA CASTILLO                                                                     </v>
      </c>
      <c r="D91" s="26" t="str">
        <f t="shared" si="14"/>
        <v>NOCTURNO</v>
      </c>
      <c r="E91" s="26" t="str">
        <f>"AV. DEL PEÑON NO. 49                                                            "</f>
        <v xml:space="preserve">AV. DEL PEÑON NO. 49                                                            </v>
      </c>
      <c r="F91" s="26" t="str">
        <f>"MORELOS                                                                                                                                     "</f>
        <v xml:space="preserve">MORELOS                                                                                                                                     </v>
      </c>
      <c r="G91" s="26" t="str">
        <f>"CUAUHTEMOC                                                                      "</f>
        <v xml:space="preserve">CUAUHTEMOC                                                                      </v>
      </c>
      <c r="H91" s="26" t="str">
        <f>"044"</f>
        <v>044</v>
      </c>
      <c r="I91" s="26" t="str">
        <f t="shared" si="19"/>
        <v>00</v>
      </c>
      <c r="J91" s="26" t="str">
        <f t="shared" si="15"/>
        <v xml:space="preserve">09 </v>
      </c>
      <c r="K91" s="26" t="str">
        <f t="shared" si="16"/>
        <v>EX</v>
      </c>
      <c r="L91" s="26" t="str">
        <f t="shared" si="17"/>
        <v>DGOSE</v>
      </c>
      <c r="M91" s="26" t="str">
        <f t="shared" si="18"/>
        <v>FEDERAL</v>
      </c>
      <c r="N91" s="26">
        <v>50</v>
      </c>
      <c r="O91" s="26">
        <v>23</v>
      </c>
      <c r="P91" s="26">
        <v>27</v>
      </c>
      <c r="Q91" s="26">
        <v>5</v>
      </c>
      <c r="R91" s="26">
        <v>0</v>
      </c>
      <c r="S91" s="26">
        <v>5</v>
      </c>
      <c r="T91" s="26">
        <v>0</v>
      </c>
      <c r="U91" s="26">
        <v>5</v>
      </c>
      <c r="V91" s="26">
        <v>1</v>
      </c>
    </row>
    <row r="92" spans="1:22" x14ac:dyDescent="0.25">
      <c r="A92" s="26" t="str">
        <f t="shared" si="13"/>
        <v>ADULTOS-SECUNDARIA</v>
      </c>
      <c r="B92" s="26" t="str">
        <f>"09DBS0036Z"</f>
        <v>09DBS0036Z</v>
      </c>
      <c r="C92" s="26" t="str">
        <f>"GRAL. PEDRO A. OGAZÓN                                                                               "</f>
        <v xml:space="preserve">GRAL. PEDRO A. OGAZÓN                                                                               </v>
      </c>
      <c r="D92" s="26" t="str">
        <f t="shared" si="14"/>
        <v>NOCTURNO</v>
      </c>
      <c r="E92" s="26" t="str">
        <f>"LAGO IZABAL Y LAGO ILOPANGO                                                     "</f>
        <v xml:space="preserve">LAGO IZABAL Y LAGO ILOPANGO                                                     </v>
      </c>
      <c r="F92" s="26" t="str">
        <f>"TORRE BLANCA                                                                                                                                "</f>
        <v xml:space="preserve">TORRE BLANCA                                                                                                                                </v>
      </c>
      <c r="G92" s="26" t="str">
        <f>"MIGUEL HIDALGO                                                                  "</f>
        <v xml:space="preserve">MIGUEL HIDALGO                                                                  </v>
      </c>
      <c r="H92" s="26" t="str">
        <f>"014"</f>
        <v>014</v>
      </c>
      <c r="I92" s="26" t="str">
        <f t="shared" si="19"/>
        <v>00</v>
      </c>
      <c r="J92" s="26" t="str">
        <f t="shared" si="15"/>
        <v xml:space="preserve">09 </v>
      </c>
      <c r="K92" s="26" t="str">
        <f t="shared" si="16"/>
        <v>EX</v>
      </c>
      <c r="L92" s="26" t="str">
        <f t="shared" si="17"/>
        <v>DGOSE</v>
      </c>
      <c r="M92" s="26" t="str">
        <f t="shared" si="18"/>
        <v>FEDERAL</v>
      </c>
      <c r="N92" s="26">
        <v>33</v>
      </c>
      <c r="O92" s="26">
        <v>19</v>
      </c>
      <c r="P92" s="26">
        <v>14</v>
      </c>
      <c r="Q92" s="26">
        <v>4</v>
      </c>
      <c r="R92" s="26">
        <v>1</v>
      </c>
      <c r="S92" s="26">
        <v>4</v>
      </c>
      <c r="T92" s="26">
        <v>0</v>
      </c>
      <c r="U92" s="26">
        <v>5</v>
      </c>
      <c r="V92" s="26">
        <v>1</v>
      </c>
    </row>
    <row r="93" spans="1:22" x14ac:dyDescent="0.25">
      <c r="A93" s="26" t="str">
        <f t="shared" si="13"/>
        <v>ADULTOS-SECUNDARIA</v>
      </c>
      <c r="B93" s="26" t="str">
        <f>"09DBS0038X"</f>
        <v>09DBS0038X</v>
      </c>
      <c r="C93" s="26" t="str">
        <f>"HERMENEGILDO GALEANA                                                                                "</f>
        <v xml:space="preserve">HERMENEGILDO GALEANA                                                                                </v>
      </c>
      <c r="D93" s="26" t="str">
        <f t="shared" si="14"/>
        <v>NOCTURNO</v>
      </c>
      <c r="E93" s="26" t="str">
        <f>"QUETZALCOATL Y MATAMOROS S/N                                                    "</f>
        <v xml:space="preserve">QUETZALCOATL Y MATAMOROS S/N                                                    </v>
      </c>
      <c r="F93" s="26" t="str">
        <f>"PEÑON DE LOS BAÑOS                                                                                                                          "</f>
        <v xml:space="preserve">PEÑON DE LOS BAÑOS                                                                                                                          </v>
      </c>
      <c r="G93" s="26" t="str">
        <f>"VENUSTIANO CARRANZA                                                             "</f>
        <v xml:space="preserve">VENUSTIANO CARRANZA                                                             </v>
      </c>
      <c r="H93" s="26" t="str">
        <f>"043"</f>
        <v>043</v>
      </c>
      <c r="I93" s="26" t="str">
        <f t="shared" si="19"/>
        <v>00</v>
      </c>
      <c r="J93" s="26" t="str">
        <f t="shared" si="15"/>
        <v xml:space="preserve">09 </v>
      </c>
      <c r="K93" s="26" t="str">
        <f t="shared" si="16"/>
        <v>EX</v>
      </c>
      <c r="L93" s="26" t="str">
        <f t="shared" si="17"/>
        <v>DGOSE</v>
      </c>
      <c r="M93" s="26" t="str">
        <f t="shared" si="18"/>
        <v>FEDERAL</v>
      </c>
      <c r="N93" s="26">
        <v>24</v>
      </c>
      <c r="O93" s="26">
        <v>17</v>
      </c>
      <c r="P93" s="26">
        <v>7</v>
      </c>
      <c r="Q93" s="26">
        <v>2</v>
      </c>
      <c r="R93" s="26">
        <v>0</v>
      </c>
      <c r="S93" s="26">
        <v>4</v>
      </c>
      <c r="T93" s="26">
        <v>0</v>
      </c>
      <c r="U93" s="26">
        <v>4</v>
      </c>
      <c r="V93" s="26">
        <v>1</v>
      </c>
    </row>
    <row r="94" spans="1:22" x14ac:dyDescent="0.25">
      <c r="A94" s="26" t="str">
        <f t="shared" si="13"/>
        <v>ADULTOS-SECUNDARIA</v>
      </c>
      <c r="B94" s="26" t="str">
        <f>"09DBS0039W"</f>
        <v>09DBS0039W</v>
      </c>
      <c r="C94" s="26" t="str">
        <f>"JUAN CRISOSTOMO BONILLA                                                                             "</f>
        <v xml:space="preserve">JUAN CRISOSTOMO BONILLA                                                                             </v>
      </c>
      <c r="D94" s="26" t="str">
        <f t="shared" si="14"/>
        <v>NOCTURNO</v>
      </c>
      <c r="E94" s="26" t="str">
        <f>"AV 8 Y CALLE 65                                                                 "</f>
        <v xml:space="preserve">AV 8 Y CALLE 65                                                                 </v>
      </c>
      <c r="F94" s="26" t="str">
        <f>"PUEBLA                                                                                                                                      "</f>
        <v xml:space="preserve">PUEBLA                                                                                                                                      </v>
      </c>
      <c r="G94" s="26" t="str">
        <f>"VENUSTIANO CARRANZA                                                             "</f>
        <v xml:space="preserve">VENUSTIANO CARRANZA                                                             </v>
      </c>
      <c r="H94" s="26" t="str">
        <f>"044"</f>
        <v>044</v>
      </c>
      <c r="I94" s="26" t="str">
        <f t="shared" si="19"/>
        <v>00</v>
      </c>
      <c r="J94" s="26" t="str">
        <f t="shared" si="15"/>
        <v xml:space="preserve">09 </v>
      </c>
      <c r="K94" s="26" t="str">
        <f t="shared" si="16"/>
        <v>EX</v>
      </c>
      <c r="L94" s="26" t="str">
        <f t="shared" si="17"/>
        <v>DGOSE</v>
      </c>
      <c r="M94" s="26" t="str">
        <f t="shared" si="18"/>
        <v>FEDERAL</v>
      </c>
      <c r="N94" s="26">
        <v>33</v>
      </c>
      <c r="O94" s="26">
        <v>12</v>
      </c>
      <c r="P94" s="26">
        <v>21</v>
      </c>
      <c r="Q94" s="26">
        <v>2</v>
      </c>
      <c r="R94" s="26">
        <v>0</v>
      </c>
      <c r="S94" s="26">
        <v>5</v>
      </c>
      <c r="T94" s="26">
        <v>0</v>
      </c>
      <c r="U94" s="26">
        <v>5</v>
      </c>
      <c r="V94" s="26">
        <v>1</v>
      </c>
    </row>
    <row r="95" spans="1:22" x14ac:dyDescent="0.25">
      <c r="A95" s="26" t="str">
        <f t="shared" si="13"/>
        <v>ADULTOS-SECUNDARIA</v>
      </c>
      <c r="B95" s="26" t="str">
        <f>"09DBS0040L"</f>
        <v>09DBS0040L</v>
      </c>
      <c r="C95" s="26" t="str">
        <f>"ENRIQUE C REBSAMEN                                                                                  "</f>
        <v xml:space="preserve">ENRIQUE C REBSAMEN                                                                                  </v>
      </c>
      <c r="D95" s="26" t="str">
        <f t="shared" si="14"/>
        <v>NOCTURNO</v>
      </c>
      <c r="E95" s="26" t="str">
        <f>"IGNACIO ZARAGOZA S/N                                                            "</f>
        <v xml:space="preserve">IGNACIO ZARAGOZA S/N                                                            </v>
      </c>
      <c r="F95" s="26" t="str">
        <f>"SANTIAGO TULYEHUALCO                                                                                                                        "</f>
        <v xml:space="preserve">SANTIAGO TULYEHUALCO                                                                                                                        </v>
      </c>
      <c r="G95" s="26" t="str">
        <f>"XOCHIMILCO                                                                      "</f>
        <v xml:space="preserve">XOCHIMILCO                                                                      </v>
      </c>
      <c r="H95" s="26" t="str">
        <f>"   "</f>
        <v xml:space="preserve">   </v>
      </c>
      <c r="I95" s="26" t="str">
        <f t="shared" si="19"/>
        <v>00</v>
      </c>
      <c r="J95" s="26" t="str">
        <f t="shared" si="15"/>
        <v xml:space="preserve">09 </v>
      </c>
      <c r="K95" s="26" t="str">
        <f t="shared" si="16"/>
        <v>EX</v>
      </c>
      <c r="L95" s="26" t="str">
        <f t="shared" si="17"/>
        <v>DGOSE</v>
      </c>
      <c r="M95" s="26" t="str">
        <f t="shared" si="18"/>
        <v>FEDERAL</v>
      </c>
      <c r="N95" s="26">
        <v>35</v>
      </c>
      <c r="O95" s="26">
        <v>17</v>
      </c>
      <c r="P95" s="26">
        <v>18</v>
      </c>
      <c r="Q95" s="26">
        <v>2</v>
      </c>
      <c r="R95" s="26">
        <v>1</v>
      </c>
      <c r="S95" s="26">
        <v>3</v>
      </c>
      <c r="T95" s="26">
        <v>0</v>
      </c>
      <c r="U95" s="26">
        <v>4</v>
      </c>
      <c r="V95" s="26">
        <v>1</v>
      </c>
    </row>
    <row r="96" spans="1:22" x14ac:dyDescent="0.25">
      <c r="A96" s="26" t="str">
        <f t="shared" si="13"/>
        <v>ADULTOS-SECUNDARIA</v>
      </c>
      <c r="B96" s="26" t="str">
        <f>"09DBS0041K"</f>
        <v>09DBS0041K</v>
      </c>
      <c r="C96" s="26" t="str">
        <f>"CEDEX MEXICO-JAPON                                                                                  "</f>
        <v xml:space="preserve">CEDEX MEXICO-JAPON                                                                                  </v>
      </c>
      <c r="D96" s="26" t="str">
        <f t="shared" si="14"/>
        <v>NOCTURNO</v>
      </c>
      <c r="E96" s="26" t="str">
        <f>"CHIMALPOPOCA NO. 1                                                              "</f>
        <v xml:space="preserve">CHIMALPOPOCA NO. 1                                                              </v>
      </c>
      <c r="F96" s="26" t="str">
        <f>"MIXCOATL                                                                                                                                    "</f>
        <v xml:space="preserve">MIXCOATL                                                                                                                                    </v>
      </c>
      <c r="G96" s="26" t="str">
        <f t="shared" ref="G96:G104" si="22">"IZTAPALAPA                                                                      "</f>
        <v xml:space="preserve">IZTAPALAPA                                                                      </v>
      </c>
      <c r="H96" s="26" t="str">
        <f t="shared" ref="H96:H104" si="23">"000"</f>
        <v>000</v>
      </c>
      <c r="I96" s="26" t="str">
        <f t="shared" si="19"/>
        <v>00</v>
      </c>
      <c r="J96" s="26" t="str">
        <f>"64 "</f>
        <v xml:space="preserve">64 </v>
      </c>
      <c r="K96" s="26" t="str">
        <f t="shared" ref="K96:K104" si="24">"IZ"</f>
        <v>IZ</v>
      </c>
      <c r="L96" s="26" t="str">
        <f t="shared" ref="L96:L104" si="25">"DGSEI"</f>
        <v>DGSEI</v>
      </c>
      <c r="M96" s="26" t="str">
        <f t="shared" si="18"/>
        <v>FEDERAL</v>
      </c>
      <c r="N96" s="26">
        <v>50</v>
      </c>
      <c r="O96" s="26">
        <v>25</v>
      </c>
      <c r="P96" s="26">
        <v>25</v>
      </c>
      <c r="Q96" s="26">
        <v>3</v>
      </c>
      <c r="R96" s="26">
        <v>0</v>
      </c>
      <c r="S96" s="26">
        <v>4</v>
      </c>
      <c r="T96" s="26">
        <v>0</v>
      </c>
      <c r="U96" s="26">
        <v>4</v>
      </c>
      <c r="V96" s="26">
        <v>1</v>
      </c>
    </row>
    <row r="97" spans="1:22" x14ac:dyDescent="0.25">
      <c r="A97" s="26" t="str">
        <f t="shared" si="13"/>
        <v>ADULTOS-SECUNDARIA</v>
      </c>
      <c r="B97" s="26" t="str">
        <f>"09DBS0042J"</f>
        <v>09DBS0042J</v>
      </c>
      <c r="C97" s="26" t="str">
        <f>"PROFR. GERARDO BRUNO SEVILLA HERNANDEZ                                                              "</f>
        <v xml:space="preserve">PROFR. GERARDO BRUNO SEVILLA HERNANDEZ                                                              </v>
      </c>
      <c r="D97" s="26" t="str">
        <f t="shared" si="14"/>
        <v>NOCTURNO</v>
      </c>
      <c r="E97" s="26" t="str">
        <f>"EMILIANO ZAPATA NO. 129                                                         "</f>
        <v xml:space="preserve">EMILIANO ZAPATA NO. 129                                                         </v>
      </c>
      <c r="F97" s="26" t="str">
        <f>"SAN LORENZO TEZONCO                                                                                                                         "</f>
        <v xml:space="preserve">SAN LORENZO TEZONCO                                                                                                                         </v>
      </c>
      <c r="G97" s="26" t="str">
        <f t="shared" si="22"/>
        <v xml:space="preserve">IZTAPALAPA                                                                      </v>
      </c>
      <c r="H97" s="26" t="str">
        <f t="shared" si="23"/>
        <v>000</v>
      </c>
      <c r="I97" s="26" t="str">
        <f t="shared" si="19"/>
        <v>00</v>
      </c>
      <c r="J97" s="26" t="str">
        <f>"64 "</f>
        <v xml:space="preserve">64 </v>
      </c>
      <c r="K97" s="26" t="str">
        <f t="shared" si="24"/>
        <v>IZ</v>
      </c>
      <c r="L97" s="26" t="str">
        <f t="shared" si="25"/>
        <v>DGSEI</v>
      </c>
      <c r="M97" s="26" t="str">
        <f t="shared" si="18"/>
        <v>FEDERAL</v>
      </c>
      <c r="N97" s="26">
        <v>98</v>
      </c>
      <c r="O97" s="26">
        <v>52</v>
      </c>
      <c r="P97" s="26">
        <v>46</v>
      </c>
      <c r="Q97" s="26">
        <v>3</v>
      </c>
      <c r="R97" s="26">
        <v>1</v>
      </c>
      <c r="S97" s="26">
        <v>2</v>
      </c>
      <c r="T97" s="26">
        <v>0</v>
      </c>
      <c r="U97" s="26">
        <v>3</v>
      </c>
      <c r="V97" s="26">
        <v>1</v>
      </c>
    </row>
    <row r="98" spans="1:22" x14ac:dyDescent="0.25">
      <c r="A98" s="26" t="str">
        <f t="shared" si="13"/>
        <v>ADULTOS-SECUNDARIA</v>
      </c>
      <c r="B98" s="26" t="str">
        <f>"09DBS0043I"</f>
        <v>09DBS0043I</v>
      </c>
      <c r="C98" s="26" t="str">
        <f>"JUAN ANTONIO DE LA FUENTE                                                                           "</f>
        <v xml:space="preserve">JUAN ANTONIO DE LA FUENTE                                                                           </v>
      </c>
      <c r="D98" s="26" t="str">
        <f t="shared" si="14"/>
        <v>NOCTURNO</v>
      </c>
      <c r="E98" s="26" t="str">
        <f>"PLAZA DEL ARBOL NO. 28                                                          "</f>
        <v xml:space="preserve">PLAZA DEL ARBOL NO. 28                                                          </v>
      </c>
      <c r="F98" s="26" t="str">
        <f>"DOCTOR ALFONSO ORTIZ TIRADO                                                                                                                 "</f>
        <v xml:space="preserve">DOCTOR ALFONSO ORTIZ TIRADO                                                                                                                 </v>
      </c>
      <c r="G98" s="26" t="str">
        <f t="shared" si="22"/>
        <v xml:space="preserve">IZTAPALAPA                                                                      </v>
      </c>
      <c r="H98" s="26" t="str">
        <f t="shared" si="23"/>
        <v>000</v>
      </c>
      <c r="I98" s="26" t="str">
        <f t="shared" si="19"/>
        <v>00</v>
      </c>
      <c r="J98" s="26" t="str">
        <f>"62 "</f>
        <v xml:space="preserve">62 </v>
      </c>
      <c r="K98" s="26" t="str">
        <f t="shared" si="24"/>
        <v>IZ</v>
      </c>
      <c r="L98" s="26" t="str">
        <f t="shared" si="25"/>
        <v>DGSEI</v>
      </c>
      <c r="M98" s="26" t="str">
        <f t="shared" si="18"/>
        <v>FEDERAL</v>
      </c>
      <c r="N98" s="26">
        <v>27</v>
      </c>
      <c r="O98" s="26">
        <v>21</v>
      </c>
      <c r="P98" s="26">
        <v>6</v>
      </c>
      <c r="Q98" s="26">
        <v>2</v>
      </c>
      <c r="R98" s="26">
        <v>1</v>
      </c>
      <c r="S98" s="26">
        <v>4</v>
      </c>
      <c r="T98" s="26">
        <v>0</v>
      </c>
      <c r="U98" s="26">
        <v>5</v>
      </c>
      <c r="V98" s="26">
        <v>1</v>
      </c>
    </row>
    <row r="99" spans="1:22" x14ac:dyDescent="0.25">
      <c r="A99" s="26" t="str">
        <f t="shared" si="13"/>
        <v>ADULTOS-SECUNDARIA</v>
      </c>
      <c r="B99" s="26" t="str">
        <f>"09DBS0044H"</f>
        <v>09DBS0044H</v>
      </c>
      <c r="C99" s="26" t="str">
        <f>"TEOFILO CEDILLO GRANADOS                                                                            "</f>
        <v xml:space="preserve">TEOFILO CEDILLO GRANADOS                                                                            </v>
      </c>
      <c r="D99" s="26" t="str">
        <f t="shared" si="14"/>
        <v>NOCTURNO</v>
      </c>
      <c r="E99" s="26" t="str">
        <f>"LIBERTAD NO. 23                                                                 "</f>
        <v xml:space="preserve">LIBERTAD NO. 23                                                                 </v>
      </c>
      <c r="F99" s="26" t="str">
        <f>"SAN LUCAS                                                                                                                                   "</f>
        <v xml:space="preserve">SAN LUCAS                                                                                                                                   </v>
      </c>
      <c r="G99" s="26" t="str">
        <f t="shared" si="22"/>
        <v xml:space="preserve">IZTAPALAPA                                                                      </v>
      </c>
      <c r="H99" s="26" t="str">
        <f t="shared" si="23"/>
        <v>000</v>
      </c>
      <c r="I99" s="26" t="str">
        <f t="shared" si="19"/>
        <v>00</v>
      </c>
      <c r="J99" s="26" t="str">
        <f>"62 "</f>
        <v xml:space="preserve">62 </v>
      </c>
      <c r="K99" s="26" t="str">
        <f t="shared" si="24"/>
        <v>IZ</v>
      </c>
      <c r="L99" s="26" t="str">
        <f t="shared" si="25"/>
        <v>DGSEI</v>
      </c>
      <c r="M99" s="26" t="str">
        <f t="shared" si="18"/>
        <v>FEDERAL</v>
      </c>
      <c r="N99" s="26">
        <v>22</v>
      </c>
      <c r="O99" s="26">
        <v>15</v>
      </c>
      <c r="P99" s="26">
        <v>7</v>
      </c>
      <c r="Q99" s="26">
        <v>2</v>
      </c>
      <c r="R99" s="26">
        <v>1</v>
      </c>
      <c r="S99" s="26">
        <v>3</v>
      </c>
      <c r="T99" s="26">
        <v>0</v>
      </c>
      <c r="U99" s="26">
        <v>4</v>
      </c>
      <c r="V99" s="26">
        <v>1</v>
      </c>
    </row>
    <row r="100" spans="1:22" x14ac:dyDescent="0.25">
      <c r="A100" s="26" t="str">
        <f t="shared" si="13"/>
        <v>ADULTOS-SECUNDARIA</v>
      </c>
      <c r="B100" s="26" t="str">
        <f>"09DBS0045G"</f>
        <v>09DBS0045G</v>
      </c>
      <c r="C100" s="26" t="str">
        <f>"JOSE VASCONCELOS                                                                                    "</f>
        <v xml:space="preserve">JOSE VASCONCELOS                                                                                    </v>
      </c>
      <c r="D100" s="26" t="str">
        <f t="shared" si="14"/>
        <v>NOCTURNO</v>
      </c>
      <c r="E100" s="26" t="str">
        <f>"LIRIO Y TERRAPLEN                                                               "</f>
        <v xml:space="preserve">LIRIO Y TERRAPLEN                                                               </v>
      </c>
      <c r="F100" s="26" t="str">
        <f>"LOS ANGELES APANOAYA                                                                                                                        "</f>
        <v xml:space="preserve">LOS ANGELES APANOAYA                                                                                                                        </v>
      </c>
      <c r="G100" s="26" t="str">
        <f t="shared" si="22"/>
        <v xml:space="preserve">IZTAPALAPA                                                                      </v>
      </c>
      <c r="H100" s="26" t="str">
        <f t="shared" si="23"/>
        <v>000</v>
      </c>
      <c r="I100" s="26" t="str">
        <f t="shared" si="19"/>
        <v>00</v>
      </c>
      <c r="J100" s="26" t="str">
        <f>"64 "</f>
        <v xml:space="preserve">64 </v>
      </c>
      <c r="K100" s="26" t="str">
        <f t="shared" si="24"/>
        <v>IZ</v>
      </c>
      <c r="L100" s="26" t="str">
        <f t="shared" si="25"/>
        <v>DGSEI</v>
      </c>
      <c r="M100" s="26" t="str">
        <f t="shared" si="18"/>
        <v>FEDERAL</v>
      </c>
      <c r="N100" s="26">
        <v>78</v>
      </c>
      <c r="O100" s="26">
        <v>35</v>
      </c>
      <c r="P100" s="26">
        <v>43</v>
      </c>
      <c r="Q100" s="26">
        <v>3</v>
      </c>
      <c r="R100" s="26">
        <v>1</v>
      </c>
      <c r="S100" s="26">
        <v>4</v>
      </c>
      <c r="T100" s="26">
        <v>0</v>
      </c>
      <c r="U100" s="26">
        <v>5</v>
      </c>
      <c r="V100" s="26">
        <v>1</v>
      </c>
    </row>
    <row r="101" spans="1:22" x14ac:dyDescent="0.25">
      <c r="A101" s="26" t="str">
        <f t="shared" si="13"/>
        <v>ADULTOS-SECUNDARIA</v>
      </c>
      <c r="B101" s="26" t="str">
        <f>"09DBS0046F"</f>
        <v>09DBS0046F</v>
      </c>
      <c r="C101" s="26" t="str">
        <f>"REPUBLICA DE BRASIL                                                                                 "</f>
        <v xml:space="preserve">REPUBLICA DE BRASIL                                                                                 </v>
      </c>
      <c r="D101" s="26" t="str">
        <f t="shared" si="14"/>
        <v>NOCTURNO</v>
      </c>
      <c r="E101" s="26" t="str">
        <f>"CALLE 65 NO. 114                                                                "</f>
        <v xml:space="preserve">CALLE 65 NO. 114                                                                </v>
      </c>
      <c r="F101" s="26" t="str">
        <f>"UNIDAD SANTA CRUZ MEYEHUALCO                                                                                                                "</f>
        <v xml:space="preserve">UNIDAD SANTA CRUZ MEYEHUALCO                                                                                                                </v>
      </c>
      <c r="G101" s="26" t="str">
        <f t="shared" si="22"/>
        <v xml:space="preserve">IZTAPALAPA                                                                      </v>
      </c>
      <c r="H101" s="26" t="str">
        <f t="shared" si="23"/>
        <v>000</v>
      </c>
      <c r="I101" s="26" t="str">
        <f t="shared" si="19"/>
        <v>00</v>
      </c>
      <c r="J101" s="26" t="str">
        <f>"64 "</f>
        <v xml:space="preserve">64 </v>
      </c>
      <c r="K101" s="26" t="str">
        <f t="shared" si="24"/>
        <v>IZ</v>
      </c>
      <c r="L101" s="26" t="str">
        <f t="shared" si="25"/>
        <v>DGSEI</v>
      </c>
      <c r="M101" s="26" t="str">
        <f t="shared" si="18"/>
        <v>FEDERAL</v>
      </c>
      <c r="N101" s="26">
        <v>60</v>
      </c>
      <c r="O101" s="26">
        <v>40</v>
      </c>
      <c r="P101" s="26">
        <v>20</v>
      </c>
      <c r="Q101" s="26">
        <v>7</v>
      </c>
      <c r="R101" s="26">
        <v>1</v>
      </c>
      <c r="S101" s="26">
        <v>6</v>
      </c>
      <c r="T101" s="26">
        <v>0</v>
      </c>
      <c r="U101" s="26">
        <v>7</v>
      </c>
      <c r="V101" s="26">
        <v>1</v>
      </c>
    </row>
    <row r="102" spans="1:22" x14ac:dyDescent="0.25">
      <c r="A102" s="26" t="str">
        <f t="shared" si="13"/>
        <v>ADULTOS-SECUNDARIA</v>
      </c>
      <c r="B102" s="26" t="str">
        <f>"09DBS0047E"</f>
        <v>09DBS0047E</v>
      </c>
      <c r="C102" s="26" t="str">
        <f>"LUIS PASTEUR                                                                                        "</f>
        <v xml:space="preserve">LUIS PASTEUR                                                                                        </v>
      </c>
      <c r="D102" s="26" t="str">
        <f t="shared" si="14"/>
        <v>NOCTURNO</v>
      </c>
      <c r="E102" s="26" t="str">
        <f>"AV. TEXCOCO Y SENTIMIENTO A LA NACION                                           "</f>
        <v xml:space="preserve">AV. TEXCOCO Y SENTIMIENTO A LA NACION                                           </v>
      </c>
      <c r="F102" s="26" t="str">
        <f>"LA COLMENA                                                                                                                                  "</f>
        <v xml:space="preserve">LA COLMENA                                                                                                                                  </v>
      </c>
      <c r="G102" s="26" t="str">
        <f t="shared" si="22"/>
        <v xml:space="preserve">IZTAPALAPA                                                                      </v>
      </c>
      <c r="H102" s="26" t="str">
        <f t="shared" si="23"/>
        <v>000</v>
      </c>
      <c r="I102" s="26" t="str">
        <f t="shared" si="19"/>
        <v>00</v>
      </c>
      <c r="J102" s="26" t="str">
        <f>"62 "</f>
        <v xml:space="preserve">62 </v>
      </c>
      <c r="K102" s="26" t="str">
        <f t="shared" si="24"/>
        <v>IZ</v>
      </c>
      <c r="L102" s="26" t="str">
        <f t="shared" si="25"/>
        <v>DGSEI</v>
      </c>
      <c r="M102" s="26" t="str">
        <f t="shared" si="18"/>
        <v>FEDERAL</v>
      </c>
      <c r="N102" s="26">
        <v>52</v>
      </c>
      <c r="O102" s="26">
        <v>31</v>
      </c>
      <c r="P102" s="26">
        <v>21</v>
      </c>
      <c r="Q102" s="26">
        <v>4</v>
      </c>
      <c r="R102" s="26">
        <v>1</v>
      </c>
      <c r="S102" s="26">
        <v>4</v>
      </c>
      <c r="T102" s="26">
        <v>0</v>
      </c>
      <c r="U102" s="26">
        <v>5</v>
      </c>
      <c r="V102" s="26">
        <v>1</v>
      </c>
    </row>
    <row r="103" spans="1:22" x14ac:dyDescent="0.25">
      <c r="A103" s="26" t="str">
        <f t="shared" si="13"/>
        <v>ADULTOS-SECUNDARIA</v>
      </c>
      <c r="B103" s="26" t="str">
        <f>"09DBS0048D"</f>
        <v>09DBS0048D</v>
      </c>
      <c r="C103" s="26" t="str">
        <f>"JULIO CORTAZAR                                                                                      "</f>
        <v xml:space="preserve">JULIO CORTAZAR                                                                                      </v>
      </c>
      <c r="D103" s="26" t="str">
        <f t="shared" si="14"/>
        <v>NOCTURNO</v>
      </c>
      <c r="E103" s="26" t="str">
        <f>"JUAN CRISOSTOMO BONILLA                                                         "</f>
        <v xml:space="preserve">JUAN CRISOSTOMO BONILLA                                                         </v>
      </c>
      <c r="F103" s="26" t="str">
        <f>"UNIDAD HABITACIONAL IGNACIO ZARAGOZ                                                                                                         "</f>
        <v xml:space="preserve">UNIDAD HABITACIONAL IGNACIO ZARAGOZ                                                                                                         </v>
      </c>
      <c r="G103" s="26" t="str">
        <f t="shared" si="22"/>
        <v xml:space="preserve">IZTAPALAPA                                                                      </v>
      </c>
      <c r="H103" s="26" t="str">
        <f t="shared" si="23"/>
        <v>000</v>
      </c>
      <c r="I103" s="26" t="str">
        <f t="shared" si="19"/>
        <v>00</v>
      </c>
      <c r="J103" s="26" t="str">
        <f>"62 "</f>
        <v xml:space="preserve">62 </v>
      </c>
      <c r="K103" s="26" t="str">
        <f t="shared" si="24"/>
        <v>IZ</v>
      </c>
      <c r="L103" s="26" t="str">
        <f t="shared" si="25"/>
        <v>DGSEI</v>
      </c>
      <c r="M103" s="26" t="str">
        <f t="shared" si="18"/>
        <v>FEDERAL</v>
      </c>
      <c r="N103" s="26">
        <v>93</v>
      </c>
      <c r="O103" s="26">
        <v>55</v>
      </c>
      <c r="P103" s="26">
        <v>38</v>
      </c>
      <c r="Q103" s="26">
        <v>6</v>
      </c>
      <c r="R103" s="26">
        <v>0</v>
      </c>
      <c r="S103" s="26">
        <v>9</v>
      </c>
      <c r="T103" s="26">
        <v>0</v>
      </c>
      <c r="U103" s="26">
        <v>9</v>
      </c>
      <c r="V103" s="26">
        <v>1</v>
      </c>
    </row>
    <row r="104" spans="1:22" x14ac:dyDescent="0.25">
      <c r="A104" s="26" t="str">
        <f t="shared" si="13"/>
        <v>ADULTOS-SECUNDARIA</v>
      </c>
      <c r="B104" s="26" t="str">
        <f>"09DBS0049C"</f>
        <v>09DBS0049C</v>
      </c>
      <c r="C104" s="26" t="str">
        <f>"HEROES DEL MOLINO DEL REY                                                                           "</f>
        <v xml:space="preserve">HEROES DEL MOLINO DEL REY                                                                           </v>
      </c>
      <c r="D104" s="26" t="str">
        <f t="shared" si="14"/>
        <v>NOCTURNO</v>
      </c>
      <c r="E104" s="26" t="str">
        <f>"GENERAL MANUEL CEPEDA PERAZA NO. 41                                             "</f>
        <v xml:space="preserve">GENERAL MANUEL CEPEDA PERAZA NO. 41                                             </v>
      </c>
      <c r="F104" s="26" t="str">
        <f>"JUAN ESCUTIA                                                                                                                                "</f>
        <v xml:space="preserve">JUAN ESCUTIA                                                                                                                                </v>
      </c>
      <c r="G104" s="26" t="str">
        <f t="shared" si="22"/>
        <v xml:space="preserve">IZTAPALAPA                                                                      </v>
      </c>
      <c r="H104" s="26" t="str">
        <f t="shared" si="23"/>
        <v>000</v>
      </c>
      <c r="I104" s="26" t="str">
        <f t="shared" si="19"/>
        <v>00</v>
      </c>
      <c r="J104" s="26" t="str">
        <f>"62 "</f>
        <v xml:space="preserve">62 </v>
      </c>
      <c r="K104" s="26" t="str">
        <f t="shared" si="24"/>
        <v>IZ</v>
      </c>
      <c r="L104" s="26" t="str">
        <f t="shared" si="25"/>
        <v>DGSEI</v>
      </c>
      <c r="M104" s="26" t="str">
        <f t="shared" si="18"/>
        <v>FEDERAL</v>
      </c>
      <c r="N104" s="26">
        <v>80</v>
      </c>
      <c r="O104" s="26">
        <v>52</v>
      </c>
      <c r="P104" s="26">
        <v>28</v>
      </c>
      <c r="Q104" s="26">
        <v>3</v>
      </c>
      <c r="R104" s="26">
        <v>0</v>
      </c>
      <c r="S104" s="26">
        <v>6</v>
      </c>
      <c r="T104" s="26">
        <v>0</v>
      </c>
      <c r="U104" s="26">
        <v>6</v>
      </c>
      <c r="V104" s="26">
        <v>1</v>
      </c>
    </row>
    <row r="105" spans="1:22" x14ac:dyDescent="0.25">
      <c r="A105" s="26" t="str">
        <f t="shared" si="13"/>
        <v>ADULTOS-SECUNDARIA</v>
      </c>
      <c r="B105" s="26" t="str">
        <f>"09DBS0050S"</f>
        <v>09DBS0050S</v>
      </c>
      <c r="C105" s="26" t="str">
        <f>"DR. LEOPOLDO SALAZAR VINIEGRA                                                                       "</f>
        <v xml:space="preserve">DR. LEOPOLDO SALAZAR VINIEGRA                                                                       </v>
      </c>
      <c r="D105" s="26" t="str">
        <f t="shared" si="14"/>
        <v>NOCTURNO</v>
      </c>
      <c r="E105" s="26" t="str">
        <f>"JOSE MARIA IZAZAGA NO 23-A                                                      "</f>
        <v xml:space="preserve">JOSE MARIA IZAZAGA NO 23-A                                                      </v>
      </c>
      <c r="F105" s="26" t="str">
        <f>"CENTRO                                                                                                                                      "</f>
        <v xml:space="preserve">CENTRO                                                                                                                                      </v>
      </c>
      <c r="G105" s="26" t="str">
        <f>"CUAUHTEMOC                                                                      "</f>
        <v xml:space="preserve">CUAUHTEMOC                                                                      </v>
      </c>
      <c r="H105" s="26" t="str">
        <f>"   "</f>
        <v xml:space="preserve">   </v>
      </c>
      <c r="I105" s="26" t="str">
        <f t="shared" si="19"/>
        <v>00</v>
      </c>
      <c r="J105" s="26" t="str">
        <f>"09 "</f>
        <v xml:space="preserve">09 </v>
      </c>
      <c r="K105" s="26" t="str">
        <f>"EX"</f>
        <v>EX</v>
      </c>
      <c r="L105" s="26" t="str">
        <f>"DGOSE"</f>
        <v>DGOSE</v>
      </c>
      <c r="M105" s="26" t="str">
        <f t="shared" si="18"/>
        <v>FEDERAL</v>
      </c>
      <c r="N105" s="26">
        <v>45</v>
      </c>
      <c r="O105" s="26">
        <v>31</v>
      </c>
      <c r="P105" s="26">
        <v>14</v>
      </c>
      <c r="Q105" s="26">
        <v>5</v>
      </c>
      <c r="R105" s="26">
        <v>0</v>
      </c>
      <c r="S105" s="26">
        <v>8</v>
      </c>
      <c r="T105" s="26">
        <v>0</v>
      </c>
      <c r="U105" s="26">
        <v>8</v>
      </c>
      <c r="V105" s="26">
        <v>1</v>
      </c>
    </row>
    <row r="106" spans="1:22" x14ac:dyDescent="0.25">
      <c r="A106" s="26" t="str">
        <f t="shared" si="13"/>
        <v>ADULTOS-SECUNDARIA</v>
      </c>
      <c r="B106" s="26" t="str">
        <f>"09DBS0051R"</f>
        <v>09DBS0051R</v>
      </c>
      <c r="C106" s="26" t="str">
        <f>"SALVADOR NOVO                                                                                       "</f>
        <v xml:space="preserve">SALVADOR NOVO                                                                                       </v>
      </c>
      <c r="D106" s="26" t="str">
        <f t="shared" si="14"/>
        <v>NOCTURNO</v>
      </c>
      <c r="E106" s="26" t="str">
        <f>"AV. HIDALGO NO. 140                                                             "</f>
        <v xml:space="preserve">AV. HIDALGO NO. 140                                                             </v>
      </c>
      <c r="F106" s="26" t="str">
        <f>"PURISIMA                                                                                                                                    "</f>
        <v xml:space="preserve">PURISIMA                                                                                                                                    </v>
      </c>
      <c r="G106" s="26" t="str">
        <f>"IZTAPALAPA                                                                      "</f>
        <v xml:space="preserve">IZTAPALAPA                                                                      </v>
      </c>
      <c r="H106" s="26" t="str">
        <f>"000"</f>
        <v>000</v>
      </c>
      <c r="I106" s="26" t="str">
        <f t="shared" si="19"/>
        <v>00</v>
      </c>
      <c r="J106" s="26" t="str">
        <f>"62 "</f>
        <v xml:space="preserve">62 </v>
      </c>
      <c r="K106" s="26" t="str">
        <f>"IZ"</f>
        <v>IZ</v>
      </c>
      <c r="L106" s="26" t="str">
        <f>"DGSEI"</f>
        <v>DGSEI</v>
      </c>
      <c r="M106" s="26" t="str">
        <f t="shared" si="18"/>
        <v>FEDERAL</v>
      </c>
      <c r="N106" s="26">
        <v>67</v>
      </c>
      <c r="O106" s="26">
        <v>43</v>
      </c>
      <c r="P106" s="26">
        <v>24</v>
      </c>
      <c r="Q106" s="26">
        <v>3</v>
      </c>
      <c r="R106" s="26">
        <v>1</v>
      </c>
      <c r="S106" s="26">
        <v>3</v>
      </c>
      <c r="T106" s="26">
        <v>0</v>
      </c>
      <c r="U106" s="26">
        <v>4</v>
      </c>
      <c r="V106" s="26">
        <v>1</v>
      </c>
    </row>
    <row r="107" spans="1:22" x14ac:dyDescent="0.25">
      <c r="A107" s="26" t="str">
        <f t="shared" si="13"/>
        <v>ADULTOS-SECUNDARIA</v>
      </c>
      <c r="B107" s="26" t="str">
        <f>"09DBS0052Q"</f>
        <v>09DBS0052Q</v>
      </c>
      <c r="C107" s="26" t="str">
        <f>"BARTOLOME DE LAS CASAS                                                                              "</f>
        <v xml:space="preserve">BARTOLOME DE LAS CASAS                                                                              </v>
      </c>
      <c r="D107" s="26" t="str">
        <f t="shared" si="14"/>
        <v>NOCTURNO</v>
      </c>
      <c r="E107" s="26" t="str">
        <f>"SUR 81 S/N                                                                      "</f>
        <v xml:space="preserve">SUR 81 S/N                                                                      </v>
      </c>
      <c r="F107" s="26" t="str">
        <f>"MERCED BALBUENA                                                                                                                             "</f>
        <v xml:space="preserve">MERCED BALBUENA                                                                                                                             </v>
      </c>
      <c r="G107" s="26" t="str">
        <f>"VENUSTIANO CARRANZA                                                             "</f>
        <v xml:space="preserve">VENUSTIANO CARRANZA                                                             </v>
      </c>
      <c r="H107" s="26" t="str">
        <f>"043"</f>
        <v>043</v>
      </c>
      <c r="I107" s="26" t="str">
        <f t="shared" si="19"/>
        <v>00</v>
      </c>
      <c r="J107" s="26" t="str">
        <f t="shared" ref="J107:J112" si="26">"09 "</f>
        <v xml:space="preserve">09 </v>
      </c>
      <c r="K107" s="26" t="str">
        <f t="shared" ref="K107:K112" si="27">"EX"</f>
        <v>EX</v>
      </c>
      <c r="L107" s="26" t="str">
        <f t="shared" ref="L107:L112" si="28">"DGOSE"</f>
        <v>DGOSE</v>
      </c>
      <c r="M107" s="26" t="str">
        <f t="shared" si="18"/>
        <v>FEDERAL</v>
      </c>
      <c r="N107" s="26">
        <v>65</v>
      </c>
      <c r="O107" s="26">
        <v>40</v>
      </c>
      <c r="P107" s="26">
        <v>25</v>
      </c>
      <c r="Q107" s="26">
        <v>4</v>
      </c>
      <c r="R107" s="26">
        <v>1</v>
      </c>
      <c r="S107" s="26">
        <v>4</v>
      </c>
      <c r="T107" s="26">
        <v>1</v>
      </c>
      <c r="U107" s="26">
        <v>6</v>
      </c>
      <c r="V107" s="26">
        <v>1</v>
      </c>
    </row>
    <row r="108" spans="1:22" x14ac:dyDescent="0.25">
      <c r="A108" s="26" t="str">
        <f t="shared" si="13"/>
        <v>ADULTOS-SECUNDARIA</v>
      </c>
      <c r="B108" s="26" t="str">
        <f>"09DBS0053P"</f>
        <v>09DBS0053P</v>
      </c>
      <c r="C108" s="26" t="str">
        <f>"MACHTITEOPAN                                                                                        "</f>
        <v xml:space="preserve">MACHTITEOPAN                                                                                        </v>
      </c>
      <c r="D108" s="26" t="str">
        <f t="shared" si="14"/>
        <v>NOCTURNO</v>
      </c>
      <c r="E108" s="26" t="str">
        <f>"XOCHITLAN NORTE Y SUR S/N                                                       "</f>
        <v xml:space="preserve">XOCHITLAN NORTE Y SUR S/N                                                       </v>
      </c>
      <c r="F108" s="26" t="str">
        <f>"ARENAL 4A SECCION                                                                                                                           "</f>
        <v xml:space="preserve">ARENAL 4A SECCION                                                                                                                           </v>
      </c>
      <c r="G108" s="26" t="str">
        <f>"VENUSTIANO CARRANZA                                                             "</f>
        <v xml:space="preserve">VENUSTIANO CARRANZA                                                             </v>
      </c>
      <c r="H108" s="26" t="str">
        <f>"   "</f>
        <v xml:space="preserve">   </v>
      </c>
      <c r="I108" s="26" t="str">
        <f t="shared" si="19"/>
        <v>00</v>
      </c>
      <c r="J108" s="26" t="str">
        <f t="shared" si="26"/>
        <v xml:space="preserve">09 </v>
      </c>
      <c r="K108" s="26" t="str">
        <f t="shared" si="27"/>
        <v>EX</v>
      </c>
      <c r="L108" s="26" t="str">
        <f t="shared" si="28"/>
        <v>DGOSE</v>
      </c>
      <c r="M108" s="26" t="str">
        <f t="shared" si="18"/>
        <v>FEDERAL</v>
      </c>
      <c r="N108" s="26">
        <v>15</v>
      </c>
      <c r="O108" s="26">
        <v>8</v>
      </c>
      <c r="P108" s="26">
        <v>7</v>
      </c>
      <c r="Q108" s="26">
        <v>2</v>
      </c>
      <c r="R108" s="26">
        <v>0</v>
      </c>
      <c r="S108" s="26">
        <v>4</v>
      </c>
      <c r="T108" s="26">
        <v>0</v>
      </c>
      <c r="U108" s="26">
        <v>4</v>
      </c>
      <c r="V108" s="26">
        <v>1</v>
      </c>
    </row>
    <row r="109" spans="1:22" x14ac:dyDescent="0.25">
      <c r="A109" s="26" t="str">
        <f t="shared" si="13"/>
        <v>ADULTOS-SECUNDARIA</v>
      </c>
      <c r="B109" s="26" t="str">
        <f>"09DBS0054O"</f>
        <v>09DBS0054O</v>
      </c>
      <c r="C109" s="26" t="str">
        <f>"CARLOS MARX                                                                                         "</f>
        <v xml:space="preserve">CARLOS MARX                                                                                         </v>
      </c>
      <c r="D109" s="26" t="str">
        <f t="shared" si="14"/>
        <v>NOCTURNO</v>
      </c>
      <c r="E109" s="26" t="str">
        <f>"CALZADA REAL DE SAN MARTIN NO 98                                                "</f>
        <v xml:space="preserve">CALZADA REAL DE SAN MARTIN NO 98                                                </v>
      </c>
      <c r="F109" s="26" t="str">
        <f>"SANTA BARBARA                                                                                                                               "</f>
        <v xml:space="preserve">SANTA BARBARA                                                                                                                               </v>
      </c>
      <c r="G109" s="26" t="str">
        <f>"AZCAPOTZALCO                                                                    "</f>
        <v xml:space="preserve">AZCAPOTZALCO                                                                    </v>
      </c>
      <c r="H109" s="26" t="str">
        <f>"000"</f>
        <v>000</v>
      </c>
      <c r="I109" s="26" t="str">
        <f t="shared" si="19"/>
        <v>00</v>
      </c>
      <c r="J109" s="26" t="str">
        <f t="shared" si="26"/>
        <v xml:space="preserve">09 </v>
      </c>
      <c r="K109" s="26" t="str">
        <f t="shared" si="27"/>
        <v>EX</v>
      </c>
      <c r="L109" s="26" t="str">
        <f t="shared" si="28"/>
        <v>DGOSE</v>
      </c>
      <c r="M109" s="26" t="str">
        <f t="shared" si="18"/>
        <v>FEDERAL</v>
      </c>
      <c r="N109" s="26">
        <v>56</v>
      </c>
      <c r="O109" s="26">
        <v>31</v>
      </c>
      <c r="P109" s="26">
        <v>25</v>
      </c>
      <c r="Q109" s="26">
        <v>3</v>
      </c>
      <c r="R109" s="26">
        <v>1</v>
      </c>
      <c r="S109" s="26">
        <v>3</v>
      </c>
      <c r="T109" s="26">
        <v>0</v>
      </c>
      <c r="U109" s="26">
        <v>4</v>
      </c>
      <c r="V109" s="26">
        <v>1</v>
      </c>
    </row>
    <row r="110" spans="1:22" x14ac:dyDescent="0.25">
      <c r="A110" s="26" t="str">
        <f t="shared" si="13"/>
        <v>ADULTOS-SECUNDARIA</v>
      </c>
      <c r="B110" s="26" t="str">
        <f>"09PBS0001O"</f>
        <v>09PBS0001O</v>
      </c>
      <c r="C110" s="26" t="str">
        <f>"DR BELISARIO DOMINGUEZ                                                                              "</f>
        <v xml:space="preserve">DR BELISARIO DOMINGUEZ                                                                              </v>
      </c>
      <c r="D110" s="26" t="str">
        <f t="shared" si="14"/>
        <v>NOCTURNO</v>
      </c>
      <c r="E110" s="26" t="str">
        <f>"CAMPO MILITAR NUMERO 1-A                                                        "</f>
        <v xml:space="preserve">CAMPO MILITAR NUMERO 1-A                                                        </v>
      </c>
      <c r="F110" s="26" t="str">
        <f>"LOMAS DE SOTELO                                                                                                                             "</f>
        <v xml:space="preserve">LOMAS DE SOTELO                                                                                                                             </v>
      </c>
      <c r="G110" s="26" t="str">
        <f>"MIGUEL HIDALGO                                                                  "</f>
        <v xml:space="preserve">MIGUEL HIDALGO                                                                  </v>
      </c>
      <c r="H110" s="26" t="str">
        <f>"028"</f>
        <v>028</v>
      </c>
      <c r="I110" s="26" t="str">
        <f t="shared" si="19"/>
        <v>00</v>
      </c>
      <c r="J110" s="26" t="str">
        <f t="shared" si="26"/>
        <v xml:space="preserve">09 </v>
      </c>
      <c r="K110" s="26" t="str">
        <f t="shared" si="27"/>
        <v>EX</v>
      </c>
      <c r="L110" s="26" t="str">
        <f t="shared" si="28"/>
        <v>DGOSE</v>
      </c>
      <c r="M110" s="26" t="str">
        <f>"PARTICULAR"</f>
        <v>PARTICULAR</v>
      </c>
      <c r="N110" s="26">
        <v>60</v>
      </c>
      <c r="O110" s="26">
        <v>45</v>
      </c>
      <c r="P110" s="26">
        <v>15</v>
      </c>
      <c r="Q110" s="26">
        <v>4</v>
      </c>
      <c r="R110" s="26">
        <v>1</v>
      </c>
      <c r="S110" s="26">
        <v>9</v>
      </c>
      <c r="T110" s="26">
        <v>0</v>
      </c>
      <c r="U110" s="26">
        <v>10</v>
      </c>
      <c r="V110" s="26">
        <v>1</v>
      </c>
    </row>
    <row r="111" spans="1:22" x14ac:dyDescent="0.25">
      <c r="A111" s="26" t="str">
        <f t="shared" si="13"/>
        <v>ADULTOS-SECUNDARIA</v>
      </c>
      <c r="B111" s="26" t="str">
        <f>"09PBS0002N"</f>
        <v>09PBS0002N</v>
      </c>
      <c r="C111" s="26" t="str">
        <f>"ALHUCEMA                                                                                            "</f>
        <v xml:space="preserve">ALHUCEMA                                                                                            </v>
      </c>
      <c r="D111" s="26" t="str">
        <f t="shared" si="14"/>
        <v>NOCTURNO</v>
      </c>
      <c r="E111" s="26" t="str">
        <f>"PROVIDENCIA NUM 722                                                             "</f>
        <v xml:space="preserve">PROVIDENCIA NUM 722                                                             </v>
      </c>
      <c r="F111" s="26" t="str">
        <f>"DEL VALLE                                                                                                                                   "</f>
        <v xml:space="preserve">DEL VALLE                                                                                                                                   </v>
      </c>
      <c r="G111" s="26" t="str">
        <f>"BENITO JUAREZ                                                                   "</f>
        <v xml:space="preserve">BENITO JUAREZ                                                                   </v>
      </c>
      <c r="H111" s="26" t="str">
        <f>"044"</f>
        <v>044</v>
      </c>
      <c r="I111" s="26" t="str">
        <f t="shared" si="19"/>
        <v>00</v>
      </c>
      <c r="J111" s="26" t="str">
        <f t="shared" si="26"/>
        <v xml:space="preserve">09 </v>
      </c>
      <c r="K111" s="26" t="str">
        <f t="shared" si="27"/>
        <v>EX</v>
      </c>
      <c r="L111" s="26" t="str">
        <f t="shared" si="28"/>
        <v>DGOSE</v>
      </c>
      <c r="M111" s="26" t="str">
        <f>"PARTICULAR"</f>
        <v>PARTICULAR</v>
      </c>
      <c r="N111" s="26">
        <v>3</v>
      </c>
      <c r="O111" s="26">
        <v>0</v>
      </c>
      <c r="P111" s="26">
        <v>3</v>
      </c>
      <c r="Q111" s="26">
        <v>2</v>
      </c>
      <c r="R111" s="26">
        <v>0</v>
      </c>
      <c r="S111" s="26">
        <v>1</v>
      </c>
      <c r="T111" s="26">
        <v>0</v>
      </c>
      <c r="U111" s="26">
        <v>1</v>
      </c>
      <c r="V111" s="26">
        <v>1</v>
      </c>
    </row>
    <row r="112" spans="1:22" x14ac:dyDescent="0.25">
      <c r="A112" s="26" t="str">
        <f t="shared" si="13"/>
        <v>ADULTOS-SECUNDARIA</v>
      </c>
      <c r="B112" s="26" t="str">
        <f>"09PBS0005K"</f>
        <v>09PBS0005K</v>
      </c>
      <c r="C112" s="26" t="str">
        <f>"DR JAIME TORRES BODET                                                                               "</f>
        <v xml:space="preserve">DR JAIME TORRES BODET                                                                               </v>
      </c>
      <c r="D112" s="26" t="str">
        <f t="shared" si="14"/>
        <v>NOCTURNO</v>
      </c>
      <c r="E112" s="26" t="str">
        <f>"AV PERIFERICO BLVRD MANUEL AVILA CAMACHO S/N                                    "</f>
        <v xml:space="preserve">AV PERIFERICO BLVRD MANUEL AVILA CAMACHO S/N                                    </v>
      </c>
      <c r="F112" s="26" t="str">
        <f>"LOMAS DE SOTELO                                                                                                                             "</f>
        <v xml:space="preserve">LOMAS DE SOTELO                                                                                                                             </v>
      </c>
      <c r="G112" s="26" t="str">
        <f>"MIGUEL HIDALGO                                                                  "</f>
        <v xml:space="preserve">MIGUEL HIDALGO                                                                  </v>
      </c>
      <c r="H112" s="26" t="str">
        <f>"044"</f>
        <v>044</v>
      </c>
      <c r="I112" s="26" t="str">
        <f t="shared" si="19"/>
        <v>00</v>
      </c>
      <c r="J112" s="26" t="str">
        <f t="shared" si="26"/>
        <v xml:space="preserve">09 </v>
      </c>
      <c r="K112" s="26" t="str">
        <f t="shared" si="27"/>
        <v>EX</v>
      </c>
      <c r="L112" s="26" t="str">
        <f t="shared" si="28"/>
        <v>DGOSE</v>
      </c>
      <c r="M112" s="26" t="str">
        <f>"PARTICULAR"</f>
        <v>PARTICULAR</v>
      </c>
      <c r="N112" s="26">
        <v>16</v>
      </c>
      <c r="O112" s="26">
        <v>15</v>
      </c>
      <c r="P112" s="26">
        <v>1</v>
      </c>
      <c r="Q112" s="26">
        <v>2</v>
      </c>
      <c r="R112" s="26">
        <v>0</v>
      </c>
      <c r="S112" s="26">
        <v>2</v>
      </c>
      <c r="T112" s="26">
        <v>0</v>
      </c>
      <c r="U112" s="26">
        <v>2</v>
      </c>
      <c r="V112" s="26">
        <v>1</v>
      </c>
    </row>
    <row r="113" spans="1:1" x14ac:dyDescent="0.25">
      <c r="A113" s="27" t="s">
        <v>3983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33"/>
  <sheetViews>
    <sheetView showGridLines="0" zoomScaleNormal="100" workbookViewId="0"/>
  </sheetViews>
  <sheetFormatPr baseColWidth="10" defaultRowHeight="12.75" x14ac:dyDescent="0.2"/>
  <cols>
    <col min="1" max="1" width="20.28515625" style="2" customWidth="1"/>
    <col min="2" max="2" width="35.7109375" style="2" customWidth="1"/>
    <col min="3" max="3" width="56.28515625" style="2" customWidth="1"/>
    <col min="4" max="4" width="57.140625" style="2" customWidth="1"/>
    <col min="5" max="256" width="11.42578125" style="2"/>
    <col min="257" max="257" width="20.28515625" style="2" customWidth="1"/>
    <col min="258" max="258" width="35.7109375" style="2" customWidth="1"/>
    <col min="259" max="259" width="56.28515625" style="2" customWidth="1"/>
    <col min="260" max="260" width="57.140625" style="2" customWidth="1"/>
    <col min="261" max="512" width="11.42578125" style="2"/>
    <col min="513" max="513" width="20.28515625" style="2" customWidth="1"/>
    <col min="514" max="514" width="35.7109375" style="2" customWidth="1"/>
    <col min="515" max="515" width="56.28515625" style="2" customWidth="1"/>
    <col min="516" max="516" width="57.140625" style="2" customWidth="1"/>
    <col min="517" max="768" width="11.42578125" style="2"/>
    <col min="769" max="769" width="20.28515625" style="2" customWidth="1"/>
    <col min="770" max="770" width="35.7109375" style="2" customWidth="1"/>
    <col min="771" max="771" width="56.28515625" style="2" customWidth="1"/>
    <col min="772" max="772" width="57.140625" style="2" customWidth="1"/>
    <col min="773" max="1024" width="11.42578125" style="2"/>
    <col min="1025" max="1025" width="20.28515625" style="2" customWidth="1"/>
    <col min="1026" max="1026" width="35.7109375" style="2" customWidth="1"/>
    <col min="1027" max="1027" width="56.28515625" style="2" customWidth="1"/>
    <col min="1028" max="1028" width="57.140625" style="2" customWidth="1"/>
    <col min="1029" max="1280" width="11.42578125" style="2"/>
    <col min="1281" max="1281" width="20.28515625" style="2" customWidth="1"/>
    <col min="1282" max="1282" width="35.7109375" style="2" customWidth="1"/>
    <col min="1283" max="1283" width="56.28515625" style="2" customWidth="1"/>
    <col min="1284" max="1284" width="57.140625" style="2" customWidth="1"/>
    <col min="1285" max="1536" width="11.42578125" style="2"/>
    <col min="1537" max="1537" width="20.28515625" style="2" customWidth="1"/>
    <col min="1538" max="1538" width="35.7109375" style="2" customWidth="1"/>
    <col min="1539" max="1539" width="56.28515625" style="2" customWidth="1"/>
    <col min="1540" max="1540" width="57.140625" style="2" customWidth="1"/>
    <col min="1541" max="1792" width="11.42578125" style="2"/>
    <col min="1793" max="1793" width="20.28515625" style="2" customWidth="1"/>
    <col min="1794" max="1794" width="35.7109375" style="2" customWidth="1"/>
    <col min="1795" max="1795" width="56.28515625" style="2" customWidth="1"/>
    <col min="1796" max="1796" width="57.140625" style="2" customWidth="1"/>
    <col min="1797" max="2048" width="11.42578125" style="2"/>
    <col min="2049" max="2049" width="20.28515625" style="2" customWidth="1"/>
    <col min="2050" max="2050" width="35.7109375" style="2" customWidth="1"/>
    <col min="2051" max="2051" width="56.28515625" style="2" customWidth="1"/>
    <col min="2052" max="2052" width="57.140625" style="2" customWidth="1"/>
    <col min="2053" max="2304" width="11.42578125" style="2"/>
    <col min="2305" max="2305" width="20.28515625" style="2" customWidth="1"/>
    <col min="2306" max="2306" width="35.7109375" style="2" customWidth="1"/>
    <col min="2307" max="2307" width="56.28515625" style="2" customWidth="1"/>
    <col min="2308" max="2308" width="57.140625" style="2" customWidth="1"/>
    <col min="2309" max="2560" width="11.42578125" style="2"/>
    <col min="2561" max="2561" width="20.28515625" style="2" customWidth="1"/>
    <col min="2562" max="2562" width="35.7109375" style="2" customWidth="1"/>
    <col min="2563" max="2563" width="56.28515625" style="2" customWidth="1"/>
    <col min="2564" max="2564" width="57.140625" style="2" customWidth="1"/>
    <col min="2565" max="2816" width="11.42578125" style="2"/>
    <col min="2817" max="2817" width="20.28515625" style="2" customWidth="1"/>
    <col min="2818" max="2818" width="35.7109375" style="2" customWidth="1"/>
    <col min="2819" max="2819" width="56.28515625" style="2" customWidth="1"/>
    <col min="2820" max="2820" width="57.140625" style="2" customWidth="1"/>
    <col min="2821" max="3072" width="11.42578125" style="2"/>
    <col min="3073" max="3073" width="20.28515625" style="2" customWidth="1"/>
    <col min="3074" max="3074" width="35.7109375" style="2" customWidth="1"/>
    <col min="3075" max="3075" width="56.28515625" style="2" customWidth="1"/>
    <col min="3076" max="3076" width="57.140625" style="2" customWidth="1"/>
    <col min="3077" max="3328" width="11.42578125" style="2"/>
    <col min="3329" max="3329" width="20.28515625" style="2" customWidth="1"/>
    <col min="3330" max="3330" width="35.7109375" style="2" customWidth="1"/>
    <col min="3331" max="3331" width="56.28515625" style="2" customWidth="1"/>
    <col min="3332" max="3332" width="57.140625" style="2" customWidth="1"/>
    <col min="3333" max="3584" width="11.42578125" style="2"/>
    <col min="3585" max="3585" width="20.28515625" style="2" customWidth="1"/>
    <col min="3586" max="3586" width="35.7109375" style="2" customWidth="1"/>
    <col min="3587" max="3587" width="56.28515625" style="2" customWidth="1"/>
    <col min="3588" max="3588" width="57.140625" style="2" customWidth="1"/>
    <col min="3589" max="3840" width="11.42578125" style="2"/>
    <col min="3841" max="3841" width="20.28515625" style="2" customWidth="1"/>
    <col min="3842" max="3842" width="35.7109375" style="2" customWidth="1"/>
    <col min="3843" max="3843" width="56.28515625" style="2" customWidth="1"/>
    <col min="3844" max="3844" width="57.140625" style="2" customWidth="1"/>
    <col min="3845" max="4096" width="11.42578125" style="2"/>
    <col min="4097" max="4097" width="20.28515625" style="2" customWidth="1"/>
    <col min="4098" max="4098" width="35.7109375" style="2" customWidth="1"/>
    <col min="4099" max="4099" width="56.28515625" style="2" customWidth="1"/>
    <col min="4100" max="4100" width="57.140625" style="2" customWidth="1"/>
    <col min="4101" max="4352" width="11.42578125" style="2"/>
    <col min="4353" max="4353" width="20.28515625" style="2" customWidth="1"/>
    <col min="4354" max="4354" width="35.7109375" style="2" customWidth="1"/>
    <col min="4355" max="4355" width="56.28515625" style="2" customWidth="1"/>
    <col min="4356" max="4356" width="57.140625" style="2" customWidth="1"/>
    <col min="4357" max="4608" width="11.42578125" style="2"/>
    <col min="4609" max="4609" width="20.28515625" style="2" customWidth="1"/>
    <col min="4610" max="4610" width="35.7109375" style="2" customWidth="1"/>
    <col min="4611" max="4611" width="56.28515625" style="2" customWidth="1"/>
    <col min="4612" max="4612" width="57.140625" style="2" customWidth="1"/>
    <col min="4613" max="4864" width="11.42578125" style="2"/>
    <col min="4865" max="4865" width="20.28515625" style="2" customWidth="1"/>
    <col min="4866" max="4866" width="35.7109375" style="2" customWidth="1"/>
    <col min="4867" max="4867" width="56.28515625" style="2" customWidth="1"/>
    <col min="4868" max="4868" width="57.140625" style="2" customWidth="1"/>
    <col min="4869" max="5120" width="11.42578125" style="2"/>
    <col min="5121" max="5121" width="20.28515625" style="2" customWidth="1"/>
    <col min="5122" max="5122" width="35.7109375" style="2" customWidth="1"/>
    <col min="5123" max="5123" width="56.28515625" style="2" customWidth="1"/>
    <col min="5124" max="5124" width="57.140625" style="2" customWidth="1"/>
    <col min="5125" max="5376" width="11.42578125" style="2"/>
    <col min="5377" max="5377" width="20.28515625" style="2" customWidth="1"/>
    <col min="5378" max="5378" width="35.7109375" style="2" customWidth="1"/>
    <col min="5379" max="5379" width="56.28515625" style="2" customWidth="1"/>
    <col min="5380" max="5380" width="57.140625" style="2" customWidth="1"/>
    <col min="5381" max="5632" width="11.42578125" style="2"/>
    <col min="5633" max="5633" width="20.28515625" style="2" customWidth="1"/>
    <col min="5634" max="5634" width="35.7109375" style="2" customWidth="1"/>
    <col min="5635" max="5635" width="56.28515625" style="2" customWidth="1"/>
    <col min="5636" max="5636" width="57.140625" style="2" customWidth="1"/>
    <col min="5637" max="5888" width="11.42578125" style="2"/>
    <col min="5889" max="5889" width="20.28515625" style="2" customWidth="1"/>
    <col min="5890" max="5890" width="35.7109375" style="2" customWidth="1"/>
    <col min="5891" max="5891" width="56.28515625" style="2" customWidth="1"/>
    <col min="5892" max="5892" width="57.140625" style="2" customWidth="1"/>
    <col min="5893" max="6144" width="11.42578125" style="2"/>
    <col min="6145" max="6145" width="20.28515625" style="2" customWidth="1"/>
    <col min="6146" max="6146" width="35.7109375" style="2" customWidth="1"/>
    <col min="6147" max="6147" width="56.28515625" style="2" customWidth="1"/>
    <col min="6148" max="6148" width="57.140625" style="2" customWidth="1"/>
    <col min="6149" max="6400" width="11.42578125" style="2"/>
    <col min="6401" max="6401" width="20.28515625" style="2" customWidth="1"/>
    <col min="6402" max="6402" width="35.7109375" style="2" customWidth="1"/>
    <col min="6403" max="6403" width="56.28515625" style="2" customWidth="1"/>
    <col min="6404" max="6404" width="57.140625" style="2" customWidth="1"/>
    <col min="6405" max="6656" width="11.42578125" style="2"/>
    <col min="6657" max="6657" width="20.28515625" style="2" customWidth="1"/>
    <col min="6658" max="6658" width="35.7109375" style="2" customWidth="1"/>
    <col min="6659" max="6659" width="56.28515625" style="2" customWidth="1"/>
    <col min="6660" max="6660" width="57.140625" style="2" customWidth="1"/>
    <col min="6661" max="6912" width="11.42578125" style="2"/>
    <col min="6913" max="6913" width="20.28515625" style="2" customWidth="1"/>
    <col min="6914" max="6914" width="35.7109375" style="2" customWidth="1"/>
    <col min="6915" max="6915" width="56.28515625" style="2" customWidth="1"/>
    <col min="6916" max="6916" width="57.140625" style="2" customWidth="1"/>
    <col min="6917" max="7168" width="11.42578125" style="2"/>
    <col min="7169" max="7169" width="20.28515625" style="2" customWidth="1"/>
    <col min="7170" max="7170" width="35.7109375" style="2" customWidth="1"/>
    <col min="7171" max="7171" width="56.28515625" style="2" customWidth="1"/>
    <col min="7172" max="7172" width="57.140625" style="2" customWidth="1"/>
    <col min="7173" max="7424" width="11.42578125" style="2"/>
    <col min="7425" max="7425" width="20.28515625" style="2" customWidth="1"/>
    <col min="7426" max="7426" width="35.7109375" style="2" customWidth="1"/>
    <col min="7427" max="7427" width="56.28515625" style="2" customWidth="1"/>
    <col min="7428" max="7428" width="57.140625" style="2" customWidth="1"/>
    <col min="7429" max="7680" width="11.42578125" style="2"/>
    <col min="7681" max="7681" width="20.28515625" style="2" customWidth="1"/>
    <col min="7682" max="7682" width="35.7109375" style="2" customWidth="1"/>
    <col min="7683" max="7683" width="56.28515625" style="2" customWidth="1"/>
    <col min="7684" max="7684" width="57.140625" style="2" customWidth="1"/>
    <col min="7685" max="7936" width="11.42578125" style="2"/>
    <col min="7937" max="7937" width="20.28515625" style="2" customWidth="1"/>
    <col min="7938" max="7938" width="35.7109375" style="2" customWidth="1"/>
    <col min="7939" max="7939" width="56.28515625" style="2" customWidth="1"/>
    <col min="7940" max="7940" width="57.140625" style="2" customWidth="1"/>
    <col min="7941" max="8192" width="11.42578125" style="2"/>
    <col min="8193" max="8193" width="20.28515625" style="2" customWidth="1"/>
    <col min="8194" max="8194" width="35.7109375" style="2" customWidth="1"/>
    <col min="8195" max="8195" width="56.28515625" style="2" customWidth="1"/>
    <col min="8196" max="8196" width="57.140625" style="2" customWidth="1"/>
    <col min="8197" max="8448" width="11.42578125" style="2"/>
    <col min="8449" max="8449" width="20.28515625" style="2" customWidth="1"/>
    <col min="8450" max="8450" width="35.7109375" style="2" customWidth="1"/>
    <col min="8451" max="8451" width="56.28515625" style="2" customWidth="1"/>
    <col min="8452" max="8452" width="57.140625" style="2" customWidth="1"/>
    <col min="8453" max="8704" width="11.42578125" style="2"/>
    <col min="8705" max="8705" width="20.28515625" style="2" customWidth="1"/>
    <col min="8706" max="8706" width="35.7109375" style="2" customWidth="1"/>
    <col min="8707" max="8707" width="56.28515625" style="2" customWidth="1"/>
    <col min="8708" max="8708" width="57.140625" style="2" customWidth="1"/>
    <col min="8709" max="8960" width="11.42578125" style="2"/>
    <col min="8961" max="8961" width="20.28515625" style="2" customWidth="1"/>
    <col min="8962" max="8962" width="35.7109375" style="2" customWidth="1"/>
    <col min="8963" max="8963" width="56.28515625" style="2" customWidth="1"/>
    <col min="8964" max="8964" width="57.140625" style="2" customWidth="1"/>
    <col min="8965" max="9216" width="11.42578125" style="2"/>
    <col min="9217" max="9217" width="20.28515625" style="2" customWidth="1"/>
    <col min="9218" max="9218" width="35.7109375" style="2" customWidth="1"/>
    <col min="9219" max="9219" width="56.28515625" style="2" customWidth="1"/>
    <col min="9220" max="9220" width="57.140625" style="2" customWidth="1"/>
    <col min="9221" max="9472" width="11.42578125" style="2"/>
    <col min="9473" max="9473" width="20.28515625" style="2" customWidth="1"/>
    <col min="9474" max="9474" width="35.7109375" style="2" customWidth="1"/>
    <col min="9475" max="9475" width="56.28515625" style="2" customWidth="1"/>
    <col min="9476" max="9476" width="57.140625" style="2" customWidth="1"/>
    <col min="9477" max="9728" width="11.42578125" style="2"/>
    <col min="9729" max="9729" width="20.28515625" style="2" customWidth="1"/>
    <col min="9730" max="9730" width="35.7109375" style="2" customWidth="1"/>
    <col min="9731" max="9731" width="56.28515625" style="2" customWidth="1"/>
    <col min="9732" max="9732" width="57.140625" style="2" customWidth="1"/>
    <col min="9733" max="9984" width="11.42578125" style="2"/>
    <col min="9985" max="9985" width="20.28515625" style="2" customWidth="1"/>
    <col min="9986" max="9986" width="35.7109375" style="2" customWidth="1"/>
    <col min="9987" max="9987" width="56.28515625" style="2" customWidth="1"/>
    <col min="9988" max="9988" width="57.140625" style="2" customWidth="1"/>
    <col min="9989" max="10240" width="11.42578125" style="2"/>
    <col min="10241" max="10241" width="20.28515625" style="2" customWidth="1"/>
    <col min="10242" max="10242" width="35.7109375" style="2" customWidth="1"/>
    <col min="10243" max="10243" width="56.28515625" style="2" customWidth="1"/>
    <col min="10244" max="10244" width="57.140625" style="2" customWidth="1"/>
    <col min="10245" max="10496" width="11.42578125" style="2"/>
    <col min="10497" max="10497" width="20.28515625" style="2" customWidth="1"/>
    <col min="10498" max="10498" width="35.7109375" style="2" customWidth="1"/>
    <col min="10499" max="10499" width="56.28515625" style="2" customWidth="1"/>
    <col min="10500" max="10500" width="57.140625" style="2" customWidth="1"/>
    <col min="10501" max="10752" width="11.42578125" style="2"/>
    <col min="10753" max="10753" width="20.28515625" style="2" customWidth="1"/>
    <col min="10754" max="10754" width="35.7109375" style="2" customWidth="1"/>
    <col min="10755" max="10755" width="56.28515625" style="2" customWidth="1"/>
    <col min="10756" max="10756" width="57.140625" style="2" customWidth="1"/>
    <col min="10757" max="11008" width="11.42578125" style="2"/>
    <col min="11009" max="11009" width="20.28515625" style="2" customWidth="1"/>
    <col min="11010" max="11010" width="35.7109375" style="2" customWidth="1"/>
    <col min="11011" max="11011" width="56.28515625" style="2" customWidth="1"/>
    <col min="11012" max="11012" width="57.140625" style="2" customWidth="1"/>
    <col min="11013" max="11264" width="11.42578125" style="2"/>
    <col min="11265" max="11265" width="20.28515625" style="2" customWidth="1"/>
    <col min="11266" max="11266" width="35.7109375" style="2" customWidth="1"/>
    <col min="11267" max="11267" width="56.28515625" style="2" customWidth="1"/>
    <col min="11268" max="11268" width="57.140625" style="2" customWidth="1"/>
    <col min="11269" max="11520" width="11.42578125" style="2"/>
    <col min="11521" max="11521" width="20.28515625" style="2" customWidth="1"/>
    <col min="11522" max="11522" width="35.7109375" style="2" customWidth="1"/>
    <col min="11523" max="11523" width="56.28515625" style="2" customWidth="1"/>
    <col min="11524" max="11524" width="57.140625" style="2" customWidth="1"/>
    <col min="11525" max="11776" width="11.42578125" style="2"/>
    <col min="11777" max="11777" width="20.28515625" style="2" customWidth="1"/>
    <col min="11778" max="11778" width="35.7109375" style="2" customWidth="1"/>
    <col min="11779" max="11779" width="56.28515625" style="2" customWidth="1"/>
    <col min="11780" max="11780" width="57.140625" style="2" customWidth="1"/>
    <col min="11781" max="12032" width="11.42578125" style="2"/>
    <col min="12033" max="12033" width="20.28515625" style="2" customWidth="1"/>
    <col min="12034" max="12034" width="35.7109375" style="2" customWidth="1"/>
    <col min="12035" max="12035" width="56.28515625" style="2" customWidth="1"/>
    <col min="12036" max="12036" width="57.140625" style="2" customWidth="1"/>
    <col min="12037" max="12288" width="11.42578125" style="2"/>
    <col min="12289" max="12289" width="20.28515625" style="2" customWidth="1"/>
    <col min="12290" max="12290" width="35.7109375" style="2" customWidth="1"/>
    <col min="12291" max="12291" width="56.28515625" style="2" customWidth="1"/>
    <col min="12292" max="12292" width="57.140625" style="2" customWidth="1"/>
    <col min="12293" max="12544" width="11.42578125" style="2"/>
    <col min="12545" max="12545" width="20.28515625" style="2" customWidth="1"/>
    <col min="12546" max="12546" width="35.7109375" style="2" customWidth="1"/>
    <col min="12547" max="12547" width="56.28515625" style="2" customWidth="1"/>
    <col min="12548" max="12548" width="57.140625" style="2" customWidth="1"/>
    <col min="12549" max="12800" width="11.42578125" style="2"/>
    <col min="12801" max="12801" width="20.28515625" style="2" customWidth="1"/>
    <col min="12802" max="12802" width="35.7109375" style="2" customWidth="1"/>
    <col min="12803" max="12803" width="56.28515625" style="2" customWidth="1"/>
    <col min="12804" max="12804" width="57.140625" style="2" customWidth="1"/>
    <col min="12805" max="13056" width="11.42578125" style="2"/>
    <col min="13057" max="13057" width="20.28515625" style="2" customWidth="1"/>
    <col min="13058" max="13058" width="35.7109375" style="2" customWidth="1"/>
    <col min="13059" max="13059" width="56.28515625" style="2" customWidth="1"/>
    <col min="13060" max="13060" width="57.140625" style="2" customWidth="1"/>
    <col min="13061" max="13312" width="11.42578125" style="2"/>
    <col min="13313" max="13313" width="20.28515625" style="2" customWidth="1"/>
    <col min="13314" max="13314" width="35.7109375" style="2" customWidth="1"/>
    <col min="13315" max="13315" width="56.28515625" style="2" customWidth="1"/>
    <col min="13316" max="13316" width="57.140625" style="2" customWidth="1"/>
    <col min="13317" max="13568" width="11.42578125" style="2"/>
    <col min="13569" max="13569" width="20.28515625" style="2" customWidth="1"/>
    <col min="13570" max="13570" width="35.7109375" style="2" customWidth="1"/>
    <col min="13571" max="13571" width="56.28515625" style="2" customWidth="1"/>
    <col min="13572" max="13572" width="57.140625" style="2" customWidth="1"/>
    <col min="13573" max="13824" width="11.42578125" style="2"/>
    <col min="13825" max="13825" width="20.28515625" style="2" customWidth="1"/>
    <col min="13826" max="13826" width="35.7109375" style="2" customWidth="1"/>
    <col min="13827" max="13827" width="56.28515625" style="2" customWidth="1"/>
    <col min="13828" max="13828" width="57.140625" style="2" customWidth="1"/>
    <col min="13829" max="14080" width="11.42578125" style="2"/>
    <col min="14081" max="14081" width="20.28515625" style="2" customWidth="1"/>
    <col min="14082" max="14082" width="35.7109375" style="2" customWidth="1"/>
    <col min="14083" max="14083" width="56.28515625" style="2" customWidth="1"/>
    <col min="14084" max="14084" width="57.140625" style="2" customWidth="1"/>
    <col min="14085" max="14336" width="11.42578125" style="2"/>
    <col min="14337" max="14337" width="20.28515625" style="2" customWidth="1"/>
    <col min="14338" max="14338" width="35.7109375" style="2" customWidth="1"/>
    <col min="14339" max="14339" width="56.28515625" style="2" customWidth="1"/>
    <col min="14340" max="14340" width="57.140625" style="2" customWidth="1"/>
    <col min="14341" max="14592" width="11.42578125" style="2"/>
    <col min="14593" max="14593" width="20.28515625" style="2" customWidth="1"/>
    <col min="14594" max="14594" width="35.7109375" style="2" customWidth="1"/>
    <col min="14595" max="14595" width="56.28515625" style="2" customWidth="1"/>
    <col min="14596" max="14596" width="57.140625" style="2" customWidth="1"/>
    <col min="14597" max="14848" width="11.42578125" style="2"/>
    <col min="14849" max="14849" width="20.28515625" style="2" customWidth="1"/>
    <col min="14850" max="14850" width="35.7109375" style="2" customWidth="1"/>
    <col min="14851" max="14851" width="56.28515625" style="2" customWidth="1"/>
    <col min="14852" max="14852" width="57.140625" style="2" customWidth="1"/>
    <col min="14853" max="15104" width="11.42578125" style="2"/>
    <col min="15105" max="15105" width="20.28515625" style="2" customWidth="1"/>
    <col min="15106" max="15106" width="35.7109375" style="2" customWidth="1"/>
    <col min="15107" max="15107" width="56.28515625" style="2" customWidth="1"/>
    <col min="15108" max="15108" width="57.140625" style="2" customWidth="1"/>
    <col min="15109" max="15360" width="11.42578125" style="2"/>
    <col min="15361" max="15361" width="20.28515625" style="2" customWidth="1"/>
    <col min="15362" max="15362" width="35.7109375" style="2" customWidth="1"/>
    <col min="15363" max="15363" width="56.28515625" style="2" customWidth="1"/>
    <col min="15364" max="15364" width="57.140625" style="2" customWidth="1"/>
    <col min="15365" max="15616" width="11.42578125" style="2"/>
    <col min="15617" max="15617" width="20.28515625" style="2" customWidth="1"/>
    <col min="15618" max="15618" width="35.7109375" style="2" customWidth="1"/>
    <col min="15619" max="15619" width="56.28515625" style="2" customWidth="1"/>
    <col min="15620" max="15620" width="57.140625" style="2" customWidth="1"/>
    <col min="15621" max="15872" width="11.42578125" style="2"/>
    <col min="15873" max="15873" width="20.28515625" style="2" customWidth="1"/>
    <col min="15874" max="15874" width="35.7109375" style="2" customWidth="1"/>
    <col min="15875" max="15875" width="56.28515625" style="2" customWidth="1"/>
    <col min="15876" max="15876" width="57.140625" style="2" customWidth="1"/>
    <col min="15877" max="16128" width="11.42578125" style="2"/>
    <col min="16129" max="16129" width="20.28515625" style="2" customWidth="1"/>
    <col min="16130" max="16130" width="35.7109375" style="2" customWidth="1"/>
    <col min="16131" max="16131" width="56.28515625" style="2" customWidth="1"/>
    <col min="16132" max="16132" width="57.140625" style="2" customWidth="1"/>
    <col min="16133" max="16384" width="11.42578125" style="2"/>
  </cols>
  <sheetData>
    <row r="1" spans="1:2" ht="13.5" thickBot="1" x14ac:dyDescent="0.25">
      <c r="A1" s="1" t="s">
        <v>15</v>
      </c>
    </row>
    <row r="2" spans="1:2" s="4" customFormat="1" x14ac:dyDescent="0.2">
      <c r="A2" s="3"/>
    </row>
    <row r="3" spans="1:2" x14ac:dyDescent="0.2">
      <c r="A3" s="5" t="s">
        <v>16</v>
      </c>
      <c r="B3" s="2" t="s">
        <v>17</v>
      </c>
    </row>
    <row r="4" spans="1:2" x14ac:dyDescent="0.2">
      <c r="A4" s="5" t="s">
        <v>18</v>
      </c>
      <c r="B4" s="2" t="s">
        <v>19</v>
      </c>
    </row>
    <row r="5" spans="1:2" x14ac:dyDescent="0.2">
      <c r="A5" s="5" t="s">
        <v>20</v>
      </c>
      <c r="B5" s="2" t="s">
        <v>21</v>
      </c>
    </row>
    <row r="6" spans="1:2" x14ac:dyDescent="0.2">
      <c r="A6" s="5" t="s">
        <v>22</v>
      </c>
      <c r="B6" s="2" t="s">
        <v>23</v>
      </c>
    </row>
    <row r="7" spans="1:2" x14ac:dyDescent="0.2">
      <c r="A7" s="5" t="s">
        <v>24</v>
      </c>
      <c r="B7" s="2" t="s">
        <v>25</v>
      </c>
    </row>
    <row r="8" spans="1:2" x14ac:dyDescent="0.2">
      <c r="A8" s="5" t="s">
        <v>26</v>
      </c>
      <c r="B8" s="2" t="s">
        <v>27</v>
      </c>
    </row>
    <row r="9" spans="1:2" x14ac:dyDescent="0.2">
      <c r="A9" s="5" t="s">
        <v>28</v>
      </c>
      <c r="B9" s="2" t="s">
        <v>29</v>
      </c>
    </row>
    <row r="10" spans="1:2" x14ac:dyDescent="0.2">
      <c r="A10" s="5" t="s">
        <v>30</v>
      </c>
      <c r="B10" s="2" t="s">
        <v>31</v>
      </c>
    </row>
    <row r="11" spans="1:2" x14ac:dyDescent="0.2">
      <c r="A11" s="5" t="s">
        <v>32</v>
      </c>
      <c r="B11" s="6" t="s">
        <v>33</v>
      </c>
    </row>
    <row r="12" spans="1:2" x14ac:dyDescent="0.2">
      <c r="A12" s="5" t="s">
        <v>34</v>
      </c>
      <c r="B12" s="6" t="s">
        <v>35</v>
      </c>
    </row>
    <row r="13" spans="1:2" x14ac:dyDescent="0.2">
      <c r="A13" s="5" t="s">
        <v>36</v>
      </c>
      <c r="B13" s="6" t="s">
        <v>37</v>
      </c>
    </row>
    <row r="14" spans="1:2" x14ac:dyDescent="0.2">
      <c r="A14" s="5" t="s">
        <v>38</v>
      </c>
      <c r="B14" s="6" t="s">
        <v>39</v>
      </c>
    </row>
    <row r="15" spans="1:2" x14ac:dyDescent="0.2">
      <c r="A15" s="5" t="s">
        <v>40</v>
      </c>
      <c r="B15" s="6" t="s">
        <v>41</v>
      </c>
    </row>
    <row r="16" spans="1:2" x14ac:dyDescent="0.2">
      <c r="A16" s="5" t="s">
        <v>42</v>
      </c>
      <c r="B16" s="6" t="s">
        <v>43</v>
      </c>
    </row>
    <row r="17" spans="1:4" x14ac:dyDescent="0.2">
      <c r="A17" s="5" t="s">
        <v>44</v>
      </c>
      <c r="B17" s="6" t="s">
        <v>45</v>
      </c>
    </row>
    <row r="18" spans="1:4" x14ac:dyDescent="0.2">
      <c r="A18" s="5" t="s">
        <v>46</v>
      </c>
      <c r="B18" s="6" t="s">
        <v>47</v>
      </c>
    </row>
    <row r="19" spans="1:4" x14ac:dyDescent="0.2">
      <c r="A19" s="5" t="s">
        <v>48</v>
      </c>
      <c r="B19" s="6" t="s">
        <v>49</v>
      </c>
    </row>
    <row r="20" spans="1:4" x14ac:dyDescent="0.2">
      <c r="B20" s="7"/>
    </row>
    <row r="21" spans="1:4" ht="13.5" thickBot="1" x14ac:dyDescent="0.25">
      <c r="A21" s="5" t="s">
        <v>50</v>
      </c>
      <c r="B21" s="7"/>
    </row>
    <row r="22" spans="1:4" ht="13.5" thickBot="1" x14ac:dyDescent="0.25">
      <c r="A22" s="29" t="s">
        <v>51</v>
      </c>
      <c r="B22" s="31" t="s">
        <v>52</v>
      </c>
      <c r="C22" s="32"/>
      <c r="D22" s="33"/>
    </row>
    <row r="23" spans="1:4" ht="13.5" thickBot="1" x14ac:dyDescent="0.25">
      <c r="A23" s="30"/>
      <c r="B23" s="1" t="str">
        <f>"DIRECTOR"</f>
        <v>DIRECTOR</v>
      </c>
      <c r="C23" s="1" t="str">
        <f>"DOCENTE"</f>
        <v>DOCENTE</v>
      </c>
      <c r="D23" s="1" t="str">
        <f>"APOYO"</f>
        <v>APOYO</v>
      </c>
    </row>
    <row r="24" spans="1:4" ht="102" x14ac:dyDescent="0.2">
      <c r="A24" s="8" t="s">
        <v>53</v>
      </c>
      <c r="B24" s="9" t="s">
        <v>54</v>
      </c>
      <c r="C24" s="10" t="s">
        <v>55</v>
      </c>
      <c r="D24" s="11" t="s">
        <v>56</v>
      </c>
    </row>
    <row r="25" spans="1:4" ht="38.25" x14ac:dyDescent="0.2">
      <c r="A25" s="12" t="s">
        <v>57</v>
      </c>
      <c r="B25" s="13" t="s">
        <v>58</v>
      </c>
      <c r="C25" s="14" t="s">
        <v>59</v>
      </c>
      <c r="D25" s="15" t="s">
        <v>60</v>
      </c>
    </row>
    <row r="26" spans="1:4" ht="114.75" x14ac:dyDescent="0.2">
      <c r="A26" s="12" t="s">
        <v>61</v>
      </c>
      <c r="B26" s="13" t="s">
        <v>58</v>
      </c>
      <c r="C26" s="16" t="s">
        <v>62</v>
      </c>
      <c r="D26" s="15" t="s">
        <v>63</v>
      </c>
    </row>
    <row r="27" spans="1:4" ht="153" x14ac:dyDescent="0.2">
      <c r="A27" s="17" t="s">
        <v>64</v>
      </c>
      <c r="B27" s="13" t="s">
        <v>58</v>
      </c>
      <c r="C27" s="14" t="s">
        <v>65</v>
      </c>
      <c r="D27" s="15" t="s">
        <v>66</v>
      </c>
    </row>
    <row r="28" spans="1:4" ht="230.25" thickBot="1" x14ac:dyDescent="0.25">
      <c r="A28" s="18" t="s">
        <v>67</v>
      </c>
      <c r="B28" s="19" t="s">
        <v>58</v>
      </c>
      <c r="C28" s="20" t="s">
        <v>68</v>
      </c>
      <c r="D28" s="21" t="s">
        <v>69</v>
      </c>
    </row>
    <row r="29" spans="1:4" x14ac:dyDescent="0.2">
      <c r="A29" s="3" t="s">
        <v>70</v>
      </c>
      <c r="B29" s="22"/>
      <c r="C29" s="23"/>
      <c r="D29" s="23"/>
    </row>
    <row r="30" spans="1:4" x14ac:dyDescent="0.2">
      <c r="A30" s="7" t="s">
        <v>71</v>
      </c>
    </row>
    <row r="31" spans="1:4" x14ac:dyDescent="0.2">
      <c r="A31" s="7" t="s">
        <v>72</v>
      </c>
    </row>
    <row r="32" spans="1:4" x14ac:dyDescent="0.2">
      <c r="A32" s="7" t="s">
        <v>73</v>
      </c>
    </row>
    <row r="33" spans="1:1" x14ac:dyDescent="0.2">
      <c r="A33" s="7" t="s">
        <v>74</v>
      </c>
    </row>
  </sheetData>
  <mergeCells count="2">
    <mergeCell ref="A22:A23"/>
    <mergeCell ref="B22:D22"/>
  </mergeCells>
  <pageMargins left="0" right="0" top="0.39370078740157483" bottom="0" header="0" footer="0"/>
  <pageSetup scale="61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INICIAL</vt:lpstr>
      <vt:lpstr>ESPECIAL</vt:lpstr>
      <vt:lpstr>PREESCOLAR</vt:lpstr>
      <vt:lpstr>PRIMARIA</vt:lpstr>
      <vt:lpstr>SECUNDARIA</vt:lpstr>
      <vt:lpstr>ADULTOS</vt:lpstr>
      <vt:lpstr>GLOSARIO</vt:lpstr>
      <vt:lpstr>GLOSARIO!Área_de_impresión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Administrador</cp:lastModifiedBy>
  <dcterms:created xsi:type="dcterms:W3CDTF">2013-11-28T17:04:53Z</dcterms:created>
  <dcterms:modified xsi:type="dcterms:W3CDTF">2013-12-06T16:09:09Z</dcterms:modified>
</cp:coreProperties>
</file>